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7905" yWindow="5190" windowWidth="3375" windowHeight="1755" tabRatio="856"/>
  </bookViews>
  <sheets>
    <sheet name="ImportantDisclosures" sheetId="40" r:id="rId1"/>
    <sheet name="Cover" sheetId="1" r:id="rId2"/>
    <sheet name="KPI's" sheetId="2" r:id="rId3"/>
    <sheet name="FX Model" sheetId="6" r:id="rId4"/>
    <sheet name="Presentation tables" sheetId="7" r:id="rId5"/>
    <sheet name="IS" sheetId="8" r:id="rId6"/>
    <sheet name="BS" sheetId="9" r:id="rId7"/>
    <sheet name="CF" sheetId="10" r:id="rId8"/>
    <sheet name="Divisional Summary" sheetId="11" r:id="rId9"/>
    <sheet name="Otis" sheetId="12" r:id="rId10"/>
    <sheet name="CCS" sheetId="13" r:id="rId11"/>
    <sheet name="Pratt" sheetId="14" r:id="rId12"/>
    <sheet name="Aerospace Systems" sheetId="15" r:id="rId13"/>
    <sheet name="IndexInformation" sheetId="41" r:id="rId14"/>
    <sheet name="ModPubIndex" sheetId="42" r:id="rId15"/>
    <sheet name="MW-Cache" sheetId="32" state="veryHidden" r:id="rId16"/>
  </sheets>
  <definedNames>
    <definedName name="__FDS_HYPERLINK_TOGGLE_STATE__" hidden="1">"ON"</definedName>
    <definedName name="__FDS_UNIQUE_RANGE_ID_GENERATOR_COUNTER" hidden="1">416</definedName>
    <definedName name="_1__FDSAUDITLINK__" hidden="1">{"fdsup://IBCentral/FAT Viewer?action=UPDATE&amp;creator=factset&amp;DOC_NAME=fat:reuters_annual_source_window.fat&amp;display_string=Audit&amp;DYN_ARGS=TRUE&amp;VAR:ID1=B058TZ&amp;VAR:RCODE=EBITDA&amp;VAR:SDATE=20071299&amp;VAR:FREQ=Y&amp;VAR:RELITEM=RP&amp;VAR:CURRENCY=&amp;VAR:CURRSOURCE=EXSHARE&amp;V","AR:NATFREQ=ANNUAL&amp;VAR:RFIELD=FINALIZED&amp;VAR:DB_TYPE=&amp;VAR:UNITS=M&amp;window=popup&amp;width=450&amp;height=300&amp;START_MAXIMIZED=FALSE"}</definedName>
    <definedName name="_10__FDSAUDITLINK__" hidden="1">{"fdsup://IBCentral/FAT Viewer?action=UPDATE&amp;creator=factset&amp;DOC_NAME=fat:reuters_annual_source_window.fat&amp;display_string=Audit&amp;DYN_ARGS=TRUE&amp;VAR:ID1=52610710&amp;VAR:RCODE=EBITDA&amp;VAR:SDATE=20071299&amp;VAR:FREQ=Y&amp;VAR:RELITEM=&amp;VAR:CURRENCY=&amp;VAR:CURRSOURCE=EXSHARE&amp;V","AR:NATFREQ=ANNUAL&amp;VAR:RFIELD=FINALIZED&amp;VAR:DB_TYPE=&amp;VAR:UNITS=M&amp;window=popup&amp;width=450&amp;height=300&amp;START_MAXIMIZED=FALSE"}</definedName>
    <definedName name="_100__FDSAUDITLINK__" hidden="1">{"fdsup://IBCentral/FAT Viewer?action=UPDATE&amp;creator=factset&amp;DOC_NAME=fat:reuters_annual_source_window.fat&amp;display_string=Audit&amp;DYN_ARGS=TRUE&amp;VAR:ID1=G9143X20&amp;VAR:RCODE=EBITDA&amp;VAR:SDATE=20080999&amp;VAR:FREQ=Y&amp;VAR:RELITEM=&amp;VAR:CURRENCY=&amp;VAR:CURRSOURCE=EXSHARE&amp;V","AR:NATFREQ=ANNUAL&amp;VAR:RFIELD=FINALIZED&amp;VAR:DB_TYPE=&amp;VAR:UNITS=M&amp;window=popup&amp;width=450&amp;height=300&amp;START_MAXIMIZED=FALSE"}</definedName>
    <definedName name="_101__FDSAUDITLINK__" hidden="1">{"fdsup://IBCentral/FAT Viewer?action=UPDATE&amp;creator=factset&amp;DOC_NAME=fat:reuters_annual_source_window.fat&amp;display_string=Audit&amp;DYN_ARGS=TRUE&amp;VAR:ID1=19401410&amp;VAR:RCODE=EBITDA&amp;VAR:SDATE=20071299&amp;VAR:FREQ=Y&amp;VAR:RELITEM=RP&amp;VAR:CURRENCY=&amp;VAR:CURRSOURCE=EXSHARE","&amp;VAR:NATFREQ=ANNUAL&amp;VAR:RFIELD=FINALIZED&amp;VAR:DB_TYPE=&amp;VAR:UNITS=M&amp;window=popup&amp;width=450&amp;height=300&amp;START_MAXIMIZED=FALSE"}</definedName>
    <definedName name="_102__FDSAUDITLINK__" hidden="1">{"fdsup://IBCentral/FAT Viewer?action=UPDATE&amp;creator=factset&amp;DOC_NAME=fat:reuters_annual_source_window.fat&amp;display_string=Audit&amp;DYN_ARGS=TRUE&amp;VAR:ID1=G9143X20&amp;VAR:RCODE=EBITDA&amp;VAR:SDATE=20080999&amp;VAR:FREQ=Y&amp;VAR:RELITEM=&amp;VAR:CURRENCY=&amp;VAR:CURRSOURCE=EXSHARE&amp;V","AR:NATFREQ=ANNUAL&amp;VAR:RFIELD=FINALIZED&amp;VAR:DB_TYPE=&amp;VAR:UNITS=M&amp;window=popup&amp;width=450&amp;height=300&amp;START_MAXIMIZED=FALSE"}</definedName>
    <definedName name="_103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104__FDSAUDITLINK__" hidden="1">{"fdsup://IBCentral/FAT Viewer?action=UPDATE&amp;creator=factset&amp;DOC_NAME=fat:reuters_annual_source_window.fat&amp;display_string=Audit&amp;DYN_ARGS=TRUE&amp;VAR:ID1=555404&amp;VAR:RCODE=EBITDA&amp;VAR:SDATE=20071299&amp;VAR:FREQ=Y&amp;VAR:RELITEM=&amp;VAR:CURRENCY=&amp;VAR:CURRSOURCE=EXSHARE&amp;VAR",":NATFREQ=ANNUAL&amp;VAR:RFIELD=FINALIZED&amp;VAR:DB_TYPE=&amp;VAR:UNITS=M&amp;window=popup&amp;width=450&amp;height=300&amp;START_MAXIMIZED=FALSE"}</definedName>
    <definedName name="_105__FDSAUDITLINK__" hidden="1">{"fdsup://IBCentral/FAT Viewer?action=UPDATE&amp;creator=factset&amp;DOC_NAME=fat:reuters_annual_source_window.fat&amp;display_string=Audit&amp;DYN_ARGS=TRUE&amp;VAR:ID1=B01FLG&amp;VAR:RCODE=EBITDA&amp;VAR:SDATE=20071299&amp;VAR:FREQ=Y&amp;VAR:RELITEM=&amp;VAR:CURRENCY=&amp;VAR:CURRSOURCE=EXSHARE&amp;VAR",":NATFREQ=ANNUAL&amp;VAR:RFIELD=FINALIZED&amp;VAR:DB_TYPE=&amp;VAR:UNITS=M&amp;window=popup&amp;width=450&amp;height=300&amp;START_MAXIMIZED=FALSE"}</definedName>
    <definedName name="_106__FDSAUDITLINK__" hidden="1">{"fdsup://IBCentral/FAT Viewer?action=UPDATE&amp;creator=factset&amp;DOC_NAME=fat:reuters_annual_source_window.fat&amp;display_string=Audit&amp;DYN_ARGS=TRUE&amp;VAR:ID1=10969610&amp;VAR:RCODE=EBITDA&amp;VAR:SDATE=20071299&amp;VAR:FREQ=Y&amp;VAR:RELITEM=&amp;VAR:CURRENCY=&amp;VAR:CURRSOURCE=EXSHARE&amp;V","AR:NATFREQ=ANNUAL&amp;VAR:RFIELD=FINALIZED&amp;VAR:DB_TYPE=&amp;VAR:UNITS=M&amp;window=popup&amp;width=450&amp;height=300&amp;START_MAXIMIZED=FALSE"}</definedName>
    <definedName name="_107__FDSAUDITLINK__" hidden="1">{"fdsup://IBCentral/FAT Viewer?action=UPDATE&amp;creator=factset&amp;DOC_NAME=fat:reuters_annual_source_window.fat&amp;display_string=Audit&amp;DYN_ARGS=TRUE&amp;VAR:ID1=88320310&amp;VAR:RCODE=EBITDA&amp;VAR:SDATE=20071299&amp;VAR:FREQ=Y&amp;VAR:RELITEM=RP&amp;VAR:CURRENCY=&amp;VAR:CURRSOURCE=EXSHARE","&amp;VAR:NATFREQ=ANNUAL&amp;VAR:RFIELD=FINALIZED&amp;VAR:DB_TYPE=&amp;VAR:UNITS=M&amp;window=popup&amp;width=450&amp;height=300&amp;START_MAXIMIZED=FALSE"}</definedName>
    <definedName name="_108__FDSAUDITLINK__" hidden="1">{"fdsup://IBCentral/FAT Viewer?action=UPDATE&amp;creator=factset&amp;DOC_NAME=fat:reuters_annual_source_window.fat&amp;display_string=Audit&amp;DYN_ARGS=TRUE&amp;VAR:ID1=G4776G10&amp;VAR:RCODE=EBITDA&amp;VAR:SDATE=20071299&amp;VAR:FREQ=Y&amp;VAR:RELITEM=RP&amp;VAR:CURRENCY=&amp;VAR:CURRSOURCE=EXSHARE","&amp;VAR:NATFREQ=ANNUAL&amp;VAR:RFIELD=FINALIZED&amp;VAR:DB_TYPE=&amp;VAR:UNITS=M&amp;window=popup&amp;width=450&amp;height=300&amp;START_MAXIMIZED=FALSE"}</definedName>
    <definedName name="_109__FDSAUDITLINK__" hidden="1">{"fdsup://IBCentral/FAT Viewer?action=UPDATE&amp;creator=factset&amp;DOC_NAME=fat:reuters_annual_source_window.fat&amp;display_string=Audit&amp;DYN_ARGS=TRUE&amp;VAR:ID1=21935010&amp;VAR:RCODE=EBITDA&amp;VAR:SDATE=20071299&amp;VAR:FREQ=Y&amp;VAR:RELITEM=RP&amp;VAR:CURRENCY=&amp;VAR:CURRSOURCE=EXSHARE","&amp;VAR:NATFREQ=ANNUAL&amp;VAR:RFIELD=FINALIZED&amp;VAR:DB_TYPE=&amp;VAR:UNITS=M&amp;window=popup&amp;width=450&amp;height=300&amp;START_MAXIMIZED=FALSE"}</definedName>
    <definedName name="_11__FDSAUDITLINK__" hidden="1">{"fdsup://IBCentral/FAT Viewer?action=UPDATE&amp;creator=factset&amp;DOC_NAME=fat:reuters_annual_source_window.fat&amp;display_string=Audit&amp;DYN_ARGS=TRUE&amp;VAR:ID1=38238810&amp;VAR:RCODE=EBITDA&amp;VAR:SDATE=20071299&amp;VAR:FREQ=Y&amp;VAR:RELITEM=RP&amp;VAR:CURRENCY=&amp;VAR:CURRSOURCE=EXSHARE","&amp;VAR:NATFREQ=ANNUAL&amp;VAR:RFIELD=FINALIZED&amp;VAR:DB_TYPE=&amp;VAR:UNITS=M&amp;window=popup&amp;width=450&amp;height=300&amp;START_MAXIMIZED=FALSE"}</definedName>
    <definedName name="_110__FDSAUDITLINK__" hidden="1">{"fdsup://IBCentral/FAT Viewer?action=UPDATE&amp;creator=factset&amp;DOC_NAME=fat:reuters_annual_source_window.fat&amp;display_string=Audit&amp;DYN_ARGS=TRUE&amp;VAR:ID1=17275R10&amp;VAR:RCODE=EBITDA&amp;VAR:SDATE=20070799&amp;VAR:FREQ=Y&amp;VAR:RELITEM=RP&amp;VAR:CURRENCY=&amp;VAR:CURRSOURCE=EXSHARE","&amp;VAR:NATFREQ=ANNUAL&amp;VAR:RFIELD=FINALIZED&amp;VAR:DB_TYPE=&amp;VAR:UNITS=M&amp;window=popup&amp;width=450&amp;height=300&amp;START_MAXIMIZED=FALSE"}</definedName>
    <definedName name="_111__FDSAUDITLINK__" hidden="1">{"fdsup://IBCentral/FAT Viewer?action=UPDATE&amp;creator=factset&amp;DOC_NAME=fat:reuters_annual_source_window.fat&amp;display_string=Audit&amp;DYN_ARGS=TRUE&amp;VAR:ID1=019520&amp;VAR:RCODE=EBITDA&amp;VAR:SDATE=20080399&amp;VAR:FREQ=Y&amp;VAR:RELITEM=RP&amp;VAR:CURRENCY=&amp;VAR:CURRSOURCE=EXSHARE&amp;V","AR:NATFREQ=ANNUAL&amp;VAR:RFIELD=FINALIZED&amp;VAR:DB_TYPE=&amp;VAR:UNITS=M&amp;window=popup&amp;width=450&amp;height=300&amp;START_MAXIMIZED=FALSE"}</definedName>
    <definedName name="_112__FDSAUDITLINK__" hidden="1">{"fdsup://IBCentral/FAT Viewer?action=UPDATE&amp;creator=factset&amp;DOC_NAME=fat:reuters_annual_source_window.fat&amp;display_string=Audit&amp;DYN_ARGS=TRUE&amp;VAR:ID1=48203R10&amp;VAR:RCODE=EBITDA&amp;VAR:SDATE=20071299&amp;VAR:FREQ=Y&amp;VAR:RELITEM=RP&amp;VAR:CURRENCY=&amp;VAR:CURRSOURCE=EXSHARE","&amp;VAR:NATFREQ=ANNUAL&amp;VAR:RFIELD=FINALIZED&amp;VAR:DB_TYPE=&amp;VAR:UNITS=M&amp;window=popup&amp;width=450&amp;height=300&amp;START_MAXIMIZED=FALSE"}</definedName>
    <definedName name="_113__FDSAUDITLINK__" hidden="1">{"fdsup://IBCentral/FAT Viewer?action=UPDATE&amp;creator=factset&amp;DOC_NAME=fat:reuters_annual_source_window.fat&amp;display_string=Audit&amp;DYN_ARGS=TRUE&amp;VAR:ID1=597500&amp;VAR:RCODE=EBITDA&amp;VAR:SDATE=20071299&amp;VAR:FREQ=Y&amp;VAR:RELITEM=RP&amp;VAR:CURRENCY=&amp;VAR:CURRSOURCE=EXSHARE&amp;V","AR:NATFREQ=ANNUAL&amp;VAR:RFIELD=FINALIZED&amp;VAR:DB_TYPE=&amp;VAR:UNITS=M&amp;window=popup&amp;width=450&amp;height=300&amp;START_MAXIMIZED=FALSE"}</definedName>
    <definedName name="_114__FDSAUDITLINK__" hidden="1">{"fdsup://IBCentral/FAT Viewer?action=UPDATE&amp;creator=factset&amp;DOC_NAME=fat:reuters_annual_source_window.fat&amp;display_string=Audit&amp;DYN_ARGS=TRUE&amp;VAR:ID1=483410&amp;VAR:RCODE=EBITDA&amp;VAR:SDATE=20071299&amp;VAR:FREQ=Y&amp;VAR:RELITEM=RP&amp;VAR:CURRENCY=&amp;VAR:CURRSOURCE=EXSHARE&amp;V","AR:NATFREQ=ANNUAL&amp;VAR:RFIELD=FINALIZED&amp;VAR:DB_TYPE=&amp;VAR:UNITS=M&amp;window=popup&amp;width=450&amp;height=300&amp;START_MAXIMIZED=FALSE"}</definedName>
    <definedName name="_115__FDSAUDITLINK__" hidden="1">{"fdsup://IBCentral/FAT Viewer?action=UPDATE&amp;creator=factset&amp;DOC_NAME=fat:reuters_annual_source_window.fat&amp;display_string=Audit&amp;DYN_ARGS=TRUE&amp;VAR:ID1=77390310&amp;VAR:RCODE=EBITDA&amp;VAR:SDATE=20070999&amp;VAR:FREQ=Y&amp;VAR:RELITEM=RP&amp;VAR:CURRENCY=&amp;VAR:CURRSOURCE=EXSHARE","&amp;VAR:NATFREQ=ANNUAL&amp;VAR:RFIELD=FINALIZED&amp;VAR:DB_TYPE=&amp;VAR:UNITS=M&amp;window=popup&amp;width=450&amp;height=300&amp;START_MAXIMIZED=FALSE"}</definedName>
    <definedName name="_116__FDSAUDITLINK__" hidden="1">{"fdsup://IBCentral/FAT Viewer?action=UPDATE&amp;creator=factset&amp;DOC_NAME=fat:reuters_annual_source_window.fat&amp;display_string=Audit&amp;DYN_ARGS=TRUE&amp;VAR:ID1=05774110&amp;VAR:RCODE=EBITDA&amp;VAR:SDATE=20071299&amp;VAR:FREQ=Y&amp;VAR:RELITEM=RP&amp;VAR:CURRENCY=&amp;VAR:CURRSOURCE=EXSHARE","&amp;VAR:NATFREQ=ANNUAL&amp;VAR:RFIELD=FINALIZED&amp;VAR:DB_TYPE=&amp;VAR:UNITS=M&amp;window=popup&amp;width=450&amp;height=300&amp;START_MAXIMIZED=FALSE"}</definedName>
    <definedName name="_117__FDSAUDITLINK__" hidden="1">{"fdsup://IBCentral/FAT Viewer?action=UPDATE&amp;creator=factset&amp;DOC_NAME=fat:reuters_annual_source_window.fat&amp;display_string=Audit&amp;DYN_ARGS=TRUE&amp;VAR:ID1=045796&amp;VAR:RCODE=EBITDA&amp;VAR:SDATE=20071299&amp;VAR:FREQ=Y&amp;VAR:RELITEM=RP&amp;VAR:CURRENCY=&amp;VAR:CURRSOURCE=EXSHARE&amp;V","AR:NATFREQ=ANNUAL&amp;VAR:RFIELD=FINALIZED&amp;VAR:DB_TYPE=&amp;VAR:UNITS=M&amp;window=popup&amp;width=450&amp;height=300&amp;START_MAXIMIZED=FALSE"}</definedName>
    <definedName name="_118__FDSAUDITLINK__" hidden="1">{"fdsup://IBCentral/FAT Viewer?action=UPDATE&amp;creator=factset&amp;DOC_NAME=fat:reuters_annual_source_window.fat&amp;display_string=Audit&amp;DYN_ARGS=TRUE&amp;VAR:ID1=45167R10&amp;VAR:RCODE=EBITDA&amp;VAR:SDATE=20071299&amp;VAR:FREQ=Y&amp;VAR:RELITEM=RP&amp;VAR:CURRENCY=&amp;VAR:CURRSOURCE=EXSHARE","&amp;VAR:NATFREQ=ANNUAL&amp;VAR:RFIELD=FINALIZED&amp;VAR:DB_TYPE=&amp;VAR:UNITS=M&amp;window=popup&amp;width=450&amp;height=300&amp;START_MAXIMIZED=FALSE"}</definedName>
    <definedName name="_119__FDSAUDITLINK__" hidden="1">{"fdsup://IBCentral/FAT Viewer?action=UPDATE&amp;creator=factset&amp;DOC_NAME=fat:reuters_annual_source_window.fat&amp;display_string=Audit&amp;DYN_ARGS=TRUE&amp;VAR:ID1=03110010&amp;VAR:RCODE=EBITDA&amp;VAR:SDATE=20071299&amp;VAR:FREQ=Y&amp;VAR:RELITEM=RP&amp;VAR:CURRENCY=&amp;VAR:CURRSOURCE=EXSHARE","&amp;VAR:NATFREQ=ANNUAL&amp;VAR:RFIELD=FINALIZED&amp;VAR:DB_TYPE=&amp;VAR:UNITS=M&amp;window=popup&amp;width=450&amp;height=300&amp;START_MAXIMIZED=FALSE"}</definedName>
    <definedName name="_12__FDSAUDITLINK__" hidden="1">{"fdsup://IBCentral/FAT Viewer?action=UPDATE&amp;creator=factset&amp;DOC_NAME=fat:reuters_annual_source_window.fat&amp;display_string=Audit&amp;DYN_ARGS=TRUE&amp;VAR:ID1=03110010&amp;VAR:RCODE=EBITDA&amp;VAR:SDATE=20071299&amp;VAR:FREQ=Y&amp;VAR:RELITEM=&amp;VAR:CURRENCY=&amp;VAR:CURRSOURCE=EXSHARE&amp;V","AR:NATFREQ=ANNUAL&amp;VAR:RFIELD=FINALIZED&amp;VAR:DB_TYPE=&amp;VAR:UNITS=M&amp;window=popup&amp;width=450&amp;height=300&amp;START_MAXIMIZED=FALSE"}</definedName>
    <definedName name="_120__FDSAUDITLINK__" hidden="1">{"fdsup://IBCentral/FAT Viewer?action=UPDATE&amp;creator=factset&amp;DOC_NAME=fat:reuters_annual_source_window.fat&amp;display_string=Audit&amp;DYN_ARGS=TRUE&amp;VAR:ID1=B19DVX&amp;VAR:RCODE=EBITDA&amp;VAR:SDATE=20080399&amp;VAR:FREQ=Y&amp;VAR:RELITEM=RP&amp;VAR:CURRENCY=&amp;VAR:CURRSOURCE=EXSHARE&amp;V","AR:NATFREQ=ANNUAL&amp;VAR:RFIELD=FINALIZED&amp;VAR:DB_TYPE=&amp;VAR:UNITS=M&amp;window=popup&amp;width=450&amp;height=300&amp;START_MAXIMIZED=FALSE"}</definedName>
    <definedName name="_121__FDSAUDITLINK__" hidden="1">{"fdsup://IBCentral/FAT Viewer?action=UPDATE&amp;creator=factset&amp;DOC_NAME=fat:reuters_annual_source_window.fat&amp;display_string=Audit&amp;DYN_ARGS=TRUE&amp;VAR:ID1=710889&amp;VAR:RCODE=EBITDA&amp;VAR:SDATE=20071299&amp;VAR:FREQ=Y&amp;VAR:RELITEM=RP&amp;VAR:CURRENCY=&amp;VAR:CURRSOURCE=EXSHARE&amp;V","AR:NATFREQ=ANNUAL&amp;VAR:RFIELD=FINALIZED&amp;VAR:DB_TYPE=&amp;VAR:UNITS=M&amp;window=popup&amp;width=450&amp;height=300&amp;START_MAXIMIZED=FALSE"}</definedName>
    <definedName name="_122__FDSAUDITLINK__" hidden="1">{"fdsup://IBCentral/FAT Viewer?action=UPDATE&amp;creator=factset&amp;DOC_NAME=fat:reuters_annual_source_window.fat&amp;display_string=Audit&amp;DYN_ARGS=TRUE&amp;VAR:ID1=09179710&amp;VAR:RCODE=EBITDA&amp;VAR:SDATE=20071299&amp;VAR:FREQ=Y&amp;VAR:RELITEM=&amp;VAR:CURRENCY=&amp;VAR:CURRSOURCE=EXSHARE&amp;V","AR:NATFREQ=ANNUAL&amp;VAR:RFIELD=FINALIZED&amp;VAR:DB_TYPE=&amp;VAR:UNITS=M&amp;window=popup&amp;width=450&amp;height=300&amp;START_MAXIMIZED=FALSE"}</definedName>
    <definedName name="_123__FDSAUDITLINK__" hidden="1">{"fdsup://IBCentral/FAT Viewer?action=UPDATE&amp;creator=factset&amp;DOC_NAME=fat:reuters_annual_source_window.fat&amp;display_string=Audit&amp;DYN_ARGS=TRUE&amp;VAR:ID1=83303410&amp;VAR:RCODE=EBITDA&amp;VAR:SDATE=20071299&amp;VAR:FREQ=Y&amp;VAR:RELITEM=&amp;VAR:CURRENCY=&amp;VAR:CURRSOURCE=EXSHARE&amp;V","AR:NATFREQ=ANNUAL&amp;VAR:RFIELD=FINALIZED&amp;VAR:DB_TYPE=&amp;VAR:UNITS=M&amp;window=popup&amp;width=450&amp;height=300&amp;START_MAXIMIZED=FALSE"}</definedName>
    <definedName name="_124__FDSAUDITLINK__" hidden="1">{"fdsup://IBCentral/FAT Viewer?action=UPDATE&amp;creator=factset&amp;DOC_NAME=fat:reuters_annual_source_window.fat&amp;display_string=Audit&amp;DYN_ARGS=TRUE&amp;VAR:ID1=52610710&amp;VAR:RCODE=EBITDA&amp;VAR:SDATE=20071299&amp;VAR:FREQ=Y&amp;VAR:RELITEM=&amp;VAR:CURRENCY=&amp;VAR:CURRSOURCE=EXSHARE&amp;V","AR:NATFREQ=ANNUAL&amp;VAR:RFIELD=FINALIZED&amp;VAR:DB_TYPE=&amp;VAR:UNITS=M&amp;window=popup&amp;width=450&amp;height=300&amp;START_MAXIMIZED=FALSE"}</definedName>
    <definedName name="_125__FDSAUDITLINK__" hidden="1">{"fdsup://IBCentral/FAT Viewer?action=UPDATE&amp;creator=factset&amp;DOC_NAME=fat:reuters_annual_source_window.fat&amp;display_string=Audit&amp;DYN_ARGS=TRUE&amp;VAR:ID1=G4776G10&amp;VAR:RCODE=EBITDA&amp;VAR:SDATE=20071299&amp;VAR:FREQ=Y&amp;VAR:RELITEM=&amp;VAR:CURRENCY=&amp;VAR:CURRSOURCE=EXSHARE&amp;V","AR:NATFREQ=ANNUAL&amp;VAR:RFIELD=FINALIZED&amp;VAR:DB_TYPE=&amp;VAR:UNITS=M&amp;window=popup&amp;width=450&amp;height=300&amp;START_MAXIMIZED=FALSE"}</definedName>
    <definedName name="_126__FDSAUDITLINK__" hidden="1">{"fdsup://IBCentral/FAT Viewer?action=UPDATE&amp;creator=factset&amp;DOC_NAME=fat:reuters_annual_source_window.fat&amp;display_string=Audit&amp;DYN_ARGS=TRUE&amp;VAR:ID1=21935010&amp;VAR:RCODE=EBITDA&amp;VAR:SDATE=20071299&amp;VAR:FREQ=Y&amp;VAR:RELITEM=&amp;VAR:CURRENCY=&amp;VAR:CURRSOURCE=EXSHARE&amp;V","AR:NATFREQ=ANNUAL&amp;VAR:RFIELD=FINALIZED&amp;VAR:DB_TYPE=&amp;VAR:UNITS=M&amp;window=popup&amp;width=450&amp;height=300&amp;START_MAXIMIZED=FALSE"}</definedName>
    <definedName name="_127__FDSAUDITLINK__" hidden="1">{"fdsup://IBCentral/FAT Viewer?action=UPDATE&amp;creator=factset&amp;DOC_NAME=fat:reuters_annual_source_window.fat&amp;display_string=Audit&amp;DYN_ARGS=TRUE&amp;VAR:ID1=17275R10&amp;VAR:RCODE=EBITDA&amp;VAR:SDATE=20080799&amp;VAR:FREQ=Y&amp;VAR:RELITEM=&amp;VAR:CURRENCY=&amp;VAR:CURRSOURCE=EXSHARE&amp;V","AR:NATFREQ=ANNUAL&amp;VAR:RFIELD=FINALIZED&amp;VAR:DB_TYPE=&amp;VAR:UNITS=M&amp;window=popup&amp;width=450&amp;height=300&amp;START_MAXIMIZED=FALSE"}</definedName>
    <definedName name="_128__FDSAUDITLINK__" hidden="1">{"fdsup://IBCentral/FAT Viewer?action=UPDATE&amp;creator=factset&amp;DOC_NAME=fat:reuters_annual_source_window.fat&amp;display_string=Audit&amp;DYN_ARGS=TRUE&amp;VAR:ID1=597500&amp;VAR:RCODE=EBITDA&amp;VAR:SDATE=20071299&amp;VAR:FREQ=Y&amp;VAR:RELITEM=&amp;VAR:CURRENCY=&amp;VAR:CURRSOURCE=EXSHARE&amp;VAR",":NATFREQ=ANNUAL&amp;VAR:RFIELD=FINALIZED&amp;VAR:DB_TYPE=&amp;VAR:UNITS=M&amp;window=popup&amp;width=450&amp;height=300&amp;START_MAXIMIZED=FALSE"}</definedName>
    <definedName name="_129__FDSAUDITLINK__" hidden="1">{"fdsup://IBCentral/FAT Viewer?action=UPDATE&amp;creator=factset&amp;DOC_NAME=fat:reuters_annual_source_window.fat&amp;display_string=Audit&amp;DYN_ARGS=TRUE&amp;VAR:ID1=483410&amp;VAR:RCODE=EBITDA&amp;VAR:SDATE=20071299&amp;VAR:FREQ=Y&amp;VAR:RELITEM=&amp;VAR:CURRENCY=&amp;VAR:CURRSOURCE=EXSHARE&amp;VAR",":NATFREQ=ANNUAL&amp;VAR:RFIELD=FINALIZED&amp;VAR:DB_TYPE=&amp;VAR:UNITS=M&amp;window=popup&amp;width=450&amp;height=300&amp;START_MAXIMIZED=FALSE"}</definedName>
    <definedName name="_13__FDSAUDITLINK__" hidden="1">{"fdsup://IBCentral/FAT Viewer?action=UPDATE&amp;creator=factset&amp;DOC_NAME=fat:reuters_annual_source_window.fat&amp;display_string=Audit&amp;DYN_ARGS=TRUE&amp;VAR:ID1=B19DVX&amp;VAR:RCODE=EBITDA&amp;VAR:SDATE=20080399&amp;VAR:FREQ=Y&amp;VAR:RELITEM=&amp;VAR:CURRENCY=&amp;VAR:CURRSOURCE=EXSHARE&amp;VAR",":NATFREQ=ANNUAL&amp;VAR:RFIELD=FINALIZED&amp;VAR:DB_TYPE=&amp;VAR:UNITS=M&amp;window=popup&amp;width=450&amp;height=300&amp;START_MAXIMIZED=FALSE"}</definedName>
    <definedName name="_130__FDSAUDITLINK__" hidden="1">{"fdsup://IBCentral/FAT Viewer?action=UPDATE&amp;creator=factset&amp;DOC_NAME=fat:reuters_annual_source_window.fat&amp;display_string=Audit&amp;DYN_ARGS=TRUE&amp;VAR:ID1=77390310&amp;VAR:RCODE=EBITDA&amp;VAR:SDATE=20080999&amp;VAR:FREQ=Y&amp;VAR:RELITEM=&amp;VAR:CURRENCY=&amp;VAR:CURRSOURCE=EXSHARE&amp;V","AR:NATFREQ=ANNUAL&amp;VAR:RFIELD=FINALIZED&amp;VAR:DB_TYPE=&amp;VAR:UNITS=M&amp;window=popup&amp;width=450&amp;height=300&amp;START_MAXIMIZED=FALSE"}</definedName>
    <definedName name="_131__FDSAUDITLINK__" hidden="1">{"fdsup://IBCentral/FAT Viewer?action=UPDATE&amp;creator=factset&amp;DOC_NAME=fat:reuters_annual_source_window.fat&amp;display_string=Audit&amp;DYN_ARGS=TRUE&amp;VAR:ID1=05774110&amp;VAR:RCODE=EBITDA&amp;VAR:SDATE=20071299&amp;VAR:FREQ=Y&amp;VAR:RELITEM=&amp;VAR:CURRENCY=&amp;VAR:CURRSOURCE=EXSHARE&amp;V","AR:NATFREQ=ANNUAL&amp;VAR:RFIELD=FINALIZED&amp;VAR:DB_TYPE=&amp;VAR:UNITS=M&amp;window=popup&amp;width=450&amp;height=300&amp;START_MAXIMIZED=FALSE"}</definedName>
    <definedName name="_132__FDSAUDITLINK__" hidden="1">{"fdsup://IBCentral/FAT Viewer?action=UPDATE&amp;creator=factset&amp;DOC_NAME=fat:reuters_annual_source_window.fat&amp;display_string=Audit&amp;DYN_ARGS=TRUE&amp;VAR:ID1=045796&amp;VAR:RCODE=EBITDA&amp;VAR:SDATE=20071299&amp;VAR:FREQ=Y&amp;VAR:RELITEM=&amp;VAR:CURRENCY=&amp;VAR:CURRSOURCE=EXSHARE&amp;VAR",":NATFREQ=ANNUAL&amp;VAR:RFIELD=FINALIZED&amp;VAR:DB_TYPE=&amp;VAR:UNITS=M&amp;window=popup&amp;width=450&amp;height=300&amp;START_MAXIMIZED=FALSE"}</definedName>
    <definedName name="_133__FDSAUDITLINK__" hidden="1">{"fdsup://IBCentral/FAT Viewer?action=UPDATE&amp;creator=factset&amp;DOC_NAME=fat:reuters_annual_source_window.fat&amp;display_string=Audit&amp;DYN_ARGS=TRUE&amp;VAR:ID1=45167R10&amp;VAR:RCODE=EBITDA&amp;VAR:SDATE=20071299&amp;VAR:FREQ=Y&amp;VAR:RELITEM=&amp;VAR:CURRENCY=&amp;VAR:CURRSOURCE=EXSHARE&amp;V","AR:NATFREQ=ANNUAL&amp;VAR:RFIELD=FINALIZED&amp;VAR:DB_TYPE=&amp;VAR:UNITS=M&amp;window=popup&amp;width=450&amp;height=300&amp;START_MAXIMIZED=FALSE"}</definedName>
    <definedName name="_134__FDSAUDITLINK__" hidden="1">{"fdsup://IBCentral/FAT Viewer?action=UPDATE&amp;creator=factset&amp;DOC_NAME=fat:reuters_annual_source_window.fat&amp;display_string=Audit&amp;DYN_ARGS=TRUE&amp;VAR:ID1=96332010&amp;VAR:RCODE=EBITDA&amp;VAR:SDATE=20071299&amp;VAR:FREQ=Y&amp;VAR:RELITEM=RP&amp;VAR:CURRENCY=&amp;VAR:CURRSOURCE=EXSHARE","&amp;VAR:NATFREQ=ANNUAL&amp;VAR:RFIELD=FINALIZED&amp;VAR:DB_TYPE=&amp;VAR:UNITS=M&amp;window=popup&amp;width=450&amp;height=300&amp;START_MAXIMIZED=FALSE"}</definedName>
    <definedName name="_135__FDSAUDITLINK__" hidden="1">{"fdsup://IBCentral/FAT Viewer?action=UPDATE&amp;creator=factset&amp;DOC_NAME=fat:reuters_annual_source_window.fat&amp;display_string=Audit&amp;DYN_ARGS=TRUE&amp;VAR:ID1=09179710&amp;VAR:RCODE=EBITDA&amp;VAR:SDATE=20071299&amp;VAR:FREQ=Y&amp;VAR:RELITEM=RP&amp;VAR:CURRENCY=&amp;VAR:CURRSOURCE=EXSHARE","&amp;VAR:NATFREQ=ANNUAL&amp;VAR:RFIELD=FINALIZED&amp;VAR:DB_TYPE=&amp;VAR:UNITS=M&amp;window=popup&amp;width=450&amp;height=300&amp;START_MAXIMIZED=FALSE"}</definedName>
    <definedName name="_136__FDSAUDITLINK__" hidden="1">{"fdsup://IBCentral/FAT Viewer?action=UPDATE&amp;creator=factset&amp;DOC_NAME=fat:reuters_annual_source_window.fat&amp;display_string=Audit&amp;DYN_ARGS=TRUE&amp;VAR:ID1=83303410&amp;VAR:RCODE=EBITDA&amp;VAR:SDATE=20071299&amp;VAR:FREQ=Y&amp;VAR:RELITEM=RP&amp;VAR:CURRENCY=&amp;VAR:CURRSOURCE=EXSHARE","&amp;VAR:NATFREQ=ANNUAL&amp;VAR:RFIELD=FINALIZED&amp;VAR:DB_TYPE=&amp;VAR:UNITS=M&amp;window=popup&amp;width=450&amp;height=300&amp;START_MAXIMIZED=FALSE"}</definedName>
    <definedName name="_137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138__FDSAUDITLINK__" hidden="1">{"fdsup://IBCentral/FAT Viewer?action=UPDATE&amp;creator=factset&amp;DOC_NAME=fat:reuters_annual_source_window.fat&amp;display_string=Audit&amp;DYN_ARGS=TRUE&amp;VAR:ID1=52610710&amp;VAR:RCODE=EBITDA&amp;VAR:SDATE=20071299&amp;VAR:FREQ=Y&amp;VAR:RELITEM=RP&amp;VAR:CURRENCY=&amp;VAR:CURRSOURCE=EXSHARE","&amp;VAR:NATFREQ=ANNUAL&amp;VAR:RFIELD=FINALIZED&amp;VAR:DB_TYPE=&amp;VAR:UNITS=M&amp;window=popup&amp;width=450&amp;height=300&amp;START_MAXIMIZED=FALSE"}</definedName>
    <definedName name="_139__FDSAUDITLINK__" hidden="1">{"fdsup://IBCentral/FAT Viewer?action=UPDATE&amp;creator=factset&amp;DOC_NAME=fat:reuters_annual_source_window.fat&amp;display_string=Audit&amp;DYN_ARGS=TRUE&amp;VAR:ID1=77390310&amp;VAR:RCODE=EBIT&amp;VAR:SDATE=20070999&amp;VAR:FREQ=Y&amp;VAR:RELITEM=RP&amp;VAR:CURRENCY=&amp;VAR:CURRSOURCE=EXSHARE&amp;V","AR:NATFREQ=ANNUAL&amp;VAR:RFIELD=FINALIZED&amp;VAR:DB_TYPE=&amp;VAR:UNITS=M&amp;window=popup&amp;width=450&amp;height=300&amp;START_MAXIMIZED=FALSE"}</definedName>
    <definedName name="_14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140__FDSAUDITLINK__" hidden="1">{"fdsup://IBCentral/FAT Viewer?action=UPDATE&amp;creator=factset&amp;DOC_NAME=fat:reuters_annual_source_window.fat&amp;display_string=Audit&amp;DYN_ARGS=TRUE&amp;VAR:ID1=29101110&amp;VAR:RCODE=EBIT&amp;VAR:SDATE=20070999&amp;VAR:FREQ=Y&amp;VAR:RELITEM=RP&amp;VAR:CURRENCY=&amp;VAR:CURRSOURCE=EXSHARE&amp;V","AR:NATFREQ=ANNUAL&amp;VAR:RFIELD=FINALIZED&amp;VAR:DB_TYPE=&amp;VAR:UNITS=M&amp;window=popup&amp;width=450&amp;height=300&amp;START_MAXIMIZED=FALSE"}</definedName>
    <definedName name="_141__FDSAUDITLINK__" hidden="1">{"fdsup://IBCentral/FAT Viewer?action=UPDATE&amp;creator=factset&amp;DOC_NAME=fat:reuters_annual_source_window.fat&amp;display_string=Audit&amp;DYN_ARGS=TRUE&amp;VAR:ID1=25468710&amp;VAR:RCODE=EBIT&amp;VAR:SDATE=20070999&amp;VAR:FREQ=Y&amp;VAR:RELITEM=RP&amp;VAR:CURRENCY=&amp;VAR:CURRSOURCE=EXSHARE&amp;V","AR:NATFREQ=ANNUAL&amp;VAR:RFIELD=FINALIZED&amp;VAR:DB_TYPE=&amp;VAR:UNITS=M&amp;window=popup&amp;width=450&amp;height=300&amp;START_MAXIMIZED=FALSE"}</definedName>
    <definedName name="_142__FDSAUDITLINK__" hidden="1">{"fdsup://IBCentral/FAT Viewer?action=UPDATE&amp;creator=factset&amp;DOC_NAME=fat:reuters_annual_source_window.fat&amp;display_string=Audit&amp;DYN_ARGS=TRUE&amp;VAR:ID1=92553P20&amp;VAR:RCODE=EBIT&amp;VAR:SDATE=20071299&amp;VAR:FREQ=Y&amp;VAR:RELITEM=RP&amp;VAR:CURRENCY=&amp;VAR:CURRSOURCE=EXSHARE&amp;V","AR:NATFREQ=ANNUAL&amp;VAR:RFIELD=FINALIZED&amp;VAR:DB_TYPE=&amp;VAR:UNITS=M&amp;window=popup&amp;width=450&amp;height=300&amp;START_MAXIMIZED=FALSE"}</definedName>
    <definedName name="_143__FDSAUDITLINK__" hidden="1">{"fdsup://IBCentral/FAT Viewer?action=UPDATE&amp;creator=factset&amp;DOC_NAME=fat:reuters_annual_source_window.fat&amp;display_string=Audit&amp;DYN_ARGS=TRUE&amp;VAR:ID1=88731710&amp;VAR:RCODE=EBIT&amp;VAR:SDATE=20071299&amp;VAR:FREQ=Y&amp;VAR:RELITEM=RP&amp;VAR:CURRENCY=&amp;VAR:CURRSOURCE=EXSHARE&amp;V","AR:NATFREQ=ANNUAL&amp;VAR:RFIELD=FINALIZED&amp;VAR:DB_TYPE=&amp;VAR:UNITS=M&amp;window=popup&amp;width=450&amp;height=300&amp;START_MAXIMIZED=FALSE"}</definedName>
    <definedName name="_144__FDSAUDITLINK__" hidden="1">{"fdsup://IBCentral/FAT Viewer?action=UPDATE&amp;creator=factset&amp;DOC_NAME=fat:reuters_annual_source_window.fat&amp;display_string=Audit&amp;DYN_ARGS=TRUE&amp;VAR:ID1=65248E10&amp;VAR:RCODE=EBIT&amp;VAR:SDATE=20070699&amp;VAR:FREQ=Y&amp;VAR:RELITEM=RP&amp;VAR:CURRENCY=&amp;VAR:CURRSOURCE=EXSHARE&amp;V","AR:NATFREQ=ANNUAL&amp;VAR:RFIELD=FINALIZED&amp;VAR:DB_TYPE=&amp;VAR:UNITS=M&amp;window=popup&amp;width=450&amp;height=300&amp;START_MAXIMIZED=FALSE"}</definedName>
    <definedName name="_145__FDSAUDITLINK__" hidden="1">{"fdsup://IBCentral/FAT Viewer?action=UPDATE&amp;creator=factset&amp;DOC_NAME=fat:reuters_annual_source_window.fat&amp;display_string=Audit&amp;DYN_ARGS=TRUE&amp;VAR:ID1=00282410&amp;VAR:RCODE=EBIT&amp;VAR:SDATE=20071299&amp;VAR:FREQ=Y&amp;VAR:RELITEM=RP&amp;VAR:CURRENCY=&amp;VAR:CURRSOURCE=EXSHARE&amp;V","AR:NATFREQ=ANNUAL&amp;VAR:RFIELD=FINALIZED&amp;VAR:DB_TYPE=&amp;VAR:UNITS=M&amp;window=popup&amp;width=450&amp;height=300&amp;START_MAXIMIZED=FALSE"}</definedName>
    <definedName name="_146__FDSAUDITLINK__" hidden="1">{"fdsup://IBCentral/FAT Viewer?action=UPDATE&amp;creator=factset&amp;DOC_NAME=fat:reuters_annual_source_window.fat&amp;display_string=Audit&amp;DYN_ARGS=TRUE&amp;VAR:ID1=07581110&amp;VAR:RCODE=EBIT&amp;VAR:SDATE=20071299&amp;VAR:FREQ=Y&amp;VAR:RELITEM=RP&amp;VAR:CURRENCY=&amp;VAR:CURRSOURCE=EXSHARE&amp;V","AR:NATFREQ=ANNUAL&amp;VAR:RFIELD=FINALIZED&amp;VAR:DB_TYPE=&amp;VAR:UNITS=M&amp;window=popup&amp;width=450&amp;height=300&amp;START_MAXIMIZED=FALSE"}</definedName>
    <definedName name="_147__FDSAUDITLINK__" hidden="1">{"fdsup://IBCentral/FAT Viewer?action=UPDATE&amp;creator=factset&amp;DOC_NAME=fat:reuters_annual_source_window.fat&amp;display_string=Audit&amp;DYN_ARGS=TRUE&amp;VAR:ID1=07588710&amp;VAR:RCODE=EBIT&amp;VAR:SDATE=20070999&amp;VAR:FREQ=Y&amp;VAR:RELITEM=RP&amp;VAR:CURRENCY=&amp;VAR:CURRSOURCE=EXSHARE&amp;V","AR:NATFREQ=ANNUAL&amp;VAR:RFIELD=FINALIZED&amp;VAR:DB_TYPE=&amp;VAR:UNITS=M&amp;window=popup&amp;width=450&amp;height=300&amp;START_MAXIMIZED=FALSE"}</definedName>
    <definedName name="_148__FDSAUDITLINK__" hidden="1">{"fdsup://IBCentral/FAT Viewer?action=UPDATE&amp;creator=factset&amp;DOC_NAME=fat:reuters_annual_source_window.fat&amp;display_string=Audit&amp;DYN_ARGS=TRUE&amp;VAR:ID1=00846U10&amp;VAR:RCODE=EBIT&amp;VAR:SDATE=20071099&amp;VAR:FREQ=Y&amp;VAR:RELITEM=RP&amp;VAR:CURRENCY=&amp;VAR:CURRSOURCE=EXSHARE&amp;V","AR:NATFREQ=ANNUAL&amp;VAR:RFIELD=FINALIZED&amp;VAR:DB_TYPE=&amp;VAR:UNITS=M&amp;window=popup&amp;width=450&amp;height=300&amp;START_MAXIMIZED=FALSE"}</definedName>
    <definedName name="_149__FDSAUDITLINK__" hidden="1">{"fdsup://IBCentral/FAT Viewer?action=UPDATE&amp;creator=factset&amp;DOC_NAME=fat:reuters_annual_source_window.fat&amp;display_string=Audit&amp;DYN_ARGS=TRUE&amp;VAR:ID1=58505510&amp;VAR:RCODE=EBIT&amp;VAR:SDATE=20080499&amp;VAR:FREQ=Y&amp;VAR:RELITEM=RP&amp;VAR:CURRENCY=&amp;VAR:CURRSOURCE=EXSHARE&amp;V","AR:NATFREQ=ANNUAL&amp;VAR:RFIELD=FINALIZED&amp;VAR:DB_TYPE=&amp;VAR:UNITS=M&amp;window=popup&amp;width=450&amp;height=300&amp;START_MAXIMIZED=FALSE"}</definedName>
    <definedName name="_15__FDSAUDITLINK__" hidden="1">{"fdsup://IBCentral/FAT Viewer?action=UPDATE&amp;creator=factset&amp;DOC_NAME=fat:reuters_annual_source_window.fat&amp;display_string=Audit&amp;DYN_ARGS=TRUE&amp;VAR:ID1=710889&amp;VAR:RCODE=EBITDA&amp;VAR:SDATE=20071299&amp;VAR:FREQ=Y&amp;VAR:RELITEM=&amp;VAR:CURRENCY=&amp;VAR:CURRSOURCE=EXSHARE&amp;VAR",":NATFREQ=ANNUAL&amp;VAR:RFIELD=FINALIZED&amp;VAR:DB_TYPE=&amp;VAR:UNITS=M&amp;window=popup&amp;width=450&amp;height=300&amp;START_MAXIMIZED=FALSE"}</definedName>
    <definedName name="_150__FDSAUDITLINK__" hidden="1">{"fdsup://IBCentral/FAT Viewer?action=UPDATE&amp;creator=factset&amp;DOC_NAME=fat:reuters_annual_source_window.fat&amp;display_string=Audit&amp;DYN_ARGS=TRUE&amp;VAR:ID1=88355610&amp;VAR:RCODE=EBIT&amp;VAR:SDATE=20071299&amp;VAR:FREQ=Y&amp;VAR:RELITEM=RP&amp;VAR:CURRENCY=&amp;VAR:CURRSOURCE=EXSHARE&amp;V","AR:NATFREQ=ANNUAL&amp;VAR:RFIELD=FINALIZED&amp;VAR:DB_TYPE=&amp;VAR:UNITS=M&amp;window=popup&amp;width=450&amp;height=300&amp;START_MAXIMIZED=FALSE"}</definedName>
    <definedName name="_151__FDSAUDITLINK__" hidden="1">{"fdsup://IBCentral/FAT Viewer?action=UPDATE&amp;creator=factset&amp;DOC_NAME=fat:reuters_annual_source_window.fat&amp;display_string=Audit&amp;DYN_ARGS=TRUE&amp;VAR:ID1=10113710&amp;VAR:RCODE=EBIT&amp;VAR:SDATE=20071299&amp;VAR:FREQ=Y&amp;VAR:RELITEM=RP&amp;VAR:CURRENCY=&amp;VAR:CURRSOURCE=EXSHARE&amp;V","AR:NATFREQ=ANNUAL&amp;VAR:RFIELD=FINALIZED&amp;VAR:DB_TYPE=&amp;VAR:UNITS=M&amp;window=popup&amp;width=450&amp;height=300&amp;START_MAXIMIZED=FALSE"}</definedName>
    <definedName name="_152__FDSAUDITLINK__" hidden="1">{"fdsup://IBCentral/FAT Viewer?action=UPDATE&amp;creator=factset&amp;DOC_NAME=fat:reuters_annual_source_window.fat&amp;display_string=Audit&amp;DYN_ARGS=TRUE&amp;VAR:ID1=47816010&amp;VAR:RCODE=EBIT&amp;VAR:SDATE=20071299&amp;VAR:FREQ=Y&amp;VAR:RELITEM=RP&amp;VAR:CURRENCY=&amp;VAR:CURRSOURCE=EXSHARE&amp;V","AR:NATFREQ=ANNUAL&amp;VAR:RFIELD=FINALIZED&amp;VAR:DB_TYPE=&amp;VAR:UNITS=M&amp;window=popup&amp;width=450&amp;height=300&amp;START_MAXIMIZED=FALSE"}</definedName>
    <definedName name="_153__FDSAUDITLINK__" hidden="1">{"fdsup://IBCentral/FAT Viewer?action=UPDATE&amp;creator=factset&amp;DOC_NAME=fat:reuters_annual_source_window.fat&amp;display_string=Audit&amp;DYN_ARGS=TRUE&amp;VAR:ID1=78463510&amp;VAR:RCODE=EBIT&amp;VAR:SDATE=20071299&amp;VAR:FREQ=Y&amp;VAR:RELITEM=RP&amp;VAR:CURRENCY=&amp;VAR:CURRSOURCE=EXSHARE&amp;V","AR:NATFREQ=ANNUAL&amp;VAR:RFIELD=FINALIZED&amp;VAR:DB_TYPE=&amp;VAR:UNITS=M&amp;window=popup&amp;width=450&amp;height=300&amp;START_MAXIMIZED=FALSE"}</definedName>
    <definedName name="_154__FDSAUDITLINK__" hidden="1">{"fdsup://IBCentral/FAT Viewer?action=UPDATE&amp;creator=factset&amp;DOC_NAME=fat:reuters_annual_source_window.fat&amp;display_string=Audit&amp;DYN_ARGS=TRUE&amp;VAR:ID1=572797&amp;VAR:RCODE=EBIT&amp;VAR:SDATE=20070999&amp;VAR:FREQ=Y&amp;VAR:RELITEM=RP&amp;VAR:CURRENCY=&amp;VAR:CURRSOURCE=EXSHARE&amp;VAR",":NATFREQ=ANNUAL&amp;VAR:RFIELD=FINALIZED&amp;VAR:DB_TYPE=&amp;VAR:UNITS=M&amp;window=popup&amp;width=450&amp;height=300&amp;START_MAXIMIZED=FALSE"}</definedName>
    <definedName name="_155__FDSAUDITLINK__" hidden="1">{"fdsup://IBCentral/FAT Viewer?action=UPDATE&amp;creator=factset&amp;DOC_NAME=fat:reuters_annual_source_window.fat&amp;display_string=Audit&amp;DYN_ARGS=TRUE&amp;VAR:ID1=62985Q10&amp;VAR:RCODE=EBIT&amp;VAR:SDATE=20071299&amp;VAR:FREQ=Y&amp;VAR:RELITEM=RP&amp;VAR:CURRENCY=&amp;VAR:CURRSOURCE=EXSHARE&amp;V","AR:NATFREQ=ANNUAL&amp;VAR:RFIELD=FINALIZED&amp;VAR:DB_TYPE=&amp;VAR:UNITS=M&amp;window=popup&amp;width=450&amp;height=300&amp;START_MAXIMIZED=FALSE"}</definedName>
    <definedName name="_156__FDSAUDITLINK__" hidden="1">{"fdsup://IBCentral/FAT Viewer?action=UPDATE&amp;creator=factset&amp;DOC_NAME=fat:reuters_annual_source_window.fat&amp;display_string=Audit&amp;DYN_ARGS=TRUE&amp;VAR:ID1=B0DJ8Q&amp;VAR:RCODE=EBIT&amp;VAR:SDATE=20080399&amp;VAR:FREQ=Y&amp;VAR:RELITEM=RP&amp;VAR:CURRENCY=&amp;VAR:CURRSOURCE=EXSHARE&amp;VAR",":NATFREQ=ANNUAL&amp;VAR:RFIELD=FINALIZED&amp;VAR:DB_TYPE=&amp;VAR:UNITS=M&amp;window=popup&amp;width=450&amp;height=300&amp;START_MAXIMIZED=FALSE"}</definedName>
    <definedName name="_157__FDSAUDITLINK__" hidden="1">{"fdsup://IBCentral/FAT Viewer?action=UPDATE&amp;creator=factset&amp;DOC_NAME=fat:reuters_annual_source_window.fat&amp;display_string=Audit&amp;DYN_ARGS=TRUE&amp;VAR:ID1=210972&amp;VAR:RCODE=EBIT&amp;VAR:SDATE=20080199&amp;VAR:FREQ=Y&amp;VAR:RELITEM=RP&amp;VAR:CURRENCY=&amp;VAR:CURRSOURCE=EXSHARE&amp;VAR",":NATFREQ=ANNUAL&amp;VAR:RFIELD=FINALIZED&amp;VAR:DB_TYPE=&amp;VAR:UNITS=M&amp;window=popup&amp;width=450&amp;height=300&amp;START_MAXIMIZED=FALSE"}</definedName>
    <definedName name="_158__FDSAUDITLINK__" hidden="1">{"fdsup://IBCentral/FAT Viewer?action=UPDATE&amp;creator=factset&amp;DOC_NAME=fat:reuters_annual_source_window.fat&amp;display_string=Audit&amp;DYN_ARGS=TRUE&amp;VAR:ID1=G9508910&amp;VAR:RCODE=EBIT&amp;VAR:SDATE=20071299&amp;VAR:FREQ=Y&amp;VAR:RELITEM=RP&amp;VAR:CURRENCY=&amp;VAR:CURRSOURCE=EXSHARE&amp;V","AR:NATFREQ=ANNUAL&amp;VAR:RFIELD=FINALIZED&amp;VAR:DB_TYPE=&amp;VAR:UNITS=M&amp;window=popup&amp;width=450&amp;height=300&amp;START_MAXIMIZED=FALSE"}</definedName>
    <definedName name="_159__FDSAUDITLINK__" hidden="1">{"fdsup://IBCentral/FAT Viewer?action=UPDATE&amp;creator=factset&amp;DOC_NAME=fat:reuters_annual_source_window.fat&amp;display_string=Audit&amp;DYN_ARGS=TRUE&amp;VAR:ID1=63707110&amp;VAR:RCODE=EBIT&amp;VAR:SDATE=20071299&amp;VAR:FREQ=Y&amp;VAR:RELITEM=RP&amp;VAR:CURRENCY=&amp;VAR:CURRSOURCE=EXSHARE&amp;V","AR:NATFREQ=ANNUAL&amp;VAR:RFIELD=FINALIZED&amp;VAR:DB_TYPE=&amp;VAR:UNITS=M&amp;window=popup&amp;width=450&amp;height=300&amp;START_MAXIMIZED=FALSE"}</definedName>
    <definedName name="_16__FDSAUDITLINK__" hidden="1">{"fdsup://IBCentral/FAT Viewer?action=UPDATE&amp;creator=factset&amp;DOC_NAME=fat:reuters_annual_source_window.fat&amp;display_string=Audit&amp;DYN_ARGS=TRUE&amp;VAR:ID1=87264S10&amp;VAR:RCODE=EBITDA&amp;VAR:SDATE=20071299&amp;VAR:FREQ=Y&amp;VAR:RELITEM=RP&amp;VAR:CURRENCY=&amp;VAR:CURRSOURCE=EXSHARE","&amp;VAR:NATFREQ=ANNUAL&amp;VAR:RFIELD=FINALIZED&amp;VAR:DB_TYPE=&amp;VAR:UNITS=M&amp;window=popup&amp;width=450&amp;height=300&amp;START_MAXIMIZED=FALSE"}</definedName>
    <definedName name="_160__FDSAUDITLINK__" hidden="1">{"fdsup://IBCentral/FAT Viewer?action=UPDATE&amp;creator=factset&amp;DOC_NAME=fat:reuters_annual_source_window.fat&amp;display_string=Audit&amp;DYN_ARGS=TRUE&amp;VAR:ID1=26160810&amp;VAR:RCODE=EBIT&amp;VAR:SDATE=20071299&amp;VAR:FREQ=Y&amp;VAR:RELITEM=RP&amp;VAR:CURRENCY=&amp;VAR:CURRSOURCE=EXSHARE&amp;V","AR:NATFREQ=ANNUAL&amp;VAR:RFIELD=FINALIZED&amp;VAR:DB_TYPE=&amp;VAR:UNITS=M&amp;window=popup&amp;width=450&amp;height=300&amp;START_MAXIMIZED=FALSE"}</definedName>
    <definedName name="_161__FDSAUDITLINK__" hidden="1">{"fdsup://IBCentral/FAT Viewer?action=UPDATE&amp;creator=factset&amp;DOC_NAME=fat:reuters_annual_source_window.fat&amp;display_string=Audit&amp;DYN_ARGS=TRUE&amp;VAR:ID1=13342B10&amp;VAR:RCODE=EBIT&amp;VAR:SDATE=20071299&amp;VAR:FREQ=Y&amp;VAR:RELITEM=RP&amp;VAR:CURRENCY=&amp;VAR:CURRSOURCE=EXSHARE&amp;V","AR:NATFREQ=ANNUAL&amp;VAR:RFIELD=FINALIZED&amp;VAR:DB_TYPE=&amp;VAR:UNITS=M&amp;window=popup&amp;width=450&amp;height=300&amp;START_MAXIMIZED=FALSE"}</definedName>
    <definedName name="_162__FDSAUDITLINK__" hidden="1">{"fdsup://IBCentral/FAT Viewer?action=UPDATE&amp;creator=factset&amp;DOC_NAME=fat:reuters_annual_source_window.fat&amp;display_string=Audit&amp;DYN_ARGS=TRUE&amp;VAR:ID1=596465&amp;VAR:RCODE=EBIT&amp;VAR:SDATE=20071299&amp;VAR:FREQ=Y&amp;VAR:RELITEM=RP&amp;VAR:CURRENCY=&amp;VAR:CURRSOURCE=EXSHARE&amp;VAR",":NATFREQ=ANNUAL&amp;VAR:RFIELD=FINALIZED&amp;VAR:DB_TYPE=&amp;VAR:UNITS=M&amp;window=popup&amp;width=450&amp;height=300&amp;START_MAXIMIZED=FALSE"}</definedName>
    <definedName name="_163__FDSAUDITLINK__" hidden="1">{"fdsup://IBCentral/FAT Viewer?action=UPDATE&amp;creator=factset&amp;DOC_NAME=fat:reuters_annual_source_window.fat&amp;display_string=Audit&amp;DYN_ARGS=TRUE&amp;VAR:ID1=B0DJ8Q&amp;VAR:RCODE=EBIT&amp;VAR:SDATE=20080399&amp;VAR:FREQ=Y&amp;VAR:RELITEM=RP&amp;VAR:CURRENCY=&amp;VAR:CURRSOURCE=EXSHARE&amp;VAR",":NATFREQ=ANNUAL&amp;VAR:RFIELD=FINALIZED&amp;VAR:DB_TYPE=&amp;VAR:UNITS=M&amp;window=popup&amp;width=450&amp;height=300&amp;START_MAXIMIZED=FALSE"}</definedName>
    <definedName name="_164__FDSAUDITLINK__" hidden="1">{"fdsup://IBCentral/FAT Viewer?action=UPDATE&amp;creator=factset&amp;DOC_NAME=fat:reuters_annual_source_window.fat&amp;display_string=Audit&amp;DYN_ARGS=TRUE&amp;VAR:ID1=710889&amp;VAR:RCODE=EBIT&amp;VAR:SDATE=20071299&amp;VAR:FREQ=Y&amp;VAR:RELITEM=RP&amp;VAR:CURRENCY=&amp;VAR:CURRSOURCE=EXSHARE&amp;VAR",":NATFREQ=ANNUAL&amp;VAR:RFIELD=FINALIZED&amp;VAR:DB_TYPE=&amp;VAR:UNITS=M&amp;window=popup&amp;width=450&amp;height=300&amp;START_MAXIMIZED=FALSE"}</definedName>
    <definedName name="_165__FDSAUDITLINK__" hidden="1">{"fdsup://IBCentral/FAT Viewer?action=UPDATE&amp;creator=factset&amp;DOC_NAME=fat:reuters_annual_source_window.fat&amp;display_string=Audit&amp;DYN_ARGS=TRUE&amp;VAR:ID1=86694210&amp;VAR:RCODE=EBITDA&amp;VAR:SDATE=20071299&amp;VAR:FREQ=Y&amp;VAR:RELITEM=RP&amp;VAR:CURRENCY=&amp;VAR:CURRSOURCE=EXSHARE","&amp;VAR:NATFREQ=ANNUAL&amp;VAR:RFIELD=FINALIZED&amp;VAR:DB_TYPE=&amp;VAR:UNITS=M&amp;window=popup&amp;width=450&amp;height=300&amp;START_MAXIMIZED=FALSE"}</definedName>
    <definedName name="_166__FDSAUDITLINK__" hidden="1">{"fdsup://IBCentral/FAT Viewer?action=UPDATE&amp;creator=factset&amp;DOC_NAME=fat:reuters_annual_source_window.fat&amp;display_string=Audit&amp;DYN_ARGS=TRUE&amp;VAR:ID1=38308210&amp;VAR:RCODE=EBITDA&amp;VAR:SDATE=20071299&amp;VAR:FREQ=Y&amp;VAR:RELITEM=RP&amp;VAR:CURRENCY=&amp;VAR:CURRSOURCE=EXSHARE","&amp;VAR:NATFREQ=ANNUAL&amp;VAR:RFIELD=FINALIZED&amp;VAR:DB_TYPE=&amp;VAR:UNITS=M&amp;window=popup&amp;width=450&amp;height=300&amp;START_MAXIMIZED=FALSE"}</definedName>
    <definedName name="_167__FDSAUDITLINK__" hidden="1">{"fdsup://IBCentral/FAT Viewer?action=UPDATE&amp;creator=factset&amp;DOC_NAME=fat:reuters_annual_source_window.fat&amp;display_string=Audit&amp;DYN_ARGS=TRUE&amp;VAR:ID1=62985Q10&amp;VAR:RCODE=EBITDA&amp;VAR:SDATE=20071299&amp;VAR:FREQ=Y&amp;VAR:RELITEM=RP&amp;VAR:CURRENCY=&amp;VAR:CURRSOURCE=EXSHARE","&amp;VAR:NATFREQ=ANNUAL&amp;VAR:RFIELD=FINALIZED&amp;VAR:DB_TYPE=&amp;VAR:UNITS=M&amp;window=popup&amp;width=450&amp;height=300&amp;START_MAXIMIZED=FALSE"}</definedName>
    <definedName name="_168__FDSAUDITLINK__" hidden="1">{"fdsup://IBCentral/FAT Viewer?action=UPDATE&amp;creator=factset&amp;DOC_NAME=fat:reuters_annual_source_window.fat&amp;display_string=Audit&amp;DYN_ARGS=TRUE&amp;VAR:ID1=38410910&amp;VAR:RCODE=EBITDA&amp;VAR:SDATE=20071299&amp;VAR:FREQ=Y&amp;VAR:RELITEM=RP&amp;VAR:CURRENCY=&amp;VAR:CURRSOURCE=EXSHARE","&amp;VAR:NATFREQ=ANNUAL&amp;VAR:RFIELD=FINALIZED&amp;VAR:DB_TYPE=&amp;VAR:UNITS=M&amp;window=popup&amp;width=450&amp;height=300&amp;START_MAXIMIZED=FALSE"}</definedName>
    <definedName name="_169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17__FDSAUDITLINK__" hidden="1">{"fdsup://IBCentral/FAT Viewer?action=UPDATE&amp;creator=factset&amp;DOC_NAME=fat:reuters_annual_source_window.fat&amp;display_string=Audit&amp;DYN_ARGS=TRUE&amp;VAR:ID1=04335310&amp;VAR:RCODE=EBITDA&amp;VAR:SDATE=20070999&amp;VAR:FREQ=Y&amp;VAR:RELITEM=RP&amp;VAR:CURRENCY=&amp;VAR:CURRSOURCE=EXSHARE","&amp;VAR:NATFREQ=ANNUAL&amp;VAR:RFIELD=FINALIZED&amp;VAR:DB_TYPE=&amp;VAR:UNITS=M&amp;window=popup&amp;width=450&amp;height=300&amp;START_MAXIMIZED=FALSE"}</definedName>
    <definedName name="_170__FDSAUDITLINK__" hidden="1">{"fdsup://IBCentral/FAT Viewer?action=UPDATE&amp;creator=factset&amp;DOC_NAME=fat:reuters_annual_source_window.fat&amp;display_string=Audit&amp;DYN_ARGS=TRUE&amp;VAR:ID1=45167R10&amp;VAR:RCODE=EBITDA&amp;VAR:SDATE=20071299&amp;VAR:FREQ=Y&amp;VAR:RELITEM=RP&amp;VAR:CURRENCY=&amp;VAR:CURRSOURCE=EXSHARE","&amp;VAR:NATFREQ=ANNUAL&amp;VAR:RFIELD=FINALIZED&amp;VAR:DB_TYPE=&amp;VAR:UNITS=M&amp;window=popup&amp;width=450&amp;height=300&amp;START_MAXIMIZED=FALSE"}</definedName>
    <definedName name="_171__FDSAUDITLINK__" hidden="1">{"fdsup://IBCentral/FAT Viewer?action=UPDATE&amp;creator=factset&amp;DOC_NAME=fat:reuters_annual_source_window.fat&amp;display_string=Audit&amp;DYN_ARGS=TRUE&amp;VAR:ID1=77390310&amp;VAR:RCODE=EBITDA&amp;VAR:SDATE=20070999&amp;VAR:FREQ=Y&amp;VAR:RELITEM=RP&amp;VAR:CURRENCY=&amp;VAR:CURRSOURCE=EXSHARE","&amp;VAR:NATFREQ=ANNUAL&amp;VAR:RFIELD=FINALIZED&amp;VAR:DB_TYPE=&amp;VAR:UNITS=M&amp;window=popup&amp;width=450&amp;height=300&amp;START_MAXIMIZED=FALSE"}</definedName>
    <definedName name="_172__FDSAUDITLINK__" hidden="1">{"fdsup://IBCentral/FAT Viewer?action=UPDATE&amp;creator=factset&amp;DOC_NAME=fat:reuters_annual_source_window.fat&amp;display_string=Audit&amp;DYN_ARGS=TRUE&amp;VAR:ID1=77019610&amp;VAR:RCODE=EBITDA&amp;VAR:SDATE=20070899&amp;VAR:FREQ=Y&amp;VAR:RELITEM=RP&amp;VAR:CURRENCY=&amp;VAR:CURRSOURCE=EXSHARE","&amp;VAR:NATFREQ=ANNUAL&amp;VAR:RFIELD=FINALIZED&amp;VAR:DB_TYPE=&amp;VAR:UNITS=M&amp;window=popup&amp;width=450&amp;height=300&amp;START_MAXIMIZED=FALSE"}</definedName>
    <definedName name="_173__FDSAUDITLINK__" hidden="1">{"fdsup://IBCentral/FAT Viewer?action=UPDATE&amp;creator=factset&amp;DOC_NAME=fat:reuters_annual_source_window.fat&amp;display_string=Audit&amp;DYN_ARGS=TRUE&amp;VAR:ID1=045796&amp;VAR:RCODE=EBITDA&amp;VAR:SDATE=20071299&amp;VAR:FREQ=Y&amp;VAR:RELITEM=RP&amp;VAR:CURRENCY=&amp;VAR:CURRSOURCE=EXSHARE&amp;V","AR:NATFREQ=ANNUAL&amp;VAR:RFIELD=FINALIZED&amp;VAR:DB_TYPE=&amp;VAR:UNITS=M&amp;window=popup&amp;width=450&amp;height=300&amp;START_MAXIMIZED=FALSE"}</definedName>
    <definedName name="_174__FDSAUDITLINK__" hidden="1">{"fdsup://IBCentral/FAT Viewer?action=UPDATE&amp;creator=factset&amp;DOC_NAME=fat:reuters_annual_source_window.fat&amp;display_string=Audit&amp;DYN_ARGS=TRUE&amp;VAR:ID1=416279&amp;VAR:RCODE=EBITDA&amp;VAR:SDATE=20071299&amp;VAR:FREQ=Y&amp;VAR:RELITEM=RP&amp;VAR:CURRENCY=&amp;VAR:CURRSOURCE=EXSHARE&amp;V","AR:NATFREQ=ANNUAL&amp;VAR:RFIELD=FINALIZED&amp;VAR:DB_TYPE=&amp;VAR:UNITS=M&amp;window=popup&amp;width=450&amp;height=300&amp;START_MAXIMIZED=FALSE"}</definedName>
    <definedName name="_175__FDSAUDITLINK__" hidden="1">{"fdsup://IBCentral/FAT Viewer?action=UPDATE&amp;creator=factset&amp;DOC_NAME=fat:reuters_annual_source_window.fat&amp;display_string=Audit&amp;DYN_ARGS=TRUE&amp;VAR:ID1=34354P10&amp;VAR:RCODE=EBITDA&amp;VAR:SDATE=20071299&amp;VAR:FREQ=Y&amp;VAR:RELITEM=RP&amp;VAR:CURRENCY=&amp;VAR:CURRSOURCE=EXSHARE","&amp;VAR:NATFREQ=ANNUAL&amp;VAR:RFIELD=FINALIZED&amp;VAR:DB_TYPE=&amp;VAR:UNITS=M&amp;window=popup&amp;width=450&amp;height=300&amp;START_MAXIMIZED=FALSE"}</definedName>
    <definedName name="_176__FDSAUDITLINK__" hidden="1">{"fdsup://IBCentral/FAT Viewer?action=UPDATE&amp;creator=factset&amp;DOC_NAME=fat:reuters_annual_source_window.fat&amp;display_string=Audit&amp;DYN_ARGS=TRUE&amp;VAR:ID1=026349&amp;VAR:RCODE=EBITDA&amp;VAR:SDATE=20071299&amp;VAR:FREQ=Y&amp;VAR:RELITEM=RP&amp;VAR:CURRENCY=&amp;VAR:CURRSOURCE=EXSHARE&amp;V","AR:NATFREQ=ANNUAL&amp;VAR:RFIELD=FINALIZED&amp;VAR:DB_TYPE=&amp;VAR:UNITS=M&amp;window=popup&amp;width=450&amp;height=300&amp;START_MAXIMIZED=FALSE"}</definedName>
    <definedName name="_177__FDSAUDITLINK__" hidden="1">{"fdsup://IBCentral/FAT Viewer?action=UPDATE&amp;creator=factset&amp;DOC_NAME=fat:reuters_annual_source_window.fat&amp;display_string=Audit&amp;DYN_ARGS=TRUE&amp;VAR:ID1=53983010&amp;VAR:RCODE=EBITDA&amp;VAR:SDATE=20071299&amp;VAR:FREQ=Y&amp;VAR:RELITEM=RP&amp;VAR:CURRENCY=&amp;VAR:CURRSOURCE=EXSHARE","&amp;VAR:NATFREQ=ANNUAL&amp;VAR:RFIELD=FINALIZED&amp;VAR:DB_TYPE=&amp;VAR:UNITS=M&amp;window=popup&amp;width=450&amp;height=300&amp;START_MAXIMIZED=FALSE"}</definedName>
    <definedName name="_178__FDSAUDITLINK__" hidden="1">{"fdsup://IBCentral/FAT Viewer?action=UPDATE&amp;creator=factset&amp;DOC_NAME=fat:reuters_annual_source_window.fat&amp;display_string=Audit&amp;DYN_ARGS=TRUE&amp;VAR:ID1=75511150&amp;VAR:RCODE=EBITDA&amp;VAR:SDATE=20071299&amp;VAR:FREQ=Y&amp;VAR:RELITEM=RP&amp;VAR:CURRENCY=&amp;VAR:CURRSOURCE=EXSHARE","&amp;VAR:NATFREQ=ANNUAL&amp;VAR:RFIELD=FINALIZED&amp;VAR:DB_TYPE=&amp;VAR:UNITS=M&amp;window=popup&amp;width=450&amp;height=300&amp;START_MAXIMIZED=FALSE"}</definedName>
    <definedName name="_179__FDSAUDITLINK__" hidden="1">{"fdsup://IBCentral/FAT Viewer?action=UPDATE&amp;creator=factset&amp;DOC_NAME=fat:reuters_annual_source_window.fat&amp;display_string=Audit&amp;DYN_ARGS=TRUE&amp;VAR:ID1=88579Y10&amp;VAR:RCODE=EBITDA&amp;VAR:SDATE=20071299&amp;VAR:FREQ=Y&amp;VAR:RELITEM=&amp;VAR:CURRENCY=&amp;VAR:CURRSOURCE=EXSHARE&amp;V","AR:NATFREQ=ANNUAL&amp;VAR:RFIELD=FINALIZED&amp;VAR:DB_TYPE=&amp;VAR:UNITS=M&amp;window=popup&amp;width=450&amp;height=300&amp;START_MAXIMIZED=FALSE"}</definedName>
    <definedName name="_18__FDSAUDITLINK__" hidden="1">{"fdsup://IBCentral/FAT Viewer?action=UPDATE&amp;creator=factset&amp;DOC_NAME=fat:reuters_annual_source_window.fat&amp;display_string=Audit&amp;DYN_ARGS=TRUE&amp;VAR:ID1=664154&amp;VAR:RCODE=EBITDA&amp;VAR:SDATE=20080399&amp;VAR:FREQ=Y&amp;VAR:RELITEM=&amp;VAR:CURRENCY=&amp;VAR:CURRSOURCE=EXSHARE&amp;VAR",":NATFREQ=ANNUAL&amp;VAR:RFIELD=FINALIZED&amp;VAR:DB_TYPE=&amp;VAR:UNITS=M&amp;window=popup&amp;width=450&amp;height=300&amp;START_MAXIMIZED=FALSE"}</definedName>
    <definedName name="_180__FDSAUDITLINK__" hidden="1">{"fdsup://IBCentral/FAT Viewer?action=UPDATE&amp;creator=factset&amp;DOC_NAME=fat:reuters_annual_source_window.fat&amp;display_string=Audit&amp;DYN_ARGS=TRUE&amp;VAR:ID1=01265310&amp;VAR:RCODE=EBITDA&amp;VAR:SDATE=20071299&amp;VAR:FREQ=Y&amp;VAR:RELITEM=&amp;VAR:CURRENCY=&amp;VAR:CURRSOURCE=EXSHARE&amp;V","AR:NATFREQ=ANNUAL&amp;VAR:RFIELD=FINALIZED&amp;VAR:DB_TYPE=&amp;VAR:UNITS=M&amp;window=popup&amp;width=450&amp;height=300&amp;START_MAXIMIZED=FALSE"}</definedName>
    <definedName name="_181__FDSAUDITLINK__" hidden="1">{"fdsup://IBCentral/FAT Viewer?action=UPDATE&amp;creator=factset&amp;DOC_NAME=fat:reuters_annual_source_window.fat&amp;display_string=Audit&amp;DYN_ARGS=TRUE&amp;VAR:ID1=23282010&amp;VAR:RCODE=EBITDA&amp;VAR:SDATE=20071299&amp;VAR:FREQ=Y&amp;VAR:RELITEM=&amp;VAR:CURRENCY=&amp;VAR:CURRSOURCE=EXSHARE&amp;V","AR:NATFREQ=ANNUAL&amp;VAR:RFIELD=FINALIZED&amp;VAR:DB_TYPE=&amp;VAR:UNITS=M&amp;window=popup&amp;width=450&amp;height=300&amp;START_MAXIMIZED=FALSE"}</definedName>
    <definedName name="_182__FDSAUDITLINK__" hidden="1">{"fdsup://IBCentral/FAT Viewer?action=UPDATE&amp;creator=factset&amp;DOC_NAME=fat:reuters_annual_source_window.fat&amp;display_string=Audit&amp;DYN_ARGS=TRUE&amp;VAR:ID1=73179P10&amp;VAR:RCODE=EBITDA&amp;VAR:SDATE=20071299&amp;VAR:FREQ=Y&amp;VAR:RELITEM=&amp;VAR:CURRENCY=&amp;VAR:CURRSOURCE=EXSHARE&amp;V","AR:NATFREQ=ANNUAL&amp;VAR:RFIELD=FINALIZED&amp;VAR:DB_TYPE=&amp;VAR:UNITS=M&amp;window=popup&amp;width=450&amp;height=300&amp;START_MAXIMIZED=FALSE"}</definedName>
    <definedName name="_183__FDSAUDITLINK__" hidden="1">{"fdsup://IBCentral/FAT Viewer?action=UPDATE&amp;creator=factset&amp;DOC_NAME=fat:reuters_annual_source_window.fat&amp;display_string=Audit&amp;DYN_ARGS=TRUE&amp;VAR:ID1=26054310&amp;VAR:RCODE=EBITDA&amp;VAR:SDATE=20071299&amp;VAR:FREQ=Y&amp;VAR:RELITEM=&amp;VAR:CURRENCY=&amp;VAR:CURRSOURCE=EXSHARE&amp;V","AR:NATFREQ=ANNUAL&amp;VAR:RFIELD=FINALIZED&amp;VAR:DB_TYPE=&amp;VAR:UNITS=M&amp;window=popup&amp;width=450&amp;height=300&amp;START_MAXIMIZED=FALSE"}</definedName>
    <definedName name="_184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185__FDSAUDITLINK__" hidden="1">{"fdsup://IBCentral/FAT Viewer?action=UPDATE&amp;creator=factset&amp;DOC_NAME=fat:reuters_annual_source_window.fat&amp;display_string=Audit&amp;DYN_ARGS=TRUE&amp;VAR:ID1=41387510&amp;VAR:RCODE=EBITDA&amp;VAR:SDATE=20070699&amp;VAR:FREQ=Y&amp;VAR:RELITEM=RP&amp;VAR:CURRENCY=&amp;VAR:CURRSOURCE=EXSHARE","&amp;VAR:NATFREQ=ANNUAL&amp;VAR:RFIELD=FINALIZED&amp;VAR:DB_TYPE=&amp;VAR:UNITS=M&amp;window=popup&amp;width=450&amp;height=300&amp;START_MAXIMIZED=FALSE"}</definedName>
    <definedName name="_186__FDSAUDITLINK__" hidden="1">{"fdsup://IBCentral/FAT Viewer?action=UPDATE&amp;creator=factset&amp;DOC_NAME=fat:reuters_annual_source_window.fat&amp;display_string=Audit&amp;DYN_ARGS=TRUE&amp;VAR:ID1=09972410&amp;VAR:RCODE=EBITDA&amp;VAR:SDATE=20071299&amp;VAR:FREQ=Y&amp;VAR:RELITEM=&amp;VAR:CURRENCY=&amp;VAR:CURRSOURCE=EXSHARE&amp;V","AR:NATFREQ=ANNUAL&amp;VAR:RFIELD=FINALIZED&amp;VAR:DB_TYPE=&amp;VAR:UNITS=M&amp;window=popup&amp;width=450&amp;height=300&amp;START_MAXIMIZED=FALSE"}</definedName>
    <definedName name="_187__FDSAUDITLINK__" hidden="1">{"fdsup://IBCentral/FAT Viewer?action=UPDATE&amp;creator=factset&amp;DOC_NAME=fat:reuters_annual_source_window.fat&amp;display_string=Audit&amp;DYN_ARGS=TRUE&amp;VAR:ID1=710889&amp;VAR:RCODE=EBITDA&amp;VAR:SDATE=20071299&amp;VAR:FREQ=Y&amp;VAR:RELITEM=&amp;VAR:CURRENCY=&amp;VAR:CURRSOURCE=EXSHARE&amp;VAR",":NATFREQ=ANNUAL&amp;VAR:RFIELD=FINALIZED&amp;VAR:DB_TYPE=&amp;VAR:UNITS=M&amp;window=popup&amp;width=450&amp;height=300&amp;START_MAXIMIZED=FALSE"}</definedName>
    <definedName name="_188__FDSAUDITLINK__" hidden="1">{"fdsup://IBCentral/FAT Viewer?action=UPDATE&amp;creator=factset&amp;DOC_NAME=fat:reuters_annual_source_window.fat&amp;display_string=Audit&amp;DYN_ARGS=TRUE&amp;VAR:ID1=045796&amp;VAR:RCODE=EBITDA&amp;VAR:SDATE=20071299&amp;VAR:FREQ=Y&amp;VAR:RELITEM=&amp;VAR:CURRENCY=&amp;VAR:CURRSOURCE=EXSHARE&amp;VAR",":NATFREQ=ANNUAL&amp;VAR:RFIELD=FINALIZED&amp;VAR:DB_TYPE=&amp;VAR:UNITS=M&amp;window=popup&amp;width=450&amp;height=300&amp;START_MAXIMIZED=FALSE"}</definedName>
    <definedName name="_189__FDSAUDITLINK__" hidden="1">{"fdsup://IBCentral/FAT Viewer?action=UPDATE&amp;creator=factset&amp;DOC_NAME=fat:reuters_annual_source_window.fat&amp;display_string=Audit&amp;DYN_ARGS=TRUE&amp;VAR:ID1=G9143X20&amp;VAR:RCODE=EBITDA&amp;VAR:SDATE=20080999&amp;VAR:FREQ=Y&amp;VAR:RELITEM=&amp;VAR:CURRENCY=&amp;VAR:CURRSOURCE=EXSHARE&amp;V","AR:NATFREQ=ANNUAL&amp;VAR:RFIELD=FINALIZED&amp;VAR:DB_TYPE=&amp;VAR:UNITS=M&amp;window=popup&amp;width=450&amp;height=300&amp;START_MAXIMIZED=FALSE"}</definedName>
    <definedName name="_19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190__FDSAUDITLINK__" hidden="1">{"fdsup://IBCentral/FAT Viewer?action=UPDATE&amp;creator=factset&amp;DOC_NAME=fat:reuters_annual_source_window.fat&amp;display_string=Audit&amp;DYN_ARGS=TRUE&amp;VAR:ID1=98920710&amp;VAR:RCODE=EBITDA&amp;VAR:SDATE=20071299&amp;VAR:FREQ=Y&amp;VAR:RELITEM=&amp;VAR:CURRENCY=&amp;VAR:CURRSOURCE=EXSHARE&amp;V","AR:NATFREQ=ANNUAL&amp;VAR:RFIELD=FINALIZED&amp;VAR:DB_TYPE=&amp;VAR:UNITS=M&amp;window=popup&amp;width=450&amp;height=300&amp;START_MAXIMIZED=FALSE"}</definedName>
    <definedName name="_191__FDSAUDITLINK__" hidden="1">{"fdsup://IBCentral/FAT Viewer?action=UPDATE&amp;creator=factset&amp;DOC_NAME=fat:reuters_annual_source_window.fat&amp;display_string=Audit&amp;DYN_ARGS=TRUE&amp;VAR:ID1=B19DVX&amp;VAR:RCODE=EBITDA&amp;VAR:SDATE=20080399&amp;VAR:FREQ=Y&amp;VAR:RELITEM=&amp;VAR:CURRENCY=&amp;VAR:CURRSOURCE=EXSHARE&amp;VAR",":NATFREQ=ANNUAL&amp;VAR:RFIELD=FINALIZED&amp;VAR:DB_TYPE=&amp;VAR:UNITS=M&amp;window=popup&amp;width=450&amp;height=300&amp;START_MAXIMIZED=FALSE"}</definedName>
    <definedName name="_192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193__FDSAUDITLINK__" hidden="1">{"fdsup://IBCentral/FAT Viewer?action=UPDATE&amp;creator=factset&amp;DOC_NAME=fat:reuters_annual_source_window.fat&amp;display_string=Audit&amp;DYN_ARGS=TRUE&amp;VAR:ID1=77390310&amp;VAR:RCODE=EBITDA&amp;VAR:SDATE=20080999&amp;VAR:FREQ=Y&amp;VAR:RELITEM=&amp;VAR:CURRENCY=&amp;VAR:CURRSOURCE=EXSHARE&amp;V","AR:NATFREQ=ANNUAL&amp;VAR:RFIELD=FINALIZED&amp;VAR:DB_TYPE=&amp;VAR:UNITS=M&amp;window=popup&amp;width=450&amp;height=300&amp;START_MAXIMIZED=FALSE"}</definedName>
    <definedName name="_194__FDSAUDITLINK__" hidden="1">{"fdsup://IBCentral/FAT Viewer?action=UPDATE&amp;creator=factset&amp;DOC_NAME=fat:reuters_annual_source_window.fat&amp;display_string=Audit&amp;DYN_ARGS=TRUE&amp;VAR:ID1=416279&amp;VAR:RCODE=EBITDA&amp;VAR:SDATE=20071299&amp;VAR:FREQ=Y&amp;VAR:RELITEM=&amp;VAR:CURRENCY=&amp;VAR:CURRSOURCE=EXSHARE&amp;VAR",":NATFREQ=ANNUAL&amp;VAR:RFIELD=FINALIZED&amp;VAR:DB_TYPE=&amp;VAR:UNITS=M&amp;window=popup&amp;width=450&amp;height=300&amp;START_MAXIMIZED=FALSE"}</definedName>
    <definedName name="_195__FDSAUDITLINK__" hidden="1">{"fdsup://IBCentral/FAT Viewer?action=UPDATE&amp;creator=factset&amp;DOC_NAME=fat:reuters_annual_source_window.fat&amp;display_string=Audit&amp;DYN_ARGS=TRUE&amp;VAR:ID1=74018910&amp;VAR:RCODE=EBITDA&amp;VAR:SDATE=20080399&amp;VAR:FREQ=Y&amp;VAR:RELITEM=&amp;VAR:CURRENCY=&amp;VAR:CURRSOURCE=EXSHARE&amp;V","AR:NATFREQ=ANNUAL&amp;VAR:RFIELD=FINALIZED&amp;VAR:DB_TYPE=&amp;VAR:UNITS=M&amp;window=popup&amp;width=450&amp;height=300&amp;START_MAXIMIZED=FALSE"}</definedName>
    <definedName name="_196__FDSAUDITLINK__" hidden="1">{"fdsup://IBCentral/FAT Viewer?action=UPDATE&amp;creator=factset&amp;DOC_NAME=fat:reuters_annual_source_window.fat&amp;display_string=Audit&amp;DYN_ARGS=TRUE&amp;VAR:ID1=61539420&amp;VAR:RCODE=EBITDA&amp;VAR:SDATE=20080999&amp;VAR:FREQ=Y&amp;VAR:RELITEM=&amp;VAR:CURRENCY=&amp;VAR:CURRSOURCE=EXSHARE&amp;V","AR:NATFREQ=ANNUAL&amp;VAR:RFIELD=FINALIZED&amp;VAR:DB_TYPE=&amp;VAR:UNITS=M&amp;window=popup&amp;width=450&amp;height=300&amp;START_MAXIMIZED=FALSE"}</definedName>
    <definedName name="_197__FDSAUDITLINK__" hidden="1">{"fdsup://IBCentral/FAT Viewer?action=UPDATE&amp;creator=factset&amp;DOC_NAME=fat:reuters_annual_source_window.fat&amp;display_string=Audit&amp;DYN_ARGS=TRUE&amp;VAR:ID1=77434110&amp;VAR:RCODE=EBITDA&amp;VAR:SDATE=20080999&amp;VAR:FREQ=Y&amp;VAR:RELITEM=&amp;VAR:CURRENCY=&amp;VAR:CURRSOURCE=EXSHARE&amp;V","AR:NATFREQ=ANNUAL&amp;VAR:RFIELD=FINALIZED&amp;VAR:DB_TYPE=&amp;VAR:UNITS=M&amp;window=popup&amp;width=450&amp;height=300&amp;START_MAXIMIZED=FALSE"}</definedName>
    <definedName name="_198__FDSAUDITLINK__" hidden="1">{"fdsup://IBCentral/FAT Viewer?action=UPDATE&amp;creator=factset&amp;DOC_NAME=fat:reuters_annual_source_window.fat&amp;display_string=Audit&amp;DYN_ARGS=TRUE&amp;VAR:ID1=38238810&amp;VAR:RCODE=EBITDA&amp;VAR:SDATE=20071299&amp;VAR:FREQ=Y&amp;VAR:RELITEM=&amp;VAR:CURRENCY=&amp;VAR:CURRSOURCE=EXSHARE&amp;V","AR:NATFREQ=ANNUAL&amp;VAR:RFIELD=FINALIZED&amp;VAR:DB_TYPE=&amp;VAR:UNITS=M&amp;window=popup&amp;width=450&amp;height=300&amp;START_MAXIMIZED=FALSE"}</definedName>
    <definedName name="_199__FDSAUDITLINK__" hidden="1">{"fdsup://IBCentral/FAT Viewer?action=UPDATE&amp;creator=factset&amp;DOC_NAME=fat:reuters_annual_source_window.fat&amp;display_string=Audit&amp;DYN_ARGS=TRUE&amp;VAR:ID1=78354910&amp;VAR:RCODE=EBIT&amp;VAR:SDATE=20071299&amp;VAR:FREQ=Y&amp;VAR:RELITEM=RP&amp;VAR:CURRENCY=&amp;VAR:CURRSOURCE=EXSHARE&amp;V","AR:NATFREQ=ANNUAL&amp;VAR:RFIELD=FINALIZED&amp;VAR:DB_TYPE=&amp;VAR:UNITS=M&amp;window=popup&amp;width=450&amp;height=300&amp;START_MAXIMIZED=FALSE"}</definedName>
    <definedName name="_2__FDSAUDITLINK__" hidden="1">{"fdsup://IBCentral/FAT Viewer?action=UPDATE&amp;creator=factset&amp;DOC_NAME=fat:reuters_annual_source_window.fat&amp;display_string=Audit&amp;DYN_ARGS=TRUE&amp;VAR:ID1=09702310&amp;VAR:RCODE=EBITDA&amp;VAR:SDATE=20071299&amp;VAR:FREQ=Y&amp;VAR:RELITEM=RP&amp;VAR:CURRENCY=&amp;VAR:CURRSOURCE=EXSHARE","&amp;VAR:NATFREQ=ANNUAL&amp;VAR:RFIELD=FINALIZED&amp;VAR:DB_TYPE=&amp;VAR:UNITS=M&amp;window=popup&amp;width=450&amp;height=300&amp;START_MAXIMIZED=FALSE"}</definedName>
    <definedName name="_20__FDSAUDITLINK__" hidden="1">{"fdsup://IBCentral/FAT Viewer?action=UPDATE&amp;creator=factset&amp;DOC_NAME=fat:reuters_annual_source_window.fat&amp;display_string=Audit&amp;DYN_ARGS=TRUE&amp;VAR:ID1=09972410&amp;VAR:RCODE=EBITDA&amp;VAR:SDATE=20071299&amp;VAR:FREQ=Y&amp;VAR:RELITEM=RP&amp;VAR:CURRENCY=&amp;VAR:CURRSOURCE=EXSHARE","&amp;VAR:NATFREQ=ANNUAL&amp;VAR:RFIELD=FINALIZED&amp;VAR:DB_TYPE=&amp;VAR:UNITS=M&amp;window=popup&amp;width=450&amp;height=300&amp;START_MAXIMIZED=FALSE"}</definedName>
    <definedName name="_200__FDSAUDITLINK__" hidden="1">{"fdsup://IBCentral/FAT Viewer?action=UPDATE&amp;creator=factset&amp;DOC_NAME=fat:reuters_annual_source_window.fat&amp;display_string=Audit&amp;DYN_ARGS=TRUE&amp;VAR:ID1=85747710&amp;VAR:RCODE=EBIT&amp;VAR:SDATE=20071299&amp;VAR:FREQ=Y&amp;VAR:RELITEM=RP&amp;VAR:CURRENCY=&amp;VAR:CURRSOURCE=EXSHARE&amp;V","AR:NATFREQ=ANNUAL&amp;VAR:RFIELD=FINALIZED&amp;VAR:DB_TYPE=&amp;VAR:UNITS=M&amp;window=popup&amp;width=450&amp;height=300&amp;START_MAXIMIZED=FALSE"}</definedName>
    <definedName name="_201__FDSAUDITLINK__" hidden="1">{"fdsup://IBCentral/FAT Viewer?action=UPDATE&amp;creator=factset&amp;DOC_NAME=fat:reuters_annual_source_window.fat&amp;display_string=Audit&amp;DYN_ARGS=TRUE&amp;VAR:ID1=78442P10&amp;VAR:RCODE=EBIT&amp;VAR:SDATE=20071299&amp;VAR:FREQ=Y&amp;VAR:RELITEM=RP&amp;VAR:CURRENCY=&amp;VAR:CURRSOURCE=EXSHARE&amp;V","AR:NATFREQ=ANNUAL&amp;VAR:RFIELD=FINALIZED&amp;VAR:DB_TYPE=&amp;VAR:UNITS=M&amp;window=popup&amp;width=450&amp;height=300&amp;START_MAXIMIZED=FALSE"}</definedName>
    <definedName name="_202__FDSAUDITLINK__" hidden="1">{"fdsup://IBCentral/FAT Viewer?action=UPDATE&amp;creator=factset&amp;DOC_NAME=fat:reuters_annual_source_window.fat&amp;display_string=Audit&amp;DYN_ARGS=TRUE&amp;VAR:ID1=61744644&amp;VAR:RCODE=EBIT&amp;VAR:SDATE=20071199&amp;VAR:FREQ=Y&amp;VAR:RELITEM=RP&amp;VAR:CURRENCY=&amp;VAR:CURRSOURCE=EXSHARE&amp;V","AR:NATFREQ=ANNUAL&amp;VAR:RFIELD=FINALIZED&amp;VAR:DB_TYPE=&amp;VAR:UNITS=M&amp;window=popup&amp;width=450&amp;height=300&amp;START_MAXIMIZED=FALSE"}</definedName>
    <definedName name="_203__FDSAUDITLINK__" hidden="1">{"fdsup://IBCentral/FAT Viewer?action=UPDATE&amp;creator=factset&amp;DOC_NAME=fat:reuters_annual_source_window.fat&amp;display_string=Audit&amp;DYN_ARGS=TRUE&amp;VAR:ID1=38141G10&amp;VAR:RCODE=EBIT&amp;VAR:SDATE=20071199&amp;VAR:FREQ=Y&amp;VAR:RELITEM=RP&amp;VAR:CURRENCY=&amp;VAR:CURRSOURCE=EXSHARE&amp;V","AR:NATFREQ=ANNUAL&amp;VAR:RFIELD=FINALIZED&amp;VAR:DB_TYPE=&amp;VAR:UNITS=M&amp;window=popup&amp;width=450&amp;height=300&amp;START_MAXIMIZED=FALSE"}</definedName>
    <definedName name="_204__FDSAUDITLINK__" hidden="1">{"fdsup://IBCentral/FAT Viewer?action=UPDATE&amp;creator=factset&amp;DOC_NAME=fat:reuters_annual_source_window.fat&amp;display_string=Audit&amp;DYN_ARGS=TRUE&amp;VAR:ID1=46625H10&amp;VAR:RCODE=EBIT&amp;VAR:SDATE=20071299&amp;VAR:FREQ=Y&amp;VAR:RELITEM=RP&amp;VAR:CURRENCY=&amp;VAR:CURRSOURCE=EXSHARE&amp;V","AR:NATFREQ=ANNUAL&amp;VAR:RFIELD=FINALIZED&amp;VAR:DB_TYPE=&amp;VAR:UNITS=M&amp;window=popup&amp;width=450&amp;height=300&amp;START_MAXIMIZED=FALSE"}</definedName>
    <definedName name="_205__FDSAUDITLINK__" hidden="1">{"fdsup://IBCentral/FAT Viewer?action=UPDATE&amp;creator=factset&amp;DOC_NAME=fat:reuters_annual_source_window.fat&amp;display_string=Audit&amp;DYN_ARGS=TRUE&amp;VAR:ID1=17296710&amp;VAR:RCODE=EBIT&amp;VAR:SDATE=20071299&amp;VAR:FREQ=Y&amp;VAR:RELITEM=RP&amp;VAR:CURRENCY=&amp;VAR:CURRSOURCE=EXSHARE&amp;V","AR:NATFREQ=ANNUAL&amp;VAR:RFIELD=FINALIZED&amp;VAR:DB_TYPE=&amp;VAR:UNITS=M&amp;window=popup&amp;width=450&amp;height=300&amp;START_MAXIMIZED=FALSE"}</definedName>
    <definedName name="_206__FDSAUDITLINK__" hidden="1">{"fdsup://IBCentral/FAT Viewer?action=UPDATE&amp;creator=factset&amp;DOC_NAME=fat:reuters_annual_source_window.fat&amp;display_string=Audit&amp;DYN_ARGS=TRUE&amp;VAR:ID1=12558110&amp;VAR:RCODE=EBIT&amp;VAR:SDATE=20071299&amp;VAR:FREQ=Y&amp;VAR:RELITEM=RP&amp;VAR:CURRENCY=&amp;VAR:CURRSOURCE=EXSHARE&amp;V","AR:NATFREQ=ANNUAL&amp;VAR:RFIELD=FINALIZED&amp;VAR:DB_TYPE=&amp;VAR:UNITS=M&amp;window=popup&amp;width=450&amp;height=300&amp;START_MAXIMIZED=FALSE"}</definedName>
    <definedName name="_207__FDSAUDITLINK__" hidden="1">{"fdsup://IBCentral/FAT Viewer?action=UPDATE&amp;creator=factset&amp;DOC_NAME=fat:reuters_annual_source_window.fat&amp;display_string=Audit&amp;DYN_ARGS=TRUE&amp;VAR:ID1=14040H10&amp;VAR:RCODE=EBIT&amp;VAR:SDATE=20071299&amp;VAR:FREQ=Y&amp;VAR:RELITEM=RP&amp;VAR:CURRENCY=&amp;VAR:CURRSOURCE=EXSHARE&amp;V","AR:NATFREQ=ANNUAL&amp;VAR:RFIELD=FINALIZED&amp;VAR:DB_TYPE=&amp;VAR:UNITS=M&amp;window=popup&amp;width=450&amp;height=300&amp;START_MAXIMIZED=FALSE"}</definedName>
    <definedName name="_208__FDSAUDITLINK__" hidden="1">{"fdsup://IBCentral/FAT Viewer?action=UPDATE&amp;creator=factset&amp;DOC_NAME=fat:reuters_annual_source_window.fat&amp;display_string=Audit&amp;DYN_ARGS=TRUE&amp;VAR:ID1=06050510&amp;VAR:RCODE=EBIT&amp;VAR:SDATE=20071299&amp;VAR:FREQ=Y&amp;VAR:RELITEM=RP&amp;VAR:CURRENCY=&amp;VAR:CURRSOURCE=EXSHARE&amp;V","AR:NATFREQ=ANNUAL&amp;VAR:RFIELD=FINALIZED&amp;VAR:DB_TYPE=&amp;VAR:UNITS=M&amp;window=popup&amp;width=450&amp;height=300&amp;START_MAXIMIZED=FALSE"}</definedName>
    <definedName name="_209__FDSAUDITLINK__" hidden="1">{"fdsup://IBCentral/FAT Viewer?action=UPDATE&amp;creator=factset&amp;DOC_NAME=fat:reuters_annual_source_window.fat&amp;display_string=Audit&amp;DYN_ARGS=TRUE&amp;VAR:ID1=02581610&amp;VAR:RCODE=EBIT&amp;VAR:SDATE=20071299&amp;VAR:FREQ=Y&amp;VAR:RELITEM=RP&amp;VAR:CURRENCY=&amp;VAR:CURRSOURCE=EXSHARE&amp;V","AR:NATFREQ=ANNUAL&amp;VAR:RFIELD=FINALIZED&amp;VAR:DB_TYPE=&amp;VAR:UNITS=M&amp;window=popup&amp;width=450&amp;height=300&amp;START_MAXIMIZED=FALSE"}</definedName>
    <definedName name="_21__FDSAUDITLINK__" hidden="1">{"fdsup://IBCentral/FAT Viewer?action=UPDATE&amp;creator=factset&amp;DOC_NAME=fat:reuters_annual_source_window.fat&amp;display_string=Audit&amp;DYN_ARGS=TRUE&amp;VAR:ID1=23102110&amp;VAR:RCODE=EBITDA&amp;VAR:SDATE=20071299&amp;VAR:FREQ=Y&amp;VAR:RELITEM=RP&amp;VAR:CURRENCY=&amp;VAR:CURRSOURCE=EXSHARE","&amp;VAR:NATFREQ=ANNUAL&amp;VAR:RFIELD=FINALIZED&amp;VAR:DB_TYPE=&amp;VAR:UNITS=M&amp;window=popup&amp;width=450&amp;height=300&amp;START_MAXIMIZED=FALSE"}</definedName>
    <definedName name="_210__FDSAUDITLINK__" hidden="1">{"fdsup://IBCentral/FAT Viewer?action=UPDATE&amp;creator=factset&amp;DOC_NAME=fat:reuters_annual_source_window.fat&amp;display_string=Audit&amp;DYN_ARGS=TRUE&amp;VAR:ID1=01903Q10&amp;VAR:RCODE=EBIT&amp;VAR:SDATE=20071299&amp;VAR:FREQ=Y&amp;VAR:RELITEM=RP&amp;VAR:CURRENCY=&amp;VAR:CURRSOURCE=EXSHARE&amp;V","AR:NATFREQ=ANNUAL&amp;VAR:RFIELD=FINALIZED&amp;VAR:DB_TYPE=&amp;VAR:UNITS=M&amp;window=popup&amp;width=450&amp;height=300&amp;START_MAXIMIZED=FALSE"}</definedName>
    <definedName name="_211__FDSAUDITLINK__" hidden="1">{"fdsup://IBCentral/FAT Viewer?action=UPDATE&amp;creator=factset&amp;DOC_NAME=fat:reuters_annual_source_window.fat&amp;display_string=Audit&amp;DYN_ARGS=TRUE&amp;VAR:ID1=98975W10&amp;VAR:RCODE=EBITDA&amp;VAR:SDATE=20070999&amp;VAR:FREQ=Y&amp;VAR:RELITEM=&amp;VAR:CURRENCY=&amp;VAR:CURRSOURCE=EXSHARE&amp;V","AR:NATFREQ=ANNUAL&amp;VAR:RFIELD=FINALIZED&amp;VAR:DB_TYPE=&amp;VAR:UNITS=M&amp;window=popup&amp;width=450&amp;height=300&amp;START_MAXIMIZED=FALSE"}</definedName>
    <definedName name="_212__FDSAUDITLINK__" hidden="1">{"fdsup://IBCentral/FAT Viewer?action=UPDATE&amp;creator=factset&amp;DOC_NAME=fat:reuters_annual_source_window.fat&amp;display_string=Audit&amp;DYN_ARGS=TRUE&amp;VAR:ID1=481835&amp;VAR:RCODE=EBITDA&amp;VAR:SDATE=20071299&amp;VAR:FREQ=Y&amp;VAR:RELITEM=&amp;VAR:CURRENCY=&amp;VAR:CURRSOURCE=EXSHARE&amp;VAR",":NATFREQ=ANNUAL&amp;VAR:RFIELD=FINALIZED&amp;VAR:DB_TYPE=&amp;VAR:UNITS=M&amp;window=popup&amp;width=450&amp;height=300&amp;START_MAXIMIZED=FALSE"}</definedName>
    <definedName name="_213__FDSAUDITLINK__" hidden="1">{"fdsup://IBCentral/FAT Viewer?action=UPDATE&amp;creator=factset&amp;DOC_NAME=fat:reuters_annual_source_window.fat&amp;display_string=Audit&amp;DYN_ARGS=TRUE&amp;VAR:ID1=570379&amp;VAR:RCODE=EBITDA&amp;VAR:SDATE=20071299&amp;VAR:FREQ=Y&amp;VAR:RELITEM=&amp;VAR:CURRENCY=&amp;VAR:CURRSOURCE=EXSHARE&amp;VAR",":NATFREQ=ANNUAL&amp;VAR:RFIELD=FINALIZED&amp;VAR:DB_TYPE=&amp;VAR:UNITS=M&amp;window=popup&amp;width=450&amp;height=300&amp;START_MAXIMIZED=FALSE"}</definedName>
    <definedName name="_214__FDSAUDITLINK__" hidden="1">{"fdsup://IBCentral/FAT Viewer?action=UPDATE&amp;creator=factset&amp;DOC_NAME=fat:reuters_annual_source_window.fat&amp;display_string=Audit&amp;DYN_ARGS=TRUE&amp;VAR:ID1=23282010&amp;VAR:RCODE=EBITDA&amp;VAR:SDATE=20071299&amp;VAR:FREQ=Y&amp;VAR:RELITEM=&amp;VAR:CURRENCY=&amp;VAR:CURRSOURCE=EXSHARE&amp;V","AR:NATFREQ=ANNUAL&amp;VAR:RFIELD=FINALIZED&amp;VAR:DB_TYPE=&amp;VAR:UNITS=M&amp;window=popup&amp;width=450&amp;height=300&amp;START_MAXIMIZED=FALSE"}</definedName>
    <definedName name="_215__FDSAUDITLINK__" hidden="1">{"fdsup://IBCentral/FAT Viewer?action=UPDATE&amp;creator=factset&amp;DOC_NAME=fat:reuters_annual_source_window.fat&amp;display_string=Audit&amp;DYN_ARGS=TRUE&amp;VAR:ID1=689714&amp;VAR:RCODE=EBITDA&amp;VAR:SDATE=20080399&amp;VAR:FREQ=Y&amp;VAR:RELITEM=&amp;VAR:CURRENCY=&amp;VAR:CURRSOURCE=EXSHARE&amp;VAR",":NATFREQ=ANNUAL&amp;VAR:RFIELD=FINALIZED&amp;VAR:DB_TYPE=&amp;VAR:UNITS=M&amp;window=popup&amp;width=450&amp;height=300&amp;START_MAXIMIZED=FALSE"}</definedName>
    <definedName name="_216__FDSAUDITLINK__" hidden="1">{"fdsup://IBCentral/FAT Viewer?action=UPDATE&amp;creator=factset&amp;DOC_NAME=fat:reuters_annual_source_window.fat&amp;display_string=Audit&amp;DYN_ARGS=TRUE&amp;VAR:ID1=98975W10&amp;VAR:RCODE=EBITDA&amp;VAR:SDATE=20070999&amp;VAR:FREQ=Y&amp;VAR:RELITEM=&amp;VAR:CURRENCY=&amp;VAR:CURRSOURCE=EXSHARE&amp;V","AR:NATFREQ=ANNUAL&amp;VAR:RFIELD=FINALIZED&amp;VAR:DB_TYPE=&amp;VAR:UNITS=M&amp;window=popup&amp;width=450&amp;height=300&amp;START_MAXIMIZED=FALSE"}</definedName>
    <definedName name="_217__FDSAUDITLINK__" hidden="1">{"fdsup://IBCentral/FAT Viewer?action=UPDATE&amp;creator=factset&amp;DOC_NAME=fat:reuters_annual_source_window.fat&amp;display_string=Audit&amp;DYN_ARGS=TRUE&amp;VAR:ID1=481835&amp;VAR:RCODE=EBITDA&amp;VAR:SDATE=20071299&amp;VAR:FREQ=Y&amp;VAR:RELITEM=&amp;VAR:CURRENCY=&amp;VAR:CURRSOURCE=EXSHARE&amp;VAR",":NATFREQ=ANNUAL&amp;VAR:RFIELD=FINALIZED&amp;VAR:DB_TYPE=&amp;VAR:UNITS=M&amp;window=popup&amp;width=450&amp;height=300&amp;START_MAXIMIZED=FALSE"}</definedName>
    <definedName name="_218__FDSAUDITLINK__" hidden="1">{"fdsup://IBCentral/FAT Viewer?action=UPDATE&amp;creator=factset&amp;DOC_NAME=fat:reuters_annual_source_window.fat&amp;display_string=Audit&amp;DYN_ARGS=TRUE&amp;VAR:ID1=570379&amp;VAR:RCODE=EBITDA&amp;VAR:SDATE=20071299&amp;VAR:FREQ=Y&amp;VAR:RELITEM=&amp;VAR:CURRENCY=&amp;VAR:CURRSOURCE=EXSHARE&amp;VAR",":NATFREQ=ANNUAL&amp;VAR:RFIELD=FINALIZED&amp;VAR:DB_TYPE=&amp;VAR:UNITS=M&amp;window=popup&amp;width=450&amp;height=300&amp;START_MAXIMIZED=FALSE"}</definedName>
    <definedName name="_219__FDSAUDITLINK__" hidden="1">{"fdsup://IBCentral/FAT Viewer?action=UPDATE&amp;creator=factset&amp;DOC_NAME=fat:reuters_annual_source_window.fat&amp;display_string=Audit&amp;DYN_ARGS=TRUE&amp;VAR:ID1=23282010&amp;VAR:RCODE=EBITDA&amp;VAR:SDATE=20071299&amp;VAR:FREQ=Y&amp;VAR:RELITEM=&amp;VAR:CURRENCY=&amp;VAR:CURRSOURCE=EXSHARE&amp;V","AR:NATFREQ=ANNUAL&amp;VAR:RFIELD=FINALIZED&amp;VAR:DB_TYPE=&amp;VAR:UNITS=M&amp;window=popup&amp;width=450&amp;height=300&amp;START_MAXIMIZED=FALSE"}</definedName>
    <definedName name="_22__FDSAUDITLINK__" hidden="1">{"fdsup://IBCentral/FAT Viewer?action=UPDATE&amp;creator=factset&amp;DOC_NAME=fat:reuters_annual_source_window.fat&amp;display_string=Audit&amp;DYN_ARGS=TRUE&amp;VAR:ID1=23102110&amp;VAR:RCODE=EBITDA&amp;VAR:SDATE=20071299&amp;VAR:FREQ=Y&amp;VAR:RELITEM=&amp;VAR:CURRENCY=&amp;VAR:CURRSOURCE=EXSHARE&amp;V","AR:NATFREQ=ANNUAL&amp;VAR:RFIELD=FINALIZED&amp;VAR:DB_TYPE=&amp;VAR:UNITS=M&amp;window=popup&amp;width=450&amp;height=300&amp;START_MAXIMIZED=FALSE"}</definedName>
    <definedName name="_220__FDSAUDITLINK__" hidden="1">{"fdsup://IBCentral/FAT Viewer?action=UPDATE&amp;creator=factset&amp;DOC_NAME=fat:reuters_annual_source_window.fat&amp;display_string=Audit&amp;DYN_ARGS=TRUE&amp;VAR:ID1=689714&amp;VAR:RCODE=EBITDA&amp;VAR:SDATE=20080399&amp;VAR:FREQ=Y&amp;VAR:RELITEM=&amp;VAR:CURRENCY=&amp;VAR:CURRSOURCE=EXSHARE&amp;VAR",":NATFREQ=ANNUAL&amp;VAR:RFIELD=FINALIZED&amp;VAR:DB_TYPE=&amp;VAR:UNITS=M&amp;window=popup&amp;width=450&amp;height=300&amp;START_MAXIMIZED=FALSE"}</definedName>
    <definedName name="_221__FDSAUDITLINK__" hidden="1">{"fdsup://IBCentral/FAT Viewer?action=UPDATE&amp;creator=factset&amp;DOC_NAME=fat:reuters_annual_source_window.fat&amp;display_string=Audit&amp;DYN_ARGS=TRUE&amp;VAR:ID1=B0DX8R&amp;VAR:RCODE=EBITDA&amp;VAR:SDATE=20080399&amp;VAR:FREQ=Y&amp;VAR:RELITEM=&amp;VAR:CURRENCY=&amp;VAR:CURRSOURCE=EXSHARE&amp;VAR",":NATFREQ=ANNUAL&amp;VAR:RFIELD=FINALIZED&amp;VAR:DB_TYPE=&amp;VAR:UNITS=M&amp;window=popup&amp;width=450&amp;height=300&amp;START_MAXIMIZED=FALSE"}</definedName>
    <definedName name="_222__FDSAUDITLINK__" hidden="1">{"fdsup://IBCentral/FAT Viewer?action=UPDATE&amp;creator=factset&amp;DOC_NAME=fat:reuters_annual_source_window.fat&amp;display_string=Audit&amp;DYN_ARGS=TRUE&amp;VAR:ID1=B06CF7&amp;VAR:RCODE=EBITDA&amp;VAR:SDATE=20071299&amp;VAR:FREQ=Y&amp;VAR:RELITEM=&amp;VAR:CURRENCY=&amp;VAR:CURRSOURCE=EXSHARE&amp;VAR",":NATFREQ=ANNUAL&amp;VAR:RFIELD=FINALIZED&amp;VAR:DB_TYPE=&amp;VAR:UNITS=M&amp;window=popup&amp;width=450&amp;height=300&amp;START_MAXIMIZED=FALSE"}</definedName>
    <definedName name="_223__FDSAUDITLINK__" hidden="1">{"fdsup://IBCentral/FAT Viewer?action=UPDATE&amp;creator=factset&amp;DOC_NAME=fat:reuters_annual_source_window.fat&amp;display_string=Audit&amp;DYN_ARGS=TRUE&amp;VAR:ID1=596465&amp;VAR:RCODE=EBITDA&amp;VAR:SDATE=20071299&amp;VAR:FREQ=Y&amp;VAR:RELITEM=&amp;VAR:CURRENCY=&amp;VAR:CURRSOURCE=EXSHARE&amp;VAR",":NATFREQ=ANNUAL&amp;VAR:RFIELD=FINALIZED&amp;VAR:DB_TYPE=&amp;VAR:UNITS=M&amp;window=popup&amp;width=450&amp;height=300&amp;START_MAXIMIZED=FALSE"}</definedName>
    <definedName name="_224__FDSAUDITLINK__" hidden="1">{"fdsup://IBCentral/FAT Viewer?action=UPDATE&amp;creator=factset&amp;DOC_NAME=fat:reuters_annual_source_window.fat&amp;display_string=Audit&amp;DYN_ARGS=TRUE&amp;VAR:ID1=B01CP2&amp;VAR:RCODE=EBITDA&amp;VAR:SDATE=20071299&amp;VAR:FREQ=Y&amp;VAR:RELITEM=&amp;VAR:CURRENCY=&amp;VAR:CURRSOURCE=EXSHARE&amp;VAR",":NATFREQ=ANNUAL&amp;VAR:RFIELD=FINALIZED&amp;VAR:DB_TYPE=&amp;VAR:UNITS=M&amp;window=popup&amp;width=450&amp;height=300&amp;START_MAXIMIZED=FALSE"}</definedName>
    <definedName name="_225__FDSAUDITLINK__" hidden="1">{"fdsup://IBCentral/FAT Viewer?action=UPDATE&amp;creator=factset&amp;DOC_NAME=fat:reuters_annual_source_window.fat&amp;display_string=Audit&amp;DYN_ARGS=TRUE&amp;VAR:ID1=74018910&amp;VAR:RCODE=EBITDA&amp;VAR:SDATE=20080399&amp;VAR:FREQ=Y&amp;VAR:RELITEM=&amp;VAR:CURRENCY=&amp;VAR:CURRSOURCE=EXSHARE&amp;V","AR:NATFREQ=ANNUAL&amp;VAR:RFIELD=FINALIZED&amp;VAR:DB_TYPE=&amp;VAR:UNITS=M&amp;window=popup&amp;width=450&amp;height=300&amp;START_MAXIMIZED=FALSE"}</definedName>
    <definedName name="_226__FDSAUDITLINK__" hidden="1">{"fdsup://IBCentral/FAT Viewer?action=UPDATE&amp;creator=factset&amp;DOC_NAME=fat:reuters_annual_source_window.fat&amp;display_string=Audit&amp;DYN_ARGS=TRUE&amp;VAR:ID1=61539420&amp;VAR:RCODE=EBITDA&amp;VAR:SDATE=20080999&amp;VAR:FREQ=Y&amp;VAR:RELITEM=&amp;VAR:CURRENCY=&amp;VAR:CURRSOURCE=EXSHARE&amp;V","AR:NATFREQ=ANNUAL&amp;VAR:RFIELD=FINALIZED&amp;VAR:DB_TYPE=&amp;VAR:UNITS=M&amp;window=popup&amp;width=450&amp;height=300&amp;START_MAXIMIZED=FALSE"}</definedName>
    <definedName name="_227__FDSAUDITLINK__" hidden="1">{"fdsup://IBCentral/FAT Viewer?action=UPDATE&amp;creator=factset&amp;DOC_NAME=fat:reuters_annual_source_window.fat&amp;display_string=Audit&amp;DYN_ARGS=TRUE&amp;VAR:ID1=77434110&amp;VAR:RCODE=EBITDA&amp;VAR:SDATE=20080999&amp;VAR:FREQ=Y&amp;VAR:RELITEM=&amp;VAR:CURRENCY=&amp;VAR:CURRSOURCE=EXSHARE&amp;V","AR:NATFREQ=ANNUAL&amp;VAR:RFIELD=FINALIZED&amp;VAR:DB_TYPE=&amp;VAR:UNITS=M&amp;window=popup&amp;width=450&amp;height=300&amp;START_MAXIMIZED=FALSE"}</definedName>
    <definedName name="_228__FDSAUDITLINK__" hidden="1">{"fdsup://IBCentral/FAT Viewer?action=UPDATE&amp;creator=factset&amp;DOC_NAME=fat:reuters_annual_source_window.fat&amp;display_string=Audit&amp;DYN_ARGS=TRUE&amp;VAR:ID1=07330210&amp;VAR:RCODE=EBITDA&amp;VAR:SDATE=20071299&amp;VAR:FREQ=Y&amp;VAR:RELITEM=&amp;VAR:CURRENCY=&amp;VAR:CURRSOURCE=EXSHARE&amp;V","AR:NATFREQ=ANNUAL&amp;VAR:RFIELD=FINALIZED&amp;VAR:DB_TYPE=&amp;VAR:UNITS=M&amp;window=popup&amp;width=450&amp;height=300&amp;START_MAXIMIZED=FALSE"}</definedName>
    <definedName name="_229__FDSAUDITLINK__" hidden="1">{"fdsup://IBCentral/FAT Viewer?action=UPDATE&amp;creator=factset&amp;DOC_NAME=fat:reuters_annual_source_window.fat&amp;display_string=Audit&amp;DYN_ARGS=TRUE&amp;VAR:ID1=38238810&amp;VAR:RCODE=EBITDA&amp;VAR:SDATE=20071299&amp;VAR:FREQ=Y&amp;VAR:RELITEM=&amp;VAR:CURRENCY=&amp;VAR:CURRSOURCE=EXSHARE&amp;V","AR:NATFREQ=ANNUAL&amp;VAR:RFIELD=FINALIZED&amp;VAR:DB_TYPE=&amp;VAR:UNITS=M&amp;window=popup&amp;width=450&amp;height=300&amp;START_MAXIMIZED=FALSE"}</definedName>
    <definedName name="_23__FDSAUDITLINK__" hidden="1">{"fdsup://IBCentral/FAT Viewer?action=UPDATE&amp;creator=factset&amp;DOC_NAME=fat:reuters_annual_source_window.fat&amp;display_string=Audit&amp;DYN_ARGS=TRUE&amp;VAR:ID1=63651810&amp;VAR:RCODE=EBITDA&amp;VAR:SDATE=20071299&amp;VAR:FREQ=Y&amp;VAR:RELITEM=RP&amp;VAR:CURRENCY=&amp;VAR:CURRSOURCE=EXSHARE","&amp;VAR:NATFREQ=ANNUAL&amp;VAR:RFIELD=FINALIZED&amp;VAR:DB_TYPE=&amp;VAR:UNITS=M&amp;window=popup&amp;width=450&amp;height=300&amp;START_MAXIMIZED=FALSE"}</definedName>
    <definedName name="_230__FDSAUDITLINK__" hidden="1">{"fdsup://IBCentral/FAT Viewer?action=UPDATE&amp;creator=factset&amp;DOC_NAME=fat:reuters_annual_source_window.fat&amp;display_string=Audit&amp;DYN_ARGS=TRUE&amp;VAR:ID1=26353410&amp;VAR:RCODE=EBITDA&amp;VAR:SDATE=20071299&amp;VAR:FREQ=Y&amp;VAR:RELITEM=RP&amp;VAR:CURRENCY=&amp;VAR:CURRSOURCE=EXSHARE","&amp;VAR:NATFREQ=ANNUAL&amp;VAR:RFIELD=FINALIZED&amp;VAR:DB_TYPE=&amp;VAR:UNITS=M&amp;window=popup&amp;width=450&amp;height=300&amp;START_MAXIMIZED=FALSE"}</definedName>
    <definedName name="_231__FDSAUDITLINK__" hidden="1">{"fdsup://IBCentral/FAT Viewer?action=UPDATE&amp;creator=factset&amp;DOC_NAME=fat:reuters_annual_source_window.fat&amp;display_string=Audit&amp;DYN_ARGS=TRUE&amp;VAR:ID1=36955010&amp;VAR:RCODE=EBITDA&amp;VAR:SDATE=20071299&amp;VAR:FREQ=Y&amp;VAR:RELITEM=RP&amp;VAR:CURRENCY=&amp;VAR:CURRSOURCE=EXSHARE","&amp;VAR:NATFREQ=ANNUAL&amp;VAR:RFIELD=FINALIZED&amp;VAR:DB_TYPE=&amp;VAR:UNITS=M&amp;window=popup&amp;width=450&amp;height=300&amp;START_MAXIMIZED=FALSE"}</definedName>
    <definedName name="_232__FDSAUDITLINK__" hidden="1">{"fdsup://IBCentral/FAT Viewer?action=UPDATE&amp;creator=factset&amp;DOC_NAME=fat:reuters_annual_source_window.fat&amp;display_string=Audit&amp;DYN_ARGS=TRUE&amp;VAR:ID1=66680710&amp;VAR:RCODE=EBITDA&amp;VAR:SDATE=20071299&amp;VAR:FREQ=Y&amp;VAR:RELITEM=RP&amp;VAR:CURRENCY=&amp;VAR:CURRSOURCE=EXSHARE","&amp;VAR:NATFREQ=ANNUAL&amp;VAR:RFIELD=FINALIZED&amp;VAR:DB_TYPE=&amp;VAR:UNITS=M&amp;window=popup&amp;width=450&amp;height=300&amp;START_MAXIMIZED=FALSE"}</definedName>
    <definedName name="_233__FDSAUDITLINK__" hidden="1">{"fdsup://IBCentral/FAT Viewer?action=UPDATE&amp;creator=factset&amp;DOC_NAME=fat:reuters_annual_source_window.fat&amp;display_string=Audit&amp;DYN_ARGS=TRUE&amp;VAR:ID1=676396&amp;VAR:RCODE=EBITDA&amp;VAR:SDATE=20080399&amp;VAR:FREQ=Y&amp;VAR:RELITEM=&amp;VAR:CURRENCY=&amp;VAR:CURRSOURCE=EXSHARE&amp;VAR",":NATFREQ=ANNUAL&amp;VAR:RFIELD=FINALIZED&amp;VAR:DB_TYPE=&amp;VAR:UNITS=M&amp;window=popup&amp;width=450&amp;height=300&amp;START_MAXIMIZED=FALSE"}</definedName>
    <definedName name="_234__FDSAUDITLINK__" hidden="1">{"fdsup://IBCentral/FAT Viewer?action=UPDATE&amp;creator=factset&amp;DOC_NAME=fat:reuters_annual_source_window.fat&amp;display_string=Audit&amp;DYN_ARGS=TRUE&amp;VAR:ID1=34354P10&amp;VAR:RCODE=EBITDA&amp;VAR:SDATE=20071299&amp;VAR:FREQ=Y&amp;VAR:RELITEM=RP&amp;VAR:CURRENCY=&amp;VAR:CURRSOURCE=EXSHARE","&amp;VAR:NATFREQ=ANNUAL&amp;VAR:RFIELD=FINALIZED&amp;VAR:DB_TYPE=&amp;VAR:UNITS=M&amp;window=popup&amp;width=450&amp;height=300&amp;START_MAXIMIZED=FALSE"}</definedName>
    <definedName name="_235__FDSAUDITLINK__" hidden="1">{"fdsup://IBCentral/FAT Viewer?action=UPDATE&amp;creator=factset&amp;DOC_NAME=fat:reuters_annual_source_window.fat&amp;display_string=Audit&amp;DYN_ARGS=TRUE&amp;VAR:ID1=80413710&amp;VAR:RCODE=EBITDA&amp;VAR:SDATE=20071299&amp;VAR:FREQ=Y&amp;VAR:RELITEM=&amp;VAR:CURRENCY=&amp;VAR:CURRSOURCE=EXSHARE&amp;V","AR:NATFREQ=ANNUAL&amp;VAR:RFIELD=FINALIZED&amp;VAR:DB_TYPE=&amp;VAR:UNITS=M&amp;window=popup&amp;width=450&amp;height=300&amp;START_MAXIMIZED=FALSE"}</definedName>
    <definedName name="_236__FDSAUDITLINK__" hidden="1">{"fdsup://IBCentral/FAT Viewer?action=UPDATE&amp;creator=factset&amp;DOC_NAME=fat:reuters_annual_source_window.fat&amp;display_string=Audit&amp;DYN_ARGS=TRUE&amp;VAR:ID1=96332010&amp;VAR:RCODE=EBITDA&amp;VAR:SDATE=20071299&amp;VAR:FREQ=Y&amp;VAR:RELITEM=&amp;VAR:CURRENCY=&amp;VAR:CURRSOURCE=EXSHARE&amp;V","AR:NATFREQ=ANNUAL&amp;VAR:RFIELD=FINALIZED&amp;VAR:DB_TYPE=&amp;VAR:UNITS=M&amp;window=popup&amp;width=450&amp;height=300&amp;START_MAXIMIZED=FALSE"}</definedName>
    <definedName name="_237__FDSAUDITLINK__" hidden="1">{"fdsup://IBCentral/FAT Viewer?action=UPDATE&amp;creator=factset&amp;DOC_NAME=fat:reuters_annual_source_window.fat&amp;display_string=Audit&amp;DYN_ARGS=TRUE&amp;VAR:ID1=23156110&amp;VAR:RCODE=EBITDA&amp;VAR:SDATE=20071299&amp;VAR:FREQ=Y&amp;VAR:RELITEM=&amp;VAR:CURRENCY=&amp;VAR:CURRSOURCE=EXSHARE&amp;V","AR:NATFREQ=ANNUAL&amp;VAR:RFIELD=FINALIZED&amp;VAR:DB_TYPE=&amp;VAR:UNITS=M&amp;window=popup&amp;width=450&amp;height=300&amp;START_MAXIMIZED=FALSE"}</definedName>
    <definedName name="_238__FDSAUDITLINK__" hidden="1">{"fdsup://IBCentral/FAT Viewer?action=UPDATE&amp;creator=factset&amp;DOC_NAME=fat:reuters_annual_source_window.fat&amp;display_string=Audit&amp;DYN_ARGS=TRUE&amp;VAR:ID1=86694210&amp;VAR:RCODE=EBITDA&amp;VAR:SDATE=20071299&amp;VAR:FREQ=Y&amp;VAR:RELITEM=&amp;VAR:CURRENCY=&amp;VAR:CURRSOURCE=EXSHARE&amp;V","AR:NATFREQ=ANNUAL&amp;VAR:RFIELD=FINALIZED&amp;VAR:DB_TYPE=&amp;VAR:UNITS=M&amp;window=popup&amp;width=450&amp;height=300&amp;START_MAXIMIZED=FALSE"}</definedName>
    <definedName name="_239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24__FDSAUDITLINK__" hidden="1">{"fdsup://IBCentral/FAT Viewer?action=UPDATE&amp;creator=factset&amp;DOC_NAME=fat:reuters_annual_source_window.fat&amp;display_string=Audit&amp;DYN_ARGS=TRUE&amp;VAR:ID1=88077010&amp;VAR:RCODE=EBITDA&amp;VAR:SDATE=20071299&amp;VAR:FREQ=Y&amp;VAR:RELITEM=RP&amp;VAR:CURRENCY=&amp;VAR:CURRSOURCE=EXSHARE","&amp;VAR:NATFREQ=ANNUAL&amp;VAR:RFIELD=FINALIZED&amp;VAR:DB_TYPE=&amp;VAR:UNITS=M&amp;window=popup&amp;width=450&amp;height=300&amp;START_MAXIMIZED=FALSE"}</definedName>
    <definedName name="_240__FDSAUDITLINK__" hidden="1">{"fdsup://IBCentral/FAT Viewer?action=UPDATE&amp;creator=factset&amp;DOC_NAME=fat:reuters_annual_source_window.fat&amp;display_string=Audit&amp;DYN_ARGS=TRUE&amp;VAR:ID1=38308210&amp;VAR:RCODE=EBITDA&amp;VAR:SDATE=20071299&amp;VAR:FREQ=Y&amp;VAR:RELITEM=&amp;VAR:CURRENCY=&amp;VAR:CURRSOURCE=EXSHARE&amp;V","AR:NATFREQ=ANNUAL&amp;VAR:RFIELD=FINALIZED&amp;VAR:DB_TYPE=&amp;VAR:UNITS=M&amp;window=popup&amp;width=450&amp;height=300&amp;START_MAXIMIZED=FALSE"}</definedName>
    <definedName name="_241__FDSAUDITLINK__" hidden="1">{"fdsup://IBCentral/FAT Viewer?action=UPDATE&amp;creator=factset&amp;DOC_NAME=fat:reuters_annual_source_window.fat&amp;display_string=Audit&amp;DYN_ARGS=TRUE&amp;VAR:ID1=62985Q10&amp;VAR:RCODE=EBITDA&amp;VAR:SDATE=20071299&amp;VAR:FREQ=Y&amp;VAR:RELITEM=&amp;VAR:CURRENCY=&amp;VAR:CURRSOURCE=EXSHARE&amp;V","AR:NATFREQ=ANNUAL&amp;VAR:RFIELD=FINALIZED&amp;VAR:DB_TYPE=&amp;VAR:UNITS=M&amp;window=popup&amp;width=450&amp;height=300&amp;START_MAXIMIZED=FALSE"}</definedName>
    <definedName name="_242__FDSAUDITLINK__" hidden="1">{"fdsup://IBCentral/FAT Viewer?action=UPDATE&amp;creator=factset&amp;DOC_NAME=fat:reuters_annual_source_window.fat&amp;display_string=Audit&amp;DYN_ARGS=TRUE&amp;VAR:ID1=38410910&amp;VAR:RCODE=EBITDA&amp;VAR:SDATE=20071299&amp;VAR:FREQ=Y&amp;VAR:RELITEM=&amp;VAR:CURRENCY=&amp;VAR:CURRSOURCE=EXSHARE&amp;V","AR:NATFREQ=ANNUAL&amp;VAR:RFIELD=FINALIZED&amp;VAR:DB_TYPE=&amp;VAR:UNITS=M&amp;window=popup&amp;width=450&amp;height=300&amp;START_MAXIMIZED=FALSE"}</definedName>
    <definedName name="_243__FDSAUDITLINK__" hidden="1">{"fdsup://IBCentral/FAT Viewer?action=UPDATE&amp;creator=factset&amp;DOC_NAME=fat:reuters_annual_source_window.fat&amp;display_string=Audit&amp;DYN_ARGS=TRUE&amp;VAR:ID1=45167R10&amp;VAR:RCODE=EBITDA&amp;VAR:SDATE=20071299&amp;VAR:FREQ=Y&amp;VAR:RELITEM=&amp;VAR:CURRENCY=&amp;VAR:CURRSOURCE=EXSHARE&amp;V","AR:NATFREQ=ANNUAL&amp;VAR:RFIELD=FINALIZED&amp;VAR:DB_TYPE=&amp;VAR:UNITS=M&amp;window=popup&amp;width=450&amp;height=300&amp;START_MAXIMIZED=FALSE"}</definedName>
    <definedName name="_244__FDSAUDITLINK__" hidden="1">{"fdsup://IBCentral/FAT Viewer?action=UPDATE&amp;creator=factset&amp;DOC_NAME=fat:reuters_annual_source_window.fat&amp;display_string=Audit&amp;DYN_ARGS=TRUE&amp;VAR:ID1=26054310&amp;VAR:RCODE=EBITDA&amp;VAR:SDATE=20071299&amp;VAR:FREQ=Y&amp;VAR:RELITEM=RP&amp;VAR:CURRENCY=&amp;VAR:CURRSOURCE=EXSHARE","&amp;VAR:NATFREQ=ANNUAL&amp;VAR:RFIELD=FINALIZED&amp;VAR:DB_TYPE=&amp;VAR:UNITS=M&amp;window=popup&amp;width=450&amp;height=300&amp;START_MAXIMIZED=FALSE"}</definedName>
    <definedName name="_245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246__FDSAUDITLINK__" hidden="1">{"fdsup://IBCentral/FAT Viewer?action=UPDATE&amp;creator=factset&amp;DOC_NAME=fat:reuters_annual_source_window.fat&amp;display_string=Audit&amp;DYN_ARGS=TRUE&amp;VAR:ID1=09972410&amp;VAR:RCODE=EBITDA&amp;VAR:SDATE=20071299&amp;VAR:FREQ=Y&amp;VAR:RELITEM=RP&amp;VAR:CURRENCY=&amp;VAR:CURRSOURCE=EXSHARE","&amp;VAR:NATFREQ=ANNUAL&amp;VAR:RFIELD=FINALIZED&amp;VAR:DB_TYPE=&amp;VAR:UNITS=M&amp;window=popup&amp;width=450&amp;height=300&amp;START_MAXIMIZED=FALSE"}</definedName>
    <definedName name="_247__FDSAUDITLINK__" hidden="1">{"fdsup://IBCentral/FAT Viewer?action=UPDATE&amp;creator=factset&amp;DOC_NAME=fat:reuters_annual_source_window.fat&amp;display_string=Audit&amp;DYN_ARGS=TRUE&amp;VAR:ID1=710889&amp;VAR:RCODE=EBITDA&amp;VAR:SDATE=20071299&amp;VAR:FREQ=Y&amp;VAR:RELITEM=RP&amp;VAR:CURRENCY=&amp;VAR:CURRSOURCE=EXSHARE&amp;V","AR:NATFREQ=ANNUAL&amp;VAR:RFIELD=FINALIZED&amp;VAR:DB_TYPE=&amp;VAR:UNITS=M&amp;window=popup&amp;width=450&amp;height=300&amp;START_MAXIMIZED=FALSE"}</definedName>
    <definedName name="_248__FDSAUDITLINK__" hidden="1">{"fdsup://IBCentral/FAT Viewer?action=UPDATE&amp;creator=factset&amp;DOC_NAME=fat:reuters_annual_source_window.fat&amp;display_string=Audit&amp;DYN_ARGS=TRUE&amp;VAR:ID1=045796&amp;VAR:RCODE=EBITDA&amp;VAR:SDATE=20071299&amp;VAR:FREQ=Y&amp;VAR:RELITEM=RP&amp;VAR:CURRENCY=&amp;VAR:CURRSOURCE=EXSHARE&amp;V","AR:NATFREQ=ANNUAL&amp;VAR:RFIELD=FINALIZED&amp;VAR:DB_TYPE=&amp;VAR:UNITS=M&amp;window=popup&amp;width=450&amp;height=300&amp;START_MAXIMIZED=FALSE"}</definedName>
    <definedName name="_249__FDSAUDITLINK__" hidden="1">{"fdsup://IBCentral/FAT Viewer?action=UPDATE&amp;creator=factset&amp;DOC_NAME=fat:reuters_annual_source_window.fat&amp;display_string=Audit&amp;DYN_ARGS=TRUE&amp;VAR:ID1=G9143X20&amp;VAR:RCODE=EBITDA&amp;VAR:SDATE=20070999&amp;VAR:FREQ=Y&amp;VAR:RELITEM=RP&amp;VAR:CURRENCY=&amp;VAR:CURRSOURCE=EXSHARE","&amp;VAR:NATFREQ=ANNUAL&amp;VAR:RFIELD=FINALIZED&amp;VAR:DB_TYPE=&amp;VAR:UNITS=M&amp;window=popup&amp;width=450&amp;height=300&amp;START_MAXIMIZED=FALSE"}</definedName>
    <definedName name="_25__FDSAUDITLINK__" hidden="1">{"fdsup://IBCentral/FAT Viewer?action=UPDATE&amp;creator=factset&amp;DOC_NAME=fat:reuters_annual_source_window.fat&amp;display_string=Audit&amp;DYN_ARGS=TRUE&amp;VAR:ID1=027480&amp;VAR:RCODE=EBITDA&amp;VAR:SDATE=20071099&amp;VAR:FREQ=Y&amp;VAR:RELITEM=RP&amp;VAR:CURRENCY=&amp;VAR:CURRSOURCE=EXSHARE&amp;V","AR:NATFREQ=ANNUAL&amp;VAR:RFIELD=FINALIZED&amp;VAR:DB_TYPE=&amp;VAR:UNITS=M&amp;window=popup&amp;width=450&amp;height=300&amp;START_MAXIMIZED=FALSE"}</definedName>
    <definedName name="_250__FDSAUDITLINK__" hidden="1">{"fdsup://IBCentral/FAT Viewer?action=UPDATE&amp;creator=factset&amp;DOC_NAME=fat:reuters_annual_source_window.fat&amp;display_string=Audit&amp;DYN_ARGS=TRUE&amp;VAR:ID1=98920710&amp;VAR:RCODE=EBITDA&amp;VAR:SDATE=20071299&amp;VAR:FREQ=Y&amp;VAR:RELITEM=RP&amp;VAR:CURRENCY=&amp;VAR:CURRSOURCE=EXSHARE","&amp;VAR:NATFREQ=ANNUAL&amp;VAR:RFIELD=FINALIZED&amp;VAR:DB_TYPE=&amp;VAR:UNITS=M&amp;window=popup&amp;width=450&amp;height=300&amp;START_MAXIMIZED=FALSE"}</definedName>
    <definedName name="_251__FDSAUDITLINK__" hidden="1">{"fdsup://IBCentral/FAT Viewer?action=UPDATE&amp;creator=factset&amp;DOC_NAME=fat:reuters_annual_source_window.fat&amp;display_string=Audit&amp;DYN_ARGS=TRUE&amp;VAR:ID1=B01FLG&amp;VAR:RCODE=EBITDA&amp;VAR:SDATE=20071299&amp;VAR:FREQ=Y&amp;VAR:RELITEM=&amp;VAR:CURRENCY=&amp;VAR:CURRSOURCE=EXSHARE&amp;VAR",":NATFREQ=ANNUAL&amp;VAR:RFIELD=FINALIZED&amp;VAR:DB_TYPE=&amp;VAR:UNITS=M&amp;window=popup&amp;width=450&amp;height=300&amp;START_MAXIMIZED=FALSE"}</definedName>
    <definedName name="_252__FDSAUDITLINK__" hidden="1">{"fdsup://IBCentral/FAT Viewer?action=UPDATE&amp;creator=factset&amp;DOC_NAME=fat:reuters_annual_source_window.fat&amp;display_string=Audit&amp;DYN_ARGS=TRUE&amp;VAR:ID1=85461610&amp;VAR:RCODE=EBITDA&amp;VAR:SDATE=20071299&amp;VAR:FREQ=Y&amp;VAR:RELITEM=&amp;VAR:CURRENCY=&amp;VAR:CURRSOURCE=EXSHARE&amp;V","AR:NATFREQ=ANNUAL&amp;VAR:RFIELD=FINALIZED&amp;VAR:DB_TYPE=&amp;VAR:UNITS=M&amp;window=popup&amp;width=450&amp;height=300&amp;START_MAXIMIZED=FALSE"}</definedName>
    <definedName name="_253__FDSAUDITLINK__" hidden="1">{"fdsup://IBCentral/FAT Viewer?action=UPDATE&amp;creator=factset&amp;DOC_NAME=fat:reuters_annual_source_window.fat&amp;display_string=Audit&amp;DYN_ARGS=TRUE&amp;VAR:ID1=10969610&amp;VAR:RCODE=EBITDA&amp;VAR:SDATE=20071299&amp;VAR:FREQ=Y&amp;VAR:RELITEM=&amp;VAR:CURRENCY=&amp;VAR:CURRSOURCE=EXSHARE&amp;V","AR:NATFREQ=ANNUAL&amp;VAR:RFIELD=FINALIZED&amp;VAR:DB_TYPE=&amp;VAR:UNITS=M&amp;window=popup&amp;width=450&amp;height=300&amp;START_MAXIMIZED=FALSE"}</definedName>
    <definedName name="_254__FDSAUDITLINK__" hidden="1">{"fdsup://IBCentral/FAT Viewer?action=UPDATE&amp;creator=factset&amp;DOC_NAME=fat:reuters_annual_source_window.fat&amp;display_string=Audit&amp;DYN_ARGS=TRUE&amp;VAR:ID1=G9143X20&amp;VAR:RCODE=EBITDA&amp;VAR:SDATE=20080999&amp;VAR:FREQ=Y&amp;VAR:RELITEM=&amp;VAR:CURRENCY=&amp;VAR:CURRSOURCE=EXSHARE&amp;V","AR:NATFREQ=ANNUAL&amp;VAR:RFIELD=FINALIZED&amp;VAR:DB_TYPE=&amp;VAR:UNITS=M&amp;window=popup&amp;width=450&amp;height=300&amp;START_MAXIMIZED=FALSE"}</definedName>
    <definedName name="_255__FDSAUDITLINK__" hidden="1">{"fdsup://IBCentral/FAT Viewer?action=UPDATE&amp;creator=factset&amp;DOC_NAME=fat:reuters_annual_source_window.fat&amp;display_string=Audit&amp;DYN_ARGS=TRUE&amp;VAR:ID1=555404&amp;VAR:RCODE=EBITDA&amp;VAR:SDATE=20071299&amp;VAR:FREQ=Y&amp;VAR:RELITEM=&amp;VAR:CURRENCY=&amp;VAR:CURRSOURCE=EXSHARE&amp;VAR",":NATFREQ=ANNUAL&amp;VAR:RFIELD=FINALIZED&amp;VAR:DB_TYPE=&amp;VAR:UNITS=M&amp;window=popup&amp;width=450&amp;height=300&amp;START_MAXIMIZED=FALSE"}</definedName>
    <definedName name="_256__FDSAUDITLINK__" hidden="1">{"fdsup://IBCentral/FAT Viewer?action=UPDATE&amp;creator=factset&amp;DOC_NAME=fat:reuters_annual_source_window.fat&amp;display_string=Audit&amp;DYN_ARGS=TRUE&amp;VAR:ID1=B1QGR4&amp;VAR:RCODE=EBITDA&amp;VAR:SDATE=20071299&amp;VAR:FREQ=Y&amp;VAR:RELITEM=&amp;VAR:CURRENCY=&amp;VAR:CURRSOURCE=EXSHARE&amp;VAR",":NATFREQ=ANNUAL&amp;VAR:RFIELD=FINALIZED&amp;VAR:DB_TYPE=&amp;VAR:UNITS=M&amp;window=popup&amp;width=450&amp;height=300&amp;START_MAXIMIZED=FALSE"}</definedName>
    <definedName name="_257__FDSAUDITLINK__" hidden="1">{"fdsup://IBCentral/FAT Viewer?action=UPDATE&amp;creator=factset&amp;DOC_NAME=fat:reuters_annual_source_window.fat&amp;display_string=Audit&amp;DYN_ARGS=TRUE&amp;VAR:ID1=91301710&amp;VAR:RCODE=EBITDA&amp;VAR:SDATE=20071299&amp;VAR:FREQ=Y&amp;VAR:RELITEM=&amp;VAR:CURRENCY=&amp;VAR:CURRSOURCE=EXSHARE&amp;V","AR:NATFREQ=ANNUAL&amp;VAR:RFIELD=FINALIZED&amp;VAR:DB_TYPE=&amp;VAR:UNITS=M&amp;window=popup&amp;width=450&amp;height=300&amp;START_MAXIMIZED=FALSE"}</definedName>
    <definedName name="_258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259__FDSAUDITLINK__" hidden="1">{"fdsup://IBCentral/FAT Viewer?action=UPDATE&amp;creator=factset&amp;DOC_NAME=fat:reuters_annual_source_window.fat&amp;display_string=Audit&amp;DYN_ARGS=TRUE&amp;VAR:ID1=77019610&amp;VAR:RCODE=EBITDA&amp;VAR:SDATE=20080899&amp;VAR:FREQ=Y&amp;VAR:RELITEM=&amp;VAR:CURRENCY=&amp;VAR:CURRSOURCE=EXSHARE&amp;V","AR:NATFREQ=ANNUAL&amp;VAR:RFIELD=FINALIZED&amp;VAR:DB_TYPE=&amp;VAR:UNITS=M&amp;window=popup&amp;width=450&amp;height=300&amp;START_MAXIMIZED=FALSE"}</definedName>
    <definedName name="_26__FDSAUDITLINK__" hidden="1">{"fdsup://IBCentral/FAT Viewer?action=UPDATE&amp;creator=factset&amp;DOC_NAME=fat:reuters_annual_source_window.fat&amp;display_string=Audit&amp;DYN_ARGS=TRUE&amp;VAR:ID1=98920710&amp;VAR:RCODE=EBITDA&amp;VAR:SDATE=20071299&amp;VAR:FREQ=Y&amp;VAR:RELITEM=RP&amp;VAR:CURRENCY=&amp;VAR:CURRSOURCE=EXSHARE","&amp;VAR:NATFREQ=ANNUAL&amp;VAR:RFIELD=FINALIZED&amp;VAR:DB_TYPE=&amp;VAR:UNITS=M&amp;window=popup&amp;width=450&amp;height=300&amp;START_MAXIMIZED=FALSE"}</definedName>
    <definedName name="_260__FDSAUDITLINK__" hidden="1">{"fdsup://IBCentral/FAT Viewer?action=UPDATE&amp;creator=factset&amp;DOC_NAME=fat:reuters_annual_source_window.fat&amp;display_string=Audit&amp;DYN_ARGS=TRUE&amp;VAR:ID1=045796&amp;VAR:RCODE=EBITDA&amp;VAR:SDATE=20071299&amp;VAR:FREQ=Y&amp;VAR:RELITEM=&amp;VAR:CURRENCY=&amp;VAR:CURRSOURCE=EXSHARE&amp;VAR",":NATFREQ=ANNUAL&amp;VAR:RFIELD=FINALIZED&amp;VAR:DB_TYPE=&amp;VAR:UNITS=M&amp;window=popup&amp;width=450&amp;height=300&amp;START_MAXIMIZED=FALSE"}</definedName>
    <definedName name="_261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262__FDSAUDITLINK__" hidden="1">{"fdsup://IBCentral/FAT Viewer?action=UPDATE&amp;creator=factset&amp;DOC_NAME=fat:reuters_annual_source_window.fat&amp;display_string=Audit&amp;DYN_ARGS=TRUE&amp;VAR:ID1=026349&amp;VAR:RCODE=EBITDA&amp;VAR:SDATE=20071299&amp;VAR:FREQ=Y&amp;VAR:RELITEM=&amp;VAR:CURRENCY=&amp;VAR:CURRSOURCE=EXSHARE&amp;VAR",":NATFREQ=ANNUAL&amp;VAR:RFIELD=FINALIZED&amp;VAR:DB_TYPE=&amp;VAR:UNITS=M&amp;window=popup&amp;width=450&amp;height=300&amp;START_MAXIMIZED=FALSE"}</definedName>
    <definedName name="_263__FDSAUDITLINK__" hidden="1">{"fdsup://IBCentral/FAT Viewer?action=UPDATE&amp;creator=factset&amp;DOC_NAME=fat:reuters_annual_source_window.fat&amp;display_string=Audit&amp;DYN_ARGS=TRUE&amp;VAR:ID1=53983010&amp;VAR:RCODE=EBITDA&amp;VAR:SDATE=20071299&amp;VAR:FREQ=Y&amp;VAR:RELITEM=&amp;VAR:CURRENCY=&amp;VAR:CURRSOURCE=EXSHARE&amp;V","AR:NATFREQ=ANNUAL&amp;VAR:RFIELD=FINALIZED&amp;VAR:DB_TYPE=&amp;VAR:UNITS=M&amp;window=popup&amp;width=450&amp;height=300&amp;START_MAXIMIZED=FALSE"}</definedName>
    <definedName name="_264__FDSAUDITLINK__" hidden="1">{"fdsup://IBCentral/FAT Viewer?action=UPDATE&amp;creator=factset&amp;DOC_NAME=fat:reuters_annual_source_window.fat&amp;display_string=Audit&amp;DYN_ARGS=TRUE&amp;VAR:ID1=75511150&amp;VAR:RCODE=EBITDA&amp;VAR:SDATE=20071299&amp;VAR:FREQ=Y&amp;VAR:RELITEM=&amp;VAR:CURRENCY=&amp;VAR:CURRSOURCE=EXSHARE&amp;V","AR:NATFREQ=ANNUAL&amp;VAR:RFIELD=FINALIZED&amp;VAR:DB_TYPE=&amp;VAR:UNITS=M&amp;window=popup&amp;width=450&amp;height=300&amp;START_MAXIMIZED=FALSE"}</definedName>
    <definedName name="_265__FDSAUDITLINK__" hidden="1">{"fdsup://IBCentral/FAT Viewer?action=UPDATE&amp;creator=factset&amp;DOC_NAME=fat:reuters_annual_source_window.fat&amp;display_string=Audit&amp;DYN_ARGS=TRUE&amp;VAR:ID1=41387510&amp;VAR:RCODE=EBITDA&amp;VAR:SDATE=20080699&amp;VAR:FREQ=Y&amp;VAR:RELITEM=&amp;VAR:CURRENCY=&amp;VAR:CURRSOURCE=EXSHARE&amp;V","AR:NATFREQ=ANNUAL&amp;VAR:RFIELD=FINALIZED&amp;VAR:DB_TYPE=&amp;VAR:UNITS=M&amp;window=popup&amp;width=450&amp;height=300&amp;START_MAXIMIZED=FALSE"}</definedName>
    <definedName name="_266__FDSAUDITLINK__" hidden="1">{"fdsup://IBCentral/FAT Viewer?action=UPDATE&amp;creator=factset&amp;DOC_NAME=fat:reuters_annual_source_window.fat&amp;display_string=Audit&amp;DYN_ARGS=TRUE&amp;VAR:ID1=36955010&amp;VAR:RCODE=EBITDA&amp;VAR:SDATE=20071299&amp;VAR:FREQ=Y&amp;VAR:RELITEM=&amp;VAR:CURRENCY=&amp;VAR:CURRSOURCE=EXSHARE&amp;V","AR:NATFREQ=ANNUAL&amp;VAR:RFIELD=FINALIZED&amp;VAR:DB_TYPE=&amp;VAR:UNITS=M&amp;window=popup&amp;width=450&amp;height=300&amp;START_MAXIMIZED=FALSE"}</definedName>
    <definedName name="_267__FDSAUDITLINK__" hidden="1">{"fdsup://IBCentral/FAT Viewer?action=UPDATE&amp;creator=factset&amp;DOC_NAME=fat:reuters_annual_source_window.fat&amp;display_string=Audit&amp;DYN_ARGS=TRUE&amp;VAR:ID1=66680710&amp;VAR:RCODE=EBITDA&amp;VAR:SDATE=20071299&amp;VAR:FREQ=Y&amp;VAR:RELITEM=&amp;VAR:CURRENCY=&amp;VAR:CURRSOURCE=EXSHARE&amp;V","AR:NATFREQ=ANNUAL&amp;VAR:RFIELD=FINALIZED&amp;VAR:DB_TYPE=&amp;VAR:UNITS=M&amp;window=popup&amp;width=450&amp;height=300&amp;START_MAXIMIZED=FALSE"}</definedName>
    <definedName name="_268__FDSAUDITLINK__" hidden="1">{"fdsup://IBCentral/FAT Viewer?action=UPDATE&amp;creator=factset&amp;DOC_NAME=fat:reuters_annual_source_window.fat&amp;display_string=Audit&amp;DYN_ARGS=TRUE&amp;VAR:ID1=569878&amp;VAR:RCODE=EBITDA&amp;VAR:SDATE=20071299&amp;VAR:FREQ=Y&amp;VAR:RELITEM=RP&amp;VAR:CURRENCY=&amp;VAR:CURRSOURCE=EXSHARE&amp;V","AR:NATFREQ=ANNUAL&amp;VAR:RFIELD=FINALIZED&amp;VAR:DB_TYPE=&amp;VAR:UNITS=M&amp;window=popup&amp;width=450&amp;height=300&amp;START_MAXIMIZED=FALSE"}</definedName>
    <definedName name="_269__FDSAUDITLINK__" hidden="1">{"fdsup://IBCentral/FAT Viewer?action=UPDATE&amp;creator=factset&amp;DOC_NAME=fat:reuters_annual_source_window.fat&amp;display_string=Audit&amp;DYN_ARGS=TRUE&amp;VAR:ID1=679159&amp;VAR:RCODE=EBITDA&amp;VAR:SDATE=20080399&amp;VAR:FREQ=Y&amp;VAR:RELITEM=RP&amp;VAR:CURRENCY=&amp;VAR:CURRSOURCE=EXSHARE&amp;V","AR:NATFREQ=ANNUAL&amp;VAR:RFIELD=FINALIZED&amp;VAR:DB_TYPE=&amp;VAR:UNITS=M&amp;window=popup&amp;width=450&amp;height=300&amp;START_MAXIMIZED=FALSE"}</definedName>
    <definedName name="_27__FDSAUDITLINK__" hidden="1">{"fdsup://IBCentral/FAT Viewer?action=UPDATE&amp;creator=factset&amp;DOC_NAME=fat:reuters_annual_source_window.fat&amp;display_string=Audit&amp;DYN_ARGS=TRUE&amp;VAR:ID1=70109410&amp;VAR:RCODE=EBITDA&amp;VAR:SDATE=20070699&amp;VAR:FREQ=Y&amp;VAR:RELITEM=RP&amp;VAR:CURRENCY=&amp;VAR:CURRSOURCE=EXSHARE","&amp;VAR:NATFREQ=ANNUAL&amp;VAR:RFIELD=FINALIZED&amp;VAR:DB_TYPE=&amp;VAR:UNITS=M&amp;window=popup&amp;width=450&amp;height=300&amp;START_MAXIMIZED=FALSE"}</definedName>
    <definedName name="_270__FDSAUDITLINK__" hidden="1">{"fdsup://IBCentral/FAT Viewer?action=UPDATE&amp;creator=factset&amp;DOC_NAME=fat:reuters_annual_source_window.fat&amp;display_string=Audit&amp;DYN_ARGS=TRUE&amp;VAR:ID1=B01FLG&amp;VAR:RCODE=EBITDA&amp;VAR:SDATE=20071299&amp;VAR:FREQ=Y&amp;VAR:RELITEM=RP&amp;VAR:CURRENCY=&amp;VAR:CURRSOURCE=EXSHARE&amp;V","AR:NATFREQ=ANNUAL&amp;VAR:RFIELD=FINALIZED&amp;VAR:DB_TYPE=&amp;VAR:UNITS=M&amp;window=popup&amp;width=450&amp;height=300&amp;START_MAXIMIZED=FALSE"}</definedName>
    <definedName name="_271__FDSAUDITLINK__" hidden="1">{"fdsup://IBCentral/FAT Viewer?action=UPDATE&amp;creator=factset&amp;DOC_NAME=fat:reuters_annual_source_window.fat&amp;display_string=Audit&amp;DYN_ARGS=TRUE&amp;VAR:ID1=85461610&amp;VAR:RCODE=EBITDA&amp;VAR:SDATE=20071299&amp;VAR:FREQ=Y&amp;VAR:RELITEM=RP&amp;VAR:CURRENCY=&amp;VAR:CURRSOURCE=EXSHARE","&amp;VAR:NATFREQ=ANNUAL&amp;VAR:RFIELD=FINALIZED&amp;VAR:DB_TYPE=&amp;VAR:UNITS=M&amp;window=popup&amp;width=450&amp;height=300&amp;START_MAXIMIZED=FALSE"}</definedName>
    <definedName name="_272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273__FDSAUDITLINK__" hidden="1">{"fdsup://IBCentral/FAT Viewer?action=UPDATE&amp;creator=factset&amp;DOC_NAME=fat:reuters_annual_source_window.fat&amp;display_string=Audit&amp;DYN_ARGS=TRUE&amp;VAR:ID1=G9143X20&amp;VAR:RCODE=EBITDA&amp;VAR:SDATE=20070999&amp;VAR:FREQ=Y&amp;VAR:RELITEM=RP&amp;VAR:CURRENCY=&amp;VAR:CURRSOURCE=EXSHARE","&amp;VAR:NATFREQ=ANNUAL&amp;VAR:RFIELD=FINALIZED&amp;VAR:DB_TYPE=&amp;VAR:UNITS=M&amp;window=popup&amp;width=450&amp;height=300&amp;START_MAXIMIZED=FALSE"}</definedName>
    <definedName name="_274__FDSAUDITLINK__" hidden="1">{"fdsup://IBCentral/FAT Viewer?action=UPDATE&amp;creator=factset&amp;DOC_NAME=fat:reuters_annual_source_window.fat&amp;display_string=Audit&amp;DYN_ARGS=TRUE&amp;VAR:ID1=555404&amp;VAR:RCODE=EBITDA&amp;VAR:SDATE=20071299&amp;VAR:FREQ=Y&amp;VAR:RELITEM=RP&amp;VAR:CURRENCY=&amp;VAR:CURRSOURCE=EXSHARE&amp;V","AR:NATFREQ=ANNUAL&amp;VAR:RFIELD=FINALIZED&amp;VAR:DB_TYPE=&amp;VAR:UNITS=M&amp;window=popup&amp;width=450&amp;height=300&amp;START_MAXIMIZED=FALSE"}</definedName>
    <definedName name="_275__FDSAUDITLINK__" hidden="1">{"fdsup://IBCentral/FAT Viewer?action=UPDATE&amp;creator=factset&amp;DOC_NAME=fat:reuters_annual_source_window.fat&amp;display_string=Audit&amp;DYN_ARGS=TRUE&amp;VAR:ID1=77390310&amp;VAR:RCODE=EBITDA&amp;VAR:SDATE=20070999&amp;VAR:FREQ=Y&amp;VAR:RELITEM=RP&amp;VAR:CURRENCY=&amp;VAR:CURRSOURCE=EXSHARE","&amp;VAR:NATFREQ=ANNUAL&amp;VAR:RFIELD=FINALIZED&amp;VAR:DB_TYPE=&amp;VAR:UNITS=M&amp;window=popup&amp;width=450&amp;height=300&amp;START_MAXIMIZED=FALSE"}</definedName>
    <definedName name="_276__FDSAUDITLINK__" hidden="1">{"fdsup://IBCentral/FAT Viewer?action=UPDATE&amp;creator=factset&amp;DOC_NAME=fat:reuters_annual_source_window.fat&amp;display_string=Audit&amp;DYN_ARGS=TRUE&amp;VAR:ID1=36555810&amp;VAR:RCODE=EBITDA&amp;VAR:SDATE=20071299&amp;VAR:FREQ=Y&amp;VAR:RELITEM=RP&amp;VAR:CURRENCY=&amp;VAR:CURRSOURCE=EXSHARE","&amp;VAR:NATFREQ=ANNUAL&amp;VAR:RFIELD=FINALIZED&amp;VAR:DB_TYPE=&amp;VAR:UNITS=M&amp;window=popup&amp;width=450&amp;height=300&amp;START_MAXIMIZED=FALSE"}</definedName>
    <definedName name="_277__FDSAUDITLINK__" hidden="1">{"fdsup://IBCentral/FAT Viewer?action=UPDATE&amp;creator=factset&amp;DOC_NAME=fat:reuters_annual_source_window.fat&amp;display_string=Audit&amp;DYN_ARGS=TRUE&amp;VAR:ID1=B1QGR4&amp;VAR:RCODE=EBITDA&amp;VAR:SDATE=20071299&amp;VAR:FREQ=Y&amp;VAR:RELITEM=RP&amp;VAR:CURRENCY=&amp;VAR:CURRSOURCE=EXSHARE&amp;V","AR:NATFREQ=ANNUAL&amp;VAR:RFIELD=FINALIZED&amp;VAR:DB_TYPE=&amp;VAR:UNITS=M&amp;window=popup&amp;width=450&amp;height=300&amp;START_MAXIMIZED=FALSE"}</definedName>
    <definedName name="_278__FDSAUDITLINK__" hidden="1">{"fdsup://IBCentral/FAT Viewer?action=UPDATE&amp;creator=factset&amp;DOC_NAME=fat:reuters_annual_source_window.fat&amp;display_string=Audit&amp;DYN_ARGS=TRUE&amp;VAR:ID1=91301710&amp;VAR:RCODE=EBITDA&amp;VAR:SDATE=20071299&amp;VAR:FREQ=Y&amp;VAR:RELITEM=RP&amp;VAR:CURRENCY=&amp;VAR:CURRSOURCE=EXSHARE","&amp;VAR:NATFREQ=ANNUAL&amp;VAR:RFIELD=FINALIZED&amp;VAR:DB_TYPE=&amp;VAR:UNITS=M&amp;window=popup&amp;width=450&amp;height=300&amp;START_MAXIMIZED=FALSE"}</definedName>
    <definedName name="_279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28__FDSAUDITLINK__" hidden="1">{"fdsup://IBCentral/FAT Viewer?action=UPDATE&amp;creator=factset&amp;DOC_NAME=fat:reuters_annual_source_window.fat&amp;display_string=Audit&amp;DYN_ARGS=TRUE&amp;VAR:ID1=63651810&amp;VAR:RCODE=EBITDA&amp;VAR:SDATE=20071299&amp;VAR:FREQ=Y&amp;VAR:RELITEM=&amp;VAR:CURRENCY=&amp;VAR:CURRSOURCE=EXSHARE&amp;V","AR:NATFREQ=ANNUAL&amp;VAR:RFIELD=FINALIZED&amp;VAR:DB_TYPE=&amp;VAR:UNITS=M&amp;window=popup&amp;width=450&amp;height=300&amp;START_MAXIMIZED=FALSE"}</definedName>
    <definedName name="_280__FDSAUDITLINK__" hidden="1">{"fdsup://IBCentral/FAT Viewer?action=UPDATE&amp;creator=factset&amp;DOC_NAME=fat:reuters_annual_source_window.fat&amp;display_string=Audit&amp;DYN_ARGS=TRUE&amp;VAR:ID1=52610710&amp;VAR:RCODE=EBITDA&amp;VAR:SDATE=20071299&amp;VAR:FREQ=Y&amp;VAR:RELITEM=RP&amp;VAR:CURRENCY=&amp;VAR:CURRSOURCE=EXSHARE","&amp;VAR:NATFREQ=ANNUAL&amp;VAR:RFIELD=FINALIZED&amp;VAR:DB_TYPE=&amp;VAR:UNITS=M&amp;window=popup&amp;width=450&amp;height=300&amp;START_MAXIMIZED=FALSE"}</definedName>
    <definedName name="_281__FDSAUDITLINK__" hidden="1">{"fdsup://IBCentral/FAT Viewer?action=UPDATE&amp;creator=factset&amp;DOC_NAME=fat:reuters_annual_source_window.fat&amp;display_string=Audit&amp;DYN_ARGS=TRUE&amp;VAR:ID1=569878&amp;VAR:RCODE=EBITDA&amp;VAR:SDATE=20071299&amp;VAR:FREQ=Y&amp;VAR:RELITEM=&amp;VAR:CURRENCY=&amp;VAR:CURRSOURCE=EXSHARE&amp;VAR",":NATFREQ=ANNUAL&amp;VAR:RFIELD=FINALIZED&amp;VAR:DB_TYPE=&amp;VAR:UNITS=M&amp;window=popup&amp;width=450&amp;height=300&amp;START_MAXIMIZED=FALSE"}</definedName>
    <definedName name="_282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283__FDSAUDITLINK__" hidden="1">{"fdsup://IBCentral/FAT Viewer?action=UPDATE&amp;creator=factset&amp;DOC_NAME=fat:reuters_annual_source_window.fat&amp;display_string=Audit&amp;DYN_ARGS=TRUE&amp;VAR:ID1=481835&amp;VAR:RCODE=EBITDA&amp;VAR:SDATE=20071299&amp;VAR:FREQ=Y&amp;VAR:RELITEM=RP&amp;VAR:CURRENCY=&amp;VAR:CURRSOURCE=EXSHARE&amp;V","AR:NATFREQ=ANNUAL&amp;VAR:RFIELD=FINALIZED&amp;VAR:DB_TYPE=&amp;VAR:UNITS=M&amp;window=popup&amp;width=450&amp;height=300&amp;START_MAXIMIZED=FALSE"}</definedName>
    <definedName name="_284__FDSAUDITLINK__" hidden="1">{"fdsup://IBCentral/FAT Viewer?action=UPDATE&amp;creator=factset&amp;DOC_NAME=fat:reuters_annual_source_window.fat&amp;display_string=Audit&amp;DYN_ARGS=TRUE&amp;VAR:ID1=570379&amp;VAR:RCODE=EBITDA&amp;VAR:SDATE=20071299&amp;VAR:FREQ=Y&amp;VAR:RELITEM=RP&amp;VAR:CURRENCY=&amp;VAR:CURRSOURCE=EXSHARE&amp;V","AR:NATFREQ=ANNUAL&amp;VAR:RFIELD=FINALIZED&amp;VAR:DB_TYPE=&amp;VAR:UNITS=M&amp;window=popup&amp;width=450&amp;height=300&amp;START_MAXIMIZED=FALSE"}</definedName>
    <definedName name="_285__FDSAUDITLINK__" hidden="1">{"fdsup://IBCentral/FAT Viewer?action=UPDATE&amp;creator=factset&amp;DOC_NAME=fat:reuters_annual_source_window.fat&amp;display_string=Audit&amp;DYN_ARGS=TRUE&amp;VAR:ID1=55922240&amp;VAR:RCODE=EBITDA&amp;VAR:SDATE=20071299&amp;VAR:FREQ=Y&amp;VAR:RELITEM=RP&amp;VAR:CURRENCY=&amp;VAR:CURRSOURCE=EXSHARE","&amp;VAR:NATFREQ=ANNUAL&amp;VAR:RFIELD=FINALIZED&amp;VAR:DB_TYPE=&amp;VAR:UNITS=M&amp;window=popup&amp;width=450&amp;height=300&amp;START_MAXIMIZED=FALSE"}</definedName>
    <definedName name="_286__FDSAUDITLINK__" hidden="1">{"fdsup://IBCentral/FAT Viewer?action=UPDATE&amp;creator=factset&amp;DOC_NAME=fat:reuters_annual_source_window.fat&amp;display_string=Audit&amp;DYN_ARGS=TRUE&amp;VAR:ID1=69371810&amp;VAR:RCODE=EBITDA&amp;VAR:SDATE=20071299&amp;VAR:FREQ=Y&amp;VAR:RELITEM=RP&amp;VAR:CURRENCY=&amp;VAR:CURRSOURCE=EXSHARE","&amp;VAR:NATFREQ=ANNUAL&amp;VAR:RFIELD=FINALIZED&amp;VAR:DB_TYPE=&amp;VAR:UNITS=M&amp;window=popup&amp;width=450&amp;height=300&amp;START_MAXIMIZED=FALSE"}</definedName>
    <definedName name="_287__FDSAUDITLINK__" hidden="1">{"fdsup://IBCentral/FAT Viewer?action=UPDATE&amp;creator=factset&amp;DOC_NAME=fat:reuters_annual_source_window.fat&amp;display_string=Audit&amp;DYN_ARGS=TRUE&amp;VAR:ID1=63934E10&amp;VAR:RCODE=EBITDA&amp;VAR:SDATE=20071099&amp;VAR:FREQ=Y&amp;VAR:RELITEM=RP&amp;VAR:CURRENCY=&amp;VAR:CURRSOURCE=EXSHARE","&amp;VAR:NATFREQ=ANNUAL&amp;VAR:RFIELD=FINALIZED&amp;VAR:DB_TYPE=&amp;VAR:UNITS=M&amp;window=popup&amp;width=450&amp;height=300&amp;START_MAXIMIZED=FALSE"}</definedName>
    <definedName name="_288__FDSAUDITLINK__" hidden="1">{"fdsup://IBCentral/FAT Viewer?action=UPDATE&amp;creator=factset&amp;DOC_NAME=fat:reuters_annual_source_window.fat&amp;display_string=Audit&amp;DYN_ARGS=TRUE&amp;VAR:ID1=04335310&amp;VAR:RCODE=EBITDA&amp;VAR:SDATE=20070999&amp;VAR:FREQ=Y&amp;VAR:RELITEM=RP&amp;VAR:CURRENCY=&amp;VAR:CURRSOURCE=EXSHARE","&amp;VAR:NATFREQ=ANNUAL&amp;VAR:RFIELD=FINALIZED&amp;VAR:DB_TYPE=&amp;VAR:UNITS=M&amp;window=popup&amp;width=450&amp;height=300&amp;START_MAXIMIZED=FALSE"}</definedName>
    <definedName name="_289__FDSAUDITLINK__" hidden="1">{"fdsup://IBCentral/FAT Viewer?action=UPDATE&amp;creator=factset&amp;DOC_NAME=fat:reuters_annual_source_window.fat&amp;display_string=Audit&amp;DYN_ARGS=TRUE&amp;VAR:ID1=74018910&amp;VAR:RCODE=EBITDA&amp;VAR:SDATE=20080399&amp;VAR:FREQ=Y&amp;VAR:RELITEM=RP&amp;VAR:CURRENCY=&amp;VAR:CURRSOURCE=EXSHARE","&amp;VAR:NATFREQ=ANNUAL&amp;VAR:RFIELD=FINALIZED&amp;VAR:DB_TYPE=&amp;VAR:UNITS=M&amp;window=popup&amp;width=450&amp;height=300&amp;START_MAXIMIZED=FALSE"}</definedName>
    <definedName name="_29__FDSAUDITLINK__" hidden="1">{"fdsup://IBCentral/FAT Viewer?action=UPDATE&amp;creator=factset&amp;DOC_NAME=fat:reuters_annual_source_window.fat&amp;display_string=Audit&amp;DYN_ARGS=TRUE&amp;VAR:ID1=B1Q3J3&amp;VAR:RCODE=EBITDA&amp;VAR:SDATE=20071299&amp;VAR:FREQ=Y&amp;VAR:RELITEM=&amp;VAR:CURRENCY=&amp;VAR:CURRSOURCE=EXSHARE&amp;VAR",":NATFREQ=ANNUAL&amp;VAR:RFIELD=FINALIZED&amp;VAR:DB_TYPE=&amp;VAR:UNITS=M&amp;window=popup&amp;width=450&amp;height=300&amp;START_MAXIMIZED=FALSE"}</definedName>
    <definedName name="_290__FDSAUDITLINK__" hidden="1">{"fdsup://IBCentral/FAT Viewer?action=UPDATE&amp;creator=factset&amp;DOC_NAME=fat:reuters_annual_source_window.fat&amp;display_string=Audit&amp;DYN_ARGS=TRUE&amp;VAR:ID1=61539420&amp;VAR:RCODE=EBITDA&amp;VAR:SDATE=20070999&amp;VAR:FREQ=Y&amp;VAR:RELITEM=RP&amp;VAR:CURRENCY=&amp;VAR:CURRSOURCE=EXSHARE","&amp;VAR:NATFREQ=ANNUAL&amp;VAR:RFIELD=FINALIZED&amp;VAR:DB_TYPE=&amp;VAR:UNITS=M&amp;window=popup&amp;width=450&amp;height=300&amp;START_MAXIMIZED=FALSE"}</definedName>
    <definedName name="_291__FDSAUDITLINK__" hidden="1">{"fdsup://IBCentral/FAT Viewer?action=UPDATE&amp;creator=factset&amp;DOC_NAME=fat:reuters_annual_source_window.fat&amp;display_string=Audit&amp;DYN_ARGS=TRUE&amp;VAR:ID1=77434110&amp;VAR:RCODE=EBITDA&amp;VAR:SDATE=20070999&amp;VAR:FREQ=Y&amp;VAR:RELITEM=RP&amp;VAR:CURRENCY=&amp;VAR:CURRSOURCE=EXSHARE","&amp;VAR:NATFREQ=ANNUAL&amp;VAR:RFIELD=FINALIZED&amp;VAR:DB_TYPE=&amp;VAR:UNITS=M&amp;window=popup&amp;width=450&amp;height=300&amp;START_MAXIMIZED=FALSE"}</definedName>
    <definedName name="_292__FDSAUDITLINK__" hidden="1">{"fdsup://IBCentral/FAT Viewer?action=UPDATE&amp;creator=factset&amp;DOC_NAME=fat:reuters_annual_source_window.fat&amp;display_string=Audit&amp;DYN_ARGS=TRUE&amp;VAR:ID1=07330210&amp;VAR:RCODE=EBITDA&amp;VAR:SDATE=20071299&amp;VAR:FREQ=Y&amp;VAR:RELITEM=RP&amp;VAR:CURRENCY=&amp;VAR:CURRSOURCE=EXSHARE","&amp;VAR:NATFREQ=ANNUAL&amp;VAR:RFIELD=FINALIZED&amp;VAR:DB_TYPE=&amp;VAR:UNITS=M&amp;window=popup&amp;width=450&amp;height=300&amp;START_MAXIMIZED=FALSE"}</definedName>
    <definedName name="_293__FDSAUDITLINK__" hidden="1">{"fdsup://IBCentral/FAT Viewer?action=UPDATE&amp;creator=factset&amp;DOC_NAME=fat:reuters_annual_source_window.fat&amp;display_string=Audit&amp;DYN_ARGS=TRUE&amp;VAR:ID1=38238810&amp;VAR:RCODE=EBITDA&amp;VAR:SDATE=20071299&amp;VAR:FREQ=Y&amp;VAR:RELITEM=RP&amp;VAR:CURRENCY=&amp;VAR:CURRSOURCE=EXSHARE","&amp;VAR:NATFREQ=ANNUAL&amp;VAR:RFIELD=FINALIZED&amp;VAR:DB_TYPE=&amp;VAR:UNITS=M&amp;window=popup&amp;width=450&amp;height=300&amp;START_MAXIMIZED=FALSE"}</definedName>
    <definedName name="_294__FDSAUDITLINK__" hidden="1">{"fdsup://IBCentral/FAT Viewer?action=UPDATE&amp;creator=factset&amp;DOC_NAME=fat:reuters_annual_source_window.fat&amp;display_string=Audit&amp;DYN_ARGS=TRUE&amp;VAR:ID1=86694210&amp;VAR:RCODE=EBITDA&amp;VAR:SDATE=20071299&amp;VAR:FREQ=Y&amp;VAR:RELITEM=RP&amp;VAR:CURRENCY=&amp;VAR:CURRSOURCE=EXSHARE","&amp;VAR:NATFREQ=ANNUAL&amp;VAR:RFIELD=FINALIZED&amp;VAR:DB_TYPE=&amp;VAR:UNITS=M&amp;window=popup&amp;width=450&amp;height=300&amp;START_MAXIMIZED=FALSE"}</definedName>
    <definedName name="_295__FDSAUDITLINK__" hidden="1">{"fdsup://IBCentral/FAT Viewer?action=UPDATE&amp;creator=factset&amp;DOC_NAME=fat:reuters_annual_source_window.fat&amp;display_string=Audit&amp;DYN_ARGS=TRUE&amp;VAR:ID1=676396&amp;VAR:RCODE=EBITDA&amp;VAR:SDATE=20080399&amp;VAR:FREQ=Y&amp;VAR:RELITEM=RP&amp;VAR:CURRENCY=&amp;VAR:CURRSOURCE=EXSHARE&amp;V","AR:NATFREQ=ANNUAL&amp;VAR:RFIELD=FINALIZED&amp;VAR:DB_TYPE=&amp;VAR:UNITS=M&amp;window=popup&amp;width=450&amp;height=300&amp;START_MAXIMIZED=FALSE"}</definedName>
    <definedName name="_296__FDSAUDITLINK__" hidden="1">{"fdsup://IBCentral/FAT Viewer?action=UPDATE&amp;creator=factset&amp;DOC_NAME=fat:reuters_annual_source_window.fat&amp;display_string=Audit&amp;DYN_ARGS=TRUE&amp;VAR:ID1=69642930&amp;VAR:RCODE=EBITDA&amp;VAR:SDATE=20070799&amp;VAR:FREQ=Y&amp;VAR:RELITEM=RP&amp;VAR:CURRENCY=&amp;VAR:CURRSOURCE=EXSHARE","&amp;VAR:NATFREQ=ANNUAL&amp;VAR:RFIELD=FINALIZED&amp;VAR:DB_TYPE=&amp;VAR:UNITS=M&amp;window=popup&amp;width=450&amp;height=300&amp;START_MAXIMIZED=FALSE"}</definedName>
    <definedName name="_297__FDSAUDITLINK__" hidden="1">{"fdsup://IBCentral/FAT Viewer?action=UPDATE&amp;creator=factset&amp;DOC_NAME=fat:reuters_annual_source_window.fat&amp;display_string=Audit&amp;DYN_ARGS=TRUE&amp;VAR:ID1=490238&amp;VAR:RCODE=EBITDA&amp;VAR:SDATE=20071299&amp;VAR:FREQ=Y&amp;VAR:RELITEM=RP&amp;VAR:CURRENCY=&amp;VAR:CURRSOURCE=EXSHARE&amp;V","AR:NATFREQ=ANNUAL&amp;VAR:RFIELD=FINALIZED&amp;VAR:DB_TYPE=&amp;VAR:UNITS=M&amp;window=popup&amp;width=450&amp;height=300&amp;START_MAXIMIZED=FALSE"}</definedName>
    <definedName name="_298__FDSAUDITLINK__" hidden="1">{"fdsup://IBCentral/FAT Viewer?action=UPDATE&amp;creator=factset&amp;DOC_NAME=fat:reuters_annual_source_window.fat&amp;display_string=Audit&amp;DYN_ARGS=TRUE&amp;VAR:ID1=80413710&amp;VAR:RCODE=EBITDA&amp;VAR:SDATE=20071299&amp;VAR:FREQ=Y&amp;VAR:RELITEM=RP&amp;VAR:CURRENCY=&amp;VAR:CURRSOURCE=EXSHARE","&amp;VAR:NATFREQ=ANNUAL&amp;VAR:RFIELD=FINALIZED&amp;VAR:DB_TYPE=&amp;VAR:UNITS=M&amp;window=popup&amp;width=450&amp;height=300&amp;START_MAXIMIZED=FALSE"}</definedName>
    <definedName name="_299__FDSAUDITLINK__" hidden="1">{"fdsup://IBCentral/FAT Viewer?action=UPDATE&amp;creator=factset&amp;DOC_NAME=fat:reuters_annual_source_window.fat&amp;display_string=Audit&amp;DYN_ARGS=TRUE&amp;VAR:ID1=29101110&amp;VAR:RCODE=EBITDA&amp;VAR:SDATE=20070999&amp;VAR:FREQ=Y&amp;VAR:RELITEM=RP&amp;VAR:CURRENCY=&amp;VAR:CURRSOURCE=EXSHARE","&amp;VAR:NATFREQ=ANNUAL&amp;VAR:RFIELD=FINALIZED&amp;VAR:DB_TYPE=&amp;VAR:UNITS=M&amp;window=popup&amp;width=450&amp;height=300&amp;START_MAXIMIZED=FALSE"}</definedName>
    <definedName name="_3__FDSAUDITLINK__" hidden="1">{"fdsup://IBCentral/FAT Viewer?action=UPDATE&amp;creator=factset&amp;DOC_NAME=fat:reuters_annual_source_window.fat&amp;display_string=Audit&amp;DYN_ARGS=TRUE&amp;VAR:ID1=B1QGR4&amp;VAR:RCODE=EBITDA&amp;VAR:SDATE=20071299&amp;VAR:FREQ=Y&amp;VAR:RELITEM=RP&amp;VAR:CURRENCY=&amp;VAR:CURRSOURCE=EXSHARE&amp;V","AR:NATFREQ=ANNUAL&amp;VAR:RFIELD=FINALIZED&amp;VAR:DB_TYPE=&amp;VAR:UNITS=M&amp;window=popup&amp;width=450&amp;height=300&amp;START_MAXIMIZED=FALSE"}</definedName>
    <definedName name="_30__FDSAUDITLINK__" hidden="1">{"fdsup://IBCentral/FAT Viewer?action=UPDATE&amp;creator=factset&amp;DOC_NAME=fat:reuters_annual_source_window.fat&amp;display_string=Audit&amp;DYN_ARGS=TRUE&amp;VAR:ID1=98975W10&amp;VAR:RCODE=EBITDA&amp;VAR:SDATE=20070999&amp;VAR:FREQ=Y&amp;VAR:RELITEM=RP&amp;VAR:CURRENCY=&amp;VAR:CURRSOURCE=EXSHARE","&amp;VAR:NATFREQ=ANNUAL&amp;VAR:RFIELD=FINALIZED&amp;VAR:DB_TYPE=&amp;VAR:UNITS=M&amp;window=popup&amp;width=450&amp;height=300&amp;START_MAXIMIZED=FALSE"}</definedName>
    <definedName name="_300__FDSAUDITLINK__" hidden="1">{"fdsup://IBCentral/FAT Viewer?action=UPDATE&amp;creator=factset&amp;DOC_NAME=fat:reuters_annual_source_window.fat&amp;display_string=Audit&amp;DYN_ARGS=TRUE&amp;VAR:ID1=483410&amp;VAR:RCODE=EBITDA&amp;VAR:SDATE=20071299&amp;VAR:FREQ=Y&amp;VAR:RELITEM=RP&amp;VAR:CURRENCY=&amp;VAR:CURRSOURCE=EXSHARE&amp;V","AR:NATFREQ=ANNUAL&amp;VAR:RFIELD=FINALIZED&amp;VAR:DB_TYPE=&amp;VAR:UNITS=M&amp;window=popup&amp;width=450&amp;height=300&amp;START_MAXIMIZED=FALSE"}</definedName>
    <definedName name="_301__FDSAUDITLINK__" hidden="1">{"fdsup://IBCentral/FAT Viewer?action=UPDATE&amp;creator=factset&amp;DOC_NAME=fat:reuters_annual_source_window.fat&amp;display_string=Audit&amp;DYN_ARGS=TRUE&amp;VAR:ID1=B11ZRK&amp;VAR:RCODE=EBITDA&amp;VAR:SDATE=20071299&amp;VAR:FREQ=Y&amp;VAR:RELITEM=RP&amp;VAR:CURRENCY=&amp;VAR:CURRSOURCE=EXSHARE&amp;V","AR:NATFREQ=ANNUAL&amp;VAR:RFIELD=FINALIZED&amp;VAR:DB_TYPE=&amp;VAR:UNITS=M&amp;window=popup&amp;width=450&amp;height=300&amp;START_MAXIMIZED=FALSE"}</definedName>
    <definedName name="_302__FDSAUDITLINK__" hidden="1">{"fdsup://IBCentral/FAT Viewer?action=UPDATE&amp;creator=factset&amp;DOC_NAME=fat:reuters_annual_source_window.fat&amp;display_string=Audit&amp;DYN_ARGS=TRUE&amp;VAR:ID1=44351020&amp;VAR:RCODE=EBITDA&amp;VAR:SDATE=20071299&amp;VAR:FREQ=Y&amp;VAR:RELITEM=RP&amp;VAR:CURRENCY=&amp;VAR:CURRSOURCE=EXSHARE","&amp;VAR:NATFREQ=ANNUAL&amp;VAR:RFIELD=FINALIZED&amp;VAR:DB_TYPE=&amp;VAR:UNITS=M&amp;window=popup&amp;width=450&amp;height=300&amp;START_MAXIMIZED=FALSE"}</definedName>
    <definedName name="_303__FDSAUDITLINK__" hidden="1">{"fdsup://IBCentral/FAT Viewer?action=UPDATE&amp;creator=factset&amp;DOC_NAME=fat:reuters_annual_source_window.fat&amp;display_string=Audit&amp;DYN_ARGS=TRUE&amp;VAR:ID1=88431510&amp;VAR:RCODE=EBITDA&amp;VAR:SDATE=20071299&amp;VAR:FREQ=Y&amp;VAR:RELITEM=RP&amp;VAR:CURRENCY=&amp;VAR:CURRSOURCE=EXSHARE","&amp;VAR:NATFREQ=ANNUAL&amp;VAR:RFIELD=FINALIZED&amp;VAR:DB_TYPE=&amp;VAR:UNITS=M&amp;window=popup&amp;width=450&amp;height=300&amp;START_MAXIMIZED=FALSE"}</definedName>
    <definedName name="_304__FDSAUDITLINK__" hidden="1">{"fdsup://IBCentral/FAT Viewer?action=UPDATE&amp;creator=factset&amp;DOC_NAME=fat:reuters_annual_source_window.fat&amp;display_string=Audit&amp;DYN_ARGS=TRUE&amp;VAR:ID1=G2418210&amp;VAR:RCODE=EBITDA&amp;VAR:SDATE=20071299&amp;VAR:FREQ=Y&amp;VAR:RELITEM=RP&amp;VAR:CURRENCY=&amp;VAR:CURRSOURCE=EXSHARE","&amp;VAR:NATFREQ=ANNUAL&amp;VAR:RFIELD=FINALIZED&amp;VAR:DB_TYPE=&amp;VAR:UNITS=M&amp;window=popup&amp;width=450&amp;height=300&amp;START_MAXIMIZED=FALSE"}</definedName>
    <definedName name="_305__FDSAUDITLINK__" hidden="1">{"fdsup://IBCentral/FAT Viewer?action=UPDATE&amp;creator=factset&amp;DOC_NAME=fat:reuters_annual_source_window.fat&amp;display_string=Audit&amp;DYN_ARGS=TRUE&amp;VAR:ID1=019520&amp;VAR:RCODE=EBITDA&amp;VAR:SDATE=20080399&amp;VAR:FREQ=Y&amp;VAR:RELITEM=RP&amp;VAR:CURRENCY=&amp;VAR:CURRSOURCE=EXSHARE&amp;V","AR:NATFREQ=ANNUAL&amp;VAR:RFIELD=FINALIZED&amp;VAR:DB_TYPE=&amp;VAR:UNITS=M&amp;window=popup&amp;width=450&amp;height=300&amp;START_MAXIMIZED=FALSE"}</definedName>
    <definedName name="_306__FDSAUDITLINK__" hidden="1">{"fdsup://IBCentral/FAT Viewer?action=UPDATE&amp;creator=factset&amp;DOC_NAME=fat:reuters_annual_source_window.fat&amp;display_string=Audit&amp;DYN_ARGS=TRUE&amp;VAR:ID1=87264S10&amp;VAR:RCODE=EBITDA&amp;VAR:SDATE=20071299&amp;VAR:FREQ=Y&amp;VAR:RELITEM=&amp;VAR:CURRENCY=&amp;VAR:CURRSOURCE=EXSHARE&amp;V","AR:NATFREQ=ANNUAL&amp;VAR:RFIELD=FINALIZED&amp;VAR:DB_TYPE=&amp;VAR:UNITS=M&amp;window=popup&amp;width=450&amp;height=300&amp;START_MAXIMIZED=FALSE"}</definedName>
    <definedName name="_307__FDSAUDITLINK__" hidden="1">{"fdsup://IBCentral/FAT Viewer?action=UPDATE&amp;creator=factset&amp;DOC_NAME=fat:reuters_annual_source_window.fat&amp;display_string=Audit&amp;DYN_ARGS=TRUE&amp;VAR:ID1=04335310&amp;VAR:RCODE=EBITDA&amp;VAR:SDATE=20080999&amp;VAR:FREQ=Y&amp;VAR:RELITEM=&amp;VAR:CURRENCY=&amp;VAR:CURRSOURCE=EXSHARE&amp;V","AR:NATFREQ=ANNUAL&amp;VAR:RFIELD=FINALIZED&amp;VAR:DB_TYPE=&amp;VAR:UNITS=M&amp;window=popup&amp;width=450&amp;height=300&amp;START_MAXIMIZED=FALSE"}</definedName>
    <definedName name="_308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309__FDSAUDITLINK__" hidden="1">{"fdsup://IBCentral/FAT Viewer?action=UPDATE&amp;creator=factset&amp;DOC_NAME=fat:reuters_annual_source_window.fat&amp;display_string=Audit&amp;DYN_ARGS=TRUE&amp;VAR:ID1=09972410&amp;VAR:RCODE=EBITDA&amp;VAR:SDATE=20071299&amp;VAR:FREQ=Y&amp;VAR:RELITEM=&amp;VAR:CURRENCY=&amp;VAR:CURRSOURCE=EXSHARE&amp;V","AR:NATFREQ=ANNUAL&amp;VAR:RFIELD=FINALIZED&amp;VAR:DB_TYPE=&amp;VAR:UNITS=M&amp;window=popup&amp;width=450&amp;height=300&amp;START_MAXIMIZED=FALSE"}</definedName>
    <definedName name="_31__FDSAUDITLINK__" hidden="1">{"fdsup://IBCentral/FAT Viewer?action=UPDATE&amp;creator=factset&amp;DOC_NAME=fat:reuters_annual_source_window.fat&amp;display_string=Audit&amp;DYN_ARGS=TRUE&amp;VAR:ID1=23282010&amp;VAR:RCODE=EBITDA&amp;VAR:SDATE=20071299&amp;VAR:FREQ=Y&amp;VAR:RELITEM=RP&amp;VAR:CURRENCY=&amp;VAR:CURRSOURCE=EXSHARE","&amp;VAR:NATFREQ=ANNUAL&amp;VAR:RFIELD=FINALIZED&amp;VAR:DB_TYPE=&amp;VAR:UNITS=M&amp;window=popup&amp;width=450&amp;height=300&amp;START_MAXIMIZED=FALSE"}</definedName>
    <definedName name="_310__FDSAUDITLINK__" hidden="1">{"fdsup://IBCentral/FAT Viewer?action=UPDATE&amp;creator=factset&amp;DOC_NAME=fat:reuters_annual_source_window.fat&amp;display_string=Audit&amp;DYN_ARGS=TRUE&amp;VAR:ID1=55922240&amp;VAR:RCODE=EBITDA&amp;VAR:SDATE=20071299&amp;VAR:FREQ=Y&amp;VAR:RELITEM=&amp;VAR:CURRENCY=&amp;VAR:CURRSOURCE=EXSHARE&amp;V","AR:NATFREQ=ANNUAL&amp;VAR:RFIELD=FINALIZED&amp;VAR:DB_TYPE=&amp;VAR:UNITS=M&amp;window=popup&amp;width=450&amp;height=300&amp;START_MAXIMIZED=FALSE"}</definedName>
    <definedName name="_311__FDSAUDITLINK__" hidden="1">{"fdsup://IBCentral/FAT Viewer?action=UPDATE&amp;creator=factset&amp;DOC_NAME=fat:reuters_annual_source_window.fat&amp;display_string=Audit&amp;DYN_ARGS=TRUE&amp;VAR:ID1=69371810&amp;VAR:RCODE=EBITDA&amp;VAR:SDATE=20071299&amp;VAR:FREQ=Y&amp;VAR:RELITEM=&amp;VAR:CURRENCY=&amp;VAR:CURRSOURCE=EXSHARE&amp;V","AR:NATFREQ=ANNUAL&amp;VAR:RFIELD=FINALIZED&amp;VAR:DB_TYPE=&amp;VAR:UNITS=M&amp;window=popup&amp;width=450&amp;height=300&amp;START_MAXIMIZED=FALSE"}</definedName>
    <definedName name="_312__FDSAUDITLINK__" hidden="1">{"fdsup://IBCentral/FAT Viewer?action=UPDATE&amp;creator=factset&amp;DOC_NAME=fat:reuters_annual_source_window.fat&amp;display_string=Audit&amp;DYN_ARGS=TRUE&amp;VAR:ID1=63934E10&amp;VAR:RCODE=EBITDA&amp;VAR:SDATE=20071099&amp;VAR:FREQ=Y&amp;VAR:RELITEM=&amp;VAR:CURRENCY=&amp;VAR:CURRSOURCE=EXSHARE&amp;V","AR:NATFREQ=ANNUAL&amp;VAR:RFIELD=FINALIZED&amp;VAR:DB_TYPE=&amp;VAR:UNITS=M&amp;window=popup&amp;width=450&amp;height=300&amp;START_MAXIMIZED=FALSE"}</definedName>
    <definedName name="_313__FDSAUDITLINK__" hidden="1">{"fdsup://IBCentral/FAT Viewer?action=UPDATE&amp;creator=factset&amp;DOC_NAME=fat:reuters_annual_source_window.fat&amp;display_string=Audit&amp;DYN_ARGS=TRUE&amp;VAR:ID1=04335310&amp;VAR:RCODE=EBITDA&amp;VAR:SDATE=20080999&amp;VAR:FREQ=Y&amp;VAR:RELITEM=&amp;VAR:CURRENCY=&amp;VAR:CURRSOURCE=EXSHARE&amp;V","AR:NATFREQ=ANNUAL&amp;VAR:RFIELD=FINALIZED&amp;VAR:DB_TYPE=&amp;VAR:UNITS=M&amp;window=popup&amp;width=450&amp;height=300&amp;START_MAXIMIZED=FALSE"}</definedName>
    <definedName name="_314__FDSAUDITLINK__" hidden="1">{"fdsup://IBCentral/FAT Viewer?action=UPDATE&amp;creator=factset&amp;DOC_NAME=fat:reuters_annual_source_window.fat&amp;display_string=Audit&amp;DYN_ARGS=TRUE&amp;VAR:ID1=74018910&amp;VAR:RCODE=EBITDA&amp;VAR:SDATE=20080399&amp;VAR:FREQ=Y&amp;VAR:RELITEM=&amp;VAR:CURRENCY=&amp;VAR:CURRSOURCE=EXSHARE&amp;V","AR:NATFREQ=ANNUAL&amp;VAR:RFIELD=FINALIZED&amp;VAR:DB_TYPE=&amp;VAR:UNITS=M&amp;window=popup&amp;width=450&amp;height=300&amp;START_MAXIMIZED=FALSE"}</definedName>
    <definedName name="_315__FDSAUDITLINK__" hidden="1">{"fdsup://IBCentral/FAT Viewer?action=UPDATE&amp;creator=factset&amp;DOC_NAME=fat:reuters_annual_source_window.fat&amp;display_string=Audit&amp;DYN_ARGS=TRUE&amp;VAR:ID1=61539420&amp;VAR:RCODE=EBITDA&amp;VAR:SDATE=20080999&amp;VAR:FREQ=Y&amp;VAR:RELITEM=&amp;VAR:CURRENCY=&amp;VAR:CURRSOURCE=EXSHARE&amp;V","AR:NATFREQ=ANNUAL&amp;VAR:RFIELD=FINALIZED&amp;VAR:DB_TYPE=&amp;VAR:UNITS=M&amp;window=popup&amp;width=450&amp;height=300&amp;START_MAXIMIZED=FALSE"}</definedName>
    <definedName name="_316__FDSAUDITLINK__" hidden="1">{"fdsup://IBCentral/FAT Viewer?action=UPDATE&amp;creator=factset&amp;DOC_NAME=fat:reuters_annual_source_window.fat&amp;display_string=Audit&amp;DYN_ARGS=TRUE&amp;VAR:ID1=77434110&amp;VAR:RCODE=EBITDA&amp;VAR:SDATE=20080999&amp;VAR:FREQ=Y&amp;VAR:RELITEM=&amp;VAR:CURRENCY=&amp;VAR:CURRSOURCE=EXSHARE&amp;V","AR:NATFREQ=ANNUAL&amp;VAR:RFIELD=FINALIZED&amp;VAR:DB_TYPE=&amp;VAR:UNITS=M&amp;window=popup&amp;width=450&amp;height=300&amp;START_MAXIMIZED=FALSE"}</definedName>
    <definedName name="_317__FDSAUDITLINK__" hidden="1">{"fdsup://IBCentral/FAT Viewer?action=UPDATE&amp;creator=factset&amp;DOC_NAME=fat:reuters_annual_source_window.fat&amp;display_string=Audit&amp;DYN_ARGS=TRUE&amp;VAR:ID1=07330210&amp;VAR:RCODE=EBITDA&amp;VAR:SDATE=20071299&amp;VAR:FREQ=Y&amp;VAR:RELITEM=&amp;VAR:CURRENCY=&amp;VAR:CURRSOURCE=EXSHARE&amp;V","AR:NATFREQ=ANNUAL&amp;VAR:RFIELD=FINALIZED&amp;VAR:DB_TYPE=&amp;VAR:UNITS=M&amp;window=popup&amp;width=450&amp;height=300&amp;START_MAXIMIZED=FALSE"}</definedName>
    <definedName name="_318__FDSAUDITLINK__" hidden="1">{"fdsup://IBCentral/FAT Viewer?action=UPDATE&amp;creator=factset&amp;DOC_NAME=fat:reuters_annual_source_window.fat&amp;display_string=Audit&amp;DYN_ARGS=TRUE&amp;VAR:ID1=38238810&amp;VAR:RCODE=EBITDA&amp;VAR:SDATE=20071299&amp;VAR:FREQ=Y&amp;VAR:RELITEM=&amp;VAR:CURRENCY=&amp;VAR:CURRSOURCE=EXSHARE&amp;V","AR:NATFREQ=ANNUAL&amp;VAR:RFIELD=FINALIZED&amp;VAR:DB_TYPE=&amp;VAR:UNITS=M&amp;window=popup&amp;width=450&amp;height=300&amp;START_MAXIMIZED=FALSE"}</definedName>
    <definedName name="_319__FDSAUDITLINK__" hidden="1">{"fdsup://IBCentral/FAT Viewer?action=UPDATE&amp;creator=factset&amp;DOC_NAME=fat:reuters_annual_source_window.fat&amp;display_string=Audit&amp;DYN_ARGS=TRUE&amp;VAR:ID1=86694210&amp;VAR:RCODE=EBITDA&amp;VAR:SDATE=20071299&amp;VAR:FREQ=Y&amp;VAR:RELITEM=&amp;VAR:CURRENCY=&amp;VAR:CURRSOURCE=EXSHARE&amp;V","AR:NATFREQ=ANNUAL&amp;VAR:RFIELD=FINALIZED&amp;VAR:DB_TYPE=&amp;VAR:UNITS=M&amp;window=popup&amp;width=450&amp;height=300&amp;START_MAXIMIZED=FALSE"}</definedName>
    <definedName name="_32__FDSAUDITLINK__" hidden="1">{"fdsup://IBCentral/FAT Viewer?action=UPDATE&amp;creator=factset&amp;DOC_NAME=fat:reuters_annual_source_window.fat&amp;display_string=Audit&amp;DYN_ARGS=TRUE&amp;VAR:ID1=689714&amp;VAR:RCODE=EBITDA&amp;VAR:SDATE=20080399&amp;VAR:FREQ=Y&amp;VAR:RELITEM=RP&amp;VAR:CURRENCY=&amp;VAR:CURRSOURCE=EXSHARE&amp;V","AR:NATFREQ=ANNUAL&amp;VAR:RFIELD=FINALIZED&amp;VAR:DB_TYPE=&amp;VAR:UNITS=M&amp;window=popup&amp;width=450&amp;height=300&amp;START_MAXIMIZED=FALSE"}</definedName>
    <definedName name="_320__FDSAUDITLINK__" hidden="1">{"fdsup://IBCentral/FAT Viewer?action=UPDATE&amp;creator=factset&amp;DOC_NAME=fat:reuters_annual_source_window.fat&amp;display_string=Audit&amp;DYN_ARGS=TRUE&amp;VAR:ID1=676396&amp;VAR:RCODE=EBITDA&amp;VAR:SDATE=20080399&amp;VAR:FREQ=Y&amp;VAR:RELITEM=&amp;VAR:CURRENCY=&amp;VAR:CURRSOURCE=EXSHARE&amp;VAR",":NATFREQ=ANNUAL&amp;VAR:RFIELD=FINALIZED&amp;VAR:DB_TYPE=&amp;VAR:UNITS=M&amp;window=popup&amp;width=450&amp;height=300&amp;START_MAXIMIZED=FALSE"}</definedName>
    <definedName name="_321__FDSAUDITLINK__" hidden="1">{"fdsup://IBCentral/FAT Viewer?action=UPDATE&amp;creator=factset&amp;DOC_NAME=fat:reuters_annual_source_window.fat&amp;display_string=Audit&amp;DYN_ARGS=TRUE&amp;VAR:ID1=69642930&amp;VAR:RCODE=EBITDA&amp;VAR:SDATE=20080799&amp;VAR:FREQ=Y&amp;VAR:RELITEM=&amp;VAR:CURRENCY=&amp;VAR:CURRSOURCE=EXSHARE&amp;V","AR:NATFREQ=ANNUAL&amp;VAR:RFIELD=FINALIZED&amp;VAR:DB_TYPE=&amp;VAR:UNITS=M&amp;window=popup&amp;width=450&amp;height=300&amp;START_MAXIMIZED=FALSE"}</definedName>
    <definedName name="_322__FDSAUDITLINK__" hidden="1">{"fdsup://IBCentral/FAT Viewer?action=UPDATE&amp;creator=factset&amp;DOC_NAME=fat:reuters_annual_source_window.fat&amp;display_string=Audit&amp;DYN_ARGS=TRUE&amp;VAR:ID1=490238&amp;VAR:RCODE=EBITDA&amp;VAR:SDATE=20071299&amp;VAR:FREQ=Y&amp;VAR:RELITEM=&amp;VAR:CURRENCY=&amp;VAR:CURRSOURCE=EXSHARE&amp;VAR",":NATFREQ=ANNUAL&amp;VAR:RFIELD=FINALIZED&amp;VAR:DB_TYPE=&amp;VAR:UNITS=M&amp;window=popup&amp;width=450&amp;height=300&amp;START_MAXIMIZED=FALSE"}</definedName>
    <definedName name="_323__FDSAUDITLINK__" hidden="1">{"fdsup://IBCentral/FAT Viewer?action=UPDATE&amp;creator=factset&amp;DOC_NAME=fat:reuters_annual_source_window.fat&amp;display_string=Audit&amp;DYN_ARGS=TRUE&amp;VAR:ID1=80413710&amp;VAR:RCODE=EBITDA&amp;VAR:SDATE=20071299&amp;VAR:FREQ=Y&amp;VAR:RELITEM=&amp;VAR:CURRENCY=&amp;VAR:CURRSOURCE=EXSHARE&amp;V","AR:NATFREQ=ANNUAL&amp;VAR:RFIELD=FINALIZED&amp;VAR:DB_TYPE=&amp;VAR:UNITS=M&amp;window=popup&amp;width=450&amp;height=300&amp;START_MAXIMIZED=FALSE"}</definedName>
    <definedName name="_324__FDSAUDITLINK__" hidden="1">{"fdsup://IBCentral/FAT Viewer?action=UPDATE&amp;creator=factset&amp;DOC_NAME=fat:reuters_annual_source_window.fat&amp;display_string=Audit&amp;DYN_ARGS=TRUE&amp;VAR:ID1=29101110&amp;VAR:RCODE=EBITDA&amp;VAR:SDATE=20080999&amp;VAR:FREQ=Y&amp;VAR:RELITEM=&amp;VAR:CURRENCY=&amp;VAR:CURRSOURCE=EXSHARE&amp;V","AR:NATFREQ=ANNUAL&amp;VAR:RFIELD=FINALIZED&amp;VAR:DB_TYPE=&amp;VAR:UNITS=M&amp;window=popup&amp;width=450&amp;height=300&amp;START_MAXIMIZED=FALSE"}</definedName>
    <definedName name="_325__FDSAUDITLINK__" hidden="1">{"fdsup://IBCentral/FAT Viewer?action=UPDATE&amp;creator=factset&amp;DOC_NAME=fat:reuters_annual_source_window.fat&amp;display_string=Audit&amp;DYN_ARGS=TRUE&amp;VAR:ID1=483410&amp;VAR:RCODE=EBITDA&amp;VAR:SDATE=20071299&amp;VAR:FREQ=Y&amp;VAR:RELITEM=&amp;VAR:CURRENCY=&amp;VAR:CURRSOURCE=EXSHARE&amp;VAR",":NATFREQ=ANNUAL&amp;VAR:RFIELD=FINALIZED&amp;VAR:DB_TYPE=&amp;VAR:UNITS=M&amp;window=popup&amp;width=450&amp;height=300&amp;START_MAXIMIZED=FALSE"}</definedName>
    <definedName name="_326__FDSAUDITLINK__" hidden="1">{"fdsup://IBCentral/FAT Viewer?action=UPDATE&amp;creator=factset&amp;DOC_NAME=fat:reuters_annual_source_window.fat&amp;display_string=Audit&amp;DYN_ARGS=TRUE&amp;VAR:ID1=B11ZRK&amp;VAR:RCODE=EBITDA&amp;VAR:SDATE=20071299&amp;VAR:FREQ=Y&amp;VAR:RELITEM=&amp;VAR:CURRENCY=&amp;VAR:CURRSOURCE=EXSHARE&amp;VAR",":NATFREQ=ANNUAL&amp;VAR:RFIELD=FINALIZED&amp;VAR:DB_TYPE=&amp;VAR:UNITS=M&amp;window=popup&amp;width=450&amp;height=300&amp;START_MAXIMIZED=FALSE"}</definedName>
    <definedName name="_327__FDSAUDITLINK__" hidden="1">{"fdsup://IBCentral/FAT Viewer?action=UPDATE&amp;creator=factset&amp;DOC_NAME=fat:reuters_annual_source_window.fat&amp;display_string=Audit&amp;DYN_ARGS=TRUE&amp;VAR:ID1=44351020&amp;VAR:RCODE=EBITDA&amp;VAR:SDATE=20071299&amp;VAR:FREQ=Y&amp;VAR:RELITEM=&amp;VAR:CURRENCY=&amp;VAR:CURRSOURCE=EXSHARE&amp;V","AR:NATFREQ=ANNUAL&amp;VAR:RFIELD=FINALIZED&amp;VAR:DB_TYPE=&amp;VAR:UNITS=M&amp;window=popup&amp;width=450&amp;height=300&amp;START_MAXIMIZED=FALSE"}</definedName>
    <definedName name="_328__FDSAUDITLINK__" hidden="1">{"fdsup://IBCentral/FAT Viewer?action=UPDATE&amp;creator=factset&amp;DOC_NAME=fat:reuters_annual_source_window.fat&amp;display_string=Audit&amp;DYN_ARGS=TRUE&amp;VAR:ID1=88431510&amp;VAR:RCODE=EBITDA&amp;VAR:SDATE=20071299&amp;VAR:FREQ=Y&amp;VAR:RELITEM=&amp;VAR:CURRENCY=&amp;VAR:CURRSOURCE=EXSHARE&amp;V","AR:NATFREQ=ANNUAL&amp;VAR:RFIELD=FINALIZED&amp;VAR:DB_TYPE=&amp;VAR:UNITS=M&amp;window=popup&amp;width=450&amp;height=300&amp;START_MAXIMIZED=FALSE"}</definedName>
    <definedName name="_329__FDSAUDITLINK__" hidden="1">{"fdsup://IBCentral/FAT Viewer?action=UPDATE&amp;creator=factset&amp;DOC_NAME=fat:reuters_annual_source_window.fat&amp;display_string=Audit&amp;DYN_ARGS=TRUE&amp;VAR:ID1=G2418210&amp;VAR:RCODE=EBITDA&amp;VAR:SDATE=20071299&amp;VAR:FREQ=Y&amp;VAR:RELITEM=&amp;VAR:CURRENCY=&amp;VAR:CURRSOURCE=EXSHARE&amp;V","AR:NATFREQ=ANNUAL&amp;VAR:RFIELD=FINALIZED&amp;VAR:DB_TYPE=&amp;VAR:UNITS=M&amp;window=popup&amp;width=450&amp;height=300&amp;START_MAXIMIZED=FALSE"}</definedName>
    <definedName name="_33__FDSAUDITLINK__" hidden="1">{"fdsup://IBCentral/FAT Viewer?action=UPDATE&amp;creator=factset&amp;DOC_NAME=fat:reuters_annual_source_window.fat&amp;display_string=Audit&amp;DYN_ARGS=TRUE&amp;VAR:ID1=88077010&amp;VAR:RCODE=EBITDA&amp;VAR:SDATE=20071299&amp;VAR:FREQ=Y&amp;VAR:RELITEM=&amp;VAR:CURRENCY=&amp;VAR:CURRSOURCE=EXSHARE&amp;V","AR:NATFREQ=ANNUAL&amp;VAR:RFIELD=FINALIZED&amp;VAR:DB_TYPE=&amp;VAR:UNITS=M&amp;window=popup&amp;width=450&amp;height=300&amp;START_MAXIMIZED=FALSE"}</definedName>
    <definedName name="_330__FDSAUDITLINK__" hidden="1">{"fdsup://IBCentral/FAT Viewer?action=UPDATE&amp;creator=factset&amp;DOC_NAME=fat:reuters_annual_source_window.fat&amp;display_string=Audit&amp;DYN_ARGS=TRUE&amp;VAR:ID1=019520&amp;VAR:RCODE=EBITDA&amp;VAR:SDATE=20080399&amp;VAR:FREQ=Y&amp;VAR:RELITEM=&amp;VAR:CURRENCY=&amp;VAR:CURRSOURCE=EXSHARE&amp;VAR",":NATFREQ=ANNUAL&amp;VAR:RFIELD=FINALIZED&amp;VAR:DB_TYPE=&amp;VAR:UNITS=M&amp;window=popup&amp;width=450&amp;height=300&amp;START_MAXIMIZED=FALSE"}</definedName>
    <definedName name="_331__FDSAUDITLINK__" hidden="1">{"fdsup://IBCentral/FAT Viewer?action=UPDATE&amp;creator=factset&amp;DOC_NAME=fat:reuters_annual_source_window.fat&amp;display_string=Audit&amp;DYN_ARGS=TRUE&amp;VAR:ID1=Y9369110&amp;VAR:RCODE=EBITDA&amp;VAR:SDATE=20071099&amp;VAR:FREQ=Y&amp;VAR:RELITEM=RP&amp;VAR:CURRENCY=&amp;VAR:CURRSOURCE=EXSHARE","&amp;VAR:NATFREQ=ANNUAL&amp;VAR:RFIELD=FINALIZED&amp;VAR:DB_TYPE=&amp;VAR:UNITS=M&amp;window=popup&amp;width=450&amp;height=300&amp;START_MAXIMIZED=FALSE"}</definedName>
    <definedName name="_332__FDSAUDITLINK__" hidden="1">{"fdsup://IBCentral/FAT Viewer?action=UPDATE&amp;creator=factset&amp;DOC_NAME=fat:reuters_annual_source_window.fat&amp;display_string=Audit&amp;DYN_ARGS=TRUE&amp;VAR:ID1=27000610&amp;VAR:RCODE=EBITDA&amp;VAR:SDATE=20070999&amp;VAR:FREQ=Y&amp;VAR:RELITEM=RP&amp;VAR:CURRENCY=&amp;VAR:CURRSOURCE=EXSHARE","&amp;VAR:NATFREQ=ANNUAL&amp;VAR:RFIELD=FINALIZED&amp;VAR:DB_TYPE=&amp;VAR:UNITS=M&amp;window=popup&amp;width=450&amp;height=300&amp;START_MAXIMIZED=FALSE"}</definedName>
    <definedName name="_333__FDSAUDITLINK__" hidden="1">{"fdsup://IBCentral/FAT Viewer?action=UPDATE&amp;creator=factset&amp;DOC_NAME=fat:reuters_annual_source_window.fat&amp;display_string=Audit&amp;DYN_ARGS=TRUE&amp;VAR:ID1=48248010&amp;VAR:RCODE=EBITDA&amp;VAR:SDATE=20070699&amp;VAR:FREQ=Y&amp;VAR:RELITEM=RP&amp;VAR:CURRENCY=&amp;VAR:CURRSOURCE=EXSHARE","&amp;VAR:NATFREQ=ANNUAL&amp;VAR:RFIELD=FINALIZED&amp;VAR:DB_TYPE=&amp;VAR:UNITS=M&amp;window=popup&amp;width=450&amp;height=300&amp;START_MAXIMIZED=FALSE"}</definedName>
    <definedName name="_334__FDSAUDITLINK__" hidden="1">{"fdsup://IBCentral/FAT Viewer?action=UPDATE&amp;creator=factset&amp;DOC_NAME=fat:reuters_annual_source_window.fat&amp;display_string=Audit&amp;DYN_ARGS=TRUE&amp;VAR:ID1=04273510&amp;VAR:RCODE=EBITDA&amp;VAR:SDATE=20071299&amp;VAR:FREQ=Y&amp;VAR:RELITEM=RP&amp;VAR:CURRENCY=&amp;VAR:CURRSOURCE=EXSHARE","&amp;VAR:NATFREQ=ANNUAL&amp;VAR:RFIELD=FINALIZED&amp;VAR:DB_TYPE=&amp;VAR:UNITS=M&amp;window=popup&amp;width=450&amp;height=300&amp;START_MAXIMIZED=FALSE"}</definedName>
    <definedName name="_335__FDSAUDITLINK__" hidden="1">{"fdsup://IBCentral/FAT Viewer?action=UPDATE&amp;creator=factset&amp;DOC_NAME=fat:reuters_annual_source_window.fat&amp;display_string=Audit&amp;DYN_ARGS=TRUE&amp;VAR:ID1=03209510&amp;VAR:RCODE=EBITDA&amp;VAR:SDATE=20071299&amp;VAR:FREQ=Y&amp;VAR:RELITEM=RP&amp;VAR:CURRENCY=&amp;VAR:CURRSOURCE=EXSHARE","&amp;VAR:NATFREQ=ANNUAL&amp;VAR:RFIELD=FINALIZED&amp;VAR:DB_TYPE=&amp;VAR:UNITS=M&amp;window=popup&amp;width=450&amp;height=300&amp;START_MAXIMIZED=FALSE"}</definedName>
    <definedName name="_336__FDSAUDITLINK__" hidden="1">{"fdsup://IBCentral/FAT Viewer?action=UPDATE&amp;creator=factset&amp;DOC_NAME=fat:reuters_annual_source_window.fat&amp;display_string=Audit&amp;DYN_ARGS=TRUE&amp;VAR:ID1=38308210&amp;VAR:RCODE=EBITDA&amp;VAR:SDATE=20071299&amp;VAR:FREQ=Y&amp;VAR:RELITEM=RP&amp;VAR:CURRENCY=&amp;VAR:CURRSOURCE=EXSHARE","&amp;VAR:NATFREQ=ANNUAL&amp;VAR:RFIELD=FINALIZED&amp;VAR:DB_TYPE=&amp;VAR:UNITS=M&amp;window=popup&amp;width=450&amp;height=300&amp;START_MAXIMIZED=FALSE"}</definedName>
    <definedName name="_337__FDSAUDITLINK__" hidden="1">{"fdsup://IBCentral/FAT Viewer?action=UPDATE&amp;creator=factset&amp;DOC_NAME=fat:reuters_annual_source_window.fat&amp;display_string=Audit&amp;DYN_ARGS=TRUE&amp;VAR:ID1=13342B10&amp;VAR:RCODE=EBITDA&amp;VAR:SDATE=20071299&amp;VAR:FREQ=Y&amp;VAR:RELITEM=RP&amp;VAR:CURRENCY=&amp;VAR:CURRSOURCE=EXSHARE","&amp;VAR:NATFREQ=ANNUAL&amp;VAR:RFIELD=FINALIZED&amp;VAR:DB_TYPE=&amp;VAR:UNITS=M&amp;window=popup&amp;width=450&amp;height=300&amp;START_MAXIMIZED=FALSE"}</definedName>
    <definedName name="_338__FDSAUDITLINK__" hidden="1">{"fdsup://IBCentral/FAT Viewer?action=UPDATE&amp;creator=factset&amp;DOC_NAME=fat:reuters_annual_source_window.fat&amp;display_string=Audit&amp;DYN_ARGS=TRUE&amp;VAR:ID1=38410910&amp;VAR:RCODE=EBITDA&amp;VAR:SDATE=20071299&amp;VAR:FREQ=Y&amp;VAR:RELITEM=RP&amp;VAR:CURRENCY=&amp;VAR:CURRSOURCE=EXSHARE","&amp;VAR:NATFREQ=ANNUAL&amp;VAR:RFIELD=FINALIZED&amp;VAR:DB_TYPE=&amp;VAR:UNITS=M&amp;window=popup&amp;width=450&amp;height=300&amp;START_MAXIMIZED=FALSE"}</definedName>
    <definedName name="_339__FDSAUDITLINK__" hidden="1">{"fdsup://IBCentral/FAT Viewer?action=UPDATE&amp;creator=factset&amp;DOC_NAME=fat:reuters_annual_source_window.fat&amp;display_string=Audit&amp;DYN_ARGS=TRUE&amp;VAR:ID1=77019610&amp;VAR:RCODE=EBITDA&amp;VAR:SDATE=20070899&amp;VAR:FREQ=Y&amp;VAR:RELITEM=RP&amp;VAR:CURRENCY=&amp;VAR:CURRSOURCE=EXSHARE","&amp;VAR:NATFREQ=ANNUAL&amp;VAR:RFIELD=FINALIZED&amp;VAR:DB_TYPE=&amp;VAR:UNITS=M&amp;window=popup&amp;width=450&amp;height=300&amp;START_MAXIMIZED=FALSE"}</definedName>
    <definedName name="_34__FDSAUDITLINK__" hidden="1">{"fdsup://IBCentral/FAT Viewer?action=UPDATE&amp;creator=factset&amp;DOC_NAME=fat:reuters_annual_source_window.fat&amp;display_string=Audit&amp;DYN_ARGS=TRUE&amp;VAR:ID1=98920710&amp;VAR:RCODE=EBITDA&amp;VAR:SDATE=20071299&amp;VAR:FREQ=Y&amp;VAR:RELITEM=&amp;VAR:CURRENCY=&amp;VAR:CURRSOURCE=EXSHARE&amp;V","AR:NATFREQ=ANNUAL&amp;VAR:RFIELD=FINALIZED&amp;VAR:DB_TYPE=&amp;VAR:UNITS=M&amp;window=popup&amp;width=450&amp;height=300&amp;START_MAXIMIZED=FALSE"}</definedName>
    <definedName name="_340__FDSAUDITLINK__" hidden="1">{"fdsup://IBCentral/FAT Viewer?action=UPDATE&amp;creator=factset&amp;DOC_NAME=fat:reuters_annual_source_window.fat&amp;display_string=Audit&amp;DYN_ARGS=TRUE&amp;VAR:ID1=45167R10&amp;VAR:RCODE=EBITDA&amp;VAR:SDATE=20071299&amp;VAR:FREQ=Y&amp;VAR:RELITEM=RP&amp;VAR:CURRENCY=&amp;VAR:CURRSOURCE=EXSHARE","&amp;VAR:NATFREQ=ANNUAL&amp;VAR:RFIELD=FINALIZED&amp;VAR:DB_TYPE=&amp;VAR:UNITS=M&amp;window=popup&amp;width=450&amp;height=300&amp;START_MAXIMIZED=FALSE"}</definedName>
    <definedName name="_341__FDSAUDITLINK__" hidden="1">{"fdsup://IBCentral/FAT Viewer?action=UPDATE&amp;creator=factset&amp;DOC_NAME=fat:reuters_annual_source_window.fat&amp;display_string=Audit&amp;DYN_ARGS=TRUE&amp;VAR:ID1=34354P10&amp;VAR:RCODE=EBITDA&amp;VAR:SDATE=20071299&amp;VAR:FREQ=Y&amp;VAR:RELITEM=RP&amp;VAR:CURRENCY=&amp;VAR:CURRSOURCE=EXSHARE","&amp;VAR:NATFREQ=ANNUAL&amp;VAR:RFIELD=FINALIZED&amp;VAR:DB_TYPE=&amp;VAR:UNITS=M&amp;window=popup&amp;width=450&amp;height=300&amp;START_MAXIMIZED=FALSE"}</definedName>
    <definedName name="_342__FDSAUDITLINK__" hidden="1">{"fdsup://IBCentral/FAT Viewer?action=UPDATE&amp;creator=factset&amp;DOC_NAME=fat:reuters_annual_source_window.fat&amp;display_string=Audit&amp;DYN_ARGS=TRUE&amp;VAR:ID1=G9508910&amp;VAR:RCODE=EBITDA&amp;VAR:SDATE=20071299&amp;VAR:FREQ=Y&amp;VAR:RELITEM=RP&amp;VAR:CURRENCY=&amp;VAR:CURRSOURCE=EXSHARE","&amp;VAR:NATFREQ=ANNUAL&amp;VAR:RFIELD=FINALIZED&amp;VAR:DB_TYPE=&amp;VAR:UNITS=M&amp;window=popup&amp;width=450&amp;height=300&amp;START_MAXIMIZED=FALSE"}</definedName>
    <definedName name="_343__FDSAUDITLINK__" hidden="1">{"fdsup://IBCentral/FAT Viewer?action=UPDATE&amp;creator=factset&amp;DOC_NAME=fat:reuters_annual_source_window.fat&amp;display_string=Audit&amp;DYN_ARGS=TRUE&amp;VAR:ID1=63707110&amp;VAR:RCODE=EBITDA&amp;VAR:SDATE=20071299&amp;VAR:FREQ=Y&amp;VAR:RELITEM=RP&amp;VAR:CURRENCY=&amp;VAR:CURRSOURCE=EXSHARE","&amp;VAR:NATFREQ=ANNUAL&amp;VAR:RFIELD=FINALIZED&amp;VAR:DB_TYPE=&amp;VAR:UNITS=M&amp;window=popup&amp;width=450&amp;height=300&amp;START_MAXIMIZED=FALSE"}</definedName>
    <definedName name="_344__FDSAUDITLINK__" hidden="1">{"fdsup://IBCentral/FAT Viewer?action=UPDATE&amp;creator=factset&amp;DOC_NAME=fat:reuters_annual_source_window.fat&amp;display_string=Audit&amp;DYN_ARGS=TRUE&amp;VAR:ID1=56357110&amp;VAR:RCODE=EBITDA&amp;VAR:SDATE=20071299&amp;VAR:FREQ=Y&amp;VAR:RELITEM=RP&amp;VAR:CURRENCY=&amp;VAR:CURRSOURCE=EXSHARE","&amp;VAR:NATFREQ=ANNUAL&amp;VAR:RFIELD=FINALIZED&amp;VAR:DB_TYPE=&amp;VAR:UNITS=M&amp;window=popup&amp;width=450&amp;height=300&amp;START_MAXIMIZED=FALSE"}</definedName>
    <definedName name="_345__FDSAUDITLINK__" hidden="1">{"fdsup://IBCentral/FAT Viewer?action=UPDATE&amp;creator=factset&amp;DOC_NAME=fat:reuters_annual_source_window.fat&amp;display_string=Audit&amp;DYN_ARGS=TRUE&amp;VAR:ID1=59627810&amp;VAR:RCODE=EBITDA&amp;VAR:SDATE=20071299&amp;VAR:FREQ=Y&amp;VAR:RELITEM=RP&amp;VAR:CURRENCY=&amp;VAR:CURRSOURCE=EXSHARE","&amp;VAR:NATFREQ=ANNUAL&amp;VAR:RFIELD=FINALIZED&amp;VAR:DB_TYPE=&amp;VAR:UNITS=M&amp;window=popup&amp;width=450&amp;height=300&amp;START_MAXIMIZED=FALSE"}</definedName>
    <definedName name="_346__FDSAUDITLINK__" hidden="1">{"fdsup://IBCentral/FAT Viewer?action=UPDATE&amp;creator=factset&amp;DOC_NAME=fat:reuters_annual_source_window.fat&amp;display_string=Audit&amp;DYN_ARGS=TRUE&amp;VAR:ID1=45878610&amp;VAR:RCODE=EBITDA&amp;VAR:SDATE=20071299&amp;VAR:FREQ=Y&amp;VAR:RELITEM=RP&amp;VAR:CURRENCY=&amp;VAR:CURRSOURCE=EXSHARE","&amp;VAR:NATFREQ=ANNUAL&amp;VAR:RFIELD=FINALIZED&amp;VAR:DB_TYPE=&amp;VAR:UNITS=M&amp;window=popup&amp;width=450&amp;height=300&amp;START_MAXIMIZED=FALSE"}</definedName>
    <definedName name="_347__FDSAUDITLINK__" hidden="1">{"fdsup://IBCentral/FAT Viewer?action=UPDATE&amp;creator=factset&amp;DOC_NAME=fat:reuters_annual_source_window.fat&amp;display_string=Audit&amp;DYN_ARGS=TRUE&amp;VAR:ID1=23102110&amp;VAR:RCODE=EBITDA&amp;VAR:SDATE=20071299&amp;VAR:FREQ=Y&amp;VAR:RELITEM=RP&amp;VAR:CURRENCY=&amp;VAR:CURRSOURCE=EXSHARE","&amp;VAR:NATFREQ=ANNUAL&amp;VAR:RFIELD=FINALIZED&amp;VAR:DB_TYPE=&amp;VAR:UNITS=M&amp;window=popup&amp;width=450&amp;height=300&amp;START_MAXIMIZED=FALSE"}</definedName>
    <definedName name="_348__FDSAUDITLINK__" hidden="1">{"fdsup://IBCentral/FAT Viewer?action=UPDATE&amp;creator=factset&amp;DOC_NAME=fat:reuters_annual_source_window.fat&amp;display_string=Audit&amp;DYN_ARGS=TRUE&amp;VAR:ID1=N2093520&amp;VAR:RCODE=EBITDA&amp;VAR:SDATE=20071299&amp;VAR:FREQ=Y&amp;VAR:RELITEM=RP&amp;VAR:CURRENCY=&amp;VAR:CURRSOURCE=EXSHARE","&amp;VAR:NATFREQ=ANNUAL&amp;VAR:RFIELD=FINALIZED&amp;VAR:DB_TYPE=&amp;VAR:UNITS=M&amp;window=popup&amp;width=450&amp;height=300&amp;START_MAXIMIZED=FALSE"}</definedName>
    <definedName name="_349__FDSAUDITLINK__" hidden="1">{"fdsup://IBCentral/FAT Viewer?action=UPDATE&amp;creator=factset&amp;DOC_NAME=fat:reuters_annual_source_window.fat&amp;display_string=Audit&amp;DYN_ARGS=TRUE&amp;VAR:ID1=649658&amp;VAR:RCODE=EBITDA&amp;VAR:SDATE=20080399&amp;VAR:FREQ=Y&amp;VAR:RELITEM=RP&amp;VAR:CURRENCY=&amp;VAR:CURRSOURCE=EXSHARE&amp;V","AR:NATFREQ=ANNUAL&amp;VAR:RFIELD=FINALIZED&amp;VAR:DB_TYPE=&amp;VAR:UNITS=M&amp;window=popup&amp;width=450&amp;height=300&amp;START_MAXIMIZED=FALSE"}</definedName>
    <definedName name="_35__FDSAUDITLINK__" hidden="1">{"fdsup://IBCentral/FAT Viewer?action=UPDATE&amp;creator=factset&amp;DOC_NAME=fat:reuters_annual_source_window.fat&amp;display_string=Audit&amp;DYN_ARGS=TRUE&amp;VAR:ID1=G9143X20&amp;VAR:RCODE=EBITDA&amp;VAR:SDATE=20070999&amp;VAR:FREQ=Y&amp;VAR:RELITEM=RP&amp;VAR:CURRENCY=&amp;VAR:CURRSOURCE=EXSHARE","&amp;VAR:NATFREQ=ANNUAL&amp;VAR:RFIELD=FINALIZED&amp;VAR:DB_TYPE=&amp;VAR:UNITS=M&amp;window=popup&amp;width=450&amp;height=300&amp;START_MAXIMIZED=FALSE"}</definedName>
    <definedName name="_350__FDSAUDITLINK__" hidden="1">{"fdsup://IBCentral/FAT Viewer?action=UPDATE&amp;creator=factset&amp;DOC_NAME=fat:reuters_annual_source_window.fat&amp;display_string=Audit&amp;DYN_ARGS=TRUE&amp;VAR:ID1=88077910&amp;VAR:RCODE=EBITDA&amp;VAR:SDATE=20071299&amp;VAR:FREQ=Y&amp;VAR:RELITEM=RP&amp;VAR:CURRENCY=&amp;VAR:CURRSOURCE=EXSHARE","&amp;VAR:NATFREQ=ANNUAL&amp;VAR:RFIELD=FINALIZED&amp;VAR:DB_TYPE=&amp;VAR:UNITS=M&amp;window=popup&amp;width=450&amp;height=300&amp;START_MAXIMIZED=FALSE"}</definedName>
    <definedName name="_351__FDSAUDITLINK__" hidden="1">{"fdsup://IBCentral/FAT Viewer?action=UPDATE&amp;creator=factset&amp;DOC_NAME=fat:reuters_annual_source_window.fat&amp;display_string=Audit&amp;DYN_ARGS=TRUE&amp;VAR:ID1=14912310&amp;VAR:RCODE=EBITDA&amp;VAR:SDATE=20071299&amp;VAR:FREQ=Y&amp;VAR:RELITEM=RP&amp;VAR:CURRENCY=&amp;VAR:CURRSOURCE=EXSHARE","&amp;VAR:NATFREQ=ANNUAL&amp;VAR:RFIELD=FINALIZED&amp;VAR:DB_TYPE=&amp;VAR:UNITS=M&amp;window=popup&amp;width=450&amp;height=300&amp;START_MAXIMIZED=FALSE"}</definedName>
    <definedName name="_352__FDSAUDITLINK__" hidden="1">{"fdsup://IBCentral/FAT Viewer?action=UPDATE&amp;creator=factset&amp;DOC_NAME=fat:reuters_annual_source_window.fat&amp;display_string=Audit&amp;DYN_ARGS=TRUE&amp;VAR:ID1=Y9369110&amp;VAR:RCODE=EBITDA&amp;VAR:SDATE=20071099&amp;VAR:FREQ=Y&amp;VAR:RELITEM=&amp;VAR:CURRENCY=&amp;VAR:CURRSOURCE=EXSHARE&amp;V","AR:NATFREQ=ANNUAL&amp;VAR:RFIELD=FINALIZED&amp;VAR:DB_TYPE=&amp;VAR:UNITS=M&amp;window=popup&amp;width=450&amp;height=300&amp;START_MAXIMIZED=FALSE"}</definedName>
    <definedName name="_353__FDSAUDITLINK__" hidden="1">{"fdsup://IBCentral/FAT Viewer?action=UPDATE&amp;creator=factset&amp;DOC_NAME=fat:reuters_annual_source_window.fat&amp;display_string=Audit&amp;DYN_ARGS=TRUE&amp;VAR:ID1=27000610&amp;VAR:RCODE=EBITDA&amp;VAR:SDATE=20070999&amp;VAR:FREQ=Y&amp;VAR:RELITEM=&amp;VAR:CURRENCY=&amp;VAR:CURRSOURCE=EXSHARE&amp;V","AR:NATFREQ=ANNUAL&amp;VAR:RFIELD=FINALIZED&amp;VAR:DB_TYPE=&amp;VAR:UNITS=M&amp;window=popup&amp;width=450&amp;height=300&amp;START_MAXIMIZED=FALSE"}</definedName>
    <definedName name="_354__FDSAUDITLINK__" hidden="1">{"fdsup://IBCentral/FAT Viewer?action=UPDATE&amp;creator=factset&amp;DOC_NAME=fat:reuters_annual_source_window.fat&amp;display_string=Audit&amp;DYN_ARGS=TRUE&amp;VAR:ID1=48248010&amp;VAR:RCODE=EBITDA&amp;VAR:SDATE=20080699&amp;VAR:FREQ=Y&amp;VAR:RELITEM=&amp;VAR:CURRENCY=&amp;VAR:CURRSOURCE=EXSHARE&amp;V","AR:NATFREQ=ANNUAL&amp;VAR:RFIELD=FINALIZED&amp;VAR:DB_TYPE=&amp;VAR:UNITS=M&amp;window=popup&amp;width=450&amp;height=300&amp;START_MAXIMIZED=FALSE"}</definedName>
    <definedName name="_355__FDSAUDITLINK__" hidden="1">{"fdsup://IBCentral/FAT Viewer?action=UPDATE&amp;creator=factset&amp;DOC_NAME=fat:reuters_annual_source_window.fat&amp;display_string=Audit&amp;DYN_ARGS=TRUE&amp;VAR:ID1=04273510&amp;VAR:RCODE=EBITDA&amp;VAR:SDATE=20071299&amp;VAR:FREQ=Y&amp;VAR:RELITEM=&amp;VAR:CURRENCY=&amp;VAR:CURRSOURCE=EXSHARE&amp;V","AR:NATFREQ=ANNUAL&amp;VAR:RFIELD=FINALIZED&amp;VAR:DB_TYPE=&amp;VAR:UNITS=M&amp;window=popup&amp;width=450&amp;height=300&amp;START_MAXIMIZED=FALSE"}</definedName>
    <definedName name="_356__FDSAUDITLINK__" hidden="1">{"fdsup://IBCentral/FAT Viewer?action=UPDATE&amp;creator=factset&amp;DOC_NAME=fat:reuters_annual_source_window.fat&amp;display_string=Audit&amp;DYN_ARGS=TRUE&amp;VAR:ID1=03209510&amp;VAR:RCODE=EBITDA&amp;VAR:SDATE=20071299&amp;VAR:FREQ=Y&amp;VAR:RELITEM=&amp;VAR:CURRENCY=&amp;VAR:CURRSOURCE=EXSHARE&amp;V","AR:NATFREQ=ANNUAL&amp;VAR:RFIELD=FINALIZED&amp;VAR:DB_TYPE=&amp;VAR:UNITS=M&amp;window=popup&amp;width=450&amp;height=300&amp;START_MAXIMIZED=FALSE"}</definedName>
    <definedName name="_357__FDSAUDITLINK__" hidden="1">{"fdsup://IBCentral/FAT Viewer?action=UPDATE&amp;creator=factset&amp;DOC_NAME=fat:reuters_annual_source_window.fat&amp;display_string=Audit&amp;DYN_ARGS=TRUE&amp;VAR:ID1=38308210&amp;VAR:RCODE=EBITDA&amp;VAR:SDATE=20071299&amp;VAR:FREQ=Y&amp;VAR:RELITEM=&amp;VAR:CURRENCY=&amp;VAR:CURRSOURCE=EXSHARE&amp;V","AR:NATFREQ=ANNUAL&amp;VAR:RFIELD=FINALIZED&amp;VAR:DB_TYPE=&amp;VAR:UNITS=M&amp;window=popup&amp;width=450&amp;height=300&amp;START_MAXIMIZED=FALSE"}</definedName>
    <definedName name="_358__FDSAUDITLINK__" hidden="1">{"fdsup://IBCentral/FAT Viewer?action=UPDATE&amp;creator=factset&amp;DOC_NAME=fat:reuters_annual_source_window.fat&amp;display_string=Audit&amp;DYN_ARGS=TRUE&amp;VAR:ID1=13342B10&amp;VAR:RCODE=EBITDA&amp;VAR:SDATE=20071299&amp;VAR:FREQ=Y&amp;VAR:RELITEM=&amp;VAR:CURRENCY=&amp;VAR:CURRSOURCE=EXSHARE&amp;V","AR:NATFREQ=ANNUAL&amp;VAR:RFIELD=FINALIZED&amp;VAR:DB_TYPE=&amp;VAR:UNITS=M&amp;window=popup&amp;width=450&amp;height=300&amp;START_MAXIMIZED=FALSE"}</definedName>
    <definedName name="_359__FDSAUDITLINK__" hidden="1">{"fdsup://IBCentral/FAT Viewer?action=UPDATE&amp;creator=factset&amp;DOC_NAME=fat:reuters_annual_source_window.fat&amp;display_string=Audit&amp;DYN_ARGS=TRUE&amp;VAR:ID1=38410910&amp;VAR:RCODE=EBITDA&amp;VAR:SDATE=20071299&amp;VAR:FREQ=Y&amp;VAR:RELITEM=&amp;VAR:CURRENCY=&amp;VAR:CURRSOURCE=EXSHARE&amp;V","AR:NATFREQ=ANNUAL&amp;VAR:RFIELD=FINALIZED&amp;VAR:DB_TYPE=&amp;VAR:UNITS=M&amp;window=popup&amp;width=450&amp;height=300&amp;START_MAXIMIZED=FALSE"}</definedName>
    <definedName name="_36__FDSAUDITLINK__" hidden="1">{"fdsup://IBCentral/FAT Viewer?action=UPDATE&amp;creator=factset&amp;DOC_NAME=fat:reuters_annual_source_window.fat&amp;display_string=Audit&amp;DYN_ARGS=TRUE&amp;VAR:ID1=679159&amp;VAR:RCODE=EBITDA&amp;VAR:SDATE=20080399&amp;VAR:FREQ=Y&amp;VAR:RELITEM=RP&amp;VAR:CURRENCY=&amp;VAR:CURRSOURCE=EXSHARE&amp;V","AR:NATFREQ=ANNUAL&amp;VAR:RFIELD=FINALIZED&amp;VAR:DB_TYPE=&amp;VAR:UNITS=M&amp;window=popup&amp;width=450&amp;height=300&amp;START_MAXIMIZED=FALSE"}</definedName>
    <definedName name="_360__FDSAUDITLINK__" hidden="1">{"fdsup://IBCentral/FAT Viewer?action=UPDATE&amp;creator=factset&amp;DOC_NAME=fat:reuters_annual_source_window.fat&amp;display_string=Audit&amp;DYN_ARGS=TRUE&amp;VAR:ID1=77019610&amp;VAR:RCODE=EBITDA&amp;VAR:SDATE=20080899&amp;VAR:FREQ=Y&amp;VAR:RELITEM=&amp;VAR:CURRENCY=&amp;VAR:CURRSOURCE=EXSHARE&amp;V","AR:NATFREQ=ANNUAL&amp;VAR:RFIELD=FINALIZED&amp;VAR:DB_TYPE=&amp;VAR:UNITS=M&amp;window=popup&amp;width=450&amp;height=300&amp;START_MAXIMIZED=FALSE"}</definedName>
    <definedName name="_361__FDSAUDITLINK__" hidden="1">{"fdsup://IBCentral/FAT Viewer?action=UPDATE&amp;creator=factset&amp;DOC_NAME=fat:reuters_annual_source_window.fat&amp;display_string=Audit&amp;DYN_ARGS=TRUE&amp;VAR:ID1=45167R10&amp;VAR:RCODE=EBITDA&amp;VAR:SDATE=20071299&amp;VAR:FREQ=Y&amp;VAR:RELITEM=&amp;VAR:CURRENCY=&amp;VAR:CURRSOURCE=EXSHARE&amp;V","AR:NATFREQ=ANNUAL&amp;VAR:RFIELD=FINALIZED&amp;VAR:DB_TYPE=&amp;VAR:UNITS=M&amp;window=popup&amp;width=450&amp;height=300&amp;START_MAXIMIZED=FALSE"}</definedName>
    <definedName name="_362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363__FDSAUDITLINK__" hidden="1">{"fdsup://IBCentral/FAT Viewer?action=UPDATE&amp;creator=factset&amp;DOC_NAME=fat:reuters_annual_source_window.fat&amp;display_string=Audit&amp;DYN_ARGS=TRUE&amp;VAR:ID1=G9508910&amp;VAR:RCODE=EBITDA&amp;VAR:SDATE=20071299&amp;VAR:FREQ=Y&amp;VAR:RELITEM=&amp;VAR:CURRENCY=&amp;VAR:CURRSOURCE=EXSHARE&amp;V","AR:NATFREQ=ANNUAL&amp;VAR:RFIELD=FINALIZED&amp;VAR:DB_TYPE=&amp;VAR:UNITS=M&amp;window=popup&amp;width=450&amp;height=300&amp;START_MAXIMIZED=FALSE"}</definedName>
    <definedName name="_364__FDSAUDITLINK__" hidden="1">{"fdsup://IBCentral/FAT Viewer?action=UPDATE&amp;creator=factset&amp;DOC_NAME=fat:reuters_annual_source_window.fat&amp;display_string=Audit&amp;DYN_ARGS=TRUE&amp;VAR:ID1=63707110&amp;VAR:RCODE=EBITDA&amp;VAR:SDATE=20071299&amp;VAR:FREQ=Y&amp;VAR:RELITEM=&amp;VAR:CURRENCY=&amp;VAR:CURRSOURCE=EXSHARE&amp;V","AR:NATFREQ=ANNUAL&amp;VAR:RFIELD=FINALIZED&amp;VAR:DB_TYPE=&amp;VAR:UNITS=M&amp;window=popup&amp;width=450&amp;height=300&amp;START_MAXIMIZED=FALSE"}</definedName>
    <definedName name="_365__FDSAUDITLINK__" hidden="1">{"fdsup://IBCentral/FAT Viewer?action=UPDATE&amp;creator=factset&amp;DOC_NAME=fat:reuters_annual_source_window.fat&amp;display_string=Audit&amp;DYN_ARGS=TRUE&amp;VAR:ID1=59627810&amp;VAR:RCODE=EBITDA&amp;VAR:SDATE=20071299&amp;VAR:FREQ=Y&amp;VAR:RELITEM=&amp;VAR:CURRENCY=&amp;VAR:CURRSOURCE=EXSHARE&amp;V","AR:NATFREQ=ANNUAL&amp;VAR:RFIELD=FINALIZED&amp;VAR:DB_TYPE=&amp;VAR:UNITS=M&amp;window=popup&amp;width=450&amp;height=300&amp;START_MAXIMIZED=FALSE"}</definedName>
    <definedName name="_366__FDSAUDITLINK__" hidden="1">{"fdsup://IBCentral/FAT Viewer?action=UPDATE&amp;creator=factset&amp;DOC_NAME=fat:reuters_annual_source_window.fat&amp;display_string=Audit&amp;DYN_ARGS=TRUE&amp;VAR:ID1=027480&amp;VAR:RCODE=EBITDA&amp;VAR:SDATE=20071099&amp;VAR:FREQ=Y&amp;VAR:RELITEM=&amp;VAR:CURRENCY=&amp;VAR:CURRSOURCE=EXSHARE&amp;VAR",":NATFREQ=ANNUAL&amp;VAR:RFIELD=FINALIZED&amp;VAR:DB_TYPE=&amp;VAR:UNITS=M&amp;window=popup&amp;width=450&amp;height=300&amp;START_MAXIMIZED=FALSE"}</definedName>
    <definedName name="_367__FDSAUDITLINK__" hidden="1">{"fdsup://IBCentral/FAT Viewer?action=UPDATE&amp;creator=factset&amp;DOC_NAME=fat:reuters_annual_source_window.fat&amp;display_string=Audit&amp;DYN_ARGS=TRUE&amp;VAR:ID1=45878610&amp;VAR:RCODE=EBITDA&amp;VAR:SDATE=20071299&amp;VAR:FREQ=Y&amp;VAR:RELITEM=&amp;VAR:CURRENCY=&amp;VAR:CURRSOURCE=EXSHARE&amp;V","AR:NATFREQ=ANNUAL&amp;VAR:RFIELD=FINALIZED&amp;VAR:DB_TYPE=&amp;VAR:UNITS=M&amp;window=popup&amp;width=450&amp;height=300&amp;START_MAXIMIZED=FALSE"}</definedName>
    <definedName name="_368__FDSAUDITLINK__" hidden="1">{"fdsup://IBCentral/FAT Viewer?action=UPDATE&amp;creator=factset&amp;DOC_NAME=fat:reuters_annual_source_window.fat&amp;display_string=Audit&amp;DYN_ARGS=TRUE&amp;VAR:ID1=23102110&amp;VAR:RCODE=EBITDA&amp;VAR:SDATE=20071299&amp;VAR:FREQ=Y&amp;VAR:RELITEM=&amp;VAR:CURRENCY=&amp;VAR:CURRSOURCE=EXSHARE&amp;V","AR:NATFREQ=ANNUAL&amp;VAR:RFIELD=FINALIZED&amp;VAR:DB_TYPE=&amp;VAR:UNITS=M&amp;window=popup&amp;width=450&amp;height=300&amp;START_MAXIMIZED=FALSE"}</definedName>
    <definedName name="_369__FDSAUDITLINK__" hidden="1">{"fdsup://IBCentral/FAT Viewer?action=UPDATE&amp;creator=factset&amp;DOC_NAME=fat:reuters_annual_source_window.fat&amp;display_string=Audit&amp;DYN_ARGS=TRUE&amp;VAR:ID1=N2093520&amp;VAR:RCODE=EBITDA&amp;VAR:SDATE=20071299&amp;VAR:FREQ=Y&amp;VAR:RELITEM=&amp;VAR:CURRENCY=&amp;VAR:CURRSOURCE=EXSHARE&amp;V","AR:NATFREQ=ANNUAL&amp;VAR:RFIELD=FINALIZED&amp;VAR:DB_TYPE=&amp;VAR:UNITS=M&amp;window=popup&amp;width=450&amp;height=300&amp;START_MAXIMIZED=FALSE"}</definedName>
    <definedName name="_37__FDSAUDITLINK__" hidden="1">{"fdsup://IBCentral/FAT Viewer?action=UPDATE&amp;creator=factset&amp;DOC_NAME=fat:reuters_annual_source_window.fat&amp;display_string=Audit&amp;DYN_ARGS=TRUE&amp;VAR:ID1=555404&amp;VAR:RCODE=EBITDA&amp;VAR:SDATE=20071299&amp;VAR:FREQ=Y&amp;VAR:RELITEM=RP&amp;VAR:CURRENCY=&amp;VAR:CURRSOURCE=EXSHARE&amp;V","AR:NATFREQ=ANNUAL&amp;VAR:RFIELD=FINALIZED&amp;VAR:DB_TYPE=&amp;VAR:UNITS=M&amp;window=popup&amp;width=450&amp;height=300&amp;START_MAXIMIZED=FALSE"}</definedName>
    <definedName name="_370__FDSAUDITLINK__" hidden="1">{"fdsup://IBCentral/FAT Viewer?action=UPDATE&amp;creator=factset&amp;DOC_NAME=fat:reuters_annual_source_window.fat&amp;display_string=Audit&amp;DYN_ARGS=TRUE&amp;VAR:ID1=649658&amp;VAR:RCODE=EBITDA&amp;VAR:SDATE=20080399&amp;VAR:FREQ=Y&amp;VAR:RELITEM=&amp;VAR:CURRENCY=&amp;VAR:CURRSOURCE=EXSHARE&amp;VAR",":NATFREQ=ANNUAL&amp;VAR:RFIELD=FINALIZED&amp;VAR:DB_TYPE=&amp;VAR:UNITS=M&amp;window=popup&amp;width=450&amp;height=300&amp;START_MAXIMIZED=FALSE"}</definedName>
    <definedName name="_371__FDSAUDITLINK__" hidden="1">{"fdsup://IBCentral/FAT Viewer?action=UPDATE&amp;creator=factset&amp;DOC_NAME=fat:reuters_annual_source_window.fat&amp;display_string=Audit&amp;DYN_ARGS=TRUE&amp;VAR:ID1=88077910&amp;VAR:RCODE=EBITDA&amp;VAR:SDATE=20071299&amp;VAR:FREQ=Y&amp;VAR:RELITEM=&amp;VAR:CURRENCY=&amp;VAR:CURRSOURCE=EXSHARE&amp;V","AR:NATFREQ=ANNUAL&amp;VAR:RFIELD=FINALIZED&amp;VAR:DB_TYPE=&amp;VAR:UNITS=M&amp;window=popup&amp;width=450&amp;height=300&amp;START_MAXIMIZED=FALSE"}</definedName>
    <definedName name="_372__FDSAUDITLINK__" hidden="1">{"fdsup://IBCentral/FAT Viewer?action=UPDATE&amp;creator=factset&amp;DOC_NAME=fat:reuters_annual_source_window.fat&amp;display_string=Audit&amp;DYN_ARGS=TRUE&amp;VAR:ID1=70109410&amp;VAR:RCODE=EBITDA&amp;VAR:SDATE=20080699&amp;VAR:FREQ=Y&amp;VAR:RELITEM=&amp;VAR:CURRENCY=&amp;VAR:CURRSOURCE=EXSHARE&amp;V","AR:NATFREQ=ANNUAL&amp;VAR:RFIELD=FINALIZED&amp;VAR:DB_TYPE=&amp;VAR:UNITS=M&amp;window=popup&amp;width=450&amp;height=300&amp;START_MAXIMIZED=FALSE"}</definedName>
    <definedName name="_373__FDSAUDITLINK__" hidden="1">{"fdsup://IBCentral/FAT Viewer?action=UPDATE&amp;creator=factset&amp;DOC_NAME=fat:reuters_annual_source_window.fat&amp;display_string=Audit&amp;DYN_ARGS=TRUE&amp;VAR:ID1=14912310&amp;VAR:RCODE=EBITDA&amp;VAR:SDATE=20071299&amp;VAR:FREQ=Y&amp;VAR:RELITEM=&amp;VAR:CURRENCY=&amp;VAR:CURRSOURCE=EXSHARE&amp;V","AR:NATFREQ=ANNUAL&amp;VAR:RFIELD=FINALIZED&amp;VAR:DB_TYPE=&amp;VAR:UNITS=M&amp;window=popup&amp;width=450&amp;height=300&amp;START_MAXIMIZED=FALSE"}</definedName>
    <definedName name="_374__FDSAUDITLINK__" hidden="1">{"fdsup://IBCentral/FAT Viewer?action=UPDATE&amp;creator=factset&amp;DOC_NAME=fat:reuters_annual_source_window.fat&amp;display_string=Audit&amp;DYN_ARGS=TRUE&amp;VAR:ID1=09179710&amp;VAR:RCODE=EBITDA&amp;VAR:SDATE=20071299&amp;VAR:FREQ=Y&amp;VAR:RELITEM=RP&amp;VAR:CURRENCY=&amp;VAR:CURRSOURCE=EXSHARE","&amp;VAR:NATFREQ=ANNUAL&amp;VAR:RFIELD=FINALIZED&amp;VAR:DB_TYPE=&amp;VAR:UNITS=M&amp;window=popup&amp;width=450&amp;height=300&amp;START_MAXIMIZED=FALSE"}</definedName>
    <definedName name="_375__FDSAUDITLINK__" hidden="1">{"fdsup://IBCentral/FAT Viewer?action=UPDATE&amp;creator=factset&amp;DOC_NAME=fat:reuters_annual_source_window.fat&amp;display_string=Audit&amp;DYN_ARGS=TRUE&amp;VAR:ID1=83303410&amp;VAR:RCODE=EBITDA&amp;VAR:SDATE=20071299&amp;VAR:FREQ=Y&amp;VAR:RELITEM=RP&amp;VAR:CURRENCY=&amp;VAR:CURRSOURCE=EXSHARE","&amp;VAR:NATFREQ=ANNUAL&amp;VAR:RFIELD=FINALIZED&amp;VAR:DB_TYPE=&amp;VAR:UNITS=M&amp;window=popup&amp;width=450&amp;height=300&amp;START_MAXIMIZED=FALSE"}</definedName>
    <definedName name="_376__FDSAUDITLINK__" hidden="1">{"fdsup://IBCentral/FAT Viewer?action=UPDATE&amp;creator=factset&amp;DOC_NAME=fat:reuters_annual_source_window.fat&amp;display_string=Audit&amp;DYN_ARGS=TRUE&amp;VAR:ID1=85461610&amp;VAR:RCODE=EBITDA&amp;VAR:SDATE=20071299&amp;VAR:FREQ=Y&amp;VAR:RELITEM=RP&amp;VAR:CURRENCY=&amp;VAR:CURRSOURCE=EXSHARE","&amp;VAR:NATFREQ=ANNUAL&amp;VAR:RFIELD=FINALIZED&amp;VAR:DB_TYPE=&amp;VAR:UNITS=M&amp;window=popup&amp;width=450&amp;height=300&amp;START_MAXIMIZED=FALSE"}</definedName>
    <definedName name="_377__FDSAUDITLINK__" hidden="1">{"fdsup://IBCentral/FAT Viewer?action=UPDATE&amp;creator=factset&amp;DOC_NAME=fat:reuters_annual_source_window.fat&amp;display_string=Audit&amp;DYN_ARGS=TRUE&amp;VAR:ID1=05774110&amp;VAR:RCODE=EBITDA&amp;VAR:SDATE=20071299&amp;VAR:FREQ=Y&amp;VAR:RELITEM=RP&amp;VAR:CURRENCY=&amp;VAR:CURRSOURCE=EXSHARE","&amp;VAR:NATFREQ=ANNUAL&amp;VAR:RFIELD=FINALIZED&amp;VAR:DB_TYPE=&amp;VAR:UNITS=M&amp;window=popup&amp;width=450&amp;height=300&amp;START_MAXIMIZED=FALSE"}</definedName>
    <definedName name="_378__FDSAUDITLINK__" hidden="1">{"fdsup://IBCentral/FAT Viewer?action=UPDATE&amp;creator=factset&amp;DOC_NAME=fat:reuters_annual_source_window.fat&amp;display_string=Audit&amp;DYN_ARGS=TRUE&amp;VAR:ID1=027480&amp;VAR:RCODE=EBITDA&amp;VAR:SDATE=20071099&amp;VAR:FREQ=Y&amp;VAR:RELITEM=RP&amp;VAR:CURRENCY=&amp;VAR:CURRSOURCE=EXSHARE&amp;V","AR:NATFREQ=ANNUAL&amp;VAR:RFIELD=FINALIZED&amp;VAR:DB_TYPE=&amp;VAR:UNITS=M&amp;window=popup&amp;width=450&amp;height=300&amp;START_MAXIMIZED=FALSE"}</definedName>
    <definedName name="_379__FDSAUDITLINK__" hidden="1">{"fdsup://IBCentral/FAT Viewer?action=UPDATE&amp;creator=factset&amp;DOC_NAME=fat:reuters_annual_source_window.fat&amp;display_string=Audit&amp;DYN_ARGS=TRUE&amp;VAR:ID1=98920710&amp;VAR:RCODE=EBITDA&amp;VAR:SDATE=20071299&amp;VAR:FREQ=Y&amp;VAR:RELITEM=RP&amp;VAR:CURRENCY=&amp;VAR:CURRSOURCE=EXSHARE","&amp;VAR:NATFREQ=ANNUAL&amp;VAR:RFIELD=FINALIZED&amp;VAR:DB_TYPE=&amp;VAR:UNITS=M&amp;window=popup&amp;width=450&amp;height=300&amp;START_MAXIMIZED=FALSE"}</definedName>
    <definedName name="_38__FDSAUDITLINK__" hidden="1">{"fdsup://IBCentral/FAT Viewer?action=UPDATE&amp;creator=factset&amp;DOC_NAME=fat:reuters_annual_source_window.fat&amp;display_string=Audit&amp;DYN_ARGS=TRUE&amp;VAR:ID1=B01FLG&amp;VAR:RCODE=EBITDA&amp;VAR:SDATE=20071299&amp;VAR:FREQ=Y&amp;VAR:RELITEM=RP&amp;VAR:CURRENCY=&amp;VAR:CURRSOURCE=EXSHARE&amp;V","AR:NATFREQ=ANNUAL&amp;VAR:RFIELD=FINALIZED&amp;VAR:DB_TYPE=&amp;VAR:UNITS=M&amp;window=popup&amp;width=450&amp;height=300&amp;START_MAXIMIZED=FALSE"}</definedName>
    <definedName name="_380__FDSAUDITLINK__" hidden="1">{"fdsup://IBCentral/FAT Viewer?action=UPDATE&amp;creator=factset&amp;DOC_NAME=fat:reuters_annual_source_window.fat&amp;display_string=Audit&amp;DYN_ARGS=TRUE&amp;VAR:ID1=77390310&amp;VAR:RCODE=EBITDA&amp;VAR:SDATE=20070999&amp;VAR:FREQ=Y&amp;VAR:RELITEM=RP&amp;VAR:CURRENCY=&amp;VAR:CURRSOURCE=EXSHARE","&amp;VAR:NATFREQ=ANNUAL&amp;VAR:RFIELD=FINALIZED&amp;VAR:DB_TYPE=&amp;VAR:UNITS=M&amp;window=popup&amp;width=450&amp;height=300&amp;START_MAXIMIZED=FALSE"}</definedName>
    <definedName name="_381__FDSAUDITLINK__" hidden="1">{"fdsup://IBCentral/FAT Viewer?action=UPDATE&amp;creator=factset&amp;DOC_NAME=fat:reuters_annual_source_window.fat&amp;display_string=Audit&amp;DYN_ARGS=TRUE&amp;VAR:ID1=70109410&amp;VAR:RCODE=EBITDA&amp;VAR:SDATE=20070699&amp;VAR:FREQ=Y&amp;VAR:RELITEM=RP&amp;VAR:CURRENCY=&amp;VAR:CURRSOURCE=EXSHARE","&amp;VAR:NATFREQ=ANNUAL&amp;VAR:RFIELD=FINALIZED&amp;VAR:DB_TYPE=&amp;VAR:UNITS=M&amp;window=popup&amp;width=450&amp;height=300&amp;START_MAXIMIZED=FALSE"}</definedName>
    <definedName name="_382__FDSAUDITLINK__" hidden="1">{"fdsup://IBCentral/FAT Viewer?action=UPDATE&amp;creator=factset&amp;DOC_NAME=fat:reuters_annual_source_window.fat&amp;display_string=Audit&amp;DYN_ARGS=TRUE&amp;VAR:ID1=82966C10&amp;VAR:RCODE=EBITDA&amp;VAR:SDATE=20070999&amp;VAR:FREQ=Y&amp;VAR:RELITEM=RP&amp;VAR:CURRENCY=&amp;VAR:CURRSOURCE=EXSHARE","&amp;VAR:NATFREQ=ANNUAL&amp;VAR:RFIELD=FINALIZED&amp;VAR:DB_TYPE=&amp;VAR:UNITS=M&amp;window=popup&amp;width=450&amp;height=300&amp;START_MAXIMIZED=FALSE"}</definedName>
    <definedName name="_383__FDSAUDITLINK__" hidden="1">{"fdsup://IBCentral/FAT Viewer?action=UPDATE&amp;creator=factset&amp;DOC_NAME=fat:reuters_annual_source_window.fat&amp;display_string=Audit&amp;DYN_ARGS=TRUE&amp;VAR:ID1=80640710&amp;VAR:RCODE=EBITDA&amp;VAR:SDATE=20071299&amp;VAR:FREQ=Y&amp;VAR:RELITEM=RP&amp;VAR:CURRENCY=&amp;VAR:CURRSOURCE=EXSHARE","&amp;VAR:NATFREQ=ANNUAL&amp;VAR:RFIELD=FINALIZED&amp;VAR:DB_TYPE=&amp;VAR:UNITS=M&amp;window=popup&amp;width=450&amp;height=300&amp;START_MAXIMIZED=FALSE"}</definedName>
    <definedName name="_384__FDSAUDITLINK__" hidden="1">{"fdsup://IBCentral/FAT Viewer?action=UPDATE&amp;creator=factset&amp;DOC_NAME=fat:reuters_annual_source_window.fat&amp;display_string=Audit&amp;DYN_ARGS=TRUE&amp;VAR:ID1=24903010&amp;VAR:RCODE=EBITDA&amp;VAR:SDATE=20071299&amp;VAR:FREQ=Y&amp;VAR:RELITEM=RP&amp;VAR:CURRENCY=&amp;VAR:CURRSOURCE=EXSHARE","&amp;VAR:NATFREQ=ANNUAL&amp;VAR:RFIELD=FINALIZED&amp;VAR:DB_TYPE=&amp;VAR:UNITS=M&amp;window=popup&amp;width=450&amp;height=300&amp;START_MAXIMIZED=FALSE"}</definedName>
    <definedName name="_385__FDSAUDITLINK__" hidden="1">{"fdsup://IBCentral/FAT Viewer?action=UPDATE&amp;creator=factset&amp;DOC_NAME=fat:reuters_annual_source_window.fat&amp;display_string=Audit&amp;DYN_ARGS=TRUE&amp;VAR:ID1=71404610&amp;VAR:RCODE=EBITDA&amp;VAR:SDATE=20071299&amp;VAR:FREQ=Y&amp;VAR:RELITEM=RP&amp;VAR:CURRENCY=&amp;VAR:CURRSOURCE=EXSHARE","&amp;VAR:NATFREQ=ANNUAL&amp;VAR:RFIELD=FINALIZED&amp;VAR:DB_TYPE=&amp;VAR:UNITS=M&amp;window=popup&amp;width=450&amp;height=300&amp;START_MAXIMIZED=FALSE"}</definedName>
    <definedName name="_386__FDSAUDITLINK__" hidden="1">{"fdsup://IBCentral/FAT Viewer?action=UPDATE&amp;creator=factset&amp;DOC_NAME=fat:reuters_annual_source_window.fat&amp;display_string=Audit&amp;DYN_ARGS=TRUE&amp;VAR:ID1=88355610&amp;VAR:RCODE=EBITDA&amp;VAR:SDATE=20071299&amp;VAR:FREQ=Y&amp;VAR:RELITEM=RP&amp;VAR:CURRENCY=&amp;VAR:CURRSOURCE=EXSHARE","&amp;VAR:NATFREQ=ANNUAL&amp;VAR:RFIELD=FINALIZED&amp;VAR:DB_TYPE=&amp;VAR:UNITS=M&amp;window=popup&amp;width=450&amp;height=300&amp;START_MAXIMIZED=FALSE"}</definedName>
    <definedName name="_387__FDSAUDITLINK__" hidden="1">{"fdsup://IBCentral/FAT Viewer?action=UPDATE&amp;creator=factset&amp;DOC_NAME=fat:reuters_annual_source_window.fat&amp;display_string=Audit&amp;DYN_ARGS=TRUE&amp;VAR:ID1=07588710&amp;VAR:RCODE=EBITDA&amp;VAR:SDATE=20070999&amp;VAR:FREQ=Y&amp;VAR:RELITEM=RP&amp;VAR:CURRENCY=&amp;VAR:CURRSOURCE=EXSHARE","&amp;VAR:NATFREQ=ANNUAL&amp;VAR:RFIELD=FINALIZED&amp;VAR:DB_TYPE=&amp;VAR:UNITS=M&amp;window=popup&amp;width=450&amp;height=300&amp;START_MAXIMIZED=FALSE"}</definedName>
    <definedName name="_388__FDSAUDITLINK__" hidden="1">{"fdsup://IBCentral/FAT Viewer?action=UPDATE&amp;creator=factset&amp;DOC_NAME=fat:reuters_annual_source_window.fat&amp;display_string=Audit&amp;DYN_ARGS=TRUE&amp;VAR:ID1=07581110&amp;VAR:RCODE=EBITDA&amp;VAR:SDATE=20071299&amp;VAR:FREQ=Y&amp;VAR:RELITEM=RP&amp;VAR:CURRENCY=&amp;VAR:CURRSOURCE=EXSHARE","&amp;VAR:NATFREQ=ANNUAL&amp;VAR:RFIELD=FINALIZED&amp;VAR:DB_TYPE=&amp;VAR:UNITS=M&amp;window=popup&amp;width=450&amp;height=300&amp;START_MAXIMIZED=FALSE"}</definedName>
    <definedName name="_389__FDSAUDITLINK__" hidden="1">{"fdsup://IBCentral/FAT Viewer?action=UPDATE&amp;creator=factset&amp;DOC_NAME=fat:reuters_annual_source_window.fat&amp;display_string=Audit&amp;DYN_ARGS=TRUE&amp;VAR:ID1=62985Q10&amp;VAR:RCODE=EBITDA&amp;VAR:SDATE=20071299&amp;VAR:FREQ=Y&amp;VAR:RELITEM=RP&amp;VAR:CURRENCY=&amp;VAR:CURRSOURCE=EXSHARE","&amp;VAR:NATFREQ=ANNUAL&amp;VAR:RFIELD=FINALIZED&amp;VAR:DB_TYPE=&amp;VAR:UNITS=M&amp;window=popup&amp;width=450&amp;height=300&amp;START_MAXIMIZED=FALSE"}</definedName>
    <definedName name="_39__FDSAUDITLINK__" hidden="1">{"fdsup://IBCentral/FAT Viewer?action=UPDATE&amp;creator=factset&amp;DOC_NAME=fat:reuters_annual_source_window.fat&amp;display_string=Audit&amp;DYN_ARGS=TRUE&amp;VAR:ID1=732584&amp;VAR:RCODE=EBITDA&amp;VAR:SDATE=20071299&amp;VAR:FREQ=Y&amp;VAR:RELITEM=&amp;VAR:CURRENCY=&amp;VAR:CURRSOURCE=EXSHARE&amp;VAR",":NATFREQ=ANNUAL&amp;VAR:RFIELD=FINALIZED&amp;VAR:DB_TYPE=&amp;VAR:UNITS=M&amp;window=popup&amp;width=450&amp;height=300&amp;START_MAXIMIZED=FALSE"}</definedName>
    <definedName name="_390__FDSAUDITLINK__" hidden="1">{"fdsup://IBCentral/FAT Viewer?action=UPDATE&amp;creator=factset&amp;DOC_NAME=fat:reuters_annual_source_window.fat&amp;display_string=Audit&amp;DYN_ARGS=TRUE&amp;VAR:ID1=63651810&amp;VAR:RCODE=EBITDA&amp;VAR:SDATE=20071299&amp;VAR:FREQ=Y&amp;VAR:RELITEM=RP&amp;VAR:CURRENCY=&amp;VAR:CURRSOURCE=EXSHARE","&amp;VAR:NATFREQ=ANNUAL&amp;VAR:RFIELD=FINALIZED&amp;VAR:DB_TYPE=&amp;VAR:UNITS=M&amp;window=popup&amp;width=450&amp;height=300&amp;START_MAXIMIZED=FALSE"}</definedName>
    <definedName name="_391__FDSAUDITLINK__" hidden="1">{"fdsup://IBCentral/FAT Viewer?action=UPDATE&amp;creator=factset&amp;DOC_NAME=fat:reuters_annual_source_window.fat&amp;display_string=Audit&amp;DYN_ARGS=TRUE&amp;VAR:ID1=65182410&amp;VAR:RCODE=EBITDA&amp;VAR:SDATE=20071299&amp;VAR:FREQ=Y&amp;VAR:RELITEM=RP&amp;VAR:CURRENCY=&amp;VAR:CURRSOURCE=EXSHARE","&amp;VAR:NATFREQ=ANNUAL&amp;VAR:RFIELD=FINALIZED&amp;VAR:DB_TYPE=&amp;VAR:UNITS=M&amp;window=popup&amp;width=450&amp;height=300&amp;START_MAXIMIZED=FALSE"}</definedName>
    <definedName name="_392__FDSAUDITLINK__" hidden="1">{"fdsup://IBCentral/FAT Viewer?action=UPDATE&amp;creator=factset&amp;DOC_NAME=fat:reuters_annual_source_window.fat&amp;display_string=Audit&amp;DYN_ARGS=TRUE&amp;VAR:ID1=B096C6&amp;VAR:RCODE=EBITDA&amp;VAR:SDATE=20071299&amp;VAR:FREQ=Y&amp;VAR:RELITEM=RP&amp;VAR:CURRENCY=&amp;VAR:CURRSOURCE=EXSHARE&amp;V","AR:NATFREQ=ANNUAL&amp;VAR:RFIELD=FINALIZED&amp;VAR:DB_TYPE=&amp;VAR:UNITS=M&amp;window=popup&amp;width=450&amp;height=300&amp;START_MAXIMIZED=FALSE"}</definedName>
    <definedName name="_393__FDSAUDITLINK__" hidden="1">{"fdsup://IBCentral/FAT Viewer?action=UPDATE&amp;creator=factset&amp;DOC_NAME=fat:reuters_annual_source_window.fat&amp;display_string=Audit&amp;DYN_ARGS=TRUE&amp;VAR:ID1=88077010&amp;VAR:RCODE=EBITDA&amp;VAR:SDATE=20071299&amp;VAR:FREQ=Y&amp;VAR:RELITEM=RP&amp;VAR:CURRENCY=&amp;VAR:CURRSOURCE=EXSHARE","&amp;VAR:NATFREQ=ANNUAL&amp;VAR:RFIELD=FINALIZED&amp;VAR:DB_TYPE=&amp;VAR:UNITS=M&amp;window=popup&amp;width=450&amp;height=300&amp;START_MAXIMIZED=FALSE"}</definedName>
    <definedName name="_394__FDSAUDITLINK__" hidden="1">{"fdsup://IBCentral/FAT Viewer?action=UPDATE&amp;creator=factset&amp;DOC_NAME=fat:reuters_annual_source_window.fat&amp;display_string=Audit&amp;DYN_ARGS=TRUE&amp;VAR:ID1=00846U10&amp;VAR:RCODE=EBITDA&amp;VAR:SDATE=20071099&amp;VAR:FREQ=Y&amp;VAR:RELITEM=RP&amp;VAR:CURRENCY=&amp;VAR:CURRSOURCE=EXSHARE","&amp;VAR:NATFREQ=ANNUAL&amp;VAR:RFIELD=FINALIZED&amp;VAR:DB_TYPE=&amp;VAR:UNITS=M&amp;window=popup&amp;width=450&amp;height=300&amp;START_MAXIMIZED=FALSE"}</definedName>
    <definedName name="_395__FDSAUDITLINK__" hidden="1">{"fdsup://IBCentral/FAT Viewer?action=UPDATE&amp;creator=factset&amp;DOC_NAME=fat:reuters_annual_source_window.fat&amp;display_string=Audit&amp;DYN_ARGS=TRUE&amp;VAR:ID1=09179710&amp;VAR:RCODE=EBITDA&amp;VAR:SDATE=20071299&amp;VAR:FREQ=Y&amp;VAR:RELITEM=&amp;VAR:CURRENCY=&amp;VAR:CURRSOURCE=EXSHARE&amp;V","AR:NATFREQ=ANNUAL&amp;VAR:RFIELD=FINALIZED&amp;VAR:DB_TYPE=&amp;VAR:UNITS=M&amp;window=popup&amp;width=450&amp;height=300&amp;START_MAXIMIZED=FALSE"}</definedName>
    <definedName name="_396__FDSAUDITLINK__" hidden="1">{"fdsup://IBCentral/FAT Viewer?action=UPDATE&amp;creator=factset&amp;DOC_NAME=fat:reuters_annual_source_window.fat&amp;display_string=Audit&amp;DYN_ARGS=TRUE&amp;VAR:ID1=83303410&amp;VAR:RCODE=EBITDA&amp;VAR:SDATE=20071299&amp;VAR:FREQ=Y&amp;VAR:RELITEM=&amp;VAR:CURRENCY=&amp;VAR:CURRSOURCE=EXSHARE&amp;V","AR:NATFREQ=ANNUAL&amp;VAR:RFIELD=FINALIZED&amp;VAR:DB_TYPE=&amp;VAR:UNITS=M&amp;window=popup&amp;width=450&amp;height=300&amp;START_MAXIMIZED=FALSE"}</definedName>
    <definedName name="_397__FDSAUDITLINK__" hidden="1">{"fdsup://IBCentral/FAT Viewer?action=UPDATE&amp;creator=factset&amp;DOC_NAME=fat:reuters_annual_source_window.fat&amp;display_string=Audit&amp;DYN_ARGS=TRUE&amp;VAR:ID1=85461610&amp;VAR:RCODE=EBITDA&amp;VAR:SDATE=20071299&amp;VAR:FREQ=Y&amp;VAR:RELITEM=&amp;VAR:CURRENCY=&amp;VAR:CURRSOURCE=EXSHARE&amp;V","AR:NATFREQ=ANNUAL&amp;VAR:RFIELD=FINALIZED&amp;VAR:DB_TYPE=&amp;VAR:UNITS=M&amp;window=popup&amp;width=450&amp;height=300&amp;START_MAXIMIZED=FALSE"}</definedName>
    <definedName name="_398__FDSAUDITLINK__" hidden="1">{"fdsup://IBCentral/FAT Viewer?action=UPDATE&amp;creator=factset&amp;DOC_NAME=fat:reuters_annual_source_window.fat&amp;display_string=Audit&amp;DYN_ARGS=TRUE&amp;VAR:ID1=05774110&amp;VAR:RCODE=EBITDA&amp;VAR:SDATE=20071299&amp;VAR:FREQ=Y&amp;VAR:RELITEM=&amp;VAR:CURRENCY=&amp;VAR:CURRSOURCE=EXSHARE&amp;V","AR:NATFREQ=ANNUAL&amp;VAR:RFIELD=FINALIZED&amp;VAR:DB_TYPE=&amp;VAR:UNITS=M&amp;window=popup&amp;width=450&amp;height=300&amp;START_MAXIMIZED=FALSE"}</definedName>
    <definedName name="_399__FDSAUDITLINK__" hidden="1">{"fdsup://IBCentral/FAT Viewer?action=UPDATE&amp;creator=factset&amp;DOC_NAME=fat:reuters_annual_source_window.fat&amp;display_string=Audit&amp;DYN_ARGS=TRUE&amp;VAR:ID1=027480&amp;VAR:RCODE=EBITDA&amp;VAR:SDATE=20071099&amp;VAR:FREQ=Y&amp;VAR:RELITEM=&amp;VAR:CURRENCY=&amp;VAR:CURRSOURCE=EXSHARE&amp;VAR",":NATFREQ=ANNUAL&amp;VAR:RFIELD=FINALIZED&amp;VAR:DB_TYPE=&amp;VAR:UNITS=M&amp;window=popup&amp;width=450&amp;height=300&amp;START_MAXIMIZED=FALSE"}</definedName>
    <definedName name="_4__FDSAUDITLINK__" hidden="1">{"fdsup://IBCentral/FAT Viewer?action=UPDATE&amp;creator=factset&amp;DOC_NAME=fat:reuters_annual_source_window.fat&amp;display_string=Audit&amp;DYN_ARGS=TRUE&amp;VAR:ID1=77390310&amp;VAR:RCODE=EBITDA&amp;VAR:SDATE=20080999&amp;VAR:FREQ=Y&amp;VAR:RELITEM=&amp;VAR:CURRENCY=&amp;VAR:CURRSOURCE=EXSHARE&amp;V","AR:NATFREQ=ANNUAL&amp;VAR:RFIELD=FINALIZED&amp;VAR:DB_TYPE=&amp;VAR:UNITS=M&amp;window=popup&amp;width=450&amp;height=300&amp;START_MAXIMIZED=FALSE"}</definedName>
    <definedName name="_40__FDSAUDITLINK__" hidden="1">{"fdsup://IBCentral/FAT Viewer?action=UPDATE&amp;creator=factset&amp;DOC_NAME=fat:reuters_annual_source_window.fat&amp;display_string=Audit&amp;DYN_ARGS=TRUE&amp;VAR:ID1=665118&amp;VAR:RCODE=EBITDA&amp;VAR:SDATE=20080399&amp;VAR:FREQ=Y&amp;VAR:RELITEM=&amp;VAR:CURRENCY=&amp;VAR:CURRSOURCE=EXSHARE&amp;VAR",":NATFREQ=ANNUAL&amp;VAR:RFIELD=FINALIZED&amp;VAR:DB_TYPE=&amp;VAR:UNITS=M&amp;window=popup&amp;width=450&amp;height=300&amp;START_MAXIMIZED=FALSE"}</definedName>
    <definedName name="_400__FDSAUDITLINK__" hidden="1">{"fdsup://IBCentral/FAT Viewer?action=UPDATE&amp;creator=factset&amp;DOC_NAME=fat:reuters_annual_source_window.fat&amp;display_string=Audit&amp;DYN_ARGS=TRUE&amp;VAR:ID1=98920710&amp;VAR:RCODE=EBITDA&amp;VAR:SDATE=20071299&amp;VAR:FREQ=Y&amp;VAR:RELITEM=&amp;VAR:CURRENCY=&amp;VAR:CURRSOURCE=EXSHARE&amp;V","AR:NATFREQ=ANNUAL&amp;VAR:RFIELD=FINALIZED&amp;VAR:DB_TYPE=&amp;VAR:UNITS=M&amp;window=popup&amp;width=450&amp;height=300&amp;START_MAXIMIZED=FALSE"}</definedName>
    <definedName name="_401__FDSAUDITLINK__" hidden="1">{"fdsup://IBCentral/FAT Viewer?action=UPDATE&amp;creator=factset&amp;DOC_NAME=fat:reuters_annual_source_window.fat&amp;display_string=Audit&amp;DYN_ARGS=TRUE&amp;VAR:ID1=77390310&amp;VAR:RCODE=EBITDA&amp;VAR:SDATE=20080999&amp;VAR:FREQ=Y&amp;VAR:RELITEM=&amp;VAR:CURRENCY=&amp;VAR:CURRSOURCE=EXSHARE&amp;V","AR:NATFREQ=ANNUAL&amp;VAR:RFIELD=FINALIZED&amp;VAR:DB_TYPE=&amp;VAR:UNITS=M&amp;window=popup&amp;width=450&amp;height=300&amp;START_MAXIMIZED=FALSE"}</definedName>
    <definedName name="_402__FDSAUDITLINK__" hidden="1">{"fdsup://IBCentral/FAT Viewer?action=UPDATE&amp;creator=factset&amp;DOC_NAME=fat:reuters_annual_source_window.fat&amp;display_string=Audit&amp;DYN_ARGS=TRUE&amp;VAR:ID1=70109410&amp;VAR:RCODE=EBITDA&amp;VAR:SDATE=20080699&amp;VAR:FREQ=Y&amp;VAR:RELITEM=&amp;VAR:CURRENCY=&amp;VAR:CURRSOURCE=EXSHARE&amp;V","AR:NATFREQ=ANNUAL&amp;VAR:RFIELD=FINALIZED&amp;VAR:DB_TYPE=&amp;VAR:UNITS=M&amp;window=popup&amp;width=450&amp;height=300&amp;START_MAXIMIZED=FALSE"}</definedName>
    <definedName name="_403__FDSAUDITLINK__" hidden="1">{"fdsup://IBCentral/FAT Viewer?action=UPDATE&amp;creator=factset&amp;DOC_NAME=fat:reuters_annual_source_window.fat&amp;display_string=Audit&amp;DYN_ARGS=TRUE&amp;VAR:ID1=82966C10&amp;VAR:RCODE=EBITDA&amp;VAR:SDATE=20070999&amp;VAR:FREQ=Y&amp;VAR:RELITEM=&amp;VAR:CURRENCY=&amp;VAR:CURRSOURCE=EXSHARE&amp;V","AR:NATFREQ=ANNUAL&amp;VAR:RFIELD=FINALIZED&amp;VAR:DB_TYPE=&amp;VAR:UNITS=M&amp;window=popup&amp;width=450&amp;height=300&amp;START_MAXIMIZED=FALSE"}</definedName>
    <definedName name="_404__FDSAUDITLINK__" hidden="1">{"fdsup://IBCentral/FAT Viewer?action=UPDATE&amp;creator=factset&amp;DOC_NAME=fat:reuters_annual_source_window.fat&amp;display_string=Audit&amp;DYN_ARGS=TRUE&amp;VAR:ID1=80640710&amp;VAR:RCODE=EBITDA&amp;VAR:SDATE=20071299&amp;VAR:FREQ=Y&amp;VAR:RELITEM=&amp;VAR:CURRENCY=&amp;VAR:CURRSOURCE=EXSHARE&amp;V","AR:NATFREQ=ANNUAL&amp;VAR:RFIELD=FINALIZED&amp;VAR:DB_TYPE=&amp;VAR:UNITS=M&amp;window=popup&amp;width=450&amp;height=300&amp;START_MAXIMIZED=FALSE"}</definedName>
    <definedName name="_405__FDSAUDITLINK__" hidden="1">{"fdsup://IBCentral/FAT Viewer?action=UPDATE&amp;creator=factset&amp;DOC_NAME=fat:reuters_annual_source_window.fat&amp;display_string=Audit&amp;DYN_ARGS=TRUE&amp;VAR:ID1=24903010&amp;VAR:RCODE=EBITDA&amp;VAR:SDATE=20071299&amp;VAR:FREQ=Y&amp;VAR:RELITEM=&amp;VAR:CURRENCY=&amp;VAR:CURRSOURCE=EXSHARE&amp;V","AR:NATFREQ=ANNUAL&amp;VAR:RFIELD=FINALIZED&amp;VAR:DB_TYPE=&amp;VAR:UNITS=M&amp;window=popup&amp;width=450&amp;height=300&amp;START_MAXIMIZED=FALSE"}</definedName>
    <definedName name="_406__FDSAUDITLINK__" hidden="1">{"fdsup://IBCentral/FAT Viewer?action=UPDATE&amp;creator=factset&amp;DOC_NAME=fat:reuters_annual_source_window.fat&amp;display_string=Audit&amp;DYN_ARGS=TRUE&amp;VAR:ID1=71404610&amp;VAR:RCODE=EBITDA&amp;VAR:SDATE=20071299&amp;VAR:FREQ=Y&amp;VAR:RELITEM=&amp;VAR:CURRENCY=&amp;VAR:CURRSOURCE=EXSHARE&amp;V","AR:NATFREQ=ANNUAL&amp;VAR:RFIELD=FINALIZED&amp;VAR:DB_TYPE=&amp;VAR:UNITS=M&amp;window=popup&amp;width=450&amp;height=300&amp;START_MAXIMIZED=FALSE"}</definedName>
    <definedName name="_407__FDSAUDITLINK__" hidden="1">{"fdsup://IBCentral/FAT Viewer?action=UPDATE&amp;creator=factset&amp;DOC_NAME=fat:reuters_annual_source_window.fat&amp;display_string=Audit&amp;DYN_ARGS=TRUE&amp;VAR:ID1=88355610&amp;VAR:RCODE=EBITDA&amp;VAR:SDATE=20071299&amp;VAR:FREQ=Y&amp;VAR:RELITEM=&amp;VAR:CURRENCY=&amp;VAR:CURRSOURCE=EXSHARE&amp;V","AR:NATFREQ=ANNUAL&amp;VAR:RFIELD=FINALIZED&amp;VAR:DB_TYPE=&amp;VAR:UNITS=M&amp;window=popup&amp;width=450&amp;height=300&amp;START_MAXIMIZED=FALSE"}</definedName>
    <definedName name="_408__FDSAUDITLINK__" hidden="1">{"fdsup://IBCentral/FAT Viewer?action=UPDATE&amp;creator=factset&amp;DOC_NAME=fat:reuters_annual_source_window.fat&amp;display_string=Audit&amp;DYN_ARGS=TRUE&amp;VAR:ID1=07588710&amp;VAR:RCODE=EBITDA&amp;VAR:SDATE=20080999&amp;VAR:FREQ=Y&amp;VAR:RELITEM=&amp;VAR:CURRENCY=&amp;VAR:CURRSOURCE=EXSHARE&amp;V","AR:NATFREQ=ANNUAL&amp;VAR:RFIELD=FINALIZED&amp;VAR:DB_TYPE=&amp;VAR:UNITS=M&amp;window=popup&amp;width=450&amp;height=300&amp;START_MAXIMIZED=FALSE"}</definedName>
    <definedName name="_409__FDSAUDITLINK__" hidden="1">{"fdsup://IBCentral/FAT Viewer?action=UPDATE&amp;creator=factset&amp;DOC_NAME=fat:reuters_annual_source_window.fat&amp;display_string=Audit&amp;DYN_ARGS=TRUE&amp;VAR:ID1=07581110&amp;VAR:RCODE=EBITDA&amp;VAR:SDATE=20071299&amp;VAR:FREQ=Y&amp;VAR:RELITEM=&amp;VAR:CURRENCY=&amp;VAR:CURRSOURCE=EXSHARE&amp;V","AR:NATFREQ=ANNUAL&amp;VAR:RFIELD=FINALIZED&amp;VAR:DB_TYPE=&amp;VAR:UNITS=M&amp;window=popup&amp;width=450&amp;height=300&amp;START_MAXIMIZED=FALSE"}</definedName>
    <definedName name="_41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410__FDSAUDITLINK__" hidden="1">{"fdsup://IBCentral/FAT Viewer?action=UPDATE&amp;creator=factset&amp;DOC_NAME=fat:reuters_annual_source_window.fat&amp;display_string=Audit&amp;DYN_ARGS=TRUE&amp;VAR:ID1=62985Q10&amp;VAR:RCODE=EBITDA&amp;VAR:SDATE=20071299&amp;VAR:FREQ=Y&amp;VAR:RELITEM=&amp;VAR:CURRENCY=&amp;VAR:CURRSOURCE=EXSHARE&amp;V","AR:NATFREQ=ANNUAL&amp;VAR:RFIELD=FINALIZED&amp;VAR:DB_TYPE=&amp;VAR:UNITS=M&amp;window=popup&amp;width=450&amp;height=300&amp;START_MAXIMIZED=FALSE"}</definedName>
    <definedName name="_411__FDSAUDITLINK__" hidden="1">{"fdsup://IBCentral/FAT Viewer?action=UPDATE&amp;creator=factset&amp;DOC_NAME=fat:reuters_annual_source_window.fat&amp;display_string=Audit&amp;DYN_ARGS=TRUE&amp;VAR:ID1=63651810&amp;VAR:RCODE=EBITDA&amp;VAR:SDATE=20071299&amp;VAR:FREQ=Y&amp;VAR:RELITEM=&amp;VAR:CURRENCY=&amp;VAR:CURRSOURCE=EXSHARE&amp;V","AR:NATFREQ=ANNUAL&amp;VAR:RFIELD=FINALIZED&amp;VAR:DB_TYPE=&amp;VAR:UNITS=M&amp;window=popup&amp;width=450&amp;height=300&amp;START_MAXIMIZED=FALSE"}</definedName>
    <definedName name="_412__FDSAUDITLINK__" hidden="1">{"fdsup://IBCentral/FAT Viewer?action=UPDATE&amp;creator=factset&amp;DOC_NAME=fat:reuters_annual_source_window.fat&amp;display_string=Audit&amp;DYN_ARGS=TRUE&amp;VAR:ID1=65182410&amp;VAR:RCODE=EBITDA&amp;VAR:SDATE=20071299&amp;VAR:FREQ=Y&amp;VAR:RELITEM=&amp;VAR:CURRENCY=&amp;VAR:CURRSOURCE=EXSHARE&amp;V","AR:NATFREQ=ANNUAL&amp;VAR:RFIELD=FINALIZED&amp;VAR:DB_TYPE=&amp;VAR:UNITS=M&amp;window=popup&amp;width=450&amp;height=300&amp;START_MAXIMIZED=FALSE"}</definedName>
    <definedName name="_413__FDSAUDITLINK__" hidden="1">{"fdsup://IBCentral/FAT Viewer?action=UPDATE&amp;creator=factset&amp;DOC_NAME=fat:reuters_annual_source_window.fat&amp;display_string=Audit&amp;DYN_ARGS=TRUE&amp;VAR:ID1=B096C6&amp;VAR:RCODE=EBITDA&amp;VAR:SDATE=20071299&amp;VAR:FREQ=Y&amp;VAR:RELITEM=&amp;VAR:CURRENCY=&amp;VAR:CURRSOURCE=EXSHARE&amp;VAR",":NATFREQ=ANNUAL&amp;VAR:RFIELD=FINALIZED&amp;VAR:DB_TYPE=&amp;VAR:UNITS=M&amp;window=popup&amp;width=450&amp;height=300&amp;START_MAXIMIZED=FALSE"}</definedName>
    <definedName name="_414__FDSAUDITLINK__" hidden="1">{"fdsup://IBCentral/FAT Viewer?action=UPDATE&amp;creator=factset&amp;DOC_NAME=fat:reuters_annual_source_window.fat&amp;display_string=Audit&amp;DYN_ARGS=TRUE&amp;VAR:ID1=88077010&amp;VAR:RCODE=EBITDA&amp;VAR:SDATE=20071299&amp;VAR:FREQ=Y&amp;VAR:RELITEM=&amp;VAR:CURRENCY=&amp;VAR:CURRSOURCE=EXSHARE&amp;V","AR:NATFREQ=ANNUAL&amp;VAR:RFIELD=FINALIZED&amp;VAR:DB_TYPE=&amp;VAR:UNITS=M&amp;window=popup&amp;width=450&amp;height=300&amp;START_MAXIMIZED=FALSE"}</definedName>
    <definedName name="_415__FDSAUDITLINK__" hidden="1">{"fdsup://IBCentral/FAT Viewer?action=UPDATE&amp;creator=factset&amp;DOC_NAME=fat:reuters_annual_source_window.fat&amp;display_string=Audit&amp;DYN_ARGS=TRUE&amp;VAR:ID1=00846U10&amp;VAR:RCODE=EBITDA&amp;VAR:SDATE=20081099&amp;VAR:FREQ=Y&amp;VAR:RELITEM=&amp;VAR:CURRENCY=&amp;VAR:CURRSOURCE=EXSHARE&amp;V","AR:NATFREQ=ANNUAL&amp;VAR:RFIELD=FINALIZED&amp;VAR:DB_TYPE=&amp;VAR:UNITS=M&amp;window=popup&amp;width=450&amp;height=300&amp;START_MAXIMIZED=FALSE"}</definedName>
    <definedName name="_42__FDSAUDITLINK__" hidden="1">{"fdsup://IBCentral/FAT Viewer?action=UPDATE&amp;creator=factset&amp;DOC_NAME=fat:reuters_annual_source_window.fat&amp;display_string=Audit&amp;DYN_ARGS=TRUE&amp;VAR:ID1=569878&amp;VAR:RCODE=EBITDA&amp;VAR:SDATE=20071299&amp;VAR:FREQ=Y&amp;VAR:RELITEM=RP&amp;VAR:CURRENCY=&amp;VAR:CURRSOURCE=EXSHARE&amp;V","AR:NATFREQ=ANNUAL&amp;VAR:RFIELD=FINALIZED&amp;VAR:DB_TYPE=&amp;VAR:UNITS=M&amp;window=popup&amp;width=450&amp;height=300&amp;START_MAXIMIZED=FALSE"}</definedName>
    <definedName name="_43__FDSAUDITLINK__" hidden="1">{"fdsup://IBCentral/FAT Viewer?action=UPDATE&amp;creator=factset&amp;DOC_NAME=fat:reuters_annual_source_window.fat&amp;display_string=Audit&amp;DYN_ARGS=TRUE&amp;VAR:ID1=52610710&amp;VAR:RCODE=EBITDA&amp;VAR:SDATE=20071299&amp;VAR:FREQ=Y&amp;VAR:RELITEM=RP&amp;VAR:CURRENCY=&amp;VAR:CURRSOURCE=EXSHARE","&amp;VAR:NATFREQ=ANNUAL&amp;VAR:RFIELD=FINALIZED&amp;VAR:DB_TYPE=&amp;VAR:UNITS=M&amp;window=popup&amp;width=450&amp;height=300&amp;START_MAXIMIZED=FALSE"}</definedName>
    <definedName name="_44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45__FDSAUDITLINK__" hidden="1">{"fdsup://IBCentral/FAT Viewer?action=UPDATE&amp;creator=factset&amp;DOC_NAME=fat:reuters_annual_source_window.fat&amp;display_string=Audit&amp;DYN_ARGS=TRUE&amp;VAR:ID1=G4776G10&amp;VAR:RCODE=EBITDA&amp;VAR:SDATE=20071299&amp;VAR:FREQ=Y&amp;VAR:RELITEM=RP&amp;VAR:CURRENCY=&amp;VAR:CURRSOURCE=EXSHARE","&amp;VAR:NATFREQ=ANNUAL&amp;VAR:RFIELD=FINALIZED&amp;VAR:DB_TYPE=&amp;VAR:UNITS=M&amp;window=popup&amp;width=450&amp;height=300&amp;START_MAXIMIZED=FALSE"}</definedName>
    <definedName name="_450__FDSAUDITLINK__" hidden="1">{"fdsup://IBCentral/FAT Viewer?action=UPDATE&amp;creator=factset&amp;DOC_NAME=fat:reuters_annual_source_window.fat&amp;display_string=Audit&amp;DYN_ARGS=TRUE&amp;VAR:ID1=83303410&amp;VAR:RCODE=EBITDA&amp;VAR:SDATE=20071299&amp;VAR:FREQ=Y&amp;VAR:RELITEM=&amp;VAR:CURRENCY=&amp;VAR:CURRSOURCE=EXSHARE&amp;V","AR:NATFREQ=ANNUAL&amp;VAR:RFIELD=FINALIZED&amp;VAR:DB_TYPE=&amp;VAR:UNITS=M&amp;window=popup&amp;width=450&amp;height=300&amp;START_MAXIMIZED=FALSE"}</definedName>
    <definedName name="_451__FDSAUDITLINK__" hidden="1">{"fdsup://IBCentral/FAT Viewer?action=UPDATE&amp;creator=factset&amp;DOC_NAME=fat:reuters_annual_source_window.fat&amp;display_string=Audit&amp;DYN_ARGS=TRUE&amp;VAR:ID1=82434810&amp;VAR:RCODE=EBITDA&amp;VAR:SDATE=20071299&amp;VAR:FREQ=Y&amp;VAR:RELITEM=&amp;VAR:CURRENCY=&amp;VAR:CURRSOURCE=EXSHARE&amp;V","AR:NATFREQ=ANNUAL&amp;VAR:RFIELD=FINALIZED&amp;VAR:DB_TYPE=&amp;VAR:UNITS=M&amp;window=popup&amp;width=450&amp;height=300&amp;START_MAXIMIZED=FALSE"}</definedName>
    <definedName name="_452__FDSAUDITLINK__" hidden="1">{"fdsup://IBCentral/FAT Viewer?action=UPDATE&amp;creator=factset&amp;DOC_NAME=fat:reuters_annual_source_window.fat&amp;display_string=Audit&amp;DYN_ARGS=TRUE&amp;VAR:ID1=09179710&amp;VAR:RCODE=EBITDA&amp;VAR:SDATE=20071299&amp;VAR:FREQ=Y&amp;VAR:RELITEM=&amp;VAR:CURRENCY=&amp;VAR:CURRSOURCE=EXSHARE&amp;V","AR:NATFREQ=ANNUAL&amp;VAR:RFIELD=FINALIZED&amp;VAR:DB_TYPE=&amp;VAR:UNITS=M&amp;window=popup&amp;width=450&amp;height=300&amp;START_MAXIMIZED=FALSE"}</definedName>
    <definedName name="_453__FDSAUDITLINK__" hidden="1">{"fdsup://IBCentral/FAT Viewer?action=UPDATE&amp;creator=factset&amp;DOC_NAME=fat:reuters_annual_source_window.fat&amp;display_string=Audit&amp;DYN_ARGS=TRUE&amp;VAR:ID1=43707610&amp;VAR:RCODE=EBITDA&amp;VAR:SDATE=20080199&amp;VAR:FREQ=Y&amp;VAR:RELITEM=&amp;VAR:CURRENCY=&amp;VAR:CURRSOURCE=EXSHARE&amp;V","AR:NATFREQ=ANNUAL&amp;VAR:RFIELD=FINALIZED&amp;VAR:DB_TYPE=&amp;VAR:UNITS=M&amp;window=popup&amp;width=450&amp;height=300&amp;START_MAXIMIZED=FALSE"}</definedName>
    <definedName name="_454__FDSAUDITLINK__" hidden="1">{"fdsup://IBCentral/FAT Viewer?action=UPDATE&amp;creator=factset&amp;DOC_NAME=fat:reuters_annual_source_window.fat&amp;display_string=Audit&amp;DYN_ARGS=TRUE&amp;VAR:ID1=60819010&amp;VAR:RCODE=EBITDA&amp;VAR:SDATE=20071299&amp;VAR:FREQ=Y&amp;VAR:RELITEM=&amp;VAR:CURRENCY=&amp;VAR:CURRSOURCE=EXSHARE&amp;V","AR:NATFREQ=ANNUAL&amp;VAR:RFIELD=FINALIZED&amp;VAR:DB_TYPE=&amp;VAR:UNITS=M&amp;window=popup&amp;width=450&amp;height=300&amp;START_MAXIMIZED=FALSE"}</definedName>
    <definedName name="_455__FDSAUDITLINK__" hidden="1">{"fdsup://IBCentral/FAT Viewer?action=UPDATE&amp;creator=factset&amp;DOC_NAME=fat:reuters_annual_source_window.fat&amp;display_string=Audit&amp;DYN_ARGS=TRUE&amp;VAR:ID1=36092110&amp;VAR:RCODE=EBITDA&amp;VAR:SDATE=20071299&amp;VAR:FREQ=Y&amp;VAR:RELITEM=&amp;VAR:CURRENCY=&amp;VAR:CURRSOURCE=EXSHARE&amp;V","AR:NATFREQ=ANNUAL&amp;VAR:RFIELD=FINALIZED&amp;VAR:DB_TYPE=&amp;VAR:UNITS=M&amp;window=popup&amp;width=450&amp;height=300&amp;START_MAXIMIZED=FALSE"}</definedName>
    <definedName name="_456__FDSAUDITLINK__" hidden="1">{"fdsup://IBCentral/FAT Viewer?action=UPDATE&amp;creator=factset&amp;DOC_NAME=fat:reuters_annual_source_window.fat&amp;display_string=Audit&amp;DYN_ARGS=TRUE&amp;VAR:ID1=57459910&amp;VAR:RCODE=EBITDA&amp;VAR:SDATE=20071299&amp;VAR:FREQ=Y&amp;VAR:RELITEM=&amp;VAR:CURRENCY=&amp;VAR:CURRSOURCE=EXSHARE&amp;V","AR:NATFREQ=ANNUAL&amp;VAR:RFIELD=FINALIZED&amp;VAR:DB_TYPE=&amp;VAR:UNITS=M&amp;window=popup&amp;width=450&amp;height=300&amp;START_MAXIMIZED=FALSE"}</definedName>
    <definedName name="_457__FDSAUDITLINK__" hidden="1">{"fdsup://IBCentral/FAT Viewer?action=UPDATE&amp;creator=factset&amp;DOC_NAME=fat:reuters_annual_source_window.fat&amp;display_string=Audit&amp;DYN_ARGS=TRUE&amp;VAR:ID1=710889&amp;VAR:RCODE=EBITDA&amp;VAR:SDATE=20071299&amp;VAR:FREQ=Y&amp;VAR:RELITEM=RP&amp;VAR:CURRENCY=&amp;VAR:CURRSOURCE=EXSHARE&amp;V","AR:NATFREQ=ANNUAL&amp;VAR:RFIELD=FINALIZED&amp;VAR:DB_TYPE=&amp;VAR:UNITS=M&amp;window=popup&amp;width=450&amp;height=300&amp;START_MAXIMIZED=FALSE"}</definedName>
    <definedName name="_458__FDSAUDITLINK__" hidden="1">{"fdsup://IBCentral/FAT Viewer?action=UPDATE&amp;creator=factset&amp;DOC_NAME=fat:reuters_annual_source_window.fat&amp;display_string=Audit&amp;DYN_ARGS=TRUE&amp;VAR:ID1=46981410&amp;VAR:RCODE=EBITDA&amp;VAR:SDATE=20070999&amp;VAR:FREQ=Y&amp;VAR:RELITEM=RP&amp;VAR:CURRENCY=&amp;VAR:CURRSOURCE=EXSHARE","&amp;VAR:NATFREQ=ANNUAL&amp;VAR:RFIELD=FINALIZED&amp;VAR:DB_TYPE=&amp;VAR:UNITS=M&amp;window=popup&amp;width=450&amp;height=300&amp;START_MAXIMIZED=FALSE"}</definedName>
    <definedName name="_459__FDSAUDITLINK__" hidden="1">{"fdsup://IBCentral/FAT Viewer?action=UPDATE&amp;creator=factset&amp;DOC_NAME=fat:reuters_annual_source_window.fat&amp;display_string=Audit&amp;DYN_ARGS=TRUE&amp;VAR:ID1=34341210&amp;VAR:RCODE=EBITDA&amp;VAR:SDATE=20071299&amp;VAR:FREQ=Y&amp;VAR:RELITEM=RP&amp;VAR:CURRENCY=&amp;VAR:CURRSOURCE=EXSHARE","&amp;VAR:NATFREQ=ANNUAL&amp;VAR:RFIELD=FINALIZED&amp;VAR:DB_TYPE=&amp;VAR:UNITS=M&amp;window=popup&amp;width=450&amp;height=300&amp;START_MAXIMIZED=FALSE"}</definedName>
    <definedName name="_46__FDSAUDITLINK__" hidden="1">{"fdsup://IBCentral/FAT Viewer?action=UPDATE&amp;creator=factset&amp;DOC_NAME=fat:reuters_annual_source_window.fat&amp;display_string=Audit&amp;DYN_ARGS=TRUE&amp;VAR:ID1=B01CP2&amp;VAR:RCODE=EBITDA&amp;VAR:SDATE=20071299&amp;VAR:FREQ=Y&amp;VAR:RELITEM=&amp;VAR:CURRENCY=&amp;VAR:CURRSOURCE=EXSHARE&amp;VAR",":NATFREQ=ANNUAL&amp;VAR:RFIELD=FINALIZED&amp;VAR:DB_TYPE=&amp;VAR:UNITS=M&amp;window=popup&amp;width=450&amp;height=300&amp;START_MAXIMIZED=FALSE"}</definedName>
    <definedName name="_460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461__FDSAUDITLINK__" hidden="1">{"fdsup://IBCentral/FAT Viewer?action=UPDATE&amp;creator=factset&amp;DOC_NAME=fat:reuters_annual_source_window.fat&amp;display_string=Audit&amp;DYN_ARGS=TRUE&amp;VAR:ID1=569878&amp;VAR:RCODE=EBITDA&amp;VAR:SDATE=20071299&amp;VAR:FREQ=Y&amp;VAR:RELITEM=RP&amp;VAR:CURRENCY=&amp;VAR:CURRSOURCE=EXSHARE&amp;V","AR:NATFREQ=ANNUAL&amp;VAR:RFIELD=FINALIZED&amp;VAR:DB_TYPE=&amp;VAR:UNITS=M&amp;window=popup&amp;width=450&amp;height=300&amp;START_MAXIMIZED=FALSE"}</definedName>
    <definedName name="_462__FDSAUDITLINK__" hidden="1">{"fdsup://IBCentral/FAT Viewer?action=UPDATE&amp;creator=factset&amp;DOC_NAME=fat:reuters_annual_source_window.fat&amp;display_string=Audit&amp;DYN_ARGS=TRUE&amp;VAR:ID1=38308210&amp;VAR:RCODE=EBITDA&amp;VAR:SDATE=20071299&amp;VAR:FREQ=Y&amp;VAR:RELITEM=&amp;VAR:CURRENCY=&amp;VAR:CURRSOURCE=EXSHARE&amp;V","AR:NATFREQ=ANNUAL&amp;VAR:RFIELD=FINALIZED&amp;VAR:DB_TYPE=&amp;VAR:UNITS=M&amp;window=popup&amp;width=450&amp;height=300&amp;START_MAXIMIZED=FALSE"}</definedName>
    <definedName name="_463__FDSAUDITLINK__" hidden="1">{"fdsup://IBCentral/FAT Viewer?action=UPDATE&amp;creator=factset&amp;DOC_NAME=fat:reuters_annual_source_window.fat&amp;display_string=Audit&amp;DYN_ARGS=TRUE&amp;VAR:ID1=36555810&amp;VAR:RCODE=EBITDA&amp;VAR:SDATE=20071299&amp;VAR:FREQ=Y&amp;VAR:RELITEM=&amp;VAR:CURRENCY=&amp;VAR:CURRSOURCE=EXSHARE&amp;V","AR:NATFREQ=ANNUAL&amp;VAR:RFIELD=FINALIZED&amp;VAR:DB_TYPE=&amp;VAR:UNITS=M&amp;window=popup&amp;width=450&amp;height=300&amp;START_MAXIMIZED=FALSE"}</definedName>
    <definedName name="_464__FDSAUDITLINK__" hidden="1">{"fdsup://IBCentral/FAT Viewer?action=UPDATE&amp;creator=factset&amp;DOC_NAME=fat:reuters_annual_source_window.fat&amp;display_string=Audit&amp;DYN_ARGS=TRUE&amp;VAR:ID1=38410910&amp;VAR:RCODE=EBITDA&amp;VAR:SDATE=20071299&amp;VAR:FREQ=Y&amp;VAR:RELITEM=&amp;VAR:CURRENCY=&amp;VAR:CURRSOURCE=EXSHARE&amp;V","AR:NATFREQ=ANNUAL&amp;VAR:RFIELD=FINALIZED&amp;VAR:DB_TYPE=&amp;VAR:UNITS=M&amp;window=popup&amp;width=450&amp;height=300&amp;START_MAXIMIZED=FALSE"}</definedName>
    <definedName name="_465__FDSAUDITLINK__" hidden="1">{"fdsup://IBCentral/FAT Viewer?action=UPDATE&amp;creator=factset&amp;DOC_NAME=fat:reuters_annual_source_window.fat&amp;display_string=Audit&amp;DYN_ARGS=TRUE&amp;VAR:ID1=29101110&amp;VAR:RCODE=EBITDA&amp;VAR:SDATE=20080999&amp;VAR:FREQ=Y&amp;VAR:RELITEM=&amp;VAR:CURRENCY=&amp;VAR:CURRSOURCE=EXSHARE&amp;V","AR:NATFREQ=ANNUAL&amp;VAR:RFIELD=FINALIZED&amp;VAR:DB_TYPE=&amp;VAR:UNITS=M&amp;window=popup&amp;width=450&amp;height=300&amp;START_MAXIMIZED=FALSE"}</definedName>
    <definedName name="_466__FDSAUDITLINK__" hidden="1">{"fdsup://IBCentral/FAT Viewer?action=UPDATE&amp;creator=factset&amp;DOC_NAME=fat:reuters_annual_source_window.fat&amp;display_string=Audit&amp;DYN_ARGS=TRUE&amp;VAR:ID1=13342B10&amp;VAR:RCODE=EBITDA&amp;VAR:SDATE=20071299&amp;VAR:FREQ=Y&amp;VAR:RELITEM=&amp;VAR:CURRENCY=&amp;VAR:CURRSOURCE=EXSHARE&amp;V","AR:NATFREQ=ANNUAL&amp;VAR:RFIELD=FINALIZED&amp;VAR:DB_TYPE=&amp;VAR:UNITS=M&amp;window=popup&amp;width=450&amp;height=300&amp;START_MAXIMIZED=FALSE"}</definedName>
    <definedName name="_467__FDSAUDITLINK__" hidden="1">{"fdsup://IBCentral/FAT Viewer?action=UPDATE&amp;creator=factset&amp;DOC_NAME=fat:reuters_annual_source_window.fat&amp;display_string=Audit&amp;DYN_ARGS=TRUE&amp;VAR:ID1=19401410&amp;VAR:RCODE=EBITDA&amp;VAR:SDATE=20071299&amp;VAR:FREQ=Y&amp;VAR:RELITEM=&amp;VAR:CURRENCY=&amp;VAR:CURRSOURCE=EXSHARE&amp;V","AR:NATFREQ=ANNUAL&amp;VAR:RFIELD=FINALIZED&amp;VAR:DB_TYPE=&amp;VAR:UNITS=M&amp;window=popup&amp;width=450&amp;height=300&amp;START_MAXIMIZED=FALSE"}</definedName>
    <definedName name="_468__FDSAUDITLINK__" hidden="1">{"fdsup://IBCentral/FAT Viewer?action=UPDATE&amp;creator=factset&amp;DOC_NAME=fat:reuters_annual_source_window.fat&amp;display_string=Audit&amp;DYN_ARGS=TRUE&amp;VAR:ID1=45167R10&amp;VAR:RCODE=EBITDA&amp;VAR:SDATE=20071299&amp;VAR:FREQ=Y&amp;VAR:RELITEM=&amp;VAR:CURRENCY=&amp;VAR:CURRSOURCE=EXSHARE&amp;V","AR:NATFREQ=ANNUAL&amp;VAR:RFIELD=FINALIZED&amp;VAR:DB_TYPE=&amp;VAR:UNITS=M&amp;window=popup&amp;width=450&amp;height=300&amp;START_MAXIMIZED=FALSE"}</definedName>
    <definedName name="_469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47__FDSAUDITLINK__" hidden="1">{"fdsup://IBCentral/FAT Viewer?action=UPDATE&amp;creator=factset&amp;DOC_NAME=fat:reuters_annual_source_window.fat&amp;display_string=Audit&amp;DYN_ARGS=TRUE&amp;VAR:ID1=635682&amp;VAR:RCODE=EBITDA&amp;VAR:SDATE=20080399&amp;VAR:FREQ=Y&amp;VAR:RELITEM=RP&amp;VAR:CURRENCY=&amp;VAR:CURRSOURCE=EXSHARE&amp;V","AR:NATFREQ=ANNUAL&amp;VAR:RFIELD=FINALIZED&amp;VAR:DB_TYPE=&amp;VAR:UNITS=M&amp;window=popup&amp;width=450&amp;height=300&amp;START_MAXIMIZED=FALSE"}</definedName>
    <definedName name="_470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471__FDSAUDITLINK__" hidden="1">{"fdsup://IBCentral/FAT Viewer?action=UPDATE&amp;creator=factset&amp;DOC_NAME=fat:reuters_annual_source_window.fat&amp;display_string=Audit&amp;DYN_ARGS=TRUE&amp;VAR:ID1=45167R10&amp;VAR:RCODE=EBITDA&amp;VAR:SDATE=20071299&amp;VAR:FREQ=Y&amp;VAR:RELITEM=RP&amp;VAR:CURRENCY=&amp;VAR:CURRSOURCE=EXSHARE","&amp;VAR:NATFREQ=ANNUAL&amp;VAR:RFIELD=FINALIZED&amp;VAR:DB_TYPE=&amp;VAR:UNITS=M&amp;window=popup&amp;width=450&amp;height=300&amp;START_MAXIMIZED=FALSE"}</definedName>
    <definedName name="_472__FDSAUDITLINK__" hidden="1">{"fdsup://IBCentral/FAT Viewer?action=UPDATE&amp;creator=factset&amp;DOC_NAME=fat:reuters_annual_source_window.fat&amp;display_string=Audit&amp;DYN_ARGS=TRUE&amp;VAR:ID1=77019610&amp;VAR:RCODE=EBITDA&amp;VAR:SDATE=20070899&amp;VAR:FREQ=Y&amp;VAR:RELITEM=RP&amp;VAR:CURRENCY=&amp;VAR:CURRSOURCE=EXSHARE","&amp;VAR:NATFREQ=ANNUAL&amp;VAR:RFIELD=FINALIZED&amp;VAR:DB_TYPE=&amp;VAR:UNITS=M&amp;window=popup&amp;width=450&amp;height=300&amp;START_MAXIMIZED=FALSE"}</definedName>
    <definedName name="_473__FDSAUDITLINK__" hidden="1">{"fdsup://IBCentral/FAT Viewer?action=UPDATE&amp;creator=factset&amp;DOC_NAME=fat:reuters_annual_source_window.fat&amp;display_string=Audit&amp;DYN_ARGS=TRUE&amp;VAR:ID1=045796&amp;VAR:RCODE=EBITDA&amp;VAR:SDATE=20071299&amp;VAR:FREQ=Y&amp;VAR:RELITEM=RP&amp;VAR:CURRENCY=&amp;VAR:CURRSOURCE=EXSHARE&amp;V","AR:NATFREQ=ANNUAL&amp;VAR:RFIELD=FINALIZED&amp;VAR:DB_TYPE=&amp;VAR:UNITS=M&amp;window=popup&amp;width=450&amp;height=300&amp;START_MAXIMIZED=FALSE"}</definedName>
    <definedName name="_474__FDSAUDITLINK__" hidden="1">{"fdsup://IBCentral/FAT Viewer?action=UPDATE&amp;creator=factset&amp;DOC_NAME=fat:reuters_annual_source_window.fat&amp;display_string=Audit&amp;DYN_ARGS=TRUE&amp;VAR:ID1=34354P10&amp;VAR:RCODE=EBITDA&amp;VAR:SDATE=20071299&amp;VAR:FREQ=Y&amp;VAR:RELITEM=RP&amp;VAR:CURRENCY=&amp;VAR:CURRSOURCE=EXSHARE","&amp;VAR:NATFREQ=ANNUAL&amp;VAR:RFIELD=FINALIZED&amp;VAR:DB_TYPE=&amp;VAR:UNITS=M&amp;window=popup&amp;width=450&amp;height=300&amp;START_MAXIMIZED=FALSE"}</definedName>
    <definedName name="_475__FDSAUDITLINK__" hidden="1">{"fdsup://IBCentral/FAT Viewer?action=UPDATE&amp;creator=factset&amp;DOC_NAME=fat:reuters_annual_source_window.fat&amp;display_string=Audit&amp;DYN_ARGS=TRUE&amp;VAR:ID1=710889&amp;VAR:RCODE=EBITDA&amp;VAR:SDATE=20071299&amp;VAR:FREQ=Y&amp;VAR:RELITEM=&amp;VAR:CURRENCY=&amp;VAR:CURRSOURCE=EXSHARE&amp;VAR",":NATFREQ=ANNUAL&amp;VAR:RFIELD=FINALIZED&amp;VAR:DB_TYPE=&amp;VAR:UNITS=M&amp;window=popup&amp;width=450&amp;height=300&amp;START_MAXIMIZED=FALSE"}</definedName>
    <definedName name="_476__FDSAUDITLINK__" hidden="1">{"fdsup://IBCentral/FAT Viewer?action=UPDATE&amp;creator=factset&amp;DOC_NAME=fat:reuters_annual_source_window.fat&amp;display_string=Audit&amp;DYN_ARGS=TRUE&amp;VAR:ID1=85461610&amp;VAR:RCODE=EBITDA&amp;VAR:SDATE=20071299&amp;VAR:FREQ=Y&amp;VAR:RELITEM=&amp;VAR:CURRENCY=&amp;VAR:CURRSOURCE=EXSHARE&amp;V","AR:NATFREQ=ANNUAL&amp;VAR:RFIELD=FINALIZED&amp;VAR:DB_TYPE=&amp;VAR:UNITS=M&amp;window=popup&amp;width=450&amp;height=300&amp;START_MAXIMIZED=FALSE"}</definedName>
    <definedName name="_477__FDSAUDITLINK__" hidden="1">{"fdsup://IBCentral/FAT Viewer?action=UPDATE&amp;creator=factset&amp;DOC_NAME=fat:reuters_annual_source_window.fat&amp;display_string=Audit&amp;DYN_ARGS=TRUE&amp;VAR:ID1=83303410&amp;VAR:RCODE=EBITDA&amp;VAR:SDATE=20071299&amp;VAR:FREQ=Y&amp;VAR:RELITEM=&amp;VAR:CURRENCY=&amp;VAR:CURRSOURCE=EXSHARE&amp;V","AR:NATFREQ=ANNUAL&amp;VAR:RFIELD=FINALIZED&amp;VAR:DB_TYPE=&amp;VAR:UNITS=M&amp;window=popup&amp;width=450&amp;height=300&amp;START_MAXIMIZED=FALSE"}</definedName>
    <definedName name="_478__FDSAUDITLINK__" hidden="1">{"fdsup://IBCentral/FAT Viewer?action=UPDATE&amp;creator=factset&amp;DOC_NAME=fat:reuters_annual_source_window.fat&amp;display_string=Audit&amp;DYN_ARGS=TRUE&amp;VAR:ID1=38308210&amp;VAR:RCODE=EBITDA&amp;VAR:SDATE=20071299&amp;VAR:FREQ=Y&amp;VAR:RELITEM=&amp;VAR:CURRENCY=&amp;VAR:CURRSOURCE=EXSHARE&amp;V","AR:NATFREQ=ANNUAL&amp;VAR:RFIELD=FINALIZED&amp;VAR:DB_TYPE=&amp;VAR:UNITS=M&amp;window=popup&amp;width=450&amp;height=300&amp;START_MAXIMIZED=FALSE"}</definedName>
    <definedName name="_479__FDSAUDITLINK__" hidden="1">{"fdsup://IBCentral/FAT Viewer?action=UPDATE&amp;creator=factset&amp;DOC_NAME=fat:reuters_annual_source_window.fat&amp;display_string=Audit&amp;DYN_ARGS=TRUE&amp;VAR:ID1=36555810&amp;VAR:RCODE=EBITDA&amp;VAR:SDATE=20071299&amp;VAR:FREQ=Y&amp;VAR:RELITEM=&amp;VAR:CURRENCY=&amp;VAR:CURRSOURCE=EXSHARE&amp;V","AR:NATFREQ=ANNUAL&amp;VAR:RFIELD=FINALIZED&amp;VAR:DB_TYPE=&amp;VAR:UNITS=M&amp;window=popup&amp;width=450&amp;height=300&amp;START_MAXIMIZED=FALSE"}</definedName>
    <definedName name="_48__FDSAUDITLINK__" hidden="1">{"fdsup://IBCentral/FAT Viewer?action=UPDATE&amp;creator=factset&amp;DOC_NAME=fat:reuters_annual_source_window.fat&amp;display_string=Audit&amp;DYN_ARGS=TRUE&amp;VAR:ID1=B09M9D&amp;VAR:RCODE=EBITDA&amp;VAR:SDATE=20071299&amp;VAR:FREQ=Y&amp;VAR:RELITEM=RP&amp;VAR:CURRENCY=&amp;VAR:CURRSOURCE=EXSHARE&amp;V","AR:NATFREQ=ANNUAL&amp;VAR:RFIELD=FINALIZED&amp;VAR:DB_TYPE=&amp;VAR:UNITS=M&amp;window=popup&amp;width=450&amp;height=300&amp;START_MAXIMIZED=FALSE"}</definedName>
    <definedName name="_480__FDSAUDITLINK__" hidden="1">{"fdsup://IBCentral/FAT Viewer?action=UPDATE&amp;creator=factset&amp;DOC_NAME=fat:reuters_annual_source_window.fat&amp;display_string=Audit&amp;DYN_ARGS=TRUE&amp;VAR:ID1=38410910&amp;VAR:RCODE=EBITDA&amp;VAR:SDATE=20071299&amp;VAR:FREQ=Y&amp;VAR:RELITEM=&amp;VAR:CURRENCY=&amp;VAR:CURRSOURCE=EXSHARE&amp;V","AR:NATFREQ=ANNUAL&amp;VAR:RFIELD=FINALIZED&amp;VAR:DB_TYPE=&amp;VAR:UNITS=M&amp;window=popup&amp;width=450&amp;height=300&amp;START_MAXIMIZED=FALSE"}</definedName>
    <definedName name="_481__FDSAUDITLINK__" hidden="1">{"fdsup://IBCentral/FAT Viewer?action=UPDATE&amp;creator=factset&amp;DOC_NAME=fat:reuters_annual_source_window.fat&amp;display_string=Audit&amp;DYN_ARGS=TRUE&amp;VAR:ID1=45167R10&amp;VAR:RCODE=EBITDA&amp;VAR:SDATE=20071299&amp;VAR:FREQ=Y&amp;VAR:RELITEM=&amp;VAR:CURRENCY=&amp;VAR:CURRSOURCE=EXSHARE&amp;V","AR:NATFREQ=ANNUAL&amp;VAR:RFIELD=FINALIZED&amp;VAR:DB_TYPE=&amp;VAR:UNITS=M&amp;window=popup&amp;width=450&amp;height=300&amp;START_MAXIMIZED=FALSE"}</definedName>
    <definedName name="_482__FDSAUDITLINK__" hidden="1">{"fdsup://IBCentral/FAT Viewer?action=UPDATE&amp;creator=factset&amp;DOC_NAME=fat:reuters_annual_source_window.fat&amp;display_string=Audit&amp;DYN_ARGS=TRUE&amp;VAR:ID1=77019610&amp;VAR:RCODE=EBITDA&amp;VAR:SDATE=20080899&amp;VAR:FREQ=Y&amp;VAR:RELITEM=&amp;VAR:CURRENCY=&amp;VAR:CURRSOURCE=EXSHARE&amp;V","AR:NATFREQ=ANNUAL&amp;VAR:RFIELD=FINALIZED&amp;VAR:DB_TYPE=&amp;VAR:UNITS=M&amp;window=popup&amp;width=450&amp;height=300&amp;START_MAXIMIZED=FALSE"}</definedName>
    <definedName name="_483__FDSAUDITLINK__" hidden="1">{"fdsup://IBCentral/FAT Viewer?action=UPDATE&amp;creator=factset&amp;DOC_NAME=fat:reuters_annual_source_window.fat&amp;display_string=Audit&amp;DYN_ARGS=TRUE&amp;VAR:ID1=045796&amp;VAR:RCODE=EBITDA&amp;VAR:SDATE=20071299&amp;VAR:FREQ=Y&amp;VAR:RELITEM=&amp;VAR:CURRENCY=&amp;VAR:CURRSOURCE=EXSHARE&amp;VAR",":NATFREQ=ANNUAL&amp;VAR:RFIELD=FINALIZED&amp;VAR:DB_TYPE=&amp;VAR:UNITS=M&amp;window=popup&amp;width=450&amp;height=300&amp;START_MAXIMIZED=FALSE"}</definedName>
    <definedName name="_484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485__FDSAUDITLINK__" hidden="1">{"fdsup://IBCentral/FAT Viewer?action=UPDATE&amp;creator=factset&amp;DOC_NAME=fat:reuters_annual_source_window.fat&amp;display_string=Audit&amp;DYN_ARGS=TRUE&amp;VAR:ID1=B19DVX&amp;VAR:RCODE=EBITDA&amp;VAR:SDATE=20080399&amp;VAR:FREQ=Y&amp;VAR:RELITEM=RP&amp;VAR:CURRENCY=&amp;VAR:CURRSOURCE=EXSHARE&amp;V","AR:NATFREQ=ANNUAL&amp;VAR:RFIELD=FINALIZED&amp;VAR:DB_TYPE=&amp;VAR:UNITS=M&amp;window=popup&amp;width=450&amp;height=300&amp;START_MAXIMIZED=FALSE"}</definedName>
    <definedName name="_486__FDSAUDITLINK__" hidden="1">{"fdsup://IBCentral/FAT Viewer?action=UPDATE&amp;creator=factset&amp;DOC_NAME=fat:reuters_annual_source_window.fat&amp;display_string=Audit&amp;DYN_ARGS=TRUE&amp;VAR:ID1=483410&amp;VAR:RCODE=EBITDA&amp;VAR:SDATE=20071299&amp;VAR:FREQ=Y&amp;VAR:RELITEM=RP&amp;VAR:CURRENCY=&amp;VAR:CURRSOURCE=EXSHARE&amp;V","AR:NATFREQ=ANNUAL&amp;VAR:RFIELD=FINALIZED&amp;VAR:DB_TYPE=&amp;VAR:UNITS=M&amp;window=popup&amp;width=450&amp;height=300&amp;START_MAXIMIZED=FALSE"}</definedName>
    <definedName name="_487__FDSAUDITLINK__" hidden="1">{"fdsup://IBCentral/FAT Viewer?action=UPDATE&amp;creator=factset&amp;DOC_NAME=fat:reuters_annual_source_window.fat&amp;display_string=Audit&amp;DYN_ARGS=TRUE&amp;VAR:ID1=710889&amp;VAR:RCODE=EBITDA&amp;VAR:SDATE=20071299&amp;VAR:FREQ=Y&amp;VAR:RELITEM=RP&amp;VAR:CURRENCY=&amp;VAR:CURRSOURCE=EXSHARE&amp;V","AR:NATFREQ=ANNUAL&amp;VAR:RFIELD=FINALIZED&amp;VAR:DB_TYPE=&amp;VAR:UNITS=M&amp;window=popup&amp;width=450&amp;height=300&amp;START_MAXIMIZED=FALSE"}</definedName>
    <definedName name="_488__FDSAUDITLINK__" hidden="1">{"fdsup://IBCentral/FAT Viewer?action=UPDATE&amp;creator=factset&amp;DOC_NAME=fat:reuters_annual_source_window.fat&amp;display_string=Audit&amp;DYN_ARGS=TRUE&amp;VAR:ID1=29101110&amp;VAR:RCODE=EBITDA&amp;VAR:SDATE=20070999&amp;VAR:FREQ=Y&amp;VAR:RELITEM=RP&amp;VAR:CURRENCY=&amp;VAR:CURRSOURCE=EXSHARE","&amp;VAR:NATFREQ=ANNUAL&amp;VAR:RFIELD=FINALIZED&amp;VAR:DB_TYPE=&amp;VAR:UNITS=M&amp;window=popup&amp;width=450&amp;height=300&amp;START_MAXIMIZED=FALSE"}</definedName>
    <definedName name="_489__FDSAUDITLINK__" hidden="1">{"fdsup://IBCentral/FAT Viewer?action=UPDATE&amp;creator=factset&amp;DOC_NAME=fat:reuters_annual_source_window.fat&amp;display_string=Audit&amp;DYN_ARGS=TRUE&amp;VAR:ID1=77390310&amp;VAR:RCODE=EBITDA&amp;VAR:SDATE=20070999&amp;VAR:FREQ=Y&amp;VAR:RELITEM=&amp;VAR:CURRENCY=&amp;VAR:CURRSOURCE=EXSHARE&amp;V","AR:NATFREQ=ANNUAL&amp;VAR:RFIELD=FINALIZED&amp;VAR:DB_TYPE=&amp;VAR:UNITS=M&amp;window=popup&amp;width=450&amp;height=300&amp;START_MAXIMIZED=FALSE"}</definedName>
    <definedName name="_49__FDSAUDITLINK__" hidden="1">{"fdsup://IBCentral/FAT Viewer?action=UPDATE&amp;creator=factset&amp;DOC_NAME=fat:reuters_annual_source_window.fat&amp;display_string=Audit&amp;DYN_ARGS=TRUE&amp;VAR:ID1=B0DJNG&amp;VAR:RCODE=EBITDA&amp;VAR:SDATE=20071299&amp;VAR:FREQ=Y&amp;VAR:RELITEM=RP&amp;VAR:CURRENCY=&amp;VAR:CURRSOURCE=EXSHARE&amp;V","AR:NATFREQ=ANNUAL&amp;VAR:RFIELD=FINALIZED&amp;VAR:DB_TYPE=&amp;VAR:UNITS=M&amp;window=popup&amp;width=450&amp;height=300&amp;START_MAXIMIZED=FALSE"}</definedName>
    <definedName name="_490__FDSAUDITLINK__" hidden="1">{"fdsup://IBCentral/FAT Viewer?action=UPDATE&amp;creator=factset&amp;DOC_NAME=fat:reuters_annual_source_window.fat&amp;display_string=Audit&amp;DYN_ARGS=TRUE&amp;VAR:ID1=B19DVX&amp;VAR:RCODE=EBITDA&amp;VAR:SDATE=20080399&amp;VAR:FREQ=Y&amp;VAR:RELITEM=&amp;VAR:CURRENCY=&amp;VAR:CURRSOURCE=EXSHARE&amp;VAR",":NATFREQ=ANNUAL&amp;VAR:RFIELD=FINALIZED&amp;VAR:DB_TYPE=&amp;VAR:UNITS=M&amp;window=popup&amp;width=450&amp;height=300&amp;START_MAXIMIZED=FALSE"}</definedName>
    <definedName name="_491__FDSAUDITLINK__" hidden="1">{"fdsup://IBCentral/FAT Viewer?action=UPDATE&amp;creator=factset&amp;DOC_NAME=fat:reuters_annual_source_window.fat&amp;display_string=Audit&amp;DYN_ARGS=TRUE&amp;VAR:ID1=483410&amp;VAR:RCODE=EBITDA&amp;VAR:SDATE=20071299&amp;VAR:FREQ=Y&amp;VAR:RELITEM=&amp;VAR:CURRENCY=&amp;VAR:CURRSOURCE=EXSHARE&amp;VAR",":NATFREQ=ANNUAL&amp;VAR:RFIELD=FINALIZED&amp;VAR:DB_TYPE=&amp;VAR:UNITS=M&amp;window=popup&amp;width=450&amp;height=300&amp;START_MAXIMIZED=FALSE"}</definedName>
    <definedName name="_492__FDSAUDITLINK__" hidden="1">{"fdsup://IBCentral/FAT Viewer?action=UPDATE&amp;creator=factset&amp;DOC_NAME=fat:reuters_annual_source_window.fat&amp;display_string=Audit&amp;DYN_ARGS=TRUE&amp;VAR:ID1=710889&amp;VAR:RCODE=EBITDA&amp;VAR:SDATE=20071299&amp;VAR:FREQ=Y&amp;VAR:RELITEM=RP&amp;VAR:CURRENCY=&amp;VAR:CURRSOURCE=EXSHARE&amp;V","AR:NATFREQ=ANNUAL&amp;VAR:RFIELD=FINALIZED&amp;VAR:DB_TYPE=&amp;VAR:UNITS=M&amp;window=popup&amp;width=450&amp;height=300&amp;START_MAXIMIZED=FALSE"}</definedName>
    <definedName name="_493__FDSAUDITLINK__" hidden="1">{"fdsup://IBCentral/FAT Viewer?action=UPDATE&amp;creator=factset&amp;DOC_NAME=fat:reuters_annual_source_window.fat&amp;display_string=Audit&amp;DYN_ARGS=TRUE&amp;VAR:ID1=85461610&amp;VAR:RCODE=EBITDA&amp;VAR:SDATE=20071299&amp;VAR:FREQ=Y&amp;VAR:RELITEM=RP&amp;VAR:CURRENCY=&amp;VAR:CURRSOURCE=EXSHARE","&amp;VAR:NATFREQ=ANNUAL&amp;VAR:RFIELD=FINALIZED&amp;VAR:DB_TYPE=&amp;VAR:UNITS=M&amp;window=popup&amp;width=450&amp;height=300&amp;START_MAXIMIZED=FALSE"}</definedName>
    <definedName name="_494__FDSAUDITLINK__" hidden="1">{"fdsup://IBCentral/FAT Viewer?action=UPDATE&amp;creator=factset&amp;DOC_NAME=fat:reuters_annual_source_window.fat&amp;display_string=Audit&amp;DYN_ARGS=TRUE&amp;VAR:ID1=83303410&amp;VAR:RCODE=EBITDA&amp;VAR:SDATE=20071299&amp;VAR:FREQ=Y&amp;VAR:RELITEM=RP&amp;VAR:CURRENCY=&amp;VAR:CURRSOURCE=EXSHARE","&amp;VAR:NATFREQ=ANNUAL&amp;VAR:RFIELD=FINALIZED&amp;VAR:DB_TYPE=&amp;VAR:UNITS=M&amp;window=popup&amp;width=450&amp;height=300&amp;START_MAXIMIZED=FALSE"}</definedName>
    <definedName name="_495__FDSAUDITLINK__" hidden="1">{"fdsup://IBCentral/FAT Viewer?action=UPDATE&amp;creator=factset&amp;DOC_NAME=fat:reuters_annual_source_window.fat&amp;display_string=Audit&amp;DYN_ARGS=TRUE&amp;VAR:ID1=83303410&amp;VAR:RCODE=EBITDA&amp;VAR:SDATE=20071299&amp;VAR:FREQ=Y&amp;VAR:RELITEM=&amp;VAR:CURRENCY=&amp;VAR:CURRSOURCE=EXSHARE&amp;V","AR:NATFREQ=ANNUAL&amp;VAR:RFIELD=FINALIZED&amp;VAR:DB_TYPE=&amp;VAR:UNITS=M&amp;window=popup&amp;width=450&amp;height=300&amp;START_MAXIMIZED=FALSE"}</definedName>
    <definedName name="_496__FDSAUDITLINK__" hidden="1">{"fdsup://IBCentral/FAT Viewer?action=UPDATE&amp;creator=factset&amp;DOC_NAME=fat:reuters_annual_source_window.fat&amp;display_string=Audit&amp;DYN_ARGS=TRUE&amp;VAR:ID1=09179710&amp;VAR:RCODE=EBITDA&amp;VAR:SDATE=20071299&amp;VAR:FREQ=Y&amp;VAR:RELITEM=&amp;VAR:CURRENCY=&amp;VAR:CURRSOURCE=EXSHARE&amp;V","AR:NATFREQ=ANNUAL&amp;VAR:RFIELD=FINALIZED&amp;VAR:DB_TYPE=&amp;VAR:UNITS=M&amp;window=popup&amp;width=450&amp;height=300&amp;START_MAXIMIZED=FALSE"}</definedName>
    <definedName name="_497__FDSAUDITLINK__" hidden="1">{"fdsup://IBCentral/FAT Viewer?action=UPDATE&amp;creator=factset&amp;DOC_NAME=fat:reuters_annual_source_window.fat&amp;display_string=Audit&amp;DYN_ARGS=TRUE&amp;VAR:ID1=10969610&amp;VAR:RCODE=EBITDA&amp;VAR:SDATE=20071299&amp;VAR:FREQ=Y&amp;VAR:RELITEM=&amp;VAR:CURRENCY=&amp;VAR:CURRSOURCE=EXSHARE&amp;V","AR:NATFREQ=ANNUAL&amp;VAR:RFIELD=FINALIZED&amp;VAR:DB_TYPE=&amp;VAR:UNITS=M&amp;window=popup&amp;width=450&amp;height=300&amp;START_MAXIMIZED=FALSE"}</definedName>
    <definedName name="_498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499__FDSAUDITLINK__" hidden="1">{"fdsup://IBCentral/FAT Viewer?action=UPDATE&amp;creator=factset&amp;DOC_NAME=fat:reuters_annual_source_window.fat&amp;display_string=Audit&amp;DYN_ARGS=TRUE&amp;VAR:ID1=B01FLG&amp;VAR:RCODE=EBITDA&amp;VAR:SDATE=20071299&amp;VAR:FREQ=Y&amp;VAR:RELITEM=&amp;VAR:CURRENCY=&amp;VAR:CURRSOURCE=EXSHARE&amp;VAR",":NATFREQ=ANNUAL&amp;VAR:RFIELD=FINALIZED&amp;VAR:DB_TYPE=&amp;VAR:UNITS=M&amp;window=popup&amp;width=450&amp;height=300&amp;START_MAXIMIZED=FALSE"}</definedName>
    <definedName name="_5__FDSAUDITLINK__" hidden="1">{"fdsup://IBCentral/FAT Viewer?action=UPDATE&amp;creator=factset&amp;DOC_NAME=fat:reuters_annual_source_window.fat&amp;display_string=Audit&amp;DYN_ARGS=TRUE&amp;VAR:ID1=36555810&amp;VAR:RCODE=EBITDA&amp;VAR:SDATE=20071299&amp;VAR:FREQ=Y&amp;VAR:RELITEM=&amp;VAR:CURRENCY=&amp;VAR:CURRSOURCE=EXSHARE&amp;V","AR:NATFREQ=ANNUAL&amp;VAR:RFIELD=FINALIZED&amp;VAR:DB_TYPE=&amp;VAR:UNITS=M&amp;window=popup&amp;width=450&amp;height=300&amp;START_MAXIMIZED=FALSE"}</definedName>
    <definedName name="_50__FDSAUDITLINK__" hidden="1">{"fdsup://IBCentral/FAT Viewer?action=UPDATE&amp;creator=factset&amp;DOC_NAME=fat:reuters_annual_source_window.fat&amp;display_string=Audit&amp;DYN_ARGS=TRUE&amp;VAR:ID1=596465&amp;VAR:RCODE=EBITDA&amp;VAR:SDATE=20071299&amp;VAR:FREQ=Y&amp;VAR:RELITEM=&amp;VAR:CURRENCY=&amp;VAR:CURRSOURCE=EXSHARE&amp;VAR",":NATFREQ=ANNUAL&amp;VAR:RFIELD=FINALIZED&amp;VAR:DB_TYPE=&amp;VAR:UNITS=M&amp;window=popup&amp;width=450&amp;height=300&amp;START_MAXIMIZED=FALSE"}</definedName>
    <definedName name="_500__FDSAUDITLINK__" hidden="1">{"fdsup://IBCentral/FAT Viewer?action=UPDATE&amp;creator=factset&amp;DOC_NAME=fat:reuters_annual_source_window.fat&amp;display_string=Audit&amp;DYN_ARGS=TRUE&amp;VAR:ID1=G4776G10&amp;VAR:RCODE=EBITDA&amp;VAR:SDATE=20071299&amp;VAR:FREQ=Y&amp;VAR:RELITEM=&amp;VAR:CURRENCY=&amp;VAR:CURRSOURCE=EXSHARE&amp;V","AR:NATFREQ=ANNUAL&amp;VAR:RFIELD=FINALIZED&amp;VAR:DB_TYPE=&amp;VAR:UNITS=M&amp;window=popup&amp;width=450&amp;height=300&amp;START_MAXIMIZED=FALSE"}</definedName>
    <definedName name="_501__FDSAUDITLINK__" hidden="1">{"fdsup://IBCentral/FAT Viewer?action=UPDATE&amp;creator=factset&amp;DOC_NAME=fat:reuters_annual_source_window.fat&amp;display_string=Audit&amp;DYN_ARGS=TRUE&amp;VAR:ID1=G9143X20&amp;VAR:RCODE=EBITDA&amp;VAR:SDATE=20070999&amp;VAR:FREQ=Y&amp;VAR:RELITEM=RP&amp;VAR:CURRENCY=&amp;VAR:CURRSOURCE=EXSHARE","&amp;VAR:NATFREQ=ANNUAL&amp;VAR:RFIELD=FINALIZED&amp;VAR:DB_TYPE=&amp;VAR:UNITS=M&amp;window=popup&amp;width=450&amp;height=300&amp;START_MAXIMIZED=FALSE"}</definedName>
    <definedName name="_502__FDSAUDITLINK__" hidden="1">{"fdsup://IBCentral/FAT Viewer?action=UPDATE&amp;creator=factset&amp;DOC_NAME=fat:reuters_annual_source_window.fat&amp;display_string=Audit&amp;DYN_ARGS=TRUE&amp;VAR:ID1=83303410&amp;VAR:RCODE=EBITDA&amp;VAR:SDATE=20071299&amp;VAR:FREQ=Y&amp;VAR:RELITEM=RP&amp;VAR:CURRENCY=&amp;VAR:CURRSOURCE=EXSHARE","&amp;VAR:NATFREQ=ANNUAL&amp;VAR:RFIELD=FINALIZED&amp;VAR:DB_TYPE=&amp;VAR:UNITS=M&amp;window=popup&amp;width=450&amp;height=300&amp;START_MAXIMIZED=FALSE"}</definedName>
    <definedName name="_503__FDSAUDITLINK__" hidden="1">{"fdsup://IBCentral/FAT Viewer?action=UPDATE&amp;creator=factset&amp;DOC_NAME=fat:reuters_annual_source_window.fat&amp;display_string=Audit&amp;DYN_ARGS=TRUE&amp;VAR:ID1=09179710&amp;VAR:RCODE=EBITDA&amp;VAR:SDATE=20071299&amp;VAR:FREQ=Y&amp;VAR:RELITEM=RP&amp;VAR:CURRENCY=&amp;VAR:CURRSOURCE=EXSHARE","&amp;VAR:NATFREQ=ANNUAL&amp;VAR:RFIELD=FINALIZED&amp;VAR:DB_TYPE=&amp;VAR:UNITS=M&amp;window=popup&amp;width=450&amp;height=300&amp;START_MAXIMIZED=FALSE"}</definedName>
    <definedName name="_504__FDSAUDITLINK__" hidden="1">{"fdsup://IBCentral/FAT Viewer?action=UPDATE&amp;creator=factset&amp;DOC_NAME=fat:reuters_annual_source_window.fat&amp;display_string=Audit&amp;DYN_ARGS=TRUE&amp;VAR:ID1=555404&amp;VAR:RCODE=EBITDA&amp;VAR:SDATE=20071299&amp;VAR:FREQ=Y&amp;VAR:RELITEM=RP&amp;VAR:CURRENCY=&amp;VAR:CURRSOURCE=EXSHARE&amp;V","AR:NATFREQ=ANNUAL&amp;VAR:RFIELD=FINALIZED&amp;VAR:DB_TYPE=&amp;VAR:UNITS=M&amp;window=popup&amp;width=450&amp;height=300&amp;START_MAXIMIZED=FALSE"}</definedName>
    <definedName name="_505__FDSAUDITLINK__" hidden="1">{"fdsup://IBCentral/FAT Viewer?action=UPDATE&amp;creator=factset&amp;DOC_NAME=fat:reuters_annual_source_window.fat&amp;display_string=Audit&amp;DYN_ARGS=TRUE&amp;VAR:ID1=B01FLG&amp;VAR:RCODE=EBITDA&amp;VAR:SDATE=20071299&amp;VAR:FREQ=Y&amp;VAR:RELITEM=RP&amp;VAR:CURRENCY=&amp;VAR:CURRSOURCE=EXSHARE&amp;V","AR:NATFREQ=ANNUAL&amp;VAR:RFIELD=FINALIZED&amp;VAR:DB_TYPE=&amp;VAR:UNITS=M&amp;window=popup&amp;width=450&amp;height=300&amp;START_MAXIMIZED=FALSE"}</definedName>
    <definedName name="_506__FDSAUDITLINK__" hidden="1">{"fdsup://IBCentral/FAT Viewer?action=UPDATE&amp;creator=factset&amp;DOC_NAME=fat:reuters_annual_source_window.fat&amp;display_string=Audit&amp;DYN_ARGS=TRUE&amp;VAR:ID1=05774110&amp;VAR:RCODE=EBITDA&amp;VAR:SDATE=20071299&amp;VAR:FREQ=Y&amp;VAR:RELITEM=RP&amp;VAR:CURRENCY=&amp;VAR:CURRSOURCE=EXSHARE","&amp;VAR:NATFREQ=ANNUAL&amp;VAR:RFIELD=FINALIZED&amp;VAR:DB_TYPE=&amp;VAR:UNITS=M&amp;window=popup&amp;width=450&amp;height=300&amp;START_MAXIMIZED=FALSE"}</definedName>
    <definedName name="_507__FDSAUDITLINK__" hidden="1">{"fdsup://IBCentral/FAT Viewer?action=UPDATE&amp;creator=factset&amp;DOC_NAME=fat:reuters_annual_source_window.fat&amp;display_string=Audit&amp;DYN_ARGS=TRUE&amp;VAR:ID1=G9143X20&amp;VAR:RCODE=EBITDA&amp;VAR:SDATE=20070999&amp;VAR:FREQ=Y&amp;VAR:RELITEM=&amp;VAR:CURRENCY=&amp;VAR:CURRSOURCE=EXSHARE&amp;V","AR:NATFREQ=ANNUAL&amp;VAR:RFIELD=FINALIZED&amp;VAR:DB_TYPE=&amp;VAR:UNITS=M&amp;window=popup&amp;width=450&amp;height=300&amp;START_MAXIMIZED=FALSE"}</definedName>
    <definedName name="_508__FDSAUDITLINK__" hidden="1">{"fdsup://IBCentral/FAT Viewer?action=UPDATE&amp;creator=factset&amp;DOC_NAME=fat:reuters_annual_source_window.fat&amp;display_string=Audit&amp;DYN_ARGS=TRUE&amp;VAR:ID1=569878&amp;VAR:RCODE=EBITDA&amp;VAR:SDATE=20071299&amp;VAR:FREQ=Y&amp;VAR:RELITEM=&amp;VAR:CURRENCY=&amp;VAR:CURRSOURCE=EXSHARE&amp;VAR",":NATFREQ=ANNUAL&amp;VAR:RFIELD=FINALIZED&amp;VAR:DB_TYPE=&amp;VAR:UNITS=M&amp;window=popup&amp;width=450&amp;height=300&amp;START_MAXIMIZED=FALSE"}</definedName>
    <definedName name="_509__FDSAUDITLINK__" hidden="1">{"fdsup://IBCentral/FAT Viewer?action=UPDATE&amp;creator=factset&amp;DOC_NAME=fat:reuters_annual_source_window.fat&amp;display_string=Audit&amp;DYN_ARGS=TRUE&amp;VAR:ID1=B01FLG&amp;VAR:RCODE=EBITDA&amp;VAR:SDATE=20071299&amp;VAR:FREQ=Y&amp;VAR:RELITEM=RP&amp;VAR:CURRENCY=&amp;VAR:CURRSOURCE=EXSHARE&amp;V","AR:NATFREQ=ANNUAL&amp;VAR:RFIELD=FINALIZED&amp;VAR:DB_TYPE=&amp;VAR:UNITS=M&amp;window=popup&amp;width=450&amp;height=300&amp;START_MAXIMIZED=FALSE"}</definedName>
    <definedName name="_51__FDSAUDITLINK__" hidden="1">{"fdsup://IBCentral/FAT Viewer?action=UPDATE&amp;creator=factset&amp;DOC_NAME=fat:reuters_annual_source_window.fat&amp;display_string=Audit&amp;DYN_ARGS=TRUE&amp;VAR:ID1=732584&amp;VAR:RCODE=EBITDA&amp;VAR:SDATE=20071299&amp;VAR:FREQ=Y&amp;VAR:RELITEM=&amp;VAR:CURRENCY=&amp;VAR:CURRSOURCE=EXSHARE&amp;VAR",":NATFREQ=ANNUAL&amp;VAR:RFIELD=FINALIZED&amp;VAR:DB_TYPE=&amp;VAR:UNITS=M&amp;window=popup&amp;width=450&amp;height=300&amp;START_MAXIMIZED=FALSE"}</definedName>
    <definedName name="_510__FDSAUDITLINK__" hidden="1">{"fdsup://IBCentral/FAT Viewer?action=UPDATE&amp;creator=factset&amp;DOC_NAME=fat:reuters_annual_source_window.fat&amp;display_string=Audit&amp;DYN_ARGS=TRUE&amp;VAR:ID1=G4776G10&amp;VAR:RCODE=EBITDA&amp;VAR:SDATE=20071299&amp;VAR:FREQ=Y&amp;VAR:RELITEM=RP&amp;VAR:CURRENCY=&amp;VAR:CURRSOURCE=EXSHARE","&amp;VAR:NATFREQ=ANNUAL&amp;VAR:RFIELD=FINALIZED&amp;VAR:DB_TYPE=&amp;VAR:UNITS=M&amp;window=popup&amp;width=450&amp;height=300&amp;START_MAXIMIZED=FALSE"}</definedName>
    <definedName name="_511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512__FDSAUDITLINK__" hidden="1">{"fdsup://IBCentral/FAT Viewer?action=UPDATE&amp;creator=factset&amp;DOC_NAME=fat:reuters_annual_source_window.fat&amp;display_string=Audit&amp;DYN_ARGS=TRUE&amp;VAR:ID1=569878&amp;VAR:RCODE=EBITDA&amp;VAR:SDATE=20071299&amp;VAR:FREQ=Y&amp;VAR:RELITEM=RP&amp;VAR:CURRENCY=&amp;VAR:CURRSOURCE=EXSHARE&amp;V","AR:NATFREQ=ANNUAL&amp;VAR:RFIELD=FINALIZED&amp;VAR:DB_TYPE=&amp;VAR:UNITS=M&amp;window=popup&amp;width=450&amp;height=300&amp;START_MAXIMIZED=FALSE"}</definedName>
    <definedName name="_513__FDSAUDITLINK__" hidden="1">{"fdsup://IBCentral/FAT Viewer?action=UPDATE&amp;creator=factset&amp;DOC_NAME=fat:reuters_annual_source_window.fat&amp;display_string=Audit&amp;DYN_ARGS=TRUE&amp;VAR:ID1=38308210&amp;VAR:RCODE=EBITDA&amp;VAR:SDATE=20071299&amp;VAR:FREQ=Y&amp;VAR:RELITEM=&amp;VAR:CURRENCY=&amp;VAR:CURRSOURCE=EXSHARE&amp;V","AR:NATFREQ=ANNUAL&amp;VAR:RFIELD=FINALIZED&amp;VAR:DB_TYPE=&amp;VAR:UNITS=M&amp;window=popup&amp;width=450&amp;height=300&amp;START_MAXIMIZED=FALSE"}</definedName>
    <definedName name="_514__FDSAUDITLINK__" hidden="1">{"fdsup://IBCentral/FAT Viewer?action=UPDATE&amp;creator=factset&amp;DOC_NAME=fat:reuters_annual_source_window.fat&amp;display_string=Audit&amp;DYN_ARGS=TRUE&amp;VAR:ID1=36555810&amp;VAR:RCODE=EBITDA&amp;VAR:SDATE=20071299&amp;VAR:FREQ=Y&amp;VAR:RELITEM=&amp;VAR:CURRENCY=&amp;VAR:CURRSOURCE=EXSHARE&amp;V","AR:NATFREQ=ANNUAL&amp;VAR:RFIELD=FINALIZED&amp;VAR:DB_TYPE=&amp;VAR:UNITS=M&amp;window=popup&amp;width=450&amp;height=300&amp;START_MAXIMIZED=FALSE"}</definedName>
    <definedName name="_515__FDSAUDITLINK__" hidden="1">{"fdsup://IBCentral/FAT Viewer?action=UPDATE&amp;creator=factset&amp;DOC_NAME=fat:reuters_annual_source_window.fat&amp;display_string=Audit&amp;DYN_ARGS=TRUE&amp;VAR:ID1=38410910&amp;VAR:RCODE=EBITDA&amp;VAR:SDATE=20071299&amp;VAR:FREQ=Y&amp;VAR:RELITEM=&amp;VAR:CURRENCY=&amp;VAR:CURRSOURCE=EXSHARE&amp;V","AR:NATFREQ=ANNUAL&amp;VAR:RFIELD=FINALIZED&amp;VAR:DB_TYPE=&amp;VAR:UNITS=M&amp;window=popup&amp;width=450&amp;height=300&amp;START_MAXIMIZED=FALSE"}</definedName>
    <definedName name="_516__FDSAUDITLINK__" hidden="1">{"fdsup://IBCentral/FAT Viewer?action=UPDATE&amp;creator=factset&amp;DOC_NAME=fat:reuters_annual_source_window.fat&amp;display_string=Audit&amp;DYN_ARGS=TRUE&amp;VAR:ID1=29101110&amp;VAR:RCODE=EBITDA&amp;VAR:SDATE=20070999&amp;VAR:FREQ=Y&amp;VAR:RELITEM=&amp;VAR:CURRENCY=&amp;VAR:CURRSOURCE=EXSHARE&amp;V","AR:NATFREQ=ANNUAL&amp;VAR:RFIELD=FINALIZED&amp;VAR:DB_TYPE=&amp;VAR:UNITS=M&amp;window=popup&amp;width=450&amp;height=300&amp;START_MAXIMIZED=FALSE"}</definedName>
    <definedName name="_517__FDSAUDITLINK__" hidden="1">{"fdsup://IBCentral/FAT Viewer?action=UPDATE&amp;creator=factset&amp;DOC_NAME=fat:reuters_annual_source_window.fat&amp;display_string=Audit&amp;DYN_ARGS=TRUE&amp;VAR:ID1=13342B10&amp;VAR:RCODE=EBITDA&amp;VAR:SDATE=20071299&amp;VAR:FREQ=Y&amp;VAR:RELITEM=&amp;VAR:CURRENCY=&amp;VAR:CURRSOURCE=EXSHARE&amp;V","AR:NATFREQ=ANNUAL&amp;VAR:RFIELD=FINALIZED&amp;VAR:DB_TYPE=&amp;VAR:UNITS=M&amp;window=popup&amp;width=450&amp;height=300&amp;START_MAXIMIZED=FALSE"}</definedName>
    <definedName name="_518__FDSAUDITLINK__" hidden="1">{"fdsup://IBCentral/FAT Viewer?action=UPDATE&amp;creator=factset&amp;DOC_NAME=fat:reuters_annual_source_window.fat&amp;display_string=Audit&amp;DYN_ARGS=TRUE&amp;VAR:ID1=45167R10&amp;VAR:RCODE=EBITDA&amp;VAR:SDATE=20071299&amp;VAR:FREQ=Y&amp;VAR:RELITEM=&amp;VAR:CURRENCY=&amp;VAR:CURRSOURCE=EXSHARE&amp;V","AR:NATFREQ=ANNUAL&amp;VAR:RFIELD=FINALIZED&amp;VAR:DB_TYPE=&amp;VAR:UNITS=M&amp;window=popup&amp;width=450&amp;height=300&amp;START_MAXIMIZED=FALSE"}</definedName>
    <definedName name="_519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52__FDSAUDITLINK__" hidden="1">{"fdsup://IBCentral/FAT Viewer?action=UPDATE&amp;creator=factset&amp;DOC_NAME=fat:reuters_annual_source_window.fat&amp;display_string=Audit&amp;DYN_ARGS=TRUE&amp;VAR:ID1=B06CF7&amp;VAR:RCODE=EBITDA&amp;VAR:SDATE=20071299&amp;VAR:FREQ=Y&amp;VAR:RELITEM=&amp;VAR:CURRENCY=&amp;VAR:CURRSOURCE=EXSHARE&amp;VAR",":NATFREQ=ANNUAL&amp;VAR:RFIELD=FINALIZED&amp;VAR:DB_TYPE=&amp;VAR:UNITS=M&amp;window=popup&amp;width=450&amp;height=300&amp;START_MAXIMIZED=FALSE"}</definedName>
    <definedName name="_520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521__FDSAUDITLINK__" hidden="1">{"fdsup://IBCentral/FAT Viewer?action=UPDATE&amp;creator=factset&amp;DOC_NAME=fat:reuters_annual_source_window.fat&amp;display_string=Audit&amp;DYN_ARGS=TRUE&amp;VAR:ID1=555404&amp;VAR:RCODE=EBITDA&amp;VAR:SDATE=20071299&amp;VAR:FREQ=Y&amp;VAR:RELITEM=&amp;VAR:CURRENCY=&amp;VAR:CURRSOURCE=EXSHARE&amp;VAR",":NATFREQ=ANNUAL&amp;VAR:RFIELD=FINALIZED&amp;VAR:DB_TYPE=&amp;VAR:UNITS=M&amp;window=popup&amp;width=450&amp;height=300&amp;START_MAXIMIZED=FALSE"}</definedName>
    <definedName name="_522__FDSAUDITLINK__" hidden="1">{"fdsup://IBCentral/FAT Viewer?action=UPDATE&amp;creator=factset&amp;DOC_NAME=fat:reuters_annual_source_window.fat&amp;display_string=Audit&amp;DYN_ARGS=TRUE&amp;VAR:ID1=B01FLG&amp;VAR:RCODE=EBITDA&amp;VAR:SDATE=20071299&amp;VAR:FREQ=Y&amp;VAR:RELITEM=&amp;VAR:CURRENCY=&amp;VAR:CURRSOURCE=EXSHARE&amp;VAR",":NATFREQ=ANNUAL&amp;VAR:RFIELD=FINALIZED&amp;VAR:DB_TYPE=&amp;VAR:UNITS=M&amp;window=popup&amp;width=450&amp;height=300&amp;START_MAXIMIZED=FALSE"}</definedName>
    <definedName name="_523__FDSAUDITLINK__" hidden="1">{"fdsup://IBCentral/FAT Viewer?action=UPDATE&amp;creator=factset&amp;DOC_NAME=fat:reuters_annual_source_window.fat&amp;display_string=Audit&amp;DYN_ARGS=TRUE&amp;VAR:ID1=10969610&amp;VAR:RCODE=EBITDA&amp;VAR:SDATE=20071299&amp;VAR:FREQ=Y&amp;VAR:RELITEM=&amp;VAR:CURRENCY=&amp;VAR:CURRSOURCE=EXSHARE&amp;V","AR:NATFREQ=ANNUAL&amp;VAR:RFIELD=FINALIZED&amp;VAR:DB_TYPE=&amp;VAR:UNITS=M&amp;window=popup&amp;width=450&amp;height=300&amp;START_MAXIMIZED=FALSE"}</definedName>
    <definedName name="_524__FDSAUDITLINK__" hidden="1">{"fdsup://IBCentral/FAT Viewer?action=UPDATE&amp;creator=factset&amp;DOC_NAME=fat:reuters_annual_source_window.fat&amp;display_string=Audit&amp;DYN_ARGS=TRUE&amp;VAR:ID1=569878&amp;VAR:RCODE=EBITDA&amp;VAR:SDATE=20071299&amp;VAR:FREQ=Y&amp;VAR:RELITEM=&amp;VAR:CURRENCY=&amp;VAR:CURRSOURCE=EXSHARE&amp;VAR",":NATFREQ=ANNUAL&amp;VAR:RFIELD=FINALIZED&amp;VAR:DB_TYPE=&amp;VAR:UNITS=M&amp;window=popup&amp;width=450&amp;height=300&amp;START_MAXIMIZED=FALSE"}</definedName>
    <definedName name="_525__FDSAUDITLINK__" hidden="1">{"fdsup://IBCentral/FAT Viewer?action=UPDATE&amp;creator=factset&amp;DOC_NAME=fat:reuters_annual_source_window.fat&amp;display_string=Audit&amp;DYN_ARGS=TRUE&amp;VAR:ID1=569878&amp;VAR:RCODE=EBITDA&amp;VAR:SDATE=20071299&amp;VAR:FREQ=Y&amp;VAR:RELITEM=RP&amp;VAR:CURRENCY=&amp;VAR:CURRSOURCE=EXSHARE&amp;V","AR:NATFREQ=ANNUAL&amp;VAR:RFIELD=FINALIZED&amp;VAR:DB_TYPE=&amp;VAR:UNITS=M&amp;window=popup&amp;width=450&amp;height=300&amp;START_MAXIMIZED=FALSE"}</definedName>
    <definedName name="_526__FDSAUDITLINK__" hidden="1">{"fdsup://IBCentral/FAT Viewer?action=UPDATE&amp;creator=factset&amp;DOC_NAME=fat:reuters_annual_source_window.fat&amp;display_string=Audit&amp;DYN_ARGS=TRUE&amp;VAR:ID1=679159&amp;VAR:RCODE=EBITDA&amp;VAR:SDATE=20080399&amp;VAR:FREQ=Y&amp;VAR:RELITEM=RP&amp;VAR:CURRENCY=&amp;VAR:CURRSOURCE=EXSHARE&amp;V","AR:NATFREQ=ANNUAL&amp;VAR:RFIELD=FINALIZED&amp;VAR:DB_TYPE=&amp;VAR:UNITS=M&amp;window=popup&amp;width=450&amp;height=300&amp;START_MAXIMIZED=FALSE"}</definedName>
    <definedName name="_527__FDSAUDITLINK__" hidden="1">{"fdsup://IBCentral/FAT Viewer?action=UPDATE&amp;creator=factset&amp;DOC_NAME=fat:reuters_annual_source_window.fat&amp;display_string=Audit&amp;DYN_ARGS=TRUE&amp;VAR:ID1=679159&amp;VAR:RCODE=EBITDA&amp;VAR:SDATE=20080399&amp;VAR:FREQ=Y&amp;VAR:RELITEM=RP&amp;VAR:CURRENCY=&amp;VAR:CURRSOURCE=EXSHARE&amp;V","AR:NATFREQ=ANNUAL&amp;VAR:RFIELD=FINALIZED&amp;VAR:DB_TYPE=&amp;VAR:UNITS=M&amp;window=popup&amp;width=450&amp;height=300&amp;START_MAXIMIZED=FALSE"}</definedName>
    <definedName name="_528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529__FDSAUDITLINK__" hidden="1">{"fdsup://IBCentral/FAT Viewer?action=UPDATE&amp;creator=factset&amp;DOC_NAME=fat:reuters_annual_source_window.fat&amp;display_string=Audit&amp;DYN_ARGS=TRUE&amp;VAR:ID1=77434110&amp;VAR:RCODE=EBITDA&amp;VAR:SDATE=20070999&amp;VAR:FREQ=Y&amp;VAR:RELITEM=&amp;VAR:CURRENCY=&amp;VAR:CURRSOURCE=EXSHARE&amp;V","AR:NATFREQ=ANNUAL&amp;VAR:RFIELD=FINALIZED&amp;VAR:DB_TYPE=&amp;VAR:UNITS=M&amp;window=popup&amp;width=450&amp;height=300&amp;START_MAXIMIZED=FALSE"}</definedName>
    <definedName name="_53__FDSAUDITLINK__" hidden="1">{"fdsup://IBCentral/FAT Viewer?action=UPDATE&amp;creator=factset&amp;DOC_NAME=fat:reuters_annual_source_window.fat&amp;display_string=Audit&amp;DYN_ARGS=TRUE&amp;VAR:ID1=604321&amp;VAR:RCODE=EBITDA&amp;VAR:SDATE=20071299&amp;VAR:FREQ=Y&amp;VAR:RELITEM=RP&amp;VAR:CURRENCY=&amp;VAR:CURRSOURCE=EXSHARE&amp;V","AR:NATFREQ=ANNUAL&amp;VAR:RFIELD=FINALIZED&amp;VAR:DB_TYPE=&amp;VAR:UNITS=M&amp;window=popup&amp;width=450&amp;height=300&amp;START_MAXIMIZED=FALSE"}</definedName>
    <definedName name="_530__FDSAUDITLINK__" hidden="1">{"fdsup://IBCentral/FAT Viewer?action=UPDATE&amp;creator=factset&amp;DOC_NAME=fat:reuters_annual_source_window.fat&amp;display_string=Audit&amp;DYN_ARGS=TRUE&amp;VAR:ID1=38238810&amp;VAR:RCODE=EBITDA&amp;VAR:SDATE=20071299&amp;VAR:FREQ=Y&amp;VAR:RELITEM=&amp;VAR:CURRENCY=&amp;VAR:CURRSOURCE=EXSHARE&amp;V","AR:NATFREQ=ANNUAL&amp;VAR:RFIELD=FINALIZED&amp;VAR:DB_TYPE=&amp;VAR:UNITS=M&amp;window=popup&amp;width=450&amp;height=300&amp;START_MAXIMIZED=FALSE"}</definedName>
    <definedName name="_531__FDSAUDITLINK__" hidden="1">{"fdsup://IBCentral/FAT Viewer?action=UPDATE&amp;creator=factset&amp;DOC_NAME=fat:reuters_annual_source_window.fat&amp;display_string=Audit&amp;DYN_ARGS=TRUE&amp;VAR:ID1=38308210&amp;VAR:RCODE=EBITDA&amp;VAR:SDATE=20071299&amp;VAR:FREQ=Y&amp;VAR:RELITEM=RP&amp;VAR:CURRENCY=&amp;VAR:CURRSOURCE=EXSHARE","&amp;VAR:NATFREQ=ANNUAL&amp;VAR:RFIELD=FINALIZED&amp;VAR:DB_TYPE=&amp;VAR:UNITS=M&amp;window=popup&amp;width=450&amp;height=300&amp;START_MAXIMIZED=FALSE"}</definedName>
    <definedName name="_532__FDSAUDITLINK__" hidden="1">{"fdsup://IBCentral/FAT Viewer?action=UPDATE&amp;creator=factset&amp;DOC_NAME=fat:reuters_annual_source_window.fat&amp;display_string=Audit&amp;DYN_ARGS=TRUE&amp;VAR:ID1=36555810&amp;VAR:RCODE=EBITDA&amp;VAR:SDATE=20071299&amp;VAR:FREQ=Y&amp;VAR:RELITEM=RP&amp;VAR:CURRENCY=&amp;VAR:CURRSOURCE=EXSHARE","&amp;VAR:NATFREQ=ANNUAL&amp;VAR:RFIELD=FINALIZED&amp;VAR:DB_TYPE=&amp;VAR:UNITS=M&amp;window=popup&amp;width=450&amp;height=300&amp;START_MAXIMIZED=FALSE"}</definedName>
    <definedName name="_533__FDSAUDITLINK__" hidden="1">{"fdsup://IBCentral/FAT Viewer?action=UPDATE&amp;creator=factset&amp;DOC_NAME=fat:reuters_annual_source_window.fat&amp;display_string=Audit&amp;DYN_ARGS=TRUE&amp;VAR:ID1=38410910&amp;VAR:RCODE=EBITDA&amp;VAR:SDATE=20071299&amp;VAR:FREQ=Y&amp;VAR:RELITEM=RP&amp;VAR:CURRENCY=&amp;VAR:CURRSOURCE=EXSHARE","&amp;VAR:NATFREQ=ANNUAL&amp;VAR:RFIELD=FINALIZED&amp;VAR:DB_TYPE=&amp;VAR:UNITS=M&amp;window=popup&amp;width=450&amp;height=300&amp;START_MAXIMIZED=FALSE"}</definedName>
    <definedName name="_534__FDSAUDITLINK__" hidden="1">{"fdsup://IBCentral/FAT Viewer?action=UPDATE&amp;creator=factset&amp;DOC_NAME=fat:reuters_annual_source_window.fat&amp;display_string=Audit&amp;DYN_ARGS=TRUE&amp;VAR:ID1=29101110&amp;VAR:RCODE=EBITDA&amp;VAR:SDATE=20070999&amp;VAR:FREQ=Y&amp;VAR:RELITEM=RP&amp;VAR:CURRENCY=&amp;VAR:CURRSOURCE=EXSHARE","&amp;VAR:NATFREQ=ANNUAL&amp;VAR:RFIELD=FINALIZED&amp;VAR:DB_TYPE=&amp;VAR:UNITS=M&amp;window=popup&amp;width=450&amp;height=300&amp;START_MAXIMIZED=FALSE"}</definedName>
    <definedName name="_535__FDSAUDITLINK__" hidden="1">{"fdsup://IBCentral/FAT Viewer?action=UPDATE&amp;creator=factset&amp;DOC_NAME=fat:reuters_annual_source_window.fat&amp;display_string=Audit&amp;DYN_ARGS=TRUE&amp;VAR:ID1=13342B10&amp;VAR:RCODE=EBITDA&amp;VAR:SDATE=20071299&amp;VAR:FREQ=Y&amp;VAR:RELITEM=RP&amp;VAR:CURRENCY=&amp;VAR:CURRSOURCE=EXSHARE","&amp;VAR:NATFREQ=ANNUAL&amp;VAR:RFIELD=FINALIZED&amp;VAR:DB_TYPE=&amp;VAR:UNITS=M&amp;window=popup&amp;width=450&amp;height=300&amp;START_MAXIMIZED=FALSE"}</definedName>
    <definedName name="_536__FDSAUDITLINK__" hidden="1">{"fdsup://IBCentral/FAT Viewer?action=UPDATE&amp;creator=factset&amp;DOC_NAME=fat:reuters_annual_source_window.fat&amp;display_string=Audit&amp;DYN_ARGS=TRUE&amp;VAR:ID1=45167R10&amp;VAR:RCODE=EBITDA&amp;VAR:SDATE=20071299&amp;VAR:FREQ=Y&amp;VAR:RELITEM=RP&amp;VAR:CURRENCY=&amp;VAR:CURRSOURCE=EXSHARE","&amp;VAR:NATFREQ=ANNUAL&amp;VAR:RFIELD=FINALIZED&amp;VAR:DB_TYPE=&amp;VAR:UNITS=M&amp;window=popup&amp;width=450&amp;height=300&amp;START_MAXIMIZED=FALSE"}</definedName>
    <definedName name="_537__FDSAUDITLINK__" hidden="1">{"fdsup://IBCentral/FAT Viewer?action=UPDATE&amp;creator=factset&amp;DOC_NAME=fat:reuters_annual_source_window.fat&amp;display_string=Audit&amp;DYN_ARGS=TRUE&amp;VAR:ID1=34354P10&amp;VAR:RCODE=EBITDA&amp;VAR:SDATE=20071299&amp;VAR:FREQ=Y&amp;VAR:RELITEM=RP&amp;VAR:CURRENCY=&amp;VAR:CURRSOURCE=EXSHARE","&amp;VAR:NATFREQ=ANNUAL&amp;VAR:RFIELD=FINALIZED&amp;VAR:DB_TYPE=&amp;VAR:UNITS=M&amp;window=popup&amp;width=450&amp;height=300&amp;START_MAXIMIZED=FALSE"}</definedName>
    <definedName name="_538__FDSAUDITLINK__" hidden="1">{"fdsup://IBCentral/FAT Viewer?action=UPDATE&amp;creator=factset&amp;DOC_NAME=fat:reuters_annual_source_window.fat&amp;display_string=Audit&amp;DYN_ARGS=TRUE&amp;VAR:ID1=52610710&amp;VAR:RCODE=EBITDA&amp;VAR:SDATE=20071299&amp;VAR:FREQ=Y&amp;VAR:RELITEM=&amp;VAR:CURRENCY=&amp;VAR:CURRSOURCE=EXSHARE&amp;V","AR:NATFREQ=ANNUAL&amp;VAR:RFIELD=FINALIZED&amp;VAR:DB_TYPE=&amp;VAR:UNITS=M&amp;window=popup&amp;width=450&amp;height=300&amp;START_MAXIMIZED=FALSE"}</definedName>
    <definedName name="_539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54__FDSAUDITLINK__" hidden="1">{"fdsup://IBCentral/FAT Viewer?action=UPDATE&amp;creator=factset&amp;DOC_NAME=fat:reuters_annual_source_window.fat&amp;display_string=Audit&amp;DYN_ARGS=TRUE&amp;VAR:ID1=B19DVX&amp;VAR:RCODE=EBITDA&amp;VAR:SDATE=20080399&amp;VAR:FREQ=Y&amp;VAR:RELITEM=RP&amp;VAR:CURRENCY=&amp;VAR:CURRSOURCE=EXSHARE&amp;V","AR:NATFREQ=ANNUAL&amp;VAR:RFIELD=FINALIZED&amp;VAR:DB_TYPE=&amp;VAR:UNITS=M&amp;window=popup&amp;width=450&amp;height=300&amp;START_MAXIMIZED=FALSE"}</definedName>
    <definedName name="_540__FDSAUDITLINK__" hidden="1">{"fdsup://IBCentral/FAT Viewer?action=UPDATE&amp;creator=factset&amp;DOC_NAME=fat:reuters_annual_source_window.fat&amp;display_string=Audit&amp;DYN_ARGS=TRUE&amp;VAR:ID1=G4776G10&amp;VAR:RCODE=EBITDA&amp;VAR:SDATE=20071299&amp;VAR:FREQ=Y&amp;VAR:RELITEM=&amp;VAR:CURRENCY=&amp;VAR:CURRSOURCE=EXSHARE&amp;V","AR:NATFREQ=ANNUAL&amp;VAR:RFIELD=FINALIZED&amp;VAR:DB_TYPE=&amp;VAR:UNITS=M&amp;window=popup&amp;width=450&amp;height=300&amp;START_MAXIMIZED=FALSE"}</definedName>
    <definedName name="_541__FDSAUDITLINK__" hidden="1">{"fdsup://IBCentral/FAT Viewer?action=UPDATE&amp;creator=factset&amp;DOC_NAME=fat:reuters_annual_source_window.fat&amp;display_string=Audit&amp;DYN_ARGS=TRUE&amp;VAR:ID1=B1QGR4&amp;VAR:RCODE=EBITDA&amp;VAR:SDATE=20071299&amp;VAR:FREQ=Y&amp;VAR:RELITEM=&amp;VAR:CURRENCY=&amp;VAR:CURRSOURCE=EXSHARE&amp;VAR",":NATFREQ=ANNUAL&amp;VAR:RFIELD=FINALIZED&amp;VAR:DB_TYPE=&amp;VAR:UNITS=M&amp;window=popup&amp;width=450&amp;height=300&amp;START_MAXIMIZED=FALSE"}</definedName>
    <definedName name="_542__FDSAUDITLINK__" hidden="1">{"fdsup://IBCentral/FAT Viewer?action=UPDATE&amp;creator=factset&amp;DOC_NAME=fat:reuters_annual_source_window.fat&amp;display_string=Audit&amp;DYN_ARGS=TRUE&amp;VAR:ID1=416279&amp;VAR:RCODE=EBITDA&amp;VAR:SDATE=20071299&amp;VAR:FREQ=Y&amp;VAR:RELITEM=&amp;VAR:CURRENCY=&amp;VAR:CURRSOURCE=EXSHARE&amp;VAR",":NATFREQ=ANNUAL&amp;VAR:RFIELD=FINALIZED&amp;VAR:DB_TYPE=&amp;VAR:UNITS=M&amp;window=popup&amp;width=450&amp;height=300&amp;START_MAXIMIZED=FALSE"}</definedName>
    <definedName name="_543__FDSAUDITLINK__" hidden="1">{"fdsup://IBCentral/FAT Viewer?action=UPDATE&amp;creator=factset&amp;DOC_NAME=fat:reuters_annual_source_window.fat&amp;display_string=Audit&amp;DYN_ARGS=TRUE&amp;VAR:ID1=74018910&amp;VAR:RCODE=EBITDA&amp;VAR:SDATE=20080399&amp;VAR:FREQ=Y&amp;VAR:RELITEM=&amp;VAR:CURRENCY=&amp;VAR:CURRSOURCE=EXSHARE&amp;V","AR:NATFREQ=ANNUAL&amp;VAR:RFIELD=FINALIZED&amp;VAR:DB_TYPE=&amp;VAR:UNITS=M&amp;window=popup&amp;width=450&amp;height=300&amp;START_MAXIMIZED=FALSE"}</definedName>
    <definedName name="_544__FDSAUDITLINK__" hidden="1">{"fdsup://IBCentral/FAT Viewer?action=UPDATE&amp;creator=factset&amp;DOC_NAME=fat:reuters_annual_source_window.fat&amp;display_string=Audit&amp;DYN_ARGS=TRUE&amp;VAR:ID1=61539420&amp;VAR:RCODE=EBITDA&amp;VAR:SDATE=20080999&amp;VAR:FREQ=Y&amp;VAR:RELITEM=&amp;VAR:CURRENCY=&amp;VAR:CURRSOURCE=EXSHARE&amp;V","AR:NATFREQ=ANNUAL&amp;VAR:RFIELD=FINALIZED&amp;VAR:DB_TYPE=&amp;VAR:UNITS=M&amp;window=popup&amp;width=450&amp;height=300&amp;START_MAXIMIZED=FALSE"}</definedName>
    <definedName name="_545__FDSAUDITLINK__" hidden="1">{"fdsup://IBCentral/FAT Viewer?action=UPDATE&amp;creator=factset&amp;DOC_NAME=fat:reuters_annual_source_window.fat&amp;display_string=Audit&amp;DYN_ARGS=TRUE&amp;VAR:ID1=G9143X20&amp;VAR:RCODE=EBITDA&amp;VAR:SDATE=20070999&amp;VAR:FREQ=Y&amp;VAR:RELITEM=RP&amp;VAR:CURRENCY=&amp;VAR:CURRSOURCE=EXSHARE","&amp;VAR:NATFREQ=ANNUAL&amp;VAR:RFIELD=FINALIZED&amp;VAR:DB_TYPE=&amp;VAR:UNITS=M&amp;window=popup&amp;width=450&amp;height=300&amp;START_MAXIMIZED=FALSE"}</definedName>
    <definedName name="_546__FDSAUDITLINK__" hidden="1">{"fdsup://IBCentral/FAT Viewer?action=UPDATE&amp;creator=factset&amp;DOC_NAME=fat:reuters_annual_source_window.fat&amp;display_string=Audit&amp;DYN_ARGS=TRUE&amp;VAR:ID1=679159&amp;VAR:RCODE=EBITDA&amp;VAR:SDATE=20080399&amp;VAR:FREQ=Y&amp;VAR:RELITEM=RP&amp;VAR:CURRENCY=&amp;VAR:CURRSOURCE=EXSHARE&amp;V","AR:NATFREQ=ANNUAL&amp;VAR:RFIELD=FINALIZED&amp;VAR:DB_TYPE=&amp;VAR:UNITS=M&amp;window=popup&amp;width=450&amp;height=300&amp;START_MAXIMIZED=FALSE"}</definedName>
    <definedName name="_547__FDSAUDITLINK__" hidden="1">{"fdsup://IBCentral/FAT Viewer?action=UPDATE&amp;creator=factset&amp;DOC_NAME=fat:reuters_annual_source_window.fat&amp;display_string=Audit&amp;DYN_ARGS=TRUE&amp;VAR:ID1=555404&amp;VAR:RCODE=EBITDA&amp;VAR:SDATE=20071299&amp;VAR:FREQ=Y&amp;VAR:RELITEM=RP&amp;VAR:CURRENCY=&amp;VAR:CURRSOURCE=EXSHARE&amp;V","AR:NATFREQ=ANNUAL&amp;VAR:RFIELD=FINALIZED&amp;VAR:DB_TYPE=&amp;VAR:UNITS=M&amp;window=popup&amp;width=450&amp;height=300&amp;START_MAXIMIZED=FALSE"}</definedName>
    <definedName name="_548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549__FDSAUDITLINK__" hidden="1">{"fdsup://IBCentral/FAT Viewer?action=UPDATE&amp;creator=factset&amp;DOC_NAME=fat:reuters_annual_source_window.fat&amp;display_string=Audit&amp;DYN_ARGS=TRUE&amp;VAR:ID1=569878&amp;VAR:RCODE=EBITDA&amp;VAR:SDATE=20071299&amp;VAR:FREQ=Y&amp;VAR:RELITEM=RP&amp;VAR:CURRENCY=&amp;VAR:CURRSOURCE=EXSHARE&amp;V","AR:NATFREQ=ANNUAL&amp;VAR:RFIELD=FINALIZED&amp;VAR:DB_TYPE=&amp;VAR:UNITS=M&amp;window=popup&amp;width=450&amp;height=300&amp;START_MAXIMIZED=FALSE"}</definedName>
    <definedName name="_55__FDSAUDITLINK__" hidden="1">{"fdsup://IBCentral/FAT Viewer?action=UPDATE&amp;creator=factset&amp;DOC_NAME=fat:reuters_annual_source_window.fat&amp;display_string=Audit&amp;DYN_ARGS=TRUE&amp;VAR:ID1=13342B10&amp;VAR:RCODE=EBITDA&amp;VAR:SDATE=20071299&amp;VAR:FREQ=Y&amp;VAR:RELITEM=RP&amp;VAR:CURRENCY=&amp;VAR:CURRSOURCE=EXSHARE","&amp;VAR:NATFREQ=ANNUAL&amp;VAR:RFIELD=FINALIZED&amp;VAR:DB_TYPE=&amp;VAR:UNITS=M&amp;window=popup&amp;width=450&amp;height=300&amp;START_MAXIMIZED=FALSE"}</definedName>
    <definedName name="_550__FDSAUDITLINK__" hidden="1">{"fdsup://IBCentral/FAT Viewer?action=UPDATE&amp;creator=factset&amp;DOC_NAME=fat:reuters_annual_source_window.fat&amp;display_string=Audit&amp;DYN_ARGS=TRUE&amp;VAR:ID1=52610710&amp;VAR:RCODE=EBITDA&amp;VAR:SDATE=20071299&amp;VAR:FREQ=Y&amp;VAR:RELITEM=RP&amp;VAR:CURRENCY=&amp;VAR:CURRSOURCE=EXSHARE","&amp;VAR:NATFREQ=ANNUAL&amp;VAR:RFIELD=FINALIZED&amp;VAR:DB_TYPE=&amp;VAR:UNITS=M&amp;window=popup&amp;width=450&amp;height=300&amp;START_MAXIMIZED=FALSE"}</definedName>
    <definedName name="_551__FDSAUDITLINK__" hidden="1">{"fdsup://IBCentral/FAT Viewer?action=UPDATE&amp;creator=factset&amp;DOC_NAME=fat:reuters_annual_source_window.fat&amp;display_string=Audit&amp;DYN_ARGS=TRUE&amp;VAR:ID1=47836610&amp;VAR:RCODE=EBITDA&amp;VAR:SDATE=20070999&amp;VAR:FREQ=Y&amp;VAR:RELITEM=RP&amp;VAR:CURRENCY=&amp;VAR:CURRSOURCE=EXSHARE","&amp;VAR:NATFREQ=ANNUAL&amp;VAR:RFIELD=FINALIZED&amp;VAR:DB_TYPE=&amp;VAR:UNITS=M&amp;window=popup&amp;width=450&amp;height=300&amp;START_MAXIMIZED=FALSE"}</definedName>
    <definedName name="_552__FDSAUDITLINK__" hidden="1">{"fdsup://IBCentral/FAT Viewer?action=UPDATE&amp;creator=factset&amp;DOC_NAME=fat:reuters_annual_source_window.fat&amp;display_string=Audit&amp;DYN_ARGS=TRUE&amp;VAR:ID1=G4776G10&amp;VAR:RCODE=EBITDA&amp;VAR:SDATE=20071299&amp;VAR:FREQ=Y&amp;VAR:RELITEM=RP&amp;VAR:CURRENCY=&amp;VAR:CURRSOURCE=EXSHARE","&amp;VAR:NATFREQ=ANNUAL&amp;VAR:RFIELD=FINALIZED&amp;VAR:DB_TYPE=&amp;VAR:UNITS=M&amp;window=popup&amp;width=450&amp;height=300&amp;START_MAXIMIZED=FALSE"}</definedName>
    <definedName name="_553__FDSAUDITLINK__" hidden="1">{"fdsup://IBCentral/FAT Viewer?action=UPDATE&amp;creator=factset&amp;DOC_NAME=fat:reuters_annual_source_window.fat&amp;display_string=Audit&amp;DYN_ARGS=TRUE&amp;VAR:ID1=B1QGR4&amp;VAR:RCODE=EBITDA&amp;VAR:SDATE=20071299&amp;VAR:FREQ=Y&amp;VAR:RELITEM=RP&amp;VAR:CURRENCY=&amp;VAR:CURRSOURCE=EXSHARE&amp;V","AR:NATFREQ=ANNUAL&amp;VAR:RFIELD=FINALIZED&amp;VAR:DB_TYPE=&amp;VAR:UNITS=M&amp;window=popup&amp;width=450&amp;height=300&amp;START_MAXIMIZED=FALSE"}</definedName>
    <definedName name="_554__FDSAUDITLINK__" hidden="1">{"fdsup://IBCentral/FAT Viewer?action=UPDATE&amp;creator=factset&amp;DOC_NAME=fat:reuters_annual_source_window.fat&amp;display_string=Audit&amp;DYN_ARGS=TRUE&amp;VAR:ID1=416279&amp;VAR:RCODE=EBITDA&amp;VAR:SDATE=20071299&amp;VAR:FREQ=Y&amp;VAR:RELITEM=RP&amp;VAR:CURRENCY=&amp;VAR:CURRSOURCE=EXSHARE&amp;V","AR:NATFREQ=ANNUAL&amp;VAR:RFIELD=FINALIZED&amp;VAR:DB_TYPE=&amp;VAR:UNITS=M&amp;window=popup&amp;width=450&amp;height=300&amp;START_MAXIMIZED=FALSE"}</definedName>
    <definedName name="_555__FDSAUDITLINK__" hidden="1">{"fdsup://IBCentral/FAT Viewer?action=UPDATE&amp;creator=factset&amp;DOC_NAME=fat:reuters_annual_source_window.fat&amp;display_string=Audit&amp;DYN_ARGS=TRUE&amp;VAR:ID1=74018910&amp;VAR:RCODE=EBITDA&amp;VAR:SDATE=20080399&amp;VAR:FREQ=Y&amp;VAR:RELITEM=RP&amp;VAR:CURRENCY=&amp;VAR:CURRSOURCE=EXSHARE","&amp;VAR:NATFREQ=ANNUAL&amp;VAR:RFIELD=FINALIZED&amp;VAR:DB_TYPE=&amp;VAR:UNITS=M&amp;window=popup&amp;width=450&amp;height=300&amp;START_MAXIMIZED=FALSE"}</definedName>
    <definedName name="_556__FDSAUDITLINK__" hidden="1">{"fdsup://IBCentral/FAT Viewer?action=UPDATE&amp;creator=factset&amp;DOC_NAME=fat:reuters_annual_source_window.fat&amp;display_string=Audit&amp;DYN_ARGS=TRUE&amp;VAR:ID1=61539420&amp;VAR:RCODE=EBITDA&amp;VAR:SDATE=20070999&amp;VAR:FREQ=Y&amp;VAR:RELITEM=RP&amp;VAR:CURRENCY=&amp;VAR:CURRSOURCE=EXSHARE","&amp;VAR:NATFREQ=ANNUAL&amp;VAR:RFIELD=FINALIZED&amp;VAR:DB_TYPE=&amp;VAR:UNITS=M&amp;window=popup&amp;width=450&amp;height=300&amp;START_MAXIMIZED=FALSE"}</definedName>
    <definedName name="_557__FDSAUDITLINK__" hidden="1">{"fdsup://IBCentral/FAT Viewer?action=UPDATE&amp;creator=factset&amp;DOC_NAME=fat:reuters_annual_source_window.fat&amp;display_string=Audit&amp;DYN_ARGS=TRUE&amp;VAR:ID1=77434110&amp;VAR:RCODE=EBITDA&amp;VAR:SDATE=20070999&amp;VAR:FREQ=Y&amp;VAR:RELITEM=RP&amp;VAR:CURRENCY=&amp;VAR:CURRSOURCE=EXSHARE","&amp;VAR:NATFREQ=ANNUAL&amp;VAR:RFIELD=FINALIZED&amp;VAR:DB_TYPE=&amp;VAR:UNITS=M&amp;window=popup&amp;width=450&amp;height=300&amp;START_MAXIMIZED=FALSE"}</definedName>
    <definedName name="_558__FDSAUDITLINK__" hidden="1">{"fdsup://IBCentral/FAT Viewer?action=UPDATE&amp;creator=factset&amp;DOC_NAME=fat:reuters_annual_source_window.fat&amp;display_string=Audit&amp;DYN_ARGS=TRUE&amp;VAR:ID1=38238810&amp;VAR:RCODE=EBITDA&amp;VAR:SDATE=20071299&amp;VAR:FREQ=Y&amp;VAR:RELITEM=RP&amp;VAR:CURRENCY=&amp;VAR:CURRSOURCE=EXSHARE","&amp;VAR:NATFREQ=ANNUAL&amp;VAR:RFIELD=FINALIZED&amp;VAR:DB_TYPE=&amp;VAR:UNITS=M&amp;window=popup&amp;width=450&amp;height=300&amp;START_MAXIMIZED=FALSE"}</definedName>
    <definedName name="_559__FDSAUDITLINK__" hidden="1">{"fdsup://IBCentral/FAT Viewer?action=UPDATE&amp;creator=factset&amp;DOC_NAME=fat:reuters_annual_source_window.fat&amp;display_string=Audit&amp;DYN_ARGS=TRUE&amp;VAR:ID1=G9143X20&amp;VAR:RCODE=EBITDA&amp;VAR:SDATE=20070999&amp;VAR:FREQ=Y&amp;VAR:RELITEM=&amp;VAR:CURRENCY=&amp;VAR:CURRSOURCE=EXSHARE&amp;V","AR:NATFREQ=ANNUAL&amp;VAR:RFIELD=FINALIZED&amp;VAR:DB_TYPE=&amp;VAR:UNITS=M&amp;window=popup&amp;width=450&amp;height=300&amp;START_MAXIMIZED=FALSE"}</definedName>
    <definedName name="_56__FDSAUDITLINK__" hidden="1">{"fdsup://IBCentral/FAT Viewer?action=UPDATE&amp;creator=factset&amp;DOC_NAME=fat:reuters_annual_source_window.fat&amp;display_string=Audit&amp;DYN_ARGS=TRUE&amp;VAR:ID1=85461610&amp;VAR:RCODE=EBITDA&amp;VAR:SDATE=20071299&amp;VAR:FREQ=Y&amp;VAR:RELITEM=&amp;VAR:CURRENCY=&amp;VAR:CURRSOURCE=EXSHARE&amp;V","AR:NATFREQ=ANNUAL&amp;VAR:RFIELD=FINALIZED&amp;VAR:DB_TYPE=&amp;VAR:UNITS=M&amp;window=popup&amp;width=450&amp;height=300&amp;START_MAXIMIZED=FALSE"}</definedName>
    <definedName name="_560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561__FDSAUDITLINK__" hidden="1">{"fdsup://IBCentral/FAT Viewer?action=UPDATE&amp;creator=factset&amp;DOC_NAME=fat:reuters_annual_source_window.fat&amp;display_string=Audit&amp;DYN_ARGS=TRUE&amp;VAR:ID1=555404&amp;VAR:RCODE=EBITDA&amp;VAR:SDATE=20071299&amp;VAR:FREQ=Y&amp;VAR:RELITEM=&amp;VAR:CURRENCY=&amp;VAR:CURRSOURCE=EXSHARE&amp;VAR",":NATFREQ=ANNUAL&amp;VAR:RFIELD=FINALIZED&amp;VAR:DB_TYPE=&amp;VAR:UNITS=M&amp;window=popup&amp;width=450&amp;height=300&amp;START_MAXIMIZED=FALSE"}</definedName>
    <definedName name="_562__FDSAUDITLINK__" hidden="1">{"fdsup://IBCentral/FAT Viewer?action=UPDATE&amp;creator=factset&amp;DOC_NAME=fat:reuters_annual_source_window.fat&amp;display_string=Audit&amp;DYN_ARGS=TRUE&amp;VAR:ID1=B01FLG&amp;VAR:RCODE=EBITDA&amp;VAR:SDATE=20071299&amp;VAR:FREQ=Y&amp;VAR:RELITEM=&amp;VAR:CURRENCY=&amp;VAR:CURRSOURCE=EXSHARE&amp;VAR",":NATFREQ=ANNUAL&amp;VAR:RFIELD=FINALIZED&amp;VAR:DB_TYPE=&amp;VAR:UNITS=M&amp;window=popup&amp;width=450&amp;height=300&amp;START_MAXIMIZED=FALSE"}</definedName>
    <definedName name="_563__FDSAUDITLINK__" hidden="1">{"fdsup://IBCentral/FAT Viewer?action=UPDATE&amp;creator=factset&amp;DOC_NAME=fat:reuters_annual_source_window.fat&amp;display_string=Audit&amp;DYN_ARGS=TRUE&amp;VAR:ID1=10969610&amp;VAR:RCODE=EBITDA&amp;VAR:SDATE=20071299&amp;VAR:FREQ=Y&amp;VAR:RELITEM=&amp;VAR:CURRENCY=&amp;VAR:CURRSOURCE=EXSHARE&amp;V","AR:NATFREQ=ANNUAL&amp;VAR:RFIELD=FINALIZED&amp;VAR:DB_TYPE=&amp;VAR:UNITS=M&amp;window=popup&amp;width=450&amp;height=300&amp;START_MAXIMIZED=FALSE"}</definedName>
    <definedName name="_564__FDSAUDITLINK__" hidden="1">{"fdsup://IBCentral/FAT Viewer?action=UPDATE&amp;creator=factset&amp;DOC_NAME=fat:reuters_annual_source_window.fat&amp;display_string=Audit&amp;DYN_ARGS=TRUE&amp;VAR:ID1=569878&amp;VAR:RCODE=EBITDA&amp;VAR:SDATE=20071299&amp;VAR:FREQ=Y&amp;VAR:RELITEM=&amp;VAR:CURRENCY=&amp;VAR:CURRSOURCE=EXSHARE&amp;VAR",":NATFREQ=ANNUAL&amp;VAR:RFIELD=FINALIZED&amp;VAR:DB_TYPE=&amp;VAR:UNITS=M&amp;window=popup&amp;width=450&amp;height=300&amp;START_MAXIMIZED=FALSE"}</definedName>
    <definedName name="_565__FDSAUDITLINK__" hidden="1">{"fdsup://IBCentral/FAT Viewer?action=UPDATE&amp;creator=factset&amp;DOC_NAME=fat:reuters_annual_source_window.fat&amp;display_string=Audit&amp;DYN_ARGS=TRUE&amp;VAR:ID1=483410&amp;VAR:RCODE=EBITDA&amp;VAR:SDATE=20071299&amp;VAR:FREQ=Y&amp;VAR:RELITEM=&amp;VAR:CURRENCY=&amp;VAR:CURRSOURCE=EXSHARE&amp;VAR",":NATFREQ=ANNUAL&amp;VAR:RFIELD=FINALIZED&amp;VAR:DB_TYPE=&amp;VAR:UNITS=M&amp;window=popup&amp;width=450&amp;height=300&amp;START_MAXIMIZED=FALSE"}</definedName>
    <definedName name="_566__FDSAUDITLINK__" hidden="1">{"fdsup://IBCentral/FAT Viewer?action=UPDATE&amp;creator=factset&amp;DOC_NAME=fat:reuters_annual_source_window.fat&amp;display_string=Audit&amp;DYN_ARGS=TRUE&amp;VAR:ID1=34354P10&amp;VAR:RCODE=EBITDA&amp;VAR:SDATE=20071299&amp;VAR:FREQ=Y&amp;VAR:RELITEM=&amp;VAR:CURRENCY=&amp;VAR:CURRSOURCE=EXSHARE&amp;V","AR:NATFREQ=ANNUAL&amp;VAR:RFIELD=FINALIZED&amp;VAR:DB_TYPE=&amp;VAR:UNITS=M&amp;window=popup&amp;width=450&amp;height=300&amp;START_MAXIMIZED=FALSE"}</definedName>
    <definedName name="_567__FDSAUDITLINK__" hidden="1">{"fdsup://IBCentral/FAT Viewer?action=UPDATE&amp;creator=factset&amp;DOC_NAME=fat:reuters_annual_source_window.fat&amp;display_string=Audit&amp;DYN_ARGS=TRUE&amp;VAR:ID1=83186520&amp;VAR:RCODE=EBITDA&amp;VAR:SDATE=20071299&amp;VAR:FREQ=Y&amp;VAR:RELITEM=&amp;VAR:CURRENCY=&amp;VAR:CURRSOURCE=EXSHARE&amp;V","AR:NATFREQ=ANNUAL&amp;VAR:RFIELD=FINALIZED&amp;VAR:DB_TYPE=&amp;VAR:UNITS=M&amp;window=popup&amp;width=450&amp;height=300&amp;START_MAXIMIZED=FALSE"}</definedName>
    <definedName name="_568__FDSAUDITLINK__" hidden="1">{"fdsup://IBCentral/FAT Viewer?action=UPDATE&amp;creator=factset&amp;DOC_NAME=fat:reuters_annual_source_window.fat&amp;display_string=Audit&amp;DYN_ARGS=TRUE&amp;VAR:ID1=66680710&amp;VAR:RCODE=EBITDA&amp;VAR:SDATE=20071299&amp;VAR:FREQ=Y&amp;VAR:RELITEM=&amp;VAR:CURRENCY=&amp;VAR:CURRSOURCE=EXSHARE&amp;V","AR:NATFREQ=ANNUAL&amp;VAR:RFIELD=FINALIZED&amp;VAR:DB_TYPE=&amp;VAR:UNITS=M&amp;window=popup&amp;width=450&amp;height=300&amp;START_MAXIMIZED=FALSE"}</definedName>
    <definedName name="_569__FDSAUDITLINK__" hidden="1">{"fdsup://IBCentral/FAT Viewer?action=UPDATE&amp;creator=factset&amp;DOC_NAME=fat:reuters_annual_source_window.fat&amp;display_string=Audit&amp;DYN_ARGS=TRUE&amp;VAR:ID1=B06CF7&amp;VAR:RCODE=EBITDA&amp;VAR:SDATE=20071299&amp;VAR:FREQ=Y&amp;VAR:RELITEM=&amp;VAR:CURRENCY=&amp;VAR:CURRSOURCE=EXSHARE&amp;VAR",":NATFREQ=ANNUAL&amp;VAR:RFIELD=FINALIZED&amp;VAR:DB_TYPE=&amp;VAR:UNITS=M&amp;window=popup&amp;width=450&amp;height=300&amp;START_MAXIMIZED=FALSE"}</definedName>
    <definedName name="_57__FDSAUDITLINK__" hidden="1">{"fdsup://IBCentral/FAT Viewer?action=UPDATE&amp;creator=factset&amp;DOC_NAME=fat:reuters_annual_source_window.fat&amp;display_string=Audit&amp;DYN_ARGS=TRUE&amp;VAR:ID1=B1QGR4&amp;VAR:RCODE=EBITDA&amp;VAR:SDATE=20071299&amp;VAR:FREQ=Y&amp;VAR:RELITEM=&amp;VAR:CURRENCY=&amp;VAR:CURRSOURCE=EXSHARE&amp;VAR",":NATFREQ=ANNUAL&amp;VAR:RFIELD=FINALIZED&amp;VAR:DB_TYPE=&amp;VAR:UNITS=M&amp;window=popup&amp;width=450&amp;height=300&amp;START_MAXIMIZED=FALSE"}</definedName>
    <definedName name="_570__FDSAUDITLINK__" hidden="1">{"fdsup://IBCentral/FAT Viewer?action=UPDATE&amp;creator=factset&amp;DOC_NAME=fat:reuters_annual_source_window.fat&amp;display_string=Audit&amp;DYN_ARGS=TRUE&amp;VAR:ID1=01265310&amp;VAR:RCODE=EBITDA&amp;VAR:SDATE=20071299&amp;VAR:FREQ=Y&amp;VAR:RELITEM=RP&amp;VAR:CURRENCY=&amp;VAR:CURRSOURCE=EXSHARE","&amp;VAR:NATFREQ=ANNUAL&amp;VAR:RFIELD=FINALIZED&amp;VAR:DB_TYPE=&amp;VAR:UNITS=M&amp;window=popup&amp;width=450&amp;height=300&amp;START_MAXIMIZED=FALSE"}</definedName>
    <definedName name="_571__FDSAUDITLINK__" hidden="1">{"fdsup://IBCentral/FAT Viewer?action=UPDATE&amp;creator=factset&amp;DOC_NAME=fat:reuters_annual_source_window.fat&amp;display_string=Audit&amp;DYN_ARGS=TRUE&amp;VAR:ID1=26353410&amp;VAR:RCODE=EBITDA&amp;VAR:SDATE=20071299&amp;VAR:FREQ=Y&amp;VAR:RELITEM=&amp;VAR:CURRENCY=&amp;VAR:CURRSOURCE=EXSHARE&amp;V","AR:NATFREQ=ANNUAL&amp;VAR:RFIELD=FINALIZED&amp;VAR:DB_TYPE=&amp;VAR:UNITS=M&amp;window=popup&amp;width=450&amp;height=300&amp;START_MAXIMIZED=FALSE"}</definedName>
    <definedName name="_572__FDSAUDITLINK__" hidden="1">{"fdsup://IBCentral/FAT Viewer?action=UPDATE&amp;creator=factset&amp;DOC_NAME=fat:reuters_annual_source_window.fat&amp;display_string=Audit&amp;DYN_ARGS=TRUE&amp;VAR:ID1=73179P10&amp;VAR:RCODE=EBITDA&amp;VAR:SDATE=20071299&amp;VAR:FREQ=Y&amp;VAR:RELITEM=&amp;VAR:CURRENCY=&amp;VAR:CURRSOURCE=EXSHARE&amp;V","AR:NATFREQ=ANNUAL&amp;VAR:RFIELD=FINALIZED&amp;VAR:DB_TYPE=&amp;VAR:UNITS=M&amp;window=popup&amp;width=450&amp;height=300&amp;START_MAXIMIZED=FALSE"}</definedName>
    <definedName name="_573__FDSAUDITLINK__" hidden="1">{"fdsup://IBCentral/FAT Viewer?action=UPDATE&amp;creator=factset&amp;DOC_NAME=fat:reuters_annual_source_window.fat&amp;display_string=Audit&amp;DYN_ARGS=TRUE&amp;VAR:ID1=B01FLG&amp;VAR:RCODE=EBITDA&amp;VAR:SDATE=20071299&amp;VAR:FREQ=Y&amp;VAR:RELITEM=RP&amp;VAR:CURRENCY=&amp;VAR:CURRSOURCE=EXSHARE&amp;V","AR:NATFREQ=ANNUAL&amp;VAR:RFIELD=FINALIZED&amp;VAR:DB_TYPE=&amp;VAR:UNITS=M&amp;window=popup&amp;width=450&amp;height=300&amp;START_MAXIMIZED=FALSE"}</definedName>
    <definedName name="_574__FDSAUDITLINK__" hidden="1">{"fdsup://IBCentral/FAT Viewer?action=UPDATE&amp;creator=factset&amp;DOC_NAME=fat:reuters_annual_source_window.fat&amp;display_string=Audit&amp;DYN_ARGS=TRUE&amp;VAR:ID1=555404&amp;VAR:RCODE=EBITDA&amp;VAR:SDATE=20071299&amp;VAR:FREQ=Y&amp;VAR:RELITEM=RP&amp;VAR:CURRENCY=&amp;VAR:CURRSOURCE=EXSHARE&amp;V","AR:NATFREQ=ANNUAL&amp;VAR:RFIELD=FINALIZED&amp;VAR:DB_TYPE=&amp;VAR:UNITS=M&amp;window=popup&amp;width=450&amp;height=300&amp;START_MAXIMIZED=FALSE"}</definedName>
    <definedName name="_575__FDSAUDITLINK__" hidden="1">{"fdsup://IBCentral/FAT Viewer?action=UPDATE&amp;creator=factset&amp;DOC_NAME=fat:reuters_annual_source_window.fat&amp;display_string=Audit&amp;DYN_ARGS=TRUE&amp;VAR:ID1=679159&amp;VAR:RCODE=EBITDA&amp;VAR:SDATE=20080399&amp;VAR:FREQ=Y&amp;VAR:RELITEM=RP&amp;VAR:CURRENCY=&amp;VAR:CURRSOURCE=EXSHARE&amp;V","AR:NATFREQ=ANNUAL&amp;VAR:RFIELD=FINALIZED&amp;VAR:DB_TYPE=&amp;VAR:UNITS=M&amp;window=popup&amp;width=450&amp;height=300&amp;START_MAXIMIZED=FALSE"}</definedName>
    <definedName name="_576__FDSAUDITLINK__" hidden="1">{"fdsup://IBCentral/FAT Viewer?action=UPDATE&amp;creator=factset&amp;DOC_NAME=fat:reuters_annual_source_window.fat&amp;display_string=Audit&amp;DYN_ARGS=TRUE&amp;VAR:ID1=34354P10&amp;VAR:RCODE=EBITDA&amp;VAR:SDATE=20071299&amp;VAR:FREQ=Y&amp;VAR:RELITEM=RP&amp;VAR:CURRENCY=&amp;VAR:CURRSOURCE=EXSHARE","&amp;VAR:NATFREQ=ANNUAL&amp;VAR:RFIELD=FINALIZED&amp;VAR:DB_TYPE=&amp;VAR:UNITS=M&amp;window=popup&amp;width=450&amp;height=300&amp;START_MAXIMIZED=FALSE"}</definedName>
    <definedName name="_577__FDSAUDITLINK__" hidden="1">{"fdsup://IBCentral/FAT Viewer?action=UPDATE&amp;creator=factset&amp;DOC_NAME=fat:reuters_annual_source_window.fat&amp;display_string=Audit&amp;DYN_ARGS=TRUE&amp;VAR:ID1=45167R10&amp;VAR:RCODE=EBITDA&amp;VAR:SDATE=20071299&amp;VAR:FREQ=Y&amp;VAR:RELITEM=RP&amp;VAR:CURRENCY=&amp;VAR:CURRSOURCE=EXSHARE","&amp;VAR:NATFREQ=ANNUAL&amp;VAR:RFIELD=FINALIZED&amp;VAR:DB_TYPE=&amp;VAR:UNITS=M&amp;window=popup&amp;width=450&amp;height=300&amp;START_MAXIMIZED=FALSE"}</definedName>
    <definedName name="_578__FDSAUDITLINK__" hidden="1">{"fdsup://IBCentral/FAT Viewer?action=UPDATE&amp;creator=factset&amp;DOC_NAME=fat:reuters_annual_source_window.fat&amp;display_string=Audit&amp;DYN_ARGS=TRUE&amp;VAR:ID1=019520&amp;VAR:RCODE=EBITDA&amp;VAR:SDATE=20080399&amp;VAR:FREQ=Y&amp;VAR:RELITEM=&amp;VAR:CURRENCY=&amp;VAR:CURRSOURCE=EXSHARE&amp;VAR",":NATFREQ=ANNUAL&amp;VAR:RFIELD=FINALIZED&amp;VAR:DB_TYPE=&amp;VAR:UNITS=M&amp;window=popup&amp;width=450&amp;height=300&amp;START_MAXIMIZED=FALSE"}</definedName>
    <definedName name="_579__FDSAUDITLINK__" hidden="1">{"fdsup://IBCentral/FAT Viewer?action=UPDATE&amp;creator=factset&amp;DOC_NAME=fat:reuters_annual_source_window.fat&amp;display_string=Audit&amp;DYN_ARGS=TRUE&amp;VAR:ID1=38238810&amp;VAR:RCODE=EBIT&amp;VAR:SDATE=20071299&amp;VAR:FREQ=Y&amp;VAR:RELITEM=RP&amp;VAR:CURRENCY=&amp;VAR:CURRSOURCE=EXSHARE&amp;V","AR:NATFREQ=ANNUAL&amp;VAR:RFIELD=FINALIZED&amp;VAR:DB_TYPE=&amp;VAR:UNITS=M&amp;window=popup&amp;width=450&amp;height=300&amp;START_MAXIMIZED=FALSE"}</definedName>
    <definedName name="_58__FDSAUDITLINK__" hidden="1">{"fdsup://IBCentral/FAT Viewer?action=UPDATE&amp;creator=factset&amp;DOC_NAME=fat:reuters_annual_source_window.fat&amp;display_string=Audit&amp;DYN_ARGS=TRUE&amp;VAR:ID1=G4776G10&amp;VAR:RCODE=EBITDA&amp;VAR:SDATE=20071299&amp;VAR:FREQ=Y&amp;VAR:RELITEM=RP&amp;VAR:CURRENCY=&amp;VAR:CURRSOURCE=EXSHARE","&amp;VAR:NATFREQ=ANNUAL&amp;VAR:RFIELD=FINALIZED&amp;VAR:DB_TYPE=&amp;VAR:UNITS=M&amp;window=popup&amp;width=450&amp;height=300&amp;START_MAXIMIZED=FALSE"}</definedName>
    <definedName name="_580__FDSAUDITLINK__" hidden="1">{"fdsup://IBCentral/FAT Viewer?action=UPDATE&amp;creator=factset&amp;DOC_NAME=fat:reuters_annual_source_window.fat&amp;display_string=Audit&amp;DYN_ARGS=TRUE&amp;VAR:ID1=38238810&amp;VAR:RCODE=EBITDA&amp;VAR:SDATE=20071299&amp;VAR:FREQ=Y&amp;VAR:RELITEM=RP&amp;VAR:CURRENCY=&amp;VAR:CURRSOURCE=EXSHARE","&amp;VAR:NATFREQ=ANNUAL&amp;VAR:RFIELD=FINALIZED&amp;VAR:DB_TYPE=&amp;VAR:UNITS=M&amp;window=popup&amp;width=450&amp;height=300&amp;START_MAXIMIZED=FALSE"}</definedName>
    <definedName name="_581__FDSAUDITLINK__" hidden="1">{"fdsup://IBCentral/FAT Viewer?action=UPDATE&amp;creator=factset&amp;DOC_NAME=fat:reuters_annual_source_window.fat&amp;display_string=Audit&amp;DYN_ARGS=TRUE&amp;VAR:ID1=77434110&amp;VAR:RCODE=EBITDA&amp;VAR:SDATE=20070999&amp;VAR:FREQ=Y&amp;VAR:RELITEM=RP&amp;VAR:CURRENCY=&amp;VAR:CURRSOURCE=EXSHARE","&amp;VAR:NATFREQ=ANNUAL&amp;VAR:RFIELD=FINALIZED&amp;VAR:DB_TYPE=&amp;VAR:UNITS=M&amp;window=popup&amp;width=450&amp;height=300&amp;START_MAXIMIZED=FALSE"}</definedName>
    <definedName name="_582__FDSAUDITLINK__" hidden="1">{"fdsup://IBCentral/FAT Viewer?action=UPDATE&amp;creator=factset&amp;DOC_NAME=fat:reuters_annual_source_window.fat&amp;display_string=Audit&amp;DYN_ARGS=TRUE&amp;VAR:ID1=74018910&amp;VAR:RCODE=EBITDA&amp;VAR:SDATE=20080399&amp;VAR:FREQ=Y&amp;VAR:RELITEM=RP&amp;VAR:CURRENCY=&amp;VAR:CURRSOURCE=EXSHARE","&amp;VAR:NATFREQ=ANNUAL&amp;VAR:RFIELD=FINALIZED&amp;VAR:DB_TYPE=&amp;VAR:UNITS=M&amp;window=popup&amp;width=450&amp;height=300&amp;START_MAXIMIZED=FALSE"}</definedName>
    <definedName name="_583__FDSAUDITLINK__" hidden="1">{"fdsup://IBCentral/FAT Viewer?action=UPDATE&amp;creator=factset&amp;DOC_NAME=fat:reuters_annual_source_window.fat&amp;display_string=Audit&amp;DYN_ARGS=TRUE&amp;VAR:ID1=61539420&amp;VAR:RCODE=EBITDA&amp;VAR:SDATE=20070999&amp;VAR:FREQ=Y&amp;VAR:RELITEM=RP&amp;VAR:CURRENCY=&amp;VAR:CURRSOURCE=EXSHARE","&amp;VAR:NATFREQ=ANNUAL&amp;VAR:RFIELD=FINALIZED&amp;VAR:DB_TYPE=&amp;VAR:UNITS=M&amp;window=popup&amp;width=450&amp;height=300&amp;START_MAXIMIZED=FALSE"}</definedName>
    <definedName name="_584__FDSAUDITLINK__" hidden="1">{"fdsup://IBCentral/FAT Viewer?action=UPDATE&amp;creator=factset&amp;DOC_NAME=fat:reuters_annual_source_window.fat&amp;display_string=Audit&amp;DYN_ARGS=TRUE&amp;VAR:ID1=77441510&amp;VAR:RCODE=EBIT&amp;VAR:SDATE=20071299&amp;VAR:FREQ=Y&amp;VAR:RELITEM=RP&amp;VAR:CURRENCY=&amp;VAR:CURRSOURCE=EXSHARE&amp;V","AR:NATFREQ=ANNUAL&amp;VAR:RFIELD=FINALIZED&amp;VAR:DB_TYPE=&amp;VAR:UNITS=M&amp;window=popup&amp;width=450&amp;height=300&amp;START_MAXIMIZED=FALSE"}</definedName>
    <definedName name="_585__FDSAUDITLINK__" hidden="1">{"fdsup://IBCentral/FAT Viewer?action=UPDATE&amp;creator=factset&amp;DOC_NAME=fat:reuters_annual_source_window.fat&amp;display_string=Audit&amp;DYN_ARGS=TRUE&amp;VAR:ID1=B058TZ&amp;VAR:RCODE=EBIT&amp;VAR:SDATE=20071299&amp;VAR:FREQ=Y&amp;VAR:RELITEM=RP&amp;VAR:CURRENCY=&amp;VAR:CURRSOURCE=EXSHARE&amp;VAR",":NATFREQ=ANNUAL&amp;VAR:RFIELD=FINALIZED&amp;VAR:DB_TYPE=&amp;VAR:UNITS=M&amp;window=popup&amp;width=450&amp;height=300&amp;START_MAXIMIZED=FALSE"}</definedName>
    <definedName name="_586__FDSAUDITLINK__" hidden="1">{"fdsup://IBCentral/FAT Viewer?action=UPDATE&amp;creator=factset&amp;DOC_NAME=fat:reuters_annual_source_window.fat&amp;display_string=Audit&amp;DYN_ARGS=TRUE&amp;VAR:ID1=B09DHL&amp;VAR:RCODE=EBIT&amp;VAR:SDATE=20071299&amp;VAR:FREQ=Y&amp;VAR:RELITEM=RP&amp;VAR:CURRENCY=&amp;VAR:CURRSOURCE=EXSHARE&amp;VAR",":NATFREQ=ANNUAL&amp;VAR:RFIELD=FINALIZED&amp;VAR:DB_TYPE=&amp;VAR:UNITS=M&amp;window=popup&amp;width=450&amp;height=300&amp;START_MAXIMIZED=FALSE"}</definedName>
    <definedName name="_587__FDSAUDITLINK__" hidden="1">{"fdsup://IBCentral/FAT Viewer?action=UPDATE&amp;creator=factset&amp;DOC_NAME=fat:reuters_annual_source_window.fat&amp;display_string=Audit&amp;DYN_ARGS=TRUE&amp;VAR:ID1=328364&amp;VAR:RCODE=EBIT&amp;VAR:SDATE=20071299&amp;VAR:FREQ=Y&amp;VAR:RELITEM=RP&amp;VAR:CURRENCY=&amp;VAR:CURRSOURCE=EXSHARE&amp;VAR",":NATFREQ=ANNUAL&amp;VAR:RFIELD=FINALIZED&amp;VAR:DB_TYPE=&amp;VAR:UNITS=M&amp;window=popup&amp;width=450&amp;height=300&amp;START_MAXIMIZED=FALSE"}</definedName>
    <definedName name="_588__FDSAUDITLINK__" hidden="1">{"fdsup://IBCentral/FAT Viewer?action=UPDATE&amp;creator=factset&amp;DOC_NAME=fat:reuters_annual_source_window.fat&amp;display_string=Audit&amp;DYN_ARGS=TRUE&amp;VAR:ID1=96332010&amp;VAR:RCODE=EBITDA&amp;VAR:SDATE=20071299&amp;VAR:FREQ=Y&amp;VAR:RELITEM=&amp;VAR:CURRENCY=&amp;VAR:CURRSOURCE=EXSHARE&amp;V","AR:NATFREQ=ANNUAL&amp;VAR:RFIELD=FINALIZED&amp;VAR:DB_TYPE=&amp;VAR:UNITS=M&amp;window=popup&amp;width=450&amp;height=300&amp;START_MAXIMIZED=FALSE"}</definedName>
    <definedName name="_589__FDSAUDITLINK__" hidden="1">{"fdsup://IBCentral/FAT Viewer?action=UPDATE&amp;creator=factset&amp;DOC_NAME=fat:reuters_annual_source_window.fat&amp;display_string=Audit&amp;DYN_ARGS=TRUE&amp;VAR:ID1=710889&amp;VAR:RCODE=EBITDA&amp;VAR:SDATE=20071299&amp;VAR:FREQ=Y&amp;VAR:RELITEM=&amp;VAR:CURRENCY=&amp;VAR:CURRSOURCE=EXSHARE&amp;VAR",":NATFREQ=ANNUAL&amp;VAR:RFIELD=FINALIZED&amp;VAR:DB_TYPE=&amp;VAR:UNITS=M&amp;window=popup&amp;width=450&amp;height=300&amp;START_MAXIMIZED=FALSE"}</definedName>
    <definedName name="_59__FDSAUDITLINK__" hidden="1">{"fdsup://IBCentral/FAT Viewer?action=UPDATE&amp;creator=factset&amp;DOC_NAME=fat:reuters_annual_source_window.fat&amp;display_string=Audit&amp;DYN_ARGS=TRUE&amp;VAR:ID1=416279&amp;VAR:RCODE=EBITDA&amp;VAR:SDATE=20071299&amp;VAR:FREQ=Y&amp;VAR:RELITEM=&amp;VAR:CURRENCY=&amp;VAR:CURRSOURCE=EXSHARE&amp;VAR",":NATFREQ=ANNUAL&amp;VAR:RFIELD=FINALIZED&amp;VAR:DB_TYPE=&amp;VAR:UNITS=M&amp;window=popup&amp;width=450&amp;height=300&amp;START_MAXIMIZED=FALSE"}</definedName>
    <definedName name="_590__FDSAUDITLINK__" hidden="1">{"fdsup://IBCentral/FAT Viewer?action=UPDATE&amp;creator=factset&amp;DOC_NAME=fat:reuters_annual_source_window.fat&amp;display_string=Audit&amp;DYN_ARGS=TRUE&amp;VAR:ID1=09972410&amp;VAR:RCODE=EBITDA&amp;VAR:SDATE=20071299&amp;VAR:FREQ=Y&amp;VAR:RELITEM=&amp;VAR:CURRENCY=&amp;VAR:CURRSOURCE=EXSHARE&amp;V","AR:NATFREQ=ANNUAL&amp;VAR:RFIELD=FINALIZED&amp;VAR:DB_TYPE=&amp;VAR:UNITS=M&amp;window=popup&amp;width=450&amp;height=300&amp;START_MAXIMIZED=FALSE"}</definedName>
    <definedName name="_591__FDSAUDITLINK__" hidden="1">{"fdsup://IBCentral/FAT Viewer?action=UPDATE&amp;creator=factset&amp;DOC_NAME=fat:reuters_annual_source_window.fat&amp;display_string=Audit&amp;DYN_ARGS=TRUE&amp;VAR:ID1=69371810&amp;VAR:RCODE=EBITDA&amp;VAR:SDATE=20071299&amp;VAR:FREQ=Y&amp;VAR:RELITEM=&amp;VAR:CURRENCY=&amp;VAR:CURRSOURCE=EXSHARE&amp;V","AR:NATFREQ=ANNUAL&amp;VAR:RFIELD=FINALIZED&amp;VAR:DB_TYPE=&amp;VAR:UNITS=M&amp;window=popup&amp;width=450&amp;height=300&amp;START_MAXIMIZED=FALSE"}</definedName>
    <definedName name="_592__FDSAUDITLINK__" hidden="1">{"fdsup://IBCentral/FAT Viewer?action=UPDATE&amp;creator=factset&amp;DOC_NAME=fat:reuters_annual_source_window.fat&amp;display_string=Audit&amp;DYN_ARGS=TRUE&amp;VAR:ID1=63934E10&amp;VAR:RCODE=EBITDA&amp;VAR:SDATE=20071099&amp;VAR:FREQ=Y&amp;VAR:RELITEM=&amp;VAR:CURRENCY=&amp;VAR:CURRSOURCE=EXSHARE&amp;V","AR:NATFREQ=ANNUAL&amp;VAR:RFIELD=FINALIZED&amp;VAR:DB_TYPE=&amp;VAR:UNITS=M&amp;window=popup&amp;width=450&amp;height=300&amp;START_MAXIMIZED=FALSE"}</definedName>
    <definedName name="_593__FDSAUDITLINK__" hidden="1">{"fdsup://IBCentral/FAT Viewer?action=UPDATE&amp;creator=factset&amp;DOC_NAME=fat:reuters_annual_source_window.fat&amp;display_string=Audit&amp;DYN_ARGS=TRUE&amp;VAR:ID1=38238810&amp;VAR:RCODE=EBITDA&amp;VAR:SDATE=20071299&amp;VAR:FREQ=Y&amp;VAR:RELITEM=&amp;VAR:CURRENCY=&amp;VAR:CURRSOURCE=EXSHARE&amp;V","AR:NATFREQ=ANNUAL&amp;VAR:RFIELD=FINALIZED&amp;VAR:DB_TYPE=&amp;VAR:UNITS=M&amp;window=popup&amp;width=450&amp;height=300&amp;START_MAXIMIZED=FALSE"}</definedName>
    <definedName name="_594__FDSAUDITLINK__" hidden="1">{"fdsup://IBCentral/FAT Viewer?action=UPDATE&amp;creator=factset&amp;DOC_NAME=fat:reuters_annual_source_window.fat&amp;display_string=Audit&amp;DYN_ARGS=TRUE&amp;VAR:ID1=676396&amp;VAR:RCODE=EBITDA&amp;VAR:SDATE=20080399&amp;VAR:FREQ=Y&amp;VAR:RELITEM=&amp;VAR:CURRENCY=&amp;VAR:CURRSOURCE=EXSHARE&amp;VAR",":NATFREQ=ANNUAL&amp;VAR:RFIELD=FINALIZED&amp;VAR:DB_TYPE=&amp;VAR:UNITS=M&amp;window=popup&amp;width=450&amp;height=300&amp;START_MAXIMIZED=FALSE"}</definedName>
    <definedName name="_595__FDSAUDITLINK__" hidden="1">{"fdsup://IBCentral/FAT Viewer?action=UPDATE&amp;creator=factset&amp;DOC_NAME=fat:reuters_annual_source_window.fat&amp;display_string=Audit&amp;DYN_ARGS=TRUE&amp;VAR:ID1=69642930&amp;VAR:RCODE=EBITDA&amp;VAR:SDATE=20080799&amp;VAR:FREQ=Y&amp;VAR:RELITEM=&amp;VAR:CURRENCY=&amp;VAR:CURRSOURCE=EXSHARE&amp;V","AR:NATFREQ=ANNUAL&amp;VAR:RFIELD=FINALIZED&amp;VAR:DB_TYPE=&amp;VAR:UNITS=M&amp;window=popup&amp;width=450&amp;height=300&amp;START_MAXIMIZED=FALSE"}</definedName>
    <definedName name="_596__FDSAUDITLINK__" hidden="1">{"fdsup://IBCentral/FAT Viewer?action=UPDATE&amp;creator=factset&amp;DOC_NAME=fat:reuters_annual_source_window.fat&amp;display_string=Audit&amp;DYN_ARGS=TRUE&amp;VAR:ID1=29101110&amp;VAR:RCODE=EBITDA&amp;VAR:SDATE=20070999&amp;VAR:FREQ=Y&amp;VAR:RELITEM=&amp;VAR:CURRENCY=&amp;VAR:CURRSOURCE=EXSHARE&amp;V","AR:NATFREQ=ANNUAL&amp;VAR:RFIELD=FINALIZED&amp;VAR:DB_TYPE=&amp;VAR:UNITS=M&amp;window=popup&amp;width=450&amp;height=300&amp;START_MAXIMIZED=FALSE"}</definedName>
    <definedName name="_597__FDSAUDITLINK__" hidden="1">{"fdsup://IBCentral/FAT Viewer?action=UPDATE&amp;creator=factset&amp;DOC_NAME=fat:reuters_annual_source_window.fat&amp;display_string=Audit&amp;DYN_ARGS=TRUE&amp;VAR:ID1=483410&amp;VAR:RCODE=EBITDA&amp;VAR:SDATE=20071299&amp;VAR:FREQ=Y&amp;VAR:RELITEM=&amp;VAR:CURRENCY=&amp;VAR:CURRSOURCE=EXSHARE&amp;VAR",":NATFREQ=ANNUAL&amp;VAR:RFIELD=FINALIZED&amp;VAR:DB_TYPE=&amp;VAR:UNITS=M&amp;window=popup&amp;width=450&amp;height=300&amp;START_MAXIMIZED=FALSE"}</definedName>
    <definedName name="_598__FDSAUDITLINK__" hidden="1">{"fdsup://IBCentral/FAT Viewer?action=UPDATE&amp;creator=factset&amp;DOC_NAME=fat:reuters_annual_source_window.fat&amp;display_string=Audit&amp;DYN_ARGS=TRUE&amp;VAR:ID1=B11ZRK&amp;VAR:RCODE=EBITDA&amp;VAR:SDATE=20071299&amp;VAR:FREQ=Y&amp;VAR:RELITEM=&amp;VAR:CURRENCY=&amp;VAR:CURRSOURCE=EXSHARE&amp;VAR",":NATFREQ=ANNUAL&amp;VAR:RFIELD=FINALIZED&amp;VAR:DB_TYPE=&amp;VAR:UNITS=M&amp;window=popup&amp;width=450&amp;height=300&amp;START_MAXIMIZED=FALSE"}</definedName>
    <definedName name="_599__FDSAUDITLINK__" hidden="1">{"fdsup://IBCentral/FAT Viewer?action=UPDATE&amp;creator=factset&amp;DOC_NAME=fat:reuters_annual_source_window.fat&amp;display_string=Audit&amp;DYN_ARGS=TRUE&amp;VAR:ID1=03209510&amp;VAR:RCODE=EBITDA&amp;VAR:SDATE=20071299&amp;VAR:FREQ=Y&amp;VAR:RELITEM=RP&amp;VAR:CURRENCY=&amp;VAR:CURRSOURCE=EXSHARE","&amp;VAR:NATFREQ=ANNUAL&amp;VAR:RFIELD=FINALIZED&amp;VAR:DB_TYPE=&amp;VAR:UNITS=M&amp;window=popup&amp;width=450&amp;height=300&amp;START_MAXIMIZED=FALSE"}</definedName>
    <definedName name="_6__FDSAUDITLINK__" hidden="1">{"fdsup://IBCentral/FAT Viewer?action=UPDATE&amp;creator=factset&amp;DOC_NAME=fat:reuters_annual_source_window.fat&amp;display_string=Audit&amp;DYN_ARGS=TRUE&amp;VAR:ID1=416279&amp;VAR:RCODE=EBITDA&amp;VAR:SDATE=20071299&amp;VAR:FREQ=Y&amp;VAR:RELITEM=RP&amp;VAR:CURRENCY=&amp;VAR:CURRSOURCE=EXSHARE&amp;V","AR:NATFREQ=ANNUAL&amp;VAR:RFIELD=FINALIZED&amp;VAR:DB_TYPE=&amp;VAR:UNITS=M&amp;window=popup&amp;width=450&amp;height=300&amp;START_MAXIMIZED=FALSE"}</definedName>
    <definedName name="_60__FDSAUDITLINK__" hidden="1">{"fdsup://IBCentral/FAT Viewer?action=UPDATE&amp;creator=factset&amp;DOC_NAME=fat:reuters_annual_source_window.fat&amp;display_string=Audit&amp;DYN_ARGS=TRUE&amp;VAR:ID1=10969610&amp;VAR:RCODE=EBITDA&amp;VAR:SDATE=20071299&amp;VAR:FREQ=Y&amp;VAR:RELITEM=RP&amp;VAR:CURRENCY=&amp;VAR:CURRSOURCE=EXSHARE","&amp;VAR:NATFREQ=ANNUAL&amp;VAR:RFIELD=FINALIZED&amp;VAR:DB_TYPE=&amp;VAR:UNITS=M&amp;window=popup&amp;width=450&amp;height=300&amp;START_MAXIMIZED=FALSE"}</definedName>
    <definedName name="_600__FDSAUDITLINK__" hidden="1">{"fdsup://IBCentral/FAT Viewer?action=UPDATE&amp;creator=factset&amp;DOC_NAME=fat:reuters_annual_source_window.fat&amp;display_string=Audit&amp;DYN_ARGS=TRUE&amp;VAR:ID1=Y9369110&amp;VAR:RCODE=EBITDA&amp;VAR:SDATE=20071099&amp;VAR:FREQ=Y&amp;VAR:RELITEM=&amp;VAR:CURRENCY=&amp;VAR:CURRSOURCE=EXSHARE&amp;V","AR:NATFREQ=ANNUAL&amp;VAR:RFIELD=FINALIZED&amp;VAR:DB_TYPE=&amp;VAR:UNITS=M&amp;window=popup&amp;width=450&amp;height=300&amp;START_MAXIMIZED=FALSE"}</definedName>
    <definedName name="_601__FDSAUDITLINK__" hidden="1">{"fdsup://IBCentral/FAT Viewer?action=UPDATE&amp;creator=factset&amp;DOC_NAME=fat:reuters_annual_source_window.fat&amp;display_string=Audit&amp;DYN_ARGS=TRUE&amp;VAR:ID1=03209510&amp;VAR:RCODE=EBITDA&amp;VAR:SDATE=20071299&amp;VAR:FREQ=Y&amp;VAR:RELITEM=&amp;VAR:CURRENCY=&amp;VAR:CURRSOURCE=EXSHARE&amp;V","AR:NATFREQ=ANNUAL&amp;VAR:RFIELD=FINALIZED&amp;VAR:DB_TYPE=&amp;VAR:UNITS=M&amp;window=popup&amp;width=450&amp;height=300&amp;START_MAXIMIZED=FALSE"}</definedName>
    <definedName name="_602__FDSAUDITLINK__" hidden="1">{"fdsup://IBCentral/FAT Viewer?action=UPDATE&amp;creator=factset&amp;DOC_NAME=fat:reuters_annual_source_window.fat&amp;display_string=Audit&amp;DYN_ARGS=TRUE&amp;VAR:ID1=G9508910&amp;VAR:RCODE=EBITDA&amp;VAR:SDATE=20071299&amp;VAR:FREQ=Y&amp;VAR:RELITEM=&amp;VAR:CURRENCY=&amp;VAR:CURRSOURCE=EXSHARE&amp;V","AR:NATFREQ=ANNUAL&amp;VAR:RFIELD=FINALIZED&amp;VAR:DB_TYPE=&amp;VAR:UNITS=M&amp;window=popup&amp;width=450&amp;height=300&amp;START_MAXIMIZED=FALSE"}</definedName>
    <definedName name="_603__FDSAUDITLINK__" hidden="1">{"fdsup://IBCentral/FAT Viewer?action=UPDATE&amp;creator=factset&amp;DOC_NAME=fat:reuters_annual_source_window.fat&amp;display_string=Audit&amp;DYN_ARGS=TRUE&amp;VAR:ID1=23102110&amp;VAR:RCODE=EBITDA&amp;VAR:SDATE=20071299&amp;VAR:FREQ=Y&amp;VAR:RELITEM=&amp;VAR:CURRENCY=&amp;VAR:CURRSOURCE=EXSHARE&amp;V","AR:NATFREQ=ANNUAL&amp;VAR:RFIELD=FINALIZED&amp;VAR:DB_TYPE=&amp;VAR:UNITS=M&amp;window=popup&amp;width=450&amp;height=300&amp;START_MAXIMIZED=FALSE"}</definedName>
    <definedName name="_604__FDSAUDITLINK__" hidden="1">{"fdsup://IBCentral/FAT Viewer?action=UPDATE&amp;creator=factset&amp;DOC_NAME=fat:reuters_annual_source_window.fat&amp;display_string=Audit&amp;DYN_ARGS=TRUE&amp;VAR:ID1=70109410&amp;VAR:RCODE=EBITDA&amp;VAR:SDATE=20080699&amp;VAR:FREQ=Y&amp;VAR:RELITEM=&amp;VAR:CURRENCY=&amp;VAR:CURRSOURCE=EXSHARE&amp;V","AR:NATFREQ=ANNUAL&amp;VAR:RFIELD=FINALIZED&amp;VAR:DB_TYPE=&amp;VAR:UNITS=M&amp;window=popup&amp;width=450&amp;height=300&amp;START_MAXIMIZED=FALSE"}</definedName>
    <definedName name="_605__FDSAUDITLINK__" hidden="1">{"fdsup://IBCentral/FAT Viewer?action=UPDATE&amp;creator=factset&amp;DOC_NAME=fat:reuters_annual_source_window.fat&amp;display_string=Audit&amp;DYN_ARGS=TRUE&amp;VAR:ID1=14912310&amp;VAR:RCODE=EBITDA&amp;VAR:SDATE=20071299&amp;VAR:FREQ=Y&amp;VAR:RELITEM=&amp;VAR:CURRENCY=&amp;VAR:CURRSOURCE=EXSHARE&amp;V","AR:NATFREQ=ANNUAL&amp;VAR:RFIELD=FINALIZED&amp;VAR:DB_TYPE=&amp;VAR:UNITS=M&amp;window=popup&amp;width=450&amp;height=300&amp;START_MAXIMIZED=FALSE"}</definedName>
    <definedName name="_606__FDSAUDITLINK__" hidden="1">{"fdsup://IBCentral/FAT Viewer?action=UPDATE&amp;creator=factset&amp;DOC_NAME=fat:reuters_annual_source_window.fat&amp;display_string=Audit&amp;DYN_ARGS=TRUE&amp;VAR:ID1=09179710&amp;VAR:RCODE=EBITDA&amp;VAR:SDATE=20071299&amp;VAR:FREQ=Y&amp;VAR:RELITEM=RP&amp;VAR:CURRENCY=&amp;VAR:CURRSOURCE=EXSHARE","&amp;VAR:NATFREQ=ANNUAL&amp;VAR:RFIELD=FINALIZED&amp;VAR:DB_TYPE=&amp;VAR:UNITS=M&amp;window=popup&amp;width=450&amp;height=300&amp;START_MAXIMIZED=FALSE"}</definedName>
    <definedName name="_607__FDSAUDITLINK__" hidden="1">{"fdsup://IBCentral/FAT Viewer?action=UPDATE&amp;creator=factset&amp;DOC_NAME=fat:reuters_annual_source_window.fat&amp;display_string=Audit&amp;DYN_ARGS=TRUE&amp;VAR:ID1=83303410&amp;VAR:RCODE=EBITDA&amp;VAR:SDATE=20071299&amp;VAR:FREQ=Y&amp;VAR:RELITEM=RP&amp;VAR:CURRENCY=&amp;VAR:CURRSOURCE=EXSHARE","&amp;VAR:NATFREQ=ANNUAL&amp;VAR:RFIELD=FINALIZED&amp;VAR:DB_TYPE=&amp;VAR:UNITS=M&amp;window=popup&amp;width=450&amp;height=300&amp;START_MAXIMIZED=FALSE"}</definedName>
    <definedName name="_608__FDSAUDITLINK__" hidden="1">{"fdsup://IBCentral/FAT Viewer?action=UPDATE&amp;creator=factset&amp;DOC_NAME=fat:reuters_annual_source_window.fat&amp;display_string=Audit&amp;DYN_ARGS=TRUE&amp;VAR:ID1=85461610&amp;VAR:RCODE=EBITDA&amp;VAR:SDATE=20071299&amp;VAR:FREQ=Y&amp;VAR:RELITEM=RP&amp;VAR:CURRENCY=&amp;VAR:CURRSOURCE=EXSHARE","&amp;VAR:NATFREQ=ANNUAL&amp;VAR:RFIELD=FINALIZED&amp;VAR:DB_TYPE=&amp;VAR:UNITS=M&amp;window=popup&amp;width=450&amp;height=300&amp;START_MAXIMIZED=FALSE"}</definedName>
    <definedName name="_609__FDSAUDITLINK__" hidden="1">{"fdsup://IBCentral/FAT Viewer?action=UPDATE&amp;creator=factset&amp;DOC_NAME=fat:reuters_annual_source_window.fat&amp;display_string=Audit&amp;DYN_ARGS=TRUE&amp;VAR:ID1=05774110&amp;VAR:RCODE=EBITDA&amp;VAR:SDATE=20071299&amp;VAR:FREQ=Y&amp;VAR:RELITEM=RP&amp;VAR:CURRENCY=&amp;VAR:CURRSOURCE=EXSHARE","&amp;VAR:NATFREQ=ANNUAL&amp;VAR:RFIELD=FINALIZED&amp;VAR:DB_TYPE=&amp;VAR:UNITS=M&amp;window=popup&amp;width=450&amp;height=300&amp;START_MAXIMIZED=FALSE"}</definedName>
    <definedName name="_61__FDSAUDITLINK__" hidden="1">{"fdsup://IBCentral/FAT Viewer?action=UPDATE&amp;creator=factset&amp;DOC_NAME=fat:reuters_annual_source_window.fat&amp;display_string=Audit&amp;DYN_ARGS=TRUE&amp;VAR:ID1=G9143X20&amp;VAR:RCODE=EBITDA&amp;VAR:SDATE=20070999&amp;VAR:FREQ=Y&amp;VAR:RELITEM=RP&amp;VAR:CURRENCY=&amp;VAR:CURRSOURCE=EXSHARE","&amp;VAR:NATFREQ=ANNUAL&amp;VAR:RFIELD=FINALIZED&amp;VAR:DB_TYPE=&amp;VAR:UNITS=M&amp;window=popup&amp;width=450&amp;height=300&amp;START_MAXIMIZED=FALSE"}</definedName>
    <definedName name="_610__FDSAUDITLINK__" hidden="1">{"fdsup://IBCentral/FAT Viewer?action=UPDATE&amp;creator=factset&amp;DOC_NAME=fat:reuters_annual_source_window.fat&amp;display_string=Audit&amp;DYN_ARGS=TRUE&amp;VAR:ID1=83303410&amp;VAR:RCODE=EBITDA&amp;VAR:SDATE=20071299&amp;VAR:FREQ=Y&amp;VAR:RELITEM=&amp;VAR:CURRENCY=&amp;VAR:CURRSOURCE=EXSHARE&amp;V","AR:NATFREQ=ANNUAL&amp;VAR:RFIELD=FINALIZED&amp;VAR:DB_TYPE=&amp;VAR:UNITS=M&amp;window=popup&amp;width=450&amp;height=300&amp;START_MAXIMIZED=FALSE"}</definedName>
    <definedName name="_611__FDSAUDITLINK__" hidden="1">{"fdsup://IBCentral/FAT Viewer?action=UPDATE&amp;creator=factset&amp;DOC_NAME=fat:reuters_annual_source_window.fat&amp;display_string=Audit&amp;DYN_ARGS=TRUE&amp;VAR:ID1=85461610&amp;VAR:RCODE=EBITDA&amp;VAR:SDATE=20071299&amp;VAR:FREQ=Y&amp;VAR:RELITEM=&amp;VAR:CURRENCY=&amp;VAR:CURRSOURCE=EXSHARE&amp;V","AR:NATFREQ=ANNUAL&amp;VAR:RFIELD=FINALIZED&amp;VAR:DB_TYPE=&amp;VAR:UNITS=M&amp;window=popup&amp;width=450&amp;height=300&amp;START_MAXIMIZED=FALSE"}</definedName>
    <definedName name="_612__FDSAUDITLINK__" hidden="1">{"fdsup://IBCentral/FAT Viewer?action=UPDATE&amp;creator=factset&amp;DOC_NAME=fat:reuters_annual_source_window.fat&amp;display_string=Audit&amp;DYN_ARGS=TRUE&amp;VAR:ID1=05774110&amp;VAR:RCODE=EBITDA&amp;VAR:SDATE=20071299&amp;VAR:FREQ=Y&amp;VAR:RELITEM=&amp;VAR:CURRENCY=&amp;VAR:CURRSOURCE=EXSHARE&amp;V","AR:NATFREQ=ANNUAL&amp;VAR:RFIELD=FINALIZED&amp;VAR:DB_TYPE=&amp;VAR:UNITS=M&amp;window=popup&amp;width=450&amp;height=300&amp;START_MAXIMIZED=FALSE"}</definedName>
    <definedName name="_613__FDSAUDITLINK__" hidden="1">{"fdsup://IBCentral/FAT Viewer?action=UPDATE&amp;creator=factset&amp;DOC_NAME=fat:reuters_annual_source_window.fat&amp;display_string=Audit&amp;DYN_ARGS=TRUE&amp;VAR:ID1=027480&amp;VAR:RCODE=EBITDA&amp;VAR:SDATE=20071099&amp;VAR:FREQ=Y&amp;VAR:RELITEM=&amp;VAR:CURRENCY=&amp;VAR:CURRSOURCE=EXSHARE&amp;VAR",":NATFREQ=ANNUAL&amp;VAR:RFIELD=FINALIZED&amp;VAR:DB_TYPE=&amp;VAR:UNITS=M&amp;window=popup&amp;width=450&amp;height=300&amp;START_MAXIMIZED=FALSE"}</definedName>
    <definedName name="_614__FDSAUDITLINK__" hidden="1">{"fdsup://IBCentral/FAT Viewer?action=UPDATE&amp;creator=factset&amp;DOC_NAME=fat:reuters_annual_source_window.fat&amp;display_string=Audit&amp;DYN_ARGS=TRUE&amp;VAR:ID1=98920710&amp;VAR:RCODE=EBITDA&amp;VAR:SDATE=20071299&amp;VAR:FREQ=Y&amp;VAR:RELITEM=&amp;VAR:CURRENCY=&amp;VAR:CURRSOURCE=EXSHARE&amp;V","AR:NATFREQ=ANNUAL&amp;VAR:RFIELD=FINALIZED&amp;VAR:DB_TYPE=&amp;VAR:UNITS=M&amp;window=popup&amp;width=450&amp;height=300&amp;START_MAXIMIZED=FALSE"}</definedName>
    <definedName name="_615__FDSAUDITLINK__" hidden="1">{"fdsup://IBCentral/FAT Viewer?action=UPDATE&amp;creator=factset&amp;DOC_NAME=fat:reuters_annual_source_window.fat&amp;display_string=Audit&amp;DYN_ARGS=TRUE&amp;VAR:ID1=70109410&amp;VAR:RCODE=EBITDA&amp;VAR:SDATE=20080699&amp;VAR:FREQ=Y&amp;VAR:RELITEM=&amp;VAR:CURRENCY=&amp;VAR:CURRSOURCE=EXSHARE&amp;V","AR:NATFREQ=ANNUAL&amp;VAR:RFIELD=FINALIZED&amp;VAR:DB_TYPE=&amp;VAR:UNITS=M&amp;window=popup&amp;width=450&amp;height=300&amp;START_MAXIMIZED=FALSE"}</definedName>
    <definedName name="_616__FDSAUDITLINK__" hidden="1">{"fdsup://IBCentral/FAT Viewer?action=UPDATE&amp;creator=factset&amp;DOC_NAME=fat:reuters_annual_source_window.fat&amp;display_string=Audit&amp;DYN_ARGS=TRUE&amp;VAR:ID1=82966C10&amp;VAR:RCODE=EBITDA&amp;VAR:SDATE=20070999&amp;VAR:FREQ=Y&amp;VAR:RELITEM=&amp;VAR:CURRENCY=&amp;VAR:CURRSOURCE=EXSHARE&amp;V","AR:NATFREQ=ANNUAL&amp;VAR:RFIELD=FINALIZED&amp;VAR:DB_TYPE=&amp;VAR:UNITS=M&amp;window=popup&amp;width=450&amp;height=300&amp;START_MAXIMIZED=FALSE"}</definedName>
    <definedName name="_617__FDSAUDITLINK__" hidden="1">{"fdsup://IBCentral/FAT Viewer?action=UPDATE&amp;creator=factset&amp;DOC_NAME=fat:reuters_annual_source_window.fat&amp;display_string=Audit&amp;DYN_ARGS=TRUE&amp;VAR:ID1=80640710&amp;VAR:RCODE=EBITDA&amp;VAR:SDATE=20071299&amp;VAR:FREQ=Y&amp;VAR:RELITEM=&amp;VAR:CURRENCY=&amp;VAR:CURRSOURCE=EXSHARE&amp;V","AR:NATFREQ=ANNUAL&amp;VAR:RFIELD=FINALIZED&amp;VAR:DB_TYPE=&amp;VAR:UNITS=M&amp;window=popup&amp;width=450&amp;height=300&amp;START_MAXIMIZED=FALSE"}</definedName>
    <definedName name="_618__FDSAUDITLINK__" hidden="1">{"fdsup://IBCentral/FAT Viewer?action=UPDATE&amp;creator=factset&amp;DOC_NAME=fat:reuters_annual_source_window.fat&amp;display_string=Audit&amp;DYN_ARGS=TRUE&amp;VAR:ID1=71404610&amp;VAR:RCODE=EBITDA&amp;VAR:SDATE=20071299&amp;VAR:FREQ=Y&amp;VAR:RELITEM=&amp;VAR:CURRENCY=&amp;VAR:CURRSOURCE=EXSHARE&amp;V","AR:NATFREQ=ANNUAL&amp;VAR:RFIELD=FINALIZED&amp;VAR:DB_TYPE=&amp;VAR:UNITS=M&amp;window=popup&amp;width=450&amp;height=300&amp;START_MAXIMIZED=FALSE"}</definedName>
    <definedName name="_619__FDSAUDITLINK__" hidden="1">{"fdsup://IBCentral/FAT Viewer?action=UPDATE&amp;creator=factset&amp;DOC_NAME=fat:reuters_annual_source_window.fat&amp;display_string=Audit&amp;DYN_ARGS=TRUE&amp;VAR:ID1=88355610&amp;VAR:RCODE=EBITDA&amp;VAR:SDATE=20071299&amp;VAR:FREQ=Y&amp;VAR:RELITEM=&amp;VAR:CURRENCY=&amp;VAR:CURRSOURCE=EXSHARE&amp;V","AR:NATFREQ=ANNUAL&amp;VAR:RFIELD=FINALIZED&amp;VAR:DB_TYPE=&amp;VAR:UNITS=M&amp;window=popup&amp;width=450&amp;height=300&amp;START_MAXIMIZED=FALSE"}</definedName>
    <definedName name="_62__FDSAUDITLINK__" hidden="1">{"fdsup://IBCentral/FAT Viewer?action=UPDATE&amp;creator=factset&amp;DOC_NAME=fat:reuters_annual_source_window.fat&amp;display_string=Audit&amp;DYN_ARGS=TRUE&amp;VAR:ID1=83303410&amp;VAR:RCODE=EBITDA&amp;VAR:SDATE=20071299&amp;VAR:FREQ=Y&amp;VAR:RELITEM=RP&amp;VAR:CURRENCY=&amp;VAR:CURRSOURCE=EXSHARE","&amp;VAR:NATFREQ=ANNUAL&amp;VAR:RFIELD=FINALIZED&amp;VAR:DB_TYPE=&amp;VAR:UNITS=M&amp;window=popup&amp;width=450&amp;height=300&amp;START_MAXIMIZED=FALSE"}</definedName>
    <definedName name="_620__FDSAUDITLINK__" hidden="1">{"fdsup://IBCentral/FAT Viewer?action=UPDATE&amp;creator=factset&amp;DOC_NAME=fat:reuters_annual_source_window.fat&amp;display_string=Audit&amp;DYN_ARGS=TRUE&amp;VAR:ID1=07588710&amp;VAR:RCODE=EBITDA&amp;VAR:SDATE=20070999&amp;VAR:FREQ=Y&amp;VAR:RELITEM=&amp;VAR:CURRENCY=&amp;VAR:CURRSOURCE=EXSHARE&amp;V","AR:NATFREQ=ANNUAL&amp;VAR:RFIELD=FINALIZED&amp;VAR:DB_TYPE=&amp;VAR:UNITS=M&amp;window=popup&amp;width=450&amp;height=300&amp;START_MAXIMIZED=FALSE"}</definedName>
    <definedName name="_621__FDSAUDITLINK__" hidden="1">{"fdsup://IBCentral/FAT Viewer?action=UPDATE&amp;creator=factset&amp;DOC_NAME=fat:reuters_annual_source_window.fat&amp;display_string=Audit&amp;DYN_ARGS=TRUE&amp;VAR:ID1=62985Q10&amp;VAR:RCODE=EBITDA&amp;VAR:SDATE=20071299&amp;VAR:FREQ=Y&amp;VAR:RELITEM=&amp;VAR:CURRENCY=&amp;VAR:CURRSOURCE=EXSHARE&amp;V","AR:NATFREQ=ANNUAL&amp;VAR:RFIELD=FINALIZED&amp;VAR:DB_TYPE=&amp;VAR:UNITS=M&amp;window=popup&amp;width=450&amp;height=300&amp;START_MAXIMIZED=FALSE"}</definedName>
    <definedName name="_622__FDSAUDITLINK__" hidden="1">{"fdsup://IBCentral/FAT Viewer?action=UPDATE&amp;creator=factset&amp;DOC_NAME=fat:reuters_annual_source_window.fat&amp;display_string=Audit&amp;DYN_ARGS=TRUE&amp;VAR:ID1=63651810&amp;VAR:RCODE=EBITDA&amp;VAR:SDATE=20071299&amp;VAR:FREQ=Y&amp;VAR:RELITEM=&amp;VAR:CURRENCY=&amp;VAR:CURRSOURCE=EXSHARE&amp;V","AR:NATFREQ=ANNUAL&amp;VAR:RFIELD=FINALIZED&amp;VAR:DB_TYPE=&amp;VAR:UNITS=M&amp;window=popup&amp;width=450&amp;height=300&amp;START_MAXIMIZED=FALSE"}</definedName>
    <definedName name="_623__FDSAUDITLINK__" hidden="1">{"fdsup://IBCentral/FAT Viewer?action=UPDATE&amp;creator=factset&amp;DOC_NAME=fat:reuters_annual_source_window.fat&amp;display_string=Audit&amp;DYN_ARGS=TRUE&amp;VAR:ID1=65182410&amp;VAR:RCODE=EBITDA&amp;VAR:SDATE=20071299&amp;VAR:FREQ=Y&amp;VAR:RELITEM=&amp;VAR:CURRENCY=&amp;VAR:CURRSOURCE=EXSHARE&amp;V","AR:NATFREQ=ANNUAL&amp;VAR:RFIELD=FINALIZED&amp;VAR:DB_TYPE=&amp;VAR:UNITS=M&amp;window=popup&amp;width=450&amp;height=300&amp;START_MAXIMIZED=FALSE"}</definedName>
    <definedName name="_624__FDSAUDITLINK__" hidden="1">{"fdsup://IBCentral/FAT Viewer?action=UPDATE&amp;creator=factset&amp;DOC_NAME=fat:reuters_annual_source_window.fat&amp;display_string=Audit&amp;DYN_ARGS=TRUE&amp;VAR:ID1=B096C6&amp;VAR:RCODE=EBITDA&amp;VAR:SDATE=20071299&amp;VAR:FREQ=Y&amp;VAR:RELITEM=&amp;VAR:CURRENCY=&amp;VAR:CURRSOURCE=EXSHARE&amp;VAR",":NATFREQ=ANNUAL&amp;VAR:RFIELD=FINALIZED&amp;VAR:DB_TYPE=&amp;VAR:UNITS=M&amp;window=popup&amp;width=450&amp;height=300&amp;START_MAXIMIZED=FALSE"}</definedName>
    <definedName name="_625__FDSAUDITLINK__" hidden="1">{"fdsup://IBCentral/FAT Viewer?action=UPDATE&amp;creator=factset&amp;DOC_NAME=fat:reuters_annual_source_window.fat&amp;display_string=Audit&amp;DYN_ARGS=TRUE&amp;VAR:ID1=88077010&amp;VAR:RCODE=EBITDA&amp;VAR:SDATE=20071299&amp;VAR:FREQ=Y&amp;VAR:RELITEM=&amp;VAR:CURRENCY=&amp;VAR:CURRSOURCE=EXSHARE&amp;V","AR:NATFREQ=ANNUAL&amp;VAR:RFIELD=FINALIZED&amp;VAR:DB_TYPE=&amp;VAR:UNITS=M&amp;window=popup&amp;width=450&amp;height=300&amp;START_MAXIMIZED=FALSE"}</definedName>
    <definedName name="_626__FDSAUDITLINK__" hidden="1">{"fdsup://IBCentral/FAT Viewer?action=UPDATE&amp;creator=factset&amp;DOC_NAME=fat:reuters_annual_source_window.fat&amp;display_string=Audit&amp;DYN_ARGS=TRUE&amp;VAR:ID1=00846U10&amp;VAR:RCODE=EBITDA&amp;VAR:SDATE=20071099&amp;VAR:FREQ=Y&amp;VAR:RELITEM=&amp;VAR:CURRENCY=&amp;VAR:CURRSOURCE=EXSHARE&amp;V","AR:NATFREQ=ANNUAL&amp;VAR:RFIELD=FINALIZED&amp;VAR:DB_TYPE=&amp;VAR:UNITS=M&amp;window=popup&amp;width=450&amp;height=300&amp;START_MAXIMIZED=FALSE"}</definedName>
    <definedName name="_63__FDSAUDITLINK__" hidden="1">{"fdsup://IBCentral/FAT Viewer?action=UPDATE&amp;creator=factset&amp;DOC_NAME=fat:reuters_annual_source_window.fat&amp;display_string=Audit&amp;DYN_ARGS=TRUE&amp;VAR:ID1=74018910&amp;VAR:RCODE=EBITDA&amp;VAR:SDATE=20080399&amp;VAR:FREQ=Y&amp;VAR:RELITEM=&amp;VAR:CURRENCY=&amp;VAR:CURRSOURCE=EXSHARE&amp;V","AR:NATFREQ=ANNUAL&amp;VAR:RFIELD=FINALIZED&amp;VAR:DB_TYPE=&amp;VAR:UNITS=M&amp;window=popup&amp;width=450&amp;height=300&amp;START_MAXIMIZED=FALSE"}</definedName>
    <definedName name="_64__FDSAUDITLINK__" hidden="1">{"fdsup://IBCentral/FAT Viewer?action=UPDATE&amp;creator=factset&amp;DOC_NAME=fat:reuters_annual_source_window.fat&amp;display_string=Audit&amp;DYN_ARGS=TRUE&amp;VAR:ID1=82434810&amp;VAR:RCODE=EBITDA&amp;VAR:SDATE=20071299&amp;VAR:FREQ=Y&amp;VAR:RELITEM=RP&amp;VAR:CURRENCY=&amp;VAR:CURRSOURCE=EXSHARE","&amp;VAR:NATFREQ=ANNUAL&amp;VAR:RFIELD=FINALIZED&amp;VAR:DB_TYPE=&amp;VAR:UNITS=M&amp;window=popup&amp;width=450&amp;height=300&amp;START_MAXIMIZED=FALSE"}</definedName>
    <definedName name="_65__FDSAUDITLINK__" hidden="1">{"fdsup://IBCentral/FAT Viewer?action=UPDATE&amp;creator=factset&amp;DOC_NAME=fat:reuters_annual_source_window.fat&amp;display_string=Audit&amp;DYN_ARGS=TRUE&amp;VAR:ID1=09179710&amp;VAR:RCODE=EBITDA&amp;VAR:SDATE=20071299&amp;VAR:FREQ=Y&amp;VAR:RELITEM=RP&amp;VAR:CURRENCY=&amp;VAR:CURRSOURCE=EXSHARE","&amp;VAR:NATFREQ=ANNUAL&amp;VAR:RFIELD=FINALIZED&amp;VAR:DB_TYPE=&amp;VAR:UNITS=M&amp;window=popup&amp;width=450&amp;height=300&amp;START_MAXIMIZED=FALSE"}</definedName>
    <definedName name="_66__FDSAUDITLINK__" hidden="1">{"fdsup://IBCentral/FAT Viewer?action=UPDATE&amp;creator=factset&amp;DOC_NAME=fat:reuters_annual_source_window.fat&amp;display_string=Audit&amp;DYN_ARGS=TRUE&amp;VAR:ID1=43707610&amp;VAR:RCODE=EBITDA&amp;VAR:SDATE=20080199&amp;VAR:FREQ=Y&amp;VAR:RELITEM=RP&amp;VAR:CURRENCY=&amp;VAR:CURRSOURCE=EXSHARE","&amp;VAR:NATFREQ=ANNUAL&amp;VAR:RFIELD=FINALIZED&amp;VAR:DB_TYPE=&amp;VAR:UNITS=M&amp;window=popup&amp;width=450&amp;height=300&amp;START_MAXIMIZED=FALSE"}</definedName>
    <definedName name="_67__FDSAUDITLINK__" hidden="1">{"fdsup://IBCentral/FAT Viewer?action=UPDATE&amp;creator=factset&amp;DOC_NAME=fat:reuters_annual_source_window.fat&amp;display_string=Audit&amp;DYN_ARGS=TRUE&amp;VAR:ID1=G4776G10&amp;VAR:RCODE=EBITDA&amp;VAR:SDATE=20071299&amp;VAR:FREQ=Y&amp;VAR:RELITEM=&amp;VAR:CURRENCY=&amp;VAR:CURRSOURCE=EXSHARE&amp;V","AR:NATFREQ=ANNUAL&amp;VAR:RFIELD=FINALIZED&amp;VAR:DB_TYPE=&amp;VAR:UNITS=M&amp;window=popup&amp;width=450&amp;height=300&amp;START_MAXIMIZED=FALSE"}</definedName>
    <definedName name="_68__FDSAUDITLINK__" hidden="1">{"fdsup://IBCentral/FAT Viewer?action=UPDATE&amp;creator=factset&amp;DOC_NAME=fat:reuters_annual_source_window.fat&amp;display_string=Audit&amp;DYN_ARGS=TRUE&amp;VAR:ID1=635682&amp;VAR:RCODE=EBITDA&amp;VAR:SDATE=20080399&amp;VAR:FREQ=Y&amp;VAR:RELITEM=&amp;VAR:CURRENCY=&amp;VAR:CURRSOURCE=EXSHARE&amp;VAR",":NATFREQ=ANNUAL&amp;VAR:RFIELD=FINALIZED&amp;VAR:DB_TYPE=&amp;VAR:UNITS=M&amp;window=popup&amp;width=450&amp;height=300&amp;START_MAXIMIZED=FALSE"}</definedName>
    <definedName name="_69__FDSAUDITLINK__" hidden="1">{"fdsup://IBCentral/FAT Viewer?action=UPDATE&amp;creator=factset&amp;DOC_NAME=fat:reuters_annual_source_window.fat&amp;display_string=Audit&amp;DYN_ARGS=TRUE&amp;VAR:ID1=B09M9D&amp;VAR:RCODE=EBITDA&amp;VAR:SDATE=20071299&amp;VAR:FREQ=Y&amp;VAR:RELITEM=&amp;VAR:CURRENCY=&amp;VAR:CURRSOURCE=EXSHARE&amp;VAR",":NATFREQ=ANNUAL&amp;VAR:RFIELD=FINALIZED&amp;VAR:DB_TYPE=&amp;VAR:UNITS=M&amp;window=popup&amp;width=450&amp;height=300&amp;START_MAXIMIZED=FALSE"}</definedName>
    <definedName name="_7__FDSAUDITLINK__" hidden="1">{"fdsup://IBCentral/FAT Viewer?action=UPDATE&amp;creator=factset&amp;DOC_NAME=fat:reuters_annual_source_window.fat&amp;display_string=Audit&amp;DYN_ARGS=TRUE&amp;VAR:ID1=74018910&amp;VAR:RCODE=EBITDA&amp;VAR:SDATE=20080399&amp;VAR:FREQ=Y&amp;VAR:RELITEM=RP&amp;VAR:CURRENCY=&amp;VAR:CURRSOURCE=EXSHARE","&amp;VAR:NATFREQ=ANNUAL&amp;VAR:RFIELD=FINALIZED&amp;VAR:DB_TYPE=&amp;VAR:UNITS=M&amp;window=popup&amp;width=450&amp;height=300&amp;START_MAXIMIZED=FALSE"}</definedName>
    <definedName name="_70__FDSAUDITLINK__" hidden="1">{"fdsup://IBCentral/FAT Viewer?action=UPDATE&amp;creator=factset&amp;DOC_NAME=fat:reuters_annual_source_window.fat&amp;display_string=Audit&amp;DYN_ARGS=TRUE&amp;VAR:ID1=B11WWH&amp;VAR:RCODE=EBITDA&amp;VAR:SDATE=20071299&amp;VAR:FREQ=Y&amp;VAR:RELITEM=&amp;VAR:CURRENCY=&amp;VAR:CURRSOURCE=EXSHARE&amp;VAR",":NATFREQ=ANNUAL&amp;VAR:RFIELD=FINALIZED&amp;VAR:DB_TYPE=&amp;VAR:UNITS=M&amp;window=popup&amp;width=450&amp;height=300&amp;START_MAXIMIZED=FALSE"}</definedName>
    <definedName name="_71__FDSAUDITLINK__" hidden="1">{"fdsup://IBCentral/FAT Viewer?action=UPDATE&amp;creator=factset&amp;DOC_NAME=fat:reuters_annual_source_window.fat&amp;display_string=Audit&amp;DYN_ARGS=TRUE&amp;VAR:ID1=B0DJNG&amp;VAR:RCODE=EBITDA&amp;VAR:SDATE=20071299&amp;VAR:FREQ=Y&amp;VAR:RELITEM=&amp;VAR:CURRENCY=&amp;VAR:CURRSOURCE=EXSHARE&amp;VAR",":NATFREQ=ANNUAL&amp;VAR:RFIELD=FINALIZED&amp;VAR:DB_TYPE=&amp;VAR:UNITS=M&amp;window=popup&amp;width=450&amp;height=300&amp;START_MAXIMIZED=FALSE"}</definedName>
    <definedName name="_72__FDSAUDITLINK__" hidden="1">{"fdsup://IBCentral/FAT Viewer?action=UPDATE&amp;creator=factset&amp;DOC_NAME=fat:reuters_annual_source_window.fat&amp;display_string=Audit&amp;DYN_ARGS=TRUE&amp;VAR:ID1=88320310&amp;VAR:RCODE=EBITDA&amp;VAR:SDATE=20071299&amp;VAR:FREQ=Y&amp;VAR:RELITEM=&amp;VAR:CURRENCY=&amp;VAR:CURRSOURCE=EXSHARE&amp;V","AR:NATFREQ=ANNUAL&amp;VAR:RFIELD=FINALIZED&amp;VAR:DB_TYPE=&amp;VAR:UNITS=M&amp;window=popup&amp;width=450&amp;height=300&amp;START_MAXIMIZED=FALSE"}</definedName>
    <definedName name="_73__FDSAUDITLINK__" hidden="1">{"fdsup://IBCentral/FAT Viewer?action=UPDATE&amp;creator=factset&amp;DOC_NAME=fat:reuters_annual_source_window.fat&amp;display_string=Audit&amp;DYN_ARGS=TRUE&amp;VAR:ID1=09702310&amp;VAR:RCODE=EBITDA&amp;VAR:SDATE=20071299&amp;VAR:FREQ=Y&amp;VAR:RELITEM=&amp;VAR:CURRENCY=&amp;VAR:CURRSOURCE=EXSHARE&amp;V","AR:NATFREQ=ANNUAL&amp;VAR:RFIELD=FINALIZED&amp;VAR:DB_TYPE=&amp;VAR:UNITS=M&amp;window=popup&amp;width=450&amp;height=300&amp;START_MAXIMIZED=FALSE"}</definedName>
    <definedName name="_74__FDSAUDITLINK__" hidden="1">{"fdsup://IBCentral/FAT Viewer?action=UPDATE&amp;creator=factset&amp;DOC_NAME=fat:reuters_annual_source_window.fat&amp;display_string=Audit&amp;DYN_ARGS=TRUE&amp;VAR:ID1=604321&amp;VAR:RCODE=EBITDA&amp;VAR:SDATE=20071299&amp;VAR:FREQ=Y&amp;VAR:RELITEM=&amp;VAR:CURRENCY=&amp;VAR:CURRSOURCE=EXSHARE&amp;VAR",":NATFREQ=ANNUAL&amp;VAR:RFIELD=FINALIZED&amp;VAR:DB_TYPE=&amp;VAR:UNITS=M&amp;window=popup&amp;width=450&amp;height=300&amp;START_MAXIMIZED=FALSE"}</definedName>
    <definedName name="_75__FDSAUDITLINK__" hidden="1">{"fdsup://IBCentral/FAT Viewer?action=UPDATE&amp;creator=factset&amp;DOC_NAME=fat:reuters_annual_source_window.fat&amp;display_string=Audit&amp;DYN_ARGS=TRUE&amp;VAR:ID1=B058TZ&amp;VAR:RCODE=EBITDA&amp;VAR:SDATE=20071299&amp;VAR:FREQ=Y&amp;VAR:RELITEM=&amp;VAR:CURRENCY=&amp;VAR:CURRSOURCE=EXSHARE&amp;VAR",":NATFREQ=ANNUAL&amp;VAR:RFIELD=FINALIZED&amp;VAR:DB_TYPE=&amp;VAR:UNITS=M&amp;window=popup&amp;width=450&amp;height=300&amp;START_MAXIMIZED=FALSE"}</definedName>
    <definedName name="_76__FDSAUDITLINK__" hidden="1">{"fdsup://IBCentral/FAT Viewer?action=UPDATE&amp;creator=factset&amp;DOC_NAME=fat:reuters_annual_source_window.fat&amp;display_string=Audit&amp;DYN_ARGS=TRUE&amp;VAR:ID1=60819010&amp;VAR:RCODE=EBITDA&amp;VAR:SDATE=20071299&amp;VAR:FREQ=Y&amp;VAR:RELITEM=RP&amp;VAR:CURRENCY=&amp;VAR:CURRSOURCE=EXSHARE","&amp;VAR:NATFREQ=ANNUAL&amp;VAR:RFIELD=FINALIZED&amp;VAR:DB_TYPE=&amp;VAR:UNITS=M&amp;window=popup&amp;width=450&amp;height=300&amp;START_MAXIMIZED=FALSE"}</definedName>
    <definedName name="_77__FDSAUDITLINK__" hidden="1">{"fdsup://IBCentral/FAT Viewer?action=UPDATE&amp;creator=factset&amp;DOC_NAME=fat:reuters_annual_source_window.fat&amp;display_string=Audit&amp;DYN_ARGS=TRUE&amp;VAR:ID1=42280610&amp;VAR:RCODE=EBITDA&amp;VAR:SDATE=20071099&amp;VAR:FREQ=Y&amp;VAR:RELITEM=&amp;VAR:CURRENCY=&amp;VAR:CURRSOURCE=EXSHARE&amp;V","AR:NATFREQ=ANNUAL&amp;VAR:RFIELD=FINALIZED&amp;VAR:DB_TYPE=&amp;VAR:UNITS=M&amp;window=popup&amp;width=450&amp;height=300&amp;START_MAXIMIZED=FALSE"}</definedName>
    <definedName name="_78__FDSAUDITLINK__" hidden="1">{"fdsup://IBCentral/FAT Viewer?action=UPDATE&amp;creator=factset&amp;DOC_NAME=fat:reuters_annual_source_window.fat&amp;display_string=Audit&amp;DYN_ARGS=TRUE&amp;VAR:ID1=B09DHL&amp;VAR:RCODE=EBITDA&amp;VAR:SDATE=20071299&amp;VAR:FREQ=Y&amp;VAR:RELITEM=&amp;VAR:CURRENCY=&amp;VAR:CURRSOURCE=EXSHARE&amp;VAR",":NATFREQ=ANNUAL&amp;VAR:RFIELD=FINALIZED&amp;VAR:DB_TYPE=&amp;VAR:UNITS=M&amp;window=popup&amp;width=450&amp;height=300&amp;START_MAXIMIZED=FALSE"}</definedName>
    <definedName name="_79__FDSAUDITLINK__" hidden="1">{"fdsup://IBCentral/FAT Viewer?action=UPDATE&amp;creator=factset&amp;DOC_NAME=fat:reuters_annual_source_window.fat&amp;display_string=Audit&amp;DYN_ARGS=TRUE&amp;VAR:ID1=328364&amp;VAR:RCODE=EBITDA&amp;VAR:SDATE=20071299&amp;VAR:FREQ=Y&amp;VAR:RELITEM=&amp;VAR:CURRENCY=&amp;VAR:CURRSOURCE=EXSHARE&amp;VAR",":NATFREQ=ANNUAL&amp;VAR:RFIELD=FINALIZED&amp;VAR:DB_TYPE=&amp;VAR:UNITS=M&amp;window=popup&amp;width=450&amp;height=300&amp;START_MAXIMIZED=FALSE"}</definedName>
    <definedName name="_8__FDSAUDITLINK__" hidden="1">{"fdsup://IBCentral/FAT Viewer?action=UPDATE&amp;creator=factset&amp;DOC_NAME=fat:reuters_annual_source_window.fat&amp;display_string=Audit&amp;DYN_ARGS=TRUE&amp;VAR:ID1=61539420&amp;VAR:RCODE=EBITDA&amp;VAR:SDATE=20070999&amp;VAR:FREQ=Y&amp;VAR:RELITEM=RP&amp;VAR:CURRENCY=&amp;VAR:CURRSOURCE=EXSHARE","&amp;VAR:NATFREQ=ANNUAL&amp;VAR:RFIELD=FINALIZED&amp;VAR:DB_TYPE=&amp;VAR:UNITS=M&amp;window=popup&amp;width=450&amp;height=300&amp;START_MAXIMIZED=FALSE"}</definedName>
    <definedName name="_80__FDSAUDITLINK__" hidden="1">{"fdsup://IBCentral/FAT Viewer?action=UPDATE&amp;creator=factset&amp;DOC_NAME=fat:reuters_annual_source_window.fat&amp;display_string=Audit&amp;DYN_ARGS=TRUE&amp;VAR:ID1=57459910&amp;VAR:RCODE=EBITDA&amp;VAR:SDATE=20071299&amp;VAR:FREQ=Y&amp;VAR:RELITEM=RP&amp;VAR:CURRENCY=&amp;VAR:CURRSOURCE=EXSHARE","&amp;VAR:NATFREQ=ANNUAL&amp;VAR:RFIELD=FINALIZED&amp;VAR:DB_TYPE=&amp;VAR:UNITS=M&amp;window=popup&amp;width=450&amp;height=300&amp;START_MAXIMIZED=FALSE"}</definedName>
    <definedName name="_81__FDSAUDITLINK__" hidden="1">{"fdsup://IBCentral/FAT Viewer?action=UPDATE&amp;creator=factset&amp;DOC_NAME=fat:reuters_annual_source_window.fat&amp;display_string=Audit&amp;DYN_ARGS=TRUE&amp;VAR:ID1=61539420&amp;VAR:RCODE=EBITDA&amp;VAR:SDATE=20080999&amp;VAR:FREQ=Y&amp;VAR:RELITEM=&amp;VAR:CURRENCY=&amp;VAR:CURRSOURCE=EXSHARE&amp;V","AR:NATFREQ=ANNUAL&amp;VAR:RFIELD=FINALIZED&amp;VAR:DB_TYPE=&amp;VAR:UNITS=M&amp;window=popup&amp;width=450&amp;height=300&amp;START_MAXIMIZED=FALSE"}</definedName>
    <definedName name="_82__FDSAUDITLINK__" hidden="1">{"fdsup://IBCentral/FAT Viewer?action=UPDATE&amp;creator=factset&amp;DOC_NAME=fat:reuters_annual_source_window.fat&amp;display_string=Audit&amp;DYN_ARGS=TRUE&amp;VAR:ID1=77434110&amp;VAR:RCODE=EBITDA&amp;VAR:SDATE=20080999&amp;VAR:FREQ=Y&amp;VAR:RELITEM=&amp;VAR:CURRENCY=&amp;VAR:CURRSOURCE=EXSHARE&amp;V","AR:NATFREQ=ANNUAL&amp;VAR:RFIELD=FINALIZED&amp;VAR:DB_TYPE=&amp;VAR:UNITS=M&amp;window=popup&amp;width=450&amp;height=300&amp;START_MAXIMIZED=FALSE"}</definedName>
    <definedName name="_83__FDSAUDITLINK__" hidden="1">{"fdsup://IBCentral/FAT Viewer?action=UPDATE&amp;creator=factset&amp;DOC_NAME=fat:reuters_annual_source_window.fat&amp;display_string=Audit&amp;DYN_ARGS=TRUE&amp;VAR:ID1=38238810&amp;VAR:RCODE=EBITDA&amp;VAR:SDATE=20071299&amp;VAR:FREQ=Y&amp;VAR:RELITEM=&amp;VAR:CURRENCY=&amp;VAR:CURRSOURCE=EXSHARE&amp;V","AR:NATFREQ=ANNUAL&amp;VAR:RFIELD=FINALIZED&amp;VAR:DB_TYPE=&amp;VAR:UNITS=M&amp;window=popup&amp;width=450&amp;height=300&amp;START_MAXIMIZED=FALSE"}</definedName>
    <definedName name="_84__FDSAUDITLINK__" hidden="1">{"fdsup://IBCentral/FAT Viewer?action=UPDATE&amp;creator=factset&amp;DOC_NAME=fat:reuters_annual_source_window.fat&amp;display_string=Audit&amp;DYN_ARGS=TRUE&amp;VAR:ID1=38308210&amp;VAR:RCODE=EBITDA&amp;VAR:SDATE=20071299&amp;VAR:FREQ=Y&amp;VAR:RELITEM=RP&amp;VAR:CURRENCY=&amp;VAR:CURRSOURCE=EXSHARE","&amp;VAR:NATFREQ=ANNUAL&amp;VAR:RFIELD=FINALIZED&amp;VAR:DB_TYPE=&amp;VAR:UNITS=M&amp;window=popup&amp;width=450&amp;height=300&amp;START_MAXIMIZED=FALSE"}</definedName>
    <definedName name="_85__FDSAUDITLINK__" hidden="1">{"fdsup://IBCentral/FAT Viewer?action=UPDATE&amp;creator=factset&amp;DOC_NAME=fat:reuters_annual_source_window.fat&amp;display_string=Audit&amp;DYN_ARGS=TRUE&amp;VAR:ID1=36555810&amp;VAR:RCODE=EBITDA&amp;VAR:SDATE=20071299&amp;VAR:FREQ=Y&amp;VAR:RELITEM=RP&amp;VAR:CURRENCY=&amp;VAR:CURRSOURCE=EXSHARE","&amp;VAR:NATFREQ=ANNUAL&amp;VAR:RFIELD=FINALIZED&amp;VAR:DB_TYPE=&amp;VAR:UNITS=M&amp;window=popup&amp;width=450&amp;height=300&amp;START_MAXIMIZED=FALSE"}</definedName>
    <definedName name="_86__FDSAUDITLINK__" hidden="1">{"fdsup://IBCentral/FAT Viewer?action=UPDATE&amp;creator=factset&amp;DOC_NAME=fat:reuters_annual_source_window.fat&amp;display_string=Audit&amp;DYN_ARGS=TRUE&amp;VAR:ID1=38410910&amp;VAR:RCODE=EBITDA&amp;VAR:SDATE=20071299&amp;VAR:FREQ=Y&amp;VAR:RELITEM=RP&amp;VAR:CURRENCY=&amp;VAR:CURRSOURCE=EXSHARE","&amp;VAR:NATFREQ=ANNUAL&amp;VAR:RFIELD=FINALIZED&amp;VAR:DB_TYPE=&amp;VAR:UNITS=M&amp;window=popup&amp;width=450&amp;height=300&amp;START_MAXIMIZED=FALSE"}</definedName>
    <definedName name="_87__FDSAUDITLINK__" hidden="1">{"fdsup://IBCentral/FAT Viewer?action=UPDATE&amp;creator=factset&amp;DOC_NAME=fat:reuters_annual_source_window.fat&amp;display_string=Audit&amp;DYN_ARGS=TRUE&amp;VAR:ID1=52610710&amp;VAR:RCODE=EBITDA&amp;VAR:SDATE=20071299&amp;VAR:FREQ=Y&amp;VAR:RELITEM=&amp;VAR:CURRENCY=&amp;VAR:CURRSOURCE=EXSHARE&amp;V","AR:NATFREQ=ANNUAL&amp;VAR:RFIELD=FINALIZED&amp;VAR:DB_TYPE=&amp;VAR:UNITS=M&amp;window=popup&amp;width=450&amp;height=300&amp;START_MAXIMIZED=FALSE"}</definedName>
    <definedName name="_88__FDSAUDITLINK__" hidden="1">{"fdsup://IBCentral/FAT Viewer?action=UPDATE&amp;creator=factset&amp;DOC_NAME=fat:reuters_annual_source_window.fat&amp;display_string=Audit&amp;DYN_ARGS=TRUE&amp;VAR:ID1=29101110&amp;VAR:RCODE=EBITDA&amp;VAR:SDATE=20070999&amp;VAR:FREQ=Y&amp;VAR:RELITEM=RP&amp;VAR:CURRENCY=&amp;VAR:CURRSOURCE=EXSHARE","&amp;VAR:NATFREQ=ANNUAL&amp;VAR:RFIELD=FINALIZED&amp;VAR:DB_TYPE=&amp;VAR:UNITS=M&amp;window=popup&amp;width=450&amp;height=300&amp;START_MAXIMIZED=FALSE"}</definedName>
    <definedName name="_89__FDSAUDITLINK__" hidden="1">{"fdsup://IBCentral/FAT Viewer?action=UPDATE&amp;creator=factset&amp;DOC_NAME=fat:reuters_annual_source_window.fat&amp;display_string=Audit&amp;DYN_ARGS=TRUE&amp;VAR:ID1=47836610&amp;VAR:RCODE=EBITDA&amp;VAR:SDATE=20080999&amp;VAR:FREQ=Y&amp;VAR:RELITEM=&amp;VAR:CURRENCY=&amp;VAR:CURRSOURCE=EXSHARE&amp;V","AR:NATFREQ=ANNUAL&amp;VAR:RFIELD=FINALIZED&amp;VAR:DB_TYPE=&amp;VAR:UNITS=M&amp;window=popup&amp;width=450&amp;height=300&amp;START_MAXIMIZED=FALSE"}</definedName>
    <definedName name="_9__FDSAUDITLINK__" hidden="1">{"fdsup://IBCentral/FAT Viewer?action=UPDATE&amp;creator=factset&amp;DOC_NAME=fat:reuters_annual_source_window.fat&amp;display_string=Audit&amp;DYN_ARGS=TRUE&amp;VAR:ID1=77434110&amp;VAR:RCODE=EBITDA&amp;VAR:SDATE=20070999&amp;VAR:FREQ=Y&amp;VAR:RELITEM=RP&amp;VAR:CURRENCY=&amp;VAR:CURRSOURCE=EXSHARE","&amp;VAR:NATFREQ=ANNUAL&amp;VAR:RFIELD=FINALIZED&amp;VAR:DB_TYPE=&amp;VAR:UNITS=M&amp;window=popup&amp;width=450&amp;height=300&amp;START_MAXIMIZED=FALSE"}</definedName>
    <definedName name="_90__FDSAUDITLINK__" hidden="1">{"fdsup://IBCentral/FAT Viewer?action=UPDATE&amp;creator=factset&amp;DOC_NAME=fat:reuters_annual_source_window.fat&amp;display_string=Audit&amp;DYN_ARGS=TRUE&amp;VAR:ID1=B11WWH&amp;VAR:RCODE=EBITDA&amp;VAR:SDATE=20071299&amp;VAR:FREQ=Y&amp;VAR:RELITEM=RP&amp;VAR:CURRENCY=&amp;VAR:CURRSOURCE=EXSHARE&amp;V","AR:NATFREQ=ANNUAL&amp;VAR:RFIELD=FINALIZED&amp;VAR:DB_TYPE=&amp;VAR:UNITS=M&amp;window=popup&amp;width=450&amp;height=300&amp;START_MAXIMIZED=FALSE"}</definedName>
    <definedName name="_91__FDSAUDITLINK__" hidden="1">{"fdsup://IBCentral/FAT Viewer?action=UPDATE&amp;creator=factset&amp;DOC_NAME=fat:reuters_annual_source_window.fat&amp;display_string=Audit&amp;DYN_ARGS=TRUE&amp;VAR:ID1=42280610&amp;VAR:RCODE=EBITDA&amp;VAR:SDATE=20071099&amp;VAR:FREQ=Y&amp;VAR:RELITEM=RP&amp;VAR:CURRENCY=&amp;VAR:CURRSOURCE=EXSHARE","&amp;VAR:NATFREQ=ANNUAL&amp;VAR:RFIELD=FINALIZED&amp;VAR:DB_TYPE=&amp;VAR:UNITS=M&amp;window=popup&amp;width=450&amp;height=300&amp;START_MAXIMIZED=FALSE"}</definedName>
    <definedName name="_92__FDSAUDITLINK__" hidden="1">{"fdsup://IBCentral/FAT Viewer?action=UPDATE&amp;creator=factset&amp;DOC_NAME=fat:reuters_annual_source_window.fat&amp;display_string=Audit&amp;DYN_ARGS=TRUE&amp;VAR:ID1=328364&amp;VAR:RCODE=EBITDA&amp;VAR:SDATE=20071299&amp;VAR:FREQ=Y&amp;VAR:RELITEM=RP&amp;VAR:CURRENCY=&amp;VAR:CURRSOURCE=EXSHARE&amp;V","AR:NATFREQ=ANNUAL&amp;VAR:RFIELD=FINALIZED&amp;VAR:DB_TYPE=&amp;VAR:UNITS=M&amp;window=popup&amp;width=450&amp;height=300&amp;START_MAXIMIZED=FALSE"}</definedName>
    <definedName name="_93__FDSAUDITLINK__" hidden="1">{"fdsup://IBCentral/FAT Viewer?action=UPDATE&amp;creator=factset&amp;DOC_NAME=fat:reuters_annual_source_window.fat&amp;display_string=Audit&amp;DYN_ARGS=TRUE&amp;VAR:ID1=B09DHL&amp;VAR:RCODE=EBITDA&amp;VAR:SDATE=20071299&amp;VAR:FREQ=Y&amp;VAR:RELITEM=RP&amp;VAR:CURRENCY=&amp;VAR:CURRSOURCE=EXSHARE&amp;V","AR:NATFREQ=ANNUAL&amp;VAR:RFIELD=FINALIZED&amp;VAR:DB_TYPE=&amp;VAR:UNITS=M&amp;window=popup&amp;width=450&amp;height=300&amp;START_MAXIMIZED=FALSE"}</definedName>
    <definedName name="_94__FDSAUDITLINK__" hidden="1">{"fdsup://IBCentral/FAT Viewer?action=UPDATE&amp;creator=factset&amp;DOC_NAME=fat:reuters_annual_source_window.fat&amp;display_string=Audit&amp;DYN_ARGS=TRUE&amp;VAR:ID1=569878&amp;VAR:RCODE=EBITDA&amp;VAR:SDATE=20071299&amp;VAR:FREQ=Y&amp;VAR:RELITEM=&amp;VAR:CURRENCY=&amp;VAR:CURRSOURCE=EXSHARE&amp;VAR",":NATFREQ=ANNUAL&amp;VAR:RFIELD=FINALIZED&amp;VAR:DB_TYPE=&amp;VAR:UNITS=M&amp;window=popup&amp;width=450&amp;height=300&amp;START_MAXIMIZED=FALSE"}</definedName>
    <definedName name="_95__FDSAUDITLINK__" hidden="1">{"fdsup://IBCentral/FAT Viewer?action=UPDATE&amp;creator=factset&amp;DOC_NAME=fat:reuters_annual_source_window.fat&amp;display_string=Audit&amp;DYN_ARGS=TRUE&amp;VAR:ID1=679159&amp;VAR:RCODE=EBITDA&amp;VAR:SDATE=20080399&amp;VAR:FREQ=Y&amp;VAR:RELITEM=&amp;VAR:CURRENCY=&amp;VAR:CURRSOURCE=EXSHARE&amp;VAR",":NATFREQ=ANNUAL&amp;VAR:RFIELD=FINALIZED&amp;VAR:DB_TYPE=&amp;VAR:UNITS=M&amp;window=popup&amp;width=450&amp;height=300&amp;START_MAXIMIZED=FALSE"}</definedName>
    <definedName name="_96__FDSAUDITLINK__" hidden="1">{"fdsup://IBCentral/FAT Viewer?action=UPDATE&amp;creator=factset&amp;DOC_NAME=fat:reuters_annual_source_window.fat&amp;display_string=Audit&amp;DYN_ARGS=TRUE&amp;VAR:ID1=B01FLG&amp;VAR:RCODE=EBITDA&amp;VAR:SDATE=20071299&amp;VAR:FREQ=Y&amp;VAR:RELITEM=&amp;VAR:CURRENCY=&amp;VAR:CURRSOURCE=EXSHARE&amp;VAR",":NATFREQ=ANNUAL&amp;VAR:RFIELD=FINALIZED&amp;VAR:DB_TYPE=&amp;VAR:UNITS=M&amp;window=popup&amp;width=450&amp;height=300&amp;START_MAXIMIZED=FALSE"}</definedName>
    <definedName name="_97__FDSAUDITLINK__" hidden="1">{"fdsup://IBCentral/FAT Viewer?action=UPDATE&amp;creator=factset&amp;DOC_NAME=fat:reuters_annual_source_window.fat&amp;display_string=Audit&amp;DYN_ARGS=TRUE&amp;VAR:ID1=G4776G10&amp;VAR:RCODE=EBITDA&amp;VAR:SDATE=20071299&amp;VAR:FREQ=Y&amp;VAR:RELITEM=&amp;VAR:CURRENCY=&amp;VAR:CURRSOURCE=EXSHARE&amp;V","AR:NATFREQ=ANNUAL&amp;VAR:RFIELD=FINALIZED&amp;VAR:DB_TYPE=&amp;VAR:UNITS=M&amp;window=popup&amp;width=450&amp;height=300&amp;START_MAXIMIZED=FALSE"}</definedName>
    <definedName name="_98__FDSAUDITLINK__" hidden="1">{"fdsup://IBCentral/FAT Viewer?action=UPDATE&amp;creator=factset&amp;DOC_NAME=fat:reuters_annual_source_window.fat&amp;display_string=Audit&amp;DYN_ARGS=TRUE&amp;VAR:ID1=569878&amp;VAR:RCODE=EBITDA&amp;VAR:SDATE=20071299&amp;VAR:FREQ=Y&amp;VAR:RELITEM=&amp;VAR:CURRENCY=&amp;VAR:CURRSOURCE=EXSHARE&amp;VAR",":NATFREQ=ANNUAL&amp;VAR:RFIELD=FINALIZED&amp;VAR:DB_TYPE=&amp;VAR:UNITS=M&amp;window=popup&amp;width=450&amp;height=300&amp;START_MAXIMIZED=FALSE"}</definedName>
    <definedName name="_99__FDSAUDITLINK__" hidden="1">{"fdsup://IBCentral/FAT Viewer?action=UPDATE&amp;creator=factset&amp;DOC_NAME=fat:reuters_annual_source_window.fat&amp;display_string=Audit&amp;DYN_ARGS=TRUE&amp;VAR:ID1=10969610&amp;VAR:RCODE=EBITDA&amp;VAR:SDATE=20071299&amp;VAR:FREQ=Y&amp;VAR:RELITEM=&amp;VAR:CURRENCY=&amp;VAR:CURRSOURCE=EXSHARE&amp;V","AR:NATFREQ=ANNUAL&amp;VAR:RFIELD=FINALIZED&amp;VAR:DB_TYPE=&amp;VAR:UNITS=M&amp;window=popup&amp;width=450&amp;height=300&amp;START_MAXIMIZED=FALSE"}</definedName>
    <definedName name="_Order1" hidden="1">255</definedName>
    <definedName name="AdditionalInstructions">IndexInformation!$B$42</definedName>
    <definedName name="Address" localSheetId="0">ImportantDisclosures!$A$2:$A$2</definedName>
    <definedName name="ANA" localSheetId="14">ModPubIndex!$A$7</definedName>
    <definedName name="Authors" localSheetId="0">ImportantDisclosures!$A$7</definedName>
    <definedName name="Authors" localSheetId="13">IndexInformation!$B$18</definedName>
    <definedName name="BRO" localSheetId="14">ModPubIndex!$A$1</definedName>
    <definedName name="CopyrightStamp">ImportantDisclosures!$A$35</definedName>
    <definedName name="COU" localSheetId="14">ModPubIndex!$A$5</definedName>
    <definedName name="CQEnd" localSheetId="13">IndexInformation!$B$31</definedName>
    <definedName name="Currency" localSheetId="13">IndexInformation!$B$24</definedName>
    <definedName name="CurrentStockPrice" localSheetId="13">IndexInformation!$B$23</definedName>
    <definedName name="CurrQtrEPS" localSheetId="13">IndexInformation!$B$29</definedName>
    <definedName name="CurrYearEPS" localSheetId="13">IndexInformation!$B$11</definedName>
    <definedName name="CurrYearTotalRevenue" localSheetId="13">IndexInformation!$B$10</definedName>
    <definedName name="CurrYearTotalRevenueActual" localSheetId="13">IndexInformation!$B$32</definedName>
    <definedName name="CUSIP" localSheetId="13">IndexInformation!$B$20</definedName>
    <definedName name="CYEnd" localSheetId="13">IndexInformation!$B$30</definedName>
    <definedName name="Date" localSheetId="0">ImportantDisclosures!$A$8</definedName>
    <definedName name="Deleted" localSheetId="13">IndexInformation!$B$27</definedName>
    <definedName name="Description" localSheetId="13">IndexInformation!$B$7</definedName>
    <definedName name="Discipline" localSheetId="13">IndexInformation!$B$3</definedName>
    <definedName name="DISCIPLINE" localSheetId="14">ModPubIndex!$A$12</definedName>
    <definedName name="DisclosuresText">ImportantDisclosures!$A$22</definedName>
    <definedName name="Distribution" localSheetId="13">IndexInformation!$B$26</definedName>
    <definedName name="DistTable" localSheetId="0">ImportantDisclosures!#REF!</definedName>
    <definedName name="DistTablePreamble" localSheetId="0">ImportantDisclosures!#REF!</definedName>
    <definedName name="DOCDAT" localSheetId="14">ModPubIndex!$A$2</definedName>
    <definedName name="DOCTIME" localSheetId="14">ModPubIndex!$A$3</definedName>
    <definedName name="DocType" localSheetId="13">IndexInformation!$B$5</definedName>
    <definedName name="EMAIL_ALERT" localSheetId="14">ModPubIndex!$A$10</definedName>
    <definedName name="EmailAlert" localSheetId="13">IndexInformation!$B$28</definedName>
    <definedName name="FiveYearGrowthRate" localSheetId="13">IndexInformation!$B$16</definedName>
    <definedName name="FollowingYearEPS" localSheetId="13">IndexInformation!$B$15</definedName>
    <definedName name="FollowingYearTotalRevenue" localSheetId="13">IndexInformation!$B$14</definedName>
    <definedName name="FollowingYearTotalRevenueActual" localSheetId="13">IndexInformation!$B$34</definedName>
    <definedName name="HL" localSheetId="14">ModPubIndex!$A$8</definedName>
    <definedName name="IND" localSheetId="14">ModPubIndex!$A$9</definedName>
    <definedName name="Industry" localSheetId="0">ImportantDisclosures!$A$12</definedName>
    <definedName name="IndustryId">IndexInformation!$B$40</definedName>
    <definedName name="IndustryRating" localSheetId="0">ImportantDisclosures!$A$13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QUIRED_BY_REPORTING_BANK_FDIC" hidden="1">"c6535"</definedName>
    <definedName name="IQ_ADDIN" hidden="1">"AUTO"</definedName>
    <definedName name="IQ_ADDITIONAL_NON_INT_INC_FDIC" hidden="1">"c6574"</definedName>
    <definedName name="IQ_ADJUSTABLE_RATE_LOANS_FDIC" hidden="1">"c6375"</definedName>
    <definedName name="IQ_AE_BR" hidden="1">"c10"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MENDED_BALANCE_PREVIOUS_YR_FDIC" hidden="1">"c6499"</definedName>
    <definedName name="IQ_AMORT_EXPENSE_FDIC" hidden="1">"c6677"</definedName>
    <definedName name="IQ_AMORTIZED_COST_FDIC" hidden="1">"c6426"</definedName>
    <definedName name="IQ_AP_BR" hidden="1">"c34"</definedName>
    <definedName name="IQ_AR_BR" hidden="1">"c41"</definedName>
    <definedName name="IQ_ASSET_BACKED_FDIC" hidden="1">"c6301"</definedName>
    <definedName name="IQ_ASSET_WRITEDOWN_BR" hidden="1">"c50"</definedName>
    <definedName name="IQ_ASSET_WRITEDOWN_CF_BR" hidden="1">"c53"</definedName>
    <definedName name="IQ_ASSETS_HELD_FDIC" hidden="1">"c6305"</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ROKERED_DEPOSITS_FDIC" hidden="1">"c6486"</definedName>
    <definedName name="IQ_CAPEX_BR" hidden="1">"c111"</definedName>
    <definedName name="IQ_CASH_DIVIDENDS_NET_INCOME_FDIC" hidden="1">"c6738"</definedName>
    <definedName name="IQ_CASH_IN_PROCESS_FDIC" hidden="1">"c6386"</definedName>
    <definedName name="IQ_CASH_OPER_ACT_OR_EST" hidden="1">"c4164"</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UM_EST" hidden="1">"c4246"</definedName>
    <definedName name="IQ_CASH_OPER_STDDEV_EST" hidden="1">"c4247"</definedName>
    <definedName name="IQ_CCE_FDIC" hidden="1">"c6296"</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MO_FDIC" hidden="1">"c6406"</definedName>
    <definedName name="IQ_COLLECTION_DOMESTIC_FDIC" hidden="1">"c6387"</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RE_CONSTRUCTION_LAND_DEV_FDIC" hidden="1">"c6526"</definedName>
    <definedName name="IQ_COMMERCIAL_RE_LOANS_FDIC" hidden="1">"c6312"</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_APIC_BR" hidden="1">"c185"</definedName>
    <definedName name="IQ_COMMON_FDIC" hidden="1">"c6350"</definedName>
    <definedName name="IQ_COMMON_ISSUED_BR" hidden="1">"c199"</definedName>
    <definedName name="IQ_COMMON_REP_BR" hidden="1">"c208"</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TRACTS_OTHER_COMMODITIES_EQUITIES_FDIC" hidden="1">"c6522"</definedName>
    <definedName name="IQ_CONVEYED_TO_OTHERS_FDIC" hidden="1">"c6534"</definedName>
    <definedName name="IQ_CORE_CAPITAL_RATIO_FDIC" hidden="1">"c6745"</definedName>
    <definedName name="IQ_COST_OF_FUNDING_ASSETS_FDIC" hidden="1">"c6725"</definedName>
    <definedName name="IQ_CQ" hidden="1">5000</definedName>
    <definedName name="IQ_CREDIT_CARD_CHARGE_OFFS_FDIC" hidden="1">"c6652"</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PROVISION_NET_CHARGE_OFFS_FDIC" hidden="1">"c6734"</definedName>
    <definedName name="IQ_CURRENCY_COIN_DOMESTIC_FDIC" hidden="1">"c6388"</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RIVATIVES_FDIC" hidden="1">"c6523"</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IDENDS_DECLARED_COMMON_FDIC" hidden="1">"c6659"</definedName>
    <definedName name="IQ_DIVIDENDS_DECLARED_PREFERRED_FDIC" hidden="1">"c6658"</definedName>
    <definedName name="IQ_DIVIDENDS_FDIC" hidden="1">"c6660"</definedName>
    <definedName name="IQ_EARNING_ASSETS_FDIC" hidden="1">"c6360"</definedName>
    <definedName name="IQ_EARNING_ASSETS_YIELD_FDIC" hidden="1">"c6724"</definedName>
    <definedName name="IQ_EARNINGS_COVERAGE_NET_CHARGE_OFFS_FDIC" hidden="1">"c6735"</definedName>
    <definedName name="IQ_EBT_BR" hidden="1">"c378"</definedName>
    <definedName name="IQ_EBT_EXCL_BR" hidden="1">"c381"</definedName>
    <definedName name="IQ_EFFICIENCY_RATIO_FDIC" hidden="1">"c6736"</definedName>
    <definedName name="IQ_EQUITY_CAPITAL_ASSETS_FDIC" hidden="1">"c6744"</definedName>
    <definedName name="IQ_EQUITY_FDIC" hidden="1">"c6353"</definedName>
    <definedName name="IQ_EQUITY_SECURITIES_FDIC" hidden="1">"c6304"</definedName>
    <definedName name="IQ_EQUITY_SECURITY_EXPOSURES_FDIC" hidden="1">"c6664"</definedName>
    <definedName name="IQ_ESTIMATED_ASSESSABLE_DEPOSITS_FDIC" hidden="1">"c6490"</definedName>
    <definedName name="IQ_ESTIMATED_INSURED_DEPOSITS_FDIC" hidden="1">"c6491"</definedName>
    <definedName name="IQ_EXTRA_ACC_ITEMS_BR" hidden="1">"c412"</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ED_FUNDS_PURCHASED_FDIC" hidden="1">"c6343"</definedName>
    <definedName name="IQ_FED_FUNDS_SOLD_FDIC" hidden="1">"c6307"</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_CIQ" hidden="1">"c4970"</definedName>
    <definedName name="IQ_FFO_HIGH_EST_CIQ" hidden="1">"c4977"</definedName>
    <definedName name="IQ_FFO_LOW_EST_CIQ" hidden="1">"c4978"</definedName>
    <definedName name="IQ_FFO_MEDIAN_EST_CIQ" hidden="1">"c4979"</definedName>
    <definedName name="IQ_FFO_NUM_EST_CIQ" hidden="1">"c4980"</definedName>
    <definedName name="IQ_FFO_STDDEV_EST_CIQ" hidden="1">"c4981"</definedName>
    <definedName name="IQ_FH" hidden="1">100000</definedName>
    <definedName name="IQ_FHLB_ADVANCES_FDIC" hidden="1">"c6366"</definedName>
    <definedName name="IQ_FIDUCIARY_ACTIVITIES_FDIC" hidden="1">"c6571"</definedName>
    <definedName name="IQ_FIFETEEN_YEAR_FIXED_AND_FLOATING_RATE_FDIC" hidden="1">"c6423"</definedName>
    <definedName name="IQ_FIFETEEN_YEAR_MORTGAGE_PASS_THROUGHS_FDIC" hidden="1">"c6415"</definedName>
    <definedName name="IQ_FIVE_YEAR_FIXED_AND_FLOATING_RATE_FDIC" hidden="1">"c6422"</definedName>
    <definedName name="IQ_FIVE_YEAR_MORTGAGE_PASS_THROUGHS_FDIC" hidden="1">"c6414"</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OSITS_NONTRANSACTION_ACCOUNTS_FDIC" hidden="1">"c6549"</definedName>
    <definedName name="IQ_FOREIGN_DEPOSITS_TRANSACTION_ACCOUNTS_FDIC" hidden="1">"c6541"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Q" hidden="1">500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_CONTRACTS_FDIC" hidden="1">"c6517"</definedName>
    <definedName name="IQ_FX_CONTRACTS_SPOT_FDIC" hidden="1">"c6356"</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W_AMORT_BR" hidden="1">"c532"</definedName>
    <definedName name="IQ_GW_INTAN_AMORT_BR" hidden="1">"c1470"</definedName>
    <definedName name="IQ_GW_INTAN_AMORT_CF_BR" hidden="1">"c1473"</definedName>
    <definedName name="IQ_HELD_MATURITY_FDIC" hidden="1">"c6408"</definedName>
    <definedName name="IQ_HOME_EQUITY_LOC_NET_CHARGE_OFFS_FDIC" hidden="1">"c6644"</definedName>
    <definedName name="IQ_HOME_EQUITY_LOC_TOTAL_CHARGE_OFFS_FDIC" hidden="1">"c6606"</definedName>
    <definedName name="IQ_HOME_EQUITY_LOC_TOTAL_RECOVERIES_FDIC" hidden="1">"c6625"</definedName>
    <definedName name="IQ_INC_EQUITY_BR" hidden="1">"c550"</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SETTLE_BR" hidden="1">"c572"</definedName>
    <definedName name="IQ_INSIDER_LOANS_FDIC" hidden="1">"c6365"</definedName>
    <definedName name="IQ_INSTITUTIONS_EARNINGS_GAINS_FDIC" hidden="1">"c6723"</definedName>
    <definedName name="IQ_INSURANCE_COMMISSION_FEES_FDIC" hidden="1">"c6670"</definedName>
    <definedName name="IQ_INSURANCE_UNDERWRITING_INCOME_FDIC" hidden="1">"c6671"</definedName>
    <definedName name="IQ_INT_DEMAND_NOTES_FDIC" hidden="1">"c6567"</definedName>
    <definedName name="IQ_INT_DOMESTIC_DEPOSITS_FDIC" hidden="1">"c6564"</definedName>
    <definedName name="IQ_INT_EXP_BR" hidden="1">"c586"</definedName>
    <definedName name="IQ_INT_EXP_TOTAL_FDIC" hidden="1">"c6569"</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OREIGN_LOANS_FDIC" hidden="1">"c6556"</definedName>
    <definedName name="IQ_INT_INC_LEASE_RECEIVABLES_FDIC" hidden="1">"c6557"</definedName>
    <definedName name="IQ_INT_INC_OTHER_FDIC" hidden="1">"c6562"</definedName>
    <definedName name="IQ_INT_INC_SECURITIES_FDIC" hidden="1">"c6559"</definedName>
    <definedName name="IQ_INT_INC_TOTAL_FDIC" hidden="1">"c6563"</definedName>
    <definedName name="IQ_INT_INC_TRADING_ACCOUNTS_FDIC" hidden="1">"c6560"</definedName>
    <definedName name="IQ_INT_SUB_NOTES_FDIC" hidden="1">"c6568"</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RATE_CONTRACTS_FDIC" hidden="1">"c6512"</definedName>
    <definedName name="IQ_INTEREST_RATE_EXPOSURES_FDIC" hidden="1">"c6662"</definedName>
    <definedName name="IQ_INVEST_LOANS_CF_BR" hidden="1">"c630"</definedName>
    <definedName name="IQ_INVEST_SECURITY_CF_BR" hidden="1">"c639"</definedName>
    <definedName name="IQ_INVESTMENT_BANKING_OTHER_FEES_FDIC" hidden="1">"c6666"</definedName>
    <definedName name="IQ_IRA_KEOGH_ACCOUNTS_FDIC" hidden="1">"c6496"</definedName>
    <definedName name="IQ_ISSUED_GUARANTEED_US_FDIC" hidden="1">"c6404"</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_BR" hidden="1">"c649"</definedName>
    <definedName name="IQ_LIFE_INSURANCE_ASSETS_FDIC" hidden="1">"c6372"</definedName>
    <definedName name="IQ_LOAN_COMMITMENTS_REVOLVING_FDIC" hidden="1">"c6524"</definedName>
    <definedName name="IQ_LOAN_LOSS_ALLOW_FDIC" hidden="1">"c6326"</definedName>
    <definedName name="IQ_LOAN_LOSS_ALLOWANCE_NONCURRENT_LOANS_FDIC" hidden="1">"c6740"</definedName>
    <definedName name="IQ_LOAN_LOSSES_FDIC" hidden="1">"c6580"</definedName>
    <definedName name="IQ_LOANS_AND_LEASES_HELD_FDIC" hidden="1">"c6367"</definedName>
    <definedName name="IQ_LOANS_CF_BR" hidden="1">"c661"</definedName>
    <definedName name="IQ_LOANS_DEPOSITORY_INSTITUTIONS_FDIC" hidden="1">"c6382"</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SS_ALLOWANCE_LOANS_FDIC" hidden="1">"c6739"</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AINT_CAPEX_ACT_OR_EST" hidden="1">"c4458"</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TURITY_ONE_YEAR_LESS_FDIC" hidden="1">"c6425"</definedName>
    <definedName name="IQ_MERGER_BR" hidden="1">"c715"</definedName>
    <definedName name="IQ_MERGER_RESTRUCTURE_BR" hidden="1">"c721"</definedName>
    <definedName name="IQ_MINORITY_INTEREST_BR" hidden="1">"c729"</definedName>
    <definedName name="IQ_MONEY_MARKET_DEPOSIT_ACCOUNTS_FDIC" hidden="1">"c6553"</definedName>
    <definedName name="IQ_MONTH" hidden="1">15000</definedName>
    <definedName name="IQ_MORTGAGE_BACKED_SECURITIES_FDIC" hidden="1">"c6402"</definedName>
    <definedName name="IQ_MORTGAGE_SERVICING_FDIC" hidden="1">"c6335"</definedName>
    <definedName name="IQ_MULTIFAMILY_RESIDENTIAL_LOANS_FDIC" hidden="1">"c6311"</definedName>
    <definedName name="IQ_NAMES_REVISION_DATE_" hidden="1">40634.3899884259</definedName>
    <definedName name="IQ_NET_CHARGE_OFFS_FDIC" hidden="1">"c6641"</definedName>
    <definedName name="IQ_NET_CHARGE_OFFS_LOANS_FDIC" hidden="1">"c6751"</definedName>
    <definedName name="IQ_NET_DEBT_ISSUED_BR" hidden="1">"c753"</definedName>
    <definedName name="IQ_NET_INCOME_FDIC" hidden="1">"c6587"</definedName>
    <definedName name="IQ_NET_INT_INC_BNK_FDIC" hidden="1">"c6570"</definedName>
    <definedName name="IQ_NET_INT_INC_BR" hidden="1">"c765"</definedName>
    <definedName name="IQ_NET_INTEREST_MARGIN_FDIC" hidden="1">"c6726"</definedName>
    <definedName name="IQ_NET_LOANS_LEASES_CORE_DEPOSITS_FDIC" hidden="1">"c6743"</definedName>
    <definedName name="IQ_NET_LOANS_LEASES_DEPOSITS_FDIC" hidden="1">"c6742"</definedName>
    <definedName name="IQ_NET_OPERATING_INCOME_ASSETS_FDIC" hidden="1">"c6729"</definedName>
    <definedName name="IQ_NET_SECURITIZATION_INCOME_FDIC" hidden="1">"c6669"</definedName>
    <definedName name="IQ_NET_SERVICING_FEES_FDIC" hidden="1">"c6668"</definedName>
    <definedName name="IQ_NON_INT_EXP_FDIC" hidden="1">"c6579"</definedName>
    <definedName name="IQ_NON_INT_INC_FDIC" hidden="1">"c6575"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TRANSACTION_ACCOUNTS_FDIC" hidden="1">"c6552"</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TM" hidden="1">6000</definedName>
    <definedName name="IQ_NUMBER_DEPOSITS_LESS_THAN_100K_FDIC" hidden="1">"c6495"</definedName>
    <definedName name="IQ_NUMBER_DEPOSITS_MORE_THAN_100K_FDIC" hidden="1">"c6493"</definedName>
    <definedName name="IQ_OBLIGATIONS_OF_STATES_TOTAL_LOANS_FOREIGN_FDIC" hidden="1">"c6447"</definedName>
    <definedName name="IQ_OBLIGATIONS_STATES_FDIC" hidden="1">"c6431"</definedName>
    <definedName name="IQ_OPER_INC_BR" hidden="1">"c850"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MORT_BR" hidden="1">"c5566"</definedName>
    <definedName name="IQ_OTHER_ASSETS_BR" hidden="1">"c862"</definedName>
    <definedName name="IQ_OTHER_ASSETS_FDIC" hidden="1">"c6338"</definedName>
    <definedName name="IQ_OTHER_BORROWED_FUNDS_FDIC" hidden="1">"c6345"</definedName>
    <definedName name="IQ_OTHER_CA_SUPPL_BR" hidden="1">"c871"</definedName>
    <definedName name="IQ_OTHER_CL_SUPPL_BR" hidden="1">"c880"</definedName>
    <definedName name="IQ_OTHER_COMPREHENSIVE_INCOME_FDIC" hidden="1">"c6503"</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QUITY_BR" hidden="1">"c888"</definedName>
    <definedName name="IQ_OTHER_FINANCE_ACT_BR" hidden="1">"c895"</definedName>
    <definedName name="IQ_OTHER_FINANCE_ACT_SUPPL_BR" hidden="1">"c901"</definedName>
    <definedName name="IQ_OTHER_INSURANCE_FEES_FDIC" hidden="1">"c6672"</definedName>
    <definedName name="IQ_OTHER_INTAN_BR" hidden="1">"c909"</definedName>
    <definedName name="IQ_OTHER_INTANGIBLE_FDIC" hidden="1">"c6337"</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IABILITIES_FDIC" hidden="1">"c6347"</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T_ASSETS_BR" hidden="1">"c948"</definedName>
    <definedName name="IQ_OTHER_NON_INT_EXP_FDIC" hidden="1">"c6578"</definedName>
    <definedName name="IQ_OTHER_NON_INT_EXPENSE_FDIC" hidden="1">"c6679"</definedName>
    <definedName name="IQ_OTHER_NON_INT_INC_FDIC" hidden="1">"c6676"</definedName>
    <definedName name="IQ_OTHER_NON_OPER_EXP_BR" hidden="1">"c957"</definedName>
    <definedName name="IQ_OTHER_NON_OPER_EXP_SUPPL_BR" hidden="1">"c962"</definedName>
    <definedName name="IQ_OTHER_OFF_BS_LIAB_FDIC" hidden="1">"c6533"</definedName>
    <definedName name="IQ_OTHER_OPER_ACT_BR" hidden="1">"c985"</definedName>
    <definedName name="IQ_OTHER_OPER_BR" hidden="1">"c990"</definedName>
    <definedName name="IQ_OTHER_OPER_SUPPL_BR" hidden="1">"c994"</definedName>
    <definedName name="IQ_OTHER_OPER_TOT_BR" hidden="1">"c1000"</definedName>
    <definedName name="IQ_OTHER_RE_OWNED_FDIC" hidden="1">"c6330"</definedName>
    <definedName name="IQ_OTHER_REV_BR" hidden="1">"c1011"</definedName>
    <definedName name="IQ_OTHER_REV_SUPPL_BR" hidden="1">"c1016"</definedName>
    <definedName name="IQ_OTHER_SAVINGS_DEPOSITS_FDIC" hidden="1">"c6554"</definedName>
    <definedName name="IQ_OTHER_TRANSACTIONS_FDIC" hidden="1">"c6504"</definedName>
    <definedName name="IQ_OTHER_UNUSED_COMMITMENTS_FDIC" hidden="1">"c6530"</definedName>
    <definedName name="IQ_OTHER_UNUSUAL_BR" hidden="1">"c1561"</definedName>
    <definedName name="IQ_OTHER_UNUSUAL_SUPPL_BR" hidden="1">"c1496"</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ERCENT_CHANGE_EST_FFO_SHARE_SHARE_12MONTHS" hidden="1">"c1828"</definedName>
    <definedName name="IQ_PERCENT_CHANGE_EST_FFO_SHARE_SHARE_12MONTHS_CIQ" hidden="1">"c3769"</definedName>
    <definedName name="IQ_PERCENT_CHANGE_EST_FFO_SHARE_SHARE_18MONTHS" hidden="1">"c1829"</definedName>
    <definedName name="IQ_PERCENT_CHANGE_EST_FFO_SHARE_SHARE_18MONTHS_CIQ" hidden="1">"c3770"</definedName>
    <definedName name="IQ_PERCENT_CHANGE_EST_FFO_SHARE_SHARE_3MONTHS" hidden="1">"c1825"</definedName>
    <definedName name="IQ_PERCENT_CHANGE_EST_FFO_SHARE_SHARE_3MONTHS_CIQ" hidden="1">"c3766"</definedName>
    <definedName name="IQ_PERCENT_CHANGE_EST_FFO_SHARE_SHARE_6MONTHS" hidden="1">"c1826"</definedName>
    <definedName name="IQ_PERCENT_CHANGE_EST_FFO_SHARE_SHARE_6MONTHS_CIQ" hidden="1">"c3767"</definedName>
    <definedName name="IQ_PERCENT_CHANGE_EST_FFO_SHARE_SHARE_9MONTHS" hidden="1">"c1827"</definedName>
    <definedName name="IQ_PERCENT_CHANGE_EST_FFO_SHARE_SHARE_9MONTHS_CIQ" hidden="1">"c3768"</definedName>
    <definedName name="IQ_PERCENT_CHANGE_EST_FFO_SHARE_SHARE_DAY" hidden="1">"c1822"</definedName>
    <definedName name="IQ_PERCENT_CHANGE_EST_FFO_SHARE_SHARE_DAY_CIQ" hidden="1">"c3764"</definedName>
    <definedName name="IQ_PERCENT_CHANGE_EST_FFO_SHARE_SHARE_MONTH" hidden="1">"c1824"</definedName>
    <definedName name="IQ_PERCENT_CHANGE_EST_FFO_SHARE_SHARE_MONTH_CIQ" hidden="1">"c3765"</definedName>
    <definedName name="IQ_PERCENT_CHANGE_EST_FFO_SHARE_SHARE_WEEK" hidden="1">"c1823"</definedName>
    <definedName name="IQ_PERCENT_CHANGE_EST_FFO_SHARE_SHARE_WEEK_CIQ" hidden="1">"c3795"</definedName>
    <definedName name="IQ_PERCENT_INSURED_FDIC" hidden="1">"c6374"</definedName>
    <definedName name="IQ_PERIODDATE_FDIC" hidden="1">"c13646"</definedName>
    <definedName name="IQ_PLEDGED_SECURITIES_FDIC" hidden="1">"c6401"</definedName>
    <definedName name="IQ_PRE_TAX_INCOME_FDIC" hidden="1">"c6581"</definedName>
    <definedName name="IQ_PREF_ISSUED_BR" hidden="1">"c1047"</definedName>
    <definedName name="IQ_PREF_OTHER_BR" hidden="1">"c1055"</definedName>
    <definedName name="IQ_PREF_REP_BR" hidden="1">"c1062"</definedName>
    <definedName name="IQ_PREFERRED_FDIC" hidden="1">"c6349"</definedName>
    <definedName name="IQ_PREMISES_EQUIPMENT_FDIC" hidden="1">"c6577"</definedName>
    <definedName name="IQ_PRETAX_RETURN_ASSETS_FDIC" hidden="1">"c6731"</definedName>
    <definedName name="IQ_PRIVATELY_ISSUED_MORTGAGE_BACKED_SECURITIES_FDIC" hidden="1">"c6407"</definedName>
    <definedName name="IQ_PRIVATELY_ISSUED_MORTGAGE_PASS_THROUGHS_FDIC" hidden="1">"c6405"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LATED_PLANS_FDIC" hidden="1">"c6320"</definedName>
    <definedName name="IQ_RESTATEMENTS_NET_FDIC" hidden="1">"c6500"</definedName>
    <definedName name="IQ_RESTRUCTURE_BR" hidden="1">"c1106"</definedName>
    <definedName name="IQ_RESTRUCTURED_LOANS_1_4_RESIDENTIAL_FDIC" hidden="1">"c6378"</definedName>
    <definedName name="IQ_RESTRUCTURED_LOANS_LEASES_FDIC" hidden="1">"c6377"</definedName>
    <definedName name="IQ_RESTRUCTURED_LOANS_NON_1_4_FDIC" hidden="1">"c6379"</definedName>
    <definedName name="IQ_RETAIL_DEPOSITS_FDIC" hidden="1">"c6488"</definedName>
    <definedName name="IQ_RETAINED_EARNINGS_AVERAGE_EQUITY_FDIC" hidden="1">"c6733"</definedName>
    <definedName name="IQ_RETURN_ASSETS_BROK" hidden="1">"c1115"</definedName>
    <definedName name="IQ_RETURN_ASSETS_FDIC" hidden="1">"c6730"</definedName>
    <definedName name="IQ_RETURN_EQUITY_BROK" hidden="1">"c1120"</definedName>
    <definedName name="IQ_RETURN_EQUITY_FDIC" hidden="1">"c6732"</definedName>
    <definedName name="IQ_REVALUATION_GAINS_FDIC" hidden="1">"c6428"</definedName>
    <definedName name="IQ_REVALUATION_LOSSES_FDIC" hidden="1">"c6429"</definedName>
    <definedName name="IQ_RISK_WEIGHTED_ASSETS_FDIC" hidden="1">"c6370"</definedName>
    <definedName name="IQ_SALARY_FDIC" hidden="1">"c6576"</definedName>
    <definedName name="IQ_SALE_CONVERSION_RETIREMENT_STOCK_FDIC" hidden="1">"c6661"</definedName>
    <definedName name="IQ_SALE_INTAN_CF_BR" hidden="1">"c1133"</definedName>
    <definedName name="IQ_SALE_PPE_CF_BR" hidden="1">"c1139"</definedName>
    <definedName name="IQ_SALE_REAL_ESTATE_CF_BR" hidden="1">"c1145"</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RVICE_CHARGES_FDIC" hidden="1">"c6572"</definedName>
    <definedName name="IQ_SPECIAL_DIV_CF_BR" hidden="1">"c1171"</definedName>
    <definedName name="IQ_ST_DEBT_BR" hidden="1">"c1178"</definedName>
    <definedName name="IQ_ST_DEBT_ISSUED_BR" hidden="1">"c1183"</definedName>
    <definedName name="IQ_ST_DEBT_REPAID_BR" hidden="1">"c1191"</definedName>
    <definedName name="IQ_STATES_NONTRANSACTION_ACCOUNTS_FDIC" hidden="1">"c6547"</definedName>
    <definedName name="IQ_STATES_TOTAL_DEPOSITS_FDIC" hidden="1">"c6473"</definedName>
    <definedName name="IQ_STATES_TRANSACTION_ACCOUNTS_FDIC" hidden="1">"c6539"</definedName>
    <definedName name="IQ_SUB_DEBT_FDIC" hidden="1">"c6346"</definedName>
    <definedName name="IQ_SURPLUS_FDIC" hidden="1">"c6351"</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FDIC" hidden="1">"c6369"</definedName>
    <definedName name="IQ_TIME_DEPOSITS_LESS_THAN_100K_FDIC" hidden="1">"c6465"</definedName>
    <definedName name="IQ_TIME_DEPOSITS_MORE_THAN_100K_FDIC" hidden="1">"c6470"</definedName>
    <definedName name="IQ_TODAY" hidden="1">0</definedName>
    <definedName name="IQ_TOTAL_AR_BR" hidden="1">"c1231"</definedName>
    <definedName name="IQ_TOTAL_ASSETS_FDIC" hidden="1">"c6339"</definedName>
    <definedName name="IQ_TOTAL_CHARGE_OFFS_FDIC" hidden="1">"c6603"</definedName>
    <definedName name="IQ_TOTAL_DEBT_ISSUED_BR" hidden="1">"c1253"</definedName>
    <definedName name="IQ_TOTAL_DEBT_REPAID_BR" hidden="1">"c1260"</definedName>
    <definedName name="IQ_TOTAL_DEBT_SECURITIES_FDIC" hidden="1">"c6410"</definedName>
    <definedName name="IQ_TOTAL_DEPOSITS_FDIC" hidden="1">"c6342"</definedName>
    <definedName name="IQ_TOTAL_EMPLOYEES_FDIC" hidden="1">"c6355"</definedName>
    <definedName name="IQ_TOTAL_LIAB_BR" hidden="1">"c1278"</definedName>
    <definedName name="IQ_TOTAL_LIAB_EQUITY_FDIC" hidden="1">"c6354"</definedName>
    <definedName name="IQ_TOTAL_LIABILITIES_FDIC" hidden="1">"c6348"</definedName>
    <definedName name="IQ_TOTAL_OPER_EXP_BR" hidden="1">"c1284"</definedName>
    <definedName name="IQ_TOTAL_RECOVERIES_FDIC" hidden="1">"c6622"</definedName>
    <definedName name="IQ_TOTAL_REV_BNK_FDIC" hidden="1">"c6786"</definedName>
    <definedName name="IQ_TOTAL_REV_BR" hidden="1">"c1303"</definedName>
    <definedName name="IQ_TOTAL_RISK_BASED_CAPITAL_RATIO_FDIC" hidden="1">"c6747"</definedName>
    <definedName name="IQ_TOTAL_SECURITIES_FDIC" hidden="1">"c6306"</definedName>
    <definedName name="IQ_TOTAL_TIME_DEPOSITS_FDIC" hidden="1">"c6497"</definedName>
    <definedName name="IQ_TOTAL_TIME_SAVINGS_DEPOSITS_FDIC" hidden="1">"c6498"</definedName>
    <definedName name="IQ_TOTAL_UNUSED_COMMITMENTS_FDIC" hidden="1">"c6536"</definedName>
    <definedName name="IQ_TOTAL_UNUSUAL_BR" hidden="1">"c5517"</definedName>
    <definedName name="IQ_TRADING_ACCOUNT_GAINS_FEES_FDIC" hidden="1">"c6573"</definedName>
    <definedName name="IQ_TRADING_ASSETS_FDIC" hidden="1">"c6328"</definedName>
    <definedName name="IQ_TRADING_LIABILITIES_FDIC" hidden="1">"c6344"</definedName>
    <definedName name="IQ_TRANSACTION_ACCOUNTS_FDIC" hidden="1">"c6544"</definedName>
    <definedName name="IQ_TREASURY_OTHER_EQUITY_BR" hidden="1">"c1314"</definedName>
    <definedName name="IQ_TREASURY_STOCK_TRANSACTIONS_FDIC" hidden="1">"c6501"</definedName>
    <definedName name="IQ_TWELVE_MONTHS_FIXED_AND_FLOATING_FDIC" hidden="1">"c6420"</definedName>
    <definedName name="IQ_TWELVE_MONTHS_MORTGAGE_PASS_THROUGHS_FDIC" hidden="1">"c6412"</definedName>
    <definedName name="IQ_UNDIVIDED_PROFITS_FDIC" hidden="1">"c6352"</definedName>
    <definedName name="IQ_UNEARN_REV_CURRENT_BR" hidden="1">"c1324"</definedName>
    <definedName name="IQ_UNEARNED_INCOME_FDIC" hidden="1">"c6324"</definedName>
    <definedName name="IQ_UNEARNED_INCOME_FOREIGN_FDIC" hidden="1">"c6385"</definedName>
    <definedName name="IQ_UNPROFITABLE_INSTITUTIONS_FDIC" hidden="1">"c6722"</definedName>
    <definedName name="IQ_UNUSED_LOAN_COMMITMENTS_FDIC" hidden="1">"c6368"</definedName>
    <definedName name="IQ_US_BRANCHES_FOREIGN_BANK_LOANS_FDIC" hidden="1">"c6435"</definedName>
    <definedName name="IQ_US_BRANCHES_FOREIGN_BANKS_FDIC" hidden="1">"c6390"</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VALUATION_ALLOWANCES_FDIC" hidden="1">"c6400"</definedName>
    <definedName name="IQ_VC_REVENUE_FDIC" hidden="1">"c6667"</definedName>
    <definedName name="IQ_VOLATILE_LIABILITIES_FDIC" hidden="1">"c6364"</definedName>
    <definedName name="IQ_WEEK" hidden="1">50000</definedName>
    <definedName name="IQ_WRITTEN_OPTION_CONTRACTS_FDIC" hidden="1">"c6509"</definedName>
    <definedName name="IQ_WRITTEN_OPTION_CONTRACTS_FX_RISK_FDIC" hidden="1">"c6514"</definedName>
    <definedName name="IQ_WRITTEN_OPTION_CONTRACTS_NON_FX_IR_FDIC" hidden="1">"c6519"</definedName>
    <definedName name="IQ_YTD" hidden="1">3000</definedName>
    <definedName name="IQ_YTDMONTH" hidden="1">130000</definedName>
    <definedName name="KeepVersions" localSheetId="13">IndexInformation!$B$8</definedName>
    <definedName name="LanguageCode">IndexInformation!$B$38</definedName>
    <definedName name="LastCell" localSheetId="0">ImportantDisclosures!$A$22</definedName>
    <definedName name="Linking_10">'Presentation tables'!$A$8:$BE$54</definedName>
    <definedName name="Linking_11">'Presentation tables'!$A$59:$BE$127</definedName>
    <definedName name="Linking_12">'Presentation tables'!$A$132:$BE$160</definedName>
    <definedName name="Linking_13">'Presentation tables'!$A$166:$BE$195</definedName>
    <definedName name="Linking_15">Otis!$AW$111</definedName>
    <definedName name="Linking_18">'Presentation tables'!$A$132:$BF$160</definedName>
    <definedName name="Linking_2">0.14</definedName>
    <definedName name="Linking_3">'Presentation tables'!$A$59:$AZ$127</definedName>
    <definedName name="Linking_6">"Comments"</definedName>
    <definedName name="Linking_9">"Up $25m at the low-end"</definedName>
    <definedName name="Linking_Range_1">'Presentation tables'!$A$8:$AP$54</definedName>
    <definedName name="Linking_Range_10">'Presentation tables'!$A$59:$AU$119</definedName>
    <definedName name="Linking_Range_11">'Presentation tables'!$A$132:$AU$160</definedName>
    <definedName name="Linking_Range_12">'Presentation tables'!$A$166:$AU$195</definedName>
    <definedName name="Linking_Range_13">Otis!$CB$10:$CK$22</definedName>
    <definedName name="Linking_Range_14">Otis!$CB$10:$CU$22</definedName>
    <definedName name="Linking_Range_15">Otis!$CB$10:$CU$41</definedName>
    <definedName name="Linking_Range_16">'Presentation tables'!$AG$8:$AP$22</definedName>
    <definedName name="Linking_Range_17">'Presentation tables'!$A$132:$AZ$160</definedName>
    <definedName name="Linking_Range_18">'Presentation tables'!$A$166:$AZ$195</definedName>
    <definedName name="Linking_Range_2">'Presentation tables'!$A$59:$AP$127</definedName>
    <definedName name="Linking_Range_25">'Presentation tables'!$A$8:$BF$54</definedName>
    <definedName name="Linking_Range_26">'Presentation tables'!$A$59:$BF$127</definedName>
    <definedName name="Linking_Range_27">'Presentation tables'!$A$166:$BF$195</definedName>
    <definedName name="Linking_Range_3">'Presentation tables'!$A$166:$AP$195</definedName>
    <definedName name="Linking_Range_5">'Presentation tables'!$A$132:$AP$160</definedName>
    <definedName name="Linking_Range_6">'Presentation tables'!$A$59:$AP$119</definedName>
    <definedName name="Linking_Range_7">'Presentation tables'!$A$8:$AZ$54</definedName>
    <definedName name="Linking_Range_8">'Presentation tables'!$A$59:$AZ$119</definedName>
    <definedName name="Linking_Range_9">'Presentation tables'!$A$8:$AU$54</definedName>
    <definedName name="MacroVersion" localSheetId="13">IndexInformation!$B$1</definedName>
    <definedName name="ModelPrice" localSheetId="0">ImportantDisclosures!$A$14</definedName>
    <definedName name="MonitorCol">1</definedName>
    <definedName name="MonitorRow">1</definedName>
    <definedName name="Multiplier" localSheetId="13">IndexInformation!$B$35</definedName>
    <definedName name="NextYearEPS" localSheetId="13">IndexInformation!$B$13</definedName>
    <definedName name="NextYearTotalRevenue" localSheetId="13">IndexInformation!$B$12</definedName>
    <definedName name="NextYearTotalRevenueActual" localSheetId="13">IndexInformation!$B$33</definedName>
    <definedName name="ObjectType">IndexInformation!$B$37</definedName>
    <definedName name="PANA" localSheetId="14">ModPubIndex!$A$11</definedName>
    <definedName name="PathName" localSheetId="13">IndexInformation!$B$25</definedName>
    <definedName name="PRODUCT" localSheetId="14">ModPubIndex!$A$6</definedName>
    <definedName name="PSYM" localSheetId="14">ModPubIndex!$A$4</definedName>
    <definedName name="PublishDate" localSheetId="13">IndexInformation!$B$2</definedName>
    <definedName name="Rating" localSheetId="13">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13">IndexInformation!$B$4</definedName>
    <definedName name="RIC" localSheetId="13">IndexInformation!$B$21</definedName>
    <definedName name="SECSettlement" localSheetId="0">ImportantDisclosures!#REF!</definedName>
    <definedName name="SEDOL" localSheetId="13">IndexInformation!$B$22</definedName>
    <definedName name="SourceDefined" localSheetId="0">ImportantDisclosures!$A$19</definedName>
    <definedName name="StockRating" localSheetId="0">ImportantDisclosures!$A$11</definedName>
    <definedName name="SubjectCode" localSheetId="13">IndexInformation!$B$6</definedName>
    <definedName name="SubmitterUserId">IndexInformation!$B$39</definedName>
    <definedName name="SUPPRESSED" localSheetId="14">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3">IndexInformation!$B$19</definedName>
    <definedName name="UpdateReason" localSheetId="13">IndexInformation!$B$17</definedName>
    <definedName name="USRegDisclosures" localSheetId="0">ImportantDisclosures!#REF!</definedName>
    <definedName name="Z_29130F06_8713_4F7A_8A7E_3EEBD44DBC41_.wvu.Cols" localSheetId="6" hidden="1">BS!$F:$H</definedName>
    <definedName name="Z_29130F06_8713_4F7A_8A7E_3EEBD44DBC41_.wvu.Cols" localSheetId="7" hidden="1">CF!$F:$G</definedName>
    <definedName name="Z_29130F06_8713_4F7A_8A7E_3EEBD44DBC41_.wvu.Cols" localSheetId="8" hidden="1">'Divisional Summary'!$F:$I,'Divisional Summary'!$K:$N,'Divisional Summary'!$P:$S,'Divisional Summary'!$U:$X,'Divisional Summary'!$AE:$AH,'Divisional Summary'!$AJ:$AM</definedName>
    <definedName name="Z_29130F06_8713_4F7A_8A7E_3EEBD44DBC41_.wvu.Cols" localSheetId="5" hidden="1">IS!$F:$I,IS!$K:$N,IS!$P:$S,IS!$U:$X,IS!$Z:$AC</definedName>
    <definedName name="Z_29130F06_8713_4F7A_8A7E_3EEBD44DBC41_.wvu.PrintArea" localSheetId="5" hidden="1">IS!$B$2:$AX$111</definedName>
    <definedName name="Z_7AD3D9DB_726E_4F6D_85C6_FEEDDCFB0EAD_.wvu.Cols" localSheetId="6" hidden="1">BS!$F:$H</definedName>
    <definedName name="Z_7AD3D9DB_726E_4F6D_85C6_FEEDDCFB0EAD_.wvu.Cols" localSheetId="7" hidden="1">CF!$F:$G</definedName>
    <definedName name="Z_7AD3D9DB_726E_4F6D_85C6_FEEDDCFB0EAD_.wvu.Cols" localSheetId="5" hidden="1">IS!$K:$N,IS!$P:$S,IS!$U:$X,IS!$Z:$AC,IS!$AE:$AH,IS!$AJ:$AM</definedName>
    <definedName name="Z_7AD3D9DB_726E_4F6D_85C6_FEEDDCFB0EAD_.wvu.Rows" localSheetId="5" hidden="1">IS!$1:$7</definedName>
    <definedName name="Z_C255D7AE_A134_46C6_9D19_81AA733EABCD_.wvu.Rows" localSheetId="1" hidden="1">Cover!$7:$7</definedName>
    <definedName name="Z_C412A2BA_FBE0_4998_8B10_3950A97D57A1_.wvu.Cols" localSheetId="6" hidden="1">BS!$F:$H</definedName>
    <definedName name="Z_C412A2BA_FBE0_4998_8B10_3950A97D57A1_.wvu.Cols" localSheetId="7" hidden="1">CF!$F:$G</definedName>
    <definedName name="Z_CBD33D90_1832_48F8_9EEA_47C164B6C11D_.wvu.Cols" localSheetId="6" hidden="1">BS!$F:$H</definedName>
    <definedName name="Z_CBD33D90_1832_48F8_9EEA_47C164B6C11D_.wvu.Cols" localSheetId="7" hidden="1">CF!$F:$G</definedName>
    <definedName name="Z_CBD33D90_1832_48F8_9EEA_47C164B6C11D_.wvu.Cols" localSheetId="5" hidden="1">IS!$K:$N,IS!$P:$S,IS!$U:$X,IS!$Z:$AC,IS!$AE:$AH,IS!$AJ:$AM</definedName>
    <definedName name="Z_CBD33D90_1832_48F8_9EEA_47C164B6C11D_.wvu.Rows" localSheetId="5" hidden="1">IS!$1:$7</definedName>
  </definedNames>
  <calcPr calcId="145621"/>
</workbook>
</file>

<file path=xl/calcChain.xml><?xml version="1.0" encoding="utf-8"?>
<calcChain xmlns="http://schemas.openxmlformats.org/spreadsheetml/2006/main">
  <c r="CZ78" i="8" l="1"/>
  <c r="CP141" i="11" l="1"/>
  <c r="CP88" i="11"/>
  <c r="CP142" i="11" s="1"/>
  <c r="CQ142" i="11" s="1"/>
  <c r="CQ141" i="11" l="1"/>
  <c r="CC79" i="9"/>
  <c r="CC86" i="9"/>
  <c r="CC85" i="9"/>
  <c r="CP53" i="11"/>
  <c r="CU101" i="14"/>
  <c r="AW59" i="15"/>
  <c r="DA110" i="14"/>
  <c r="CS159" i="14"/>
  <c r="CQ95" i="14"/>
  <c r="CU102" i="14"/>
  <c r="CU110" i="14"/>
  <c r="CU73" i="14"/>
  <c r="CU14" i="14"/>
  <c r="CQ106" i="14"/>
  <c r="CS107" i="14"/>
  <c r="CX14" i="14"/>
  <c r="BN38" i="6"/>
  <c r="CT15" i="14" s="1"/>
  <c r="CS69" i="14"/>
  <c r="CT68" i="14"/>
  <c r="CS68" i="14"/>
  <c r="CU50" i="14"/>
  <c r="CW36" i="12"/>
  <c r="CX36" i="12"/>
  <c r="CZ86" i="12"/>
  <c r="CO120" i="13"/>
  <c r="CO123" i="13" s="1"/>
  <c r="CO124" i="13" s="1"/>
  <c r="CO122" i="13"/>
  <c r="CZ85" i="12"/>
  <c r="AU15" i="15"/>
  <c r="BM23" i="6"/>
  <c r="BM24" i="6"/>
  <c r="BM25" i="6"/>
  <c r="BM26" i="6"/>
  <c r="BM27" i="6"/>
  <c r="BM28" i="6"/>
  <c r="BM29" i="6"/>
  <c r="BM31" i="6"/>
  <c r="BM36" i="6"/>
  <c r="BM37" i="6"/>
  <c r="BM38" i="6"/>
  <c r="AU13" i="15"/>
  <c r="CS14" i="14"/>
  <c r="CS13" i="14"/>
  <c r="CO13" i="13"/>
  <c r="CT14" i="12"/>
  <c r="CS15" i="12"/>
  <c r="CO79" i="8"/>
  <c r="CO166" i="11"/>
  <c r="CO133" i="11"/>
  <c r="CO136" i="11"/>
  <c r="CO138" i="11"/>
  <c r="CO106" i="11"/>
  <c r="CO107" i="11"/>
  <c r="CO110" i="11"/>
  <c r="CO112" i="11"/>
  <c r="CO78" i="11"/>
  <c r="CO79" i="11"/>
  <c r="CO82" i="11"/>
  <c r="CO83" i="11"/>
  <c r="CO66" i="11"/>
  <c r="CO67" i="11"/>
  <c r="CO71" i="11"/>
  <c r="CO75" i="11"/>
  <c r="CO76" i="11"/>
  <c r="CA111" i="10" s="1"/>
  <c r="CA103" i="10" s="1"/>
  <c r="CO41" i="11"/>
  <c r="CO44" i="11"/>
  <c r="CO45" i="11"/>
  <c r="CO50" i="11"/>
  <c r="CO35" i="11"/>
  <c r="CO38" i="11"/>
  <c r="CF93" i="10"/>
  <c r="CA106" i="10"/>
  <c r="CA112" i="10"/>
  <c r="CA117" i="10"/>
  <c r="CA118" i="10"/>
  <c r="CA119" i="10"/>
  <c r="CA120" i="10"/>
  <c r="CA92" i="10"/>
  <c r="CA93" i="10" s="1"/>
  <c r="CA86" i="10"/>
  <c r="CA88" i="10"/>
  <c r="CA70" i="10"/>
  <c r="CA71" i="10"/>
  <c r="CA59" i="10"/>
  <c r="CA61" i="10" s="1"/>
  <c r="CA60" i="10"/>
  <c r="CA54" i="10" s="1"/>
  <c r="CA63" i="10"/>
  <c r="CA65" i="10" s="1"/>
  <c r="CA64" i="10"/>
  <c r="CA43" i="10"/>
  <c r="CA35" i="10"/>
  <c r="CA13" i="10"/>
  <c r="CB90" i="9"/>
  <c r="CB91" i="9"/>
  <c r="CB99" i="9" s="1"/>
  <c r="CB92" i="9"/>
  <c r="CB93" i="9"/>
  <c r="CB96" i="9" s="1"/>
  <c r="CB94" i="9"/>
  <c r="CB95" i="9"/>
  <c r="CB104" i="9"/>
  <c r="CB105" i="9"/>
  <c r="CB107" i="9"/>
  <c r="CB112" i="9"/>
  <c r="CB114" i="9"/>
  <c r="CB135" i="9"/>
  <c r="CB52" i="9"/>
  <c r="CO98" i="8"/>
  <c r="CU33" i="14"/>
  <c r="AU36" i="15"/>
  <c r="AU37" i="15"/>
  <c r="AU39" i="15"/>
  <c r="CS36" i="12"/>
  <c r="CS13" i="12"/>
  <c r="CO86" i="11" l="1"/>
  <c r="CO117" i="11"/>
  <c r="CA107" i="10"/>
  <c r="CA108" i="10"/>
  <c r="CA109" i="10" s="1"/>
  <c r="CA110" i="10" s="1"/>
  <c r="CA96" i="10"/>
  <c r="CA48" i="10"/>
  <c r="CA47" i="10" s="1"/>
  <c r="CA57" i="10"/>
  <c r="CA53" i="10"/>
  <c r="CA55" i="10" s="1"/>
  <c r="BQ11" i="13" l="1"/>
  <c r="CB43" i="9" l="1"/>
  <c r="CB47" i="9" s="1"/>
  <c r="CS160" i="14"/>
  <c r="CR160" i="14"/>
  <c r="CR162" i="14"/>
  <c r="CA26" i="9"/>
  <c r="BZ88" i="10"/>
  <c r="BZ84" i="10"/>
  <c r="BC94" i="15" l="1"/>
  <c r="DL41" i="14"/>
  <c r="CZ97" i="14" l="1"/>
  <c r="BB93" i="15"/>
  <c r="AZ37" i="15"/>
  <c r="AY37" i="15"/>
  <c r="CA82" i="10"/>
  <c r="CR121" i="13"/>
  <c r="DF40" i="13"/>
  <c r="DF39" i="13"/>
  <c r="DF38" i="13"/>
  <c r="CQ86" i="13"/>
  <c r="CL75" i="13"/>
  <c r="CL83" i="13"/>
  <c r="CL87" i="13"/>
  <c r="CV122" i="13"/>
  <c r="CV121" i="13"/>
  <c r="CV209" i="11"/>
  <c r="CV210" i="11"/>
  <c r="CV211" i="11"/>
  <c r="CV212" i="11"/>
  <c r="CV208" i="11"/>
  <c r="CV213" i="11"/>
  <c r="CT87" i="11"/>
  <c r="CU87" i="11"/>
  <c r="CS87" i="11"/>
  <c r="CR87" i="11"/>
  <c r="BZ38" i="10"/>
  <c r="BZ16" i="10"/>
  <c r="BY14" i="10"/>
  <c r="BZ68" i="10"/>
  <c r="BZ82" i="10"/>
  <c r="BZ76" i="10"/>
  <c r="BZ87" i="10"/>
  <c r="BZ80" i="10" l="1"/>
  <c r="CM59" i="13" l="1"/>
  <c r="CP223" i="14" l="1"/>
  <c r="CP221" i="14"/>
  <c r="CP219" i="14"/>
  <c r="CR223" i="14"/>
  <c r="CQ223" i="14"/>
  <c r="CR219" i="14"/>
  <c r="CR221" i="14"/>
  <c r="CQ221" i="14"/>
  <c r="CQ219" i="14"/>
  <c r="AW99" i="15" l="1"/>
  <c r="DA85" i="12" l="1"/>
  <c r="DB85" i="12" s="1"/>
  <c r="DC85" i="12" s="1"/>
  <c r="CS122" i="14"/>
  <c r="DB50" i="14"/>
  <c r="DC50" i="14"/>
  <c r="DA50" i="14"/>
  <c r="CU51" i="14"/>
  <c r="CR11" i="14"/>
  <c r="CQ11" i="14"/>
  <c r="CO11" i="14"/>
  <c r="CN11" i="14"/>
  <c r="CM11" i="14"/>
  <c r="CL11" i="14"/>
  <c r="CJ11" i="14"/>
  <c r="CI11" i="14"/>
  <c r="CH11" i="14"/>
  <c r="CG11" i="14"/>
  <c r="CE11" i="14"/>
  <c r="CD11" i="14"/>
  <c r="CC11" i="14"/>
  <c r="CB11" i="14"/>
  <c r="BZ11" i="14"/>
  <c r="BY11" i="14"/>
  <c r="BX11" i="14"/>
  <c r="BW11" i="14"/>
  <c r="CN11" i="13"/>
  <c r="CM11" i="13"/>
  <c r="CK11" i="13"/>
  <c r="CJ11" i="13"/>
  <c r="CI11" i="13"/>
  <c r="CH11" i="13"/>
  <c r="CF11" i="13"/>
  <c r="CE11" i="13"/>
  <c r="CD11" i="13"/>
  <c r="CC11" i="13"/>
  <c r="CA11" i="13"/>
  <c r="BZ11" i="13"/>
  <c r="BY11" i="13"/>
  <c r="BX11" i="13"/>
  <c r="BV11" i="13"/>
  <c r="BU11" i="13"/>
  <c r="BT11" i="13"/>
  <c r="BS11" i="13"/>
  <c r="BZ11" i="12"/>
  <c r="BY11" i="12"/>
  <c r="BX11" i="12"/>
  <c r="BW11" i="12"/>
  <c r="CE11" i="12"/>
  <c r="CD11" i="12"/>
  <c r="CC11" i="12"/>
  <c r="CB11" i="12"/>
  <c r="CJ11" i="12"/>
  <c r="CI11" i="12"/>
  <c r="CH11" i="12"/>
  <c r="CG11" i="12"/>
  <c r="CO11" i="12"/>
  <c r="CN11" i="12"/>
  <c r="CM11" i="12"/>
  <c r="CL11" i="12"/>
  <c r="CQ11" i="12"/>
  <c r="CR11" i="12"/>
  <c r="BC99" i="15" l="1"/>
  <c r="BL23" i="6"/>
  <c r="BL31" i="6" s="1"/>
  <c r="BL24" i="6"/>
  <c r="BL25" i="6"/>
  <c r="BL26" i="6"/>
  <c r="BL27" i="6"/>
  <c r="BL28" i="6"/>
  <c r="BL29" i="6"/>
  <c r="BL36" i="6"/>
  <c r="BL37" i="6"/>
  <c r="BL39" i="6"/>
  <c r="CN79" i="8"/>
  <c r="CW165" i="14"/>
  <c r="CX165" i="14" s="1"/>
  <c r="CT16" i="13"/>
  <c r="DA53" i="12"/>
  <c r="J39" i="11"/>
  <c r="CU86" i="12"/>
  <c r="AW100" i="15"/>
  <c r="CN181" i="11"/>
  <c r="AT34" i="15"/>
  <c r="AS34" i="15"/>
  <c r="CU92" i="14"/>
  <c r="CN124" i="13"/>
  <c r="CN123" i="13"/>
  <c r="CR144" i="14"/>
  <c r="CR123" i="14"/>
  <c r="CR165" i="14"/>
  <c r="CC43" i="10"/>
  <c r="CR159" i="14"/>
  <c r="CA84" i="9"/>
  <c r="CA86" i="9" s="1"/>
  <c r="CA109" i="9" s="1"/>
  <c r="CA88" i="9"/>
  <c r="CA90" i="9"/>
  <c r="CA91" i="9"/>
  <c r="CA99" i="9" s="1"/>
  <c r="CA92" i="9"/>
  <c r="CA93" i="9"/>
  <c r="CA96" i="9" s="1"/>
  <c r="CA94" i="9"/>
  <c r="CA95" i="9"/>
  <c r="CA104" i="9"/>
  <c r="CA105" i="9"/>
  <c r="CA107" i="9"/>
  <c r="CA112" i="9"/>
  <c r="CA114" i="9"/>
  <c r="CA134" i="9"/>
  <c r="CA113" i="9" s="1"/>
  <c r="CA135" i="9"/>
  <c r="CA136" i="9"/>
  <c r="CA118" i="9" s="1"/>
  <c r="CA52" i="9"/>
  <c r="CA47" i="9"/>
  <c r="BX47" i="9"/>
  <c r="CA34" i="9"/>
  <c r="CA27" i="9"/>
  <c r="CQ162" i="14"/>
  <c r="BZ26" i="9"/>
  <c r="BZ106" i="10"/>
  <c r="BZ107" i="10"/>
  <c r="BZ117" i="10"/>
  <c r="BZ92" i="10"/>
  <c r="BZ93" i="10" s="1"/>
  <c r="BZ83" i="10"/>
  <c r="CA83" i="10" s="1"/>
  <c r="CB83" i="10" s="1"/>
  <c r="BZ59" i="10"/>
  <c r="BZ63" i="10"/>
  <c r="BZ64" i="10"/>
  <c r="BZ65" i="10" s="1"/>
  <c r="BZ35" i="10"/>
  <c r="BZ14" i="10"/>
  <c r="CN145" i="11"/>
  <c r="CN150" i="11"/>
  <c r="CN151" i="11"/>
  <c r="CN152" i="11"/>
  <c r="CN132" i="11"/>
  <c r="CN133" i="11"/>
  <c r="CN146" i="11" s="1"/>
  <c r="CN138" i="11"/>
  <c r="CN92" i="11"/>
  <c r="CN94" i="11"/>
  <c r="CN95" i="11"/>
  <c r="CN97" i="11"/>
  <c r="CN98" i="11"/>
  <c r="CN106" i="11"/>
  <c r="CN107" i="11"/>
  <c r="CN110" i="11"/>
  <c r="CN112" i="11"/>
  <c r="CN78" i="11"/>
  <c r="CN79" i="11"/>
  <c r="CN93" i="11" s="1"/>
  <c r="CN82" i="11"/>
  <c r="CN83" i="11"/>
  <c r="CN56" i="11"/>
  <c r="CN61" i="11"/>
  <c r="CN66" i="11"/>
  <c r="CN67" i="11"/>
  <c r="CN71" i="11"/>
  <c r="CN35" i="11"/>
  <c r="CN38" i="11"/>
  <c r="CN41" i="11"/>
  <c r="CN44" i="11"/>
  <c r="CN45" i="11"/>
  <c r="CN57" i="11" s="1"/>
  <c r="CN50" i="11"/>
  <c r="CN12" i="11"/>
  <c r="CN13" i="11"/>
  <c r="CN16" i="11"/>
  <c r="CN96" i="11" s="1"/>
  <c r="CN18" i="11"/>
  <c r="CN98" i="8"/>
  <c r="AT15" i="15"/>
  <c r="AT13" i="15"/>
  <c r="CR15" i="14"/>
  <c r="BL38" i="6" s="1"/>
  <c r="CR13" i="14"/>
  <c r="CN13" i="13"/>
  <c r="CR13" i="12"/>
  <c r="CR29" i="14"/>
  <c r="CR30" i="14" s="1"/>
  <c r="CN29" i="13"/>
  <c r="CN30" i="13" s="1"/>
  <c r="CN31" i="13"/>
  <c r="CR29" i="12"/>
  <c r="CR30" i="12"/>
  <c r="CR31" i="12"/>
  <c r="AT36" i="15"/>
  <c r="AT37" i="15"/>
  <c r="AT38" i="15"/>
  <c r="AT39" i="15"/>
  <c r="CR36" i="14"/>
  <c r="CR36" i="12"/>
  <c r="CR37" i="12"/>
  <c r="CR38" i="12"/>
  <c r="CA115" i="9" l="1"/>
  <c r="CN86" i="11"/>
  <c r="CN117" i="11"/>
  <c r="CN136" i="11"/>
  <c r="CN149" i="11" s="1"/>
  <c r="CN22" i="11"/>
  <c r="CA117" i="9"/>
  <c r="CA85" i="9"/>
  <c r="CA87" i="9"/>
  <c r="BZ53" i="10"/>
  <c r="CR31" i="14"/>
  <c r="CN39" i="11" l="1"/>
  <c r="CS39" i="11" s="1"/>
  <c r="CN36" i="11"/>
  <c r="CN100" i="11"/>
  <c r="CN182" i="11" l="1"/>
  <c r="CL85" i="9"/>
  <c r="CK85" i="9"/>
  <c r="CJ85" i="9"/>
  <c r="CH85" i="9"/>
  <c r="BY83" i="10" l="1"/>
  <c r="BW83" i="10"/>
  <c r="BV83" i="10"/>
  <c r="BU83" i="10"/>
  <c r="BT83" i="10"/>
  <c r="BU38" i="10"/>
  <c r="BW38" i="10" s="1"/>
  <c r="BV84" i="10"/>
  <c r="BY84" i="10"/>
  <c r="BY82" i="10"/>
  <c r="BY78" i="10"/>
  <c r="BW78" i="10"/>
  <c r="BU78" i="10"/>
  <c r="BV76" i="10"/>
  <c r="BV87" i="10"/>
  <c r="BV78" i="10"/>
  <c r="BX77" i="10"/>
  <c r="BY87" i="10"/>
  <c r="BW87" i="10"/>
  <c r="BY68" i="10"/>
  <c r="BW68" i="10"/>
  <c r="BW67" i="10"/>
  <c r="BP20" i="6"/>
  <c r="BQ20" i="6" s="1"/>
  <c r="BR20" i="6" s="1"/>
  <c r="BS20" i="6" s="1"/>
  <c r="BP19" i="6"/>
  <c r="BQ19" i="6" s="1"/>
  <c r="BR19" i="6" s="1"/>
  <c r="BS19" i="6" s="1"/>
  <c r="BP18" i="6"/>
  <c r="BQ18" i="6" s="1"/>
  <c r="BR18" i="6" s="1"/>
  <c r="BS18" i="6" s="1"/>
  <c r="BP17" i="6"/>
  <c r="BQ17" i="6" s="1"/>
  <c r="BR17" i="6" s="1"/>
  <c r="BS17" i="6" s="1"/>
  <c r="BP16" i="6"/>
  <c r="BQ16" i="6" s="1"/>
  <c r="BR16" i="6" s="1"/>
  <c r="BS16" i="6" s="1"/>
  <c r="BP15" i="6"/>
  <c r="BQ15" i="6" s="1"/>
  <c r="BR15" i="6" s="1"/>
  <c r="BS15" i="6" s="1"/>
  <c r="BP14" i="6"/>
  <c r="BQ14" i="6" s="1"/>
  <c r="BR14" i="6" s="1"/>
  <c r="BS14" i="6" s="1"/>
  <c r="CH86" i="9" l="1"/>
  <c r="CF86" i="9"/>
  <c r="CG86" i="9" s="1"/>
  <c r="CE86" i="9"/>
  <c r="CF85" i="9"/>
  <c r="CE85" i="9"/>
  <c r="AR101" i="15"/>
  <c r="AR102" i="15"/>
  <c r="AR103" i="15"/>
  <c r="BD99" i="15"/>
  <c r="BE99" i="15"/>
  <c r="CV106" i="14"/>
  <c r="CW106" i="14" s="1"/>
  <c r="CX106" i="14" s="1"/>
  <c r="CY106" i="14" s="1"/>
  <c r="DA203" i="14"/>
  <c r="DB203" i="14" s="1"/>
  <c r="DC203" i="14" s="1"/>
  <c r="DA89" i="12" l="1"/>
  <c r="BD190" i="7" l="1"/>
  <c r="BC190" i="7"/>
  <c r="BB190" i="7"/>
  <c r="BA190" i="7"/>
  <c r="BD184" i="7"/>
  <c r="BC184" i="7"/>
  <c r="BB184" i="7"/>
  <c r="BA184" i="7"/>
  <c r="BD183" i="7"/>
  <c r="BC183" i="7"/>
  <c r="BB183" i="7"/>
  <c r="BA183" i="7"/>
  <c r="BD182" i="7"/>
  <c r="BC182" i="7"/>
  <c r="BB182" i="7"/>
  <c r="BA182" i="7"/>
  <c r="BD126" i="7"/>
  <c r="BC126" i="7"/>
  <c r="BB126" i="7"/>
  <c r="BA126" i="7"/>
  <c r="BD125" i="7"/>
  <c r="BC125" i="7"/>
  <c r="BB125" i="7"/>
  <c r="BA125" i="7"/>
  <c r="BD98" i="7"/>
  <c r="BC98" i="7"/>
  <c r="BB98" i="7"/>
  <c r="BA98" i="7"/>
  <c r="BD82" i="7"/>
  <c r="BC82" i="7"/>
  <c r="BB82" i="7"/>
  <c r="BA82" i="7"/>
  <c r="BD67" i="7"/>
  <c r="BC67" i="7"/>
  <c r="BB67" i="7"/>
  <c r="BA67" i="7"/>
  <c r="BD64" i="7"/>
  <c r="BC64" i="7"/>
  <c r="BB64" i="7"/>
  <c r="BA64" i="7"/>
  <c r="BD63" i="7"/>
  <c r="BC63" i="7"/>
  <c r="BB63" i="7"/>
  <c r="BA63" i="7"/>
  <c r="BD59" i="7"/>
  <c r="BD132" i="7" s="1"/>
  <c r="BD166" i="7" s="1"/>
  <c r="BC59" i="7"/>
  <c r="BC132" i="7" s="1"/>
  <c r="BC166" i="7" s="1"/>
  <c r="BB59" i="7"/>
  <c r="BB132" i="7" s="1"/>
  <c r="BB166" i="7" s="1"/>
  <c r="BA59" i="7"/>
  <c r="BA132" i="7" s="1"/>
  <c r="BA166" i="7" s="1"/>
  <c r="BD43" i="7"/>
  <c r="BC43" i="7"/>
  <c r="BB43" i="7"/>
  <c r="BA43" i="7"/>
  <c r="BD8" i="7"/>
  <c r="BC8" i="7"/>
  <c r="BB8" i="7"/>
  <c r="BA8" i="7"/>
  <c r="BF8" i="7"/>
  <c r="BF59" i="7"/>
  <c r="BF132" i="7" s="1"/>
  <c r="BF166" i="7" s="1"/>
  <c r="BF63" i="7"/>
  <c r="BF64" i="7"/>
  <c r="BF67" i="7"/>
  <c r="BF82" i="7"/>
  <c r="BF98" i="7"/>
  <c r="BF125" i="7"/>
  <c r="BF126" i="7"/>
  <c r="BF182" i="7"/>
  <c r="BF183" i="7"/>
  <c r="BF184" i="7"/>
  <c r="BF190" i="7"/>
  <c r="CV36" i="12" l="1"/>
  <c r="DB53" i="12"/>
  <c r="DC53" i="12" s="1"/>
  <c r="CQ159" i="14" l="1"/>
  <c r="CQ128" i="11"/>
  <c r="CU174" i="14"/>
  <c r="CR106" i="14"/>
  <c r="DC204" i="14"/>
  <c r="CQ144" i="14"/>
  <c r="CQ123" i="14"/>
  <c r="CQ67" i="14"/>
  <c r="CQ121" i="13"/>
  <c r="CM39" i="13"/>
  <c r="CM120" i="13"/>
  <c r="BK39" i="6"/>
  <c r="BK36" i="6"/>
  <c r="BI36" i="6"/>
  <c r="BI39" i="6"/>
  <c r="BK29" i="6"/>
  <c r="BK28" i="6"/>
  <c r="BK27" i="6"/>
  <c r="BK26" i="6"/>
  <c r="BK25" i="6"/>
  <c r="BK24" i="6"/>
  <c r="BK23" i="6"/>
  <c r="BI23" i="6"/>
  <c r="BI24" i="6"/>
  <c r="BI25" i="6"/>
  <c r="BI26" i="6"/>
  <c r="BI27" i="6"/>
  <c r="BI28" i="6"/>
  <c r="BI29" i="6"/>
  <c r="CM166" i="11"/>
  <c r="BY107" i="10" s="1"/>
  <c r="CK88" i="11"/>
  <c r="CM88" i="11"/>
  <c r="CM138" i="11"/>
  <c r="CM132" i="11"/>
  <c r="CM83" i="11"/>
  <c r="CM82" i="11"/>
  <c r="CM79" i="11"/>
  <c r="CM78" i="11"/>
  <c r="CM75" i="11"/>
  <c r="CM71" i="11"/>
  <c r="CM66" i="11"/>
  <c r="CM61" i="11"/>
  <c r="CM56" i="11"/>
  <c r="CM50" i="11"/>
  <c r="CM44" i="11"/>
  <c r="CM41" i="11"/>
  <c r="CM38" i="11"/>
  <c r="CM35" i="11"/>
  <c r="BY112" i="10"/>
  <c r="BY92" i="10"/>
  <c r="BY93" i="10" s="1"/>
  <c r="BY88" i="10"/>
  <c r="BY64" i="10"/>
  <c r="BY54" i="10" s="1"/>
  <c r="BY63" i="10"/>
  <c r="BY65" i="10" s="1"/>
  <c r="BY60" i="10"/>
  <c r="BY59" i="10"/>
  <c r="BY61" i="10" s="1"/>
  <c r="BY53" i="10"/>
  <c r="BY55" i="10" s="1"/>
  <c r="BY35" i="10"/>
  <c r="BZ135" i="9"/>
  <c r="BZ114" i="9"/>
  <c r="BZ112" i="9"/>
  <c r="BZ107" i="9"/>
  <c r="BZ105" i="9"/>
  <c r="BZ104" i="9"/>
  <c r="BZ95" i="9"/>
  <c r="BZ94" i="9"/>
  <c r="BZ93" i="9"/>
  <c r="BZ92" i="9"/>
  <c r="BZ96" i="9" s="1"/>
  <c r="BZ91" i="9"/>
  <c r="BZ90" i="9"/>
  <c r="BZ99" i="9" s="1"/>
  <c r="BZ52" i="9"/>
  <c r="BZ47" i="9"/>
  <c r="CO162" i="14"/>
  <c r="BX26" i="9"/>
  <c r="CM79" i="8"/>
  <c r="CM98" i="8"/>
  <c r="AV27" i="15"/>
  <c r="AS15" i="15"/>
  <c r="AS13" i="15"/>
  <c r="CQ15" i="14"/>
  <c r="CQ69" i="14" s="1"/>
  <c r="CQ13" i="14"/>
  <c r="CM13" i="13"/>
  <c r="CQ38" i="12"/>
  <c r="CQ37" i="12"/>
  <c r="CQ36" i="12"/>
  <c r="CQ13" i="12"/>
  <c r="AS39" i="15"/>
  <c r="AS37" i="15"/>
  <c r="AS36" i="15"/>
  <c r="CQ29" i="14"/>
  <c r="CM136" i="11" s="1"/>
  <c r="CQ29" i="12"/>
  <c r="CS106" i="14" l="1"/>
  <c r="CT106" i="14"/>
  <c r="BK38" i="6"/>
  <c r="CM86" i="11"/>
  <c r="BK31" i="6"/>
  <c r="BI31" i="6"/>
  <c r="BY48" i="10"/>
  <c r="AW27" i="15"/>
  <c r="BY57" i="10" l="1"/>
  <c r="CD86" i="10"/>
  <c r="CE86" i="10" s="1"/>
  <c r="CF86" i="10" s="1"/>
  <c r="CG86" i="10" s="1"/>
  <c r="CI135" i="9"/>
  <c r="CI58" i="9"/>
  <c r="CI55" i="9"/>
  <c r="CI46" i="9"/>
  <c r="CI38" i="9"/>
  <c r="CI95" i="9" s="1"/>
  <c r="CI34" i="9"/>
  <c r="CI17" i="9"/>
  <c r="CI14" i="9"/>
  <c r="CV115" i="11"/>
  <c r="CS41" i="11"/>
  <c r="CR41" i="11"/>
  <c r="CT124" i="13" l="1"/>
  <c r="DC166" i="14" l="1"/>
  <c r="DA10" i="14" l="1"/>
  <c r="DB10" i="14"/>
  <c r="DC10" i="14"/>
  <c r="CX13" i="8"/>
  <c r="CY13" i="8"/>
  <c r="CX14" i="8"/>
  <c r="CY14" i="8"/>
  <c r="CX16" i="8"/>
  <c r="CY16" i="8"/>
  <c r="CX18" i="8"/>
  <c r="CY18" i="8"/>
  <c r="CX19" i="8"/>
  <c r="CY19" i="8"/>
  <c r="CS37" i="8"/>
  <c r="BB21" i="7" s="1"/>
  <c r="CR37" i="8"/>
  <c r="BA21" i="7" s="1"/>
  <c r="CU19" i="8"/>
  <c r="CT19" i="8"/>
  <c r="CS19" i="8"/>
  <c r="CR19" i="8"/>
  <c r="CK10" i="9"/>
  <c r="CL10" i="9"/>
  <c r="CK95" i="9"/>
  <c r="CL95" i="9"/>
  <c r="CE109" i="9"/>
  <c r="CH95" i="9"/>
  <c r="CG95" i="9"/>
  <c r="CF95" i="9"/>
  <c r="CE95" i="9"/>
  <c r="CH109" i="9"/>
  <c r="CE58" i="9"/>
  <c r="CF58" i="9" s="1"/>
  <c r="CG58" i="9" s="1"/>
  <c r="CH58" i="9" s="1"/>
  <c r="CF34" i="9"/>
  <c r="CG34" i="9" s="1"/>
  <c r="CE34" i="9"/>
  <c r="CF17" i="9"/>
  <c r="CG17" i="9" s="1"/>
  <c r="CE17" i="9"/>
  <c r="CF14" i="9"/>
  <c r="CG14" i="9" s="1"/>
  <c r="CE14" i="9"/>
  <c r="CH10" i="9"/>
  <c r="CG10" i="9"/>
  <c r="CF10" i="9"/>
  <c r="CE10" i="9"/>
  <c r="CJ10" i="10"/>
  <c r="CK10" i="10"/>
  <c r="CJ15" i="10"/>
  <c r="CK15" i="10" s="1"/>
  <c r="CJ17" i="10"/>
  <c r="CK17" i="10"/>
  <c r="CJ35" i="10"/>
  <c r="CK35" i="10"/>
  <c r="CJ40" i="10"/>
  <c r="CK40" i="10"/>
  <c r="CJ78" i="10"/>
  <c r="CK78" i="10"/>
  <c r="CJ114" i="10"/>
  <c r="CK114" i="10"/>
  <c r="CE83" i="10"/>
  <c r="CF83" i="10" s="1"/>
  <c r="CG78" i="10"/>
  <c r="CF78" i="10"/>
  <c r="CE78" i="10"/>
  <c r="CD78" i="10"/>
  <c r="CE68" i="10"/>
  <c r="CF68" i="10" s="1"/>
  <c r="CG68" i="10" s="1"/>
  <c r="CG40" i="10"/>
  <c r="CF40" i="10"/>
  <c r="CE40" i="10"/>
  <c r="CD40" i="10"/>
  <c r="CG35" i="10"/>
  <c r="CF35" i="10"/>
  <c r="CE35" i="10"/>
  <c r="CD35" i="10"/>
  <c r="CE34" i="10"/>
  <c r="CF34" i="10" s="1"/>
  <c r="CG34" i="10" s="1"/>
  <c r="CG17" i="10"/>
  <c r="CF17" i="10"/>
  <c r="CE17" i="10"/>
  <c r="CD17" i="10"/>
  <c r="CG10" i="10"/>
  <c r="CF10" i="10"/>
  <c r="CE10" i="10"/>
  <c r="CD10" i="10"/>
  <c r="CR208" i="11"/>
  <c r="CR165" i="11"/>
  <c r="CS165" i="11" s="1"/>
  <c r="CT165" i="11" s="1"/>
  <c r="CU165" i="11" s="1"/>
  <c r="CU152" i="11"/>
  <c r="CT152" i="11"/>
  <c r="CS152" i="11"/>
  <c r="CR152" i="11"/>
  <c r="CU150" i="11"/>
  <c r="CT150" i="11"/>
  <c r="CS150" i="11"/>
  <c r="CR150" i="11"/>
  <c r="CU125" i="11"/>
  <c r="CT125" i="11"/>
  <c r="CS125" i="11"/>
  <c r="CR125" i="11"/>
  <c r="CU123" i="11"/>
  <c r="CT123" i="11"/>
  <c r="CS123" i="11"/>
  <c r="CR123" i="11"/>
  <c r="CU120" i="11"/>
  <c r="CT120" i="11"/>
  <c r="CS120" i="11"/>
  <c r="CR120" i="11"/>
  <c r="CU119" i="11"/>
  <c r="CU130" i="11" s="1"/>
  <c r="CU44" i="8" s="1"/>
  <c r="CT119" i="11"/>
  <c r="CT130" i="11" s="1"/>
  <c r="CT44" i="8" s="1"/>
  <c r="CS119" i="11"/>
  <c r="CS130" i="11" s="1"/>
  <c r="CS44" i="8" s="1"/>
  <c r="CR119" i="11"/>
  <c r="CR130" i="11" s="1"/>
  <c r="CR44" i="8" s="1"/>
  <c r="CT112" i="11"/>
  <c r="CS112" i="11"/>
  <c r="CR112" i="11"/>
  <c r="CU98" i="11"/>
  <c r="CT98" i="11"/>
  <c r="CS98" i="11"/>
  <c r="CR98" i="11"/>
  <c r="CU95" i="11"/>
  <c r="CT95" i="11"/>
  <c r="CS95" i="11"/>
  <c r="CR95" i="11"/>
  <c r="CU94" i="11"/>
  <c r="CT94" i="11"/>
  <c r="CS94" i="11"/>
  <c r="CR94" i="11"/>
  <c r="CT71" i="11"/>
  <c r="CS71" i="11"/>
  <c r="CR71" i="11"/>
  <c r="CU10" i="11"/>
  <c r="CT10" i="11"/>
  <c r="CS10" i="11"/>
  <c r="CR10" i="11"/>
  <c r="CX10" i="11"/>
  <c r="CY10" i="11"/>
  <c r="CX84" i="11"/>
  <c r="CX98" i="11" s="1"/>
  <c r="CY84" i="11"/>
  <c r="CX94" i="11"/>
  <c r="CY94" i="11"/>
  <c r="CX95" i="11"/>
  <c r="CY95" i="11"/>
  <c r="CY98" i="11"/>
  <c r="CX119" i="11"/>
  <c r="CY119" i="11"/>
  <c r="CX120" i="11"/>
  <c r="CY120" i="11"/>
  <c r="CX123" i="11"/>
  <c r="CY123" i="11"/>
  <c r="CX125" i="11"/>
  <c r="CY125" i="11"/>
  <c r="CX150" i="11"/>
  <c r="CY150" i="11"/>
  <c r="CX152" i="11"/>
  <c r="CY152" i="11"/>
  <c r="DB10" i="12"/>
  <c r="DB43" i="12" s="1"/>
  <c r="DC10" i="12"/>
  <c r="DC43" i="12" s="1"/>
  <c r="DB41" i="12"/>
  <c r="DB67" i="12"/>
  <c r="DC67" i="12"/>
  <c r="DB88" i="12"/>
  <c r="CV14" i="12"/>
  <c r="CW14" i="12" s="1"/>
  <c r="CY10" i="12"/>
  <c r="CX10" i="12"/>
  <c r="CW10" i="12"/>
  <c r="CV10" i="12"/>
  <c r="CX10" i="13"/>
  <c r="CY10" i="13"/>
  <c r="CR179" i="13"/>
  <c r="CR122" i="13"/>
  <c r="CS122" i="13" s="1"/>
  <c r="CT122" i="13" s="1"/>
  <c r="CU122" i="13" s="1"/>
  <c r="CR120" i="13"/>
  <c r="CS120" i="13" s="1"/>
  <c r="CT120" i="13" s="1"/>
  <c r="CU120" i="13" s="1"/>
  <c r="CR119" i="13"/>
  <c r="CS119" i="13" s="1"/>
  <c r="CT119" i="13" s="1"/>
  <c r="CU10" i="13"/>
  <c r="CT10" i="13"/>
  <c r="CS10" i="13"/>
  <c r="CR10" i="13"/>
  <c r="CY165" i="14"/>
  <c r="CV105" i="14"/>
  <c r="CW105" i="14" s="1"/>
  <c r="CX105" i="14" s="1"/>
  <c r="CY105" i="14" s="1"/>
  <c r="CV98" i="14"/>
  <c r="CW98" i="14" s="1"/>
  <c r="CX98" i="14" s="1"/>
  <c r="CY98" i="14" s="1"/>
  <c r="CV97" i="14"/>
  <c r="CY10" i="14"/>
  <c r="CX10" i="14"/>
  <c r="CW10" i="14"/>
  <c r="CV10" i="14"/>
  <c r="DB92" i="14"/>
  <c r="DC92" i="14"/>
  <c r="DB193" i="14"/>
  <c r="DC146" i="14"/>
  <c r="DB180" i="14"/>
  <c r="DC177" i="14"/>
  <c r="DB178" i="14"/>
  <c r="DC178" i="14"/>
  <c r="DC179" i="14"/>
  <c r="DC180" i="14"/>
  <c r="DB181" i="14"/>
  <c r="DC181" i="14"/>
  <c r="BD10" i="15"/>
  <c r="BE10" i="15"/>
  <c r="BD74" i="15"/>
  <c r="BE74" i="15"/>
  <c r="BD107" i="15"/>
  <c r="BE107" i="15" s="1"/>
  <c r="AX26" i="15"/>
  <c r="AY26" i="15" s="1"/>
  <c r="BA10" i="15"/>
  <c r="AZ10" i="15"/>
  <c r="AY10" i="15"/>
  <c r="AX10" i="15"/>
  <c r="BS49" i="6"/>
  <c r="BS2" i="6" s="1"/>
  <c r="BR49" i="6"/>
  <c r="BQ49" i="6"/>
  <c r="BQ2" i="6" s="1"/>
  <c r="BP49" i="6"/>
  <c r="BP2" i="6" s="1"/>
  <c r="BQ66" i="6"/>
  <c r="BQ67" i="6" s="1"/>
  <c r="BP66" i="6"/>
  <c r="BP67" i="6" s="1"/>
  <c r="BQ63" i="6"/>
  <c r="BQ64" i="6" s="1"/>
  <c r="BP63" i="6"/>
  <c r="BP64" i="6" s="1"/>
  <c r="BS29" i="6"/>
  <c r="BR29" i="6"/>
  <c r="BQ29" i="6"/>
  <c r="BP29" i="6"/>
  <c r="BS28" i="6"/>
  <c r="BR28" i="6"/>
  <c r="BQ28" i="6"/>
  <c r="BP28" i="6"/>
  <c r="BS27" i="6"/>
  <c r="BR27" i="6"/>
  <c r="BQ27" i="6"/>
  <c r="BP27" i="6"/>
  <c r="BS26" i="6"/>
  <c r="BR26" i="6"/>
  <c r="BQ26" i="6"/>
  <c r="BP26" i="6"/>
  <c r="BS25" i="6"/>
  <c r="BR25" i="6"/>
  <c r="BQ25" i="6"/>
  <c r="BP25" i="6"/>
  <c r="BS24" i="6"/>
  <c r="BR24" i="6"/>
  <c r="BQ24" i="6"/>
  <c r="BP24" i="6"/>
  <c r="BS23" i="6"/>
  <c r="BR23" i="6"/>
  <c r="BR31" i="6" s="1"/>
  <c r="BQ23" i="6"/>
  <c r="BP23" i="6"/>
  <c r="BR2" i="6"/>
  <c r="CX130" i="11" l="1"/>
  <c r="CX44" i="8" s="1"/>
  <c r="CY130" i="11"/>
  <c r="CY44" i="8" s="1"/>
  <c r="CF84" i="10"/>
  <c r="CF38" i="10" s="1"/>
  <c r="BC187" i="7" s="1"/>
  <c r="CG83" i="10"/>
  <c r="DB166" i="14"/>
  <c r="DB146" i="14"/>
  <c r="DC193" i="14"/>
  <c r="BS31" i="6"/>
  <c r="DB179" i="14"/>
  <c r="BQ31" i="6"/>
  <c r="BP31" i="6"/>
  <c r="CR123" i="13"/>
  <c r="DC176" i="14"/>
  <c r="CH17" i="9"/>
  <c r="CG109" i="9"/>
  <c r="CH14" i="9"/>
  <c r="CF109" i="9"/>
  <c r="CR213" i="11"/>
  <c r="CT41" i="11"/>
  <c r="CR209" i="11"/>
  <c r="DC88" i="12"/>
  <c r="DC41" i="12"/>
  <c r="CX14" i="12"/>
  <c r="CT123" i="13"/>
  <c r="CU119" i="13"/>
  <c r="CS123" i="13"/>
  <c r="CW97" i="14"/>
  <c r="CX97" i="14" s="1"/>
  <c r="AZ26" i="15"/>
  <c r="BR66" i="6"/>
  <c r="AU125" i="9"/>
  <c r="AZ125" i="9"/>
  <c r="BE125" i="9"/>
  <c r="BJ125" i="9"/>
  <c r="BO125" i="9"/>
  <c r="AF124" i="9"/>
  <c r="AP124" i="9"/>
  <c r="AU124" i="9"/>
  <c r="AZ124" i="9"/>
  <c r="BE124" i="9"/>
  <c r="BJ124" i="9"/>
  <c r="BO124" i="9"/>
  <c r="CT37" i="8" l="1"/>
  <c r="BC21" i="7" s="1"/>
  <c r="CU41" i="11"/>
  <c r="CU37" i="8" s="1"/>
  <c r="BD21" i="7" s="1"/>
  <c r="CY97" i="14"/>
  <c r="BS66" i="6"/>
  <c r="BR67" i="6"/>
  <c r="BR63" i="6"/>
  <c r="BR64" i="6" s="1"/>
  <c r="DI144" i="14"/>
  <c r="DH144" i="14"/>
  <c r="DI145" i="14" s="1"/>
  <c r="DE128" i="14"/>
  <c r="DE132" i="14" s="1"/>
  <c r="DE134" i="14" s="1"/>
  <c r="DM132" i="14"/>
  <c r="DI49" i="14"/>
  <c r="DK133" i="14"/>
  <c r="CV41" i="11" l="1"/>
  <c r="BS67" i="6"/>
  <c r="BS63" i="6"/>
  <c r="BS64" i="6" s="1"/>
  <c r="CP41" i="12"/>
  <c r="CM26" i="12"/>
  <c r="CN26" i="12"/>
  <c r="CO26" i="12"/>
  <c r="CL26" i="12"/>
  <c r="CC33" i="10" l="1"/>
  <c r="CC34" i="10"/>
  <c r="CC32" i="10"/>
  <c r="DA88" i="12" l="1"/>
  <c r="CZ88" i="12"/>
  <c r="DA86" i="12"/>
  <c r="DB86" i="12" s="1"/>
  <c r="CM179" i="13"/>
  <c r="CV173" i="13"/>
  <c r="CV171" i="13"/>
  <c r="CW171" i="13" s="1"/>
  <c r="CV172" i="13"/>
  <c r="CW172" i="13" s="1"/>
  <c r="CX172" i="13" s="1"/>
  <c r="CY172" i="13" s="1"/>
  <c r="CV170" i="13"/>
  <c r="CW170" i="13" s="1"/>
  <c r="CX170" i="13" s="1"/>
  <c r="CQ173" i="13"/>
  <c r="CQ165" i="13" s="1"/>
  <c r="CL173" i="13"/>
  <c r="CG173" i="13"/>
  <c r="CB173" i="13"/>
  <c r="BW173" i="13"/>
  <c r="CL167" i="13"/>
  <c r="CG167" i="13"/>
  <c r="CL166" i="13"/>
  <c r="CG166" i="13"/>
  <c r="CB166" i="13"/>
  <c r="CB167" i="13" s="1"/>
  <c r="CY170" i="13" l="1"/>
  <c r="CV165" i="13"/>
  <c r="CW173" i="13"/>
  <c r="CW165" i="13" s="1"/>
  <c r="CX171" i="13"/>
  <c r="CY171" i="13" s="1"/>
  <c r="DC86" i="12"/>
  <c r="BX28" i="10"/>
  <c r="BS28" i="10"/>
  <c r="CY173" i="13" l="1"/>
  <c r="CX173" i="13"/>
  <c r="CX165" i="13" s="1"/>
  <c r="DD80" i="11"/>
  <c r="DD81" i="11"/>
  <c r="CY165" i="13" l="1"/>
  <c r="CP12" i="12"/>
  <c r="AR71" i="15" l="1"/>
  <c r="CP125" i="14"/>
  <c r="BW112" i="10" l="1"/>
  <c r="BY17" i="10"/>
  <c r="BY40" i="10"/>
  <c r="BZ17" i="10"/>
  <c r="CA17" i="10"/>
  <c r="CB17" i="10"/>
  <c r="CC17" i="10"/>
  <c r="CK35" i="11" l="1"/>
  <c r="CK38" i="11"/>
  <c r="CL75" i="8"/>
  <c r="CL73" i="8"/>
  <c r="CL98" i="8"/>
  <c r="CK98" i="8"/>
  <c r="BX113" i="10"/>
  <c r="BX43" i="10"/>
  <c r="BX42" i="10"/>
  <c r="BX41" i="10"/>
  <c r="BX39" i="10"/>
  <c r="BX33" i="10"/>
  <c r="BX32" i="10"/>
  <c r="BX23" i="10"/>
  <c r="BX18" i="10"/>
  <c r="BX16" i="10"/>
  <c r="BX15" i="10"/>
  <c r="CC15" i="10" s="1"/>
  <c r="BW59" i="10"/>
  <c r="BW60" i="10" l="1"/>
  <c r="BX94" i="9"/>
  <c r="CN162" i="14"/>
  <c r="CO159" i="14"/>
  <c r="BW25" i="9"/>
  <c r="BW26" i="9"/>
  <c r="CK79" i="8"/>
  <c r="BW92" i="10"/>
  <c r="BW88" i="10"/>
  <c r="CK75" i="11"/>
  <c r="CP27" i="12"/>
  <c r="CL27" i="13"/>
  <c r="AQ13" i="15"/>
  <c r="AQ15" i="15" s="1"/>
  <c r="CO13" i="14"/>
  <c r="CO15" i="14" s="1"/>
  <c r="CK13" i="13"/>
  <c r="CK15" i="13" s="1"/>
  <c r="BI37" i="6" s="1"/>
  <c r="BX52" i="9"/>
  <c r="BI38" i="6" l="1"/>
  <c r="CG67" i="14" l="1"/>
  <c r="CJ67" i="14"/>
  <c r="CI67" i="14"/>
  <c r="CH67" i="14"/>
  <c r="CV187" i="11" l="1"/>
  <c r="CW187" i="11" s="1"/>
  <c r="CX187" i="11" s="1"/>
  <c r="CY187" i="11" s="1"/>
  <c r="BT76" i="10"/>
  <c r="AR60" i="15"/>
  <c r="CU97" i="14"/>
  <c r="BH23" i="6"/>
  <c r="BH24" i="6"/>
  <c r="BH31" i="6" s="1"/>
  <c r="BH25" i="6"/>
  <c r="BH26" i="6"/>
  <c r="BH27" i="6"/>
  <c r="BH28" i="6"/>
  <c r="BH29" i="6"/>
  <c r="BH37" i="6"/>
  <c r="CN96" i="14"/>
  <c r="CP51" i="14"/>
  <c r="CM162" i="14"/>
  <c r="CN159" i="14"/>
  <c r="CO121" i="14"/>
  <c r="CH118" i="13"/>
  <c r="CL119" i="13"/>
  <c r="CI125" i="13"/>
  <c r="CJ125" i="13"/>
  <c r="CK125" i="13"/>
  <c r="CH125" i="13"/>
  <c r="CJ34" i="12"/>
  <c r="AP13" i="15"/>
  <c r="AP15" i="15" s="1"/>
  <c r="CN14" i="14"/>
  <c r="CN13" i="14"/>
  <c r="CJ13" i="13"/>
  <c r="CJ15" i="13" s="1"/>
  <c r="CN13" i="12"/>
  <c r="CJ166" i="11"/>
  <c r="BV107" i="10" s="1"/>
  <c r="CJ88" i="11"/>
  <c r="CJ125" i="11"/>
  <c r="CJ78" i="11"/>
  <c r="CJ79" i="11"/>
  <c r="CJ82" i="11"/>
  <c r="CJ83" i="11"/>
  <c r="CJ66" i="11"/>
  <c r="CJ35" i="11"/>
  <c r="CJ38" i="11"/>
  <c r="CJ41" i="11"/>
  <c r="BV112" i="10"/>
  <c r="BV88" i="10"/>
  <c r="BV92" i="10"/>
  <c r="BV93" i="10" s="1"/>
  <c r="BV59" i="10"/>
  <c r="BV60" i="10"/>
  <c r="BV35" i="10"/>
  <c r="BV19" i="10"/>
  <c r="BX19" i="10" s="1"/>
  <c r="BV13" i="10"/>
  <c r="CJ75" i="11" s="1"/>
  <c r="BW135" i="9"/>
  <c r="BW90" i="9"/>
  <c r="BW91" i="9"/>
  <c r="BW99" i="9" s="1"/>
  <c r="BW92" i="9"/>
  <c r="BW93" i="9"/>
  <c r="BW96" i="9" s="1"/>
  <c r="BW94" i="9"/>
  <c r="BW95" i="9"/>
  <c r="BW52" i="9"/>
  <c r="BV25" i="9"/>
  <c r="BV26" i="9"/>
  <c r="CJ79" i="8"/>
  <c r="CJ98" i="8"/>
  <c r="CJ120" i="11"/>
  <c r="CP33" i="14"/>
  <c r="AP29" i="15"/>
  <c r="CJ138" i="11" s="1"/>
  <c r="CJ29" i="13"/>
  <c r="CJ133" i="11" s="1"/>
  <c r="AR33" i="15"/>
  <c r="CN36" i="14"/>
  <c r="CN36" i="12"/>
  <c r="CN37" i="12"/>
  <c r="CN38" i="12"/>
  <c r="BV61" i="10" l="1"/>
  <c r="CJ86" i="11"/>
  <c r="CR67" i="14" l="1"/>
  <c r="CR69" i="14" l="1"/>
  <c r="CS67" i="14"/>
  <c r="CT67" i="14" l="1"/>
  <c r="CV68" i="14"/>
  <c r="CU68" i="14"/>
  <c r="CO105" i="14"/>
  <c r="CL129" i="11"/>
  <c r="CM165" i="14"/>
  <c r="CN165" i="14" s="1"/>
  <c r="CT69" i="14" l="1"/>
  <c r="CW68" i="14"/>
  <c r="CV67" i="14"/>
  <c r="CM35" i="14"/>
  <c r="CR107" i="14" l="1"/>
  <c r="CR38" i="14"/>
  <c r="CR37" i="14"/>
  <c r="CX68" i="14"/>
  <c r="CW67" i="14"/>
  <c r="BK37" i="15"/>
  <c r="CX67" i="14" l="1"/>
  <c r="CY68" i="14"/>
  <c r="CY67" i="14" s="1"/>
  <c r="BK38" i="15"/>
  <c r="DE40" i="13"/>
  <c r="DE37" i="13"/>
  <c r="DI39" i="12"/>
  <c r="DI37" i="12"/>
  <c r="CM76" i="10" l="1"/>
  <c r="CM77" i="10"/>
  <c r="DC85" i="11"/>
  <c r="CQ26" i="12"/>
  <c r="CR26" i="12" s="1"/>
  <c r="CS26" i="12" s="1"/>
  <c r="CT26" i="12" s="1"/>
  <c r="CO14" i="12"/>
  <c r="CN14" i="12"/>
  <c r="CM42" i="12" l="1"/>
  <c r="CJ169" i="14" l="1"/>
  <c r="CC77" i="10" l="1"/>
  <c r="CM55" i="14"/>
  <c r="CP165" i="14" l="1"/>
  <c r="CP166" i="14" s="1"/>
  <c r="CM103" i="14"/>
  <c r="CM98" i="14" s="1"/>
  <c r="CL162" i="14"/>
  <c r="DD40" i="13"/>
  <c r="CH120" i="13"/>
  <c r="CI120" i="13" s="1"/>
  <c r="CJ120" i="13" s="1"/>
  <c r="CI118" i="13"/>
  <c r="CJ118" i="13" s="1"/>
  <c r="CK120" i="13" l="1"/>
  <c r="BG23" i="6"/>
  <c r="BG24" i="6"/>
  <c r="BG25" i="6"/>
  <c r="BG26" i="6"/>
  <c r="BG27" i="6"/>
  <c r="BG28" i="6"/>
  <c r="BG29" i="6"/>
  <c r="BG31" i="6"/>
  <c r="CM159" i="14"/>
  <c r="CL33" i="13"/>
  <c r="CI88" i="11"/>
  <c r="CI120" i="11"/>
  <c r="CI166" i="11"/>
  <c r="CI35" i="13"/>
  <c r="CI66" i="11"/>
  <c r="CI35" i="11"/>
  <c r="CI38" i="11"/>
  <c r="CI41" i="11"/>
  <c r="BU112" i="10"/>
  <c r="BV106" i="10" s="1"/>
  <c r="BU92" i="10"/>
  <c r="BU93" i="10" s="1"/>
  <c r="BU84" i="10"/>
  <c r="BU88" i="10"/>
  <c r="BU60" i="10"/>
  <c r="BU59" i="10"/>
  <c r="BU35" i="10"/>
  <c r="BU13" i="10"/>
  <c r="CI75" i="11" s="1"/>
  <c r="BV90" i="9"/>
  <c r="BV91" i="9"/>
  <c r="BV96" i="9" s="1"/>
  <c r="BV92" i="9"/>
  <c r="BV93" i="9"/>
  <c r="BV94" i="9"/>
  <c r="BV95" i="9"/>
  <c r="BV135" i="9"/>
  <c r="BV52" i="9"/>
  <c r="BU25" i="9"/>
  <c r="BU26" i="9"/>
  <c r="BU61" i="10" l="1"/>
  <c r="BU68" i="10"/>
  <c r="BV99" i="9"/>
  <c r="CI79" i="8" l="1"/>
  <c r="CI98" i="8"/>
  <c r="CI20" i="8"/>
  <c r="CM13" i="14"/>
  <c r="CM15" i="14" s="1"/>
  <c r="AO35" i="15"/>
  <c r="CI13" i="13"/>
  <c r="CI36" i="13"/>
  <c r="CM13" i="12"/>
  <c r="CM35" i="12"/>
  <c r="CM36" i="12" s="1"/>
  <c r="BG38" i="6" l="1"/>
  <c r="CM36" i="14"/>
  <c r="CM37" i="12"/>
  <c r="CM38" i="12"/>
  <c r="AV39" i="6" l="1"/>
  <c r="AV38" i="6"/>
  <c r="AW38" i="6"/>
  <c r="AV37" i="6"/>
  <c r="AW37" i="6"/>
  <c r="AY37" i="6"/>
  <c r="AV36" i="6"/>
  <c r="BF31" i="6"/>
  <c r="BD31" i="6"/>
  <c r="BC31" i="6"/>
  <c r="BB31" i="6"/>
  <c r="BA31" i="6"/>
  <c r="AY31" i="6"/>
  <c r="AX31" i="6"/>
  <c r="AW31" i="6"/>
  <c r="AV31" i="6"/>
  <c r="BF29" i="6"/>
  <c r="BD29" i="6"/>
  <c r="BC29" i="6"/>
  <c r="BB29" i="6"/>
  <c r="BA29" i="6"/>
  <c r="AY29" i="6"/>
  <c r="AX29" i="6"/>
  <c r="AW29" i="6"/>
  <c r="AV29" i="6"/>
  <c r="BF28" i="6"/>
  <c r="BD28" i="6"/>
  <c r="BC28" i="6"/>
  <c r="BB28" i="6"/>
  <c r="BA28" i="6"/>
  <c r="AY28" i="6"/>
  <c r="AX28" i="6"/>
  <c r="AW28" i="6"/>
  <c r="AV28" i="6"/>
  <c r="BF27" i="6"/>
  <c r="BD27" i="6"/>
  <c r="BC27" i="6"/>
  <c r="BB27" i="6"/>
  <c r="BA27" i="6"/>
  <c r="AY27" i="6"/>
  <c r="AX27" i="6"/>
  <c r="AW27" i="6"/>
  <c r="AV27" i="6"/>
  <c r="BF26" i="6"/>
  <c r="BD26" i="6"/>
  <c r="BC26" i="6"/>
  <c r="BB26" i="6"/>
  <c r="BA26" i="6"/>
  <c r="AY26" i="6"/>
  <c r="AX26" i="6"/>
  <c r="AW26" i="6"/>
  <c r="AV26" i="6"/>
  <c r="BF25" i="6"/>
  <c r="BD25" i="6"/>
  <c r="BC25" i="6"/>
  <c r="BB25" i="6"/>
  <c r="BA25" i="6"/>
  <c r="AY25" i="6"/>
  <c r="AX25" i="6"/>
  <c r="AW25" i="6"/>
  <c r="AV25" i="6"/>
  <c r="BF24" i="6"/>
  <c r="BD24" i="6"/>
  <c r="BC24" i="6"/>
  <c r="BB24" i="6"/>
  <c r="BA24" i="6"/>
  <c r="AY24" i="6"/>
  <c r="AX24" i="6"/>
  <c r="AW24" i="6"/>
  <c r="AV24" i="6"/>
  <c r="BF23" i="6"/>
  <c r="BD23" i="6"/>
  <c r="BC23" i="6"/>
  <c r="BB23" i="6"/>
  <c r="BA23" i="6"/>
  <c r="AY23" i="6"/>
  <c r="AX23" i="6"/>
  <c r="AW23" i="6"/>
  <c r="AV23" i="6"/>
  <c r="BN29" i="6"/>
  <c r="BN27" i="6"/>
  <c r="BN26" i="6"/>
  <c r="BN25" i="6"/>
  <c r="BN23" i="6"/>
  <c r="BH63" i="6" l="1"/>
  <c r="BI63" i="6" s="1"/>
  <c r="BN28" i="6" l="1"/>
  <c r="BN24" i="6" l="1"/>
  <c r="BN31" i="6" s="1"/>
  <c r="AR129" i="15" l="1"/>
  <c r="AR128" i="15"/>
  <c r="AW128" i="15"/>
  <c r="AC120" i="15"/>
  <c r="BB107" i="15"/>
  <c r="AR93" i="15"/>
  <c r="AM93" i="15"/>
  <c r="AH88" i="15"/>
  <c r="AH89" i="15" s="1"/>
  <c r="AE81" i="15"/>
  <c r="AF81" i="15" s="1"/>
  <c r="AG81" i="15" s="1"/>
  <c r="AB81" i="15"/>
  <c r="W80" i="15"/>
  <c r="BC74" i="15"/>
  <c r="BB74" i="15"/>
  <c r="AW74" i="15"/>
  <c r="AR74" i="15"/>
  <c r="AM74" i="15"/>
  <c r="AH74" i="15"/>
  <c r="AC74" i="15"/>
  <c r="X74" i="15"/>
  <c r="S74" i="15"/>
  <c r="N74" i="15"/>
  <c r="M74" i="15"/>
  <c r="L74" i="15"/>
  <c r="K74" i="15"/>
  <c r="J74" i="15"/>
  <c r="AM71" i="15"/>
  <c r="AH71" i="15"/>
  <c r="X70" i="15"/>
  <c r="X71" i="15" s="1"/>
  <c r="S71" i="15"/>
  <c r="N71" i="15"/>
  <c r="M71" i="15"/>
  <c r="L71" i="15"/>
  <c r="K71" i="15"/>
  <c r="J71" i="15"/>
  <c r="AM60" i="15"/>
  <c r="T58" i="15"/>
  <c r="N58" i="15"/>
  <c r="M58" i="15"/>
  <c r="L58" i="15"/>
  <c r="Z57" i="15"/>
  <c r="AA57" i="15" s="1"/>
  <c r="Y57" i="15"/>
  <c r="AC116" i="15" s="1"/>
  <c r="W57" i="15"/>
  <c r="U57" i="15"/>
  <c r="U58" i="15" s="1"/>
  <c r="S57" i="15"/>
  <c r="S58" i="15" s="1"/>
  <c r="M55" i="15"/>
  <c r="L55" i="15"/>
  <c r="K55" i="15"/>
  <c r="L54" i="15"/>
  <c r="K54" i="15"/>
  <c r="L53" i="15"/>
  <c r="K53" i="15"/>
  <c r="L49" i="15"/>
  <c r="K49" i="15"/>
  <c r="J49" i="15"/>
  <c r="N48" i="15"/>
  <c r="N55" i="15" s="1"/>
  <c r="N47" i="15"/>
  <c r="N46" i="15"/>
  <c r="S47" i="15"/>
  <c r="S46" i="15"/>
  <c r="S49" i="15" s="1"/>
  <c r="M47" i="15"/>
  <c r="M54" i="15" s="1"/>
  <c r="M46" i="15"/>
  <c r="AF44" i="15"/>
  <c r="N42" i="15"/>
  <c r="BI41" i="15"/>
  <c r="BH41" i="15"/>
  <c r="AI41" i="15"/>
  <c r="AJ41" i="15" s="1"/>
  <c r="AG41" i="15"/>
  <c r="AG42" i="15" s="1"/>
  <c r="AF41" i="15"/>
  <c r="AF42" i="15" s="1"/>
  <c r="AE41" i="15"/>
  <c r="AE42" i="15" s="1"/>
  <c r="AD41" i="15"/>
  <c r="AD42" i="15" s="1"/>
  <c r="Y41" i="15"/>
  <c r="Y42" i="15" s="1"/>
  <c r="W41" i="15"/>
  <c r="W42" i="15" s="1"/>
  <c r="V41" i="15"/>
  <c r="V42" i="15" s="1"/>
  <c r="U41" i="15"/>
  <c r="U42" i="15" s="1"/>
  <c r="T41" i="15"/>
  <c r="T42" i="15" s="1"/>
  <c r="R41" i="15"/>
  <c r="R42" i="15" s="1"/>
  <c r="Q41" i="15"/>
  <c r="Q42" i="15" s="1"/>
  <c r="P41" i="15"/>
  <c r="P42" i="15" s="1"/>
  <c r="O41" i="15"/>
  <c r="O42" i="15" s="1"/>
  <c r="BJ40" i="15"/>
  <c r="BJ38" i="15"/>
  <c r="AM33" i="15"/>
  <c r="AN35" i="15"/>
  <c r="AL35" i="15"/>
  <c r="AL36" i="15" s="1"/>
  <c r="AK35" i="15"/>
  <c r="AJ35" i="15"/>
  <c r="AO39" i="15" s="1"/>
  <c r="AI35" i="15"/>
  <c r="AG35" i="15"/>
  <c r="AF35" i="15"/>
  <c r="AF36" i="15" s="1"/>
  <c r="AE35" i="15"/>
  <c r="AD35" i="15"/>
  <c r="AD36" i="15" s="1"/>
  <c r="AB35" i="15"/>
  <c r="AB36" i="15" s="1"/>
  <c r="AA35" i="15"/>
  <c r="Z35" i="15"/>
  <c r="Z36" i="15" s="1"/>
  <c r="Y35" i="15"/>
  <c r="W35" i="15"/>
  <c r="V35" i="15"/>
  <c r="U35" i="15"/>
  <c r="U36" i="15" s="1"/>
  <c r="T35" i="15"/>
  <c r="T36" i="15" s="1"/>
  <c r="R35" i="15"/>
  <c r="R36" i="15" s="1"/>
  <c r="Q35" i="15"/>
  <c r="Q36" i="15" s="1"/>
  <c r="P35" i="15"/>
  <c r="P36" i="15" s="1"/>
  <c r="O35" i="15"/>
  <c r="O36" i="15" s="1"/>
  <c r="N35" i="15"/>
  <c r="N36" i="15" s="1"/>
  <c r="AH33" i="15"/>
  <c r="AC33" i="15"/>
  <c r="X33" i="15"/>
  <c r="S33" i="15"/>
  <c r="AN31" i="15"/>
  <c r="AL31" i="15"/>
  <c r="AK31" i="15"/>
  <c r="AJ31" i="15"/>
  <c r="AI31" i="15"/>
  <c r="AG31" i="15"/>
  <c r="AF31" i="15"/>
  <c r="AE31" i="15"/>
  <c r="AD31" i="15"/>
  <c r="AB31" i="15"/>
  <c r="AA31" i="15"/>
  <c r="Z31" i="15"/>
  <c r="Y31" i="15"/>
  <c r="W31" i="15"/>
  <c r="V31" i="15"/>
  <c r="U31" i="15"/>
  <c r="T31" i="15"/>
  <c r="AN30" i="15"/>
  <c r="AL30" i="15"/>
  <c r="AK30" i="15"/>
  <c r="AJ30" i="15"/>
  <c r="AI30" i="15"/>
  <c r="AG30" i="15"/>
  <c r="AF30" i="15"/>
  <c r="AE30" i="15"/>
  <c r="AD30" i="15"/>
  <c r="AB30" i="15"/>
  <c r="AA30" i="15"/>
  <c r="Z30" i="15"/>
  <c r="Y30" i="15"/>
  <c r="W30" i="15"/>
  <c r="V30" i="15"/>
  <c r="U30" i="15"/>
  <c r="T30" i="15"/>
  <c r="R30" i="15"/>
  <c r="Q30" i="15"/>
  <c r="P30" i="15"/>
  <c r="O30" i="15"/>
  <c r="N30" i="15"/>
  <c r="AM27" i="15"/>
  <c r="AH27" i="15"/>
  <c r="AC27" i="15"/>
  <c r="X27" i="15"/>
  <c r="S27" i="15"/>
  <c r="AS26" i="15"/>
  <c r="AT26" i="15" s="1"/>
  <c r="AU26" i="15" s="1"/>
  <c r="AI26" i="15"/>
  <c r="AJ26" i="15" s="1"/>
  <c r="AG26" i="15"/>
  <c r="AF26" i="15"/>
  <c r="AE26" i="15"/>
  <c r="AD26" i="15"/>
  <c r="AD22" i="15" s="1"/>
  <c r="Y26" i="15"/>
  <c r="Y22" i="15" s="1"/>
  <c r="Q26" i="15"/>
  <c r="P26" i="15"/>
  <c r="P22" i="15" s="1"/>
  <c r="O26" i="15"/>
  <c r="O22" i="15" s="1"/>
  <c r="O23" i="15" s="1"/>
  <c r="AI22" i="15"/>
  <c r="AI18" i="15" s="1"/>
  <c r="AG22" i="15"/>
  <c r="AF22" i="15"/>
  <c r="AE22" i="15"/>
  <c r="V22" i="15"/>
  <c r="P23" i="15"/>
  <c r="Q22" i="15"/>
  <c r="N22" i="15"/>
  <c r="S20" i="15"/>
  <c r="R20" i="15"/>
  <c r="Q20" i="15"/>
  <c r="P20" i="15"/>
  <c r="O20" i="15"/>
  <c r="AG18" i="15"/>
  <c r="AE18" i="15"/>
  <c r="V18" i="15"/>
  <c r="P18" i="15"/>
  <c r="AM12" i="15"/>
  <c r="AR14" i="15" s="1"/>
  <c r="AH12" i="15"/>
  <c r="AC12" i="15"/>
  <c r="AL14" i="15"/>
  <c r="AL13" i="15"/>
  <c r="S14" i="15"/>
  <c r="R14" i="15"/>
  <c r="Q14" i="15"/>
  <c r="P14" i="15"/>
  <c r="O14" i="15"/>
  <c r="AN13" i="15"/>
  <c r="AN15" i="15" s="1"/>
  <c r="BF39" i="6" s="1"/>
  <c r="AK13" i="15"/>
  <c r="AK15" i="15" s="1"/>
  <c r="AJ13" i="15"/>
  <c r="AJ15" i="15" s="1"/>
  <c r="AI13" i="15"/>
  <c r="AI15" i="15" s="1"/>
  <c r="BA39" i="6" s="1"/>
  <c r="AG13" i="15"/>
  <c r="AG15" i="15" s="1"/>
  <c r="AF13" i="15"/>
  <c r="AF15" i="15" s="1"/>
  <c r="AE13" i="15"/>
  <c r="AE15" i="15" s="1"/>
  <c r="AD13" i="15"/>
  <c r="AB13" i="15"/>
  <c r="AB16" i="15" s="1"/>
  <c r="AA13" i="15"/>
  <c r="AA16" i="15" s="1"/>
  <c r="Z13" i="15"/>
  <c r="Z16" i="15" s="1"/>
  <c r="Y13" i="15"/>
  <c r="Y16" i="15" s="1"/>
  <c r="W13" i="15"/>
  <c r="W16" i="15" s="1"/>
  <c r="V13" i="15"/>
  <c r="V14" i="15" s="1"/>
  <c r="V57" i="15" s="1"/>
  <c r="U13" i="15"/>
  <c r="U14" i="15" s="1"/>
  <c r="T13" i="15"/>
  <c r="T14" i="15" s="1"/>
  <c r="X12" i="15"/>
  <c r="AC14" i="15" s="1"/>
  <c r="S12" i="15"/>
  <c r="S42" i="15" s="1"/>
  <c r="BC10" i="15"/>
  <c r="BB10" i="15"/>
  <c r="AW10" i="15"/>
  <c r="AV10" i="15"/>
  <c r="AU10" i="15"/>
  <c r="AT10" i="15"/>
  <c r="AS10" i="15"/>
  <c r="AR10" i="15"/>
  <c r="AQ10" i="15"/>
  <c r="AP10" i="15"/>
  <c r="AO10" i="15"/>
  <c r="AN10" i="15"/>
  <c r="AM10" i="15"/>
  <c r="AL10" i="15"/>
  <c r="AK10" i="15"/>
  <c r="AJ10" i="15"/>
  <c r="AI10" i="15"/>
  <c r="B4" i="15"/>
  <c r="B3" i="15"/>
  <c r="B340" i="14"/>
  <c r="B339" i="14"/>
  <c r="CP208" i="14"/>
  <c r="CU208" i="14" s="1"/>
  <c r="CZ208" i="14" s="1"/>
  <c r="DA208" i="14" s="1"/>
  <c r="DB208" i="14" s="1"/>
  <c r="DC208" i="14" s="1"/>
  <c r="CP207" i="14"/>
  <c r="CK209" i="14"/>
  <c r="CK214" i="14" s="1"/>
  <c r="CK216" i="14" s="1"/>
  <c r="CF209" i="14"/>
  <c r="CZ207" i="14"/>
  <c r="DA207" i="14" s="1"/>
  <c r="CU207" i="14"/>
  <c r="CU204" i="14"/>
  <c r="CP204" i="14"/>
  <c r="CP201" i="14"/>
  <c r="CP200" i="14"/>
  <c r="CP199" i="14"/>
  <c r="CZ202" i="14"/>
  <c r="CZ204" i="14" s="1"/>
  <c r="DA204" i="14" s="1"/>
  <c r="CU202" i="14"/>
  <c r="CK202" i="14"/>
  <c r="CK204" i="14" s="1"/>
  <c r="CP195" i="14"/>
  <c r="CL195" i="14"/>
  <c r="CL186" i="14"/>
  <c r="CM186" i="14" s="1"/>
  <c r="CN186" i="14" s="1"/>
  <c r="CO186" i="14" s="1"/>
  <c r="CG186" i="14"/>
  <c r="CF186" i="14"/>
  <c r="CA186" i="14"/>
  <c r="CA185" i="14"/>
  <c r="CA184" i="14" s="1"/>
  <c r="BV186" i="14"/>
  <c r="BV185" i="14"/>
  <c r="CF185" i="14"/>
  <c r="CF184" i="14" s="1"/>
  <c r="CK177" i="14"/>
  <c r="CK176" i="14" s="1"/>
  <c r="CK94" i="14" s="1"/>
  <c r="DA166" i="14"/>
  <c r="CT165" i="14"/>
  <c r="CJ162" i="14"/>
  <c r="CI162" i="14"/>
  <c r="CJ158" i="14" s="1"/>
  <c r="CH162" i="14"/>
  <c r="CG162" i="14"/>
  <c r="CH158" i="14" s="1"/>
  <c r="CD162" i="14"/>
  <c r="CC162" i="14"/>
  <c r="CB162" i="14"/>
  <c r="CF158" i="14"/>
  <c r="CC160" i="14"/>
  <c r="CF160" i="14" s="1"/>
  <c r="CC159" i="14"/>
  <c r="CC158" i="14"/>
  <c r="CB159" i="14"/>
  <c r="CB148" i="14" s="1"/>
  <c r="CA159" i="14"/>
  <c r="CA148" i="14" s="1"/>
  <c r="CL159" i="14"/>
  <c r="CJ159" i="14"/>
  <c r="CI159" i="14"/>
  <c r="CH159" i="14"/>
  <c r="CG159" i="14"/>
  <c r="CI158" i="14"/>
  <c r="CE159" i="14"/>
  <c r="CD159" i="14"/>
  <c r="CE158" i="14"/>
  <c r="CB158" i="14"/>
  <c r="CD155" i="14"/>
  <c r="CE155" i="14" s="1"/>
  <c r="CC155" i="14"/>
  <c r="BX155" i="14"/>
  <c r="CL145" i="14"/>
  <c r="CM145" i="14" s="1"/>
  <c r="CN145" i="14" s="1"/>
  <c r="CO145" i="14" s="1"/>
  <c r="CQ145" i="14"/>
  <c r="CZ193" i="14"/>
  <c r="N138" i="14"/>
  <c r="CD127" i="14"/>
  <c r="CC127" i="14"/>
  <c r="CB127" i="14"/>
  <c r="BZ127" i="14"/>
  <c r="BY127" i="14"/>
  <c r="BX127" i="14"/>
  <c r="BW127" i="14"/>
  <c r="BU127" i="14"/>
  <c r="BT127" i="14"/>
  <c r="BS127" i="14"/>
  <c r="BR127" i="14"/>
  <c r="BP127" i="14"/>
  <c r="BO127" i="14"/>
  <c r="BN127" i="14"/>
  <c r="BM127" i="14"/>
  <c r="BK127" i="14"/>
  <c r="BJ127" i="14"/>
  <c r="BI127" i="14"/>
  <c r="BH127" i="14"/>
  <c r="BF127" i="14"/>
  <c r="BE127" i="14"/>
  <c r="BD127" i="14"/>
  <c r="BC127" i="14"/>
  <c r="BA127" i="14"/>
  <c r="AZ127" i="14"/>
  <c r="AY127" i="14"/>
  <c r="AX127" i="14"/>
  <c r="AV127" i="14"/>
  <c r="AU127" i="14"/>
  <c r="AT127" i="14"/>
  <c r="AS127" i="14"/>
  <c r="AQ127" i="14"/>
  <c r="AP127" i="14"/>
  <c r="AO127" i="14"/>
  <c r="AN127" i="14"/>
  <c r="AL127" i="14"/>
  <c r="AK127" i="14"/>
  <c r="AJ127" i="14"/>
  <c r="AI127" i="14"/>
  <c r="AG127" i="14"/>
  <c r="AF127" i="14"/>
  <c r="AE127" i="14"/>
  <c r="AD127" i="14"/>
  <c r="AB127" i="14"/>
  <c r="AA127" i="14"/>
  <c r="Z127" i="14"/>
  <c r="Y127" i="14"/>
  <c r="V127" i="14"/>
  <c r="U127" i="14"/>
  <c r="T127" i="14"/>
  <c r="Q127" i="14"/>
  <c r="CP126" i="14"/>
  <c r="CQ126" i="14" s="1"/>
  <c r="CR126" i="14" s="1"/>
  <c r="CL126" i="14"/>
  <c r="CM126" i="14" s="1"/>
  <c r="CN126" i="14" s="1"/>
  <c r="CO126" i="14" s="1"/>
  <c r="CA126" i="14"/>
  <c r="CA125" i="14"/>
  <c r="BV126" i="14"/>
  <c r="BV125" i="14"/>
  <c r="BQ126" i="14"/>
  <c r="BQ125" i="14"/>
  <c r="CK125" i="14"/>
  <c r="CF125" i="14"/>
  <c r="BL125" i="14"/>
  <c r="BG125" i="14"/>
  <c r="BB125" i="14"/>
  <c r="AW125" i="14"/>
  <c r="AR125" i="14"/>
  <c r="AM125" i="14"/>
  <c r="AH125" i="14"/>
  <c r="AC125" i="14"/>
  <c r="CP123" i="14"/>
  <c r="CL123" i="14"/>
  <c r="CJ123" i="14"/>
  <c r="CI123" i="14"/>
  <c r="CH123" i="14"/>
  <c r="CG123" i="14"/>
  <c r="CK123" i="14" s="1"/>
  <c r="CO122" i="14"/>
  <c r="CT122" i="14" s="1"/>
  <c r="CU122" i="14" s="1"/>
  <c r="CU56" i="14" s="1"/>
  <c r="CK122" i="14"/>
  <c r="CK121" i="14"/>
  <c r="CK195" i="14" s="1"/>
  <c r="CF122" i="14"/>
  <c r="CF121" i="14"/>
  <c r="CA122" i="14"/>
  <c r="CA121" i="14"/>
  <c r="BV122" i="14"/>
  <c r="BV121" i="14"/>
  <c r="BQ122" i="14"/>
  <c r="BQ121" i="14"/>
  <c r="BQ127" i="14" s="1"/>
  <c r="BL122" i="14"/>
  <c r="BL121" i="14"/>
  <c r="BL127" i="14" s="1"/>
  <c r="BG122" i="14"/>
  <c r="BG121" i="14"/>
  <c r="BB122" i="14"/>
  <c r="BB121" i="14"/>
  <c r="AW122" i="14"/>
  <c r="AW121" i="14"/>
  <c r="AW127" i="14" s="1"/>
  <c r="AR122" i="14"/>
  <c r="AR121" i="14"/>
  <c r="AM122" i="14"/>
  <c r="AM121" i="14"/>
  <c r="AM127" i="14" s="1"/>
  <c r="AH122" i="14"/>
  <c r="AH121" i="14"/>
  <c r="AC122" i="14"/>
  <c r="AC121" i="14"/>
  <c r="AC127" i="14" s="1"/>
  <c r="DE122" i="14"/>
  <c r="DE121" i="14"/>
  <c r="DF121" i="14" s="1"/>
  <c r="DG121" i="14" s="1"/>
  <c r="DH121" i="14" s="1"/>
  <c r="DI120" i="14"/>
  <c r="DI123" i="14" s="1"/>
  <c r="CJ119" i="14"/>
  <c r="CZ112" i="14"/>
  <c r="DA112" i="14" s="1"/>
  <c r="DB112" i="14" s="1"/>
  <c r="DC112" i="14" s="1"/>
  <c r="CZ111" i="14"/>
  <c r="DA111" i="14" s="1"/>
  <c r="DB111" i="14" s="1"/>
  <c r="DC111" i="14" s="1"/>
  <c r="CQ105" i="14"/>
  <c r="CK102" i="14"/>
  <c r="CP97" i="14"/>
  <c r="CK97" i="14"/>
  <c r="DA92" i="14"/>
  <c r="CZ92" i="14"/>
  <c r="CQ92" i="14"/>
  <c r="CR92" i="14" s="1"/>
  <c r="CG87" i="14"/>
  <c r="CF82" i="14"/>
  <c r="CG82" i="14" s="1"/>
  <c r="BV78" i="14"/>
  <c r="BV77" i="14"/>
  <c r="BG77" i="14"/>
  <c r="BB78" i="14"/>
  <c r="BB77" i="14"/>
  <c r="AW78" i="14"/>
  <c r="AW77" i="14"/>
  <c r="AR74" i="14"/>
  <c r="AH74" i="14"/>
  <c r="AH72" i="14" s="1"/>
  <c r="CA70" i="14"/>
  <c r="AR70" i="14"/>
  <c r="CP68" i="14"/>
  <c r="CU67" i="14" s="1"/>
  <c r="CK68" i="14"/>
  <c r="CO67" i="14"/>
  <c r="CO69" i="14" s="1"/>
  <c r="CN67" i="14"/>
  <c r="CM67" i="14"/>
  <c r="CM69" i="14" s="1"/>
  <c r="CL67" i="14"/>
  <c r="BV65" i="14"/>
  <c r="BV64" i="14"/>
  <c r="BQ65" i="14"/>
  <c r="BQ64" i="14"/>
  <c r="BL65" i="14"/>
  <c r="BL64" i="14"/>
  <c r="BG65" i="14"/>
  <c r="BG63" i="14"/>
  <c r="BG61" i="14" s="1"/>
  <c r="BV61" i="14"/>
  <c r="BV60" i="14"/>
  <c r="BQ61" i="14"/>
  <c r="BQ62" i="14" s="1"/>
  <c r="BQ60" i="14"/>
  <c r="BL61" i="14"/>
  <c r="BL60" i="14"/>
  <c r="CF61" i="14"/>
  <c r="CK61" i="14" s="1"/>
  <c r="CP61" i="14" s="1"/>
  <c r="CA61" i="14"/>
  <c r="BG60" i="14"/>
  <c r="CN60" i="14"/>
  <c r="CO60" i="14" s="1"/>
  <c r="BB60" i="14"/>
  <c r="CL55" i="14"/>
  <c r="BV55" i="14"/>
  <c r="BQ55" i="14"/>
  <c r="BL55" i="14"/>
  <c r="BG55" i="14"/>
  <c r="BB55" i="14"/>
  <c r="BV51" i="14"/>
  <c r="BG50" i="14"/>
  <c r="BB51" i="14"/>
  <c r="BB50" i="14"/>
  <c r="AW48" i="14"/>
  <c r="BQ47" i="14"/>
  <c r="BQ78" i="14" s="1"/>
  <c r="BQ46" i="14"/>
  <c r="BV50" i="14" s="1"/>
  <c r="BL47" i="14"/>
  <c r="BL78" i="14" s="1"/>
  <c r="BV45" i="14"/>
  <c r="BV48" i="14" s="1"/>
  <c r="BG45" i="14"/>
  <c r="BG47" i="14" s="1"/>
  <c r="BB45" i="14"/>
  <c r="BB48" i="14" s="1"/>
  <c r="AS41" i="14"/>
  <c r="AR41" i="14"/>
  <c r="AN41" i="14"/>
  <c r="CG40" i="14"/>
  <c r="CG41" i="14" s="1"/>
  <c r="CE40" i="14"/>
  <c r="CE41" i="14" s="1"/>
  <c r="CD40" i="14"/>
  <c r="CD41" i="14" s="1"/>
  <c r="CC40" i="14"/>
  <c r="CC41" i="14" s="1"/>
  <c r="CB40" i="14"/>
  <c r="CB41" i="14" s="1"/>
  <c r="BZ40" i="14"/>
  <c r="BZ41" i="14" s="1"/>
  <c r="BY40" i="14"/>
  <c r="BY41" i="14" s="1"/>
  <c r="BX40" i="14"/>
  <c r="BX41" i="14" s="1"/>
  <c r="BW40" i="14"/>
  <c r="BW41" i="14" s="1"/>
  <c r="BU40" i="14"/>
  <c r="BU41" i="14" s="1"/>
  <c r="BT40" i="14"/>
  <c r="BT41" i="14" s="1"/>
  <c r="BS40" i="14"/>
  <c r="BS41" i="14" s="1"/>
  <c r="BR40" i="14"/>
  <c r="BR41" i="14" s="1"/>
  <c r="BP40" i="14"/>
  <c r="BP41" i="14" s="1"/>
  <c r="BO40" i="14"/>
  <c r="BO41" i="14" s="1"/>
  <c r="BN40" i="14"/>
  <c r="BN41" i="14" s="1"/>
  <c r="BM40" i="14"/>
  <c r="BM41" i="14" s="1"/>
  <c r="BJ40" i="14"/>
  <c r="BJ41" i="14" s="1"/>
  <c r="BI40" i="14"/>
  <c r="BI41" i="14" s="1"/>
  <c r="BH40" i="14"/>
  <c r="BH41" i="14" s="1"/>
  <c r="BE40" i="14"/>
  <c r="BE41" i="14" s="1"/>
  <c r="BD40" i="14"/>
  <c r="BD41" i="14" s="1"/>
  <c r="BC40" i="14"/>
  <c r="BC41" i="14" s="1"/>
  <c r="AZ40" i="14"/>
  <c r="AZ41" i="14" s="1"/>
  <c r="AY40" i="14"/>
  <c r="AY41" i="14" s="1"/>
  <c r="AX40" i="14"/>
  <c r="AX41" i="14" s="1"/>
  <c r="AV40" i="14"/>
  <c r="AV41" i="14" s="1"/>
  <c r="AU40" i="14"/>
  <c r="AU41" i="14" s="1"/>
  <c r="AT40" i="14"/>
  <c r="AT41" i="14" s="1"/>
  <c r="AP40" i="14"/>
  <c r="AO40" i="14"/>
  <c r="AO41" i="14" s="1"/>
  <c r="AH38" i="14"/>
  <c r="AG38" i="14"/>
  <c r="AF38" i="14"/>
  <c r="AE38" i="14"/>
  <c r="AD38" i="14"/>
  <c r="AC38" i="14"/>
  <c r="AB38" i="14"/>
  <c r="AA38" i="14"/>
  <c r="Z38" i="14"/>
  <c r="Y38" i="14"/>
  <c r="X38" i="14"/>
  <c r="W38" i="14"/>
  <c r="V38" i="14"/>
  <c r="U38" i="14"/>
  <c r="T38" i="14"/>
  <c r="S38" i="14"/>
  <c r="AL37" i="14"/>
  <c r="AK37" i="14"/>
  <c r="AJ37" i="14"/>
  <c r="AI37" i="14"/>
  <c r="DH36" i="14"/>
  <c r="DH43" i="14" s="1"/>
  <c r="AM36" i="14"/>
  <c r="AM38" i="14" s="1"/>
  <c r="AL36" i="14"/>
  <c r="AL38" i="14" s="1"/>
  <c r="AK36" i="14"/>
  <c r="AK38" i="14" s="1"/>
  <c r="AJ36" i="14"/>
  <c r="AJ38" i="14" s="1"/>
  <c r="AI36" i="14"/>
  <c r="AI38" i="14" s="1"/>
  <c r="CL35" i="14"/>
  <c r="CJ35" i="14"/>
  <c r="CJ36" i="14" s="1"/>
  <c r="CI35" i="14"/>
  <c r="CH35" i="14"/>
  <c r="CG35" i="14"/>
  <c r="CE35" i="14"/>
  <c r="CD35" i="14"/>
  <c r="CD37" i="14" s="1"/>
  <c r="CB35" i="14"/>
  <c r="CB36" i="14" s="1"/>
  <c r="BZ35" i="14"/>
  <c r="BZ36" i="14" s="1"/>
  <c r="BY35" i="14"/>
  <c r="BX35" i="14"/>
  <c r="BX36" i="14" s="1"/>
  <c r="BW35" i="14"/>
  <c r="BU35" i="14"/>
  <c r="BT35" i="14"/>
  <c r="BT36" i="14" s="1"/>
  <c r="BS35" i="14"/>
  <c r="BS36" i="14" s="1"/>
  <c r="BR35" i="14"/>
  <c r="BR36" i="14" s="1"/>
  <c r="BP35" i="14"/>
  <c r="BP36" i="14" s="1"/>
  <c r="BN35" i="14"/>
  <c r="BM35" i="14"/>
  <c r="BK35" i="14"/>
  <c r="BJ35" i="14"/>
  <c r="BI35" i="14"/>
  <c r="BN37" i="14" s="1"/>
  <c r="BH35" i="14"/>
  <c r="BH36" i="14" s="1"/>
  <c r="BF35" i="14"/>
  <c r="BE35" i="14"/>
  <c r="BD35" i="14"/>
  <c r="BD36" i="14" s="1"/>
  <c r="BC35" i="14"/>
  <c r="BH37" i="14" s="1"/>
  <c r="BA35" i="14"/>
  <c r="AZ35" i="14"/>
  <c r="AZ36" i="14" s="1"/>
  <c r="AY35" i="14"/>
  <c r="BD37" i="14" s="1"/>
  <c r="AX35" i="14"/>
  <c r="AV35" i="14"/>
  <c r="AV36" i="14" s="1"/>
  <c r="AU35" i="14"/>
  <c r="AZ37" i="14" s="1"/>
  <c r="AT35" i="14"/>
  <c r="AT36" i="14" s="1"/>
  <c r="AS35" i="14"/>
  <c r="AR35" i="14"/>
  <c r="AR36" i="14" s="1"/>
  <c r="AQ35" i="14"/>
  <c r="AV37" i="14" s="1"/>
  <c r="AP35" i="14"/>
  <c r="AP36" i="14" s="1"/>
  <c r="AP38" i="14" s="1"/>
  <c r="AO35" i="14"/>
  <c r="AN35" i="14"/>
  <c r="AN36" i="14" s="1"/>
  <c r="AN38" i="14" s="1"/>
  <c r="AH35" i="14"/>
  <c r="AM37" i="14" s="1"/>
  <c r="AC35" i="14"/>
  <c r="AB35" i="14"/>
  <c r="X35" i="14"/>
  <c r="W35" i="14"/>
  <c r="T35" i="14"/>
  <c r="Q35" i="14"/>
  <c r="P35" i="14"/>
  <c r="O35" i="14"/>
  <c r="CF33" i="14"/>
  <c r="CK33" i="14"/>
  <c r="CA33" i="14"/>
  <c r="BV33" i="14"/>
  <c r="BQ33" i="14"/>
  <c r="BL33" i="14"/>
  <c r="BG33" i="14"/>
  <c r="BB33" i="14"/>
  <c r="AW33" i="14"/>
  <c r="CL31" i="14"/>
  <c r="CJ31" i="14"/>
  <c r="CI31" i="14"/>
  <c r="CH31" i="14"/>
  <c r="CG31" i="14"/>
  <c r="CE31" i="14"/>
  <c r="CD31" i="14"/>
  <c r="CC31" i="14"/>
  <c r="CB31" i="14"/>
  <c r="BZ31" i="14"/>
  <c r="BY31" i="14"/>
  <c r="BX31" i="14"/>
  <c r="BW31" i="14"/>
  <c r="BU31" i="14"/>
  <c r="BT31" i="14"/>
  <c r="BS31" i="14"/>
  <c r="BR31" i="14"/>
  <c r="BP31" i="14"/>
  <c r="BO31" i="14"/>
  <c r="BN31" i="14"/>
  <c r="BM31" i="14"/>
  <c r="BK31" i="14"/>
  <c r="BJ31" i="14"/>
  <c r="BI31" i="14"/>
  <c r="BH31" i="14"/>
  <c r="BF31" i="14"/>
  <c r="BE31" i="14"/>
  <c r="BD31" i="14"/>
  <c r="BC31" i="14"/>
  <c r="BA31" i="14"/>
  <c r="AZ31" i="14"/>
  <c r="AY31" i="14"/>
  <c r="AX31" i="14"/>
  <c r="AV31" i="14"/>
  <c r="AU31" i="14"/>
  <c r="AT31" i="14"/>
  <c r="AS31" i="14"/>
  <c r="AR31" i="14"/>
  <c r="AQ31" i="14"/>
  <c r="AP31" i="14"/>
  <c r="AO31" i="14"/>
  <c r="AN31" i="14"/>
  <c r="CL30" i="14"/>
  <c r="CJ30" i="14"/>
  <c r="CI30" i="14"/>
  <c r="CH30" i="14"/>
  <c r="CG30" i="14"/>
  <c r="CE30" i="14"/>
  <c r="CD30" i="14"/>
  <c r="CC30" i="14"/>
  <c r="CB30" i="14"/>
  <c r="BZ30" i="14"/>
  <c r="BY30" i="14"/>
  <c r="BX30" i="14"/>
  <c r="BW30" i="14"/>
  <c r="BU30" i="14"/>
  <c r="BT30" i="14"/>
  <c r="BS30" i="14"/>
  <c r="BR30" i="14"/>
  <c r="BP30" i="14"/>
  <c r="BO30" i="14"/>
  <c r="BN30" i="14"/>
  <c r="BM30" i="14"/>
  <c r="BK30" i="14"/>
  <c r="BJ30" i="14"/>
  <c r="BI30" i="14"/>
  <c r="BH30" i="14"/>
  <c r="BF30" i="14"/>
  <c r="BE30" i="14"/>
  <c r="BD30" i="14"/>
  <c r="BC30" i="14"/>
  <c r="BA30" i="14"/>
  <c r="AZ30" i="14"/>
  <c r="AY30" i="14"/>
  <c r="AX30" i="14"/>
  <c r="AV30" i="14"/>
  <c r="AU30" i="14"/>
  <c r="AT30" i="14"/>
  <c r="AS30" i="14"/>
  <c r="AR30" i="14"/>
  <c r="AQ30" i="14"/>
  <c r="AP30" i="14"/>
  <c r="AO30" i="14"/>
  <c r="AN30" i="14"/>
  <c r="BB29" i="14"/>
  <c r="AW29" i="14"/>
  <c r="AH29" i="14"/>
  <c r="CK27" i="14"/>
  <c r="CC27" i="14"/>
  <c r="CF27" i="14" s="1"/>
  <c r="CC26" i="14"/>
  <c r="CA27" i="14"/>
  <c r="BV27" i="14"/>
  <c r="BO27" i="14"/>
  <c r="BO35" i="14" s="1"/>
  <c r="BK82" i="11" s="1"/>
  <c r="T96" i="7" s="1"/>
  <c r="BO26" i="14"/>
  <c r="BL27" i="14"/>
  <c r="BG27" i="14"/>
  <c r="BB27" i="14"/>
  <c r="AW27" i="14"/>
  <c r="Y27" i="14"/>
  <c r="Y22" i="14" s="1"/>
  <c r="U27" i="14"/>
  <c r="U35" i="14" s="1"/>
  <c r="Q82" i="11" s="1"/>
  <c r="Q96" i="11" s="1"/>
  <c r="R27" i="14"/>
  <c r="S27" i="14" s="1"/>
  <c r="CG26" i="14"/>
  <c r="CH26" i="14" s="1"/>
  <c r="CI26" i="14" s="1"/>
  <c r="CD26" i="14"/>
  <c r="CE26" i="14" s="1"/>
  <c r="CE22" i="14" s="1"/>
  <c r="CB26" i="14"/>
  <c r="BZ26" i="14"/>
  <c r="BY26" i="14"/>
  <c r="BX26" i="14"/>
  <c r="BW26" i="14"/>
  <c r="BT26" i="14"/>
  <c r="BS26" i="14"/>
  <c r="BR26" i="14"/>
  <c r="BN26" i="14"/>
  <c r="BN22" i="14" s="1"/>
  <c r="BM26" i="14"/>
  <c r="BM22" i="14" s="1"/>
  <c r="BH26" i="14"/>
  <c r="BI26" i="14" s="1"/>
  <c r="BD26" i="14"/>
  <c r="BE26" i="14" s="1"/>
  <c r="BC26" i="14"/>
  <c r="AX26" i="14"/>
  <c r="AY26" i="14" s="1"/>
  <c r="AZ26" i="14" s="1"/>
  <c r="AU26" i="14"/>
  <c r="AT26" i="14"/>
  <c r="AT22" i="14" s="1"/>
  <c r="AT18" i="14" s="1"/>
  <c r="AS26" i="14"/>
  <c r="AS22" i="14" s="1"/>
  <c r="AP26" i="14"/>
  <c r="AO26" i="14"/>
  <c r="AN26" i="14"/>
  <c r="CH22" i="14"/>
  <c r="CH23" i="14" s="1"/>
  <c r="CG22" i="14"/>
  <c r="CG18" i="14" s="1"/>
  <c r="CB22" i="14"/>
  <c r="BZ22" i="14"/>
  <c r="BZ23" i="14" s="1"/>
  <c r="BY22" i="14"/>
  <c r="BY18" i="14" s="1"/>
  <c r="BX22" i="14"/>
  <c r="BX18" i="14" s="1"/>
  <c r="BW22" i="14"/>
  <c r="BW24" i="14" s="1"/>
  <c r="BT22" i="14"/>
  <c r="BT18" i="14" s="1"/>
  <c r="BS22" i="14"/>
  <c r="BS23" i="14" s="1"/>
  <c r="BR22" i="14"/>
  <c r="BR23" i="14" s="1"/>
  <c r="BO22" i="14"/>
  <c r="BH22" i="14"/>
  <c r="BH18" i="14" s="1"/>
  <c r="BD22" i="14"/>
  <c r="BD18" i="14" s="1"/>
  <c r="BC22" i="14"/>
  <c r="AY22" i="14"/>
  <c r="AU22" i="14"/>
  <c r="AO22" i="14"/>
  <c r="AO18" i="14" s="1"/>
  <c r="AN22" i="14"/>
  <c r="AN18" i="14" s="1"/>
  <c r="AN19" i="14" s="1"/>
  <c r="AL22" i="14"/>
  <c r="AK22" i="14"/>
  <c r="AJ22" i="14"/>
  <c r="AI22" i="14"/>
  <c r="AM22" i="14" s="1"/>
  <c r="AI48" i="11" s="1"/>
  <c r="AI60" i="11" s="1"/>
  <c r="AG22" i="14"/>
  <c r="AF22" i="14"/>
  <c r="AE22" i="14"/>
  <c r="AD22" i="14"/>
  <c r="AB22" i="14"/>
  <c r="W22" i="14"/>
  <c r="U22" i="14"/>
  <c r="T22" i="14"/>
  <c r="Q22" i="14"/>
  <c r="P22" i="14"/>
  <c r="O22" i="14"/>
  <c r="BY19" i="14"/>
  <c r="AO19" i="14"/>
  <c r="CH18" i="14"/>
  <c r="CE18" i="14"/>
  <c r="BZ18" i="14"/>
  <c r="BW18" i="14"/>
  <c r="BW19" i="14" s="1"/>
  <c r="BS18" i="14"/>
  <c r="BS19" i="14" s="1"/>
  <c r="BR18" i="14"/>
  <c r="BO18" i="14"/>
  <c r="BN18" i="14"/>
  <c r="BC18" i="14"/>
  <c r="AY18" i="14"/>
  <c r="AU18" i="14"/>
  <c r="CN17" i="14"/>
  <c r="CM17" i="14"/>
  <c r="CL17" i="14"/>
  <c r="CK14" i="14"/>
  <c r="CK12" i="14"/>
  <c r="CF12" i="14"/>
  <c r="CF13" i="14" s="1"/>
  <c r="CA12" i="14"/>
  <c r="CJ14" i="14"/>
  <c r="CJ13" i="14"/>
  <c r="CJ15" i="14" s="1"/>
  <c r="BD38" i="6" s="1"/>
  <c r="CC13" i="14"/>
  <c r="CC14" i="14" s="1"/>
  <c r="BY13" i="14"/>
  <c r="BY14" i="14" s="1"/>
  <c r="BC13" i="14"/>
  <c r="BC14" i="14" s="1"/>
  <c r="BA14" i="14"/>
  <c r="AZ14" i="14"/>
  <c r="AY14" i="14"/>
  <c r="AX14" i="14"/>
  <c r="AO14" i="14"/>
  <c r="AN14" i="14"/>
  <c r="CL13" i="14"/>
  <c r="CL15" i="14" s="1"/>
  <c r="CL69" i="14" s="1"/>
  <c r="CI13" i="14"/>
  <c r="CI15" i="14" s="1"/>
  <c r="BC38" i="6" s="1"/>
  <c r="CH13" i="14"/>
  <c r="CH15" i="14" s="1"/>
  <c r="CG13" i="14"/>
  <c r="CG15" i="14" s="1"/>
  <c r="CE13" i="14"/>
  <c r="CE15" i="14" s="1"/>
  <c r="AY38" i="6" s="1"/>
  <c r="CD13" i="14"/>
  <c r="CD15" i="14" s="1"/>
  <c r="AX38" i="6" s="1"/>
  <c r="CB13" i="14"/>
  <c r="BZ13" i="14"/>
  <c r="BZ16" i="14" s="1"/>
  <c r="BX13" i="14"/>
  <c r="BX16" i="14" s="1"/>
  <c r="BW13" i="14"/>
  <c r="BW16" i="14" s="1"/>
  <c r="BU13" i="14"/>
  <c r="BU16" i="14" s="1"/>
  <c r="BT13" i="14"/>
  <c r="BT14" i="14" s="1"/>
  <c r="BS13" i="14"/>
  <c r="BS14" i="14" s="1"/>
  <c r="BR13" i="14"/>
  <c r="BR14" i="14" s="1"/>
  <c r="BP13" i="14"/>
  <c r="BP14" i="14" s="1"/>
  <c r="BO13" i="14"/>
  <c r="BO14" i="14" s="1"/>
  <c r="BN13" i="14"/>
  <c r="BN14" i="14" s="1"/>
  <c r="BM13" i="14"/>
  <c r="BM14" i="14" s="1"/>
  <c r="BK13" i="14"/>
  <c r="BK14" i="14" s="1"/>
  <c r="BJ13" i="14"/>
  <c r="BJ14" i="14" s="1"/>
  <c r="BI13" i="14"/>
  <c r="BI16" i="14" s="1"/>
  <c r="BH13" i="14"/>
  <c r="BH16" i="14" s="1"/>
  <c r="BF13" i="14"/>
  <c r="BF15" i="14" s="1"/>
  <c r="Z72" i="6" s="1"/>
  <c r="BE13" i="14"/>
  <c r="BE16" i="14" s="1"/>
  <c r="BD13" i="14"/>
  <c r="BD16" i="14" s="1"/>
  <c r="BA13" i="14"/>
  <c r="BA16" i="14" s="1"/>
  <c r="AZ13" i="14"/>
  <c r="AZ16" i="14" s="1"/>
  <c r="AY13" i="14"/>
  <c r="AY16" i="14" s="1"/>
  <c r="AX13" i="14"/>
  <c r="AX16" i="14" s="1"/>
  <c r="AV13" i="14"/>
  <c r="AV16" i="14" s="1"/>
  <c r="AU13" i="14"/>
  <c r="AU16" i="14" s="1"/>
  <c r="AT13" i="14"/>
  <c r="AT16" i="14" s="1"/>
  <c r="AS13" i="14"/>
  <c r="AS16" i="14" s="1"/>
  <c r="AR13" i="14"/>
  <c r="AR15" i="14" s="1"/>
  <c r="AQ13" i="14"/>
  <c r="AQ16" i="14" s="1"/>
  <c r="AP13" i="14"/>
  <c r="AP16" i="14" s="1"/>
  <c r="AO13" i="14"/>
  <c r="AO16" i="14" s="1"/>
  <c r="AN13" i="14"/>
  <c r="AN16" i="14" s="1"/>
  <c r="BV12" i="14"/>
  <c r="BV13" i="14" s="1"/>
  <c r="BV16" i="14" s="1"/>
  <c r="BQ12" i="14"/>
  <c r="BL12" i="14"/>
  <c r="BQ13" i="14" s="1"/>
  <c r="BQ14" i="14" s="1"/>
  <c r="BG12" i="14"/>
  <c r="BB12" i="14"/>
  <c r="BB13" i="14" s="1"/>
  <c r="BB16" i="14" s="1"/>
  <c r="AW12" i="14"/>
  <c r="AW13" i="14" s="1"/>
  <c r="AW16" i="14" s="1"/>
  <c r="CZ10" i="14"/>
  <c r="CU10" i="14"/>
  <c r="CT10" i="14"/>
  <c r="CS10" i="14"/>
  <c r="CR10" i="14"/>
  <c r="CQ10" i="14"/>
  <c r="CP10" i="14"/>
  <c r="CO10" i="14"/>
  <c r="CN10" i="14"/>
  <c r="CM10" i="14"/>
  <c r="CL10" i="14"/>
  <c r="CK10" i="14"/>
  <c r="CJ10" i="14"/>
  <c r="CI10" i="14"/>
  <c r="CH10" i="14"/>
  <c r="CG10" i="14"/>
  <c r="B4" i="14"/>
  <c r="B3" i="14"/>
  <c r="CB143" i="13"/>
  <c r="CB129" i="13"/>
  <c r="CB134" i="13" s="1"/>
  <c r="CD126" i="13"/>
  <c r="CE126" i="13" s="1"/>
  <c r="CF126" i="13" s="1"/>
  <c r="CG122" i="13"/>
  <c r="CG120" i="13"/>
  <c r="CL122" i="13"/>
  <c r="CK119" i="13"/>
  <c r="CK118" i="13"/>
  <c r="BQ105" i="13"/>
  <c r="BP105" i="13"/>
  <c r="BO105" i="13"/>
  <c r="BR105" i="13" s="1"/>
  <c r="BM105" i="13"/>
  <c r="BD105" i="13"/>
  <c r="BR100" i="13"/>
  <c r="BH100" i="13"/>
  <c r="BR93" i="13"/>
  <c r="BN93" i="13"/>
  <c r="BC93" i="13"/>
  <c r="D81" i="13"/>
  <c r="D80" i="13"/>
  <c r="D79" i="13"/>
  <c r="D78" i="13"/>
  <c r="BL76" i="13"/>
  <c r="BK76" i="13"/>
  <c r="BJ76" i="13"/>
  <c r="BI76" i="13"/>
  <c r="BH76" i="13"/>
  <c r="BG76" i="13"/>
  <c r="BF76" i="13"/>
  <c r="BE76" i="13"/>
  <c r="BD76" i="13"/>
  <c r="BC76" i="13"/>
  <c r="BB76" i="13"/>
  <c r="BA76" i="13"/>
  <c r="AZ76" i="13"/>
  <c r="AY76" i="13"/>
  <c r="AX76" i="13"/>
  <c r="AW76" i="13"/>
  <c r="AV76" i="13"/>
  <c r="AU76" i="13"/>
  <c r="AT76" i="13"/>
  <c r="AS76" i="13"/>
  <c r="AR76" i="13"/>
  <c r="AQ76" i="13"/>
  <c r="AP76" i="13"/>
  <c r="AO76" i="13"/>
  <c r="AN76" i="13"/>
  <c r="AM76" i="13"/>
  <c r="AL76" i="13"/>
  <c r="AK76" i="13"/>
  <c r="AJ76" i="13"/>
  <c r="AI76" i="13"/>
  <c r="AH76" i="13"/>
  <c r="AG76" i="13"/>
  <c r="AF76" i="13"/>
  <c r="AE76" i="13"/>
  <c r="BR75" i="13"/>
  <c r="BQ75" i="13"/>
  <c r="BQ76" i="13" s="1"/>
  <c r="BP75" i="13"/>
  <c r="BP76" i="13" s="1"/>
  <c r="BO75" i="13"/>
  <c r="BO76" i="13" s="1"/>
  <c r="BN75" i="13"/>
  <c r="BN76" i="13" s="1"/>
  <c r="BW73" i="13"/>
  <c r="BW72" i="13"/>
  <c r="BW71" i="13"/>
  <c r="BW68" i="13"/>
  <c r="BR66" i="13"/>
  <c r="BR65" i="13"/>
  <c r="BR64" i="13"/>
  <c r="BR63" i="13"/>
  <c r="BM66" i="13"/>
  <c r="BM65" i="13"/>
  <c r="BM64" i="13"/>
  <c r="BM63" i="13"/>
  <c r="BH65" i="13"/>
  <c r="BH64" i="13"/>
  <c r="BH63" i="13"/>
  <c r="BC65" i="13"/>
  <c r="BC64" i="13"/>
  <c r="BC63" i="13"/>
  <c r="AX65" i="13"/>
  <c r="AX64" i="13"/>
  <c r="AX63" i="13"/>
  <c r="BW65" i="13"/>
  <c r="BW56" i="13" s="1"/>
  <c r="CG58" i="13"/>
  <c r="CL58" i="13" s="1"/>
  <c r="CQ58" i="13" s="1"/>
  <c r="CV58" i="13" s="1"/>
  <c r="CW58" i="13" s="1"/>
  <c r="CX58" i="13" s="1"/>
  <c r="CY58" i="13" s="1"/>
  <c r="BW57" i="13"/>
  <c r="BW55" i="13"/>
  <c r="BW54" i="13"/>
  <c r="BM58" i="13"/>
  <c r="BH58" i="13"/>
  <c r="BC57" i="13"/>
  <c r="BH66" i="13" s="1"/>
  <c r="AX57" i="13"/>
  <c r="AS57" i="13"/>
  <c r="DB42" i="13"/>
  <c r="DC41" i="13"/>
  <c r="BH41" i="13"/>
  <c r="BG41" i="13"/>
  <c r="BF41" i="13"/>
  <c r="BE41" i="13"/>
  <c r="BD41" i="13"/>
  <c r="BC41" i="13"/>
  <c r="BB41" i="13"/>
  <c r="BA41" i="13"/>
  <c r="AZ41" i="13"/>
  <c r="AY41" i="13"/>
  <c r="AX41" i="13"/>
  <c r="AW41" i="13"/>
  <c r="AV41" i="13"/>
  <c r="AU41" i="13"/>
  <c r="AT41" i="13"/>
  <c r="DC40" i="13"/>
  <c r="DC39" i="13"/>
  <c r="DC38" i="13"/>
  <c r="DC37" i="13"/>
  <c r="CC40" i="13"/>
  <c r="CA40" i="13"/>
  <c r="CA41" i="13" s="1"/>
  <c r="BZ40" i="13"/>
  <c r="BZ41" i="13" s="1"/>
  <c r="BY40" i="13"/>
  <c r="BY41" i="13" s="1"/>
  <c r="BX40" i="13"/>
  <c r="BX41" i="13" s="1"/>
  <c r="BV40" i="13"/>
  <c r="BV41" i="13" s="1"/>
  <c r="BU40" i="13"/>
  <c r="BU41" i="13" s="1"/>
  <c r="BT40" i="13"/>
  <c r="BT41" i="13" s="1"/>
  <c r="BS40" i="13"/>
  <c r="BS41" i="13" s="1"/>
  <c r="BQ40" i="13"/>
  <c r="BQ41" i="13" s="1"/>
  <c r="BP40" i="13"/>
  <c r="BP41" i="13" s="1"/>
  <c r="BO40" i="13"/>
  <c r="BO41" i="13" s="1"/>
  <c r="BN40" i="13"/>
  <c r="BN41" i="13" s="1"/>
  <c r="BM40" i="13"/>
  <c r="BK40" i="13" s="1"/>
  <c r="DD37" i="13"/>
  <c r="CH35" i="13"/>
  <c r="CH36" i="13" s="1"/>
  <c r="CF35" i="13"/>
  <c r="CE35" i="13"/>
  <c r="CE36" i="13" s="1"/>
  <c r="CD35" i="13"/>
  <c r="CC35" i="13"/>
  <c r="CA35" i="13"/>
  <c r="BZ35" i="13"/>
  <c r="BY35" i="13"/>
  <c r="BX35" i="13"/>
  <c r="BV35" i="13"/>
  <c r="BU35" i="13"/>
  <c r="BU79" i="11" s="1"/>
  <c r="AD95" i="7" s="1"/>
  <c r="BT35" i="13"/>
  <c r="BS35" i="13"/>
  <c r="BQ35" i="13"/>
  <c r="BP35" i="13"/>
  <c r="BP79" i="11" s="1"/>
  <c r="BJ35" i="13"/>
  <c r="BI35" i="13"/>
  <c r="BH35" i="13"/>
  <c r="BG35" i="13"/>
  <c r="BG36" i="13" s="1"/>
  <c r="BF35" i="13"/>
  <c r="BF36" i="13" s="1"/>
  <c r="BE35" i="13"/>
  <c r="BD35" i="13"/>
  <c r="BC35" i="13"/>
  <c r="BB35" i="13"/>
  <c r="BA35" i="13"/>
  <c r="AZ35" i="13"/>
  <c r="AY35" i="13"/>
  <c r="BD37" i="13" s="1"/>
  <c r="AX35" i="13"/>
  <c r="AX36" i="13" s="1"/>
  <c r="AW35" i="13"/>
  <c r="AW36" i="13" s="1"/>
  <c r="AV35" i="13"/>
  <c r="BA37" i="13" s="1"/>
  <c r="AU35" i="13"/>
  <c r="AZ37" i="13" s="1"/>
  <c r="AT35" i="13"/>
  <c r="AS35" i="13"/>
  <c r="AR35" i="13"/>
  <c r="AQ35" i="13"/>
  <c r="AP35" i="13"/>
  <c r="AO35" i="13"/>
  <c r="CG33" i="13"/>
  <c r="CB33" i="13"/>
  <c r="BW33" i="13"/>
  <c r="BR33" i="13"/>
  <c r="BL33" i="13"/>
  <c r="BK33" i="13"/>
  <c r="BM33" i="13" s="1"/>
  <c r="CH31" i="13"/>
  <c r="CF31" i="13"/>
  <c r="CE31" i="13"/>
  <c r="CD31" i="13"/>
  <c r="CC31" i="13"/>
  <c r="CA31" i="13"/>
  <c r="BZ31" i="13"/>
  <c r="BY31" i="13"/>
  <c r="BX31" i="13"/>
  <c r="BV31" i="13"/>
  <c r="BU31" i="13"/>
  <c r="BT31" i="13"/>
  <c r="BS31" i="13"/>
  <c r="BQ31" i="13"/>
  <c r="BP31" i="13"/>
  <c r="BO31" i="13"/>
  <c r="BN31" i="13"/>
  <c r="BL31" i="13"/>
  <c r="BK31" i="13"/>
  <c r="BJ31" i="13"/>
  <c r="BI31" i="13"/>
  <c r="BH31" i="13"/>
  <c r="BG31" i="13"/>
  <c r="BF31" i="13"/>
  <c r="BE31" i="13"/>
  <c r="BD31" i="13"/>
  <c r="BC31" i="13"/>
  <c r="BB31" i="13"/>
  <c r="BA31" i="13"/>
  <c r="AZ31" i="13"/>
  <c r="AY31" i="13"/>
  <c r="AX31" i="13"/>
  <c r="AW31" i="13"/>
  <c r="AV31" i="13"/>
  <c r="AU31" i="13"/>
  <c r="AT31" i="13"/>
  <c r="CH30" i="13"/>
  <c r="CF30" i="13"/>
  <c r="CE30" i="13"/>
  <c r="CD30" i="13"/>
  <c r="CC30" i="13"/>
  <c r="CA30" i="13"/>
  <c r="BZ30" i="13"/>
  <c r="BY30" i="13"/>
  <c r="BX30" i="13"/>
  <c r="BV30" i="13"/>
  <c r="BU30" i="13"/>
  <c r="BT30" i="13"/>
  <c r="BS30" i="13"/>
  <c r="BQ30" i="13"/>
  <c r="BP30" i="13"/>
  <c r="BO30" i="13"/>
  <c r="BN30" i="13"/>
  <c r="BL30" i="13"/>
  <c r="BK30" i="13"/>
  <c r="BJ30" i="13"/>
  <c r="BI30" i="13"/>
  <c r="BH30" i="13"/>
  <c r="BG30" i="13"/>
  <c r="BF30" i="13"/>
  <c r="BE30" i="13"/>
  <c r="BD30" i="13"/>
  <c r="BC30" i="13"/>
  <c r="BB30" i="13"/>
  <c r="BA30" i="13"/>
  <c r="AZ30" i="13"/>
  <c r="AY30" i="13"/>
  <c r="AX30" i="13"/>
  <c r="AW30" i="13"/>
  <c r="AV30" i="13"/>
  <c r="AU30" i="13"/>
  <c r="AT30" i="13"/>
  <c r="BR29" i="13"/>
  <c r="BM29" i="13"/>
  <c r="BM31" i="13" s="1"/>
  <c r="CK107" i="11"/>
  <c r="CG27" i="13"/>
  <c r="CB27" i="13"/>
  <c r="BW27" i="13"/>
  <c r="BO27" i="13"/>
  <c r="BN27" i="13"/>
  <c r="BL27" i="13"/>
  <c r="BL35" i="13" s="1"/>
  <c r="BK27" i="13"/>
  <c r="CQ26" i="13"/>
  <c r="CO26" i="13" s="1"/>
  <c r="CK26" i="13"/>
  <c r="CJ26" i="13"/>
  <c r="CF26" i="13"/>
  <c r="CF22" i="13" s="1"/>
  <c r="CE26" i="13"/>
  <c r="CE22" i="13" s="1"/>
  <c r="CD26" i="13"/>
  <c r="CC26" i="13"/>
  <c r="CA26" i="13"/>
  <c r="CA22" i="13" s="1"/>
  <c r="BZ26" i="13"/>
  <c r="BY26" i="13"/>
  <c r="BX26" i="13"/>
  <c r="BX22" i="13" s="1"/>
  <c r="BV26" i="13"/>
  <c r="BU26" i="13"/>
  <c r="BU22" i="13" s="1"/>
  <c r="BT26" i="13"/>
  <c r="BS26" i="13"/>
  <c r="BP26" i="13"/>
  <c r="BP22" i="13" s="1"/>
  <c r="BP18" i="13" s="1"/>
  <c r="BO26" i="13"/>
  <c r="BN26" i="13"/>
  <c r="BM26" i="13"/>
  <c r="BI26" i="13" s="1"/>
  <c r="CD22" i="13"/>
  <c r="CD18" i="13" s="1"/>
  <c r="CD19" i="13" s="1"/>
  <c r="CC22" i="13"/>
  <c r="CC18" i="13" s="1"/>
  <c r="BZ22" i="13"/>
  <c r="BZ24" i="13" s="1"/>
  <c r="BY22" i="13"/>
  <c r="BY18" i="13" s="1"/>
  <c r="BV22" i="13"/>
  <c r="BT22" i="13"/>
  <c r="BS22" i="13"/>
  <c r="BN22" i="13"/>
  <c r="BN18" i="13" s="1"/>
  <c r="BH22" i="13"/>
  <c r="BH23" i="13" s="1"/>
  <c r="BG22" i="13"/>
  <c r="BG23" i="13" s="1"/>
  <c r="BF22" i="13"/>
  <c r="BF23" i="13" s="1"/>
  <c r="BE22" i="13"/>
  <c r="BE18" i="13" s="1"/>
  <c r="BD22" i="13"/>
  <c r="BD23" i="13" s="1"/>
  <c r="BC22" i="13"/>
  <c r="BC18" i="13" s="1"/>
  <c r="BB22" i="13"/>
  <c r="BB23" i="13" s="1"/>
  <c r="BA22" i="13"/>
  <c r="BA18" i="13" s="1"/>
  <c r="AZ22" i="13"/>
  <c r="AZ23" i="13" s="1"/>
  <c r="AY22" i="13"/>
  <c r="AY23" i="13" s="1"/>
  <c r="AX22" i="13"/>
  <c r="AX23" i="13" s="1"/>
  <c r="AW22" i="13"/>
  <c r="AW18" i="13" s="1"/>
  <c r="AV22" i="13"/>
  <c r="AV23" i="13" s="1"/>
  <c r="AU22" i="13"/>
  <c r="AU23" i="13" s="1"/>
  <c r="AT22" i="13"/>
  <c r="AT23" i="13" s="1"/>
  <c r="CE18" i="13"/>
  <c r="CE19" i="13" s="1"/>
  <c r="BZ18" i="13"/>
  <c r="BX18" i="13"/>
  <c r="BT18" i="13"/>
  <c r="BS18" i="13"/>
  <c r="BH18" i="13"/>
  <c r="BG18" i="13"/>
  <c r="BD18" i="13"/>
  <c r="BB18" i="13"/>
  <c r="AY18" i="13"/>
  <c r="AX18" i="13"/>
  <c r="AV18" i="13"/>
  <c r="AT18" i="13"/>
  <c r="CG12" i="13"/>
  <c r="CG168" i="13" s="1"/>
  <c r="CB12" i="13"/>
  <c r="CB168" i="13" s="1"/>
  <c r="BW12" i="13"/>
  <c r="CA13" i="13"/>
  <c r="CA14" i="13" s="1"/>
  <c r="BY13" i="13"/>
  <c r="BY14" i="13" s="1"/>
  <c r="CH13" i="13"/>
  <c r="CH15" i="13" s="1"/>
  <c r="CF13" i="13"/>
  <c r="CF15" i="13" s="1"/>
  <c r="BD37" i="6" s="1"/>
  <c r="CE13" i="13"/>
  <c r="CE15" i="13" s="1"/>
  <c r="CD13" i="13"/>
  <c r="CD15" i="13" s="1"/>
  <c r="CC13" i="13"/>
  <c r="CC15" i="13" s="1"/>
  <c r="BZ13" i="13"/>
  <c r="BZ15" i="13" s="1"/>
  <c r="AX37" i="6" s="1"/>
  <c r="BX13" i="13"/>
  <c r="BV13" i="13"/>
  <c r="BV16" i="13" s="1"/>
  <c r="BU13" i="13"/>
  <c r="BU16" i="13" s="1"/>
  <c r="BT13" i="13"/>
  <c r="BT16" i="13" s="1"/>
  <c r="BS13" i="13"/>
  <c r="BS16" i="13" s="1"/>
  <c r="BQ13" i="13"/>
  <c r="BQ16" i="13" s="1"/>
  <c r="BP13" i="13"/>
  <c r="BP14" i="13" s="1"/>
  <c r="BO13" i="13"/>
  <c r="BO14" i="13" s="1"/>
  <c r="BN13" i="13"/>
  <c r="BN14" i="13" s="1"/>
  <c r="BL13" i="13"/>
  <c r="BL20" i="13" s="1"/>
  <c r="BK13" i="13"/>
  <c r="BK20" i="13" s="1"/>
  <c r="BJ13" i="13"/>
  <c r="BI13" i="13"/>
  <c r="BI20" i="13" s="1"/>
  <c r="BH13" i="13"/>
  <c r="BH14" i="13" s="1"/>
  <c r="BG13" i="13"/>
  <c r="BG14" i="13" s="1"/>
  <c r="BF13" i="13"/>
  <c r="BF14" i="13" s="1"/>
  <c r="BE13" i="13"/>
  <c r="BE14" i="13" s="1"/>
  <c r="BD13" i="13"/>
  <c r="BD14" i="13" s="1"/>
  <c r="BC13" i="13"/>
  <c r="BC14" i="13" s="1"/>
  <c r="BB13" i="13"/>
  <c r="BB14" i="13" s="1"/>
  <c r="BA13" i="13"/>
  <c r="BA14" i="13" s="1"/>
  <c r="AZ13" i="13"/>
  <c r="AZ14" i="13" s="1"/>
  <c r="AY13" i="13"/>
  <c r="AY14" i="13" s="1"/>
  <c r="AX13" i="13"/>
  <c r="AX14" i="13" s="1"/>
  <c r="AW13" i="13"/>
  <c r="AW14" i="13" s="1"/>
  <c r="AV13" i="13"/>
  <c r="AV14" i="13" s="1"/>
  <c r="AU13" i="13"/>
  <c r="AU14" i="13" s="1"/>
  <c r="AT13" i="13"/>
  <c r="AT14" i="13" s="1"/>
  <c r="BR12" i="13"/>
  <c r="BW14" i="13" s="1"/>
  <c r="BW86" i="13" s="1"/>
  <c r="BM12" i="13"/>
  <c r="CW10" i="13"/>
  <c r="CV10" i="13"/>
  <c r="CQ10" i="13"/>
  <c r="CP10" i="13"/>
  <c r="CO10" i="13"/>
  <c r="CN10" i="13"/>
  <c r="CM10" i="13"/>
  <c r="CL10" i="13"/>
  <c r="CK10" i="13"/>
  <c r="CJ10" i="13"/>
  <c r="CI10" i="13"/>
  <c r="CH10" i="13"/>
  <c r="CG10" i="13"/>
  <c r="CF10" i="13"/>
  <c r="CE10" i="13"/>
  <c r="CD10" i="13"/>
  <c r="CC10" i="13"/>
  <c r="B4" i="13"/>
  <c r="B3" i="13"/>
  <c r="CA288" i="12"/>
  <c r="CA289" i="12" s="1"/>
  <c r="CA282" i="12"/>
  <c r="CA281" i="12"/>
  <c r="CA280" i="12"/>
  <c r="CA279" i="12"/>
  <c r="CA283" i="12" s="1"/>
  <c r="CA278" i="12"/>
  <c r="CA276" i="12"/>
  <c r="AW264" i="12"/>
  <c r="AW265" i="12" s="1"/>
  <c r="AW263" i="12"/>
  <c r="AW236" i="12"/>
  <c r="AR236" i="12"/>
  <c r="BG197" i="12"/>
  <c r="BB197" i="12"/>
  <c r="AW197" i="12"/>
  <c r="AR197" i="12"/>
  <c r="AM197" i="12"/>
  <c r="AH197" i="12"/>
  <c r="AC197" i="12"/>
  <c r="X197" i="12"/>
  <c r="CF124" i="12"/>
  <c r="CF123" i="12" s="1"/>
  <c r="BV112" i="12"/>
  <c r="BQ112" i="12"/>
  <c r="BL112" i="12"/>
  <c r="BG112" i="12"/>
  <c r="BB112" i="12"/>
  <c r="AW112" i="12"/>
  <c r="AZ112" i="12" s="1"/>
  <c r="AR112" i="12"/>
  <c r="AM112" i="12"/>
  <c r="AH112" i="12"/>
  <c r="AC112" i="12"/>
  <c r="X112" i="12"/>
  <c r="S112" i="12"/>
  <c r="N112" i="12"/>
  <c r="BY105" i="12"/>
  <c r="BV105" i="12"/>
  <c r="BV104" i="12"/>
  <c r="BQ105" i="12"/>
  <c r="BG105" i="12"/>
  <c r="BZ104" i="12"/>
  <c r="BP104" i="12"/>
  <c r="AW104" i="12"/>
  <c r="AJ104" i="12"/>
  <c r="AC104" i="12"/>
  <c r="T104" i="12"/>
  <c r="CP93" i="12"/>
  <c r="CP96" i="12" s="1"/>
  <c r="CK93" i="12"/>
  <c r="CK96" i="12" s="1"/>
  <c r="DB89" i="12"/>
  <c r="CU88" i="12"/>
  <c r="CJ82" i="12"/>
  <c r="C80" i="12"/>
  <c r="C90" i="12" s="1"/>
  <c r="C77" i="12"/>
  <c r="C87" i="12" s="1"/>
  <c r="CA69" i="12"/>
  <c r="BU69" i="12"/>
  <c r="BI69" i="12"/>
  <c r="CA63" i="12"/>
  <c r="BT63" i="12"/>
  <c r="BS63" i="12"/>
  <c r="BQ63" i="12"/>
  <c r="BL63" i="12"/>
  <c r="BG63" i="12"/>
  <c r="BN61" i="12"/>
  <c r="BN46" i="12" s="1"/>
  <c r="CP67" i="12"/>
  <c r="CK67" i="12"/>
  <c r="DA67" i="12"/>
  <c r="CZ67" i="12"/>
  <c r="CU67" i="12"/>
  <c r="BS51" i="12"/>
  <c r="BN51" i="12"/>
  <c r="BI51" i="12"/>
  <c r="BD51" i="12"/>
  <c r="AR51" i="12"/>
  <c r="AR46" i="12"/>
  <c r="BT43" i="12"/>
  <c r="BS43" i="12"/>
  <c r="BR43" i="12"/>
  <c r="BP43" i="12"/>
  <c r="BO43" i="12"/>
  <c r="BN43" i="12"/>
  <c r="BM43" i="12"/>
  <c r="BK43" i="12"/>
  <c r="BJ43" i="12"/>
  <c r="BI43" i="12"/>
  <c r="BH43" i="12"/>
  <c r="BF43" i="12"/>
  <c r="BE43" i="12"/>
  <c r="BD43" i="12"/>
  <c r="BC43" i="12"/>
  <c r="BA43" i="12"/>
  <c r="AZ43" i="12"/>
  <c r="AY43" i="12"/>
  <c r="AX43" i="12"/>
  <c r="AV43" i="12"/>
  <c r="AU43" i="12"/>
  <c r="AT43" i="12"/>
  <c r="AS43" i="12"/>
  <c r="AQ43" i="12"/>
  <c r="AP43" i="12"/>
  <c r="AO43" i="12"/>
  <c r="AN43" i="12"/>
  <c r="AM43" i="12"/>
  <c r="AL43" i="12"/>
  <c r="AK43" i="12"/>
  <c r="AJ43" i="12"/>
  <c r="AI43" i="12"/>
  <c r="AH43" i="12"/>
  <c r="AG43" i="12"/>
  <c r="AF43" i="12"/>
  <c r="AE43" i="12"/>
  <c r="AD43" i="12"/>
  <c r="AC43" i="12"/>
  <c r="AB43" i="12"/>
  <c r="AA43" i="12"/>
  <c r="Z43" i="12"/>
  <c r="Y43" i="12"/>
  <c r="X43" i="12"/>
  <c r="W43" i="12"/>
  <c r="V43" i="12"/>
  <c r="U43" i="12"/>
  <c r="T43" i="12"/>
  <c r="S43" i="12"/>
  <c r="R43" i="12"/>
  <c r="Q43" i="12"/>
  <c r="P43" i="12"/>
  <c r="O43" i="12"/>
  <c r="N43" i="12"/>
  <c r="M43" i="12"/>
  <c r="L43" i="12"/>
  <c r="K43" i="12"/>
  <c r="J43" i="12"/>
  <c r="DF41" i="12"/>
  <c r="BY41" i="12"/>
  <c r="BO41" i="12"/>
  <c r="BJ41" i="12"/>
  <c r="BI41" i="12"/>
  <c r="BE41" i="12"/>
  <c r="BC41" i="12"/>
  <c r="BA41" i="12"/>
  <c r="AZ41" i="12"/>
  <c r="AU41" i="12"/>
  <c r="AS41" i="12"/>
  <c r="AR41" i="12"/>
  <c r="AO41" i="12"/>
  <c r="CH40" i="12"/>
  <c r="CG40" i="12"/>
  <c r="CG41" i="12" s="1"/>
  <c r="CE40" i="12"/>
  <c r="CE41" i="12" s="1"/>
  <c r="CD40" i="12"/>
  <c r="CD41" i="12" s="1"/>
  <c r="CC40" i="12"/>
  <c r="CC41" i="12" s="1"/>
  <c r="CB40" i="12"/>
  <c r="CB41" i="12" s="1"/>
  <c r="BZ40" i="12"/>
  <c r="BZ41" i="12" s="1"/>
  <c r="BY40" i="12"/>
  <c r="BX40" i="12"/>
  <c r="BX41" i="12" s="1"/>
  <c r="BW40" i="12"/>
  <c r="BW41" i="12" s="1"/>
  <c r="BU40" i="12"/>
  <c r="BU41" i="12" s="1"/>
  <c r="BT40" i="12"/>
  <c r="BT41" i="12" s="1"/>
  <c r="BS40" i="12"/>
  <c r="BS41" i="12" s="1"/>
  <c r="BR40" i="12"/>
  <c r="BR41" i="12" s="1"/>
  <c r="BP40" i="12"/>
  <c r="BP41" i="12" s="1"/>
  <c r="BO40" i="12"/>
  <c r="BN40" i="12"/>
  <c r="BN41" i="12" s="1"/>
  <c r="BM40" i="12"/>
  <c r="BM41" i="12" s="1"/>
  <c r="BJ40" i="12"/>
  <c r="BI40" i="12"/>
  <c r="BK40" i="12" s="1"/>
  <c r="BK41" i="12" s="1"/>
  <c r="BH40" i="12"/>
  <c r="BH41" i="12" s="1"/>
  <c r="BE40" i="12"/>
  <c r="BD40" i="12"/>
  <c r="BD41" i="12" s="1"/>
  <c r="BC40" i="12"/>
  <c r="AZ40" i="12"/>
  <c r="AY40" i="12"/>
  <c r="BA40" i="12" s="1"/>
  <c r="AX40" i="12"/>
  <c r="AX41" i="12" s="1"/>
  <c r="AU40" i="12"/>
  <c r="AT40" i="12"/>
  <c r="AT41" i="12" s="1"/>
  <c r="AP40" i="12"/>
  <c r="AP41" i="12" s="1"/>
  <c r="AO40" i="12"/>
  <c r="AN40" i="12"/>
  <c r="AN41" i="12" s="1"/>
  <c r="CJ38" i="12"/>
  <c r="AL38" i="12"/>
  <c r="AK38" i="12"/>
  <c r="AJ38" i="12"/>
  <c r="AI38" i="12"/>
  <c r="DG40" i="12"/>
  <c r="DH39" i="12"/>
  <c r="DG39" i="12"/>
  <c r="DH38" i="12"/>
  <c r="DG38" i="12"/>
  <c r="DH37" i="12"/>
  <c r="DG37" i="12"/>
  <c r="AL37" i="12"/>
  <c r="AK37" i="12"/>
  <c r="AJ37" i="12"/>
  <c r="AI37" i="12"/>
  <c r="P37" i="12"/>
  <c r="DG36" i="12"/>
  <c r="DG41" i="12" s="1"/>
  <c r="CJ36" i="12"/>
  <c r="CG36" i="12"/>
  <c r="CL35" i="12"/>
  <c r="CL36" i="12" s="1"/>
  <c r="CJ35" i="12"/>
  <c r="CI35" i="12"/>
  <c r="CH35" i="12"/>
  <c r="CG35" i="12"/>
  <c r="CG38" i="12" s="1"/>
  <c r="CE36" i="12"/>
  <c r="CD36" i="12"/>
  <c r="CE35" i="12"/>
  <c r="CD35" i="12"/>
  <c r="CC35" i="12"/>
  <c r="CB35" i="12"/>
  <c r="BZ35" i="12"/>
  <c r="BY35" i="12"/>
  <c r="BY36" i="12" s="1"/>
  <c r="BX35" i="12"/>
  <c r="BW35" i="12"/>
  <c r="BV35" i="12"/>
  <c r="BU35" i="12"/>
  <c r="BT35" i="12"/>
  <c r="BT36" i="12" s="1"/>
  <c r="BS35" i="12"/>
  <c r="BR35" i="12"/>
  <c r="BP35" i="12"/>
  <c r="BO35" i="12"/>
  <c r="BN35" i="12"/>
  <c r="BN36" i="12" s="1"/>
  <c r="BM35" i="12"/>
  <c r="BM36" i="12" s="1"/>
  <c r="BK35" i="12"/>
  <c r="BJ35" i="12"/>
  <c r="BJ37" i="12" s="1"/>
  <c r="BI35" i="12"/>
  <c r="BI82" i="12" s="1"/>
  <c r="BH35" i="12"/>
  <c r="BH82" i="12" s="1"/>
  <c r="BF35" i="12"/>
  <c r="BE35" i="12"/>
  <c r="BD35" i="12"/>
  <c r="BD36" i="12" s="1"/>
  <c r="BC35" i="12"/>
  <c r="BA35" i="12"/>
  <c r="BA36" i="12" s="1"/>
  <c r="AZ35" i="12"/>
  <c r="AY35" i="12"/>
  <c r="AX35" i="12"/>
  <c r="AV35" i="12"/>
  <c r="AV38" i="12" s="1"/>
  <c r="AU35" i="12"/>
  <c r="AT35" i="12"/>
  <c r="AS35" i="12"/>
  <c r="AS38" i="12" s="1"/>
  <c r="AR35" i="12"/>
  <c r="AR37" i="12" s="1"/>
  <c r="AQ35" i="12"/>
  <c r="AP35" i="12"/>
  <c r="AO35" i="12"/>
  <c r="AO38" i="12" s="1"/>
  <c r="AN35" i="12"/>
  <c r="AN36" i="12" s="1"/>
  <c r="AH35" i="12"/>
  <c r="AB35" i="12"/>
  <c r="Y35" i="12"/>
  <c r="Y38" i="12" s="1"/>
  <c r="X35" i="12"/>
  <c r="W35" i="12"/>
  <c r="T35" i="12"/>
  <c r="T37" i="12" s="1"/>
  <c r="Q35" i="12"/>
  <c r="Q37" i="12" s="1"/>
  <c r="P35" i="12"/>
  <c r="O35" i="12"/>
  <c r="O37" i="12" s="1"/>
  <c r="CF33" i="12"/>
  <c r="CA33" i="12"/>
  <c r="BV33" i="12"/>
  <c r="BQ33" i="12"/>
  <c r="BL33" i="12"/>
  <c r="BG33" i="12"/>
  <c r="BB33" i="12"/>
  <c r="AW33" i="12"/>
  <c r="CL31" i="12"/>
  <c r="CJ31" i="12"/>
  <c r="CI31" i="12"/>
  <c r="CH31" i="12"/>
  <c r="CG31" i="12"/>
  <c r="CE31" i="12"/>
  <c r="CD31" i="12"/>
  <c r="CC31" i="12"/>
  <c r="CB31" i="12"/>
  <c r="BZ31" i="12"/>
  <c r="BY31" i="12"/>
  <c r="BX31" i="12"/>
  <c r="BW31" i="12"/>
  <c r="BU31" i="12"/>
  <c r="BT31" i="12"/>
  <c r="BS31" i="12"/>
  <c r="BR31" i="12"/>
  <c r="BP31" i="12"/>
  <c r="BO31" i="12"/>
  <c r="BN31" i="12"/>
  <c r="BM31" i="12"/>
  <c r="BK31" i="12"/>
  <c r="BJ31" i="12"/>
  <c r="BI31" i="12"/>
  <c r="BH31" i="12"/>
  <c r="BF31" i="12"/>
  <c r="BE31" i="12"/>
  <c r="BD31" i="12"/>
  <c r="BC31" i="12"/>
  <c r="BA31" i="12"/>
  <c r="AZ31" i="12"/>
  <c r="AY31" i="12"/>
  <c r="AX31" i="12"/>
  <c r="AV31" i="12"/>
  <c r="AU31" i="12"/>
  <c r="AT31" i="12"/>
  <c r="AS31" i="12"/>
  <c r="AR31" i="12"/>
  <c r="AQ31" i="12"/>
  <c r="AP31" i="12"/>
  <c r="AO31" i="12"/>
  <c r="AN31" i="12"/>
  <c r="CL30" i="12"/>
  <c r="CJ30" i="12"/>
  <c r="CI30" i="12"/>
  <c r="CH30" i="12"/>
  <c r="CG30" i="12"/>
  <c r="CE30" i="12"/>
  <c r="CD30" i="12"/>
  <c r="CC30" i="12"/>
  <c r="CB30" i="12"/>
  <c r="BZ30" i="12"/>
  <c r="BY30" i="12"/>
  <c r="BX30" i="12"/>
  <c r="BW30" i="12"/>
  <c r="BU30" i="12"/>
  <c r="BT30" i="12"/>
  <c r="BS30" i="12"/>
  <c r="BR30" i="12"/>
  <c r="BP30" i="12"/>
  <c r="BO30" i="12"/>
  <c r="BN30" i="12"/>
  <c r="BM30" i="12"/>
  <c r="BK30" i="12"/>
  <c r="BJ30" i="12"/>
  <c r="BI30" i="12"/>
  <c r="BH30" i="12"/>
  <c r="BF30" i="12"/>
  <c r="BE30" i="12"/>
  <c r="BD30" i="12"/>
  <c r="BC30" i="12"/>
  <c r="BA30" i="12"/>
  <c r="AZ30" i="12"/>
  <c r="AY30" i="12"/>
  <c r="AX30" i="12"/>
  <c r="AV30" i="12"/>
  <c r="AU30" i="12"/>
  <c r="AT30" i="12"/>
  <c r="AS30" i="12"/>
  <c r="AR30" i="12"/>
  <c r="AQ30" i="12"/>
  <c r="AP30" i="12"/>
  <c r="AO30" i="12"/>
  <c r="AN30" i="12"/>
  <c r="M31" i="12"/>
  <c r="G31" i="12"/>
  <c r="L30" i="12"/>
  <c r="K30" i="12"/>
  <c r="J30" i="12"/>
  <c r="G30" i="12"/>
  <c r="F30" i="12"/>
  <c r="CK29" i="12"/>
  <c r="BV29" i="12"/>
  <c r="BG29" i="12"/>
  <c r="AW29" i="12"/>
  <c r="AH29" i="12"/>
  <c r="M29" i="12"/>
  <c r="I29" i="12"/>
  <c r="I30" i="12" s="1"/>
  <c r="H29" i="12"/>
  <c r="G29" i="12"/>
  <c r="K31" i="12" s="1"/>
  <c r="F29" i="12"/>
  <c r="J31" i="12" s="1"/>
  <c r="CK106" i="11"/>
  <c r="CK27" i="12"/>
  <c r="CF27" i="12"/>
  <c r="CA27" i="12"/>
  <c r="BV27" i="12"/>
  <c r="BQ27" i="12"/>
  <c r="BL27" i="12"/>
  <c r="BG27" i="12"/>
  <c r="BB27" i="12"/>
  <c r="AW27" i="12"/>
  <c r="Z27" i="12"/>
  <c r="Y27" i="12"/>
  <c r="S27" i="12"/>
  <c r="R27" i="12"/>
  <c r="R35" i="12" s="1"/>
  <c r="CJ26" i="12"/>
  <c r="CI26" i="12"/>
  <c r="CH26" i="12"/>
  <c r="CG26" i="12"/>
  <c r="CG22" i="12" s="1"/>
  <c r="CE26" i="12"/>
  <c r="CD26" i="12"/>
  <c r="CC26" i="12"/>
  <c r="CB26" i="12"/>
  <c r="CB22" i="12" s="1"/>
  <c r="BZ26" i="12"/>
  <c r="BY26" i="12"/>
  <c r="BX26" i="12"/>
  <c r="BX22" i="12" s="1"/>
  <c r="BW26" i="12"/>
  <c r="BW22" i="12" s="1"/>
  <c r="BW23" i="12" s="1"/>
  <c r="BU26" i="12"/>
  <c r="BT26" i="12"/>
  <c r="BT22" i="12" s="1"/>
  <c r="BS26" i="12"/>
  <c r="BR26" i="12"/>
  <c r="BR22" i="12" s="1"/>
  <c r="BR18" i="12" s="1"/>
  <c r="BO26" i="12"/>
  <c r="BN26" i="12"/>
  <c r="BM26" i="12"/>
  <c r="BP26" i="12" s="1"/>
  <c r="BP22" i="12" s="1"/>
  <c r="BH26" i="12"/>
  <c r="BC26" i="12"/>
  <c r="AZ26" i="12"/>
  <c r="AZ22" i="12" s="1"/>
  <c r="AY26" i="12"/>
  <c r="AX26" i="12"/>
  <c r="BA26" i="12" s="1"/>
  <c r="BA22" i="12" s="1"/>
  <c r="AS26" i="12"/>
  <c r="AT26" i="12" s="1"/>
  <c r="AU26" i="12" s="1"/>
  <c r="AP26" i="12"/>
  <c r="AO26" i="12"/>
  <c r="AN26" i="12"/>
  <c r="AN22" i="12" s="1"/>
  <c r="M26" i="12"/>
  <c r="L26" i="12"/>
  <c r="L22" i="12" s="1"/>
  <c r="K26" i="12"/>
  <c r="J26" i="12"/>
  <c r="J22" i="12" s="1"/>
  <c r="I24" i="12"/>
  <c r="H24" i="12"/>
  <c r="G24" i="12"/>
  <c r="F24" i="12"/>
  <c r="H23" i="12"/>
  <c r="G23" i="12"/>
  <c r="F23" i="12"/>
  <c r="CC24" i="12"/>
  <c r="BY24" i="12"/>
  <c r="AS24" i="12"/>
  <c r="CE23" i="12"/>
  <c r="BS23" i="12"/>
  <c r="BO23" i="12"/>
  <c r="AY23" i="12"/>
  <c r="CK22" i="12"/>
  <c r="CJ22" i="12"/>
  <c r="CJ24" i="12" s="1"/>
  <c r="CI22" i="12"/>
  <c r="CI24" i="12" s="1"/>
  <c r="CH22" i="12"/>
  <c r="CE22" i="12"/>
  <c r="CE24" i="12" s="1"/>
  <c r="CD22" i="12"/>
  <c r="CD24" i="12" s="1"/>
  <c r="CC22" i="12"/>
  <c r="CC23" i="12" s="1"/>
  <c r="BZ22" i="12"/>
  <c r="BY22" i="12"/>
  <c r="BY23" i="12" s="1"/>
  <c r="BU22" i="12"/>
  <c r="BU23" i="12" s="1"/>
  <c r="BS22" i="12"/>
  <c r="BS24" i="12" s="1"/>
  <c r="BO22" i="12"/>
  <c r="BN22" i="12"/>
  <c r="AY22" i="12"/>
  <c r="AX22" i="12"/>
  <c r="BB22" i="12" s="1"/>
  <c r="AT22" i="12"/>
  <c r="AS22" i="12"/>
  <c r="AS23" i="12" s="1"/>
  <c r="AP22" i="12"/>
  <c r="AP18" i="12" s="1"/>
  <c r="AP19" i="12" s="1"/>
  <c r="AO22" i="12"/>
  <c r="AO23" i="12" s="1"/>
  <c r="AL22" i="12"/>
  <c r="AK22" i="12"/>
  <c r="AJ22" i="12"/>
  <c r="AI22" i="12"/>
  <c r="AM22" i="12" s="1"/>
  <c r="AG22" i="12"/>
  <c r="AF22" i="12"/>
  <c r="AE22" i="12"/>
  <c r="AD22" i="12"/>
  <c r="AH22" i="12" s="1"/>
  <c r="AB22" i="12"/>
  <c r="Z22" i="12"/>
  <c r="Y22" i="12"/>
  <c r="W22" i="12"/>
  <c r="T22" i="12"/>
  <c r="R22" i="12"/>
  <c r="Q22" i="12"/>
  <c r="P22" i="12"/>
  <c r="O22" i="12"/>
  <c r="M22" i="12"/>
  <c r="K22" i="12"/>
  <c r="K24" i="12" s="1"/>
  <c r="I19" i="12"/>
  <c r="H19" i="12"/>
  <c r="G19" i="12"/>
  <c r="F19" i="12"/>
  <c r="CH18" i="12"/>
  <c r="CE18" i="12"/>
  <c r="CD18" i="12"/>
  <c r="BZ18" i="12"/>
  <c r="BY18" i="12"/>
  <c r="BU18" i="12"/>
  <c r="BS18" i="12"/>
  <c r="BS19" i="12" s="1"/>
  <c r="BO18" i="12"/>
  <c r="BN18" i="12"/>
  <c r="AY18" i="12"/>
  <c r="AY19" i="12" s="1"/>
  <c r="AX18" i="12"/>
  <c r="AT18" i="12"/>
  <c r="AS18" i="12"/>
  <c r="AO18" i="12"/>
  <c r="AO19" i="12" s="1"/>
  <c r="L18" i="12"/>
  <c r="L19" i="12" s="1"/>
  <c r="K18" i="12"/>
  <c r="K19" i="12" s="1"/>
  <c r="CK14" i="12"/>
  <c r="CF12" i="12"/>
  <c r="AG16" i="12"/>
  <c r="CA14" i="12"/>
  <c r="CA13" i="12"/>
  <c r="CA12" i="12"/>
  <c r="CF13" i="12" s="1"/>
  <c r="BM14" i="12"/>
  <c r="BB12" i="12"/>
  <c r="AU14" i="12"/>
  <c r="AU13" i="12"/>
  <c r="AR13" i="12"/>
  <c r="AR14" i="12" s="1"/>
  <c r="AP14" i="12"/>
  <c r="AP13" i="12"/>
  <c r="CL13" i="12"/>
  <c r="CL15" i="12" s="1"/>
  <c r="BF36" i="6" s="1"/>
  <c r="CJ13" i="12"/>
  <c r="CJ15" i="12" s="1"/>
  <c r="CI13" i="12"/>
  <c r="CI15" i="12" s="1"/>
  <c r="CH13" i="12"/>
  <c r="CH15" i="12" s="1"/>
  <c r="CG13" i="12"/>
  <c r="CG15" i="12" s="1"/>
  <c r="BA36" i="6" s="1"/>
  <c r="CE13" i="12"/>
  <c r="CE15" i="12" s="1"/>
  <c r="AY36" i="6" s="1"/>
  <c r="CD13" i="12"/>
  <c r="CD15" i="12" s="1"/>
  <c r="CC13" i="12"/>
  <c r="CC15" i="12" s="1"/>
  <c r="AW36" i="6" s="1"/>
  <c r="CB13" i="12"/>
  <c r="BZ13" i="12"/>
  <c r="BZ16" i="12" s="1"/>
  <c r="BY13" i="12"/>
  <c r="BY16" i="12" s="1"/>
  <c r="BX13" i="12"/>
  <c r="BX16" i="12" s="1"/>
  <c r="BW13" i="12"/>
  <c r="BW16" i="12" s="1"/>
  <c r="BU13" i="12"/>
  <c r="BU16" i="12" s="1"/>
  <c r="BT13" i="12"/>
  <c r="BT14" i="12" s="1"/>
  <c r="BS13" i="12"/>
  <c r="BS14" i="12" s="1"/>
  <c r="BR13" i="12"/>
  <c r="BR14" i="12" s="1"/>
  <c r="BP13" i="12"/>
  <c r="BP14" i="12" s="1"/>
  <c r="BO13" i="12"/>
  <c r="BO14" i="12" s="1"/>
  <c r="BN13" i="12"/>
  <c r="BN14" i="12" s="1"/>
  <c r="BM13" i="12"/>
  <c r="BK13" i="12"/>
  <c r="BK14" i="12" s="1"/>
  <c r="BJ13" i="12"/>
  <c r="BJ16" i="12" s="1"/>
  <c r="BI13" i="12"/>
  <c r="BI16" i="12" s="1"/>
  <c r="BH13" i="12"/>
  <c r="BH16" i="12" s="1"/>
  <c r="BF13" i="12"/>
  <c r="BF16" i="12" s="1"/>
  <c r="BE13" i="12"/>
  <c r="BE16" i="12" s="1"/>
  <c r="BD13" i="12"/>
  <c r="BD16" i="12" s="1"/>
  <c r="BC13" i="12"/>
  <c r="BC15" i="12" s="1"/>
  <c r="BA13" i="12"/>
  <c r="BA15" i="12" s="1"/>
  <c r="AZ13" i="12"/>
  <c r="AZ15" i="12" s="1"/>
  <c r="T70" i="6" s="1"/>
  <c r="AY13" i="12"/>
  <c r="AY15" i="12" s="1"/>
  <c r="AX13" i="12"/>
  <c r="AX14" i="12" s="1"/>
  <c r="AV13" i="12"/>
  <c r="AV15" i="12" s="1"/>
  <c r="AT13" i="12"/>
  <c r="AT15" i="12" s="1"/>
  <c r="AS13" i="12"/>
  <c r="AS16" i="12" s="1"/>
  <c r="AQ13" i="12"/>
  <c r="AQ16" i="12" s="1"/>
  <c r="AO13" i="12"/>
  <c r="AO16" i="12" s="1"/>
  <c r="AN13" i="12"/>
  <c r="AN16" i="12" s="1"/>
  <c r="L13" i="12"/>
  <c r="K13" i="12"/>
  <c r="J13" i="12"/>
  <c r="I13" i="12"/>
  <c r="H13" i="12"/>
  <c r="G13" i="12"/>
  <c r="F13" i="12"/>
  <c r="BV12" i="12"/>
  <c r="BQ12" i="12"/>
  <c r="BL12" i="12"/>
  <c r="BG12" i="12"/>
  <c r="AW12" i="12"/>
  <c r="M12" i="12"/>
  <c r="M18" i="12" s="1"/>
  <c r="M19" i="12" s="1"/>
  <c r="BN11" i="12"/>
  <c r="DA10" i="12"/>
  <c r="DA43" i="12" s="1"/>
  <c r="CZ10" i="12"/>
  <c r="CZ43" i="12" s="1"/>
  <c r="CU10" i="12"/>
  <c r="CU43" i="12" s="1"/>
  <c r="CT10" i="12"/>
  <c r="CS10" i="12"/>
  <c r="CR10" i="12"/>
  <c r="CQ10" i="12"/>
  <c r="CP10" i="12"/>
  <c r="CP43" i="12" s="1"/>
  <c r="CO10" i="12"/>
  <c r="CN10" i="12"/>
  <c r="CM10" i="12"/>
  <c r="CL10" i="12"/>
  <c r="CK10" i="12"/>
  <c r="CJ10" i="12"/>
  <c r="CI10" i="12"/>
  <c r="CH10" i="12"/>
  <c r="CG10" i="12"/>
  <c r="B4" i="12"/>
  <c r="B3" i="12"/>
  <c r="AS598" i="11"/>
  <c r="AS597" i="11"/>
  <c r="AS596" i="11"/>
  <c r="AS595" i="11"/>
  <c r="AS594" i="11"/>
  <c r="AS590" i="11"/>
  <c r="AS589" i="11"/>
  <c r="AS588" i="11"/>
  <c r="AS587" i="11"/>
  <c r="AS586" i="11"/>
  <c r="AS582" i="11"/>
  <c r="AS581" i="11"/>
  <c r="AS580" i="11"/>
  <c r="AS579" i="11"/>
  <c r="AS578" i="11"/>
  <c r="AS577" i="11"/>
  <c r="AS576" i="11"/>
  <c r="AX572" i="11"/>
  <c r="AS572" i="11"/>
  <c r="AN572" i="11"/>
  <c r="AS569" i="11"/>
  <c r="AS568" i="11"/>
  <c r="AS567" i="11"/>
  <c r="AS565" i="11"/>
  <c r="AS564" i="11"/>
  <c r="AS563" i="11"/>
  <c r="AS562" i="11"/>
  <c r="AS560" i="11"/>
  <c r="AS559" i="11"/>
  <c r="AS558" i="11"/>
  <c r="AS556" i="11"/>
  <c r="AS553" i="11"/>
  <c r="AS552" i="11"/>
  <c r="AS550" i="11"/>
  <c r="AS524" i="11"/>
  <c r="CL212" i="11"/>
  <c r="CM208" i="11"/>
  <c r="CH208" i="11"/>
  <c r="CG208" i="11"/>
  <c r="CG209" i="11" s="1"/>
  <c r="BR183" i="11"/>
  <c r="BR181" i="11"/>
  <c r="BM181" i="11"/>
  <c r="BH181" i="11"/>
  <c r="BH183" i="11" s="1"/>
  <c r="BC181" i="11"/>
  <c r="BC183" i="11" s="1"/>
  <c r="AX183" i="11"/>
  <c r="AX181" i="11"/>
  <c r="AS181" i="11"/>
  <c r="AN181" i="11"/>
  <c r="AN183" i="11" s="1"/>
  <c r="AI181" i="11"/>
  <c r="AI183" i="11" s="1"/>
  <c r="AD183" i="11"/>
  <c r="AD181" i="11"/>
  <c r="Y181" i="11"/>
  <c r="T181" i="11"/>
  <c r="T183" i="11" s="1"/>
  <c r="BQ181" i="11"/>
  <c r="BP181" i="11"/>
  <c r="BO181" i="11"/>
  <c r="BN181" i="11"/>
  <c r="BL181" i="11"/>
  <c r="BK181" i="11"/>
  <c r="BJ181" i="11"/>
  <c r="BI181" i="11"/>
  <c r="BG181" i="11"/>
  <c r="BF181" i="11"/>
  <c r="BE181" i="11"/>
  <c r="BD181" i="11"/>
  <c r="BB181" i="11"/>
  <c r="BA181" i="11"/>
  <c r="AZ181" i="11"/>
  <c r="AY181" i="11"/>
  <c r="AW181" i="11"/>
  <c r="AV181" i="11"/>
  <c r="AU181" i="11"/>
  <c r="AT181" i="11"/>
  <c r="AR181" i="11"/>
  <c r="AQ181" i="11"/>
  <c r="AP181" i="11"/>
  <c r="AO181" i="11"/>
  <c r="AM181" i="11"/>
  <c r="AL181" i="11"/>
  <c r="AK181" i="11"/>
  <c r="AJ181" i="11"/>
  <c r="AH181" i="11"/>
  <c r="AG181" i="11"/>
  <c r="AF181" i="11"/>
  <c r="AE181" i="11"/>
  <c r="AC181" i="11"/>
  <c r="AB181" i="11"/>
  <c r="AA181" i="11"/>
  <c r="Z181" i="11"/>
  <c r="X181" i="11"/>
  <c r="W181" i="11"/>
  <c r="V181" i="11"/>
  <c r="U181" i="11"/>
  <c r="S181" i="11"/>
  <c r="R181" i="11"/>
  <c r="Q181" i="11"/>
  <c r="P181" i="11"/>
  <c r="O181" i="11"/>
  <c r="CB173" i="11"/>
  <c r="CB172" i="11"/>
  <c r="BW174" i="11"/>
  <c r="BW173" i="11"/>
  <c r="BW172" i="11"/>
  <c r="BR174" i="11"/>
  <c r="BR173" i="11"/>
  <c r="BR172" i="11"/>
  <c r="BN173" i="11"/>
  <c r="CF168" i="11"/>
  <c r="CH166" i="11"/>
  <c r="AQ127" i="7" s="1"/>
  <c r="CF166" i="11"/>
  <c r="CE166" i="11"/>
  <c r="BQ107" i="10" s="1"/>
  <c r="CD166" i="11"/>
  <c r="CC166" i="11"/>
  <c r="BO107" i="10" s="1"/>
  <c r="CA166" i="11"/>
  <c r="BZ166" i="11"/>
  <c r="BL107" i="10" s="1"/>
  <c r="BY166" i="11"/>
  <c r="BK107" i="10" s="1"/>
  <c r="BX166" i="11"/>
  <c r="AG127" i="7" s="1"/>
  <c r="BW166" i="11"/>
  <c r="BV166" i="11"/>
  <c r="BU166" i="11"/>
  <c r="BT166" i="11"/>
  <c r="BS166" i="11"/>
  <c r="BR166" i="11"/>
  <c r="BQ166" i="11"/>
  <c r="BP166" i="11"/>
  <c r="BO166" i="11"/>
  <c r="BN166" i="11"/>
  <c r="BM166" i="11"/>
  <c r="BL166" i="11"/>
  <c r="BK166" i="11"/>
  <c r="BJ166" i="11"/>
  <c r="BI166" i="11"/>
  <c r="R127" i="7" s="1"/>
  <c r="BH166" i="11"/>
  <c r="BG166" i="11"/>
  <c r="P127" i="7" s="1"/>
  <c r="BF166" i="11"/>
  <c r="BE166" i="11"/>
  <c r="BD166" i="11"/>
  <c r="AP107" i="10" s="1"/>
  <c r="BC166" i="11"/>
  <c r="BB166" i="11"/>
  <c r="BA166" i="11"/>
  <c r="J127" i="7" s="1"/>
  <c r="AZ166" i="11"/>
  <c r="AL107" i="10" s="1"/>
  <c r="AY166" i="11"/>
  <c r="AX166" i="11"/>
  <c r="AW166" i="11"/>
  <c r="F127" i="7" s="1"/>
  <c r="AV166" i="11"/>
  <c r="AU166" i="11"/>
  <c r="AT166" i="11"/>
  <c r="AF107" i="10" s="1"/>
  <c r="AS166" i="11"/>
  <c r="AR166" i="11"/>
  <c r="AQ166" i="11"/>
  <c r="AP166" i="11"/>
  <c r="AO166" i="11"/>
  <c r="AA107" i="10" s="1"/>
  <c r="AN166" i="11"/>
  <c r="Z107" i="10" s="1"/>
  <c r="AM166" i="11"/>
  <c r="Y107" i="10" s="1"/>
  <c r="AL166" i="11"/>
  <c r="X107" i="10" s="1"/>
  <c r="AK166" i="11"/>
  <c r="W107" i="10" s="1"/>
  <c r="AJ166" i="11"/>
  <c r="V107" i="10" s="1"/>
  <c r="AK125" i="7"/>
  <c r="AJ125" i="7"/>
  <c r="AG125" i="7"/>
  <c r="AF125" i="7"/>
  <c r="AE125" i="7"/>
  <c r="AB125" i="7"/>
  <c r="AA125" i="7"/>
  <c r="Y125" i="7"/>
  <c r="X125" i="7"/>
  <c r="W125" i="7"/>
  <c r="U125" i="7"/>
  <c r="T125" i="7"/>
  <c r="Q125" i="7"/>
  <c r="P125" i="7"/>
  <c r="O125" i="7"/>
  <c r="M125" i="7"/>
  <c r="L125" i="7"/>
  <c r="K125" i="7"/>
  <c r="I125" i="7"/>
  <c r="H125" i="7"/>
  <c r="G125" i="7"/>
  <c r="C125" i="7"/>
  <c r="C164" i="11"/>
  <c r="C163" i="11"/>
  <c r="CG162" i="11"/>
  <c r="CC162" i="11"/>
  <c r="AL124" i="7" s="1"/>
  <c r="CB162" i="11"/>
  <c r="CA162" i="11"/>
  <c r="AJ124" i="7" s="1"/>
  <c r="BZ162" i="11"/>
  <c r="BY162" i="11"/>
  <c r="AH124" i="7" s="1"/>
  <c r="BX162" i="11"/>
  <c r="BW162" i="11"/>
  <c r="BS162" i="11"/>
  <c r="BR162" i="11"/>
  <c r="BQ162" i="11"/>
  <c r="Z124" i="7" s="1"/>
  <c r="BP162" i="11"/>
  <c r="BO162" i="11"/>
  <c r="X124" i="7" s="1"/>
  <c r="BN162" i="11"/>
  <c r="BM162" i="11"/>
  <c r="BL162" i="11"/>
  <c r="U124" i="7" s="1"/>
  <c r="BK162" i="11"/>
  <c r="T124" i="7" s="1"/>
  <c r="BJ162" i="11"/>
  <c r="BI162" i="11"/>
  <c r="R124" i="7" s="1"/>
  <c r="C161" i="11"/>
  <c r="C160" i="11"/>
  <c r="C159" i="11"/>
  <c r="C158" i="11"/>
  <c r="CG160" i="11"/>
  <c r="AP123" i="7" s="1"/>
  <c r="CC160" i="11"/>
  <c r="AL123" i="7" s="1"/>
  <c r="CB160" i="11"/>
  <c r="CA160" i="11"/>
  <c r="AJ123" i="7" s="1"/>
  <c r="BZ160" i="11"/>
  <c r="AI123" i="7" s="1"/>
  <c r="BY160" i="11"/>
  <c r="AH123" i="7" s="1"/>
  <c r="BX160" i="11"/>
  <c r="BW160" i="11"/>
  <c r="AF123" i="7" s="1"/>
  <c r="BV160" i="11"/>
  <c r="AE123" i="7" s="1"/>
  <c r="BU160" i="11"/>
  <c r="AD123" i="7" s="1"/>
  <c r="BT160" i="11"/>
  <c r="BS160" i="11"/>
  <c r="AB123" i="7" s="1"/>
  <c r="BR160" i="11"/>
  <c r="AA123" i="7" s="1"/>
  <c r="BQ160" i="11"/>
  <c r="Z123" i="7" s="1"/>
  <c r="BP160" i="11"/>
  <c r="BO160" i="11"/>
  <c r="BN160" i="11"/>
  <c r="W123" i="7" s="1"/>
  <c r="BM160" i="11"/>
  <c r="V123" i="7" s="1"/>
  <c r="BL160" i="11"/>
  <c r="BK160" i="11"/>
  <c r="T123" i="7" s="1"/>
  <c r="BJ160" i="11"/>
  <c r="S123" i="7" s="1"/>
  <c r="BI160" i="11"/>
  <c r="R123" i="7" s="1"/>
  <c r="BH160" i="11"/>
  <c r="BF160" i="11"/>
  <c r="O123" i="7" s="1"/>
  <c r="BE160" i="11"/>
  <c r="N123" i="7" s="1"/>
  <c r="BD160" i="11"/>
  <c r="M123" i="7" s="1"/>
  <c r="BC160" i="11"/>
  <c r="L123" i="7" s="1"/>
  <c r="BA160" i="11"/>
  <c r="J123" i="7" s="1"/>
  <c r="AZ160" i="11"/>
  <c r="AY160" i="11"/>
  <c r="H123" i="7" s="1"/>
  <c r="AX160" i="11"/>
  <c r="G123" i="7" s="1"/>
  <c r="AV160" i="11"/>
  <c r="AU160" i="11"/>
  <c r="D123" i="7" s="1"/>
  <c r="AT160" i="11"/>
  <c r="C123" i="7" s="1"/>
  <c r="AS160" i="11"/>
  <c r="AR160" i="11"/>
  <c r="AQ160" i="11"/>
  <c r="AP160" i="11"/>
  <c r="AO160" i="11"/>
  <c r="AN160" i="11"/>
  <c r="AL160" i="11"/>
  <c r="AK160" i="11"/>
  <c r="AJ160" i="11"/>
  <c r="CG157" i="11"/>
  <c r="AP122" i="7" s="1"/>
  <c r="CC157" i="11"/>
  <c r="AL122" i="7" s="1"/>
  <c r="CB157" i="11"/>
  <c r="AK122" i="7" s="1"/>
  <c r="CA157" i="11"/>
  <c r="AJ122" i="7" s="1"/>
  <c r="BZ157" i="11"/>
  <c r="AI122" i="7" s="1"/>
  <c r="BY157" i="11"/>
  <c r="AH122" i="7" s="1"/>
  <c r="BX157" i="11"/>
  <c r="AG122" i="7" s="1"/>
  <c r="BW157" i="11"/>
  <c r="AF122" i="7" s="1"/>
  <c r="BV157" i="11"/>
  <c r="AE122" i="7" s="1"/>
  <c r="BU157" i="11"/>
  <c r="BT157" i="11"/>
  <c r="AC122" i="7" s="1"/>
  <c r="BS157" i="11"/>
  <c r="AB122" i="7" s="1"/>
  <c r="BR157" i="11"/>
  <c r="AA122" i="7" s="1"/>
  <c r="BQ157" i="11"/>
  <c r="Z122" i="7" s="1"/>
  <c r="BP157" i="11"/>
  <c r="Y122" i="7" s="1"/>
  <c r="BO157" i="11"/>
  <c r="X122" i="7" s="1"/>
  <c r="BN157" i="11"/>
  <c r="W122" i="7" s="1"/>
  <c r="BM157" i="11"/>
  <c r="V122" i="7" s="1"/>
  <c r="CG156" i="11"/>
  <c r="AP121" i="7" s="1"/>
  <c r="CD156" i="11"/>
  <c r="AM121" i="7" s="1"/>
  <c r="CC156" i="11"/>
  <c r="CB156" i="11"/>
  <c r="AK121" i="7" s="1"/>
  <c r="CA156" i="11"/>
  <c r="AJ121" i="7" s="1"/>
  <c r="BZ156" i="11"/>
  <c r="BY156" i="11"/>
  <c r="AH121" i="7" s="1"/>
  <c r="BX156" i="11"/>
  <c r="BW156" i="11"/>
  <c r="AF121" i="7" s="1"/>
  <c r="BV156" i="11"/>
  <c r="AE121" i="7" s="1"/>
  <c r="BU156" i="11"/>
  <c r="BT156" i="11"/>
  <c r="AC121" i="7" s="1"/>
  <c r="BS156" i="11"/>
  <c r="BR156" i="11"/>
  <c r="AA121" i="7" s="1"/>
  <c r="BQ156" i="11"/>
  <c r="Z121" i="7" s="1"/>
  <c r="BP156" i="11"/>
  <c r="BO156" i="11"/>
  <c r="X121" i="7" s="1"/>
  <c r="BN156" i="11"/>
  <c r="BM156" i="11"/>
  <c r="BL156" i="11"/>
  <c r="U121" i="7" s="1"/>
  <c r="BK156" i="11"/>
  <c r="BJ156" i="11"/>
  <c r="S121" i="7" s="1"/>
  <c r="BI156" i="11"/>
  <c r="R121" i="7" s="1"/>
  <c r="BH156" i="11"/>
  <c r="BG156" i="11"/>
  <c r="P121" i="7" s="1"/>
  <c r="BF156" i="11"/>
  <c r="BE156" i="11"/>
  <c r="BD156" i="11"/>
  <c r="M121" i="7" s="1"/>
  <c r="BC156" i="11"/>
  <c r="BA156" i="11"/>
  <c r="J121" i="7" s="1"/>
  <c r="AZ156" i="11"/>
  <c r="AY156" i="11"/>
  <c r="H121" i="7" s="1"/>
  <c r="AX156" i="11"/>
  <c r="G121" i="7" s="1"/>
  <c r="AW156" i="11"/>
  <c r="AV156" i="11"/>
  <c r="AU156" i="11"/>
  <c r="D121" i="7" s="1"/>
  <c r="AT156" i="11"/>
  <c r="AS156" i="11"/>
  <c r="AQ156" i="11"/>
  <c r="AP156" i="11"/>
  <c r="AO156" i="11"/>
  <c r="AN156" i="11"/>
  <c r="AL156" i="11"/>
  <c r="AK156" i="11"/>
  <c r="AJ156" i="11"/>
  <c r="C156" i="11"/>
  <c r="CW152" i="11"/>
  <c r="CV152" i="11"/>
  <c r="CQ152" i="11"/>
  <c r="CP152" i="11"/>
  <c r="CO152" i="11"/>
  <c r="CM152" i="11"/>
  <c r="CL152" i="11"/>
  <c r="CK152" i="11"/>
  <c r="CJ152" i="11"/>
  <c r="CI152" i="11"/>
  <c r="CH152" i="11"/>
  <c r="CG152" i="11"/>
  <c r="CF152" i="11"/>
  <c r="CE152" i="11"/>
  <c r="CD152" i="11"/>
  <c r="CC152" i="11"/>
  <c r="CB152" i="11"/>
  <c r="CA152" i="11"/>
  <c r="BZ152" i="11"/>
  <c r="BY152" i="11"/>
  <c r="BX152" i="11"/>
  <c r="BW152" i="11"/>
  <c r="BV152" i="11"/>
  <c r="BU152" i="11"/>
  <c r="BT152" i="11"/>
  <c r="BS152" i="11"/>
  <c r="BR152" i="11"/>
  <c r="BQ152" i="11"/>
  <c r="BP152" i="11"/>
  <c r="BO152" i="11"/>
  <c r="BN152" i="11"/>
  <c r="BM152" i="11"/>
  <c r="BL152" i="11"/>
  <c r="BK152" i="11"/>
  <c r="BJ152" i="11"/>
  <c r="BI152" i="11"/>
  <c r="BH152" i="11"/>
  <c r="BG152" i="11"/>
  <c r="BF152" i="11"/>
  <c r="BE152" i="11"/>
  <c r="BD152" i="11"/>
  <c r="BC152" i="11"/>
  <c r="BB152" i="11"/>
  <c r="BA152" i="11"/>
  <c r="AZ152" i="11"/>
  <c r="AY152" i="11"/>
  <c r="AX152" i="11"/>
  <c r="AW152" i="11"/>
  <c r="AV152" i="11"/>
  <c r="AU152" i="11"/>
  <c r="AT152" i="11"/>
  <c r="AS152" i="11"/>
  <c r="AR152" i="11"/>
  <c r="AQ152" i="11"/>
  <c r="AP152" i="11"/>
  <c r="AO152" i="11"/>
  <c r="AN152" i="11"/>
  <c r="AM152" i="11"/>
  <c r="AL152" i="11"/>
  <c r="AK152" i="11"/>
  <c r="AJ152" i="11"/>
  <c r="CW150" i="11"/>
  <c r="CV150" i="11"/>
  <c r="CQ150" i="11"/>
  <c r="CP150" i="11"/>
  <c r="CO150" i="11"/>
  <c r="CM150" i="11"/>
  <c r="CL150" i="11"/>
  <c r="CK150" i="11"/>
  <c r="CJ150" i="11"/>
  <c r="CI150" i="11"/>
  <c r="CH150" i="11"/>
  <c r="CG150" i="11"/>
  <c r="CF150" i="11"/>
  <c r="CE150" i="11"/>
  <c r="CD150" i="11"/>
  <c r="CC150" i="11"/>
  <c r="CB150" i="11"/>
  <c r="CA150" i="11"/>
  <c r="BZ150" i="11"/>
  <c r="BY150" i="11"/>
  <c r="BX150" i="11"/>
  <c r="BW150" i="11"/>
  <c r="BV150" i="11"/>
  <c r="BU150" i="11"/>
  <c r="BT150" i="11"/>
  <c r="BS150" i="11"/>
  <c r="BR150" i="11"/>
  <c r="BQ150" i="11"/>
  <c r="BP150" i="11"/>
  <c r="BO150" i="11"/>
  <c r="BN150" i="11"/>
  <c r="BM150" i="11"/>
  <c r="BL150" i="11"/>
  <c r="BK150" i="11"/>
  <c r="BJ150" i="11"/>
  <c r="BI150" i="11"/>
  <c r="BH150" i="11"/>
  <c r="BG150" i="11"/>
  <c r="BF150" i="11"/>
  <c r="BE150" i="11"/>
  <c r="BD150" i="11"/>
  <c r="BC150" i="11"/>
  <c r="BB150" i="11"/>
  <c r="BA150" i="11"/>
  <c r="AZ150" i="11"/>
  <c r="AY150" i="11"/>
  <c r="AX150" i="11"/>
  <c r="AW150" i="11"/>
  <c r="AV150" i="11"/>
  <c r="AU150" i="11"/>
  <c r="AT150" i="11"/>
  <c r="AS150" i="11"/>
  <c r="AR150" i="11"/>
  <c r="AQ150" i="11"/>
  <c r="AP150" i="11"/>
  <c r="AO150" i="11"/>
  <c r="AN150" i="11"/>
  <c r="AM150" i="11"/>
  <c r="AL150" i="11"/>
  <c r="AK150" i="11"/>
  <c r="AJ150" i="11"/>
  <c r="BM148" i="11"/>
  <c r="BL148" i="11"/>
  <c r="BK148" i="11"/>
  <c r="BJ148" i="11"/>
  <c r="BI148" i="11"/>
  <c r="BH148" i="11"/>
  <c r="BG148" i="11"/>
  <c r="BF148" i="11"/>
  <c r="BE148" i="11"/>
  <c r="BD148" i="11"/>
  <c r="BC148" i="11"/>
  <c r="BB148" i="11"/>
  <c r="BA148" i="11"/>
  <c r="AZ148" i="11"/>
  <c r="AY148" i="11"/>
  <c r="AX148" i="11"/>
  <c r="AW148" i="11"/>
  <c r="AV148" i="11"/>
  <c r="AU148" i="11"/>
  <c r="AT148" i="11"/>
  <c r="AS148" i="11"/>
  <c r="AR148" i="11"/>
  <c r="AQ148" i="11"/>
  <c r="AP148" i="11"/>
  <c r="AO148" i="11"/>
  <c r="AN148" i="11"/>
  <c r="AM148" i="11"/>
  <c r="AL148" i="11"/>
  <c r="AK148" i="11"/>
  <c r="AJ148" i="11"/>
  <c r="BM147" i="11"/>
  <c r="BL147" i="11"/>
  <c r="BK147" i="11"/>
  <c r="BJ147" i="11"/>
  <c r="BI147" i="11"/>
  <c r="BH147" i="11"/>
  <c r="BG147" i="11"/>
  <c r="BF147" i="11"/>
  <c r="BE147" i="11"/>
  <c r="BD147" i="11"/>
  <c r="BC147" i="11"/>
  <c r="BB147" i="11"/>
  <c r="BA147" i="11"/>
  <c r="AZ147" i="11"/>
  <c r="AY147" i="11"/>
  <c r="AX147" i="11"/>
  <c r="AW147" i="11"/>
  <c r="AV147" i="11"/>
  <c r="AU147" i="11"/>
  <c r="AT147" i="11"/>
  <c r="AS147" i="11"/>
  <c r="AR147" i="11"/>
  <c r="AQ147" i="11"/>
  <c r="AP147" i="11"/>
  <c r="AO147" i="11"/>
  <c r="AN147" i="11"/>
  <c r="AM147" i="11"/>
  <c r="AL147" i="11"/>
  <c r="AK147" i="11"/>
  <c r="AJ147" i="11"/>
  <c r="AI143" i="11"/>
  <c r="AI103" i="11" s="1"/>
  <c r="AH143" i="11"/>
  <c r="AG143" i="11"/>
  <c r="AF143" i="11"/>
  <c r="AF103" i="11" s="1"/>
  <c r="AE143" i="11"/>
  <c r="AC143" i="11"/>
  <c r="AC103" i="11" s="1"/>
  <c r="AB143" i="11"/>
  <c r="AA143" i="11"/>
  <c r="AA103" i="11" s="1"/>
  <c r="Z143" i="11"/>
  <c r="Y143" i="11"/>
  <c r="Y103" i="11" s="1"/>
  <c r="X143" i="11"/>
  <c r="W143" i="11"/>
  <c r="W103" i="11" s="1"/>
  <c r="V143" i="11"/>
  <c r="V103" i="11" s="1"/>
  <c r="U143" i="11"/>
  <c r="U103" i="11" s="1"/>
  <c r="T143" i="11"/>
  <c r="S143" i="11"/>
  <c r="S103" i="11" s="1"/>
  <c r="R143" i="11"/>
  <c r="R103" i="11" s="1"/>
  <c r="Q143" i="11"/>
  <c r="Q103" i="11" s="1"/>
  <c r="P143" i="11"/>
  <c r="O143" i="11"/>
  <c r="M143" i="11"/>
  <c r="M103" i="11" s="1"/>
  <c r="L143" i="11"/>
  <c r="L103" i="11" s="1"/>
  <c r="K143" i="11"/>
  <c r="J143" i="11"/>
  <c r="J103" i="11" s="1"/>
  <c r="CG142" i="11"/>
  <c r="BQ142" i="11"/>
  <c r="BQ141" i="11"/>
  <c r="BL142" i="11"/>
  <c r="BL141" i="11"/>
  <c r="BG142" i="11"/>
  <c r="BG141" i="11"/>
  <c r="BB142" i="11"/>
  <c r="BB141" i="11"/>
  <c r="AW142" i="11"/>
  <c r="AW141" i="11"/>
  <c r="AS142" i="11"/>
  <c r="AS141" i="11"/>
  <c r="AN142" i="11"/>
  <c r="AN141" i="11"/>
  <c r="AI142" i="11"/>
  <c r="AI141" i="11"/>
  <c r="AD142" i="11"/>
  <c r="AD141" i="11"/>
  <c r="Y142" i="11"/>
  <c r="Y141" i="11"/>
  <c r="T142" i="11"/>
  <c r="T141" i="11"/>
  <c r="BW141" i="11"/>
  <c r="N142" i="11"/>
  <c r="O142" i="11" s="1"/>
  <c r="O141" i="11"/>
  <c r="N141" i="11"/>
  <c r="I142" i="11"/>
  <c r="J142" i="11" s="1"/>
  <c r="I141" i="11"/>
  <c r="J141" i="11" s="1"/>
  <c r="C140" i="11"/>
  <c r="C153" i="11" s="1"/>
  <c r="C139" i="11"/>
  <c r="C152" i="11" s="1"/>
  <c r="N139" i="11"/>
  <c r="J139" i="11"/>
  <c r="I139" i="11"/>
  <c r="CH138" i="11"/>
  <c r="CF138" i="11"/>
  <c r="CE138" i="11"/>
  <c r="CD138" i="11"/>
  <c r="CC138" i="11"/>
  <c r="CA138" i="11"/>
  <c r="BZ138" i="11"/>
  <c r="BY138" i="11"/>
  <c r="BX138" i="11"/>
  <c r="BV138" i="11"/>
  <c r="BU138" i="11"/>
  <c r="BT138" i="11"/>
  <c r="BS138" i="11"/>
  <c r="BQ138" i="11"/>
  <c r="BP138" i="11"/>
  <c r="BO138" i="11"/>
  <c r="BN138" i="11"/>
  <c r="BL138" i="11"/>
  <c r="BK138" i="11"/>
  <c r="BJ138" i="11"/>
  <c r="BI138" i="11"/>
  <c r="CZ135" i="11"/>
  <c r="CZ134" i="11"/>
  <c r="C137" i="11"/>
  <c r="C150" i="11" s="1"/>
  <c r="C136" i="11"/>
  <c r="C149" i="11" s="1"/>
  <c r="C135" i="11"/>
  <c r="C148" i="11" s="1"/>
  <c r="C134" i="11"/>
  <c r="C147" i="11" s="1"/>
  <c r="CH136" i="11"/>
  <c r="CF136" i="11"/>
  <c r="CE136" i="11"/>
  <c r="CD136" i="11"/>
  <c r="CC136" i="11"/>
  <c r="CA136" i="11"/>
  <c r="BZ136" i="11"/>
  <c r="BY136" i="11"/>
  <c r="BX136" i="11"/>
  <c r="BV136" i="11"/>
  <c r="BU136" i="11"/>
  <c r="BT136" i="11"/>
  <c r="BS136" i="11"/>
  <c r="BQ136" i="11"/>
  <c r="BP136" i="11"/>
  <c r="BO136" i="11"/>
  <c r="BN136" i="11"/>
  <c r="BL136" i="11"/>
  <c r="BK136" i="11"/>
  <c r="BJ136" i="11"/>
  <c r="BI136" i="11"/>
  <c r="BG136" i="11"/>
  <c r="BF136" i="11"/>
  <c r="BE136" i="11"/>
  <c r="BD136" i="11"/>
  <c r="BB136" i="11"/>
  <c r="BA136" i="11"/>
  <c r="AZ136" i="11"/>
  <c r="AY136" i="11"/>
  <c r="AX136" i="11"/>
  <c r="AW136" i="11"/>
  <c r="AV136" i="11"/>
  <c r="AU136" i="11"/>
  <c r="AT136" i="11"/>
  <c r="AS136" i="11"/>
  <c r="AR136" i="11"/>
  <c r="AQ136" i="11"/>
  <c r="AP136" i="11"/>
  <c r="AO136" i="11"/>
  <c r="AN136" i="11"/>
  <c r="AM136" i="11"/>
  <c r="AL136" i="11"/>
  <c r="AK136" i="11"/>
  <c r="AJ136" i="11"/>
  <c r="AI136" i="11"/>
  <c r="AH136" i="11"/>
  <c r="AG136" i="11"/>
  <c r="AF136" i="11"/>
  <c r="AE136" i="11"/>
  <c r="AD136" i="11"/>
  <c r="AC136" i="11"/>
  <c r="AB136" i="11"/>
  <c r="AA136" i="11"/>
  <c r="Z136" i="11"/>
  <c r="Y136" i="11"/>
  <c r="X136" i="11"/>
  <c r="W136" i="11"/>
  <c r="V136" i="11"/>
  <c r="U136" i="11"/>
  <c r="T136" i="11"/>
  <c r="S136" i="11"/>
  <c r="R136" i="11"/>
  <c r="Q136" i="11"/>
  <c r="P136" i="11"/>
  <c r="O136" i="11"/>
  <c r="N136" i="11"/>
  <c r="M136" i="11"/>
  <c r="L136" i="11"/>
  <c r="K136" i="11"/>
  <c r="J136" i="11"/>
  <c r="CH133" i="11"/>
  <c r="CF133" i="11"/>
  <c r="CE133" i="11"/>
  <c r="CD133" i="11"/>
  <c r="CC133" i="11"/>
  <c r="CA133" i="11"/>
  <c r="BZ133" i="11"/>
  <c r="BY133" i="11"/>
  <c r="BX133" i="11"/>
  <c r="BV133" i="11"/>
  <c r="BU133" i="11"/>
  <c r="BT133" i="11"/>
  <c r="BS133" i="11"/>
  <c r="BR133" i="11"/>
  <c r="BQ133" i="11"/>
  <c r="BP133" i="11"/>
  <c r="BO133" i="11"/>
  <c r="BN133" i="11"/>
  <c r="BM133" i="11"/>
  <c r="BL133" i="11"/>
  <c r="BK133" i="11"/>
  <c r="BJ133" i="11"/>
  <c r="BI133" i="11"/>
  <c r="CH132" i="11"/>
  <c r="CG132" i="11"/>
  <c r="CF132" i="11"/>
  <c r="CE132" i="11"/>
  <c r="CD132" i="11"/>
  <c r="CC132" i="11"/>
  <c r="CA132" i="11"/>
  <c r="BZ132" i="11"/>
  <c r="BY132" i="11"/>
  <c r="BX132" i="11"/>
  <c r="BV132" i="11"/>
  <c r="BU132" i="11"/>
  <c r="BT132" i="11"/>
  <c r="BS132" i="11"/>
  <c r="BR132" i="11"/>
  <c r="BQ132" i="11"/>
  <c r="BP132" i="11"/>
  <c r="BO132" i="11"/>
  <c r="BN132" i="11"/>
  <c r="BL132" i="11"/>
  <c r="BK132" i="11"/>
  <c r="BJ132" i="11"/>
  <c r="BI132" i="11"/>
  <c r="BG132" i="11"/>
  <c r="BF132" i="11"/>
  <c r="BE132" i="11"/>
  <c r="BD132" i="11"/>
  <c r="BC132" i="11"/>
  <c r="BB132" i="11"/>
  <c r="BA132" i="11"/>
  <c r="AZ132" i="11"/>
  <c r="AY132" i="11"/>
  <c r="AW132" i="11"/>
  <c r="AV132" i="11"/>
  <c r="AU132" i="11"/>
  <c r="AT132" i="11"/>
  <c r="AS132" i="11"/>
  <c r="AR132" i="11"/>
  <c r="AQ132" i="11"/>
  <c r="AP132" i="11"/>
  <c r="AO132" i="11"/>
  <c r="AN132" i="11"/>
  <c r="AM132" i="11"/>
  <c r="AL132" i="11"/>
  <c r="AK132" i="11"/>
  <c r="AJ132" i="11"/>
  <c r="AI132" i="11"/>
  <c r="AH132" i="11"/>
  <c r="AG132" i="11"/>
  <c r="AF132" i="11"/>
  <c r="AE132" i="11"/>
  <c r="AD132" i="11"/>
  <c r="AC132" i="11"/>
  <c r="AB132" i="11"/>
  <c r="AA132" i="11"/>
  <c r="Z132" i="11"/>
  <c r="Y132" i="11"/>
  <c r="X132" i="11"/>
  <c r="W132" i="11"/>
  <c r="V132" i="11"/>
  <c r="U132" i="11"/>
  <c r="T132" i="11"/>
  <c r="S132" i="11"/>
  <c r="R132" i="11"/>
  <c r="Q132" i="11"/>
  <c r="P132" i="11"/>
  <c r="O132" i="11"/>
  <c r="N132" i="11"/>
  <c r="M132" i="11"/>
  <c r="L132" i="11"/>
  <c r="K132" i="11"/>
  <c r="J132" i="11"/>
  <c r="C132" i="11"/>
  <c r="C145" i="11" s="1"/>
  <c r="CG129" i="11"/>
  <c r="CG128" i="11"/>
  <c r="CB129" i="11"/>
  <c r="CB128" i="11"/>
  <c r="BW129" i="11"/>
  <c r="BW128" i="11"/>
  <c r="BR129" i="11"/>
  <c r="BM129" i="11"/>
  <c r="BM128" i="11"/>
  <c r="BH129" i="11"/>
  <c r="BH128" i="11"/>
  <c r="BN128" i="11"/>
  <c r="BR128" i="11" s="1"/>
  <c r="BB128" i="11"/>
  <c r="AX128" i="11"/>
  <c r="AW128" i="11"/>
  <c r="AS128" i="11"/>
  <c r="AO128" i="11"/>
  <c r="AN128" i="11"/>
  <c r="AI128" i="11"/>
  <c r="AF128" i="11"/>
  <c r="AD128" i="11"/>
  <c r="C127" i="11"/>
  <c r="C126" i="11"/>
  <c r="CW125" i="11"/>
  <c r="CV125" i="11"/>
  <c r="CQ125" i="11"/>
  <c r="CP125" i="11"/>
  <c r="CO125" i="11"/>
  <c r="CN125" i="11"/>
  <c r="CM125" i="11"/>
  <c r="CL125" i="11"/>
  <c r="CK125" i="11"/>
  <c r="CI125" i="11"/>
  <c r="CH125" i="11"/>
  <c r="CG125" i="11"/>
  <c r="CF125" i="11"/>
  <c r="CE125" i="11"/>
  <c r="CD125" i="11"/>
  <c r="CC125" i="11"/>
  <c r="CB125" i="11"/>
  <c r="CA125" i="11"/>
  <c r="BZ125" i="11"/>
  <c r="BY125" i="11"/>
  <c r="BX125" i="11"/>
  <c r="BW125" i="11"/>
  <c r="BV125" i="11"/>
  <c r="BU125" i="11"/>
  <c r="BT125" i="11"/>
  <c r="BS125" i="11"/>
  <c r="BR125" i="11"/>
  <c r="BQ125" i="11"/>
  <c r="BP125" i="11"/>
  <c r="BO125" i="11"/>
  <c r="BN125" i="11"/>
  <c r="BM125" i="11"/>
  <c r="BL125" i="11"/>
  <c r="BK125" i="11"/>
  <c r="BJ125" i="11"/>
  <c r="BI125" i="11"/>
  <c r="C124" i="11"/>
  <c r="C123" i="11"/>
  <c r="C122" i="11"/>
  <c r="C121" i="11"/>
  <c r="CW123" i="11"/>
  <c r="CV123" i="11"/>
  <c r="CQ123" i="11"/>
  <c r="CP123" i="11"/>
  <c r="CO123" i="11"/>
  <c r="CN123" i="11"/>
  <c r="CM123" i="11"/>
  <c r="CL123" i="11"/>
  <c r="CK123" i="11"/>
  <c r="CJ123" i="11"/>
  <c r="CI123" i="11"/>
  <c r="CH123" i="11"/>
  <c r="CG123" i="11"/>
  <c r="CF123" i="11"/>
  <c r="CE123" i="11"/>
  <c r="CD123" i="11"/>
  <c r="CC123" i="11"/>
  <c r="CB123" i="11"/>
  <c r="CA123" i="11"/>
  <c r="BZ123" i="11"/>
  <c r="BY123" i="11"/>
  <c r="BX123" i="11"/>
  <c r="BW123" i="11"/>
  <c r="BV123" i="11"/>
  <c r="BU123" i="11"/>
  <c r="BT123" i="11"/>
  <c r="BS123" i="11"/>
  <c r="BR123" i="11"/>
  <c r="BQ123" i="11"/>
  <c r="BP123" i="11"/>
  <c r="BO123" i="11"/>
  <c r="BN123" i="11"/>
  <c r="BM123" i="11"/>
  <c r="BL123" i="11"/>
  <c r="BK123" i="11"/>
  <c r="BJ123" i="11"/>
  <c r="BI123" i="11"/>
  <c r="BH123" i="11"/>
  <c r="BG123" i="11"/>
  <c r="BF123" i="11"/>
  <c r="BE123" i="11"/>
  <c r="BD123" i="11"/>
  <c r="BC123" i="11"/>
  <c r="BB123" i="11"/>
  <c r="BA123" i="11"/>
  <c r="AZ123" i="11"/>
  <c r="AY123" i="11"/>
  <c r="AX123" i="11"/>
  <c r="AW123" i="11"/>
  <c r="AV123" i="11"/>
  <c r="AU123" i="11"/>
  <c r="AT123" i="11"/>
  <c r="AS123" i="11"/>
  <c r="AR123" i="11"/>
  <c r="AQ123" i="11"/>
  <c r="AP123" i="11"/>
  <c r="AO123" i="11"/>
  <c r="AN123" i="11"/>
  <c r="AM123" i="11"/>
  <c r="AL123" i="11"/>
  <c r="AK123" i="11"/>
  <c r="AJ123" i="11"/>
  <c r="AI123" i="11"/>
  <c r="AH123" i="11"/>
  <c r="AG123" i="11"/>
  <c r="AF123" i="11"/>
  <c r="AE123" i="11"/>
  <c r="AD123" i="11"/>
  <c r="AC123" i="11"/>
  <c r="AB123" i="11"/>
  <c r="AA123" i="11"/>
  <c r="Z123" i="11"/>
  <c r="Y123" i="11"/>
  <c r="X123" i="11"/>
  <c r="W123" i="11"/>
  <c r="V123" i="11"/>
  <c r="U123" i="11"/>
  <c r="T123" i="11"/>
  <c r="S123" i="11"/>
  <c r="R123" i="11"/>
  <c r="Q123" i="11"/>
  <c r="P123" i="11"/>
  <c r="O123" i="11"/>
  <c r="N123" i="11"/>
  <c r="M123" i="11"/>
  <c r="L123" i="11"/>
  <c r="K123" i="11"/>
  <c r="J123" i="11"/>
  <c r="I123" i="11"/>
  <c r="H123" i="11"/>
  <c r="G123" i="11"/>
  <c r="F123" i="11"/>
  <c r="CW120" i="11"/>
  <c r="CV120" i="11"/>
  <c r="CP120" i="11"/>
  <c r="CO120" i="11"/>
  <c r="CN120" i="11"/>
  <c r="CL120" i="11"/>
  <c r="CK120" i="11"/>
  <c r="CH120" i="11"/>
  <c r="CF120" i="11"/>
  <c r="CE120" i="11"/>
  <c r="CD120" i="11"/>
  <c r="CC120" i="11"/>
  <c r="CB120" i="11"/>
  <c r="CA120" i="11"/>
  <c r="BZ120" i="11"/>
  <c r="BY120" i="11"/>
  <c r="BX120" i="11"/>
  <c r="BW120" i="11"/>
  <c r="BV120" i="11"/>
  <c r="BU120" i="11"/>
  <c r="BT120" i="11"/>
  <c r="BS120" i="11"/>
  <c r="BR120" i="11"/>
  <c r="BQ120" i="11"/>
  <c r="BP120" i="11"/>
  <c r="BO120" i="11"/>
  <c r="BN120" i="11"/>
  <c r="BM120" i="11"/>
  <c r="BL120" i="11"/>
  <c r="BK120" i="11"/>
  <c r="BJ120" i="11"/>
  <c r="BI120" i="11"/>
  <c r="CW119" i="11"/>
  <c r="CV119" i="11"/>
  <c r="CQ119" i="11"/>
  <c r="CP119" i="11"/>
  <c r="CO119" i="11"/>
  <c r="CN119" i="11"/>
  <c r="CM119" i="11"/>
  <c r="CL119" i="11"/>
  <c r="CK119" i="11"/>
  <c r="CJ119" i="11"/>
  <c r="CI119" i="11"/>
  <c r="CH119" i="11"/>
  <c r="CG119" i="11"/>
  <c r="CF119" i="11"/>
  <c r="CE119" i="11"/>
  <c r="CD119" i="11"/>
  <c r="CC119" i="11"/>
  <c r="CB119" i="11"/>
  <c r="CA119" i="11"/>
  <c r="BZ119" i="11"/>
  <c r="BY119" i="11"/>
  <c r="BX119" i="11"/>
  <c r="BW119" i="11"/>
  <c r="BV119" i="11"/>
  <c r="BU119" i="11"/>
  <c r="BT119" i="11"/>
  <c r="BS119" i="11"/>
  <c r="BR119" i="11"/>
  <c r="BQ119" i="11"/>
  <c r="BP119" i="11"/>
  <c r="BO119" i="11"/>
  <c r="BN119" i="11"/>
  <c r="BM119" i="11"/>
  <c r="BL119" i="11"/>
  <c r="BK119" i="11"/>
  <c r="BJ119" i="11"/>
  <c r="BI119" i="11"/>
  <c r="BH119" i="11"/>
  <c r="BG119" i="11"/>
  <c r="BF119" i="11"/>
  <c r="BE119" i="11"/>
  <c r="BD119" i="11"/>
  <c r="BC119" i="11"/>
  <c r="BB119" i="11"/>
  <c r="BA119" i="11"/>
  <c r="AZ119" i="11"/>
  <c r="AY119" i="11"/>
  <c r="AX119" i="11"/>
  <c r="AW119" i="11"/>
  <c r="AV119" i="11"/>
  <c r="AV130" i="11" s="1"/>
  <c r="AV44" i="8" s="1"/>
  <c r="AU119" i="11"/>
  <c r="AT119" i="11"/>
  <c r="AS119" i="11"/>
  <c r="AR119" i="11"/>
  <c r="AQ119" i="11"/>
  <c r="AP119" i="11"/>
  <c r="AO119" i="11"/>
  <c r="AN119" i="11"/>
  <c r="AM119" i="11"/>
  <c r="AL119" i="11"/>
  <c r="AK119" i="11"/>
  <c r="AJ119" i="11"/>
  <c r="AI119" i="11"/>
  <c r="AH119" i="11"/>
  <c r="AG119" i="11"/>
  <c r="AF119" i="11"/>
  <c r="AF130" i="11" s="1"/>
  <c r="AE119" i="11"/>
  <c r="AD119" i="11"/>
  <c r="AC119" i="11"/>
  <c r="AB119" i="11"/>
  <c r="AA119" i="11"/>
  <c r="Z119" i="11"/>
  <c r="Y119" i="11"/>
  <c r="X119" i="11"/>
  <c r="W119" i="11"/>
  <c r="V119" i="11"/>
  <c r="U119" i="11"/>
  <c r="T119" i="11"/>
  <c r="S119" i="11"/>
  <c r="R119" i="11"/>
  <c r="Q119" i="11"/>
  <c r="P119" i="11"/>
  <c r="O119" i="11"/>
  <c r="N119" i="11"/>
  <c r="M119" i="11"/>
  <c r="L119" i="11"/>
  <c r="K119" i="11"/>
  <c r="J119" i="11"/>
  <c r="I119" i="11"/>
  <c r="H119" i="11"/>
  <c r="G119" i="11"/>
  <c r="F119" i="11"/>
  <c r="BR116" i="11"/>
  <c r="BR115" i="11"/>
  <c r="BM116" i="11"/>
  <c r="BM115" i="11"/>
  <c r="BH116" i="11"/>
  <c r="BH115" i="11"/>
  <c r="BC116" i="11"/>
  <c r="AX116" i="11"/>
  <c r="AS116" i="11"/>
  <c r="AN116" i="11"/>
  <c r="AI116" i="11"/>
  <c r="AD116" i="11"/>
  <c r="Y116" i="11"/>
  <c r="T116" i="11"/>
  <c r="O116" i="11"/>
  <c r="J116" i="11"/>
  <c r="CQ115" i="11"/>
  <c r="CG115" i="11"/>
  <c r="CB115" i="11"/>
  <c r="BW115" i="11"/>
  <c r="BB115" i="11"/>
  <c r="W115" i="11"/>
  <c r="R115" i="11"/>
  <c r="R113" i="11"/>
  <c r="T85" i="11"/>
  <c r="P85" i="11"/>
  <c r="O85" i="11"/>
  <c r="N85" i="11"/>
  <c r="K85" i="11"/>
  <c r="G85" i="11"/>
  <c r="F85" i="11"/>
  <c r="CG113" i="11"/>
  <c r="CG84" i="11" s="1"/>
  <c r="CG98" i="11" s="1"/>
  <c r="CG112" i="11"/>
  <c r="O113" i="11"/>
  <c r="N113" i="11"/>
  <c r="J113" i="11"/>
  <c r="CM112" i="11"/>
  <c r="CJ112" i="11"/>
  <c r="CI112" i="11"/>
  <c r="CH112" i="11"/>
  <c r="CF112" i="11"/>
  <c r="CE112" i="11"/>
  <c r="CD112" i="11"/>
  <c r="CC112" i="11"/>
  <c r="CB112" i="11"/>
  <c r="CA112" i="11"/>
  <c r="BZ112" i="11"/>
  <c r="BY112" i="11"/>
  <c r="BX112" i="11"/>
  <c r="BW112" i="11"/>
  <c r="BV112" i="11"/>
  <c r="BU112" i="11"/>
  <c r="BT112" i="11"/>
  <c r="BS112" i="11"/>
  <c r="BR112" i="11"/>
  <c r="BQ112" i="11"/>
  <c r="BP112" i="11"/>
  <c r="BO112" i="11"/>
  <c r="BN112" i="11"/>
  <c r="BM112" i="11"/>
  <c r="BL112" i="11"/>
  <c r="BK112" i="11"/>
  <c r="BJ112" i="11"/>
  <c r="BI112" i="11"/>
  <c r="C111" i="11"/>
  <c r="C109" i="11"/>
  <c r="C108" i="11"/>
  <c r="CJ110" i="11"/>
  <c r="CI110" i="11"/>
  <c r="CH110" i="11"/>
  <c r="CG110" i="11"/>
  <c r="CF110" i="11"/>
  <c r="CE110" i="11"/>
  <c r="CD110" i="11"/>
  <c r="CC110" i="11"/>
  <c r="CB110" i="11"/>
  <c r="CA110" i="11"/>
  <c r="BZ110" i="11"/>
  <c r="BY110" i="11"/>
  <c r="BX110" i="11"/>
  <c r="BW110" i="11"/>
  <c r="BV110" i="11"/>
  <c r="BU110" i="11"/>
  <c r="BT110" i="11"/>
  <c r="BS110" i="11"/>
  <c r="BR110" i="11"/>
  <c r="BQ110" i="11"/>
  <c r="BP110" i="11"/>
  <c r="BO110" i="11"/>
  <c r="BN110" i="11"/>
  <c r="BL110" i="11"/>
  <c r="BK110" i="11"/>
  <c r="BJ110" i="11"/>
  <c r="BI110" i="11"/>
  <c r="BH110" i="11"/>
  <c r="BG110" i="11"/>
  <c r="BF110" i="11"/>
  <c r="BE110" i="11"/>
  <c r="BD110" i="11"/>
  <c r="BC110" i="11"/>
  <c r="BB110" i="11"/>
  <c r="BA110" i="11"/>
  <c r="AZ110" i="11"/>
  <c r="AY110" i="11"/>
  <c r="AX110" i="11"/>
  <c r="AW110" i="11"/>
  <c r="AV110" i="11"/>
  <c r="AU110" i="11"/>
  <c r="AT110" i="11"/>
  <c r="AS110" i="11"/>
  <c r="AR110" i="11"/>
  <c r="AQ110" i="11"/>
  <c r="AP110" i="11"/>
  <c r="AO110" i="11"/>
  <c r="AN110" i="11"/>
  <c r="AM110" i="11"/>
  <c r="AL110" i="11"/>
  <c r="AK110" i="11"/>
  <c r="AJ110" i="11"/>
  <c r="AI110" i="11"/>
  <c r="AH110" i="11"/>
  <c r="AG110" i="11"/>
  <c r="AF110" i="11"/>
  <c r="AE110" i="11"/>
  <c r="AD110" i="11"/>
  <c r="AC110" i="11"/>
  <c r="AB110" i="11"/>
  <c r="AA110" i="11"/>
  <c r="Z110" i="11"/>
  <c r="Y110" i="11"/>
  <c r="X110" i="11"/>
  <c r="U110" i="11"/>
  <c r="T110" i="11"/>
  <c r="S110" i="11"/>
  <c r="Q110" i="11"/>
  <c r="U27" i="12" s="1"/>
  <c r="P110" i="11"/>
  <c r="O110" i="11"/>
  <c r="N110" i="11"/>
  <c r="M110" i="11"/>
  <c r="L110" i="11"/>
  <c r="K110" i="11"/>
  <c r="J110" i="11"/>
  <c r="I110" i="11"/>
  <c r="H110" i="11"/>
  <c r="G110" i="11"/>
  <c r="F110" i="11"/>
  <c r="F82" i="11" s="1"/>
  <c r="CL107" i="11"/>
  <c r="CJ107" i="11"/>
  <c r="CI107" i="11"/>
  <c r="CH107" i="11"/>
  <c r="CG107" i="11"/>
  <c r="CF107" i="11"/>
  <c r="CE107" i="11"/>
  <c r="CD107" i="11"/>
  <c r="CC107" i="11"/>
  <c r="CB107" i="11"/>
  <c r="CA107" i="11"/>
  <c r="BZ107" i="11"/>
  <c r="BY107" i="11"/>
  <c r="BX107" i="11"/>
  <c r="BW107" i="11"/>
  <c r="BV107" i="11"/>
  <c r="BU107" i="11"/>
  <c r="BT107" i="11"/>
  <c r="BS107" i="11"/>
  <c r="BQ107" i="11"/>
  <c r="BP107" i="11"/>
  <c r="BO107" i="11"/>
  <c r="BN107" i="11"/>
  <c r="BL107" i="11"/>
  <c r="BK107" i="11"/>
  <c r="BJ107" i="11"/>
  <c r="BI107" i="11"/>
  <c r="CQ106" i="11"/>
  <c r="CL106" i="11"/>
  <c r="CJ106" i="11"/>
  <c r="CI106" i="11"/>
  <c r="CH106" i="11"/>
  <c r="CG106" i="11"/>
  <c r="CF106" i="11"/>
  <c r="CE106" i="11"/>
  <c r="CD106" i="11"/>
  <c r="CC106" i="11"/>
  <c r="CB106" i="11"/>
  <c r="CA106" i="11"/>
  <c r="BZ106" i="11"/>
  <c r="BY106" i="11"/>
  <c r="BX106" i="11"/>
  <c r="BW106" i="11"/>
  <c r="BV106" i="11"/>
  <c r="BU106" i="11"/>
  <c r="BT106" i="11"/>
  <c r="BS106" i="11"/>
  <c r="BR106" i="11"/>
  <c r="BQ106" i="11"/>
  <c r="BP106" i="11"/>
  <c r="BO106" i="11"/>
  <c r="BN106" i="11"/>
  <c r="BM106" i="11"/>
  <c r="BL106" i="11"/>
  <c r="BK106" i="11"/>
  <c r="BJ106" i="11"/>
  <c r="BI106" i="11"/>
  <c r="BH106" i="11"/>
  <c r="BG106" i="11"/>
  <c r="BF106" i="11"/>
  <c r="BE106" i="11"/>
  <c r="BD106" i="11"/>
  <c r="BC106" i="11"/>
  <c r="BC117" i="11" s="1"/>
  <c r="BB106" i="11"/>
  <c r="BA106" i="11"/>
  <c r="AZ106" i="11"/>
  <c r="AY106" i="11"/>
  <c r="AX106" i="11"/>
  <c r="AW106" i="11"/>
  <c r="AV106" i="11"/>
  <c r="AU106" i="11"/>
  <c r="AU117" i="11" s="1"/>
  <c r="AU43" i="8" s="1"/>
  <c r="AT106" i="11"/>
  <c r="AS106" i="11"/>
  <c r="AR106" i="11"/>
  <c r="AQ106" i="11"/>
  <c r="AP106" i="11"/>
  <c r="AO106" i="11"/>
  <c r="AN106" i="11"/>
  <c r="AM106" i="11"/>
  <c r="AM117" i="11" s="1"/>
  <c r="AM43" i="8" s="1"/>
  <c r="AL106" i="11"/>
  <c r="AK106" i="11"/>
  <c r="AJ106" i="11"/>
  <c r="AI106" i="11"/>
  <c r="AH106" i="11"/>
  <c r="AG106" i="11"/>
  <c r="AF106" i="11"/>
  <c r="AE106" i="11"/>
  <c r="AE117" i="11" s="1"/>
  <c r="AD106" i="11"/>
  <c r="AC106" i="11"/>
  <c r="AB106" i="11"/>
  <c r="AA106" i="11"/>
  <c r="Z106" i="11"/>
  <c r="Y106" i="11"/>
  <c r="X106" i="11"/>
  <c r="V106" i="11"/>
  <c r="U106" i="11"/>
  <c r="U117" i="11" s="1"/>
  <c r="T106" i="11"/>
  <c r="S106" i="11"/>
  <c r="P106" i="11"/>
  <c r="O106" i="11"/>
  <c r="N106" i="11"/>
  <c r="M106" i="11"/>
  <c r="L106" i="11"/>
  <c r="K106" i="11"/>
  <c r="J106" i="11"/>
  <c r="I106" i="11"/>
  <c r="I78" i="11" s="1"/>
  <c r="H106" i="11"/>
  <c r="H78" i="11" s="1"/>
  <c r="G106" i="11"/>
  <c r="G78" i="11" s="1"/>
  <c r="F106" i="11"/>
  <c r="F78" i="11" s="1"/>
  <c r="C106" i="11"/>
  <c r="AH103" i="11"/>
  <c r="AG103" i="11"/>
  <c r="AB103" i="11"/>
  <c r="X103" i="11"/>
  <c r="T103" i="11"/>
  <c r="P103" i="11"/>
  <c r="K103" i="11"/>
  <c r="I103" i="11"/>
  <c r="H103" i="11"/>
  <c r="G103" i="11"/>
  <c r="F103" i="11"/>
  <c r="BQ102" i="11"/>
  <c r="AT102" i="11"/>
  <c r="N101" i="11"/>
  <c r="I101" i="11"/>
  <c r="CP98" i="11"/>
  <c r="CO98" i="11"/>
  <c r="CM98" i="11"/>
  <c r="CK98" i="11"/>
  <c r="CJ98" i="11"/>
  <c r="CI98" i="11"/>
  <c r="CH98" i="11"/>
  <c r="CF98" i="11"/>
  <c r="CE98" i="11"/>
  <c r="CD98" i="11"/>
  <c r="CC98" i="11"/>
  <c r="CA98" i="11"/>
  <c r="BZ98" i="11"/>
  <c r="BY98" i="11"/>
  <c r="BX98" i="11"/>
  <c r="BR98" i="11"/>
  <c r="BM98" i="11"/>
  <c r="BL98" i="11"/>
  <c r="BK98" i="11"/>
  <c r="BJ98" i="11"/>
  <c r="BI98" i="11"/>
  <c r="BH98" i="11"/>
  <c r="BG98" i="11"/>
  <c r="BF98" i="11"/>
  <c r="BE98" i="11"/>
  <c r="BD98" i="11"/>
  <c r="BC98" i="11"/>
  <c r="BB98" i="11"/>
  <c r="BA98" i="11"/>
  <c r="AZ98" i="11"/>
  <c r="AY98" i="11"/>
  <c r="AX98" i="11"/>
  <c r="AW98" i="11"/>
  <c r="AV98" i="11"/>
  <c r="AU98" i="11"/>
  <c r="AT98" i="11"/>
  <c r="AS98" i="11"/>
  <c r="AR98" i="11"/>
  <c r="AQ98" i="11"/>
  <c r="AP98" i="11"/>
  <c r="AO98" i="11"/>
  <c r="AN98" i="11"/>
  <c r="AM98" i="11"/>
  <c r="AL98" i="11"/>
  <c r="AK98" i="11"/>
  <c r="AJ98" i="11"/>
  <c r="BH95" i="11"/>
  <c r="BG95" i="11"/>
  <c r="BF95" i="11"/>
  <c r="BE95" i="11"/>
  <c r="BD95" i="11"/>
  <c r="BC95" i="11"/>
  <c r="BB95" i="11"/>
  <c r="BA95" i="11"/>
  <c r="AZ95" i="11"/>
  <c r="AY95" i="11"/>
  <c r="AX95" i="11"/>
  <c r="AW95" i="11"/>
  <c r="AV95" i="11"/>
  <c r="AU95" i="11"/>
  <c r="AT95" i="11"/>
  <c r="AS95" i="11"/>
  <c r="AR95" i="11"/>
  <c r="AQ95" i="11"/>
  <c r="AP95" i="11"/>
  <c r="AO95" i="11"/>
  <c r="AN95" i="11"/>
  <c r="AM95" i="11"/>
  <c r="AL95" i="11"/>
  <c r="AK95" i="11"/>
  <c r="AJ95" i="11"/>
  <c r="BH94" i="11"/>
  <c r="BG94" i="11"/>
  <c r="BF94" i="11"/>
  <c r="BE94" i="11"/>
  <c r="BD94" i="11"/>
  <c r="BC94" i="11"/>
  <c r="BB94" i="11"/>
  <c r="BA94" i="11"/>
  <c r="AZ94" i="11"/>
  <c r="AY94" i="11"/>
  <c r="AX94" i="11"/>
  <c r="AW94" i="11"/>
  <c r="AV94" i="11"/>
  <c r="AU94" i="11"/>
  <c r="AT94" i="11"/>
  <c r="AS94" i="11"/>
  <c r="AR94" i="11"/>
  <c r="AQ94" i="11"/>
  <c r="AP94" i="11"/>
  <c r="AO94" i="11"/>
  <c r="AN94" i="11"/>
  <c r="AM94" i="11"/>
  <c r="AL94" i="11"/>
  <c r="AK94" i="11"/>
  <c r="AJ94" i="11"/>
  <c r="CW95" i="11"/>
  <c r="CV95" i="11"/>
  <c r="CQ95" i="11"/>
  <c r="CP95" i="11"/>
  <c r="CO95" i="11"/>
  <c r="CM95" i="11"/>
  <c r="CL95" i="11"/>
  <c r="CK95" i="11"/>
  <c r="CJ95" i="11"/>
  <c r="CI95" i="11"/>
  <c r="CH95" i="11"/>
  <c r="CG95" i="11"/>
  <c r="CF95" i="11"/>
  <c r="CE95" i="11"/>
  <c r="CD95" i="11"/>
  <c r="CC95" i="11"/>
  <c r="CB95" i="11"/>
  <c r="CA95" i="11"/>
  <c r="BZ95" i="11"/>
  <c r="BY95" i="11"/>
  <c r="BX95" i="11"/>
  <c r="BW95" i="11"/>
  <c r="BV95" i="11"/>
  <c r="BU95" i="11"/>
  <c r="BT95" i="11"/>
  <c r="BS95" i="11"/>
  <c r="BR95" i="11"/>
  <c r="BM95" i="11"/>
  <c r="BL95" i="11"/>
  <c r="BK95" i="11"/>
  <c r="BJ95" i="11"/>
  <c r="BI95" i="11"/>
  <c r="CW94" i="11"/>
  <c r="CV94" i="11"/>
  <c r="CQ94" i="11"/>
  <c r="CP94" i="11"/>
  <c r="CO94" i="11"/>
  <c r="CM94" i="11"/>
  <c r="CL94" i="11"/>
  <c r="CK94" i="11"/>
  <c r="CJ94" i="11"/>
  <c r="CI94" i="11"/>
  <c r="CH94" i="11"/>
  <c r="CG94" i="11"/>
  <c r="CF94" i="11"/>
  <c r="CE94" i="11"/>
  <c r="CD94" i="11"/>
  <c r="CC94" i="11"/>
  <c r="CB94" i="11"/>
  <c r="CA94" i="11"/>
  <c r="BZ94" i="11"/>
  <c r="BY94" i="11"/>
  <c r="BX94" i="11"/>
  <c r="BW94" i="11"/>
  <c r="BV94" i="11"/>
  <c r="BU94" i="11"/>
  <c r="BT94" i="11"/>
  <c r="BS94" i="11"/>
  <c r="BR94" i="11"/>
  <c r="BM94" i="11"/>
  <c r="BL94" i="11"/>
  <c r="BK94" i="11"/>
  <c r="BJ94" i="11"/>
  <c r="BI94" i="11"/>
  <c r="CB84" i="11"/>
  <c r="CB98" i="11" s="1"/>
  <c r="CH88" i="11"/>
  <c r="CG88" i="11"/>
  <c r="CF88" i="11"/>
  <c r="CE88" i="11"/>
  <c r="CD88" i="11"/>
  <c r="CC88" i="11"/>
  <c r="CG87" i="11"/>
  <c r="DB85" i="11"/>
  <c r="CA88" i="11"/>
  <c r="BZ88" i="11"/>
  <c r="BY88" i="11"/>
  <c r="CZ142" i="11" s="1"/>
  <c r="BR88" i="11"/>
  <c r="BQ88" i="11"/>
  <c r="BP88" i="11"/>
  <c r="BO88" i="11"/>
  <c r="BN88" i="11"/>
  <c r="BM88" i="11"/>
  <c r="BL88" i="11"/>
  <c r="BK88" i="11"/>
  <c r="BJ88" i="11"/>
  <c r="BI88" i="11"/>
  <c r="BH88" i="11"/>
  <c r="BG88" i="11"/>
  <c r="BF88" i="11"/>
  <c r="BE88" i="11"/>
  <c r="BD88" i="11"/>
  <c r="BC88" i="11"/>
  <c r="BB88" i="11"/>
  <c r="BA88" i="11"/>
  <c r="AZ88" i="11"/>
  <c r="AY88" i="11"/>
  <c r="AX88" i="11"/>
  <c r="AW88" i="11"/>
  <c r="AV88" i="11"/>
  <c r="AU88" i="11"/>
  <c r="AT88" i="11"/>
  <c r="AS88" i="11"/>
  <c r="AR88" i="11"/>
  <c r="AQ88" i="11"/>
  <c r="AP88" i="11"/>
  <c r="AO88" i="11"/>
  <c r="AN88" i="11"/>
  <c r="AM88" i="11"/>
  <c r="AL88" i="11"/>
  <c r="AK88" i="11"/>
  <c r="AJ88" i="11"/>
  <c r="AI88" i="11"/>
  <c r="AH88" i="11"/>
  <c r="AG88" i="11"/>
  <c r="AF88" i="11"/>
  <c r="AE88" i="11"/>
  <c r="AD88" i="11"/>
  <c r="AC88" i="11"/>
  <c r="AB88" i="11"/>
  <c r="AA88" i="11"/>
  <c r="Z88" i="11"/>
  <c r="Y88" i="11"/>
  <c r="X88" i="11"/>
  <c r="W88" i="11"/>
  <c r="V88" i="11"/>
  <c r="U88" i="11"/>
  <c r="T88" i="11"/>
  <c r="S88" i="11"/>
  <c r="R88" i="11"/>
  <c r="Q88" i="11"/>
  <c r="P88" i="11"/>
  <c r="O88" i="11"/>
  <c r="N88" i="11"/>
  <c r="M88" i="11"/>
  <c r="L88" i="11"/>
  <c r="K88" i="11"/>
  <c r="J88" i="11"/>
  <c r="I88" i="11"/>
  <c r="H88" i="11"/>
  <c r="G88" i="11"/>
  <c r="F88" i="11"/>
  <c r="BY87" i="11"/>
  <c r="CZ141" i="11" s="1"/>
  <c r="BX87" i="11"/>
  <c r="BW87" i="11"/>
  <c r="BV87" i="11"/>
  <c r="BU87" i="11"/>
  <c r="BT87" i="11"/>
  <c r="BS87" i="11"/>
  <c r="BR87" i="11"/>
  <c r="BQ87" i="11"/>
  <c r="BP87" i="11"/>
  <c r="BO87" i="11"/>
  <c r="BN87" i="11"/>
  <c r="BM87" i="11"/>
  <c r="BL87" i="11"/>
  <c r="BK87" i="11"/>
  <c r="BJ87" i="11"/>
  <c r="BI87" i="11"/>
  <c r="BH87" i="11"/>
  <c r="BG87" i="11"/>
  <c r="BF87" i="11"/>
  <c r="BE87" i="11"/>
  <c r="BD87" i="11"/>
  <c r="BC87" i="11"/>
  <c r="BB87" i="11"/>
  <c r="BA87" i="11"/>
  <c r="AZ87" i="11"/>
  <c r="AY87" i="11"/>
  <c r="AX87" i="11"/>
  <c r="AW87" i="11"/>
  <c r="AV87" i="11"/>
  <c r="AU87" i="11"/>
  <c r="AT87" i="11"/>
  <c r="AS87" i="11"/>
  <c r="AR87" i="11"/>
  <c r="AQ87" i="11"/>
  <c r="AP87" i="11"/>
  <c r="AO87" i="11"/>
  <c r="AN87" i="11"/>
  <c r="AM87" i="11"/>
  <c r="AL87" i="11"/>
  <c r="AK87" i="11"/>
  <c r="AJ87" i="11"/>
  <c r="AI87" i="11"/>
  <c r="AH87" i="11"/>
  <c r="AG87" i="11"/>
  <c r="AF87" i="11"/>
  <c r="AE87" i="11"/>
  <c r="AD87" i="11"/>
  <c r="AC87" i="11"/>
  <c r="AB87" i="11"/>
  <c r="AA87" i="11"/>
  <c r="Z87" i="11"/>
  <c r="Y87" i="11"/>
  <c r="X87" i="11"/>
  <c r="W87" i="11"/>
  <c r="V87" i="11"/>
  <c r="U87" i="11"/>
  <c r="T87" i="11"/>
  <c r="S87" i="11"/>
  <c r="R87" i="11"/>
  <c r="Q87" i="11"/>
  <c r="P87" i="11"/>
  <c r="O87" i="11"/>
  <c r="N87" i="11"/>
  <c r="M87" i="11"/>
  <c r="L87" i="11"/>
  <c r="K87" i="11"/>
  <c r="J87" i="11"/>
  <c r="I87" i="11"/>
  <c r="H87" i="11"/>
  <c r="G87" i="11"/>
  <c r="F87" i="11"/>
  <c r="AJ98" i="7"/>
  <c r="AB98" i="7"/>
  <c r="AA98" i="7"/>
  <c r="T98" i="7"/>
  <c r="S98" i="7"/>
  <c r="C98" i="7"/>
  <c r="S85" i="11"/>
  <c r="J85" i="11"/>
  <c r="H85" i="11"/>
  <c r="C85" i="11"/>
  <c r="C99" i="11" s="1"/>
  <c r="C84" i="11"/>
  <c r="C98" i="11" s="1"/>
  <c r="CL84" i="11"/>
  <c r="CL98" i="11" s="1"/>
  <c r="BW84" i="11"/>
  <c r="BW98" i="11" s="1"/>
  <c r="BV84" i="11"/>
  <c r="BV98" i="11" s="1"/>
  <c r="BU84" i="11"/>
  <c r="BU98" i="11" s="1"/>
  <c r="BT84" i="11"/>
  <c r="BT98" i="11" s="1"/>
  <c r="BS84" i="11"/>
  <c r="BS98" i="11" s="1"/>
  <c r="BQ84" i="11"/>
  <c r="BQ98" i="11" s="1"/>
  <c r="BP84" i="11"/>
  <c r="BP98" i="11" s="1"/>
  <c r="BO84" i="11"/>
  <c r="BO98" i="11" s="1"/>
  <c r="BN84" i="11"/>
  <c r="BN98" i="11" s="1"/>
  <c r="T84" i="11"/>
  <c r="S84" i="11"/>
  <c r="R84" i="11"/>
  <c r="Q84" i="11"/>
  <c r="P84" i="11"/>
  <c r="O84" i="11"/>
  <c r="N84" i="11"/>
  <c r="M84" i="11"/>
  <c r="L84" i="11"/>
  <c r="K84" i="11"/>
  <c r="I84" i="11"/>
  <c r="H84" i="11"/>
  <c r="G84" i="11"/>
  <c r="F84" i="11"/>
  <c r="CW84" i="11"/>
  <c r="CW98" i="11" s="1"/>
  <c r="CV84" i="11"/>
  <c r="CV98" i="11" s="1"/>
  <c r="CQ84" i="11"/>
  <c r="CQ98" i="11" s="1"/>
  <c r="CI83" i="11"/>
  <c r="AR97" i="7" s="1"/>
  <c r="CH83" i="11"/>
  <c r="CH82" i="11"/>
  <c r="AQ96" i="7" s="1"/>
  <c r="CF83" i="11"/>
  <c r="CE83" i="11"/>
  <c r="CD83" i="11"/>
  <c r="CC83" i="11"/>
  <c r="AL97" i="7" s="1"/>
  <c r="CF82" i="11"/>
  <c r="CE82" i="11"/>
  <c r="CD82" i="11"/>
  <c r="AM96" i="7" s="1"/>
  <c r="CC82" i="11"/>
  <c r="AL96" i="7" s="1"/>
  <c r="CA83" i="11"/>
  <c r="BZ83" i="11"/>
  <c r="BY83" i="11"/>
  <c r="BX83" i="11"/>
  <c r="BV83" i="11"/>
  <c r="BU83" i="11"/>
  <c r="BT83" i="11"/>
  <c r="AC97" i="7" s="1"/>
  <c r="BS83" i="11"/>
  <c r="AB97" i="7" s="1"/>
  <c r="BQ83" i="11"/>
  <c r="BP83" i="11"/>
  <c r="BO83" i="11"/>
  <c r="BN83" i="11"/>
  <c r="BL83" i="11"/>
  <c r="BK83" i="11"/>
  <c r="T97" i="7" s="1"/>
  <c r="BJ83" i="11"/>
  <c r="BI83" i="11"/>
  <c r="CA82" i="11"/>
  <c r="BZ82" i="11"/>
  <c r="BX82" i="11"/>
  <c r="BV82" i="11"/>
  <c r="AE96" i="7" s="1"/>
  <c r="BU82" i="11"/>
  <c r="BT82" i="11"/>
  <c r="BS82" i="11"/>
  <c r="AB96" i="7" s="1"/>
  <c r="BQ82" i="11"/>
  <c r="BP82" i="11"/>
  <c r="BO82" i="11"/>
  <c r="BN82" i="11"/>
  <c r="BL82" i="11"/>
  <c r="U96" i="7" s="1"/>
  <c r="BJ82" i="11"/>
  <c r="BI82" i="11"/>
  <c r="R96" i="7" s="1"/>
  <c r="BG82" i="11"/>
  <c r="P96" i="7" s="1"/>
  <c r="BF82" i="11"/>
  <c r="O96" i="7" s="1"/>
  <c r="BE82" i="11"/>
  <c r="BD82" i="11"/>
  <c r="BB82" i="11"/>
  <c r="BA82" i="11"/>
  <c r="AZ82" i="11"/>
  <c r="AY82" i="11"/>
  <c r="H96" i="7" s="1"/>
  <c r="AW82" i="11"/>
  <c r="AV82" i="11"/>
  <c r="E96" i="7" s="1"/>
  <c r="AU82" i="11"/>
  <c r="AT82" i="11"/>
  <c r="AR82" i="11"/>
  <c r="AQ82" i="11"/>
  <c r="AP82" i="11"/>
  <c r="D107" i="7" s="1"/>
  <c r="AO82" i="11"/>
  <c r="AN82" i="11"/>
  <c r="AM82" i="11"/>
  <c r="AL82" i="11"/>
  <c r="AK82" i="11"/>
  <c r="AJ82" i="11"/>
  <c r="AI82" i="11"/>
  <c r="AI96" i="11" s="1"/>
  <c r="AH82" i="11"/>
  <c r="AH96" i="11" s="1"/>
  <c r="AG82" i="11"/>
  <c r="AG96" i="11" s="1"/>
  <c r="AF82" i="11"/>
  <c r="AF96" i="11" s="1"/>
  <c r="AE82" i="11"/>
  <c r="AE96" i="11" s="1"/>
  <c r="AD82" i="11"/>
  <c r="AD96" i="11" s="1"/>
  <c r="AC82" i="11"/>
  <c r="AC96" i="11" s="1"/>
  <c r="AB82" i="11"/>
  <c r="AB96" i="11" s="1"/>
  <c r="AA82" i="11"/>
  <c r="AA96" i="11" s="1"/>
  <c r="Z82" i="11"/>
  <c r="Z96" i="11" s="1"/>
  <c r="Y82" i="11"/>
  <c r="Y96" i="11" s="1"/>
  <c r="X82" i="11"/>
  <c r="X96" i="11" s="1"/>
  <c r="T82" i="11"/>
  <c r="T96" i="11" s="1"/>
  <c r="S82" i="11"/>
  <c r="S96" i="11" s="1"/>
  <c r="P82" i="11"/>
  <c r="P96" i="11" s="1"/>
  <c r="M82" i="11"/>
  <c r="L82" i="11"/>
  <c r="K82" i="11"/>
  <c r="J82" i="11"/>
  <c r="I82" i="11"/>
  <c r="H82" i="11"/>
  <c r="C82" i="11"/>
  <c r="C96" i="11" s="1"/>
  <c r="C81" i="11"/>
  <c r="C95" i="11" s="1"/>
  <c r="C80" i="11"/>
  <c r="C94" i="11" s="1"/>
  <c r="DA81" i="11"/>
  <c r="DA80" i="11"/>
  <c r="Y81" i="11"/>
  <c r="X81" i="11"/>
  <c r="W81" i="11"/>
  <c r="V81" i="11"/>
  <c r="U81" i="11"/>
  <c r="BQ81" i="11"/>
  <c r="BQ95" i="11" s="1"/>
  <c r="BP81" i="11"/>
  <c r="BP95" i="11" s="1"/>
  <c r="BO81" i="11"/>
  <c r="BO95" i="11" s="1"/>
  <c r="BN81" i="11"/>
  <c r="BN95" i="11" s="1"/>
  <c r="BQ80" i="11"/>
  <c r="BQ94" i="11" s="1"/>
  <c r="BP80" i="11"/>
  <c r="BP94" i="11" s="1"/>
  <c r="BO80" i="11"/>
  <c r="BO94" i="11" s="1"/>
  <c r="BN80" i="11"/>
  <c r="BN94" i="11" s="1"/>
  <c r="O80" i="11"/>
  <c r="N80" i="11"/>
  <c r="M80" i="11"/>
  <c r="L80" i="11"/>
  <c r="K80" i="11"/>
  <c r="I81" i="11"/>
  <c r="H81" i="11"/>
  <c r="G81" i="11"/>
  <c r="F81" i="11"/>
  <c r="I80" i="11"/>
  <c r="H80" i="11"/>
  <c r="G80" i="11"/>
  <c r="F80" i="11"/>
  <c r="DA78" i="11"/>
  <c r="CH79" i="11"/>
  <c r="CF79" i="11"/>
  <c r="AO95" i="7" s="1"/>
  <c r="CE79" i="11"/>
  <c r="CD79" i="11"/>
  <c r="CC79" i="11"/>
  <c r="CA79" i="11"/>
  <c r="AJ95" i="7" s="1"/>
  <c r="BZ79" i="11"/>
  <c r="BY79" i="11"/>
  <c r="BX79" i="11"/>
  <c r="BV79" i="11"/>
  <c r="AE95" i="7" s="1"/>
  <c r="BT79" i="11"/>
  <c r="AC95" i="7" s="1"/>
  <c r="BS79" i="11"/>
  <c r="AB95" i="7" s="1"/>
  <c r="BQ79" i="11"/>
  <c r="BL79" i="11"/>
  <c r="U95" i="7" s="1"/>
  <c r="BJ79" i="11"/>
  <c r="S95" i="7" s="1"/>
  <c r="BI79" i="11"/>
  <c r="R95" i="7" s="1"/>
  <c r="CH78" i="11"/>
  <c r="AQ94" i="7" s="1"/>
  <c r="CF78" i="11"/>
  <c r="CE78" i="11"/>
  <c r="CD78" i="11"/>
  <c r="CC78" i="11"/>
  <c r="AL94" i="7" s="1"/>
  <c r="CA78" i="11"/>
  <c r="AJ94" i="7" s="1"/>
  <c r="BZ78" i="11"/>
  <c r="BY78" i="11"/>
  <c r="BX78" i="11"/>
  <c r="AG94" i="7" s="1"/>
  <c r="BV78" i="11"/>
  <c r="AE94" i="7" s="1"/>
  <c r="BU78" i="11"/>
  <c r="BT78" i="11"/>
  <c r="BS78" i="11"/>
  <c r="AB94" i="7" s="1"/>
  <c r="BR78" i="11"/>
  <c r="BQ78" i="11"/>
  <c r="BP78" i="11"/>
  <c r="BO78" i="11"/>
  <c r="BN78" i="11"/>
  <c r="BL78" i="11"/>
  <c r="BK78" i="11"/>
  <c r="BJ78" i="11"/>
  <c r="S94" i="7" s="1"/>
  <c r="BI78" i="11"/>
  <c r="R94" i="7" s="1"/>
  <c r="BG78" i="11"/>
  <c r="BF78" i="11"/>
  <c r="O94" i="7" s="1"/>
  <c r="BE78" i="11"/>
  <c r="BD78" i="11"/>
  <c r="M94" i="7" s="1"/>
  <c r="BB78" i="11"/>
  <c r="BA78" i="11"/>
  <c r="AZ78" i="11"/>
  <c r="AY78" i="11"/>
  <c r="AW78" i="11"/>
  <c r="AV78" i="11"/>
  <c r="AU78" i="11"/>
  <c r="AT78" i="11"/>
  <c r="C94" i="7" s="1"/>
  <c r="AR78" i="11"/>
  <c r="AQ78" i="11"/>
  <c r="AP78" i="11"/>
  <c r="D105" i="7" s="1"/>
  <c r="AO78" i="11"/>
  <c r="AN78" i="11"/>
  <c r="AM78" i="11"/>
  <c r="AL78" i="11"/>
  <c r="AK78" i="11"/>
  <c r="AJ78" i="11"/>
  <c r="AI78" i="11"/>
  <c r="AH78" i="11"/>
  <c r="AG78" i="11"/>
  <c r="AF78" i="11"/>
  <c r="AE78" i="11"/>
  <c r="AD78" i="11"/>
  <c r="AC78" i="11"/>
  <c r="AC92" i="11" s="1"/>
  <c r="AB78" i="11"/>
  <c r="AB92" i="11" s="1"/>
  <c r="AA78" i="11"/>
  <c r="Z78" i="11"/>
  <c r="X78" i="11"/>
  <c r="X92" i="11" s="1"/>
  <c r="U78" i="11"/>
  <c r="T78" i="11"/>
  <c r="S78" i="11"/>
  <c r="P78" i="11"/>
  <c r="N78" i="11"/>
  <c r="M78" i="11"/>
  <c r="L78" i="11"/>
  <c r="K78" i="11"/>
  <c r="J78" i="11"/>
  <c r="C78" i="11"/>
  <c r="C92" i="11" s="1"/>
  <c r="AD75" i="11"/>
  <c r="AD74" i="11" s="1"/>
  <c r="Y75" i="11"/>
  <c r="Y74" i="11" s="1"/>
  <c r="T75" i="11"/>
  <c r="T74" i="11" s="1"/>
  <c r="O75" i="11"/>
  <c r="O74" i="11"/>
  <c r="J75" i="11"/>
  <c r="J74" i="11"/>
  <c r="CH75" i="11"/>
  <c r="CF75" i="11"/>
  <c r="CF49" i="8" s="1"/>
  <c r="BS84" i="9" s="1"/>
  <c r="CE75" i="11"/>
  <c r="BV75" i="11"/>
  <c r="BH111" i="10" s="1"/>
  <c r="BS75" i="11"/>
  <c r="BN75" i="11"/>
  <c r="BI75" i="11"/>
  <c r="AU111" i="10" s="1"/>
  <c r="AU103" i="10" s="1"/>
  <c r="BG75" i="11"/>
  <c r="BD75" i="11"/>
  <c r="BD49" i="8" s="1"/>
  <c r="AQ84" i="9" s="1"/>
  <c r="BB75" i="11"/>
  <c r="BA75" i="11"/>
  <c r="AZ75" i="11"/>
  <c r="AY75" i="11"/>
  <c r="AW75" i="11"/>
  <c r="AI111" i="10" s="1"/>
  <c r="AI103" i="10" s="1"/>
  <c r="AV75" i="11"/>
  <c r="AU75" i="11"/>
  <c r="AG111" i="10" s="1"/>
  <c r="AT75" i="11"/>
  <c r="AF111" i="10" s="1"/>
  <c r="AF103" i="10" s="1"/>
  <c r="AS75" i="11"/>
  <c r="AR75" i="11"/>
  <c r="AQ75" i="11"/>
  <c r="AO75" i="11"/>
  <c r="AO49" i="8" s="1"/>
  <c r="AB84" i="9" s="1"/>
  <c r="AN75" i="11"/>
  <c r="Z111" i="10" s="1"/>
  <c r="Z103" i="10" s="1"/>
  <c r="AM75" i="11"/>
  <c r="AL75" i="11"/>
  <c r="AK75" i="11"/>
  <c r="AJ75" i="11"/>
  <c r="V111" i="10" s="1"/>
  <c r="V103" i="10" s="1"/>
  <c r="AI75" i="11"/>
  <c r="AI74" i="11"/>
  <c r="CA75" i="11"/>
  <c r="CA76" i="11" s="1"/>
  <c r="BM111" i="10" s="1"/>
  <c r="BZ75" i="11"/>
  <c r="BZ76" i="11" s="1"/>
  <c r="BL111" i="10" s="1"/>
  <c r="BY75" i="11"/>
  <c r="BY76" i="11" s="1"/>
  <c r="BK111" i="10" s="1"/>
  <c r="BX75" i="11"/>
  <c r="BX76" i="11" s="1"/>
  <c r="BJ111" i="10" s="1"/>
  <c r="BJ103" i="10" s="1"/>
  <c r="C73" i="11"/>
  <c r="C114" i="11" s="1"/>
  <c r="CG71" i="11"/>
  <c r="CC71" i="11"/>
  <c r="CB71" i="11"/>
  <c r="CA71" i="11"/>
  <c r="BZ71" i="11"/>
  <c r="BY71" i="11"/>
  <c r="BX71" i="11"/>
  <c r="BW71" i="11"/>
  <c r="BS71" i="11"/>
  <c r="BR71" i="11"/>
  <c r="BP71" i="11"/>
  <c r="BM71" i="11"/>
  <c r="BK71" i="11"/>
  <c r="BJ71" i="11"/>
  <c r="BI71" i="11"/>
  <c r="CG70" i="11"/>
  <c r="CD70" i="11"/>
  <c r="CC70" i="11"/>
  <c r="CB70" i="11"/>
  <c r="CA70" i="11"/>
  <c r="BZ70" i="11"/>
  <c r="BY70" i="11"/>
  <c r="BX70" i="11"/>
  <c r="BW70" i="11"/>
  <c r="BV70" i="11"/>
  <c r="BU70" i="11"/>
  <c r="BT70" i="11"/>
  <c r="BS70" i="11"/>
  <c r="BR70" i="11"/>
  <c r="BP70" i="11"/>
  <c r="BO70" i="11"/>
  <c r="BN70" i="11"/>
  <c r="BM70" i="11"/>
  <c r="BK70" i="11"/>
  <c r="BJ70" i="11"/>
  <c r="BI70" i="11"/>
  <c r="BH70" i="11"/>
  <c r="BE70" i="11"/>
  <c r="BD70" i="11"/>
  <c r="BC70" i="11"/>
  <c r="BA70" i="11"/>
  <c r="AZ70" i="11"/>
  <c r="AY70" i="11"/>
  <c r="AX70" i="11"/>
  <c r="AV70" i="11"/>
  <c r="AU70" i="11"/>
  <c r="AT70" i="11"/>
  <c r="AS70" i="11"/>
  <c r="AQ70" i="11"/>
  <c r="AP70" i="11"/>
  <c r="AO70" i="11"/>
  <c r="AN70" i="11"/>
  <c r="AL70" i="11"/>
  <c r="AK70" i="11"/>
  <c r="AJ70" i="11"/>
  <c r="CQ67" i="11"/>
  <c r="CL67" i="11"/>
  <c r="CK67" i="11"/>
  <c r="CG67" i="11"/>
  <c r="CF67" i="11"/>
  <c r="CE67" i="11"/>
  <c r="CD67" i="11"/>
  <c r="CC67" i="11"/>
  <c r="CB67" i="11"/>
  <c r="CA67" i="11"/>
  <c r="BZ67" i="11"/>
  <c r="BY67" i="11"/>
  <c r="BX67" i="11"/>
  <c r="BW67" i="11"/>
  <c r="BV67" i="11"/>
  <c r="BU67" i="11"/>
  <c r="BT67" i="11"/>
  <c r="BS67" i="11"/>
  <c r="BR67" i="11"/>
  <c r="BP67" i="11"/>
  <c r="BO67" i="11"/>
  <c r="BN67" i="11"/>
  <c r="BM67" i="11"/>
  <c r="CL66" i="11"/>
  <c r="CG66" i="11"/>
  <c r="CF66" i="11"/>
  <c r="CE66" i="11"/>
  <c r="CD66" i="11"/>
  <c r="CC66" i="11"/>
  <c r="CB66" i="11"/>
  <c r="CA66" i="11"/>
  <c r="BZ66" i="11"/>
  <c r="BY66" i="11"/>
  <c r="BX66" i="11"/>
  <c r="BW66" i="11"/>
  <c r="BV66" i="11"/>
  <c r="BU66" i="11"/>
  <c r="BT66" i="11"/>
  <c r="BS66" i="11"/>
  <c r="BR66" i="11"/>
  <c r="BQ66" i="11"/>
  <c r="BP66" i="11"/>
  <c r="BO66" i="11"/>
  <c r="BN66" i="11"/>
  <c r="BM66" i="11"/>
  <c r="BL66" i="11"/>
  <c r="BK66" i="11"/>
  <c r="BJ66" i="11"/>
  <c r="BI66" i="11"/>
  <c r="BH66" i="11"/>
  <c r="BD66" i="11"/>
  <c r="BC66" i="11"/>
  <c r="AY66" i="11"/>
  <c r="AY74" i="11" s="1"/>
  <c r="AX66" i="11"/>
  <c r="AW66" i="11"/>
  <c r="AV66" i="11"/>
  <c r="AU66" i="11"/>
  <c r="AT66" i="11"/>
  <c r="AS66" i="11"/>
  <c r="AQ66" i="11"/>
  <c r="AP66" i="11"/>
  <c r="AO66" i="11"/>
  <c r="AN66" i="11"/>
  <c r="AL66" i="11"/>
  <c r="AK66" i="11"/>
  <c r="AJ66" i="11"/>
  <c r="C63" i="11"/>
  <c r="C62" i="11"/>
  <c r="C72" i="11" s="1"/>
  <c r="C113" i="11" s="1"/>
  <c r="BM62" i="11"/>
  <c r="BL62" i="11"/>
  <c r="BK62" i="11"/>
  <c r="BJ62" i="11"/>
  <c r="BI62" i="11"/>
  <c r="BH62" i="11"/>
  <c r="BG62" i="11"/>
  <c r="BF62" i="11"/>
  <c r="BE62" i="11"/>
  <c r="BD62" i="11"/>
  <c r="BC62" i="11"/>
  <c r="BB62" i="11"/>
  <c r="BA62" i="11"/>
  <c r="AZ62" i="11"/>
  <c r="AY62" i="11"/>
  <c r="AX62" i="11"/>
  <c r="AW62" i="11"/>
  <c r="AV62" i="11"/>
  <c r="AU62" i="11"/>
  <c r="AT62" i="11"/>
  <c r="AS62" i="11"/>
  <c r="AR62" i="11"/>
  <c r="AQ62" i="11"/>
  <c r="AP62" i="11"/>
  <c r="AO62" i="11"/>
  <c r="AN62" i="11"/>
  <c r="C60" i="11"/>
  <c r="C70" i="11" s="1"/>
  <c r="C110" i="11" s="1"/>
  <c r="BM59" i="11"/>
  <c r="BL59" i="11"/>
  <c r="BK59" i="11"/>
  <c r="BJ59" i="11"/>
  <c r="BI59" i="11"/>
  <c r="BH59" i="11"/>
  <c r="BG59" i="11"/>
  <c r="BF59" i="11"/>
  <c r="BE59" i="11"/>
  <c r="BD59" i="11"/>
  <c r="BC59" i="11"/>
  <c r="BB59" i="11"/>
  <c r="BA59" i="11"/>
  <c r="AZ59" i="11"/>
  <c r="AY59" i="11"/>
  <c r="AX59" i="11"/>
  <c r="AW59" i="11"/>
  <c r="AV59" i="11"/>
  <c r="AU59" i="11"/>
  <c r="AT59" i="11"/>
  <c r="AS59" i="11"/>
  <c r="AR59" i="11"/>
  <c r="AQ59" i="11"/>
  <c r="AP59" i="11"/>
  <c r="AO59" i="11"/>
  <c r="AN59" i="11"/>
  <c r="BM58" i="11"/>
  <c r="BL58" i="11"/>
  <c r="BK58" i="11"/>
  <c r="BJ58" i="11"/>
  <c r="BI58" i="11"/>
  <c r="BH58" i="11"/>
  <c r="BG58" i="11"/>
  <c r="BF58" i="11"/>
  <c r="BE58" i="11"/>
  <c r="BD58" i="11"/>
  <c r="BC58" i="11"/>
  <c r="BB58" i="11"/>
  <c r="BA58" i="11"/>
  <c r="AZ58" i="11"/>
  <c r="AY58" i="11"/>
  <c r="AX58" i="11"/>
  <c r="AW58" i="11"/>
  <c r="AV58" i="11"/>
  <c r="AU58" i="11"/>
  <c r="AT58" i="11"/>
  <c r="AS58" i="11"/>
  <c r="AR58" i="11"/>
  <c r="AQ58" i="11"/>
  <c r="AP58" i="11"/>
  <c r="AO58" i="11"/>
  <c r="AN58" i="11"/>
  <c r="CG52" i="11"/>
  <c r="AK90" i="7"/>
  <c r="Z90" i="7"/>
  <c r="G82" i="7"/>
  <c r="F82" i="7"/>
  <c r="E82" i="7"/>
  <c r="C90" i="7"/>
  <c r="B90" i="7"/>
  <c r="AI63" i="11"/>
  <c r="AH63" i="11"/>
  <c r="AG63" i="11"/>
  <c r="AF63" i="11"/>
  <c r="AE63" i="11"/>
  <c r="AD63" i="11"/>
  <c r="AC63" i="11"/>
  <c r="AB63" i="11"/>
  <c r="AA63" i="11"/>
  <c r="Z63" i="11"/>
  <c r="Y63" i="11"/>
  <c r="X63" i="11"/>
  <c r="W63" i="11"/>
  <c r="V63" i="11"/>
  <c r="U63" i="11"/>
  <c r="T63" i="11"/>
  <c r="CC50" i="11"/>
  <c r="CA50" i="11"/>
  <c r="AJ81" i="7" s="1"/>
  <c r="BZ50" i="11"/>
  <c r="BY50" i="11"/>
  <c r="BX50" i="11"/>
  <c r="AL89" i="7" s="1"/>
  <c r="BS50" i="11"/>
  <c r="BP50" i="11"/>
  <c r="BK50" i="11"/>
  <c r="BJ50" i="11"/>
  <c r="S81" i="7" s="1"/>
  <c r="BI50" i="11"/>
  <c r="CD48" i="11"/>
  <c r="AM80" i="7" s="1"/>
  <c r="CC48" i="11"/>
  <c r="CA48" i="11"/>
  <c r="BX48" i="11"/>
  <c r="AL88" i="7" s="1"/>
  <c r="BV48" i="11"/>
  <c r="AE80" i="7" s="1"/>
  <c r="BU48" i="11"/>
  <c r="BT48" i="11"/>
  <c r="BS48" i="11"/>
  <c r="BP48" i="11"/>
  <c r="AD88" i="7" s="1"/>
  <c r="BO48" i="11"/>
  <c r="BN48" i="11"/>
  <c r="BK48" i="11"/>
  <c r="BJ48" i="11"/>
  <c r="BI48" i="11"/>
  <c r="R80" i="7" s="1"/>
  <c r="BD48" i="11"/>
  <c r="AZ48" i="11"/>
  <c r="AY48" i="11"/>
  <c r="AU48" i="11"/>
  <c r="AQ48" i="11"/>
  <c r="AP48" i="11"/>
  <c r="D88" i="7" s="1"/>
  <c r="AO48" i="11"/>
  <c r="AK48" i="11"/>
  <c r="AJ48" i="11"/>
  <c r="AH48" i="11"/>
  <c r="AH60" i="11" s="1"/>
  <c r="AG48" i="11"/>
  <c r="AG60" i="11" s="1"/>
  <c r="AF48" i="11"/>
  <c r="AF60" i="11" s="1"/>
  <c r="AE48" i="11"/>
  <c r="AE60" i="11" s="1"/>
  <c r="AC48" i="11"/>
  <c r="AC60" i="11" s="1"/>
  <c r="AB48" i="11"/>
  <c r="AB60" i="11" s="1"/>
  <c r="AA48" i="11"/>
  <c r="AA60" i="11" s="1"/>
  <c r="Z48" i="11"/>
  <c r="Z60" i="11" s="1"/>
  <c r="X48" i="11"/>
  <c r="X60" i="11" s="1"/>
  <c r="U48" i="11"/>
  <c r="U60" i="11" s="1"/>
  <c r="S48" i="11"/>
  <c r="S60" i="11" s="1"/>
  <c r="Q48" i="11"/>
  <c r="Q60" i="11" s="1"/>
  <c r="P48" i="11"/>
  <c r="P60" i="11" s="1"/>
  <c r="M48" i="11"/>
  <c r="L48" i="11"/>
  <c r="K48" i="11"/>
  <c r="J48" i="11"/>
  <c r="CF45" i="11"/>
  <c r="CE45" i="11"/>
  <c r="AN79" i="7" s="1"/>
  <c r="CC45" i="11"/>
  <c r="AL79" i="7" s="1"/>
  <c r="CA45" i="11"/>
  <c r="BZ45" i="11"/>
  <c r="AI79" i="7" s="1"/>
  <c r="BY45" i="11"/>
  <c r="BX45" i="11"/>
  <c r="AG79" i="7" s="1"/>
  <c r="BV45" i="11"/>
  <c r="BU45" i="11"/>
  <c r="AD79" i="7" s="1"/>
  <c r="BT45" i="11"/>
  <c r="AC79" i="7" s="1"/>
  <c r="BS45" i="11"/>
  <c r="BP45" i="11"/>
  <c r="Y79" i="7" s="1"/>
  <c r="BN45" i="11"/>
  <c r="W79" i="7" s="1"/>
  <c r="CG44" i="11"/>
  <c r="AP78" i="7" s="1"/>
  <c r="CF44" i="11"/>
  <c r="CE44" i="11"/>
  <c r="CD44" i="11"/>
  <c r="CC44" i="11"/>
  <c r="AL78" i="7" s="1"/>
  <c r="CA44" i="11"/>
  <c r="AJ78" i="7" s="1"/>
  <c r="BZ44" i="11"/>
  <c r="BY44" i="11"/>
  <c r="AM86" i="7" s="1"/>
  <c r="BX44" i="11"/>
  <c r="AG78" i="7" s="1"/>
  <c r="BV44" i="11"/>
  <c r="BU44" i="11"/>
  <c r="BT44" i="11"/>
  <c r="BS44" i="11"/>
  <c r="AG86" i="7" s="1"/>
  <c r="BQ44" i="11"/>
  <c r="AE86" i="7" s="1"/>
  <c r="BP44" i="11"/>
  <c r="BO44" i="11"/>
  <c r="AC86" i="7" s="1"/>
  <c r="BN44" i="11"/>
  <c r="BL44" i="11"/>
  <c r="BK44" i="11"/>
  <c r="BJ44" i="11"/>
  <c r="AX44" i="11"/>
  <c r="AW44" i="11"/>
  <c r="F78" i="7" s="1"/>
  <c r="AV44" i="11"/>
  <c r="E78" i="7" s="1"/>
  <c r="AU44" i="11"/>
  <c r="AT44" i="11"/>
  <c r="C78" i="7" s="1"/>
  <c r="AP44" i="11"/>
  <c r="AO44" i="11"/>
  <c r="AL44" i="11"/>
  <c r="AK44" i="11"/>
  <c r="AJ44" i="11"/>
  <c r="AI44" i="11"/>
  <c r="AI56" i="11" s="1"/>
  <c r="AH44" i="11"/>
  <c r="AH56" i="11" s="1"/>
  <c r="AG44" i="11"/>
  <c r="AG56" i="11" s="1"/>
  <c r="AF44" i="11"/>
  <c r="AF56" i="11" s="1"/>
  <c r="AE44" i="11"/>
  <c r="AE56" i="11" s="1"/>
  <c r="AD44" i="11"/>
  <c r="AD56" i="11" s="1"/>
  <c r="AC44" i="11"/>
  <c r="AC56" i="11" s="1"/>
  <c r="AB44" i="11"/>
  <c r="AB56" i="11" s="1"/>
  <c r="AA44" i="11"/>
  <c r="AA56" i="11" s="1"/>
  <c r="Z44" i="11"/>
  <c r="Z56" i="11" s="1"/>
  <c r="X44" i="11"/>
  <c r="X56" i="11" s="1"/>
  <c r="V44" i="11"/>
  <c r="V56" i="11" s="1"/>
  <c r="U44" i="11"/>
  <c r="U56" i="11" s="1"/>
  <c r="S44" i="11"/>
  <c r="S56" i="11" s="1"/>
  <c r="P44" i="11"/>
  <c r="P56" i="11" s="1"/>
  <c r="N44" i="11"/>
  <c r="M44" i="11"/>
  <c r="L44" i="11"/>
  <c r="K44" i="11"/>
  <c r="CH41" i="11"/>
  <c r="CF41" i="11"/>
  <c r="CE41" i="11"/>
  <c r="CD41" i="11"/>
  <c r="CC41" i="11"/>
  <c r="CA41" i="11"/>
  <c r="BZ41" i="11"/>
  <c r="BY41" i="11"/>
  <c r="BX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I42" i="11" s="1"/>
  <c r="AH41" i="11"/>
  <c r="AH42" i="11" s="1"/>
  <c r="AG41" i="11"/>
  <c r="AG42" i="11" s="1"/>
  <c r="AF41" i="11"/>
  <c r="AF42" i="11" s="1"/>
  <c r="AE41" i="11"/>
  <c r="AE42" i="11" s="1"/>
  <c r="AD41" i="11"/>
  <c r="AD42" i="11" s="1"/>
  <c r="AC41" i="11"/>
  <c r="AC42" i="11" s="1"/>
  <c r="AB41" i="11"/>
  <c r="AB42" i="11" s="1"/>
  <c r="AA41" i="11"/>
  <c r="AA42" i="11" s="1"/>
  <c r="Z41" i="11"/>
  <c r="Z42" i="11" s="1"/>
  <c r="Y41" i="11"/>
  <c r="Y42" i="11" s="1"/>
  <c r="X41" i="11"/>
  <c r="X42" i="11" s="1"/>
  <c r="W41" i="11"/>
  <c r="W42" i="11" s="1"/>
  <c r="V41" i="11"/>
  <c r="V42" i="11" s="1"/>
  <c r="U41" i="11"/>
  <c r="U42" i="11" s="1"/>
  <c r="T41" i="11"/>
  <c r="T42" i="11" s="1"/>
  <c r="S41" i="11"/>
  <c r="S42" i="11" s="1"/>
  <c r="R41" i="11"/>
  <c r="R42" i="11" s="1"/>
  <c r="Q41" i="11"/>
  <c r="Q42" i="11" s="1"/>
  <c r="P41" i="11"/>
  <c r="P42" i="11" s="1"/>
  <c r="O41" i="11"/>
  <c r="O42" i="11" s="1"/>
  <c r="N41" i="11"/>
  <c r="N42" i="11" s="1"/>
  <c r="M41" i="11"/>
  <c r="M42" i="11" s="1"/>
  <c r="L41" i="11"/>
  <c r="L42" i="11" s="1"/>
  <c r="K41" i="11"/>
  <c r="K42" i="11" s="1"/>
  <c r="J41" i="11"/>
  <c r="J42" i="11" s="1"/>
  <c r="AI39" i="11"/>
  <c r="AI182" i="11" s="1"/>
  <c r="AH39" i="11"/>
  <c r="AH182" i="11" s="1"/>
  <c r="AG39" i="11"/>
  <c r="AG182" i="11" s="1"/>
  <c r="AF39" i="11"/>
  <c r="AF182" i="11" s="1"/>
  <c r="AE39" i="11"/>
  <c r="AE182" i="11" s="1"/>
  <c r="AD39" i="11"/>
  <c r="AD182" i="11" s="1"/>
  <c r="AC39" i="11"/>
  <c r="AC182" i="11" s="1"/>
  <c r="AB39" i="11"/>
  <c r="AB182" i="11" s="1"/>
  <c r="AA39" i="11"/>
  <c r="AA182" i="11" s="1"/>
  <c r="Z39" i="11"/>
  <c r="Z182" i="11" s="1"/>
  <c r="Y39" i="11"/>
  <c r="Y182" i="11" s="1"/>
  <c r="X39" i="11"/>
  <c r="X182" i="11" s="1"/>
  <c r="W39" i="11"/>
  <c r="W182" i="11" s="1"/>
  <c r="V39" i="11"/>
  <c r="V182" i="11" s="1"/>
  <c r="U39" i="11"/>
  <c r="U182" i="11" s="1"/>
  <c r="T39" i="11"/>
  <c r="T182" i="11" s="1"/>
  <c r="S39" i="11"/>
  <c r="S182" i="11" s="1"/>
  <c r="R39" i="11"/>
  <c r="R182" i="11" s="1"/>
  <c r="Q39" i="11"/>
  <c r="Q182" i="11" s="1"/>
  <c r="P39" i="11"/>
  <c r="P182" i="11" s="1"/>
  <c r="O39" i="11"/>
  <c r="O182" i="11" s="1"/>
  <c r="N39" i="11"/>
  <c r="M39" i="11"/>
  <c r="L39" i="11"/>
  <c r="K39" i="11"/>
  <c r="CH38" i="11"/>
  <c r="CH181" i="11" s="1"/>
  <c r="CF38" i="11"/>
  <c r="CF181" i="11" s="1"/>
  <c r="CE38" i="11"/>
  <c r="CE181" i="11" s="1"/>
  <c r="CD38" i="11"/>
  <c r="CD181" i="11" s="1"/>
  <c r="CC38" i="11"/>
  <c r="CC181" i="11" s="1"/>
  <c r="CA38" i="11"/>
  <c r="CA181" i="11" s="1"/>
  <c r="BZ38" i="11"/>
  <c r="BZ181" i="11" s="1"/>
  <c r="BY38" i="11"/>
  <c r="BY181" i="11" s="1"/>
  <c r="BX38" i="11"/>
  <c r="BX181" i="11" s="1"/>
  <c r="BV38" i="11"/>
  <c r="BV181" i="11" s="1"/>
  <c r="BU38" i="11"/>
  <c r="BU181" i="11" s="1"/>
  <c r="BT38" i="11"/>
  <c r="BT181" i="11" s="1"/>
  <c r="BS38" i="11"/>
  <c r="BS181" i="11" s="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CH35" i="11"/>
  <c r="CF35" i="11"/>
  <c r="CE35" i="11"/>
  <c r="CD35" i="11"/>
  <c r="CC35" i="11"/>
  <c r="CA35" i="11"/>
  <c r="BZ35" i="11"/>
  <c r="BY35" i="11"/>
  <c r="BX35" i="11"/>
  <c r="BV35" i="11"/>
  <c r="BU35" i="11"/>
  <c r="BT35" i="11"/>
  <c r="BS35" i="11"/>
  <c r="J31" i="11"/>
  <c r="J33" i="11" s="1"/>
  <c r="AI32" i="11"/>
  <c r="AH32" i="11"/>
  <c r="AA32" i="11"/>
  <c r="Z32" i="11"/>
  <c r="S32" i="11"/>
  <c r="R32" i="11"/>
  <c r="AI31" i="11"/>
  <c r="AI33" i="11" s="1"/>
  <c r="AH31" i="11"/>
  <c r="AG31" i="11"/>
  <c r="AF31" i="11"/>
  <c r="AF32" i="11" s="1"/>
  <c r="AE31" i="11"/>
  <c r="AE32" i="11" s="1"/>
  <c r="AD31" i="11"/>
  <c r="AD32" i="11" s="1"/>
  <c r="AC31" i="11"/>
  <c r="AB31" i="11"/>
  <c r="AB32" i="11" s="1"/>
  <c r="AA31" i="11"/>
  <c r="Z31" i="11"/>
  <c r="Y31" i="11"/>
  <c r="X31" i="11"/>
  <c r="X32" i="11" s="1"/>
  <c r="W31" i="11"/>
  <c r="W32" i="11" s="1"/>
  <c r="V31" i="11"/>
  <c r="AA33" i="11" s="1"/>
  <c r="U31" i="11"/>
  <c r="T31" i="11"/>
  <c r="T32" i="11" s="1"/>
  <c r="S31" i="11"/>
  <c r="S33" i="11" s="1"/>
  <c r="R31" i="11"/>
  <c r="W33" i="11" s="1"/>
  <c r="Q31" i="11"/>
  <c r="P31" i="11"/>
  <c r="P32" i="11" s="1"/>
  <c r="O31" i="11"/>
  <c r="O32" i="11" s="1"/>
  <c r="M32" i="11"/>
  <c r="N31" i="11"/>
  <c r="N32" i="11" s="1"/>
  <c r="M31" i="11"/>
  <c r="L31" i="11"/>
  <c r="L32" i="11" s="1"/>
  <c r="K31" i="11"/>
  <c r="K32" i="11" s="1"/>
  <c r="BS29" i="11"/>
  <c r="BR29" i="11"/>
  <c r="BQ29" i="11"/>
  <c r="BP29" i="11"/>
  <c r="BO29" i="11"/>
  <c r="BN29" i="11"/>
  <c r="BM29" i="11"/>
  <c r="BL29" i="11"/>
  <c r="BK29" i="11"/>
  <c r="BJ29" i="11"/>
  <c r="BI29" i="11"/>
  <c r="BH29" i="11"/>
  <c r="BG29" i="11"/>
  <c r="BF29" i="11"/>
  <c r="BE29" i="11"/>
  <c r="BD29" i="11"/>
  <c r="BC29" i="11"/>
  <c r="BB29"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K29" i="11"/>
  <c r="J29" i="11"/>
  <c r="CD21" i="11"/>
  <c r="CB21" i="11"/>
  <c r="BW21" i="11"/>
  <c r="BR21" i="11"/>
  <c r="BM21" i="11"/>
  <c r="BH21" i="11"/>
  <c r="BC21" i="11"/>
  <c r="AX21" i="11"/>
  <c r="AS21" i="11"/>
  <c r="BY19" i="8"/>
  <c r="BK19" i="8"/>
  <c r="BJ19" i="8"/>
  <c r="BB19" i="8"/>
  <c r="O75" i="7"/>
  <c r="AP19" i="8"/>
  <c r="AJ63" i="11"/>
  <c r="CH18" i="11"/>
  <c r="CG18" i="11"/>
  <c r="CF18" i="11"/>
  <c r="CE18" i="11"/>
  <c r="CD18" i="11"/>
  <c r="CC18" i="11"/>
  <c r="CB18" i="11"/>
  <c r="CA18" i="11"/>
  <c r="CA17" i="8" s="1"/>
  <c r="BZ18" i="11"/>
  <c r="BY18" i="11"/>
  <c r="BY17" i="8" s="1"/>
  <c r="BX18" i="11"/>
  <c r="BW18" i="11"/>
  <c r="BV18" i="11"/>
  <c r="BU18" i="11"/>
  <c r="BU17" i="8" s="1"/>
  <c r="BT18" i="11"/>
  <c r="BS18" i="11"/>
  <c r="BR18" i="11"/>
  <c r="BQ18" i="11"/>
  <c r="BP18" i="11"/>
  <c r="BO18" i="11"/>
  <c r="BN18" i="11"/>
  <c r="BM18" i="11"/>
  <c r="BM17" i="8" s="1"/>
  <c r="BL18" i="11"/>
  <c r="BK18" i="11"/>
  <c r="BK17" i="8" s="1"/>
  <c r="BJ18" i="11"/>
  <c r="BJ17" i="8" s="1"/>
  <c r="BI18" i="11"/>
  <c r="BI17" i="8" s="1"/>
  <c r="CH16" i="11"/>
  <c r="CG16" i="11"/>
  <c r="CF16" i="11"/>
  <c r="AO65" i="7" s="1"/>
  <c r="CE16" i="11"/>
  <c r="CD16" i="11"/>
  <c r="CC16" i="11"/>
  <c r="CC15" i="8" s="1"/>
  <c r="CB16" i="11"/>
  <c r="CB15" i="8" s="1"/>
  <c r="CA16" i="11"/>
  <c r="CA15" i="8" s="1"/>
  <c r="BZ16" i="11"/>
  <c r="BY16" i="11"/>
  <c r="BX16" i="11"/>
  <c r="BX15" i="8" s="1"/>
  <c r="BW16" i="11"/>
  <c r="BV16" i="11"/>
  <c r="BU16" i="11"/>
  <c r="BU15" i="8" s="1"/>
  <c r="BT16" i="11"/>
  <c r="AH73" i="7" s="1"/>
  <c r="BS16" i="11"/>
  <c r="BR16" i="11"/>
  <c r="BQ16" i="11"/>
  <c r="BP16" i="11"/>
  <c r="BO16" i="11"/>
  <c r="BN16" i="11"/>
  <c r="BM16" i="11"/>
  <c r="BM15" i="8" s="1"/>
  <c r="BL16" i="11"/>
  <c r="Z73" i="7" s="1"/>
  <c r="BK16" i="11"/>
  <c r="BJ16" i="11"/>
  <c r="BI16" i="11"/>
  <c r="BH16" i="11"/>
  <c r="V73" i="7" s="1"/>
  <c r="BG16" i="11"/>
  <c r="BF16" i="11"/>
  <c r="BE16" i="11"/>
  <c r="BD16" i="11"/>
  <c r="R73" i="7" s="1"/>
  <c r="BC16" i="11"/>
  <c r="BB16" i="11"/>
  <c r="BA16" i="11"/>
  <c r="AZ16" i="11"/>
  <c r="N73" i="7" s="1"/>
  <c r="AY16" i="11"/>
  <c r="AX16" i="11"/>
  <c r="AW16" i="11"/>
  <c r="AV16" i="11"/>
  <c r="E65" i="7" s="1"/>
  <c r="AU16" i="11"/>
  <c r="AT16" i="11"/>
  <c r="AS16" i="11"/>
  <c r="AR16" i="11"/>
  <c r="AR15" i="8" s="1"/>
  <c r="AQ16" i="11"/>
  <c r="AP16" i="11"/>
  <c r="AO16" i="11"/>
  <c r="AN16" i="11"/>
  <c r="AM16" i="11"/>
  <c r="AL16" i="11"/>
  <c r="AK16" i="11"/>
  <c r="AJ16" i="11"/>
  <c r="AJ15" i="8" s="1"/>
  <c r="CH13" i="11"/>
  <c r="CG13" i="11"/>
  <c r="CF13" i="11"/>
  <c r="CF12" i="8" s="1"/>
  <c r="CE13" i="11"/>
  <c r="CD13" i="11"/>
  <c r="CC13" i="11"/>
  <c r="CB13" i="11"/>
  <c r="AK62" i="7" s="1"/>
  <c r="CA13" i="11"/>
  <c r="AJ62" i="7" s="1"/>
  <c r="BZ13" i="11"/>
  <c r="BY13" i="11"/>
  <c r="BY12" i="8" s="1"/>
  <c r="BX13" i="11"/>
  <c r="BW13" i="11"/>
  <c r="BW12" i="8" s="1"/>
  <c r="BV13" i="11"/>
  <c r="BV12" i="8" s="1"/>
  <c r="BU13" i="11"/>
  <c r="AD62" i="7" s="1"/>
  <c r="BT13" i="11"/>
  <c r="BS13" i="11"/>
  <c r="BR13" i="11"/>
  <c r="BR12" i="8" s="1"/>
  <c r="BQ13" i="11"/>
  <c r="BP13" i="11"/>
  <c r="BO13" i="11"/>
  <c r="X62" i="7" s="1"/>
  <c r="BN13" i="11"/>
  <c r="W62" i="7" s="1"/>
  <c r="BM13" i="11"/>
  <c r="BM12" i="8" s="1"/>
  <c r="BL13" i="11"/>
  <c r="BL12" i="8" s="1"/>
  <c r="BK13" i="11"/>
  <c r="BK12" i="8" s="1"/>
  <c r="BJ13" i="11"/>
  <c r="BJ12" i="8" s="1"/>
  <c r="BI13" i="11"/>
  <c r="BI12" i="8" s="1"/>
  <c r="CH12" i="11"/>
  <c r="CH11" i="8" s="1"/>
  <c r="CF12" i="11"/>
  <c r="CF11" i="8" s="1"/>
  <c r="CE12" i="11"/>
  <c r="CE11" i="8" s="1"/>
  <c r="CD12" i="11"/>
  <c r="CC12" i="11"/>
  <c r="CB12" i="11"/>
  <c r="CA12" i="11"/>
  <c r="CA11" i="8" s="1"/>
  <c r="BZ12" i="11"/>
  <c r="BY12" i="11"/>
  <c r="BY11" i="8" s="1"/>
  <c r="BX12" i="11"/>
  <c r="BX11" i="8" s="1"/>
  <c r="BW12" i="11"/>
  <c r="BW11" i="8" s="1"/>
  <c r="BV12" i="11"/>
  <c r="BU12" i="11"/>
  <c r="BT12" i="11"/>
  <c r="BS12" i="11"/>
  <c r="AG71" i="7" s="1"/>
  <c r="BR12" i="11"/>
  <c r="BQ12" i="11"/>
  <c r="BP12" i="11"/>
  <c r="BO12" i="11"/>
  <c r="AC71" i="7" s="1"/>
  <c r="BN12" i="11"/>
  <c r="BM12" i="11"/>
  <c r="BL12" i="11"/>
  <c r="BK12" i="11"/>
  <c r="BJ12" i="11"/>
  <c r="BI12" i="11"/>
  <c r="BI11" i="8" s="1"/>
  <c r="BH12" i="11"/>
  <c r="BH11" i="8" s="1"/>
  <c r="BG12" i="11"/>
  <c r="P61" i="7" s="1"/>
  <c r="BF12" i="11"/>
  <c r="BE12" i="11"/>
  <c r="BD12" i="11"/>
  <c r="BC12" i="11"/>
  <c r="BC11" i="8" s="1"/>
  <c r="BB12" i="11"/>
  <c r="BA12" i="11"/>
  <c r="BA11" i="8" s="1"/>
  <c r="AZ12" i="11"/>
  <c r="AZ11" i="8" s="1"/>
  <c r="AY12" i="11"/>
  <c r="M71" i="7" s="1"/>
  <c r="AX12" i="11"/>
  <c r="AW12" i="11"/>
  <c r="AV12" i="11"/>
  <c r="AU12" i="11"/>
  <c r="AU11" i="8" s="1"/>
  <c r="AT12" i="11"/>
  <c r="AS12" i="11"/>
  <c r="AS11" i="8" s="1"/>
  <c r="AR12" i="11"/>
  <c r="AR11" i="8" s="1"/>
  <c r="AQ12" i="11"/>
  <c r="E71" i="7" s="1"/>
  <c r="AP12" i="11"/>
  <c r="AO12" i="11"/>
  <c r="AN12" i="11"/>
  <c r="AM12" i="11"/>
  <c r="AM11" i="8" s="1"/>
  <c r="AL12" i="11"/>
  <c r="AK12" i="11"/>
  <c r="AK11" i="8" s="1"/>
  <c r="AJ12" i="11"/>
  <c r="AJ11" i="8" s="1"/>
  <c r="CW10" i="11"/>
  <c r="CV10" i="11"/>
  <c r="CQ10" i="11"/>
  <c r="CP10" i="11"/>
  <c r="CO10" i="11"/>
  <c r="CN10" i="11"/>
  <c r="CM10" i="11"/>
  <c r="CL10" i="11"/>
  <c r="CK10" i="11"/>
  <c r="CJ10" i="11"/>
  <c r="CI10" i="11"/>
  <c r="CH10" i="11"/>
  <c r="CG10" i="11"/>
  <c r="CF10" i="11"/>
  <c r="CE10" i="11"/>
  <c r="CD10" i="11"/>
  <c r="CC10" i="11"/>
  <c r="B4" i="11"/>
  <c r="B3" i="11"/>
  <c r="BD130" i="10"/>
  <c r="BB130" i="10"/>
  <c r="BC130" i="10" s="1"/>
  <c r="BA130" i="10"/>
  <c r="AZ130" i="10"/>
  <c r="AY130" i="10"/>
  <c r="AU130" i="10"/>
  <c r="AV130" i="10" s="1"/>
  <c r="AW130" i="10" s="1"/>
  <c r="AX130" i="10" s="1"/>
  <c r="AT130" i="10"/>
  <c r="AP130" i="10"/>
  <c r="AQ130" i="10" s="1"/>
  <c r="AR130" i="10" s="1"/>
  <c r="AS130" i="10" s="1"/>
  <c r="AO130" i="10"/>
  <c r="AL130" i="10"/>
  <c r="AM130" i="10" s="1"/>
  <c r="AN130" i="10" s="1"/>
  <c r="AK130" i="10"/>
  <c r="AJ130" i="10"/>
  <c r="AH130" i="10"/>
  <c r="AI130" i="10" s="1"/>
  <c r="AG130" i="10"/>
  <c r="AF130" i="10"/>
  <c r="AE130" i="10"/>
  <c r="AA130" i="10"/>
  <c r="AB130" i="10" s="1"/>
  <c r="AC130" i="10" s="1"/>
  <c r="AD130" i="10" s="1"/>
  <c r="Z130" i="10"/>
  <c r="V130" i="10"/>
  <c r="W130" i="10" s="1"/>
  <c r="X130" i="10" s="1"/>
  <c r="Y130" i="10" s="1"/>
  <c r="U130" i="10"/>
  <c r="S130" i="10" s="1"/>
  <c r="R130" i="10"/>
  <c r="Q130" i="10"/>
  <c r="P130" i="10"/>
  <c r="O130" i="10"/>
  <c r="N130" i="10"/>
  <c r="M130" i="10"/>
  <c r="L130" i="10"/>
  <c r="K130" i="10"/>
  <c r="J130" i="10"/>
  <c r="I130" i="10"/>
  <c r="H130" i="10"/>
  <c r="BT128" i="10"/>
  <c r="BR128" i="10"/>
  <c r="BQ128" i="10"/>
  <c r="BO128" i="10"/>
  <c r="BM128" i="10"/>
  <c r="BL128" i="10"/>
  <c r="BK128" i="10"/>
  <c r="BJ128" i="10"/>
  <c r="BH128" i="10"/>
  <c r="BE128" i="10"/>
  <c r="AZ128" i="10"/>
  <c r="AU128" i="10"/>
  <c r="AS128" i="10"/>
  <c r="AP128" i="10"/>
  <c r="AN128" i="10"/>
  <c r="AM128" i="10"/>
  <c r="AK128" i="10"/>
  <c r="AI128" i="10"/>
  <c r="AF128" i="10"/>
  <c r="AE128" i="10"/>
  <c r="AD128" i="10"/>
  <c r="AC128" i="10"/>
  <c r="AB128" i="10"/>
  <c r="AA128" i="10"/>
  <c r="Z128" i="10"/>
  <c r="Y128" i="10"/>
  <c r="X128" i="10"/>
  <c r="W128" i="10"/>
  <c r="V128" i="10"/>
  <c r="BT127" i="10"/>
  <c r="BR127" i="10"/>
  <c r="BQ127" i="10"/>
  <c r="BO127" i="10"/>
  <c r="BJ127" i="10"/>
  <c r="BE127" i="10"/>
  <c r="AZ127" i="10"/>
  <c r="AU127" i="10"/>
  <c r="AP127" i="10"/>
  <c r="AK127" i="10"/>
  <c r="AF127" i="10"/>
  <c r="AA127" i="10"/>
  <c r="Z127" i="10"/>
  <c r="V127" i="10"/>
  <c r="BI119" i="10"/>
  <c r="BB119" i="10"/>
  <c r="BA119" i="10"/>
  <c r="AW119" i="10"/>
  <c r="AT119" i="10"/>
  <c r="AO119" i="10"/>
  <c r="BJ118" i="10"/>
  <c r="BJ119" i="10" s="1"/>
  <c r="BI118" i="10"/>
  <c r="BB118" i="10"/>
  <c r="BA118" i="10"/>
  <c r="AW118" i="10"/>
  <c r="AV118" i="10"/>
  <c r="AV119" i="10" s="1"/>
  <c r="AT118" i="10"/>
  <c r="AO118" i="10"/>
  <c r="G119" i="10"/>
  <c r="F119" i="10"/>
  <c r="G118" i="10"/>
  <c r="F118" i="10"/>
  <c r="G117" i="10"/>
  <c r="G120" i="10" s="1"/>
  <c r="F117" i="10"/>
  <c r="F120" i="10" s="1"/>
  <c r="CI114" i="10"/>
  <c r="CH114" i="10"/>
  <c r="CC114" i="10"/>
  <c r="BS113" i="10"/>
  <c r="BT112" i="10"/>
  <c r="BU106" i="10" s="1"/>
  <c r="BR112" i="10"/>
  <c r="BQ112" i="10"/>
  <c r="BP112" i="10"/>
  <c r="BQ106" i="10" s="1"/>
  <c r="BO112" i="10"/>
  <c r="BM112" i="10"/>
  <c r="BL112" i="10"/>
  <c r="BM106" i="10" s="1"/>
  <c r="BK112" i="10"/>
  <c r="BL106" i="10" s="1"/>
  <c r="BJ112" i="10"/>
  <c r="BH112" i="10"/>
  <c r="BG112" i="10"/>
  <c r="BH106" i="10" s="1"/>
  <c r="BF112" i="10"/>
  <c r="BE112" i="10"/>
  <c r="BD112" i="10"/>
  <c r="BE106" i="10" s="1"/>
  <c r="BC112" i="10"/>
  <c r="BB112" i="10"/>
  <c r="BC106" i="10" s="1"/>
  <c r="BA112" i="10"/>
  <c r="BB106" i="10" s="1"/>
  <c r="AZ112" i="10"/>
  <c r="BA106" i="10" s="1"/>
  <c r="AY112" i="10"/>
  <c r="AX112" i="10"/>
  <c r="AW112" i="10"/>
  <c r="AV112" i="10"/>
  <c r="AW106" i="10" s="1"/>
  <c r="AU112" i="10"/>
  <c r="AT112" i="10"/>
  <c r="AU106" i="10" s="1"/>
  <c r="AS112" i="10"/>
  <c r="AR112" i="10"/>
  <c r="AS106" i="10" s="1"/>
  <c r="AQ112" i="10"/>
  <c r="AR106" i="10" s="1"/>
  <c r="AP112" i="10"/>
  <c r="AO112" i="10"/>
  <c r="AT106" i="10" s="1"/>
  <c r="AN112" i="10"/>
  <c r="AM112" i="10"/>
  <c r="AL112" i="10"/>
  <c r="AK112" i="10"/>
  <c r="AJ112" i="10"/>
  <c r="AO106" i="10" s="1"/>
  <c r="AI112" i="10"/>
  <c r="AH112" i="10"/>
  <c r="AI106" i="10" s="1"/>
  <c r="AG112" i="10"/>
  <c r="AH106" i="10" s="1"/>
  <c r="AF112" i="10"/>
  <c r="AG106" i="10" s="1"/>
  <c r="AE112" i="10"/>
  <c r="AF106" i="10" s="1"/>
  <c r="AD112" i="10"/>
  <c r="AC112" i="10"/>
  <c r="AD106" i="10" s="1"/>
  <c r="AB112" i="10"/>
  <c r="AC106" i="10" s="1"/>
  <c r="AA112" i="10"/>
  <c r="Y112" i="10"/>
  <c r="X112" i="10"/>
  <c r="Y106" i="10" s="1"/>
  <c r="W112" i="10"/>
  <c r="V112" i="10"/>
  <c r="BE111" i="10"/>
  <c r="BE103" i="10" s="1"/>
  <c r="AP111" i="10"/>
  <c r="AN111" i="10"/>
  <c r="AL111" i="10"/>
  <c r="AC111" i="10"/>
  <c r="X111" i="10"/>
  <c r="X103" i="10" s="1"/>
  <c r="W111" i="10"/>
  <c r="BM107" i="10"/>
  <c r="BJ107" i="10"/>
  <c r="BH107" i="10"/>
  <c r="AZ107" i="10"/>
  <c r="AN107" i="10"/>
  <c r="AI107" i="10"/>
  <c r="AD107" i="10"/>
  <c r="BR106" i="10"/>
  <c r="BP106" i="10"/>
  <c r="BG106" i="10"/>
  <c r="AX106" i="10"/>
  <c r="AQ106" i="10"/>
  <c r="AP106" i="10"/>
  <c r="AL106" i="10"/>
  <c r="Z106" i="10"/>
  <c r="V106" i="10"/>
  <c r="BK103" i="10"/>
  <c r="W103" i="10"/>
  <c r="CN92" i="10"/>
  <c r="BT93" i="10"/>
  <c r="BQ93" i="10"/>
  <c r="BM93" i="10"/>
  <c r="BL93" i="10"/>
  <c r="AZ93" i="10"/>
  <c r="AS93" i="10"/>
  <c r="AF93" i="10"/>
  <c r="AC93" i="10"/>
  <c r="AB93" i="10"/>
  <c r="X93" i="10"/>
  <c r="BT92" i="10"/>
  <c r="BX92" i="10" s="1"/>
  <c r="BR92" i="10"/>
  <c r="BR93" i="10" s="1"/>
  <c r="BQ92" i="10"/>
  <c r="BO92" i="10"/>
  <c r="BO93" i="10" s="1"/>
  <c r="BM92" i="10"/>
  <c r="BL92" i="10"/>
  <c r="BK92" i="10"/>
  <c r="BK93" i="10" s="1"/>
  <c r="BJ92" i="10"/>
  <c r="BJ93" i="10" s="1"/>
  <c r="BH92" i="10"/>
  <c r="BH93" i="10" s="1"/>
  <c r="BE92" i="10"/>
  <c r="AZ92" i="10"/>
  <c r="AU92" i="10"/>
  <c r="AS92" i="10"/>
  <c r="AP92" i="10"/>
  <c r="AP93" i="10" s="1"/>
  <c r="AN92" i="10"/>
  <c r="AM92" i="10"/>
  <c r="AM93" i="10" s="1"/>
  <c r="AK92" i="10"/>
  <c r="AK93" i="10" s="1"/>
  <c r="AI92" i="10"/>
  <c r="AF92" i="10"/>
  <c r="AE92" i="10"/>
  <c r="AD92" i="10"/>
  <c r="AC92" i="10"/>
  <c r="AB92" i="10"/>
  <c r="AA92" i="10"/>
  <c r="AA93" i="10" s="1"/>
  <c r="Z92" i="10"/>
  <c r="Z93" i="10" s="1"/>
  <c r="Y92" i="10"/>
  <c r="Y93" i="10" s="1"/>
  <c r="X92" i="10"/>
  <c r="W92" i="10"/>
  <c r="W93" i="10" s="1"/>
  <c r="V92" i="10"/>
  <c r="V93" i="10" s="1"/>
  <c r="CN88" i="10"/>
  <c r="CN87" i="10"/>
  <c r="CN86" i="10"/>
  <c r="BT88" i="10"/>
  <c r="BX88" i="10" s="1"/>
  <c r="BQ88" i="10"/>
  <c r="BQ87" i="10"/>
  <c r="BO88" i="10"/>
  <c r="BS88" i="10" s="1"/>
  <c r="BM88" i="10"/>
  <c r="BL88" i="10"/>
  <c r="BK88" i="10"/>
  <c r="BK87" i="10" s="1"/>
  <c r="BJ88" i="10"/>
  <c r="BN88" i="10" s="1"/>
  <c r="BH88" i="10"/>
  <c r="BH87" i="10" s="1"/>
  <c r="BE88" i="10"/>
  <c r="AZ88" i="10"/>
  <c r="AU88" i="10"/>
  <c r="AU87" i="10" s="1"/>
  <c r="AS88" i="10"/>
  <c r="AP88" i="10"/>
  <c r="AN88" i="10"/>
  <c r="AM88" i="10"/>
  <c r="AM87" i="10" s="1"/>
  <c r="AK88" i="10"/>
  <c r="AI88" i="10"/>
  <c r="AF88" i="10"/>
  <c r="AF87" i="10" s="1"/>
  <c r="AD88" i="10"/>
  <c r="AC88" i="10"/>
  <c r="AB88" i="10"/>
  <c r="AB87" i="10" s="1"/>
  <c r="AA88" i="10"/>
  <c r="AE88" i="10" s="1"/>
  <c r="AE87" i="10" s="1"/>
  <c r="Y88" i="10"/>
  <c r="X88" i="10"/>
  <c r="X87" i="10" s="1"/>
  <c r="W88" i="10"/>
  <c r="V88" i="10"/>
  <c r="V87" i="10" s="1"/>
  <c r="BR87" i="10"/>
  <c r="BJ87" i="10"/>
  <c r="BE87" i="10"/>
  <c r="AZ87" i="10"/>
  <c r="AS87" i="10"/>
  <c r="AP87" i="10"/>
  <c r="AN87" i="10"/>
  <c r="AK87" i="10"/>
  <c r="AC87" i="10"/>
  <c r="AA87" i="10"/>
  <c r="Y87" i="10"/>
  <c r="W87" i="10"/>
  <c r="CC86" i="10"/>
  <c r="BO86" i="10"/>
  <c r="BS86" i="10" s="1"/>
  <c r="BM86" i="10"/>
  <c r="BM87" i="10" s="1"/>
  <c r="BL86" i="10"/>
  <c r="BL87" i="10" s="1"/>
  <c r="BI86" i="10"/>
  <c r="BD86" i="10"/>
  <c r="AY86" i="10"/>
  <c r="AT86" i="10"/>
  <c r="AO86" i="10"/>
  <c r="AM86" i="10"/>
  <c r="AJ86" i="10"/>
  <c r="AJ78" i="10" s="1"/>
  <c r="AI86" i="10"/>
  <c r="AD86" i="10"/>
  <c r="Y86" i="10"/>
  <c r="BT84" i="10"/>
  <c r="BR84" i="10"/>
  <c r="BQ84" i="10"/>
  <c r="BO84" i="10"/>
  <c r="BJ84" i="10"/>
  <c r="BE84" i="10"/>
  <c r="AZ84" i="10"/>
  <c r="AU84" i="10"/>
  <c r="AP84" i="10"/>
  <c r="AK84" i="10"/>
  <c r="AF84" i="10"/>
  <c r="AA84" i="10"/>
  <c r="Z84" i="10"/>
  <c r="V84" i="10"/>
  <c r="BM80" i="10"/>
  <c r="BM79" i="10"/>
  <c r="BH79" i="10"/>
  <c r="BI79" i="10" s="1"/>
  <c r="BC79" i="10"/>
  <c r="AX79" i="10"/>
  <c r="AS79" i="10"/>
  <c r="AN79" i="10"/>
  <c r="AN93" i="10" s="1"/>
  <c r="AK79" i="10"/>
  <c r="AI79" i="10"/>
  <c r="AE79" i="10"/>
  <c r="AD79" i="10"/>
  <c r="AD76" i="10" s="1"/>
  <c r="AD82" i="10" s="1"/>
  <c r="AC79" i="10"/>
  <c r="Y79" i="10"/>
  <c r="Y78" i="10"/>
  <c r="Y76" i="10"/>
  <c r="Y82" i="10" s="1"/>
  <c r="Y75" i="10"/>
  <c r="CB78" i="10"/>
  <c r="CA78" i="10"/>
  <c r="BZ78" i="10"/>
  <c r="BS78" i="10"/>
  <c r="BT75" i="10"/>
  <c r="BR78" i="10"/>
  <c r="BQ78" i="10"/>
  <c r="BP78" i="10"/>
  <c r="BO78" i="10"/>
  <c r="BM78" i="10"/>
  <c r="BK78" i="10"/>
  <c r="BJ78" i="10"/>
  <c r="BI78" i="10"/>
  <c r="BH78" i="10"/>
  <c r="BG78" i="10"/>
  <c r="BF78" i="10"/>
  <c r="BE78" i="10"/>
  <c r="BD78" i="10"/>
  <c r="BC78" i="10"/>
  <c r="BB78" i="10"/>
  <c r="BA78" i="10"/>
  <c r="AZ78" i="10"/>
  <c r="AY78" i="10"/>
  <c r="AX78" i="10"/>
  <c r="AW78" i="10"/>
  <c r="AV78" i="10"/>
  <c r="AU78" i="10"/>
  <c r="AT78" i="10"/>
  <c r="AS78" i="10"/>
  <c r="AR78" i="10"/>
  <c r="AQ78" i="10"/>
  <c r="AP78" i="10"/>
  <c r="AO78" i="10"/>
  <c r="AN78" i="10"/>
  <c r="AM78" i="10"/>
  <c r="AL78" i="10"/>
  <c r="AK78" i="10"/>
  <c r="AI78" i="10"/>
  <c r="AH78" i="10"/>
  <c r="AG78" i="10"/>
  <c r="AG76" i="10" s="1"/>
  <c r="AG82" i="10" s="1"/>
  <c r="AF78" i="10"/>
  <c r="AD78" i="10"/>
  <c r="AC78" i="10"/>
  <c r="AC76" i="10" s="1"/>
  <c r="AC82" i="10" s="1"/>
  <c r="AB78" i="10"/>
  <c r="AA78" i="10"/>
  <c r="AE78" i="10" s="1"/>
  <c r="BR76" i="10"/>
  <c r="BR82" i="10" s="1"/>
  <c r="BH76" i="10"/>
  <c r="BH82" i="10" s="1"/>
  <c r="BF76" i="10"/>
  <c r="BF82" i="10" s="1"/>
  <c r="BB76" i="10"/>
  <c r="BB82" i="10" s="1"/>
  <c r="AX76" i="10"/>
  <c r="AX82" i="10" s="1"/>
  <c r="AV76" i="10"/>
  <c r="AV82" i="10" s="1"/>
  <c r="AQ76" i="10"/>
  <c r="AQ82" i="10" s="1"/>
  <c r="AH76" i="10"/>
  <c r="AH82" i="10" s="1"/>
  <c r="BR75" i="10"/>
  <c r="BQ75" i="10"/>
  <c r="BQ80" i="10" s="1"/>
  <c r="BP75" i="10"/>
  <c r="BP80" i="10" s="1"/>
  <c r="BM75" i="10"/>
  <c r="BM76" i="10" s="1"/>
  <c r="BM82" i="10" s="1"/>
  <c r="BL75" i="10"/>
  <c r="BL80" i="10" s="1"/>
  <c r="BK75" i="10"/>
  <c r="BK80" i="10" s="1"/>
  <c r="BH75" i="10"/>
  <c r="BG75" i="10"/>
  <c r="BG76" i="10" s="1"/>
  <c r="BG82" i="10" s="1"/>
  <c r="BF75" i="10"/>
  <c r="BC75" i="10"/>
  <c r="BC76" i="10" s="1"/>
  <c r="BC82" i="10" s="1"/>
  <c r="BB75" i="10"/>
  <c r="BA75" i="10"/>
  <c r="BA76" i="10" s="1"/>
  <c r="BA82" i="10" s="1"/>
  <c r="AX75" i="10"/>
  <c r="AW75" i="10"/>
  <c r="AW76" i="10" s="1"/>
  <c r="AW82" i="10" s="1"/>
  <c r="AV75" i="10"/>
  <c r="AS75" i="10"/>
  <c r="AS76" i="10" s="1"/>
  <c r="AS82" i="10" s="1"/>
  <c r="AR75" i="10"/>
  <c r="AR76" i="10" s="1"/>
  <c r="AR82" i="10" s="1"/>
  <c r="AQ75" i="10"/>
  <c r="AN75" i="10"/>
  <c r="AM75" i="10"/>
  <c r="AM76" i="10" s="1"/>
  <c r="AM82" i="10" s="1"/>
  <c r="AJ75" i="10"/>
  <c r="AI75" i="10"/>
  <c r="AI76" i="10" s="1"/>
  <c r="AI82" i="10" s="1"/>
  <c r="AH75" i="10"/>
  <c r="AG75" i="10"/>
  <c r="AF75" i="10"/>
  <c r="AF76" i="10" s="1"/>
  <c r="AF82" i="10" s="1"/>
  <c r="AD75" i="10"/>
  <c r="AC75" i="10"/>
  <c r="AB75" i="10"/>
  <c r="AB76" i="10" s="1"/>
  <c r="AB82" i="10" s="1"/>
  <c r="AA75" i="10"/>
  <c r="AA76" i="10" s="1"/>
  <c r="X78" i="10"/>
  <c r="X76" i="10" s="1"/>
  <c r="X82" i="10" s="1"/>
  <c r="W78" i="10"/>
  <c r="V78" i="10"/>
  <c r="Z78" i="10" s="1"/>
  <c r="W76" i="10"/>
  <c r="W82" i="10" s="1"/>
  <c r="X75" i="10"/>
  <c r="W75" i="10"/>
  <c r="V75" i="10"/>
  <c r="Z75" i="10" s="1"/>
  <c r="BG70" i="10"/>
  <c r="BG118" i="10" s="1"/>
  <c r="BG119" i="10" s="1"/>
  <c r="BF70" i="10"/>
  <c r="BF118" i="10" s="1"/>
  <c r="BF119" i="10" s="1"/>
  <c r="BE70" i="10"/>
  <c r="BE118" i="10" s="1"/>
  <c r="BE119" i="10" s="1"/>
  <c r="AZ70" i="10"/>
  <c r="AU70" i="10"/>
  <c r="AR70" i="10"/>
  <c r="AR118" i="10" s="1"/>
  <c r="AR119" i="10" s="1"/>
  <c r="AQ70" i="10"/>
  <c r="AQ118" i="10" s="1"/>
  <c r="AQ119" i="10" s="1"/>
  <c r="AP70" i="10"/>
  <c r="AP118" i="10" s="1"/>
  <c r="AP119" i="10" s="1"/>
  <c r="AN70" i="10"/>
  <c r="AM70" i="10"/>
  <c r="AM118" i="10" s="1"/>
  <c r="AM119" i="10" s="1"/>
  <c r="AL70" i="10"/>
  <c r="AL118" i="10" s="1"/>
  <c r="AL119" i="10" s="1"/>
  <c r="AK70" i="10"/>
  <c r="AK118" i="10" s="1"/>
  <c r="AK119" i="10" s="1"/>
  <c r="AJ70" i="10"/>
  <c r="AI70" i="10"/>
  <c r="AI118" i="10" s="1"/>
  <c r="AI119" i="10" s="1"/>
  <c r="AH70" i="10"/>
  <c r="AH118" i="10" s="1"/>
  <c r="AH119" i="10" s="1"/>
  <c r="AG70" i="10"/>
  <c r="AG118" i="10" s="1"/>
  <c r="AG119" i="10" s="1"/>
  <c r="AF70" i="10"/>
  <c r="AE70" i="10"/>
  <c r="AE118" i="10" s="1"/>
  <c r="AE119" i="10" s="1"/>
  <c r="AD70" i="10"/>
  <c r="AD118" i="10" s="1"/>
  <c r="AD119" i="10" s="1"/>
  <c r="AC70" i="10"/>
  <c r="AC118" i="10" s="1"/>
  <c r="AC119" i="10" s="1"/>
  <c r="AB70" i="10"/>
  <c r="AA70" i="10"/>
  <c r="AA118" i="10" s="1"/>
  <c r="AA119" i="10" s="1"/>
  <c r="Y70" i="10"/>
  <c r="Y118" i="10" s="1"/>
  <c r="Y119" i="10" s="1"/>
  <c r="X70" i="10"/>
  <c r="W70" i="10"/>
  <c r="W118" i="10" s="1"/>
  <c r="W119" i="10" s="1"/>
  <c r="V70" i="10"/>
  <c r="V118" i="10" s="1"/>
  <c r="V119" i="10" s="1"/>
  <c r="CA68" i="10"/>
  <c r="CB68" i="10" s="1"/>
  <c r="BS67" i="10"/>
  <c r="BR67" i="10"/>
  <c r="BM67" i="10"/>
  <c r="BH67" i="10"/>
  <c r="BC67" i="10"/>
  <c r="AZ67" i="10"/>
  <c r="AU67" i="10"/>
  <c r="AS67" i="10"/>
  <c r="BT64" i="10"/>
  <c r="BU63" i="10" s="1"/>
  <c r="BR64" i="10"/>
  <c r="BP64" i="10"/>
  <c r="BO64" i="10"/>
  <c r="BP63" i="10" s="1"/>
  <c r="BM64" i="10"/>
  <c r="AJ194" i="7" s="1"/>
  <c r="BL64" i="10"/>
  <c r="AI194" i="7" s="1"/>
  <c r="BK64" i="10"/>
  <c r="BL63" i="10" s="1"/>
  <c r="BJ64" i="10"/>
  <c r="BI64" i="10"/>
  <c r="BN63" i="10" s="1"/>
  <c r="BH64" i="10"/>
  <c r="AE194" i="7" s="1"/>
  <c r="BG64" i="10"/>
  <c r="BF64" i="10"/>
  <c r="BE64" i="10"/>
  <c r="BF63" i="10" s="1"/>
  <c r="BF65" i="10" s="1"/>
  <c r="BC64" i="10"/>
  <c r="BB64" i="10"/>
  <c r="BC63" i="10" s="1"/>
  <c r="BA64" i="10"/>
  <c r="AZ64" i="10"/>
  <c r="W194" i="7" s="1"/>
  <c r="AY64" i="10"/>
  <c r="AZ63" i="10" s="1"/>
  <c r="AX64" i="10"/>
  <c r="U194" i="7" s="1"/>
  <c r="AW64" i="10"/>
  <c r="AX63" i="10" s="1"/>
  <c r="AV64" i="10"/>
  <c r="S194" i="7" s="1"/>
  <c r="AU64" i="10"/>
  <c r="AV63" i="10" s="1"/>
  <c r="AT64" i="10"/>
  <c r="AU63" i="10" s="1"/>
  <c r="AS64" i="10"/>
  <c r="P194" i="7" s="1"/>
  <c r="AR64" i="10"/>
  <c r="O194" i="7" s="1"/>
  <c r="AQ64" i="10"/>
  <c r="AR63" i="10" s="1"/>
  <c r="AP64" i="10"/>
  <c r="AO64" i="10"/>
  <c r="AN64" i="10"/>
  <c r="AM64" i="10"/>
  <c r="AN63" i="10" s="1"/>
  <c r="AL64" i="10"/>
  <c r="AM63" i="10" s="1"/>
  <c r="AK64" i="10"/>
  <c r="H194" i="7" s="1"/>
  <c r="AJ64" i="10"/>
  <c r="G194" i="7" s="1"/>
  <c r="AI64" i="10"/>
  <c r="F194" i="7" s="1"/>
  <c r="AH64" i="10"/>
  <c r="AI63" i="10" s="1"/>
  <c r="AG64" i="10"/>
  <c r="AH63" i="10" s="1"/>
  <c r="AF64" i="10"/>
  <c r="C194" i="7" s="1"/>
  <c r="AE64" i="10"/>
  <c r="B194" i="7" s="1"/>
  <c r="AD64" i="10"/>
  <c r="AC64" i="10"/>
  <c r="AB64" i="10"/>
  <c r="AA64" i="10"/>
  <c r="Z64" i="10"/>
  <c r="Y64" i="10"/>
  <c r="X64" i="10"/>
  <c r="W64" i="10"/>
  <c r="V64" i="10"/>
  <c r="BK63" i="10"/>
  <c r="BK65" i="10" s="1"/>
  <c r="BJ63" i="10"/>
  <c r="AY63" i="10"/>
  <c r="AF63" i="10"/>
  <c r="AD63" i="10"/>
  <c r="AC63" i="10"/>
  <c r="AB63" i="10"/>
  <c r="AA63" i="10"/>
  <c r="X63" i="10"/>
  <c r="W63" i="10"/>
  <c r="V63" i="10"/>
  <c r="Z63" i="10" s="1"/>
  <c r="BT60" i="10"/>
  <c r="BR60" i="10"/>
  <c r="AO193" i="7" s="1"/>
  <c r="BQ60" i="10"/>
  <c r="AN193" i="7" s="1"/>
  <c r="BP60" i="10"/>
  <c r="AM193" i="7" s="1"/>
  <c r="BO60" i="10"/>
  <c r="AL193" i="7" s="1"/>
  <c r="BM60" i="10"/>
  <c r="AJ193" i="7" s="1"/>
  <c r="BL60" i="10"/>
  <c r="BK60" i="10"/>
  <c r="BJ60" i="10"/>
  <c r="AG193" i="7" s="1"/>
  <c r="BH60" i="10"/>
  <c r="AE193" i="7" s="1"/>
  <c r="BG60" i="10"/>
  <c r="AD193" i="7" s="1"/>
  <c r="BF60" i="10"/>
  <c r="AC193" i="7" s="1"/>
  <c r="BE60" i="10"/>
  <c r="AB193" i="7" s="1"/>
  <c r="BC60" i="10"/>
  <c r="BB60" i="10"/>
  <c r="Y193" i="7" s="1"/>
  <c r="BA60" i="10"/>
  <c r="X193" i="7" s="1"/>
  <c r="AZ60" i="10"/>
  <c r="AX60" i="10"/>
  <c r="U193" i="7" s="1"/>
  <c r="AW60" i="10"/>
  <c r="T193" i="7" s="1"/>
  <c r="AV60" i="10"/>
  <c r="S193" i="7" s="1"/>
  <c r="AU60" i="10"/>
  <c r="AS60" i="10"/>
  <c r="P193" i="7" s="1"/>
  <c r="AR60" i="10"/>
  <c r="O193" i="7" s="1"/>
  <c r="AQ60" i="10"/>
  <c r="N193" i="7" s="1"/>
  <c r="AP60" i="10"/>
  <c r="M193" i="7" s="1"/>
  <c r="AO60" i="10"/>
  <c r="AN60" i="10"/>
  <c r="K193" i="7" s="1"/>
  <c r="AM60" i="10"/>
  <c r="AL60" i="10"/>
  <c r="AK60" i="10"/>
  <c r="H193" i="7" s="1"/>
  <c r="AI60" i="10"/>
  <c r="F193" i="7" s="1"/>
  <c r="AH60" i="10"/>
  <c r="AG60" i="10"/>
  <c r="D193" i="7" s="1"/>
  <c r="AF60" i="10"/>
  <c r="AD60" i="10"/>
  <c r="AC60" i="10"/>
  <c r="AB60" i="10"/>
  <c r="AA60" i="10"/>
  <c r="Y60" i="10"/>
  <c r="X60" i="10"/>
  <c r="W60" i="10"/>
  <c r="V60" i="10"/>
  <c r="BR59" i="10"/>
  <c r="BQ59" i="10"/>
  <c r="BQ68" i="10" s="1"/>
  <c r="BP59" i="10"/>
  <c r="BP68" i="10" s="1"/>
  <c r="BM59" i="10"/>
  <c r="BL59" i="10"/>
  <c r="BK59" i="10"/>
  <c r="BH59" i="10"/>
  <c r="BG59" i="10"/>
  <c r="BF59" i="10"/>
  <c r="BC59" i="10"/>
  <c r="BB59" i="10"/>
  <c r="BA59" i="10"/>
  <c r="AX59" i="10"/>
  <c r="AW59" i="10"/>
  <c r="AV59" i="10"/>
  <c r="AS59" i="10"/>
  <c r="AR59" i="10"/>
  <c r="AQ59" i="10"/>
  <c r="AN59" i="10"/>
  <c r="AM59" i="10"/>
  <c r="AM61" i="10" s="1"/>
  <c r="AL59" i="10"/>
  <c r="AL67" i="10" s="1"/>
  <c r="AI59" i="10"/>
  <c r="AH59" i="10"/>
  <c r="AH67" i="10" s="1"/>
  <c r="AG59" i="10"/>
  <c r="AG67" i="10" s="1"/>
  <c r="AF59" i="10"/>
  <c r="AD59" i="10"/>
  <c r="AD67" i="10" s="1"/>
  <c r="AC59" i="10"/>
  <c r="AC67" i="10" s="1"/>
  <c r="AB59" i="10"/>
  <c r="AB67" i="10" s="1"/>
  <c r="AA59" i="10"/>
  <c r="AA67" i="10" s="1"/>
  <c r="Y59" i="10"/>
  <c r="Y67" i="10" s="1"/>
  <c r="X59" i="10"/>
  <c r="X53" i="10" s="1"/>
  <c r="W59" i="10"/>
  <c r="W67" i="10" s="1"/>
  <c r="V59" i="10"/>
  <c r="V67" i="10" s="1"/>
  <c r="BN46" i="10"/>
  <c r="BF46" i="10"/>
  <c r="BI46" i="10" s="1"/>
  <c r="BA46" i="10"/>
  <c r="BB46" i="10" s="1"/>
  <c r="AV46" i="10"/>
  <c r="AW46" i="10" s="1"/>
  <c r="AT46" i="10"/>
  <c r="AO46" i="10"/>
  <c r="AJ46" i="10"/>
  <c r="AE46" i="10"/>
  <c r="Z46" i="10"/>
  <c r="BS43" i="10"/>
  <c r="BS41" i="10"/>
  <c r="BS39" i="10"/>
  <c r="BP43" i="10"/>
  <c r="BP42" i="10"/>
  <c r="BS42" i="10" s="1"/>
  <c r="BS128" i="10" s="1"/>
  <c r="BN42" i="10"/>
  <c r="BN41" i="10"/>
  <c r="BN40" i="10"/>
  <c r="BN39" i="10"/>
  <c r="BI41" i="10"/>
  <c r="AQ43" i="10"/>
  <c r="AR43" i="10" s="1"/>
  <c r="AL43" i="10"/>
  <c r="AM43" i="10" s="1"/>
  <c r="AN43" i="10" s="1"/>
  <c r="AH43" i="10"/>
  <c r="AI43" i="10" s="1"/>
  <c r="AG43" i="10"/>
  <c r="AE43" i="10"/>
  <c r="AC43" i="10"/>
  <c r="AD43" i="10" s="1"/>
  <c r="AB43" i="10"/>
  <c r="Z43" i="10"/>
  <c r="W43" i="10"/>
  <c r="Y43" i="10" s="1"/>
  <c r="BF43" i="10"/>
  <c r="BF42" i="10"/>
  <c r="BG42" i="10" s="1"/>
  <c r="BA43" i="10"/>
  <c r="BB43" i="10" s="1"/>
  <c r="BC42" i="10"/>
  <c r="BA42" i="10"/>
  <c r="BB42" i="10" s="1"/>
  <c r="AV43" i="10"/>
  <c r="AW43" i="10" s="1"/>
  <c r="AX42" i="10"/>
  <c r="AV42" i="10"/>
  <c r="AW42" i="10" s="1"/>
  <c r="AT41" i="10"/>
  <c r="AT40" i="10"/>
  <c r="AQ42" i="10"/>
  <c r="AO41" i="10"/>
  <c r="AO40" i="10"/>
  <c r="AO39" i="10"/>
  <c r="AO127" i="10" s="1"/>
  <c r="AL42" i="10"/>
  <c r="AJ41" i="10"/>
  <c r="AG42" i="10"/>
  <c r="BD41" i="10"/>
  <c r="AY41" i="10"/>
  <c r="AE41" i="10"/>
  <c r="AE127" i="10" s="1"/>
  <c r="CI40" i="10"/>
  <c r="CH40" i="10"/>
  <c r="CB40" i="10"/>
  <c r="AY190" i="7" s="1"/>
  <c r="CA40" i="10"/>
  <c r="AX190" i="7" s="1"/>
  <c r="BZ40" i="10"/>
  <c r="BW40" i="10"/>
  <c r="BV40" i="10"/>
  <c r="BU40" i="10"/>
  <c r="BT40" i="10"/>
  <c r="BR40" i="10"/>
  <c r="BQ40" i="10"/>
  <c r="BH40" i="10"/>
  <c r="BE40" i="10"/>
  <c r="AI40" i="10"/>
  <c r="AH40" i="10"/>
  <c r="AG40" i="10"/>
  <c r="AD40" i="10"/>
  <c r="AC40" i="10"/>
  <c r="AB40" i="10"/>
  <c r="AA40" i="10"/>
  <c r="Z40" i="10"/>
  <c r="X40" i="10"/>
  <c r="W40" i="10"/>
  <c r="V40" i="10"/>
  <c r="BF39" i="10"/>
  <c r="BF88" i="10" s="1"/>
  <c r="BF87" i="10" s="1"/>
  <c r="AR39" i="10"/>
  <c r="AQ39" i="10"/>
  <c r="AQ88" i="10" s="1"/>
  <c r="AQ87" i="10" s="1"/>
  <c r="AL39" i="10"/>
  <c r="AL88" i="10" s="1"/>
  <c r="AL87" i="10" s="1"/>
  <c r="AL38" i="10"/>
  <c r="AM38" i="10" s="1"/>
  <c r="AH39" i="10"/>
  <c r="AH88" i="10" s="1"/>
  <c r="AH87" i="10" s="1"/>
  <c r="AG39" i="10"/>
  <c r="AG88" i="10" s="1"/>
  <c r="BP38" i="10"/>
  <c r="BK38" i="10"/>
  <c r="BF38" i="10"/>
  <c r="BG38" i="10" s="1"/>
  <c r="BC40" i="10"/>
  <c r="BB40" i="10"/>
  <c r="BA40" i="10"/>
  <c r="BA39" i="10"/>
  <c r="BA38" i="10"/>
  <c r="AV40" i="10"/>
  <c r="AX39" i="10"/>
  <c r="AX88" i="10" s="1"/>
  <c r="AX87" i="10" s="1"/>
  <c r="AW39" i="10"/>
  <c r="AV39" i="10"/>
  <c r="AV88" i="10" s="1"/>
  <c r="AV38" i="10"/>
  <c r="AQ38" i="10"/>
  <c r="AN38" i="10"/>
  <c r="AG38" i="10"/>
  <c r="AB38" i="10"/>
  <c r="W38" i="10"/>
  <c r="X38" i="10" s="1"/>
  <c r="CI35" i="10"/>
  <c r="CH35" i="10"/>
  <c r="CB35" i="10"/>
  <c r="CC35" i="10"/>
  <c r="AZ184" i="7" s="1"/>
  <c r="BT35" i="10"/>
  <c r="BR35" i="10"/>
  <c r="BQ35" i="10"/>
  <c r="BP35" i="10"/>
  <c r="BO35" i="10"/>
  <c r="BS35" i="10" s="1"/>
  <c r="BK35" i="10"/>
  <c r="BJ35" i="10"/>
  <c r="BF35" i="10"/>
  <c r="BG35" i="10" s="1"/>
  <c r="BE35" i="10"/>
  <c r="AZ35" i="10"/>
  <c r="AU35" i="10"/>
  <c r="AT35" i="10"/>
  <c r="AQ35" i="10"/>
  <c r="AR35" i="10" s="1"/>
  <c r="AP35" i="10"/>
  <c r="AO35" i="10"/>
  <c r="AK35" i="10"/>
  <c r="AN35" i="10" s="1"/>
  <c r="AJ35" i="10"/>
  <c r="AF35" i="10"/>
  <c r="AG35" i="10" s="1"/>
  <c r="D184" i="7" s="1"/>
  <c r="AE35" i="10"/>
  <c r="AC35" i="10"/>
  <c r="AB35" i="10"/>
  <c r="AA35" i="10"/>
  <c r="Z35" i="10"/>
  <c r="V35" i="10"/>
  <c r="W35" i="10" s="1"/>
  <c r="X35" i="10" s="1"/>
  <c r="Y35" i="10" s="1"/>
  <c r="BZ34" i="10"/>
  <c r="BU34" i="10"/>
  <c r="BR34" i="10"/>
  <c r="BS34" i="10" s="1"/>
  <c r="BN34" i="10"/>
  <c r="BN33" i="10"/>
  <c r="BG34" i="10"/>
  <c r="BF34" i="10"/>
  <c r="BB34" i="10"/>
  <c r="BA34" i="10"/>
  <c r="AT34" i="10"/>
  <c r="AO34" i="10"/>
  <c r="AJ34" i="10"/>
  <c r="AE34" i="10"/>
  <c r="Z34" i="10"/>
  <c r="BS33" i="10"/>
  <c r="BS32" i="10"/>
  <c r="BJ33" i="10"/>
  <c r="BF33" i="10"/>
  <c r="BG33" i="10" s="1"/>
  <c r="BE33" i="10"/>
  <c r="BC33" i="10"/>
  <c r="BB33" i="10"/>
  <c r="BA33" i="10"/>
  <c r="AN33" i="10"/>
  <c r="AN32" i="10"/>
  <c r="AU182" i="7"/>
  <c r="BM32" i="10"/>
  <c r="BN32" i="10" s="1"/>
  <c r="BI32" i="10"/>
  <c r="BA32" i="10"/>
  <c r="BB32" i="10" s="1"/>
  <c r="BC32" i="10" s="1"/>
  <c r="BD32" i="10" s="1"/>
  <c r="AX34" i="10"/>
  <c r="AY34" i="10" s="1"/>
  <c r="AV34" i="10"/>
  <c r="AW34" i="10" s="1"/>
  <c r="AV33" i="10"/>
  <c r="AW33" i="10" s="1"/>
  <c r="AV32" i="10"/>
  <c r="AW32" i="10" s="1"/>
  <c r="AX32" i="10" s="1"/>
  <c r="AS33" i="10"/>
  <c r="AR33" i="10"/>
  <c r="AQ33" i="10"/>
  <c r="AQ32" i="10"/>
  <c r="AL32" i="10"/>
  <c r="AG33" i="10"/>
  <c r="AG32" i="10"/>
  <c r="AB33" i="10"/>
  <c r="AC33" i="10" s="1"/>
  <c r="AD33" i="10" s="1"/>
  <c r="AC32" i="10"/>
  <c r="AD32" i="10" s="1"/>
  <c r="AB32" i="10"/>
  <c r="W33" i="10"/>
  <c r="W32" i="10"/>
  <c r="BN28" i="10"/>
  <c r="BL28" i="10"/>
  <c r="BG28" i="10"/>
  <c r="BH28" i="10" s="1"/>
  <c r="BF28" i="10"/>
  <c r="BD28" i="10"/>
  <c r="BB28" i="10"/>
  <c r="BT25" i="10"/>
  <c r="BT117" i="10" s="1"/>
  <c r="BR25" i="10"/>
  <c r="BR117" i="10" s="1"/>
  <c r="BQ25" i="10"/>
  <c r="BQ117" i="10" s="1"/>
  <c r="BP25" i="10"/>
  <c r="BP117" i="10" s="1"/>
  <c r="BO25" i="10"/>
  <c r="BM25" i="10"/>
  <c r="BM117" i="10" s="1"/>
  <c r="BL25" i="10"/>
  <c r="BL117" i="10" s="1"/>
  <c r="BK25" i="10"/>
  <c r="BK117" i="10" s="1"/>
  <c r="BJ25" i="10"/>
  <c r="BJ117" i="10" s="1"/>
  <c r="BJ120" i="10" s="1"/>
  <c r="BH25" i="10"/>
  <c r="BH117" i="10" s="1"/>
  <c r="BE25" i="10"/>
  <c r="BE29" i="10" s="1"/>
  <c r="AZ25" i="10"/>
  <c r="AZ29" i="10" s="1"/>
  <c r="AU25" i="10"/>
  <c r="AS25" i="10"/>
  <c r="AP25" i="10"/>
  <c r="AP117" i="10" s="1"/>
  <c r="AP120" i="10" s="1"/>
  <c r="AN25" i="10"/>
  <c r="AM25" i="10"/>
  <c r="AM117" i="10" s="1"/>
  <c r="AM120" i="10" s="1"/>
  <c r="AL25" i="10"/>
  <c r="AL117" i="10" s="1"/>
  <c r="AL120" i="10" s="1"/>
  <c r="AK25" i="10"/>
  <c r="AI25" i="10"/>
  <c r="AI117" i="10" s="1"/>
  <c r="AI120" i="10" s="1"/>
  <c r="AH25" i="10"/>
  <c r="AH117" i="10" s="1"/>
  <c r="AG25" i="10"/>
  <c r="AF25" i="10"/>
  <c r="AA25" i="10"/>
  <c r="AA36" i="10" s="1"/>
  <c r="Y25" i="10"/>
  <c r="W25" i="10"/>
  <c r="V25" i="10"/>
  <c r="V117" i="10" s="1"/>
  <c r="V120" i="10" s="1"/>
  <c r="BN24" i="10"/>
  <c r="BN23" i="10"/>
  <c r="BI24" i="10"/>
  <c r="BI23" i="10"/>
  <c r="AD24" i="10"/>
  <c r="AD25" i="10" s="1"/>
  <c r="Y24" i="10"/>
  <c r="BS23" i="10"/>
  <c r="BF23" i="10"/>
  <c r="BC24" i="10"/>
  <c r="BD24" i="10" s="1"/>
  <c r="BA23" i="10"/>
  <c r="AV23" i="10"/>
  <c r="AQ23" i="10"/>
  <c r="AO23" i="10"/>
  <c r="AJ23" i="10"/>
  <c r="AB23" i="10"/>
  <c r="BS18" i="10"/>
  <c r="BS15" i="10"/>
  <c r="BN18" i="10"/>
  <c r="BN16" i="10"/>
  <c r="BN15" i="10"/>
  <c r="BN13" i="10"/>
  <c r="CB75" i="11" s="1"/>
  <c r="BF21" i="10"/>
  <c r="BF25" i="10" s="1"/>
  <c r="BA21" i="10"/>
  <c r="BA25" i="10" s="1"/>
  <c r="AV21" i="10"/>
  <c r="AV25" i="10" s="1"/>
  <c r="AT17" i="10"/>
  <c r="AQ21" i="10"/>
  <c r="AQ25" i="10" s="1"/>
  <c r="AO19" i="10"/>
  <c r="AN19" i="10" s="1"/>
  <c r="AJ20" i="10"/>
  <c r="AJ19" i="10"/>
  <c r="AJ18" i="10"/>
  <c r="AJ17" i="10"/>
  <c r="AG21" i="10"/>
  <c r="AG19" i="10"/>
  <c r="AB21" i="10"/>
  <c r="AC21" i="10" s="1"/>
  <c r="Z19" i="10"/>
  <c r="X21" i="10"/>
  <c r="X25" i="10" s="1"/>
  <c r="W21" i="10"/>
  <c r="AF19" i="10"/>
  <c r="BP19" i="10"/>
  <c r="BS19" i="10" s="1"/>
  <c r="AP170" i="7" s="1"/>
  <c r="BJ19" i="10"/>
  <c r="BN19" i="10" s="1"/>
  <c r="AK170" i="7" s="1"/>
  <c r="BF19" i="10"/>
  <c r="BF18" i="10"/>
  <c r="BH18" i="10" s="1"/>
  <c r="BF16" i="10"/>
  <c r="BG16" i="10" s="1"/>
  <c r="BA19" i="10"/>
  <c r="AZ19" i="10"/>
  <c r="AU19" i="10"/>
  <c r="AQ19" i="10"/>
  <c r="AP19" i="10"/>
  <c r="AN18" i="10"/>
  <c r="AK19" i="10"/>
  <c r="AH19" i="10"/>
  <c r="AI19" i="10" s="1"/>
  <c r="AA19" i="10"/>
  <c r="V19" i="10"/>
  <c r="BH17" i="10"/>
  <c r="BA18" i="10"/>
  <c r="BB18" i="10" s="1"/>
  <c r="AQ18" i="10"/>
  <c r="AR18" i="10" s="1"/>
  <c r="AD18" i="10"/>
  <c r="AD17" i="10"/>
  <c r="AE17" i="10" s="1"/>
  <c r="BT17" i="10"/>
  <c r="BR17" i="10"/>
  <c r="BQ17" i="10"/>
  <c r="BP17" i="10"/>
  <c r="BA17" i="10"/>
  <c r="BB17" i="10" s="1"/>
  <c r="AO17" i="10"/>
  <c r="AO16" i="10"/>
  <c r="AO15" i="10"/>
  <c r="AO14" i="10"/>
  <c r="AO13" i="10"/>
  <c r="BC75" i="11" s="1"/>
  <c r="X17" i="10"/>
  <c r="W17" i="10"/>
  <c r="V17" i="10"/>
  <c r="CI17" i="10"/>
  <c r="CH17" i="10"/>
  <c r="BW17" i="10"/>
  <c r="BV17" i="10"/>
  <c r="BU17" i="10"/>
  <c r="BQ16" i="10"/>
  <c r="BS16" i="10" s="1"/>
  <c r="BI15" i="10"/>
  <c r="AQ16" i="10"/>
  <c r="AG16" i="10"/>
  <c r="AH16" i="10" s="1"/>
  <c r="W16" i="10"/>
  <c r="X16" i="10" s="1"/>
  <c r="Y16" i="10" s="1"/>
  <c r="CH15" i="10"/>
  <c r="CI15" i="10" s="1"/>
  <c r="BA16" i="10"/>
  <c r="BB16" i="10" s="1"/>
  <c r="BA15" i="10"/>
  <c r="BB15" i="10" s="1"/>
  <c r="AV18" i="10"/>
  <c r="AW18" i="10" s="1"/>
  <c r="AV17" i="10"/>
  <c r="AW17" i="10" s="1"/>
  <c r="AV16" i="10"/>
  <c r="AW16" i="10" s="1"/>
  <c r="AV15" i="10"/>
  <c r="AW15" i="10" s="1"/>
  <c r="AJ15" i="10"/>
  <c r="AJ13" i="10"/>
  <c r="AX75" i="11" s="1"/>
  <c r="AC16" i="10"/>
  <c r="AD16" i="10" s="1"/>
  <c r="AB16" i="10"/>
  <c r="AB15" i="10"/>
  <c r="AC15" i="10" s="1"/>
  <c r="V15" i="10"/>
  <c r="W15" i="10" s="1"/>
  <c r="BT14" i="10"/>
  <c r="BR14" i="10"/>
  <c r="BQ14" i="10"/>
  <c r="BP14" i="10"/>
  <c r="BO14" i="10"/>
  <c r="BM14" i="10"/>
  <c r="BL14" i="10"/>
  <c r="BK14" i="10"/>
  <c r="BJ14" i="10"/>
  <c r="BF14" i="10"/>
  <c r="BE14" i="10"/>
  <c r="BC14" i="10"/>
  <c r="BB14" i="10"/>
  <c r="BA14" i="10"/>
  <c r="AZ14" i="10"/>
  <c r="AX14" i="10"/>
  <c r="AW14" i="10"/>
  <c r="AV14" i="10"/>
  <c r="AU14" i="10"/>
  <c r="AG14" i="10"/>
  <c r="AH14" i="10" s="1"/>
  <c r="AB14" i="10"/>
  <c r="AC14" i="10" s="1"/>
  <c r="AD14" i="10" s="1"/>
  <c r="W14" i="10"/>
  <c r="X14" i="10" s="1"/>
  <c r="Y14" i="10" s="1"/>
  <c r="BP13" i="10"/>
  <c r="CD75" i="11" s="1"/>
  <c r="BF13" i="10"/>
  <c r="BA13" i="10"/>
  <c r="AV13" i="10"/>
  <c r="BJ75" i="11" s="1"/>
  <c r="AQ14" i="10"/>
  <c r="AR14" i="10" s="1"/>
  <c r="AQ13" i="10"/>
  <c r="BE75" i="11" s="1"/>
  <c r="AB13" i="10"/>
  <c r="AP75" i="11" s="1"/>
  <c r="CI10" i="10"/>
  <c r="CH10" i="10"/>
  <c r="CC10" i="10"/>
  <c r="CB10" i="10"/>
  <c r="CA10" i="10"/>
  <c r="BZ10" i="10"/>
  <c r="BY10" i="10"/>
  <c r="BX10" i="10"/>
  <c r="BW10" i="10"/>
  <c r="BV10" i="10"/>
  <c r="BU10" i="10"/>
  <c r="BT10" i="10"/>
  <c r="BS10" i="10"/>
  <c r="BR10" i="10"/>
  <c r="BQ10" i="10"/>
  <c r="BP10" i="10"/>
  <c r="BO10" i="10"/>
  <c r="I10" i="10"/>
  <c r="B4" i="10"/>
  <c r="B3" i="10"/>
  <c r="BJ138" i="9"/>
  <c r="BE138" i="9"/>
  <c r="AZ138" i="9"/>
  <c r="AU138" i="9"/>
  <c r="AP138" i="9"/>
  <c r="AK138" i="9"/>
  <c r="AF138" i="9"/>
  <c r="AA138" i="9"/>
  <c r="BO135" i="9"/>
  <c r="BJ135" i="9"/>
  <c r="BJ134" i="9"/>
  <c r="BJ136" i="9" s="1"/>
  <c r="BQ135" i="9"/>
  <c r="BR135" i="9" s="1"/>
  <c r="BU134" i="9"/>
  <c r="BS134" i="9"/>
  <c r="BR134" i="9"/>
  <c r="BQ134" i="9"/>
  <c r="BQ136" i="9" s="1"/>
  <c r="BQ118" i="9" s="1"/>
  <c r="BP134" i="9"/>
  <c r="BP136" i="9" s="1"/>
  <c r="BN134" i="9"/>
  <c r="BN136" i="9" s="1"/>
  <c r="BM134" i="9"/>
  <c r="BM136" i="9" s="1"/>
  <c r="BM118" i="9" s="1"/>
  <c r="BL134" i="9"/>
  <c r="BL136" i="9" s="1"/>
  <c r="BK134" i="9"/>
  <c r="BK136" i="9" s="1"/>
  <c r="BK118" i="9" s="1"/>
  <c r="BI134" i="9"/>
  <c r="BI136" i="9" s="1"/>
  <c r="BI118" i="9" s="1"/>
  <c r="BH134" i="9"/>
  <c r="BH136" i="9" s="1"/>
  <c r="BH118" i="9" s="1"/>
  <c r="BG134" i="9"/>
  <c r="BG136" i="9" s="1"/>
  <c r="BF134" i="9"/>
  <c r="BF136" i="9" s="1"/>
  <c r="BD134" i="9"/>
  <c r="BD136" i="9" s="1"/>
  <c r="BD118" i="9" s="1"/>
  <c r="BC134" i="9"/>
  <c r="BC136" i="9" s="1"/>
  <c r="BC118" i="9" s="1"/>
  <c r="BB134" i="9"/>
  <c r="BB136" i="9" s="1"/>
  <c r="BA134" i="9"/>
  <c r="BA136" i="9" s="1"/>
  <c r="AY134" i="9"/>
  <c r="AY136" i="9" s="1"/>
  <c r="AX134" i="9"/>
  <c r="AX136" i="9" s="1"/>
  <c r="AX118" i="9" s="1"/>
  <c r="AW134" i="9"/>
  <c r="AW136" i="9" s="1"/>
  <c r="AW117" i="9" s="1"/>
  <c r="AV134" i="9"/>
  <c r="AV136" i="9" s="1"/>
  <c r="AT134" i="9"/>
  <c r="AT136" i="9" s="1"/>
  <c r="AT118" i="9" s="1"/>
  <c r="AS134" i="9"/>
  <c r="AS136" i="9" s="1"/>
  <c r="AS118" i="9" s="1"/>
  <c r="AR134" i="9"/>
  <c r="AR136" i="9" s="1"/>
  <c r="AQ134" i="9"/>
  <c r="AQ136" i="9" s="1"/>
  <c r="AQ118" i="9" s="1"/>
  <c r="AO134" i="9"/>
  <c r="AO136" i="9" s="1"/>
  <c r="AO117" i="9" s="1"/>
  <c r="AN134" i="9"/>
  <c r="AN136" i="9" s="1"/>
  <c r="AN118" i="9" s="1"/>
  <c r="AM134" i="9"/>
  <c r="AM136" i="9" s="1"/>
  <c r="AM118" i="9" s="1"/>
  <c r="AL134" i="9"/>
  <c r="AL136" i="9" s="1"/>
  <c r="AJ134" i="9"/>
  <c r="AJ136" i="9" s="1"/>
  <c r="AJ118" i="9" s="1"/>
  <c r="AI134" i="9"/>
  <c r="AI136" i="9" s="1"/>
  <c r="AI118" i="9" s="1"/>
  <c r="AH134" i="9"/>
  <c r="AH136" i="9" s="1"/>
  <c r="AG134" i="9"/>
  <c r="AG136" i="9" s="1"/>
  <c r="AF134" i="9"/>
  <c r="AF136" i="9" s="1"/>
  <c r="AE134" i="9"/>
  <c r="AE136" i="9" s="1"/>
  <c r="AD134" i="9"/>
  <c r="AD136" i="9" s="1"/>
  <c r="AD118" i="9" s="1"/>
  <c r="AC134" i="9"/>
  <c r="AC136" i="9" s="1"/>
  <c r="AB134" i="9"/>
  <c r="AB136" i="9" s="1"/>
  <c r="AB118" i="9" s="1"/>
  <c r="AA134" i="9"/>
  <c r="AA136" i="9" s="1"/>
  <c r="AA118" i="9" s="1"/>
  <c r="Z134" i="9"/>
  <c r="Z136" i="9" s="1"/>
  <c r="Y134" i="9"/>
  <c r="Y136" i="9" s="1"/>
  <c r="X134" i="9"/>
  <c r="X136" i="9" s="1"/>
  <c r="W134" i="9"/>
  <c r="W136" i="9" s="1"/>
  <c r="W118" i="9" s="1"/>
  <c r="V130" i="9"/>
  <c r="U130" i="9"/>
  <c r="T130" i="9"/>
  <c r="S130" i="9"/>
  <c r="R130" i="9"/>
  <c r="Q130" i="9"/>
  <c r="P130" i="9"/>
  <c r="O130" i="9"/>
  <c r="N130" i="9"/>
  <c r="M130" i="9"/>
  <c r="L130" i="9"/>
  <c r="K130" i="9"/>
  <c r="J130" i="9"/>
  <c r="V129" i="9"/>
  <c r="U129" i="9"/>
  <c r="T129" i="9"/>
  <c r="S129" i="9"/>
  <c r="R129" i="9"/>
  <c r="Q129" i="9"/>
  <c r="P129" i="9"/>
  <c r="O129" i="9"/>
  <c r="N129" i="9"/>
  <c r="M129" i="9"/>
  <c r="L129" i="9"/>
  <c r="K129" i="9"/>
  <c r="J129" i="9"/>
  <c r="V128" i="9"/>
  <c r="U128" i="9"/>
  <c r="T128" i="9"/>
  <c r="S128" i="9"/>
  <c r="R128" i="9"/>
  <c r="R132" i="9" s="1"/>
  <c r="Q128" i="9"/>
  <c r="Q132" i="9" s="1"/>
  <c r="P128" i="9"/>
  <c r="O128" i="9"/>
  <c r="O132" i="9" s="1"/>
  <c r="N128" i="9"/>
  <c r="M128" i="9"/>
  <c r="L128" i="9"/>
  <c r="K128" i="9"/>
  <c r="J128" i="9"/>
  <c r="J132" i="9" s="1"/>
  <c r="V122" i="9"/>
  <c r="U122" i="9"/>
  <c r="T122" i="9"/>
  <c r="S122" i="9"/>
  <c r="R122" i="9"/>
  <c r="Q122" i="9"/>
  <c r="P122" i="9"/>
  <c r="O122" i="9"/>
  <c r="N122" i="9"/>
  <c r="M122" i="9"/>
  <c r="L122" i="9"/>
  <c r="K122" i="9"/>
  <c r="J122" i="9"/>
  <c r="V121" i="9"/>
  <c r="U121" i="9"/>
  <c r="T121" i="9"/>
  <c r="S121" i="9"/>
  <c r="R121" i="9"/>
  <c r="Q121" i="9"/>
  <c r="P121" i="9"/>
  <c r="O121" i="9"/>
  <c r="N121" i="9"/>
  <c r="M121" i="9"/>
  <c r="L121" i="9"/>
  <c r="K121" i="9"/>
  <c r="J121" i="9"/>
  <c r="V120" i="9"/>
  <c r="U120" i="9"/>
  <c r="T120" i="9"/>
  <c r="S120" i="9"/>
  <c r="R120" i="9"/>
  <c r="Q120" i="9"/>
  <c r="P120" i="9"/>
  <c r="O120" i="9"/>
  <c r="N120" i="9"/>
  <c r="M120" i="9"/>
  <c r="L120" i="9"/>
  <c r="K120" i="9"/>
  <c r="J120" i="9"/>
  <c r="BP118" i="9"/>
  <c r="BL118" i="9"/>
  <c r="BB118" i="9"/>
  <c r="AV118" i="9"/>
  <c r="AR118" i="9"/>
  <c r="AL118" i="9"/>
  <c r="AH118" i="9"/>
  <c r="BP117" i="9"/>
  <c r="BD117" i="9"/>
  <c r="BB117" i="9"/>
  <c r="AV117" i="9"/>
  <c r="AT117" i="9"/>
  <c r="AR117" i="9"/>
  <c r="AL117" i="9"/>
  <c r="AJ117" i="9"/>
  <c r="AH117" i="9"/>
  <c r="AD117" i="9"/>
  <c r="AB117" i="9"/>
  <c r="K100" i="9"/>
  <c r="J100" i="9"/>
  <c r="V100" i="9"/>
  <c r="V99" i="9"/>
  <c r="U99" i="9"/>
  <c r="U100" i="9" s="1"/>
  <c r="T99" i="9"/>
  <c r="T100" i="9" s="1"/>
  <c r="S99" i="9"/>
  <c r="S100" i="9" s="1"/>
  <c r="R99" i="9"/>
  <c r="R100" i="9" s="1"/>
  <c r="Q99" i="9"/>
  <c r="Q100" i="9" s="1"/>
  <c r="P99" i="9"/>
  <c r="O99" i="9"/>
  <c r="N99" i="9"/>
  <c r="M99" i="9"/>
  <c r="L99" i="9"/>
  <c r="L100" i="9" s="1"/>
  <c r="K99" i="9"/>
  <c r="J99" i="9"/>
  <c r="I99" i="9"/>
  <c r="I100" i="9" s="1"/>
  <c r="Q97" i="9"/>
  <c r="Q96" i="9"/>
  <c r="Q95" i="9"/>
  <c r="V96" i="9"/>
  <c r="R96" i="9"/>
  <c r="AA95" i="9"/>
  <c r="Y95" i="9"/>
  <c r="X95" i="9"/>
  <c r="W95" i="9"/>
  <c r="V95" i="9"/>
  <c r="U95" i="9"/>
  <c r="U96" i="9" s="1"/>
  <c r="T95" i="9"/>
  <c r="T96" i="9" s="1"/>
  <c r="S95" i="9"/>
  <c r="S96" i="9" s="1"/>
  <c r="R95" i="9"/>
  <c r="N96" i="9"/>
  <c r="J96" i="9"/>
  <c r="P95" i="9"/>
  <c r="P96" i="9" s="1"/>
  <c r="O95" i="9"/>
  <c r="O96" i="9" s="1"/>
  <c r="N95" i="9"/>
  <c r="M95" i="9"/>
  <c r="M96" i="9" s="1"/>
  <c r="L95" i="9"/>
  <c r="L96" i="9" s="1"/>
  <c r="K95" i="9"/>
  <c r="K96" i="9" s="1"/>
  <c r="J95" i="9"/>
  <c r="I95" i="9"/>
  <c r="I96" i="9" s="1"/>
  <c r="C94" i="9"/>
  <c r="C93" i="9"/>
  <c r="C92" i="9"/>
  <c r="C91" i="9"/>
  <c r="C90" i="9"/>
  <c r="CJ95" i="9"/>
  <c r="CC95" i="9"/>
  <c r="BX95" i="9"/>
  <c r="BU95" i="9"/>
  <c r="BS95" i="9"/>
  <c r="BT95" i="9" s="1"/>
  <c r="BR95" i="9"/>
  <c r="BQ95" i="9"/>
  <c r="BP95" i="9"/>
  <c r="BO95" i="9"/>
  <c r="BN95" i="9"/>
  <c r="BM95" i="9"/>
  <c r="BL95" i="9"/>
  <c r="BK95" i="9"/>
  <c r="BJ95" i="9"/>
  <c r="BI95" i="9"/>
  <c r="BH95" i="9"/>
  <c r="BG95" i="9"/>
  <c r="BF95" i="9"/>
  <c r="BD95" i="9"/>
  <c r="BC95" i="9"/>
  <c r="BB95" i="9"/>
  <c r="BA95" i="9"/>
  <c r="AY95" i="9"/>
  <c r="AX95" i="9"/>
  <c r="AW95" i="9"/>
  <c r="AV95" i="9"/>
  <c r="AT95" i="9"/>
  <c r="AS95" i="9"/>
  <c r="AR95" i="9"/>
  <c r="AQ95" i="9"/>
  <c r="AO95" i="9"/>
  <c r="AN95" i="9"/>
  <c r="AM95" i="9"/>
  <c r="AL95" i="9"/>
  <c r="AJ95" i="9"/>
  <c r="AI95" i="9"/>
  <c r="AH95" i="9"/>
  <c r="AG95" i="9"/>
  <c r="BU94" i="9"/>
  <c r="BS94" i="9"/>
  <c r="BQ94" i="9"/>
  <c r="BP94" i="9"/>
  <c r="BN94" i="9"/>
  <c r="BM94" i="9"/>
  <c r="BL94" i="9"/>
  <c r="BK94" i="9"/>
  <c r="BI94" i="9"/>
  <c r="BH94" i="9"/>
  <c r="BG94" i="9"/>
  <c r="BF94" i="9"/>
  <c r="BD94" i="9"/>
  <c r="BC94" i="9"/>
  <c r="BB94" i="9"/>
  <c r="BA94" i="9"/>
  <c r="AY94" i="9"/>
  <c r="AX94" i="9"/>
  <c r="AW94" i="9"/>
  <c r="AV94" i="9"/>
  <c r="AT94" i="9"/>
  <c r="AS94" i="9"/>
  <c r="AR94" i="9"/>
  <c r="AQ94" i="9"/>
  <c r="AO94" i="9"/>
  <c r="AN94" i="9"/>
  <c r="AM94" i="9"/>
  <c r="AL94" i="9"/>
  <c r="AJ94" i="9"/>
  <c r="AI94" i="9"/>
  <c r="AH94" i="9"/>
  <c r="AG94" i="9"/>
  <c r="BU93" i="9"/>
  <c r="BS93" i="9"/>
  <c r="BR93" i="9"/>
  <c r="BQ93" i="9"/>
  <c r="BP93" i="9"/>
  <c r="BN93" i="9"/>
  <c r="BM93" i="9"/>
  <c r="BL93" i="9"/>
  <c r="BK93" i="9"/>
  <c r="BI93" i="9"/>
  <c r="BH93" i="9"/>
  <c r="BG93" i="9"/>
  <c r="BF93" i="9"/>
  <c r="BD93" i="9"/>
  <c r="BC93" i="9"/>
  <c r="BB93" i="9"/>
  <c r="BA93" i="9"/>
  <c r="AY93" i="9"/>
  <c r="AX93" i="9"/>
  <c r="AW93" i="9"/>
  <c r="AV93" i="9"/>
  <c r="AT93" i="9"/>
  <c r="AS93" i="9"/>
  <c r="AR93" i="9"/>
  <c r="AQ93" i="9"/>
  <c r="AO93" i="9"/>
  <c r="AN93" i="9"/>
  <c r="AM93" i="9"/>
  <c r="AL93" i="9"/>
  <c r="AJ93" i="9"/>
  <c r="AI93" i="9"/>
  <c r="AH93" i="9"/>
  <c r="AG93" i="9"/>
  <c r="BU92" i="9"/>
  <c r="BS92" i="9"/>
  <c r="BR92" i="9"/>
  <c r="BP92" i="9"/>
  <c r="BN92" i="9"/>
  <c r="BM92" i="9"/>
  <c r="BK92" i="9"/>
  <c r="BH92" i="9"/>
  <c r="BG92" i="9"/>
  <c r="BF92" i="9"/>
  <c r="AY92" i="9"/>
  <c r="AX92" i="9"/>
  <c r="AW92" i="9"/>
  <c r="AV92" i="9"/>
  <c r="AT92" i="9"/>
  <c r="AS92" i="9"/>
  <c r="AQ92" i="9"/>
  <c r="AO92" i="9"/>
  <c r="AN92" i="9"/>
  <c r="AM92" i="9"/>
  <c r="AJ92" i="9"/>
  <c r="AI92" i="9"/>
  <c r="AH92" i="9"/>
  <c r="AG92" i="9"/>
  <c r="BU91" i="9"/>
  <c r="BS91" i="9"/>
  <c r="BR91" i="9"/>
  <c r="BQ91" i="9"/>
  <c r="BP91" i="9"/>
  <c r="BN91" i="9"/>
  <c r="BM91" i="9"/>
  <c r="BL91" i="9"/>
  <c r="BK91" i="9"/>
  <c r="BI91" i="9"/>
  <c r="BH91" i="9"/>
  <c r="BG91" i="9"/>
  <c r="BF91" i="9"/>
  <c r="BD91" i="9"/>
  <c r="BC91" i="9"/>
  <c r="BB91" i="9"/>
  <c r="BA91" i="9"/>
  <c r="AY91" i="9"/>
  <c r="AX91" i="9"/>
  <c r="AW91" i="9"/>
  <c r="AV91" i="9"/>
  <c r="AT91" i="9"/>
  <c r="AT99" i="9" s="1"/>
  <c r="AS91" i="9"/>
  <c r="AR91" i="9"/>
  <c r="AQ91" i="9"/>
  <c r="AQ96" i="9" s="1"/>
  <c r="AO91" i="9"/>
  <c r="AN91" i="9"/>
  <c r="AM91" i="9"/>
  <c r="AL91" i="9"/>
  <c r="AJ91" i="9"/>
  <c r="AI91" i="9"/>
  <c r="AH91" i="9"/>
  <c r="AH99" i="9" s="1"/>
  <c r="AG91" i="9"/>
  <c r="BU90" i="9"/>
  <c r="BS90" i="9"/>
  <c r="BR90" i="9"/>
  <c r="BR99" i="9" s="1"/>
  <c r="BQ90" i="9"/>
  <c r="BP90" i="9"/>
  <c r="BN90" i="9"/>
  <c r="BM90" i="9"/>
  <c r="BL90" i="9"/>
  <c r="BK90" i="9"/>
  <c r="BI90" i="9"/>
  <c r="BH90" i="9"/>
  <c r="BG90" i="9"/>
  <c r="BF90" i="9"/>
  <c r="BD90" i="9"/>
  <c r="BC90" i="9"/>
  <c r="BB90" i="9"/>
  <c r="BA90" i="9"/>
  <c r="AY90" i="9"/>
  <c r="AX90" i="9"/>
  <c r="AW90" i="9"/>
  <c r="AV90" i="9"/>
  <c r="AV99" i="9" s="1"/>
  <c r="AT90" i="9"/>
  <c r="AS90" i="9"/>
  <c r="AR90" i="9"/>
  <c r="AQ90" i="9"/>
  <c r="AO90" i="9"/>
  <c r="AN90" i="9"/>
  <c r="AM90" i="9"/>
  <c r="AM99" i="9" s="1"/>
  <c r="AL90" i="9"/>
  <c r="AJ90" i="9"/>
  <c r="AI90" i="9"/>
  <c r="AH90" i="9"/>
  <c r="AG90" i="9"/>
  <c r="AE94" i="9"/>
  <c r="AD94" i="9"/>
  <c r="AC94" i="9"/>
  <c r="AB94" i="9"/>
  <c r="AA94" i="9"/>
  <c r="Y94" i="9"/>
  <c r="X94" i="9"/>
  <c r="W94" i="9"/>
  <c r="AE93" i="9"/>
  <c r="AD93" i="9"/>
  <c r="AC93" i="9"/>
  <c r="AB93" i="9"/>
  <c r="AA93" i="9"/>
  <c r="Y93" i="9"/>
  <c r="X93" i="9"/>
  <c r="W93" i="9"/>
  <c r="AE92" i="9"/>
  <c r="AD92" i="9"/>
  <c r="AC92" i="9"/>
  <c r="AB92" i="9"/>
  <c r="AA92" i="9"/>
  <c r="Y92" i="9"/>
  <c r="X92" i="9"/>
  <c r="W92" i="9"/>
  <c r="AE91" i="9"/>
  <c r="AD91" i="9"/>
  <c r="AD99" i="9" s="1"/>
  <c r="AC91" i="9"/>
  <c r="AB91" i="9"/>
  <c r="AA91" i="9"/>
  <c r="Y91" i="9"/>
  <c r="X91" i="9"/>
  <c r="W91" i="9"/>
  <c r="AE90" i="9"/>
  <c r="AD90" i="9"/>
  <c r="AD96" i="9" s="1"/>
  <c r="AC90" i="9"/>
  <c r="AB90" i="9"/>
  <c r="AB96" i="9" s="1"/>
  <c r="AA90" i="9"/>
  <c r="AA99" i="9" s="1"/>
  <c r="Y90" i="9"/>
  <c r="X90" i="9"/>
  <c r="W90" i="9"/>
  <c r="W99" i="9" s="1"/>
  <c r="V88" i="9"/>
  <c r="U88" i="9"/>
  <c r="T88" i="9"/>
  <c r="S88" i="9"/>
  <c r="R88" i="9"/>
  <c r="Q88" i="9"/>
  <c r="P88" i="9"/>
  <c r="O88" i="9"/>
  <c r="N88" i="9"/>
  <c r="M88" i="9"/>
  <c r="L88" i="9"/>
  <c r="K88" i="9"/>
  <c r="J88" i="9"/>
  <c r="I88" i="9"/>
  <c r="BM84" i="9"/>
  <c r="BM86" i="9" s="1"/>
  <c r="BM109" i="9" s="1"/>
  <c r="BP62" i="9"/>
  <c r="BN62" i="9"/>
  <c r="BM62" i="9"/>
  <c r="BL62" i="9"/>
  <c r="BK62" i="9"/>
  <c r="BI62" i="9"/>
  <c r="BH62" i="9"/>
  <c r="BG62" i="9"/>
  <c r="BD62" i="9"/>
  <c r="BC62" i="9"/>
  <c r="BB62" i="9"/>
  <c r="BB112" i="9" s="1"/>
  <c r="AY62" i="9"/>
  <c r="AZ62" i="9" s="1"/>
  <c r="AZ112" i="9" s="1"/>
  <c r="AX62" i="9"/>
  <c r="AT62" i="9"/>
  <c r="AU62" i="9" s="1"/>
  <c r="AU112" i="9" s="1"/>
  <c r="AL62" i="9"/>
  <c r="AL112" i="9" s="1"/>
  <c r="AH62" i="9"/>
  <c r="AC62" i="9"/>
  <c r="Y62" i="9"/>
  <c r="X62" i="9"/>
  <c r="BT61" i="9"/>
  <c r="BT60" i="9"/>
  <c r="BT59" i="9"/>
  <c r="BO61" i="9"/>
  <c r="BO60" i="9"/>
  <c r="BO59" i="9"/>
  <c r="BO58" i="9"/>
  <c r="BJ61" i="9"/>
  <c r="BJ60" i="9"/>
  <c r="BJ59" i="9"/>
  <c r="BJ58" i="9"/>
  <c r="BG61" i="9"/>
  <c r="BE61" i="9"/>
  <c r="BE60" i="9"/>
  <c r="BE58" i="9"/>
  <c r="AZ61" i="9"/>
  <c r="AZ60" i="9"/>
  <c r="AZ58" i="9"/>
  <c r="AU61" i="9"/>
  <c r="AU60" i="9"/>
  <c r="AU58" i="9"/>
  <c r="AP61" i="9"/>
  <c r="AP60" i="9"/>
  <c r="AP58" i="9"/>
  <c r="AK61" i="9"/>
  <c r="AK60" i="9"/>
  <c r="AK59" i="9"/>
  <c r="AK58" i="9"/>
  <c r="AF61" i="9"/>
  <c r="AF60" i="9"/>
  <c r="AF58" i="9"/>
  <c r="Z61" i="9"/>
  <c r="Z60" i="9"/>
  <c r="Z59" i="9"/>
  <c r="AH60" i="9"/>
  <c r="BF59" i="9"/>
  <c r="BF62" i="9" s="1"/>
  <c r="BD59" i="9"/>
  <c r="BE59" i="9" s="1"/>
  <c r="BC59" i="9"/>
  <c r="BB59" i="9"/>
  <c r="BA59" i="9"/>
  <c r="BA62" i="9" s="1"/>
  <c r="BA112" i="9" s="1"/>
  <c r="AY59" i="9"/>
  <c r="AZ59" i="9" s="1"/>
  <c r="AX59" i="9"/>
  <c r="AW59" i="9"/>
  <c r="AW62" i="9" s="1"/>
  <c r="AW112" i="9" s="1"/>
  <c r="AV59" i="9"/>
  <c r="AV62" i="9" s="1"/>
  <c r="AV112" i="9" s="1"/>
  <c r="AT59" i="9"/>
  <c r="AU59" i="9" s="1"/>
  <c r="AS59" i="9"/>
  <c r="AS62" i="9" s="1"/>
  <c r="AR59" i="9"/>
  <c r="AR62" i="9" s="1"/>
  <c r="AR112" i="9" s="1"/>
  <c r="AQ59" i="9"/>
  <c r="AQ62" i="9" s="1"/>
  <c r="AQ112" i="9" s="1"/>
  <c r="AO59" i="9"/>
  <c r="AO62" i="9" s="1"/>
  <c r="AO112" i="9" s="1"/>
  <c r="AE59" i="9"/>
  <c r="AF59" i="9" s="1"/>
  <c r="AB59" i="9"/>
  <c r="AB62" i="9" s="1"/>
  <c r="BY59" i="9"/>
  <c r="CC59" i="9" s="1"/>
  <c r="CD59" i="9" s="1"/>
  <c r="BQ58" i="9"/>
  <c r="BR58" i="9" s="1"/>
  <c r="AA58" i="9"/>
  <c r="Z58" i="9" s="1"/>
  <c r="BT56" i="9"/>
  <c r="BT55" i="9"/>
  <c r="BQ56" i="9"/>
  <c r="BO56" i="9"/>
  <c r="BO55" i="9"/>
  <c r="BO62" i="9" s="1"/>
  <c r="BJ56" i="9"/>
  <c r="BJ55" i="9"/>
  <c r="BJ62" i="9" s="1"/>
  <c r="BE56" i="9"/>
  <c r="BE55" i="9"/>
  <c r="AZ56" i="9"/>
  <c r="AZ55" i="9"/>
  <c r="AU56" i="9"/>
  <c r="AU55" i="9"/>
  <c r="AP56" i="9"/>
  <c r="AP55" i="9"/>
  <c r="AN56" i="9"/>
  <c r="AN62" i="9" s="1"/>
  <c r="AM56" i="9"/>
  <c r="AM62" i="9" s="1"/>
  <c r="AL56" i="9"/>
  <c r="AJ56" i="9"/>
  <c r="AK56" i="9" s="1"/>
  <c r="AI56" i="9"/>
  <c r="AI62" i="9" s="1"/>
  <c r="AG56" i="9"/>
  <c r="AG62" i="9" s="1"/>
  <c r="AE56" i="9"/>
  <c r="AF56" i="9" s="1"/>
  <c r="AD56" i="9"/>
  <c r="AD62" i="9" s="1"/>
  <c r="AA56" i="9"/>
  <c r="AA62" i="9" s="1"/>
  <c r="Z56" i="9"/>
  <c r="W56" i="9"/>
  <c r="W62" i="9" s="1"/>
  <c r="CD55" i="9"/>
  <c r="BY55" i="9"/>
  <c r="CC40" i="10" s="1"/>
  <c r="AK55" i="9"/>
  <c r="AF55" i="9"/>
  <c r="Z55" i="9"/>
  <c r="BU52" i="9"/>
  <c r="BS52" i="9"/>
  <c r="BT52" i="9" s="1"/>
  <c r="BR52" i="9"/>
  <c r="BQ52" i="9"/>
  <c r="BP52" i="9"/>
  <c r="BN52" i="9"/>
  <c r="BO52" i="9" s="1"/>
  <c r="BM52" i="9"/>
  <c r="BL52" i="9"/>
  <c r="BK52" i="9"/>
  <c r="BJ52" i="9"/>
  <c r="BI52" i="9"/>
  <c r="BH52" i="9"/>
  <c r="BG52" i="9"/>
  <c r="BF52" i="9"/>
  <c r="BD52" i="9"/>
  <c r="BE52" i="9" s="1"/>
  <c r="BC52" i="9"/>
  <c r="BB52" i="9"/>
  <c r="BA52" i="9"/>
  <c r="AY52" i="9"/>
  <c r="AZ52" i="9" s="1"/>
  <c r="AX52" i="9"/>
  <c r="AW52" i="9"/>
  <c r="AV52" i="9"/>
  <c r="AT52" i="9"/>
  <c r="AU52" i="9" s="1"/>
  <c r="AS52" i="9"/>
  <c r="AR52" i="9"/>
  <c r="AQ52" i="9"/>
  <c r="AP52" i="9"/>
  <c r="AO52" i="9"/>
  <c r="AK52" i="9"/>
  <c r="AF52" i="9"/>
  <c r="Z52" i="9"/>
  <c r="BS48" i="9"/>
  <c r="BM48" i="9"/>
  <c r="BK48" i="9"/>
  <c r="BH48" i="9"/>
  <c r="BG48" i="9"/>
  <c r="BF48" i="9"/>
  <c r="BD48" i="9"/>
  <c r="BC48" i="9"/>
  <c r="BB48" i="9"/>
  <c r="BA48" i="9"/>
  <c r="AY48" i="9"/>
  <c r="AZ48" i="9" s="1"/>
  <c r="AX48" i="9"/>
  <c r="AW48" i="9"/>
  <c r="AV48" i="9"/>
  <c r="AT48" i="9"/>
  <c r="AU48" i="9" s="1"/>
  <c r="AS48" i="9"/>
  <c r="AR48" i="9"/>
  <c r="AQ48" i="9"/>
  <c r="AO48" i="9"/>
  <c r="AP48" i="9" s="1"/>
  <c r="AN48" i="9"/>
  <c r="AM48" i="9"/>
  <c r="AL48" i="9"/>
  <c r="AJ48" i="9"/>
  <c r="AK48" i="9" s="1"/>
  <c r="AI48" i="9"/>
  <c r="AH48" i="9"/>
  <c r="AG48" i="9"/>
  <c r="AE48" i="9"/>
  <c r="AF48" i="9" s="1"/>
  <c r="AD48" i="9"/>
  <c r="AB48" i="9"/>
  <c r="Y48" i="9"/>
  <c r="X48" i="9"/>
  <c r="W48" i="9"/>
  <c r="BT47" i="9"/>
  <c r="BQ47" i="9"/>
  <c r="BQ48" i="9" s="1"/>
  <c r="BO47" i="9"/>
  <c r="BN47" i="9"/>
  <c r="BL47" i="9"/>
  <c r="BI47" i="9"/>
  <c r="BJ47" i="9" s="1"/>
  <c r="BE47" i="9"/>
  <c r="BE46" i="9"/>
  <c r="BE45" i="9"/>
  <c r="BE17" i="10" s="1"/>
  <c r="BF17" i="10" s="1"/>
  <c r="BE44" i="9"/>
  <c r="BE43" i="9"/>
  <c r="BE42" i="9"/>
  <c r="AZ47" i="9"/>
  <c r="AU47" i="9"/>
  <c r="AS47" i="9"/>
  <c r="AP47" i="9"/>
  <c r="AP46" i="9"/>
  <c r="AP45" i="9"/>
  <c r="AP44" i="9"/>
  <c r="AP43" i="9"/>
  <c r="AP42" i="9"/>
  <c r="AK47" i="9"/>
  <c r="G151" i="7" s="1"/>
  <c r="AK46" i="9"/>
  <c r="AK45" i="9"/>
  <c r="AK44" i="9"/>
  <c r="AK43" i="9"/>
  <c r="AK42" i="9"/>
  <c r="AF47" i="9"/>
  <c r="AF46" i="9"/>
  <c r="AF45" i="9"/>
  <c r="B151" i="7" s="1"/>
  <c r="AF44" i="9"/>
  <c r="AF43" i="9"/>
  <c r="AF42" i="9"/>
  <c r="Z47" i="9"/>
  <c r="Z46" i="9"/>
  <c r="CD46" i="9"/>
  <c r="BY46" i="9"/>
  <c r="BT46" i="9"/>
  <c r="BO46" i="9"/>
  <c r="BO43" i="9"/>
  <c r="BO42" i="9"/>
  <c r="BN64" i="10" s="1"/>
  <c r="BS63" i="10" s="1"/>
  <c r="BJ46" i="9"/>
  <c r="BJ43" i="9"/>
  <c r="BJ42" i="9"/>
  <c r="BN45" i="9"/>
  <c r="BM17" i="10" s="1"/>
  <c r="BN44" i="9"/>
  <c r="BO44" i="9" s="1"/>
  <c r="BL45" i="9"/>
  <c r="BK17" i="10" s="1"/>
  <c r="BL44" i="9"/>
  <c r="BI45" i="9"/>
  <c r="BI44" i="9"/>
  <c r="BI48" i="9" s="1"/>
  <c r="AZ45" i="9"/>
  <c r="V151" i="7" s="1"/>
  <c r="AZ44" i="9"/>
  <c r="AZ43" i="9"/>
  <c r="AZ42" i="9"/>
  <c r="AU45" i="9"/>
  <c r="Q151" i="7" s="1"/>
  <c r="AU44" i="9"/>
  <c r="AU43" i="9"/>
  <c r="AU42" i="9"/>
  <c r="AA45" i="9"/>
  <c r="AA48" i="9" s="1"/>
  <c r="Z48" i="9" s="1"/>
  <c r="Z44" i="9"/>
  <c r="Z43" i="9"/>
  <c r="Z42" i="9"/>
  <c r="BT43" i="9"/>
  <c r="BR43" i="9"/>
  <c r="BR47" i="9" s="1"/>
  <c r="BP43" i="9"/>
  <c r="BP48" i="9" s="1"/>
  <c r="BT42" i="9"/>
  <c r="AC42" i="9"/>
  <c r="BU39" i="9"/>
  <c r="BS39" i="9"/>
  <c r="BQ39" i="9"/>
  <c r="BQ50" i="9" s="1"/>
  <c r="BP39" i="9"/>
  <c r="BP105" i="9" s="1"/>
  <c r="BN39" i="9"/>
  <c r="BN105" i="9" s="1"/>
  <c r="BM39" i="9"/>
  <c r="BM105" i="9" s="1"/>
  <c r="BI39" i="9"/>
  <c r="BI105" i="9" s="1"/>
  <c r="BH39" i="9"/>
  <c r="BH105" i="9" s="1"/>
  <c r="BG39" i="9"/>
  <c r="BG105" i="9" s="1"/>
  <c r="BF39" i="9"/>
  <c r="BF105" i="9" s="1"/>
  <c r="BD39" i="9"/>
  <c r="BD105" i="9" s="1"/>
  <c r="BC39" i="9"/>
  <c r="BC105" i="9" s="1"/>
  <c r="BB39" i="9"/>
  <c r="BB105" i="9" s="1"/>
  <c r="BA39" i="9"/>
  <c r="BA105" i="9" s="1"/>
  <c r="AY39" i="9"/>
  <c r="AY105" i="9" s="1"/>
  <c r="AX39" i="9"/>
  <c r="AX105" i="9" s="1"/>
  <c r="AW39" i="9"/>
  <c r="AW105" i="9" s="1"/>
  <c r="AV39" i="9"/>
  <c r="AV105" i="9" s="1"/>
  <c r="AT39" i="9"/>
  <c r="AT105" i="9" s="1"/>
  <c r="AS39" i="9"/>
  <c r="AS105" i="9" s="1"/>
  <c r="AR39" i="9"/>
  <c r="AR105" i="9" s="1"/>
  <c r="AQ39" i="9"/>
  <c r="AQ105" i="9" s="1"/>
  <c r="AO39" i="9"/>
  <c r="AO105" i="9" s="1"/>
  <c r="AN39" i="9"/>
  <c r="AN105" i="9" s="1"/>
  <c r="AM39" i="9"/>
  <c r="AM105" i="9" s="1"/>
  <c r="AL39" i="9"/>
  <c r="AL105" i="9" s="1"/>
  <c r="AK39" i="9"/>
  <c r="AJ39" i="9"/>
  <c r="AJ50" i="9" s="1"/>
  <c r="AH39" i="9"/>
  <c r="AH50" i="9" s="1"/>
  <c r="AH64" i="9" s="1"/>
  <c r="AG39" i="9"/>
  <c r="AG105" i="9" s="1"/>
  <c r="AE39" i="9"/>
  <c r="AE105" i="9" s="1"/>
  <c r="AD39" i="9"/>
  <c r="AD50" i="9" s="1"/>
  <c r="AC39" i="9"/>
  <c r="AB39" i="9"/>
  <c r="AB50" i="9" s="1"/>
  <c r="AB64" i="9" s="1"/>
  <c r="AA39" i="9"/>
  <c r="Z39" i="9"/>
  <c r="Y39" i="9"/>
  <c r="Y105" i="9" s="1"/>
  <c r="X39" i="9"/>
  <c r="X105" i="9" s="1"/>
  <c r="W39" i="9"/>
  <c r="W105" i="9" s="1"/>
  <c r="CD38" i="9"/>
  <c r="BY38" i="9"/>
  <c r="BT38" i="9"/>
  <c r="BO38" i="9"/>
  <c r="BJ38" i="9"/>
  <c r="BE38" i="9"/>
  <c r="AZ38" i="9"/>
  <c r="AU38" i="9"/>
  <c r="AP38" i="9"/>
  <c r="AK38" i="9"/>
  <c r="AF38" i="9"/>
  <c r="Z38" i="9"/>
  <c r="Z37" i="9"/>
  <c r="Z36" i="9"/>
  <c r="Z35" i="9"/>
  <c r="Z34" i="9"/>
  <c r="Z33" i="9"/>
  <c r="BT36" i="9"/>
  <c r="BT35" i="9"/>
  <c r="BT34" i="9"/>
  <c r="BT33" i="9"/>
  <c r="BT39" i="9" s="1"/>
  <c r="BR36" i="9"/>
  <c r="BO36" i="9"/>
  <c r="BO35" i="9"/>
  <c r="BO34" i="9"/>
  <c r="BO33" i="9"/>
  <c r="BO39" i="9" s="1"/>
  <c r="BJ36" i="9"/>
  <c r="BJ35" i="9"/>
  <c r="BJ34" i="9"/>
  <c r="BJ33" i="9"/>
  <c r="BJ39" i="9" s="1"/>
  <c r="BE36" i="9"/>
  <c r="BE35" i="9"/>
  <c r="BE34" i="9"/>
  <c r="BE33" i="9"/>
  <c r="BE39" i="9" s="1"/>
  <c r="AZ36" i="9"/>
  <c r="AZ35" i="9"/>
  <c r="AZ34" i="9"/>
  <c r="AZ33" i="9"/>
  <c r="AU36" i="9"/>
  <c r="AU35" i="9"/>
  <c r="AU34" i="9"/>
  <c r="AU33" i="9"/>
  <c r="AP36" i="9"/>
  <c r="AP35" i="9"/>
  <c r="AP34" i="9"/>
  <c r="AP33" i="9"/>
  <c r="AK36" i="9"/>
  <c r="AK35" i="9"/>
  <c r="AK34" i="9"/>
  <c r="AK33" i="9"/>
  <c r="AF36" i="9"/>
  <c r="AF35" i="9"/>
  <c r="AF34" i="9"/>
  <c r="AF33" i="9"/>
  <c r="BY34" i="9"/>
  <c r="BZ34" i="9" s="1"/>
  <c r="CB34" i="9" s="1"/>
  <c r="BV34" i="9"/>
  <c r="BU64" i="10" s="1"/>
  <c r="BV63" i="10" s="1"/>
  <c r="BQ34" i="9"/>
  <c r="BK34" i="9"/>
  <c r="CD34" i="9"/>
  <c r="CJ34" i="9" s="1"/>
  <c r="CK34" i="9" s="1"/>
  <c r="CL34" i="9" s="1"/>
  <c r="AI33" i="9"/>
  <c r="AI39" i="9" s="1"/>
  <c r="BS28" i="9"/>
  <c r="W28" i="9"/>
  <c r="BT27" i="9"/>
  <c r="BT24" i="9"/>
  <c r="BR27" i="9"/>
  <c r="BN27" i="9"/>
  <c r="BK27" i="9"/>
  <c r="BK28" i="9" s="1"/>
  <c r="BH27" i="9"/>
  <c r="BG27" i="9"/>
  <c r="BG28" i="9" s="1"/>
  <c r="BF27" i="9"/>
  <c r="BF28" i="9" s="1"/>
  <c r="BC27" i="9"/>
  <c r="BC28" i="9" s="1"/>
  <c r="BB27" i="9"/>
  <c r="BB28" i="9" s="1"/>
  <c r="BA27" i="9"/>
  <c r="BA28" i="9" s="1"/>
  <c r="AY27" i="9"/>
  <c r="AZ27" i="9" s="1"/>
  <c r="AX27" i="9"/>
  <c r="AX28" i="9" s="1"/>
  <c r="AW27" i="9"/>
  <c r="AW28" i="9" s="1"/>
  <c r="AW30" i="9" s="1"/>
  <c r="AV27" i="9"/>
  <c r="AV28" i="9" s="1"/>
  <c r="AV30" i="9" s="1"/>
  <c r="AT27" i="9"/>
  <c r="AS27" i="9"/>
  <c r="AS28" i="9" s="1"/>
  <c r="AS30" i="9" s="1"/>
  <c r="AR27" i="9"/>
  <c r="AQ27" i="9"/>
  <c r="AQ28" i="9" s="1"/>
  <c r="AP27" i="9"/>
  <c r="AO27" i="9"/>
  <c r="AO28" i="9" s="1"/>
  <c r="AN27" i="9"/>
  <c r="AN28" i="9" s="1"/>
  <c r="AN30" i="9" s="1"/>
  <c r="AM27" i="9"/>
  <c r="AM28" i="9" s="1"/>
  <c r="AL27" i="9"/>
  <c r="AL28" i="9" s="1"/>
  <c r="AJ27" i="9"/>
  <c r="AK27" i="9" s="1"/>
  <c r="AI27" i="9"/>
  <c r="AI28" i="9" s="1"/>
  <c r="AH27" i="9"/>
  <c r="AG27" i="9"/>
  <c r="AE27" i="9"/>
  <c r="AF27" i="9" s="1"/>
  <c r="AB27" i="9"/>
  <c r="AA27" i="9"/>
  <c r="Z27" i="9"/>
  <c r="Y27" i="9"/>
  <c r="X27" i="9"/>
  <c r="W27" i="9"/>
  <c r="BS26" i="9"/>
  <c r="BT26" i="9" s="1"/>
  <c r="BR26" i="9"/>
  <c r="BQ26" i="9"/>
  <c r="BQ27" i="9" s="1"/>
  <c r="BP26" i="9"/>
  <c r="BN26" i="9"/>
  <c r="BO26" i="9" s="1"/>
  <c r="BM26" i="9"/>
  <c r="BM27" i="9" s="1"/>
  <c r="BL26" i="9"/>
  <c r="BL27" i="9" s="1"/>
  <c r="BK26" i="9"/>
  <c r="BJ26" i="9"/>
  <c r="BI26" i="9"/>
  <c r="BI27" i="9" s="1"/>
  <c r="BJ27" i="9" s="1"/>
  <c r="AF141" i="7" s="1"/>
  <c r="BD26" i="9"/>
  <c r="BC26" i="9"/>
  <c r="BS25" i="9"/>
  <c r="BT25" i="9" s="1"/>
  <c r="BQ25" i="9"/>
  <c r="BP25" i="9"/>
  <c r="BO25" i="9"/>
  <c r="BM25" i="9"/>
  <c r="BL25" i="9"/>
  <c r="BL28" i="9" s="1"/>
  <c r="BK25" i="9"/>
  <c r="BI25" i="9"/>
  <c r="BJ25" i="9" s="1"/>
  <c r="BH25" i="9"/>
  <c r="BH28" i="9" s="1"/>
  <c r="BG25" i="9"/>
  <c r="BF25" i="9"/>
  <c r="BE25" i="9"/>
  <c r="AZ25" i="9"/>
  <c r="AZ24" i="9"/>
  <c r="AZ23" i="9"/>
  <c r="AZ22" i="9"/>
  <c r="AZ21" i="9"/>
  <c r="AU25" i="9"/>
  <c r="AU24" i="9"/>
  <c r="AU23" i="9"/>
  <c r="AU22" i="9"/>
  <c r="AU21" i="9"/>
  <c r="AR25" i="9"/>
  <c r="AR28" i="9" s="1"/>
  <c r="AP25" i="9"/>
  <c r="AP24" i="9"/>
  <c r="AP23" i="9"/>
  <c r="AP22" i="9"/>
  <c r="AP21" i="9"/>
  <c r="AK25" i="9"/>
  <c r="AK24" i="9"/>
  <c r="AK22" i="9"/>
  <c r="AK21" i="9"/>
  <c r="AF25" i="9"/>
  <c r="AF24" i="9"/>
  <c r="AF22" i="9"/>
  <c r="AF21" i="9"/>
  <c r="AD25" i="9"/>
  <c r="AC25" i="9"/>
  <c r="Z25" i="9"/>
  <c r="Z24" i="9"/>
  <c r="Z22" i="9"/>
  <c r="Z21" i="9"/>
  <c r="BY27" i="9"/>
  <c r="BQ24" i="9"/>
  <c r="BO24" i="9"/>
  <c r="BO23" i="9"/>
  <c r="BO22" i="9"/>
  <c r="BO21" i="9"/>
  <c r="BJ24" i="9"/>
  <c r="BJ23" i="9"/>
  <c r="BJ22" i="9"/>
  <c r="BJ21" i="9"/>
  <c r="BE24" i="9"/>
  <c r="BE23" i="9"/>
  <c r="BE22" i="9"/>
  <c r="BE21" i="9"/>
  <c r="X23" i="9"/>
  <c r="W23" i="9"/>
  <c r="BT22" i="9"/>
  <c r="BT21" i="9"/>
  <c r="BT28" i="9" s="1"/>
  <c r="BP19" i="9"/>
  <c r="BN19" i="9"/>
  <c r="BM19" i="9"/>
  <c r="BK19" i="9"/>
  <c r="BG19" i="9"/>
  <c r="BF19" i="9"/>
  <c r="BC19" i="9"/>
  <c r="BB19" i="9"/>
  <c r="AY19" i="9"/>
  <c r="AX19" i="9"/>
  <c r="AW19" i="9"/>
  <c r="AV19" i="9"/>
  <c r="AT19" i="9"/>
  <c r="AU19" i="9" s="1"/>
  <c r="AS19" i="9"/>
  <c r="AQ19" i="9"/>
  <c r="AP19" i="9"/>
  <c r="AO19" i="9"/>
  <c r="AN19" i="9"/>
  <c r="AM19" i="9"/>
  <c r="AL19" i="9"/>
  <c r="AI19" i="9"/>
  <c r="AG19" i="9"/>
  <c r="AE19" i="9"/>
  <c r="Y19" i="9"/>
  <c r="X19" i="9"/>
  <c r="W19" i="9"/>
  <c r="BT18" i="9"/>
  <c r="BT17" i="9"/>
  <c r="BT16" i="9"/>
  <c r="BT15" i="9"/>
  <c r="BT13" i="9"/>
  <c r="BT59" i="10" s="1"/>
  <c r="BT68" i="10" s="1"/>
  <c r="BQ17" i="9"/>
  <c r="BQ18" i="9" s="1"/>
  <c r="BO18" i="9"/>
  <c r="BO17" i="9"/>
  <c r="AK137" i="7" s="1"/>
  <c r="BO16" i="9"/>
  <c r="BO15" i="9"/>
  <c r="BO14" i="9"/>
  <c r="BO13" i="9"/>
  <c r="BO59" i="10" s="1"/>
  <c r="BO61" i="10" s="1"/>
  <c r="BL17" i="9"/>
  <c r="BL18" i="9" s="1"/>
  <c r="BJ18" i="9"/>
  <c r="BI18" i="9"/>
  <c r="BI92" i="9" s="1"/>
  <c r="BD18" i="9"/>
  <c r="BC18" i="9"/>
  <c r="BB18" i="9"/>
  <c r="BA18" i="9"/>
  <c r="BA92" i="9" s="1"/>
  <c r="AZ18" i="9"/>
  <c r="V137" i="7" s="1"/>
  <c r="AU18" i="9"/>
  <c r="AU17" i="9"/>
  <c r="AU16" i="9"/>
  <c r="AU15" i="9"/>
  <c r="Q135" i="7" s="1"/>
  <c r="AU14" i="9"/>
  <c r="AU13" i="9"/>
  <c r="AT60" i="10" s="1"/>
  <c r="AR18" i="9"/>
  <c r="AR92" i="9" s="1"/>
  <c r="AP18" i="9"/>
  <c r="AP17" i="9"/>
  <c r="AP16" i="9"/>
  <c r="AP15" i="9"/>
  <c r="AP90" i="9" s="1"/>
  <c r="AP14" i="9"/>
  <c r="AP13" i="9"/>
  <c r="AP59" i="10" s="1"/>
  <c r="AL18" i="9"/>
  <c r="AK18" i="9"/>
  <c r="AK92" i="9" s="1"/>
  <c r="AF18" i="9"/>
  <c r="AF17" i="9"/>
  <c r="AF16" i="9"/>
  <c r="AF15" i="9"/>
  <c r="AF14" i="9"/>
  <c r="AF13" i="9"/>
  <c r="AE60" i="10" s="1"/>
  <c r="Z18" i="9"/>
  <c r="Z17" i="9"/>
  <c r="Z16" i="9"/>
  <c r="Z15" i="9"/>
  <c r="Z13" i="9"/>
  <c r="BJ17" i="9"/>
  <c r="BJ16" i="9"/>
  <c r="BJ15" i="9"/>
  <c r="BJ90" i="9" s="1"/>
  <c r="BJ14" i="9"/>
  <c r="BJ13" i="9"/>
  <c r="BH17" i="9"/>
  <c r="BH19" i="9" s="1"/>
  <c r="BE17" i="9"/>
  <c r="BE16" i="9"/>
  <c r="BE15" i="9"/>
  <c r="BE14" i="9"/>
  <c r="BE13" i="9"/>
  <c r="BE59" i="10" s="1"/>
  <c r="BE61" i="10" s="1"/>
  <c r="BE68" i="10" s="1"/>
  <c r="AZ17" i="9"/>
  <c r="AZ16" i="9"/>
  <c r="AZ15" i="9"/>
  <c r="AZ14" i="9"/>
  <c r="AZ13" i="9"/>
  <c r="AZ59" i="10" s="1"/>
  <c r="AK17" i="9"/>
  <c r="AK16" i="9"/>
  <c r="G136" i="7" s="1"/>
  <c r="AK15" i="9"/>
  <c r="AK13" i="9"/>
  <c r="AK59" i="10" s="1"/>
  <c r="BQ14" i="9"/>
  <c r="AM137" i="7" s="1"/>
  <c r="BL14" i="9"/>
  <c r="AH137" i="7" s="1"/>
  <c r="AJ14" i="9"/>
  <c r="AJ105" i="9" s="1"/>
  <c r="AH14" i="9"/>
  <c r="AA14" i="9"/>
  <c r="AA124" i="9" s="1"/>
  <c r="AF125" i="9" s="1"/>
  <c r="BV17" i="9"/>
  <c r="BW17" i="9" s="1"/>
  <c r="BX17" i="9" s="1"/>
  <c r="BY17" i="9" s="1"/>
  <c r="CJ10" i="9"/>
  <c r="CI10" i="9"/>
  <c r="CD10" i="9"/>
  <c r="CC10" i="9"/>
  <c r="CB10" i="9"/>
  <c r="CA10" i="9"/>
  <c r="BZ10" i="9"/>
  <c r="BY10" i="9"/>
  <c r="BX10" i="9"/>
  <c r="BW10" i="9"/>
  <c r="BV10" i="9"/>
  <c r="BU10" i="9"/>
  <c r="BT10" i="9"/>
  <c r="BS10" i="9"/>
  <c r="BR10" i="9"/>
  <c r="BQ10" i="9"/>
  <c r="BP10" i="9"/>
  <c r="B4" i="9"/>
  <c r="B3" i="9"/>
  <c r="CG99" i="8"/>
  <c r="CG97" i="8"/>
  <c r="CG98" i="8" s="1"/>
  <c r="CB99" i="8"/>
  <c r="CB97" i="8"/>
  <c r="CB98" i="8" s="1"/>
  <c r="BW99" i="8"/>
  <c r="BW98" i="8" s="1"/>
  <c r="BW97" i="8"/>
  <c r="AS99" i="8"/>
  <c r="AS98" i="8" s="1"/>
  <c r="AS97" i="8"/>
  <c r="CH98" i="8"/>
  <c r="CF98" i="8"/>
  <c r="CE98" i="8"/>
  <c r="CD98" i="8"/>
  <c r="CC98" i="8"/>
  <c r="CA98" i="8"/>
  <c r="BZ98" i="8"/>
  <c r="BY98" i="8"/>
  <c r="BX98" i="8"/>
  <c r="BV98" i="8"/>
  <c r="BU98" i="8"/>
  <c r="BT98" i="8"/>
  <c r="BS98" i="8"/>
  <c r="BR98" i="8"/>
  <c r="BQ98" i="8"/>
  <c r="BP98" i="8"/>
  <c r="BO98" i="8"/>
  <c r="BN98" i="8"/>
  <c r="BM98" i="8"/>
  <c r="BL98" i="8"/>
  <c r="BK98" i="8"/>
  <c r="BJ98" i="8"/>
  <c r="BI98" i="8"/>
  <c r="BH98" i="8"/>
  <c r="BG98" i="8"/>
  <c r="BF98" i="8"/>
  <c r="BE98" i="8"/>
  <c r="BD98" i="8"/>
  <c r="BC98" i="8"/>
  <c r="BB98" i="8"/>
  <c r="BA98" i="8"/>
  <c r="AZ98" i="8"/>
  <c r="AY98" i="8"/>
  <c r="AX98" i="8"/>
  <c r="AW98" i="8"/>
  <c r="AV98" i="8"/>
  <c r="AT98" i="8"/>
  <c r="AR98" i="8"/>
  <c r="AQ98" i="8"/>
  <c r="AP98" i="8"/>
  <c r="AO98" i="8"/>
  <c r="AN98" i="8"/>
  <c r="AM98" i="8"/>
  <c r="AL98" i="8"/>
  <c r="AK98" i="8"/>
  <c r="AJ98" i="8"/>
  <c r="AI98" i="8"/>
  <c r="AH98" i="8"/>
  <c r="AG98" i="8"/>
  <c r="AF98" i="8"/>
  <c r="AE98" i="8"/>
  <c r="AD98" i="8"/>
  <c r="AC98" i="8"/>
  <c r="AB98" i="8"/>
  <c r="AA98" i="8"/>
  <c r="Z98" i="8"/>
  <c r="Y98" i="8"/>
  <c r="X98" i="8"/>
  <c r="W98" i="8"/>
  <c r="V98" i="8"/>
  <c r="U98" i="8"/>
  <c r="T98" i="8"/>
  <c r="S98" i="8"/>
  <c r="R98" i="8"/>
  <c r="Q98" i="8"/>
  <c r="P98" i="8"/>
  <c r="O98" i="8"/>
  <c r="N98" i="8"/>
  <c r="M98" i="8"/>
  <c r="L98" i="8"/>
  <c r="K98" i="8"/>
  <c r="J98" i="8"/>
  <c r="I98" i="8"/>
  <c r="H98" i="8"/>
  <c r="G98" i="8"/>
  <c r="F98" i="8"/>
  <c r="AU97" i="8"/>
  <c r="AU98" i="8" s="1"/>
  <c r="AI92" i="8"/>
  <c r="AH92" i="8"/>
  <c r="AG92" i="8"/>
  <c r="AF92" i="8"/>
  <c r="AF93" i="8" s="1"/>
  <c r="AE92" i="8"/>
  <c r="AD92" i="8"/>
  <c r="AC92" i="8"/>
  <c r="AB92" i="8"/>
  <c r="AB93" i="8" s="1"/>
  <c r="AA92" i="8"/>
  <c r="Z92" i="8"/>
  <c r="Y92" i="8"/>
  <c r="X92" i="8"/>
  <c r="W92" i="8"/>
  <c r="V92" i="8"/>
  <c r="U92" i="8"/>
  <c r="T92" i="8"/>
  <c r="T93" i="8" s="1"/>
  <c r="S92" i="8"/>
  <c r="R92" i="8"/>
  <c r="Q92" i="8"/>
  <c r="Q93" i="8" s="1"/>
  <c r="P92" i="8"/>
  <c r="P93" i="8" s="1"/>
  <c r="O92" i="8"/>
  <c r="N92" i="8"/>
  <c r="N93" i="8" s="1"/>
  <c r="M92" i="8"/>
  <c r="M93" i="8" s="1"/>
  <c r="L92" i="8"/>
  <c r="L93" i="8" s="1"/>
  <c r="K92" i="8"/>
  <c r="K93" i="8" s="1"/>
  <c r="J92" i="8"/>
  <c r="J93" i="8" s="1"/>
  <c r="AH90" i="8"/>
  <c r="M90" i="8"/>
  <c r="AI89" i="8"/>
  <c r="AH89" i="8"/>
  <c r="AG89" i="8"/>
  <c r="AG90" i="8" s="1"/>
  <c r="AF89" i="8"/>
  <c r="AF90" i="8" s="1"/>
  <c r="AE89" i="8"/>
  <c r="AD89" i="8"/>
  <c r="AC89" i="8"/>
  <c r="AC90" i="8" s="1"/>
  <c r="AB89" i="8"/>
  <c r="AB90" i="8" s="1"/>
  <c r="AA89" i="8"/>
  <c r="Z89" i="8"/>
  <c r="Z90" i="8" s="1"/>
  <c r="Y89" i="8"/>
  <c r="X89" i="8"/>
  <c r="X90" i="8" s="1"/>
  <c r="W89" i="8"/>
  <c r="W90" i="8" s="1"/>
  <c r="V89" i="8"/>
  <c r="V90" i="8" s="1"/>
  <c r="U89" i="8"/>
  <c r="U90" i="8" s="1"/>
  <c r="T89" i="8"/>
  <c r="T90" i="8" s="1"/>
  <c r="S89" i="8"/>
  <c r="R89" i="8"/>
  <c r="R90" i="8" s="1"/>
  <c r="Q89" i="8"/>
  <c r="Q90" i="8" s="1"/>
  <c r="P89" i="8"/>
  <c r="P90" i="8" s="1"/>
  <c r="O89" i="8"/>
  <c r="N89" i="8"/>
  <c r="N90" i="8" s="1"/>
  <c r="M89" i="8"/>
  <c r="L89" i="8"/>
  <c r="L90" i="8" s="1"/>
  <c r="K89" i="8"/>
  <c r="K90" i="8" s="1"/>
  <c r="J89" i="8"/>
  <c r="J90" i="8" s="1"/>
  <c r="V84" i="8"/>
  <c r="J84" i="8"/>
  <c r="AI83" i="8"/>
  <c r="AH83" i="8"/>
  <c r="AG83" i="8"/>
  <c r="AF83" i="8"/>
  <c r="AE83" i="8"/>
  <c r="AD83" i="8"/>
  <c r="AC83" i="8"/>
  <c r="AB83" i="8"/>
  <c r="AA83" i="8"/>
  <c r="Z83" i="8"/>
  <c r="Y83" i="8"/>
  <c r="X83" i="8"/>
  <c r="W83" i="8"/>
  <c r="V83" i="8"/>
  <c r="U83" i="8"/>
  <c r="T83" i="8"/>
  <c r="S83" i="8"/>
  <c r="R83" i="8"/>
  <c r="Q83" i="8"/>
  <c r="P83" i="8"/>
  <c r="O83" i="8"/>
  <c r="O84" i="8" s="1"/>
  <c r="N83" i="8"/>
  <c r="M83" i="8"/>
  <c r="M84" i="8" s="1"/>
  <c r="L83" i="8"/>
  <c r="K83" i="8"/>
  <c r="K84" i="8" s="1"/>
  <c r="J83" i="8"/>
  <c r="AE81" i="8"/>
  <c r="AE86" i="8" s="1"/>
  <c r="CZ80" i="8"/>
  <c r="CH79" i="8"/>
  <c r="BQ79" i="8"/>
  <c r="BP79" i="8"/>
  <c r="BO79" i="8"/>
  <c r="BN79" i="8"/>
  <c r="BR79" i="8" s="1"/>
  <c r="BL79" i="8"/>
  <c r="BK79" i="8"/>
  <c r="BJ79" i="8"/>
  <c r="BI79" i="8"/>
  <c r="BM79" i="8" s="1"/>
  <c r="BG79" i="8"/>
  <c r="BF79" i="8"/>
  <c r="BE79" i="8"/>
  <c r="BD79" i="8"/>
  <c r="BH79" i="8" s="1"/>
  <c r="BB79" i="8"/>
  <c r="BA79" i="8"/>
  <c r="AZ79" i="8"/>
  <c r="AY79" i="8"/>
  <c r="BC79" i="8" s="1"/>
  <c r="AW79" i="8"/>
  <c r="AV79" i="8"/>
  <c r="AU79" i="8"/>
  <c r="AT79" i="8"/>
  <c r="AX79" i="8" s="1"/>
  <c r="AR79" i="8"/>
  <c r="AQ79" i="8"/>
  <c r="AP79" i="8"/>
  <c r="AO79" i="8"/>
  <c r="AS79" i="8" s="1"/>
  <c r="AM79" i="8"/>
  <c r="AL79" i="8"/>
  <c r="AK79" i="8"/>
  <c r="AJ79" i="8"/>
  <c r="AN79" i="8" s="1"/>
  <c r="AF79" i="8"/>
  <c r="AF81" i="8" s="1"/>
  <c r="AF86" i="8" s="1"/>
  <c r="AE79" i="8"/>
  <c r="AC79" i="8"/>
  <c r="AC81" i="8" s="1"/>
  <c r="AC86" i="8" s="1"/>
  <c r="AA79" i="8"/>
  <c r="AA81" i="8" s="1"/>
  <c r="AA86" i="8" s="1"/>
  <c r="CG75" i="8"/>
  <c r="CB75" i="8"/>
  <c r="CB74" i="8"/>
  <c r="CB73" i="8"/>
  <c r="BR75" i="8"/>
  <c r="BR74" i="8"/>
  <c r="BM75" i="8"/>
  <c r="BM74" i="8"/>
  <c r="BN73" i="8"/>
  <c r="BR73" i="8" s="1"/>
  <c r="BI73" i="8"/>
  <c r="BM73" i="8" s="1"/>
  <c r="CG68" i="8"/>
  <c r="CD68" i="8"/>
  <c r="CB68" i="8"/>
  <c r="BW68" i="8"/>
  <c r="BR68" i="8"/>
  <c r="BN68" i="8"/>
  <c r="BI68" i="8"/>
  <c r="BM68" i="8" s="1"/>
  <c r="BH68" i="8"/>
  <c r="BC68" i="8"/>
  <c r="AX68" i="8"/>
  <c r="CB65" i="8"/>
  <c r="BW65" i="8"/>
  <c r="BN65" i="8"/>
  <c r="BM65" i="8"/>
  <c r="BI65" i="8"/>
  <c r="BH65" i="8"/>
  <c r="BC65" i="8"/>
  <c r="AX65" i="8"/>
  <c r="BU61" i="8"/>
  <c r="AD37" i="7" s="1"/>
  <c r="BT61" i="8"/>
  <c r="AC37" i="7" s="1"/>
  <c r="BS61" i="8"/>
  <c r="AB37" i="7" s="1"/>
  <c r="BP61" i="8"/>
  <c r="BO61" i="8"/>
  <c r="BN61" i="8"/>
  <c r="BK61" i="8"/>
  <c r="T37" i="7" s="1"/>
  <c r="BJ61" i="8"/>
  <c r="S37" i="7" s="1"/>
  <c r="BI61" i="8"/>
  <c r="BF61" i="8"/>
  <c r="O37" i="7" s="1"/>
  <c r="BE61" i="8"/>
  <c r="N37" i="7" s="1"/>
  <c r="BD61" i="8"/>
  <c r="BB61" i="8"/>
  <c r="BA61" i="8"/>
  <c r="J37" i="7" s="1"/>
  <c r="AZ61" i="8"/>
  <c r="I37" i="7" s="1"/>
  <c r="AY61" i="8"/>
  <c r="AX61" i="8"/>
  <c r="AI59" i="8"/>
  <c r="AH59" i="8"/>
  <c r="AG59" i="8"/>
  <c r="AF59" i="8"/>
  <c r="AE59" i="8"/>
  <c r="AD59" i="8"/>
  <c r="AC59" i="8"/>
  <c r="AB59" i="8"/>
  <c r="AA59" i="8"/>
  <c r="Z59" i="8"/>
  <c r="Y59" i="8"/>
  <c r="X59" i="8"/>
  <c r="W59" i="8"/>
  <c r="V59" i="8"/>
  <c r="U59" i="8"/>
  <c r="T59" i="8"/>
  <c r="S59" i="8"/>
  <c r="R59" i="8"/>
  <c r="Q59" i="8"/>
  <c r="P59" i="8"/>
  <c r="O59" i="8"/>
  <c r="N59" i="8"/>
  <c r="M59" i="8"/>
  <c r="L59" i="8"/>
  <c r="K59" i="8"/>
  <c r="J59" i="8"/>
  <c r="CG56" i="8"/>
  <c r="CD56" i="8"/>
  <c r="CB56" i="8"/>
  <c r="CB55" i="8"/>
  <c r="BW56" i="8"/>
  <c r="BR56" i="8"/>
  <c r="BR55" i="8"/>
  <c r="BM56" i="8"/>
  <c r="BM55" i="8"/>
  <c r="BH56" i="8"/>
  <c r="BH55" i="8"/>
  <c r="BC56" i="8"/>
  <c r="BC55" i="8"/>
  <c r="AR56" i="8"/>
  <c r="AW56" i="8" s="1"/>
  <c r="AP56" i="8"/>
  <c r="AU56" i="8" s="1"/>
  <c r="AM56" i="8"/>
  <c r="AL56" i="8"/>
  <c r="AQ56" i="8" s="1"/>
  <c r="AV56" i="8" s="1"/>
  <c r="AK56" i="8"/>
  <c r="AJ56" i="8"/>
  <c r="AN56" i="8" s="1"/>
  <c r="AS56" i="8" s="1"/>
  <c r="AX56" i="8" s="1"/>
  <c r="CG54" i="8"/>
  <c r="CF54" i="8"/>
  <c r="CF61" i="8" s="1"/>
  <c r="CE54" i="8"/>
  <c r="CE61" i="8" s="1"/>
  <c r="CD54" i="8"/>
  <c r="CD61" i="8" s="1"/>
  <c r="CC54" i="8"/>
  <c r="CC61" i="8" s="1"/>
  <c r="CA54" i="8"/>
  <c r="CA61" i="8" s="1"/>
  <c r="BM70" i="10" s="1"/>
  <c r="BZ54" i="8"/>
  <c r="BZ61" i="8" s="1"/>
  <c r="BL70" i="10" s="1"/>
  <c r="BY54" i="8"/>
  <c r="BY61" i="8" s="1"/>
  <c r="BK70" i="10" s="1"/>
  <c r="BK118" i="10" s="1"/>
  <c r="BK119" i="10" s="1"/>
  <c r="BV54" i="8"/>
  <c r="BV61" i="8" s="1"/>
  <c r="BU54" i="8"/>
  <c r="AD38" i="7" s="1"/>
  <c r="BT54" i="8"/>
  <c r="BS54" i="8"/>
  <c r="AB38" i="7" s="1"/>
  <c r="AN54" i="8"/>
  <c r="CH49" i="8"/>
  <c r="BU84" i="9" s="1"/>
  <c r="BU86" i="9" s="1"/>
  <c r="BU109" i="9" s="1"/>
  <c r="BY49" i="8"/>
  <c r="BL84" i="9" s="1"/>
  <c r="BX49" i="8"/>
  <c r="BK84" i="9" s="1"/>
  <c r="BV49" i="8"/>
  <c r="BI84" i="9" s="1"/>
  <c r="BI86" i="9" s="1"/>
  <c r="BI109" i="9" s="1"/>
  <c r="BS49" i="8"/>
  <c r="BF84" i="9" s="1"/>
  <c r="BB49" i="8"/>
  <c r="AO84" i="9" s="1"/>
  <c r="AO86" i="9" s="1"/>
  <c r="AO109" i="9" s="1"/>
  <c r="AZ49" i="8"/>
  <c r="AM84" i="9" s="1"/>
  <c r="AU49" i="8"/>
  <c r="AT49" i="8"/>
  <c r="AG84" i="9" s="1"/>
  <c r="AG86" i="9" s="1"/>
  <c r="AG109" i="9" s="1"/>
  <c r="AS49" i="8"/>
  <c r="AQ49" i="8"/>
  <c r="AD84" i="9" s="1"/>
  <c r="AL49" i="8"/>
  <c r="Y84" i="9" s="1"/>
  <c r="Y86" i="9" s="1"/>
  <c r="Y109" i="9" s="1"/>
  <c r="AK49" i="8"/>
  <c r="X84" i="9" s="1"/>
  <c r="CH43" i="8"/>
  <c r="CF43" i="8"/>
  <c r="CD37" i="8"/>
  <c r="BW37" i="8"/>
  <c r="BN37" i="8"/>
  <c r="BR37" i="8" s="1"/>
  <c r="BM37" i="8"/>
  <c r="BI37" i="8"/>
  <c r="BH37" i="8"/>
  <c r="BB37" i="8"/>
  <c r="BA37" i="8"/>
  <c r="AZ37" i="8"/>
  <c r="AY37" i="8"/>
  <c r="BC37" i="8" s="1"/>
  <c r="CD34" i="8"/>
  <c r="BW34" i="8"/>
  <c r="BR34" i="8"/>
  <c r="BN34" i="8"/>
  <c r="BM34" i="8"/>
  <c r="BI34" i="8"/>
  <c r="BH34" i="8"/>
  <c r="BC34" i="8"/>
  <c r="AX34" i="8"/>
  <c r="AL33" i="8"/>
  <c r="CD31" i="8"/>
  <c r="BW31" i="8"/>
  <c r="BN31" i="8"/>
  <c r="BI31" i="8"/>
  <c r="BM31" i="8" s="1"/>
  <c r="BH31" i="8"/>
  <c r="BC31" i="8"/>
  <c r="AX31" i="8"/>
  <c r="CH26" i="8"/>
  <c r="CF26" i="8"/>
  <c r="CE26" i="8"/>
  <c r="CC26" i="8"/>
  <c r="CA26" i="8"/>
  <c r="BZ26" i="8"/>
  <c r="BY26" i="8"/>
  <c r="BX26" i="8"/>
  <c r="BV26" i="8"/>
  <c r="BU26" i="8"/>
  <c r="BT26" i="8"/>
  <c r="BQ26" i="8"/>
  <c r="BP26" i="8"/>
  <c r="BO26" i="8"/>
  <c r="BL26" i="8"/>
  <c r="BJ26" i="8"/>
  <c r="BG26" i="8"/>
  <c r="BE26" i="8"/>
  <c r="BD26" i="8"/>
  <c r="AY26" i="8"/>
  <c r="AT26" i="8"/>
  <c r="AR26" i="8"/>
  <c r="AQ26" i="8"/>
  <c r="AP26" i="8"/>
  <c r="AN26" i="8"/>
  <c r="AM26" i="8"/>
  <c r="AL26" i="8"/>
  <c r="AK26" i="8"/>
  <c r="CD25" i="8"/>
  <c r="CD26" i="8" s="1"/>
  <c r="BW25" i="8"/>
  <c r="BN25" i="8"/>
  <c r="W14" i="7" s="1"/>
  <c r="BI25" i="8"/>
  <c r="BI26" i="8" s="1"/>
  <c r="BF25" i="8"/>
  <c r="BC25" i="8"/>
  <c r="L14" i="7" s="1"/>
  <c r="AW25" i="8"/>
  <c r="AW26" i="8" s="1"/>
  <c r="AV25" i="8"/>
  <c r="BA26" i="8" s="1"/>
  <c r="AU25" i="8"/>
  <c r="AS25" i="8"/>
  <c r="AS26" i="8" s="1"/>
  <c r="AJ25" i="8"/>
  <c r="AO26" i="8" s="1"/>
  <c r="AW23" i="8"/>
  <c r="AW20" i="8"/>
  <c r="AW19" i="8"/>
  <c r="AW18" i="8"/>
  <c r="AR23" i="8"/>
  <c r="AR20" i="8"/>
  <c r="AR18" i="8"/>
  <c r="AM20" i="8"/>
  <c r="AM19" i="8"/>
  <c r="AM18" i="8"/>
  <c r="AL23" i="8"/>
  <c r="AK23" i="8"/>
  <c r="AJ23" i="8"/>
  <c r="AI23" i="8"/>
  <c r="AH23" i="8"/>
  <c r="AG23" i="8"/>
  <c r="AF23" i="8"/>
  <c r="AE23" i="8"/>
  <c r="AD23" i="8"/>
  <c r="AC23" i="8"/>
  <c r="AB23" i="8"/>
  <c r="AA23" i="8"/>
  <c r="Z23" i="8"/>
  <c r="Y23" i="8"/>
  <c r="BM23" i="8"/>
  <c r="BL23" i="8"/>
  <c r="BK23" i="8"/>
  <c r="BJ23" i="8"/>
  <c r="BI23" i="8"/>
  <c r="BH23" i="8"/>
  <c r="BC23" i="8"/>
  <c r="BA23" i="8"/>
  <c r="AX23" i="8"/>
  <c r="CH20" i="8"/>
  <c r="CF20" i="8"/>
  <c r="CE20" i="8"/>
  <c r="CD20" i="8"/>
  <c r="CC20" i="8"/>
  <c r="CB20" i="8"/>
  <c r="CA20" i="8"/>
  <c r="BZ20" i="8"/>
  <c r="BY20" i="8"/>
  <c r="BX20" i="8"/>
  <c r="BW20" i="8"/>
  <c r="BV20" i="8"/>
  <c r="BU20" i="8"/>
  <c r="BT20" i="8"/>
  <c r="BS20" i="8"/>
  <c r="BR20" i="8"/>
  <c r="BQ20" i="8"/>
  <c r="BP20" i="8"/>
  <c r="BO20" i="8"/>
  <c r="BN20" i="8"/>
  <c r="BM20" i="8"/>
  <c r="BL20" i="8"/>
  <c r="BK20" i="8"/>
  <c r="BJ20" i="8"/>
  <c r="BI20" i="8"/>
  <c r="BH20" i="8"/>
  <c r="BG20" i="8"/>
  <c r="BF20" i="8"/>
  <c r="BE20" i="8"/>
  <c r="BD20" i="8"/>
  <c r="BC20" i="8"/>
  <c r="BB20" i="8"/>
  <c r="BA20" i="8"/>
  <c r="AZ20" i="8"/>
  <c r="AY20" i="8"/>
  <c r="AX20" i="8"/>
  <c r="CW19" i="8"/>
  <c r="CV19" i="8"/>
  <c r="CQ19" i="8"/>
  <c r="CP19" i="8"/>
  <c r="CO19" i="8"/>
  <c r="CN19" i="8"/>
  <c r="CM19" i="8"/>
  <c r="CL19" i="8"/>
  <c r="CK19" i="8"/>
  <c r="CJ19" i="8"/>
  <c r="CI19" i="8"/>
  <c r="CH19" i="8"/>
  <c r="CG19" i="8"/>
  <c r="CF19" i="8"/>
  <c r="CE19" i="8"/>
  <c r="CD19" i="8"/>
  <c r="CC19" i="8"/>
  <c r="CB19" i="8"/>
  <c r="CA19" i="8"/>
  <c r="BZ19" i="8"/>
  <c r="BX19" i="8"/>
  <c r="BW19" i="8"/>
  <c r="BV19" i="8"/>
  <c r="BU19" i="8"/>
  <c r="BS19" i="8"/>
  <c r="BQ19" i="8"/>
  <c r="BP19" i="8"/>
  <c r="BO19" i="8"/>
  <c r="BN19" i="8"/>
  <c r="BM19" i="8"/>
  <c r="BI19" i="8"/>
  <c r="BH19" i="8"/>
  <c r="BG19" i="8"/>
  <c r="BF19" i="8"/>
  <c r="BE19" i="8"/>
  <c r="BD19" i="8"/>
  <c r="BC19" i="8"/>
  <c r="BA19" i="8"/>
  <c r="AY19" i="8"/>
  <c r="CL18" i="8"/>
  <c r="CL16" i="8"/>
  <c r="CL14" i="8"/>
  <c r="CL13" i="8"/>
  <c r="CG18" i="8"/>
  <c r="CG16" i="8"/>
  <c r="CG15" i="8"/>
  <c r="CG14" i="8"/>
  <c r="CG13" i="8"/>
  <c r="CB18" i="8"/>
  <c r="CB17" i="8"/>
  <c r="CB16" i="8"/>
  <c r="CB14" i="8"/>
  <c r="CB13" i="8"/>
  <c r="CB11" i="8"/>
  <c r="BW18" i="8"/>
  <c r="BV18" i="8"/>
  <c r="BU18" i="8"/>
  <c r="BT18" i="8"/>
  <c r="BS18" i="8"/>
  <c r="BR18" i="8"/>
  <c r="BQ18" i="8"/>
  <c r="BP18" i="8"/>
  <c r="BO18" i="8"/>
  <c r="BN18" i="8"/>
  <c r="BM18" i="8"/>
  <c r="BL18" i="8"/>
  <c r="BK18" i="8"/>
  <c r="BJ18" i="8"/>
  <c r="BI18" i="8"/>
  <c r="BH18" i="8"/>
  <c r="BG18" i="8"/>
  <c r="BF18" i="8"/>
  <c r="BE18" i="8"/>
  <c r="BD18" i="8"/>
  <c r="BC18" i="8"/>
  <c r="BB18" i="8"/>
  <c r="BA18" i="8"/>
  <c r="AZ18" i="8"/>
  <c r="AY18" i="8"/>
  <c r="AX18" i="8"/>
  <c r="AV23" i="8"/>
  <c r="AU23" i="8"/>
  <c r="AT23" i="8"/>
  <c r="AS23" i="8"/>
  <c r="AV20" i="8"/>
  <c r="AU20" i="8"/>
  <c r="AT20" i="8"/>
  <c r="AS20" i="8"/>
  <c r="AV19" i="8"/>
  <c r="AU19" i="8"/>
  <c r="AT19" i="8"/>
  <c r="AS19" i="8"/>
  <c r="AV18" i="8"/>
  <c r="AU18" i="8"/>
  <c r="AT18" i="8"/>
  <c r="AS18" i="8"/>
  <c r="AQ23" i="8"/>
  <c r="AP23" i="8"/>
  <c r="AO23" i="8"/>
  <c r="AQ20" i="8"/>
  <c r="AP20" i="8"/>
  <c r="AO20" i="8"/>
  <c r="AN20" i="8"/>
  <c r="AO19" i="8"/>
  <c r="AN19" i="8"/>
  <c r="AQ18" i="8"/>
  <c r="AP18" i="8"/>
  <c r="AO18" i="8"/>
  <c r="AN18" i="8"/>
  <c r="AL20" i="8"/>
  <c r="AK20" i="8"/>
  <c r="AJ20" i="8"/>
  <c r="AL19" i="8"/>
  <c r="AK19" i="8"/>
  <c r="AL18" i="8"/>
  <c r="AK18" i="8"/>
  <c r="AJ18" i="8"/>
  <c r="CH17" i="8"/>
  <c r="CF17" i="8"/>
  <c r="CE17" i="8"/>
  <c r="CD17" i="8"/>
  <c r="CC17" i="8"/>
  <c r="BX17" i="8"/>
  <c r="BW17" i="8"/>
  <c r="BV17" i="8"/>
  <c r="BT17" i="8"/>
  <c r="BS17" i="8"/>
  <c r="BP17" i="8"/>
  <c r="BO17" i="8"/>
  <c r="BN17" i="8"/>
  <c r="BL17" i="8"/>
  <c r="BW16" i="8"/>
  <c r="BV16" i="8"/>
  <c r="BU16" i="8"/>
  <c r="BT16" i="8"/>
  <c r="BS16" i="8"/>
  <c r="BR16" i="8"/>
  <c r="BQ16" i="8"/>
  <c r="BP16" i="8"/>
  <c r="BO16" i="8"/>
  <c r="BN16" i="8"/>
  <c r="BM16" i="8"/>
  <c r="BL16" i="8"/>
  <c r="BK16" i="8"/>
  <c r="BJ16" i="8"/>
  <c r="BI16" i="8"/>
  <c r="BH16" i="8"/>
  <c r="BG16" i="8"/>
  <c r="BF16" i="8"/>
  <c r="BE16" i="8"/>
  <c r="BD16" i="8"/>
  <c r="BC16" i="8"/>
  <c r="BB16" i="8"/>
  <c r="BA16" i="8"/>
  <c r="AZ16" i="8"/>
  <c r="AY16" i="8"/>
  <c r="AX16" i="8"/>
  <c r="AW16" i="8"/>
  <c r="AV16" i="8"/>
  <c r="AU16" i="8"/>
  <c r="AT16" i="8"/>
  <c r="AS16" i="8"/>
  <c r="AR16" i="8"/>
  <c r="AQ16" i="8"/>
  <c r="AP16" i="8"/>
  <c r="AO16" i="8"/>
  <c r="AN16" i="8"/>
  <c r="AM16" i="8"/>
  <c r="AL16" i="8"/>
  <c r="AK16" i="8"/>
  <c r="AJ16" i="8"/>
  <c r="CH15" i="8"/>
  <c r="CE15" i="8"/>
  <c r="CD15" i="8"/>
  <c r="BZ15" i="8"/>
  <c r="BY15" i="8"/>
  <c r="BW15" i="8"/>
  <c r="BV15" i="8"/>
  <c r="BR15" i="8"/>
  <c r="BQ15" i="8"/>
  <c r="BO15" i="8"/>
  <c r="BN15" i="8"/>
  <c r="BJ15" i="8"/>
  <c r="BI15" i="8"/>
  <c r="BG15" i="8"/>
  <c r="BF15" i="8"/>
  <c r="BB15" i="8"/>
  <c r="BA15" i="8"/>
  <c r="AY15" i="8"/>
  <c r="AX15" i="8"/>
  <c r="AT15" i="8"/>
  <c r="AS15" i="8"/>
  <c r="AQ15" i="8"/>
  <c r="AP15" i="8"/>
  <c r="AL15" i="8"/>
  <c r="AK15" i="8"/>
  <c r="C15" i="8"/>
  <c r="BW14" i="8"/>
  <c r="BV14" i="8"/>
  <c r="BU14" i="8"/>
  <c r="BT14" i="8"/>
  <c r="BS14" i="8"/>
  <c r="BR14" i="8"/>
  <c r="BQ14" i="8"/>
  <c r="BP14" i="8"/>
  <c r="BO14" i="8"/>
  <c r="BN14" i="8"/>
  <c r="BM14" i="8"/>
  <c r="BL14" i="8"/>
  <c r="BK14" i="8"/>
  <c r="BJ14" i="8"/>
  <c r="BI14" i="8"/>
  <c r="BH14" i="8"/>
  <c r="BG14" i="8"/>
  <c r="BF14" i="8"/>
  <c r="BE14" i="8"/>
  <c r="BD14" i="8"/>
  <c r="BC14" i="8"/>
  <c r="BB14" i="8"/>
  <c r="BA14" i="8"/>
  <c r="AZ14" i="8"/>
  <c r="AY14" i="8"/>
  <c r="AX14" i="8"/>
  <c r="AW14" i="8"/>
  <c r="AV14" i="8"/>
  <c r="AU14" i="8"/>
  <c r="AT14" i="8"/>
  <c r="AS14" i="8"/>
  <c r="AR14" i="8"/>
  <c r="AQ14" i="8"/>
  <c r="AP14" i="8"/>
  <c r="AO14" i="8"/>
  <c r="AN14" i="8"/>
  <c r="AM14" i="8"/>
  <c r="AL14" i="8"/>
  <c r="AK14" i="8"/>
  <c r="AJ14" i="8"/>
  <c r="BW13"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CW18" i="8"/>
  <c r="CV18" i="8"/>
  <c r="CQ18" i="8"/>
  <c r="CW16" i="8"/>
  <c r="CV16" i="8"/>
  <c r="CQ16" i="8"/>
  <c r="CW14" i="8"/>
  <c r="CV14" i="8"/>
  <c r="CQ14" i="8"/>
  <c r="CW13" i="8"/>
  <c r="CV13" i="8"/>
  <c r="CQ13" i="8"/>
  <c r="CC12" i="8"/>
  <c r="CD11" i="8"/>
  <c r="CC11" i="8"/>
  <c r="BU12" i="8"/>
  <c r="BZ11" i="8"/>
  <c r="BV11" i="8"/>
  <c r="BU11" i="8"/>
  <c r="BT11" i="8"/>
  <c r="BR11" i="8"/>
  <c r="BN11" i="8"/>
  <c r="BM11" i="8"/>
  <c r="BL11" i="8"/>
  <c r="BJ11" i="8"/>
  <c r="BF11" i="8"/>
  <c r="BE11" i="8"/>
  <c r="BD11" i="8"/>
  <c r="BB11" i="8"/>
  <c r="AX11" i="8"/>
  <c r="AW11" i="8"/>
  <c r="AV11" i="8"/>
  <c r="AT11" i="8"/>
  <c r="AP11" i="8"/>
  <c r="AO11" i="8"/>
  <c r="AN11" i="8"/>
  <c r="AL11" i="8"/>
  <c r="C11" i="8"/>
  <c r="O9" i="8"/>
  <c r="AQ194" i="7"/>
  <c r="AO194" i="7"/>
  <c r="AL194" i="7"/>
  <c r="AC194" i="7"/>
  <c r="Y194" i="7"/>
  <c r="X194" i="7"/>
  <c r="T194" i="7"/>
  <c r="Q194" i="7"/>
  <c r="M194" i="7"/>
  <c r="K194" i="7"/>
  <c r="I194" i="7"/>
  <c r="D194" i="7"/>
  <c r="AQ193" i="7"/>
  <c r="AI193" i="7"/>
  <c r="AH193" i="7"/>
  <c r="Z193" i="7"/>
  <c r="W193" i="7"/>
  <c r="R193" i="7"/>
  <c r="J193" i="7"/>
  <c r="I193" i="7"/>
  <c r="E193" i="7"/>
  <c r="C193" i="7"/>
  <c r="AQ189" i="7"/>
  <c r="AP189" i="7"/>
  <c r="AO189" i="7"/>
  <c r="AN189" i="7"/>
  <c r="AM189" i="7"/>
  <c r="AL189" i="7"/>
  <c r="AK189" i="7"/>
  <c r="AJ189" i="7"/>
  <c r="AI189" i="7"/>
  <c r="AH189" i="7"/>
  <c r="AG189" i="7"/>
  <c r="AE189" i="7"/>
  <c r="AD189" i="7"/>
  <c r="AC189" i="7"/>
  <c r="AB189" i="7"/>
  <c r="Z189" i="7"/>
  <c r="Y189" i="7"/>
  <c r="X189" i="7"/>
  <c r="W189" i="7"/>
  <c r="U189" i="7"/>
  <c r="T189" i="7"/>
  <c r="S189" i="7"/>
  <c r="R189" i="7"/>
  <c r="P189" i="7"/>
  <c r="N189" i="7"/>
  <c r="M189" i="7"/>
  <c r="K189" i="7"/>
  <c r="J189" i="7"/>
  <c r="I189" i="7"/>
  <c r="H189" i="7"/>
  <c r="F189" i="7"/>
  <c r="D189" i="7"/>
  <c r="C189" i="7"/>
  <c r="B189" i="7"/>
  <c r="AT188" i="7"/>
  <c r="AS188" i="7"/>
  <c r="AQ188" i="7"/>
  <c r="AP188" i="7"/>
  <c r="AO188" i="7"/>
  <c r="AN188" i="7"/>
  <c r="AM188" i="7"/>
  <c r="AL188" i="7"/>
  <c r="AK188" i="7"/>
  <c r="AJ188" i="7"/>
  <c r="AI188" i="7"/>
  <c r="AH188" i="7"/>
  <c r="AG188" i="7"/>
  <c r="AE188" i="7"/>
  <c r="AC188" i="7"/>
  <c r="AB188" i="7"/>
  <c r="X188" i="7"/>
  <c r="W188" i="7"/>
  <c r="U188" i="7"/>
  <c r="T188" i="7"/>
  <c r="S188" i="7"/>
  <c r="R188" i="7"/>
  <c r="P188" i="7"/>
  <c r="O188" i="7"/>
  <c r="N188" i="7"/>
  <c r="M188" i="7"/>
  <c r="L188" i="7"/>
  <c r="K188" i="7"/>
  <c r="J188" i="7"/>
  <c r="I188" i="7"/>
  <c r="H188" i="7"/>
  <c r="F188" i="7"/>
  <c r="E188" i="7"/>
  <c r="D188" i="7"/>
  <c r="C188" i="7"/>
  <c r="B188" i="7"/>
  <c r="AR187" i="7"/>
  <c r="AQ187" i="7"/>
  <c r="AO187" i="7"/>
  <c r="AN187" i="7"/>
  <c r="AM187" i="7"/>
  <c r="AL187" i="7"/>
  <c r="AH187" i="7"/>
  <c r="AG187" i="7"/>
  <c r="AD187" i="7"/>
  <c r="AC187" i="7"/>
  <c r="AB187" i="7"/>
  <c r="X187" i="7"/>
  <c r="W187" i="7"/>
  <c r="S187" i="7"/>
  <c r="R187" i="7"/>
  <c r="Q187" i="7"/>
  <c r="N187" i="7"/>
  <c r="M187" i="7"/>
  <c r="L187" i="7"/>
  <c r="K187" i="7"/>
  <c r="J187" i="7"/>
  <c r="I187" i="7"/>
  <c r="H187" i="7"/>
  <c r="G187" i="7"/>
  <c r="D187" i="7"/>
  <c r="C187" i="7"/>
  <c r="B187" i="7"/>
  <c r="BE184" i="7"/>
  <c r="AW184" i="7"/>
  <c r="AV184" i="7"/>
  <c r="AR184" i="7"/>
  <c r="AQ184" i="7"/>
  <c r="AP184" i="7"/>
  <c r="AO184" i="7"/>
  <c r="AN184" i="7"/>
  <c r="AM184" i="7"/>
  <c r="AL184" i="7"/>
  <c r="AJ184" i="7"/>
  <c r="AI184" i="7"/>
  <c r="AH184" i="7"/>
  <c r="AG184" i="7"/>
  <c r="AD184" i="7"/>
  <c r="AC184" i="7"/>
  <c r="AB184" i="7"/>
  <c r="W184" i="7"/>
  <c r="R184" i="7"/>
  <c r="Q184" i="7"/>
  <c r="O184" i="7"/>
  <c r="N184" i="7"/>
  <c r="M184" i="7"/>
  <c r="L184" i="7"/>
  <c r="K184" i="7"/>
  <c r="J184" i="7"/>
  <c r="I184" i="7"/>
  <c r="H184" i="7"/>
  <c r="G184" i="7"/>
  <c r="C184" i="7"/>
  <c r="B184" i="7"/>
  <c r="BE183" i="7"/>
  <c r="AZ183" i="7"/>
  <c r="AY183" i="7"/>
  <c r="AX183" i="7"/>
  <c r="AW183" i="7"/>
  <c r="AV183" i="7"/>
  <c r="AU183" i="7"/>
  <c r="AT183" i="7"/>
  <c r="AS183" i="7"/>
  <c r="AR183" i="7"/>
  <c r="AQ183" i="7"/>
  <c r="AP183" i="7"/>
  <c r="AO183" i="7"/>
  <c r="AN183" i="7"/>
  <c r="AM183" i="7"/>
  <c r="AL183" i="7"/>
  <c r="AK183" i="7"/>
  <c r="AJ183" i="7"/>
  <c r="AI183" i="7"/>
  <c r="AH183" i="7"/>
  <c r="AG183" i="7"/>
  <c r="AE183" i="7"/>
  <c r="AD183" i="7"/>
  <c r="AC183" i="7"/>
  <c r="AB183" i="7"/>
  <c r="Z183" i="7"/>
  <c r="Y183" i="7"/>
  <c r="X183" i="7"/>
  <c r="W183" i="7"/>
  <c r="T183" i="7"/>
  <c r="S183" i="7"/>
  <c r="R183" i="7"/>
  <c r="Q183" i="7"/>
  <c r="P183" i="7"/>
  <c r="O183" i="7"/>
  <c r="N183" i="7"/>
  <c r="M183" i="7"/>
  <c r="L183" i="7"/>
  <c r="K183" i="7"/>
  <c r="J183" i="7"/>
  <c r="I183" i="7"/>
  <c r="H183" i="7"/>
  <c r="G183" i="7"/>
  <c r="D183" i="7"/>
  <c r="C183" i="7"/>
  <c r="B183" i="7"/>
  <c r="BE182" i="7"/>
  <c r="AZ182" i="7"/>
  <c r="AY182" i="7"/>
  <c r="AX182" i="7"/>
  <c r="AW182" i="7"/>
  <c r="AV182" i="7"/>
  <c r="AT182" i="7"/>
  <c r="AS182" i="7"/>
  <c r="AR182" i="7"/>
  <c r="AQ182" i="7"/>
  <c r="AP182" i="7"/>
  <c r="AO182" i="7"/>
  <c r="AN182" i="7"/>
  <c r="AM182" i="7"/>
  <c r="AL182" i="7"/>
  <c r="AK182" i="7"/>
  <c r="AJ182" i="7"/>
  <c r="AI182" i="7"/>
  <c r="AH182" i="7"/>
  <c r="AG182" i="7"/>
  <c r="AF182" i="7"/>
  <c r="AE182" i="7"/>
  <c r="AD182" i="7"/>
  <c r="AC182" i="7"/>
  <c r="AB182" i="7"/>
  <c r="AA182" i="7"/>
  <c r="Z182" i="7"/>
  <c r="Y182" i="7"/>
  <c r="X182" i="7"/>
  <c r="W182" i="7"/>
  <c r="U182" i="7"/>
  <c r="T182" i="7"/>
  <c r="S182" i="7"/>
  <c r="R182" i="7"/>
  <c r="Q182" i="7"/>
  <c r="N182" i="7"/>
  <c r="M182" i="7"/>
  <c r="L182" i="7"/>
  <c r="K182" i="7"/>
  <c r="J182" i="7"/>
  <c r="I182" i="7"/>
  <c r="H182" i="7"/>
  <c r="G182" i="7"/>
  <c r="D182" i="7"/>
  <c r="C182" i="7"/>
  <c r="B182" i="7"/>
  <c r="AS178" i="7"/>
  <c r="AR178" i="7"/>
  <c r="AQ178" i="7"/>
  <c r="AO178" i="7"/>
  <c r="AN178" i="7"/>
  <c r="AM178" i="7"/>
  <c r="AL178" i="7"/>
  <c r="AK178" i="7"/>
  <c r="AJ178" i="7"/>
  <c r="AI178" i="7"/>
  <c r="AH178" i="7"/>
  <c r="AG178" i="7"/>
  <c r="AE178" i="7"/>
  <c r="AD178" i="7"/>
  <c r="AC178" i="7"/>
  <c r="AB178" i="7"/>
  <c r="AA178" i="7"/>
  <c r="AQ175" i="7"/>
  <c r="AO175" i="7"/>
  <c r="AN175" i="7"/>
  <c r="AM175" i="7"/>
  <c r="AL175" i="7"/>
  <c r="AJ175" i="7"/>
  <c r="AI175" i="7"/>
  <c r="AH175" i="7"/>
  <c r="AG175" i="7"/>
  <c r="AE175" i="7"/>
  <c r="AC175" i="7"/>
  <c r="AB175" i="7"/>
  <c r="X175" i="7"/>
  <c r="W175" i="7"/>
  <c r="S175" i="7"/>
  <c r="R175" i="7"/>
  <c r="P175" i="7"/>
  <c r="N175" i="7"/>
  <c r="M175" i="7"/>
  <c r="K175" i="7"/>
  <c r="J175" i="7"/>
  <c r="I175" i="7"/>
  <c r="H175" i="7"/>
  <c r="F175" i="7"/>
  <c r="E175" i="7"/>
  <c r="D175" i="7"/>
  <c r="C175" i="7"/>
  <c r="AQ174" i="7"/>
  <c r="AP174" i="7"/>
  <c r="AO174" i="7"/>
  <c r="AN174" i="7"/>
  <c r="AM174" i="7"/>
  <c r="AL174" i="7"/>
  <c r="AK174" i="7"/>
  <c r="AJ174" i="7"/>
  <c r="AI174" i="7"/>
  <c r="AH174" i="7"/>
  <c r="AG174" i="7"/>
  <c r="AF174" i="7"/>
  <c r="AE174" i="7"/>
  <c r="AD174" i="7"/>
  <c r="AC174" i="7"/>
  <c r="AB174" i="7"/>
  <c r="X174" i="7"/>
  <c r="W174" i="7"/>
  <c r="S174" i="7"/>
  <c r="R174" i="7"/>
  <c r="P174" i="7"/>
  <c r="N174" i="7"/>
  <c r="M174" i="7"/>
  <c r="L174" i="7"/>
  <c r="K174" i="7"/>
  <c r="J174" i="7"/>
  <c r="I174" i="7"/>
  <c r="H174" i="7"/>
  <c r="G174" i="7"/>
  <c r="F174" i="7"/>
  <c r="E174" i="7"/>
  <c r="D174" i="7"/>
  <c r="C174" i="7"/>
  <c r="B174" i="7"/>
  <c r="AQ170" i="7"/>
  <c r="AO170" i="7"/>
  <c r="AN170" i="7"/>
  <c r="AL170" i="7"/>
  <c r="AJ170" i="7"/>
  <c r="AI170" i="7"/>
  <c r="AH170" i="7"/>
  <c r="AE170" i="7"/>
  <c r="AD170" i="7"/>
  <c r="AB170" i="7"/>
  <c r="X170" i="7"/>
  <c r="W170" i="7"/>
  <c r="R170" i="7"/>
  <c r="P170" i="7"/>
  <c r="N170" i="7"/>
  <c r="M170" i="7"/>
  <c r="L170" i="7"/>
  <c r="K170" i="7"/>
  <c r="J170" i="7"/>
  <c r="I170" i="7"/>
  <c r="H170" i="7"/>
  <c r="G170" i="7"/>
  <c r="F170" i="7"/>
  <c r="E170" i="7"/>
  <c r="D170" i="7"/>
  <c r="C170" i="7"/>
  <c r="AQ169" i="7"/>
  <c r="AO169" i="7"/>
  <c r="AN169" i="7"/>
  <c r="AJ169" i="7"/>
  <c r="AI169" i="7"/>
  <c r="AH169" i="7"/>
  <c r="AG169" i="7"/>
  <c r="AE169" i="7"/>
  <c r="AB169" i="7"/>
  <c r="W169" i="7"/>
  <c r="R169" i="7"/>
  <c r="P169" i="7"/>
  <c r="N169" i="7"/>
  <c r="M169" i="7"/>
  <c r="L169" i="7"/>
  <c r="K169" i="7"/>
  <c r="J169" i="7"/>
  <c r="I169" i="7"/>
  <c r="H169" i="7"/>
  <c r="G169" i="7"/>
  <c r="F169" i="7"/>
  <c r="E169" i="7"/>
  <c r="D169" i="7"/>
  <c r="C169" i="7"/>
  <c r="B169" i="7"/>
  <c r="AN159" i="7"/>
  <c r="AM159" i="7"/>
  <c r="AL159" i="7"/>
  <c r="AK159" i="7"/>
  <c r="AJ159" i="7"/>
  <c r="AI159" i="7"/>
  <c r="AH159" i="7"/>
  <c r="AG159" i="7"/>
  <c r="AF159" i="7"/>
  <c r="AE159" i="7"/>
  <c r="AD159" i="7"/>
  <c r="AC159" i="7"/>
  <c r="AB159" i="7"/>
  <c r="AA159" i="7"/>
  <c r="Z159" i="7"/>
  <c r="Y159" i="7"/>
  <c r="X159" i="7"/>
  <c r="W159" i="7"/>
  <c r="V159" i="7"/>
  <c r="U159" i="7"/>
  <c r="T159" i="7"/>
  <c r="S159" i="7"/>
  <c r="R159" i="7"/>
  <c r="Q159" i="7"/>
  <c r="P159" i="7"/>
  <c r="O159" i="7"/>
  <c r="N159" i="7"/>
  <c r="M159" i="7"/>
  <c r="K159" i="7"/>
  <c r="J159" i="7"/>
  <c r="I159" i="7"/>
  <c r="H159" i="7"/>
  <c r="G159" i="7"/>
  <c r="F159" i="7"/>
  <c r="E159" i="7"/>
  <c r="D159" i="7"/>
  <c r="C159" i="7"/>
  <c r="B159" i="7"/>
  <c r="AQ158" i="7"/>
  <c r="AP158" i="7"/>
  <c r="AO158" i="7"/>
  <c r="AN158" i="7"/>
  <c r="AM158" i="7"/>
  <c r="AL158" i="7"/>
  <c r="AK158" i="7"/>
  <c r="AJ158" i="7"/>
  <c r="AI158" i="7"/>
  <c r="AH158" i="7"/>
  <c r="AG158" i="7"/>
  <c r="AF158" i="7"/>
  <c r="AE158" i="7"/>
  <c r="AD158" i="7"/>
  <c r="AC158"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Q157" i="7"/>
  <c r="AP157" i="7"/>
  <c r="AO157" i="7"/>
  <c r="AN157" i="7"/>
  <c r="AM157" i="7"/>
  <c r="AL157" i="7"/>
  <c r="AK157" i="7"/>
  <c r="AJ157" i="7"/>
  <c r="AI157" i="7"/>
  <c r="AH157" i="7"/>
  <c r="AG157" i="7"/>
  <c r="AF157" i="7"/>
  <c r="AE157" i="7"/>
  <c r="AD157" i="7"/>
  <c r="AC157"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S156" i="7"/>
  <c r="AR156" i="7"/>
  <c r="AQ156" i="7"/>
  <c r="AP156" i="7"/>
  <c r="AO156" i="7"/>
  <c r="AN156" i="7"/>
  <c r="AM156" i="7"/>
  <c r="AL156" i="7"/>
  <c r="AK156" i="7"/>
  <c r="AJ156" i="7"/>
  <c r="AI156" i="7"/>
  <c r="AH156" i="7"/>
  <c r="AG156" i="7"/>
  <c r="AF156" i="7"/>
  <c r="AE156" i="7"/>
  <c r="AD156" i="7"/>
  <c r="AC156" i="7"/>
  <c r="AB156" i="7"/>
  <c r="AA156" i="7"/>
  <c r="Z156" i="7"/>
  <c r="Y156" i="7"/>
  <c r="X156" i="7"/>
  <c r="W156" i="7"/>
  <c r="V156" i="7"/>
  <c r="U156" i="7"/>
  <c r="T156" i="7"/>
  <c r="S156" i="7"/>
  <c r="R156" i="7"/>
  <c r="Q156" i="7"/>
  <c r="P156" i="7"/>
  <c r="O156" i="7"/>
  <c r="N156" i="7"/>
  <c r="M156" i="7"/>
  <c r="L156" i="7"/>
  <c r="K156" i="7"/>
  <c r="J156" i="7"/>
  <c r="I156" i="7"/>
  <c r="H156" i="7"/>
  <c r="G156" i="7"/>
  <c r="F156" i="7"/>
  <c r="E156" i="7"/>
  <c r="E160" i="7" s="1"/>
  <c r="D156" i="7"/>
  <c r="C156" i="7"/>
  <c r="B156" i="7"/>
  <c r="AQ154" i="7"/>
  <c r="AP154" i="7"/>
  <c r="AO154" i="7"/>
  <c r="AN154" i="7"/>
  <c r="AM154" i="7"/>
  <c r="AL154" i="7"/>
  <c r="AK154" i="7"/>
  <c r="AJ154" i="7"/>
  <c r="AI154" i="7"/>
  <c r="AH154" i="7"/>
  <c r="AG154" i="7"/>
  <c r="AF154" i="7"/>
  <c r="AE154" i="7"/>
  <c r="AD154" i="7"/>
  <c r="AC154"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P151" i="7"/>
  <c r="AO151" i="7"/>
  <c r="AN151" i="7"/>
  <c r="AM151" i="7"/>
  <c r="AL151" i="7"/>
  <c r="AJ151" i="7"/>
  <c r="AI151" i="7"/>
  <c r="AG151" i="7"/>
  <c r="AE151" i="7"/>
  <c r="AD151" i="7"/>
  <c r="AC151" i="7"/>
  <c r="AB151" i="7"/>
  <c r="Z151" i="7"/>
  <c r="Y151" i="7"/>
  <c r="X151" i="7"/>
  <c r="W151" i="7"/>
  <c r="U151" i="7"/>
  <c r="T151" i="7"/>
  <c r="S151" i="7"/>
  <c r="R151" i="7"/>
  <c r="P151" i="7"/>
  <c r="O151" i="7"/>
  <c r="N151" i="7"/>
  <c r="M151" i="7"/>
  <c r="L151" i="7"/>
  <c r="K151" i="7"/>
  <c r="J151" i="7"/>
  <c r="I151" i="7"/>
  <c r="H151" i="7"/>
  <c r="F151" i="7"/>
  <c r="E151" i="7"/>
  <c r="D151" i="7"/>
  <c r="C151" i="7"/>
  <c r="AQ150" i="7"/>
  <c r="AP150" i="7"/>
  <c r="AO150" i="7"/>
  <c r="AN150" i="7"/>
  <c r="AM150" i="7"/>
  <c r="AL150" i="7"/>
  <c r="AK150" i="7"/>
  <c r="AJ150" i="7"/>
  <c r="AI150" i="7"/>
  <c r="AH150" i="7"/>
  <c r="AG150" i="7"/>
  <c r="AF150" i="7"/>
  <c r="AE150" i="7"/>
  <c r="AD150" i="7"/>
  <c r="AC150"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R149" i="7"/>
  <c r="AQ149" i="7"/>
  <c r="AP149" i="7"/>
  <c r="AO149" i="7"/>
  <c r="AN149" i="7"/>
  <c r="AM149" i="7"/>
  <c r="AL149" i="7"/>
  <c r="AK149" i="7"/>
  <c r="AJ149" i="7"/>
  <c r="AI149" i="7"/>
  <c r="AH149" i="7"/>
  <c r="AG149" i="7"/>
  <c r="AF149" i="7"/>
  <c r="AE149" i="7"/>
  <c r="AD149" i="7"/>
  <c r="AC149"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Q146" i="7"/>
  <c r="AP146" i="7"/>
  <c r="AO146" i="7"/>
  <c r="AN146" i="7"/>
  <c r="AM146" i="7"/>
  <c r="AL146" i="7"/>
  <c r="AK146" i="7"/>
  <c r="AJ146" i="7"/>
  <c r="AI146" i="7"/>
  <c r="AH146" i="7"/>
  <c r="AG146" i="7"/>
  <c r="AF146" i="7"/>
  <c r="AE146" i="7"/>
  <c r="AD146" i="7"/>
  <c r="AC146"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Q145" i="7"/>
  <c r="AP145" i="7"/>
  <c r="AO145" i="7"/>
  <c r="AN145" i="7"/>
  <c r="AM145" i="7"/>
  <c r="AL145" i="7"/>
  <c r="AK145" i="7"/>
  <c r="AJ145" i="7"/>
  <c r="AI145" i="7"/>
  <c r="AH145" i="7"/>
  <c r="AG145" i="7"/>
  <c r="AF145" i="7"/>
  <c r="AE145" i="7"/>
  <c r="AD145" i="7"/>
  <c r="AC145"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R144" i="7"/>
  <c r="AQ144" i="7"/>
  <c r="AP144" i="7"/>
  <c r="AO144" i="7"/>
  <c r="AM144" i="7"/>
  <c r="AL144" i="7"/>
  <c r="AK144" i="7"/>
  <c r="AJ144" i="7"/>
  <c r="AI144" i="7"/>
  <c r="AG144" i="7"/>
  <c r="AF144" i="7"/>
  <c r="AE144" i="7"/>
  <c r="AD144" i="7"/>
  <c r="AC144"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P141" i="7"/>
  <c r="AO141" i="7"/>
  <c r="AM141" i="7"/>
  <c r="AJ141" i="7"/>
  <c r="AI141" i="7"/>
  <c r="AH141" i="7"/>
  <c r="AG141" i="7"/>
  <c r="AE141" i="7"/>
  <c r="AD141" i="7"/>
  <c r="AC141" i="7"/>
  <c r="AB141" i="7"/>
  <c r="Y141" i="7"/>
  <c r="X141" i="7"/>
  <c r="W141" i="7"/>
  <c r="V141" i="7"/>
  <c r="U141" i="7"/>
  <c r="T141" i="7"/>
  <c r="S141" i="7"/>
  <c r="R141" i="7"/>
  <c r="P141" i="7"/>
  <c r="O141" i="7"/>
  <c r="N141" i="7"/>
  <c r="M141" i="7"/>
  <c r="L141" i="7"/>
  <c r="K141" i="7"/>
  <c r="J141" i="7"/>
  <c r="I141" i="7"/>
  <c r="H141" i="7"/>
  <c r="G141" i="7"/>
  <c r="F141" i="7"/>
  <c r="E141" i="7"/>
  <c r="D141" i="7"/>
  <c r="C141" i="7"/>
  <c r="B141" i="7"/>
  <c r="AQ140" i="7"/>
  <c r="AP140" i="7"/>
  <c r="AO140" i="7"/>
  <c r="AN140" i="7"/>
  <c r="AM140" i="7"/>
  <c r="AL140" i="7"/>
  <c r="AK140" i="7"/>
  <c r="AJ140" i="7"/>
  <c r="AI140" i="7"/>
  <c r="AH140" i="7"/>
  <c r="AG140" i="7"/>
  <c r="AF140" i="7"/>
  <c r="AE140" i="7"/>
  <c r="AD140" i="7"/>
  <c r="AC140"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L137" i="7"/>
  <c r="AJ137" i="7"/>
  <c r="AI137" i="7"/>
  <c r="AG137" i="7"/>
  <c r="AF137" i="7"/>
  <c r="AE137" i="7"/>
  <c r="AD137" i="7"/>
  <c r="AC137" i="7"/>
  <c r="AB137" i="7"/>
  <c r="Z137" i="7"/>
  <c r="Y137" i="7"/>
  <c r="X137" i="7"/>
  <c r="W137" i="7"/>
  <c r="U137" i="7"/>
  <c r="T137" i="7"/>
  <c r="S137" i="7"/>
  <c r="R137" i="7"/>
  <c r="Q137" i="7"/>
  <c r="P137" i="7"/>
  <c r="O137" i="7"/>
  <c r="N137" i="7"/>
  <c r="M137" i="7"/>
  <c r="L137" i="7"/>
  <c r="K137" i="7"/>
  <c r="J137" i="7"/>
  <c r="I137" i="7"/>
  <c r="H137" i="7"/>
  <c r="F137" i="7"/>
  <c r="E137" i="7"/>
  <c r="C137" i="7"/>
  <c r="B137" i="7"/>
  <c r="AQ136" i="7"/>
  <c r="AP136" i="7"/>
  <c r="AO136" i="7"/>
  <c r="AN136" i="7"/>
  <c r="AM136" i="7"/>
  <c r="AL136" i="7"/>
  <c r="AK136" i="7"/>
  <c r="AJ136" i="7"/>
  <c r="AI136" i="7"/>
  <c r="AH136" i="7"/>
  <c r="AG136" i="7"/>
  <c r="AF136" i="7"/>
  <c r="AE136" i="7"/>
  <c r="AD136" i="7"/>
  <c r="AC136" i="7"/>
  <c r="AB136" i="7"/>
  <c r="AA136" i="7"/>
  <c r="Z136" i="7"/>
  <c r="Y136" i="7"/>
  <c r="X136" i="7"/>
  <c r="W136" i="7"/>
  <c r="V136" i="7"/>
  <c r="U136" i="7"/>
  <c r="T136" i="7"/>
  <c r="S136" i="7"/>
  <c r="R136" i="7"/>
  <c r="Q136" i="7"/>
  <c r="P136" i="7"/>
  <c r="O136" i="7"/>
  <c r="N136" i="7"/>
  <c r="M136" i="7"/>
  <c r="L136" i="7"/>
  <c r="K136" i="7"/>
  <c r="J136" i="7"/>
  <c r="I136" i="7"/>
  <c r="H136" i="7"/>
  <c r="F136" i="7"/>
  <c r="E136" i="7"/>
  <c r="D136" i="7"/>
  <c r="C136" i="7"/>
  <c r="B136" i="7"/>
  <c r="AQ135" i="7"/>
  <c r="AP135" i="7"/>
  <c r="AO135" i="7"/>
  <c r="AN135" i="7"/>
  <c r="AM135" i="7"/>
  <c r="AL135" i="7"/>
  <c r="AK135" i="7"/>
  <c r="AJ135" i="7"/>
  <c r="AI135" i="7"/>
  <c r="AH135" i="7"/>
  <c r="AG135" i="7"/>
  <c r="AF135" i="7"/>
  <c r="AE135" i="7"/>
  <c r="AD135" i="7"/>
  <c r="AC135" i="7"/>
  <c r="AB135" i="7"/>
  <c r="AA135" i="7"/>
  <c r="Z135" i="7"/>
  <c r="Y135" i="7"/>
  <c r="X135" i="7"/>
  <c r="W135" i="7"/>
  <c r="V135" i="7"/>
  <c r="U135" i="7"/>
  <c r="T135" i="7"/>
  <c r="S135" i="7"/>
  <c r="R135" i="7"/>
  <c r="P135" i="7"/>
  <c r="O135" i="7"/>
  <c r="N135" i="7"/>
  <c r="M135" i="7"/>
  <c r="L135" i="7"/>
  <c r="K135" i="7"/>
  <c r="J135" i="7"/>
  <c r="I135" i="7"/>
  <c r="H135" i="7"/>
  <c r="G135" i="7"/>
  <c r="F135" i="7"/>
  <c r="E135" i="7"/>
  <c r="D135" i="7"/>
  <c r="C135" i="7"/>
  <c r="B135" i="7"/>
  <c r="AQ134" i="7"/>
  <c r="AP134" i="7"/>
  <c r="AO134" i="7"/>
  <c r="AN134" i="7"/>
  <c r="AM134" i="7"/>
  <c r="AL134" i="7"/>
  <c r="AJ134" i="7"/>
  <c r="AJ138" i="7" s="1"/>
  <c r="AJ142" i="7" s="1"/>
  <c r="AI134" i="7"/>
  <c r="AH134" i="7"/>
  <c r="AG134" i="7"/>
  <c r="AF134" i="7"/>
  <c r="AE134" i="7"/>
  <c r="AD134" i="7"/>
  <c r="AC134" i="7"/>
  <c r="AB134" i="7"/>
  <c r="AA134" i="7"/>
  <c r="Z134" i="7"/>
  <c r="Y134" i="7"/>
  <c r="X134" i="7"/>
  <c r="W134" i="7"/>
  <c r="V134" i="7"/>
  <c r="U134" i="7"/>
  <c r="T134" i="7"/>
  <c r="T138" i="7" s="1"/>
  <c r="S134" i="7"/>
  <c r="R134" i="7"/>
  <c r="Q134" i="7"/>
  <c r="P134" i="7"/>
  <c r="O134" i="7"/>
  <c r="N134" i="7"/>
  <c r="M134" i="7"/>
  <c r="L134" i="7"/>
  <c r="L138" i="7" s="1"/>
  <c r="K134" i="7"/>
  <c r="J134" i="7"/>
  <c r="I134" i="7"/>
  <c r="H134" i="7"/>
  <c r="G134" i="7"/>
  <c r="F134" i="7"/>
  <c r="E134" i="7"/>
  <c r="D134" i="7"/>
  <c r="C134" i="7"/>
  <c r="B134" i="7"/>
  <c r="A126" i="7"/>
  <c r="AN127" i="7"/>
  <c r="AJ127" i="7"/>
  <c r="AI127" i="7"/>
  <c r="AE127" i="7"/>
  <c r="W127" i="7"/>
  <c r="M127" i="7"/>
  <c r="K127" i="7"/>
  <c r="I127" i="7"/>
  <c r="C127" i="7"/>
  <c r="BE126" i="7"/>
  <c r="BE125" i="7"/>
  <c r="AZ125" i="7"/>
  <c r="AY125" i="7"/>
  <c r="AX125" i="7"/>
  <c r="AW125" i="7"/>
  <c r="AV125" i="7"/>
  <c r="AU125" i="7"/>
  <c r="AT125" i="7"/>
  <c r="AS125" i="7"/>
  <c r="AR125" i="7"/>
  <c r="AQ125" i="7"/>
  <c r="AP125" i="7"/>
  <c r="AO125" i="7"/>
  <c r="AN125" i="7"/>
  <c r="AM125" i="7"/>
  <c r="AL125" i="7"/>
  <c r="AI125" i="7"/>
  <c r="AH125" i="7"/>
  <c r="AD125" i="7"/>
  <c r="AC125" i="7"/>
  <c r="Z125" i="7"/>
  <c r="V125" i="7"/>
  <c r="S125" i="7"/>
  <c r="R125" i="7"/>
  <c r="N125" i="7"/>
  <c r="J125" i="7"/>
  <c r="F125" i="7"/>
  <c r="E125" i="7"/>
  <c r="D125" i="7"/>
  <c r="B125" i="7"/>
  <c r="Q123" i="7"/>
  <c r="I123" i="7"/>
  <c r="E123" i="7"/>
  <c r="B123" i="7"/>
  <c r="AP124" i="7"/>
  <c r="AK124" i="7"/>
  <c r="AI124" i="7"/>
  <c r="AG124" i="7"/>
  <c r="AF124" i="7"/>
  <c r="AB124" i="7"/>
  <c r="AA124" i="7"/>
  <c r="Y124" i="7"/>
  <c r="W124" i="7"/>
  <c r="V124" i="7"/>
  <c r="S124" i="7"/>
  <c r="AK123" i="7"/>
  <c r="AG123" i="7"/>
  <c r="AC123" i="7"/>
  <c r="Y123" i="7"/>
  <c r="X123" i="7"/>
  <c r="U123" i="7"/>
  <c r="AD122" i="7"/>
  <c r="AL121" i="7"/>
  <c r="AI121" i="7"/>
  <c r="AG121" i="7"/>
  <c r="AD121" i="7"/>
  <c r="AB121" i="7"/>
  <c r="Y121" i="7"/>
  <c r="V121" i="7"/>
  <c r="T121" i="7"/>
  <c r="Q121" i="7"/>
  <c r="N121" i="7"/>
  <c r="L121" i="7"/>
  <c r="F121" i="7"/>
  <c r="E121" i="7"/>
  <c r="C121" i="7"/>
  <c r="B121" i="7"/>
  <c r="C109" i="7"/>
  <c r="F107" i="7"/>
  <c r="K105" i="7"/>
  <c r="C105" i="7"/>
  <c r="A97" i="7"/>
  <c r="A95" i="7"/>
  <c r="AH102" i="7"/>
  <c r="AA102" i="7"/>
  <c r="Z102" i="7"/>
  <c r="Y102" i="7"/>
  <c r="X102" i="7"/>
  <c r="W102" i="7"/>
  <c r="V102" i="7"/>
  <c r="U102" i="7"/>
  <c r="T102" i="7"/>
  <c r="S102" i="7"/>
  <c r="R102" i="7"/>
  <c r="Q102" i="7"/>
  <c r="P102" i="7"/>
  <c r="O102" i="7"/>
  <c r="N102" i="7"/>
  <c r="M102" i="7"/>
  <c r="L102" i="7"/>
  <c r="K102" i="7"/>
  <c r="J102" i="7"/>
  <c r="I102" i="7"/>
  <c r="H102" i="7"/>
  <c r="G102" i="7"/>
  <c r="F102" i="7"/>
  <c r="E102" i="7"/>
  <c r="D102" i="7"/>
  <c r="C102" i="7"/>
  <c r="B102" i="7"/>
  <c r="AO100" i="7"/>
  <c r="D100" i="7"/>
  <c r="BE98" i="7"/>
  <c r="AZ98" i="7"/>
  <c r="AY98" i="7"/>
  <c r="AX98" i="7"/>
  <c r="AW98" i="7"/>
  <c r="AV98" i="7"/>
  <c r="AU98" i="7"/>
  <c r="AT98" i="7"/>
  <c r="AS98" i="7"/>
  <c r="AR98" i="7"/>
  <c r="AQ98" i="7"/>
  <c r="AP98" i="7"/>
  <c r="AO98" i="7"/>
  <c r="AN98" i="7"/>
  <c r="AM98" i="7"/>
  <c r="AL98" i="7"/>
  <c r="AK98" i="7"/>
  <c r="AH98" i="7"/>
  <c r="AG98" i="7"/>
  <c r="AF98" i="7"/>
  <c r="AE98" i="7"/>
  <c r="AD98" i="7"/>
  <c r="AC98" i="7"/>
  <c r="Z98" i="7"/>
  <c r="Y98" i="7"/>
  <c r="X98" i="7"/>
  <c r="V98" i="7"/>
  <c r="U98" i="7"/>
  <c r="R98" i="7"/>
  <c r="P98" i="7"/>
  <c r="O98" i="7"/>
  <c r="N98" i="7"/>
  <c r="M98" i="7"/>
  <c r="L98" i="7"/>
  <c r="I98" i="7"/>
  <c r="H98" i="7"/>
  <c r="G98" i="7"/>
  <c r="E98" i="7"/>
  <c r="D98" i="7"/>
  <c r="AQ97" i="7"/>
  <c r="AO97" i="7"/>
  <c r="AN97" i="7"/>
  <c r="AM97" i="7"/>
  <c r="AJ97" i="7"/>
  <c r="AI97" i="7"/>
  <c r="AH97" i="7"/>
  <c r="AE97" i="7"/>
  <c r="AD97" i="7"/>
  <c r="Z97" i="7"/>
  <c r="Y97" i="7"/>
  <c r="X97" i="7"/>
  <c r="U97" i="7"/>
  <c r="S97" i="7"/>
  <c r="R97" i="7"/>
  <c r="Q97" i="7"/>
  <c r="P97" i="7"/>
  <c r="O97" i="7"/>
  <c r="N97" i="7"/>
  <c r="M97" i="7"/>
  <c r="L97" i="7"/>
  <c r="K97" i="7"/>
  <c r="J97" i="7"/>
  <c r="I97" i="7"/>
  <c r="H97" i="7"/>
  <c r="G97" i="7"/>
  <c r="F97" i="7"/>
  <c r="E97" i="7"/>
  <c r="D97" i="7"/>
  <c r="C97" i="7"/>
  <c r="B97" i="7"/>
  <c r="AO96" i="7"/>
  <c r="AN96" i="7"/>
  <c r="AJ96" i="7"/>
  <c r="AI96" i="7"/>
  <c r="AG96" i="7"/>
  <c r="AD96" i="7"/>
  <c r="AC96" i="7"/>
  <c r="Y96" i="7"/>
  <c r="X96" i="7"/>
  <c r="W96" i="7"/>
  <c r="S96" i="7"/>
  <c r="N96" i="7"/>
  <c r="M96" i="7"/>
  <c r="I96" i="7"/>
  <c r="F96" i="7"/>
  <c r="D96" i="7"/>
  <c r="Q95" i="7"/>
  <c r="P95" i="7"/>
  <c r="O95" i="7"/>
  <c r="N95" i="7"/>
  <c r="M95" i="7"/>
  <c r="L95" i="7"/>
  <c r="K95" i="7"/>
  <c r="J95" i="7"/>
  <c r="I95" i="7"/>
  <c r="H95" i="7"/>
  <c r="G95" i="7"/>
  <c r="F95" i="7"/>
  <c r="E95" i="7"/>
  <c r="D95" i="7"/>
  <c r="C95" i="7"/>
  <c r="B95" i="7"/>
  <c r="AO94" i="7"/>
  <c r="AN94" i="7"/>
  <c r="AM94" i="7"/>
  <c r="AI94" i="7"/>
  <c r="AD94" i="7"/>
  <c r="AC94" i="7"/>
  <c r="AA94" i="7"/>
  <c r="Z94" i="7"/>
  <c r="X94" i="7"/>
  <c r="U94" i="7"/>
  <c r="T94" i="7"/>
  <c r="P94" i="7"/>
  <c r="N94" i="7"/>
  <c r="K94" i="7"/>
  <c r="J94" i="7"/>
  <c r="H94" i="7"/>
  <c r="F94" i="7"/>
  <c r="D94" i="7"/>
  <c r="A91" i="7"/>
  <c r="AF90" i="7"/>
  <c r="X90" i="7"/>
  <c r="T90" i="7"/>
  <c r="P90" i="7"/>
  <c r="L90" i="7"/>
  <c r="H90" i="7"/>
  <c r="G90" i="7"/>
  <c r="F90" i="7"/>
  <c r="R88" i="7"/>
  <c r="Y89" i="7"/>
  <c r="AJ88" i="7"/>
  <c r="X88" i="7"/>
  <c r="W88" i="7"/>
  <c r="AH86" i="7"/>
  <c r="Z86" i="7"/>
  <c r="Y86" i="7"/>
  <c r="X86" i="7"/>
  <c r="D86" i="7"/>
  <c r="A81" i="7"/>
  <c r="A89" i="7" s="1"/>
  <c r="A79" i="7"/>
  <c r="A87" i="7" s="1"/>
  <c r="BE82" i="7"/>
  <c r="AZ82" i="7"/>
  <c r="AY82" i="7"/>
  <c r="AX82" i="7"/>
  <c r="AW82" i="7"/>
  <c r="AV82" i="7"/>
  <c r="AU82" i="7"/>
  <c r="AT82" i="7"/>
  <c r="AS82" i="7"/>
  <c r="AR82" i="7"/>
  <c r="AQ82" i="7"/>
  <c r="AP82" i="7"/>
  <c r="AO82" i="7"/>
  <c r="AN82" i="7"/>
  <c r="AM82" i="7"/>
  <c r="AL82" i="7"/>
  <c r="AJ82" i="7"/>
  <c r="AI82" i="7"/>
  <c r="AH82" i="7"/>
  <c r="AG82" i="7"/>
  <c r="AF82" i="7"/>
  <c r="AB82" i="7"/>
  <c r="AA82" i="7"/>
  <c r="Z82" i="7"/>
  <c r="Y82" i="7"/>
  <c r="X82" i="7"/>
  <c r="T82" i="7"/>
  <c r="S82" i="7"/>
  <c r="R82" i="7"/>
  <c r="Q82" i="7"/>
  <c r="P82" i="7"/>
  <c r="L82" i="7"/>
  <c r="K82" i="7"/>
  <c r="J82" i="7"/>
  <c r="I82" i="7"/>
  <c r="H82" i="7"/>
  <c r="D82" i="7"/>
  <c r="C82" i="7"/>
  <c r="B82" i="7"/>
  <c r="AL81" i="7"/>
  <c r="AI81" i="7"/>
  <c r="AB81" i="7"/>
  <c r="Y81" i="7"/>
  <c r="T81" i="7"/>
  <c r="R81" i="7"/>
  <c r="Q81" i="7"/>
  <c r="P81" i="7"/>
  <c r="O81" i="7"/>
  <c r="N81" i="7"/>
  <c r="M81" i="7"/>
  <c r="L81" i="7"/>
  <c r="K81" i="7"/>
  <c r="J81" i="7"/>
  <c r="I81" i="7"/>
  <c r="H81" i="7"/>
  <c r="G81" i="7"/>
  <c r="F81" i="7"/>
  <c r="E81" i="7"/>
  <c r="D81" i="7"/>
  <c r="C81" i="7"/>
  <c r="B81" i="7"/>
  <c r="AL80" i="7"/>
  <c r="AJ80" i="7"/>
  <c r="AD80" i="7"/>
  <c r="AC80" i="7"/>
  <c r="Y80" i="7"/>
  <c r="X80" i="7"/>
  <c r="W80" i="7"/>
  <c r="S80" i="7"/>
  <c r="H80" i="7"/>
  <c r="D80" i="7"/>
  <c r="Q79" i="7"/>
  <c r="P79" i="7"/>
  <c r="O79" i="7"/>
  <c r="N79" i="7"/>
  <c r="M79" i="7"/>
  <c r="L79" i="7"/>
  <c r="K79" i="7"/>
  <c r="J79" i="7"/>
  <c r="I79" i="7"/>
  <c r="H79" i="7"/>
  <c r="G79" i="7"/>
  <c r="F79" i="7"/>
  <c r="E79" i="7"/>
  <c r="D79" i="7"/>
  <c r="C79" i="7"/>
  <c r="B79" i="7"/>
  <c r="AO78" i="7"/>
  <c r="AN78" i="7"/>
  <c r="AM78" i="7"/>
  <c r="AH78" i="7"/>
  <c r="AE78" i="7"/>
  <c r="AD78" i="7"/>
  <c r="AC78" i="7"/>
  <c r="X78" i="7"/>
  <c r="W78" i="7"/>
  <c r="U78" i="7"/>
  <c r="T78" i="7"/>
  <c r="S78" i="7"/>
  <c r="G78" i="7"/>
  <c r="D78" i="7"/>
  <c r="AK75" i="7"/>
  <c r="AJ75" i="7"/>
  <c r="AI75" i="7"/>
  <c r="AH75" i="7"/>
  <c r="AG75" i="7"/>
  <c r="AF75" i="7"/>
  <c r="AB75" i="7"/>
  <c r="AA75" i="7"/>
  <c r="Z75" i="7"/>
  <c r="Y75" i="7"/>
  <c r="X75" i="7"/>
  <c r="W75" i="7"/>
  <c r="V75" i="7"/>
  <c r="T75" i="7"/>
  <c r="S75" i="7"/>
  <c r="R75" i="7"/>
  <c r="Q75" i="7"/>
  <c r="P75" i="7"/>
  <c r="M75" i="7"/>
  <c r="L75" i="7"/>
  <c r="K75" i="7"/>
  <c r="J75" i="7"/>
  <c r="I75" i="7"/>
  <c r="H75" i="7"/>
  <c r="C75" i="7"/>
  <c r="B75" i="7"/>
  <c r="P73" i="7"/>
  <c r="O73" i="7"/>
  <c r="I73" i="7"/>
  <c r="H73" i="7"/>
  <c r="G73" i="7"/>
  <c r="AQ74" i="7"/>
  <c r="AO74" i="7"/>
  <c r="AN74" i="7"/>
  <c r="AM74" i="7"/>
  <c r="AL74" i="7"/>
  <c r="AK74" i="7"/>
  <c r="AJ74" i="7"/>
  <c r="AI74" i="7"/>
  <c r="AG74" i="7"/>
  <c r="AF74" i="7"/>
  <c r="AE74" i="7"/>
  <c r="AD74" i="7"/>
  <c r="AC74" i="7"/>
  <c r="AB74" i="7"/>
  <c r="AA74" i="7"/>
  <c r="Y74" i="7"/>
  <c r="X74" i="7"/>
  <c r="W74" i="7"/>
  <c r="AQ73" i="7"/>
  <c r="AN73" i="7"/>
  <c r="AM73" i="7"/>
  <c r="AJ73" i="7"/>
  <c r="AI73" i="7"/>
  <c r="AF73" i="7"/>
  <c r="AE73" i="7"/>
  <c r="AB73" i="7"/>
  <c r="AA73" i="7"/>
  <c r="X73" i="7"/>
  <c r="W73" i="7"/>
  <c r="AO71" i="7"/>
  <c r="AL71" i="7"/>
  <c r="AI71" i="7"/>
  <c r="AD71" i="7"/>
  <c r="AB71" i="7"/>
  <c r="AA71" i="7"/>
  <c r="V71" i="7"/>
  <c r="U71" i="7"/>
  <c r="S71" i="7"/>
  <c r="P71" i="7"/>
  <c r="N71" i="7"/>
  <c r="K71" i="7"/>
  <c r="I71" i="7"/>
  <c r="F71" i="7"/>
  <c r="C71" i="7"/>
  <c r="A68" i="7"/>
  <c r="A67" i="7"/>
  <c r="A75" i="7" s="1"/>
  <c r="A98" i="7" s="1"/>
  <c r="AQ68" i="7"/>
  <c r="AO68" i="7"/>
  <c r="AN68" i="7"/>
  <c r="AM68" i="7"/>
  <c r="AL68" i="7"/>
  <c r="AK68" i="7"/>
  <c r="AJ68" i="7"/>
  <c r="AI68" i="7"/>
  <c r="AH68" i="7"/>
  <c r="AG68" i="7"/>
  <c r="AF68" i="7"/>
  <c r="AE68" i="7"/>
  <c r="AD68" i="7"/>
  <c r="AC68" i="7"/>
  <c r="AB68" i="7"/>
  <c r="AA68" i="7"/>
  <c r="Z68" i="7"/>
  <c r="Y68" i="7"/>
  <c r="X68" i="7"/>
  <c r="W68" i="7"/>
  <c r="V68" i="7"/>
  <c r="U68" i="7"/>
  <c r="T68" i="7"/>
  <c r="S68" i="7"/>
  <c r="R68" i="7"/>
  <c r="Q68" i="7"/>
  <c r="P68" i="7"/>
  <c r="O68" i="7"/>
  <c r="N68" i="7"/>
  <c r="M68" i="7"/>
  <c r="L68" i="7"/>
  <c r="K68" i="7"/>
  <c r="J68" i="7"/>
  <c r="I68" i="7"/>
  <c r="H68" i="7"/>
  <c r="G68" i="7"/>
  <c r="F68" i="7"/>
  <c r="E68" i="7"/>
  <c r="D68" i="7"/>
  <c r="C68" i="7"/>
  <c r="B68" i="7"/>
  <c r="BE67" i="7"/>
  <c r="AZ67" i="7"/>
  <c r="AY67" i="7"/>
  <c r="AX67" i="7"/>
  <c r="AW67" i="7"/>
  <c r="AV67" i="7"/>
  <c r="AU67" i="7"/>
  <c r="AT67" i="7"/>
  <c r="AS67" i="7"/>
  <c r="AR67" i="7"/>
  <c r="AQ67" i="7"/>
  <c r="AP67" i="7"/>
  <c r="AO67" i="7"/>
  <c r="AN67" i="7"/>
  <c r="AM67" i="7"/>
  <c r="AL67" i="7"/>
  <c r="AK67" i="7"/>
  <c r="AJ67" i="7"/>
  <c r="AI67" i="7"/>
  <c r="AH67" i="7"/>
  <c r="AG67" i="7"/>
  <c r="AF67" i="7"/>
  <c r="AE67" i="7"/>
  <c r="AD67" i="7"/>
  <c r="AC67" i="7"/>
  <c r="AB67" i="7"/>
  <c r="AA67" i="7"/>
  <c r="Z67" i="7"/>
  <c r="Y67" i="7"/>
  <c r="X67" i="7"/>
  <c r="W67" i="7"/>
  <c r="V67" i="7"/>
  <c r="U67" i="7"/>
  <c r="T67" i="7"/>
  <c r="R67" i="7"/>
  <c r="Q67" i="7"/>
  <c r="P67" i="7"/>
  <c r="P117" i="7" s="1"/>
  <c r="O67" i="7"/>
  <c r="N67" i="7"/>
  <c r="M67" i="7"/>
  <c r="L67" i="7"/>
  <c r="K67" i="7"/>
  <c r="J67" i="7"/>
  <c r="I67" i="7"/>
  <c r="H67" i="7"/>
  <c r="G67" i="7"/>
  <c r="F67" i="7"/>
  <c r="E67" i="7"/>
  <c r="D67" i="7"/>
  <c r="C67" i="7"/>
  <c r="B67" i="7"/>
  <c r="P65" i="7"/>
  <c r="O65" i="7"/>
  <c r="K65" i="7"/>
  <c r="J65" i="7"/>
  <c r="H65" i="7"/>
  <c r="G65" i="7"/>
  <c r="C65" i="7"/>
  <c r="B65" i="7"/>
  <c r="A65" i="7"/>
  <c r="A73" i="7" s="1"/>
  <c r="Q64" i="7"/>
  <c r="P64" i="7"/>
  <c r="O64" i="7"/>
  <c r="N64" i="7"/>
  <c r="M64" i="7"/>
  <c r="L64" i="7"/>
  <c r="K64" i="7"/>
  <c r="J64" i="7"/>
  <c r="I64" i="7"/>
  <c r="H64" i="7"/>
  <c r="G64" i="7"/>
  <c r="F64" i="7"/>
  <c r="E64" i="7"/>
  <c r="D64" i="7"/>
  <c r="C64" i="7"/>
  <c r="B64" i="7"/>
  <c r="A64" i="7"/>
  <c r="Q63" i="7"/>
  <c r="P63" i="7"/>
  <c r="O63" i="7"/>
  <c r="N63" i="7"/>
  <c r="M63" i="7"/>
  <c r="L63" i="7"/>
  <c r="K63" i="7"/>
  <c r="J63" i="7"/>
  <c r="I63" i="7"/>
  <c r="H63" i="7"/>
  <c r="G63" i="7"/>
  <c r="F63" i="7"/>
  <c r="E63" i="7"/>
  <c r="D63" i="7"/>
  <c r="C63" i="7"/>
  <c r="B63" i="7"/>
  <c r="A63" i="7"/>
  <c r="AQ66" i="7"/>
  <c r="AP66" i="7"/>
  <c r="AO66" i="7"/>
  <c r="AN66" i="7"/>
  <c r="AM66" i="7"/>
  <c r="AL66" i="7"/>
  <c r="AK66" i="7"/>
  <c r="AJ66" i="7"/>
  <c r="AI66" i="7"/>
  <c r="AH66" i="7"/>
  <c r="AG66" i="7"/>
  <c r="AF66" i="7"/>
  <c r="AE66" i="7"/>
  <c r="AD66" i="7"/>
  <c r="AC66" i="7"/>
  <c r="AB66" i="7"/>
  <c r="AA66" i="7"/>
  <c r="Z66" i="7"/>
  <c r="Y66" i="7"/>
  <c r="X66" i="7"/>
  <c r="W66" i="7"/>
  <c r="V66" i="7"/>
  <c r="U66" i="7"/>
  <c r="T66" i="7"/>
  <c r="S66" i="7"/>
  <c r="R66" i="7"/>
  <c r="AQ65" i="7"/>
  <c r="AP65" i="7"/>
  <c r="AN65" i="7"/>
  <c r="AM65" i="7"/>
  <c r="AL65" i="7"/>
  <c r="AJ65" i="7"/>
  <c r="AI65" i="7"/>
  <c r="AH65" i="7"/>
  <c r="AF65" i="7"/>
  <c r="AE65" i="7"/>
  <c r="AD65" i="7"/>
  <c r="AB65" i="7"/>
  <c r="AA65" i="7"/>
  <c r="Z65" i="7"/>
  <c r="X65" i="7"/>
  <c r="W65" i="7"/>
  <c r="V65" i="7"/>
  <c r="T65" i="7"/>
  <c r="S65" i="7"/>
  <c r="R65" i="7"/>
  <c r="BE64" i="7"/>
  <c r="AZ64" i="7"/>
  <c r="AY64" i="7"/>
  <c r="AX64" i="7"/>
  <c r="AW64" i="7"/>
  <c r="AV64" i="7"/>
  <c r="AU64" i="7"/>
  <c r="AT64" i="7"/>
  <c r="AS64" i="7"/>
  <c r="AR64" i="7"/>
  <c r="AQ64" i="7"/>
  <c r="AP64" i="7"/>
  <c r="AO64" i="7"/>
  <c r="AN64" i="7"/>
  <c r="AM64" i="7"/>
  <c r="AL64" i="7"/>
  <c r="AK64" i="7"/>
  <c r="AJ64" i="7"/>
  <c r="AI64" i="7"/>
  <c r="AH64" i="7"/>
  <c r="AG64" i="7"/>
  <c r="AF64" i="7"/>
  <c r="AE64" i="7"/>
  <c r="AD64" i="7"/>
  <c r="AC64" i="7"/>
  <c r="AB64" i="7"/>
  <c r="AA64" i="7"/>
  <c r="Z64" i="7"/>
  <c r="Y64" i="7"/>
  <c r="X64" i="7"/>
  <c r="W64" i="7"/>
  <c r="V64" i="7"/>
  <c r="U64" i="7"/>
  <c r="T64" i="7"/>
  <c r="S64" i="7"/>
  <c r="R64" i="7"/>
  <c r="BE63" i="7"/>
  <c r="AZ63" i="7"/>
  <c r="AY63" i="7"/>
  <c r="AX63" i="7"/>
  <c r="AW63" i="7"/>
  <c r="AV63" i="7"/>
  <c r="AU63" i="7"/>
  <c r="AT63" i="7"/>
  <c r="AS63" i="7"/>
  <c r="AR63" i="7"/>
  <c r="AQ63" i="7"/>
  <c r="AP63" i="7"/>
  <c r="AO63" i="7"/>
  <c r="AN63" i="7"/>
  <c r="AM63" i="7"/>
  <c r="AL63" i="7"/>
  <c r="AK63" i="7"/>
  <c r="AJ63" i="7"/>
  <c r="AI63" i="7"/>
  <c r="AH63" i="7"/>
  <c r="AG63" i="7"/>
  <c r="AF63" i="7"/>
  <c r="AE63" i="7"/>
  <c r="AD63" i="7"/>
  <c r="AC63" i="7"/>
  <c r="AB63" i="7"/>
  <c r="AA63" i="7"/>
  <c r="Z63" i="7"/>
  <c r="Y63" i="7"/>
  <c r="X63" i="7"/>
  <c r="W63" i="7"/>
  <c r="V63" i="7"/>
  <c r="U63" i="7"/>
  <c r="T63" i="7"/>
  <c r="S63" i="7"/>
  <c r="R63" i="7"/>
  <c r="AF62" i="7"/>
  <c r="R62" i="7"/>
  <c r="AO61" i="7"/>
  <c r="AM61" i="7"/>
  <c r="AL61" i="7"/>
  <c r="AK61" i="7"/>
  <c r="AI61" i="7"/>
  <c r="AG61" i="7"/>
  <c r="AE61" i="7"/>
  <c r="AD61" i="7"/>
  <c r="AC61" i="7"/>
  <c r="AA61" i="7"/>
  <c r="Y61" i="7"/>
  <c r="W61" i="7"/>
  <c r="V61" i="7"/>
  <c r="U61" i="7"/>
  <c r="S61" i="7"/>
  <c r="Q61" i="7"/>
  <c r="O61" i="7"/>
  <c r="N61" i="7"/>
  <c r="M61" i="7"/>
  <c r="K61" i="7"/>
  <c r="I61" i="7"/>
  <c r="G61" i="7"/>
  <c r="F61" i="7"/>
  <c r="E61" i="7"/>
  <c r="D61" i="7"/>
  <c r="C61" i="7"/>
  <c r="A61" i="7"/>
  <c r="A71" i="7" s="1"/>
  <c r="A78" i="7" s="1"/>
  <c r="A86" i="7" s="1"/>
  <c r="A94" i="7" s="1"/>
  <c r="BE59" i="7"/>
  <c r="BE132" i="7" s="1"/>
  <c r="BE166" i="7" s="1"/>
  <c r="AZ59" i="7"/>
  <c r="AZ132" i="7" s="1"/>
  <c r="AZ166" i="7" s="1"/>
  <c r="AY59" i="7"/>
  <c r="AY132" i="7" s="1"/>
  <c r="AY166" i="7" s="1"/>
  <c r="AX59" i="7"/>
  <c r="AX132" i="7" s="1"/>
  <c r="AX166" i="7" s="1"/>
  <c r="AW59" i="7"/>
  <c r="AW132" i="7" s="1"/>
  <c r="AW166" i="7" s="1"/>
  <c r="AV59" i="7"/>
  <c r="AV132" i="7" s="1"/>
  <c r="AV166" i="7" s="1"/>
  <c r="AU59" i="7"/>
  <c r="AU132" i="7" s="1"/>
  <c r="AU166" i="7" s="1"/>
  <c r="AT59" i="7"/>
  <c r="AT132" i="7" s="1"/>
  <c r="AT166" i="7" s="1"/>
  <c r="AS59" i="7"/>
  <c r="AS132" i="7" s="1"/>
  <c r="AS166" i="7" s="1"/>
  <c r="AR59" i="7"/>
  <c r="AR132" i="7" s="1"/>
  <c r="AR166" i="7" s="1"/>
  <c r="AQ59" i="7"/>
  <c r="AQ132" i="7" s="1"/>
  <c r="AQ166" i="7" s="1"/>
  <c r="AP59" i="7"/>
  <c r="AP132" i="7" s="1"/>
  <c r="AP166" i="7" s="1"/>
  <c r="AO59" i="7"/>
  <c r="AO132" i="7" s="1"/>
  <c r="AO166" i="7" s="1"/>
  <c r="AN59" i="7"/>
  <c r="AN132" i="7" s="1"/>
  <c r="AN166" i="7" s="1"/>
  <c r="AM59" i="7"/>
  <c r="AM132" i="7" s="1"/>
  <c r="AM166" i="7" s="1"/>
  <c r="AL59" i="7"/>
  <c r="AL132" i="7" s="1"/>
  <c r="AL166" i="7" s="1"/>
  <c r="AK59" i="7"/>
  <c r="AK132" i="7" s="1"/>
  <c r="AK166" i="7" s="1"/>
  <c r="AJ59" i="7"/>
  <c r="AJ132" i="7" s="1"/>
  <c r="AJ166" i="7" s="1"/>
  <c r="AI59" i="7"/>
  <c r="AI132" i="7" s="1"/>
  <c r="AI166" i="7" s="1"/>
  <c r="AH59" i="7"/>
  <c r="AH132" i="7" s="1"/>
  <c r="AH166" i="7" s="1"/>
  <c r="AG59" i="7"/>
  <c r="AG132" i="7" s="1"/>
  <c r="AG166" i="7" s="1"/>
  <c r="AF59" i="7"/>
  <c r="AF132" i="7" s="1"/>
  <c r="AF166" i="7" s="1"/>
  <c r="AE59" i="7"/>
  <c r="AE132" i="7" s="1"/>
  <c r="AE166" i="7" s="1"/>
  <c r="AD59" i="7"/>
  <c r="AD132" i="7" s="1"/>
  <c r="AD166" i="7" s="1"/>
  <c r="AQ49" i="7"/>
  <c r="AP49" i="7"/>
  <c r="AO49" i="7"/>
  <c r="AN49" i="7"/>
  <c r="AM49" i="7"/>
  <c r="AL49" i="7"/>
  <c r="AK49" i="7"/>
  <c r="AJ49" i="7"/>
  <c r="AI49" i="7"/>
  <c r="AH49" i="7"/>
  <c r="AG49" i="7"/>
  <c r="AF49" i="7"/>
  <c r="AE49" i="7"/>
  <c r="AD49" i="7"/>
  <c r="AC49" i="7"/>
  <c r="AB49" i="7"/>
  <c r="AA49" i="7"/>
  <c r="Z49" i="7"/>
  <c r="Y49" i="7"/>
  <c r="X49" i="7"/>
  <c r="W49" i="7"/>
  <c r="V49" i="7"/>
  <c r="U49" i="7"/>
  <c r="T49" i="7"/>
  <c r="S49" i="7"/>
  <c r="R49" i="7"/>
  <c r="Q49" i="7"/>
  <c r="P49" i="7"/>
  <c r="O49" i="7"/>
  <c r="N49" i="7"/>
  <c r="M49" i="7"/>
  <c r="L49" i="7"/>
  <c r="K49" i="7"/>
  <c r="J49" i="7"/>
  <c r="I49" i="7"/>
  <c r="H49" i="7"/>
  <c r="G49" i="7"/>
  <c r="F49" i="7"/>
  <c r="E49" i="7"/>
  <c r="D49" i="7"/>
  <c r="C49" i="7"/>
  <c r="B49" i="7"/>
  <c r="AQ45" i="7"/>
  <c r="AP45" i="7"/>
  <c r="AO45" i="7"/>
  <c r="AN45" i="7"/>
  <c r="AM45" i="7"/>
  <c r="AL45" i="7"/>
  <c r="AK45" i="7"/>
  <c r="AJ45" i="7"/>
  <c r="AI45" i="7"/>
  <c r="AH45" i="7"/>
  <c r="AG45" i="7"/>
  <c r="AF45" i="7"/>
  <c r="AE45" i="7"/>
  <c r="AD45" i="7"/>
  <c r="AC45" i="7"/>
  <c r="AB45" i="7"/>
  <c r="AA45" i="7"/>
  <c r="Z45" i="7"/>
  <c r="Y45" i="7"/>
  <c r="X45" i="7"/>
  <c r="W45" i="7"/>
  <c r="V45" i="7"/>
  <c r="U45" i="7"/>
  <c r="T45" i="7"/>
  <c r="S45" i="7"/>
  <c r="R45" i="7"/>
  <c r="Q45" i="7"/>
  <c r="P45" i="7"/>
  <c r="O45" i="7"/>
  <c r="N45" i="7"/>
  <c r="M45" i="7"/>
  <c r="L45" i="7"/>
  <c r="K45" i="7"/>
  <c r="J45" i="7"/>
  <c r="I45" i="7"/>
  <c r="H45" i="7"/>
  <c r="G45" i="7"/>
  <c r="F45" i="7"/>
  <c r="E45" i="7"/>
  <c r="D45" i="7"/>
  <c r="C45" i="7"/>
  <c r="B45" i="7"/>
  <c r="AQ42" i="7"/>
  <c r="AO42" i="7"/>
  <c r="AN42" i="7"/>
  <c r="AK42" i="7"/>
  <c r="AJ42" i="7"/>
  <c r="AI42" i="7"/>
  <c r="AH42" i="7"/>
  <c r="AG42" i="7"/>
  <c r="AF42" i="7"/>
  <c r="AE42" i="7"/>
  <c r="AD42" i="7"/>
  <c r="AC42" i="7"/>
  <c r="AB42" i="7"/>
  <c r="Z42" i="7"/>
  <c r="Y42" i="7"/>
  <c r="X42" i="7"/>
  <c r="W42" i="7"/>
  <c r="V42" i="7"/>
  <c r="U42" i="7"/>
  <c r="T42" i="7"/>
  <c r="S42" i="7"/>
  <c r="R42" i="7"/>
  <c r="Q42" i="7"/>
  <c r="P42" i="7"/>
  <c r="O42" i="7"/>
  <c r="N42" i="7"/>
  <c r="M42" i="7"/>
  <c r="L42" i="7"/>
  <c r="K42" i="7"/>
  <c r="J42" i="7"/>
  <c r="I42" i="7"/>
  <c r="H42" i="7"/>
  <c r="G42" i="7"/>
  <c r="F42" i="7"/>
  <c r="E42" i="7"/>
  <c r="D42" i="7"/>
  <c r="C42" i="7"/>
  <c r="B42" i="7"/>
  <c r="AP38" i="7"/>
  <c r="AO38" i="7"/>
  <c r="AN38" i="7"/>
  <c r="AJ38" i="7"/>
  <c r="AI38" i="7"/>
  <c r="AH38" i="7"/>
  <c r="AG38" i="7"/>
  <c r="AC38" i="7"/>
  <c r="G38" i="7"/>
  <c r="F38" i="7"/>
  <c r="E38" i="7"/>
  <c r="D38" i="7"/>
  <c r="B38" i="7"/>
  <c r="AO37" i="7"/>
  <c r="AN37" i="7"/>
  <c r="AJ37" i="7"/>
  <c r="AI37" i="7"/>
  <c r="AG37" i="7"/>
  <c r="AE37" i="7"/>
  <c r="Y37" i="7"/>
  <c r="X37" i="7"/>
  <c r="R37" i="7"/>
  <c r="M37" i="7"/>
  <c r="K37" i="7"/>
  <c r="H37" i="7"/>
  <c r="G37" i="7"/>
  <c r="F37" i="7"/>
  <c r="E37" i="7"/>
  <c r="D37" i="7"/>
  <c r="C37" i="7"/>
  <c r="B37" i="7"/>
  <c r="AQ31" i="7"/>
  <c r="AO31" i="7"/>
  <c r="AI31" i="7"/>
  <c r="AG31" i="7"/>
  <c r="AQ21" i="7"/>
  <c r="AO21" i="7"/>
  <c r="AN21" i="7"/>
  <c r="AM21" i="7"/>
  <c r="AL21" i="7"/>
  <c r="AJ21" i="7"/>
  <c r="AI21" i="7"/>
  <c r="AH21" i="7"/>
  <c r="AG21" i="7"/>
  <c r="AF21" i="7"/>
  <c r="AE21" i="7"/>
  <c r="AD21" i="7"/>
  <c r="AC21" i="7"/>
  <c r="AB21" i="7"/>
  <c r="AA21" i="7"/>
  <c r="Z21" i="7"/>
  <c r="Y21" i="7"/>
  <c r="X21" i="7"/>
  <c r="W21" i="7"/>
  <c r="V21" i="7"/>
  <c r="U21" i="7"/>
  <c r="T21" i="7"/>
  <c r="S21" i="7"/>
  <c r="R21" i="7"/>
  <c r="Q21" i="7"/>
  <c r="P21" i="7"/>
  <c r="O21" i="7"/>
  <c r="N21" i="7"/>
  <c r="M21" i="7"/>
  <c r="L21" i="7"/>
  <c r="K21" i="7"/>
  <c r="J21" i="7"/>
  <c r="I21" i="7"/>
  <c r="H21" i="7"/>
  <c r="G21" i="7"/>
  <c r="F21" i="7"/>
  <c r="E21" i="7"/>
  <c r="D21" i="7"/>
  <c r="C21" i="7"/>
  <c r="B21" i="7"/>
  <c r="AQ20" i="7"/>
  <c r="AO20" i="7"/>
  <c r="AN20" i="7"/>
  <c r="AM20" i="7"/>
  <c r="AL20" i="7"/>
  <c r="AJ20" i="7"/>
  <c r="AI20" i="7"/>
  <c r="AH20" i="7"/>
  <c r="AG20" i="7"/>
  <c r="AF20" i="7"/>
  <c r="AE20" i="7"/>
  <c r="AD20" i="7"/>
  <c r="AC20" i="7"/>
  <c r="AB20" i="7"/>
  <c r="AA20" i="7"/>
  <c r="Z20" i="7"/>
  <c r="Y20" i="7"/>
  <c r="X20" i="7"/>
  <c r="W20" i="7"/>
  <c r="V20" i="7"/>
  <c r="U20" i="7"/>
  <c r="T20" i="7"/>
  <c r="S20" i="7"/>
  <c r="R20" i="7"/>
  <c r="Q20" i="7"/>
  <c r="P20" i="7"/>
  <c r="O20" i="7"/>
  <c r="N20" i="7"/>
  <c r="M20" i="7"/>
  <c r="L20" i="7"/>
  <c r="K20" i="7"/>
  <c r="J20" i="7"/>
  <c r="I20" i="7"/>
  <c r="H20" i="7"/>
  <c r="G20" i="7"/>
  <c r="F20" i="7"/>
  <c r="E20" i="7"/>
  <c r="D20" i="7"/>
  <c r="C20" i="7"/>
  <c r="B20" i="7"/>
  <c r="AQ19" i="7"/>
  <c r="AO19" i="7"/>
  <c r="AN19" i="7"/>
  <c r="AM19" i="7"/>
  <c r="AL19" i="7"/>
  <c r="AJ19" i="7"/>
  <c r="AI19" i="7"/>
  <c r="AH19" i="7"/>
  <c r="AG19" i="7"/>
  <c r="AF19" i="7"/>
  <c r="AE19" i="7"/>
  <c r="AD19" i="7"/>
  <c r="AC19" i="7"/>
  <c r="AB19" i="7"/>
  <c r="Z19" i="7"/>
  <c r="Y19" i="7"/>
  <c r="X19" i="7"/>
  <c r="W19" i="7"/>
  <c r="V19" i="7"/>
  <c r="U19" i="7"/>
  <c r="T19" i="7"/>
  <c r="S19" i="7"/>
  <c r="R19" i="7"/>
  <c r="Q19" i="7"/>
  <c r="P19" i="7"/>
  <c r="O19" i="7"/>
  <c r="N19" i="7"/>
  <c r="M19" i="7"/>
  <c r="L19" i="7"/>
  <c r="K19" i="7"/>
  <c r="J19" i="7"/>
  <c r="I19" i="7"/>
  <c r="H19" i="7"/>
  <c r="G19" i="7"/>
  <c r="F19" i="7"/>
  <c r="E19" i="7"/>
  <c r="D19" i="7"/>
  <c r="C19" i="7"/>
  <c r="B19" i="7"/>
  <c r="AQ14" i="7"/>
  <c r="AO14" i="7"/>
  <c r="AN14" i="7"/>
  <c r="AM14" i="7"/>
  <c r="AL14" i="7"/>
  <c r="AJ14" i="7"/>
  <c r="AI14" i="7"/>
  <c r="AH14" i="7"/>
  <c r="AG14" i="7"/>
  <c r="AF14" i="7"/>
  <c r="AE14" i="7"/>
  <c r="AD14" i="7"/>
  <c r="AC14" i="7"/>
  <c r="AB14" i="7"/>
  <c r="Z14" i="7"/>
  <c r="Y14" i="7"/>
  <c r="X14" i="7"/>
  <c r="U14" i="7"/>
  <c r="T14" i="7"/>
  <c r="S14" i="7"/>
  <c r="R14" i="7"/>
  <c r="P14" i="7"/>
  <c r="O14" i="7"/>
  <c r="N14" i="7"/>
  <c r="M14" i="7"/>
  <c r="K14" i="7"/>
  <c r="J14" i="7"/>
  <c r="I14" i="7"/>
  <c r="H14" i="7"/>
  <c r="D14" i="7"/>
  <c r="C14" i="7"/>
  <c r="B14" i="7"/>
  <c r="V12" i="7"/>
  <c r="U12" i="7"/>
  <c r="T12" i="7"/>
  <c r="S12" i="7"/>
  <c r="R12" i="7"/>
  <c r="Q12" i="7"/>
  <c r="L12" i="7"/>
  <c r="J12" i="7"/>
  <c r="G12" i="7"/>
  <c r="BE8" i="7"/>
  <c r="AZ8" i="7"/>
  <c r="AY8" i="7"/>
  <c r="AX8" i="7"/>
  <c r="AW8" i="7"/>
  <c r="AV8" i="7"/>
  <c r="AU8" i="7"/>
  <c r="AT8" i="7"/>
  <c r="AS8" i="7"/>
  <c r="AR8" i="7"/>
  <c r="AQ8" i="7"/>
  <c r="AP8" i="7"/>
  <c r="AO8" i="7"/>
  <c r="AN8" i="7"/>
  <c r="AM8" i="7"/>
  <c r="AL8" i="7"/>
  <c r="AK8" i="7"/>
  <c r="AJ8" i="7"/>
  <c r="AI8" i="7"/>
  <c r="AH8" i="7"/>
  <c r="AG8" i="7"/>
  <c r="AF8" i="7"/>
  <c r="AE8" i="7"/>
  <c r="AD8" i="7"/>
  <c r="AK75" i="6"/>
  <c r="AJ75" i="6"/>
  <c r="AI75" i="6"/>
  <c r="AH75" i="6"/>
  <c r="AG75" i="6"/>
  <c r="AF75" i="6"/>
  <c r="AE75" i="6"/>
  <c r="AD75" i="6"/>
  <c r="AC75" i="6"/>
  <c r="AB75" i="6"/>
  <c r="AA75" i="6"/>
  <c r="Z75" i="6"/>
  <c r="Y75" i="6"/>
  <c r="X75" i="6"/>
  <c r="W75" i="6"/>
  <c r="V75" i="6"/>
  <c r="U75" i="6"/>
  <c r="T75" i="6"/>
  <c r="S75" i="6"/>
  <c r="R75" i="6"/>
  <c r="Q75" i="6"/>
  <c r="P75" i="6"/>
  <c r="O75" i="6"/>
  <c r="N75" i="6"/>
  <c r="M75" i="6"/>
  <c r="L75" i="6"/>
  <c r="K75" i="6"/>
  <c r="G75" i="6"/>
  <c r="F75" i="6"/>
  <c r="E75" i="6"/>
  <c r="D75" i="6"/>
  <c r="C75" i="6"/>
  <c r="N82" i="6"/>
  <c r="K82" i="6"/>
  <c r="AE72" i="6"/>
  <c r="AD72" i="6"/>
  <c r="AC72" i="6"/>
  <c r="AB72" i="6"/>
  <c r="Y72" i="6"/>
  <c r="X72" i="6"/>
  <c r="W72" i="6"/>
  <c r="U72" i="6"/>
  <c r="U80" i="6" s="1"/>
  <c r="T72" i="6"/>
  <c r="T80" i="6" s="1"/>
  <c r="S72" i="6"/>
  <c r="S80" i="6" s="1"/>
  <c r="R72" i="6"/>
  <c r="R80" i="6" s="1"/>
  <c r="P72" i="6"/>
  <c r="O72" i="6"/>
  <c r="N72" i="6"/>
  <c r="M72" i="6"/>
  <c r="K72" i="6"/>
  <c r="J72" i="6"/>
  <c r="I72" i="6"/>
  <c r="H72" i="6"/>
  <c r="F72" i="6"/>
  <c r="F80" i="6" s="1"/>
  <c r="E72" i="6"/>
  <c r="E80" i="6" s="1"/>
  <c r="BF73" i="6"/>
  <c r="BA73" i="6"/>
  <c r="BD72" i="6"/>
  <c r="BC72" i="6"/>
  <c r="BB71" i="6"/>
  <c r="BA70" i="6"/>
  <c r="AV73" i="6"/>
  <c r="AY72" i="6"/>
  <c r="AX72" i="6"/>
  <c r="AW72" i="6"/>
  <c r="AV72" i="6"/>
  <c r="AY71" i="6"/>
  <c r="AX71" i="6"/>
  <c r="AW71" i="6"/>
  <c r="AV71" i="6"/>
  <c r="AY70" i="6"/>
  <c r="AW70" i="6"/>
  <c r="AV70" i="6"/>
  <c r="AP75" i="6"/>
  <c r="AO75" i="6"/>
  <c r="AN75" i="6"/>
  <c r="AM75" i="6"/>
  <c r="AL75" i="6"/>
  <c r="AT73" i="6"/>
  <c r="AS73" i="6"/>
  <c r="AR73" i="6"/>
  <c r="AQ73" i="6"/>
  <c r="AP73" i="6"/>
  <c r="AO73" i="6"/>
  <c r="AN73" i="6"/>
  <c r="AM73" i="6"/>
  <c r="AL73" i="6"/>
  <c r="AT72" i="6"/>
  <c r="AS72" i="6"/>
  <c r="AR72" i="6"/>
  <c r="AQ72" i="6"/>
  <c r="AP72" i="6"/>
  <c r="AO72" i="6"/>
  <c r="AN72" i="6"/>
  <c r="AM72" i="6"/>
  <c r="AL72" i="6"/>
  <c r="AT71" i="6"/>
  <c r="AS71" i="6"/>
  <c r="AR71" i="6"/>
  <c r="AQ71" i="6"/>
  <c r="AP71" i="6"/>
  <c r="AO71" i="6"/>
  <c r="AN71" i="6"/>
  <c r="AM71" i="6"/>
  <c r="AL71" i="6"/>
  <c r="AT70" i="6"/>
  <c r="AS70" i="6"/>
  <c r="AR70" i="6"/>
  <c r="AQ70" i="6"/>
  <c r="AP70" i="6"/>
  <c r="AO70" i="6"/>
  <c r="AN70" i="6"/>
  <c r="AM70" i="6"/>
  <c r="AL70" i="6"/>
  <c r="AJ73" i="6"/>
  <c r="AI73" i="6"/>
  <c r="AH73" i="6"/>
  <c r="AG73" i="6"/>
  <c r="AJ72" i="6"/>
  <c r="AI72" i="6"/>
  <c r="AH72" i="6"/>
  <c r="AG72" i="6"/>
  <c r="AJ71" i="6"/>
  <c r="AI71" i="6"/>
  <c r="AH71" i="6"/>
  <c r="AG71" i="6"/>
  <c r="AJ70" i="6"/>
  <c r="AI70" i="6"/>
  <c r="AH70" i="6"/>
  <c r="AG70" i="6"/>
  <c r="AE70" i="6"/>
  <c r="AD70" i="6"/>
  <c r="AC70" i="6"/>
  <c r="AB70" i="6"/>
  <c r="Z70" i="6"/>
  <c r="Y70" i="6"/>
  <c r="X70" i="6"/>
  <c r="W70" i="6"/>
  <c r="U70" i="6"/>
  <c r="S70" i="6"/>
  <c r="R70" i="6"/>
  <c r="P70" i="6"/>
  <c r="O70" i="6"/>
  <c r="N70" i="6"/>
  <c r="M70" i="6"/>
  <c r="K70" i="6"/>
  <c r="J70" i="6"/>
  <c r="I70" i="6"/>
  <c r="H70" i="6"/>
  <c r="F70" i="6"/>
  <c r="E70" i="6"/>
  <c r="D70" i="6"/>
  <c r="C70" i="6"/>
  <c r="BH67" i="6"/>
  <c r="BG67" i="6"/>
  <c r="BF67" i="6"/>
  <c r="BC67" i="6"/>
  <c r="BB67" i="6"/>
  <c r="BA67" i="6"/>
  <c r="AY67" i="6"/>
  <c r="AX67" i="6"/>
  <c r="AW67" i="6"/>
  <c r="AV67" i="6"/>
  <c r="AT67" i="6"/>
  <c r="AS67" i="6"/>
  <c r="AR67" i="6"/>
  <c r="AQ67" i="6"/>
  <c r="AO67" i="6"/>
  <c r="AN67" i="6"/>
  <c r="AM67" i="6"/>
  <c r="AL67" i="6"/>
  <c r="AJ67" i="6"/>
  <c r="AI67" i="6"/>
  <c r="AH67" i="6"/>
  <c r="AG67" i="6"/>
  <c r="AE67" i="6"/>
  <c r="AD67" i="6"/>
  <c r="AC67" i="6"/>
  <c r="AB67" i="6"/>
  <c r="Z67" i="6"/>
  <c r="Y67" i="6"/>
  <c r="X67" i="6"/>
  <c r="W67" i="6"/>
  <c r="U67" i="6"/>
  <c r="T67" i="6"/>
  <c r="S67" i="6"/>
  <c r="R67" i="6"/>
  <c r="P67" i="6"/>
  <c r="O67" i="6"/>
  <c r="N67" i="6"/>
  <c r="M67" i="6"/>
  <c r="K67" i="6"/>
  <c r="J67" i="6"/>
  <c r="I67" i="6"/>
  <c r="H67" i="6"/>
  <c r="BO66" i="6"/>
  <c r="BK66" i="6"/>
  <c r="BK67" i="6" s="1"/>
  <c r="BJ66" i="6"/>
  <c r="BD66" i="6"/>
  <c r="BI67" i="6" s="1"/>
  <c r="BG64" i="6"/>
  <c r="BF64" i="6"/>
  <c r="BD64" i="6"/>
  <c r="BC64" i="6"/>
  <c r="BB64" i="6"/>
  <c r="BA64" i="6"/>
  <c r="AY64" i="6"/>
  <c r="AX64" i="6"/>
  <c r="AW64" i="6"/>
  <c r="AV64" i="6"/>
  <c r="AT64" i="6"/>
  <c r="AS64" i="6"/>
  <c r="AR64" i="6"/>
  <c r="AR68" i="6" s="1"/>
  <c r="AQ64" i="6"/>
  <c r="AQ68" i="6" s="1"/>
  <c r="AO64" i="6"/>
  <c r="AO68" i="6" s="1"/>
  <c r="AN64" i="6"/>
  <c r="AN68" i="6" s="1"/>
  <c r="AM64" i="6"/>
  <c r="AL64" i="6"/>
  <c r="AL68" i="6" s="1"/>
  <c r="AJ64" i="6"/>
  <c r="AJ68" i="6" s="1"/>
  <c r="AI64" i="6"/>
  <c r="AI68" i="6" s="1"/>
  <c r="AH64" i="6"/>
  <c r="AH68" i="6" s="1"/>
  <c r="AG64" i="6"/>
  <c r="AG68" i="6" s="1"/>
  <c r="AE64" i="6"/>
  <c r="AE68" i="6" s="1"/>
  <c r="AD64" i="6"/>
  <c r="AD68" i="6" s="1"/>
  <c r="AC64" i="6"/>
  <c r="AB64" i="6"/>
  <c r="AB68" i="6" s="1"/>
  <c r="Z64" i="6"/>
  <c r="Z68" i="6" s="1"/>
  <c r="Y64" i="6"/>
  <c r="Y68" i="6" s="1"/>
  <c r="X64" i="6"/>
  <c r="W64" i="6"/>
  <c r="W68" i="6" s="1"/>
  <c r="U64" i="6"/>
  <c r="U68" i="6" s="1"/>
  <c r="T64" i="6"/>
  <c r="T68" i="6" s="1"/>
  <c r="S64" i="6"/>
  <c r="S68" i="6" s="1"/>
  <c r="R64" i="6"/>
  <c r="R68" i="6" s="1"/>
  <c r="P64" i="6"/>
  <c r="P68" i="6" s="1"/>
  <c r="O64" i="6"/>
  <c r="O68" i="6" s="1"/>
  <c r="N64" i="6"/>
  <c r="N68" i="6" s="1"/>
  <c r="M64" i="6"/>
  <c r="M68" i="6" s="1"/>
  <c r="K64" i="6"/>
  <c r="K68" i="6" s="1"/>
  <c r="J64" i="6"/>
  <c r="J68" i="6" s="1"/>
  <c r="I64" i="6"/>
  <c r="H64" i="6"/>
  <c r="H68" i="6" s="1"/>
  <c r="BH64" i="6"/>
  <c r="BN49" i="6"/>
  <c r="BN2" i="6" s="1"/>
  <c r="BM49" i="6"/>
  <c r="BM2" i="6" s="1"/>
  <c r="BL49" i="6"/>
  <c r="BL2" i="6" s="1"/>
  <c r="BK49" i="6"/>
  <c r="BK2" i="6" s="1"/>
  <c r="AL62" i="7" l="1"/>
  <c r="CM26" i="11"/>
  <c r="CE12" i="8"/>
  <c r="AN95" i="7"/>
  <c r="AN114" i="7" s="1"/>
  <c r="J107" i="7"/>
  <c r="AG73" i="7"/>
  <c r="E107" i="7"/>
  <c r="AC73" i="7"/>
  <c r="AZ15" i="8"/>
  <c r="Q65" i="7"/>
  <c r="Y73" i="7"/>
  <c r="AO73" i="7"/>
  <c r="CF15" i="8"/>
  <c r="AK73" i="7"/>
  <c r="AG80" i="7"/>
  <c r="U65" i="7"/>
  <c r="Y65" i="7"/>
  <c r="AC65" i="7"/>
  <c r="AG65" i="7"/>
  <c r="AG115" i="7" s="1"/>
  <c r="AK65" i="7"/>
  <c r="M65" i="7"/>
  <c r="AD73" i="7"/>
  <c r="AL73" i="7"/>
  <c r="AP73" i="7"/>
  <c r="F73" i="7"/>
  <c r="J73" i="7"/>
  <c r="Q73" i="7"/>
  <c r="J96" i="7"/>
  <c r="BH15" i="8"/>
  <c r="I65" i="7"/>
  <c r="BP15" i="8"/>
  <c r="K107" i="7"/>
  <c r="CJ26" i="14"/>
  <c r="CI22" i="14"/>
  <c r="CE70" i="11"/>
  <c r="M88" i="7"/>
  <c r="CA14" i="14"/>
  <c r="CA13" i="14"/>
  <c r="CB24" i="14"/>
  <c r="AO23" i="14"/>
  <c r="AW30" i="14"/>
  <c r="CN38" i="14"/>
  <c r="CN39" i="14"/>
  <c r="CN107" i="14"/>
  <c r="CN37" i="14"/>
  <c r="BA40" i="14"/>
  <c r="BF40" i="14"/>
  <c r="BK40" i="14"/>
  <c r="BL46" i="14"/>
  <c r="BL77" i="14" s="1"/>
  <c r="CF83" i="14"/>
  <c r="CG83" i="14" s="1"/>
  <c r="CR105" i="14"/>
  <c r="CS105" i="14" s="1"/>
  <c r="CF155" i="14"/>
  <c r="CD148" i="14"/>
  <c r="BV184" i="14"/>
  <c r="CF14" i="14"/>
  <c r="CK16" i="14"/>
  <c r="BU26" i="14"/>
  <c r="V27" i="14"/>
  <c r="BQ27" i="14"/>
  <c r="BM110" i="11" s="1"/>
  <c r="BD19" i="14"/>
  <c r="BY23" i="14"/>
  <c r="AQ26" i="14"/>
  <c r="T37" i="14"/>
  <c r="CQ107" i="14"/>
  <c r="CL39" i="14"/>
  <c r="CI37" i="14"/>
  <c r="CC148" i="14"/>
  <c r="CP202" i="14"/>
  <c r="CP203" i="14" s="1"/>
  <c r="CP209" i="14" s="1"/>
  <c r="BT19" i="14"/>
  <c r="BB35" i="14"/>
  <c r="AX82" i="11" s="1"/>
  <c r="G96" i="7" s="1"/>
  <c r="CM39" i="14"/>
  <c r="CM107" i="14"/>
  <c r="CM37" i="14"/>
  <c r="CM38" i="14"/>
  <c r="CL36" i="14"/>
  <c r="CI38" i="14"/>
  <c r="CV92" i="14"/>
  <c r="CW92" i="14" s="1"/>
  <c r="CX92" i="14" s="1"/>
  <c r="CY92" i="14"/>
  <c r="AR127" i="14"/>
  <c r="CL124" i="14"/>
  <c r="CQ124" i="14"/>
  <c r="CA127" i="14"/>
  <c r="CA193" i="14"/>
  <c r="DA209" i="14"/>
  <c r="DB207" i="14"/>
  <c r="CQ146" i="14"/>
  <c r="CR145" i="14"/>
  <c r="CR146" i="14" s="1"/>
  <c r="DD165" i="14"/>
  <c r="CZ166" i="14"/>
  <c r="CZ174" i="14"/>
  <c r="DC89" i="12"/>
  <c r="V62" i="7"/>
  <c r="AH62" i="7"/>
  <c r="AM72" i="7"/>
  <c r="Z62" i="7"/>
  <c r="CG12" i="8"/>
  <c r="AP62" i="7"/>
  <c r="BQ12" i="8"/>
  <c r="BJ40" i="13"/>
  <c r="BQ26" i="13"/>
  <c r="AX66" i="13"/>
  <c r="BJ38" i="13"/>
  <c r="BR27" i="13"/>
  <c r="BI40" i="13"/>
  <c r="DC42" i="13"/>
  <c r="AI62" i="7"/>
  <c r="AL95" i="7"/>
  <c r="AQ95" i="7"/>
  <c r="CE59" i="9"/>
  <c r="Q84" i="8"/>
  <c r="U84" i="8"/>
  <c r="Y84" i="8"/>
  <c r="AC84" i="8"/>
  <c r="AG84" i="8"/>
  <c r="L84" i="8"/>
  <c r="AD84" i="8"/>
  <c r="Y90" i="8"/>
  <c r="AA93" i="8"/>
  <c r="N84" i="8"/>
  <c r="AD90" i="8"/>
  <c r="X93" i="8"/>
  <c r="AI93" i="8"/>
  <c r="W84" i="8"/>
  <c r="AA84" i="8"/>
  <c r="AE84" i="8"/>
  <c r="AI84" i="8"/>
  <c r="P84" i="8"/>
  <c r="O90" i="8"/>
  <c r="S90" i="8"/>
  <c r="AA90" i="8"/>
  <c r="AE90" i="8"/>
  <c r="AI90" i="8"/>
  <c r="S93" i="8"/>
  <c r="U93" i="8"/>
  <c r="Y93" i="8"/>
  <c r="AC93" i="8"/>
  <c r="AG93" i="8"/>
  <c r="AP74" i="11"/>
  <c r="AQ147" i="7"/>
  <c r="BV53" i="10"/>
  <c r="BS64" i="10"/>
  <c r="BX63" i="10" s="1"/>
  <c r="X54" i="10"/>
  <c r="AK106" i="10"/>
  <c r="T142" i="7"/>
  <c r="AB138" i="7"/>
  <c r="AB142" i="7" s="1"/>
  <c r="BK29" i="10"/>
  <c r="BK36" i="10" s="1"/>
  <c r="AH185" i="7" s="1"/>
  <c r="BO117" i="10"/>
  <c r="BL29" i="10"/>
  <c r="BL36" i="10" s="1"/>
  <c r="AI185" i="7" s="1"/>
  <c r="AL36" i="10"/>
  <c r="BP29" i="10"/>
  <c r="BP36" i="10" s="1"/>
  <c r="AP36" i="10"/>
  <c r="BQ29" i="10"/>
  <c r="BQ36" i="10" s="1"/>
  <c r="AN185" i="7" s="1"/>
  <c r="AM179" i="7"/>
  <c r="BL109" i="10"/>
  <c r="BL110" i="10" s="1"/>
  <c r="CE162" i="14"/>
  <c r="AQ72" i="7"/>
  <c r="V32" i="11"/>
  <c r="O33" i="11"/>
  <c r="AE33" i="11"/>
  <c r="S117" i="11"/>
  <c r="R33" i="11"/>
  <c r="J32" i="11"/>
  <c r="AQ74" i="11"/>
  <c r="M117" i="11"/>
  <c r="BD117" i="11"/>
  <c r="BD43" i="8" s="1"/>
  <c r="D90" i="7"/>
  <c r="AF84" i="9"/>
  <c r="AD75" i="7"/>
  <c r="I88" i="7"/>
  <c r="AD117" i="11"/>
  <c r="AL117" i="11"/>
  <c r="AL43" i="8" s="1"/>
  <c r="AT117" i="11"/>
  <c r="I85" i="11"/>
  <c r="U75" i="7"/>
  <c r="AE75" i="7"/>
  <c r="AH90" i="7"/>
  <c r="E109" i="7"/>
  <c r="I109" i="7"/>
  <c r="R85" i="11"/>
  <c r="AC75" i="7"/>
  <c r="B109" i="7"/>
  <c r="F109" i="7"/>
  <c r="L85" i="11"/>
  <c r="AX36" i="6"/>
  <c r="AX70" i="6"/>
  <c r="CI102" i="12"/>
  <c r="BC36" i="6"/>
  <c r="BC70" i="6"/>
  <c r="CH102" i="12"/>
  <c r="BB36" i="6"/>
  <c r="BB70" i="6"/>
  <c r="H105" i="7"/>
  <c r="CI18" i="12"/>
  <c r="CI19" i="12" s="1"/>
  <c r="CI20" i="12" s="1"/>
  <c r="CI23" i="12"/>
  <c r="AZ38" i="12"/>
  <c r="BE38" i="12"/>
  <c r="BX37" i="12"/>
  <c r="CC38" i="12"/>
  <c r="BJ36" i="12"/>
  <c r="AZ37" i="12"/>
  <c r="BT37" i="12"/>
  <c r="BX38" i="12"/>
  <c r="T71" i="7"/>
  <c r="BS20" i="12"/>
  <c r="CJ18" i="12"/>
  <c r="CJ19" i="12" s="1"/>
  <c r="CJ20" i="12" s="1"/>
  <c r="CJ23" i="12"/>
  <c r="BP38" i="12"/>
  <c r="BU38" i="12"/>
  <c r="CD37" i="12"/>
  <c r="BD37" i="12"/>
  <c r="BU37" i="12"/>
  <c r="BD38" i="12"/>
  <c r="BY38" i="12"/>
  <c r="AO20" i="12"/>
  <c r="AY20" i="12"/>
  <c r="AP20" i="12"/>
  <c r="AS37" i="12"/>
  <c r="AX38" i="12"/>
  <c r="BM37" i="12"/>
  <c r="BR37" i="12"/>
  <c r="BZ38" i="12"/>
  <c r="BU36" i="12"/>
  <c r="AN37" i="12"/>
  <c r="BY37" i="12"/>
  <c r="AN38" i="12"/>
  <c r="BH38" i="12"/>
  <c r="CD38" i="12"/>
  <c r="CJ102" i="12"/>
  <c r="BD36" i="6"/>
  <c r="AT38" i="12"/>
  <c r="AT36" i="12"/>
  <c r="AO37" i="12"/>
  <c r="BP37" i="12"/>
  <c r="AR38" i="12"/>
  <c r="BT38" i="12"/>
  <c r="T61" i="7"/>
  <c r="AJ61" i="7"/>
  <c r="AN61" i="7"/>
  <c r="D71" i="7"/>
  <c r="Q71" i="7"/>
  <c r="AJ71" i="7"/>
  <c r="W94" i="7"/>
  <c r="W113" i="7" s="1"/>
  <c r="BK11" i="8"/>
  <c r="L61" i="7"/>
  <c r="L71" i="7"/>
  <c r="Y71" i="7"/>
  <c r="AF71" i="7"/>
  <c r="AK71" i="7"/>
  <c r="AB86" i="7"/>
  <c r="C86" i="7"/>
  <c r="AB61" i="7"/>
  <c r="AL86" i="7"/>
  <c r="F105" i="7"/>
  <c r="AO22" i="11"/>
  <c r="AI86" i="7"/>
  <c r="BF37" i="6"/>
  <c r="BF71" i="6"/>
  <c r="AC62" i="7"/>
  <c r="Z72" i="7"/>
  <c r="BZ38" i="13"/>
  <c r="BD71" i="6"/>
  <c r="CD45" i="11"/>
  <c r="AM79" i="7" s="1"/>
  <c r="AY37" i="13"/>
  <c r="AB87" i="7"/>
  <c r="AB62" i="7"/>
  <c r="AB118" i="7" s="1"/>
  <c r="T62" i="7"/>
  <c r="BA38" i="6"/>
  <c r="BA72" i="6"/>
  <c r="BF38" i="6"/>
  <c r="BF72" i="6"/>
  <c r="I107" i="7"/>
  <c r="BW20" i="14"/>
  <c r="AX37" i="14"/>
  <c r="AN37" i="14"/>
  <c r="CC161" i="14"/>
  <c r="BA21" i="8"/>
  <c r="AM100" i="10" s="1"/>
  <c r="AM101" i="10" s="1"/>
  <c r="BB72" i="6"/>
  <c r="BB38" i="6"/>
  <c r="BD20" i="14"/>
  <c r="AT19" i="14"/>
  <c r="AT20" i="14" s="1"/>
  <c r="AR37" i="14"/>
  <c r="AB88" i="7"/>
  <c r="C107" i="7"/>
  <c r="CE19" i="14"/>
  <c r="CE20" i="14" s="1"/>
  <c r="BY20" i="14"/>
  <c r="BT20" i="14"/>
  <c r="BJ38" i="14"/>
  <c r="AC88" i="7"/>
  <c r="BS20" i="14"/>
  <c r="AN20" i="14"/>
  <c r="CG23" i="14"/>
  <c r="BF37" i="14"/>
  <c r="BK37" i="14"/>
  <c r="Z74" i="7"/>
  <c r="AP74" i="7"/>
  <c r="AY39" i="6"/>
  <c r="AY73" i="6"/>
  <c r="Z41" i="15"/>
  <c r="AL15" i="15"/>
  <c r="BD73" i="6" s="1"/>
  <c r="S54" i="15"/>
  <c r="Z26" i="15"/>
  <c r="AK26" i="15"/>
  <c r="CD71" i="11"/>
  <c r="AJ22" i="15"/>
  <c r="AK41" i="15"/>
  <c r="CD162" i="11"/>
  <c r="AM124" i="7" s="1"/>
  <c r="AX39" i="6"/>
  <c r="AX73" i="6"/>
  <c r="AW73" i="6"/>
  <c r="AW39" i="6"/>
  <c r="BB73" i="6"/>
  <c r="BB39" i="6"/>
  <c r="V39" i="15"/>
  <c r="AK38" i="15"/>
  <c r="AP39" i="15"/>
  <c r="M49" i="15"/>
  <c r="N53" i="15"/>
  <c r="M53" i="15"/>
  <c r="BC73" i="6"/>
  <c r="BC39" i="6"/>
  <c r="AG38" i="15"/>
  <c r="AL39" i="15"/>
  <c r="AR35" i="15"/>
  <c r="AN37" i="15"/>
  <c r="N54" i="15"/>
  <c r="AF18" i="15"/>
  <c r="Y38" i="15"/>
  <c r="AD39" i="15"/>
  <c r="V36" i="15"/>
  <c r="AG36" i="15"/>
  <c r="AC71" i="15"/>
  <c r="U38" i="15"/>
  <c r="Z39" i="15"/>
  <c r="Y36" i="15"/>
  <c r="AK36" i="15"/>
  <c r="CE21" i="8"/>
  <c r="BR76" i="9" s="1"/>
  <c r="BR81" i="9" s="1"/>
  <c r="AL138" i="7"/>
  <c r="AA117" i="9"/>
  <c r="AY60" i="10"/>
  <c r="AB194" i="7"/>
  <c r="AA151" i="7"/>
  <c r="AA152" i="7" s="1"/>
  <c r="AA44" i="10"/>
  <c r="AJ60" i="10"/>
  <c r="BD60" i="10"/>
  <c r="BI59" i="10" s="1"/>
  <c r="BZ17" i="9"/>
  <c r="E138" i="7"/>
  <c r="E142" i="7" s="1"/>
  <c r="M138" i="7"/>
  <c r="M142" i="7" s="1"/>
  <c r="U138" i="7"/>
  <c r="U142" i="7" s="1"/>
  <c r="AC138" i="7"/>
  <c r="AK134" i="7"/>
  <c r="AK138" i="7" s="1"/>
  <c r="J147" i="7"/>
  <c r="J152" i="7" s="1"/>
  <c r="R147" i="7"/>
  <c r="R152" i="7" s="1"/>
  <c r="Z147" i="7"/>
  <c r="Z152" i="7" s="1"/>
  <c r="AI147" i="7"/>
  <c r="M160" i="7"/>
  <c r="U160" i="7"/>
  <c r="AC160" i="7"/>
  <c r="AK160" i="7"/>
  <c r="BJ19" i="9"/>
  <c r="BO19" i="9"/>
  <c r="BM117" i="9"/>
  <c r="AU59" i="10"/>
  <c r="AU53" i="10" s="1"/>
  <c r="BJ59" i="10"/>
  <c r="CJ67" i="11"/>
  <c r="CJ22" i="13"/>
  <c r="CJ45" i="11" s="1"/>
  <c r="AQ179" i="7"/>
  <c r="BV34" i="10"/>
  <c r="AS184" i="7" s="1"/>
  <c r="BX34" i="10"/>
  <c r="BT107" i="10"/>
  <c r="AA62" i="7"/>
  <c r="AE62" i="7"/>
  <c r="AE114" i="7" s="1"/>
  <c r="AN62" i="7"/>
  <c r="AH87" i="7"/>
  <c r="AF72" i="7"/>
  <c r="AH79" i="7"/>
  <c r="CA12" i="8"/>
  <c r="CA21" i="8" s="1"/>
  <c r="CA32" i="8" s="1"/>
  <c r="BG58" i="2" s="1"/>
  <c r="AG72" i="7"/>
  <c r="AP72" i="7"/>
  <c r="BS12" i="8"/>
  <c r="W72" i="7"/>
  <c r="AI72" i="7"/>
  <c r="AB72" i="7"/>
  <c r="AL87" i="7"/>
  <c r="S62" i="7"/>
  <c r="S114" i="7" s="1"/>
  <c r="AQ62" i="7"/>
  <c r="AQ114" i="7" s="1"/>
  <c r="X72" i="7"/>
  <c r="AE72" i="7"/>
  <c r="AN72" i="7"/>
  <c r="Z95" i="7"/>
  <c r="Z114" i="7" s="1"/>
  <c r="AG95" i="7"/>
  <c r="BZ12" i="8"/>
  <c r="U62" i="7"/>
  <c r="AA72" i="7"/>
  <c r="AH72" i="7"/>
  <c r="AJ87" i="7"/>
  <c r="R90" i="7"/>
  <c r="M90" i="7"/>
  <c r="I105" i="7"/>
  <c r="I94" i="7"/>
  <c r="I118" i="7" s="1"/>
  <c r="BA118" i="9"/>
  <c r="BA117" i="9"/>
  <c r="AI90" i="7"/>
  <c r="AD82" i="7"/>
  <c r="J109" i="7"/>
  <c r="J98" i="7"/>
  <c r="AI87" i="7"/>
  <c r="H107" i="7"/>
  <c r="AQ22" i="11"/>
  <c r="AQ31" i="11" s="1"/>
  <c r="AQ11" i="8"/>
  <c r="AM15" i="8"/>
  <c r="AM21" i="8" s="1"/>
  <c r="Y100" i="10" s="1"/>
  <c r="Y101" i="10" s="1"/>
  <c r="BC22" i="11"/>
  <c r="L69" i="7" s="1"/>
  <c r="L73" i="7"/>
  <c r="BC15" i="8"/>
  <c r="BC21" i="8" s="1"/>
  <c r="AI7" i="2" s="1"/>
  <c r="W82" i="7"/>
  <c r="W90" i="7"/>
  <c r="AK111" i="10"/>
  <c r="AY49" i="8"/>
  <c r="K109" i="7"/>
  <c r="K98" i="7"/>
  <c r="K117" i="7" s="1"/>
  <c r="AD78" i="6"/>
  <c r="AF61" i="7"/>
  <c r="R115" i="7"/>
  <c r="S67" i="7"/>
  <c r="S117" i="7" s="1"/>
  <c r="H71" i="7"/>
  <c r="AN71" i="7"/>
  <c r="AH74" i="7"/>
  <c r="D75" i="7"/>
  <c r="AH81" i="7"/>
  <c r="AK82" i="7"/>
  <c r="F98" i="7"/>
  <c r="F99" i="7" s="1"/>
  <c r="H147" i="7"/>
  <c r="H152" i="7" s="1"/>
  <c r="P147" i="7"/>
  <c r="P152" i="7" s="1"/>
  <c r="X147" i="7"/>
  <c r="X152" i="7" s="1"/>
  <c r="AF147" i="7"/>
  <c r="AR65" i="10"/>
  <c r="AR71" i="10" s="1"/>
  <c r="AN15" i="8"/>
  <c r="B73" i="7"/>
  <c r="E73" i="7"/>
  <c r="AV15" i="8"/>
  <c r="AV21" i="8" s="1"/>
  <c r="M73" i="7"/>
  <c r="BD15" i="8"/>
  <c r="BD21" i="8" s="1"/>
  <c r="U73" i="7"/>
  <c r="BL15" i="8"/>
  <c r="BT15" i="8"/>
  <c r="AQ19" i="8"/>
  <c r="E75" i="7"/>
  <c r="AX19" i="8"/>
  <c r="G75" i="7"/>
  <c r="CH122" i="13"/>
  <c r="CI122" i="13" s="1"/>
  <c r="CI123" i="13" s="1"/>
  <c r="CL123" i="13"/>
  <c r="BR107" i="10"/>
  <c r="AO127" i="7"/>
  <c r="AC169" i="7"/>
  <c r="BT75" i="11"/>
  <c r="BG13" i="10"/>
  <c r="AA90" i="7"/>
  <c r="V82" i="7"/>
  <c r="AG81" i="7"/>
  <c r="V90" i="7"/>
  <c r="BG22" i="11"/>
  <c r="P69" i="7" s="1"/>
  <c r="BG11" i="8"/>
  <c r="BG21" i="8" s="1"/>
  <c r="BO11" i="8"/>
  <c r="AU22" i="11"/>
  <c r="D69" i="7" s="1"/>
  <c r="D73" i="7"/>
  <c r="AU15" i="8"/>
  <c r="AU21" i="8" s="1"/>
  <c r="AU28" i="8" s="1"/>
  <c r="T73" i="7"/>
  <c r="BK15" i="8"/>
  <c r="BS15" i="8"/>
  <c r="AG87" i="7"/>
  <c r="AB79" i="7"/>
  <c r="O90" i="7"/>
  <c r="O82" i="7"/>
  <c r="AJ90" i="7"/>
  <c r="AE82" i="7"/>
  <c r="AE78" i="6"/>
  <c r="X61" i="7"/>
  <c r="D65" i="7"/>
  <c r="L65" i="7"/>
  <c r="I80" i="7"/>
  <c r="AB80" i="7"/>
  <c r="AN87" i="7"/>
  <c r="K90" i="7"/>
  <c r="AB90" i="7"/>
  <c r="L142" i="7"/>
  <c r="I147" i="7"/>
  <c r="Q147" i="7"/>
  <c r="Q152" i="7" s="1"/>
  <c r="Y147" i="7"/>
  <c r="Y152" i="7" s="1"/>
  <c r="AG147" i="7"/>
  <c r="AG152" i="7" s="1"/>
  <c r="BI49" i="8"/>
  <c r="R31" i="7" s="1"/>
  <c r="Z14" i="9"/>
  <c r="Z105" i="9" s="1"/>
  <c r="AA19" i="9"/>
  <c r="Z19" i="9" s="1"/>
  <c r="BJ65" i="10"/>
  <c r="BJ71" i="10" s="1"/>
  <c r="AK21" i="8"/>
  <c r="W100" i="10" s="1"/>
  <c r="W101" i="10" s="1"/>
  <c r="AW22" i="11"/>
  <c r="F69" i="7" s="1"/>
  <c r="AW15" i="8"/>
  <c r="AW21" i="8" s="1"/>
  <c r="K73" i="7"/>
  <c r="BE22" i="11"/>
  <c r="N69" i="7" s="1"/>
  <c r="BE15" i="8"/>
  <c r="BE21" i="8" s="1"/>
  <c r="S73" i="7"/>
  <c r="AR63" i="11"/>
  <c r="F75" i="7"/>
  <c r="AD87" i="7"/>
  <c r="Y88" i="7"/>
  <c r="T80" i="7"/>
  <c r="AD111" i="10"/>
  <c r="AD109" i="10" s="1"/>
  <c r="AD110" i="10" s="1"/>
  <c r="AR49" i="8"/>
  <c r="AE84" i="9" s="1"/>
  <c r="AE86" i="9" s="1"/>
  <c r="AE109" i="9" s="1"/>
  <c r="AM111" i="10"/>
  <c r="AM103" i="10" s="1"/>
  <c r="BA49" i="8"/>
  <c r="AN84" i="9" s="1"/>
  <c r="AN85" i="9" s="1"/>
  <c r="Z96" i="7"/>
  <c r="Z107" i="7" s="1"/>
  <c r="BC43" i="8"/>
  <c r="L100" i="7"/>
  <c r="AG117" i="11"/>
  <c r="AW117" i="11"/>
  <c r="F100" i="7" s="1"/>
  <c r="D127" i="7"/>
  <c r="AG107" i="10"/>
  <c r="AG108" i="10" s="1"/>
  <c r="BE107" i="10"/>
  <c r="BE108" i="10" s="1"/>
  <c r="AB127" i="7"/>
  <c r="CG123" i="13"/>
  <c r="J90" i="7"/>
  <c r="E90" i="7"/>
  <c r="AS111" i="10"/>
  <c r="BG49" i="8"/>
  <c r="AT21" i="8"/>
  <c r="AF100" i="10" s="1"/>
  <c r="AF101" i="10" s="1"/>
  <c r="N80" i="6"/>
  <c r="C78" i="6"/>
  <c r="AK117" i="7"/>
  <c r="M80" i="7"/>
  <c r="AC82" i="7"/>
  <c r="AY11" i="8"/>
  <c r="AY21" i="8" s="1"/>
  <c r="D137" i="7"/>
  <c r="D138" i="7" s="1"/>
  <c r="D142" i="7" s="1"/>
  <c r="AH19" i="9"/>
  <c r="AH104" i="9" s="1"/>
  <c r="AA111" i="10"/>
  <c r="AA103" i="10" s="1"/>
  <c r="G82" i="11"/>
  <c r="AC76" i="6"/>
  <c r="AM76" i="6"/>
  <c r="N78" i="6"/>
  <c r="AE82" i="6"/>
  <c r="F14" i="7"/>
  <c r="AH31" i="7"/>
  <c r="H61" i="7"/>
  <c r="H118" i="7" s="1"/>
  <c r="F65" i="7"/>
  <c r="N65" i="7"/>
  <c r="N115" i="7" s="1"/>
  <c r="AJ72" i="7"/>
  <c r="Z78" i="7"/>
  <c r="AD90" i="7"/>
  <c r="BT19" i="8"/>
  <c r="AR19" i="8"/>
  <c r="BG14" i="10"/>
  <c r="BI14" i="10" s="1"/>
  <c r="AS107" i="10"/>
  <c r="AC109" i="10"/>
  <c r="AC110" i="10" s="1"/>
  <c r="BS11" i="8"/>
  <c r="N75" i="7"/>
  <c r="Q85" i="11"/>
  <c r="BG107" i="10"/>
  <c r="AD127" i="7"/>
  <c r="BP107" i="10"/>
  <c r="AM127" i="7"/>
  <c r="H127" i="7"/>
  <c r="AK107" i="10"/>
  <c r="M82" i="7"/>
  <c r="U90" i="7"/>
  <c r="N90" i="7"/>
  <c r="N82" i="7"/>
  <c r="B98" i="7"/>
  <c r="B117" i="7" s="1"/>
  <c r="G109" i="7"/>
  <c r="AI98" i="7"/>
  <c r="AO79" i="6"/>
  <c r="AD82" i="6"/>
  <c r="AJ86" i="7"/>
  <c r="AC90" i="7"/>
  <c r="K96" i="7"/>
  <c r="BK117" i="9"/>
  <c r="T86" i="11"/>
  <c r="AD143" i="11"/>
  <c r="AD103" i="11" s="1"/>
  <c r="AQ165" i="11"/>
  <c r="AD80" i="6"/>
  <c r="AM62" i="7"/>
  <c r="X71" i="7"/>
  <c r="AB78" i="7"/>
  <c r="U82" i="7"/>
  <c r="AO86" i="7"/>
  <c r="AG88" i="7"/>
  <c r="S90" i="7"/>
  <c r="AE90" i="7"/>
  <c r="C96" i="7"/>
  <c r="C115" i="7" s="1"/>
  <c r="W98" i="7"/>
  <c r="H109" i="7"/>
  <c r="AL127" i="7"/>
  <c r="AJ19" i="8"/>
  <c r="BL19" i="8"/>
  <c r="AZ26" i="8"/>
  <c r="AU26" i="8"/>
  <c r="AE118" i="9"/>
  <c r="AE117" i="9"/>
  <c r="BX40" i="10"/>
  <c r="AW61" i="10"/>
  <c r="AW68" i="10" s="1"/>
  <c r="BD64" i="10"/>
  <c r="AA194" i="7" s="1"/>
  <c r="BC54" i="10"/>
  <c r="BC48" i="10" s="1"/>
  <c r="Z191" i="7" s="1"/>
  <c r="CI160" i="14"/>
  <c r="CE76" i="11" s="1"/>
  <c r="BQ111" i="10" s="1"/>
  <c r="C147" i="7"/>
  <c r="C152" i="7" s="1"/>
  <c r="K147" i="7"/>
  <c r="S147" i="7"/>
  <c r="S152" i="7" s="1"/>
  <c r="AA147" i="7"/>
  <c r="F160" i="7"/>
  <c r="BL65" i="10"/>
  <c r="BL71" i="10" s="1"/>
  <c r="BF22" i="11"/>
  <c r="O69" i="7" s="1"/>
  <c r="BX63" i="11"/>
  <c r="AN61" i="10"/>
  <c r="BH61" i="10"/>
  <c r="BP63" i="11"/>
  <c r="BH63" i="11"/>
  <c r="BA86" i="11"/>
  <c r="D109" i="7"/>
  <c r="AB117" i="11"/>
  <c r="AJ117" i="11"/>
  <c r="AJ43" i="8" s="1"/>
  <c r="AR117" i="11"/>
  <c r="AR43" i="8" s="1"/>
  <c r="AZ117" i="11"/>
  <c r="I100" i="7" s="1"/>
  <c r="BH117" i="11"/>
  <c r="Q100" i="7" s="1"/>
  <c r="CI117" i="11"/>
  <c r="AR100" i="7" s="1"/>
  <c r="M85" i="11"/>
  <c r="M86" i="11" s="1"/>
  <c r="M89" i="11" s="1"/>
  <c r="AL21" i="8"/>
  <c r="X100" i="10" s="1"/>
  <c r="X101" i="10" s="1"/>
  <c r="T117" i="11"/>
  <c r="AC117" i="11"/>
  <c r="AK117" i="11"/>
  <c r="AK43" i="8" s="1"/>
  <c r="AS117" i="11"/>
  <c r="BA117" i="11"/>
  <c r="J100" i="7" s="1"/>
  <c r="J130" i="11"/>
  <c r="J44" i="8" s="1"/>
  <c r="J46" i="8" s="1"/>
  <c r="J47" i="8" s="1"/>
  <c r="R130" i="11"/>
  <c r="R44" i="8" s="1"/>
  <c r="R46" i="8" s="1"/>
  <c r="R47" i="8" s="1"/>
  <c r="Z130" i="11"/>
  <c r="AH130" i="11"/>
  <c r="AP130" i="11"/>
  <c r="AP44" i="8" s="1"/>
  <c r="AX130" i="11"/>
  <c r="AX44" i="8" s="1"/>
  <c r="BF130" i="11"/>
  <c r="BF44" i="8" s="1"/>
  <c r="BI130" i="11"/>
  <c r="BI44" i="8" s="1"/>
  <c r="BQ130" i="11"/>
  <c r="BQ44" i="8" s="1"/>
  <c r="BY130" i="11"/>
  <c r="BY169" i="11" s="1"/>
  <c r="BF165" i="11"/>
  <c r="BN165" i="11"/>
  <c r="W126" i="7" s="1"/>
  <c r="P132" i="9"/>
  <c r="W65" i="10"/>
  <c r="AG89" i="7"/>
  <c r="I90" i="7"/>
  <c r="Q90" i="7"/>
  <c r="Y90" i="7"/>
  <c r="AG90" i="7"/>
  <c r="AG109" i="10"/>
  <c r="AG110" i="10" s="1"/>
  <c r="CA34" i="10"/>
  <c r="I152" i="7"/>
  <c r="BL48" i="9"/>
  <c r="BX17" i="10"/>
  <c r="BL17" i="10"/>
  <c r="BS50" i="9"/>
  <c r="AH151" i="7"/>
  <c r="AA50" i="9"/>
  <c r="BQ11" i="8"/>
  <c r="AV86" i="11"/>
  <c r="E105" i="7"/>
  <c r="E94" i="7"/>
  <c r="Y94" i="7"/>
  <c r="AD105" i="7" s="1"/>
  <c r="N143" i="11"/>
  <c r="N103" i="11" s="1"/>
  <c r="O103" i="11"/>
  <c r="AE107" i="10"/>
  <c r="B127" i="7"/>
  <c r="AD160" i="7"/>
  <c r="X118" i="9"/>
  <c r="X117" i="9"/>
  <c r="AZ111" i="10"/>
  <c r="AZ103" i="10" s="1"/>
  <c r="BN49" i="8"/>
  <c r="Z78" i="6"/>
  <c r="AL72" i="7"/>
  <c r="AI152" i="7"/>
  <c r="W160" i="7"/>
  <c r="S132" i="9"/>
  <c r="AZ165" i="11"/>
  <c r="I126" i="7" s="1"/>
  <c r="I121" i="7"/>
  <c r="R78" i="6"/>
  <c r="AB78" i="6"/>
  <c r="B31" i="7"/>
  <c r="AL114" i="7"/>
  <c r="G71" i="7"/>
  <c r="O71" i="7"/>
  <c r="W71" i="7"/>
  <c r="AE71" i="7"/>
  <c r="AM71" i="7"/>
  <c r="AQ99" i="7"/>
  <c r="O138" i="7"/>
  <c r="O142" i="7" s="1"/>
  <c r="W138" i="7"/>
  <c r="W142" i="7" s="1"/>
  <c r="AE138" i="7"/>
  <c r="AE142" i="7" s="1"/>
  <c r="AM138" i="7"/>
  <c r="AM142" i="7" s="1"/>
  <c r="K152" i="7"/>
  <c r="AJ147" i="7"/>
  <c r="AJ152" i="7" s="1"/>
  <c r="H160" i="7"/>
  <c r="AO15" i="8"/>
  <c r="AO21" i="8" s="1"/>
  <c r="AZ43" i="8"/>
  <c r="BQ70" i="10"/>
  <c r="BQ118" i="10" s="1"/>
  <c r="BQ119" i="10" s="1"/>
  <c r="AI95" i="7"/>
  <c r="X117" i="11"/>
  <c r="AF117" i="11"/>
  <c r="AF102" i="11" s="1"/>
  <c r="AN117" i="11"/>
  <c r="AN43" i="8" s="1"/>
  <c r="AV117" i="11"/>
  <c r="O99" i="7"/>
  <c r="AH82" i="6"/>
  <c r="BI106" i="10"/>
  <c r="AN10" i="7"/>
  <c r="N160" i="7"/>
  <c r="AY118" i="9"/>
  <c r="AY117" i="9"/>
  <c r="Z112" i="10"/>
  <c r="Z108" i="10" s="1"/>
  <c r="J10" i="7"/>
  <c r="J176" i="7" s="1"/>
  <c r="O160" i="7"/>
  <c r="K132" i="9"/>
  <c r="Y118" i="9"/>
  <c r="Y117" i="9"/>
  <c r="AH79" i="6"/>
  <c r="AH81" i="6"/>
  <c r="AM78" i="6"/>
  <c r="AL79" i="6"/>
  <c r="Z82" i="6"/>
  <c r="AL38" i="7"/>
  <c r="AQ116" i="7"/>
  <c r="AD72" i="7"/>
  <c r="AJ107" i="7"/>
  <c r="X109" i="7"/>
  <c r="AF109" i="7"/>
  <c r="BR25" i="8"/>
  <c r="BW26" i="8" s="1"/>
  <c r="W117" i="9"/>
  <c r="AM117" i="9"/>
  <c r="AX61" i="10"/>
  <c r="AY106" i="10"/>
  <c r="AU107" i="10"/>
  <c r="AU108" i="10" s="1"/>
  <c r="BJ109" i="10"/>
  <c r="BJ110" i="10" s="1"/>
  <c r="BK106" i="10"/>
  <c r="BK108" i="10" s="1"/>
  <c r="Y111" i="10"/>
  <c r="Y109" i="10" s="1"/>
  <c r="Y110" i="10" s="1"/>
  <c r="AM49" i="8"/>
  <c r="Z103" i="11"/>
  <c r="CZ132" i="11"/>
  <c r="AH94" i="7"/>
  <c r="AH105" i="7" s="1"/>
  <c r="AH80" i="6"/>
  <c r="AM107" i="10"/>
  <c r="AC142" i="7"/>
  <c r="V160" i="7"/>
  <c r="AW13" i="10"/>
  <c r="AQ108" i="2" s="1"/>
  <c r="C73" i="7"/>
  <c r="G160" i="7"/>
  <c r="AM160" i="7"/>
  <c r="BQ117" i="9"/>
  <c r="AO118" i="9"/>
  <c r="BB13" i="10"/>
  <c r="BC13" i="10" s="1"/>
  <c r="AW108" i="2" s="1"/>
  <c r="BO75" i="11"/>
  <c r="R82" i="6"/>
  <c r="AM38" i="7"/>
  <c r="W121" i="7"/>
  <c r="I138" i="7"/>
  <c r="I142" i="7" s="1"/>
  <c r="Q138" i="7"/>
  <c r="Y138" i="7"/>
  <c r="Y142" i="7" s="1"/>
  <c r="AG138" i="7"/>
  <c r="AG142" i="7" s="1"/>
  <c r="E147" i="7"/>
  <c r="E152" i="7" s="1"/>
  <c r="M147" i="7"/>
  <c r="M152" i="7" s="1"/>
  <c r="U147" i="7"/>
  <c r="U152" i="7" s="1"/>
  <c r="AC147" i="7"/>
  <c r="AC152" i="7" s="1"/>
  <c r="AL147" i="7"/>
  <c r="AL152" i="7" s="1"/>
  <c r="B160" i="7"/>
  <c r="J160" i="7"/>
  <c r="R160" i="7"/>
  <c r="Z160" i="7"/>
  <c r="AH160" i="7"/>
  <c r="X169" i="7"/>
  <c r="AG170" i="7"/>
  <c r="BB21" i="8"/>
  <c r="AH60" i="2" s="1"/>
  <c r="CC21" i="8"/>
  <c r="BI117" i="9"/>
  <c r="AW118" i="9"/>
  <c r="AP63" i="10"/>
  <c r="AP54" i="10" s="1"/>
  <c r="L194" i="7"/>
  <c r="BN12" i="8"/>
  <c r="BN21" i="8" s="1"/>
  <c r="BQ17" i="8"/>
  <c r="CG17" i="8"/>
  <c r="AZ63" i="11"/>
  <c r="AZ19" i="8"/>
  <c r="AZ21" i="8" s="1"/>
  <c r="AF103" i="2" s="1"/>
  <c r="BT63" i="11"/>
  <c r="AD86" i="7"/>
  <c r="Y78" i="7"/>
  <c r="AN86" i="7"/>
  <c r="AI78" i="7"/>
  <c r="AH111" i="10"/>
  <c r="AH109" i="10" s="1"/>
  <c r="AH110" i="10" s="1"/>
  <c r="AV49" i="8"/>
  <c r="BG118" i="9"/>
  <c r="BG117" i="9"/>
  <c r="BI19" i="10"/>
  <c r="AF170" i="7" s="1"/>
  <c r="AC170" i="7"/>
  <c r="AH78" i="6"/>
  <c r="BQ120" i="10"/>
  <c r="B100" i="7"/>
  <c r="AS43" i="8"/>
  <c r="J105" i="7"/>
  <c r="AL160" i="7"/>
  <c r="AK67" i="10"/>
  <c r="AK61" i="10"/>
  <c r="AE160" i="7"/>
  <c r="S169" i="7"/>
  <c r="AG118" i="9"/>
  <c r="AG117" i="9"/>
  <c r="E127" i="7"/>
  <c r="AH107" i="10"/>
  <c r="AM79" i="6"/>
  <c r="AB82" i="6"/>
  <c r="K78" i="6"/>
  <c r="AN79" i="6"/>
  <c r="AM80" i="6"/>
  <c r="Z80" i="6"/>
  <c r="E14" i="7"/>
  <c r="B61" i="7"/>
  <c r="J61" i="7"/>
  <c r="R61" i="7"/>
  <c r="R113" i="7" s="1"/>
  <c r="Z61" i="7"/>
  <c r="Z113" i="7" s="1"/>
  <c r="AH61" i="7"/>
  <c r="AQ61" i="7"/>
  <c r="Y62" i="7"/>
  <c r="AG62" i="7"/>
  <c r="AO62" i="7"/>
  <c r="AO114" i="7" s="1"/>
  <c r="B71" i="7"/>
  <c r="J71" i="7"/>
  <c r="R71" i="7"/>
  <c r="Z71" i="7"/>
  <c r="AH71" i="7"/>
  <c r="AQ71" i="7"/>
  <c r="W97" i="7"/>
  <c r="W108" i="7" s="1"/>
  <c r="AG97" i="7"/>
  <c r="AL108" i="7" s="1"/>
  <c r="O121" i="7"/>
  <c r="AH127" i="7"/>
  <c r="CE49" i="8"/>
  <c r="AQ117" i="9"/>
  <c r="AY65" i="10"/>
  <c r="AI65" i="10"/>
  <c r="AI71" i="10" s="1"/>
  <c r="AI53" i="10"/>
  <c r="BH63" i="10"/>
  <c r="AD194" i="7"/>
  <c r="AD195" i="7" s="1"/>
  <c r="BP65" i="10"/>
  <c r="V109" i="10"/>
  <c r="V110" i="10" s="1"/>
  <c r="W106" i="10"/>
  <c r="W108" i="10" s="1"/>
  <c r="AJ21" i="8"/>
  <c r="V100" i="10" s="1"/>
  <c r="V101" i="10" s="1"/>
  <c r="AR21" i="8"/>
  <c r="AD100" i="10" s="1"/>
  <c r="AD101" i="10" s="1"/>
  <c r="BP11" i="8"/>
  <c r="BO12" i="8"/>
  <c r="BR17" i="8"/>
  <c r="BZ17" i="8"/>
  <c r="BR19" i="8"/>
  <c r="BR21" i="8" s="1"/>
  <c r="AX7" i="2" s="1"/>
  <c r="AX106" i="2" s="1"/>
  <c r="AE103" i="11"/>
  <c r="BL63" i="11"/>
  <c r="BC74" i="11"/>
  <c r="BM109" i="10"/>
  <c r="BM110" i="10" s="1"/>
  <c r="K117" i="11"/>
  <c r="BB117" i="11"/>
  <c r="K130" i="11"/>
  <c r="S130" i="11"/>
  <c r="S44" i="8" s="1"/>
  <c r="S51" i="8" s="1"/>
  <c r="AA130" i="11"/>
  <c r="AA44" i="8" s="1"/>
  <c r="AA51" i="8" s="1"/>
  <c r="AA52" i="8" s="1"/>
  <c r="G51" i="2" s="1"/>
  <c r="AI130" i="11"/>
  <c r="AI44" i="8" s="1"/>
  <c r="AI51" i="8" s="1"/>
  <c r="AI52" i="8" s="1"/>
  <c r="O51" i="2" s="1"/>
  <c r="AQ130" i="11"/>
  <c r="AQ44" i="8" s="1"/>
  <c r="AY130" i="11"/>
  <c r="AY44" i="8" s="1"/>
  <c r="BG130" i="11"/>
  <c r="BG44" i="8" s="1"/>
  <c r="CK130" i="11"/>
  <c r="CK44" i="8" s="1"/>
  <c r="CW130" i="11"/>
  <c r="CW44" i="8" s="1"/>
  <c r="M130" i="11"/>
  <c r="U130" i="11"/>
  <c r="U44" i="8" s="1"/>
  <c r="U46" i="8" s="1"/>
  <c r="U47" i="8" s="1"/>
  <c r="AC130" i="11"/>
  <c r="AC44" i="8" s="1"/>
  <c r="AC51" i="8" s="1"/>
  <c r="AC52" i="8" s="1"/>
  <c r="I51" i="2" s="1"/>
  <c r="AK130" i="11"/>
  <c r="AK44" i="8" s="1"/>
  <c r="BA130" i="11"/>
  <c r="BA44" i="8" s="1"/>
  <c r="AX165" i="11"/>
  <c r="AN165" i="11"/>
  <c r="H138" i="7"/>
  <c r="H142" i="7" s="1"/>
  <c r="P138" i="7"/>
  <c r="P142" i="7" s="1"/>
  <c r="X138" i="7"/>
  <c r="X142" i="7" s="1"/>
  <c r="AF138" i="7"/>
  <c r="AF142" i="7" s="1"/>
  <c r="D147" i="7"/>
  <c r="D152" i="7" s="1"/>
  <c r="L147" i="7"/>
  <c r="L152" i="7" s="1"/>
  <c r="T147" i="7"/>
  <c r="T152" i="7" s="1"/>
  <c r="AB147" i="7"/>
  <c r="AB152" i="7" s="1"/>
  <c r="AK147" i="7"/>
  <c r="I160" i="7"/>
  <c r="Q160" i="7"/>
  <c r="Y160" i="7"/>
  <c r="AG160" i="7"/>
  <c r="AP21" i="8"/>
  <c r="AX21" i="8"/>
  <c r="AX32" i="8" s="1"/>
  <c r="AD58" i="2" s="1"/>
  <c r="BF21" i="8"/>
  <c r="BF28" i="8" s="1"/>
  <c r="CA49" i="8"/>
  <c r="BG61" i="10"/>
  <c r="BG68" i="10" s="1"/>
  <c r="BE109" i="10"/>
  <c r="BE110" i="10" s="1"/>
  <c r="BF106" i="10"/>
  <c r="AP22" i="11"/>
  <c r="AP36" i="11" s="1"/>
  <c r="AX22" i="11"/>
  <c r="BC23" i="11" s="1"/>
  <c r="BC24" i="11" s="1"/>
  <c r="AI37" i="2" s="1"/>
  <c r="BD63" i="11"/>
  <c r="AX74" i="11"/>
  <c r="L117" i="11"/>
  <c r="L130" i="11"/>
  <c r="T130" i="11"/>
  <c r="AB130" i="11"/>
  <c r="AJ130" i="11"/>
  <c r="AJ44" i="8" s="1"/>
  <c r="AR130" i="11"/>
  <c r="AR44" i="8" s="1"/>
  <c r="AZ130" i="11"/>
  <c r="AZ44" i="8" s="1"/>
  <c r="AY165" i="11"/>
  <c r="H126" i="7" s="1"/>
  <c r="BH165" i="11"/>
  <c r="J138" i="7"/>
  <c r="J142" i="7" s="1"/>
  <c r="R138" i="7"/>
  <c r="R142" i="7" s="1"/>
  <c r="F147" i="7"/>
  <c r="F152" i="7" s="1"/>
  <c r="N147" i="7"/>
  <c r="N152" i="7" s="1"/>
  <c r="AD147" i="7"/>
  <c r="AD152" i="7" s="1"/>
  <c r="AM147" i="7"/>
  <c r="AM152" i="7" s="1"/>
  <c r="C160" i="7"/>
  <c r="K160" i="7"/>
  <c r="S160" i="7"/>
  <c r="AA160" i="7"/>
  <c r="AI160" i="7"/>
  <c r="BH25" i="8"/>
  <c r="AN105" i="2" s="1"/>
  <c r="AV84" i="9"/>
  <c r="AV87" i="9" s="1"/>
  <c r="AF67" i="10"/>
  <c r="AF53" i="10"/>
  <c r="AP61" i="10"/>
  <c r="AP68" i="10" s="1"/>
  <c r="AJ86" i="11"/>
  <c r="C138" i="7"/>
  <c r="C142" i="7" s="1"/>
  <c r="K138" i="7"/>
  <c r="K142" i="7" s="1"/>
  <c r="S138" i="7"/>
  <c r="S142" i="7" s="1"/>
  <c r="AI138" i="7"/>
  <c r="AI142" i="7" s="1"/>
  <c r="G147" i="7"/>
  <c r="G152" i="7" s="1"/>
  <c r="O147" i="7"/>
  <c r="O152" i="7" s="1"/>
  <c r="W147" i="7"/>
  <c r="W152" i="7" s="1"/>
  <c r="AE147" i="7"/>
  <c r="AE152" i="7" s="1"/>
  <c r="AO147" i="7"/>
  <c r="AO152" i="7" s="1"/>
  <c r="AJ160" i="7"/>
  <c r="AW49" i="8"/>
  <c r="BF118" i="9"/>
  <c r="BF117" i="9"/>
  <c r="AT14" i="10"/>
  <c r="CB41" i="11"/>
  <c r="CB37" i="8" s="1"/>
  <c r="AK21" i="7" s="1"/>
  <c r="AK86" i="11"/>
  <c r="AT22" i="11"/>
  <c r="AT36" i="11" s="1"/>
  <c r="BB22" i="11"/>
  <c r="BB31" i="11" s="1"/>
  <c r="BE86" i="11"/>
  <c r="L132" i="9"/>
  <c r="T132" i="9"/>
  <c r="BA61" i="10"/>
  <c r="BA68" i="10" s="1"/>
  <c r="V65" i="10"/>
  <c r="AI108" i="10"/>
  <c r="BK22" i="11"/>
  <c r="BK42" i="11" s="1"/>
  <c r="BR22" i="11"/>
  <c r="BZ22" i="11"/>
  <c r="BK39" i="2" s="1"/>
  <c r="AY22" i="11"/>
  <c r="AY31" i="11" s="1"/>
  <c r="CG41" i="11"/>
  <c r="AT74" i="11"/>
  <c r="J86" i="11"/>
  <c r="J89" i="11" s="1"/>
  <c r="AF86" i="11"/>
  <c r="AW86" i="11"/>
  <c r="Y117" i="11"/>
  <c r="AO117" i="11"/>
  <c r="AO43" i="8" s="1"/>
  <c r="BE117" i="11"/>
  <c r="F130" i="11"/>
  <c r="N130" i="11"/>
  <c r="N44" i="8" s="1"/>
  <c r="N51" i="8" s="1"/>
  <c r="N52" i="8" s="1"/>
  <c r="V130" i="11"/>
  <c r="V44" i="8" s="1"/>
  <c r="V46" i="8" s="1"/>
  <c r="V47" i="8" s="1"/>
  <c r="AD130" i="11"/>
  <c r="AL130" i="11"/>
  <c r="AL44" i="8" s="1"/>
  <c r="AT130" i="11"/>
  <c r="AT44" i="8" s="1"/>
  <c r="BB130" i="11"/>
  <c r="BB44" i="8" s="1"/>
  <c r="CH130" i="11"/>
  <c r="CP130" i="11"/>
  <c r="CP44" i="8" s="1"/>
  <c r="BU130" i="11"/>
  <c r="CC130" i="11"/>
  <c r="AS165" i="11"/>
  <c r="B126" i="7" s="1"/>
  <c r="BA165" i="11"/>
  <c r="J126" i="7" s="1"/>
  <c r="BR165" i="11"/>
  <c r="BZ165" i="11"/>
  <c r="AI126" i="7" s="1"/>
  <c r="M132" i="9"/>
  <c r="U132" i="9"/>
  <c r="X55" i="10"/>
  <c r="BB61" i="10"/>
  <c r="BB68" i="10" s="1"/>
  <c r="AD54" i="10"/>
  <c r="BR68" i="10"/>
  <c r="AI109" i="10"/>
  <c r="AI110" i="10" s="1"/>
  <c r="AJ22" i="11"/>
  <c r="AV63" i="11"/>
  <c r="CB63" i="11"/>
  <c r="AU74" i="11"/>
  <c r="K86" i="11"/>
  <c r="K89" i="11" s="1"/>
  <c r="AG86" i="11"/>
  <c r="AO86" i="11"/>
  <c r="G117" i="11"/>
  <c r="O117" i="11"/>
  <c r="Z117" i="11"/>
  <c r="AH117" i="11"/>
  <c r="AP117" i="11"/>
  <c r="AP43" i="8" s="1"/>
  <c r="AX117" i="11"/>
  <c r="BF117" i="11"/>
  <c r="G130" i="11"/>
  <c r="O130" i="11"/>
  <c r="O44" i="8" s="1"/>
  <c r="O51" i="8" s="1"/>
  <c r="O54" i="11" s="1"/>
  <c r="W130" i="11"/>
  <c r="W44" i="8" s="1"/>
  <c r="W51" i="8" s="1"/>
  <c r="AE130" i="11"/>
  <c r="AE44" i="8" s="1"/>
  <c r="AE51" i="8" s="1"/>
  <c r="AE52" i="8" s="1"/>
  <c r="K51" i="2" s="1"/>
  <c r="AM130" i="11"/>
  <c r="AM44" i="8" s="1"/>
  <c r="AU130" i="11"/>
  <c r="AU44" i="8" s="1"/>
  <c r="BC130" i="11"/>
  <c r="BC44" i="8" s="1"/>
  <c r="CI130" i="11"/>
  <c r="CI44" i="8" s="1"/>
  <c r="CO130" i="11"/>
  <c r="CO44" i="8" s="1"/>
  <c r="I130" i="11"/>
  <c r="Q130" i="11"/>
  <c r="Q44" i="8" s="1"/>
  <c r="Y130" i="11"/>
  <c r="Y44" i="8" s="1"/>
  <c r="AG130" i="11"/>
  <c r="AG44" i="8" s="1"/>
  <c r="AG46" i="8" s="1"/>
  <c r="AG47" i="8" s="1"/>
  <c r="M52" i="2" s="1"/>
  <c r="AO130" i="11"/>
  <c r="AO44" i="8" s="1"/>
  <c r="AW130" i="11"/>
  <c r="AW44" i="8" s="1"/>
  <c r="BE130" i="11"/>
  <c r="BE44" i="8" s="1"/>
  <c r="AT165" i="11"/>
  <c r="C126" i="7" s="1"/>
  <c r="BC165" i="11"/>
  <c r="N132" i="9"/>
  <c r="V132" i="9"/>
  <c r="AI61" i="10"/>
  <c r="AS61" i="10"/>
  <c r="AS68" i="10" s="1"/>
  <c r="X65" i="10"/>
  <c r="W54" i="10"/>
  <c r="W48" i="10" s="1"/>
  <c r="W57" i="10" s="1"/>
  <c r="AN65" i="10"/>
  <c r="AN71" i="10" s="1"/>
  <c r="AK72" i="7"/>
  <c r="AK22" i="11"/>
  <c r="AK31" i="11" s="1"/>
  <c r="BA22" i="11"/>
  <c r="BA36" i="11" s="1"/>
  <c r="AN63" i="11"/>
  <c r="AO87" i="7"/>
  <c r="AL74" i="11"/>
  <c r="L86" i="11"/>
  <c r="L89" i="11" s="1"/>
  <c r="AZ86" i="11"/>
  <c r="H117" i="11"/>
  <c r="P117" i="11"/>
  <c r="AA117" i="11"/>
  <c r="AI117" i="11"/>
  <c r="AQ117" i="11"/>
  <c r="AQ43" i="8" s="1"/>
  <c r="AY117" i="11"/>
  <c r="BG117" i="11"/>
  <c r="I117" i="11"/>
  <c r="H130" i="11"/>
  <c r="H79" i="8" s="1"/>
  <c r="P130" i="11"/>
  <c r="P44" i="8" s="1"/>
  <c r="P46" i="8" s="1"/>
  <c r="P47" i="8" s="1"/>
  <c r="X130" i="11"/>
  <c r="AN130" i="11"/>
  <c r="AN44" i="8" s="1"/>
  <c r="AU165" i="11"/>
  <c r="D126" i="7" s="1"/>
  <c r="CL97" i="14"/>
  <c r="CM97" i="14" s="1"/>
  <c r="DI36" i="14"/>
  <c r="CE148" i="14"/>
  <c r="CU166" i="14"/>
  <c r="T44" i="8"/>
  <c r="AF44" i="8"/>
  <c r="AF46" i="8" s="1"/>
  <c r="AF47" i="8" s="1"/>
  <c r="L52" i="2" s="1"/>
  <c r="H86" i="11"/>
  <c r="H89" i="11" s="1"/>
  <c r="F86" i="11"/>
  <c r="F89" i="11" s="1"/>
  <c r="G86" i="11"/>
  <c r="G89" i="11" s="1"/>
  <c r="P86" i="11"/>
  <c r="P100" i="11" s="1"/>
  <c r="CC78" i="10"/>
  <c r="AE79" i="7"/>
  <c r="AJ79" i="7"/>
  <c r="AO79" i="7"/>
  <c r="AE99" i="7"/>
  <c r="BP12" i="8"/>
  <c r="BT12" i="8"/>
  <c r="BX12" i="8"/>
  <c r="BX21" i="8" s="1"/>
  <c r="BD7" i="2" s="1"/>
  <c r="Y95" i="7"/>
  <c r="AH95" i="7"/>
  <c r="AM95" i="7"/>
  <c r="CB12" i="8"/>
  <c r="CB21" i="8" s="1"/>
  <c r="CF21" i="8"/>
  <c r="CF32" i="8" s="1"/>
  <c r="BL58" i="2" s="1"/>
  <c r="Y72" i="7"/>
  <c r="AC72" i="7"/>
  <c r="AO72" i="7"/>
  <c r="BN117" i="11"/>
  <c r="BV117" i="11"/>
  <c r="BV43" i="8" s="1"/>
  <c r="BZ117" i="11"/>
  <c r="BZ43" i="8" s="1"/>
  <c r="CD117" i="11"/>
  <c r="CD168" i="11" s="1"/>
  <c r="CH115" i="11"/>
  <c r="AQ108" i="7"/>
  <c r="BX22" i="11"/>
  <c r="BQ86" i="11"/>
  <c r="BU86" i="11"/>
  <c r="BA11" i="2" s="1"/>
  <c r="BI117" i="11"/>
  <c r="DK36" i="14"/>
  <c r="DA193" i="14"/>
  <c r="AH84" i="9"/>
  <c r="AH86" i="9" s="1"/>
  <c r="AH109" i="9" s="1"/>
  <c r="AI84" i="9"/>
  <c r="AS74" i="11"/>
  <c r="F117" i="11"/>
  <c r="J117" i="11"/>
  <c r="N117" i="11"/>
  <c r="CK165" i="14"/>
  <c r="CJ165" i="14" s="1"/>
  <c r="CK146" i="14"/>
  <c r="CU193" i="14"/>
  <c r="CZ50" i="14" s="1"/>
  <c r="AD48" i="10"/>
  <c r="AD57" i="10" s="1"/>
  <c r="AV65" i="10"/>
  <c r="AV71" i="10" s="1"/>
  <c r="AV53" i="10"/>
  <c r="AL37" i="7"/>
  <c r="BO70" i="10"/>
  <c r="BO118" i="10" s="1"/>
  <c r="X48" i="10"/>
  <c r="X57" i="10" s="1"/>
  <c r="AB65" i="10"/>
  <c r="AB53" i="10"/>
  <c r="BK71" i="10"/>
  <c r="AZ65" i="10"/>
  <c r="AZ71" i="10" s="1"/>
  <c r="AZ53" i="10"/>
  <c r="AJ106" i="10"/>
  <c r="BD106" i="10"/>
  <c r="AZ106" i="10"/>
  <c r="AZ108" i="10" s="1"/>
  <c r="BM108" i="10"/>
  <c r="AG179" i="7"/>
  <c r="J194" i="7"/>
  <c r="J195" i="7" s="1"/>
  <c r="N194" i="7"/>
  <c r="N195" i="7" s="1"/>
  <c r="R194" i="7"/>
  <c r="R195" i="7" s="1"/>
  <c r="V194" i="7"/>
  <c r="Z194" i="7"/>
  <c r="Z195" i="7" s="1"/>
  <c r="AF87" i="8"/>
  <c r="AY14" i="10"/>
  <c r="BD14" i="10"/>
  <c r="AJ40" i="10"/>
  <c r="W53" i="10"/>
  <c r="AC54" i="10"/>
  <c r="AC48" i="10" s="1"/>
  <c r="BJ54" i="10"/>
  <c r="BJ48" i="10" s="1"/>
  <c r="BJ57" i="10" s="1"/>
  <c r="BD63" i="10"/>
  <c r="BD65" i="10" s="1"/>
  <c r="AL108" i="10"/>
  <c r="AB31" i="7"/>
  <c r="AE38" i="7"/>
  <c r="AK169" i="7"/>
  <c r="AM170" i="7"/>
  <c r="AE179" i="7"/>
  <c r="AC179" i="7"/>
  <c r="AH179" i="7"/>
  <c r="AJ49" i="8"/>
  <c r="W84" i="9" s="1"/>
  <c r="W85" i="9" s="1"/>
  <c r="AN49" i="8"/>
  <c r="BR70" i="10"/>
  <c r="BR118" i="10" s="1"/>
  <c r="AI117" i="9"/>
  <c r="AN117" i="9"/>
  <c r="AS117" i="9"/>
  <c r="AX117" i="9"/>
  <c r="BC117" i="9"/>
  <c r="BH117" i="9"/>
  <c r="BN117" i="9"/>
  <c r="BN118" i="9"/>
  <c r="Y40" i="10"/>
  <c r="BS40" i="10"/>
  <c r="BP53" i="10"/>
  <c r="BK54" i="10"/>
  <c r="BK48" i="10" s="1"/>
  <c r="BK57" i="10" s="1"/>
  <c r="BK61" i="10"/>
  <c r="BK68" i="10" s="1"/>
  <c r="BK53" i="10"/>
  <c r="V54" i="10"/>
  <c r="AA54" i="10"/>
  <c r="AI54" i="10"/>
  <c r="BL54" i="10"/>
  <c r="BS65" i="10"/>
  <c r="BG63" i="10"/>
  <c r="BG54" i="10" s="1"/>
  <c r="BF54" i="10"/>
  <c r="BO63" i="10"/>
  <c r="BO54" i="10" s="1"/>
  <c r="AI67" i="10"/>
  <c r="AB106" i="10"/>
  <c r="BP70" i="10"/>
  <c r="BP118" i="10" s="1"/>
  <c r="BP119" i="10" s="1"/>
  <c r="AN67" i="10"/>
  <c r="AN53" i="10"/>
  <c r="BC61" i="10"/>
  <c r="BC68" i="10" s="1"/>
  <c r="BC53" i="10"/>
  <c r="W109" i="10"/>
  <c r="W110" i="10" s="1"/>
  <c r="X106" i="10"/>
  <c r="X108" i="10" s="1"/>
  <c r="AM109" i="10"/>
  <c r="AM110" i="10" s="1"/>
  <c r="AN106" i="10"/>
  <c r="AN108" i="10" s="1"/>
  <c r="AU109" i="10"/>
  <c r="AU110" i="10" s="1"/>
  <c r="AV106" i="10"/>
  <c r="AE31" i="7"/>
  <c r="W37" i="7"/>
  <c r="AH37" i="7"/>
  <c r="AM37" i="7"/>
  <c r="AL169" i="7"/>
  <c r="BN14" i="10"/>
  <c r="BS14" i="10"/>
  <c r="CB76" i="11"/>
  <c r="BK120" i="10"/>
  <c r="AU54" i="10"/>
  <c r="AU48" i="10" s="1"/>
  <c r="AU57" i="10" s="1"/>
  <c r="X67" i="10"/>
  <c r="Z67" i="10" s="1"/>
  <c r="X61" i="10"/>
  <c r="AR61" i="10"/>
  <c r="AR68" i="10" s="1"/>
  <c r="AR53" i="10"/>
  <c r="BL61" i="10"/>
  <c r="BL68" i="10" s="1"/>
  <c r="BL53" i="10"/>
  <c r="AB54" i="10"/>
  <c r="AA65" i="10"/>
  <c r="AA53" i="10"/>
  <c r="AF65" i="10"/>
  <c r="AF71" i="10" s="1"/>
  <c r="AJ63" i="10"/>
  <c r="AJ65" i="10" s="1"/>
  <c r="AU65" i="10"/>
  <c r="AU71" i="10" s="1"/>
  <c r="BC65" i="10"/>
  <c r="BT63" i="10"/>
  <c r="BT54" i="10" s="1"/>
  <c r="BT48" i="10" s="1"/>
  <c r="BT57" i="10" s="1"/>
  <c r="AM67" i="10"/>
  <c r="AP109" i="10"/>
  <c r="AP110" i="10" s="1"/>
  <c r="AP103" i="10"/>
  <c r="AL109" i="10"/>
  <c r="AL110" i="10" s="1"/>
  <c r="AM106" i="10"/>
  <c r="AD108" i="10"/>
  <c r="AD103" i="10"/>
  <c r="AO165" i="11"/>
  <c r="CK159" i="14"/>
  <c r="CJ160" i="14"/>
  <c r="CF76" i="11" s="1"/>
  <c r="BR111" i="10" s="1"/>
  <c r="AU61" i="10"/>
  <c r="AZ61" i="10"/>
  <c r="AZ68" i="10" s="1"/>
  <c r="BM61" i="10"/>
  <c r="BR61" i="10"/>
  <c r="BJ61" i="10"/>
  <c r="BJ68" i="10" s="1"/>
  <c r="BU65" i="10"/>
  <c r="BU54" i="10"/>
  <c r="BU53" i="10"/>
  <c r="BO68" i="10"/>
  <c r="V108" i="10"/>
  <c r="AN109" i="10"/>
  <c r="AN110" i="10" s="1"/>
  <c r="AZ109" i="10"/>
  <c r="AZ110" i="10" s="1"/>
  <c r="CA74" i="11"/>
  <c r="AK165" i="11"/>
  <c r="AP165" i="11"/>
  <c r="CH160" i="14"/>
  <c r="CD76" i="11" s="1"/>
  <c r="Z17" i="10"/>
  <c r="BI17" i="10"/>
  <c r="AH120" i="10"/>
  <c r="BQ44" i="10"/>
  <c r="AE40" i="10"/>
  <c r="BI40" i="10"/>
  <c r="AQ61" i="10"/>
  <c r="AQ68" i="10" s="1"/>
  <c r="AV61" i="10"/>
  <c r="AV68" i="10" s="1"/>
  <c r="BF61" i="10"/>
  <c r="BF68" i="10" s="1"/>
  <c r="BP54" i="10"/>
  <c r="BP48" i="10" s="1"/>
  <c r="Z65" i="10"/>
  <c r="Y65" i="10" s="1"/>
  <c r="AD65" i="10"/>
  <c r="AC126" i="10"/>
  <c r="BN65" i="10"/>
  <c r="AE111" i="10"/>
  <c r="AE103" i="10" s="1"/>
  <c r="BK109" i="10"/>
  <c r="BK110" i="10" s="1"/>
  <c r="AL165" i="11"/>
  <c r="CB161" i="14"/>
  <c r="CD12" i="8"/>
  <c r="CD21" i="8" s="1"/>
  <c r="CH12" i="8"/>
  <c r="CH21" i="8" s="1"/>
  <c r="BK130" i="11"/>
  <c r="BK44" i="8" s="1"/>
  <c r="BO130" i="11"/>
  <c r="CA130" i="11"/>
  <c r="CE130" i="11"/>
  <c r="BJ117" i="11"/>
  <c r="BK117" i="11"/>
  <c r="BO117" i="11"/>
  <c r="BS117" i="11"/>
  <c r="BW117" i="11"/>
  <c r="CA117" i="11"/>
  <c r="CE117" i="11"/>
  <c r="CF56" i="12"/>
  <c r="CL130" i="11"/>
  <c r="CL44" i="8" s="1"/>
  <c r="BI22" i="13"/>
  <c r="BI67" i="11"/>
  <c r="BI74" i="11" s="1"/>
  <c r="BC37" i="6"/>
  <c r="BC71" i="6"/>
  <c r="BK41" i="13"/>
  <c r="BK157" i="11"/>
  <c r="T122" i="7" s="1"/>
  <c r="BA37" i="6"/>
  <c r="BA71" i="6"/>
  <c r="BI14" i="13"/>
  <c r="AZ18" i="13"/>
  <c r="BN23" i="13"/>
  <c r="BV38" i="13"/>
  <c r="BV37" i="13"/>
  <c r="BR13" i="13"/>
  <c r="BR16" i="13" s="1"/>
  <c r="CG15" i="13"/>
  <c r="CG85" i="13" s="1"/>
  <c r="BB37" i="6"/>
  <c r="BK14" i="13"/>
  <c r="CB14" i="13"/>
  <c r="CB86" i="13" s="1"/>
  <c r="CE20" i="13"/>
  <c r="BB37" i="13"/>
  <c r="BJ37" i="13"/>
  <c r="CI37" i="13"/>
  <c r="CI38" i="13"/>
  <c r="BZ36" i="13"/>
  <c r="BX19" i="13"/>
  <c r="BX20" i="13" s="1"/>
  <c r="CH26" i="13"/>
  <c r="BZ37" i="13"/>
  <c r="AJ106" i="7"/>
  <c r="BK21" i="8"/>
  <c r="BK28" i="8" s="1"/>
  <c r="BW21" i="8"/>
  <c r="BW32" i="8" s="1"/>
  <c r="BC58" i="2" s="1"/>
  <c r="BY74" i="11"/>
  <c r="BP117" i="11"/>
  <c r="BT117" i="11"/>
  <c r="BX117" i="11"/>
  <c r="BI22" i="11"/>
  <c r="BI36" i="11" s="1"/>
  <c r="BM22" i="11"/>
  <c r="BM42" i="11" s="1"/>
  <c r="BV196" i="11"/>
  <c r="BZ196" i="11"/>
  <c r="BY22" i="11"/>
  <c r="BJ39" i="2" s="1"/>
  <c r="CC22" i="11"/>
  <c r="CH22" i="11"/>
  <c r="CH39" i="11" s="1"/>
  <c r="BQ117" i="11"/>
  <c r="BY117" i="11"/>
  <c r="BJ22" i="11"/>
  <c r="BJ31" i="11" s="1"/>
  <c r="BN22" i="11"/>
  <c r="BU117" i="11"/>
  <c r="CC117" i="11"/>
  <c r="BJ130" i="11"/>
  <c r="BJ44" i="8" s="1"/>
  <c r="BN130" i="11"/>
  <c r="BV130" i="11"/>
  <c r="BZ130" i="11"/>
  <c r="CD130" i="11"/>
  <c r="BX165" i="11"/>
  <c r="AG126" i="7" s="1"/>
  <c r="DD38" i="13"/>
  <c r="CH186" i="14"/>
  <c r="CI186" i="14" s="1"/>
  <c r="CG144" i="14"/>
  <c r="CF75" i="12"/>
  <c r="CF146" i="14"/>
  <c r="CK47" i="12"/>
  <c r="CK78" i="12" s="1"/>
  <c r="CF78" i="12"/>
  <c r="CA149" i="14"/>
  <c r="CA191" i="14" s="1"/>
  <c r="P78" i="6"/>
  <c r="AO78" i="6"/>
  <c r="AO82" i="6"/>
  <c r="X80" i="6"/>
  <c r="P82" i="6"/>
  <c r="X76" i="6"/>
  <c r="X78" i="6"/>
  <c r="AO80" i="6"/>
  <c r="P80" i="6"/>
  <c r="X82" i="6"/>
  <c r="E78" i="6"/>
  <c r="T78" i="6"/>
  <c r="AO81" i="6"/>
  <c r="AB80" i="6"/>
  <c r="E82" i="6"/>
  <c r="T82" i="6"/>
  <c r="M78" i="6"/>
  <c r="AG78" i="6"/>
  <c r="AG80" i="6"/>
  <c r="AG82" i="6"/>
  <c r="AL78" i="6"/>
  <c r="Y80" i="6"/>
  <c r="M82" i="6"/>
  <c r="Y78" i="6"/>
  <c r="AL80" i="6"/>
  <c r="M80" i="6"/>
  <c r="Y82" i="6"/>
  <c r="F78" i="6"/>
  <c r="U78" i="6"/>
  <c r="AL81" i="6"/>
  <c r="F82" i="6"/>
  <c r="U82" i="6"/>
  <c r="O78" i="6"/>
  <c r="AI78" i="6"/>
  <c r="AI79" i="6"/>
  <c r="AI80" i="6"/>
  <c r="AI81" i="6"/>
  <c r="AI82" i="6"/>
  <c r="AN78" i="6"/>
  <c r="AN82" i="6"/>
  <c r="W80" i="6"/>
  <c r="O82" i="6"/>
  <c r="W78" i="6"/>
  <c r="AN80" i="6"/>
  <c r="O80" i="6"/>
  <c r="W82" i="6"/>
  <c r="AM169" i="7"/>
  <c r="D78" i="6"/>
  <c r="S78" i="6"/>
  <c r="AN81" i="6"/>
  <c r="K80" i="6"/>
  <c r="AE80" i="6"/>
  <c r="S82" i="6"/>
  <c r="AM82" i="6"/>
  <c r="AM81" i="6"/>
  <c r="N76" i="6"/>
  <c r="R76" i="6"/>
  <c r="Z76" i="6"/>
  <c r="AD76" i="6"/>
  <c r="AH76" i="6"/>
  <c r="AN76" i="6"/>
  <c r="K76" i="6"/>
  <c r="O76" i="6"/>
  <c r="S76" i="6"/>
  <c r="W76" i="6"/>
  <c r="AE76" i="6"/>
  <c r="AI76" i="6"/>
  <c r="AO76" i="6"/>
  <c r="P76" i="6"/>
  <c r="T76" i="6"/>
  <c r="AJ76" i="6"/>
  <c r="AL76" i="6"/>
  <c r="U76" i="6"/>
  <c r="Y76" i="6"/>
  <c r="AL82" i="6"/>
  <c r="CC75" i="11"/>
  <c r="CC74" i="11" s="1"/>
  <c r="X13" i="15"/>
  <c r="O18" i="15"/>
  <c r="V24" i="15"/>
  <c r="AI24" i="15"/>
  <c r="AI23" i="15"/>
  <c r="AD24" i="15"/>
  <c r="AD23" i="15"/>
  <c r="AH22" i="15"/>
  <c r="AD18" i="15"/>
  <c r="AL26" i="15"/>
  <c r="AM51" i="15"/>
  <c r="AM42" i="15"/>
  <c r="AM13" i="15"/>
  <c r="N23" i="15"/>
  <c r="N18" i="15"/>
  <c r="AE23" i="15"/>
  <c r="AJ24" i="15"/>
  <c r="AC42" i="15"/>
  <c r="AC51" i="15"/>
  <c r="AH14" i="15"/>
  <c r="AH15" i="15"/>
  <c r="AH42" i="15"/>
  <c r="AH51" i="15"/>
  <c r="AH47" i="15"/>
  <c r="AH46" i="15"/>
  <c r="AH18" i="15"/>
  <c r="AM14" i="15"/>
  <c r="AM15" i="15"/>
  <c r="Q23" i="15"/>
  <c r="Q18" i="15"/>
  <c r="V19" i="15" s="1"/>
  <c r="V20" i="15" s="1"/>
  <c r="AF23" i="15"/>
  <c r="Y23" i="15"/>
  <c r="Y18" i="15"/>
  <c r="X47" i="15"/>
  <c r="X54" i="15" s="1"/>
  <c r="AC118" i="15"/>
  <c r="X46" i="15"/>
  <c r="X42" i="15"/>
  <c r="X48" i="15"/>
  <c r="X55" i="15" s="1"/>
  <c r="AC15" i="15"/>
  <c r="AC13" i="15"/>
  <c r="AH13" i="15"/>
  <c r="AM16" i="15"/>
  <c r="AJ23" i="15"/>
  <c r="Z22" i="15"/>
  <c r="V23" i="15"/>
  <c r="AI39" i="15"/>
  <c r="AI36" i="15"/>
  <c r="AI38" i="15"/>
  <c r="AM35" i="15"/>
  <c r="R26" i="15"/>
  <c r="AE39" i="15"/>
  <c r="AE36" i="15"/>
  <c r="AE38" i="15"/>
  <c r="AL41" i="15"/>
  <c r="AA39" i="15"/>
  <c r="AA36" i="15"/>
  <c r="AA38" i="15"/>
  <c r="AG23" i="15"/>
  <c r="W39" i="15"/>
  <c r="W36" i="15"/>
  <c r="W38" i="15"/>
  <c r="AH35" i="15"/>
  <c r="V38" i="15"/>
  <c r="Z38" i="15"/>
  <c r="AD38" i="15"/>
  <c r="AL38" i="15"/>
  <c r="T39" i="15"/>
  <c r="AB39" i="15"/>
  <c r="AF39" i="15"/>
  <c r="AJ39" i="15"/>
  <c r="AN39" i="15"/>
  <c r="AI42" i="15"/>
  <c r="S53" i="15"/>
  <c r="AN38" i="15"/>
  <c r="U39" i="15"/>
  <c r="Y39" i="15"/>
  <c r="AG39" i="15"/>
  <c r="AK39" i="15"/>
  <c r="AJ42" i="15"/>
  <c r="N49" i="15"/>
  <c r="AN36" i="15"/>
  <c r="T38" i="15"/>
  <c r="AB38" i="15"/>
  <c r="AF38" i="15"/>
  <c r="AJ38" i="15"/>
  <c r="AA41" i="15"/>
  <c r="S55" i="15"/>
  <c r="AC35" i="15"/>
  <c r="AJ36" i="15"/>
  <c r="V27" i="12"/>
  <c r="U22" i="12"/>
  <c r="BB74" i="14"/>
  <c r="BB71" i="14"/>
  <c r="BB41" i="14"/>
  <c r="BV74" i="14"/>
  <c r="BV73" i="14" s="1"/>
  <c r="BV41" i="14"/>
  <c r="CA15" i="14"/>
  <c r="BY16" i="14"/>
  <c r="AH22" i="14"/>
  <c r="AD48" i="11" s="1"/>
  <c r="AD60" i="11" s="1"/>
  <c r="AU23" i="14"/>
  <c r="AS24" i="14"/>
  <c r="AS23" i="14"/>
  <c r="AS18" i="14"/>
  <c r="BN23" i="14"/>
  <c r="BG74" i="14"/>
  <c r="BG71" i="14" s="1"/>
  <c r="BG41" i="14"/>
  <c r="CK15" i="14"/>
  <c r="CK41" i="14"/>
  <c r="CK74" i="14"/>
  <c r="AO20" i="14"/>
  <c r="AY23" i="14"/>
  <c r="AY24" i="14"/>
  <c r="AT23" i="14"/>
  <c r="AT24" i="14"/>
  <c r="BF26" i="14"/>
  <c r="BE22" i="14"/>
  <c r="CE23" i="14"/>
  <c r="CE24" i="14"/>
  <c r="BL41" i="14"/>
  <c r="BL74" i="14"/>
  <c r="BL71" i="14" s="1"/>
  <c r="BL13" i="14"/>
  <c r="BL14" i="14" s="1"/>
  <c r="CA16" i="14"/>
  <c r="CK13" i="14"/>
  <c r="BH19" i="14"/>
  <c r="BH20" i="14" s="1"/>
  <c r="BX19" i="14"/>
  <c r="BX20" i="14" s="1"/>
  <c r="BC23" i="14"/>
  <c r="BI22" i="14"/>
  <c r="BN24" i="14" s="1"/>
  <c r="BJ26" i="14"/>
  <c r="BG13" i="14"/>
  <c r="BG16" i="14" s="1"/>
  <c r="AY19" i="14"/>
  <c r="AY20" i="14" s="1"/>
  <c r="BO23" i="14"/>
  <c r="BA26" i="14"/>
  <c r="AZ22" i="14"/>
  <c r="BM24" i="14"/>
  <c r="BR24" i="14"/>
  <c r="BM23" i="14"/>
  <c r="BM18" i="14"/>
  <c r="BB79" i="14"/>
  <c r="BB36" i="14"/>
  <c r="AW74" i="14"/>
  <c r="AW41" i="14"/>
  <c r="BQ74" i="14"/>
  <c r="BQ73" i="14" s="1"/>
  <c r="BQ41" i="14"/>
  <c r="CF74" i="14"/>
  <c r="CF41" i="14"/>
  <c r="R22" i="14"/>
  <c r="AP22" i="14"/>
  <c r="AU24" i="14" s="1"/>
  <c r="AX22" i="14"/>
  <c r="CD22" i="14"/>
  <c r="AN23" i="14"/>
  <c r="BD23" i="14"/>
  <c r="BH23" i="14"/>
  <c r="BT23" i="14"/>
  <c r="BX23" i="14"/>
  <c r="CB23" i="14"/>
  <c r="BH24" i="14"/>
  <c r="BS24" i="14"/>
  <c r="BX24" i="14"/>
  <c r="CI24" i="14"/>
  <c r="AV26" i="14"/>
  <c r="BP26" i="14"/>
  <c r="AW31" i="14"/>
  <c r="R35" i="14"/>
  <c r="AB37" i="14"/>
  <c r="AG37" i="14"/>
  <c r="AO37" i="14"/>
  <c r="AO36" i="14"/>
  <c r="AO38" i="14" s="1"/>
  <c r="AS37" i="14"/>
  <c r="AS36" i="14"/>
  <c r="AS38" i="14" s="1"/>
  <c r="AW35" i="14"/>
  <c r="BA37" i="14"/>
  <c r="BA36" i="14"/>
  <c r="BA38" i="14" s="1"/>
  <c r="BE37" i="14"/>
  <c r="BE36" i="14"/>
  <c r="BE38" i="14" s="1"/>
  <c r="BI37" i="14"/>
  <c r="BI36" i="14"/>
  <c r="BI38" i="14" s="1"/>
  <c r="BN38" i="14"/>
  <c r="BR38" i="14"/>
  <c r="BV35" i="14"/>
  <c r="BZ38" i="14"/>
  <c r="CD38" i="14"/>
  <c r="AR38" i="14"/>
  <c r="AX36" i="14"/>
  <c r="BC36" i="14"/>
  <c r="BH38" i="14" s="1"/>
  <c r="BN36" i="14"/>
  <c r="CD36" i="14"/>
  <c r="CI36" i="14"/>
  <c r="AT37" i="14"/>
  <c r="BJ37" i="14"/>
  <c r="BR37" i="14"/>
  <c r="BZ37" i="14"/>
  <c r="BK38" i="14"/>
  <c r="CA22" i="14"/>
  <c r="AN24" i="14"/>
  <c r="BD24" i="14"/>
  <c r="BT24" i="14"/>
  <c r="BB31" i="14"/>
  <c r="S35" i="14"/>
  <c r="X37" i="14" s="1"/>
  <c r="AC37" i="14"/>
  <c r="BT37" i="14"/>
  <c r="BT38" i="14"/>
  <c r="BX37" i="14"/>
  <c r="BX38" i="14"/>
  <c r="CB37" i="14"/>
  <c r="CB38" i="14"/>
  <c r="CA35" i="14"/>
  <c r="CJ37" i="14"/>
  <c r="CJ38" i="14"/>
  <c r="AY36" i="14"/>
  <c r="AY38" i="14" s="1"/>
  <c r="BJ36" i="14"/>
  <c r="BO36" i="14"/>
  <c r="CE36" i="14"/>
  <c r="AP37" i="14"/>
  <c r="AU37" i="14"/>
  <c r="BC37" i="14"/>
  <c r="BS37" i="14"/>
  <c r="BO38" i="14"/>
  <c r="CE38" i="14"/>
  <c r="BG51" i="14"/>
  <c r="BG48" i="14"/>
  <c r="BG78" i="14"/>
  <c r="Z27" i="14"/>
  <c r="U37" i="14"/>
  <c r="Y35" i="14"/>
  <c r="BP37" i="14"/>
  <c r="BP38" i="14"/>
  <c r="CG38" i="14"/>
  <c r="CG37" i="14"/>
  <c r="CG36" i="14"/>
  <c r="CK35" i="14"/>
  <c r="CO34" i="14" s="1"/>
  <c r="AU36" i="14"/>
  <c r="AU38" i="14" s="1"/>
  <c r="BF36" i="14"/>
  <c r="BK36" i="14"/>
  <c r="AH37" i="14"/>
  <c r="AQ37" i="14"/>
  <c r="CL37" i="14"/>
  <c r="BS38" i="14"/>
  <c r="CA74" i="14"/>
  <c r="CA41" i="14"/>
  <c r="CF15" i="14"/>
  <c r="CF16" i="14" s="1"/>
  <c r="CF76" i="14" s="1"/>
  <c r="CB18" i="14"/>
  <c r="AO24" i="14"/>
  <c r="BY24" i="14"/>
  <c r="CC22" i="14"/>
  <c r="CF22" i="14" s="1"/>
  <c r="CG24" i="14"/>
  <c r="BW23" i="14"/>
  <c r="BB30" i="14"/>
  <c r="BL35" i="14"/>
  <c r="BM38" i="14"/>
  <c r="BM37" i="14"/>
  <c r="BM36" i="14"/>
  <c r="BQ35" i="14"/>
  <c r="BU38" i="14"/>
  <c r="BU37" i="14"/>
  <c r="BU36" i="14"/>
  <c r="BY38" i="14"/>
  <c r="BY37" i="14"/>
  <c r="BY36" i="14"/>
  <c r="CC35" i="14"/>
  <c r="CF35" i="14" s="1"/>
  <c r="CH38" i="14"/>
  <c r="CL107" i="14"/>
  <c r="CL38" i="14"/>
  <c r="AQ36" i="14"/>
  <c r="AQ38" i="14" s="1"/>
  <c r="BW36" i="14"/>
  <c r="CH36" i="14"/>
  <c r="AY37" i="14"/>
  <c r="BO37" i="14"/>
  <c r="BW37" i="14"/>
  <c r="CE37" i="14"/>
  <c r="BW38" i="14"/>
  <c r="AQ40" i="14"/>
  <c r="AP41" i="14"/>
  <c r="BQ51" i="14"/>
  <c r="CU61" i="14"/>
  <c r="BL62" i="14"/>
  <c r="BV62" i="14"/>
  <c r="CP67" i="14"/>
  <c r="AR72" i="14"/>
  <c r="CL75" i="14"/>
  <c r="CH40" i="14"/>
  <c r="BL50" i="14"/>
  <c r="BQ50" i="14"/>
  <c r="BQ77" i="14"/>
  <c r="CS92" i="14"/>
  <c r="CT92" i="14" s="1"/>
  <c r="AH127" i="14"/>
  <c r="BB127" i="14"/>
  <c r="BV127" i="14"/>
  <c r="CP124" i="14"/>
  <c r="BG127" i="14"/>
  <c r="CF193" i="14"/>
  <c r="CU209" i="14"/>
  <c r="DE123" i="14"/>
  <c r="DF122" i="14"/>
  <c r="CU146" i="14"/>
  <c r="CL158" i="14"/>
  <c r="CM158" i="14" s="1"/>
  <c r="CM160" i="14" s="1"/>
  <c r="CZ209" i="14"/>
  <c r="CZ146" i="14"/>
  <c r="DA146" i="14"/>
  <c r="BY155" i="14"/>
  <c r="BZ155" i="14" s="1"/>
  <c r="CP159" i="14"/>
  <c r="CF159" i="14"/>
  <c r="CA146" i="14"/>
  <c r="CD158" i="14"/>
  <c r="CD161" i="14" s="1"/>
  <c r="BS74" i="11"/>
  <c r="BP86" i="11"/>
  <c r="BL117" i="11"/>
  <c r="BJ14" i="13"/>
  <c r="BJ20" i="13"/>
  <c r="BS19" i="13"/>
  <c r="BS20" i="13" s="1"/>
  <c r="BU18" i="13"/>
  <c r="BU19" i="13" s="1"/>
  <c r="BU20" i="13" s="1"/>
  <c r="BU24" i="13"/>
  <c r="BU23" i="13"/>
  <c r="BX74" i="11"/>
  <c r="BL86" i="11"/>
  <c r="AR11" i="2" s="1"/>
  <c r="CD20" i="13"/>
  <c r="CF86" i="11"/>
  <c r="BR87" i="13"/>
  <c r="BR59" i="13" s="1"/>
  <c r="BR41" i="13"/>
  <c r="BR30" i="13"/>
  <c r="CB54" i="13"/>
  <c r="CB57" i="13"/>
  <c r="CG57" i="13" s="1"/>
  <c r="CL57" i="13" s="1"/>
  <c r="CQ57" i="13" s="1"/>
  <c r="CB87" i="13"/>
  <c r="CB55" i="13"/>
  <c r="CG55" i="13" s="1"/>
  <c r="CL55" i="13" s="1"/>
  <c r="CB41" i="13"/>
  <c r="CG14" i="13"/>
  <c r="CG41" i="13"/>
  <c r="AW23" i="13"/>
  <c r="BZ23" i="13"/>
  <c r="BJ26" i="13"/>
  <c r="BK26" i="13"/>
  <c r="BK67" i="11" s="1"/>
  <c r="CA24" i="13"/>
  <c r="CA23" i="13"/>
  <c r="CF24" i="13"/>
  <c r="CF23" i="13"/>
  <c r="CP26" i="13"/>
  <c r="CP67" i="11" s="1"/>
  <c r="CM26" i="13"/>
  <c r="CM67" i="11" s="1"/>
  <c r="CD123" i="13"/>
  <c r="CD124" i="13" s="1"/>
  <c r="CD37" i="13"/>
  <c r="CD38" i="13"/>
  <c r="BB36" i="13"/>
  <c r="BC37" i="13"/>
  <c r="CB117" i="11"/>
  <c r="CJ117" i="11"/>
  <c r="BM13" i="13"/>
  <c r="BW13" i="13"/>
  <c r="CB13" i="13"/>
  <c r="CG13" i="13"/>
  <c r="CL14" i="13"/>
  <c r="AU18" i="13"/>
  <c r="BF18" i="13"/>
  <c r="BV18" i="13"/>
  <c r="CA18" i="13"/>
  <c r="CF18" i="13"/>
  <c r="BC23" i="13"/>
  <c r="BI23" i="13"/>
  <c r="CC19" i="13"/>
  <c r="CC20" i="13" s="1"/>
  <c r="CC23" i="13"/>
  <c r="CC24" i="13"/>
  <c r="BX24" i="13"/>
  <c r="BX23" i="13"/>
  <c r="CB22" i="13"/>
  <c r="CN26" i="13"/>
  <c r="BO22" i="13"/>
  <c r="BO35" i="13"/>
  <c r="BT37" i="13" s="1"/>
  <c r="BV36" i="13"/>
  <c r="BG37" i="13"/>
  <c r="CE37" i="13"/>
  <c r="CH123" i="13"/>
  <c r="BE23" i="13"/>
  <c r="BV23" i="13"/>
  <c r="CD23" i="13"/>
  <c r="BN24" i="13"/>
  <c r="CD24" i="13"/>
  <c r="BK35" i="13"/>
  <c r="BP37" i="13" s="1"/>
  <c r="BM27" i="13"/>
  <c r="BM107" i="11" s="1"/>
  <c r="BF38" i="13"/>
  <c r="BF37" i="13"/>
  <c r="CA38" i="13"/>
  <c r="AT36" i="13"/>
  <c r="BJ36" i="13"/>
  <c r="BM41" i="13"/>
  <c r="BM60" i="13"/>
  <c r="BM75" i="13"/>
  <c r="BL14" i="13"/>
  <c r="BW15" i="13"/>
  <c r="BW85" i="13" s="1"/>
  <c r="CG16" i="13"/>
  <c r="CL16" i="13"/>
  <c r="BA23" i="13"/>
  <c r="BS24" i="13"/>
  <c r="BY19" i="13"/>
  <c r="BY20" i="13" s="1"/>
  <c r="BY23" i="13"/>
  <c r="BY24" i="13"/>
  <c r="BP23" i="13"/>
  <c r="CE24" i="13"/>
  <c r="CE23" i="13"/>
  <c r="BL38" i="13"/>
  <c r="BL37" i="13"/>
  <c r="BL36" i="13"/>
  <c r="BR31" i="13"/>
  <c r="BM30" i="13"/>
  <c r="BC38" i="13"/>
  <c r="BN35" i="13"/>
  <c r="BS37" i="13" s="1"/>
  <c r="CH37" i="13"/>
  <c r="CD36" i="13"/>
  <c r="BQ37" i="13"/>
  <c r="BB38" i="13"/>
  <c r="CH38" i="13"/>
  <c r="BW87" i="13"/>
  <c r="BW41" i="13"/>
  <c r="CB15" i="13"/>
  <c r="CB85" i="13" s="1"/>
  <c r="BT23" i="13"/>
  <c r="CI26" i="13"/>
  <c r="CI67" i="11" s="1"/>
  <c r="BA38" i="13"/>
  <c r="BE38" i="13"/>
  <c r="BI38" i="13"/>
  <c r="BQ38" i="13"/>
  <c r="BU38" i="13"/>
  <c r="BY38" i="13"/>
  <c r="BY37" i="13"/>
  <c r="CC123" i="13"/>
  <c r="CC124" i="13" s="1"/>
  <c r="CC38" i="13"/>
  <c r="CC37" i="13"/>
  <c r="CG35" i="13"/>
  <c r="BA36" i="13"/>
  <c r="BE36" i="13"/>
  <c r="BI36" i="13"/>
  <c r="BQ36" i="13"/>
  <c r="BU36" i="13"/>
  <c r="BY36" i="13"/>
  <c r="CC36" i="13"/>
  <c r="BU37" i="13"/>
  <c r="AY38" i="13"/>
  <c r="BG38" i="13"/>
  <c r="CE38" i="13"/>
  <c r="BW35" i="13"/>
  <c r="AU36" i="13"/>
  <c r="AY36" i="13"/>
  <c r="BC36" i="13"/>
  <c r="BS36" i="13"/>
  <c r="CA36" i="13"/>
  <c r="BH37" i="13"/>
  <c r="CF37" i="13"/>
  <c r="BS38" i="13"/>
  <c r="CC41" i="13"/>
  <c r="BR76" i="13"/>
  <c r="CB135" i="13"/>
  <c r="CB136" i="13" s="1"/>
  <c r="BW22" i="13"/>
  <c r="BS23" i="13"/>
  <c r="AZ38" i="13"/>
  <c r="BD38" i="13"/>
  <c r="BH38" i="13"/>
  <c r="BP38" i="13"/>
  <c r="BX38" i="13"/>
  <c r="BX37" i="13"/>
  <c r="CB35" i="13"/>
  <c r="CF38" i="13"/>
  <c r="AV36" i="13"/>
  <c r="AZ36" i="13"/>
  <c r="BD36" i="13"/>
  <c r="BH36" i="13"/>
  <c r="BP36" i="13"/>
  <c r="BT36" i="13"/>
  <c r="BX36" i="13"/>
  <c r="CF36" i="13"/>
  <c r="BE37" i="13"/>
  <c r="BI37" i="13"/>
  <c r="CD40" i="13"/>
  <c r="BL40" i="13"/>
  <c r="BC66" i="13"/>
  <c r="CB132" i="13"/>
  <c r="CB56" i="13" s="1"/>
  <c r="CG56" i="13" s="1"/>
  <c r="CL56" i="13" s="1"/>
  <c r="CQ56" i="13" s="1"/>
  <c r="BW75" i="13"/>
  <c r="BW76" i="13" s="1"/>
  <c r="CP118" i="13"/>
  <c r="X105" i="7"/>
  <c r="J18" i="12"/>
  <c r="J19" i="12" s="1"/>
  <c r="J24" i="12"/>
  <c r="J23" i="12"/>
  <c r="N22" i="12"/>
  <c r="J44" i="11" s="1"/>
  <c r="BA23" i="12"/>
  <c r="BA18" i="12"/>
  <c r="BV18" i="12"/>
  <c r="CG23" i="12"/>
  <c r="CG24" i="12"/>
  <c r="CG18" i="12"/>
  <c r="CL22" i="12"/>
  <c r="CH66" i="11"/>
  <c r="AS22" i="11"/>
  <c r="CF15" i="12"/>
  <c r="BB29" i="12"/>
  <c r="BB23" i="12"/>
  <c r="CM106" i="11"/>
  <c r="CA16" i="12"/>
  <c r="AK74" i="11"/>
  <c r="AO74" i="11"/>
  <c r="BP165" i="11"/>
  <c r="AW51" i="12"/>
  <c r="AW41" i="12"/>
  <c r="BV41" i="12"/>
  <c r="BV51" i="12"/>
  <c r="CA15" i="12"/>
  <c r="AW13" i="12"/>
  <c r="AW14" i="12" s="1"/>
  <c r="CG102" i="12"/>
  <c r="CK102" i="12" s="1"/>
  <c r="CK81" i="12" s="1"/>
  <c r="CK15" i="12"/>
  <c r="CK50" i="12" s="1"/>
  <c r="BB41" i="12"/>
  <c r="BB51" i="12"/>
  <c r="AY24" i="12"/>
  <c r="L24" i="12"/>
  <c r="L23" i="12"/>
  <c r="AQ26" i="12"/>
  <c r="AZ23" i="12"/>
  <c r="AZ18" i="12"/>
  <c r="BB18" i="12" s="1"/>
  <c r="BT23" i="12"/>
  <c r="BT24" i="12"/>
  <c r="BT18" i="12"/>
  <c r="BT19" i="12" s="1"/>
  <c r="BT20" i="12" s="1"/>
  <c r="BG51" i="12"/>
  <c r="BG41" i="12"/>
  <c r="BG30" i="12"/>
  <c r="M13" i="12"/>
  <c r="BG13" i="12"/>
  <c r="BG16" i="12" s="1"/>
  <c r="BB13" i="12"/>
  <c r="BB14" i="12" s="1"/>
  <c r="CA51" i="12"/>
  <c r="CA41" i="12"/>
  <c r="CF14" i="12"/>
  <c r="CF16" i="12" s="1"/>
  <c r="BW18" i="12"/>
  <c r="CC18" i="12"/>
  <c r="CH19" i="12"/>
  <c r="CH20" i="12" s="1"/>
  <c r="S22" i="12"/>
  <c r="O44" i="11" s="1"/>
  <c r="O56" i="11" s="1"/>
  <c r="AT24" i="12"/>
  <c r="AT23" i="12"/>
  <c r="BZ24" i="12"/>
  <c r="AO24" i="12"/>
  <c r="BU24" i="12"/>
  <c r="AU22" i="12"/>
  <c r="AV26" i="12"/>
  <c r="BC22" i="12"/>
  <c r="BD26" i="12"/>
  <c r="L31" i="12"/>
  <c r="H31" i="12"/>
  <c r="H30" i="12"/>
  <c r="AW30" i="12"/>
  <c r="AW35" i="12"/>
  <c r="AW31" i="12"/>
  <c r="BZ74" i="11"/>
  <c r="CD74" i="11"/>
  <c r="AJ165" i="11"/>
  <c r="AV165" i="11"/>
  <c r="E126" i="7" s="1"/>
  <c r="BD165" i="11"/>
  <c r="M126" i="7" s="1"/>
  <c r="BL41" i="12"/>
  <c r="BL51" i="12"/>
  <c r="BL13" i="12"/>
  <c r="BL14" i="12" s="1"/>
  <c r="AX19" i="12"/>
  <c r="AX20" i="12" s="1"/>
  <c r="CD19" i="12"/>
  <c r="CD20" i="12" s="1"/>
  <c r="CE19" i="12"/>
  <c r="CE20" i="12" s="1"/>
  <c r="BM22" i="12"/>
  <c r="CH24" i="12"/>
  <c r="AN23" i="12"/>
  <c r="AN24" i="12"/>
  <c r="AN18" i="12"/>
  <c r="AN19" i="12" s="1"/>
  <c r="AN20" i="12" s="1"/>
  <c r="BI26" i="12"/>
  <c r="BH22" i="12"/>
  <c r="BR24" i="12"/>
  <c r="BV22" i="12"/>
  <c r="BR23" i="12"/>
  <c r="BW24" i="12"/>
  <c r="CA22" i="12"/>
  <c r="CB23" i="12"/>
  <c r="CB24" i="12"/>
  <c r="CF22" i="12"/>
  <c r="CB18" i="12"/>
  <c r="CZ95" i="12"/>
  <c r="CZ96" i="12" s="1"/>
  <c r="CZ27" i="12"/>
  <c r="CV27" i="12" s="1"/>
  <c r="AS130" i="11"/>
  <c r="AS44" i="8" s="1"/>
  <c r="BQ51" i="12"/>
  <c r="BQ41" i="12"/>
  <c r="BQ13" i="12"/>
  <c r="BQ14" i="12" s="1"/>
  <c r="BV13" i="12"/>
  <c r="BV16" i="12" s="1"/>
  <c r="AT19" i="12"/>
  <c r="AT20" i="12" s="1"/>
  <c r="BZ19" i="12"/>
  <c r="BZ20" i="12" s="1"/>
  <c r="M24" i="12"/>
  <c r="M23" i="12"/>
  <c r="AP24" i="12"/>
  <c r="AP23" i="12"/>
  <c r="AX24" i="12"/>
  <c r="AX23" i="12"/>
  <c r="BP23" i="12"/>
  <c r="BP18" i="12"/>
  <c r="BX23" i="12"/>
  <c r="BX24" i="12"/>
  <c r="BX18" i="12"/>
  <c r="BX19" i="12" s="1"/>
  <c r="BX20" i="12" s="1"/>
  <c r="CK66" i="11"/>
  <c r="Z35" i="12"/>
  <c r="AA27" i="12"/>
  <c r="M30" i="12"/>
  <c r="CF51" i="12"/>
  <c r="CF41" i="12"/>
  <c r="BN23" i="12"/>
  <c r="BZ23" i="12"/>
  <c r="CD23" i="12"/>
  <c r="CH23" i="12"/>
  <c r="R37" i="12"/>
  <c r="F31" i="12"/>
  <c r="AS36" i="12"/>
  <c r="BI36" i="12"/>
  <c r="Y37" i="12"/>
  <c r="AX37" i="12"/>
  <c r="BI37" i="12"/>
  <c r="BM38" i="12"/>
  <c r="CH38" i="12"/>
  <c r="BV82" i="12"/>
  <c r="BR36" i="12"/>
  <c r="BZ36" i="12"/>
  <c r="T38" i="12"/>
  <c r="AD38" i="12"/>
  <c r="BN38" i="12"/>
  <c r="K23" i="12"/>
  <c r="BV30" i="12"/>
  <c r="I31" i="12"/>
  <c r="U35" i="12"/>
  <c r="AG37" i="12"/>
  <c r="AB37" i="12"/>
  <c r="AG38" i="12"/>
  <c r="AB38" i="12"/>
  <c r="BA37" i="12"/>
  <c r="BA38" i="12"/>
  <c r="BJ82" i="12"/>
  <c r="BJ38" i="12"/>
  <c r="AO36" i="12"/>
  <c r="BE36" i="12"/>
  <c r="CI98" i="12"/>
  <c r="CI99" i="12" s="1"/>
  <c r="CI101" i="12" s="1"/>
  <c r="CI82" i="12"/>
  <c r="CI38" i="12"/>
  <c r="CI36" i="12"/>
  <c r="CI37" i="12"/>
  <c r="AD37" i="12"/>
  <c r="BN37" i="12"/>
  <c r="BR38" i="12"/>
  <c r="BG35" i="12"/>
  <c r="AP37" i="12"/>
  <c r="AP38" i="12"/>
  <c r="BF37" i="12"/>
  <c r="BF38" i="12"/>
  <c r="CC37" i="12"/>
  <c r="CC36" i="12"/>
  <c r="AP36" i="12"/>
  <c r="AX36" i="12"/>
  <c r="BF36" i="12"/>
  <c r="BV36" i="12"/>
  <c r="AT37" i="12"/>
  <c r="BE37" i="12"/>
  <c r="BZ37" i="12"/>
  <c r="BI38" i="12"/>
  <c r="S35" i="12"/>
  <c r="W38" i="12"/>
  <c r="W37" i="12"/>
  <c r="CF35" i="12"/>
  <c r="CB36" i="12"/>
  <c r="AR36" i="12"/>
  <c r="AV36" i="12"/>
  <c r="AZ36" i="12"/>
  <c r="BH36" i="12"/>
  <c r="BP36" i="12"/>
  <c r="BX36" i="12"/>
  <c r="CH82" i="12"/>
  <c r="CH98" i="12"/>
  <c r="CH99" i="12" s="1"/>
  <c r="CH101" i="12" s="1"/>
  <c r="CH36" i="12"/>
  <c r="CH37" i="12"/>
  <c r="BH37" i="12"/>
  <c r="CB38" i="12"/>
  <c r="CL38" i="12"/>
  <c r="AQ40" i="12"/>
  <c r="AY41" i="12"/>
  <c r="CH41" i="12"/>
  <c r="CI40" i="12"/>
  <c r="BG31" i="12"/>
  <c r="AM38" i="12"/>
  <c r="AM37" i="12"/>
  <c r="AQ38" i="12"/>
  <c r="AQ37" i="12"/>
  <c r="AU38" i="12"/>
  <c r="AU37" i="12"/>
  <c r="AY38" i="12"/>
  <c r="AY37" i="12"/>
  <c r="BC38" i="12"/>
  <c r="BC37" i="12"/>
  <c r="BK82" i="12"/>
  <c r="BK38" i="12"/>
  <c r="BK37" i="12"/>
  <c r="BO38" i="12"/>
  <c r="BO37" i="12"/>
  <c r="BS38" i="12"/>
  <c r="BS37" i="12"/>
  <c r="BW38" i="12"/>
  <c r="BW37" i="12"/>
  <c r="CA35" i="12"/>
  <c r="CE38" i="12"/>
  <c r="AQ36" i="12"/>
  <c r="AU36" i="12"/>
  <c r="AY36" i="12"/>
  <c r="BC36" i="12"/>
  <c r="BK36" i="12"/>
  <c r="BO36" i="12"/>
  <c r="BS36" i="12"/>
  <c r="BW36" i="12"/>
  <c r="CG82" i="12"/>
  <c r="CG98" i="12"/>
  <c r="CK35" i="12"/>
  <c r="CG37" i="12"/>
  <c r="CL37" i="12"/>
  <c r="AV37" i="12"/>
  <c r="CB37" i="12"/>
  <c r="AV40" i="12"/>
  <c r="BF40" i="12"/>
  <c r="CJ98" i="12"/>
  <c r="CJ99" i="12" s="1"/>
  <c r="CJ101" i="12" s="1"/>
  <c r="CJ37" i="12"/>
  <c r="CF53" i="12"/>
  <c r="CF67" i="12" s="1"/>
  <c r="CK44" i="12"/>
  <c r="AR49" i="12"/>
  <c r="BN49" i="12"/>
  <c r="BS46" i="12"/>
  <c r="BI46" i="12"/>
  <c r="AD87" i="9"/>
  <c r="AD85" i="9"/>
  <c r="AD86" i="9"/>
  <c r="AD109" i="9" s="1"/>
  <c r="AD88" i="9"/>
  <c r="AM85" i="9"/>
  <c r="AM87" i="9"/>
  <c r="AM88" i="9"/>
  <c r="AM86" i="9"/>
  <c r="AM109" i="9" s="1"/>
  <c r="AU39" i="11"/>
  <c r="AU182" i="11" s="1"/>
  <c r="BC31" i="11"/>
  <c r="BK85" i="9"/>
  <c r="BK87" i="9"/>
  <c r="BK86" i="9"/>
  <c r="BK109" i="9" s="1"/>
  <c r="BK88" i="9"/>
  <c r="BS85" i="9"/>
  <c r="BS88" i="9"/>
  <c r="BS87" i="9"/>
  <c r="BS86" i="9"/>
  <c r="AO39" i="11"/>
  <c r="AO182" i="11" s="1"/>
  <c r="AO42" i="11"/>
  <c r="AO36" i="11"/>
  <c r="AO31" i="11"/>
  <c r="BE39" i="11"/>
  <c r="BE182" i="11" s="1"/>
  <c r="BE42" i="11"/>
  <c r="BE36" i="11"/>
  <c r="BE31" i="11"/>
  <c r="BR79" i="9"/>
  <c r="AQ85" i="9"/>
  <c r="AQ86" i="9"/>
  <c r="AQ109" i="9" s="1"/>
  <c r="BF88" i="9"/>
  <c r="BF85" i="9"/>
  <c r="BF87" i="9"/>
  <c r="BF86" i="9"/>
  <c r="BF109" i="9" s="1"/>
  <c r="AQ39" i="11"/>
  <c r="AQ182" i="11" s="1"/>
  <c r="BG36" i="11"/>
  <c r="BG31" i="11"/>
  <c r="BG39" i="11"/>
  <c r="BG182" i="11" s="1"/>
  <c r="BF36" i="11"/>
  <c r="BF31" i="11"/>
  <c r="BF39" i="11"/>
  <c r="BF182" i="11" s="1"/>
  <c r="AN21" i="8"/>
  <c r="BH21" i="8"/>
  <c r="BH35" i="8" s="1"/>
  <c r="AN59" i="2" s="1"/>
  <c r="BQ100" i="10"/>
  <c r="BQ101" i="10" s="1"/>
  <c r="BM103" i="10"/>
  <c r="AP108" i="10"/>
  <c r="BT196" i="11"/>
  <c r="BX196" i="11"/>
  <c r="AN22" i="11"/>
  <c r="AR22" i="11"/>
  <c r="AV22" i="11"/>
  <c r="AV100" i="11" s="1"/>
  <c r="AZ22" i="11"/>
  <c r="BD22" i="11"/>
  <c r="BH22" i="11"/>
  <c r="BQ22" i="11"/>
  <c r="BV22" i="11"/>
  <c r="BG39" i="2" s="1"/>
  <c r="CD22" i="11"/>
  <c r="Q33" i="11"/>
  <c r="V33" i="11"/>
  <c r="Q32" i="11"/>
  <c r="U33" i="11"/>
  <c r="Z33" i="11"/>
  <c r="U32" i="11"/>
  <c r="Y33" i="11"/>
  <c r="AD33" i="11"/>
  <c r="Y32" i="11"/>
  <c r="AC33" i="11"/>
  <c r="AH33" i="11"/>
  <c r="AC32" i="11"/>
  <c r="AG33" i="11"/>
  <c r="AG32" i="11"/>
  <c r="AQ42" i="11"/>
  <c r="AU42" i="11"/>
  <c r="BG42" i="11"/>
  <c r="BN57" i="11"/>
  <c r="BV57" i="11"/>
  <c r="BZ57" i="11"/>
  <c r="CD57" i="11"/>
  <c r="AS21" i="8"/>
  <c r="X76" i="9"/>
  <c r="X81" i="9" s="1"/>
  <c r="AN76" i="9"/>
  <c r="BL22" i="11"/>
  <c r="BU196" i="11"/>
  <c r="BP22" i="11"/>
  <c r="BY196" i="11"/>
  <c r="BT22" i="11"/>
  <c r="CF22" i="11"/>
  <c r="CE22" i="11"/>
  <c r="AP60" i="11"/>
  <c r="BJ60" i="11"/>
  <c r="BN60" i="11"/>
  <c r="BV60" i="11"/>
  <c r="CD60" i="11"/>
  <c r="BZ61" i="11"/>
  <c r="AO106" i="7"/>
  <c r="BI21" i="8"/>
  <c r="BI35" i="8" s="1"/>
  <c r="AO59" i="2" s="1"/>
  <c r="BM21" i="8"/>
  <c r="AS7" i="2" s="1"/>
  <c r="BU21" i="8"/>
  <c r="BA7" i="2" s="1"/>
  <c r="BY21" i="8"/>
  <c r="AL22" i="11"/>
  <c r="AL42" i="11" s="1"/>
  <c r="BS22" i="11"/>
  <c r="BS42" i="11" s="1"/>
  <c r="CA22" i="11"/>
  <c r="CA42" i="11" s="1"/>
  <c r="AL56" i="11"/>
  <c r="AP56" i="11"/>
  <c r="AT56" i="11"/>
  <c r="AX56" i="11"/>
  <c r="BJ56" i="11"/>
  <c r="BN56" i="11"/>
  <c r="BV56" i="11"/>
  <c r="BZ56" i="11"/>
  <c r="CD56" i="11"/>
  <c r="R107" i="7"/>
  <c r="BJ21" i="8"/>
  <c r="BJ32" i="8" s="1"/>
  <c r="AP58" i="2" s="1"/>
  <c r="BV21" i="8"/>
  <c r="BB7" i="2" s="1"/>
  <c r="AG103" i="10"/>
  <c r="AL103" i="10"/>
  <c r="AS108" i="10"/>
  <c r="BH109" i="10"/>
  <c r="BH110" i="10" s="1"/>
  <c r="BS196" i="11"/>
  <c r="CA196" i="11"/>
  <c r="AM22" i="11"/>
  <c r="BO22" i="11"/>
  <c r="BU22" i="11"/>
  <c r="BW22" i="11"/>
  <c r="CB22" i="11"/>
  <c r="BF42" i="11"/>
  <c r="AU56" i="11"/>
  <c r="BK56" i="11"/>
  <c r="BO56" i="11"/>
  <c r="BS56" i="11"/>
  <c r="CA56" i="11"/>
  <c r="CE56" i="11"/>
  <c r="BU57" i="11"/>
  <c r="BY57" i="11"/>
  <c r="CC57" i="11"/>
  <c r="CB35" i="11"/>
  <c r="CB38" i="11"/>
  <c r="AK56" i="11"/>
  <c r="AO56" i="11"/>
  <c r="AW56" i="11"/>
  <c r="BQ56" i="11"/>
  <c r="BU56" i="11"/>
  <c r="BY56" i="11"/>
  <c r="CC56" i="11"/>
  <c r="BP57" i="11"/>
  <c r="BT57" i="11"/>
  <c r="BX57" i="11"/>
  <c r="CF57" i="11"/>
  <c r="AJ60" i="11"/>
  <c r="AZ60" i="11"/>
  <c r="BD60" i="11"/>
  <c r="BP60" i="11"/>
  <c r="BT60" i="11"/>
  <c r="BX60" i="11"/>
  <c r="BS61" i="11"/>
  <c r="CA61" i="11"/>
  <c r="AK63" i="11"/>
  <c r="AO63" i="11"/>
  <c r="AS63" i="11"/>
  <c r="AW63" i="11"/>
  <c r="BA63" i="11"/>
  <c r="BE63" i="11"/>
  <c r="BI63" i="11"/>
  <c r="BM63" i="11"/>
  <c r="BQ63" i="11"/>
  <c r="BU63" i="11"/>
  <c r="BY63" i="11"/>
  <c r="AJ74" i="11"/>
  <c r="AN74" i="11"/>
  <c r="AV74" i="11"/>
  <c r="BD74" i="11"/>
  <c r="CG35" i="11"/>
  <c r="CG38" i="11"/>
  <c r="BW41" i="11"/>
  <c r="AK60" i="11"/>
  <c r="AO60" i="11"/>
  <c r="BI60" i="11"/>
  <c r="BU60" i="11"/>
  <c r="CC60" i="11"/>
  <c r="BP61" i="11"/>
  <c r="BX61" i="11"/>
  <c r="AL63" i="11"/>
  <c r="AP63" i="11"/>
  <c r="AT63" i="11"/>
  <c r="AX63" i="11"/>
  <c r="BB63" i="11"/>
  <c r="BF63" i="11"/>
  <c r="BJ63" i="11"/>
  <c r="BN63" i="11"/>
  <c r="BR63" i="11"/>
  <c r="BV63" i="11"/>
  <c r="BZ63" i="11"/>
  <c r="P33" i="11"/>
  <c r="T33" i="11"/>
  <c r="X33" i="11"/>
  <c r="AB33" i="11"/>
  <c r="AF33" i="11"/>
  <c r="BY61" i="11"/>
  <c r="CC61" i="11"/>
  <c r="AM63" i="11"/>
  <c r="AQ63" i="11"/>
  <c r="AU63" i="11"/>
  <c r="AY63" i="11"/>
  <c r="BC63" i="11"/>
  <c r="BG63" i="11"/>
  <c r="BK63" i="11"/>
  <c r="BO63" i="11"/>
  <c r="BS63" i="11"/>
  <c r="BW63" i="11"/>
  <c r="CA63" i="11"/>
  <c r="BW35" i="11"/>
  <c r="BW38" i="11"/>
  <c r="AJ56" i="11"/>
  <c r="AV56" i="11"/>
  <c r="BL56" i="11"/>
  <c r="BP56" i="11"/>
  <c r="BT56" i="11"/>
  <c r="BX56" i="11"/>
  <c r="CF56" i="11"/>
  <c r="BS57" i="11"/>
  <c r="CA57" i="11"/>
  <c r="CE57" i="11"/>
  <c r="AQ60" i="11"/>
  <c r="AU60" i="11"/>
  <c r="AY60" i="11"/>
  <c r="BK60" i="11"/>
  <c r="BO60" i="11"/>
  <c r="BS60" i="11"/>
  <c r="CA60" i="11"/>
  <c r="T100" i="11"/>
  <c r="T89" i="11"/>
  <c r="AN92" i="11"/>
  <c r="AR92" i="11"/>
  <c r="BD92" i="11"/>
  <c r="BT92" i="11"/>
  <c r="BX92" i="11"/>
  <c r="BI93" i="11"/>
  <c r="BQ93" i="11"/>
  <c r="BU93" i="11"/>
  <c r="AL96" i="11"/>
  <c r="AP96" i="11"/>
  <c r="AT96" i="11"/>
  <c r="AX96" i="11"/>
  <c r="BB96" i="11"/>
  <c r="BF96" i="11"/>
  <c r="BJ96" i="11"/>
  <c r="BN96" i="11"/>
  <c r="BV96" i="11"/>
  <c r="BZ96" i="11"/>
  <c r="BK97" i="11"/>
  <c r="BO97" i="11"/>
  <c r="BS97" i="11"/>
  <c r="CA97" i="11"/>
  <c r="CF96" i="11"/>
  <c r="CF97" i="11"/>
  <c r="AG89" i="11"/>
  <c r="BI92" i="11"/>
  <c r="CC92" i="11"/>
  <c r="BJ93" i="11"/>
  <c r="BV93" i="11"/>
  <c r="BZ93" i="11"/>
  <c r="CD93" i="11"/>
  <c r="CH93" i="11"/>
  <c r="AM96" i="11"/>
  <c r="AQ96" i="11"/>
  <c r="AU96" i="11"/>
  <c r="AY96" i="11"/>
  <c r="BG96" i="11"/>
  <c r="BK96" i="11"/>
  <c r="BO96" i="11"/>
  <c r="BS96" i="11"/>
  <c r="CA96" i="11"/>
  <c r="BL97" i="11"/>
  <c r="BP97" i="11"/>
  <c r="BT97" i="11"/>
  <c r="BX97" i="11"/>
  <c r="CC96" i="11"/>
  <c r="CH97" i="11"/>
  <c r="I86" i="11"/>
  <c r="I89" i="11" s="1"/>
  <c r="Z92" i="11"/>
  <c r="Z86" i="11"/>
  <c r="AD92" i="11"/>
  <c r="AD86" i="11"/>
  <c r="AH92" i="11"/>
  <c r="AH86" i="11"/>
  <c r="AL92" i="11"/>
  <c r="AL86" i="11"/>
  <c r="R11" i="2" s="1"/>
  <c r="AP92" i="11"/>
  <c r="AP86" i="11"/>
  <c r="AT92" i="11"/>
  <c r="AT86" i="11"/>
  <c r="BB92" i="11"/>
  <c r="BB86" i="11"/>
  <c r="BF92" i="11"/>
  <c r="BF86" i="11"/>
  <c r="BJ92" i="11"/>
  <c r="BJ86" i="11"/>
  <c r="BN92" i="11"/>
  <c r="BR92" i="11"/>
  <c r="BV92" i="11"/>
  <c r="BV86" i="11"/>
  <c r="BZ92" i="11"/>
  <c r="BZ86" i="11"/>
  <c r="CD92" i="11"/>
  <c r="CD86" i="11"/>
  <c r="CH92" i="11"/>
  <c r="CH86" i="11"/>
  <c r="BN11" i="2" s="1"/>
  <c r="BS93" i="11"/>
  <c r="CA93" i="11"/>
  <c r="CE93" i="11"/>
  <c r="AJ96" i="11"/>
  <c r="AN96" i="11"/>
  <c r="AR96" i="11"/>
  <c r="AV96" i="11"/>
  <c r="AZ96" i="11"/>
  <c r="BD96" i="11"/>
  <c r="BL96" i="11"/>
  <c r="BP96" i="11"/>
  <c r="BT96" i="11"/>
  <c r="BX96" i="11"/>
  <c r="CD97" i="11"/>
  <c r="AK99" i="11"/>
  <c r="AO99" i="11"/>
  <c r="AS99" i="11"/>
  <c r="AW99" i="11"/>
  <c r="BA99" i="11"/>
  <c r="CB74" i="11"/>
  <c r="S92" i="11"/>
  <c r="S86" i="11"/>
  <c r="AA92" i="11"/>
  <c r="AA86" i="11"/>
  <c r="AE86" i="11"/>
  <c r="AE92" i="11"/>
  <c r="AI92" i="11"/>
  <c r="AI86" i="11"/>
  <c r="O11" i="2" s="1"/>
  <c r="AM92" i="11"/>
  <c r="AM86" i="11"/>
  <c r="S11" i="2" s="1"/>
  <c r="AQ92" i="11"/>
  <c r="AQ86" i="11"/>
  <c r="AU86" i="11"/>
  <c r="AU92" i="11"/>
  <c r="AY92" i="11"/>
  <c r="AY86" i="11"/>
  <c r="BG92" i="11"/>
  <c r="BG86" i="11"/>
  <c r="BK92" i="11"/>
  <c r="BO92" i="11"/>
  <c r="BS92" i="11"/>
  <c r="BS86" i="11"/>
  <c r="AY11" i="2" s="1"/>
  <c r="CA86" i="11"/>
  <c r="BG11" i="2" s="1"/>
  <c r="CA92" i="11"/>
  <c r="CE92" i="11"/>
  <c r="CE86" i="11"/>
  <c r="BL93" i="11"/>
  <c r="BP93" i="11"/>
  <c r="BT93" i="11"/>
  <c r="BX93" i="11"/>
  <c r="CF93" i="11"/>
  <c r="BI96" i="11"/>
  <c r="BQ96" i="11"/>
  <c r="BU96" i="11"/>
  <c r="BJ97" i="11"/>
  <c r="BN97" i="11"/>
  <c r="BV97" i="11"/>
  <c r="BZ97" i="11"/>
  <c r="CE96" i="11"/>
  <c r="CE97" i="11"/>
  <c r="AL99" i="11"/>
  <c r="AP99" i="11"/>
  <c r="AT99" i="11"/>
  <c r="AX99" i="11"/>
  <c r="BB99" i="11"/>
  <c r="BF99" i="11"/>
  <c r="BJ99" i="11"/>
  <c r="BN99" i="11"/>
  <c r="BR99" i="11"/>
  <c r="BV99" i="11"/>
  <c r="BZ99" i="11"/>
  <c r="CZ133" i="11"/>
  <c r="BY93" i="11"/>
  <c r="CC93" i="11"/>
  <c r="AK96" i="11"/>
  <c r="AO96" i="11"/>
  <c r="AW96" i="11"/>
  <c r="BA96" i="11"/>
  <c r="BE96" i="11"/>
  <c r="AJ99" i="11"/>
  <c r="AN99" i="11"/>
  <c r="AR99" i="11"/>
  <c r="AV99" i="11"/>
  <c r="AZ99" i="11"/>
  <c r="BD99" i="11"/>
  <c r="BL99" i="11"/>
  <c r="BP99" i="11"/>
  <c r="BT99" i="11"/>
  <c r="BX99" i="11"/>
  <c r="T92" i="11"/>
  <c r="AJ92" i="11"/>
  <c r="AO92" i="11"/>
  <c r="AZ92" i="11"/>
  <c r="BE92" i="11"/>
  <c r="BP92" i="11"/>
  <c r="BU92" i="11"/>
  <c r="CF92" i="11"/>
  <c r="BE99" i="11"/>
  <c r="BI99" i="11"/>
  <c r="BM99" i="11"/>
  <c r="BQ99" i="11"/>
  <c r="BU99" i="11"/>
  <c r="BY99" i="11"/>
  <c r="P92" i="11"/>
  <c r="U92" i="11"/>
  <c r="AF92" i="11"/>
  <c r="AK92" i="11"/>
  <c r="AV92" i="11"/>
  <c r="BA92" i="11"/>
  <c r="BL92" i="11"/>
  <c r="BQ92" i="11"/>
  <c r="CC97" i="11"/>
  <c r="CH96" i="11"/>
  <c r="X86" i="11"/>
  <c r="AB86" i="11"/>
  <c r="AN86" i="11"/>
  <c r="T11" i="2" s="1"/>
  <c r="AR86" i="11"/>
  <c r="BD86" i="11"/>
  <c r="BT86" i="11"/>
  <c r="BX86" i="11"/>
  <c r="CC86" i="11"/>
  <c r="AG92" i="11"/>
  <c r="AW92" i="11"/>
  <c r="BI97" i="11"/>
  <c r="BQ97" i="11"/>
  <c r="BU97" i="11"/>
  <c r="CZ138" i="11"/>
  <c r="CZ137" i="11"/>
  <c r="BY97" i="11"/>
  <c r="CD96" i="11"/>
  <c r="AM99" i="11"/>
  <c r="AQ99" i="11"/>
  <c r="AU99" i="11"/>
  <c r="AY99" i="11"/>
  <c r="BC99" i="11"/>
  <c r="BG99" i="11"/>
  <c r="BK99" i="11"/>
  <c r="BO99" i="11"/>
  <c r="BS99" i="11"/>
  <c r="BW99" i="11"/>
  <c r="CA99" i="11"/>
  <c r="AC86" i="11"/>
  <c r="I44" i="2" s="1"/>
  <c r="BI86" i="11"/>
  <c r="CB99" i="11"/>
  <c r="BY92" i="11"/>
  <c r="CG117" i="11"/>
  <c r="BD130" i="11"/>
  <c r="BD44" i="8" s="1"/>
  <c r="BH130" i="11"/>
  <c r="BH44" i="8" s="1"/>
  <c r="BL130" i="11"/>
  <c r="BL44" i="8" s="1"/>
  <c r="BP130" i="11"/>
  <c r="BT130" i="11"/>
  <c r="BX130" i="11"/>
  <c r="CF130" i="11"/>
  <c r="CJ130" i="11"/>
  <c r="CN130" i="11"/>
  <c r="CN44" i="8" s="1"/>
  <c r="CV130" i="11"/>
  <c r="CV44" i="8" s="1"/>
  <c r="BW130" i="11"/>
  <c r="BW44" i="8" s="1"/>
  <c r="BR130" i="11"/>
  <c r="BR44" i="8" s="1"/>
  <c r="CG120" i="11"/>
  <c r="CG130" i="11" s="1"/>
  <c r="CG44" i="8" s="1"/>
  <c r="BS130" i="11"/>
  <c r="BM130" i="11"/>
  <c r="BM44" i="8" s="1"/>
  <c r="CB130" i="11"/>
  <c r="C119" i="11"/>
  <c r="AM145" i="11"/>
  <c r="AQ145" i="11"/>
  <c r="AU145" i="11"/>
  <c r="AY145" i="11"/>
  <c r="BC145" i="11"/>
  <c r="BG145" i="11"/>
  <c r="BK145" i="11"/>
  <c r="BO145" i="11"/>
  <c r="BS145" i="11"/>
  <c r="CA145" i="11"/>
  <c r="CE145" i="11"/>
  <c r="BJ146" i="11"/>
  <c r="BN146" i="11"/>
  <c r="BR146" i="11"/>
  <c r="BV146" i="11"/>
  <c r="BZ146" i="11"/>
  <c r="CD146" i="11"/>
  <c r="CH146" i="11"/>
  <c r="AL149" i="11"/>
  <c r="AP149" i="11"/>
  <c r="AT149" i="11"/>
  <c r="AX149" i="11"/>
  <c r="BB149" i="11"/>
  <c r="BF149" i="11"/>
  <c r="BJ149" i="11"/>
  <c r="BN149" i="11"/>
  <c r="BV149" i="11"/>
  <c r="BZ149" i="11"/>
  <c r="CD149" i="11"/>
  <c r="CH149" i="11"/>
  <c r="BK151" i="11"/>
  <c r="BO151" i="11"/>
  <c r="BS151" i="11"/>
  <c r="CA151" i="11"/>
  <c r="CE151" i="11"/>
  <c r="AM153" i="11"/>
  <c r="AR153" i="11"/>
  <c r="AX153" i="11"/>
  <c r="BC153" i="11"/>
  <c r="BH153" i="11"/>
  <c r="BM153" i="11"/>
  <c r="BR153" i="11"/>
  <c r="BV153" i="11"/>
  <c r="CA153" i="11"/>
  <c r="BW153" i="11"/>
  <c r="AS153" i="11"/>
  <c r="AJ145" i="11"/>
  <c r="AN145" i="11"/>
  <c r="AR145" i="11"/>
  <c r="AV145" i="11"/>
  <c r="AZ143" i="11"/>
  <c r="AZ145" i="11"/>
  <c r="BD145" i="11"/>
  <c r="BL145" i="11"/>
  <c r="BP145" i="11"/>
  <c r="BT145" i="11"/>
  <c r="BX145" i="11"/>
  <c r="CF145" i="11"/>
  <c r="BK146" i="11"/>
  <c r="BO146" i="11"/>
  <c r="BS146" i="11"/>
  <c r="CA146" i="11"/>
  <c r="CE146" i="11"/>
  <c r="AM149" i="11"/>
  <c r="AQ149" i="11"/>
  <c r="AU149" i="11"/>
  <c r="AY149" i="11"/>
  <c r="BG149" i="11"/>
  <c r="BK149" i="11"/>
  <c r="BO149" i="11"/>
  <c r="BS149" i="11"/>
  <c r="CA149" i="11"/>
  <c r="CE149" i="11"/>
  <c r="BL151" i="11"/>
  <c r="BP151" i="11"/>
  <c r="BT151" i="11"/>
  <c r="BX151" i="11"/>
  <c r="CF151" i="11"/>
  <c r="AJ153" i="11"/>
  <c r="AO153" i="11"/>
  <c r="AT153" i="11"/>
  <c r="AY153" i="11"/>
  <c r="BD153" i="11"/>
  <c r="BI153" i="11"/>
  <c r="BN153" i="11"/>
  <c r="BS153" i="11"/>
  <c r="BX153" i="11"/>
  <c r="BG153" i="11"/>
  <c r="AY143" i="11"/>
  <c r="AK145" i="11"/>
  <c r="AO145" i="11"/>
  <c r="AS145" i="11"/>
  <c r="AW145" i="11"/>
  <c r="BA143" i="11"/>
  <c r="BA145" i="11"/>
  <c r="BE145" i="11"/>
  <c r="BI145" i="11"/>
  <c r="BQ145" i="11"/>
  <c r="BU145" i="11"/>
  <c r="BY145" i="11"/>
  <c r="CC145" i="11"/>
  <c r="BL146" i="11"/>
  <c r="BP146" i="11"/>
  <c r="BT146" i="11"/>
  <c r="BX146" i="11"/>
  <c r="CF146" i="11"/>
  <c r="AJ149" i="11"/>
  <c r="AN149" i="11"/>
  <c r="AR149" i="11"/>
  <c r="AV149" i="11"/>
  <c r="AZ149" i="11"/>
  <c r="BD149" i="11"/>
  <c r="BL149" i="11"/>
  <c r="BP149" i="11"/>
  <c r="BT149" i="11"/>
  <c r="BX149" i="11"/>
  <c r="CF149" i="11"/>
  <c r="BI151" i="11"/>
  <c r="BQ151" i="11"/>
  <c r="BU151" i="11"/>
  <c r="BY151" i="11"/>
  <c r="CC151" i="11"/>
  <c r="AK153" i="11"/>
  <c r="AP153" i="11"/>
  <c r="AU153" i="11"/>
  <c r="BE153" i="11"/>
  <c r="BJ153" i="11"/>
  <c r="BO153" i="11"/>
  <c r="BY153" i="11"/>
  <c r="BB153" i="11"/>
  <c r="AL145" i="11"/>
  <c r="AP145" i="11"/>
  <c r="AT145" i="11"/>
  <c r="BB145" i="11"/>
  <c r="BB143" i="11"/>
  <c r="BF145" i="11"/>
  <c r="BJ145" i="11"/>
  <c r="BN145" i="11"/>
  <c r="BR145" i="11"/>
  <c r="BV145" i="11"/>
  <c r="BZ145" i="11"/>
  <c r="CD145" i="11"/>
  <c r="CH145" i="11"/>
  <c r="BI146" i="11"/>
  <c r="BM146" i="11"/>
  <c r="BQ146" i="11"/>
  <c r="BU146" i="11"/>
  <c r="BY146" i="11"/>
  <c r="CC146" i="11"/>
  <c r="AK149" i="11"/>
  <c r="AO149" i="11"/>
  <c r="AS149" i="11"/>
  <c r="AW149" i="11"/>
  <c r="BA149" i="11"/>
  <c r="BE149" i="11"/>
  <c r="BI149" i="11"/>
  <c r="BQ149" i="11"/>
  <c r="BU149" i="11"/>
  <c r="BY149" i="11"/>
  <c r="CC149" i="11"/>
  <c r="BJ151" i="11"/>
  <c r="BN151" i="11"/>
  <c r="BV151" i="11"/>
  <c r="BZ151" i="11"/>
  <c r="CD151" i="11"/>
  <c r="CH151" i="11"/>
  <c r="AL153" i="11"/>
  <c r="AQ153" i="11"/>
  <c r="AV153" i="11"/>
  <c r="BA153" i="11"/>
  <c r="BF153" i="11"/>
  <c r="BK153" i="11"/>
  <c r="BP153" i="11"/>
  <c r="BU153" i="11"/>
  <c r="BZ153" i="11"/>
  <c r="AW153" i="11"/>
  <c r="BQ153" i="11"/>
  <c r="AZ153" i="11"/>
  <c r="BT153" i="11"/>
  <c r="AN153" i="11"/>
  <c r="BL153" i="11"/>
  <c r="CB153" i="11"/>
  <c r="CC165" i="11"/>
  <c r="BO165" i="11"/>
  <c r="BS165" i="11"/>
  <c r="CA165" i="11"/>
  <c r="AJ126" i="7" s="1"/>
  <c r="BE165" i="11"/>
  <c r="BM165" i="11"/>
  <c r="BQ165" i="11"/>
  <c r="BY165" i="11"/>
  <c r="AH126" i="7" s="1"/>
  <c r="CH209" i="11"/>
  <c r="CH213" i="11" s="1"/>
  <c r="CG213" i="11"/>
  <c r="Y183" i="11"/>
  <c r="AS183" i="11"/>
  <c r="BM183" i="11"/>
  <c r="CM209" i="11"/>
  <c r="CM213" i="11" s="1"/>
  <c r="AI179" i="7"/>
  <c r="AB179" i="7"/>
  <c r="AJ179" i="7"/>
  <c r="AN179" i="7"/>
  <c r="Z15" i="10"/>
  <c r="X15" i="10"/>
  <c r="AX16" i="10"/>
  <c r="AY16" i="10" s="1"/>
  <c r="BC16" i="10"/>
  <c r="BD16" i="10" s="1"/>
  <c r="BC17" i="10"/>
  <c r="BD17" i="10" s="1"/>
  <c r="AQ117" i="10"/>
  <c r="AQ120" i="10" s="1"/>
  <c r="AQ36" i="10"/>
  <c r="AO179" i="7"/>
  <c r="AX17" i="10"/>
  <c r="AY17" i="10" s="1"/>
  <c r="AD117" i="10"/>
  <c r="AD120" i="10" s="1"/>
  <c r="BH35" i="10"/>
  <c r="BH29" i="10"/>
  <c r="BI28" i="10"/>
  <c r="AF178" i="7" s="1"/>
  <c r="AL179" i="7"/>
  <c r="AX18" i="10"/>
  <c r="AY18" i="10" s="1"/>
  <c r="BC18" i="10"/>
  <c r="BD18" i="10" s="1"/>
  <c r="X117" i="10"/>
  <c r="AV117" i="10"/>
  <c r="AV120" i="10" s="1"/>
  <c r="AV96" i="10"/>
  <c r="BE36" i="10"/>
  <c r="AX15" i="10"/>
  <c r="AY15" i="10" s="1"/>
  <c r="BC15" i="10"/>
  <c r="BD15" i="10" s="1"/>
  <c r="BA117" i="10"/>
  <c r="BA120" i="10" s="1"/>
  <c r="BA29" i="10"/>
  <c r="D195" i="7"/>
  <c r="I195" i="7"/>
  <c r="M195" i="7"/>
  <c r="U195" i="7"/>
  <c r="Y195" i="7"/>
  <c r="AC195" i="7"/>
  <c r="AJ195" i="7"/>
  <c r="AI16" i="10"/>
  <c r="BI16" i="10"/>
  <c r="AV19" i="10"/>
  <c r="AB25" i="10"/>
  <c r="AF117" i="10"/>
  <c r="AF96" i="10"/>
  <c r="AF36" i="10"/>
  <c r="AN117" i="10"/>
  <c r="AN36" i="10"/>
  <c r="BO29" i="10"/>
  <c r="BT29" i="10"/>
  <c r="AY32" i="10"/>
  <c r="V182" i="7" s="1"/>
  <c r="BD33" i="10"/>
  <c r="AA183" i="7" s="1"/>
  <c r="AD35" i="10"/>
  <c r="AD36" i="10" s="1"/>
  <c r="BN35" i="10"/>
  <c r="AK184" i="7" s="1"/>
  <c r="AB127" i="10"/>
  <c r="AB84" i="10"/>
  <c r="AB83" i="10" s="1"/>
  <c r="AC38" i="10"/>
  <c r="AD38" i="10" s="1"/>
  <c r="AQ127" i="10"/>
  <c r="AQ84" i="10"/>
  <c r="AQ83" i="10" s="1"/>
  <c r="AR38" i="10"/>
  <c r="AS38" i="10" s="1"/>
  <c r="AW88" i="10"/>
  <c r="AW87" i="10" s="1"/>
  <c r="AY39" i="10"/>
  <c r="V188" i="7" s="1"/>
  <c r="BA127" i="10"/>
  <c r="BA84" i="10"/>
  <c r="BA83" i="10" s="1"/>
  <c r="BB38" i="10"/>
  <c r="BD38" i="10" s="1"/>
  <c r="BC38" i="10"/>
  <c r="BK127" i="10"/>
  <c r="BK84" i="10"/>
  <c r="BK43" i="10"/>
  <c r="BN43" i="10" s="1"/>
  <c r="BL38" i="10"/>
  <c r="AW128" i="10"/>
  <c r="AW92" i="10"/>
  <c r="AY42" i="10"/>
  <c r="BB128" i="10"/>
  <c r="BB92" i="10"/>
  <c r="BD42" i="10"/>
  <c r="BG128" i="10"/>
  <c r="BG92" i="10"/>
  <c r="BI42" i="10"/>
  <c r="AY46" i="10"/>
  <c r="AX46" i="10"/>
  <c r="F195" i="7"/>
  <c r="AL195" i="7"/>
  <c r="BM118" i="10"/>
  <c r="AJ14" i="10"/>
  <c r="G171" i="7" s="1"/>
  <c r="AT18" i="10"/>
  <c r="BF117" i="10"/>
  <c r="BF120" i="10" s="1"/>
  <c r="BF96" i="10"/>
  <c r="BS13" i="10"/>
  <c r="AP169" i="7" s="1"/>
  <c r="Y117" i="10"/>
  <c r="Y120" i="10" s="1"/>
  <c r="AG117" i="10"/>
  <c r="AG120" i="10" s="1"/>
  <c r="AG36" i="10"/>
  <c r="AK117" i="10"/>
  <c r="AK120" i="10" s="1"/>
  <c r="AK36" i="10"/>
  <c r="AS117" i="10"/>
  <c r="X32" i="10"/>
  <c r="X36" i="10" s="1"/>
  <c r="X44" i="10" s="1"/>
  <c r="AH32" i="10"/>
  <c r="E182" i="7" s="1"/>
  <c r="AI32" i="10"/>
  <c r="F182" i="7" s="1"/>
  <c r="BI35" i="10"/>
  <c r="AG127" i="10"/>
  <c r="AG84" i="10"/>
  <c r="AG83" i="10" s="1"/>
  <c r="AI38" i="10"/>
  <c r="AV127" i="10"/>
  <c r="AV84" i="10"/>
  <c r="AV83" i="10" s="1"/>
  <c r="BA88" i="10"/>
  <c r="BP127" i="10"/>
  <c r="BP84" i="10"/>
  <c r="BS38" i="10"/>
  <c r="AQ128" i="10"/>
  <c r="AQ92" i="10"/>
  <c r="AQ93" i="10" s="1"/>
  <c r="AT42" i="10"/>
  <c r="AR42" i="10"/>
  <c r="AX128" i="10"/>
  <c r="AX92" i="10"/>
  <c r="BC128" i="10"/>
  <c r="BC92" i="10"/>
  <c r="BG43" i="10"/>
  <c r="BD46" i="10"/>
  <c r="BC46" i="10"/>
  <c r="K195" i="7"/>
  <c r="O195" i="7"/>
  <c r="S195" i="7"/>
  <c r="W195" i="7"/>
  <c r="AE195" i="7"/>
  <c r="AO195" i="7"/>
  <c r="BC61" i="8"/>
  <c r="L37" i="7" s="1"/>
  <c r="BW61" i="8"/>
  <c r="AF37" i="7" s="1"/>
  <c r="AX13" i="10"/>
  <c r="AR108" i="2" s="1"/>
  <c r="AE15" i="10"/>
  <c r="AR16" i="10"/>
  <c r="AT16" i="10" s="1"/>
  <c r="AR19" i="10"/>
  <c r="O170" i="7" s="1"/>
  <c r="BB19" i="10"/>
  <c r="Y170" i="7" s="1"/>
  <c r="AR21" i="10"/>
  <c r="AW21" i="10"/>
  <c r="BB21" i="10"/>
  <c r="BG21" i="10"/>
  <c r="AW23" i="10"/>
  <c r="BB23" i="10"/>
  <c r="AU117" i="10"/>
  <c r="AU96" i="10"/>
  <c r="AZ117" i="10"/>
  <c r="AZ36" i="10"/>
  <c r="BE117" i="10"/>
  <c r="BE120" i="10" s="1"/>
  <c r="BE96" i="10"/>
  <c r="BF29" i="10"/>
  <c r="BL44" i="10"/>
  <c r="AR32" i="10"/>
  <c r="O182" i="7" s="1"/>
  <c r="AX33" i="10"/>
  <c r="U183" i="7" s="1"/>
  <c r="BH34" i="10"/>
  <c r="AE184" i="7" s="1"/>
  <c r="AS35" i="10"/>
  <c r="P184" i="7" s="1"/>
  <c r="V36" i="10"/>
  <c r="V44" i="10" s="1"/>
  <c r="X127" i="10"/>
  <c r="X84" i="10"/>
  <c r="X83" i="10" s="1"/>
  <c r="AH38" i="10"/>
  <c r="AW38" i="10"/>
  <c r="BB39" i="10"/>
  <c r="BG84" i="10"/>
  <c r="BG83" i="10" s="1"/>
  <c r="AR88" i="10"/>
  <c r="AR87" i="10" s="1"/>
  <c r="AT39" i="10"/>
  <c r="BD43" i="10"/>
  <c r="BI38" i="10"/>
  <c r="AH65" i="10"/>
  <c r="AH71" i="10" s="1"/>
  <c r="AH54" i="10"/>
  <c r="AX65" i="10"/>
  <c r="AX54" i="10"/>
  <c r="C195" i="7"/>
  <c r="H195" i="7"/>
  <c r="P195" i="7"/>
  <c r="T195" i="7"/>
  <c r="X195" i="7"/>
  <c r="AB195" i="7"/>
  <c r="AI195" i="7"/>
  <c r="AQ195" i="7"/>
  <c r="AK14" i="9"/>
  <c r="AR13" i="10"/>
  <c r="AB19" i="10"/>
  <c r="AC19" i="10" s="1"/>
  <c r="AX21" i="10"/>
  <c r="AC23" i="10"/>
  <c r="AR23" i="10"/>
  <c r="AT23" i="10" s="1"/>
  <c r="AX23" i="10"/>
  <c r="W117" i="10"/>
  <c r="W120" i="10" s="1"/>
  <c r="W96" i="10"/>
  <c r="AA117" i="10"/>
  <c r="AA120" i="10" s="1"/>
  <c r="AA96" i="10"/>
  <c r="BM29" i="10"/>
  <c r="X33" i="10"/>
  <c r="Y33" i="10" s="1"/>
  <c r="S136" i="2" s="1"/>
  <c r="AH33" i="10"/>
  <c r="E183" i="7" s="1"/>
  <c r="BI33" i="10"/>
  <c r="AF183" i="7" s="1"/>
  <c r="BC34" i="10"/>
  <c r="AH35" i="10"/>
  <c r="E184" i="7" s="1"/>
  <c r="AV35" i="10"/>
  <c r="W36" i="10"/>
  <c r="W44" i="10" s="1"/>
  <c r="AM36" i="10"/>
  <c r="AU36" i="10"/>
  <c r="Y38" i="10"/>
  <c r="AN127" i="10"/>
  <c r="AN84" i="10"/>
  <c r="BD40" i="10"/>
  <c r="BH38" i="10"/>
  <c r="AM127" i="10"/>
  <c r="AM84" i="10"/>
  <c r="AM83" i="10" s="1"/>
  <c r="AX43" i="10"/>
  <c r="BC43" i="10"/>
  <c r="AM54" i="10"/>
  <c r="AM65" i="10"/>
  <c r="AM71" i="10" s="1"/>
  <c r="AM53" i="10"/>
  <c r="BJ29" i="10"/>
  <c r="BR29" i="10"/>
  <c r="BA35" i="10"/>
  <c r="AY88" i="10"/>
  <c r="AY87" i="10" s="1"/>
  <c r="AV87" i="10"/>
  <c r="AW40" i="10"/>
  <c r="AJ88" i="10"/>
  <c r="AJ87" i="10" s="1"/>
  <c r="AJ39" i="10"/>
  <c r="AL128" i="10"/>
  <c r="AL92" i="10"/>
  <c r="AL93" i="10" s="1"/>
  <c r="AO42" i="10"/>
  <c r="AS43" i="10"/>
  <c r="BN128" i="10"/>
  <c r="BN92" i="10"/>
  <c r="V53" i="10"/>
  <c r="AD53" i="10"/>
  <c r="AD55" i="10" s="1"/>
  <c r="AH53" i="10"/>
  <c r="AX53" i="10"/>
  <c r="BF53" i="10"/>
  <c r="BJ53" i="10"/>
  <c r="AF54" i="10"/>
  <c r="AN54" i="10"/>
  <c r="AR54" i="10"/>
  <c r="AV54" i="10"/>
  <c r="AZ54" i="10"/>
  <c r="AO59" i="10"/>
  <c r="V61" i="10"/>
  <c r="AB61" i="10"/>
  <c r="AG61" i="10"/>
  <c r="AL61" i="10"/>
  <c r="AC65" i="10"/>
  <c r="X126" i="10"/>
  <c r="Y63" i="10"/>
  <c r="Y126" i="10" s="1"/>
  <c r="AB126" i="10"/>
  <c r="AF126" i="10"/>
  <c r="AG63" i="10"/>
  <c r="AG126" i="10" s="1"/>
  <c r="AK63" i="10"/>
  <c r="AN126" i="10"/>
  <c r="AR126" i="10"/>
  <c r="AS63" i="10"/>
  <c r="AS126" i="10" s="1"/>
  <c r="AV126" i="10"/>
  <c r="AW63" i="10"/>
  <c r="AW126" i="10" s="1"/>
  <c r="AZ126" i="10"/>
  <c r="BA63" i="10"/>
  <c r="BA126" i="10" s="1"/>
  <c r="BE63" i="10"/>
  <c r="BE126" i="10" s="1"/>
  <c r="BL126" i="10"/>
  <c r="BM63" i="10"/>
  <c r="BM126" i="10" s="1"/>
  <c r="BP126" i="10"/>
  <c r="BQ63" i="10"/>
  <c r="BM68" i="10"/>
  <c r="AT59" i="10"/>
  <c r="AC61" i="10"/>
  <c r="AH61" i="10"/>
  <c r="BT61" i="10"/>
  <c r="Y71" i="10"/>
  <c r="BU126" i="10"/>
  <c r="BT80" i="10"/>
  <c r="BU75" i="10"/>
  <c r="BV134" i="9" s="1"/>
  <c r="AL127" i="10"/>
  <c r="AL84" i="10"/>
  <c r="AG128" i="10"/>
  <c r="AG92" i="10"/>
  <c r="AG93" i="10" s="1"/>
  <c r="BP128" i="10"/>
  <c r="BP92" i="10"/>
  <c r="BP93" i="10" s="1"/>
  <c r="BS93" i="10" s="1"/>
  <c r="Z59" i="10"/>
  <c r="BD59" i="10"/>
  <c r="AD61" i="10"/>
  <c r="BP61" i="10"/>
  <c r="AE63" i="10"/>
  <c r="AE65" i="10" s="1"/>
  <c r="V126" i="10"/>
  <c r="Z126" i="10"/>
  <c r="AD126" i="10"/>
  <c r="AH126" i="10"/>
  <c r="AX126" i="10"/>
  <c r="BN70" i="10"/>
  <c r="W127" i="10"/>
  <c r="W84" i="10"/>
  <c r="W83" i="10" s="1"/>
  <c r="BF127" i="10"/>
  <c r="BF84" i="10"/>
  <c r="BG39" i="10"/>
  <c r="AH42" i="10"/>
  <c r="AJ42" i="10"/>
  <c r="AV128" i="10"/>
  <c r="AV92" i="10"/>
  <c r="BA128" i="10"/>
  <c r="BA92" i="10"/>
  <c r="BA93" i="10" s="1"/>
  <c r="BD93" i="10" s="1"/>
  <c r="AX31" i="2" s="1"/>
  <c r="BF128" i="10"/>
  <c r="BF92" i="10"/>
  <c r="AC53" i="10"/>
  <c r="AE67" i="10"/>
  <c r="AJ59" i="10"/>
  <c r="AF61" i="10"/>
  <c r="BQ61" i="10"/>
  <c r="AL63" i="10"/>
  <c r="AL53" i="10" s="1"/>
  <c r="AQ63" i="10"/>
  <c r="AQ126" i="10" s="1"/>
  <c r="BB63" i="10"/>
  <c r="BB126" i="10" s="1"/>
  <c r="BH68" i="10"/>
  <c r="AA82" i="10"/>
  <c r="AE76" i="10"/>
  <c r="AJ82" i="10"/>
  <c r="AJ76" i="10" s="1"/>
  <c r="AF83" i="10"/>
  <c r="AE59" i="10"/>
  <c r="AY59" i="10"/>
  <c r="W61" i="10"/>
  <c r="AA61" i="10"/>
  <c r="W126" i="10"/>
  <c r="AA126" i="10"/>
  <c r="AI126" i="10"/>
  <c r="AM126" i="10"/>
  <c r="AU126" i="10"/>
  <c r="AY126" i="10"/>
  <c r="BC126" i="10"/>
  <c r="BG126" i="10"/>
  <c r="BK126" i="10"/>
  <c r="BS126" i="10"/>
  <c r="AU118" i="10"/>
  <c r="AU119" i="10" s="1"/>
  <c r="BH70" i="10"/>
  <c r="W71" i="10"/>
  <c r="AC71" i="10"/>
  <c r="AN76" i="10"/>
  <c r="AN82" i="10" s="1"/>
  <c r="AL75" i="10"/>
  <c r="AL76" i="10" s="1"/>
  <c r="AL82" i="10" s="1"/>
  <c r="BR83" i="10"/>
  <c r="CA87" i="10"/>
  <c r="AW188" i="7"/>
  <c r="AD87" i="10"/>
  <c r="AM96" i="10"/>
  <c r="BJ96" i="10"/>
  <c r="BN93" i="10"/>
  <c r="BH31" i="2" s="1"/>
  <c r="CD93" i="10"/>
  <c r="Z70" i="10"/>
  <c r="AD71" i="10"/>
  <c r="V76" i="10"/>
  <c r="BK76" i="10"/>
  <c r="BK82" i="10" s="1"/>
  <c r="BP76" i="10"/>
  <c r="BP82" i="10" s="1"/>
  <c r="AN96" i="10"/>
  <c r="CH78" i="10"/>
  <c r="AS96" i="10"/>
  <c r="AX67" i="10"/>
  <c r="AY67" i="10" s="1"/>
  <c r="BD67" i="10"/>
  <c r="AU68" i="10"/>
  <c r="AZ118" i="10"/>
  <c r="AZ119" i="10" s="1"/>
  <c r="BL118" i="10"/>
  <c r="BL119" i="10" s="1"/>
  <c r="AE71" i="10"/>
  <c r="BF71" i="10"/>
  <c r="AE75" i="10"/>
  <c r="BS84" i="10"/>
  <c r="AT88" i="10"/>
  <c r="AT87" i="10" s="1"/>
  <c r="Y96" i="10"/>
  <c r="AP96" i="10"/>
  <c r="BR96" i="10"/>
  <c r="AZ96" i="10"/>
  <c r="BF126" i="10"/>
  <c r="BJ126" i="10"/>
  <c r="BN126" i="10"/>
  <c r="X118" i="10"/>
  <c r="X119" i="10" s="1"/>
  <c r="X71" i="10"/>
  <c r="AB118" i="10"/>
  <c r="AB119" i="10" s="1"/>
  <c r="AB71" i="10"/>
  <c r="AF118" i="10"/>
  <c r="AF119" i="10" s="1"/>
  <c r="AJ118" i="10"/>
  <c r="AJ119" i="10" s="1"/>
  <c r="AJ71" i="10"/>
  <c r="AN118" i="10"/>
  <c r="AN119" i="10" s="1"/>
  <c r="AS70" i="10"/>
  <c r="BC70" i="10"/>
  <c r="V71" i="10"/>
  <c r="AA71" i="10"/>
  <c r="AJ79" i="10"/>
  <c r="CN93" i="10"/>
  <c r="CN94" i="10" s="1"/>
  <c r="BQ76" i="10"/>
  <c r="BQ82" i="10" s="1"/>
  <c r="BN75" i="10"/>
  <c r="BJ75" i="10"/>
  <c r="BQ83" i="10"/>
  <c r="V96" i="10"/>
  <c r="AD93" i="10"/>
  <c r="AK96" i="10"/>
  <c r="BI93" i="10"/>
  <c r="BC31" i="2" s="1"/>
  <c r="BH96" i="10"/>
  <c r="BL78" i="10"/>
  <c r="BL76" i="10" s="1"/>
  <c r="BL82" i="10" s="1"/>
  <c r="BN86" i="10"/>
  <c r="BN78" i="10" s="1"/>
  <c r="AE93" i="10"/>
  <c r="AI93" i="10"/>
  <c r="BK96" i="10"/>
  <c r="BL108" i="10"/>
  <c r="Z88" i="10"/>
  <c r="Z87" i="10" s="1"/>
  <c r="AI87" i="10"/>
  <c r="BO87" i="10"/>
  <c r="BS87" i="10" s="1"/>
  <c r="BL96" i="10"/>
  <c r="BQ96" i="10"/>
  <c r="BU127" i="10"/>
  <c r="BM96" i="10"/>
  <c r="AO88" i="10"/>
  <c r="AO87" i="10" s="1"/>
  <c r="BS92" i="10"/>
  <c r="CC93" i="10"/>
  <c r="X96" i="10"/>
  <c r="BO96" i="10"/>
  <c r="BT96" i="10"/>
  <c r="AN103" i="10"/>
  <c r="BH103" i="10"/>
  <c r="BL103" i="10"/>
  <c r="AF108" i="10"/>
  <c r="BH108" i="10"/>
  <c r="BN111" i="10"/>
  <c r="BN103" i="10" s="1"/>
  <c r="X109" i="10"/>
  <c r="X110" i="10" s="1"/>
  <c r="AF109" i="10"/>
  <c r="AF110" i="10" s="1"/>
  <c r="T130" i="10"/>
  <c r="BY22" i="9"/>
  <c r="BJ104" i="9"/>
  <c r="BJ107" i="9"/>
  <c r="BQ105" i="9"/>
  <c r="BR14" i="9"/>
  <c r="BK16" i="2" s="1"/>
  <c r="BQ19" i="9"/>
  <c r="BJ91" i="2" s="1"/>
  <c r="Z90" i="9"/>
  <c r="AU92" i="9"/>
  <c r="BC92" i="9"/>
  <c r="BL92" i="9"/>
  <c r="AE107" i="9"/>
  <c r="AE104" i="9"/>
  <c r="AF19" i="9"/>
  <c r="AL107" i="9"/>
  <c r="AL104" i="9"/>
  <c r="AL30" i="9"/>
  <c r="AY107" i="9"/>
  <c r="AY104" i="9"/>
  <c r="AZ19" i="9"/>
  <c r="BG107" i="9"/>
  <c r="BG104" i="9"/>
  <c r="BG30" i="9"/>
  <c r="BN107" i="9"/>
  <c r="BN104" i="9"/>
  <c r="BQ28" i="9"/>
  <c r="BD27" i="9"/>
  <c r="BD28" i="9" s="1"/>
  <c r="BO27" i="9"/>
  <c r="AK141" i="7" s="1"/>
  <c r="AK142" i="7" s="1"/>
  <c r="BN28" i="9"/>
  <c r="BN30" i="9" s="1"/>
  <c r="AI105" i="9"/>
  <c r="AI50" i="9"/>
  <c r="AI64" i="9" s="1"/>
  <c r="AD64" i="9"/>
  <c r="AK50" i="9"/>
  <c r="AA112" i="9"/>
  <c r="Z62" i="9"/>
  <c r="AI112" i="9"/>
  <c r="AN112" i="9"/>
  <c r="AZ114" i="9"/>
  <c r="AK91" i="9"/>
  <c r="AZ90" i="9"/>
  <c r="BH107" i="9"/>
  <c r="BH104" i="9"/>
  <c r="BH30" i="9"/>
  <c r="BA83" i="2" s="1"/>
  <c r="BJ91" i="9"/>
  <c r="Z91" i="9"/>
  <c r="AF92" i="9"/>
  <c r="AP92" i="9"/>
  <c r="AU90" i="9"/>
  <c r="AZ92" i="9"/>
  <c r="BD92" i="9"/>
  <c r="BD19" i="9"/>
  <c r="AW91" i="2" s="1"/>
  <c r="BE18" i="9"/>
  <c r="BT92" i="9"/>
  <c r="Z104" i="9"/>
  <c r="Z107" i="9"/>
  <c r="AM107" i="9"/>
  <c r="AM104" i="9"/>
  <c r="AM30" i="9"/>
  <c r="AN130" i="9" s="1"/>
  <c r="AQ107" i="9"/>
  <c r="AQ104" i="9"/>
  <c r="AQ30" i="9"/>
  <c r="BB107" i="9"/>
  <c r="BB104" i="9"/>
  <c r="BB30" i="9"/>
  <c r="BO107" i="9"/>
  <c r="BO104" i="9"/>
  <c r="X28" i="9"/>
  <c r="X30" i="9" s="1"/>
  <c r="Y23" i="9"/>
  <c r="AN129" i="9"/>
  <c r="AW130" i="9"/>
  <c r="BQ17" i="2"/>
  <c r="AA64" i="9"/>
  <c r="Z64" i="9" s="1"/>
  <c r="Z50" i="9"/>
  <c r="AD112" i="9"/>
  <c r="BJ112" i="9"/>
  <c r="AQ114" i="9"/>
  <c r="AQ115" i="9" s="1"/>
  <c r="AQ113" i="9"/>
  <c r="AV114" i="9"/>
  <c r="AV115" i="9" s="1"/>
  <c r="AV113" i="9"/>
  <c r="BF112" i="9"/>
  <c r="AZ91" i="9"/>
  <c r="BE90" i="9"/>
  <c r="BJ105" i="9"/>
  <c r="BO92" i="9"/>
  <c r="BT90" i="9"/>
  <c r="W107" i="9"/>
  <c r="W104" i="9"/>
  <c r="W30" i="9"/>
  <c r="AA107" i="9"/>
  <c r="AA104" i="9"/>
  <c r="AH107" i="9"/>
  <c r="BC107" i="9"/>
  <c r="BC104" i="9"/>
  <c r="BC30" i="9"/>
  <c r="BK30" i="9"/>
  <c r="BJ28" i="9"/>
  <c r="BJ30" i="9" s="1"/>
  <c r="BO28" i="9"/>
  <c r="BO30" i="9" s="1"/>
  <c r="BM28" i="9"/>
  <c r="BM30" i="9" s="1"/>
  <c r="AO30" i="9"/>
  <c r="AP28" i="9"/>
  <c r="W112" i="9"/>
  <c r="BR62" i="9"/>
  <c r="BS58" i="9"/>
  <c r="AB112" i="9"/>
  <c r="AR113" i="9"/>
  <c r="AR114" i="9"/>
  <c r="AR115" i="9" s="1"/>
  <c r="AU114" i="9"/>
  <c r="B138" i="7"/>
  <c r="B142" i="7" s="1"/>
  <c r="F138" i="7"/>
  <c r="F142" i="7" s="1"/>
  <c r="N138" i="7"/>
  <c r="N142" i="7" s="1"/>
  <c r="V138" i="7"/>
  <c r="V142" i="7" s="1"/>
  <c r="Z138" i="7"/>
  <c r="AD138" i="7"/>
  <c r="AD142" i="7" s="1"/>
  <c r="AH138" i="7"/>
  <c r="AH142" i="7" s="1"/>
  <c r="B147" i="7"/>
  <c r="B152" i="7" s="1"/>
  <c r="V147" i="7"/>
  <c r="V152" i="7" s="1"/>
  <c r="AP147" i="7"/>
  <c r="AP152" i="7" s="1"/>
  <c r="D160" i="7"/>
  <c r="P160" i="7"/>
  <c r="T160" i="7"/>
  <c r="X160" i="7"/>
  <c r="AB160" i="7"/>
  <c r="AF160" i="7"/>
  <c r="AN160" i="7"/>
  <c r="BL19" i="9"/>
  <c r="BJ92" i="9"/>
  <c r="BJ96" i="9" s="1"/>
  <c r="BO90" i="9"/>
  <c r="BQ92" i="9"/>
  <c r="AI107" i="9"/>
  <c r="AI104" i="9"/>
  <c r="AI30" i="9"/>
  <c r="AT107" i="9"/>
  <c r="AT104" i="9"/>
  <c r="AX107" i="9"/>
  <c r="AX104" i="9"/>
  <c r="AX30" i="9"/>
  <c r="BF107" i="9"/>
  <c r="BF104" i="9"/>
  <c r="BF30" i="9"/>
  <c r="AY83" i="2" s="1"/>
  <c r="BP28" i="9"/>
  <c r="BP30" i="9" s="1"/>
  <c r="BP27" i="9"/>
  <c r="AL141" i="7" s="1"/>
  <c r="AL142" i="7" s="1"/>
  <c r="AU27" i="9"/>
  <c r="Q141" i="7" s="1"/>
  <c r="AT28" i="9"/>
  <c r="AU28" i="9" s="1"/>
  <c r="AM112" i="9"/>
  <c r="BO112" i="9"/>
  <c r="AB14" i="9"/>
  <c r="U16" i="2" s="1"/>
  <c r="AK90" i="9"/>
  <c r="BE105" i="9"/>
  <c r="Z92" i="9"/>
  <c r="AF85" i="9"/>
  <c r="AF91" i="9"/>
  <c r="AL92" i="9"/>
  <c r="AP91" i="9"/>
  <c r="AP99" i="9" s="1"/>
  <c r="BB92" i="9"/>
  <c r="BO105" i="9"/>
  <c r="Y107" i="9"/>
  <c r="Y104" i="9"/>
  <c r="AG107" i="9"/>
  <c r="AG104" i="9"/>
  <c r="AO104" i="9"/>
  <c r="AO107" i="9"/>
  <c r="AS104" i="9"/>
  <c r="AS107" i="9"/>
  <c r="AW107" i="9"/>
  <c r="AW104" i="9"/>
  <c r="BA19" i="9"/>
  <c r="BE19" i="9"/>
  <c r="AX92" i="2" s="1"/>
  <c r="BI19" i="9"/>
  <c r="BM107" i="9"/>
  <c r="BM104" i="9"/>
  <c r="BR24" i="9"/>
  <c r="BI28" i="9"/>
  <c r="BR34" i="9"/>
  <c r="BQ64" i="10" s="1"/>
  <c r="BR63" i="10" s="1"/>
  <c r="BR126" i="10" s="1"/>
  <c r="AF87" i="9"/>
  <c r="AF94" i="9"/>
  <c r="AK94" i="9"/>
  <c r="AP94" i="9"/>
  <c r="AU94" i="9"/>
  <c r="AZ94" i="9"/>
  <c r="BE94" i="9"/>
  <c r="BJ94" i="9"/>
  <c r="BO94" i="9"/>
  <c r="BT93" i="9"/>
  <c r="Z93" i="9"/>
  <c r="AF88" i="9"/>
  <c r="AF95" i="9"/>
  <c r="AZ95" i="9"/>
  <c r="AF39" i="9"/>
  <c r="AF105" i="9" s="1"/>
  <c r="AZ39" i="9"/>
  <c r="BN48" i="9"/>
  <c r="BN50" i="9" s="1"/>
  <c r="BN64" i="9" s="1"/>
  <c r="BR48" i="9"/>
  <c r="X50" i="9"/>
  <c r="X64" i="9" s="1"/>
  <c r="AN50" i="9"/>
  <c r="AN64" i="9" s="1"/>
  <c r="AN66" i="9" s="1"/>
  <c r="AR50" i="9"/>
  <c r="AR64" i="9" s="1"/>
  <c r="AV50" i="9"/>
  <c r="AV64" i="9" s="1"/>
  <c r="AV66" i="9" s="1"/>
  <c r="BD50" i="9"/>
  <c r="BD64" i="9" s="1"/>
  <c r="BH50" i="9"/>
  <c r="BH64" i="9" s="1"/>
  <c r="BP50" i="9"/>
  <c r="BP64" i="9" s="1"/>
  <c r="AG112" i="9"/>
  <c r="AO114" i="9"/>
  <c r="AO115" i="9" s="1"/>
  <c r="AO113" i="9"/>
  <c r="AP59" i="9"/>
  <c r="L159" i="7" s="1"/>
  <c r="L160" i="7" s="1"/>
  <c r="AE62" i="9"/>
  <c r="AJ62" i="9"/>
  <c r="AP62" i="9"/>
  <c r="AP112" i="9" s="1"/>
  <c r="BN112" i="9"/>
  <c r="X88" i="9"/>
  <c r="X87" i="9"/>
  <c r="X85" i="9"/>
  <c r="X86" i="9"/>
  <c r="X109" i="9" s="1"/>
  <c r="AB88" i="9"/>
  <c r="AB87" i="9"/>
  <c r="AB86" i="9"/>
  <c r="AB109" i="9" s="1"/>
  <c r="AB85" i="9"/>
  <c r="BR94" i="9"/>
  <c r="BT94" i="9"/>
  <c r="Z94" i="9"/>
  <c r="AK95" i="9"/>
  <c r="BE95" i="9"/>
  <c r="BY95" i="9"/>
  <c r="AC117" i="9"/>
  <c r="AC118" i="9"/>
  <c r="Z117" i="9"/>
  <c r="Z118" i="9"/>
  <c r="BJ44" i="9"/>
  <c r="BU47" i="9"/>
  <c r="Y50" i="9"/>
  <c r="Y64" i="9" s="1"/>
  <c r="AG50" i="9"/>
  <c r="AG64" i="9" s="1"/>
  <c r="AO50" i="9"/>
  <c r="AS50" i="9"/>
  <c r="AS64" i="9" s="1"/>
  <c r="AS66" i="9" s="1"/>
  <c r="AW50" i="9"/>
  <c r="AW64" i="9" s="1"/>
  <c r="AW66" i="9" s="1"/>
  <c r="BA50" i="9"/>
  <c r="BA64" i="9" s="1"/>
  <c r="BI50" i="9"/>
  <c r="BI64" i="9" s="1"/>
  <c r="BM50" i="9"/>
  <c r="BM64" i="9" s="1"/>
  <c r="BE62" i="9"/>
  <c r="BE112" i="9" s="1"/>
  <c r="BA114" i="9"/>
  <c r="BA115" i="9" s="1"/>
  <c r="BA113" i="9"/>
  <c r="X112" i="9"/>
  <c r="AL114" i="9"/>
  <c r="AL115" i="9" s="1"/>
  <c r="AL113" i="9"/>
  <c r="BB114" i="9"/>
  <c r="BB115" i="9" s="1"/>
  <c r="BB113" i="9"/>
  <c r="BG112" i="9"/>
  <c r="BK112" i="9"/>
  <c r="AY28" i="9"/>
  <c r="AZ28" i="9" s="1"/>
  <c r="BL34" i="9"/>
  <c r="BW34" i="9"/>
  <c r="AP95" i="9"/>
  <c r="CD95" i="9"/>
  <c r="AP39" i="9"/>
  <c r="AP104" i="9" s="1"/>
  <c r="BJ45" i="9"/>
  <c r="BJ17" i="10" s="1"/>
  <c r="BN17" i="10" s="1"/>
  <c r="AF118" i="9"/>
  <c r="AF117" i="9"/>
  <c r="BT48" i="9"/>
  <c r="BT50" i="9" s="1"/>
  <c r="AL50" i="9"/>
  <c r="AL64" i="9" s="1"/>
  <c r="AT50" i="9"/>
  <c r="AX50" i="9"/>
  <c r="AX64" i="9" s="1"/>
  <c r="BB50" i="9"/>
  <c r="BB64" i="9" s="1"/>
  <c r="BF50" i="9"/>
  <c r="BF64" i="9" s="1"/>
  <c r="AW114" i="9"/>
  <c r="AW115" i="9" s="1"/>
  <c r="AW113" i="9"/>
  <c r="AH112" i="9"/>
  <c r="AX112" i="9"/>
  <c r="BC112" i="9"/>
  <c r="BH112" i="9"/>
  <c r="BL112" i="9"/>
  <c r="BP112" i="9"/>
  <c r="AL96" i="9"/>
  <c r="AA105" i="9"/>
  <c r="AH105" i="9"/>
  <c r="AZ105" i="9"/>
  <c r="BE91" i="9"/>
  <c r="AF90" i="9"/>
  <c r="AU91" i="9"/>
  <c r="BO91" i="9"/>
  <c r="BT91" i="9"/>
  <c r="X104" i="9"/>
  <c r="X107" i="9"/>
  <c r="AJ19" i="9"/>
  <c r="AC92" i="2" s="1"/>
  <c r="AN104" i="9"/>
  <c r="AN107" i="9"/>
  <c r="AR19" i="9"/>
  <c r="AV104" i="9"/>
  <c r="AV107" i="9"/>
  <c r="BP107" i="9"/>
  <c r="BP104" i="9"/>
  <c r="AF86" i="9"/>
  <c r="AF109" i="9" s="1"/>
  <c r="AF93" i="9"/>
  <c r="AK93" i="9"/>
  <c r="AP93" i="9"/>
  <c r="AU93" i="9"/>
  <c r="AZ93" i="9"/>
  <c r="BE93" i="9"/>
  <c r="BJ93" i="9"/>
  <c r="BJ99" i="9" s="1"/>
  <c r="BO93" i="9"/>
  <c r="Z95" i="9"/>
  <c r="AU95" i="9"/>
  <c r="AU39" i="9"/>
  <c r="AU107" i="9" s="1"/>
  <c r="BK39" i="9"/>
  <c r="BK107" i="9" s="1"/>
  <c r="BJ117" i="9"/>
  <c r="BJ118" i="9"/>
  <c r="BO45" i="9"/>
  <c r="BO17" i="10" s="1"/>
  <c r="BS17" i="10" s="1"/>
  <c r="AC48" i="9"/>
  <c r="AC50" i="9" s="1"/>
  <c r="AC64" i="9" s="1"/>
  <c r="BE48" i="9"/>
  <c r="BE50" i="9" s="1"/>
  <c r="BE64" i="9" s="1"/>
  <c r="W50" i="9"/>
  <c r="W64" i="9" s="1"/>
  <c r="AE50" i="9"/>
  <c r="AM50" i="9"/>
  <c r="AM64" i="9" s="1"/>
  <c r="AQ50" i="9"/>
  <c r="AQ64" i="9" s="1"/>
  <c r="AY50" i="9"/>
  <c r="BC50" i="9"/>
  <c r="BC64" i="9" s="1"/>
  <c r="BG50" i="9"/>
  <c r="BG64" i="9" s="1"/>
  <c r="BQ62" i="9"/>
  <c r="AS112" i="9"/>
  <c r="AT112" i="9"/>
  <c r="AY112" i="9"/>
  <c r="BD112" i="9"/>
  <c r="Y112" i="9"/>
  <c r="AC112" i="9"/>
  <c r="BI112" i="9"/>
  <c r="BM112" i="9"/>
  <c r="Y85" i="9"/>
  <c r="AO85" i="9"/>
  <c r="BU85" i="9"/>
  <c r="AG87" i="9"/>
  <c r="AQ87" i="9"/>
  <c r="BM87" i="9"/>
  <c r="AG88" i="9"/>
  <c r="AQ88" i="9"/>
  <c r="BM88" i="9"/>
  <c r="X99" i="9"/>
  <c r="X96" i="9"/>
  <c r="AC99" i="9"/>
  <c r="AC96" i="9"/>
  <c r="AL99" i="9"/>
  <c r="AQ99" i="9"/>
  <c r="AY99" i="9"/>
  <c r="AY96" i="9"/>
  <c r="BC96" i="9"/>
  <c r="BC99" i="9"/>
  <c r="BG96" i="9"/>
  <c r="BG99" i="9"/>
  <c r="BL96" i="9"/>
  <c r="BL99" i="9"/>
  <c r="BP99" i="9"/>
  <c r="BP96" i="9"/>
  <c r="BF99" i="9"/>
  <c r="BF96" i="9"/>
  <c r="BN96" i="9"/>
  <c r="BN99" i="9"/>
  <c r="BR96" i="9"/>
  <c r="BR97" i="9" s="1"/>
  <c r="AM96" i="9"/>
  <c r="BL88" i="9"/>
  <c r="BL87" i="9"/>
  <c r="BL85" i="9"/>
  <c r="BI87" i="9"/>
  <c r="BI88" i="9"/>
  <c r="Y99" i="9"/>
  <c r="Y96" i="9"/>
  <c r="AI99" i="9"/>
  <c r="AI96" i="9"/>
  <c r="AR96" i="9"/>
  <c r="AR99" i="9"/>
  <c r="BD99" i="9"/>
  <c r="BD96" i="9"/>
  <c r="BH96" i="9"/>
  <c r="BH99" i="9"/>
  <c r="BM99" i="9"/>
  <c r="BM96" i="9"/>
  <c r="BQ99" i="9"/>
  <c r="BQ96" i="9"/>
  <c r="BU99" i="9"/>
  <c r="BU96" i="9"/>
  <c r="AX96" i="9"/>
  <c r="AX99" i="9"/>
  <c r="BB96" i="9"/>
  <c r="AG85" i="9"/>
  <c r="BM85" i="9"/>
  <c r="BL86" i="9"/>
  <c r="BL109" i="9" s="1"/>
  <c r="Y87" i="9"/>
  <c r="AO87" i="9"/>
  <c r="BU87" i="9"/>
  <c r="Y88" i="9"/>
  <c r="AO88" i="9"/>
  <c r="BU88" i="9"/>
  <c r="AE99" i="9"/>
  <c r="AE96" i="9"/>
  <c r="AJ99" i="9"/>
  <c r="AJ96" i="9"/>
  <c r="AN99" i="9"/>
  <c r="AN96" i="9"/>
  <c r="AS99" i="9"/>
  <c r="AS96" i="9"/>
  <c r="AW99" i="9"/>
  <c r="AW96" i="9"/>
  <c r="BA99" i="9"/>
  <c r="BA96" i="9"/>
  <c r="BI99" i="9"/>
  <c r="BI96" i="9"/>
  <c r="W96" i="9"/>
  <c r="AH96" i="9"/>
  <c r="AV96" i="9"/>
  <c r="BI85" i="9"/>
  <c r="AB99" i="9"/>
  <c r="AG99" i="9"/>
  <c r="AG96" i="9"/>
  <c r="AO99" i="9"/>
  <c r="AO96" i="9"/>
  <c r="AT96" i="9"/>
  <c r="BB99" i="9"/>
  <c r="BK99" i="9"/>
  <c r="BK96" i="9"/>
  <c r="BS96" i="9"/>
  <c r="BS99" i="9"/>
  <c r="AA96" i="9"/>
  <c r="BR136" i="9"/>
  <c r="BR118" i="9" s="1"/>
  <c r="BS135" i="9"/>
  <c r="AK32" i="8"/>
  <c r="Q58" i="2" s="1"/>
  <c r="AK22" i="8"/>
  <c r="AK28" i="8"/>
  <c r="Q41" i="2" s="1"/>
  <c r="BA32" i="8"/>
  <c r="AG58" i="2" s="1"/>
  <c r="BA28" i="8"/>
  <c r="BA35" i="8"/>
  <c r="AG59" i="2" s="1"/>
  <c r="CE28" i="8"/>
  <c r="BK8" i="2" s="1"/>
  <c r="AL32" i="8"/>
  <c r="R58" i="2" s="1"/>
  <c r="AL28" i="8"/>
  <c r="AL35" i="8"/>
  <c r="R59" i="2" s="1"/>
  <c r="AT35" i="8"/>
  <c r="Z59" i="2" s="1"/>
  <c r="AU35" i="8"/>
  <c r="AA59" i="2" s="1"/>
  <c r="BM25" i="8"/>
  <c r="AS105" i="2" s="1"/>
  <c r="BB26" i="8"/>
  <c r="BF26" i="8"/>
  <c r="BN26" i="8"/>
  <c r="BK26" i="8"/>
  <c r="BS26" i="8"/>
  <c r="AJ26" i="8"/>
  <c r="AV26" i="8"/>
  <c r="BR31" i="8"/>
  <c r="AX25" i="8"/>
  <c r="AO56" i="8"/>
  <c r="AT56" i="8" s="1"/>
  <c r="C38" i="7" s="1"/>
  <c r="CB54" i="8"/>
  <c r="AK38" i="7" s="1"/>
  <c r="BW54" i="8"/>
  <c r="AF38" i="7" s="1"/>
  <c r="BR65" i="8"/>
  <c r="R84" i="8"/>
  <c r="AH84" i="8"/>
  <c r="T84" i="8"/>
  <c r="Z84" i="8"/>
  <c r="S84" i="8"/>
  <c r="X84" i="8"/>
  <c r="AB84" i="8"/>
  <c r="AF84" i="8"/>
  <c r="O93" i="8"/>
  <c r="W93" i="8"/>
  <c r="AE93" i="8"/>
  <c r="R93" i="8"/>
  <c r="V93" i="8"/>
  <c r="Z93" i="8"/>
  <c r="AD93" i="8"/>
  <c r="AH93" i="8"/>
  <c r="A96" i="7"/>
  <c r="A80" i="7"/>
  <c r="A88" i="7" s="1"/>
  <c r="A113" i="7"/>
  <c r="A121" i="7" s="1"/>
  <c r="A105" i="7"/>
  <c r="C118" i="7"/>
  <c r="C113" i="7"/>
  <c r="K113" i="7"/>
  <c r="O118" i="7"/>
  <c r="O113" i="7"/>
  <c r="O105" i="7"/>
  <c r="S113" i="7"/>
  <c r="W105" i="7"/>
  <c r="AA113" i="7"/>
  <c r="AE113" i="7"/>
  <c r="AE105" i="7"/>
  <c r="AI113" i="7"/>
  <c r="AM113" i="7"/>
  <c r="AQ105" i="7"/>
  <c r="AQ106" i="7"/>
  <c r="G115" i="7"/>
  <c r="O115" i="7"/>
  <c r="O107" i="7"/>
  <c r="S115" i="7"/>
  <c r="S107" i="7"/>
  <c r="W115" i="7"/>
  <c r="W107" i="7"/>
  <c r="AE115" i="7"/>
  <c r="AI115" i="7"/>
  <c r="AI107" i="7"/>
  <c r="AM115" i="7"/>
  <c r="AQ115" i="7"/>
  <c r="AQ107" i="7"/>
  <c r="S116" i="7"/>
  <c r="AE116" i="7"/>
  <c r="AE108" i="7"/>
  <c r="AI116" i="7"/>
  <c r="AI108" i="7"/>
  <c r="AM116" i="7"/>
  <c r="AM108" i="7"/>
  <c r="C117" i="7"/>
  <c r="G117" i="7"/>
  <c r="O117" i="7"/>
  <c r="O109" i="7"/>
  <c r="S109" i="7"/>
  <c r="AA117" i="7"/>
  <c r="AA109" i="7"/>
  <c r="AE117" i="7"/>
  <c r="AE109" i="7"/>
  <c r="AI117" i="7"/>
  <c r="AI109" i="7"/>
  <c r="A125" i="7"/>
  <c r="A117" i="7"/>
  <c r="A109" i="7"/>
  <c r="D118" i="7"/>
  <c r="D113" i="7"/>
  <c r="D99" i="7"/>
  <c r="H113" i="7"/>
  <c r="H99" i="7"/>
  <c r="P118" i="7"/>
  <c r="P113" i="7"/>
  <c r="P105" i="7"/>
  <c r="P99" i="7"/>
  <c r="T113" i="7"/>
  <c r="T105" i="7"/>
  <c r="X113" i="7"/>
  <c r="AB113" i="7"/>
  <c r="AB99" i="7"/>
  <c r="AJ118" i="7"/>
  <c r="AJ113" i="7"/>
  <c r="AJ105" i="7"/>
  <c r="AJ99" i="7"/>
  <c r="AN113" i="7"/>
  <c r="AN99" i="7"/>
  <c r="AJ114" i="7"/>
  <c r="D115" i="7"/>
  <c r="H115" i="7"/>
  <c r="P115" i="7"/>
  <c r="T107" i="7"/>
  <c r="T115" i="7"/>
  <c r="X115" i="7"/>
  <c r="X107" i="7"/>
  <c r="AB115" i="7"/>
  <c r="AB107" i="7"/>
  <c r="AN115" i="7"/>
  <c r="AN107" i="7"/>
  <c r="T116" i="7"/>
  <c r="X116" i="7"/>
  <c r="X108" i="7"/>
  <c r="AB116" i="7"/>
  <c r="AJ116" i="7"/>
  <c r="AJ108" i="7"/>
  <c r="AN116" i="7"/>
  <c r="AN108" i="7"/>
  <c r="AR108" i="7"/>
  <c r="D117" i="7"/>
  <c r="H117" i="7"/>
  <c r="AF117" i="7"/>
  <c r="A82" i="7"/>
  <c r="A90" i="7" s="1"/>
  <c r="I99" i="7"/>
  <c r="M118" i="7"/>
  <c r="M113" i="7"/>
  <c r="M105" i="7"/>
  <c r="M99" i="7"/>
  <c r="U113" i="7"/>
  <c r="U105" i="7"/>
  <c r="U99" i="7"/>
  <c r="Y113" i="7"/>
  <c r="Y105" i="7"/>
  <c r="AC118" i="7"/>
  <c r="AC113" i="7"/>
  <c r="AC105" i="7"/>
  <c r="AC99" i="7"/>
  <c r="AG113" i="7"/>
  <c r="AG105" i="7"/>
  <c r="AO113" i="7"/>
  <c r="AO105" i="7"/>
  <c r="AO99" i="7"/>
  <c r="AC114" i="7"/>
  <c r="E115" i="7"/>
  <c r="I115" i="7"/>
  <c r="Y107" i="7"/>
  <c r="AG107" i="7"/>
  <c r="AO107" i="7"/>
  <c r="AC108" i="7"/>
  <c r="E117" i="7"/>
  <c r="U117" i="7"/>
  <c r="AI105" i="7"/>
  <c r="F113" i="7"/>
  <c r="J99" i="7"/>
  <c r="N113" i="7"/>
  <c r="N99" i="7"/>
  <c r="AL105" i="7"/>
  <c r="R114" i="7"/>
  <c r="F115" i="7"/>
  <c r="AL116" i="7"/>
  <c r="J117" i="7"/>
  <c r="C99" i="7"/>
  <c r="S99" i="7"/>
  <c r="S105" i="7"/>
  <c r="AN105" i="7"/>
  <c r="AJ115" i="7"/>
  <c r="AD118" i="7"/>
  <c r="J115" i="7"/>
  <c r="AD115" i="7"/>
  <c r="AL115" i="7"/>
  <c r="R116" i="7"/>
  <c r="Z116" i="7"/>
  <c r="AD116" i="7"/>
  <c r="AH116" i="7"/>
  <c r="F117" i="7"/>
  <c r="N117" i="7"/>
  <c r="N109" i="7"/>
  <c r="R109" i="7"/>
  <c r="R117" i="7"/>
  <c r="V117" i="7"/>
  <c r="Z109" i="7"/>
  <c r="AD117" i="7"/>
  <c r="AD109" i="7"/>
  <c r="AH109" i="7"/>
  <c r="AH117" i="7"/>
  <c r="R99" i="7"/>
  <c r="AD99" i="7"/>
  <c r="AL99" i="7"/>
  <c r="R105" i="7"/>
  <c r="AD107" i="7"/>
  <c r="Z108" i="7"/>
  <c r="N107" i="7"/>
  <c r="AL113" i="7"/>
  <c r="AL118" i="7"/>
  <c r="L117" i="7"/>
  <c r="T117" i="7"/>
  <c r="X117" i="7"/>
  <c r="AB117" i="7"/>
  <c r="AJ117" i="7"/>
  <c r="Z105" i="7"/>
  <c r="AL107" i="7"/>
  <c r="AH108" i="7"/>
  <c r="AD113" i="7"/>
  <c r="M115" i="7"/>
  <c r="U115" i="7"/>
  <c r="Y115" i="7"/>
  <c r="AC115" i="7"/>
  <c r="AO115" i="7"/>
  <c r="U116" i="7"/>
  <c r="Y116" i="7"/>
  <c r="AC116" i="7"/>
  <c r="AO116" i="7"/>
  <c r="I117" i="7"/>
  <c r="M117" i="7"/>
  <c r="M109" i="7"/>
  <c r="U109" i="7"/>
  <c r="Y117" i="7"/>
  <c r="Y109" i="7"/>
  <c r="AC117" i="7"/>
  <c r="AC109" i="7"/>
  <c r="AG117" i="7"/>
  <c r="AG109" i="7"/>
  <c r="AK109" i="7"/>
  <c r="AC107" i="7"/>
  <c r="Y108" i="7"/>
  <c r="AD108" i="7"/>
  <c r="AO108" i="7"/>
  <c r="M107" i="7"/>
  <c r="U107" i="7"/>
  <c r="L109" i="7"/>
  <c r="T109" i="7"/>
  <c r="AJ109" i="7"/>
  <c r="AD114" i="7"/>
  <c r="Z117" i="7"/>
  <c r="I68" i="6"/>
  <c r="X68" i="6"/>
  <c r="AC68" i="6"/>
  <c r="AM68" i="6"/>
  <c r="M76" i="6"/>
  <c r="AB76" i="6"/>
  <c r="AG76" i="6"/>
  <c r="BJ63" i="6"/>
  <c r="BD67" i="6"/>
  <c r="BL66" i="6"/>
  <c r="BQ141" i="2"/>
  <c r="BP141" i="2"/>
  <c r="BO141" i="2"/>
  <c r="BN141" i="2"/>
  <c r="BM141" i="2"/>
  <c r="BL141" i="2"/>
  <c r="BL142" i="2" s="1"/>
  <c r="BK141" i="2"/>
  <c r="BK142" i="2" s="1"/>
  <c r="BJ141" i="2"/>
  <c r="BI141" i="2"/>
  <c r="BH141" i="2"/>
  <c r="BH142" i="2" s="1"/>
  <c r="BG141" i="2"/>
  <c r="BG142" i="2" s="1"/>
  <c r="BF141" i="2"/>
  <c r="BE141" i="2"/>
  <c r="BD141" i="2"/>
  <c r="BD142" i="2" s="1"/>
  <c r="BB141" i="2"/>
  <c r="BA141" i="2"/>
  <c r="AZ141" i="2"/>
  <c r="AY141" i="2"/>
  <c r="AY142" i="2" s="1"/>
  <c r="AV141" i="2"/>
  <c r="AV142" i="2" s="1"/>
  <c r="AU141" i="2"/>
  <c r="AU142" i="2" s="1"/>
  <c r="AT141" i="2"/>
  <c r="AS141" i="2"/>
  <c r="AR141" i="2"/>
  <c r="AR142" i="2" s="1"/>
  <c r="AQ141" i="2"/>
  <c r="AQ142" i="2" s="1"/>
  <c r="AP141" i="2"/>
  <c r="AO141" i="2"/>
  <c r="AN141" i="2"/>
  <c r="AN142" i="2" s="1"/>
  <c r="AM141" i="2"/>
  <c r="AL141" i="2"/>
  <c r="AK141" i="2"/>
  <c r="AJ141" i="2"/>
  <c r="AI141" i="2"/>
  <c r="AI142" i="2" s="1"/>
  <c r="AH141" i="2"/>
  <c r="AG141" i="2"/>
  <c r="AF141" i="2"/>
  <c r="AF142" i="2" s="1"/>
  <c r="AE141" i="2"/>
  <c r="AE142" i="2" s="1"/>
  <c r="AD141" i="2"/>
  <c r="AC141" i="2"/>
  <c r="AB141" i="2"/>
  <c r="AB142" i="2" s="1"/>
  <c r="AA141" i="2"/>
  <c r="AA142" i="2" s="1"/>
  <c r="Z141" i="2"/>
  <c r="Y141" i="2"/>
  <c r="X141" i="2"/>
  <c r="X142" i="2" s="1"/>
  <c r="W141" i="2"/>
  <c r="V141" i="2"/>
  <c r="U141" i="2"/>
  <c r="T141" i="2"/>
  <c r="S141" i="2"/>
  <c r="S142" i="2" s="1"/>
  <c r="R141" i="2"/>
  <c r="Q141" i="2"/>
  <c r="P141" i="2"/>
  <c r="P142" i="2" s="1"/>
  <c r="O141" i="2"/>
  <c r="O142" i="2" s="1"/>
  <c r="N141" i="2"/>
  <c r="M141" i="2"/>
  <c r="L141" i="2"/>
  <c r="L142" i="2" s="1"/>
  <c r="K141" i="2"/>
  <c r="K142" i="2" s="1"/>
  <c r="J141" i="2"/>
  <c r="I141" i="2"/>
  <c r="H141" i="2"/>
  <c r="H142" i="2" s="1"/>
  <c r="G141" i="2"/>
  <c r="F141" i="2"/>
  <c r="E141" i="2"/>
  <c r="D141" i="2"/>
  <c r="C141" i="2"/>
  <c r="C142" i="2" s="1"/>
  <c r="B141" i="2"/>
  <c r="BY136" i="2"/>
  <c r="BX136" i="2"/>
  <c r="BW136" i="2"/>
  <c r="BV136" i="2"/>
  <c r="BU136" i="2"/>
  <c r="BT136" i="2"/>
  <c r="BS136" i="2"/>
  <c r="BR136" i="2"/>
  <c r="BQ136" i="2"/>
  <c r="BP136" i="2"/>
  <c r="BO136" i="2"/>
  <c r="BN136" i="2"/>
  <c r="BM136" i="2"/>
  <c r="BL136" i="2"/>
  <c r="BK136" i="2"/>
  <c r="BJ136" i="2"/>
  <c r="BI136" i="2"/>
  <c r="BH136" i="2"/>
  <c r="BG136" i="2"/>
  <c r="BF136" i="2"/>
  <c r="BE136" i="2"/>
  <c r="BD136" i="2"/>
  <c r="BC136" i="2"/>
  <c r="BB136" i="2"/>
  <c r="BA136" i="2"/>
  <c r="AZ136" i="2"/>
  <c r="AY136" i="2"/>
  <c r="AX136" i="2"/>
  <c r="AW136" i="2"/>
  <c r="AV136" i="2"/>
  <c r="AU136" i="2"/>
  <c r="AT136" i="2"/>
  <c r="AR136" i="2"/>
  <c r="AQ136" i="2"/>
  <c r="AP136" i="2"/>
  <c r="AO136" i="2"/>
  <c r="AN136" i="2"/>
  <c r="AM136" i="2"/>
  <c r="AL136" i="2"/>
  <c r="AK136" i="2"/>
  <c r="AJ136" i="2"/>
  <c r="AI136" i="2"/>
  <c r="AH136" i="2"/>
  <c r="AG136" i="2"/>
  <c r="AF136" i="2"/>
  <c r="AE136" i="2"/>
  <c r="AD136" i="2"/>
  <c r="AB136" i="2"/>
  <c r="AA136" i="2"/>
  <c r="Z136" i="2"/>
  <c r="Y136" i="2"/>
  <c r="X136" i="2"/>
  <c r="W136" i="2"/>
  <c r="V136" i="2"/>
  <c r="U136" i="2"/>
  <c r="T136" i="2"/>
  <c r="R136" i="2"/>
  <c r="Q136" i="2"/>
  <c r="P136" i="2"/>
  <c r="O136" i="2"/>
  <c r="N136" i="2"/>
  <c r="M136" i="2"/>
  <c r="L136" i="2"/>
  <c r="K136" i="2"/>
  <c r="J136" i="2"/>
  <c r="I136" i="2"/>
  <c r="H136" i="2"/>
  <c r="G136" i="2"/>
  <c r="F136" i="2"/>
  <c r="E136" i="2"/>
  <c r="D136" i="2"/>
  <c r="C136" i="2"/>
  <c r="B136" i="2"/>
  <c r="BY135" i="2"/>
  <c r="BX135" i="2"/>
  <c r="BW135" i="2"/>
  <c r="BV135" i="2"/>
  <c r="BU135" i="2"/>
  <c r="BT135" i="2"/>
  <c r="BS135" i="2"/>
  <c r="BR135" i="2"/>
  <c r="BQ135" i="2"/>
  <c r="BP135" i="2"/>
  <c r="BO135" i="2"/>
  <c r="BN135" i="2"/>
  <c r="BM135" i="2"/>
  <c r="BL135" i="2"/>
  <c r="BK135" i="2"/>
  <c r="BJ135" i="2"/>
  <c r="BI135" i="2"/>
  <c r="BH135" i="2"/>
  <c r="BG135" i="2"/>
  <c r="BF135" i="2"/>
  <c r="BE135" i="2"/>
  <c r="BD135" i="2"/>
  <c r="BC135" i="2"/>
  <c r="BB135" i="2"/>
  <c r="BA135" i="2"/>
  <c r="AZ135" i="2"/>
  <c r="AY135" i="2"/>
  <c r="AX135" i="2"/>
  <c r="AW135" i="2"/>
  <c r="AV135" i="2"/>
  <c r="AU135" i="2"/>
  <c r="AT135" i="2"/>
  <c r="AS135" i="2"/>
  <c r="AR135" i="2"/>
  <c r="AQ135" i="2"/>
  <c r="AP135" i="2"/>
  <c r="AO135" i="2"/>
  <c r="AN135" i="2"/>
  <c r="AL135" i="2"/>
  <c r="AK135" i="2"/>
  <c r="AJ135" i="2"/>
  <c r="AI135" i="2"/>
  <c r="AH135" i="2"/>
  <c r="AG135" i="2"/>
  <c r="AF135" i="2"/>
  <c r="AE135" i="2"/>
  <c r="AD135" i="2"/>
  <c r="AC135" i="2"/>
  <c r="AB135" i="2"/>
  <c r="AA135" i="2"/>
  <c r="Z135" i="2"/>
  <c r="Y135" i="2"/>
  <c r="X135" i="2"/>
  <c r="W135" i="2"/>
  <c r="V135" i="2"/>
  <c r="U135" i="2"/>
  <c r="T135" i="2"/>
  <c r="R135" i="2"/>
  <c r="Q135" i="2"/>
  <c r="P135" i="2"/>
  <c r="O135" i="2"/>
  <c r="N135" i="2"/>
  <c r="M135" i="2"/>
  <c r="L135" i="2"/>
  <c r="K135" i="2"/>
  <c r="J135" i="2"/>
  <c r="I135" i="2"/>
  <c r="H135" i="2"/>
  <c r="G135" i="2"/>
  <c r="F135" i="2"/>
  <c r="E135" i="2"/>
  <c r="D135" i="2"/>
  <c r="C135" i="2"/>
  <c r="B135" i="2"/>
  <c r="BN131" i="2"/>
  <c r="BM131" i="2"/>
  <c r="BL131" i="2"/>
  <c r="BK131" i="2"/>
  <c r="BJ131" i="2"/>
  <c r="BI131" i="2"/>
  <c r="BH131" i="2"/>
  <c r="BG131" i="2"/>
  <c r="BF131" i="2"/>
  <c r="BE131" i="2"/>
  <c r="BD131" i="2"/>
  <c r="BB131" i="2"/>
  <c r="BA131" i="2"/>
  <c r="AZ131" i="2"/>
  <c r="AY131" i="2"/>
  <c r="AW131" i="2"/>
  <c r="AV131" i="2"/>
  <c r="AU131" i="2"/>
  <c r="AT131" i="2"/>
  <c r="AR131" i="2"/>
  <c r="AQ131" i="2"/>
  <c r="AP131" i="2"/>
  <c r="AO131" i="2"/>
  <c r="AM131" i="2"/>
  <c r="AK131" i="2"/>
  <c r="AJ131" i="2"/>
  <c r="AH131" i="2"/>
  <c r="AG131" i="2"/>
  <c r="AF131" i="2"/>
  <c r="AE131" i="2"/>
  <c r="AC131" i="2"/>
  <c r="AA131" i="2"/>
  <c r="Z131" i="2"/>
  <c r="Y131" i="2"/>
  <c r="X131" i="2"/>
  <c r="W131" i="2"/>
  <c r="V131" i="2"/>
  <c r="U131" i="2"/>
  <c r="T131" i="2"/>
  <c r="S131" i="2"/>
  <c r="R131" i="2"/>
  <c r="Q131" i="2"/>
  <c r="P131" i="2"/>
  <c r="O131" i="2"/>
  <c r="N131" i="2"/>
  <c r="M131" i="2"/>
  <c r="L131" i="2"/>
  <c r="K131" i="2"/>
  <c r="J131" i="2"/>
  <c r="I131" i="2"/>
  <c r="H131" i="2"/>
  <c r="G131" i="2"/>
  <c r="F131" i="2"/>
  <c r="E131" i="2"/>
  <c r="D131" i="2"/>
  <c r="C131" i="2"/>
  <c r="B131" i="2"/>
  <c r="O119" i="2"/>
  <c r="N119" i="2"/>
  <c r="M119" i="2"/>
  <c r="L119" i="2"/>
  <c r="K119" i="2"/>
  <c r="J119" i="2"/>
  <c r="I119" i="2"/>
  <c r="H119" i="2"/>
  <c r="G119" i="2"/>
  <c r="F119" i="2"/>
  <c r="E119" i="2"/>
  <c r="D119" i="2"/>
  <c r="C119" i="2"/>
  <c r="B119" i="2"/>
  <c r="BN108" i="2"/>
  <c r="BL108" i="2"/>
  <c r="BK108" i="2"/>
  <c r="BJ108" i="2"/>
  <c r="BI108" i="2"/>
  <c r="BH108" i="2"/>
  <c r="BG108" i="2"/>
  <c r="BF108" i="2"/>
  <c r="BE108" i="2"/>
  <c r="BD108" i="2"/>
  <c r="BB108" i="2"/>
  <c r="BA108" i="2"/>
  <c r="AZ108" i="2"/>
  <c r="AY108" i="2"/>
  <c r="AU108" i="2"/>
  <c r="AT108" i="2"/>
  <c r="AP108" i="2"/>
  <c r="AO108" i="2"/>
  <c r="AM108" i="2"/>
  <c r="AL108" i="2"/>
  <c r="AK108" i="2"/>
  <c r="AJ108" i="2"/>
  <c r="AI108" i="2"/>
  <c r="AH108" i="2"/>
  <c r="AG108" i="2"/>
  <c r="AF108" i="2"/>
  <c r="AE108" i="2"/>
  <c r="AD108" i="2"/>
  <c r="AC108" i="2"/>
  <c r="AB108" i="2"/>
  <c r="AA108" i="2"/>
  <c r="Z108" i="2"/>
  <c r="Y108" i="2"/>
  <c r="X108" i="2"/>
  <c r="W108" i="2"/>
  <c r="V108" i="2"/>
  <c r="U108" i="2"/>
  <c r="T108" i="2"/>
  <c r="S108" i="2"/>
  <c r="R108" i="2"/>
  <c r="Q108" i="2"/>
  <c r="P108" i="2"/>
  <c r="O108" i="2"/>
  <c r="N108" i="2"/>
  <c r="M108" i="2"/>
  <c r="L108" i="2"/>
  <c r="K108" i="2"/>
  <c r="J108" i="2"/>
  <c r="I108" i="2"/>
  <c r="H108" i="2"/>
  <c r="G108" i="2"/>
  <c r="F108" i="2"/>
  <c r="E108" i="2"/>
  <c r="D108" i="2"/>
  <c r="C108" i="2"/>
  <c r="B108" i="2"/>
  <c r="BN105" i="2"/>
  <c r="BL105" i="2"/>
  <c r="BK105" i="2"/>
  <c r="BJ105" i="2"/>
  <c r="BI105" i="2"/>
  <c r="BG105" i="2"/>
  <c r="BF105" i="2"/>
  <c r="BE105" i="2"/>
  <c r="BD105" i="2"/>
  <c r="BC105" i="2"/>
  <c r="BB105" i="2"/>
  <c r="BA105" i="2"/>
  <c r="AZ105" i="2"/>
  <c r="AY105" i="2"/>
  <c r="AW105" i="2"/>
  <c r="AV105" i="2"/>
  <c r="AU105" i="2"/>
  <c r="AT105" i="2"/>
  <c r="AR105" i="2"/>
  <c r="AQ105" i="2"/>
  <c r="AP105" i="2"/>
  <c r="AO105" i="2"/>
  <c r="AM105" i="2"/>
  <c r="AL105" i="2"/>
  <c r="AK105" i="2"/>
  <c r="AJ105" i="2"/>
  <c r="AI105" i="2"/>
  <c r="AH105" i="2"/>
  <c r="AG105" i="2"/>
  <c r="AF105" i="2"/>
  <c r="AE105"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D105" i="2"/>
  <c r="C105" i="2"/>
  <c r="AH103" i="2"/>
  <c r="AG103" i="2"/>
  <c r="O103" i="2"/>
  <c r="N103" i="2"/>
  <c r="M103" i="2"/>
  <c r="L103" i="2"/>
  <c r="K103" i="2"/>
  <c r="J103" i="2"/>
  <c r="I103" i="2"/>
  <c r="H103" i="2"/>
  <c r="G103" i="2"/>
  <c r="F103" i="2"/>
  <c r="E103" i="2"/>
  <c r="D103" i="2"/>
  <c r="C103" i="2"/>
  <c r="B103" i="2"/>
  <c r="BI92" i="2"/>
  <c r="BH92" i="2"/>
  <c r="BG92" i="2"/>
  <c r="BF92" i="2"/>
  <c r="BD92" i="2"/>
  <c r="BC92" i="2"/>
  <c r="BB92" i="2"/>
  <c r="BA92" i="2"/>
  <c r="AZ92" i="2"/>
  <c r="AY92" i="2"/>
  <c r="AW92" i="2"/>
  <c r="AV92" i="2"/>
  <c r="AU92" i="2"/>
  <c r="AT92" i="2"/>
  <c r="AS92" i="2"/>
  <c r="AR92" i="2"/>
  <c r="AQ92" i="2"/>
  <c r="AP92" i="2"/>
  <c r="AO92" i="2"/>
  <c r="AN92" i="2"/>
  <c r="AM92" i="2"/>
  <c r="AL92" i="2"/>
  <c r="AK92" i="2"/>
  <c r="AJ92" i="2"/>
  <c r="AI92" i="2"/>
  <c r="AH92" i="2"/>
  <c r="AG92" i="2"/>
  <c r="AF92" i="2"/>
  <c r="AE92" i="2"/>
  <c r="AB92" i="2"/>
  <c r="AA92" i="2"/>
  <c r="Z92" i="2"/>
  <c r="Y92" i="2"/>
  <c r="X92" i="2"/>
  <c r="T92" i="2"/>
  <c r="S92" i="2"/>
  <c r="R92" i="2"/>
  <c r="Q92" i="2"/>
  <c r="P92" i="2"/>
  <c r="O92" i="2"/>
  <c r="N92" i="2"/>
  <c r="M92" i="2"/>
  <c r="L92" i="2"/>
  <c r="K92" i="2"/>
  <c r="J92" i="2"/>
  <c r="I92" i="2"/>
  <c r="H92" i="2"/>
  <c r="G92" i="2"/>
  <c r="F92" i="2"/>
  <c r="E92" i="2"/>
  <c r="D92" i="2"/>
  <c r="C92" i="2"/>
  <c r="B92" i="2"/>
  <c r="BI91" i="2"/>
  <c r="BH91" i="2"/>
  <c r="BG91" i="2"/>
  <c r="BF91" i="2"/>
  <c r="BD91" i="2"/>
  <c r="BC91" i="2"/>
  <c r="BB91" i="2"/>
  <c r="BA91" i="2"/>
  <c r="AZ91" i="2"/>
  <c r="AY91" i="2"/>
  <c r="AV91" i="2"/>
  <c r="AU91" i="2"/>
  <c r="AT91" i="2"/>
  <c r="AS91" i="2"/>
  <c r="AR91" i="2"/>
  <c r="AQ91" i="2"/>
  <c r="AP91" i="2"/>
  <c r="AO91" i="2"/>
  <c r="AN91" i="2"/>
  <c r="AM91" i="2"/>
  <c r="AL91" i="2"/>
  <c r="AK91" i="2"/>
  <c r="AJ91" i="2"/>
  <c r="AI91" i="2"/>
  <c r="AH91" i="2"/>
  <c r="AG91" i="2"/>
  <c r="AF91" i="2"/>
  <c r="AE91" i="2"/>
  <c r="AB91" i="2"/>
  <c r="AA91" i="2"/>
  <c r="Z91" i="2"/>
  <c r="Y91" i="2"/>
  <c r="X91" i="2"/>
  <c r="T91" i="2"/>
  <c r="S91" i="2"/>
  <c r="R91" i="2"/>
  <c r="Q91" i="2"/>
  <c r="P91" i="2"/>
  <c r="O91" i="2"/>
  <c r="N91" i="2"/>
  <c r="M91" i="2"/>
  <c r="L91" i="2"/>
  <c r="K91" i="2"/>
  <c r="J91" i="2"/>
  <c r="I91" i="2"/>
  <c r="H91" i="2"/>
  <c r="G91" i="2"/>
  <c r="F91" i="2"/>
  <c r="E91" i="2"/>
  <c r="D91" i="2"/>
  <c r="C91" i="2"/>
  <c r="B91" i="2"/>
  <c r="BI83" i="2"/>
  <c r="BF83" i="2"/>
  <c r="BD83" i="2"/>
  <c r="AZ83" i="2"/>
  <c r="AV83" i="2"/>
  <c r="AU83" i="2"/>
  <c r="AQ83" i="2"/>
  <c r="AP83" i="2"/>
  <c r="AO83" i="2"/>
  <c r="AL83" i="2"/>
  <c r="AJ83" i="2"/>
  <c r="AH83" i="2"/>
  <c r="AG83" i="2"/>
  <c r="AF83" i="2"/>
  <c r="AE83" i="2"/>
  <c r="AB83" i="2"/>
  <c r="Q83" i="2"/>
  <c r="P83" i="2"/>
  <c r="O83" i="2"/>
  <c r="N83" i="2"/>
  <c r="M83" i="2"/>
  <c r="L83" i="2"/>
  <c r="K83" i="2"/>
  <c r="J83" i="2"/>
  <c r="I83" i="2"/>
  <c r="H83" i="2"/>
  <c r="G83" i="2"/>
  <c r="F83" i="2"/>
  <c r="E83" i="2"/>
  <c r="D83" i="2"/>
  <c r="C83" i="2"/>
  <c r="B83" i="2"/>
  <c r="O69" i="2"/>
  <c r="N69" i="2"/>
  <c r="M69" i="2"/>
  <c r="L69" i="2"/>
  <c r="K69" i="2"/>
  <c r="J69" i="2"/>
  <c r="I69" i="2"/>
  <c r="H69" i="2"/>
  <c r="G69" i="2"/>
  <c r="F69" i="2"/>
  <c r="E69" i="2"/>
  <c r="D69" i="2"/>
  <c r="C69" i="2"/>
  <c r="L68" i="2"/>
  <c r="K68" i="2"/>
  <c r="I68" i="2"/>
  <c r="G68" i="2"/>
  <c r="I63" i="2"/>
  <c r="H63" i="2"/>
  <c r="G63" i="2"/>
  <c r="F63" i="2"/>
  <c r="E63" i="2"/>
  <c r="D63" i="2"/>
  <c r="C63" i="2"/>
  <c r="AG63" i="2"/>
  <c r="O63" i="2"/>
  <c r="N63" i="2"/>
  <c r="M63" i="2"/>
  <c r="L63" i="2"/>
  <c r="K63" i="2"/>
  <c r="J63" i="2"/>
  <c r="R60" i="2"/>
  <c r="Q60" i="2"/>
  <c r="O60" i="2"/>
  <c r="N60" i="2"/>
  <c r="M60" i="2"/>
  <c r="L60" i="2"/>
  <c r="K60" i="2"/>
  <c r="J60" i="2"/>
  <c r="I60" i="2"/>
  <c r="H60" i="2"/>
  <c r="G60" i="2"/>
  <c r="F60" i="2"/>
  <c r="E60" i="2"/>
  <c r="D60" i="2"/>
  <c r="C60" i="2"/>
  <c r="B60" i="2"/>
  <c r="O59" i="2"/>
  <c r="N59" i="2"/>
  <c r="M59" i="2"/>
  <c r="L59" i="2"/>
  <c r="K59" i="2"/>
  <c r="J59" i="2"/>
  <c r="I59" i="2"/>
  <c r="H59" i="2"/>
  <c r="G59" i="2"/>
  <c r="F59" i="2"/>
  <c r="E59" i="2"/>
  <c r="D59" i="2"/>
  <c r="C59" i="2"/>
  <c r="B59" i="2"/>
  <c r="O58" i="2"/>
  <c r="N58" i="2"/>
  <c r="M58" i="2"/>
  <c r="L58" i="2"/>
  <c r="K58" i="2"/>
  <c r="J58" i="2"/>
  <c r="I58" i="2"/>
  <c r="H58" i="2"/>
  <c r="G58" i="2"/>
  <c r="F58" i="2"/>
  <c r="E58" i="2"/>
  <c r="D58" i="2"/>
  <c r="C58" i="2"/>
  <c r="B58" i="2"/>
  <c r="L56" i="2"/>
  <c r="K56" i="2"/>
  <c r="I56" i="2"/>
  <c r="G56" i="2"/>
  <c r="O55" i="2"/>
  <c r="N55" i="2"/>
  <c r="M55" i="2"/>
  <c r="L55" i="2"/>
  <c r="K55" i="2"/>
  <c r="J55" i="2"/>
  <c r="I55" i="2"/>
  <c r="H55" i="2"/>
  <c r="G55" i="2"/>
  <c r="F55" i="2"/>
  <c r="E55" i="2"/>
  <c r="D55" i="2"/>
  <c r="C55" i="2"/>
  <c r="B55" i="2"/>
  <c r="O54" i="2"/>
  <c r="N54" i="2"/>
  <c r="M54" i="2"/>
  <c r="L54" i="2"/>
  <c r="K54" i="2"/>
  <c r="J54" i="2"/>
  <c r="I54" i="2"/>
  <c r="H54" i="2"/>
  <c r="G54" i="2"/>
  <c r="F54" i="2"/>
  <c r="E54" i="2"/>
  <c r="D54" i="2"/>
  <c r="C54" i="2"/>
  <c r="B54" i="2"/>
  <c r="B52" i="2"/>
  <c r="O50" i="2"/>
  <c r="N50" i="2"/>
  <c r="M50" i="2"/>
  <c r="L50" i="2"/>
  <c r="K50" i="2"/>
  <c r="J50" i="2"/>
  <c r="I50" i="2"/>
  <c r="H50" i="2"/>
  <c r="G50" i="2"/>
  <c r="F50" i="2"/>
  <c r="E50" i="2"/>
  <c r="D50" i="2"/>
  <c r="C50" i="2"/>
  <c r="B50" i="2"/>
  <c r="O46" i="2"/>
  <c r="N46" i="2"/>
  <c r="M46" i="2"/>
  <c r="L46" i="2"/>
  <c r="K46" i="2"/>
  <c r="J46" i="2"/>
  <c r="I46" i="2"/>
  <c r="H46" i="2"/>
  <c r="G46" i="2"/>
  <c r="F46" i="2"/>
  <c r="E46" i="2"/>
  <c r="D46" i="2"/>
  <c r="C46" i="2"/>
  <c r="C41" i="2"/>
  <c r="AG44" i="2"/>
  <c r="O41" i="2"/>
  <c r="N41" i="2"/>
  <c r="M41" i="2"/>
  <c r="L41" i="2"/>
  <c r="K41" i="2"/>
  <c r="J41" i="2"/>
  <c r="I41" i="2"/>
  <c r="H41" i="2"/>
  <c r="G41" i="2"/>
  <c r="F41" i="2"/>
  <c r="E41" i="2"/>
  <c r="D41" i="2"/>
  <c r="AS39" i="2"/>
  <c r="AR39" i="2"/>
  <c r="AQ39" i="2"/>
  <c r="AP39" i="2"/>
  <c r="AO39" i="2"/>
  <c r="AN39" i="2"/>
  <c r="AI39" i="2"/>
  <c r="AG39" i="2"/>
  <c r="AD39" i="2"/>
  <c r="AC39" i="2"/>
  <c r="AB39" i="2"/>
  <c r="AA39" i="2"/>
  <c r="Z39" i="2"/>
  <c r="Y39" i="2"/>
  <c r="X39" i="2"/>
  <c r="W39" i="2"/>
  <c r="V39" i="2"/>
  <c r="U39" i="2"/>
  <c r="R39" i="2"/>
  <c r="Q39" i="2"/>
  <c r="P39" i="2"/>
  <c r="O39" i="2"/>
  <c r="N39" i="2"/>
  <c r="M39" i="2"/>
  <c r="L39" i="2"/>
  <c r="K39" i="2"/>
  <c r="J39" i="2"/>
  <c r="I39" i="2"/>
  <c r="H39" i="2"/>
  <c r="G39" i="2"/>
  <c r="F39" i="2"/>
  <c r="E39" i="2"/>
  <c r="D39"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O38" i="2"/>
  <c r="N38" i="2"/>
  <c r="M38" i="2"/>
  <c r="L38" i="2"/>
  <c r="K38" i="2"/>
  <c r="J38" i="2"/>
  <c r="I38" i="2"/>
  <c r="H38" i="2"/>
  <c r="G38" i="2"/>
  <c r="F38" i="2"/>
  <c r="E38" i="2"/>
  <c r="D38" i="2"/>
  <c r="BB37" i="2"/>
  <c r="AY37" i="2"/>
  <c r="AX37" i="2"/>
  <c r="AW37" i="2"/>
  <c r="AV37" i="2"/>
  <c r="AU37" i="2"/>
  <c r="AT37" i="2"/>
  <c r="AM37" i="2"/>
  <c r="AL37" i="2"/>
  <c r="AK37" i="2"/>
  <c r="AJ37" i="2"/>
  <c r="AF37" i="2"/>
  <c r="AE37" i="2"/>
  <c r="T37" i="2"/>
  <c r="S37" i="2"/>
  <c r="R37" i="2"/>
  <c r="Q37" i="2"/>
  <c r="P37" i="2"/>
  <c r="O37" i="2"/>
  <c r="N37" i="2"/>
  <c r="M37" i="2"/>
  <c r="L37" i="2"/>
  <c r="K37" i="2"/>
  <c r="J37" i="2"/>
  <c r="I37" i="2"/>
  <c r="H37" i="2"/>
  <c r="G37" i="2"/>
  <c r="F37" i="2"/>
  <c r="E37" i="2"/>
  <c r="D37" i="2"/>
  <c r="O36" i="2"/>
  <c r="N36" i="2"/>
  <c r="M36" i="2"/>
  <c r="L36" i="2"/>
  <c r="K36" i="2"/>
  <c r="J36" i="2"/>
  <c r="I36" i="2"/>
  <c r="H36" i="2"/>
  <c r="G36" i="2"/>
  <c r="F36" i="2"/>
  <c r="E36" i="2"/>
  <c r="D36" i="2"/>
  <c r="C36" i="2"/>
  <c r="BW31" i="2"/>
  <c r="BV31" i="2"/>
  <c r="BU31" i="2"/>
  <c r="BT31" i="2"/>
  <c r="BS31" i="2"/>
  <c r="BP31" i="2"/>
  <c r="BO31" i="2"/>
  <c r="BN31" i="2"/>
  <c r="BL31" i="2"/>
  <c r="BK31" i="2"/>
  <c r="BI31" i="2"/>
  <c r="BG31" i="2"/>
  <c r="BF31" i="2"/>
  <c r="BE31" i="2"/>
  <c r="BD31" i="2"/>
  <c r="BB31" i="2"/>
  <c r="BA31" i="2"/>
  <c r="AZ31" i="2"/>
  <c r="AY31" i="2"/>
  <c r="AW31" i="2"/>
  <c r="AV31" i="2"/>
  <c r="AT31" i="2"/>
  <c r="AR31" i="2"/>
  <c r="AQ31" i="2"/>
  <c r="AP31" i="2"/>
  <c r="AO31" i="2"/>
  <c r="AM31" i="2"/>
  <c r="AK31" i="2"/>
  <c r="AJ31" i="2"/>
  <c r="AH31" i="2"/>
  <c r="AG31" i="2"/>
  <c r="AF31" i="2"/>
  <c r="AE31" i="2"/>
  <c r="AC31" i="2"/>
  <c r="AA31" i="2"/>
  <c r="Z31" i="2"/>
  <c r="Y31" i="2"/>
  <c r="X31" i="2"/>
  <c r="W31" i="2"/>
  <c r="V31" i="2"/>
  <c r="U31" i="2"/>
  <c r="T31" i="2"/>
  <c r="S31" i="2"/>
  <c r="R31" i="2"/>
  <c r="Q31" i="2"/>
  <c r="P31" i="2"/>
  <c r="O31" i="2"/>
  <c r="N31" i="2"/>
  <c r="M31" i="2"/>
  <c r="L31" i="2"/>
  <c r="K31" i="2"/>
  <c r="J31" i="2"/>
  <c r="I31" i="2"/>
  <c r="H31" i="2"/>
  <c r="G31" i="2"/>
  <c r="F31" i="2"/>
  <c r="E31" i="2"/>
  <c r="D31" i="2"/>
  <c r="C31" i="2"/>
  <c r="B31" i="2"/>
  <c r="O30" i="2"/>
  <c r="N30" i="2"/>
  <c r="M30" i="2"/>
  <c r="L30" i="2"/>
  <c r="K30" i="2"/>
  <c r="J30" i="2"/>
  <c r="I30" i="2"/>
  <c r="H30" i="2"/>
  <c r="G30" i="2"/>
  <c r="F30" i="2"/>
  <c r="E30" i="2"/>
  <c r="D30" i="2"/>
  <c r="C30" i="2"/>
  <c r="B30" i="2"/>
  <c r="O29" i="2"/>
  <c r="N29" i="2"/>
  <c r="M29" i="2"/>
  <c r="L29" i="2"/>
  <c r="K29" i="2"/>
  <c r="J29" i="2"/>
  <c r="I29" i="2"/>
  <c r="H29" i="2"/>
  <c r="G29" i="2"/>
  <c r="F29" i="2"/>
  <c r="E29" i="2"/>
  <c r="D29" i="2"/>
  <c r="C29" i="2"/>
  <c r="B29"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BN23" i="2"/>
  <c r="BM23" i="2"/>
  <c r="BL23" i="2"/>
  <c r="BK23" i="2"/>
  <c r="BJ23" i="2"/>
  <c r="BI23" i="2"/>
  <c r="BH23" i="2"/>
  <c r="BG23" i="2"/>
  <c r="BF23" i="2"/>
  <c r="BE23" i="2"/>
  <c r="BD23" i="2"/>
  <c r="BC23" i="2"/>
  <c r="BB23" i="2"/>
  <c r="BA23" i="2"/>
  <c r="AZ23" i="2"/>
  <c r="AY23" i="2"/>
  <c r="AV23" i="2"/>
  <c r="AU23" i="2"/>
  <c r="AT23" i="2"/>
  <c r="AR23" i="2"/>
  <c r="AQ23" i="2"/>
  <c r="AP23" i="2"/>
  <c r="AO23" i="2"/>
  <c r="AM23" i="2"/>
  <c r="AL23" i="2"/>
  <c r="AK23" i="2"/>
  <c r="AJ23" i="2"/>
  <c r="AI23" i="2"/>
  <c r="AH23" i="2"/>
  <c r="AG23" i="2"/>
  <c r="AF23" i="2"/>
  <c r="AF101" i="2" s="1"/>
  <c r="AE23" i="2"/>
  <c r="AD23" i="2"/>
  <c r="AC23" i="2"/>
  <c r="AB23" i="2"/>
  <c r="AA23" i="2"/>
  <c r="Z23" i="2"/>
  <c r="Y23" i="2"/>
  <c r="X23" i="2"/>
  <c r="W23" i="2"/>
  <c r="V23" i="2"/>
  <c r="U23" i="2"/>
  <c r="T23" i="2"/>
  <c r="S23" i="2"/>
  <c r="R23" i="2"/>
  <c r="Q23" i="2"/>
  <c r="P23" i="2"/>
  <c r="P101" i="2" s="1"/>
  <c r="O23" i="2"/>
  <c r="N23" i="2"/>
  <c r="M23" i="2"/>
  <c r="L23" i="2"/>
  <c r="K23" i="2"/>
  <c r="J23" i="2"/>
  <c r="I23" i="2"/>
  <c r="H23" i="2"/>
  <c r="G23" i="2"/>
  <c r="F23" i="2"/>
  <c r="E23" i="2"/>
  <c r="D23" i="2"/>
  <c r="C23" i="2"/>
  <c r="B23" i="2"/>
  <c r="BN22" i="2"/>
  <c r="BL22" i="2"/>
  <c r="BK22" i="2"/>
  <c r="BJ22" i="2"/>
  <c r="BI22" i="2"/>
  <c r="BG22" i="2"/>
  <c r="BF22" i="2"/>
  <c r="BE22" i="2"/>
  <c r="BD22" i="2"/>
  <c r="BB22" i="2"/>
  <c r="BA22" i="2"/>
  <c r="AZ22" i="2"/>
  <c r="AY22" i="2"/>
  <c r="AV22" i="2"/>
  <c r="AU22" i="2"/>
  <c r="AT22" i="2"/>
  <c r="AR22" i="2"/>
  <c r="AQ22" i="2"/>
  <c r="AP22" i="2"/>
  <c r="AO22" i="2"/>
  <c r="AM22" i="2"/>
  <c r="AL22" i="2"/>
  <c r="AK22" i="2"/>
  <c r="AJ22" i="2"/>
  <c r="AH22" i="2"/>
  <c r="AG22" i="2"/>
  <c r="AF22" i="2"/>
  <c r="AE22" i="2"/>
  <c r="AC22" i="2"/>
  <c r="AB22" i="2"/>
  <c r="AA22" i="2"/>
  <c r="Z22" i="2"/>
  <c r="X22" i="2"/>
  <c r="W22" i="2"/>
  <c r="V22" i="2"/>
  <c r="U22" i="2"/>
  <c r="S22" i="2"/>
  <c r="R22" i="2"/>
  <c r="Q22" i="2"/>
  <c r="P22" i="2"/>
  <c r="O22" i="2"/>
  <c r="N22" i="2"/>
  <c r="M22" i="2"/>
  <c r="L22" i="2"/>
  <c r="K22" i="2"/>
  <c r="J22" i="2"/>
  <c r="I22" i="2"/>
  <c r="H22" i="2"/>
  <c r="G22" i="2"/>
  <c r="F22" i="2"/>
  <c r="E22" i="2"/>
  <c r="D22" i="2"/>
  <c r="C22" i="2"/>
  <c r="B22"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17" i="2"/>
  <c r="B17"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C16" i="2"/>
  <c r="AB16" i="2"/>
  <c r="AA16" i="2"/>
  <c r="Z16" i="2"/>
  <c r="Y16" i="2"/>
  <c r="X16" i="2"/>
  <c r="T16" i="2"/>
  <c r="R16" i="2"/>
  <c r="Q16" i="2"/>
  <c r="P16" i="2"/>
  <c r="O16" i="2"/>
  <c r="N16" i="2"/>
  <c r="M16" i="2"/>
  <c r="L16" i="2"/>
  <c r="K16" i="2"/>
  <c r="J16" i="2"/>
  <c r="I16" i="2"/>
  <c r="H16" i="2"/>
  <c r="G16" i="2"/>
  <c r="F16" i="2"/>
  <c r="E16" i="2"/>
  <c r="D16" i="2"/>
  <c r="C16" i="2"/>
  <c r="B16" i="2"/>
  <c r="L14" i="2"/>
  <c r="K14" i="2"/>
  <c r="I14" i="2"/>
  <c r="G14" i="2"/>
  <c r="O13" i="2"/>
  <c r="N13" i="2"/>
  <c r="M13" i="2"/>
  <c r="L13" i="2"/>
  <c r="K13" i="2"/>
  <c r="J13" i="2"/>
  <c r="I13" i="2"/>
  <c r="H13" i="2"/>
  <c r="G13" i="2"/>
  <c r="F13" i="2"/>
  <c r="E13" i="2"/>
  <c r="D13" i="2"/>
  <c r="C13" i="2"/>
  <c r="B13" i="2"/>
  <c r="O12" i="2"/>
  <c r="O88" i="2" s="1"/>
  <c r="N12" i="2"/>
  <c r="N88" i="2" s="1"/>
  <c r="M12" i="2"/>
  <c r="M88" i="2" s="1"/>
  <c r="L12" i="2"/>
  <c r="L88" i="2" s="1"/>
  <c r="K12" i="2"/>
  <c r="K88" i="2" s="1"/>
  <c r="J12" i="2"/>
  <c r="J88" i="2" s="1"/>
  <c r="I12" i="2"/>
  <c r="I88" i="2" s="1"/>
  <c r="H12" i="2"/>
  <c r="H88" i="2" s="1"/>
  <c r="G12" i="2"/>
  <c r="G88" i="2" s="1"/>
  <c r="F12" i="2"/>
  <c r="F88" i="2" s="1"/>
  <c r="E12" i="2"/>
  <c r="E88" i="2" s="1"/>
  <c r="D12" i="2"/>
  <c r="D88" i="2" s="1"/>
  <c r="C12" i="2"/>
  <c r="C88" i="2" s="1"/>
  <c r="B12" i="2"/>
  <c r="B88" i="2" s="1"/>
  <c r="B10" i="2"/>
  <c r="B8" i="2"/>
  <c r="B7" i="2"/>
  <c r="AG11" i="2"/>
  <c r="AB11" i="2"/>
  <c r="D11" i="2"/>
  <c r="O8" i="2"/>
  <c r="N8" i="2"/>
  <c r="M8" i="2"/>
  <c r="L8" i="2"/>
  <c r="K8" i="2"/>
  <c r="J8" i="2"/>
  <c r="I8" i="2"/>
  <c r="H8" i="2"/>
  <c r="G8" i="2"/>
  <c r="F8" i="2"/>
  <c r="E8" i="2"/>
  <c r="D8" i="2"/>
  <c r="C8" i="2"/>
  <c r="AG7" i="2"/>
  <c r="AE7" i="2"/>
  <c r="O7" i="2"/>
  <c r="N7" i="2"/>
  <c r="M7" i="2"/>
  <c r="L7" i="2"/>
  <c r="K7" i="2"/>
  <c r="J7" i="2"/>
  <c r="I7" i="2"/>
  <c r="H7" i="2"/>
  <c r="G7" i="2"/>
  <c r="F7" i="2"/>
  <c r="E7" i="2"/>
  <c r="D7" i="2"/>
  <c r="C7" i="2"/>
  <c r="BY5" i="2"/>
  <c r="BX5" i="2"/>
  <c r="BW5" i="2"/>
  <c r="BV5" i="2"/>
  <c r="BU5" i="2"/>
  <c r="BT5" i="2"/>
  <c r="BS5" i="2"/>
  <c r="BR5" i="2"/>
  <c r="BQ5" i="2"/>
  <c r="BP5" i="2"/>
  <c r="BO5" i="2"/>
  <c r="BN5" i="2"/>
  <c r="BM5" i="2"/>
  <c r="BL5" i="2"/>
  <c r="BK5" i="2"/>
  <c r="BJ5" i="2"/>
  <c r="BI5" i="2"/>
  <c r="BH5" i="2"/>
  <c r="BG5" i="2"/>
  <c r="BF5" i="2"/>
  <c r="BE5" i="2"/>
  <c r="BD5" i="2"/>
  <c r="BC5" i="2"/>
  <c r="BB5" i="2"/>
  <c r="BA5" i="2"/>
  <c r="AZ5" i="2"/>
  <c r="AY5" i="2"/>
  <c r="AX5" i="2"/>
  <c r="AW5" i="2"/>
  <c r="AV5" i="2"/>
  <c r="AU5" i="2"/>
  <c r="AT5" i="2"/>
  <c r="AS5" i="2"/>
  <c r="AR5" i="2"/>
  <c r="AQ5" i="2"/>
  <c r="AP5" i="2"/>
  <c r="AO5" i="2"/>
  <c r="AN5" i="2"/>
  <c r="AM5" i="2"/>
  <c r="AL5" i="2"/>
  <c r="AK5" i="2"/>
  <c r="AJ5" i="2"/>
  <c r="AI5" i="2"/>
  <c r="AH5" i="2"/>
  <c r="AG5" i="2"/>
  <c r="AF5" i="2"/>
  <c r="AE5" i="2"/>
  <c r="AD5" i="2"/>
  <c r="AC5" i="2"/>
  <c r="AB5" i="2"/>
  <c r="AA5" i="2"/>
  <c r="Z5" i="2"/>
  <c r="Y5" i="2"/>
  <c r="X5" i="2"/>
  <c r="W5" i="2"/>
  <c r="V5" i="2"/>
  <c r="U5" i="2"/>
  <c r="T5" i="2"/>
  <c r="S5" i="2"/>
  <c r="R5" i="2"/>
  <c r="Q5" i="2"/>
  <c r="P5" i="2"/>
  <c r="O5" i="2"/>
  <c r="AG114" i="7" l="1"/>
  <c r="CJ44" i="8"/>
  <c r="U118" i="7"/>
  <c r="N118" i="7"/>
  <c r="CF148" i="14"/>
  <c r="CF149" i="14" s="1"/>
  <c r="CK149" i="14" s="1"/>
  <c r="DC191" i="14" s="1"/>
  <c r="BM117" i="11"/>
  <c r="AW43" i="8"/>
  <c r="AK23" i="11"/>
  <c r="AK25" i="11" s="1"/>
  <c r="I75" i="6" s="1"/>
  <c r="I80" i="6" s="1"/>
  <c r="CF194" i="14"/>
  <c r="M100" i="7"/>
  <c r="DB209" i="14"/>
  <c r="DC207" i="14"/>
  <c r="DC209" i="14" s="1"/>
  <c r="AQ22" i="14"/>
  <c r="AM70" i="11"/>
  <c r="R110" i="11"/>
  <c r="V22" i="14"/>
  <c r="V35" i="14"/>
  <c r="CT105" i="14"/>
  <c r="BK41" i="14"/>
  <c r="BG160" i="11"/>
  <c r="DB214" i="14"/>
  <c r="BU22" i="14"/>
  <c r="BQ70" i="11"/>
  <c r="BF41" i="14"/>
  <c r="BB160" i="11"/>
  <c r="K123" i="7" s="1"/>
  <c r="CL110" i="14"/>
  <c r="CN110" i="14"/>
  <c r="CM110" i="14"/>
  <c r="CO101" i="14"/>
  <c r="CP101" i="14" s="1"/>
  <c r="CP110" i="14" s="1"/>
  <c r="BA41" i="14"/>
  <c r="AW160" i="11"/>
  <c r="CI23" i="14"/>
  <c r="CI18" i="14"/>
  <c r="CE48" i="11"/>
  <c r="CJ22" i="14"/>
  <c r="CF70" i="11"/>
  <c r="Z7" i="2"/>
  <c r="G9" i="2"/>
  <c r="G87" i="2" s="1"/>
  <c r="AT28" i="8"/>
  <c r="BC42" i="11"/>
  <c r="AQ36" i="11"/>
  <c r="K102" i="11"/>
  <c r="AI63" i="2"/>
  <c r="AT32" i="8"/>
  <c r="Z58" i="2" s="1"/>
  <c r="AG76" i="9"/>
  <c r="AG81" i="9" s="1"/>
  <c r="J51" i="8"/>
  <c r="BC39" i="11"/>
  <c r="BC182" i="11" s="1"/>
  <c r="BS21" i="8"/>
  <c r="X7" i="2"/>
  <c r="X112" i="2" s="1"/>
  <c r="Z60" i="2"/>
  <c r="AE63" i="2"/>
  <c r="P51" i="8"/>
  <c r="BC36" i="11"/>
  <c r="C10" i="7"/>
  <c r="C176" i="7" s="1"/>
  <c r="AT22" i="8"/>
  <c r="C11" i="7" s="1"/>
  <c r="CF59" i="9"/>
  <c r="BA159" i="7"/>
  <c r="R118" i="7"/>
  <c r="AB114" i="7"/>
  <c r="AH113" i="7"/>
  <c r="P109" i="7"/>
  <c r="AI118" i="7"/>
  <c r="AB105" i="7"/>
  <c r="BK7" i="2"/>
  <c r="BK110" i="2" s="1"/>
  <c r="CE32" i="8"/>
  <c r="BK58" i="2" s="1"/>
  <c r="BR77" i="9"/>
  <c r="CE35" i="8"/>
  <c r="BK59" i="2" s="1"/>
  <c r="BR80" i="9"/>
  <c r="BK60" i="2"/>
  <c r="BI41" i="13"/>
  <c r="BI157" i="11"/>
  <c r="BQ22" i="13"/>
  <c r="BQ67" i="11"/>
  <c r="BR35" i="13"/>
  <c r="BR107" i="11"/>
  <c r="BR117" i="11" s="1"/>
  <c r="BR43" i="8" s="1"/>
  <c r="AA26" i="7" s="1"/>
  <c r="BJ41" i="13"/>
  <c r="BJ157" i="11"/>
  <c r="CV56" i="13"/>
  <c r="CW56" i="13" s="1"/>
  <c r="CX56" i="13" s="1"/>
  <c r="CY56" i="13" s="1"/>
  <c r="BL26" i="13"/>
  <c r="CF19" i="13"/>
  <c r="CF20" i="13" s="1"/>
  <c r="CV57" i="13"/>
  <c r="CW57" i="13" s="1"/>
  <c r="CX57" i="13" s="1"/>
  <c r="CY57" i="13" s="1"/>
  <c r="CH44" i="8"/>
  <c r="CG93" i="10"/>
  <c r="CW27" i="12"/>
  <c r="CR106" i="11"/>
  <c r="P7" i="2"/>
  <c r="P111" i="2" s="1"/>
  <c r="AF7" i="2"/>
  <c r="AL7" i="2"/>
  <c r="AL111" i="2" s="1"/>
  <c r="L10" i="2"/>
  <c r="AF60" i="2"/>
  <c r="AV108" i="2"/>
  <c r="W46" i="8"/>
  <c r="W47" i="8" s="1"/>
  <c r="AS144" i="7"/>
  <c r="BV64" i="10"/>
  <c r="BQ126" i="10"/>
  <c r="D81" i="2"/>
  <c r="L81" i="2"/>
  <c r="T81" i="2"/>
  <c r="AB81" i="2"/>
  <c r="AJ81" i="2"/>
  <c r="AR81" i="2"/>
  <c r="AZ81" i="2"/>
  <c r="BH81" i="2"/>
  <c r="BP81" i="2"/>
  <c r="AC80" i="2"/>
  <c r="BO126" i="10"/>
  <c r="W137" i="2"/>
  <c r="AN86" i="9"/>
  <c r="AN109" i="9" s="1"/>
  <c r="AP44" i="10"/>
  <c r="M185" i="7"/>
  <c r="BP44" i="10"/>
  <c r="BP47" i="10" s="1"/>
  <c r="AM185" i="7"/>
  <c r="AL44" i="10"/>
  <c r="I185" i="7"/>
  <c r="AM55" i="10"/>
  <c r="AP65" i="10"/>
  <c r="AP71" i="10" s="1"/>
  <c r="BJ31" i="2"/>
  <c r="AE88" i="9"/>
  <c r="AU31" i="2"/>
  <c r="BC55" i="10"/>
  <c r="AK105" i="9"/>
  <c r="AK124" i="9"/>
  <c r="AG60" i="2"/>
  <c r="BT126" i="10"/>
  <c r="AJ67" i="10"/>
  <c r="X60" i="2"/>
  <c r="AR32" i="8"/>
  <c r="X58" i="2" s="1"/>
  <c r="AX36" i="11"/>
  <c r="AM87" i="7"/>
  <c r="C9" i="2"/>
  <c r="AB108" i="7"/>
  <c r="AN87" i="9"/>
  <c r="BP21" i="8"/>
  <c r="BP35" i="8" s="1"/>
  <c r="AV59" i="2" s="1"/>
  <c r="BL21" i="8"/>
  <c r="BL32" i="8" s="1"/>
  <c r="AR58" i="2" s="1"/>
  <c r="AN118" i="7"/>
  <c r="T63" i="2"/>
  <c r="AA46" i="8"/>
  <c r="AA47" i="8" s="1"/>
  <c r="G52" i="2" s="1"/>
  <c r="AK89" i="11"/>
  <c r="AE76" i="9"/>
  <c r="AE97" i="9" s="1"/>
  <c r="W87" i="9"/>
  <c r="AA109" i="10"/>
  <c r="AA110" i="10" s="1"/>
  <c r="AK108" i="10"/>
  <c r="C100" i="7"/>
  <c r="AT43" i="8"/>
  <c r="T7" i="2"/>
  <c r="T66" i="2" s="1"/>
  <c r="BC35" i="8"/>
  <c r="AI59" i="2" s="1"/>
  <c r="AN22" i="8"/>
  <c r="AH103" i="10"/>
  <c r="AE87" i="9"/>
  <c r="AY36" i="11"/>
  <c r="F79" i="8"/>
  <c r="S118" i="7"/>
  <c r="AJ11" i="2"/>
  <c r="AL103" i="2"/>
  <c r="AM105" i="7"/>
  <c r="CG99" i="12"/>
  <c r="CG101" i="12" s="1"/>
  <c r="AU22" i="8"/>
  <c r="D11" i="7" s="1"/>
  <c r="I113" i="7"/>
  <c r="M10" i="2"/>
  <c r="AH44" i="2"/>
  <c r="AG51" i="8"/>
  <c r="AG52" i="8" s="1"/>
  <c r="M51" i="2" s="1"/>
  <c r="AR35" i="8"/>
  <c r="X59" i="2" s="1"/>
  <c r="N105" i="7"/>
  <c r="BB36" i="11"/>
  <c r="T102" i="11"/>
  <c r="T104" i="11" s="1"/>
  <c r="BQ21" i="8"/>
  <c r="BQ35" i="8" s="1"/>
  <c r="AW59" i="2" s="1"/>
  <c r="F11" i="2"/>
  <c r="F53" i="2" s="1"/>
  <c r="K44" i="2"/>
  <c r="AR28" i="8"/>
  <c r="AK100" i="11"/>
  <c r="AA54" i="11"/>
  <c r="AA53" i="11" s="1"/>
  <c r="AY42" i="11"/>
  <c r="AJ100" i="11"/>
  <c r="L79" i="8"/>
  <c r="L81" i="8" s="1"/>
  <c r="L86" i="8" s="1"/>
  <c r="L87" i="8" s="1"/>
  <c r="AG79" i="8"/>
  <c r="AG81" i="8" s="1"/>
  <c r="M56" i="2" s="1"/>
  <c r="AM7" i="2"/>
  <c r="AM121" i="2" s="1"/>
  <c r="BG28" i="8"/>
  <c r="BG32" i="8"/>
  <c r="AM58" i="2" s="1"/>
  <c r="BG22" i="8"/>
  <c r="P11" i="7" s="1"/>
  <c r="AF11" i="2"/>
  <c r="P63" i="2"/>
  <c r="P103" i="2"/>
  <c r="V7" i="2"/>
  <c r="V112" i="2" s="1"/>
  <c r="P60" i="2"/>
  <c r="V63" i="2"/>
  <c r="AJ28" i="8"/>
  <c r="AJ39" i="8" s="1"/>
  <c r="AJ143" i="11" s="1"/>
  <c r="BA42" i="11"/>
  <c r="BO21" i="8"/>
  <c r="AU7" i="2" s="1"/>
  <c r="AU111" i="2" s="1"/>
  <c r="BT38" i="13"/>
  <c r="AE118" i="7"/>
  <c r="AJ44" i="2"/>
  <c r="AJ32" i="8"/>
  <c r="P58" i="2" s="1"/>
  <c r="BF22" i="8"/>
  <c r="O11" i="7" s="1"/>
  <c r="AZ89" i="11"/>
  <c r="AZ104" i="11" s="1"/>
  <c r="AS76" i="9"/>
  <c r="AS80" i="9" s="1"/>
  <c r="O52" i="8"/>
  <c r="C51" i="2" s="1"/>
  <c r="AT39" i="11"/>
  <c r="AT182" i="11" s="1"/>
  <c r="CF161" i="14"/>
  <c r="CF162" i="14" s="1"/>
  <c r="CK158" i="14" s="1"/>
  <c r="L44" i="2"/>
  <c r="N11" i="2"/>
  <c r="AF51" i="8"/>
  <c r="L9" i="2" s="1"/>
  <c r="L87" i="2" s="1"/>
  <c r="AH79" i="8"/>
  <c r="AH81" i="8" s="1"/>
  <c r="AH86" i="8" s="1"/>
  <c r="AH87" i="8" s="1"/>
  <c r="AE54" i="11"/>
  <c r="AE64" i="11" s="1"/>
  <c r="AJ35" i="8"/>
  <c r="P59" i="2" s="1"/>
  <c r="BF35" i="8"/>
  <c r="AL59" i="2" s="1"/>
  <c r="AH37" i="2"/>
  <c r="Q38" i="2"/>
  <c r="O46" i="8"/>
  <c r="O47" i="8" s="1"/>
  <c r="C52" i="2" s="1"/>
  <c r="AJ22" i="8"/>
  <c r="BA31" i="11"/>
  <c r="BA32" i="11" s="1"/>
  <c r="AV38" i="14"/>
  <c r="S52" i="8"/>
  <c r="S54" i="11"/>
  <c r="S53" i="11" s="1"/>
  <c r="BE28" i="8"/>
  <c r="AR76" i="9"/>
  <c r="AR77" i="9" s="1"/>
  <c r="AK7" i="2"/>
  <c r="AK112" i="2" s="1"/>
  <c r="AX38" i="14"/>
  <c r="AE102" i="11"/>
  <c r="BA43" i="8"/>
  <c r="BA100" i="11"/>
  <c r="AN35" i="8"/>
  <c r="T59" i="2" s="1"/>
  <c r="AW23" i="11"/>
  <c r="AW24" i="11" s="1"/>
  <c r="AC37" i="2" s="1"/>
  <c r="AC54" i="11"/>
  <c r="AC64" i="11" s="1"/>
  <c r="BF23" i="11"/>
  <c r="BF26" i="11" s="1"/>
  <c r="AL39" i="2" s="1"/>
  <c r="BA39" i="11"/>
  <c r="BA182" i="11" s="1"/>
  <c r="K104" i="11"/>
  <c r="BH43" i="8"/>
  <c r="Q26" i="7" s="1"/>
  <c r="F118" i="7"/>
  <c r="AI36" i="2"/>
  <c r="M44" i="2"/>
  <c r="AE46" i="8"/>
  <c r="AE47" i="8" s="1"/>
  <c r="K52" i="2" s="1"/>
  <c r="AN28" i="8"/>
  <c r="T8" i="2" s="1"/>
  <c r="T62" i="2" s="1"/>
  <c r="AZ100" i="11"/>
  <c r="W76" i="9"/>
  <c r="W78" i="9" s="1"/>
  <c r="AT23" i="11"/>
  <c r="AT24" i="11" s="1"/>
  <c r="Z37" i="2" s="1"/>
  <c r="B26" i="7"/>
  <c r="I79" i="8"/>
  <c r="O102" i="11"/>
  <c r="AG102" i="11"/>
  <c r="AG104" i="11" s="1"/>
  <c r="Z102" i="11"/>
  <c r="BD39" i="6"/>
  <c r="AG99" i="7"/>
  <c r="AG108" i="7"/>
  <c r="BI32" i="8"/>
  <c r="AO58" i="2" s="1"/>
  <c r="BZ21" i="8"/>
  <c r="BZ22" i="8" s="1"/>
  <c r="AI11" i="7" s="1"/>
  <c r="Z42" i="15"/>
  <c r="BT162" i="11"/>
  <c r="AA26" i="15"/>
  <c r="BT71" i="11"/>
  <c r="BT74" i="11" s="1"/>
  <c r="W116" i="7"/>
  <c r="CF35" i="8"/>
  <c r="BL59" i="2" s="1"/>
  <c r="AJ18" i="15"/>
  <c r="AJ19" i="15" s="1"/>
  <c r="AJ20" i="15" s="1"/>
  <c r="CD50" i="11"/>
  <c r="AK42" i="15"/>
  <c r="CE162" i="11"/>
  <c r="AN124" i="7" s="1"/>
  <c r="AH16" i="15"/>
  <c r="AK22" i="15"/>
  <c r="CE71" i="11"/>
  <c r="CE74" i="11" s="1"/>
  <c r="AG116" i="7"/>
  <c r="BQ169" i="11"/>
  <c r="BY28" i="8"/>
  <c r="BE8" i="2" s="1"/>
  <c r="BK23" i="11"/>
  <c r="BK24" i="11" s="1"/>
  <c r="AQ37" i="2" s="1"/>
  <c r="AP48" i="10"/>
  <c r="AP47" i="10" s="1"/>
  <c r="S16" i="2"/>
  <c r="E19" i="2"/>
  <c r="M19" i="2"/>
  <c r="U19" i="2"/>
  <c r="AC19" i="2"/>
  <c r="AK19" i="2"/>
  <c r="AS19" i="2"/>
  <c r="BA19" i="2"/>
  <c r="BI19" i="2"/>
  <c r="AX91" i="2"/>
  <c r="AG78" i="9"/>
  <c r="AN88" i="9"/>
  <c r="AP126" i="10"/>
  <c r="AE85" i="9"/>
  <c r="AA55" i="10"/>
  <c r="AT63" i="10"/>
  <c r="AP96" i="9"/>
  <c r="M80" i="2"/>
  <c r="AG80" i="2"/>
  <c r="AS80" i="2"/>
  <c r="AW80" i="2"/>
  <c r="BI80" i="2"/>
  <c r="C81" i="2"/>
  <c r="K81" i="2"/>
  <c r="S81" i="2"/>
  <c r="AA81" i="2"/>
  <c r="AI81" i="2"/>
  <c r="AQ81" i="2"/>
  <c r="AY81" i="2"/>
  <c r="BG81" i="2"/>
  <c r="BO81" i="2"/>
  <c r="BI63" i="10"/>
  <c r="BI126" i="10" s="1"/>
  <c r="AP53" i="10"/>
  <c r="CA17" i="9"/>
  <c r="J154" i="2"/>
  <c r="AI154" i="2"/>
  <c r="BH154" i="2"/>
  <c r="AD154" i="2"/>
  <c r="Z118" i="7"/>
  <c r="BJ39" i="11"/>
  <c r="BJ182" i="11" s="1"/>
  <c r="AE106" i="7"/>
  <c r="Z106" i="7"/>
  <c r="BK35" i="8"/>
  <c r="AQ59" i="2" s="1"/>
  <c r="BJ28" i="8"/>
  <c r="BQ89" i="11"/>
  <c r="BQ104" i="11" s="1"/>
  <c r="U114" i="7"/>
  <c r="Z99" i="7"/>
  <c r="AG118" i="7"/>
  <c r="AP7" i="2"/>
  <c r="AP110" i="2" s="1"/>
  <c r="AL106" i="7"/>
  <c r="AG106" i="7"/>
  <c r="BJ22" i="8"/>
  <c r="S11" i="7" s="1"/>
  <c r="BU35" i="8"/>
  <c r="BA59" i="2" s="1"/>
  <c r="BJ42" i="11"/>
  <c r="AM114" i="7"/>
  <c r="AP79" i="6"/>
  <c r="BJ36" i="11"/>
  <c r="BY44" i="8"/>
  <c r="BI42" i="11"/>
  <c r="CI43" i="8"/>
  <c r="AR26" i="7" s="1"/>
  <c r="BE60" i="2"/>
  <c r="AO118" i="7"/>
  <c r="CF28" i="8"/>
  <c r="BL8" i="2" s="1"/>
  <c r="BY35" i="8"/>
  <c r="BE59" i="2" s="1"/>
  <c r="BB44" i="2"/>
  <c r="BI39" i="2"/>
  <c r="BS76" i="9"/>
  <c r="BS81" i="9" s="1"/>
  <c r="BK39" i="11"/>
  <c r="BK182" i="11" s="1"/>
  <c r="BI31" i="11"/>
  <c r="BI32" i="11" s="1"/>
  <c r="BX22" i="8"/>
  <c r="AG11" i="7" s="1"/>
  <c r="BL7" i="2"/>
  <c r="BL110" i="2" s="1"/>
  <c r="AO7" i="2"/>
  <c r="AW11" i="2"/>
  <c r="BL60" i="2"/>
  <c r="BX42" i="11"/>
  <c r="BT21" i="8"/>
  <c r="BT32" i="8" s="1"/>
  <c r="AZ58" i="2" s="1"/>
  <c r="AB7" i="2"/>
  <c r="AB110" i="2" s="1"/>
  <c r="AI76" i="9"/>
  <c r="AI78" i="9" s="1"/>
  <c r="BA22" i="8"/>
  <c r="J11" i="7" s="1"/>
  <c r="AB103" i="2"/>
  <c r="AV32" i="8"/>
  <c r="AB58" i="2" s="1"/>
  <c r="AL84" i="9"/>
  <c r="AE60" i="2"/>
  <c r="AM22" i="8"/>
  <c r="AJ63" i="2"/>
  <c r="BD35" i="8"/>
  <c r="AJ59" i="2" s="1"/>
  <c r="AK100" i="10"/>
  <c r="AK101" i="10" s="1"/>
  <c r="AY35" i="8"/>
  <c r="AE59" i="2" s="1"/>
  <c r="AE103" i="2"/>
  <c r="AY28" i="8"/>
  <c r="AY39" i="8" s="1"/>
  <c r="AY32" i="8"/>
  <c r="AE58" i="2" s="1"/>
  <c r="AY22" i="8"/>
  <c r="H11" i="7" s="1"/>
  <c r="AT84" i="9"/>
  <c r="AM60" i="2"/>
  <c r="D53" i="2"/>
  <c r="AM24" i="8"/>
  <c r="R8" i="2"/>
  <c r="R41" i="2"/>
  <c r="I11" i="2"/>
  <c r="I53" i="2" s="1"/>
  <c r="BK44" i="2"/>
  <c r="AR44" i="2"/>
  <c r="AM11" i="2"/>
  <c r="AM53" i="2" s="1"/>
  <c r="S44" i="2"/>
  <c r="V44" i="2"/>
  <c r="V11" i="2"/>
  <c r="AS39" i="11"/>
  <c r="AS182" i="11" s="1"/>
  <c r="AS36" i="11"/>
  <c r="AS109" i="10"/>
  <c r="AS110" i="10" s="1"/>
  <c r="AS103" i="10"/>
  <c r="AH76" i="9"/>
  <c r="AG100" i="10"/>
  <c r="AG101" i="10" s="1"/>
  <c r="AU32" i="8"/>
  <c r="AA58" i="2" s="1"/>
  <c r="AA63" i="2"/>
  <c r="AA60" i="2"/>
  <c r="AA7" i="2"/>
  <c r="AA138" i="2" s="1"/>
  <c r="D10" i="7"/>
  <c r="D176" i="7" s="1"/>
  <c r="Z76" i="9"/>
  <c r="AM32" i="8"/>
  <c r="S58" i="2" s="1"/>
  <c r="S7" i="2"/>
  <c r="S106" i="2" s="1"/>
  <c r="AM35" i="8"/>
  <c r="S59" i="2" s="1"/>
  <c r="AR22" i="8"/>
  <c r="X63" i="2"/>
  <c r="AV28" i="8"/>
  <c r="AV29" i="8" s="1"/>
  <c r="X44" i="2"/>
  <c r="X11" i="2"/>
  <c r="X66" i="2" s="1"/>
  <c r="BV42" i="11"/>
  <c r="K99" i="7"/>
  <c r="K118" i="7"/>
  <c r="P107" i="7"/>
  <c r="E79" i="2"/>
  <c r="S63" i="2"/>
  <c r="AV35" i="8"/>
  <c r="AB59" i="2" s="1"/>
  <c r="AE11" i="2"/>
  <c r="AE53" i="2" s="1"/>
  <c r="BF11" i="2"/>
  <c r="BF44" i="2"/>
  <c r="AL11" i="2"/>
  <c r="AL53" i="2" s="1"/>
  <c r="AL44" i="2"/>
  <c r="R44" i="2"/>
  <c r="BH7" i="2"/>
  <c r="BH100" i="2" s="1"/>
  <c r="CC35" i="8"/>
  <c r="BI59" i="2" s="1"/>
  <c r="AM108" i="10"/>
  <c r="W117" i="7"/>
  <c r="AB109" i="7"/>
  <c r="W109" i="7"/>
  <c r="Y63" i="2"/>
  <c r="Y7" i="2"/>
  <c r="Y104" i="2" s="1"/>
  <c r="AK11" i="2"/>
  <c r="BE100" i="11"/>
  <c r="BE89" i="11"/>
  <c r="BE104" i="11" s="1"/>
  <c r="AK44" i="2"/>
  <c r="Y154" i="2"/>
  <c r="BM154" i="2"/>
  <c r="AN7" i="2"/>
  <c r="AN110" i="2" s="1"/>
  <c r="AM28" i="8"/>
  <c r="AM29" i="8" s="1"/>
  <c r="K115" i="7"/>
  <c r="AM118" i="7"/>
  <c r="AM106" i="7"/>
  <c r="D76" i="7"/>
  <c r="AP31" i="11"/>
  <c r="AP33" i="11" s="1"/>
  <c r="AU23" i="11"/>
  <c r="AP39" i="11"/>
  <c r="AP182" i="11" s="1"/>
  <c r="AP42" i="11"/>
  <c r="AB100" i="10"/>
  <c r="AB101" i="10" s="1"/>
  <c r="AC76" i="9"/>
  <c r="AC81" i="9" s="1"/>
  <c r="AP32" i="8"/>
  <c r="V58" i="2" s="1"/>
  <c r="AP35" i="8"/>
  <c r="V59" i="2" s="1"/>
  <c r="AP22" i="8"/>
  <c r="AP28" i="8"/>
  <c r="V41" i="2" s="1"/>
  <c r="AH7" i="2"/>
  <c r="AH112" i="2" s="1"/>
  <c r="BB32" i="8"/>
  <c r="AH58" i="2" s="1"/>
  <c r="AA8" i="2"/>
  <c r="BR108" i="9"/>
  <c r="Z8" i="2"/>
  <c r="BV36" i="11"/>
  <c r="BO39" i="2"/>
  <c r="P102" i="11"/>
  <c r="AC44" i="2"/>
  <c r="AC11" i="2"/>
  <c r="BZ36" i="11"/>
  <c r="BZ42" i="11"/>
  <c r="AQ113" i="7"/>
  <c r="AQ118" i="7"/>
  <c r="AH44" i="8"/>
  <c r="AH102" i="11"/>
  <c r="BQ108" i="10"/>
  <c r="BQ109" i="10"/>
  <c r="BQ110" i="10" s="1"/>
  <c r="BQ103" i="10"/>
  <c r="L26" i="7"/>
  <c r="AS97" i="9"/>
  <c r="Q103" i="2"/>
  <c r="AE107" i="7"/>
  <c r="N46" i="8"/>
  <c r="N47" i="8" s="1"/>
  <c r="BC32" i="8"/>
  <c r="AI58" i="2" s="1"/>
  <c r="Y76" i="9"/>
  <c r="Y78" i="9" s="1"/>
  <c r="AS100" i="10"/>
  <c r="AS101" i="10" s="1"/>
  <c r="AT31" i="11"/>
  <c r="AT33" i="11" s="1"/>
  <c r="BK36" i="11"/>
  <c r="AW36" i="11"/>
  <c r="W88" i="9"/>
  <c r="AU31" i="11"/>
  <c r="AU32" i="11" s="1"/>
  <c r="AO67" i="10"/>
  <c r="AK103" i="10"/>
  <c r="AI102" i="11"/>
  <c r="BI13" i="10"/>
  <c r="AD169" i="7"/>
  <c r="BU75" i="11"/>
  <c r="AQ21" i="8"/>
  <c r="AB63" i="2" s="1"/>
  <c r="D62" i="2"/>
  <c r="BK31" i="11"/>
  <c r="BK32" i="11" s="1"/>
  <c r="W86" i="9"/>
  <c r="W109" i="9" s="1"/>
  <c r="Z44" i="8"/>
  <c r="Z51" i="8" s="1"/>
  <c r="K42" i="2" s="1"/>
  <c r="BJ92" i="2"/>
  <c r="Q7" i="2"/>
  <c r="Q106" i="2" s="1"/>
  <c r="CA35" i="8"/>
  <c r="BG59" i="2" s="1"/>
  <c r="X47" i="10"/>
  <c r="CF39" i="11"/>
  <c r="CF182" i="11" s="1"/>
  <c r="BB42" i="11"/>
  <c r="R51" i="8"/>
  <c r="R54" i="11" s="1"/>
  <c r="AO100" i="10"/>
  <c r="AO101" i="10" s="1"/>
  <c r="BB23" i="11"/>
  <c r="BG23" i="11"/>
  <c r="BG26" i="11" s="1"/>
  <c r="AM39" i="2" s="1"/>
  <c r="AW42" i="11"/>
  <c r="AU36" i="11"/>
  <c r="AP76" i="9"/>
  <c r="AP77" i="9" s="1"/>
  <c r="AK109" i="10"/>
  <c r="AK110" i="10" s="1"/>
  <c r="AA102" i="11"/>
  <c r="Z79" i="8"/>
  <c r="Z81" i="8" s="1"/>
  <c r="AB60" i="2"/>
  <c r="Z115" i="7"/>
  <c r="AG100" i="11"/>
  <c r="AW31" i="11"/>
  <c r="BB33" i="11" s="1"/>
  <c r="AP178" i="7"/>
  <c r="R7" i="2"/>
  <c r="R111" i="2" s="1"/>
  <c r="BG7" i="2"/>
  <c r="BG110" i="2" s="1"/>
  <c r="P11" i="2"/>
  <c r="Q81" i="2"/>
  <c r="Y19" i="2"/>
  <c r="AG81" i="2"/>
  <c r="AO19" i="2"/>
  <c r="AO85" i="2" s="1"/>
  <c r="AW81" i="2"/>
  <c r="BE19" i="2"/>
  <c r="BE20" i="2" s="1"/>
  <c r="BM81" i="2"/>
  <c r="C25" i="2"/>
  <c r="C122" i="2" s="1"/>
  <c r="S25" i="2"/>
  <c r="Q63" i="2"/>
  <c r="AC46" i="8"/>
  <c r="AC47" i="8" s="1"/>
  <c r="I52" i="2" s="1"/>
  <c r="BR26" i="8"/>
  <c r="AZ28" i="8"/>
  <c r="AZ39" i="8" s="1"/>
  <c r="O44" i="2"/>
  <c r="BA89" i="11"/>
  <c r="BA104" i="11" s="1"/>
  <c r="V51" i="8"/>
  <c r="G42" i="2" s="1"/>
  <c r="N54" i="11"/>
  <c r="BB39" i="11"/>
  <c r="BB182" i="11" s="1"/>
  <c r="AW39" i="11"/>
  <c r="AW182" i="11" s="1"/>
  <c r="X102" i="11"/>
  <c r="U63" i="2"/>
  <c r="O9" i="2"/>
  <c r="O87" i="2" s="1"/>
  <c r="M11" i="2"/>
  <c r="M53" i="2" s="1"/>
  <c r="AL8" i="2"/>
  <c r="Q11" i="2"/>
  <c r="Q53" i="2" s="1"/>
  <c r="B81" i="2"/>
  <c r="J81" i="2"/>
  <c r="R81" i="2"/>
  <c r="Z81" i="2"/>
  <c r="AH81" i="2"/>
  <c r="AP81" i="2"/>
  <c r="AX81" i="2"/>
  <c r="BF81" i="2"/>
  <c r="BN81" i="2"/>
  <c r="AE25" i="2"/>
  <c r="R63" i="2"/>
  <c r="S46" i="8"/>
  <c r="S47" i="8" s="1"/>
  <c r="AZ35" i="8"/>
  <c r="AF59" i="2" s="1"/>
  <c r="AL22" i="8"/>
  <c r="AK35" i="8"/>
  <c r="Q59" i="2" s="1"/>
  <c r="AO44" i="2"/>
  <c r="AJ89" i="11"/>
  <c r="CF36" i="11"/>
  <c r="CP36" i="11" s="1"/>
  <c r="CU36" i="11" s="1"/>
  <c r="AI54" i="11"/>
  <c r="AI53" i="11" s="1"/>
  <c r="BJ23" i="11"/>
  <c r="BJ24" i="11" s="1"/>
  <c r="AP37" i="2" s="1"/>
  <c r="CB34" i="10"/>
  <c r="AY184" i="7" s="1"/>
  <c r="AX184" i="7"/>
  <c r="AF151" i="7"/>
  <c r="AF152" i="7" s="1"/>
  <c r="L62" i="2"/>
  <c r="AA69" i="7"/>
  <c r="BR39" i="11"/>
  <c r="BR182" i="11" s="1"/>
  <c r="BC38" i="2"/>
  <c r="BR42" i="11"/>
  <c r="AJ84" i="9"/>
  <c r="AC60" i="2"/>
  <c r="G10" i="7"/>
  <c r="AJ100" i="10"/>
  <c r="AJ101" i="10" s="1"/>
  <c r="AD63" i="2"/>
  <c r="J11" i="2"/>
  <c r="J53" i="2" s="1"/>
  <c r="AE44" i="2"/>
  <c r="AW79" i="2"/>
  <c r="O169" i="7"/>
  <c r="BF75" i="11"/>
  <c r="BN35" i="8"/>
  <c r="AT59" i="2" s="1"/>
  <c r="AT60" i="2"/>
  <c r="AJ23" i="11"/>
  <c r="AY103" i="2"/>
  <c r="AY60" i="2"/>
  <c r="AA84" i="9"/>
  <c r="T60" i="2"/>
  <c r="E118" i="7"/>
  <c r="E113" i="7"/>
  <c r="BE79" i="2"/>
  <c r="CH23" i="11"/>
  <c r="BN36" i="2" s="1"/>
  <c r="BJ55" i="10"/>
  <c r="AO100" i="11"/>
  <c r="AS35" i="8"/>
  <c r="Y59" i="2" s="1"/>
  <c r="AS32" i="8"/>
  <c r="Y58" i="2" s="1"/>
  <c r="BR36" i="11"/>
  <c r="AI100" i="10"/>
  <c r="AI101" i="10" s="1"/>
  <c r="F10" i="7"/>
  <c r="F176" i="7" s="1"/>
  <c r="AW32" i="8"/>
  <c r="AC58" i="2" s="1"/>
  <c r="AW35" i="8"/>
  <c r="AC59" i="2" s="1"/>
  <c r="AC63" i="2"/>
  <c r="AW28" i="8"/>
  <c r="AW29" i="8" s="1"/>
  <c r="BI7" i="2"/>
  <c r="BI138" i="2" s="1"/>
  <c r="AO103" i="2"/>
  <c r="E99" i="7"/>
  <c r="CC28" i="8"/>
  <c r="BI8" i="2" s="1"/>
  <c r="BS32" i="8"/>
  <c r="AY58" i="2" s="1"/>
  <c r="AV88" i="9"/>
  <c r="AW129" i="9"/>
  <c r="BP71" i="10"/>
  <c r="BF55" i="10"/>
  <c r="Z169" i="7"/>
  <c r="BQ75" i="11"/>
  <c r="AS81" i="9"/>
  <c r="AS79" i="9"/>
  <c r="AS108" i="9" s="1"/>
  <c r="AS77" i="9"/>
  <c r="AN79" i="9"/>
  <c r="AN108" i="9" s="1"/>
  <c r="AN110" i="9" s="1"/>
  <c r="AN77" i="9"/>
  <c r="AO23" i="11"/>
  <c r="AO24" i="11" s="1"/>
  <c r="U37" i="2" s="1"/>
  <c r="AP81" i="6"/>
  <c r="AI86" i="9"/>
  <c r="AI109" i="9" s="1"/>
  <c r="AI85" i="9"/>
  <c r="Y46" i="8"/>
  <c r="Y51" i="8"/>
  <c r="N100" i="7"/>
  <c r="BE43" i="8"/>
  <c r="C69" i="7"/>
  <c r="C76" i="7"/>
  <c r="BR84" i="9"/>
  <c r="AN31" i="7"/>
  <c r="AN100" i="10"/>
  <c r="AN101" i="10" s="1"/>
  <c r="K10" i="7"/>
  <c r="K176" i="7" s="1"/>
  <c r="BB28" i="8"/>
  <c r="K16" i="7" s="1"/>
  <c r="BB35" i="8"/>
  <c r="AH59" i="2" s="1"/>
  <c r="Z84" i="9"/>
  <c r="S60" i="2"/>
  <c r="AE106" i="10"/>
  <c r="AE108" i="10" s="1"/>
  <c r="Z109" i="10"/>
  <c r="Z110" i="10" s="1"/>
  <c r="AA106" i="10"/>
  <c r="AA108" i="10" s="1"/>
  <c r="AI114" i="7"/>
  <c r="AI106" i="7"/>
  <c r="AB53" i="2"/>
  <c r="AG8" i="2"/>
  <c r="I9" i="2"/>
  <c r="I87" i="2" s="1"/>
  <c r="W11" i="2"/>
  <c r="AH11" i="2"/>
  <c r="I79" i="2"/>
  <c r="Q80" i="2"/>
  <c r="F81" i="2"/>
  <c r="N81" i="2"/>
  <c r="V81" i="2"/>
  <c r="AD81" i="2"/>
  <c r="AL81" i="2"/>
  <c r="AT81" i="2"/>
  <c r="BB81" i="2"/>
  <c r="BJ81" i="2"/>
  <c r="Q36" i="2"/>
  <c r="N44" i="2"/>
  <c r="AF63" i="2"/>
  <c r="BI63" i="2"/>
  <c r="AP103" i="2"/>
  <c r="AI99" i="7"/>
  <c r="AS28" i="8"/>
  <c r="AS29" i="8" s="1"/>
  <c r="BS35" i="8"/>
  <c r="AY59" i="2" s="1"/>
  <c r="BB22" i="8"/>
  <c r="K11" i="7" s="1"/>
  <c r="AO22" i="8"/>
  <c r="U79" i="2"/>
  <c r="Y54" i="10"/>
  <c r="Y48" i="10" s="1"/>
  <c r="Y53" i="10"/>
  <c r="BL89" i="11"/>
  <c r="BL104" i="11" s="1"/>
  <c r="AO76" i="9"/>
  <c r="AO80" i="9" s="1"/>
  <c r="AJ76" i="9"/>
  <c r="AJ79" i="9" s="1"/>
  <c r="AJ108" i="9" s="1"/>
  <c r="BS109" i="9"/>
  <c r="AI87" i="9"/>
  <c r="BN31" i="11"/>
  <c r="AY38" i="2"/>
  <c r="BO119" i="10"/>
  <c r="BO120" i="10" s="1"/>
  <c r="AH106" i="7"/>
  <c r="AH114" i="7"/>
  <c r="AK39" i="11"/>
  <c r="AK182" i="11" s="1"/>
  <c r="AK42" i="11"/>
  <c r="AK36" i="11"/>
  <c r="AP23" i="11"/>
  <c r="AP24" i="11" s="1"/>
  <c r="V37" i="2" s="1"/>
  <c r="Q46" i="8"/>
  <c r="Q47" i="8" s="1"/>
  <c r="Q51" i="8"/>
  <c r="Q52" i="8" s="1"/>
  <c r="W52" i="8"/>
  <c r="W54" i="11"/>
  <c r="W64" i="11" s="1"/>
  <c r="H76" i="7"/>
  <c r="H69" i="7"/>
  <c r="AY39" i="11"/>
  <c r="AY182" i="11" s="1"/>
  <c r="AY23" i="11"/>
  <c r="U79" i="8"/>
  <c r="U81" i="8" s="1"/>
  <c r="U86" i="8" s="1"/>
  <c r="U102" i="11"/>
  <c r="L10" i="7"/>
  <c r="BC28" i="8"/>
  <c r="AI8" i="2" s="1"/>
  <c r="BC22" i="8"/>
  <c r="L11" i="7" s="1"/>
  <c r="AT76" i="9"/>
  <c r="AT97" i="9" s="1"/>
  <c r="P10" i="7"/>
  <c r="P176" i="7" s="1"/>
  <c r="AM63" i="2"/>
  <c r="BG35" i="8"/>
  <c r="AM59" i="2" s="1"/>
  <c r="Y103" i="10"/>
  <c r="Y108" i="10"/>
  <c r="I19" i="2"/>
  <c r="I85" i="2" s="1"/>
  <c r="I81" i="2"/>
  <c r="AG79" i="2"/>
  <c r="BH32" i="8"/>
  <c r="AN58" i="2" s="1"/>
  <c r="BH22" i="8"/>
  <c r="Q11" i="7" s="1"/>
  <c r="BH28" i="8"/>
  <c r="AH88" i="9"/>
  <c r="AH87" i="9"/>
  <c r="BF43" i="8"/>
  <c r="O100" i="7"/>
  <c r="AD44" i="8"/>
  <c r="AD102" i="11"/>
  <c r="AB79" i="8"/>
  <c r="AB81" i="8" s="1"/>
  <c r="AB44" i="8"/>
  <c r="AB102" i="11"/>
  <c r="BB43" i="8"/>
  <c r="K100" i="7"/>
  <c r="AW44" i="2"/>
  <c r="BM119" i="10"/>
  <c r="BM120" i="10" s="1"/>
  <c r="BM22" i="8"/>
  <c r="V11" i="7" s="1"/>
  <c r="CH42" i="11"/>
  <c r="CH36" i="11"/>
  <c r="N62" i="2"/>
  <c r="AO79" i="2"/>
  <c r="U44" i="2"/>
  <c r="AS63" i="2"/>
  <c r="AX154" i="2"/>
  <c r="AO89" i="11"/>
  <c r="U11" i="2"/>
  <c r="AY63" i="2"/>
  <c r="AO81" i="2"/>
  <c r="BX35" i="8"/>
  <c r="BD59" i="2" s="1"/>
  <c r="AV89" i="11"/>
  <c r="AV104" i="11" s="1"/>
  <c r="M62" i="2"/>
  <c r="G25" i="2"/>
  <c r="G122" i="2" s="1"/>
  <c r="BM31" i="2"/>
  <c r="AC7" i="2"/>
  <c r="AC111" i="2" s="1"/>
  <c r="BA79" i="2"/>
  <c r="BA80" i="2"/>
  <c r="G81" i="2"/>
  <c r="W81" i="2"/>
  <c r="AM81" i="2"/>
  <c r="BC81" i="2"/>
  <c r="AO32" i="8"/>
  <c r="U58" i="2" s="1"/>
  <c r="AW24" i="8"/>
  <c r="X79" i="8"/>
  <c r="X81" i="8" s="1"/>
  <c r="X86" i="8" s="1"/>
  <c r="X44" i="8"/>
  <c r="G79" i="8"/>
  <c r="Y102" i="11"/>
  <c r="AJ31" i="7"/>
  <c r="BN84" i="9"/>
  <c r="M44" i="8"/>
  <c r="M79" i="8"/>
  <c r="M81" i="8" s="1"/>
  <c r="M86" i="8" s="1"/>
  <c r="M87" i="8" s="1"/>
  <c r="M102" i="11"/>
  <c r="M104" i="11" s="1"/>
  <c r="S79" i="8"/>
  <c r="S81" i="8" s="1"/>
  <c r="S86" i="8" s="1"/>
  <c r="S102" i="11"/>
  <c r="BH65" i="10"/>
  <c r="BH71" i="10" s="1"/>
  <c r="BH53" i="10"/>
  <c r="BH126" i="10"/>
  <c r="BH54" i="10"/>
  <c r="AQ100" i="10"/>
  <c r="AQ101" i="10" s="1"/>
  <c r="N10" i="7"/>
  <c r="N176" i="7" s="1"/>
  <c r="BE35" i="8"/>
  <c r="AK59" i="2" s="1"/>
  <c r="BE32" i="8"/>
  <c r="AK58" i="2" s="1"/>
  <c r="BE22" i="8"/>
  <c r="N11" i="7" s="1"/>
  <c r="AK63" i="2"/>
  <c r="AA14" i="7"/>
  <c r="AX105" i="2"/>
  <c r="J110" i="7"/>
  <c r="AJ42" i="11"/>
  <c r="AJ36" i="11"/>
  <c r="AJ31" i="11"/>
  <c r="AO33" i="11" s="1"/>
  <c r="AF100" i="11"/>
  <c r="AF89" i="11"/>
  <c r="AF104" i="11" s="1"/>
  <c r="G69" i="7"/>
  <c r="L76" i="7"/>
  <c r="AX31" i="11"/>
  <c r="AX39" i="11"/>
  <c r="AX182" i="11" s="1"/>
  <c r="AX23" i="11"/>
  <c r="AX24" i="11" s="1"/>
  <c r="AD37" i="2" s="1"/>
  <c r="AN63" i="2"/>
  <c r="AV85" i="9"/>
  <c r="V55" i="10"/>
  <c r="L11" i="2"/>
  <c r="L53" i="2" s="1"/>
  <c r="Y79" i="2"/>
  <c r="E80" i="2"/>
  <c r="AJ39" i="11"/>
  <c r="AJ182" i="11" s="1"/>
  <c r="BR31" i="11"/>
  <c r="BR32" i="11" s="1"/>
  <c r="O62" i="2"/>
  <c r="AX35" i="8"/>
  <c r="AD59" i="2" s="1"/>
  <c r="BS28" i="8"/>
  <c r="AY8" i="2" s="1"/>
  <c r="BO100" i="10"/>
  <c r="BO101" i="10" s="1"/>
  <c r="AL10" i="7"/>
  <c r="BP76" i="9"/>
  <c r="BP97" i="9" s="1"/>
  <c r="AT7" i="2"/>
  <c r="AT106" i="2" s="1"/>
  <c r="W44" i="2"/>
  <c r="U7" i="2"/>
  <c r="U100" i="2" s="1"/>
  <c r="AY7" i="2"/>
  <c r="AY53" i="2" s="1"/>
  <c r="J62" i="2"/>
  <c r="G11" i="2"/>
  <c r="G53" i="2" s="1"/>
  <c r="AK79" i="2"/>
  <c r="AK80" i="2"/>
  <c r="O81" i="2"/>
  <c r="AE81" i="2"/>
  <c r="AU81" i="2"/>
  <c r="BK81" i="2"/>
  <c r="Z44" i="2"/>
  <c r="Y60" i="2"/>
  <c r="AO60" i="2"/>
  <c r="CC22" i="8"/>
  <c r="AL11" i="7" s="1"/>
  <c r="BQ28" i="8"/>
  <c r="AX42" i="11"/>
  <c r="AK76" i="9"/>
  <c r="AK81" i="9" s="1"/>
  <c r="X80" i="9"/>
  <c r="X79" i="9"/>
  <c r="X108" i="9" s="1"/>
  <c r="X110" i="9" s="1"/>
  <c r="X78" i="9"/>
  <c r="AI88" i="9"/>
  <c r="BX36" i="11"/>
  <c r="BX39" i="11"/>
  <c r="BX182" i="11" s="1"/>
  <c r="Y118" i="7"/>
  <c r="Y114" i="7"/>
  <c r="AD106" i="7"/>
  <c r="Y99" i="7"/>
  <c r="T46" i="8"/>
  <c r="T51" i="8"/>
  <c r="T54" i="11" s="1"/>
  <c r="AD7" i="2"/>
  <c r="AD106" i="2" s="1"/>
  <c r="C62" i="2"/>
  <c r="K62" i="2"/>
  <c r="K9" i="2"/>
  <c r="K87" i="2" s="1"/>
  <c r="H11" i="2"/>
  <c r="H53" i="2" s="1"/>
  <c r="Z11" i="2"/>
  <c r="Z53" i="2" s="1"/>
  <c r="AD16" i="2"/>
  <c r="AD79" i="2" s="1"/>
  <c r="H81" i="2"/>
  <c r="P81" i="2"/>
  <c r="X81" i="2"/>
  <c r="AF81" i="2"/>
  <c r="AN81" i="2"/>
  <c r="AV81" i="2"/>
  <c r="BD81" i="2"/>
  <c r="BL81" i="2"/>
  <c r="BG25" i="2"/>
  <c r="Q44" i="2"/>
  <c r="AB44" i="2"/>
  <c r="AM44" i="2"/>
  <c r="BD60" i="2"/>
  <c r="AH63" i="2"/>
  <c r="Q79" i="2"/>
  <c r="AC91" i="2"/>
  <c r="BI103" i="2"/>
  <c r="AN106" i="7"/>
  <c r="AM99" i="7"/>
  <c r="AI46" i="8"/>
  <c r="AZ22" i="8"/>
  <c r="I11" i="7" s="1"/>
  <c r="CC32" i="8"/>
  <c r="BI58" i="2" s="1"/>
  <c r="AX22" i="8"/>
  <c r="G11" i="7" s="1"/>
  <c r="AO35" i="8"/>
  <c r="U59" i="2" s="1"/>
  <c r="BI28" i="8"/>
  <c r="BI39" i="8" s="1"/>
  <c r="BI143" i="11" s="1"/>
  <c r="AW22" i="8"/>
  <c r="F11" i="7" s="1"/>
  <c r="AV86" i="9"/>
  <c r="AV109" i="9" s="1"/>
  <c r="AT42" i="11"/>
  <c r="BV28" i="8"/>
  <c r="BB8" i="2" s="1"/>
  <c r="BB60" i="2"/>
  <c r="BV32" i="8"/>
  <c r="BB58" i="2" s="1"/>
  <c r="BV35" i="8"/>
  <c r="BB59" i="2" s="1"/>
  <c r="BE100" i="10"/>
  <c r="BE101" i="10" s="1"/>
  <c r="AS31" i="11"/>
  <c r="AS32" i="11" s="1"/>
  <c r="AH85" i="9"/>
  <c r="AT65" i="10"/>
  <c r="AT71" i="10" s="1"/>
  <c r="AT126" i="10"/>
  <c r="AC102" i="11"/>
  <c r="P79" i="8"/>
  <c r="P81" i="8" s="1"/>
  <c r="P86" i="8" s="1"/>
  <c r="AW100" i="11"/>
  <c r="AW89" i="11"/>
  <c r="AW104" i="11" s="1"/>
  <c r="AI69" i="7"/>
  <c r="BZ39" i="11"/>
  <c r="BZ182" i="11" s="1"/>
  <c r="BK38" i="2"/>
  <c r="AR100" i="10"/>
  <c r="AR101" i="10" s="1"/>
  <c r="O10" i="7"/>
  <c r="AL63" i="2"/>
  <c r="BF32" i="8"/>
  <c r="AL58" i="2" s="1"/>
  <c r="K79" i="8"/>
  <c r="K81" i="8" s="1"/>
  <c r="K86" i="8" s="1"/>
  <c r="K87" i="8" s="1"/>
  <c r="K44" i="8"/>
  <c r="J113" i="7"/>
  <c r="J118" i="7"/>
  <c r="X97" i="9"/>
  <c r="Q142" i="7"/>
  <c r="U169" i="7"/>
  <c r="BL75" i="11"/>
  <c r="BW36" i="11"/>
  <c r="BK22" i="8"/>
  <c r="T11" i="7" s="1"/>
  <c r="CN97" i="14"/>
  <c r="CM106" i="14"/>
  <c r="BG43" i="8"/>
  <c r="P100" i="7"/>
  <c r="G100" i="7"/>
  <c r="AX43" i="8"/>
  <c r="G26" i="7" s="1"/>
  <c r="CC169" i="11"/>
  <c r="CC44" i="8"/>
  <c r="T76" i="7"/>
  <c r="T69" i="7"/>
  <c r="AH108" i="10"/>
  <c r="AH100" i="10"/>
  <c r="AH101" i="10" s="1"/>
  <c r="E10" i="7"/>
  <c r="E176" i="7" s="1"/>
  <c r="AL76" i="9"/>
  <c r="AL97" i="9" s="1"/>
  <c r="H10" i="7"/>
  <c r="H176" i="7" s="1"/>
  <c r="AV43" i="8"/>
  <c r="E100" i="7"/>
  <c r="AP55" i="10"/>
  <c r="W55" i="10"/>
  <c r="AY43" i="8"/>
  <c r="H100" i="7"/>
  <c r="BU169" i="11"/>
  <c r="BU44" i="8"/>
  <c r="N110" i="7"/>
  <c r="BH26" i="8"/>
  <c r="Q14" i="7"/>
  <c r="L102" i="11"/>
  <c r="L104" i="11" s="1"/>
  <c r="L44" i="8"/>
  <c r="BK75" i="11"/>
  <c r="BK74" i="11" s="1"/>
  <c r="T169" i="7"/>
  <c r="BA84" i="9"/>
  <c r="W31" i="7"/>
  <c r="T44" i="2"/>
  <c r="C42" i="2"/>
  <c r="CL160" i="14"/>
  <c r="CH76" i="11" s="1"/>
  <c r="BT111" i="10" s="1"/>
  <c r="BP55" i="10"/>
  <c r="O76" i="7"/>
  <c r="J69" i="7"/>
  <c r="K76" i="7"/>
  <c r="P76" i="7"/>
  <c r="K69" i="7"/>
  <c r="BP75" i="11"/>
  <c r="BP74" i="11" s="1"/>
  <c r="Y169" i="7"/>
  <c r="P89" i="11"/>
  <c r="B9" i="2"/>
  <c r="B87" i="2" s="1"/>
  <c r="U51" i="8"/>
  <c r="U52" i="8" s="1"/>
  <c r="CP47" i="12"/>
  <c r="CU47" i="12" s="1"/>
  <c r="BV168" i="11"/>
  <c r="AE100" i="7"/>
  <c r="BW22" i="8"/>
  <c r="AF11" i="7" s="1"/>
  <c r="CL115" i="11"/>
  <c r="AQ100" i="7"/>
  <c r="BI11" i="2"/>
  <c r="AT63" i="2"/>
  <c r="BD63" i="2"/>
  <c r="BL63" i="2"/>
  <c r="BA103" i="2"/>
  <c r="CB22" i="8"/>
  <c r="AK11" i="7" s="1"/>
  <c r="BX32" i="8"/>
  <c r="BD58" i="2" s="1"/>
  <c r="BN28" i="8"/>
  <c r="BN39" i="8" s="1"/>
  <c r="BN143" i="11" s="1"/>
  <c r="BB38" i="2"/>
  <c r="BY42" i="11"/>
  <c r="BM100" i="10"/>
  <c r="BM101" i="10" s="1"/>
  <c r="BN23" i="11"/>
  <c r="CJ122" i="13"/>
  <c r="CJ123" i="13" s="1"/>
  <c r="AM100" i="7"/>
  <c r="CD43" i="8"/>
  <c r="BN168" i="11"/>
  <c r="W100" i="7"/>
  <c r="BN43" i="8"/>
  <c r="BR100" i="10"/>
  <c r="BR101" i="10" s="1"/>
  <c r="AO10" i="7"/>
  <c r="BR28" i="8"/>
  <c r="AW7" i="2"/>
  <c r="AW112" i="2" s="1"/>
  <c r="BC7" i="2"/>
  <c r="BC112" i="2" s="1"/>
  <c r="AP11" i="2"/>
  <c r="BG44" i="2"/>
  <c r="AW63" i="2"/>
  <c r="BD103" i="2"/>
  <c r="BX28" i="8"/>
  <c r="AG16" i="7" s="1"/>
  <c r="CA22" i="8"/>
  <c r="AJ11" i="7" s="1"/>
  <c r="BN32" i="8"/>
  <c r="AT58" i="2" s="1"/>
  <c r="BQ100" i="11"/>
  <c r="BN42" i="11"/>
  <c r="BN39" i="11"/>
  <c r="BN182" i="11" s="1"/>
  <c r="BZ168" i="11"/>
  <c r="AI100" i="7"/>
  <c r="AR7" i="2"/>
  <c r="AR138" i="2" s="1"/>
  <c r="BK11" i="2"/>
  <c r="BK53" i="2" s="1"/>
  <c r="AP44" i="2"/>
  <c r="BP28" i="8"/>
  <c r="Y16" i="7" s="1"/>
  <c r="CA28" i="8"/>
  <c r="CA39" i="8" s="1"/>
  <c r="CA143" i="11" s="1"/>
  <c r="BK32" i="8"/>
  <c r="AQ58" i="2" s="1"/>
  <c r="CF22" i="8"/>
  <c r="AO11" i="7" s="1"/>
  <c r="BN22" i="8"/>
  <c r="W11" i="7" s="1"/>
  <c r="CE36" i="11"/>
  <c r="CC42" i="11"/>
  <c r="BY36" i="11"/>
  <c r="AW100" i="10"/>
  <c r="AW101" i="10" s="1"/>
  <c r="BO76" i="9"/>
  <c r="BO79" i="9" s="1"/>
  <c r="BO108" i="9" s="1"/>
  <c r="R100" i="7"/>
  <c r="BI43" i="8"/>
  <c r="CA36" i="11"/>
  <c r="AG69" i="7"/>
  <c r="AQ7" i="2"/>
  <c r="AQ110" i="2" s="1"/>
  <c r="BE7" i="2"/>
  <c r="BE104" i="2" s="1"/>
  <c r="BB11" i="2"/>
  <c r="BJ11" i="2"/>
  <c r="BN44" i="2"/>
  <c r="BG60" i="2"/>
  <c r="AQ63" i="2"/>
  <c r="BG63" i="2"/>
  <c r="AQ103" i="2"/>
  <c r="BS22" i="8"/>
  <c r="AB11" i="7" s="1"/>
  <c r="BY32" i="8"/>
  <c r="BE58" i="2" s="1"/>
  <c r="BK165" i="11"/>
  <c r="BI44" i="2"/>
  <c r="BJ38" i="2"/>
  <c r="BN36" i="11"/>
  <c r="BI39" i="11"/>
  <c r="BI182" i="11" s="1"/>
  <c r="CQ97" i="14"/>
  <c r="CR97" i="14" s="1"/>
  <c r="CS97" i="14" s="1"/>
  <c r="CT97" i="14" s="1"/>
  <c r="BT141" i="2"/>
  <c r="CH144" i="14"/>
  <c r="CA152" i="14"/>
  <c r="CH25" i="11"/>
  <c r="BF75" i="6" s="1"/>
  <c r="BF76" i="6" s="1"/>
  <c r="BG76" i="6" s="1"/>
  <c r="BG75" i="6" s="1"/>
  <c r="CC36" i="11"/>
  <c r="CC23" i="11"/>
  <c r="BI36" i="2" s="1"/>
  <c r="AJ7" i="2"/>
  <c r="AJ110" i="2" s="1"/>
  <c r="AQ8" i="2"/>
  <c r="Q8" i="2"/>
  <c r="K11" i="2"/>
  <c r="K53" i="2" s="1"/>
  <c r="BD11" i="2"/>
  <c r="BD53" i="2" s="1"/>
  <c r="AA44" i="2"/>
  <c r="AF44" i="2"/>
  <c r="BD44" i="2"/>
  <c r="BD22" i="8"/>
  <c r="M11" i="7" s="1"/>
  <c r="BI22" i="8"/>
  <c r="R11" i="7" s="1"/>
  <c r="AN97" i="9"/>
  <c r="BV22" i="8"/>
  <c r="AE11" i="7" s="1"/>
  <c r="AO28" i="8"/>
  <c r="AO29" i="8" s="1"/>
  <c r="Z63" i="2"/>
  <c r="U60" i="2"/>
  <c r="BM36" i="11"/>
  <c r="BR23" i="11"/>
  <c r="BM31" i="11"/>
  <c r="BM32" i="11" s="1"/>
  <c r="AL41" i="2"/>
  <c r="P44" i="2"/>
  <c r="AX28" i="8"/>
  <c r="AD8" i="2" s="1"/>
  <c r="AD105" i="2"/>
  <c r="AN78" i="9"/>
  <c r="BU100" i="11"/>
  <c r="CC39" i="11"/>
  <c r="CC182" i="11" s="1"/>
  <c r="BU28" i="8"/>
  <c r="BU29" i="8" s="1"/>
  <c r="AZ32" i="8"/>
  <c r="AF58" i="2" s="1"/>
  <c r="BM39" i="11"/>
  <c r="BM182" i="11" s="1"/>
  <c r="AN80" i="9"/>
  <c r="AN81" i="9"/>
  <c r="BD32" i="8"/>
  <c r="AJ58" i="2" s="1"/>
  <c r="AJ103" i="2"/>
  <c r="AJ60" i="2"/>
  <c r="AF10" i="7"/>
  <c r="BJ76" i="9"/>
  <c r="BJ100" i="9" s="1"/>
  <c r="BW28" i="8"/>
  <c r="BC8" i="2" s="1"/>
  <c r="BW35" i="8"/>
  <c r="BC59" i="2" s="1"/>
  <c r="AA11" i="2"/>
  <c r="AQ41" i="2"/>
  <c r="AO63" i="2"/>
  <c r="BD28" i="8"/>
  <c r="BD29" i="8" s="1"/>
  <c r="BU32" i="8"/>
  <c r="BA58" i="2" s="1"/>
  <c r="BU39" i="11"/>
  <c r="BU182" i="11" s="1"/>
  <c r="BJ35" i="8"/>
  <c r="AP59" i="2" s="1"/>
  <c r="AP63" i="2"/>
  <c r="BY23" i="11"/>
  <c r="BE36" i="2" s="1"/>
  <c r="CD42" i="11"/>
  <c r="BI100" i="10"/>
  <c r="BI101" i="10" s="1"/>
  <c r="AS22" i="8"/>
  <c r="B11" i="7" s="1"/>
  <c r="AN32" i="8"/>
  <c r="T58" i="2" s="1"/>
  <c r="X77" i="9"/>
  <c r="BY39" i="11"/>
  <c r="BY182" i="11" s="1"/>
  <c r="AS23" i="11"/>
  <c r="AS24" i="11" s="1"/>
  <c r="Y37" i="2" s="1"/>
  <c r="N102" i="11"/>
  <c r="N79" i="8"/>
  <c r="CK184" i="14"/>
  <c r="CA151" i="14"/>
  <c r="BR119" i="10"/>
  <c r="BR120" i="10" s="1"/>
  <c r="BR103" i="10"/>
  <c r="BR109" i="10"/>
  <c r="BR110" i="10" s="1"/>
  <c r="BR108" i="10"/>
  <c r="BO48" i="10"/>
  <c r="BO57" i="10" s="1"/>
  <c r="AB48" i="10"/>
  <c r="AB57" i="10" s="1"/>
  <c r="BS70" i="10"/>
  <c r="BS118" i="10" s="1"/>
  <c r="BS119" i="10" s="1"/>
  <c r="AE126" i="10"/>
  <c r="BD126" i="10"/>
  <c r="BL55" i="10"/>
  <c r="W47" i="10"/>
  <c r="BF48" i="10"/>
  <c r="AC191" i="7" s="1"/>
  <c r="BG48" i="10"/>
  <c r="AD191" i="7" s="1"/>
  <c r="BK55" i="10"/>
  <c r="AU55" i="10"/>
  <c r="BU48" i="10"/>
  <c r="AU25" i="2"/>
  <c r="AJ126" i="10"/>
  <c r="AH55" i="10"/>
  <c r="BL48" i="10"/>
  <c r="BL57" i="10" s="1"/>
  <c r="BT65" i="10"/>
  <c r="BT53" i="10"/>
  <c r="BT55" i="10" s="1"/>
  <c r="BG65" i="10"/>
  <c r="BG71" i="10" s="1"/>
  <c r="BG53" i="10"/>
  <c r="BG55" i="10" s="1"/>
  <c r="AI48" i="10"/>
  <c r="AI57" i="10" s="1"/>
  <c r="V48" i="10"/>
  <c r="V57" i="10" s="1"/>
  <c r="AE109" i="10"/>
  <c r="AE110" i="10" s="1"/>
  <c r="AC55" i="10"/>
  <c r="AC57" i="10"/>
  <c r="BU55" i="10"/>
  <c r="BC57" i="10"/>
  <c r="BO65" i="10"/>
  <c r="BO71" i="10" s="1"/>
  <c r="BO53" i="10"/>
  <c r="BO55" i="10" s="1"/>
  <c r="AA48" i="10"/>
  <c r="AA47" i="10" s="1"/>
  <c r="AB55" i="10"/>
  <c r="AI55" i="10"/>
  <c r="BL100" i="11"/>
  <c r="BT39" i="11"/>
  <c r="BT182" i="11" s="1"/>
  <c r="CD36" i="11"/>
  <c r="CD35" i="8"/>
  <c r="BJ59" i="2" s="1"/>
  <c r="BQ76" i="9"/>
  <c r="BQ97" i="9" s="1"/>
  <c r="CD28" i="8"/>
  <c r="CD39" i="8" s="1"/>
  <c r="CD143" i="11" s="1"/>
  <c r="CD32" i="8"/>
  <c r="BJ58" i="2" s="1"/>
  <c r="BJ63" i="2"/>
  <c r="BJ7" i="2"/>
  <c r="BJ110" i="2" s="1"/>
  <c r="CD22" i="8"/>
  <c r="AM11" i="7" s="1"/>
  <c r="BT100" i="10"/>
  <c r="BT101" i="10" s="1"/>
  <c r="AQ10" i="7"/>
  <c r="CH32" i="8"/>
  <c r="BN58" i="2" s="1"/>
  <c r="CH28" i="8"/>
  <c r="CH39" i="8" s="1"/>
  <c r="CH143" i="11" s="1"/>
  <c r="BN7" i="2"/>
  <c r="BN111" i="2" s="1"/>
  <c r="CH35" i="8"/>
  <c r="BN59" i="2" s="1"/>
  <c r="BN63" i="2"/>
  <c r="BU76" i="9"/>
  <c r="CH22" i="8"/>
  <c r="AQ11" i="7" s="1"/>
  <c r="BN60" i="2"/>
  <c r="BO169" i="11"/>
  <c r="BO44" i="8"/>
  <c r="BP100" i="10"/>
  <c r="BP101" i="10" s="1"/>
  <c r="AM10" i="7"/>
  <c r="CE169" i="11"/>
  <c r="CE44" i="8"/>
  <c r="CA169" i="11"/>
  <c r="CA44" i="8"/>
  <c r="BS168" i="11"/>
  <c r="BS43" i="8"/>
  <c r="AB100" i="7"/>
  <c r="CE168" i="11"/>
  <c r="CE43" i="8"/>
  <c r="AN100" i="7"/>
  <c r="BO168" i="11"/>
  <c r="BO43" i="8"/>
  <c r="X100" i="7"/>
  <c r="BT36" i="11"/>
  <c r="CA168" i="11"/>
  <c r="CA43" i="8"/>
  <c r="AJ100" i="7"/>
  <c r="BK43" i="8"/>
  <c r="T100" i="7"/>
  <c r="BW43" i="8"/>
  <c r="AF26" i="7" s="1"/>
  <c r="AF100" i="7"/>
  <c r="BJ43" i="8"/>
  <c r="S100" i="7"/>
  <c r="CM107" i="11"/>
  <c r="BM35" i="13"/>
  <c r="BM38" i="13" s="1"/>
  <c r="BK22" i="13"/>
  <c r="BP24" i="13" s="1"/>
  <c r="CH22" i="13"/>
  <c r="CH67" i="11"/>
  <c r="BI18" i="13"/>
  <c r="BN19" i="13" s="1"/>
  <c r="BN20" i="13" s="1"/>
  <c r="BI45" i="11"/>
  <c r="AY32" i="6"/>
  <c r="BV169" i="11"/>
  <c r="BV44" i="8"/>
  <c r="BU168" i="11"/>
  <c r="AD100" i="7"/>
  <c r="BU43" i="8"/>
  <c r="S76" i="7"/>
  <c r="S69" i="7"/>
  <c r="BY168" i="11"/>
  <c r="BY170" i="11" s="1"/>
  <c r="BY175" i="11" s="1"/>
  <c r="AH100" i="7"/>
  <c r="BY43" i="8"/>
  <c r="AH69" i="7"/>
  <c r="R69" i="7"/>
  <c r="BX168" i="11"/>
  <c r="BX43" i="8"/>
  <c r="AG100" i="7"/>
  <c r="BN169" i="11"/>
  <c r="BN44" i="8"/>
  <c r="BQ168" i="11"/>
  <c r="Z100" i="7"/>
  <c r="BQ43" i="8"/>
  <c r="BT168" i="11"/>
  <c r="BT43" i="8"/>
  <c r="AC100" i="7"/>
  <c r="BF76" i="9"/>
  <c r="AB10" i="7"/>
  <c r="CF26" i="11"/>
  <c r="CF23" i="8" s="1"/>
  <c r="CD169" i="11"/>
  <c r="CD170" i="11" s="1"/>
  <c r="CD175" i="11" s="1"/>
  <c r="CD44" i="8"/>
  <c r="AQ76" i="7"/>
  <c r="AQ69" i="7"/>
  <c r="BP168" i="11"/>
  <c r="BP43" i="8"/>
  <c r="Y100" i="7"/>
  <c r="BX23" i="11"/>
  <c r="BD36" i="2" s="1"/>
  <c r="BA75" i="6"/>
  <c r="BA76" i="6" s="1"/>
  <c r="BA32" i="6"/>
  <c r="BS36" i="11"/>
  <c r="BZ169" i="11"/>
  <c r="BZ44" i="8"/>
  <c r="AI26" i="7" s="1"/>
  <c r="CC168" i="11"/>
  <c r="CC43" i="8"/>
  <c r="AL100" i="7"/>
  <c r="W69" i="7"/>
  <c r="W76" i="7"/>
  <c r="AL76" i="7"/>
  <c r="AL69" i="7"/>
  <c r="V69" i="7"/>
  <c r="AA76" i="7"/>
  <c r="BN76" i="9"/>
  <c r="AJ10" i="7"/>
  <c r="AX76" i="9"/>
  <c r="T10" i="7"/>
  <c r="BV136" i="9"/>
  <c r="BW63" i="10"/>
  <c r="BV126" i="10"/>
  <c r="AP78" i="6"/>
  <c r="I78" i="6"/>
  <c r="BM108" i="2"/>
  <c r="I76" i="6"/>
  <c r="AO11" i="2"/>
  <c r="AS42" i="11"/>
  <c r="Z110" i="7"/>
  <c r="BM35" i="8"/>
  <c r="AS59" i="2" s="1"/>
  <c r="CB42" i="11"/>
  <c r="BR35" i="8"/>
  <c r="AX59" i="2" s="1"/>
  <c r="AD110" i="7"/>
  <c r="T154" i="2"/>
  <c r="O154" i="2"/>
  <c r="AN154" i="2"/>
  <c r="AS154" i="2"/>
  <c r="BC154" i="2"/>
  <c r="AL42" i="15"/>
  <c r="CF162" i="11"/>
  <c r="AO124" i="7" s="1"/>
  <c r="AM47" i="15"/>
  <c r="AM52" i="15"/>
  <c r="AD19" i="15"/>
  <c r="AD20" i="15" s="1"/>
  <c r="AI19" i="15"/>
  <c r="AI20" i="15" s="1"/>
  <c r="AC36" i="15"/>
  <c r="AC29" i="15"/>
  <c r="BW83" i="11"/>
  <c r="T26" i="15"/>
  <c r="R22" i="15"/>
  <c r="BL71" i="11"/>
  <c r="Z23" i="15"/>
  <c r="Z18" i="15"/>
  <c r="BT50" i="11"/>
  <c r="AC16" i="15"/>
  <c r="X53" i="15"/>
  <c r="X51" i="15"/>
  <c r="AH52" i="15"/>
  <c r="AH48" i="15"/>
  <c r="AH23" i="15"/>
  <c r="CB50" i="11"/>
  <c r="AC47" i="15"/>
  <c r="AC46" i="15"/>
  <c r="AH53" i="15" s="1"/>
  <c r="AE24" i="15"/>
  <c r="AB41" i="15"/>
  <c r="AA42" i="15"/>
  <c r="BU162" i="11"/>
  <c r="AH39" i="15"/>
  <c r="AH36" i="15"/>
  <c r="AM95" i="15" s="1"/>
  <c r="AM97" i="15" s="1"/>
  <c r="AI97" i="15" s="1"/>
  <c r="AJ97" i="15" s="1"/>
  <c r="AK97" i="15" s="1"/>
  <c r="AL97" i="15" s="1"/>
  <c r="AH38" i="15"/>
  <c r="AH29" i="15"/>
  <c r="CB83" i="11"/>
  <c r="AO31" i="15"/>
  <c r="CI138" i="11"/>
  <c r="AM39" i="15"/>
  <c r="AM34" i="15"/>
  <c r="AM103" i="15"/>
  <c r="AM37" i="15"/>
  <c r="AM36" i="15"/>
  <c r="AM29" i="15"/>
  <c r="CG83" i="11"/>
  <c r="AM46" i="15"/>
  <c r="AR46" i="15" s="1"/>
  <c r="AL22" i="15"/>
  <c r="CF71" i="11"/>
  <c r="CF74" i="11" s="1"/>
  <c r="X20" i="15"/>
  <c r="X16" i="15"/>
  <c r="BL44" i="2"/>
  <c r="CH41" i="14"/>
  <c r="CI40" i="14"/>
  <c r="CJ40" i="14" s="1"/>
  <c r="CD160" i="11"/>
  <c r="AM123" i="7" s="1"/>
  <c r="CC38" i="14"/>
  <c r="CC37" i="14"/>
  <c r="CC36" i="14"/>
  <c r="BY82" i="11"/>
  <c r="CC24" i="14"/>
  <c r="CH24" i="14"/>
  <c r="CC23" i="14"/>
  <c r="CC18" i="14"/>
  <c r="BY48" i="11"/>
  <c r="BF38" i="14"/>
  <c r="AA27" i="14"/>
  <c r="Z35" i="14"/>
  <c r="Z22" i="14"/>
  <c r="V110" i="11"/>
  <c r="V117" i="11" s="1"/>
  <c r="BV79" i="14"/>
  <c r="BV38" i="14"/>
  <c r="BV37" i="14"/>
  <c r="BV36" i="14"/>
  <c r="BR82" i="11"/>
  <c r="W37" i="14"/>
  <c r="N82" i="11"/>
  <c r="N86" i="11" s="1"/>
  <c r="N89" i="11" s="1"/>
  <c r="AV22" i="14"/>
  <c r="AR70" i="11"/>
  <c r="CD23" i="14"/>
  <c r="CD24" i="14"/>
  <c r="CD18" i="14"/>
  <c r="BZ48" i="11"/>
  <c r="BI24" i="14"/>
  <c r="BI23" i="14"/>
  <c r="BI18" i="14"/>
  <c r="BE48" i="11"/>
  <c r="AT38" i="14"/>
  <c r="BB72" i="14"/>
  <c r="CP214" i="14"/>
  <c r="CP216" i="14" s="1"/>
  <c r="CP102" i="14" s="1"/>
  <c r="CZ61" i="14"/>
  <c r="AZ38" i="14"/>
  <c r="CF18" i="14"/>
  <c r="CF24" i="14"/>
  <c r="CF23" i="14"/>
  <c r="CB48" i="11"/>
  <c r="BD38" i="14"/>
  <c r="CA29" i="14"/>
  <c r="CA36" i="14"/>
  <c r="CA37" i="14"/>
  <c r="CA38" i="14"/>
  <c r="BW82" i="11"/>
  <c r="BC38" i="14"/>
  <c r="AW79" i="14"/>
  <c r="AW37" i="14"/>
  <c r="AW36" i="14"/>
  <c r="AW38" i="14" s="1"/>
  <c r="AS82" i="11"/>
  <c r="AX23" i="14"/>
  <c r="AX24" i="14"/>
  <c r="AX18" i="14"/>
  <c r="AT48" i="11"/>
  <c r="CF75" i="14"/>
  <c r="AW339" i="14"/>
  <c r="AW72" i="14"/>
  <c r="AW340" i="14" s="1"/>
  <c r="BM19" i="14"/>
  <c r="BM20" i="14" s="1"/>
  <c r="BC24" i="14"/>
  <c r="BE24" i="14"/>
  <c r="BE23" i="14"/>
  <c r="BE18" i="14"/>
  <c r="BA48" i="11"/>
  <c r="CK75" i="14"/>
  <c r="BR19" i="14"/>
  <c r="BR20" i="14" s="1"/>
  <c r="CZ214" i="14"/>
  <c r="DF123" i="14"/>
  <c r="DG122" i="14"/>
  <c r="DA214" i="14"/>
  <c r="CU214" i="14"/>
  <c r="AQ41" i="14"/>
  <c r="AM160" i="11"/>
  <c r="CA54" i="14"/>
  <c r="CA45" i="14"/>
  <c r="CA59" i="14"/>
  <c r="CA73" i="14" s="1"/>
  <c r="Y37" i="14"/>
  <c r="AD37" i="14"/>
  <c r="U82" i="11"/>
  <c r="S37" i="14"/>
  <c r="O82" i="11"/>
  <c r="O96" i="11" s="1"/>
  <c r="AP24" i="14"/>
  <c r="AP23" i="14"/>
  <c r="AP18" i="14"/>
  <c r="AL48" i="11"/>
  <c r="AL60" i="11" s="1"/>
  <c r="CH37" i="14"/>
  <c r="AZ18" i="14"/>
  <c r="AZ19" i="14" s="1"/>
  <c r="AZ20" i="14" s="1"/>
  <c r="AZ24" i="14"/>
  <c r="AZ23" i="14"/>
  <c r="AV48" i="11"/>
  <c r="BF22" i="14"/>
  <c r="BB70" i="11"/>
  <c r="CI144" i="14"/>
  <c r="CJ186" i="14"/>
  <c r="CJ144" i="14" s="1"/>
  <c r="BQ79" i="14"/>
  <c r="BQ38" i="14"/>
  <c r="BQ37" i="14"/>
  <c r="BQ36" i="14"/>
  <c r="BM82" i="11"/>
  <c r="BL79" i="14"/>
  <c r="BL36" i="14"/>
  <c r="BH82" i="11"/>
  <c r="CG19" i="14"/>
  <c r="CG20" i="14" s="1"/>
  <c r="CB19" i="14"/>
  <c r="CB20" i="14" s="1"/>
  <c r="CK38" i="14"/>
  <c r="CK37" i="14"/>
  <c r="CK36" i="14"/>
  <c r="CK29" i="14"/>
  <c r="CG82" i="11"/>
  <c r="CF37" i="14"/>
  <c r="CF38" i="14"/>
  <c r="CF29" i="14"/>
  <c r="CF36" i="14"/>
  <c r="CF34" i="14"/>
  <c r="CB82" i="11"/>
  <c r="CA23" i="14"/>
  <c r="CA18" i="14"/>
  <c r="BW48" i="11"/>
  <c r="BP22" i="14"/>
  <c r="BL70" i="11"/>
  <c r="S22" i="14"/>
  <c r="O48" i="11" s="1"/>
  <c r="O60" i="11" s="1"/>
  <c r="N48" i="11"/>
  <c r="BB37" i="14"/>
  <c r="BA22" i="14"/>
  <c r="AW70" i="11"/>
  <c r="AW74" i="11" s="1"/>
  <c r="BK26" i="14"/>
  <c r="BJ22" i="14"/>
  <c r="BF70" i="11"/>
  <c r="AS19" i="14"/>
  <c r="AS20" i="14" s="1"/>
  <c r="V35" i="12"/>
  <c r="V22" i="12"/>
  <c r="X22" i="12" s="1"/>
  <c r="BM43" i="8"/>
  <c r="V26" i="7" s="1"/>
  <c r="V100" i="7"/>
  <c r="BW146" i="13"/>
  <c r="BW147" i="13"/>
  <c r="BO23" i="13"/>
  <c r="BO18" i="13"/>
  <c r="BO45" i="11"/>
  <c r="AV11" i="2"/>
  <c r="AZ11" i="2"/>
  <c r="BI38" i="2"/>
  <c r="BR22" i="8"/>
  <c r="AA11" i="7" s="1"/>
  <c r="CF100" i="11"/>
  <c r="BP89" i="11"/>
  <c r="BP104" i="11" s="1"/>
  <c r="BW23" i="13"/>
  <c r="BW18" i="13"/>
  <c r="BW45" i="11"/>
  <c r="BW83" i="13"/>
  <c r="BW84" i="13" s="1"/>
  <c r="BW59" i="13"/>
  <c r="BN38" i="13"/>
  <c r="BN37" i="13"/>
  <c r="BN36" i="13"/>
  <c r="BN79" i="11"/>
  <c r="BK38" i="13"/>
  <c r="BK36" i="13"/>
  <c r="BK37" i="13"/>
  <c r="BK79" i="11"/>
  <c r="CB89" i="13"/>
  <c r="CB16" i="13"/>
  <c r="CJ43" i="8"/>
  <c r="AS100" i="7"/>
  <c r="CB88" i="13"/>
  <c r="CB83" i="13"/>
  <c r="CB84" i="13" s="1"/>
  <c r="BM36" i="13"/>
  <c r="BM87" i="13"/>
  <c r="BM76" i="13"/>
  <c r="BK23" i="13"/>
  <c r="BK18" i="13"/>
  <c r="BP19" i="13" s="1"/>
  <c r="BP20" i="13" s="1"/>
  <c r="BK45" i="11"/>
  <c r="BA44" i="2"/>
  <c r="AX63" i="2"/>
  <c r="CF89" i="11"/>
  <c r="BP100" i="11"/>
  <c r="BW42" i="11"/>
  <c r="BL41" i="13"/>
  <c r="BL157" i="11"/>
  <c r="CE40" i="13"/>
  <c r="CD41" i="13"/>
  <c r="CD157" i="11"/>
  <c r="CB38" i="13"/>
  <c r="CB36" i="13"/>
  <c r="CB37" i="13"/>
  <c r="CB34" i="13"/>
  <c r="CB29" i="13"/>
  <c r="CB79" i="11"/>
  <c r="CB24" i="13"/>
  <c r="CB23" i="13"/>
  <c r="CB18" i="13"/>
  <c r="CB19" i="13" s="1"/>
  <c r="CB20" i="13" s="1"/>
  <c r="CB45" i="11"/>
  <c r="BW16" i="13"/>
  <c r="BW23" i="8" s="1"/>
  <c r="CB168" i="11"/>
  <c r="CB43" i="8"/>
  <c r="AK100" i="7"/>
  <c r="BT24" i="13"/>
  <c r="CG86" i="13"/>
  <c r="BR58" i="13"/>
  <c r="BR60" i="13"/>
  <c r="CG38" i="13"/>
  <c r="CG37" i="13"/>
  <c r="CG34" i="13"/>
  <c r="CG36" i="13"/>
  <c r="CH126" i="13" s="1"/>
  <c r="CG29" i="13"/>
  <c r="CG79" i="11"/>
  <c r="BL11" i="2"/>
  <c r="BC63" i="2"/>
  <c r="BW37" i="13"/>
  <c r="BW36" i="13"/>
  <c r="BW38" i="13"/>
  <c r="BW29" i="13"/>
  <c r="BW79" i="11"/>
  <c r="BW148" i="13"/>
  <c r="BO36" i="13"/>
  <c r="BO38" i="13"/>
  <c r="BO37" i="13"/>
  <c r="BO79" i="11"/>
  <c r="CA19" i="13"/>
  <c r="CA20" i="13" s="1"/>
  <c r="CL86" i="13"/>
  <c r="BM20" i="13"/>
  <c r="BM14" i="13"/>
  <c r="BJ22" i="13"/>
  <c r="BO24" i="13" s="1"/>
  <c r="BJ67" i="11"/>
  <c r="BJ74" i="11" s="1"/>
  <c r="CB59" i="13"/>
  <c r="CG54" i="13"/>
  <c r="BZ19" i="13"/>
  <c r="BZ20" i="13" s="1"/>
  <c r="BL43" i="8"/>
  <c r="U100" i="7"/>
  <c r="BF41" i="12"/>
  <c r="BB156" i="11"/>
  <c r="CI41" i="12"/>
  <c r="CJ40" i="12"/>
  <c r="CE156" i="11"/>
  <c r="BV91" i="12"/>
  <c r="AE38" i="12"/>
  <c r="AE37" i="12"/>
  <c r="Z38" i="12"/>
  <c r="Z37" i="12"/>
  <c r="V78" i="11"/>
  <c r="CF23" i="12"/>
  <c r="CF24" i="12"/>
  <c r="CB44" i="11"/>
  <c r="BH23" i="12"/>
  <c r="BH24" i="12"/>
  <c r="BH18" i="12"/>
  <c r="BD44" i="11"/>
  <c r="BE26" i="12"/>
  <c r="BD22" i="12"/>
  <c r="AZ66" i="11"/>
  <c r="AZ74" i="11" s="1"/>
  <c r="CK24" i="12"/>
  <c r="AW46" i="12"/>
  <c r="AW63" i="12" s="1"/>
  <c r="CT27" i="12"/>
  <c r="BY19" i="12"/>
  <c r="BY20" i="12" s="1"/>
  <c r="BM32" i="8"/>
  <c r="AS58" i="2" s="1"/>
  <c r="AV41" i="12"/>
  <c r="AR156" i="11"/>
  <c r="AR165" i="11" s="1"/>
  <c r="S38" i="12"/>
  <c r="S37" i="12"/>
  <c r="X38" i="12"/>
  <c r="O78" i="11"/>
  <c r="X37" i="12"/>
  <c r="CF46" i="12"/>
  <c r="CF49" i="12"/>
  <c r="CF59" i="12"/>
  <c r="DA95" i="12"/>
  <c r="DA96" i="12" s="1"/>
  <c r="DA27" i="12"/>
  <c r="CV106" i="11"/>
  <c r="BJ26" i="12"/>
  <c r="BI22" i="12"/>
  <c r="BE66" i="11"/>
  <c r="BE74" i="11" s="1"/>
  <c r="AW37" i="12"/>
  <c r="AW38" i="12"/>
  <c r="AW36" i="12"/>
  <c r="AS78" i="11"/>
  <c r="BC24" i="12"/>
  <c r="BC18" i="12"/>
  <c r="BC23" i="12"/>
  <c r="AY44" i="11"/>
  <c r="AQ22" i="12"/>
  <c r="AM66" i="11"/>
  <c r="AS19" i="12"/>
  <c r="AS20" i="12" s="1"/>
  <c r="CL24" i="12"/>
  <c r="CL23" i="12"/>
  <c r="CL18" i="12"/>
  <c r="CL19" i="12" s="1"/>
  <c r="CL20" i="12" s="1"/>
  <c r="CH44" i="11"/>
  <c r="BD46" i="12"/>
  <c r="BI61" i="12"/>
  <c r="BI49" i="12"/>
  <c r="CK75" i="12"/>
  <c r="CP44" i="12"/>
  <c r="CK82" i="12"/>
  <c r="CK38" i="12"/>
  <c r="CK34" i="12"/>
  <c r="CG78" i="11"/>
  <c r="CA82" i="12"/>
  <c r="CA38" i="12"/>
  <c r="CA37" i="12"/>
  <c r="CA36" i="12"/>
  <c r="CA29" i="12"/>
  <c r="BW78" i="11"/>
  <c r="CF37" i="12"/>
  <c r="CF38" i="12"/>
  <c r="CF29" i="12"/>
  <c r="CF36" i="12"/>
  <c r="CB78" i="11"/>
  <c r="BV23" i="12"/>
  <c r="BR44" i="11"/>
  <c r="AV22" i="12"/>
  <c r="AW22" i="12" s="1"/>
  <c r="AR66" i="11"/>
  <c r="CC19" i="12"/>
  <c r="CC20" i="12" s="1"/>
  <c r="BN100" i="10"/>
  <c r="BN101" i="10" s="1"/>
  <c r="AK10" i="7"/>
  <c r="CG19" i="12"/>
  <c r="CG20" i="12" s="1"/>
  <c r="BU19" i="12"/>
  <c r="BU20" i="12" s="1"/>
  <c r="BS61" i="12"/>
  <c r="BS49" i="12"/>
  <c r="CK101" i="12"/>
  <c r="AQ41" i="12"/>
  <c r="AM156" i="11"/>
  <c r="BG82" i="12"/>
  <c r="BG36" i="12"/>
  <c r="BC78" i="11"/>
  <c r="U38" i="12"/>
  <c r="U37" i="12"/>
  <c r="AA35" i="12"/>
  <c r="AA22" i="12"/>
  <c r="W106" i="11"/>
  <c r="BQ49" i="12"/>
  <c r="BQ46" i="12"/>
  <c r="CF18" i="12"/>
  <c r="CB19" i="12"/>
  <c r="CB20" i="12" s="1"/>
  <c r="CA24" i="12"/>
  <c r="CA23" i="12"/>
  <c r="BW44" i="11"/>
  <c r="BM23" i="12"/>
  <c r="BM24" i="12"/>
  <c r="BQ22" i="12"/>
  <c r="BM18" i="12"/>
  <c r="BI44" i="11"/>
  <c r="AU24" i="12"/>
  <c r="AU23" i="12"/>
  <c r="AU18" i="12"/>
  <c r="AQ44" i="11"/>
  <c r="BW19" i="12"/>
  <c r="BW20" i="12" s="1"/>
  <c r="CA18" i="12"/>
  <c r="CA19" i="12" s="1"/>
  <c r="CA20" i="12" s="1"/>
  <c r="AZ24" i="12"/>
  <c r="BB30" i="12"/>
  <c r="BB35" i="12"/>
  <c r="BG38" i="12" s="1"/>
  <c r="BB31" i="12"/>
  <c r="AX132" i="11"/>
  <c r="AX145" i="11" s="1"/>
  <c r="G76" i="7"/>
  <c r="B69" i="7"/>
  <c r="AB126" i="7"/>
  <c r="BA154" i="11"/>
  <c r="BA103" i="11"/>
  <c r="J103" i="7"/>
  <c r="BP169" i="11"/>
  <c r="BP44" i="8"/>
  <c r="BX100" i="11"/>
  <c r="AG110" i="7"/>
  <c r="AR100" i="11"/>
  <c r="AR89" i="11"/>
  <c r="F110" i="7"/>
  <c r="BS100" i="11"/>
  <c r="AM100" i="11"/>
  <c r="AM89" i="11"/>
  <c r="BW181" i="11"/>
  <c r="BW183" i="11" s="1"/>
  <c r="BW39" i="11"/>
  <c r="BW182" i="11" s="1"/>
  <c r="BU23" i="11"/>
  <c r="BU42" i="11"/>
  <c r="AD69" i="7"/>
  <c r="AI76" i="7"/>
  <c r="AD76" i="7"/>
  <c r="AZ100" i="10"/>
  <c r="AZ101" i="10" s="1"/>
  <c r="BA76" i="9"/>
  <c r="BA97" i="9" s="1"/>
  <c r="W10" i="7"/>
  <c r="W176" i="7" s="1"/>
  <c r="AL36" i="11"/>
  <c r="AL31" i="11"/>
  <c r="AQ33" i="11" s="1"/>
  <c r="AL39" i="11"/>
  <c r="AL182" i="11" s="1"/>
  <c r="AL23" i="11"/>
  <c r="BK100" i="10"/>
  <c r="BK101" i="10" s="1"/>
  <c r="BL76" i="9"/>
  <c r="BL97" i="9" s="1"/>
  <c r="AH10" i="7"/>
  <c r="AU100" i="10"/>
  <c r="AU101" i="10" s="1"/>
  <c r="AV76" i="9"/>
  <c r="AV97" i="9" s="1"/>
  <c r="R10" i="7"/>
  <c r="R176" i="7" s="1"/>
  <c r="BL39" i="11"/>
  <c r="BL182" i="11" s="1"/>
  <c r="BL42" i="11"/>
  <c r="BL36" i="11"/>
  <c r="BL31" i="11"/>
  <c r="BL23" i="11"/>
  <c r="U76" i="7"/>
  <c r="U69" i="7"/>
  <c r="BQ39" i="11"/>
  <c r="BQ182" i="11" s="1"/>
  <c r="BQ23" i="11"/>
  <c r="BQ42" i="11"/>
  <c r="BQ36" i="11"/>
  <c r="BQ31" i="11"/>
  <c r="Z69" i="7"/>
  <c r="Z76" i="7"/>
  <c r="BD39" i="11"/>
  <c r="BD182" i="11" s="1"/>
  <c r="BD42" i="11"/>
  <c r="BD36" i="11"/>
  <c r="BD31" i="11"/>
  <c r="BD23" i="11"/>
  <c r="M76" i="7"/>
  <c r="M69" i="7"/>
  <c r="R76" i="7"/>
  <c r="AN39" i="11"/>
  <c r="AN182" i="11" s="1"/>
  <c r="AN42" i="11"/>
  <c r="AN36" i="11"/>
  <c r="AN31" i="11"/>
  <c r="AN23" i="11"/>
  <c r="B76" i="7"/>
  <c r="AP100" i="10"/>
  <c r="AP101" i="10" s="1"/>
  <c r="AQ76" i="9"/>
  <c r="M10" i="7"/>
  <c r="M176" i="7" s="1"/>
  <c r="BJ33" i="11"/>
  <c r="BJ32" i="11"/>
  <c r="I82" i="6"/>
  <c r="BI23" i="11"/>
  <c r="BC32" i="11"/>
  <c r="AY32" i="11"/>
  <c r="AY33" i="11"/>
  <c r="BZ23" i="11"/>
  <c r="AG76" i="7"/>
  <c r="AL126" i="7"/>
  <c r="BB154" i="11"/>
  <c r="BB103" i="11"/>
  <c r="K103" i="7"/>
  <c r="AY154" i="11"/>
  <c r="AY103" i="11"/>
  <c r="H103" i="7"/>
  <c r="BS169" i="11"/>
  <c r="BS44" i="8"/>
  <c r="CF169" i="11"/>
  <c r="CF44" i="8"/>
  <c r="AC100" i="11"/>
  <c r="AC89" i="11"/>
  <c r="BT100" i="11"/>
  <c r="AN100" i="11"/>
  <c r="AN89" i="11"/>
  <c r="CA100" i="11"/>
  <c r="AO110" i="7"/>
  <c r="AJ110" i="7"/>
  <c r="AU100" i="11"/>
  <c r="AU89" i="11"/>
  <c r="AU104" i="11" s="1"/>
  <c r="I110" i="7"/>
  <c r="D110" i="7"/>
  <c r="AE100" i="11"/>
  <c r="AE89" i="11"/>
  <c r="CD100" i="11"/>
  <c r="CD89" i="11"/>
  <c r="BV100" i="11"/>
  <c r="AE110" i="7"/>
  <c r="BF100" i="11"/>
  <c r="BF89" i="11"/>
  <c r="BF104" i="11" s="1"/>
  <c r="O110" i="7"/>
  <c r="AP100" i="11"/>
  <c r="AP89" i="11"/>
  <c r="AH100" i="11"/>
  <c r="AH89" i="11"/>
  <c r="Z100" i="11"/>
  <c r="Z89" i="11"/>
  <c r="BO36" i="11"/>
  <c r="BO31" i="11"/>
  <c r="BO39" i="11"/>
  <c r="BO182" i="11" s="1"/>
  <c r="BO23" i="11"/>
  <c r="X76" i="7"/>
  <c r="X69" i="7"/>
  <c r="AM36" i="11"/>
  <c r="AM31" i="11"/>
  <c r="AM23" i="11"/>
  <c r="AM39" i="11"/>
  <c r="AM182" i="11" s="1"/>
  <c r="CE23" i="8"/>
  <c r="AN12" i="7"/>
  <c r="AV100" i="10"/>
  <c r="AV101" i="10" s="1"/>
  <c r="AW76" i="9"/>
  <c r="S10" i="7"/>
  <c r="S176" i="7" s="1"/>
  <c r="BG100" i="10"/>
  <c r="BG101" i="10" s="1"/>
  <c r="BH76" i="9"/>
  <c r="AD10" i="7"/>
  <c r="CE39" i="11"/>
  <c r="CE182" i="11" s="1"/>
  <c r="CE23" i="11"/>
  <c r="AN76" i="7"/>
  <c r="AN69" i="7"/>
  <c r="BP39" i="11"/>
  <c r="BP182" i="11" s="1"/>
  <c r="BP42" i="11"/>
  <c r="BP36" i="11"/>
  <c r="BP31" i="11"/>
  <c r="BP23" i="11"/>
  <c r="Y76" i="7"/>
  <c r="Y69" i="7"/>
  <c r="AE100" i="10"/>
  <c r="AE101" i="10" s="1"/>
  <c r="AF76" i="9"/>
  <c r="B10" i="7"/>
  <c r="AM42" i="11"/>
  <c r="AX32" i="6"/>
  <c r="AZ39" i="11"/>
  <c r="AZ182" i="11" s="1"/>
  <c r="AZ42" i="11"/>
  <c r="AZ36" i="11"/>
  <c r="AZ31" i="11"/>
  <c r="BE33" i="11" s="1"/>
  <c r="AZ23" i="11"/>
  <c r="I76" i="7"/>
  <c r="I69" i="7"/>
  <c r="N76" i="7"/>
  <c r="J52" i="8"/>
  <c r="B51" i="2" s="1"/>
  <c r="J54" i="11"/>
  <c r="J53" i="11" s="1"/>
  <c r="AL100" i="10"/>
  <c r="AL101" i="10" s="1"/>
  <c r="AM76" i="9"/>
  <c r="I10" i="7"/>
  <c r="I176" i="7" s="1"/>
  <c r="BF23" i="8"/>
  <c r="AQ23" i="11"/>
  <c r="BE23" i="11"/>
  <c r="AW32" i="11"/>
  <c r="AK33" i="11"/>
  <c r="AK32" i="11"/>
  <c r="CH182" i="11"/>
  <c r="BX169" i="11"/>
  <c r="BX44" i="8"/>
  <c r="AB100" i="11"/>
  <c r="AB89" i="11"/>
  <c r="CE100" i="11"/>
  <c r="CE89" i="11"/>
  <c r="AN110" i="7"/>
  <c r="BG100" i="11"/>
  <c r="BG89" i="11"/>
  <c r="BG104" i="11" s="1"/>
  <c r="U110" i="7"/>
  <c r="P110" i="7"/>
  <c r="AY100" i="11"/>
  <c r="AY89" i="11"/>
  <c r="AY104" i="11" s="1"/>
  <c r="H110" i="7"/>
  <c r="AQ100" i="11"/>
  <c r="AQ89" i="11"/>
  <c r="E110" i="7"/>
  <c r="AI100" i="11"/>
  <c r="AI89" i="11"/>
  <c r="AI104" i="11" s="1"/>
  <c r="AA100" i="11"/>
  <c r="AA89" i="11"/>
  <c r="S100" i="11"/>
  <c r="S89" i="11"/>
  <c r="CB181" i="11"/>
  <c r="CB183" i="11" s="1"/>
  <c r="CB39" i="11"/>
  <c r="CB182" i="11" s="1"/>
  <c r="CB34" i="8"/>
  <c r="CD23" i="8"/>
  <c r="AM12" i="7"/>
  <c r="CB23" i="11"/>
  <c r="AK76" i="7"/>
  <c r="AK69" i="7"/>
  <c r="CA23" i="8"/>
  <c r="AJ12" i="7"/>
  <c r="BH100" i="10"/>
  <c r="BH101" i="10" s="1"/>
  <c r="BI76" i="9"/>
  <c r="BI97" i="9" s="1"/>
  <c r="AE10" i="7"/>
  <c r="CA39" i="11"/>
  <c r="CA182" i="11" s="1"/>
  <c r="CA23" i="11"/>
  <c r="AJ76" i="7"/>
  <c r="AJ69" i="7"/>
  <c r="BD76" i="9"/>
  <c r="BD97" i="9" s="1"/>
  <c r="CF42" i="11"/>
  <c r="AO76" i="7"/>
  <c r="CF23" i="11"/>
  <c r="AO69" i="7"/>
  <c r="BT42" i="11"/>
  <c r="BT23" i="11"/>
  <c r="AH76" i="7"/>
  <c r="AC76" i="7"/>
  <c r="AC69" i="7"/>
  <c r="BO42" i="11"/>
  <c r="CD23" i="11"/>
  <c r="CD39" i="11"/>
  <c r="CD182" i="11" s="1"/>
  <c r="AM76" i="7"/>
  <c r="AM69" i="7"/>
  <c r="AV39" i="11"/>
  <c r="AV182" i="11" s="1"/>
  <c r="AV42" i="11"/>
  <c r="AV36" i="11"/>
  <c r="AV31" i="11"/>
  <c r="BA33" i="11" s="1"/>
  <c r="AV23" i="11"/>
  <c r="E76" i="7"/>
  <c r="E69" i="7"/>
  <c r="J76" i="7"/>
  <c r="Z100" i="10"/>
  <c r="Z101" i="10" s="1"/>
  <c r="AA76" i="9"/>
  <c r="AX100" i="10"/>
  <c r="AX101" i="10" s="1"/>
  <c r="BE32" i="11"/>
  <c r="BA23" i="11"/>
  <c r="P52" i="8"/>
  <c r="P54" i="11"/>
  <c r="CB165" i="11"/>
  <c r="AZ154" i="11"/>
  <c r="AZ103" i="11"/>
  <c r="I103" i="7"/>
  <c r="CB169" i="11"/>
  <c r="CB44" i="8"/>
  <c r="BT169" i="11"/>
  <c r="BT44" i="8"/>
  <c r="CG168" i="11"/>
  <c r="AP100" i="7"/>
  <c r="CG43" i="8"/>
  <c r="BI100" i="11"/>
  <c r="BI89" i="11"/>
  <c r="BI104" i="11" s="1"/>
  <c r="R110" i="7"/>
  <c r="CC100" i="11"/>
  <c r="CC89" i="11"/>
  <c r="AL110" i="7"/>
  <c r="BD100" i="11"/>
  <c r="BD89" i="11"/>
  <c r="BD104" i="11" s="1"/>
  <c r="M110" i="7"/>
  <c r="X100" i="11"/>
  <c r="X89" i="11"/>
  <c r="CH100" i="11"/>
  <c r="CH89" i="11"/>
  <c r="AQ110" i="7"/>
  <c r="BZ100" i="11"/>
  <c r="AI110" i="7"/>
  <c r="BJ100" i="11"/>
  <c r="BJ89" i="11"/>
  <c r="BJ104" i="11" s="1"/>
  <c r="S110" i="7"/>
  <c r="BB100" i="11"/>
  <c r="BB89" i="11"/>
  <c r="BB104" i="11" s="1"/>
  <c r="K110" i="7"/>
  <c r="AT100" i="11"/>
  <c r="AT89" i="11"/>
  <c r="AT104" i="11" s="1"/>
  <c r="C110" i="7"/>
  <c r="AL100" i="11"/>
  <c r="AL89" i="11"/>
  <c r="AD100" i="11"/>
  <c r="AD89" i="11"/>
  <c r="CG181" i="11"/>
  <c r="CB36" i="11"/>
  <c r="CB31" i="8"/>
  <c r="BW23" i="11"/>
  <c r="AF76" i="7"/>
  <c r="AF69" i="7"/>
  <c r="BD100" i="10"/>
  <c r="BE76" i="9"/>
  <c r="BE80" i="9" s="1"/>
  <c r="AA10" i="7"/>
  <c r="CE42" i="11"/>
  <c r="BU36" i="11"/>
  <c r="BS31" i="11"/>
  <c r="BS39" i="11"/>
  <c r="BS182" i="11" s="1"/>
  <c r="BS23" i="11"/>
  <c r="AB76" i="7"/>
  <c r="AB69" i="7"/>
  <c r="O64" i="11"/>
  <c r="AA100" i="10"/>
  <c r="AA101" i="10" s="1"/>
  <c r="AB76" i="9"/>
  <c r="AB78" i="9" s="1"/>
  <c r="AY100" i="10"/>
  <c r="AZ76" i="9"/>
  <c r="V10" i="7"/>
  <c r="BV39" i="11"/>
  <c r="BV182" i="11" s="1"/>
  <c r="BV23" i="11"/>
  <c r="AE69" i="7"/>
  <c r="AE76" i="7"/>
  <c r="BH39" i="11"/>
  <c r="BH182" i="11" s="1"/>
  <c r="BH42" i="11"/>
  <c r="BH36" i="11"/>
  <c r="BH31" i="11"/>
  <c r="BH23" i="11"/>
  <c r="Q76" i="7"/>
  <c r="Q69" i="7"/>
  <c r="V76" i="7"/>
  <c r="AR39" i="11"/>
  <c r="AR182" i="11" s="1"/>
  <c r="AR42" i="11"/>
  <c r="AR36" i="11"/>
  <c r="AR31" i="11"/>
  <c r="AR23" i="11"/>
  <c r="F76" i="7"/>
  <c r="CF25" i="11"/>
  <c r="BD32" i="6" s="1"/>
  <c r="AT100" i="10"/>
  <c r="AT101" i="10" s="1"/>
  <c r="AU76" i="9"/>
  <c r="Q10" i="7"/>
  <c r="BJ100" i="10"/>
  <c r="BJ101" i="10" s="1"/>
  <c r="BK76" i="9"/>
  <c r="AG10" i="7"/>
  <c r="BF33" i="11"/>
  <c r="BF32" i="11"/>
  <c r="BB32" i="11"/>
  <c r="BG32" i="11"/>
  <c r="BG33" i="11"/>
  <c r="AQ32" i="11"/>
  <c r="AO32" i="11"/>
  <c r="BM23" i="11"/>
  <c r="Q174" i="7"/>
  <c r="AN23" i="2"/>
  <c r="AA187" i="7"/>
  <c r="AD127" i="10"/>
  <c r="AD84" i="10"/>
  <c r="AD83" i="10" s="1"/>
  <c r="AD44" i="10"/>
  <c r="AD47" i="10" s="1"/>
  <c r="AU178" i="7"/>
  <c r="AS127" i="10"/>
  <c r="AS84" i="10"/>
  <c r="AS83" i="10" s="1"/>
  <c r="P187" i="7"/>
  <c r="BC118" i="10"/>
  <c r="BC119" i="10" s="1"/>
  <c r="BC71" i="10"/>
  <c r="BQ61" i="8"/>
  <c r="CN95" i="10"/>
  <c r="AY61" i="10"/>
  <c r="AY68" i="10" s="1"/>
  <c r="AY54" i="10"/>
  <c r="AY53" i="10"/>
  <c r="AL54" i="10"/>
  <c r="AL55" i="10" s="1"/>
  <c r="AL65" i="10"/>
  <c r="AL71" i="10" s="1"/>
  <c r="BG88" i="10"/>
  <c r="AD188" i="7"/>
  <c r="AL126" i="10"/>
  <c r="Z53" i="10"/>
  <c r="BI39" i="10"/>
  <c r="BE65" i="10"/>
  <c r="BE71" i="10" s="1"/>
  <c r="BE53" i="10"/>
  <c r="BE54" i="10"/>
  <c r="AG65" i="10"/>
  <c r="AG71" i="10" s="1"/>
  <c r="AG53" i="10"/>
  <c r="AG54" i="10"/>
  <c r="BH48" i="10"/>
  <c r="BH57" i="10" s="1"/>
  <c r="AN48" i="10"/>
  <c r="AX55" i="10"/>
  <c r="AJ127" i="10"/>
  <c r="G188" i="7"/>
  <c r="BH127" i="10"/>
  <c r="BH84" i="10"/>
  <c r="BH83" i="10" s="1"/>
  <c r="AE187" i="7"/>
  <c r="Y127" i="10"/>
  <c r="Y84" i="10"/>
  <c r="Y83" i="10" s="1"/>
  <c r="AW35" i="10"/>
  <c r="T184" i="7" s="1"/>
  <c r="AC103" i="10"/>
  <c r="AN55" i="10"/>
  <c r="AT127" i="10"/>
  <c r="Q188" i="7"/>
  <c r="BG127" i="10"/>
  <c r="AH127" i="10"/>
  <c r="AH84" i="10"/>
  <c r="E187" i="7"/>
  <c r="BF36" i="10"/>
  <c r="AZ44" i="10"/>
  <c r="W185" i="7"/>
  <c r="BC23" i="10"/>
  <c r="Y174" i="7"/>
  <c r="AW25" i="10"/>
  <c r="BL47" i="10"/>
  <c r="AR128" i="10"/>
  <c r="AR92" i="10"/>
  <c r="O189" i="7"/>
  <c r="BS127" i="10"/>
  <c r="AP187" i="7"/>
  <c r="BI34" i="10"/>
  <c r="AF184" i="7" s="1"/>
  <c r="Y32" i="10"/>
  <c r="AG44" i="10"/>
  <c r="D185" i="7"/>
  <c r="AY128" i="10"/>
  <c r="AY92" i="10"/>
  <c r="V189" i="7"/>
  <c r="AH36" i="10"/>
  <c r="BL120" i="10"/>
  <c r="AF44" i="10"/>
  <c r="C185" i="7"/>
  <c r="AX19" i="10"/>
  <c r="U170" i="7" s="1"/>
  <c r="AW19" i="10"/>
  <c r="S170" i="7"/>
  <c r="AY33" i="10"/>
  <c r="BA36" i="10"/>
  <c r="AT13" i="10"/>
  <c r="BH75" i="11" s="1"/>
  <c r="BH74" i="11" s="1"/>
  <c r="AQ44" i="10"/>
  <c r="N185" i="7"/>
  <c r="AI96" i="10"/>
  <c r="AS118" i="10"/>
  <c r="AS119" i="10" s="1"/>
  <c r="BG61" i="8"/>
  <c r="Z118" i="10"/>
  <c r="Z119" i="10" s="1"/>
  <c r="Z71" i="10"/>
  <c r="AE61" i="10"/>
  <c r="AE54" i="10"/>
  <c r="AE53" i="10"/>
  <c r="AE82" i="10"/>
  <c r="AA83" i="10"/>
  <c r="BR65" i="10"/>
  <c r="BR71" i="10" s="1"/>
  <c r="BR54" i="10"/>
  <c r="BR53" i="10"/>
  <c r="AE68" i="10"/>
  <c r="AG96" i="10"/>
  <c r="BU80" i="10"/>
  <c r="BV75" i="10"/>
  <c r="BW134" i="9" s="1"/>
  <c r="AT61" i="10"/>
  <c r="AT68" i="10" s="1"/>
  <c r="AT54" i="10"/>
  <c r="AT53" i="10"/>
  <c r="BM65" i="10"/>
  <c r="BM71" i="10" s="1"/>
  <c r="BM53" i="10"/>
  <c r="BM54" i="10"/>
  <c r="BI65" i="10"/>
  <c r="BI71" i="10" s="1"/>
  <c r="BI53" i="10"/>
  <c r="AW65" i="10"/>
  <c r="AW71" i="10" s="1"/>
  <c r="AW53" i="10"/>
  <c r="AW54" i="10"/>
  <c r="AZ48" i="10"/>
  <c r="AZ47" i="10" s="1"/>
  <c r="AF48" i="10"/>
  <c r="AF57" i="10" s="1"/>
  <c r="AZ54" i="8" s="1"/>
  <c r="I38" i="7" s="1"/>
  <c r="AO128" i="10"/>
  <c r="AO92" i="10"/>
  <c r="L189" i="7"/>
  <c r="BB35" i="10"/>
  <c r="Y184" i="7" s="1"/>
  <c r="X184" i="7"/>
  <c r="AU44" i="10"/>
  <c r="AU47" i="10" s="1"/>
  <c r="R185" i="7"/>
  <c r="S184" i="7"/>
  <c r="BP120" i="10"/>
  <c r="AX25" i="10"/>
  <c r="AH48" i="10"/>
  <c r="AH57" i="10" s="1"/>
  <c r="BI127" i="10"/>
  <c r="AF187" i="7"/>
  <c r="BB88" i="10"/>
  <c r="BB87" i="10" s="1"/>
  <c r="Y188" i="7"/>
  <c r="AZ120" i="10"/>
  <c r="T174" i="7"/>
  <c r="AR25" i="10"/>
  <c r="AT128" i="10"/>
  <c r="AT92" i="10"/>
  <c r="Q189" i="7"/>
  <c r="BP83" i="10"/>
  <c r="BA87" i="10"/>
  <c r="AS32" i="10"/>
  <c r="BD128" i="10"/>
  <c r="BD92" i="10"/>
  <c r="AX131" i="2" s="1"/>
  <c r="AA189" i="7"/>
  <c r="BL127" i="10"/>
  <c r="BL84" i="10"/>
  <c r="AI187" i="7"/>
  <c r="BC84" i="10"/>
  <c r="BC83" i="10" s="1"/>
  <c r="Z187" i="7"/>
  <c r="AR127" i="10"/>
  <c r="AR84" i="10"/>
  <c r="O187" i="7"/>
  <c r="AC127" i="10"/>
  <c r="AC84" i="10"/>
  <c r="BT36" i="10"/>
  <c r="BK44" i="10"/>
  <c r="BK47" i="10" s="1"/>
  <c r="AV36" i="10"/>
  <c r="X120" i="10"/>
  <c r="BD23" i="10"/>
  <c r="AD96" i="10"/>
  <c r="BJ80" i="10"/>
  <c r="BJ76" i="10"/>
  <c r="BJ82" i="10" s="1"/>
  <c r="AO75" i="10"/>
  <c r="AK75" i="10"/>
  <c r="AK76" i="10" s="1"/>
  <c r="AK82" i="10" s="1"/>
  <c r="AK134" i="9"/>
  <c r="AK136" i="9" s="1"/>
  <c r="V82" i="10"/>
  <c r="Z76" i="10"/>
  <c r="BB65" i="10"/>
  <c r="BB71" i="10" s="1"/>
  <c r="BB54" i="10"/>
  <c r="BB53" i="10"/>
  <c r="BA96" i="10"/>
  <c r="AJ128" i="10"/>
  <c r="AJ92" i="10"/>
  <c r="G189" i="7"/>
  <c r="BF83" i="10"/>
  <c r="BI84" i="10"/>
  <c r="BN118" i="10"/>
  <c r="BN119" i="10" s="1"/>
  <c r="BN71" i="10"/>
  <c r="BP96" i="10"/>
  <c r="AK65" i="10"/>
  <c r="AK71" i="10" s="1"/>
  <c r="AO63" i="10"/>
  <c r="AO53" i="10" s="1"/>
  <c r="AK53" i="10"/>
  <c r="AK54" i="10"/>
  <c r="AO61" i="10"/>
  <c r="AV48" i="10"/>
  <c r="AV57" i="10" s="1"/>
  <c r="BP54" i="8" s="1"/>
  <c r="AL96" i="10"/>
  <c r="AX40" i="10"/>
  <c r="BR36" i="10"/>
  <c r="AN83" i="10"/>
  <c r="AM44" i="10"/>
  <c r="J185" i="7"/>
  <c r="U174" i="7"/>
  <c r="AY40" i="10"/>
  <c r="AI33" i="10"/>
  <c r="BG25" i="10"/>
  <c r="AQ96" i="10"/>
  <c r="AI127" i="10"/>
  <c r="AI84" i="10"/>
  <c r="AI83" i="10" s="1"/>
  <c r="F187" i="7"/>
  <c r="AK44" i="10"/>
  <c r="H185" i="7"/>
  <c r="BP57" i="10"/>
  <c r="BI128" i="10"/>
  <c r="BI92" i="10"/>
  <c r="BC131" i="2" s="1"/>
  <c r="AF189" i="7"/>
  <c r="BS29" i="10"/>
  <c r="BO36" i="10"/>
  <c r="AN44" i="10"/>
  <c r="K185" i="7"/>
  <c r="AF120" i="10"/>
  <c r="AT19" i="10"/>
  <c r="BC19" i="10"/>
  <c r="Z170" i="7" s="1"/>
  <c r="AY23" i="10"/>
  <c r="AR188" i="7"/>
  <c r="AX70" i="10"/>
  <c r="AX68" i="10"/>
  <c r="CI78" i="10"/>
  <c r="BN87" i="10"/>
  <c r="CB87" i="10"/>
  <c r="CD87" i="10" s="1"/>
  <c r="BH118" i="10"/>
  <c r="AQ65" i="10"/>
  <c r="AQ71" i="10" s="1"/>
  <c r="AQ54" i="10"/>
  <c r="AQ53" i="10"/>
  <c r="AJ61" i="10"/>
  <c r="AJ53" i="10"/>
  <c r="AJ54" i="10"/>
  <c r="AH128" i="10"/>
  <c r="AH92" i="10"/>
  <c r="E189" i="7"/>
  <c r="BD53" i="10"/>
  <c r="BD61" i="10"/>
  <c r="BD68" i="10" s="1"/>
  <c r="BD54" i="10"/>
  <c r="AL83" i="10"/>
  <c r="AO84" i="10"/>
  <c r="BD70" i="10"/>
  <c r="AK126" i="10"/>
  <c r="BQ65" i="10"/>
  <c r="BQ71" i="10" s="1"/>
  <c r="BQ53" i="10"/>
  <c r="BQ54" i="10"/>
  <c r="BA65" i="10"/>
  <c r="BA71" i="10" s="1"/>
  <c r="BA53" i="10"/>
  <c r="BA54" i="10"/>
  <c r="AS65" i="10"/>
  <c r="AS71" i="10" s="1"/>
  <c r="AS53" i="10"/>
  <c r="AS54" i="10"/>
  <c r="AO68" i="10"/>
  <c r="AR48" i="10"/>
  <c r="AR57" i="10" s="1"/>
  <c r="BL54" i="8" s="1"/>
  <c r="U38" i="7" s="1"/>
  <c r="BN29" i="10"/>
  <c r="BJ36" i="10"/>
  <c r="AM48" i="10"/>
  <c r="AM57" i="10" s="1"/>
  <c r="BG54" i="8" s="1"/>
  <c r="P38" i="7" s="1"/>
  <c r="AR55" i="10"/>
  <c r="BM36" i="10"/>
  <c r="O174" i="7"/>
  <c r="G137" i="7"/>
  <c r="G138" i="7" s="1"/>
  <c r="G142" i="7" s="1"/>
  <c r="AX48" i="10"/>
  <c r="AX57" i="10" s="1"/>
  <c r="AZ55" i="10"/>
  <c r="AY43" i="10"/>
  <c r="AW127" i="10"/>
  <c r="AW84" i="10"/>
  <c r="T187" i="7"/>
  <c r="BD34" i="10"/>
  <c r="AT178" i="7"/>
  <c r="AU120" i="10"/>
  <c r="BB25" i="10"/>
  <c r="BC21" i="10"/>
  <c r="AV55" i="10"/>
  <c r="BI43" i="10"/>
  <c r="BC39" i="10"/>
  <c r="BC127" i="10" s="1"/>
  <c r="AX38" i="10"/>
  <c r="AI35" i="10"/>
  <c r="F184" i="7" s="1"/>
  <c r="AF55" i="10"/>
  <c r="BM38" i="10"/>
  <c r="BN38" i="10" s="1"/>
  <c r="BK83" i="10"/>
  <c r="BB127" i="10"/>
  <c r="BB84" i="10"/>
  <c r="Y187" i="7"/>
  <c r="AN120" i="10"/>
  <c r="AB117" i="10"/>
  <c r="AB120" i="10" s="1"/>
  <c r="AB96" i="10"/>
  <c r="AB36" i="10"/>
  <c r="AB44" i="10" s="1"/>
  <c r="AY13" i="10"/>
  <c r="BM75" i="11" s="1"/>
  <c r="BM74" i="11" s="1"/>
  <c r="BE44" i="10"/>
  <c r="AB185" i="7"/>
  <c r="BH36" i="10"/>
  <c r="AE19" i="10"/>
  <c r="B170" i="7" s="1"/>
  <c r="BD13" i="10"/>
  <c r="BR75" i="11" s="1"/>
  <c r="BR74" i="11" s="1"/>
  <c r="AC25" i="10"/>
  <c r="BO129" i="9"/>
  <c r="BO130" i="9"/>
  <c r="BH103" i="2"/>
  <c r="BH83" i="2"/>
  <c r="BN129" i="9"/>
  <c r="BN130" i="9"/>
  <c r="BN66" i="9"/>
  <c r="BG103" i="2"/>
  <c r="BG83" i="2"/>
  <c r="BC83" i="2"/>
  <c r="U80" i="2"/>
  <c r="Y81" i="2"/>
  <c r="BS136" i="9"/>
  <c r="BT135" i="9"/>
  <c r="AE64" i="9"/>
  <c r="AF64" i="9" s="1"/>
  <c r="AF50" i="9"/>
  <c r="AJ104" i="9"/>
  <c r="AJ107" i="9"/>
  <c r="AK19" i="9"/>
  <c r="AH113" i="9"/>
  <c r="AH114" i="9"/>
  <c r="AH115" i="9" s="1"/>
  <c r="BK114" i="9"/>
  <c r="BK115" i="9" s="1"/>
  <c r="BK113" i="9"/>
  <c r="AQ151" i="7"/>
  <c r="AQ152" i="7" s="1"/>
  <c r="BN113" i="9"/>
  <c r="BN114" i="9"/>
  <c r="BN115" i="9" s="1"/>
  <c r="AJ112" i="9"/>
  <c r="AK62" i="9"/>
  <c r="BR117" i="9"/>
  <c r="BR39" i="9"/>
  <c r="BR50" i="9" s="1"/>
  <c r="BR64" i="9" s="1"/>
  <c r="AN144" i="7"/>
  <c r="AN147" i="7" s="1"/>
  <c r="AN152" i="7" s="1"/>
  <c r="BO114" i="9"/>
  <c r="AX130" i="9"/>
  <c r="AX129" i="9"/>
  <c r="AX66" i="9"/>
  <c r="BO99" i="9"/>
  <c r="BO96" i="9"/>
  <c r="BL30" i="9"/>
  <c r="BM130" i="9" s="1"/>
  <c r="W114" i="9"/>
  <c r="W115" i="9" s="1"/>
  <c r="W113" i="9"/>
  <c r="BM66" i="9"/>
  <c r="BK104" i="9"/>
  <c r="BJ113" i="9"/>
  <c r="BJ114" i="9"/>
  <c r="BJ115" i="9" s="1"/>
  <c r="BJ48" i="9"/>
  <c r="BJ50" i="9" s="1"/>
  <c r="BJ64" i="9" s="1"/>
  <c r="BJ66" i="9" s="1"/>
  <c r="BH129" i="9"/>
  <c r="BH130" i="9"/>
  <c r="BH66" i="9"/>
  <c r="AI114" i="9"/>
  <c r="AI115" i="9" s="1"/>
  <c r="AI113" i="9"/>
  <c r="AA114" i="9"/>
  <c r="AA115" i="9" s="1"/>
  <c r="AA113" i="9"/>
  <c r="BR105" i="9"/>
  <c r="BR78" i="9"/>
  <c r="BS14" i="9"/>
  <c r="BR19" i="9"/>
  <c r="AN137" i="7"/>
  <c r="AN138" i="7" s="1"/>
  <c r="BI114" i="9"/>
  <c r="BI115" i="9" s="1"/>
  <c r="BI113" i="9"/>
  <c r="AC114" i="9"/>
  <c r="AC115" i="9" s="1"/>
  <c r="AC113" i="9"/>
  <c r="BD114" i="9"/>
  <c r="BD115" i="9" s="1"/>
  <c r="BD113" i="9"/>
  <c r="AY114" i="9"/>
  <c r="AY115" i="9" s="1"/>
  <c r="AY113" i="9"/>
  <c r="BQ112" i="9"/>
  <c r="AY64" i="9"/>
  <c r="AZ64" i="9" s="1"/>
  <c r="AZ50" i="9"/>
  <c r="AR107" i="9"/>
  <c r="AR104" i="9"/>
  <c r="AR30" i="9"/>
  <c r="BP113" i="9"/>
  <c r="BP114" i="9"/>
  <c r="BP115" i="9" s="1"/>
  <c r="BL114" i="9"/>
  <c r="BL115" i="9" s="1"/>
  <c r="BL113" i="9"/>
  <c r="AX114" i="9"/>
  <c r="AX115" i="9" s="1"/>
  <c r="AX113" i="9"/>
  <c r="AT64" i="9"/>
  <c r="AU64" i="9" s="1"/>
  <c r="AU50" i="9"/>
  <c r="AR150" i="7"/>
  <c r="AP50" i="9"/>
  <c r="AO64" i="9"/>
  <c r="AP64" i="9" s="1"/>
  <c r="AE112" i="9"/>
  <c r="AF62" i="9"/>
  <c r="AG114" i="9"/>
  <c r="AG115" i="9" s="1"/>
  <c r="AG113" i="9"/>
  <c r="BW64" i="10"/>
  <c r="AS149" i="7"/>
  <c r="BI107" i="9"/>
  <c r="BI104" i="9"/>
  <c r="BI30" i="9"/>
  <c r="AK99" i="9"/>
  <c r="AK96" i="9"/>
  <c r="BF66" i="9"/>
  <c r="BE99" i="9"/>
  <c r="BF113" i="9"/>
  <c r="BF114" i="9"/>
  <c r="BF115" i="9" s="1"/>
  <c r="BQ64" i="9"/>
  <c r="BY33" i="9"/>
  <c r="AT144" i="7"/>
  <c r="AM129" i="9"/>
  <c r="AM130" i="9"/>
  <c r="AM66" i="9"/>
  <c r="BE92" i="9"/>
  <c r="BE96" i="9" s="1"/>
  <c r="AA137" i="7"/>
  <c r="AA138" i="7" s="1"/>
  <c r="AN113" i="9"/>
  <c r="AN114" i="9"/>
  <c r="AN115" i="9" s="1"/>
  <c r="AJ64" i="9"/>
  <c r="AK64" i="9" s="1"/>
  <c r="AY30" i="9"/>
  <c r="AP107" i="9"/>
  <c r="AP105" i="9"/>
  <c r="Z99" i="9"/>
  <c r="Z96" i="9"/>
  <c r="BE81" i="2"/>
  <c r="BM114" i="9"/>
  <c r="BM115" i="9" s="1"/>
  <c r="BM113" i="9"/>
  <c r="AS114" i="9"/>
  <c r="AS115" i="9" s="1"/>
  <c r="AS113" i="9"/>
  <c r="AK151" i="7"/>
  <c r="AK152" i="7" s="1"/>
  <c r="BC113" i="9"/>
  <c r="BC114" i="9"/>
  <c r="BC115" i="9" s="1"/>
  <c r="BL117" i="9"/>
  <c r="BL39" i="9"/>
  <c r="BL104" i="9" s="1"/>
  <c r="AH144" i="7"/>
  <c r="AH147" i="7" s="1"/>
  <c r="AH152" i="7" s="1"/>
  <c r="X114" i="9"/>
  <c r="X115" i="9" s="1"/>
  <c r="X113" i="9"/>
  <c r="BR25" i="9"/>
  <c r="AN141" i="7" s="1"/>
  <c r="BR28" i="9"/>
  <c r="BE107" i="9"/>
  <c r="BE104" i="9"/>
  <c r="AB105" i="9"/>
  <c r="AB19" i="9"/>
  <c r="AC14" i="9"/>
  <c r="AI66" i="9"/>
  <c r="BS62" i="9"/>
  <c r="BT58" i="9"/>
  <c r="AO159" i="7"/>
  <c r="AO160" i="7" s="1"/>
  <c r="BC130" i="9"/>
  <c r="BC66" i="9"/>
  <c r="BT99" i="9"/>
  <c r="BT96" i="9"/>
  <c r="AA23" i="9"/>
  <c r="Y28" i="9"/>
  <c r="Y30" i="9" s="1"/>
  <c r="AQ130" i="9"/>
  <c r="AQ66" i="9"/>
  <c r="BD107" i="9"/>
  <c r="BD104" i="9"/>
  <c r="BD30" i="9"/>
  <c r="BF130" i="9" s="1"/>
  <c r="BG130" i="9"/>
  <c r="BG66" i="9"/>
  <c r="AZ107" i="9"/>
  <c r="AZ104" i="9"/>
  <c r="BQ104" i="9"/>
  <c r="BQ107" i="9"/>
  <c r="BQ30" i="9"/>
  <c r="AU104" i="9"/>
  <c r="Y113" i="9"/>
  <c r="Y114" i="9"/>
  <c r="Y115" i="9" s="1"/>
  <c r="AT114" i="9"/>
  <c r="AT115" i="9" s="1"/>
  <c r="AT113" i="9"/>
  <c r="BK105" i="9"/>
  <c r="BK50" i="9"/>
  <c r="BK64" i="9" s="1"/>
  <c r="BK66" i="9" s="1"/>
  <c r="AF99" i="9"/>
  <c r="AF96" i="9"/>
  <c r="BH114" i="9"/>
  <c r="BH115" i="9" s="1"/>
  <c r="BH113" i="9"/>
  <c r="BG114" i="9"/>
  <c r="BG115" i="9" s="1"/>
  <c r="BG113" i="9"/>
  <c r="AP114" i="9"/>
  <c r="BA107" i="9"/>
  <c r="BA104" i="9"/>
  <c r="BA30" i="9"/>
  <c r="AU105" i="9"/>
  <c r="AM114" i="9"/>
  <c r="AM115" i="9" s="1"/>
  <c r="AM113" i="9"/>
  <c r="BP129" i="9"/>
  <c r="BP130" i="9"/>
  <c r="BP66" i="9"/>
  <c r="AT30" i="9"/>
  <c r="AB114" i="9"/>
  <c r="AB115" i="9" s="1"/>
  <c r="AB113" i="9"/>
  <c r="BR112" i="9"/>
  <c r="BU48" i="9"/>
  <c r="BU50" i="9" s="1"/>
  <c r="AO130" i="9"/>
  <c r="AO129" i="9"/>
  <c r="AP30" i="9"/>
  <c r="BK129" i="9"/>
  <c r="BK130" i="9"/>
  <c r="W129" i="9"/>
  <c r="W130" i="9"/>
  <c r="W66" i="9"/>
  <c r="AD114" i="9"/>
  <c r="AD115" i="9" s="1"/>
  <c r="AD113" i="9"/>
  <c r="BO48" i="9"/>
  <c r="BO50" i="9" s="1"/>
  <c r="BO64" i="9" s="1"/>
  <c r="BO66" i="9" s="1"/>
  <c r="X129" i="9"/>
  <c r="X130" i="9"/>
  <c r="X66" i="9"/>
  <c r="BB130" i="9"/>
  <c r="BB66" i="9"/>
  <c r="AU99" i="9"/>
  <c r="AU96" i="9"/>
  <c r="AZ99" i="9"/>
  <c r="AZ96" i="9"/>
  <c r="Z112" i="9"/>
  <c r="BE27" i="9"/>
  <c r="BE114" i="9" s="1"/>
  <c r="Z141" i="7"/>
  <c r="Z142" i="7" s="1"/>
  <c r="AL66" i="9"/>
  <c r="AF107" i="9"/>
  <c r="AF104" i="9"/>
  <c r="AG53" i="2"/>
  <c r="BA53" i="2"/>
  <c r="BM26" i="8"/>
  <c r="V14" i="7"/>
  <c r="BK39" i="8"/>
  <c r="BK143" i="11" s="1"/>
  <c r="BK29" i="8"/>
  <c r="T16" i="7"/>
  <c r="CE29" i="8"/>
  <c r="CE39" i="8"/>
  <c r="CE143" i="11" s="1"/>
  <c r="AN16" i="7"/>
  <c r="BE29" i="8"/>
  <c r="AA42" i="7"/>
  <c r="BA29" i="8"/>
  <c r="BA39" i="8"/>
  <c r="J16" i="7"/>
  <c r="BR32" i="8"/>
  <c r="AX58" i="2" s="1"/>
  <c r="AA19" i="7"/>
  <c r="I16" i="7"/>
  <c r="AU39" i="8"/>
  <c r="AU143" i="11" s="1"/>
  <c r="AU29" i="8"/>
  <c r="D16" i="7"/>
  <c r="AT39" i="8"/>
  <c r="AT143" i="11" s="1"/>
  <c r="AT29" i="8"/>
  <c r="C16" i="7"/>
  <c r="BM28" i="8"/>
  <c r="AK29" i="8"/>
  <c r="AK39" i="8"/>
  <c r="AK143" i="11" s="1"/>
  <c r="BC26" i="8"/>
  <c r="AX26" i="8"/>
  <c r="G14" i="7"/>
  <c r="BF39" i="8"/>
  <c r="BF143" i="11" s="1"/>
  <c r="BF29" i="8"/>
  <c r="O16" i="7"/>
  <c r="AL39" i="8"/>
  <c r="AL143" i="11" s="1"/>
  <c r="AL29" i="8"/>
  <c r="A115" i="7"/>
  <c r="A123" i="7" s="1"/>
  <c r="A107" i="7"/>
  <c r="BL67" i="6"/>
  <c r="BM66" i="6"/>
  <c r="BI64" i="6"/>
  <c r="BO63" i="6"/>
  <c r="BK63" i="6"/>
  <c r="BK64" i="6" s="1"/>
  <c r="E85" i="2"/>
  <c r="E20" i="2"/>
  <c r="I20" i="2"/>
  <c r="M85" i="2"/>
  <c r="M20" i="2"/>
  <c r="U85" i="2"/>
  <c r="U20" i="2"/>
  <c r="Y85" i="2"/>
  <c r="Y20" i="2"/>
  <c r="AC85" i="2"/>
  <c r="AC20" i="2"/>
  <c r="AK85" i="2"/>
  <c r="AK20" i="2"/>
  <c r="AS85" i="2"/>
  <c r="AS20" i="2"/>
  <c r="BA85" i="2"/>
  <c r="BA20" i="2"/>
  <c r="BE85" i="2"/>
  <c r="BI85" i="2"/>
  <c r="BI20" i="2"/>
  <c r="S89" i="2"/>
  <c r="S32" i="2"/>
  <c r="S133" i="2" s="1"/>
  <c r="AE122" i="2"/>
  <c r="AE89" i="2"/>
  <c r="AE32" i="2"/>
  <c r="AE133" i="2" s="1"/>
  <c r="AU89" i="2"/>
  <c r="AU32" i="2"/>
  <c r="AU133" i="2" s="1"/>
  <c r="BG89" i="2"/>
  <c r="BG32" i="2"/>
  <c r="G112" i="2"/>
  <c r="G111" i="2"/>
  <c r="G106" i="2"/>
  <c r="G110" i="2"/>
  <c r="O110" i="2"/>
  <c r="O111" i="2"/>
  <c r="O106" i="2"/>
  <c r="O112" i="2"/>
  <c r="O104" i="2"/>
  <c r="O72" i="2"/>
  <c r="AI112" i="2"/>
  <c r="AI111" i="2"/>
  <c r="AI110" i="2"/>
  <c r="AI106" i="2"/>
  <c r="AI104" i="2"/>
  <c r="AI72" i="2"/>
  <c r="K80" i="2"/>
  <c r="K79" i="2"/>
  <c r="AE80" i="2"/>
  <c r="AE79" i="2"/>
  <c r="AQ80" i="2"/>
  <c r="AQ79" i="2"/>
  <c r="AY80" i="2"/>
  <c r="AY79" i="2"/>
  <c r="BK80" i="2"/>
  <c r="BK79" i="2"/>
  <c r="G19" i="2"/>
  <c r="S19" i="2"/>
  <c r="AE19" i="2"/>
  <c r="AM19" i="2"/>
  <c r="AY19" i="2"/>
  <c r="BK19" i="2"/>
  <c r="K121" i="2"/>
  <c r="C101" i="2"/>
  <c r="C100" i="2"/>
  <c r="O101" i="2"/>
  <c r="O100" i="2"/>
  <c r="AE101" i="2"/>
  <c r="AE100" i="2"/>
  <c r="AU101" i="2"/>
  <c r="BG101" i="2"/>
  <c r="K25" i="2"/>
  <c r="W25" i="2"/>
  <c r="K132" i="2"/>
  <c r="E62" i="2"/>
  <c r="AE121" i="2"/>
  <c r="F112" i="2"/>
  <c r="F111" i="2"/>
  <c r="F110" i="2"/>
  <c r="I104" i="2"/>
  <c r="F106" i="2"/>
  <c r="J112" i="2"/>
  <c r="J111" i="2"/>
  <c r="J110" i="2"/>
  <c r="J106" i="2"/>
  <c r="J104" i="2"/>
  <c r="J72" i="2"/>
  <c r="N112" i="2"/>
  <c r="N111" i="2"/>
  <c r="N110" i="2"/>
  <c r="N106" i="2"/>
  <c r="V110" i="2"/>
  <c r="V106" i="2"/>
  <c r="Z112" i="2"/>
  <c r="Z111" i="2"/>
  <c r="Z110" i="2"/>
  <c r="Z106" i="2"/>
  <c r="AD110" i="2"/>
  <c r="AL106" i="2"/>
  <c r="AX112" i="2"/>
  <c r="AX111" i="2"/>
  <c r="AX110" i="2"/>
  <c r="AX104" i="2"/>
  <c r="AX72" i="2"/>
  <c r="BB112" i="2"/>
  <c r="BB111" i="2"/>
  <c r="BB110" i="2"/>
  <c r="BB106" i="2"/>
  <c r="B112" i="2"/>
  <c r="B111" i="2"/>
  <c r="B110" i="2"/>
  <c r="B80" i="2"/>
  <c r="B79" i="2"/>
  <c r="F80" i="2"/>
  <c r="F79" i="2"/>
  <c r="J80" i="2"/>
  <c r="J79" i="2"/>
  <c r="N80" i="2"/>
  <c r="N79" i="2"/>
  <c r="R80" i="2"/>
  <c r="R79" i="2"/>
  <c r="Z80" i="2"/>
  <c r="Z79" i="2"/>
  <c r="AH80" i="2"/>
  <c r="AH79" i="2"/>
  <c r="AL80" i="2"/>
  <c r="AL79" i="2"/>
  <c r="AP80" i="2"/>
  <c r="AP79" i="2"/>
  <c r="AT80" i="2"/>
  <c r="AT79" i="2"/>
  <c r="AX80" i="2"/>
  <c r="AX79" i="2"/>
  <c r="BB80" i="2"/>
  <c r="BB79" i="2"/>
  <c r="BF80" i="2"/>
  <c r="BF79" i="2"/>
  <c r="BJ80" i="2"/>
  <c r="BJ79" i="2"/>
  <c r="B19" i="2"/>
  <c r="F19" i="2"/>
  <c r="J19" i="2"/>
  <c r="N19" i="2"/>
  <c r="R19" i="2"/>
  <c r="V19" i="2"/>
  <c r="Z19" i="2"/>
  <c r="AD19" i="2"/>
  <c r="AH19" i="2"/>
  <c r="AL19" i="2"/>
  <c r="AP19" i="2"/>
  <c r="AT19" i="2"/>
  <c r="AX19" i="2"/>
  <c r="BB19" i="2"/>
  <c r="BF19" i="2"/>
  <c r="BJ19" i="2"/>
  <c r="BN19" i="2"/>
  <c r="B121" i="2"/>
  <c r="F121" i="2"/>
  <c r="J121" i="2"/>
  <c r="N121" i="2"/>
  <c r="Z121" i="2"/>
  <c r="BB121" i="2"/>
  <c r="B101" i="2"/>
  <c r="B100" i="2"/>
  <c r="F101" i="2"/>
  <c r="F100" i="2"/>
  <c r="J101" i="2"/>
  <c r="J100" i="2"/>
  <c r="N101" i="2"/>
  <c r="N100" i="2"/>
  <c r="R101" i="2"/>
  <c r="V101" i="2"/>
  <c r="Z101" i="2"/>
  <c r="Z100" i="2"/>
  <c r="AD101" i="2"/>
  <c r="AH101" i="2"/>
  <c r="AL101" i="2"/>
  <c r="AP101" i="2"/>
  <c r="AT101" i="2"/>
  <c r="BB101" i="2"/>
  <c r="BB100" i="2"/>
  <c r="BF101" i="2"/>
  <c r="BJ101" i="2"/>
  <c r="BN101" i="2"/>
  <c r="B25" i="2"/>
  <c r="F25" i="2"/>
  <c r="J25" i="2"/>
  <c r="N25" i="2"/>
  <c r="R25" i="2"/>
  <c r="V25" i="2"/>
  <c r="Z25" i="2"/>
  <c r="AH25" i="2"/>
  <c r="AL25" i="2"/>
  <c r="AP25" i="2"/>
  <c r="AT25" i="2"/>
  <c r="BB25" i="2"/>
  <c r="BF25" i="2"/>
  <c r="BJ25" i="2"/>
  <c r="BN25" i="2"/>
  <c r="B132" i="2"/>
  <c r="F132" i="2"/>
  <c r="J132" i="2"/>
  <c r="N132" i="2"/>
  <c r="O53" i="2"/>
  <c r="M79" i="2"/>
  <c r="AC79" i="2"/>
  <c r="AS79" i="2"/>
  <c r="BI79" i="2"/>
  <c r="E81" i="2"/>
  <c r="U81" i="2"/>
  <c r="AK81" i="2"/>
  <c r="BA81" i="2"/>
  <c r="K104" i="2"/>
  <c r="C111" i="2"/>
  <c r="C110" i="2"/>
  <c r="C112" i="2"/>
  <c r="C106" i="2"/>
  <c r="C104" i="2"/>
  <c r="C72" i="2"/>
  <c r="S112" i="2"/>
  <c r="AE110" i="2"/>
  <c r="AE111" i="2"/>
  <c r="AE106" i="2"/>
  <c r="AE112" i="2"/>
  <c r="BK111" i="2"/>
  <c r="BK112" i="2"/>
  <c r="C80" i="2"/>
  <c r="C79" i="2"/>
  <c r="O80" i="2"/>
  <c r="O79" i="2"/>
  <c r="AA80" i="2"/>
  <c r="AA79" i="2"/>
  <c r="AM80" i="2"/>
  <c r="AM79" i="2"/>
  <c r="BC80" i="2"/>
  <c r="BC79" i="2"/>
  <c r="K19" i="2"/>
  <c r="W19" i="2"/>
  <c r="AI19" i="2"/>
  <c r="AU19" i="2"/>
  <c r="BG19" i="2"/>
  <c r="C121" i="2"/>
  <c r="O121" i="2"/>
  <c r="AA121" i="2"/>
  <c r="BK121" i="2"/>
  <c r="K101" i="2"/>
  <c r="K100" i="2"/>
  <c r="W101" i="2"/>
  <c r="AI101" i="2"/>
  <c r="AI100" i="2"/>
  <c r="AM101" i="2"/>
  <c r="AY101" i="2"/>
  <c r="BK101" i="2"/>
  <c r="BK100" i="2"/>
  <c r="AA25" i="2"/>
  <c r="AM25" i="2"/>
  <c r="AY25" i="2"/>
  <c r="BK25" i="2"/>
  <c r="G132" i="2"/>
  <c r="D110" i="2"/>
  <c r="D111" i="2"/>
  <c r="D106" i="2"/>
  <c r="D112" i="2"/>
  <c r="D72" i="2"/>
  <c r="D104" i="2"/>
  <c r="H111" i="2"/>
  <c r="H110" i="2"/>
  <c r="H112" i="2"/>
  <c r="L104" i="2"/>
  <c r="H106" i="2"/>
  <c r="L112" i="2"/>
  <c r="L111" i="2"/>
  <c r="L110" i="2"/>
  <c r="P104" i="2"/>
  <c r="L106" i="2"/>
  <c r="P110" i="2"/>
  <c r="P106" i="2"/>
  <c r="T111" i="2"/>
  <c r="T106" i="2"/>
  <c r="T72" i="2"/>
  <c r="X110" i="2"/>
  <c r="AF112" i="2"/>
  <c r="AF110" i="2"/>
  <c r="AF111" i="2"/>
  <c r="BD111" i="2"/>
  <c r="BD112" i="2"/>
  <c r="BD110" i="2"/>
  <c r="BD106" i="2"/>
  <c r="D80" i="2"/>
  <c r="D79" i="2"/>
  <c r="H80" i="2"/>
  <c r="H79" i="2"/>
  <c r="L80" i="2"/>
  <c r="L79" i="2"/>
  <c r="P80" i="2"/>
  <c r="P79" i="2"/>
  <c r="T80" i="2"/>
  <c r="T79" i="2"/>
  <c r="X80" i="2"/>
  <c r="X79" i="2"/>
  <c r="AB80" i="2"/>
  <c r="AB79" i="2"/>
  <c r="AF80" i="2"/>
  <c r="AF79" i="2"/>
  <c r="AJ80" i="2"/>
  <c r="AJ79" i="2"/>
  <c r="AN80" i="2"/>
  <c r="AN79" i="2"/>
  <c r="AR80" i="2"/>
  <c r="AR79" i="2"/>
  <c r="AV80" i="2"/>
  <c r="AV79" i="2"/>
  <c r="AZ80" i="2"/>
  <c r="AZ79" i="2"/>
  <c r="BD80" i="2"/>
  <c r="BD79" i="2"/>
  <c r="BH80" i="2"/>
  <c r="BH79" i="2"/>
  <c r="D19" i="2"/>
  <c r="H19" i="2"/>
  <c r="L19" i="2"/>
  <c r="P19" i="2"/>
  <c r="T19" i="2"/>
  <c r="X19" i="2"/>
  <c r="AB19" i="2"/>
  <c r="AF19" i="2"/>
  <c r="AJ19" i="2"/>
  <c r="AN19" i="2"/>
  <c r="AR19" i="2"/>
  <c r="AV19" i="2"/>
  <c r="AZ19" i="2"/>
  <c r="BD19" i="2"/>
  <c r="BH19" i="2"/>
  <c r="BL19" i="2"/>
  <c r="BP19" i="2"/>
  <c r="D121" i="2"/>
  <c r="H121" i="2"/>
  <c r="L121" i="2"/>
  <c r="AF121" i="2"/>
  <c r="BD121" i="2"/>
  <c r="D100" i="2"/>
  <c r="D101" i="2"/>
  <c r="H101" i="2"/>
  <c r="H100" i="2"/>
  <c r="L101" i="2"/>
  <c r="T101" i="2"/>
  <c r="X101" i="2"/>
  <c r="AB101" i="2"/>
  <c r="AJ101" i="2"/>
  <c r="AN100" i="2"/>
  <c r="AR101" i="2"/>
  <c r="AZ101" i="2"/>
  <c r="BD101" i="2"/>
  <c r="BD100" i="2"/>
  <c r="BH101" i="2"/>
  <c r="D25" i="2"/>
  <c r="H25" i="2"/>
  <c r="L25" i="2"/>
  <c r="P25" i="2"/>
  <c r="X25" i="2"/>
  <c r="AB25" i="2"/>
  <c r="AF25" i="2"/>
  <c r="AJ25" i="2"/>
  <c r="AR25" i="2"/>
  <c r="AV25" i="2"/>
  <c r="AZ25" i="2"/>
  <c r="BD25" i="2"/>
  <c r="BL25" i="2"/>
  <c r="D132" i="2"/>
  <c r="H132" i="2"/>
  <c r="L132" i="2"/>
  <c r="I80" i="2"/>
  <c r="Y80" i="2"/>
  <c r="AO80" i="2"/>
  <c r="BE80" i="2"/>
  <c r="M81" i="2"/>
  <c r="AC81" i="2"/>
  <c r="AS81" i="2"/>
  <c r="BI81" i="2"/>
  <c r="AV101" i="2"/>
  <c r="K112" i="2"/>
  <c r="K110" i="2"/>
  <c r="K106" i="2"/>
  <c r="K111" i="2"/>
  <c r="N104" i="2"/>
  <c r="AA106" i="2"/>
  <c r="AM112" i="2"/>
  <c r="AM110" i="2"/>
  <c r="G80" i="2"/>
  <c r="G79" i="2"/>
  <c r="S80" i="2"/>
  <c r="S79" i="2"/>
  <c r="AI80" i="2"/>
  <c r="AI79" i="2"/>
  <c r="AU80" i="2"/>
  <c r="AU79" i="2"/>
  <c r="BG80" i="2"/>
  <c r="BG79" i="2"/>
  <c r="C19" i="2"/>
  <c r="O19" i="2"/>
  <c r="AA19" i="2"/>
  <c r="AQ19" i="2"/>
  <c r="BC19" i="2"/>
  <c r="BO19" i="2"/>
  <c r="G121" i="2"/>
  <c r="G101" i="2"/>
  <c r="G100" i="2"/>
  <c r="S101" i="2"/>
  <c r="AA101" i="2"/>
  <c r="AQ101" i="2"/>
  <c r="O25" i="2"/>
  <c r="AQ25" i="2"/>
  <c r="C132" i="2"/>
  <c r="O132" i="2"/>
  <c r="BG133" i="2"/>
  <c r="E112" i="2"/>
  <c r="E110" i="2"/>
  <c r="E111" i="2"/>
  <c r="E106" i="2"/>
  <c r="E104" i="2"/>
  <c r="E72" i="2"/>
  <c r="I110" i="2"/>
  <c r="I111" i="2"/>
  <c r="M104" i="2"/>
  <c r="I112" i="2"/>
  <c r="I106" i="2"/>
  <c r="M111" i="2"/>
  <c r="M110" i="2"/>
  <c r="M112" i="2"/>
  <c r="M106" i="2"/>
  <c r="Q111" i="2"/>
  <c r="AG112" i="2"/>
  <c r="AG111" i="2"/>
  <c r="AG110" i="2"/>
  <c r="AG106" i="2"/>
  <c r="AS112" i="2"/>
  <c r="AS111" i="2"/>
  <c r="AS110" i="2"/>
  <c r="AS106" i="2"/>
  <c r="AS104" i="2"/>
  <c r="AS72" i="2"/>
  <c r="BA112" i="2"/>
  <c r="BA106" i="2"/>
  <c r="BA110" i="2"/>
  <c r="BA111" i="2"/>
  <c r="C87" i="2"/>
  <c r="Q19" i="2"/>
  <c r="AG19" i="2"/>
  <c r="AW19" i="2"/>
  <c r="BM19" i="2"/>
  <c r="E121" i="2"/>
  <c r="I121" i="2"/>
  <c r="M121" i="2"/>
  <c r="Q121" i="2"/>
  <c r="AG121" i="2"/>
  <c r="AK121" i="2"/>
  <c r="BA121" i="2"/>
  <c r="E101" i="2"/>
  <c r="E100" i="2"/>
  <c r="I101" i="2"/>
  <c r="I100" i="2"/>
  <c r="M101" i="2"/>
  <c r="M100" i="2"/>
  <c r="Q101" i="2"/>
  <c r="U101" i="2"/>
  <c r="Y101" i="2"/>
  <c r="AC101" i="2"/>
  <c r="AG101" i="2"/>
  <c r="AG100" i="2"/>
  <c r="AK101" i="2"/>
  <c r="AO101" i="2"/>
  <c r="BA101" i="2"/>
  <c r="BA100" i="2"/>
  <c r="BE101" i="2"/>
  <c r="BI101" i="2"/>
  <c r="BM101" i="2"/>
  <c r="E25" i="2"/>
  <c r="I25" i="2"/>
  <c r="M25" i="2"/>
  <c r="Q25" i="2"/>
  <c r="U25" i="2"/>
  <c r="AC25" i="2"/>
  <c r="AG25" i="2"/>
  <c r="AK25" i="2"/>
  <c r="AO25" i="2"/>
  <c r="BA25" i="2"/>
  <c r="BE25" i="2"/>
  <c r="BI25" i="2"/>
  <c r="E132" i="2"/>
  <c r="I132" i="2"/>
  <c r="M132" i="2"/>
  <c r="B53" i="2"/>
  <c r="L100" i="2"/>
  <c r="BL101" i="2"/>
  <c r="AK111" i="2"/>
  <c r="C138" i="2"/>
  <c r="C137" i="2"/>
  <c r="C139" i="2" s="1"/>
  <c r="G138" i="2"/>
  <c r="G137" i="2"/>
  <c r="G139" i="2" s="1"/>
  <c r="K138" i="2"/>
  <c r="K137" i="2"/>
  <c r="K139" i="2" s="1"/>
  <c r="O138" i="2"/>
  <c r="O137" i="2"/>
  <c r="O139" i="2" s="1"/>
  <c r="AA137" i="2"/>
  <c r="AE138" i="2"/>
  <c r="AE137" i="2"/>
  <c r="AE139" i="2" s="1"/>
  <c r="AI138" i="2"/>
  <c r="AI137" i="2"/>
  <c r="AI139" i="2" s="1"/>
  <c r="AQ137" i="2"/>
  <c r="AU138" i="2"/>
  <c r="AU137" i="2"/>
  <c r="AU139" i="2" s="1"/>
  <c r="AY137" i="2"/>
  <c r="BC137" i="2"/>
  <c r="BG137" i="2"/>
  <c r="BK137" i="2"/>
  <c r="BO137" i="2"/>
  <c r="BS137" i="2"/>
  <c r="BW137" i="2"/>
  <c r="C148" i="2"/>
  <c r="C145" i="2" s="1"/>
  <c r="G148" i="2"/>
  <c r="G145" i="2" s="1"/>
  <c r="K148" i="2"/>
  <c r="K144" i="2" s="1"/>
  <c r="O148" i="2"/>
  <c r="O144" i="2" s="1"/>
  <c r="W148" i="2"/>
  <c r="W145" i="2" s="1"/>
  <c r="AA148" i="2"/>
  <c r="AA145" i="2" s="1"/>
  <c r="AE148" i="2"/>
  <c r="AE144" i="2" s="1"/>
  <c r="AQ148" i="2"/>
  <c r="AQ144" i="2" s="1"/>
  <c r="AU148" i="2"/>
  <c r="AU145" i="2" s="1"/>
  <c r="AY148" i="2"/>
  <c r="AY145" i="2" s="1"/>
  <c r="BG148" i="2"/>
  <c r="BG145" i="2" s="1"/>
  <c r="BK148" i="2"/>
  <c r="BK145" i="2" s="1"/>
  <c r="B148" i="2"/>
  <c r="B145" i="2" s="1"/>
  <c r="F148" i="2"/>
  <c r="F145" i="2" s="1"/>
  <c r="J148" i="2"/>
  <c r="J145" i="2" s="1"/>
  <c r="N148" i="2"/>
  <c r="N145" i="2" s="1"/>
  <c r="R148" i="2"/>
  <c r="R145" i="2" s="1"/>
  <c r="V148" i="2"/>
  <c r="V145" i="2" s="1"/>
  <c r="Z148" i="2"/>
  <c r="Z145" i="2" s="1"/>
  <c r="AH148" i="2"/>
  <c r="AH145" i="2" s="1"/>
  <c r="AP148" i="2"/>
  <c r="AP145" i="2" s="1"/>
  <c r="AT148" i="2"/>
  <c r="AT146" i="2" s="1"/>
  <c r="BB148" i="2"/>
  <c r="BB145" i="2" s="1"/>
  <c r="BF148" i="2"/>
  <c r="BF145" i="2" s="1"/>
  <c r="BJ148" i="2"/>
  <c r="BJ145" i="2" s="1"/>
  <c r="BN148" i="2"/>
  <c r="BN145" i="2" s="1"/>
  <c r="D148" i="2"/>
  <c r="D145" i="2" s="1"/>
  <c r="H148" i="2"/>
  <c r="H145" i="2" s="1"/>
  <c r="L148" i="2"/>
  <c r="L145" i="2" s="1"/>
  <c r="P148" i="2"/>
  <c r="P147" i="2" s="1"/>
  <c r="T148" i="2"/>
  <c r="T147" i="2" s="1"/>
  <c r="X148" i="2"/>
  <c r="X145" i="2" s="1"/>
  <c r="AF148" i="2"/>
  <c r="AF147" i="2" s="1"/>
  <c r="AJ148" i="2"/>
  <c r="AJ145" i="2" s="1"/>
  <c r="AR148" i="2"/>
  <c r="AR147" i="2" s="1"/>
  <c r="AV148" i="2"/>
  <c r="AV147" i="2" s="1"/>
  <c r="AZ148" i="2"/>
  <c r="AZ145" i="2" s="1"/>
  <c r="BD148" i="2"/>
  <c r="BD145" i="2" s="1"/>
  <c r="BH148" i="2"/>
  <c r="BH146" i="2" s="1"/>
  <c r="BL148" i="2"/>
  <c r="BL147" i="2" s="1"/>
  <c r="D138" i="2"/>
  <c r="D137" i="2"/>
  <c r="D139" i="2" s="1"/>
  <c r="H144" i="2"/>
  <c r="H138" i="2"/>
  <c r="H137" i="2"/>
  <c r="H139" i="2" s="1"/>
  <c r="L138" i="2"/>
  <c r="L137" i="2"/>
  <c r="L139" i="2" s="1"/>
  <c r="P138" i="2"/>
  <c r="P137" i="2"/>
  <c r="P139" i="2" s="1"/>
  <c r="T138" i="2"/>
  <c r="T137" i="2"/>
  <c r="T139" i="2" s="1"/>
  <c r="X138" i="2"/>
  <c r="X137" i="2"/>
  <c r="AB137" i="2"/>
  <c r="AF138" i="2"/>
  <c r="AF137" i="2"/>
  <c r="AF139" i="2" s="1"/>
  <c r="AJ137" i="2"/>
  <c r="AN137" i="2"/>
  <c r="BD138" i="2"/>
  <c r="E148" i="2"/>
  <c r="E145" i="2" s="1"/>
  <c r="I148" i="2"/>
  <c r="I145" i="2" s="1"/>
  <c r="M148" i="2"/>
  <c r="M146" i="2" s="1"/>
  <c r="Q148" i="2"/>
  <c r="Q145" i="2" s="1"/>
  <c r="U148" i="2"/>
  <c r="U145" i="2" s="1"/>
  <c r="Y148" i="2"/>
  <c r="Y145" i="2" s="1"/>
  <c r="AC148" i="2"/>
  <c r="AC146" i="2" s="1"/>
  <c r="AG148" i="2"/>
  <c r="AG145" i="2" s="1"/>
  <c r="AK148" i="2"/>
  <c r="AK145" i="2" s="1"/>
  <c r="AO148" i="2"/>
  <c r="AO145" i="2" s="1"/>
  <c r="BA148" i="2"/>
  <c r="BA145" i="2" s="1"/>
  <c r="BE148" i="2"/>
  <c r="BE145" i="2" s="1"/>
  <c r="BI148" i="2"/>
  <c r="BI144" i="2" s="1"/>
  <c r="BM148" i="2"/>
  <c r="BM145" i="2" s="1"/>
  <c r="E137" i="2"/>
  <c r="E139" i="2" s="1"/>
  <c r="I137" i="2"/>
  <c r="I139" i="2" s="1"/>
  <c r="M137" i="2"/>
  <c r="M139" i="2" s="1"/>
  <c r="Q137" i="2"/>
  <c r="U137" i="2"/>
  <c r="Y137" i="2"/>
  <c r="AG137" i="2"/>
  <c r="AG139" i="2" s="1"/>
  <c r="AK137" i="2"/>
  <c r="AO137" i="2"/>
  <c r="AW137" i="2"/>
  <c r="BA137" i="2"/>
  <c r="BA139" i="2" s="1"/>
  <c r="BE137" i="2"/>
  <c r="BI137" i="2"/>
  <c r="BM137" i="2"/>
  <c r="BQ137" i="2"/>
  <c r="BU137" i="2"/>
  <c r="BY137" i="2"/>
  <c r="E138" i="2"/>
  <c r="I138" i="2"/>
  <c r="M138" i="2"/>
  <c r="AG138" i="2"/>
  <c r="AK138" i="2"/>
  <c r="AS138" i="2"/>
  <c r="BA138" i="2"/>
  <c r="AJ147" i="2"/>
  <c r="F144" i="2"/>
  <c r="J144" i="2"/>
  <c r="BB144" i="2"/>
  <c r="B137" i="2"/>
  <c r="B139" i="2" s="1"/>
  <c r="F137" i="2"/>
  <c r="F139" i="2" s="1"/>
  <c r="J137" i="2"/>
  <c r="J139" i="2" s="1"/>
  <c r="N137" i="2"/>
  <c r="N139" i="2" s="1"/>
  <c r="R137" i="2"/>
  <c r="V137" i="2"/>
  <c r="V139" i="2" s="1"/>
  <c r="Z137" i="2"/>
  <c r="Z139" i="2" s="1"/>
  <c r="AD137" i="2"/>
  <c r="AH137" i="2"/>
  <c r="AL137" i="2"/>
  <c r="AL139" i="2" s="1"/>
  <c r="AP137" i="2"/>
  <c r="AT137" i="2"/>
  <c r="AX137" i="2"/>
  <c r="AX139" i="2" s="1"/>
  <c r="BB137" i="2"/>
  <c r="BB139" i="2" s="1"/>
  <c r="BF137" i="2"/>
  <c r="BJ137" i="2"/>
  <c r="BN137" i="2"/>
  <c r="BR137" i="2"/>
  <c r="BV137" i="2"/>
  <c r="B138" i="2"/>
  <c r="F138" i="2"/>
  <c r="J138" i="2"/>
  <c r="N138" i="2"/>
  <c r="V138" i="2"/>
  <c r="Z138" i="2"/>
  <c r="AH138" i="2"/>
  <c r="AL138" i="2"/>
  <c r="AX138" i="2"/>
  <c r="BB138" i="2"/>
  <c r="AV144" i="2"/>
  <c r="AZ144" i="2"/>
  <c r="BH144" i="2"/>
  <c r="AR137" i="2"/>
  <c r="AV137" i="2"/>
  <c r="AZ137" i="2"/>
  <c r="BD137" i="2"/>
  <c r="BD139" i="2" s="1"/>
  <c r="BH137" i="2"/>
  <c r="BL137" i="2"/>
  <c r="BP137" i="2"/>
  <c r="BT137" i="2"/>
  <c r="BX137" i="2"/>
  <c r="AQ147" i="2"/>
  <c r="G142" i="2"/>
  <c r="W142" i="2"/>
  <c r="AM142" i="2"/>
  <c r="AG147" i="2"/>
  <c r="AO147" i="2"/>
  <c r="BE147" i="2"/>
  <c r="E142" i="2"/>
  <c r="I142" i="2"/>
  <c r="M142" i="2"/>
  <c r="Q142" i="2"/>
  <c r="U142" i="2"/>
  <c r="Y142" i="2"/>
  <c r="AC142" i="2"/>
  <c r="AG142" i="2"/>
  <c r="AK142" i="2"/>
  <c r="AO142" i="2"/>
  <c r="AS142" i="2"/>
  <c r="BA142" i="2"/>
  <c r="BE142" i="2"/>
  <c r="BI142" i="2"/>
  <c r="BM142" i="2"/>
  <c r="H147" i="2"/>
  <c r="B147" i="2"/>
  <c r="F147" i="2"/>
  <c r="J147" i="2"/>
  <c r="N147" i="2"/>
  <c r="R147" i="2"/>
  <c r="V147" i="2"/>
  <c r="BB147" i="2"/>
  <c r="B142" i="2"/>
  <c r="F142" i="2"/>
  <c r="J142" i="2"/>
  <c r="N142" i="2"/>
  <c r="R142" i="2"/>
  <c r="V142" i="2"/>
  <c r="Z142" i="2"/>
  <c r="AD142" i="2"/>
  <c r="AH142" i="2"/>
  <c r="AL142" i="2"/>
  <c r="AP142" i="2"/>
  <c r="AT142" i="2"/>
  <c r="BB142" i="2"/>
  <c r="BF142" i="2"/>
  <c r="BJ142" i="2"/>
  <c r="BN142" i="2"/>
  <c r="L147" i="2"/>
  <c r="D142" i="2"/>
  <c r="T142" i="2"/>
  <c r="AJ142" i="2"/>
  <c r="AZ142" i="2"/>
  <c r="BK139" i="2" l="1"/>
  <c r="AR63" i="2"/>
  <c r="BL22" i="8"/>
  <c r="U11" i="7" s="1"/>
  <c r="BK138" i="2"/>
  <c r="U10" i="7"/>
  <c r="AA100" i="7"/>
  <c r="BB63" i="2"/>
  <c r="CP191" i="14"/>
  <c r="DA191" i="14"/>
  <c r="CK191" i="14"/>
  <c r="CK192" i="14" s="1"/>
  <c r="CK92" i="14" s="1"/>
  <c r="CZ191" i="14"/>
  <c r="CK151" i="14"/>
  <c r="CK153" i="14" s="1"/>
  <c r="CK93" i="14" s="1"/>
  <c r="CP149" i="14"/>
  <c r="CU149" i="14" s="1"/>
  <c r="CS152" i="14" s="1"/>
  <c r="CF152" i="14"/>
  <c r="CK152" i="14"/>
  <c r="CK148" i="14"/>
  <c r="CG148" i="14" s="1"/>
  <c r="CH148" i="14" s="1"/>
  <c r="CI148" i="14" s="1"/>
  <c r="CJ148" i="14" s="1"/>
  <c r="CU191" i="14"/>
  <c r="CF151" i="14"/>
  <c r="CF191" i="14"/>
  <c r="DB191" i="14"/>
  <c r="G43" i="2"/>
  <c r="BA63" i="2"/>
  <c r="AV63" i="2"/>
  <c r="AV7" i="2"/>
  <c r="AV112" i="2" s="1"/>
  <c r="G10" i="2"/>
  <c r="AQ36" i="2"/>
  <c r="AD100" i="2"/>
  <c r="AX29" i="8"/>
  <c r="AD139" i="2"/>
  <c r="AK139" i="2"/>
  <c r="AN138" i="2"/>
  <c r="AK100" i="2"/>
  <c r="T100" i="2"/>
  <c r="AN104" i="2"/>
  <c r="T112" i="2"/>
  <c r="T110" i="2"/>
  <c r="P112" i="2"/>
  <c r="BK106" i="2"/>
  <c r="AR29" i="8"/>
  <c r="Y10" i="7"/>
  <c r="CG74" i="11"/>
  <c r="CG75" i="11" s="1"/>
  <c r="T53" i="2"/>
  <c r="BP32" i="8"/>
  <c r="AV58" i="2" s="1"/>
  <c r="P53" i="2"/>
  <c r="AK66" i="2"/>
  <c r="AK110" i="2"/>
  <c r="P100" i="2"/>
  <c r="P121" i="2"/>
  <c r="AN112" i="2"/>
  <c r="AB106" i="2"/>
  <c r="T104" i="2"/>
  <c r="AD104" i="2"/>
  <c r="AC53" i="11"/>
  <c r="AF8" i="2"/>
  <c r="S66" i="2"/>
  <c r="AD138" i="2"/>
  <c r="AK106" i="2"/>
  <c r="AN72" i="2"/>
  <c r="AN111" i="2"/>
  <c r="AH106" i="2"/>
  <c r="AD111" i="2"/>
  <c r="I78" i="2"/>
  <c r="BJ39" i="8"/>
  <c r="BJ143" i="11" s="1"/>
  <c r="BJ154" i="11" s="1"/>
  <c r="AY29" i="8"/>
  <c r="AR39" i="8"/>
  <c r="AR143" i="11" s="1"/>
  <c r="BC129" i="9"/>
  <c r="BC76" i="9"/>
  <c r="BC78" i="9" s="1"/>
  <c r="V54" i="11"/>
  <c r="L43" i="2"/>
  <c r="AV103" i="2"/>
  <c r="AN139" i="2"/>
  <c r="AN106" i="2"/>
  <c r="AD72" i="2"/>
  <c r="AD112" i="2"/>
  <c r="BG112" i="2"/>
  <c r="X53" i="2"/>
  <c r="BB100" i="10"/>
  <c r="BB101" i="10" s="1"/>
  <c r="Z36" i="2"/>
  <c r="U36" i="2"/>
  <c r="BU22" i="8"/>
  <c r="AD11" i="7" s="1"/>
  <c r="BP22" i="8"/>
  <c r="Y11" i="7" s="1"/>
  <c r="Q138" i="2"/>
  <c r="Q104" i="2"/>
  <c r="AL121" i="2"/>
  <c r="AL112" i="2"/>
  <c r="AU112" i="2"/>
  <c r="AN39" i="8"/>
  <c r="AN143" i="11" s="1"/>
  <c r="Q139" i="2"/>
  <c r="Q110" i="2"/>
  <c r="AA100" i="2"/>
  <c r="AA111" i="2"/>
  <c r="R112" i="2"/>
  <c r="AE77" i="9"/>
  <c r="AA139" i="2"/>
  <c r="Q112" i="2"/>
  <c r="AU121" i="2"/>
  <c r="AM106" i="2"/>
  <c r="AA112" i="2"/>
  <c r="AA53" i="2"/>
  <c r="AL100" i="2"/>
  <c r="R100" i="2"/>
  <c r="AL110" i="2"/>
  <c r="R104" i="2"/>
  <c r="AU110" i="2"/>
  <c r="AH16" i="7"/>
  <c r="P16" i="7"/>
  <c r="BG129" i="9"/>
  <c r="AP32" i="11"/>
  <c r="AE81" i="9"/>
  <c r="BG23" i="8"/>
  <c r="AU122" i="2"/>
  <c r="Y100" i="2"/>
  <c r="Y111" i="2"/>
  <c r="AM111" i="2"/>
  <c r="AM100" i="2"/>
  <c r="AL66" i="2"/>
  <c r="BY29" i="8"/>
  <c r="Z97" i="9"/>
  <c r="AT32" i="11"/>
  <c r="AI79" i="9"/>
  <c r="AI108" i="9" s="1"/>
  <c r="AU33" i="11"/>
  <c r="AC36" i="2"/>
  <c r="C43" i="2"/>
  <c r="Q62" i="2"/>
  <c r="BO35" i="8"/>
  <c r="AU59" i="2" s="1"/>
  <c r="AU106" i="2"/>
  <c r="BY39" i="8"/>
  <c r="BY143" i="11" s="1"/>
  <c r="BY154" i="11" s="1"/>
  <c r="AZ29" i="8"/>
  <c r="Z100" i="9"/>
  <c r="O53" i="11"/>
  <c r="X104" i="11"/>
  <c r="K66" i="2"/>
  <c r="S64" i="11"/>
  <c r="AM8" i="2"/>
  <c r="BT22" i="8"/>
  <c r="AC11" i="7" s="1"/>
  <c r="X100" i="9"/>
  <c r="AC100" i="2"/>
  <c r="U111" i="2"/>
  <c r="R138" i="2"/>
  <c r="U139" i="2"/>
  <c r="R53" i="2"/>
  <c r="Q100" i="2"/>
  <c r="AT121" i="2"/>
  <c r="AU100" i="2"/>
  <c r="AP29" i="8"/>
  <c r="P12" i="7"/>
  <c r="CC23" i="8"/>
  <c r="AI10" i="7"/>
  <c r="W79" i="9"/>
  <c r="W108" i="9" s="1"/>
  <c r="W110" i="9" s="1"/>
  <c r="N53" i="11"/>
  <c r="X10" i="7"/>
  <c r="X176" i="7" s="1"/>
  <c r="BU170" i="11"/>
  <c r="BU175" i="11" s="1"/>
  <c r="AM36" i="2"/>
  <c r="BE63" i="2"/>
  <c r="BO22" i="8"/>
  <c r="X11" i="7" s="1"/>
  <c r="M9" i="2"/>
  <c r="M87" i="2" s="1"/>
  <c r="BO32" i="8"/>
  <c r="AU58" i="2" s="1"/>
  <c r="AE78" i="9"/>
  <c r="BQ48" i="11"/>
  <c r="BV22" i="14"/>
  <c r="BU23" i="14"/>
  <c r="BU18" i="14"/>
  <c r="BZ24" i="14"/>
  <c r="X100" i="2"/>
  <c r="AJ104" i="2"/>
  <c r="S122" i="2"/>
  <c r="AM74" i="11"/>
  <c r="AG97" i="9"/>
  <c r="V37" i="14"/>
  <c r="R82" i="11"/>
  <c r="R96" i="11" s="1"/>
  <c r="AQ18" i="14"/>
  <c r="AQ19" i="14" s="1"/>
  <c r="AQ20" i="14" s="1"/>
  <c r="AM48" i="11"/>
  <c r="AM60" i="11" s="1"/>
  <c r="AQ24" i="14"/>
  <c r="AR22" i="14"/>
  <c r="AQ23" i="14"/>
  <c r="U110" i="2"/>
  <c r="AB121" i="2"/>
  <c r="AB111" i="2"/>
  <c r="L64" i="2"/>
  <c r="AH110" i="2"/>
  <c r="BG29" i="8"/>
  <c r="X106" i="2"/>
  <c r="AE53" i="11"/>
  <c r="AJ139" i="2"/>
  <c r="AB138" i="2"/>
  <c r="N53" i="2"/>
  <c r="S100" i="2"/>
  <c r="X121" i="2"/>
  <c r="AB112" i="2"/>
  <c r="AH100" i="2"/>
  <c r="AH121" i="2"/>
  <c r="AH111" i="2"/>
  <c r="AM39" i="8"/>
  <c r="AM143" i="11" s="1"/>
  <c r="AM102" i="11" s="1"/>
  <c r="AM104" i="11" s="1"/>
  <c r="AP39" i="8"/>
  <c r="AP143" i="11" s="1"/>
  <c r="H16" i="7"/>
  <c r="N16" i="7"/>
  <c r="BG39" i="8"/>
  <c r="BG143" i="11" s="1"/>
  <c r="BG103" i="11" s="1"/>
  <c r="AS39" i="8"/>
  <c r="AS143" i="11" s="1"/>
  <c r="AE80" i="9"/>
  <c r="AA64" i="11"/>
  <c r="AE104" i="11"/>
  <c r="AG54" i="11"/>
  <c r="AG80" i="9"/>
  <c r="X41" i="2"/>
  <c r="Z46" i="8"/>
  <c r="K43" i="2" s="1"/>
  <c r="BA100" i="10"/>
  <c r="BA101" i="10" s="1"/>
  <c r="AG77" i="9"/>
  <c r="AF53" i="2"/>
  <c r="P123" i="7"/>
  <c r="BG165" i="11"/>
  <c r="P126" i="7" s="1"/>
  <c r="R48" i="11"/>
  <c r="R60" i="11" s="1"/>
  <c r="X22" i="14"/>
  <c r="T48" i="11" s="1"/>
  <c r="T60" i="11" s="1"/>
  <c r="DC214" i="14"/>
  <c r="AN80" i="7"/>
  <c r="CE60" i="11"/>
  <c r="X111" i="2"/>
  <c r="S111" i="2"/>
  <c r="V66" i="2"/>
  <c r="Z104" i="11"/>
  <c r="AG79" i="9"/>
  <c r="AG108" i="9" s="1"/>
  <c r="AG110" i="9" s="1"/>
  <c r="AH139" i="2"/>
  <c r="X139" i="2"/>
  <c r="AK104" i="2"/>
  <c r="AH104" i="2"/>
  <c r="AP111" i="2"/>
  <c r="R106" i="2"/>
  <c r="BC29" i="8"/>
  <c r="BC104" i="8" s="1"/>
  <c r="AB100" i="2"/>
  <c r="BE39" i="8"/>
  <c r="BE143" i="11" s="1"/>
  <c r="BE154" i="11" s="1"/>
  <c r="R62" i="2"/>
  <c r="BB129" i="9"/>
  <c r="AE79" i="9"/>
  <c r="AE108" i="9" s="1"/>
  <c r="AE110" i="9" s="1"/>
  <c r="O12" i="7"/>
  <c r="AI64" i="11"/>
  <c r="CK155" i="14"/>
  <c r="CG155" i="14" s="1"/>
  <c r="CH155" i="14" s="1"/>
  <c r="CI155" i="14" s="1"/>
  <c r="CJ155" i="14" s="1"/>
  <c r="Y80" i="9"/>
  <c r="K10" i="2"/>
  <c r="AU103" i="2"/>
  <c r="U87" i="8"/>
  <c r="AK41" i="2"/>
  <c r="AM66" i="2"/>
  <c r="BB26" i="11"/>
  <c r="AH39" i="2" s="1"/>
  <c r="AK8" i="2"/>
  <c r="AK62" i="2" s="1"/>
  <c r="CF48" i="11"/>
  <c r="CJ18" i="14"/>
  <c r="CJ19" i="14" s="1"/>
  <c r="CJ20" i="14" s="1"/>
  <c r="CJ24" i="14"/>
  <c r="CJ23" i="14"/>
  <c r="F123" i="7"/>
  <c r="AW165" i="11"/>
  <c r="F126" i="7" s="1"/>
  <c r="V53" i="2"/>
  <c r="AF100" i="2"/>
  <c r="AF106" i="2"/>
  <c r="S110" i="2"/>
  <c r="V100" i="2"/>
  <c r="V111" i="2"/>
  <c r="V113" i="2" s="1"/>
  <c r="AD16" i="7"/>
  <c r="AN29" i="8"/>
  <c r="AJ29" i="8"/>
  <c r="P50" i="2" s="1"/>
  <c r="AF66" i="2"/>
  <c r="AY76" i="9"/>
  <c r="AY97" i="9" s="1"/>
  <c r="AI77" i="9"/>
  <c r="BC100" i="10"/>
  <c r="BC101" i="10" s="1"/>
  <c r="BM76" i="9"/>
  <c r="W77" i="9"/>
  <c r="V52" i="8"/>
  <c r="BB76" i="9"/>
  <c r="BB77" i="9" s="1"/>
  <c r="AJ97" i="9"/>
  <c r="Y100" i="9"/>
  <c r="AA66" i="2"/>
  <c r="AL36" i="2"/>
  <c r="BQ22" i="8"/>
  <c r="Z11" i="7" s="1"/>
  <c r="BL28" i="8"/>
  <c r="AU63" i="2"/>
  <c r="BL35" i="8"/>
  <c r="AR59" i="2" s="1"/>
  <c r="L65" i="2"/>
  <c r="AR79" i="9"/>
  <c r="AR108" i="9" s="1"/>
  <c r="BO28" i="8"/>
  <c r="BO29" i="8" s="1"/>
  <c r="BO104" i="8" s="1"/>
  <c r="AS78" i="9"/>
  <c r="W100" i="9"/>
  <c r="AK53" i="2"/>
  <c r="P8" i="2"/>
  <c r="P62" i="2" s="1"/>
  <c r="AO104" i="2"/>
  <c r="AR121" i="2"/>
  <c r="M16" i="7"/>
  <c r="AI80" i="9"/>
  <c r="BL100" i="10"/>
  <c r="BL101" i="10" s="1"/>
  <c r="W81" i="9"/>
  <c r="AH26" i="7"/>
  <c r="AI97" i="9"/>
  <c r="AH36" i="2"/>
  <c r="AJ53" i="2"/>
  <c r="BK63" i="2"/>
  <c r="AR78" i="9"/>
  <c r="M68" i="2"/>
  <c r="AF100" i="9"/>
  <c r="AI81" i="9"/>
  <c r="AF52" i="8"/>
  <c r="L51" i="2" s="1"/>
  <c r="W80" i="9"/>
  <c r="CG158" i="14"/>
  <c r="CG160" i="14" s="1"/>
  <c r="CE22" i="8"/>
  <c r="AN11" i="7" s="1"/>
  <c r="T41" i="2"/>
  <c r="BF63" i="2"/>
  <c r="U104" i="2"/>
  <c r="AG86" i="8"/>
  <c r="CG59" i="9"/>
  <c r="BB159" i="7"/>
  <c r="CP192" i="14"/>
  <c r="CP92" i="14" s="1"/>
  <c r="CL92" i="14" s="1"/>
  <c r="CM92" i="14" s="1"/>
  <c r="CE87" i="10"/>
  <c r="CD88" i="10"/>
  <c r="CT146" i="14"/>
  <c r="BR79" i="11"/>
  <c r="BR36" i="13"/>
  <c r="S122" i="7"/>
  <c r="BJ165" i="11"/>
  <c r="BL67" i="11"/>
  <c r="BL74" i="11" s="1"/>
  <c r="BL22" i="13"/>
  <c r="BQ45" i="11"/>
  <c r="BV24" i="13"/>
  <c r="BQ18" i="13"/>
  <c r="BV19" i="13" s="1"/>
  <c r="BV20" i="13" s="1"/>
  <c r="BQ23" i="13"/>
  <c r="R122" i="7"/>
  <c r="BI165" i="11"/>
  <c r="R126" i="7" s="1"/>
  <c r="AQ26" i="7"/>
  <c r="CH93" i="10"/>
  <c r="CW106" i="11"/>
  <c r="DB27" i="12"/>
  <c r="DB95" i="12"/>
  <c r="DB96" i="12" s="1"/>
  <c r="CX27" i="12"/>
  <c r="CS106" i="11"/>
  <c r="BV54" i="10"/>
  <c r="BV65" i="10"/>
  <c r="BM129" i="9"/>
  <c r="L113" i="2"/>
  <c r="AE55" i="10"/>
  <c r="BH55" i="10"/>
  <c r="AU147" i="2"/>
  <c r="L144" i="2"/>
  <c r="N56" i="2"/>
  <c r="W147" i="2"/>
  <c r="B144" i="2"/>
  <c r="N14" i="2"/>
  <c r="AP147" i="2"/>
  <c r="AP144" i="2"/>
  <c r="AZ147" i="2"/>
  <c r="AJ68" i="10"/>
  <c r="AI79" i="8"/>
  <c r="AI81" i="8" s="1"/>
  <c r="AI86" i="8" s="1"/>
  <c r="N68" i="2"/>
  <c r="J79" i="8"/>
  <c r="J81" i="8" s="1"/>
  <c r="J86" i="8" s="1"/>
  <c r="J87" i="8" s="1"/>
  <c r="AP125" i="9"/>
  <c r="AK125" i="9"/>
  <c r="D146" i="2"/>
  <c r="AI100" i="9"/>
  <c r="Q66" i="2"/>
  <c r="AC104" i="2"/>
  <c r="L42" i="2"/>
  <c r="M14" i="2"/>
  <c r="P41" i="2"/>
  <c r="AR97" i="9"/>
  <c r="C10" i="2"/>
  <c r="C65" i="2" s="1"/>
  <c r="U121" i="2"/>
  <c r="U112" i="2"/>
  <c r="Z66" i="2"/>
  <c r="L16" i="7"/>
  <c r="U53" i="2"/>
  <c r="Y36" i="2"/>
  <c r="AJ77" i="9"/>
  <c r="AJ78" i="9"/>
  <c r="U138" i="2"/>
  <c r="AO106" i="2"/>
  <c r="U106" i="2"/>
  <c r="AA110" i="2"/>
  <c r="O73" i="2"/>
  <c r="V121" i="2"/>
  <c r="BB39" i="8"/>
  <c r="AL16" i="7"/>
  <c r="Z10" i="7"/>
  <c r="AB104" i="11"/>
  <c r="AF54" i="11"/>
  <c r="AN100" i="9"/>
  <c r="J119" i="7"/>
  <c r="BQ170" i="11"/>
  <c r="BQ175" i="11" s="1"/>
  <c r="BQ176" i="11" s="1"/>
  <c r="Y97" i="9"/>
  <c r="Y79" i="9"/>
  <c r="Y108" i="9" s="1"/>
  <c r="Y110" i="9" s="1"/>
  <c r="AH41" i="2"/>
  <c r="X8" i="2"/>
  <c r="BQ32" i="8"/>
  <c r="AW58" i="2" s="1"/>
  <c r="D43" i="2"/>
  <c r="AR80" i="9"/>
  <c r="I10" i="2"/>
  <c r="AR81" i="9"/>
  <c r="BG122" i="2"/>
  <c r="BL39" i="8"/>
  <c r="BL143" i="11" s="1"/>
  <c r="BL103" i="11" s="1"/>
  <c r="BM79" i="11"/>
  <c r="BL106" i="2"/>
  <c r="BG100" i="2"/>
  <c r="BR37" i="13"/>
  <c r="BR38" i="13"/>
  <c r="BM37" i="13"/>
  <c r="BJ100" i="2"/>
  <c r="BJ106" i="2"/>
  <c r="BX29" i="8"/>
  <c r="BX104" i="8" s="1"/>
  <c r="BG66" i="2"/>
  <c r="CH29" i="8"/>
  <c r="CH104" i="8" s="1"/>
  <c r="U16" i="7"/>
  <c r="BC32" i="6"/>
  <c r="BC43" i="6" s="1"/>
  <c r="W97" i="9"/>
  <c r="E42" i="2"/>
  <c r="P66" i="2"/>
  <c r="E43" i="2"/>
  <c r="AX33" i="11"/>
  <c r="BB38" i="14"/>
  <c r="AE66" i="2"/>
  <c r="BI33" i="11"/>
  <c r="BZ28" i="8"/>
  <c r="BZ29" i="8" s="1"/>
  <c r="BF50" i="2" s="1"/>
  <c r="BF103" i="2"/>
  <c r="CD29" i="8"/>
  <c r="CD104" i="8" s="1"/>
  <c r="AQ75" i="6"/>
  <c r="AQ76" i="6" s="1"/>
  <c r="BF60" i="2"/>
  <c r="AR41" i="2"/>
  <c r="BZ32" i="8"/>
  <c r="BF58" i="2" s="1"/>
  <c r="BZ35" i="8"/>
  <c r="BF59" i="2" s="1"/>
  <c r="BF7" i="2"/>
  <c r="BF106" i="2" s="1"/>
  <c r="AY111" i="2"/>
  <c r="AO16" i="7"/>
  <c r="AP8" i="2"/>
  <c r="AP62" i="2" s="1"/>
  <c r="AB26" i="15"/>
  <c r="AA22" i="15"/>
  <c r="BU71" i="11"/>
  <c r="AC48" i="15"/>
  <c r="AZ63" i="2"/>
  <c r="AC124" i="7"/>
  <c r="BT165" i="11"/>
  <c r="BG76" i="9"/>
  <c r="BH100" i="9" s="1"/>
  <c r="BO170" i="11"/>
  <c r="BO175" i="11" s="1"/>
  <c r="BO176" i="11" s="1"/>
  <c r="BU74" i="11"/>
  <c r="CE50" i="11"/>
  <c r="AK18" i="15"/>
  <c r="AK19" i="15" s="1"/>
  <c r="AK20" i="15" s="1"/>
  <c r="AK24" i="15"/>
  <c r="AK23" i="15"/>
  <c r="AM81" i="7"/>
  <c r="AM89" i="7"/>
  <c r="CD61" i="11"/>
  <c r="V47" i="10"/>
  <c r="CB17" i="9"/>
  <c r="AP57" i="10"/>
  <c r="Y55" i="10"/>
  <c r="AO100" i="2"/>
  <c r="AO110" i="2"/>
  <c r="AP112" i="2"/>
  <c r="BI53" i="2"/>
  <c r="AP139" i="2"/>
  <c r="AO138" i="2"/>
  <c r="AO139" i="2"/>
  <c r="AO121" i="2"/>
  <c r="AO112" i="2"/>
  <c r="AR112" i="2"/>
  <c r="BC72" i="2"/>
  <c r="AP100" i="2"/>
  <c r="AP121" i="2"/>
  <c r="AP106" i="2"/>
  <c r="AP104" i="2"/>
  <c r="CC29" i="8"/>
  <c r="CC104" i="8" s="1"/>
  <c r="BA80" i="6"/>
  <c r="CH23" i="8"/>
  <c r="AO53" i="2"/>
  <c r="AP36" i="2"/>
  <c r="BS97" i="9"/>
  <c r="AP138" i="2"/>
  <c r="AO111" i="2"/>
  <c r="BF100" i="10"/>
  <c r="BF101" i="10" s="1"/>
  <c r="BT35" i="8"/>
  <c r="AZ59" i="2" s="1"/>
  <c r="AP53" i="2"/>
  <c r="BT28" i="8"/>
  <c r="AZ8" i="2" s="1"/>
  <c r="BL138" i="2"/>
  <c r="BC110" i="2"/>
  <c r="AE16" i="7"/>
  <c r="BS80" i="9"/>
  <c r="BG139" i="2"/>
  <c r="BL121" i="2"/>
  <c r="AV106" i="2"/>
  <c r="BC111" i="2"/>
  <c r="BQ39" i="8"/>
  <c r="BQ143" i="11" s="1"/>
  <c r="BQ154" i="11" s="1"/>
  <c r="S16" i="7"/>
  <c r="BV39" i="8"/>
  <c r="BV143" i="11" s="1"/>
  <c r="BV142" i="11" s="1"/>
  <c r="BV88" i="11" s="1"/>
  <c r="CF29" i="8"/>
  <c r="AO17" i="7" s="1"/>
  <c r="BK33" i="11"/>
  <c r="BA78" i="6"/>
  <c r="BZ170" i="11"/>
  <c r="BZ175" i="11" s="1"/>
  <c r="BZ176" i="11" s="1"/>
  <c r="AZ7" i="2"/>
  <c r="AZ138" i="2" s="1"/>
  <c r="AW66" i="2"/>
  <c r="BC139" i="2"/>
  <c r="AR110" i="2"/>
  <c r="BJ29" i="8"/>
  <c r="AP50" i="2" s="1"/>
  <c r="CF39" i="8"/>
  <c r="CF143" i="11" s="1"/>
  <c r="AC10" i="7"/>
  <c r="AD26" i="7"/>
  <c r="BV170" i="11"/>
  <c r="BV175" i="11" s="1"/>
  <c r="BV176" i="11" s="1"/>
  <c r="BY22" i="8"/>
  <c r="AH11" i="7" s="1"/>
  <c r="AZ103" i="2"/>
  <c r="AP41" i="2"/>
  <c r="BJ53" i="2"/>
  <c r="BC138" i="2"/>
  <c r="BC100" i="2"/>
  <c r="AY100" i="2"/>
  <c r="BC106" i="2"/>
  <c r="BQ29" i="8"/>
  <c r="AW50" i="2" s="1"/>
  <c r="BL29" i="8"/>
  <c r="AR50" i="2" s="1"/>
  <c r="CC39" i="8"/>
  <c r="CC143" i="11" s="1"/>
  <c r="AQ16" i="7"/>
  <c r="BA79" i="6"/>
  <c r="BA81" i="6"/>
  <c r="BS77" i="9"/>
  <c r="BN170" i="11"/>
  <c r="BN175" i="11" s="1"/>
  <c r="BN176" i="11" s="1"/>
  <c r="AW41" i="2"/>
  <c r="BB41" i="2"/>
  <c r="BN33" i="11"/>
  <c r="AY110" i="2"/>
  <c r="BL112" i="2"/>
  <c r="BC104" i="2"/>
  <c r="AQ111" i="2"/>
  <c r="Z16" i="7"/>
  <c r="BV29" i="8"/>
  <c r="BV104" i="8" s="1"/>
  <c r="AA16" i="7"/>
  <c r="CC24" i="11"/>
  <c r="BI37" i="2" s="1"/>
  <c r="BH138" i="2"/>
  <c r="BI106" i="2"/>
  <c r="BL100" i="2"/>
  <c r="BL111" i="2"/>
  <c r="BH72" i="2"/>
  <c r="BJ112" i="2"/>
  <c r="BP29" i="8"/>
  <c r="Y17" i="7" s="1"/>
  <c r="AJ16" i="7"/>
  <c r="BS79" i="9"/>
  <c r="BS108" i="9" s="1"/>
  <c r="BS110" i="9" s="1"/>
  <c r="BL53" i="2"/>
  <c r="BC75" i="6"/>
  <c r="BC78" i="6" s="1"/>
  <c r="AV41" i="2"/>
  <c r="BL139" i="2"/>
  <c r="AR66" i="2"/>
  <c r="AR106" i="2"/>
  <c r="AP66" i="2"/>
  <c r="BN138" i="2"/>
  <c r="BX39" i="8"/>
  <c r="BX143" i="11" s="1"/>
  <c r="BX31" i="11" s="1"/>
  <c r="BU39" i="8"/>
  <c r="BU143" i="11" s="1"/>
  <c r="BU142" i="11" s="1"/>
  <c r="BU88" i="11" s="1"/>
  <c r="BU89" i="11" s="1"/>
  <c r="BI29" i="8"/>
  <c r="R17" i="7" s="1"/>
  <c r="AR100" i="2"/>
  <c r="AL12" i="7"/>
  <c r="BB32" i="6"/>
  <c r="BB44" i="6" s="1"/>
  <c r="BP77" i="9"/>
  <c r="AC97" i="9"/>
  <c r="BN147" i="2"/>
  <c r="BG138" i="2"/>
  <c r="AJ66" i="2"/>
  <c r="BW29" i="8"/>
  <c r="BC50" i="2" s="1"/>
  <c r="AY75" i="6"/>
  <c r="AY78" i="6" s="1"/>
  <c r="BO78" i="9"/>
  <c r="CF153" i="14"/>
  <c r="AG41" i="2"/>
  <c r="BW75" i="11"/>
  <c r="BW74" i="11" s="1"/>
  <c r="AF169" i="7"/>
  <c r="BC108" i="2"/>
  <c r="AP100" i="9"/>
  <c r="BJ147" i="2"/>
  <c r="K147" i="2"/>
  <c r="BH139" i="2"/>
  <c r="BD144" i="2"/>
  <c r="Y139" i="2"/>
  <c r="L146" i="2"/>
  <c r="AG66" i="2"/>
  <c r="AW110" i="2"/>
  <c r="AY112" i="2"/>
  <c r="BH106" i="2"/>
  <c r="AR111" i="2"/>
  <c r="AB104" i="2"/>
  <c r="S53" i="2"/>
  <c r="BJ138" i="2"/>
  <c r="C89" i="2"/>
  <c r="BW39" i="8"/>
  <c r="BW110" i="8" s="1"/>
  <c r="E16" i="7"/>
  <c r="R16" i="7"/>
  <c r="BO39" i="8"/>
  <c r="BO143" i="11" s="1"/>
  <c r="BO103" i="11" s="1"/>
  <c r="AR53" i="2"/>
  <c r="AU100" i="9"/>
  <c r="I119" i="7"/>
  <c r="O66" i="2"/>
  <c r="BX170" i="11"/>
  <c r="BX175" i="11" s="1"/>
  <c r="BX176" i="11" s="1"/>
  <c r="AJ33" i="11"/>
  <c r="BF32" i="6"/>
  <c r="BF45" i="6" s="1"/>
  <c r="AC41" i="2"/>
  <c r="AU41" i="2"/>
  <c r="AL62" i="2"/>
  <c r="AF41" i="2"/>
  <c r="AE41" i="2"/>
  <c r="AE8" i="2"/>
  <c r="AE62" i="2" s="1"/>
  <c r="AH80" i="9"/>
  <c r="AH81" i="9"/>
  <c r="AH78" i="9"/>
  <c r="AH77" i="9"/>
  <c r="AH79" i="9"/>
  <c r="AH108" i="9" s="1"/>
  <c r="AH110" i="9" s="1"/>
  <c r="BH104" i="2"/>
  <c r="AF16" i="7"/>
  <c r="BF147" i="2"/>
  <c r="G147" i="2"/>
  <c r="Y72" i="2"/>
  <c r="AF62" i="2"/>
  <c r="AD36" i="2"/>
  <c r="AQ62" i="2"/>
  <c r="AP78" i="9"/>
  <c r="AC80" i="9"/>
  <c r="BK147" i="2"/>
  <c r="AT144" i="2"/>
  <c r="AW138" i="2"/>
  <c r="AY139" i="2"/>
  <c r="AW106" i="2"/>
  <c r="Y112" i="2"/>
  <c r="BC101" i="2"/>
  <c r="BG121" i="2"/>
  <c r="BH111" i="2"/>
  <c r="R121" i="2"/>
  <c r="V104" i="2"/>
  <c r="BG106" i="2"/>
  <c r="AO20" i="2"/>
  <c r="AO84" i="2" s="1"/>
  <c r="AB16" i="7"/>
  <c r="AC16" i="7"/>
  <c r="CA29" i="8"/>
  <c r="AJ17" i="7" s="1"/>
  <c r="AV39" i="8"/>
  <c r="AV143" i="11" s="1"/>
  <c r="AV154" i="11" s="1"/>
  <c r="AW53" i="2"/>
  <c r="AS55" i="10"/>
  <c r="R52" i="8"/>
  <c r="AM165" i="11"/>
  <c r="V36" i="2"/>
  <c r="BB66" i="2"/>
  <c r="AP79" i="9"/>
  <c r="AP108" i="9" s="1"/>
  <c r="AF104" i="2"/>
  <c r="AC77" i="9"/>
  <c r="S41" i="2"/>
  <c r="S8" i="2"/>
  <c r="S62" i="2" s="1"/>
  <c r="AV22" i="8"/>
  <c r="E11" i="7" s="1"/>
  <c r="AT87" i="9"/>
  <c r="AT86" i="9"/>
  <c r="AT109" i="9" s="1"/>
  <c r="AT88" i="9"/>
  <c r="AT85" i="9"/>
  <c r="AK55" i="10"/>
  <c r="Y54" i="11"/>
  <c r="AJ100" i="9"/>
  <c r="AB8" i="2"/>
  <c r="AG62" i="2" s="1"/>
  <c r="AL100" i="9"/>
  <c r="AH46" i="8"/>
  <c r="AH51" i="8"/>
  <c r="BH110" i="2"/>
  <c r="C32" i="2"/>
  <c r="C133" i="2" s="1"/>
  <c r="Y52" i="8"/>
  <c r="E51" i="2" s="1"/>
  <c r="AJ32" i="11"/>
  <c r="AU24" i="11"/>
  <c r="AA37" i="2" s="1"/>
  <c r="AA36" i="2"/>
  <c r="AT147" i="2"/>
  <c r="BM147" i="2"/>
  <c r="BG147" i="2"/>
  <c r="AY138" i="2"/>
  <c r="AW111" i="2"/>
  <c r="Y106" i="2"/>
  <c r="S104" i="2"/>
  <c r="R66" i="2"/>
  <c r="R110" i="2"/>
  <c r="BG111" i="2"/>
  <c r="BS29" i="8"/>
  <c r="BS104" i="8" s="1"/>
  <c r="BT29" i="8"/>
  <c r="AZ50" i="2" s="1"/>
  <c r="AX32" i="11"/>
  <c r="Q54" i="11"/>
  <c r="Q64" i="11" s="1"/>
  <c r="BC33" i="11"/>
  <c r="AR12" i="7"/>
  <c r="CC170" i="11"/>
  <c r="CC175" i="11" s="1"/>
  <c r="CC176" i="11" s="1"/>
  <c r="CC177" i="11" s="1"/>
  <c r="AT75" i="6"/>
  <c r="AT76" i="6" s="1"/>
  <c r="BD66" i="2"/>
  <c r="AW8" i="2"/>
  <c r="BB62" i="2" s="1"/>
  <c r="E9" i="2"/>
  <c r="E78" i="2" s="1"/>
  <c r="AP81" i="9"/>
  <c r="AI62" i="2"/>
  <c r="Y81" i="9"/>
  <c r="Y77" i="9"/>
  <c r="AL86" i="9"/>
  <c r="AL109" i="9" s="1"/>
  <c r="AL85" i="9"/>
  <c r="AL87" i="9"/>
  <c r="AL88" i="9"/>
  <c r="Y110" i="2"/>
  <c r="AH104" i="11"/>
  <c r="O147" i="2"/>
  <c r="Y138" i="2"/>
  <c r="AQ121" i="2"/>
  <c r="BH112" i="2"/>
  <c r="AP80" i="9"/>
  <c r="V8" i="2"/>
  <c r="V62" i="2" s="1"/>
  <c r="AR139" i="2"/>
  <c r="R139" i="2"/>
  <c r="AW139" i="2"/>
  <c r="AB139" i="2"/>
  <c r="P144" i="2"/>
  <c r="BK146" i="2"/>
  <c r="S121" i="2"/>
  <c r="BG53" i="2"/>
  <c r="N66" i="2"/>
  <c r="BS39" i="8"/>
  <c r="BS143" i="11" s="1"/>
  <c r="BS142" i="11" s="1"/>
  <c r="BT39" i="8"/>
  <c r="BT143" i="11" s="1"/>
  <c r="BT142" i="11" s="1"/>
  <c r="BT88" i="11" s="1"/>
  <c r="AS33" i="11"/>
  <c r="AA104" i="11"/>
  <c r="CI23" i="8"/>
  <c r="AR74" i="11"/>
  <c r="AP97" i="9"/>
  <c r="AR8" i="2"/>
  <c r="AR62" i="2" s="1"/>
  <c r="P104" i="11"/>
  <c r="U66" i="2"/>
  <c r="AH66" i="2"/>
  <c r="AC79" i="9"/>
  <c r="AC108" i="9" s="1"/>
  <c r="AH97" i="9"/>
  <c r="AD76" i="9"/>
  <c r="AH100" i="9" s="1"/>
  <c r="AQ35" i="8"/>
  <c r="W59" i="2" s="1"/>
  <c r="AQ28" i="8"/>
  <c r="AB41" i="2" s="1"/>
  <c r="AQ22" i="8"/>
  <c r="W63" i="2"/>
  <c r="W60" i="2"/>
  <c r="AQ32" i="8"/>
  <c r="W58" i="2" s="1"/>
  <c r="AR24" i="8"/>
  <c r="W7" i="2"/>
  <c r="W122" i="2" s="1"/>
  <c r="AC100" i="10"/>
  <c r="AC101" i="10" s="1"/>
  <c r="Z81" i="9"/>
  <c r="Z80" i="9"/>
  <c r="Z77" i="9"/>
  <c r="Z78" i="9"/>
  <c r="Z79" i="9"/>
  <c r="Z108" i="9" s="1"/>
  <c r="AA41" i="2"/>
  <c r="CP78" i="12"/>
  <c r="AO66" i="9"/>
  <c r="AN41" i="2"/>
  <c r="AN8" i="2"/>
  <c r="AN62" i="2" s="1"/>
  <c r="AT110" i="2"/>
  <c r="AX39" i="8"/>
  <c r="AX143" i="11" s="1"/>
  <c r="AX154" i="11" s="1"/>
  <c r="AS100" i="9"/>
  <c r="H119" i="7"/>
  <c r="AK79" i="9"/>
  <c r="AK108" i="9" s="1"/>
  <c r="AK77" i="9"/>
  <c r="AC66" i="2"/>
  <c r="F16" i="7"/>
  <c r="BR39" i="8"/>
  <c r="BR143" i="11" s="1"/>
  <c r="BR103" i="11" s="1"/>
  <c r="B14" i="2"/>
  <c r="AH144" i="2"/>
  <c r="BI112" i="2"/>
  <c r="AT112" i="2"/>
  <c r="BC39" i="8"/>
  <c r="BC110" i="8" s="1"/>
  <c r="AW39" i="8"/>
  <c r="AW143" i="11" s="1"/>
  <c r="AW154" i="11" s="1"/>
  <c r="AI16" i="7"/>
  <c r="BN100" i="9"/>
  <c r="AO79" i="9"/>
  <c r="AO108" i="9" s="1"/>
  <c r="AO110" i="9" s="1"/>
  <c r="AC87" i="8"/>
  <c r="X87" i="8"/>
  <c r="AA85" i="9"/>
  <c r="AA86" i="9"/>
  <c r="AA109" i="9" s="1"/>
  <c r="AA87" i="9"/>
  <c r="AA88" i="9"/>
  <c r="AO54" i="10"/>
  <c r="BA86" i="9"/>
  <c r="BA109" i="9" s="1"/>
  <c r="BA87" i="9"/>
  <c r="BA88" i="9"/>
  <c r="BA85" i="9"/>
  <c r="AJ85" i="9"/>
  <c r="AJ88" i="9"/>
  <c r="AJ87" i="9"/>
  <c r="AJ86" i="9"/>
  <c r="AJ109" i="9" s="1"/>
  <c r="AJ110" i="9" s="1"/>
  <c r="Q147" i="2"/>
  <c r="BJ139" i="2"/>
  <c r="BN144" i="2"/>
  <c r="V144" i="2"/>
  <c r="Y144" i="2"/>
  <c r="AU146" i="2"/>
  <c r="G146" i="2"/>
  <c r="BI100" i="2"/>
  <c r="M66" i="2"/>
  <c r="BE111" i="2"/>
  <c r="AG104" i="2"/>
  <c r="AJ106" i="2"/>
  <c r="AD80" i="2"/>
  <c r="BK104" i="2"/>
  <c r="G123" i="2"/>
  <c r="BN29" i="8"/>
  <c r="BN104" i="8" s="1"/>
  <c r="BH29" i="8"/>
  <c r="BH104" i="8" s="1"/>
  <c r="AD41" i="2"/>
  <c r="AK100" i="9"/>
  <c r="Y57" i="10"/>
  <c r="BQ55" i="10"/>
  <c r="CG26" i="11"/>
  <c r="AR100" i="9"/>
  <c r="BC41" i="2"/>
  <c r="CA170" i="11"/>
  <c r="CA175" i="11" s="1"/>
  <c r="CA176" i="11" s="1"/>
  <c r="AY41" i="2"/>
  <c r="B56" i="2"/>
  <c r="AO8" i="2"/>
  <c r="M51" i="8"/>
  <c r="M46" i="8"/>
  <c r="M47" i="8" s="1"/>
  <c r="AD79" i="8"/>
  <c r="AD81" i="8" s="1"/>
  <c r="D42" i="2"/>
  <c r="D9" i="2"/>
  <c r="D78" i="2" s="1"/>
  <c r="Z85" i="9"/>
  <c r="Z86" i="9"/>
  <c r="Z109" i="9" s="1"/>
  <c r="Z87" i="9"/>
  <c r="Z88" i="9"/>
  <c r="BI110" i="2"/>
  <c r="AC53" i="2"/>
  <c r="BG57" i="10"/>
  <c r="AB86" i="8"/>
  <c r="AG87" i="8" s="1"/>
  <c r="H68" i="2"/>
  <c r="H14" i="2"/>
  <c r="H123" i="2" s="1"/>
  <c r="H56" i="2"/>
  <c r="Y41" i="2"/>
  <c r="Y8" i="2"/>
  <c r="AK78" i="9"/>
  <c r="AC104" i="11"/>
  <c r="AC138" i="2"/>
  <c r="G32" i="2"/>
  <c r="G133" i="2" s="1"/>
  <c r="BD39" i="8"/>
  <c r="BD143" i="11" s="1"/>
  <c r="BD154" i="11" s="1"/>
  <c r="AI47" i="8"/>
  <c r="O52" i="2" s="1"/>
  <c r="O10" i="2"/>
  <c r="Z47" i="8"/>
  <c r="F52" i="2" s="1"/>
  <c r="F43" i="2"/>
  <c r="F10" i="2"/>
  <c r="K65" i="2" s="1"/>
  <c r="AD51" i="8"/>
  <c r="AD46" i="8"/>
  <c r="Y147" i="2"/>
  <c r="Z144" i="2"/>
  <c r="AO144" i="2"/>
  <c r="AJ138" i="2"/>
  <c r="AN101" i="2"/>
  <c r="AM104" i="2"/>
  <c r="AQ106" i="2"/>
  <c r="G89" i="2"/>
  <c r="W16" i="7"/>
  <c r="Q16" i="7"/>
  <c r="AK97" i="9"/>
  <c r="AD104" i="11"/>
  <c r="AI110" i="9"/>
  <c r="J101" i="7"/>
  <c r="AH147" i="2"/>
  <c r="BD147" i="2"/>
  <c r="I147" i="2"/>
  <c r="AE147" i="2"/>
  <c r="AT138" i="2"/>
  <c r="BJ144" i="2"/>
  <c r="R144" i="2"/>
  <c r="BI139" i="2"/>
  <c r="M144" i="2"/>
  <c r="H146" i="2"/>
  <c r="AH53" i="2"/>
  <c r="BI121" i="2"/>
  <c r="BI66" i="2"/>
  <c r="BE112" i="2"/>
  <c r="AR104" i="2"/>
  <c r="AC112" i="2"/>
  <c r="AJ100" i="2"/>
  <c r="AJ111" i="2"/>
  <c r="AY121" i="2"/>
  <c r="AL104" i="2"/>
  <c r="BH39" i="8"/>
  <c r="BH143" i="11" s="1"/>
  <c r="BH154" i="11" s="1"/>
  <c r="AO39" i="8"/>
  <c r="AO143" i="11" s="1"/>
  <c r="AO154" i="11" s="1"/>
  <c r="AI41" i="2"/>
  <c r="BO97" i="9"/>
  <c r="AB47" i="10"/>
  <c r="BS71" i="10"/>
  <c r="Z54" i="11"/>
  <c r="Z64" i="11" s="1"/>
  <c r="BN32" i="11"/>
  <c r="BR33" i="11"/>
  <c r="BO77" i="9"/>
  <c r="F9" i="2"/>
  <c r="L66" i="2"/>
  <c r="BN87" i="9"/>
  <c r="BN86" i="9"/>
  <c r="BN109" i="9" s="1"/>
  <c r="BN88" i="9"/>
  <c r="BN85" i="9"/>
  <c r="AT80" i="9"/>
  <c r="AT81" i="9"/>
  <c r="AT77" i="9"/>
  <c r="AT78" i="9"/>
  <c r="AT79" i="9"/>
  <c r="AT108" i="9" s="1"/>
  <c r="AY26" i="11"/>
  <c r="AE36" i="2"/>
  <c r="Y47" i="8"/>
  <c r="E52" i="2" s="1"/>
  <c r="E10" i="2"/>
  <c r="AJ25" i="11"/>
  <c r="P36" i="2"/>
  <c r="Z86" i="8"/>
  <c r="F68" i="2"/>
  <c r="F14" i="2"/>
  <c r="F56" i="2"/>
  <c r="CN106" i="14"/>
  <c r="CN99" i="14"/>
  <c r="CO97" i="14"/>
  <c r="K51" i="8"/>
  <c r="K46" i="8"/>
  <c r="K47" i="8" s="1"/>
  <c r="AB51" i="8"/>
  <c r="AB46" i="8"/>
  <c r="AO81" i="9"/>
  <c r="AO78" i="9"/>
  <c r="AT139" i="2"/>
  <c r="BR29" i="8"/>
  <c r="AX50" i="2" s="1"/>
  <c r="BE55" i="10"/>
  <c r="T52" i="8"/>
  <c r="D51" i="2" s="1"/>
  <c r="T47" i="8"/>
  <c r="D52" i="2" s="1"/>
  <c r="D10" i="2"/>
  <c r="D65" i="2" s="1"/>
  <c r="BP78" i="9"/>
  <c r="BP80" i="9"/>
  <c r="BP81" i="9"/>
  <c r="BP79" i="9"/>
  <c r="BP108" i="9" s="1"/>
  <c r="AC8" i="2"/>
  <c r="AC62" i="2" s="1"/>
  <c r="BI111" i="2"/>
  <c r="AT111" i="2"/>
  <c r="S104" i="11"/>
  <c r="AX8" i="2"/>
  <c r="BC62" i="2" s="1"/>
  <c r="AO77" i="9"/>
  <c r="CK122" i="13"/>
  <c r="CK123" i="13" s="1"/>
  <c r="X51" i="8"/>
  <c r="X46" i="8"/>
  <c r="AH8" i="2"/>
  <c r="AH62" i="2" s="1"/>
  <c r="K113" i="2"/>
  <c r="BF57" i="10"/>
  <c r="AC121" i="2"/>
  <c r="BI104" i="2"/>
  <c r="AC106" i="2"/>
  <c r="Z147" i="2"/>
  <c r="X147" i="2"/>
  <c r="AA147" i="2"/>
  <c r="BL144" i="2"/>
  <c r="BF144" i="2"/>
  <c r="N144" i="2"/>
  <c r="I144" i="2"/>
  <c r="AF144" i="2"/>
  <c r="BE121" i="2"/>
  <c r="AC110" i="2"/>
  <c r="AY106" i="2"/>
  <c r="AE104" i="2"/>
  <c r="AJ121" i="2"/>
  <c r="AJ112" i="2"/>
  <c r="AT100" i="2"/>
  <c r="J113" i="2"/>
  <c r="BB29" i="8"/>
  <c r="K17" i="7" s="1"/>
  <c r="B16" i="7"/>
  <c r="G16" i="7"/>
  <c r="AU97" i="9"/>
  <c r="AF97" i="9"/>
  <c r="BO100" i="9"/>
  <c r="Z52" i="8"/>
  <c r="F51" i="2" s="1"/>
  <c r="AQ104" i="2"/>
  <c r="AK80" i="9"/>
  <c r="AM41" i="2"/>
  <c r="BT103" i="10"/>
  <c r="BT109" i="10"/>
  <c r="BT110" i="10" s="1"/>
  <c r="L51" i="8"/>
  <c r="L46" i="8"/>
  <c r="L47" i="8" s="1"/>
  <c r="AO97" i="9"/>
  <c r="AL81" i="9"/>
  <c r="AL77" i="9"/>
  <c r="AL78" i="9"/>
  <c r="AL79" i="9"/>
  <c r="AL108" i="9" s="1"/>
  <c r="AL80" i="9"/>
  <c r="P87" i="8"/>
  <c r="AJ80" i="9"/>
  <c r="AJ81" i="9"/>
  <c r="BR87" i="9"/>
  <c r="BR86" i="9"/>
  <c r="BR109" i="9" s="1"/>
  <c r="BR110" i="9" s="1"/>
  <c r="BR88" i="9"/>
  <c r="BR85" i="9"/>
  <c r="U54" i="11"/>
  <c r="U64" i="11" s="1"/>
  <c r="M78" i="2"/>
  <c r="C64" i="2"/>
  <c r="N104" i="11"/>
  <c r="F42" i="2"/>
  <c r="DI40" i="14"/>
  <c r="AT41" i="2"/>
  <c r="BJ97" i="9"/>
  <c r="CH24" i="11"/>
  <c r="BD8" i="2"/>
  <c r="BD41" i="2"/>
  <c r="BI41" i="2"/>
  <c r="BJ81" i="9"/>
  <c r="AT8" i="2"/>
  <c r="BN26" i="11"/>
  <c r="AT36" i="2"/>
  <c r="BW136" i="9"/>
  <c r="AO66" i="2"/>
  <c r="BE97" i="9"/>
  <c r="BB75" i="6"/>
  <c r="BU100" i="9"/>
  <c r="AV8" i="2"/>
  <c r="AV62" i="2" s="1"/>
  <c r="BE138" i="2"/>
  <c r="AQ138" i="2"/>
  <c r="BB53" i="2"/>
  <c r="BE100" i="2"/>
  <c r="BL104" i="2"/>
  <c r="BE110" i="2"/>
  <c r="AV110" i="2"/>
  <c r="AU104" i="2"/>
  <c r="AQ112" i="2"/>
  <c r="BN106" i="2"/>
  <c r="BJ111" i="2"/>
  <c r="AT104" i="2"/>
  <c r="BO81" i="9"/>
  <c r="BT170" i="11"/>
  <c r="BT175" i="11" s="1"/>
  <c r="BT79" i="8" s="1"/>
  <c r="AQ12" i="7"/>
  <c r="AG26" i="7"/>
  <c r="BG38" i="2"/>
  <c r="BO80" i="9"/>
  <c r="R26" i="7"/>
  <c r="BG41" i="2"/>
  <c r="BL41" i="2"/>
  <c r="BG8" i="2"/>
  <c r="BF8" i="2"/>
  <c r="BK62" i="2" s="1"/>
  <c r="BE139" i="2"/>
  <c r="AQ139" i="2"/>
  <c r="BE106" i="2"/>
  <c r="AQ100" i="2"/>
  <c r="BN100" i="2"/>
  <c r="BJ121" i="2"/>
  <c r="BP39" i="8"/>
  <c r="BP143" i="11" s="1"/>
  <c r="BP103" i="11" s="1"/>
  <c r="BE100" i="9"/>
  <c r="AV53" i="2"/>
  <c r="BR168" i="11"/>
  <c r="BS100" i="9"/>
  <c r="BN39" i="2"/>
  <c r="AM113" i="2"/>
  <c r="N81" i="8"/>
  <c r="N86" i="8" s="1"/>
  <c r="O79" i="8"/>
  <c r="O81" i="8" s="1"/>
  <c r="BR26" i="11"/>
  <c r="AX36" i="2"/>
  <c r="AF113" i="2"/>
  <c r="AJ8" i="2"/>
  <c r="AO41" i="2"/>
  <c r="AJ41" i="2"/>
  <c r="BJ79" i="9"/>
  <c r="BJ108" i="9" s="1"/>
  <c r="BJ78" i="9"/>
  <c r="BJ77" i="9"/>
  <c r="BJ80" i="9"/>
  <c r="BA41" i="2"/>
  <c r="BA8" i="2"/>
  <c r="U41" i="2"/>
  <c r="Z41" i="2"/>
  <c r="U8" i="2"/>
  <c r="BN38" i="2"/>
  <c r="CK187" i="14"/>
  <c r="CK193" i="14"/>
  <c r="CK194" i="14" s="1"/>
  <c r="AO146" i="2"/>
  <c r="Q146" i="2"/>
  <c r="BD55" i="10"/>
  <c r="AA57" i="10"/>
  <c r="N146" i="2"/>
  <c r="F146" i="2"/>
  <c r="AE146" i="2"/>
  <c r="O146" i="2"/>
  <c r="AW55" i="10"/>
  <c r="AY55" i="10"/>
  <c r="Y38" i="7"/>
  <c r="BM144" i="2"/>
  <c r="AC144" i="2"/>
  <c r="BM146" i="2"/>
  <c r="AG146" i="2"/>
  <c r="I146" i="2"/>
  <c r="J146" i="2"/>
  <c r="B146" i="2"/>
  <c r="G144" i="2"/>
  <c r="BB55" i="10"/>
  <c r="AZ57" i="10"/>
  <c r="BU57" i="10"/>
  <c r="BN139" i="2"/>
  <c r="BN53" i="2"/>
  <c r="BL66" i="2"/>
  <c r="BN112" i="2"/>
  <c r="AM16" i="7"/>
  <c r="AX100" i="9"/>
  <c r="BN121" i="2"/>
  <c r="BN110" i="2"/>
  <c r="BN104" i="2"/>
  <c r="BN66" i="2"/>
  <c r="AW100" i="9"/>
  <c r="BA82" i="6"/>
  <c r="BW168" i="11"/>
  <c r="AY100" i="9"/>
  <c r="BJ8" i="2"/>
  <c r="BJ62" i="2" s="1"/>
  <c r="BJ41" i="2"/>
  <c r="AN26" i="7"/>
  <c r="BQ79" i="9"/>
  <c r="BQ108" i="9" s="1"/>
  <c r="BQ78" i="9"/>
  <c r="BQ77" i="9"/>
  <c r="BQ80" i="9"/>
  <c r="BQ81" i="9"/>
  <c r="CE170" i="11"/>
  <c r="BU80" i="9"/>
  <c r="BU81" i="9"/>
  <c r="BU79" i="9"/>
  <c r="BU77" i="9"/>
  <c r="BN41" i="2"/>
  <c r="BN8" i="2"/>
  <c r="BN62" i="2" s="1"/>
  <c r="BU97" i="9"/>
  <c r="AZ97" i="9"/>
  <c r="BP100" i="9"/>
  <c r="AJ26" i="7"/>
  <c r="AW97" i="9"/>
  <c r="T26" i="7"/>
  <c r="S26" i="7"/>
  <c r="X26" i="7"/>
  <c r="AZ100" i="9"/>
  <c r="BL39" i="2"/>
  <c r="CH24" i="13"/>
  <c r="CH45" i="11"/>
  <c r="CH18" i="13"/>
  <c r="CH19" i="13" s="1"/>
  <c r="CH20" i="13" s="1"/>
  <c r="CH23" i="13"/>
  <c r="BD113" i="2"/>
  <c r="AO12" i="7"/>
  <c r="W87" i="7"/>
  <c r="R79" i="7"/>
  <c r="BI57" i="11"/>
  <c r="BA66" i="2"/>
  <c r="CB170" i="11"/>
  <c r="CD176" i="11"/>
  <c r="CD177" i="11" s="1"/>
  <c r="CD79" i="8"/>
  <c r="AC26" i="7"/>
  <c r="AX33" i="6"/>
  <c r="AX45" i="6"/>
  <c r="AX43" i="6"/>
  <c r="AX46" i="6"/>
  <c r="AX44" i="6"/>
  <c r="AB26" i="7"/>
  <c r="Y26" i="7"/>
  <c r="U26" i="7"/>
  <c r="BN80" i="9"/>
  <c r="BN81" i="9"/>
  <c r="BN77" i="9"/>
  <c r="BR100" i="9"/>
  <c r="BN78" i="9"/>
  <c r="BN79" i="9"/>
  <c r="BN108" i="9" s="1"/>
  <c r="AL26" i="7"/>
  <c r="AM26" i="7"/>
  <c r="W26" i="7"/>
  <c r="AE26" i="7"/>
  <c r="BX24" i="11"/>
  <c r="AV32" i="6"/>
  <c r="BY24" i="11"/>
  <c r="BE37" i="2" s="1"/>
  <c r="AW32" i="6"/>
  <c r="AX77" i="9"/>
  <c r="AX78" i="9"/>
  <c r="AX80" i="9"/>
  <c r="AX79" i="9"/>
  <c r="AX108" i="9" s="1"/>
  <c r="AX81" i="9"/>
  <c r="BA45" i="6"/>
  <c r="BA46" i="6"/>
  <c r="BA43" i="6"/>
  <c r="BA33" i="6"/>
  <c r="BA44" i="6"/>
  <c r="BF77" i="9"/>
  <c r="BF80" i="9"/>
  <c r="BF78" i="9"/>
  <c r="BF79" i="9"/>
  <c r="BF108" i="9" s="1"/>
  <c r="BF110" i="9" s="1"/>
  <c r="BF81" i="9"/>
  <c r="Z26" i="7"/>
  <c r="BY176" i="11"/>
  <c r="BY79" i="8"/>
  <c r="AY43" i="6"/>
  <c r="AY46" i="6"/>
  <c r="AY45" i="6"/>
  <c r="AY44" i="6"/>
  <c r="AY33" i="6"/>
  <c r="BD45" i="6"/>
  <c r="BD43" i="6"/>
  <c r="BD33" i="6"/>
  <c r="BD44" i="6"/>
  <c r="BD46" i="6"/>
  <c r="AO26" i="7"/>
  <c r="BF97" i="9"/>
  <c r="BH38" i="2"/>
  <c r="AZ32" i="6"/>
  <c r="BN97" i="9"/>
  <c r="BU176" i="11"/>
  <c r="BU79" i="8"/>
  <c r="AX97" i="9"/>
  <c r="BV118" i="9"/>
  <c r="BV117" i="9"/>
  <c r="BW65" i="10"/>
  <c r="BW126" i="10"/>
  <c r="AS26" i="7"/>
  <c r="BM38" i="2"/>
  <c r="BE32" i="6"/>
  <c r="BL63" i="6"/>
  <c r="BL64" i="6" s="1"/>
  <c r="BC39" i="2"/>
  <c r="Q98" i="7"/>
  <c r="BH99" i="11"/>
  <c r="AK12" i="7"/>
  <c r="AB42" i="15"/>
  <c r="BV162" i="11"/>
  <c r="AC81" i="7"/>
  <c r="AH89" i="7"/>
  <c r="BT61" i="11"/>
  <c r="AC30" i="15"/>
  <c r="BW138" i="11"/>
  <c r="BW151" i="11" s="1"/>
  <c r="AH54" i="15"/>
  <c r="AW46" i="15"/>
  <c r="AK97" i="7"/>
  <c r="CB97" i="11"/>
  <c r="AE19" i="15"/>
  <c r="AE20" i="15" s="1"/>
  <c r="R23" i="15"/>
  <c r="R18" i="15"/>
  <c r="S18" i="15" s="1"/>
  <c r="BL50" i="11"/>
  <c r="U81" i="7" s="1"/>
  <c r="S22" i="15"/>
  <c r="AP97" i="7"/>
  <c r="CG97" i="11"/>
  <c r="AM104" i="15"/>
  <c r="AM102" i="15"/>
  <c r="AH30" i="15"/>
  <c r="AH31" i="15"/>
  <c r="CB138" i="11"/>
  <c r="CB151" i="11" s="1"/>
  <c r="AD124" i="7"/>
  <c r="BU165" i="11"/>
  <c r="AH55" i="15"/>
  <c r="AM48" i="15"/>
  <c r="U26" i="15"/>
  <c r="T22" i="15"/>
  <c r="BN71" i="11"/>
  <c r="BN74" i="11" s="1"/>
  <c r="AM50" i="15"/>
  <c r="AL24" i="15"/>
  <c r="AL23" i="15"/>
  <c r="AL18" i="15"/>
  <c r="AL19" i="15" s="1"/>
  <c r="AL20" i="15" s="1"/>
  <c r="CF50" i="11"/>
  <c r="AM31" i="15"/>
  <c r="AM30" i="15"/>
  <c r="CG138" i="11"/>
  <c r="CG151" i="11" s="1"/>
  <c r="AM22" i="15"/>
  <c r="AK81" i="7"/>
  <c r="CB61" i="11"/>
  <c r="AF97" i="7"/>
  <c r="BW97" i="11"/>
  <c r="AR47" i="15"/>
  <c r="AR100" i="15"/>
  <c r="CJ41" i="14"/>
  <c r="CF160" i="11"/>
  <c r="AO123" i="7" s="1"/>
  <c r="V37" i="12"/>
  <c r="V38" i="12"/>
  <c r="BJ23" i="14"/>
  <c r="BJ24" i="14"/>
  <c r="BJ18" i="14"/>
  <c r="BF48" i="11"/>
  <c r="BO24" i="14"/>
  <c r="BA24" i="14"/>
  <c r="BA23" i="14"/>
  <c r="BA18" i="14"/>
  <c r="AW48" i="11"/>
  <c r="AP96" i="7"/>
  <c r="CG96" i="11"/>
  <c r="Q96" i="7"/>
  <c r="BH96" i="11"/>
  <c r="AP19" i="14"/>
  <c r="AP20" i="14" s="1"/>
  <c r="AU19" i="14"/>
  <c r="AU20" i="14" s="1"/>
  <c r="U96" i="11"/>
  <c r="U86" i="11"/>
  <c r="CA47" i="14"/>
  <c r="CA46" i="14" s="1"/>
  <c r="CM195" i="14"/>
  <c r="CM123" i="14"/>
  <c r="CM75" i="14"/>
  <c r="BE19" i="14"/>
  <c r="BE20" i="14" s="1"/>
  <c r="BG18" i="14"/>
  <c r="BB22" i="14"/>
  <c r="AF96" i="7"/>
  <c r="BW96" i="11"/>
  <c r="CA30" i="14"/>
  <c r="BW136" i="11"/>
  <c r="BW149" i="11" s="1"/>
  <c r="DA61" i="14"/>
  <c r="DB61" i="14" s="1"/>
  <c r="DC61" i="14" s="1"/>
  <c r="V48" i="11"/>
  <c r="V60" i="11" s="1"/>
  <c r="AH88" i="7"/>
  <c r="AH80" i="7"/>
  <c r="AM88" i="7"/>
  <c r="BY60" i="11"/>
  <c r="BK22" i="14"/>
  <c r="BL22" i="14" s="1"/>
  <c r="BG70" i="11"/>
  <c r="BP18" i="14"/>
  <c r="BP23" i="14"/>
  <c r="BL48" i="11"/>
  <c r="BQ22" i="14"/>
  <c r="BU24" i="14"/>
  <c r="CF31" i="14"/>
  <c r="CF30" i="14"/>
  <c r="CB136" i="11"/>
  <c r="CB149" i="11" s="1"/>
  <c r="CK22" i="14"/>
  <c r="CK31" i="14"/>
  <c r="CK30" i="14"/>
  <c r="CG136" i="11"/>
  <c r="CG149" i="11" s="1"/>
  <c r="V96" i="7"/>
  <c r="BM96" i="11"/>
  <c r="BF24" i="14"/>
  <c r="BF23" i="14"/>
  <c r="BF18" i="14"/>
  <c r="BB48" i="11"/>
  <c r="CF54" i="14"/>
  <c r="CA55" i="14"/>
  <c r="CF19" i="14"/>
  <c r="CF20" i="14" s="1"/>
  <c r="N88" i="7"/>
  <c r="N80" i="7"/>
  <c r="S88" i="7"/>
  <c r="BE60" i="11"/>
  <c r="Z37" i="14"/>
  <c r="AE37" i="14"/>
  <c r="V82" i="11"/>
  <c r="V96" i="11" s="1"/>
  <c r="CC19" i="14"/>
  <c r="CC20" i="14" s="1"/>
  <c r="CH19" i="14"/>
  <c r="CH20" i="14" s="1"/>
  <c r="CZ136" i="11"/>
  <c r="AH96" i="7"/>
  <c r="BY96" i="11"/>
  <c r="BY86" i="11"/>
  <c r="AF80" i="7"/>
  <c r="BW60" i="11"/>
  <c r="AK96" i="7"/>
  <c r="CB96" i="11"/>
  <c r="E88" i="7"/>
  <c r="E80" i="7"/>
  <c r="AV60" i="11"/>
  <c r="H88" i="7"/>
  <c r="C88" i="7"/>
  <c r="C80" i="7"/>
  <c r="AT60" i="11"/>
  <c r="AK88" i="7"/>
  <c r="AK80" i="7"/>
  <c r="CB60" i="11"/>
  <c r="BI19" i="14"/>
  <c r="BI20" i="14" s="1"/>
  <c r="BN19" i="14"/>
  <c r="BN20" i="14" s="1"/>
  <c r="AN88" i="7"/>
  <c r="AI88" i="7"/>
  <c r="AI80" i="7"/>
  <c r="BZ60" i="11"/>
  <c r="AA96" i="7"/>
  <c r="BR96" i="11"/>
  <c r="AA35" i="14"/>
  <c r="AA22" i="14"/>
  <c r="W48" i="11" s="1"/>
  <c r="W60" i="11" s="1"/>
  <c r="W110" i="11"/>
  <c r="W117" i="11" s="1"/>
  <c r="CK160" i="14"/>
  <c r="CK162" i="14" s="1"/>
  <c r="CP158" i="14" s="1"/>
  <c r="CC76" i="11"/>
  <c r="CA63" i="14"/>
  <c r="CA60" i="14"/>
  <c r="DG123" i="14"/>
  <c r="DH122" i="14"/>
  <c r="DH123" i="14" s="1"/>
  <c r="BG22" i="14"/>
  <c r="J88" i="7"/>
  <c r="J80" i="7"/>
  <c r="BA60" i="11"/>
  <c r="AX19" i="14"/>
  <c r="AX20" i="14" s="1"/>
  <c r="BB18" i="14"/>
  <c r="BC19" i="14"/>
  <c r="BC20" i="14" s="1"/>
  <c r="B96" i="7"/>
  <c r="B115" i="7" s="1"/>
  <c r="G107" i="7"/>
  <c r="B107" i="7"/>
  <c r="AS96" i="11"/>
  <c r="CD19" i="14"/>
  <c r="CD20" i="14" s="1"/>
  <c r="CI19" i="14"/>
  <c r="CI20" i="14" s="1"/>
  <c r="AV24" i="14"/>
  <c r="AV18" i="14"/>
  <c r="AV23" i="14"/>
  <c r="AR48" i="11"/>
  <c r="AR60" i="11" s="1"/>
  <c r="AW22" i="14"/>
  <c r="V102" i="11"/>
  <c r="V79" i="8"/>
  <c r="V81" i="8" s="1"/>
  <c r="V86" i="8" s="1"/>
  <c r="AA87" i="8" s="1"/>
  <c r="CI41" i="14"/>
  <c r="CE160" i="11"/>
  <c r="AN123" i="7" s="1"/>
  <c r="AM122" i="7"/>
  <c r="CD165" i="11"/>
  <c r="AM126" i="7" s="1"/>
  <c r="AK26" i="7"/>
  <c r="AF12" i="7"/>
  <c r="CG59" i="13"/>
  <c r="CL54" i="13"/>
  <c r="T79" i="7"/>
  <c r="Y87" i="7"/>
  <c r="BK57" i="11"/>
  <c r="W95" i="7"/>
  <c r="BN86" i="11"/>
  <c r="BN93" i="11"/>
  <c r="BX56" i="13"/>
  <c r="BW58" i="13"/>
  <c r="BX58" i="13" s="1"/>
  <c r="BX55" i="13"/>
  <c r="BW129" i="13"/>
  <c r="BW60" i="13"/>
  <c r="BX57" i="13"/>
  <c r="BX54" i="13"/>
  <c r="BT19" i="13"/>
  <c r="BT20" i="13" s="1"/>
  <c r="BR18" i="13"/>
  <c r="BW19" i="13" s="1"/>
  <c r="BW20" i="13" s="1"/>
  <c r="BH39" i="2"/>
  <c r="CB61" i="13"/>
  <c r="CB60" i="13"/>
  <c r="X95" i="7"/>
  <c r="BO93" i="11"/>
  <c r="BO86" i="11"/>
  <c r="AF95" i="7"/>
  <c r="BW93" i="11"/>
  <c r="AP95" i="7"/>
  <c r="CG93" i="11"/>
  <c r="AK95" i="7"/>
  <c r="CB93" i="11"/>
  <c r="CE41" i="13"/>
  <c r="CE157" i="11"/>
  <c r="AN122" i="7" s="1"/>
  <c r="V95" i="7"/>
  <c r="BM93" i="11"/>
  <c r="CB23" i="8"/>
  <c r="BJ23" i="13"/>
  <c r="BJ18" i="13"/>
  <c r="BJ45" i="11"/>
  <c r="X87" i="7" s="1"/>
  <c r="CI126" i="13"/>
  <c r="CH127" i="13"/>
  <c r="CH124" i="13" s="1"/>
  <c r="BW31" i="13"/>
  <c r="BW30" i="13"/>
  <c r="BW133" i="11"/>
  <c r="BW146" i="11" s="1"/>
  <c r="CG22" i="13"/>
  <c r="CG133" i="11"/>
  <c r="CG146" i="11" s="1"/>
  <c r="CG31" i="13"/>
  <c r="CG30" i="13"/>
  <c r="AK79" i="7"/>
  <c r="AK87" i="7"/>
  <c r="CB57" i="11"/>
  <c r="CB31" i="13"/>
  <c r="CB30" i="13"/>
  <c r="CB133" i="11"/>
  <c r="CB146" i="11" s="1"/>
  <c r="U122" i="7"/>
  <c r="BL165" i="11"/>
  <c r="CB75" i="13"/>
  <c r="T95" i="7"/>
  <c r="BK86" i="11"/>
  <c r="BK93" i="11"/>
  <c r="AF79" i="7"/>
  <c r="BW57" i="11"/>
  <c r="X79" i="7"/>
  <c r="AC87" i="7"/>
  <c r="BO57" i="11"/>
  <c r="CF40" i="13"/>
  <c r="AW23" i="12"/>
  <c r="AS44" i="11"/>
  <c r="BB24" i="12"/>
  <c r="BM19" i="12"/>
  <c r="BM20" i="12" s="1"/>
  <c r="BQ18" i="12"/>
  <c r="BR19" i="12"/>
  <c r="BR20" i="12" s="1"/>
  <c r="AF78" i="7"/>
  <c r="AF86" i="7"/>
  <c r="BW56" i="11"/>
  <c r="CF19" i="12"/>
  <c r="CF20" i="12" s="1"/>
  <c r="BG37" i="12"/>
  <c r="CF31" i="12"/>
  <c r="CF30" i="12"/>
  <c r="CB132" i="11"/>
  <c r="CB145" i="11" s="1"/>
  <c r="CK31" i="12"/>
  <c r="B105" i="7"/>
  <c r="B94" i="7"/>
  <c r="AS92" i="11"/>
  <c r="AS86" i="11"/>
  <c r="AW49" i="12"/>
  <c r="AW69" i="12" s="1"/>
  <c r="BD23" i="12"/>
  <c r="BD24" i="12"/>
  <c r="BD18" i="12"/>
  <c r="BD19" i="12" s="1"/>
  <c r="BD20" i="12" s="1"/>
  <c r="AZ44" i="11"/>
  <c r="BQ23" i="12"/>
  <c r="BQ29" i="12"/>
  <c r="BM44" i="11"/>
  <c r="AA86" i="7" s="1"/>
  <c r="BV46" i="12"/>
  <c r="BL46" i="12"/>
  <c r="AA78" i="7"/>
  <c r="BR56" i="11"/>
  <c r="AF94" i="7"/>
  <c r="BW92" i="11"/>
  <c r="BW86" i="11"/>
  <c r="BC19" i="12"/>
  <c r="BC20" i="12" s="1"/>
  <c r="BI23" i="12"/>
  <c r="BI24" i="12"/>
  <c r="BI18" i="12"/>
  <c r="BE44" i="11"/>
  <c r="BN24" i="12"/>
  <c r="BF26" i="12"/>
  <c r="BE22" i="12"/>
  <c r="BA66" i="11"/>
  <c r="BA74" i="11" s="1"/>
  <c r="AN121" i="7"/>
  <c r="BB165" i="11"/>
  <c r="K126" i="7" s="1"/>
  <c r="K121" i="7"/>
  <c r="E86" i="7"/>
  <c r="AQ56" i="11"/>
  <c r="BQ80" i="12"/>
  <c r="W44" i="11"/>
  <c r="AC22" i="12"/>
  <c r="Y44" i="11" s="1"/>
  <c r="Y56" i="11" s="1"/>
  <c r="L94" i="7"/>
  <c r="BC92" i="11"/>
  <c r="BG91" i="12"/>
  <c r="CB77" i="11"/>
  <c r="AK94" i="7"/>
  <c r="CB90" i="11"/>
  <c r="CB86" i="11"/>
  <c r="CB92" i="11"/>
  <c r="CA31" i="12"/>
  <c r="CA30" i="12"/>
  <c r="BW132" i="11"/>
  <c r="BW145" i="11" s="1"/>
  <c r="CA91" i="12"/>
  <c r="CP75" i="12"/>
  <c r="CU44" i="12"/>
  <c r="AQ86" i="7"/>
  <c r="AQ78" i="7"/>
  <c r="CH56" i="11"/>
  <c r="AQ24" i="12"/>
  <c r="AQ23" i="12"/>
  <c r="AQ18" i="12"/>
  <c r="AQ19" i="12" s="1"/>
  <c r="AQ20" i="12" s="1"/>
  <c r="AM44" i="11"/>
  <c r="AM56" i="11" s="1"/>
  <c r="AR22" i="12"/>
  <c r="BJ22" i="12"/>
  <c r="BK26" i="12"/>
  <c r="BF66" i="11"/>
  <c r="BF74" i="11" s="1"/>
  <c r="O86" i="11"/>
  <c r="O92" i="11"/>
  <c r="M78" i="7"/>
  <c r="M86" i="7"/>
  <c r="BD56" i="11"/>
  <c r="CJ41" i="12"/>
  <c r="CF156" i="11"/>
  <c r="BB82" i="12"/>
  <c r="BB37" i="12"/>
  <c r="BB36" i="12"/>
  <c r="BB38" i="12"/>
  <c r="AX78" i="11"/>
  <c r="AU19" i="12"/>
  <c r="AU20" i="12" s="1"/>
  <c r="W86" i="7"/>
  <c r="R78" i="7"/>
  <c r="R86" i="7"/>
  <c r="BI56" i="11"/>
  <c r="AA38" i="12"/>
  <c r="AA37" i="12"/>
  <c r="AF38" i="12"/>
  <c r="AF37" i="12"/>
  <c r="W78" i="11"/>
  <c r="AC35" i="12"/>
  <c r="AZ19" i="12"/>
  <c r="AZ20" i="12" s="1"/>
  <c r="AV23" i="12"/>
  <c r="AV24" i="12"/>
  <c r="AV18" i="12"/>
  <c r="AW18" i="12" s="1"/>
  <c r="AR44" i="11"/>
  <c r="BA24" i="12"/>
  <c r="BV24" i="12"/>
  <c r="CG86" i="11"/>
  <c r="AP94" i="7"/>
  <c r="BD61" i="12"/>
  <c r="BD49" i="12"/>
  <c r="H78" i="7"/>
  <c r="H86" i="7"/>
  <c r="AY56" i="11"/>
  <c r="CP106" i="11"/>
  <c r="BH19" i="12"/>
  <c r="BH20" i="12" s="1"/>
  <c r="AP86" i="7"/>
  <c r="AK78" i="7"/>
  <c r="AK86" i="7"/>
  <c r="CB56" i="11"/>
  <c r="V92" i="11"/>
  <c r="CZ47" i="12"/>
  <c r="CU78" i="12"/>
  <c r="P113" i="2"/>
  <c r="BN154" i="11"/>
  <c r="BN103" i="11"/>
  <c r="AK154" i="11"/>
  <c r="AK102" i="11"/>
  <c r="AK104" i="11" s="1"/>
  <c r="AK103" i="11"/>
  <c r="AU154" i="11"/>
  <c r="AU103" i="11"/>
  <c r="BG154" i="11"/>
  <c r="AS154" i="11"/>
  <c r="AS102" i="11"/>
  <c r="AS103" i="11"/>
  <c r="BM24" i="11"/>
  <c r="AS37" i="2" s="1"/>
  <c r="AS36" i="2"/>
  <c r="BT195" i="11"/>
  <c r="BT23" i="8"/>
  <c r="AC12" i="7"/>
  <c r="AZ39" i="2"/>
  <c r="AR24" i="11"/>
  <c r="X37" i="2" s="1"/>
  <c r="X36" i="2"/>
  <c r="BH24" i="11"/>
  <c r="AN37" i="2" s="1"/>
  <c r="AN36" i="2"/>
  <c r="BZ23" i="8"/>
  <c r="AI12" i="7"/>
  <c r="BF39" i="2"/>
  <c r="AD100" i="9"/>
  <c r="AB97" i="9"/>
  <c r="AB81" i="9"/>
  <c r="AB79" i="9"/>
  <c r="AB108" i="9" s="1"/>
  <c r="AB110" i="9" s="1"/>
  <c r="AB80" i="9"/>
  <c r="AB77" i="9"/>
  <c r="AK19" i="7"/>
  <c r="CB32" i="8"/>
  <c r="BH58" i="2" s="1"/>
  <c r="BH63" i="2"/>
  <c r="AC100" i="9"/>
  <c r="BI78" i="9"/>
  <c r="BI80" i="9"/>
  <c r="BI79" i="9"/>
  <c r="BI108" i="9" s="1"/>
  <c r="BI110" i="9" s="1"/>
  <c r="BI81" i="9"/>
  <c r="BI77" i="9"/>
  <c r="CB24" i="11"/>
  <c r="BH37" i="2" s="1"/>
  <c r="BH36" i="2"/>
  <c r="AK20" i="7"/>
  <c r="CB35" i="8"/>
  <c r="BH59" i="2" s="1"/>
  <c r="BX79" i="8"/>
  <c r="BE26" i="11"/>
  <c r="AK36" i="2"/>
  <c r="R64" i="11"/>
  <c r="BP32" i="11"/>
  <c r="BP33" i="11"/>
  <c r="T64" i="11"/>
  <c r="H101" i="7"/>
  <c r="BZ24" i="11"/>
  <c r="BF36" i="2"/>
  <c r="BI24" i="11"/>
  <c r="AO37" i="2" s="1"/>
  <c r="AO36" i="2"/>
  <c r="BG81" i="9"/>
  <c r="BQ33" i="11"/>
  <c r="BQ32" i="11"/>
  <c r="BL32" i="11"/>
  <c r="BL33" i="11"/>
  <c r="AM97" i="9"/>
  <c r="BK97" i="9"/>
  <c r="BF154" i="11"/>
  <c r="BF103" i="11"/>
  <c r="AT154" i="11"/>
  <c r="AT103" i="11"/>
  <c r="AN154" i="11"/>
  <c r="AN102" i="11"/>
  <c r="AN104" i="11" s="1"/>
  <c r="AN103" i="11"/>
  <c r="AJ154" i="11"/>
  <c r="AJ102" i="11"/>
  <c r="AJ104" i="11" s="1"/>
  <c r="AJ103" i="11"/>
  <c r="CD154" i="11"/>
  <c r="CD141" i="11"/>
  <c r="CD31" i="11"/>
  <c r="BI154" i="11"/>
  <c r="BI103" i="11"/>
  <c r="CF141" i="11"/>
  <c r="CH154" i="11"/>
  <c r="CH141" i="11"/>
  <c r="CH31" i="11"/>
  <c r="AV75" i="6"/>
  <c r="BD38" i="2"/>
  <c r="AR32" i="11"/>
  <c r="AR33" i="11"/>
  <c r="BH32" i="11"/>
  <c r="BH33" i="11"/>
  <c r="BS32" i="11"/>
  <c r="BS33" i="11"/>
  <c r="BE78" i="9"/>
  <c r="BE81" i="9"/>
  <c r="BE77" i="9"/>
  <c r="BE79" i="9"/>
  <c r="BE108" i="9" s="1"/>
  <c r="AK126" i="7"/>
  <c r="CB166" i="11"/>
  <c r="Y64" i="11"/>
  <c r="BY23" i="8"/>
  <c r="AH12" i="7"/>
  <c r="BE39" i="2"/>
  <c r="AA80" i="9"/>
  <c r="AA77" i="9"/>
  <c r="AA79" i="9"/>
  <c r="AA108" i="9" s="1"/>
  <c r="AA78" i="9"/>
  <c r="AA100" i="9"/>
  <c r="AA81" i="9"/>
  <c r="AR75" i="6"/>
  <c r="AR76" i="6" s="1"/>
  <c r="AZ38" i="2"/>
  <c r="BA100" i="9"/>
  <c r="AM80" i="9"/>
  <c r="AM81" i="9"/>
  <c r="AM77" i="9"/>
  <c r="AM79" i="9"/>
  <c r="AM108" i="9" s="1"/>
  <c r="AM110" i="9" s="1"/>
  <c r="AM78" i="9"/>
  <c r="AM100" i="9"/>
  <c r="AZ26" i="11"/>
  <c r="AF36" i="2"/>
  <c r="AF79" i="9"/>
  <c r="AF108" i="9" s="1"/>
  <c r="AF110" i="9" s="1"/>
  <c r="AF78" i="9"/>
  <c r="AF81" i="9"/>
  <c r="AF77" i="9"/>
  <c r="AF80" i="9"/>
  <c r="BM80" i="9"/>
  <c r="BM79" i="9"/>
  <c r="BM108" i="9" s="1"/>
  <c r="BM110" i="9" s="1"/>
  <c r="BM77" i="9"/>
  <c r="BM81" i="9"/>
  <c r="BM78" i="9"/>
  <c r="BO32" i="11"/>
  <c r="BO33" i="11"/>
  <c r="CG169" i="11"/>
  <c r="CF170" i="11"/>
  <c r="AO100" i="9"/>
  <c r="AN26" i="11"/>
  <c r="T36" i="2"/>
  <c r="BD26" i="11"/>
  <c r="AJ36" i="2"/>
  <c r="BL80" i="9"/>
  <c r="BL81" i="9"/>
  <c r="BL78" i="9"/>
  <c r="BL79" i="9"/>
  <c r="BL108" i="9" s="1"/>
  <c r="BL110" i="9" s="1"/>
  <c r="BL77" i="9"/>
  <c r="AL25" i="11"/>
  <c r="R36" i="2"/>
  <c r="BU24" i="11"/>
  <c r="BA36" i="2"/>
  <c r="CI49" i="8"/>
  <c r="AR169" i="7"/>
  <c r="BP170" i="11"/>
  <c r="BP175" i="11" s="1"/>
  <c r="BR169" i="11"/>
  <c r="AQ100" i="9"/>
  <c r="I101" i="7"/>
  <c r="AM103" i="11"/>
  <c r="CC154" i="11"/>
  <c r="AP154" i="11"/>
  <c r="AP103" i="11"/>
  <c r="AP102" i="11"/>
  <c r="AP104" i="11" s="1"/>
  <c r="AU81" i="9"/>
  <c r="AU78" i="9"/>
  <c r="AU80" i="9"/>
  <c r="AU77" i="9"/>
  <c r="AU79" i="9"/>
  <c r="AU108" i="9" s="1"/>
  <c r="BD75" i="6"/>
  <c r="BL38" i="2"/>
  <c r="AZ81" i="9"/>
  <c r="AZ80" i="9"/>
  <c r="AZ77" i="9"/>
  <c r="AZ79" i="9"/>
  <c r="AZ108" i="9" s="1"/>
  <c r="AZ78" i="9"/>
  <c r="AP26" i="7"/>
  <c r="BA24" i="11"/>
  <c r="AG37" i="2" s="1"/>
  <c r="AG36" i="2"/>
  <c r="CJ23" i="8"/>
  <c r="AS12" i="7"/>
  <c r="BP39" i="2"/>
  <c r="AV24" i="11"/>
  <c r="AB37" i="2" s="1"/>
  <c r="AB36" i="2"/>
  <c r="CD24" i="11"/>
  <c r="BJ37" i="2" s="1"/>
  <c r="BJ36" i="2"/>
  <c r="BD81" i="9"/>
  <c r="BD78" i="9"/>
  <c r="BD80" i="9"/>
  <c r="BD79" i="9"/>
  <c r="BD108" i="9" s="1"/>
  <c r="BD77" i="9"/>
  <c r="BU23" i="8"/>
  <c r="AD12" i="7"/>
  <c r="BA39" i="2"/>
  <c r="BM100" i="9"/>
  <c r="AF64" i="11"/>
  <c r="AF53" i="11"/>
  <c r="AQ24" i="11"/>
  <c r="W37" i="2" s="1"/>
  <c r="W36" i="2"/>
  <c r="BC81" i="9"/>
  <c r="AZ32" i="11"/>
  <c r="AZ33" i="11"/>
  <c r="AX75" i="6"/>
  <c r="BF38" i="2"/>
  <c r="CE24" i="11"/>
  <c r="BK37" i="2" s="1"/>
  <c r="BK36" i="2"/>
  <c r="BH78" i="9"/>
  <c r="BH79" i="9"/>
  <c r="BH108" i="9" s="1"/>
  <c r="BH77" i="9"/>
  <c r="BH80" i="9"/>
  <c r="BH81" i="9"/>
  <c r="AW80" i="9"/>
  <c r="AW79" i="9"/>
  <c r="AW108" i="9" s="1"/>
  <c r="AW77" i="9"/>
  <c r="AW78" i="9"/>
  <c r="AW81" i="9"/>
  <c r="AM26" i="11"/>
  <c r="S36" i="2"/>
  <c r="BC97" i="9"/>
  <c r="BM97" i="9"/>
  <c r="BM33" i="11"/>
  <c r="AN32" i="11"/>
  <c r="AN33" i="11"/>
  <c r="BD32" i="11"/>
  <c r="BD33" i="11"/>
  <c r="AV80" i="9"/>
  <c r="AV100" i="9"/>
  <c r="AV81" i="9"/>
  <c r="AV79" i="9"/>
  <c r="AV108" i="9" s="1"/>
  <c r="AV110" i="9" s="1"/>
  <c r="AV77" i="9"/>
  <c r="AV78" i="9"/>
  <c r="BA78" i="9"/>
  <c r="BA77" i="9"/>
  <c r="BA81" i="9"/>
  <c r="BA79" i="9"/>
  <c r="BA108" i="9" s="1"/>
  <c r="BA80" i="9"/>
  <c r="BH97" i="9"/>
  <c r="Q113" i="2"/>
  <c r="AL154" i="11"/>
  <c r="AL103" i="11"/>
  <c r="AL102" i="11"/>
  <c r="AL104" i="11" s="1"/>
  <c r="CA154" i="11"/>
  <c r="CA31" i="11"/>
  <c r="AR154" i="11"/>
  <c r="AR102" i="11"/>
  <c r="AR104" i="11" s="1"/>
  <c r="AR103" i="11"/>
  <c r="CE154" i="11"/>
  <c r="CE141" i="11"/>
  <c r="CE31" i="11"/>
  <c r="BK154" i="11"/>
  <c r="BK103" i="11"/>
  <c r="BK80" i="9"/>
  <c r="BK81" i="9"/>
  <c r="BK77" i="9"/>
  <c r="BK79" i="9"/>
  <c r="BK108" i="9" s="1"/>
  <c r="BK110" i="9" s="1"/>
  <c r="BK78" i="9"/>
  <c r="BV26" i="11"/>
  <c r="BB36" i="2"/>
  <c r="AW75" i="6"/>
  <c r="BE38" i="2"/>
  <c r="BS26" i="11"/>
  <c r="AY36" i="2"/>
  <c r="BW24" i="11"/>
  <c r="BC36" i="2"/>
  <c r="CG184" i="11"/>
  <c r="CG186" i="11" s="1"/>
  <c r="CG183" i="11"/>
  <c r="P64" i="11"/>
  <c r="P53" i="11"/>
  <c r="AY80" i="9"/>
  <c r="AY81" i="9"/>
  <c r="AY77" i="9"/>
  <c r="AY79" i="9"/>
  <c r="AY108" i="9" s="1"/>
  <c r="AY78" i="9"/>
  <c r="AV32" i="11"/>
  <c r="AV33" i="11"/>
  <c r="AS75" i="6"/>
  <c r="AS76" i="6" s="1"/>
  <c r="BA38" i="2"/>
  <c r="BT24" i="11"/>
  <c r="AZ36" i="2"/>
  <c r="CF24" i="11"/>
  <c r="BL37" i="2" s="1"/>
  <c r="BL36" i="2"/>
  <c r="CA24" i="11"/>
  <c r="BG37" i="2" s="1"/>
  <c r="BG36" i="2"/>
  <c r="AW33" i="11"/>
  <c r="BP26" i="11"/>
  <c r="AV36" i="2"/>
  <c r="AM32" i="11"/>
  <c r="AM33" i="11"/>
  <c r="BO26" i="11"/>
  <c r="AU36" i="2"/>
  <c r="BW169" i="11"/>
  <c r="BS170" i="11"/>
  <c r="BS175" i="11" s="1"/>
  <c r="K119" i="7"/>
  <c r="K101" i="7"/>
  <c r="AE100" i="9"/>
  <c r="AA97" i="9"/>
  <c r="AQ80" i="9"/>
  <c r="AQ81" i="9"/>
  <c r="AQ77" i="9"/>
  <c r="AQ79" i="9"/>
  <c r="AQ108" i="9" s="1"/>
  <c r="AQ110" i="9" s="1"/>
  <c r="AQ97" i="9"/>
  <c r="AQ78" i="9"/>
  <c r="AT100" i="9"/>
  <c r="BX23" i="8"/>
  <c r="AG12" i="7"/>
  <c r="BD39" i="2"/>
  <c r="BQ26" i="11"/>
  <c r="AW36" i="2"/>
  <c r="BL24" i="11"/>
  <c r="AR37" i="2" s="1"/>
  <c r="AR36" i="2"/>
  <c r="V64" i="11"/>
  <c r="AL33" i="11"/>
  <c r="AL32" i="11"/>
  <c r="BL100" i="9"/>
  <c r="BQ100" i="9"/>
  <c r="AB100" i="9"/>
  <c r="AG64" i="11"/>
  <c r="AG53" i="11"/>
  <c r="BN127" i="10"/>
  <c r="AK187" i="7"/>
  <c r="AT145" i="2"/>
  <c r="BB83" i="10"/>
  <c r="BD84" i="10"/>
  <c r="BB117" i="10"/>
  <c r="BB120" i="10" s="1"/>
  <c r="BB96" i="10"/>
  <c r="BB36" i="10"/>
  <c r="Y175" i="7"/>
  <c r="Y176" i="7" s="1"/>
  <c r="BB29" i="10"/>
  <c r="U191" i="7"/>
  <c r="BJ44" i="10"/>
  <c r="BJ47" i="10" s="1"/>
  <c r="AG185" i="7"/>
  <c r="AS48" i="10"/>
  <c r="BA55" i="10"/>
  <c r="AJ55" i="10"/>
  <c r="Q170" i="7"/>
  <c r="AO65" i="10"/>
  <c r="AO71" i="10" s="1"/>
  <c r="AO126" i="10"/>
  <c r="BB48" i="10"/>
  <c r="BB57" i="10" s="1"/>
  <c r="AO82" i="10"/>
  <c r="AO76" i="10" s="1"/>
  <c r="AK83" i="10"/>
  <c r="BD101" i="10"/>
  <c r="AA174" i="7"/>
  <c r="AX23" i="2"/>
  <c r="AS120" i="10"/>
  <c r="AR117" i="10"/>
  <c r="AR120" i="10" s="1"/>
  <c r="AR36" i="10"/>
  <c r="O175" i="7"/>
  <c r="O176" i="7" s="1"/>
  <c r="AY35" i="10"/>
  <c r="V184" i="7" s="1"/>
  <c r="AI131" i="2"/>
  <c r="AI148" i="2" s="1"/>
  <c r="AI145" i="2" s="1"/>
  <c r="BM55" i="10"/>
  <c r="AT55" i="10"/>
  <c r="BV80" i="10"/>
  <c r="BW75" i="10"/>
  <c r="AE48" i="10"/>
  <c r="AE57" i="10" s="1"/>
  <c r="V183" i="7"/>
  <c r="AS136" i="2"/>
  <c r="AS137" i="2" s="1"/>
  <c r="AS139" i="2" s="1"/>
  <c r="Z174" i="7"/>
  <c r="AW23" i="2"/>
  <c r="AH83" i="10"/>
  <c r="AJ84" i="10"/>
  <c r="AJ83" i="10" s="1"/>
  <c r="BE48" i="10"/>
  <c r="BE47" i="10" s="1"/>
  <c r="AF188" i="7"/>
  <c r="BC141" i="2"/>
  <c r="AL48" i="10"/>
  <c r="AL57" i="10" s="1"/>
  <c r="BF54" i="8" s="1"/>
  <c r="BD39" i="10"/>
  <c r="BD35" i="10"/>
  <c r="AA184" i="7" s="1"/>
  <c r="BE144" i="2"/>
  <c r="AZ146" i="2"/>
  <c r="T146" i="2"/>
  <c r="BJ146" i="2"/>
  <c r="BB146" i="2"/>
  <c r="V146" i="2"/>
  <c r="W146" i="2"/>
  <c r="AE145" i="2"/>
  <c r="V169" i="7"/>
  <c r="AS108" i="2"/>
  <c r="BN36" i="10"/>
  <c r="BD48" i="10"/>
  <c r="BD57" i="10" s="1"/>
  <c r="AH93" i="10"/>
  <c r="AB131" i="2"/>
  <c r="AB148" i="2" s="1"/>
  <c r="AB146" i="2" s="1"/>
  <c r="CB88" i="10"/>
  <c r="CB39" i="10" s="1"/>
  <c r="CC87" i="10"/>
  <c r="AU188" i="7"/>
  <c r="BR141" i="2"/>
  <c r="BO44" i="10"/>
  <c r="BO47" i="10" s="1"/>
  <c r="AL185" i="7"/>
  <c r="BG117" i="10"/>
  <c r="BG120" i="10" s="1"/>
  <c r="BG96" i="10"/>
  <c r="BG29" i="10"/>
  <c r="AD175" i="7"/>
  <c r="AD179" i="7" s="1"/>
  <c r="S191" i="7"/>
  <c r="AO55" i="10"/>
  <c r="Z82" i="10"/>
  <c r="Z83" i="10" s="1"/>
  <c r="V83" i="10"/>
  <c r="AO79" i="10"/>
  <c r="BT44" i="10"/>
  <c r="BT47" i="10" s="1"/>
  <c r="AQ185" i="7"/>
  <c r="AR83" i="10"/>
  <c r="AT84" i="10"/>
  <c r="P182" i="7"/>
  <c r="AM135" i="2"/>
  <c r="AS36" i="10"/>
  <c r="AX117" i="10"/>
  <c r="AX96" i="10"/>
  <c r="AX36" i="10"/>
  <c r="U175" i="7"/>
  <c r="BC35" i="10"/>
  <c r="Z184" i="7" s="1"/>
  <c r="AT48" i="10"/>
  <c r="AT57" i="10" s="1"/>
  <c r="P37" i="7"/>
  <c r="BH61" i="8"/>
  <c r="Q37" i="7" s="1"/>
  <c r="Q169" i="7"/>
  <c r="AN108" i="2"/>
  <c r="AS131" i="2"/>
  <c r="Y36" i="10"/>
  <c r="Y44" i="10" s="1"/>
  <c r="S135" i="2"/>
  <c r="AW117" i="10"/>
  <c r="AW120" i="10" s="1"/>
  <c r="AW96" i="10"/>
  <c r="AW36" i="10"/>
  <c r="T175" i="7"/>
  <c r="T176" i="7" s="1"/>
  <c r="BF44" i="10"/>
  <c r="BF47" i="10" s="1"/>
  <c r="AC190" i="7" s="1"/>
  <c r="AC185" i="7"/>
  <c r="AN47" i="10"/>
  <c r="K190" i="7" s="1"/>
  <c r="K191" i="7"/>
  <c r="AG48" i="10"/>
  <c r="BG87" i="10"/>
  <c r="BI88" i="10"/>
  <c r="BI87" i="10" s="1"/>
  <c r="AV188" i="7"/>
  <c r="BS141" i="2"/>
  <c r="AX35" i="10"/>
  <c r="U184" i="7" s="1"/>
  <c r="AC117" i="10"/>
  <c r="AC120" i="10" s="1"/>
  <c r="AC36" i="10"/>
  <c r="AC44" i="10" s="1"/>
  <c r="AC47" i="10" s="1"/>
  <c r="AC96" i="10"/>
  <c r="BH44" i="10"/>
  <c r="BH47" i="10" s="1"/>
  <c r="AE190" i="7" s="1"/>
  <c r="AE185" i="7"/>
  <c r="AX127" i="10"/>
  <c r="AX84" i="10"/>
  <c r="AX83" i="10" s="1"/>
  <c r="U187" i="7"/>
  <c r="Y47" i="10"/>
  <c r="BQ48" i="10"/>
  <c r="BQ47" i="10" s="1"/>
  <c r="BD118" i="10"/>
  <c r="BD119" i="10" s="1"/>
  <c r="BD71" i="10"/>
  <c r="AQ55" i="10"/>
  <c r="BH119" i="10"/>
  <c r="BH120" i="10" s="1"/>
  <c r="AX188" i="7"/>
  <c r="BU141" i="2"/>
  <c r="AY101" i="10"/>
  <c r="V174" i="7"/>
  <c r="AS23" i="2"/>
  <c r="BS36" i="10"/>
  <c r="F183" i="7"/>
  <c r="AI36" i="10"/>
  <c r="AC136" i="2"/>
  <c r="AC137" i="2" s="1"/>
  <c r="AC139" i="2" s="1"/>
  <c r="BR44" i="10"/>
  <c r="AO185" i="7"/>
  <c r="AK48" i="10"/>
  <c r="AK47" i="10" s="1"/>
  <c r="BN82" i="10"/>
  <c r="BN76" i="10" s="1"/>
  <c r="BN79" i="10" s="1"/>
  <c r="BJ83" i="10"/>
  <c r="AV44" i="10"/>
  <c r="AV47" i="10" s="1"/>
  <c r="S190" i="7" s="1"/>
  <c r="S185" i="7"/>
  <c r="AC83" i="10"/>
  <c r="AE84" i="10"/>
  <c r="AE83" i="10" s="1"/>
  <c r="AN131" i="2"/>
  <c r="AF47" i="10"/>
  <c r="C191" i="7"/>
  <c r="AW48" i="10"/>
  <c r="AW57" i="10" s="1"/>
  <c r="BQ54" i="8" s="1"/>
  <c r="Z38" i="7" s="1"/>
  <c r="BR55" i="10"/>
  <c r="BD19" i="10"/>
  <c r="T170" i="7"/>
  <c r="AY19" i="10"/>
  <c r="AR93" i="10"/>
  <c r="AL131" i="2"/>
  <c r="AN57" i="10"/>
  <c r="AG55" i="10"/>
  <c r="AY48" i="10"/>
  <c r="AY57" i="10" s="1"/>
  <c r="Z37" i="7"/>
  <c r="BR61" i="8"/>
  <c r="AY38" i="10"/>
  <c r="BE146" i="2"/>
  <c r="Y146" i="2"/>
  <c r="X144" i="2"/>
  <c r="BD146" i="2"/>
  <c r="AJ146" i="2"/>
  <c r="X146" i="2"/>
  <c r="BN146" i="2"/>
  <c r="BF146" i="2"/>
  <c r="AP146" i="2"/>
  <c r="AH146" i="2"/>
  <c r="Z146" i="2"/>
  <c r="R146" i="2"/>
  <c r="BK144" i="2"/>
  <c r="W144" i="2"/>
  <c r="AA169" i="7"/>
  <c r="AX108" i="2"/>
  <c r="BM127" i="10"/>
  <c r="BM84" i="10"/>
  <c r="BM83" i="10" s="1"/>
  <c r="AJ187" i="7"/>
  <c r="BC88" i="10"/>
  <c r="Z188" i="7"/>
  <c r="AW141" i="2"/>
  <c r="BC25" i="10"/>
  <c r="AW22" i="2"/>
  <c r="AW83" i="10"/>
  <c r="BM44" i="10"/>
  <c r="AJ185" i="7"/>
  <c r="AM47" i="10"/>
  <c r="J190" i="7" s="1"/>
  <c r="J191" i="7"/>
  <c r="O191" i="7"/>
  <c r="BA48" i="10"/>
  <c r="BA57" i="10" s="1"/>
  <c r="AO83" i="10"/>
  <c r="AJ48" i="10"/>
  <c r="AJ57" i="10" s="1"/>
  <c r="AQ48" i="10"/>
  <c r="AQ57" i="10" s="1"/>
  <c r="BK54" i="8" s="1"/>
  <c r="AX118" i="10"/>
  <c r="AX119" i="10" s="1"/>
  <c r="AX71" i="10"/>
  <c r="BL61" i="8"/>
  <c r="AR89" i="2" s="1"/>
  <c r="AY70" i="10"/>
  <c r="AR158" i="7"/>
  <c r="AO48" i="10"/>
  <c r="AO57" i="10" s="1"/>
  <c r="AJ93" i="10"/>
  <c r="AD131" i="2"/>
  <c r="AK118" i="9"/>
  <c r="AK117" i="9"/>
  <c r="BL83" i="10"/>
  <c r="BM48" i="10"/>
  <c r="BR48" i="10"/>
  <c r="BA44" i="10"/>
  <c r="X185" i="7"/>
  <c r="AH44" i="10"/>
  <c r="AH47" i="10" s="1"/>
  <c r="E185" i="7"/>
  <c r="AE191" i="7"/>
  <c r="BX31" i="2"/>
  <c r="Z113" i="9"/>
  <c r="Z114" i="9"/>
  <c r="Z115" i="9" s="1"/>
  <c r="AT130" i="9"/>
  <c r="AT129" i="9"/>
  <c r="AT66" i="9"/>
  <c r="AU30" i="9"/>
  <c r="AM103" i="2"/>
  <c r="AV130" i="9"/>
  <c r="AM83" i="2"/>
  <c r="BA130" i="9"/>
  <c r="BA66" i="9"/>
  <c r="AT103" i="2"/>
  <c r="AT83" i="2"/>
  <c r="BD129" i="9"/>
  <c r="BD130" i="9"/>
  <c r="BD66" i="9"/>
  <c r="AW83" i="2"/>
  <c r="AW103" i="2"/>
  <c r="AY129" i="9"/>
  <c r="AY130" i="9"/>
  <c r="AZ30" i="9"/>
  <c r="AY66" i="9"/>
  <c r="AR103" i="2"/>
  <c r="AR83" i="2"/>
  <c r="AF112" i="9"/>
  <c r="BL107" i="9"/>
  <c r="BY135" i="9"/>
  <c r="BU135" i="9"/>
  <c r="AP66" i="9"/>
  <c r="AI83" i="2"/>
  <c r="AQ129" i="9"/>
  <c r="AC105" i="9"/>
  <c r="AC78" i="9"/>
  <c r="AC19" i="9"/>
  <c r="AD14" i="9"/>
  <c r="V16" i="2"/>
  <c r="AU144" i="7"/>
  <c r="BR17" i="2"/>
  <c r="AE113" i="9"/>
  <c r="AE114" i="9"/>
  <c r="AE115" i="9" s="1"/>
  <c r="AR129" i="9"/>
  <c r="AR130" i="9"/>
  <c r="AR66" i="9"/>
  <c r="AK83" i="2"/>
  <c r="AS130" i="9"/>
  <c r="AS129" i="9"/>
  <c r="AK103" i="2"/>
  <c r="AN142" i="7"/>
  <c r="BW47" i="9"/>
  <c r="BW43" i="9" s="1"/>
  <c r="AR151" i="7"/>
  <c r="BS118" i="9"/>
  <c r="BS117" i="9"/>
  <c r="BR114" i="9"/>
  <c r="BR115" i="9" s="1"/>
  <c r="BR113" i="9"/>
  <c r="BQ130" i="9"/>
  <c r="BQ129" i="9"/>
  <c r="BQ66" i="9"/>
  <c r="BJ103" i="2"/>
  <c r="BJ83" i="2"/>
  <c r="Y130" i="9"/>
  <c r="Y129" i="9"/>
  <c r="Y66" i="9"/>
  <c r="R103" i="2"/>
  <c r="R83" i="2"/>
  <c r="BU58" i="9"/>
  <c r="AP159" i="7"/>
  <c r="AP160" i="7" s="1"/>
  <c r="BT62" i="9"/>
  <c r="BL50" i="9"/>
  <c r="BL64" i="9" s="1"/>
  <c r="BL66" i="9" s="1"/>
  <c r="BE92" i="2"/>
  <c r="BL105" i="9"/>
  <c r="BE91" i="2"/>
  <c r="BI130" i="9"/>
  <c r="BI129" i="9"/>
  <c r="BI66" i="9"/>
  <c r="BB103" i="2"/>
  <c r="BB83" i="2"/>
  <c r="BY42" i="9"/>
  <c r="BX64" i="10" s="1"/>
  <c r="BX65" i="10" s="1"/>
  <c r="AT149" i="7"/>
  <c r="BQ18" i="2"/>
  <c r="BQ114" i="9"/>
  <c r="BQ115" i="9" s="1"/>
  <c r="BQ113" i="9"/>
  <c r="BR107" i="9"/>
  <c r="BR104" i="9"/>
  <c r="BR30" i="9"/>
  <c r="BK91" i="2"/>
  <c r="BK92" i="2"/>
  <c r="AK112" i="9"/>
  <c r="AK107" i="9"/>
  <c r="AK104" i="9"/>
  <c r="AD92" i="2"/>
  <c r="AD91" i="2"/>
  <c r="AA141" i="7"/>
  <c r="AA142" i="7" s="1"/>
  <c r="BE28" i="9"/>
  <c r="BE30" i="9" s="1"/>
  <c r="Z23" i="9"/>
  <c r="AE23" i="9"/>
  <c r="AA28" i="9"/>
  <c r="AB23" i="9"/>
  <c r="BS112" i="9"/>
  <c r="BS64" i="9"/>
  <c r="AB107" i="9"/>
  <c r="AB104" i="9"/>
  <c r="U92" i="2"/>
  <c r="U91" i="2"/>
  <c r="AS150" i="7"/>
  <c r="BS105" i="9"/>
  <c r="BS78" i="9"/>
  <c r="BT14" i="9"/>
  <c r="BT124" i="9" s="1"/>
  <c r="BT125" i="9" s="1"/>
  <c r="BS19" i="9"/>
  <c r="AO137" i="7"/>
  <c r="AO138" i="7" s="1"/>
  <c r="AO142" i="7" s="1"/>
  <c r="BL16" i="2"/>
  <c r="BL20" i="2" s="1"/>
  <c r="BL129" i="9"/>
  <c r="BL130" i="9"/>
  <c r="BE83" i="2"/>
  <c r="BE103" i="2"/>
  <c r="AJ113" i="9"/>
  <c r="AJ114" i="9"/>
  <c r="AJ115" i="9" s="1"/>
  <c r="BV48" i="9"/>
  <c r="BB113" i="2"/>
  <c r="AL113" i="2"/>
  <c r="Z113" i="2"/>
  <c r="AI113" i="2"/>
  <c r="BB104" i="8"/>
  <c r="BF110" i="8"/>
  <c r="BF46" i="8"/>
  <c r="BF40" i="8"/>
  <c r="BF106" i="8" s="1"/>
  <c r="BF41" i="8"/>
  <c r="O23" i="7"/>
  <c r="AM104" i="8"/>
  <c r="S50" i="2"/>
  <c r="BC40" i="8"/>
  <c r="BC106" i="8" s="1"/>
  <c r="L23" i="7"/>
  <c r="L24" i="7" s="1"/>
  <c r="BP104" i="8"/>
  <c r="AK110" i="8"/>
  <c r="AK46" i="8"/>
  <c r="AK58" i="8"/>
  <c r="X122" i="9" s="1"/>
  <c r="AK51" i="8"/>
  <c r="AK54" i="11" s="1"/>
  <c r="AK41" i="8"/>
  <c r="AK40" i="8"/>
  <c r="AK106" i="8" s="1"/>
  <c r="AD23" i="7"/>
  <c r="AD24" i="7" s="1"/>
  <c r="AT104" i="8"/>
  <c r="C17" i="7"/>
  <c r="Z50" i="2"/>
  <c r="BJ40" i="8"/>
  <c r="BJ106" i="8" s="1"/>
  <c r="AU110" i="8"/>
  <c r="AU51" i="8"/>
  <c r="AU54" i="11" s="1"/>
  <c r="AU58" i="8"/>
  <c r="AH122" i="9" s="1"/>
  <c r="AU40" i="8"/>
  <c r="AU106" i="8" s="1"/>
  <c r="AU41" i="8"/>
  <c r="AU46" i="8"/>
  <c r="AN104" i="8"/>
  <c r="T50" i="2"/>
  <c r="AZ110" i="8"/>
  <c r="AZ46" i="8"/>
  <c r="AZ58" i="8"/>
  <c r="AM122" i="9" s="1"/>
  <c r="AZ51" i="8"/>
  <c r="AZ54" i="11" s="1"/>
  <c r="AZ41" i="8"/>
  <c r="AZ40" i="8"/>
  <c r="AZ106" i="8" s="1"/>
  <c r="AW110" i="8"/>
  <c r="BA104" i="8"/>
  <c r="J17" i="7"/>
  <c r="AG50" i="2"/>
  <c r="CA110" i="8"/>
  <c r="CA51" i="8"/>
  <c r="CA54" i="11" s="1"/>
  <c r="CA58" i="8"/>
  <c r="BN122" i="9" s="1"/>
  <c r="CA40" i="8"/>
  <c r="CA106" i="8" s="1"/>
  <c r="CA46" i="8"/>
  <c r="AJ23" i="7"/>
  <c r="AJ24" i="7" s="1"/>
  <c r="AR110" i="8"/>
  <c r="AR58" i="8"/>
  <c r="AR51" i="8"/>
  <c r="AR54" i="11" s="1"/>
  <c r="AR46" i="8"/>
  <c r="AR40" i="8"/>
  <c r="AR106" i="8" s="1"/>
  <c r="BE40" i="8"/>
  <c r="BE106" i="8" s="1"/>
  <c r="BI110" i="8"/>
  <c r="BI51" i="8"/>
  <c r="BI54" i="11" s="1"/>
  <c r="BI46" i="8"/>
  <c r="BI40" i="8"/>
  <c r="BI106" i="8" s="1"/>
  <c r="R23" i="7"/>
  <c r="R24" i="7" s="1"/>
  <c r="CH51" i="8"/>
  <c r="CH54" i="11" s="1"/>
  <c r="CH46" i="8"/>
  <c r="CH40" i="8"/>
  <c r="CH106" i="8" s="1"/>
  <c r="AQ23" i="7"/>
  <c r="AQ24" i="7" s="1"/>
  <c r="T113" i="2"/>
  <c r="AX113" i="2"/>
  <c r="AH113" i="2"/>
  <c r="AL104" i="8"/>
  <c r="R50" i="2"/>
  <c r="BB110" i="8"/>
  <c r="BB51" i="8"/>
  <c r="BB54" i="11" s="1"/>
  <c r="BB46" i="8"/>
  <c r="BB40" i="8"/>
  <c r="BB106" i="8" s="1"/>
  <c r="AM51" i="8"/>
  <c r="AM54" i="11" s="1"/>
  <c r="AK104" i="8"/>
  <c r="Q50" i="2"/>
  <c r="BU104" i="8"/>
  <c r="AD17" i="7"/>
  <c r="BA50" i="2"/>
  <c r="AP104" i="8"/>
  <c r="V50" i="2"/>
  <c r="AT110" i="8"/>
  <c r="AT58" i="8"/>
  <c r="AG122" i="9" s="1"/>
  <c r="AT51" i="8"/>
  <c r="AT54" i="11" s="1"/>
  <c r="AT46" i="8"/>
  <c r="AT40" i="8"/>
  <c r="AT106" i="8" s="1"/>
  <c r="AN110" i="8"/>
  <c r="AN51" i="8"/>
  <c r="AN54" i="11" s="1"/>
  <c r="AN46" i="8"/>
  <c r="AN58" i="8"/>
  <c r="AA122" i="9" s="1"/>
  <c r="AN41" i="8"/>
  <c r="AN40" i="8"/>
  <c r="AN106" i="8" s="1"/>
  <c r="AW104" i="8"/>
  <c r="F17" i="7"/>
  <c r="AC50" i="2"/>
  <c r="BZ104" i="8"/>
  <c r="AJ104" i="8"/>
  <c r="BE104" i="8"/>
  <c r="N17" i="7"/>
  <c r="AK50" i="2"/>
  <c r="AO104" i="8"/>
  <c r="U50" i="2"/>
  <c r="BK104" i="8"/>
  <c r="T17" i="7"/>
  <c r="AQ50" i="2"/>
  <c r="AU50" i="2"/>
  <c r="AX104" i="8"/>
  <c r="G17" i="7"/>
  <c r="AD50" i="2"/>
  <c r="AL110" i="8"/>
  <c r="AL58" i="8"/>
  <c r="Y122" i="9" s="1"/>
  <c r="AL51" i="8"/>
  <c r="AL54" i="11" s="1"/>
  <c r="AL46" i="8"/>
  <c r="AL40" i="8"/>
  <c r="AL106" i="8" s="1"/>
  <c r="AL41" i="8"/>
  <c r="AG17" i="7"/>
  <c r="BI50" i="2"/>
  <c r="BM29" i="8"/>
  <c r="BM39" i="8"/>
  <c r="BM143" i="11" s="1"/>
  <c r="V16" i="7"/>
  <c r="AS41" i="2"/>
  <c r="AX41" i="2"/>
  <c r="AS8" i="2"/>
  <c r="AP110" i="8"/>
  <c r="AP58" i="8"/>
  <c r="AC122" i="9" s="1"/>
  <c r="AP46" i="8"/>
  <c r="AP40" i="8"/>
  <c r="AP106" i="8" s="1"/>
  <c r="AP41" i="8"/>
  <c r="AY110" i="8"/>
  <c r="AY51" i="8"/>
  <c r="AY54" i="11" s="1"/>
  <c r="AY46" i="8"/>
  <c r="AY40" i="8"/>
  <c r="AY106" i="8" s="1"/>
  <c r="AY41" i="8"/>
  <c r="BD104" i="8"/>
  <c r="M17" i="7"/>
  <c r="AJ50" i="2"/>
  <c r="BH46" i="8"/>
  <c r="AJ110" i="8"/>
  <c r="AJ46" i="8"/>
  <c r="AJ58" i="8"/>
  <c r="W122" i="9" s="1"/>
  <c r="AJ51" i="8"/>
  <c r="AJ54" i="11" s="1"/>
  <c r="AJ41" i="8"/>
  <c r="AJ40" i="8"/>
  <c r="AJ106" i="8" s="1"/>
  <c r="AV104" i="8"/>
  <c r="E17" i="7"/>
  <c r="AB50" i="2"/>
  <c r="CD110" i="8"/>
  <c r="CD58" i="8"/>
  <c r="BQ122" i="9" s="1"/>
  <c r="CD46" i="8"/>
  <c r="CD40" i="8"/>
  <c r="CD106" i="8" s="1"/>
  <c r="AM23" i="7"/>
  <c r="AM24" i="7" s="1"/>
  <c r="CE110" i="8"/>
  <c r="CE51" i="8"/>
  <c r="CE54" i="11" s="1"/>
  <c r="CE58" i="8"/>
  <c r="BR122" i="9" s="1"/>
  <c r="CE46" i="8"/>
  <c r="CE40" i="8"/>
  <c r="CE106" i="8" s="1"/>
  <c r="AN23" i="7"/>
  <c r="AN24" i="7" s="1"/>
  <c r="BG104" i="8"/>
  <c r="P17" i="7"/>
  <c r="AM50" i="2"/>
  <c r="BK110" i="8"/>
  <c r="BK40" i="8"/>
  <c r="BK106" i="8" s="1"/>
  <c r="BK41" i="8"/>
  <c r="BK46" i="8"/>
  <c r="T23" i="7"/>
  <c r="T24" i="7" s="1"/>
  <c r="AS104" i="8"/>
  <c r="B17" i="7"/>
  <c r="Y50" i="2"/>
  <c r="BF104" i="8"/>
  <c r="O17" i="7"/>
  <c r="AL50" i="2"/>
  <c r="BN110" i="8"/>
  <c r="BN51" i="8"/>
  <c r="BN54" i="11" s="1"/>
  <c r="BN46" i="8"/>
  <c r="BN40" i="8"/>
  <c r="BN106" i="8" s="1"/>
  <c r="BN41" i="8"/>
  <c r="W23" i="7"/>
  <c r="W24" i="7" s="1"/>
  <c r="BY104" i="8"/>
  <c r="AH17" i="7"/>
  <c r="BE50" i="2"/>
  <c r="AU104" i="8"/>
  <c r="D17" i="7"/>
  <c r="AA50" i="2"/>
  <c r="AY104" i="8"/>
  <c r="H17" i="7"/>
  <c r="AE50" i="2"/>
  <c r="AZ104" i="8"/>
  <c r="I17" i="7"/>
  <c r="AF50" i="2"/>
  <c r="BD110" i="8"/>
  <c r="BD46" i="8"/>
  <c r="BA110" i="8"/>
  <c r="BA46" i="8"/>
  <c r="BA51" i="8"/>
  <c r="BA54" i="11" s="1"/>
  <c r="BA40" i="8"/>
  <c r="BA106" i="8" s="1"/>
  <c r="AR104" i="8"/>
  <c r="X50" i="2"/>
  <c r="CE104" i="8"/>
  <c r="AN17" i="7"/>
  <c r="BK50" i="2"/>
  <c r="AS110" i="8"/>
  <c r="AS51" i="8"/>
  <c r="AS54" i="11" s="1"/>
  <c r="AS46" i="8"/>
  <c r="AS58" i="8"/>
  <c r="AF122" i="9" s="1"/>
  <c r="AS40" i="8"/>
  <c r="AS106" i="8" s="1"/>
  <c r="AS41" i="8"/>
  <c r="B23" i="7"/>
  <c r="B24" i="7" s="1"/>
  <c r="BM67" i="6"/>
  <c r="BN66" i="6"/>
  <c r="BM63" i="6"/>
  <c r="BM64" i="6" s="1"/>
  <c r="BE122" i="2"/>
  <c r="BE89" i="2"/>
  <c r="BE32" i="2"/>
  <c r="BE133" i="2" s="1"/>
  <c r="I123" i="2"/>
  <c r="I122" i="2"/>
  <c r="I89" i="2"/>
  <c r="I32" i="2"/>
  <c r="I133" i="2" s="1"/>
  <c r="AC145" i="2"/>
  <c r="M145" i="2"/>
  <c r="AQ145" i="2"/>
  <c r="BL122" i="2"/>
  <c r="BL89" i="2"/>
  <c r="BL32" i="2"/>
  <c r="BL133" i="2" s="1"/>
  <c r="P122" i="2"/>
  <c r="P89" i="2"/>
  <c r="P32" i="2"/>
  <c r="P133" i="2" s="1"/>
  <c r="H85" i="2"/>
  <c r="H20" i="2"/>
  <c r="BN122" i="2"/>
  <c r="BN32" i="2"/>
  <c r="BN133" i="2" s="1"/>
  <c r="R122" i="2"/>
  <c r="R89" i="2"/>
  <c r="R32" i="2"/>
  <c r="R133" i="2" s="1"/>
  <c r="AD85" i="2"/>
  <c r="AD20" i="2"/>
  <c r="K123" i="2"/>
  <c r="K122" i="2"/>
  <c r="K89" i="2"/>
  <c r="K32" i="2"/>
  <c r="K133" i="2" s="1"/>
  <c r="E84" i="2"/>
  <c r="BH147" i="2"/>
  <c r="BA147" i="2"/>
  <c r="U147" i="2"/>
  <c r="AY147" i="2"/>
  <c r="AB147" i="2"/>
  <c r="BI147" i="2"/>
  <c r="AC147" i="2"/>
  <c r="M147" i="2"/>
  <c r="AR144" i="2"/>
  <c r="D147" i="2"/>
  <c r="AG144" i="2"/>
  <c r="Q144" i="2"/>
  <c r="BI146" i="2"/>
  <c r="BA146" i="2"/>
  <c r="AK146" i="2"/>
  <c r="U146" i="2"/>
  <c r="E146" i="2"/>
  <c r="AJ144" i="2"/>
  <c r="T144" i="2"/>
  <c r="D144" i="2"/>
  <c r="BL146" i="2"/>
  <c r="AV146" i="2"/>
  <c r="AF146" i="2"/>
  <c r="P146" i="2"/>
  <c r="BG146" i="2"/>
  <c r="AY146" i="2"/>
  <c r="AQ146" i="2"/>
  <c r="AA146" i="2"/>
  <c r="K146" i="2"/>
  <c r="C146" i="2"/>
  <c r="BG144" i="2"/>
  <c r="AU144" i="2"/>
  <c r="AA144" i="2"/>
  <c r="C144" i="2"/>
  <c r="BI122" i="2"/>
  <c r="BI89" i="2"/>
  <c r="BI32" i="2"/>
  <c r="BI133" i="2" s="1"/>
  <c r="AC122" i="2"/>
  <c r="AC89" i="2"/>
  <c r="AC32" i="2"/>
  <c r="AC133" i="2" s="1"/>
  <c r="M123" i="2"/>
  <c r="M122" i="2"/>
  <c r="M89" i="2"/>
  <c r="M32" i="2"/>
  <c r="M133" i="2" s="1"/>
  <c r="AW85" i="2"/>
  <c r="AW20" i="2"/>
  <c r="BA113" i="2"/>
  <c r="AK113" i="2"/>
  <c r="AG113" i="2"/>
  <c r="M113" i="2"/>
  <c r="O122" i="2"/>
  <c r="O89" i="2"/>
  <c r="O32" i="2"/>
  <c r="O133" i="2" s="1"/>
  <c r="AA85" i="2"/>
  <c r="AA20" i="2"/>
  <c r="AZ89" i="2"/>
  <c r="AZ32" i="2"/>
  <c r="AZ133" i="2" s="1"/>
  <c r="AJ122" i="2"/>
  <c r="AJ89" i="2"/>
  <c r="AJ32" i="2"/>
  <c r="AJ133" i="2" s="1"/>
  <c r="D122" i="2"/>
  <c r="D89" i="2"/>
  <c r="D32" i="2"/>
  <c r="D133" i="2" s="1"/>
  <c r="BH145" i="2"/>
  <c r="AV145" i="2"/>
  <c r="AB145" i="2"/>
  <c r="P145" i="2"/>
  <c r="BH85" i="2"/>
  <c r="BH20" i="2"/>
  <c r="AR85" i="2"/>
  <c r="AR20" i="2"/>
  <c r="AB20" i="2"/>
  <c r="AB85" i="2"/>
  <c r="L20" i="2"/>
  <c r="L85" i="2"/>
  <c r="AA122" i="2"/>
  <c r="AA89" i="2"/>
  <c r="AA32" i="2"/>
  <c r="AA133" i="2" s="1"/>
  <c r="AI85" i="2"/>
  <c r="AI20" i="2"/>
  <c r="C113" i="2"/>
  <c r="BB122" i="2"/>
  <c r="BB89" i="2"/>
  <c r="BB32" i="2"/>
  <c r="BB133" i="2" s="1"/>
  <c r="AL122" i="2"/>
  <c r="AL89" i="2"/>
  <c r="AL32" i="2"/>
  <c r="V122" i="2"/>
  <c r="V89" i="2"/>
  <c r="V32" i="2"/>
  <c r="V133" i="2" s="1"/>
  <c r="F123" i="2"/>
  <c r="F122" i="2"/>
  <c r="F89" i="2"/>
  <c r="F32" i="2"/>
  <c r="F133" i="2" s="1"/>
  <c r="AX85" i="2"/>
  <c r="AX20" i="2"/>
  <c r="AH85" i="2"/>
  <c r="AH20" i="2"/>
  <c r="R85" i="2"/>
  <c r="R20" i="2"/>
  <c r="B85" i="2"/>
  <c r="B78" i="2"/>
  <c r="B20" i="2"/>
  <c r="AD113" i="2"/>
  <c r="N113" i="2"/>
  <c r="W89" i="2"/>
  <c r="W32" i="2"/>
  <c r="W133" i="2" s="1"/>
  <c r="O145" i="2"/>
  <c r="AM85" i="2"/>
  <c r="AM20" i="2"/>
  <c r="BE84" i="2"/>
  <c r="U84" i="2"/>
  <c r="M84" i="2"/>
  <c r="M77" i="2"/>
  <c r="O85" i="2"/>
  <c r="O78" i="2"/>
  <c r="O20" i="2"/>
  <c r="AV89" i="2"/>
  <c r="AV32" i="2"/>
  <c r="AV133" i="2" s="1"/>
  <c r="BD85" i="2"/>
  <c r="BD20" i="2"/>
  <c r="X85" i="2"/>
  <c r="X20" i="2"/>
  <c r="AH122" i="2"/>
  <c r="AH89" i="2"/>
  <c r="AH32" i="2"/>
  <c r="AH133" i="2" s="1"/>
  <c r="AT85" i="2"/>
  <c r="AT20" i="2"/>
  <c r="BI84" i="2"/>
  <c r="AB144" i="2"/>
  <c r="AR146" i="2"/>
  <c r="BA122" i="2"/>
  <c r="BA89" i="2"/>
  <c r="BA32" i="2"/>
  <c r="BA133" i="2" s="1"/>
  <c r="AK122" i="2"/>
  <c r="AK89" i="2"/>
  <c r="AK32" i="2"/>
  <c r="AK133" i="2" s="1"/>
  <c r="U122" i="2"/>
  <c r="U89" i="2"/>
  <c r="U32" i="2"/>
  <c r="U133" i="2" s="1"/>
  <c r="E122" i="2"/>
  <c r="E89" i="2"/>
  <c r="E32" i="2"/>
  <c r="E133" i="2" s="1"/>
  <c r="Q85" i="2"/>
  <c r="Q20" i="2"/>
  <c r="I113" i="2"/>
  <c r="BC85" i="2"/>
  <c r="BC20" i="2"/>
  <c r="C85" i="2"/>
  <c r="C78" i="2"/>
  <c r="C20" i="2"/>
  <c r="AR122" i="2"/>
  <c r="AR32" i="2"/>
  <c r="AR133" i="2" s="1"/>
  <c r="AB122" i="2"/>
  <c r="AB89" i="2"/>
  <c r="AB32" i="2"/>
  <c r="L123" i="2"/>
  <c r="L122" i="2"/>
  <c r="L89" i="2"/>
  <c r="L32" i="2"/>
  <c r="L133" i="2" s="1"/>
  <c r="BL145" i="2"/>
  <c r="AR145" i="2"/>
  <c r="AF145" i="2"/>
  <c r="T145" i="2"/>
  <c r="AZ85" i="2"/>
  <c r="AZ20" i="2"/>
  <c r="AJ85" i="2"/>
  <c r="AJ20" i="2"/>
  <c r="T85" i="2"/>
  <c r="T20" i="2"/>
  <c r="D85" i="2"/>
  <c r="D20" i="2"/>
  <c r="X113" i="2"/>
  <c r="D113" i="2"/>
  <c r="AY122" i="2"/>
  <c r="AY89" i="2"/>
  <c r="AY32" i="2"/>
  <c r="AY133" i="2" s="1"/>
  <c r="BG85" i="2"/>
  <c r="BG20" i="2"/>
  <c r="K85" i="2"/>
  <c r="K20" i="2"/>
  <c r="AE113" i="2"/>
  <c r="S113" i="2"/>
  <c r="BJ122" i="2"/>
  <c r="BJ89" i="2"/>
  <c r="BJ32" i="2"/>
  <c r="BJ133" i="2" s="1"/>
  <c r="AT122" i="2"/>
  <c r="AT89" i="2"/>
  <c r="AT32" i="2"/>
  <c r="AT133" i="2" s="1"/>
  <c r="N123" i="2"/>
  <c r="N122" i="2"/>
  <c r="N89" i="2"/>
  <c r="N32" i="2"/>
  <c r="N133" i="2" s="1"/>
  <c r="BF85" i="2"/>
  <c r="BF20" i="2"/>
  <c r="AP85" i="2"/>
  <c r="AP20" i="2"/>
  <c r="Z85" i="2"/>
  <c r="Z20" i="2"/>
  <c r="J85" i="2"/>
  <c r="J20" i="2"/>
  <c r="BK85" i="2"/>
  <c r="BK20" i="2"/>
  <c r="S85" i="2"/>
  <c r="S20" i="2"/>
  <c r="AU113" i="2"/>
  <c r="O113" i="2"/>
  <c r="BA84" i="2"/>
  <c r="AS84" i="2"/>
  <c r="Y84" i="2"/>
  <c r="AY144" i="2"/>
  <c r="AI144" i="2"/>
  <c r="AO122" i="2"/>
  <c r="AO89" i="2"/>
  <c r="AO32" i="2"/>
  <c r="AO133" i="2" s="1"/>
  <c r="BI145" i="2"/>
  <c r="AG85" i="2"/>
  <c r="AG20" i="2"/>
  <c r="AF122" i="2"/>
  <c r="AF89" i="2"/>
  <c r="AF32" i="2"/>
  <c r="AF133" i="2" s="1"/>
  <c r="AN85" i="2"/>
  <c r="AN20" i="2"/>
  <c r="BK122" i="2"/>
  <c r="BK89" i="2"/>
  <c r="BK32" i="2"/>
  <c r="BK133" i="2" s="1"/>
  <c r="K145" i="2"/>
  <c r="W85" i="2"/>
  <c r="B123" i="2"/>
  <c r="B122" i="2"/>
  <c r="B89" i="2"/>
  <c r="B32" i="2"/>
  <c r="B133" i="2" s="1"/>
  <c r="BJ85" i="2"/>
  <c r="BJ20" i="2"/>
  <c r="N85" i="2"/>
  <c r="N20" i="2"/>
  <c r="AE85" i="2"/>
  <c r="AE20" i="2"/>
  <c r="AK147" i="2"/>
  <c r="E147" i="2"/>
  <c r="AI147" i="2"/>
  <c r="C147" i="2"/>
  <c r="BA144" i="2"/>
  <c r="AK144" i="2"/>
  <c r="U144" i="2"/>
  <c r="E144" i="2"/>
  <c r="AG122" i="2"/>
  <c r="AG89" i="2"/>
  <c r="AG32" i="2"/>
  <c r="AG133" i="2" s="1"/>
  <c r="Q122" i="2"/>
  <c r="Q89" i="2"/>
  <c r="Q32" i="2"/>
  <c r="Q133" i="2" s="1"/>
  <c r="AS113" i="2"/>
  <c r="E113" i="2"/>
  <c r="AQ122" i="2"/>
  <c r="AQ89" i="2"/>
  <c r="AQ32" i="2"/>
  <c r="AQ133" i="2" s="1"/>
  <c r="AQ85" i="2"/>
  <c r="AQ20" i="2"/>
  <c r="BD122" i="2"/>
  <c r="BD89" i="2"/>
  <c r="BD32" i="2"/>
  <c r="BD133" i="2" s="1"/>
  <c r="X122" i="2"/>
  <c r="X89" i="2"/>
  <c r="X32" i="2"/>
  <c r="X133" i="2" s="1"/>
  <c r="H122" i="2"/>
  <c r="H89" i="2"/>
  <c r="H32" i="2"/>
  <c r="H133" i="2" s="1"/>
  <c r="BL85" i="2"/>
  <c r="AV85" i="2"/>
  <c r="AV20" i="2"/>
  <c r="AF85" i="2"/>
  <c r="AF20" i="2"/>
  <c r="P85" i="2"/>
  <c r="P20" i="2"/>
  <c r="AN113" i="2"/>
  <c r="H113" i="2"/>
  <c r="AM122" i="2"/>
  <c r="AM89" i="2"/>
  <c r="AM32" i="2"/>
  <c r="AM133" i="2" s="1"/>
  <c r="AU85" i="2"/>
  <c r="AU20" i="2"/>
  <c r="BK113" i="2"/>
  <c r="BF89" i="2"/>
  <c r="BF32" i="2"/>
  <c r="BF133" i="2" s="1"/>
  <c r="AP122" i="2"/>
  <c r="AP89" i="2"/>
  <c r="AP32" i="2"/>
  <c r="AP133" i="2" s="1"/>
  <c r="Z122" i="2"/>
  <c r="Z89" i="2"/>
  <c r="Z32" i="2"/>
  <c r="Z133" i="2" s="1"/>
  <c r="J122" i="2"/>
  <c r="J89" i="2"/>
  <c r="J32" i="2"/>
  <c r="J133" i="2" s="1"/>
  <c r="BB85" i="2"/>
  <c r="BB20" i="2"/>
  <c r="AL85" i="2"/>
  <c r="AL20" i="2"/>
  <c r="V85" i="2"/>
  <c r="F85" i="2"/>
  <c r="F20" i="2"/>
  <c r="B113" i="2"/>
  <c r="R113" i="2"/>
  <c r="F113" i="2"/>
  <c r="AY85" i="2"/>
  <c r="AY20" i="2"/>
  <c r="G85" i="2"/>
  <c r="G78" i="2"/>
  <c r="G20" i="2"/>
  <c r="G113" i="2"/>
  <c r="AK84" i="2"/>
  <c r="AC84" i="2"/>
  <c r="I84" i="2"/>
  <c r="I77" i="2"/>
  <c r="AZ111" i="2" l="1"/>
  <c r="CP155" i="14"/>
  <c r="BJ46" i="8"/>
  <c r="BJ103" i="11"/>
  <c r="BG113" i="2"/>
  <c r="AQ17" i="7"/>
  <c r="S23" i="7"/>
  <c r="S24" i="7" s="1"/>
  <c r="BJ110" i="8"/>
  <c r="BY58" i="8"/>
  <c r="BL122" i="9" s="1"/>
  <c r="BC77" i="9"/>
  <c r="BB81" i="9"/>
  <c r="AV111" i="2"/>
  <c r="AV104" i="2"/>
  <c r="BC79" i="9"/>
  <c r="BC108" i="9" s="1"/>
  <c r="AV122" i="2"/>
  <c r="BJ41" i="8"/>
  <c r="U176" i="7"/>
  <c r="BC80" i="9"/>
  <c r="AV121" i="2"/>
  <c r="AV138" i="2"/>
  <c r="AW104" i="2"/>
  <c r="AV139" i="2"/>
  <c r="AV100" i="2"/>
  <c r="AY104" i="2"/>
  <c r="CP151" i="14"/>
  <c r="CL151" i="14" s="1"/>
  <c r="CM151" i="14" s="1"/>
  <c r="CN151" i="14" s="1"/>
  <c r="CO151" i="14" s="1"/>
  <c r="CP148" i="14"/>
  <c r="CL148" i="14" s="1"/>
  <c r="AB113" i="2"/>
  <c r="AA113" i="2"/>
  <c r="AI50" i="2"/>
  <c r="X17" i="7"/>
  <c r="AR41" i="8"/>
  <c r="BY46" i="8"/>
  <c r="BL154" i="11"/>
  <c r="BY31" i="11"/>
  <c r="CK156" i="14"/>
  <c r="BB97" i="9"/>
  <c r="BB78" i="9"/>
  <c r="U113" i="2"/>
  <c r="L17" i="7"/>
  <c r="AH23" i="7"/>
  <c r="AH24" i="7" s="1"/>
  <c r="BY51" i="8"/>
  <c r="BY54" i="11" s="1"/>
  <c r="BY53" i="11" s="1"/>
  <c r="BB100" i="9"/>
  <c r="BF100" i="9"/>
  <c r="BB80" i="9"/>
  <c r="BB79" i="9"/>
  <c r="BB108" i="9" s="1"/>
  <c r="BD100" i="9"/>
  <c r="K12" i="7"/>
  <c r="BG41" i="8"/>
  <c r="AV110" i="8"/>
  <c r="BA41" i="8"/>
  <c r="CD41" i="8"/>
  <c r="AM41" i="8"/>
  <c r="BY40" i="8"/>
  <c r="BY106" i="8" s="1"/>
  <c r="BY110" i="8"/>
  <c r="BC100" i="9"/>
  <c r="AU8" i="2"/>
  <c r="AZ62" i="2" s="1"/>
  <c r="X16" i="7"/>
  <c r="BB23" i="8"/>
  <c r="P23" i="7"/>
  <c r="BG58" i="8"/>
  <c r="AT122" i="9" s="1"/>
  <c r="BL40" i="8"/>
  <c r="BL106" i="8" s="1"/>
  <c r="AN50" i="2"/>
  <c r="AM40" i="8"/>
  <c r="AM106" i="8" s="1"/>
  <c r="AM110" i="8"/>
  <c r="BE46" i="8"/>
  <c r="AM154" i="11"/>
  <c r="BE103" i="11"/>
  <c r="AR24" i="14"/>
  <c r="AR18" i="14"/>
  <c r="AR19" i="14" s="1"/>
  <c r="AR20" i="14" s="1"/>
  <c r="AR23" i="14"/>
  <c r="AN48" i="11"/>
  <c r="AN60" i="11" s="1"/>
  <c r="CA24" i="14"/>
  <c r="BR48" i="11"/>
  <c r="BV23" i="14"/>
  <c r="BV29" i="14"/>
  <c r="AO80" i="7"/>
  <c r="AO88" i="7"/>
  <c r="CF60" i="11"/>
  <c r="E77" i="2"/>
  <c r="BG40" i="8"/>
  <c r="BG106" i="8" s="1"/>
  <c r="BG51" i="8"/>
  <c r="BG54" i="11" s="1"/>
  <c r="BV51" i="8"/>
  <c r="BV54" i="11" s="1"/>
  <c r="BV64" i="11" s="1"/>
  <c r="AX58" i="8"/>
  <c r="AK122" i="9" s="1"/>
  <c r="BL46" i="8"/>
  <c r="BL47" i="8" s="1"/>
  <c r="AR52" i="2" s="1"/>
  <c r="AM46" i="8"/>
  <c r="BB41" i="8"/>
  <c r="N23" i="7"/>
  <c r="BE110" i="8"/>
  <c r="AW46" i="8"/>
  <c r="AE88" i="7"/>
  <c r="BQ60" i="11"/>
  <c r="Z80" i="7"/>
  <c r="BG46" i="8"/>
  <c r="BG110" i="8"/>
  <c r="AM58" i="8"/>
  <c r="Z122" i="9" s="1"/>
  <c r="BE41" i="8"/>
  <c r="AW58" i="8"/>
  <c r="AJ122" i="9" s="1"/>
  <c r="O68" i="2"/>
  <c r="BV154" i="11"/>
  <c r="CM124" i="14"/>
  <c r="CR124" i="14"/>
  <c r="AP113" i="2"/>
  <c r="BV18" i="14"/>
  <c r="CA19" i="14" s="1"/>
  <c r="CA20" i="14" s="1"/>
  <c r="BZ19" i="14"/>
  <c r="BZ20" i="14" s="1"/>
  <c r="CH59" i="9"/>
  <c r="BC159" i="7"/>
  <c r="CI93" i="10"/>
  <c r="CJ93" i="10" s="1"/>
  <c r="CK93" i="10" s="1"/>
  <c r="CT152" i="14"/>
  <c r="CU152" i="14"/>
  <c r="CQ152" i="14"/>
  <c r="CR152" i="14"/>
  <c r="CE88" i="10"/>
  <c r="CE39" i="10" s="1"/>
  <c r="CF87" i="10"/>
  <c r="CD39" i="10"/>
  <c r="Z79" i="7"/>
  <c r="AE87" i="7"/>
  <c r="BQ57" i="11"/>
  <c r="BL18" i="13"/>
  <c r="BQ19" i="13" s="1"/>
  <c r="BQ20" i="13" s="1"/>
  <c r="BL45" i="11"/>
  <c r="BQ24" i="13"/>
  <c r="BL23" i="13"/>
  <c r="AA95" i="7"/>
  <c r="AA114" i="7" s="1"/>
  <c r="BR93" i="11"/>
  <c r="CP27" i="13"/>
  <c r="CQ27" i="13" s="1"/>
  <c r="CY27" i="12"/>
  <c r="CU106" i="11" s="1"/>
  <c r="CT106" i="11"/>
  <c r="DC27" i="12"/>
  <c r="CY106" i="11" s="1"/>
  <c r="CX106" i="11"/>
  <c r="DC95" i="12"/>
  <c r="DC96" i="12" s="1"/>
  <c r="BC45" i="6"/>
  <c r="BC33" i="6"/>
  <c r="BV48" i="10"/>
  <c r="BV57" i="10" s="1"/>
  <c r="BV55" i="10"/>
  <c r="O56" i="2"/>
  <c r="O14" i="2"/>
  <c r="O123" i="2" s="1"/>
  <c r="Z47" i="10"/>
  <c r="AO40" i="8"/>
  <c r="AO106" i="8" s="1"/>
  <c r="AV40" i="8"/>
  <c r="AV106" i="8" s="1"/>
  <c r="V53" i="11"/>
  <c r="AV103" i="11"/>
  <c r="BN50" i="2"/>
  <c r="AV58" i="8"/>
  <c r="AI122" i="9" s="1"/>
  <c r="AO41" i="8"/>
  <c r="AO102" i="11"/>
  <c r="AO104" i="11" s="1"/>
  <c r="BT31" i="11"/>
  <c r="BT33" i="11" s="1"/>
  <c r="BB104" i="2"/>
  <c r="AV51" i="8"/>
  <c r="AV54" i="11" s="1"/>
  <c r="AV53" i="11" s="1"/>
  <c r="BJ50" i="2"/>
  <c r="Q17" i="7"/>
  <c r="AT41" i="8"/>
  <c r="AO110" i="8"/>
  <c r="AV46" i="8"/>
  <c r="AG43" i="2" s="1"/>
  <c r="AO103" i="11"/>
  <c r="AZ112" i="2"/>
  <c r="AE23" i="7"/>
  <c r="AE24" i="7" s="1"/>
  <c r="U23" i="7"/>
  <c r="U24" i="7" s="1"/>
  <c r="BL58" i="8"/>
  <c r="AY122" i="9" s="1"/>
  <c r="BV110" i="8"/>
  <c r="Z23" i="7"/>
  <c r="Z24" i="7" s="1"/>
  <c r="AE17" i="7"/>
  <c r="BL41" i="8"/>
  <c r="AL23" i="7"/>
  <c r="AL24" i="7" s="1"/>
  <c r="BF122" i="2"/>
  <c r="BD50" i="2"/>
  <c r="AI17" i="7"/>
  <c r="BG77" i="9"/>
  <c r="BC76" i="6"/>
  <c r="BC44" i="6"/>
  <c r="BG100" i="9"/>
  <c r="BF41" i="2"/>
  <c r="BZ39" i="8"/>
  <c r="BZ143" i="11" s="1"/>
  <c r="BZ154" i="11" s="1"/>
  <c r="BF66" i="2"/>
  <c r="BF53" i="2"/>
  <c r="BK41" i="2"/>
  <c r="BK66" i="2"/>
  <c r="BG104" i="2"/>
  <c r="BF111" i="2"/>
  <c r="BE41" i="2"/>
  <c r="AL17" i="7"/>
  <c r="BW104" i="8"/>
  <c r="BU46" i="8"/>
  <c r="BA10" i="2" s="1"/>
  <c r="BI100" i="9"/>
  <c r="BG78" i="9"/>
  <c r="BG80" i="9"/>
  <c r="BC46" i="6"/>
  <c r="BC80" i="6"/>
  <c r="BF100" i="2"/>
  <c r="BF138" i="2"/>
  <c r="BF104" i="2"/>
  <c r="BF121" i="2"/>
  <c r="BF139" i="2"/>
  <c r="AZ41" i="2"/>
  <c r="BG79" i="9"/>
  <c r="BG108" i="9" s="1"/>
  <c r="BC82" i="6"/>
  <c r="BK100" i="9"/>
  <c r="BG97" i="9"/>
  <c r="BJ104" i="2"/>
  <c r="AG23" i="7"/>
  <c r="AG24" i="7" s="1"/>
  <c r="BW46" i="8"/>
  <c r="BX142" i="11"/>
  <c r="BX88" i="11" s="1"/>
  <c r="BX89" i="11" s="1"/>
  <c r="CC41" i="8"/>
  <c r="CH41" i="8"/>
  <c r="AO23" i="7"/>
  <c r="AO24" i="7" s="1"/>
  <c r="AF23" i="7"/>
  <c r="AF24" i="7" s="1"/>
  <c r="CC110" i="8"/>
  <c r="BJ113" i="2"/>
  <c r="CC79" i="8"/>
  <c r="Q23" i="7"/>
  <c r="Q24" i="7" s="1"/>
  <c r="BH103" i="11"/>
  <c r="BH40" i="8"/>
  <c r="BH106" i="8" s="1"/>
  <c r="BC113" i="2"/>
  <c r="S17" i="7"/>
  <c r="AM17" i="7"/>
  <c r="AZ122" i="2"/>
  <c r="BJ104" i="8"/>
  <c r="U17" i="7"/>
  <c r="BV79" i="8"/>
  <c r="AZ100" i="2"/>
  <c r="CF104" i="8"/>
  <c r="AY113" i="2"/>
  <c r="BF112" i="2"/>
  <c r="BF110" i="2"/>
  <c r="AB22" i="15"/>
  <c r="AC22" i="15" s="1"/>
  <c r="BV71" i="11"/>
  <c r="BV74" i="11" s="1"/>
  <c r="AA18" i="15"/>
  <c r="BU50" i="11"/>
  <c r="AA24" i="15"/>
  <c r="AF24" i="15"/>
  <c r="AA23" i="15"/>
  <c r="AN81" i="7"/>
  <c r="AN89" i="7"/>
  <c r="CE61" i="11"/>
  <c r="BN113" i="2"/>
  <c r="BF43" i="6"/>
  <c r="AO113" i="2"/>
  <c r="BA110" i="9"/>
  <c r="AJ113" i="2"/>
  <c r="AC113" i="2"/>
  <c r="Y113" i="2"/>
  <c r="CC17" i="9"/>
  <c r="CD17" i="9" s="1"/>
  <c r="CJ17" i="9" s="1"/>
  <c r="BG50" i="2"/>
  <c r="BV58" i="8"/>
  <c r="BI122" i="9" s="1"/>
  <c r="BX110" i="8"/>
  <c r="BB50" i="2"/>
  <c r="CC40" i="8"/>
  <c r="CC106" i="8" s="1"/>
  <c r="CF58" i="8"/>
  <c r="BS122" i="9" s="1"/>
  <c r="BL113" i="2"/>
  <c r="BV40" i="8"/>
  <c r="BV106" i="8" s="1"/>
  <c r="BQ110" i="8"/>
  <c r="CC58" i="8"/>
  <c r="BP122" i="9" s="1"/>
  <c r="CA41" i="8"/>
  <c r="BV31" i="11"/>
  <c r="BV33" i="11" s="1"/>
  <c r="CC31" i="11"/>
  <c r="CH33" i="11" s="1"/>
  <c r="AR113" i="2"/>
  <c r="BV41" i="8"/>
  <c r="BQ40" i="8"/>
  <c r="BQ106" i="8" s="1"/>
  <c r="BL104" i="8"/>
  <c r="X23" i="7"/>
  <c r="X24" i="7" s="1"/>
  <c r="CF40" i="8"/>
  <c r="CF106" i="8" s="1"/>
  <c r="CF46" i="8"/>
  <c r="BL43" i="2" s="1"/>
  <c r="CF154" i="11"/>
  <c r="BT154" i="11"/>
  <c r="BI113" i="2"/>
  <c r="AZ110" i="2"/>
  <c r="BD104" i="2"/>
  <c r="BL50" i="2"/>
  <c r="BQ41" i="8"/>
  <c r="BP41" i="8"/>
  <c r="BO41" i="8"/>
  <c r="CF41" i="8"/>
  <c r="CF110" i="8"/>
  <c r="BT40" i="8"/>
  <c r="BT106" i="8" s="1"/>
  <c r="BM39" i="2"/>
  <c r="BT176" i="11"/>
  <c r="BP154" i="11"/>
  <c r="BO154" i="11"/>
  <c r="BQ103" i="11"/>
  <c r="AZ121" i="2"/>
  <c r="AZ106" i="2"/>
  <c r="BA104" i="2"/>
  <c r="AZ53" i="2"/>
  <c r="BV46" i="8"/>
  <c r="BB10" i="2" s="1"/>
  <c r="BS40" i="8"/>
  <c r="BS106" i="8" s="1"/>
  <c r="BQ46" i="8"/>
  <c r="AW10" i="2" s="1"/>
  <c r="BO46" i="8"/>
  <c r="X28" i="7" s="1"/>
  <c r="X29" i="7" s="1"/>
  <c r="CF51" i="8"/>
  <c r="CF54" i="11" s="1"/>
  <c r="CF64" i="11" s="1"/>
  <c r="BY41" i="8"/>
  <c r="BU110" i="8"/>
  <c r="BT46" i="8"/>
  <c r="AC28" i="7" s="1"/>
  <c r="AC29" i="7" s="1"/>
  <c r="Z17" i="7"/>
  <c r="CF31" i="11"/>
  <c r="CF32" i="11" s="1"/>
  <c r="BU154" i="11"/>
  <c r="BB45" i="6"/>
  <c r="BE62" i="2"/>
  <c r="AZ104" i="2"/>
  <c r="AZ139" i="2"/>
  <c r="AW113" i="2"/>
  <c r="AO50" i="2"/>
  <c r="AC17" i="7"/>
  <c r="BS110" i="8"/>
  <c r="BR104" i="8"/>
  <c r="BQ104" i="8"/>
  <c r="BS154" i="11"/>
  <c r="BB33" i="6"/>
  <c r="BI104" i="8"/>
  <c r="BX41" i="8"/>
  <c r="BT104" i="8"/>
  <c r="AB17" i="7"/>
  <c r="BU40" i="8"/>
  <c r="BU106" i="8" s="1"/>
  <c r="AV50" i="2"/>
  <c r="BU31" i="11"/>
  <c r="BU33" i="11" s="1"/>
  <c r="BB43" i="6"/>
  <c r="AQ113" i="2"/>
  <c r="CB176" i="11"/>
  <c r="CB175" i="11" s="1"/>
  <c r="CB174" i="11" s="1"/>
  <c r="CA104" i="8"/>
  <c r="BX51" i="8"/>
  <c r="BX54" i="11" s="1"/>
  <c r="BX53" i="11" s="1"/>
  <c r="AB23" i="7"/>
  <c r="AB24" i="7" s="1"/>
  <c r="BW58" i="8"/>
  <c r="BJ122" i="9" s="1"/>
  <c r="CC46" i="8"/>
  <c r="BU58" i="8"/>
  <c r="BH122" i="9" s="1"/>
  <c r="CC141" i="11"/>
  <c r="CG141" i="11" s="1"/>
  <c r="CG143" i="11" s="1"/>
  <c r="BX40" i="8"/>
  <c r="BX106" i="8" s="1"/>
  <c r="BX58" i="8"/>
  <c r="BK122" i="9" s="1"/>
  <c r="AY50" i="2"/>
  <c r="BW41" i="8"/>
  <c r="AF17" i="7"/>
  <c r="AC23" i="7"/>
  <c r="AC24" i="7" s="1"/>
  <c r="BT110" i="8"/>
  <c r="BR154" i="11"/>
  <c r="BX154" i="11"/>
  <c r="BB46" i="6"/>
  <c r="BF46" i="6"/>
  <c r="BE113" i="2"/>
  <c r="BH113" i="2"/>
  <c r="BC81" i="6"/>
  <c r="BC79" i="6"/>
  <c r="BX46" i="8"/>
  <c r="AG28" i="7" s="1"/>
  <c r="AG29" i="7" s="1"/>
  <c r="AA17" i="7"/>
  <c r="BW40" i="8"/>
  <c r="BW106" i="8" s="1"/>
  <c r="BT58" i="8"/>
  <c r="BG122" i="9" s="1"/>
  <c r="BF33" i="6"/>
  <c r="U53" i="11"/>
  <c r="BE57" i="10"/>
  <c r="AA104" i="2"/>
  <c r="Z104" i="2"/>
  <c r="W100" i="2"/>
  <c r="W112" i="2"/>
  <c r="W110" i="2"/>
  <c r="W111" i="2"/>
  <c r="W139" i="2"/>
  <c r="AB66" i="2"/>
  <c r="W106" i="2"/>
  <c r="X104" i="2"/>
  <c r="W121" i="2"/>
  <c r="W138" i="2"/>
  <c r="W66" i="2"/>
  <c r="X62" i="2"/>
  <c r="BS41" i="8"/>
  <c r="BP40" i="8"/>
  <c r="BP106" i="8" s="1"/>
  <c r="BO40" i="8"/>
  <c r="BO106" i="8" s="1"/>
  <c r="AE47" i="10"/>
  <c r="AY81" i="6"/>
  <c r="BF44" i="6"/>
  <c r="AL110" i="9"/>
  <c r="W41" i="2"/>
  <c r="W8" i="2"/>
  <c r="W62" i="2" s="1"/>
  <c r="AQ29" i="8"/>
  <c r="AQ39" i="8"/>
  <c r="N42" i="2"/>
  <c r="N9" i="2"/>
  <c r="N77" i="2" s="1"/>
  <c r="AH52" i="8"/>
  <c r="N51" i="2" s="1"/>
  <c r="AH54" i="11"/>
  <c r="AT50" i="2"/>
  <c r="W17" i="7"/>
  <c r="Z53" i="11"/>
  <c r="AV113" i="2"/>
  <c r="BS46" i="8"/>
  <c r="AB28" i="7" s="1"/>
  <c r="AB29" i="7" s="1"/>
  <c r="BL110" i="8"/>
  <c r="BP46" i="8"/>
  <c r="AV43" i="2" s="1"/>
  <c r="BO110" i="8"/>
  <c r="AW40" i="8"/>
  <c r="AW106" i="8" s="1"/>
  <c r="BW170" i="11"/>
  <c r="AW103" i="11"/>
  <c r="AY79" i="6"/>
  <c r="AY82" i="6"/>
  <c r="AW62" i="2"/>
  <c r="AH47" i="8"/>
  <c r="N52" i="2" s="1"/>
  <c r="N43" i="2"/>
  <c r="N10" i="2"/>
  <c r="N65" i="2" s="1"/>
  <c r="AY80" i="6"/>
  <c r="AT110" i="9"/>
  <c r="BS58" i="8"/>
  <c r="BF122" i="9" s="1"/>
  <c r="BP110" i="8"/>
  <c r="AW41" i="8"/>
  <c r="BR47" i="10"/>
  <c r="AY76" i="6"/>
  <c r="Z110" i="9"/>
  <c r="W53" i="2"/>
  <c r="BR110" i="8"/>
  <c r="AT113" i="2"/>
  <c r="AD79" i="9"/>
  <c r="AD108" i="9" s="1"/>
  <c r="AD110" i="9" s="1"/>
  <c r="AD97" i="9"/>
  <c r="AD80" i="9"/>
  <c r="AD81" i="9"/>
  <c r="AD77" i="9"/>
  <c r="AG100" i="9"/>
  <c r="BS51" i="8"/>
  <c r="BS54" i="11" s="1"/>
  <c r="BS53" i="11" s="1"/>
  <c r="AW51" i="8"/>
  <c r="AW54" i="11" s="1"/>
  <c r="AW64" i="11" s="1"/>
  <c r="BT41" i="8"/>
  <c r="BN37" i="2"/>
  <c r="AA110" i="9"/>
  <c r="E87" i="2"/>
  <c r="E73" i="2"/>
  <c r="W104" i="2"/>
  <c r="AA62" i="2"/>
  <c r="CC88" i="10"/>
  <c r="CC39" i="10" s="1"/>
  <c r="BW141" i="2" s="1"/>
  <c r="O38" i="7"/>
  <c r="BF58" i="8"/>
  <c r="AS122" i="9" s="1"/>
  <c r="K52" i="8"/>
  <c r="K54" i="11"/>
  <c r="K53" i="11" s="1"/>
  <c r="AD47" i="8"/>
  <c r="J52" i="2" s="1"/>
  <c r="J43" i="2"/>
  <c r="J10" i="2"/>
  <c r="J65" i="2" s="1"/>
  <c r="AD86" i="8"/>
  <c r="AI87" i="8" s="1"/>
  <c r="J56" i="2"/>
  <c r="J68" i="2"/>
  <c r="J14" i="2"/>
  <c r="J123" i="2" s="1"/>
  <c r="BD51" i="8"/>
  <c r="BD54" i="11" s="1"/>
  <c r="BQ58" i="8"/>
  <c r="BD122" i="9" s="1"/>
  <c r="AX110" i="8"/>
  <c r="BP58" i="8"/>
  <c r="BC122" i="9" s="1"/>
  <c r="BI41" i="8"/>
  <c r="BC41" i="8"/>
  <c r="H75" i="6"/>
  <c r="P38" i="2"/>
  <c r="AD52" i="8"/>
  <c r="J51" i="2" s="1"/>
  <c r="AD54" i="11"/>
  <c r="J9" i="2"/>
  <c r="J77" i="2" s="1"/>
  <c r="O42" i="2"/>
  <c r="AD62" i="2"/>
  <c r="Y62" i="2"/>
  <c r="J42" i="2"/>
  <c r="BH41" i="8"/>
  <c r="BC46" i="8"/>
  <c r="L28" i="7" s="1"/>
  <c r="L29" i="7" s="1"/>
  <c r="BD103" i="11"/>
  <c r="L54" i="11"/>
  <c r="L53" i="11" s="1"/>
  <c r="L52" i="8"/>
  <c r="AA23" i="7"/>
  <c r="AA24" i="7" s="1"/>
  <c r="G23" i="7"/>
  <c r="G24" i="7" s="1"/>
  <c r="AO51" i="8"/>
  <c r="AO54" i="11" s="1"/>
  <c r="AO53" i="11" s="1"/>
  <c r="X47" i="8"/>
  <c r="I43" i="2"/>
  <c r="E65" i="2"/>
  <c r="BR40" i="8"/>
  <c r="BR106" i="8" s="1"/>
  <c r="M23" i="7"/>
  <c r="AX41" i="8"/>
  <c r="BH110" i="8"/>
  <c r="AO58" i="8"/>
  <c r="AB122" i="9" s="1"/>
  <c r="AH50" i="2"/>
  <c r="AP12" i="7"/>
  <c r="I42" i="2"/>
  <c r="X52" i="8"/>
  <c r="X54" i="11"/>
  <c r="AB47" i="8"/>
  <c r="H52" i="2" s="1"/>
  <c r="M43" i="2"/>
  <c r="H43" i="2"/>
  <c r="H10" i="2"/>
  <c r="M65" i="2" s="1"/>
  <c r="O43" i="2"/>
  <c r="F87" i="2"/>
  <c r="K64" i="2"/>
  <c r="AU62" i="2"/>
  <c r="AX103" i="11"/>
  <c r="AI146" i="2"/>
  <c r="BU41" i="8"/>
  <c r="BN110" i="9"/>
  <c r="BR46" i="8"/>
  <c r="BR47" i="8" s="1"/>
  <c r="AX52" i="2" s="1"/>
  <c r="BD40" i="8"/>
  <c r="BD106" i="8" s="1"/>
  <c r="AX40" i="8"/>
  <c r="AX106" i="8" s="1"/>
  <c r="Y23" i="7"/>
  <c r="Y24" i="7" s="1"/>
  <c r="AO46" i="8"/>
  <c r="U10" i="2" s="1"/>
  <c r="CG23" i="8"/>
  <c r="AB52" i="8"/>
  <c r="H51" i="2" s="1"/>
  <c r="AB54" i="11"/>
  <c r="H9" i="2"/>
  <c r="H42" i="2"/>
  <c r="M42" i="2"/>
  <c r="D87" i="2"/>
  <c r="D64" i="2"/>
  <c r="E64" i="2"/>
  <c r="F78" i="2"/>
  <c r="BD41" i="8"/>
  <c r="AX46" i="8"/>
  <c r="AD10" i="2" s="1"/>
  <c r="AE87" i="8"/>
  <c r="Z87" i="8"/>
  <c r="AE39" i="2"/>
  <c r="H12" i="7"/>
  <c r="AY23" i="8"/>
  <c r="M52" i="8"/>
  <c r="M54" i="11"/>
  <c r="M53" i="11" s="1"/>
  <c r="AM62" i="2"/>
  <c r="AY62" i="2"/>
  <c r="AT62" i="2"/>
  <c r="AT39" i="2"/>
  <c r="BN23" i="8"/>
  <c r="W12" i="7"/>
  <c r="BR170" i="11"/>
  <c r="BD62" i="2"/>
  <c r="BI62" i="2"/>
  <c r="BW117" i="9"/>
  <c r="BW118" i="9"/>
  <c r="BL62" i="2"/>
  <c r="BG62" i="2"/>
  <c r="BB76" i="6"/>
  <c r="BB78" i="6"/>
  <c r="BF70" i="6" s="1"/>
  <c r="BB82" i="6"/>
  <c r="BB80" i="6"/>
  <c r="BB79" i="6"/>
  <c r="BB81" i="6"/>
  <c r="CL144" i="14"/>
  <c r="CM148" i="14"/>
  <c r="CU148" i="14"/>
  <c r="CQ148" i="14" s="1"/>
  <c r="CZ149" i="14"/>
  <c r="CZ152" i="14" s="1"/>
  <c r="CU151" i="14"/>
  <c r="CQ151" i="14" s="1"/>
  <c r="V86" i="11"/>
  <c r="AO62" i="2"/>
  <c r="AJ62" i="2"/>
  <c r="O86" i="8"/>
  <c r="O87" i="8" s="1"/>
  <c r="C14" i="2"/>
  <c r="C123" i="2" s="1"/>
  <c r="C68" i="2"/>
  <c r="C56" i="2"/>
  <c r="N87" i="8"/>
  <c r="S87" i="8"/>
  <c r="Z62" i="2"/>
  <c r="U62" i="2"/>
  <c r="AX39" i="2"/>
  <c r="BR23" i="8"/>
  <c r="AA12" i="7"/>
  <c r="BF62" i="2"/>
  <c r="BA62" i="2"/>
  <c r="AA37" i="7"/>
  <c r="AK57" i="10"/>
  <c r="CB79" i="8"/>
  <c r="CE165" i="11"/>
  <c r="AN126" i="7" s="1"/>
  <c r="BU108" i="9"/>
  <c r="BU110" i="9" s="1"/>
  <c r="CP107" i="11"/>
  <c r="CF57" i="12"/>
  <c r="CK48" i="12"/>
  <c r="AQ87" i="7"/>
  <c r="AQ79" i="7"/>
  <c r="CH57" i="11"/>
  <c r="BT89" i="11"/>
  <c r="BD37" i="2"/>
  <c r="AW33" i="6"/>
  <c r="AW44" i="6"/>
  <c r="AW43" i="6"/>
  <c r="AW46" i="6"/>
  <c r="AW45" i="6"/>
  <c r="BV89" i="11"/>
  <c r="AV33" i="6"/>
  <c r="AV43" i="6"/>
  <c r="AV46" i="6"/>
  <c r="AV45" i="6"/>
  <c r="AV44" i="6"/>
  <c r="AR31" i="7"/>
  <c r="BV84" i="9"/>
  <c r="CC63" i="10"/>
  <c r="BX126" i="10"/>
  <c r="BC37" i="2"/>
  <c r="BF37" i="2"/>
  <c r="AZ37" i="2"/>
  <c r="Q117" i="7"/>
  <c r="Q109" i="7"/>
  <c r="V109" i="7"/>
  <c r="BA37" i="2"/>
  <c r="AL42" i="7"/>
  <c r="CD65" i="8"/>
  <c r="AF116" i="7"/>
  <c r="AM24" i="15"/>
  <c r="AM23" i="15"/>
  <c r="CG50" i="11"/>
  <c r="AM18" i="15"/>
  <c r="AM19" i="15" s="1"/>
  <c r="AM20" i="15" s="1"/>
  <c r="U22" i="15"/>
  <c r="BO71" i="11"/>
  <c r="BO74" i="11" s="1"/>
  <c r="BQ74" i="11" s="1"/>
  <c r="W26" i="15"/>
  <c r="AD126" i="7"/>
  <c r="AP108" i="7"/>
  <c r="AP116" i="7"/>
  <c r="AK108" i="7"/>
  <c r="AK116" i="7"/>
  <c r="S29" i="15"/>
  <c r="BM50" i="11"/>
  <c r="V81" i="7" s="1"/>
  <c r="S23" i="15"/>
  <c r="BB46" i="15"/>
  <c r="BJ36" i="15"/>
  <c r="AR48" i="15"/>
  <c r="AW101" i="15" s="1"/>
  <c r="BK36" i="15" s="1"/>
  <c r="AO81" i="7"/>
  <c r="AO89" i="7"/>
  <c r="CF61" i="11"/>
  <c r="AM109" i="15"/>
  <c r="AM101" i="15"/>
  <c r="AW47" i="15"/>
  <c r="T24" i="15"/>
  <c r="T23" i="15"/>
  <c r="T18" i="15"/>
  <c r="BN50" i="11"/>
  <c r="Y24" i="15"/>
  <c r="AE124" i="7"/>
  <c r="BV165" i="11"/>
  <c r="AE126" i="7" s="1"/>
  <c r="BL24" i="14"/>
  <c r="BL29" i="14"/>
  <c r="BL23" i="14"/>
  <c r="BH48" i="11"/>
  <c r="CA50" i="14"/>
  <c r="CF46" i="14"/>
  <c r="W102" i="11"/>
  <c r="W79" i="8"/>
  <c r="Y79" i="8" s="1"/>
  <c r="Y81" i="8" s="1"/>
  <c r="AW24" i="14"/>
  <c r="AW23" i="14"/>
  <c r="AS48" i="11"/>
  <c r="AS53" i="11" s="1"/>
  <c r="AF37" i="14"/>
  <c r="AA37" i="14"/>
  <c r="W82" i="11"/>
  <c r="W96" i="11" s="1"/>
  <c r="CF211" i="14"/>
  <c r="CF210" i="14" s="1"/>
  <c r="CK54" i="14"/>
  <c r="BF19" i="14"/>
  <c r="BF20" i="14" s="1"/>
  <c r="V115" i="7"/>
  <c r="V107" i="7"/>
  <c r="CK24" i="14"/>
  <c r="CK23" i="14"/>
  <c r="CG48" i="11"/>
  <c r="CK18" i="14"/>
  <c r="CK19" i="14" s="1"/>
  <c r="CK20" i="14" s="1"/>
  <c r="BP24" i="14"/>
  <c r="AF115" i="7"/>
  <c r="AF107" i="7"/>
  <c r="BJ19" i="14"/>
  <c r="BJ20" i="14" s="1"/>
  <c r="BO19" i="14"/>
  <c r="BO20" i="14" s="1"/>
  <c r="BG29" i="14"/>
  <c r="BG24" i="14"/>
  <c r="BG23" i="14"/>
  <c r="BC48" i="11"/>
  <c r="CF63" i="14"/>
  <c r="CA65" i="14"/>
  <c r="CA64" i="14"/>
  <c r="CN92" i="14"/>
  <c r="CO92" i="14" s="1"/>
  <c r="BJ44" i="2"/>
  <c r="BE11" i="2"/>
  <c r="AH110" i="7"/>
  <c r="AM110" i="7"/>
  <c r="BE44" i="2"/>
  <c r="BY100" i="11"/>
  <c r="BY89" i="11"/>
  <c r="BQ24" i="14"/>
  <c r="BQ29" i="14"/>
  <c r="BQ23" i="14"/>
  <c r="BM48" i="11"/>
  <c r="BV24" i="14"/>
  <c r="BU19" i="14"/>
  <c r="BU20" i="14" s="1"/>
  <c r="BQ18" i="14"/>
  <c r="BB24" i="14"/>
  <c r="BB23" i="14"/>
  <c r="AX48" i="11"/>
  <c r="CA51" i="14"/>
  <c r="CF47" i="14"/>
  <c r="AP107" i="7"/>
  <c r="AP115" i="7"/>
  <c r="F88" i="7"/>
  <c r="F80" i="7"/>
  <c r="AW60" i="11"/>
  <c r="CO195" i="14"/>
  <c r="CO123" i="14"/>
  <c r="CO124" i="14" s="1"/>
  <c r="CO75" i="14"/>
  <c r="CK95" i="14"/>
  <c r="CK96" i="14" s="1"/>
  <c r="CK99" i="14" s="1"/>
  <c r="Z88" i="7"/>
  <c r="U80" i="7"/>
  <c r="BL60" i="11"/>
  <c r="AC22" i="14"/>
  <c r="Y48" i="11" s="1"/>
  <c r="BG19" i="14"/>
  <c r="BG20" i="14" s="1"/>
  <c r="U100" i="11"/>
  <c r="U89" i="11"/>
  <c r="U104" i="11" s="1"/>
  <c r="F44" i="2"/>
  <c r="BA19" i="14"/>
  <c r="BA20" i="14" s="1"/>
  <c r="AV19" i="14"/>
  <c r="AV20" i="14" s="1"/>
  <c r="AW18" i="14"/>
  <c r="AW19" i="14" s="1"/>
  <c r="AW20" i="14" s="1"/>
  <c r="CN195" i="14"/>
  <c r="CN123" i="14"/>
  <c r="CN124" i="14" s="1"/>
  <c r="CN75" i="14"/>
  <c r="AA115" i="7"/>
  <c r="AA107" i="7"/>
  <c r="CL155" i="14"/>
  <c r="CM155" i="14" s="1"/>
  <c r="CN155" i="14" s="1"/>
  <c r="CO155" i="14" s="1"/>
  <c r="AK107" i="7"/>
  <c r="AK115" i="7"/>
  <c r="CG76" i="11"/>
  <c r="AH118" i="7"/>
  <c r="AH99" i="7"/>
  <c r="AH115" i="7"/>
  <c r="AH107" i="7"/>
  <c r="AM107" i="7"/>
  <c r="K88" i="7"/>
  <c r="K80" i="7"/>
  <c r="BB60" i="11"/>
  <c r="BK23" i="14"/>
  <c r="BK24" i="14"/>
  <c r="BK18" i="14"/>
  <c r="BG48" i="11"/>
  <c r="Q115" i="7"/>
  <c r="T88" i="7"/>
  <c r="O88" i="7"/>
  <c r="O80" i="7"/>
  <c r="BF60" i="11"/>
  <c r="CB73" i="13"/>
  <c r="CG73" i="13" s="1"/>
  <c r="CL73" i="13" s="1"/>
  <c r="CQ73" i="13" s="1"/>
  <c r="CV73" i="13" s="1"/>
  <c r="CW73" i="13" s="1"/>
  <c r="CX73" i="13" s="1"/>
  <c r="CY73" i="13" s="1"/>
  <c r="CB76" i="13"/>
  <c r="CB72" i="13"/>
  <c r="CG72" i="13" s="1"/>
  <c r="CL72" i="13" s="1"/>
  <c r="CQ72" i="13" s="1"/>
  <c r="CB71" i="13"/>
  <c r="CG71" i="13" s="1"/>
  <c r="S79" i="7"/>
  <c r="BJ57" i="11"/>
  <c r="AU44" i="2"/>
  <c r="AU11" i="2"/>
  <c r="AZ44" i="2"/>
  <c r="BO100" i="11"/>
  <c r="BO89" i="11"/>
  <c r="BO104" i="11" s="1"/>
  <c r="AC110" i="7"/>
  <c r="X110" i="7"/>
  <c r="BO19" i="13"/>
  <c r="BO20" i="13" s="1"/>
  <c r="BR41" i="8"/>
  <c r="CF41" i="13"/>
  <c r="CF157" i="11"/>
  <c r="AO122" i="7" s="1"/>
  <c r="AP106" i="7"/>
  <c r="AP114" i="7"/>
  <c r="AT11" i="2"/>
  <c r="AT44" i="2"/>
  <c r="AY44" i="2"/>
  <c r="BN89" i="11"/>
  <c r="BN104" i="11" s="1"/>
  <c r="AB110" i="7"/>
  <c r="W110" i="7"/>
  <c r="BN100" i="11"/>
  <c r="AQ44" i="2"/>
  <c r="AQ11" i="2"/>
  <c r="AV44" i="2"/>
  <c r="BK100" i="11"/>
  <c r="T110" i="7"/>
  <c r="BK89" i="11"/>
  <c r="BK104" i="11" s="1"/>
  <c r="Y110" i="7"/>
  <c r="X99" i="7"/>
  <c r="AC106" i="7"/>
  <c r="X114" i="7"/>
  <c r="X118" i="7"/>
  <c r="X106" i="7"/>
  <c r="BR22" i="13"/>
  <c r="W114" i="7"/>
  <c r="AB106" i="7"/>
  <c r="W106" i="7"/>
  <c r="W118" i="7"/>
  <c r="W99" i="7"/>
  <c r="CQ54" i="13"/>
  <c r="CL59" i="13"/>
  <c r="T114" i="7"/>
  <c r="T99" i="7"/>
  <c r="Y106" i="7"/>
  <c r="T118" i="7"/>
  <c r="CG24" i="13"/>
  <c r="CG23" i="13"/>
  <c r="CG45" i="11"/>
  <c r="CG18" i="13"/>
  <c r="CG19" i="13" s="1"/>
  <c r="CG20" i="13" s="1"/>
  <c r="CJ126" i="13"/>
  <c r="V114" i="7"/>
  <c r="AA106" i="7"/>
  <c r="AK106" i="7"/>
  <c r="AK114" i="7"/>
  <c r="AF114" i="7"/>
  <c r="AF106" i="7"/>
  <c r="CG129" i="13"/>
  <c r="CG61" i="13"/>
  <c r="BB19" i="12"/>
  <c r="BB20" i="12" s="1"/>
  <c r="DA47" i="12"/>
  <c r="DB47" i="12" s="1"/>
  <c r="CZ78" i="12"/>
  <c r="AO121" i="7"/>
  <c r="D44" i="2"/>
  <c r="C11" i="2"/>
  <c r="O100" i="11"/>
  <c r="O89" i="11"/>
  <c r="O104" i="11" s="1"/>
  <c r="AR23" i="12"/>
  <c r="AR24" i="12"/>
  <c r="AR18" i="12"/>
  <c r="AR19" i="12" s="1"/>
  <c r="AR20" i="12" s="1"/>
  <c r="AN44" i="11"/>
  <c r="AN56" i="11" s="1"/>
  <c r="CZ44" i="12"/>
  <c r="CU75" i="12"/>
  <c r="AK118" i="7"/>
  <c r="AK113" i="7"/>
  <c r="AK105" i="7"/>
  <c r="AK99" i="7"/>
  <c r="W56" i="11"/>
  <c r="W53" i="11"/>
  <c r="BV77" i="12"/>
  <c r="CA46" i="12"/>
  <c r="BV61" i="12"/>
  <c r="BV49" i="12"/>
  <c r="B113" i="7"/>
  <c r="B99" i="7"/>
  <c r="B118" i="7"/>
  <c r="G86" i="7"/>
  <c r="B78" i="7"/>
  <c r="AS56" i="11"/>
  <c r="AP105" i="7"/>
  <c r="AP99" i="7"/>
  <c r="F86" i="7"/>
  <c r="AR56" i="11"/>
  <c r="S86" i="7"/>
  <c r="N78" i="7"/>
  <c r="N86" i="7"/>
  <c r="BE56" i="11"/>
  <c r="AF118" i="7"/>
  <c r="AF113" i="7"/>
  <c r="AF105" i="7"/>
  <c r="AF99" i="7"/>
  <c r="V78" i="7"/>
  <c r="BM56" i="11"/>
  <c r="BV19" i="12"/>
  <c r="BV20" i="12" s="1"/>
  <c r="AW24" i="12"/>
  <c r="CG89" i="11"/>
  <c r="BM44" i="2"/>
  <c r="BM11" i="2"/>
  <c r="AP110" i="7"/>
  <c r="AV19" i="12"/>
  <c r="AV20" i="12" s="1"/>
  <c r="BA19" i="12"/>
  <c r="BA20" i="12" s="1"/>
  <c r="AC37" i="12"/>
  <c r="AH38" i="12"/>
  <c r="AC38" i="12"/>
  <c r="Y78" i="11"/>
  <c r="AH37" i="12"/>
  <c r="G94" i="7"/>
  <c r="L105" i="7" s="1"/>
  <c r="G105" i="7"/>
  <c r="AX92" i="11"/>
  <c r="AX86" i="11"/>
  <c r="BB91" i="12"/>
  <c r="BK22" i="12"/>
  <c r="BG66" i="11"/>
  <c r="BG74" i="11" s="1"/>
  <c r="BH11" i="2"/>
  <c r="BH44" i="2"/>
  <c r="CB100" i="11"/>
  <c r="AK110" i="7"/>
  <c r="L113" i="7"/>
  <c r="BE23" i="12"/>
  <c r="BE18" i="12"/>
  <c r="BE24" i="12"/>
  <c r="BA44" i="11"/>
  <c r="BA53" i="11" s="1"/>
  <c r="BI19" i="12"/>
  <c r="BI20" i="12" s="1"/>
  <c r="BN19" i="12"/>
  <c r="BN20" i="12" s="1"/>
  <c r="Y44" i="2"/>
  <c r="Y11" i="2"/>
  <c r="AS100" i="11"/>
  <c r="AS89" i="11"/>
  <c r="AS104" i="11" s="1"/>
  <c r="B110" i="7"/>
  <c r="W92" i="11"/>
  <c r="BJ24" i="12"/>
  <c r="BJ23" i="12"/>
  <c r="BJ18" i="12"/>
  <c r="BF44" i="11"/>
  <c r="BO24" i="12"/>
  <c r="BB66" i="11"/>
  <c r="BB74" i="11" s="1"/>
  <c r="BF22" i="12"/>
  <c r="BG22" i="12" s="1"/>
  <c r="BC11" i="2"/>
  <c r="BW100" i="11"/>
  <c r="BL61" i="12"/>
  <c r="BG46" i="12"/>
  <c r="BL49" i="12"/>
  <c r="BQ30" i="12"/>
  <c r="BQ35" i="12"/>
  <c r="BM132" i="11"/>
  <c r="BM145" i="11" s="1"/>
  <c r="BV31" i="12"/>
  <c r="I78" i="7"/>
  <c r="I86" i="7"/>
  <c r="AZ56" i="11"/>
  <c r="BL22" i="12"/>
  <c r="BG64" i="11"/>
  <c r="BD64" i="11"/>
  <c r="BD53" i="11"/>
  <c r="BN53" i="11"/>
  <c r="BN64" i="11"/>
  <c r="BM154" i="11"/>
  <c r="BM103" i="11"/>
  <c r="AT64" i="11"/>
  <c r="AT53" i="11"/>
  <c r="AR64" i="11"/>
  <c r="AR53" i="11"/>
  <c r="CA64" i="11"/>
  <c r="CA53" i="11"/>
  <c r="CA141" i="11" s="1"/>
  <c r="CA87" i="11" s="1"/>
  <c r="AZ64" i="11"/>
  <c r="AZ53" i="11"/>
  <c r="BS176" i="11"/>
  <c r="BW175" i="11"/>
  <c r="BS79" i="8"/>
  <c r="CA32" i="11"/>
  <c r="CA28" i="11"/>
  <c r="J75" i="6"/>
  <c r="R38" i="2"/>
  <c r="CF175" i="11"/>
  <c r="CG170" i="11"/>
  <c r="AZ23" i="8"/>
  <c r="I12" i="7"/>
  <c r="AF39" i="2"/>
  <c r="AV76" i="6"/>
  <c r="AV80" i="6"/>
  <c r="AV81" i="6"/>
  <c r="AV78" i="6"/>
  <c r="AV82" i="6"/>
  <c r="AV79" i="6"/>
  <c r="CD33" i="11"/>
  <c r="CD32" i="11"/>
  <c r="CD28" i="11"/>
  <c r="BT28" i="11"/>
  <c r="BA64" i="11"/>
  <c r="AJ64" i="11"/>
  <c r="AJ53" i="11"/>
  <c r="AN64" i="11"/>
  <c r="AN53" i="11"/>
  <c r="AM64" i="11"/>
  <c r="AM53" i="11"/>
  <c r="AK64" i="11"/>
  <c r="AK53" i="11"/>
  <c r="BS195" i="11"/>
  <c r="BS23" i="8"/>
  <c r="AB12" i="7"/>
  <c r="AY39" i="2"/>
  <c r="BV23" i="8"/>
  <c r="AE12" i="7"/>
  <c r="BB39" i="2"/>
  <c r="AX76" i="6"/>
  <c r="AX79" i="6"/>
  <c r="AX82" i="6"/>
  <c r="AX81" i="6"/>
  <c r="AX80" i="6"/>
  <c r="AX78" i="6"/>
  <c r="BP176" i="11"/>
  <c r="BR176" i="11" s="1"/>
  <c r="BR175" i="11"/>
  <c r="AN23" i="8"/>
  <c r="T39" i="2"/>
  <c r="CH32" i="11"/>
  <c r="CH28" i="11"/>
  <c r="BW142" i="11"/>
  <c r="BS88" i="11"/>
  <c r="AS64" i="11"/>
  <c r="AY64" i="11"/>
  <c r="AY53" i="11"/>
  <c r="BB64" i="11"/>
  <c r="BI64" i="11"/>
  <c r="BI53" i="11"/>
  <c r="AU64" i="11"/>
  <c r="AU53" i="11"/>
  <c r="BO23" i="8"/>
  <c r="X12" i="7"/>
  <c r="AU39" i="2"/>
  <c r="BP23" i="8"/>
  <c r="Y12" i="7"/>
  <c r="AV39" i="2"/>
  <c r="CE32" i="11"/>
  <c r="CE28" i="11"/>
  <c r="BV28" i="11"/>
  <c r="BV29" i="11" s="1"/>
  <c r="BY32" i="11"/>
  <c r="BY28" i="11"/>
  <c r="BX32" i="11"/>
  <c r="BX33" i="11"/>
  <c r="BX28" i="11"/>
  <c r="BX29" i="11" s="1"/>
  <c r="CE64" i="11"/>
  <c r="CE53" i="11"/>
  <c r="AL53" i="11"/>
  <c r="AL64" i="11"/>
  <c r="CH64" i="11"/>
  <c r="BY64" i="11"/>
  <c r="BQ23" i="8"/>
  <c r="Z12" i="7"/>
  <c r="AW39" i="2"/>
  <c r="AW76" i="6"/>
  <c r="AW78" i="6"/>
  <c r="AW82" i="6"/>
  <c r="AW79" i="6"/>
  <c r="AW80" i="6"/>
  <c r="AW81" i="6"/>
  <c r="AM23" i="8"/>
  <c r="S39" i="2"/>
  <c r="BD82" i="6"/>
  <c r="BD81" i="6"/>
  <c r="BE81" i="6" s="1"/>
  <c r="BG73" i="6" s="1"/>
  <c r="BD80" i="6"/>
  <c r="BE80" i="6" s="1"/>
  <c r="BG72" i="6" s="1"/>
  <c r="BD79" i="6"/>
  <c r="BD76" i="6"/>
  <c r="BD23" i="8"/>
  <c r="M12" i="7"/>
  <c r="AJ39" i="2"/>
  <c r="AK127" i="7"/>
  <c r="BN107" i="10"/>
  <c r="BE23" i="8"/>
  <c r="N12" i="7"/>
  <c r="AK39" i="2"/>
  <c r="CB142" i="11"/>
  <c r="BV128" i="10"/>
  <c r="T38" i="7"/>
  <c r="BK58" i="8"/>
  <c r="AX122" i="9" s="1"/>
  <c r="BR57" i="10"/>
  <c r="BN84" i="10"/>
  <c r="BN83" i="10" s="1"/>
  <c r="AD31" i="2"/>
  <c r="U37" i="7"/>
  <c r="BM61" i="8"/>
  <c r="V37" i="7" s="1"/>
  <c r="BA47" i="10"/>
  <c r="X190" i="7" s="1"/>
  <c r="X191" i="7"/>
  <c r="AY84" i="10"/>
  <c r="T191" i="7"/>
  <c r="AN148" i="2"/>
  <c r="AN146" i="2" s="1"/>
  <c r="BS44" i="10"/>
  <c r="AP185" i="7"/>
  <c r="AL47" i="10"/>
  <c r="I190" i="7" s="1"/>
  <c r="I191" i="7"/>
  <c r="AW101" i="2"/>
  <c r="AW100" i="2"/>
  <c r="Y191" i="7"/>
  <c r="BM47" i="10"/>
  <c r="AJ190" i="7" s="1"/>
  <c r="AJ191" i="7"/>
  <c r="AW148" i="2"/>
  <c r="AW147" i="2" s="1"/>
  <c r="AW142" i="2"/>
  <c r="AY127" i="10"/>
  <c r="V187" i="7"/>
  <c r="AL148" i="2"/>
  <c r="AL146" i="2" s="1"/>
  <c r="AA170" i="7"/>
  <c r="AI44" i="10"/>
  <c r="AI47" i="10" s="1"/>
  <c r="F185" i="7"/>
  <c r="AS100" i="2"/>
  <c r="AS101" i="2"/>
  <c r="S148" i="2"/>
  <c r="S138" i="2"/>
  <c r="S137" i="2"/>
  <c r="S139" i="2" s="1"/>
  <c r="AX120" i="10"/>
  <c r="AT75" i="10"/>
  <c r="AP75" i="10"/>
  <c r="AP76" i="10" s="1"/>
  <c r="AP82" i="10" s="1"/>
  <c r="AP134" i="9"/>
  <c r="BG36" i="10"/>
  <c r="BS47" i="10"/>
  <c r="AY188" i="7"/>
  <c r="BV141" i="2"/>
  <c r="BW80" i="10"/>
  <c r="BX80" i="10" s="1"/>
  <c r="BX134" i="9"/>
  <c r="AX101" i="2"/>
  <c r="AX100" i="2"/>
  <c r="BN47" i="10"/>
  <c r="BM57" i="10"/>
  <c r="AS158" i="7"/>
  <c r="AW25" i="2"/>
  <c r="AW121" i="2"/>
  <c r="AR96" i="10"/>
  <c r="AL31" i="2"/>
  <c r="AL133" i="2" s="1"/>
  <c r="BQ57" i="10"/>
  <c r="AG47" i="10"/>
  <c r="D190" i="7" s="1"/>
  <c r="D191" i="7"/>
  <c r="AW44" i="10"/>
  <c r="AW47" i="10" s="1"/>
  <c r="T190" i="7" s="1"/>
  <c r="T185" i="7"/>
  <c r="AR49" i="7"/>
  <c r="BO27" i="2"/>
  <c r="BO142" i="2"/>
  <c r="AX44" i="10"/>
  <c r="AX47" i="10" s="1"/>
  <c r="U190" i="7" s="1"/>
  <c r="U185" i="7"/>
  <c r="AS44" i="10"/>
  <c r="P185" i="7"/>
  <c r="BN44" i="10"/>
  <c r="AK185" i="7"/>
  <c r="BC148" i="2"/>
  <c r="BC147" i="2" s="1"/>
  <c r="BC142" i="2"/>
  <c r="AO93" i="10"/>
  <c r="AR44" i="10"/>
  <c r="AR47" i="10" s="1"/>
  <c r="O190" i="7" s="1"/>
  <c r="O185" i="7"/>
  <c r="AS47" i="10"/>
  <c r="P190" i="7" s="1"/>
  <c r="P191" i="7"/>
  <c r="BY31" i="2"/>
  <c r="AD148" i="2"/>
  <c r="AD146" i="2" s="1"/>
  <c r="AY118" i="10"/>
  <c r="AY119" i="10" s="1"/>
  <c r="AY71" i="10"/>
  <c r="AQ47" i="10"/>
  <c r="N191" i="7"/>
  <c r="BC117" i="10"/>
  <c r="BC120" i="10" s="1"/>
  <c r="BC96" i="10"/>
  <c r="BC29" i="10"/>
  <c r="Z175" i="7"/>
  <c r="Z176" i="7" s="1"/>
  <c r="BC87" i="10"/>
  <c r="BD88" i="10"/>
  <c r="BD87" i="10" s="1"/>
  <c r="V170" i="7"/>
  <c r="C190" i="7"/>
  <c r="BS75" i="10"/>
  <c r="BO75" i="10"/>
  <c r="BN80" i="10"/>
  <c r="BO134" i="9"/>
  <c r="AG57" i="10"/>
  <c r="BA54" i="8" s="1"/>
  <c r="AS148" i="2"/>
  <c r="BU128" i="10"/>
  <c r="AM138" i="2"/>
  <c r="AM137" i="2"/>
  <c r="AM139" i="2" s="1"/>
  <c r="AM148" i="2"/>
  <c r="AH96" i="10"/>
  <c r="AB31" i="2"/>
  <c r="AB133" i="2" s="1"/>
  <c r="AA188" i="7"/>
  <c r="AX141" i="2"/>
  <c r="BD127" i="10"/>
  <c r="AS57" i="10"/>
  <c r="BB44" i="10"/>
  <c r="BB47" i="10" s="1"/>
  <c r="Y190" i="7" s="1"/>
  <c r="Y185" i="7"/>
  <c r="BT112" i="9"/>
  <c r="BT64" i="9"/>
  <c r="V80" i="2"/>
  <c r="V79" i="2"/>
  <c r="V20" i="2"/>
  <c r="V84" i="2" s="1"/>
  <c r="BM85" i="2"/>
  <c r="BT19" i="9"/>
  <c r="BU14" i="9"/>
  <c r="AP137" i="7"/>
  <c r="AP138" i="7" s="1"/>
  <c r="AP142" i="7" s="1"/>
  <c r="BT105" i="9"/>
  <c r="BM16" i="2"/>
  <c r="BS114" i="9"/>
  <c r="BS115" i="9" s="1"/>
  <c r="BS113" i="9"/>
  <c r="Z28" i="9"/>
  <c r="AA30" i="9"/>
  <c r="AK114" i="9"/>
  <c r="AK115" i="9" s="1"/>
  <c r="AK113" i="9"/>
  <c r="AU149" i="7"/>
  <c r="BR18" i="2"/>
  <c r="BR19" i="2" s="1"/>
  <c r="BY43" i="9"/>
  <c r="AS151" i="7"/>
  <c r="BW48" i="9"/>
  <c r="AZ129" i="9"/>
  <c r="AZ130" i="9"/>
  <c r="AZ66" i="9"/>
  <c r="AS83" i="2"/>
  <c r="AS103" i="2"/>
  <c r="BA129" i="9"/>
  <c r="BQ81" i="2"/>
  <c r="BQ19" i="2"/>
  <c r="AD105" i="9"/>
  <c r="AD78" i="9"/>
  <c r="AD19" i="9"/>
  <c r="W16" i="2"/>
  <c r="AE122" i="9"/>
  <c r="BU136" i="9"/>
  <c r="AF114" i="9"/>
  <c r="AF115" i="9" s="1"/>
  <c r="AF113" i="9"/>
  <c r="AU129" i="9"/>
  <c r="AU130" i="9"/>
  <c r="AU66" i="9"/>
  <c r="AN103" i="2"/>
  <c r="AV129" i="9"/>
  <c r="AN83" i="2"/>
  <c r="BL80" i="2"/>
  <c r="BL79" i="2"/>
  <c r="AE28" i="9"/>
  <c r="AF23" i="9"/>
  <c r="AJ23" i="9"/>
  <c r="AG23" i="9"/>
  <c r="BR129" i="9"/>
  <c r="BR130" i="9"/>
  <c r="BR66" i="9"/>
  <c r="BK103" i="2"/>
  <c r="BK83" i="2"/>
  <c r="BS107" i="9"/>
  <c r="BS104" i="9"/>
  <c r="BS30" i="9"/>
  <c r="BL92" i="2"/>
  <c r="BL91" i="2"/>
  <c r="AB28" i="9"/>
  <c r="AB30" i="9" s="1"/>
  <c r="AC23" i="9"/>
  <c r="BE130" i="9"/>
  <c r="BE129" i="9"/>
  <c r="BE66" i="9"/>
  <c r="AX103" i="2"/>
  <c r="AX83" i="2"/>
  <c r="BF129" i="9"/>
  <c r="BJ129" i="9"/>
  <c r="BC103" i="2"/>
  <c r="BJ130" i="9"/>
  <c r="BU62" i="9"/>
  <c r="BV58" i="9"/>
  <c r="AQ159" i="7"/>
  <c r="AQ160" i="7" s="1"/>
  <c r="AV144" i="7"/>
  <c r="BS17" i="2"/>
  <c r="AC104" i="9"/>
  <c r="AC107" i="9"/>
  <c r="V92" i="2"/>
  <c r="V91" i="2"/>
  <c r="CD135" i="9"/>
  <c r="BG59" i="8"/>
  <c r="AM54" i="2" s="1"/>
  <c r="BG63" i="8"/>
  <c r="AM69" i="2"/>
  <c r="AM12" i="2"/>
  <c r="AM88" i="2" s="1"/>
  <c r="AB69" i="2"/>
  <c r="BA109" i="8"/>
  <c r="BA52" i="8"/>
  <c r="J33" i="7"/>
  <c r="AG9" i="2"/>
  <c r="BD47" i="8"/>
  <c r="AJ52" i="2" s="1"/>
  <c r="AJ43" i="2"/>
  <c r="AJ10" i="2"/>
  <c r="BB9" i="2"/>
  <c r="BK47" i="8"/>
  <c r="AQ52" i="2" s="1"/>
  <c r="T28" i="7"/>
  <c r="T29" i="7" s="1"/>
  <c r="AQ43" i="2"/>
  <c r="AQ10" i="2"/>
  <c r="CE47" i="8"/>
  <c r="BK52" i="2" s="1"/>
  <c r="AN28" i="7"/>
  <c r="AN29" i="7" s="1"/>
  <c r="BK10" i="2"/>
  <c r="AJ47" i="8"/>
  <c r="P52" i="2" s="1"/>
  <c r="P43" i="2"/>
  <c r="P10" i="2"/>
  <c r="P65" i="2" s="1"/>
  <c r="AY47" i="8"/>
  <c r="AE52" i="2" s="1"/>
  <c r="AE43" i="2"/>
  <c r="AE10" i="2"/>
  <c r="AL47" i="8"/>
  <c r="R52" i="2" s="1"/>
  <c r="R43" i="2"/>
  <c r="R10" i="2"/>
  <c r="R65" i="2" s="1"/>
  <c r="AN47" i="8"/>
  <c r="T52" i="2" s="1"/>
  <c r="T43" i="2"/>
  <c r="T10" i="2"/>
  <c r="T65" i="2" s="1"/>
  <c r="AT109" i="8"/>
  <c r="AT52" i="8"/>
  <c r="C33" i="7"/>
  <c r="Z9" i="2"/>
  <c r="BB109" i="8"/>
  <c r="BB52" i="8"/>
  <c r="K33" i="7"/>
  <c r="AH9" i="2"/>
  <c r="AU43" i="2"/>
  <c r="AW52" i="8"/>
  <c r="AZ47" i="8"/>
  <c r="AF52" i="2" s="1"/>
  <c r="AF43" i="2"/>
  <c r="AF10" i="2"/>
  <c r="AU47" i="8"/>
  <c r="AA52" i="2" s="1"/>
  <c r="AA43" i="2"/>
  <c r="AA10" i="2"/>
  <c r="AU109" i="8"/>
  <c r="AU52" i="8"/>
  <c r="D33" i="7"/>
  <c r="AA9" i="2"/>
  <c r="AK47" i="8"/>
  <c r="Q52" i="2" s="1"/>
  <c r="Q43" i="2"/>
  <c r="Q10" i="2"/>
  <c r="Q65" i="2" s="1"/>
  <c r="BF47" i="8"/>
  <c r="AL52" i="2" s="1"/>
  <c r="AL43" i="2"/>
  <c r="AL10" i="2"/>
  <c r="AS63" i="8"/>
  <c r="AS59" i="8"/>
  <c r="Y54" i="2" s="1"/>
  <c r="Y69" i="2"/>
  <c r="Y12" i="2"/>
  <c r="Y88" i="2" s="1"/>
  <c r="BG109" i="8"/>
  <c r="BG52" i="8"/>
  <c r="P33" i="7"/>
  <c r="AM42" i="2"/>
  <c r="AM9" i="2"/>
  <c r="BD109" i="8"/>
  <c r="BD52" i="8"/>
  <c r="BV63" i="8"/>
  <c r="CE63" i="8"/>
  <c r="CE59" i="8"/>
  <c r="BK54" i="2" s="1"/>
  <c r="BK69" i="2"/>
  <c r="BK12" i="2"/>
  <c r="BK88" i="2" s="1"/>
  <c r="CD47" i="8"/>
  <c r="BJ52" i="2" s="1"/>
  <c r="AM28" i="7"/>
  <c r="AM29" i="7" s="1"/>
  <c r="BJ43" i="2"/>
  <c r="BJ10" i="2"/>
  <c r="AP47" i="8"/>
  <c r="V52" i="2" s="1"/>
  <c r="V43" i="2"/>
  <c r="V10" i="2"/>
  <c r="AX62" i="2"/>
  <c r="AS62" i="2"/>
  <c r="BM46" i="8"/>
  <c r="BM41" i="8"/>
  <c r="BM40" i="8"/>
  <c r="BM106" i="8" s="1"/>
  <c r="V23" i="7"/>
  <c r="V24" i="7" s="1"/>
  <c r="AR10" i="2"/>
  <c r="AL109" i="8"/>
  <c r="AL52" i="8"/>
  <c r="R51" i="2" s="1"/>
  <c r="R42" i="2"/>
  <c r="R9" i="2"/>
  <c r="AN109" i="8"/>
  <c r="AN52" i="8"/>
  <c r="T51" i="2" s="1"/>
  <c r="T42" i="2"/>
  <c r="T9" i="2"/>
  <c r="T77" i="2" s="1"/>
  <c r="AT59" i="8"/>
  <c r="Z54" i="2" s="1"/>
  <c r="AT63" i="8"/>
  <c r="Z12" i="2"/>
  <c r="Z88" i="2" s="1"/>
  <c r="Z69" i="2"/>
  <c r="AM47" i="8"/>
  <c r="S52" i="2" s="1"/>
  <c r="S43" i="2"/>
  <c r="S10" i="2"/>
  <c r="CH47" i="8"/>
  <c r="BN52" i="2" s="1"/>
  <c r="AQ28" i="7"/>
  <c r="AQ29" i="7" s="1"/>
  <c r="BN10" i="2"/>
  <c r="BI47" i="8"/>
  <c r="AO52" i="2" s="1"/>
  <c r="R28" i="7"/>
  <c r="R29" i="7" s="1"/>
  <c r="AO43" i="2"/>
  <c r="AO10" i="2"/>
  <c r="BE47" i="8"/>
  <c r="AK52" i="2" s="1"/>
  <c r="AK43" i="2"/>
  <c r="AK10" i="2"/>
  <c r="AR47" i="8"/>
  <c r="X52" i="2" s="1"/>
  <c r="X43" i="2"/>
  <c r="X10" i="2"/>
  <c r="CA63" i="8"/>
  <c r="CA59" i="8"/>
  <c r="BG54" i="2" s="1"/>
  <c r="BG69" i="2"/>
  <c r="BG12" i="2"/>
  <c r="BG88" i="2" s="1"/>
  <c r="AW47" i="8"/>
  <c r="AC52" i="2" s="1"/>
  <c r="AC43" i="2"/>
  <c r="AC10" i="2"/>
  <c r="BY59" i="8"/>
  <c r="BE54" i="2" s="1"/>
  <c r="AZ12" i="2"/>
  <c r="AZ88" i="2" s="1"/>
  <c r="AS47" i="8"/>
  <c r="Y52" i="2" s="1"/>
  <c r="B28" i="7"/>
  <c r="B29" i="7" s="1"/>
  <c r="Y43" i="2"/>
  <c r="Y10" i="2"/>
  <c r="BG47" i="8"/>
  <c r="AM52" i="2" s="1"/>
  <c r="AM43" i="2"/>
  <c r="AM10" i="2"/>
  <c r="BA47" i="8"/>
  <c r="AG52" i="2" s="1"/>
  <c r="AG10" i="2"/>
  <c r="BN47" i="8"/>
  <c r="AT52" i="2" s="1"/>
  <c r="W28" i="7"/>
  <c r="W29" i="7" s="1"/>
  <c r="AT43" i="2"/>
  <c r="AT10" i="2"/>
  <c r="CE109" i="8"/>
  <c r="CE52" i="8"/>
  <c r="AN33" i="7"/>
  <c r="BK9" i="2"/>
  <c r="AJ109" i="8"/>
  <c r="AJ52" i="8"/>
  <c r="P51" i="2" s="1"/>
  <c r="P42" i="2"/>
  <c r="P9" i="2"/>
  <c r="AY109" i="8"/>
  <c r="AY52" i="8"/>
  <c r="H33" i="7"/>
  <c r="AE42" i="2"/>
  <c r="AE9" i="2"/>
  <c r="BM104" i="8"/>
  <c r="V17" i="7"/>
  <c r="AS50" i="2"/>
  <c r="AL59" i="8"/>
  <c r="R54" i="2" s="1"/>
  <c r="AL63" i="8"/>
  <c r="R12" i="2"/>
  <c r="R88" i="2" s="1"/>
  <c r="R69" i="2"/>
  <c r="AM59" i="8"/>
  <c r="S54" i="2" s="1"/>
  <c r="CH52" i="8"/>
  <c r="AQ33" i="7"/>
  <c r="BN9" i="2"/>
  <c r="BI109" i="8"/>
  <c r="BI52" i="8"/>
  <c r="R33" i="7"/>
  <c r="AO42" i="2"/>
  <c r="AO9" i="2"/>
  <c r="AR109" i="8"/>
  <c r="AR52" i="8"/>
  <c r="X51" i="2" s="1"/>
  <c r="X42" i="2"/>
  <c r="X9" i="2"/>
  <c r="CA47" i="8"/>
  <c r="BG52" i="2" s="1"/>
  <c r="AJ28" i="7"/>
  <c r="AJ29" i="7" s="1"/>
  <c r="BG10" i="2"/>
  <c r="CA109" i="8"/>
  <c r="CA52" i="8"/>
  <c r="AJ33" i="7"/>
  <c r="BG9" i="2"/>
  <c r="AW63" i="8"/>
  <c r="AW59" i="8"/>
  <c r="AC54" i="2" s="1"/>
  <c r="AC69" i="2"/>
  <c r="AC12" i="2"/>
  <c r="AC88" i="2" s="1"/>
  <c r="AZ109" i="8"/>
  <c r="AZ52" i="8"/>
  <c r="I33" i="7"/>
  <c r="AF42" i="2"/>
  <c r="AF9" i="2"/>
  <c r="BY47" i="8"/>
  <c r="BE52" i="2" s="1"/>
  <c r="AH28" i="7"/>
  <c r="AH29" i="7" s="1"/>
  <c r="BE10" i="2"/>
  <c r="AK109" i="8"/>
  <c r="AK52" i="8"/>
  <c r="Q51" i="2" s="1"/>
  <c r="Q42" i="2"/>
  <c r="Q9" i="2"/>
  <c r="BT47" i="8"/>
  <c r="AZ52" i="2" s="1"/>
  <c r="AL12" i="2"/>
  <c r="AL88" i="2" s="1"/>
  <c r="AS109" i="8"/>
  <c r="AS52" i="8"/>
  <c r="B33" i="7"/>
  <c r="Y42" i="2"/>
  <c r="Y9" i="2"/>
  <c r="BX52" i="8"/>
  <c r="BN109" i="8"/>
  <c r="BN52" i="8"/>
  <c r="W33" i="7"/>
  <c r="AT42" i="2"/>
  <c r="AT9" i="2"/>
  <c r="AX59" i="8"/>
  <c r="AD54" i="2" s="1"/>
  <c r="AX63" i="8"/>
  <c r="AD12" i="2"/>
  <c r="AD88" i="2" s="1"/>
  <c r="AD69" i="2"/>
  <c r="CD59" i="8"/>
  <c r="BJ54" i="2" s="1"/>
  <c r="CD63" i="8"/>
  <c r="BJ12" i="2"/>
  <c r="BJ88" i="2" s="1"/>
  <c r="BJ69" i="2"/>
  <c r="AJ63" i="8"/>
  <c r="AJ59" i="8"/>
  <c r="P54" i="2" s="1"/>
  <c r="P69" i="2"/>
  <c r="P12" i="2"/>
  <c r="P88" i="2" s="1"/>
  <c r="BH47" i="8"/>
  <c r="AN52" i="2" s="1"/>
  <c r="Q28" i="7"/>
  <c r="Q29" i="7" s="1"/>
  <c r="AN10" i="2"/>
  <c r="AP59" i="8"/>
  <c r="V54" i="2" s="1"/>
  <c r="AP63" i="8"/>
  <c r="V12" i="2"/>
  <c r="V88" i="2" s="1"/>
  <c r="V69" i="2"/>
  <c r="BW47" i="8"/>
  <c r="BC52" i="2" s="1"/>
  <c r="AF28" i="7"/>
  <c r="AF29" i="7" s="1"/>
  <c r="BC10" i="2"/>
  <c r="AN63" i="8"/>
  <c r="AN59" i="8"/>
  <c r="T54" i="2" s="1"/>
  <c r="T69" i="2"/>
  <c r="T12" i="2"/>
  <c r="T88" i="2" s="1"/>
  <c r="AT47" i="8"/>
  <c r="Z52" i="2" s="1"/>
  <c r="Z10" i="2"/>
  <c r="AM109" i="8"/>
  <c r="AM52" i="8"/>
  <c r="S51" i="2" s="1"/>
  <c r="S42" i="2"/>
  <c r="S9" i="2"/>
  <c r="BB47" i="8"/>
  <c r="AH52" i="2" s="1"/>
  <c r="AH43" i="2"/>
  <c r="AH10" i="2"/>
  <c r="AO47" i="8"/>
  <c r="U52" i="2" s="1"/>
  <c r="AR63" i="8"/>
  <c r="AR59" i="8"/>
  <c r="X54" i="2" s="1"/>
  <c r="X69" i="2"/>
  <c r="X12" i="2"/>
  <c r="X88" i="2" s="1"/>
  <c r="AZ63" i="8"/>
  <c r="AZ59" i="8"/>
  <c r="AF54" i="2" s="1"/>
  <c r="AF69" i="2"/>
  <c r="AF12" i="2"/>
  <c r="AF88" i="2" s="1"/>
  <c r="AU63" i="8"/>
  <c r="AU59" i="8"/>
  <c r="AA54" i="2" s="1"/>
  <c r="AA69" i="2"/>
  <c r="AA12" i="2"/>
  <c r="AA88" i="2" s="1"/>
  <c r="BJ47" i="8"/>
  <c r="AP52" i="2" s="1"/>
  <c r="S28" i="7"/>
  <c r="S29" i="7" s="1"/>
  <c r="AP43" i="2"/>
  <c r="AP10" i="2"/>
  <c r="AP65" i="2" s="1"/>
  <c r="BE9" i="2"/>
  <c r="AK63" i="8"/>
  <c r="AK59" i="8"/>
  <c r="Q54" i="2" s="1"/>
  <c r="Q69" i="2"/>
  <c r="Q12" i="2"/>
  <c r="Q88" i="2" s="1"/>
  <c r="BN67" i="6"/>
  <c r="BN63" i="6"/>
  <c r="BN64" i="6" s="1"/>
  <c r="AL84" i="2"/>
  <c r="BD84" i="2"/>
  <c r="R84" i="2"/>
  <c r="AQ84" i="2"/>
  <c r="G84" i="2"/>
  <c r="G77" i="2"/>
  <c r="BB84" i="2"/>
  <c r="AF84" i="2"/>
  <c r="AE84" i="2"/>
  <c r="AG84" i="2"/>
  <c r="BK84" i="2"/>
  <c r="BF84" i="2"/>
  <c r="K84" i="2"/>
  <c r="T84" i="2"/>
  <c r="BC84" i="2"/>
  <c r="O84" i="2"/>
  <c r="O77" i="2"/>
  <c r="AM84" i="2"/>
  <c r="AH84" i="2"/>
  <c r="L84" i="2"/>
  <c r="BH84" i="2"/>
  <c r="AD84" i="2"/>
  <c r="P84" i="2"/>
  <c r="AP84" i="2"/>
  <c r="D84" i="2"/>
  <c r="D77" i="2"/>
  <c r="AR84" i="2"/>
  <c r="BJ84" i="2"/>
  <c r="Z84" i="2"/>
  <c r="AZ84" i="2"/>
  <c r="X84" i="2"/>
  <c r="B84" i="2"/>
  <c r="B77" i="2"/>
  <c r="H84" i="2"/>
  <c r="AN84" i="2"/>
  <c r="S84" i="2"/>
  <c r="C84" i="2"/>
  <c r="C77" i="2"/>
  <c r="AW84" i="2"/>
  <c r="BL84" i="2"/>
  <c r="AY84" i="2"/>
  <c r="F77" i="2"/>
  <c r="F84" i="2"/>
  <c r="AU84" i="2"/>
  <c r="AV84" i="2"/>
  <c r="N84" i="2"/>
  <c r="J84" i="2"/>
  <c r="BG84" i="2"/>
  <c r="AJ84" i="2"/>
  <c r="Q84" i="2"/>
  <c r="AT84" i="2"/>
  <c r="AX84" i="2"/>
  <c r="AI84" i="2"/>
  <c r="AB84" i="2"/>
  <c r="AA84" i="2"/>
  <c r="BY109" i="8" l="1"/>
  <c r="BG42" i="2"/>
  <c r="BE69" i="2"/>
  <c r="BV109" i="8"/>
  <c r="AH33" i="7"/>
  <c r="BY63" i="8"/>
  <c r="AE33" i="7"/>
  <c r="BY52" i="8"/>
  <c r="AH34" i="7" s="1"/>
  <c r="BE12" i="2"/>
  <c r="BE88" i="2" s="1"/>
  <c r="BV52" i="8"/>
  <c r="CV72" i="13"/>
  <c r="CW72" i="13" s="1"/>
  <c r="CX72" i="13" s="1"/>
  <c r="AM63" i="8"/>
  <c r="AR43" i="2"/>
  <c r="AD43" i="2"/>
  <c r="BR136" i="11"/>
  <c r="BR149" i="11" s="1"/>
  <c r="CA31" i="14"/>
  <c r="BV30" i="14"/>
  <c r="S12" i="2"/>
  <c r="S88" i="2" s="1"/>
  <c r="U28" i="7"/>
  <c r="U29" i="7" s="1"/>
  <c r="AV64" i="11"/>
  <c r="S69" i="2"/>
  <c r="AA80" i="7"/>
  <c r="BR60" i="11"/>
  <c r="AF88" i="7"/>
  <c r="AB10" i="2"/>
  <c r="AW43" i="2"/>
  <c r="BX63" i="8"/>
  <c r="BD55" i="2" s="1"/>
  <c r="BY33" i="11"/>
  <c r="BT32" i="11"/>
  <c r="AV47" i="8"/>
  <c r="AB52" i="2" s="1"/>
  <c r="BQ47" i="8"/>
  <c r="AW52" i="2" s="1"/>
  <c r="S65" i="2"/>
  <c r="CC47" i="8"/>
  <c r="BI52" i="2" s="1"/>
  <c r="BD69" i="2"/>
  <c r="CI59" i="9"/>
  <c r="CJ59" i="9" s="1"/>
  <c r="BD159" i="7"/>
  <c r="CR151" i="14"/>
  <c r="CS151" i="14" s="1"/>
  <c r="CL146" i="14"/>
  <c r="CL152" i="14" s="1"/>
  <c r="CQ153" i="14" s="1"/>
  <c r="CR148" i="14"/>
  <c r="CQ155" i="14"/>
  <c r="CF88" i="10"/>
  <c r="CG87" i="10"/>
  <c r="CG88" i="10" s="1"/>
  <c r="CG39" i="10" s="1"/>
  <c r="BA188" i="7"/>
  <c r="BB188" i="7"/>
  <c r="DC47" i="12"/>
  <c r="DC78" i="12" s="1"/>
  <c r="DB78" i="12"/>
  <c r="AZ188" i="7"/>
  <c r="U79" i="7"/>
  <c r="Z87" i="7"/>
  <c r="BL57" i="11"/>
  <c r="BM18" i="13"/>
  <c r="CY72" i="13"/>
  <c r="CV118" i="13"/>
  <c r="DF37" i="13" s="1"/>
  <c r="CQ107" i="11"/>
  <c r="CV27" i="13"/>
  <c r="CK17" i="9"/>
  <c r="CL17" i="9" s="1"/>
  <c r="BB69" i="2"/>
  <c r="BX64" i="11"/>
  <c r="BL12" i="2"/>
  <c r="BL88" i="2" s="1"/>
  <c r="CF59" i="8"/>
  <c r="BL54" i="2" s="1"/>
  <c r="AC42" i="2"/>
  <c r="AH42" i="2"/>
  <c r="AV59" i="8"/>
  <c r="AB54" i="2" s="1"/>
  <c r="AW53" i="11"/>
  <c r="AO64" i="11"/>
  <c r="F33" i="7"/>
  <c r="K35" i="7" s="1"/>
  <c r="AB12" i="2"/>
  <c r="AB88" i="2" s="1"/>
  <c r="BU47" i="8"/>
  <c r="BA52" i="2" s="1"/>
  <c r="AR12" i="2"/>
  <c r="AR88" i="2" s="1"/>
  <c r="AC9" i="2"/>
  <c r="AG77" i="2" s="1"/>
  <c r="AW109" i="8"/>
  <c r="AV63" i="8"/>
  <c r="AV66" i="8" s="1"/>
  <c r="CE41" i="8"/>
  <c r="BZ58" i="8"/>
  <c r="BM122" i="9" s="1"/>
  <c r="U65" i="2"/>
  <c r="BZ40" i="8"/>
  <c r="BZ106" i="8" s="1"/>
  <c r="BZ41" i="8"/>
  <c r="BZ51" i="8"/>
  <c r="BZ54" i="11" s="1"/>
  <c r="BZ53" i="11" s="1"/>
  <c r="BZ141" i="11" s="1"/>
  <c r="CB141" i="11" s="1"/>
  <c r="CB87" i="11" s="1"/>
  <c r="BZ46" i="8"/>
  <c r="BK43" i="2" s="1"/>
  <c r="BZ110" i="8"/>
  <c r="BU32" i="11"/>
  <c r="AI23" i="7"/>
  <c r="AI24" i="7" s="1"/>
  <c r="BZ31" i="11"/>
  <c r="BZ32" i="11" s="1"/>
  <c r="AW19" i="12"/>
  <c r="AW20" i="12" s="1"/>
  <c r="E33" i="7"/>
  <c r="U43" i="2"/>
  <c r="AB9" i="2"/>
  <c r="Z43" i="2"/>
  <c r="AV52" i="8"/>
  <c r="AB51" i="2" s="1"/>
  <c r="AG42" i="2"/>
  <c r="AZ113" i="2"/>
  <c r="AV109" i="8"/>
  <c r="BW63" i="8"/>
  <c r="BW66" i="8" s="1"/>
  <c r="BI130" i="10" s="1"/>
  <c r="AX43" i="2"/>
  <c r="BD70" i="6"/>
  <c r="BD78" i="6" s="1"/>
  <c r="BE78" i="6" s="1"/>
  <c r="BG70" i="6" s="1"/>
  <c r="BL59" i="8"/>
  <c r="AR54" i="2" s="1"/>
  <c r="AR69" i="2"/>
  <c r="CC33" i="11"/>
  <c r="AE28" i="7"/>
  <c r="AE29" i="7" s="1"/>
  <c r="BL63" i="8"/>
  <c r="AR55" i="2" s="1"/>
  <c r="CC59" i="8"/>
  <c r="BI54" i="2" s="1"/>
  <c r="AD28" i="7"/>
  <c r="AD29" i="7" s="1"/>
  <c r="CC28" i="11"/>
  <c r="CC29" i="11" s="1"/>
  <c r="CF52" i="8"/>
  <c r="BI12" i="2"/>
  <c r="BI88" i="2" s="1"/>
  <c r="AO28" i="7"/>
  <c r="AO29" i="7" s="1"/>
  <c r="AY43" i="2"/>
  <c r="BW79" i="8"/>
  <c r="BD9" i="2"/>
  <c r="BD87" i="2" s="1"/>
  <c r="AZ43" i="2"/>
  <c r="BU63" i="8"/>
  <c r="AD40" i="7" s="1"/>
  <c r="AU10" i="2"/>
  <c r="CA33" i="11"/>
  <c r="BE43" i="2"/>
  <c r="AV10" i="2"/>
  <c r="BA65" i="2" s="1"/>
  <c r="BO47" i="8"/>
  <c r="AU52" i="2" s="1"/>
  <c r="BV32" i="11"/>
  <c r="AZ10" i="2"/>
  <c r="Y28" i="7"/>
  <c r="Y29" i="7" s="1"/>
  <c r="BF113" i="2"/>
  <c r="AH24" i="15"/>
  <c r="AC18" i="15"/>
  <c r="AH19" i="15" s="1"/>
  <c r="AH20" i="15" s="1"/>
  <c r="AC23" i="15"/>
  <c r="BW50" i="11"/>
  <c r="AI89" i="7"/>
  <c r="AD89" i="7"/>
  <c r="AD81" i="7"/>
  <c r="BU61" i="11"/>
  <c r="AA19" i="15"/>
  <c r="AA20" i="15" s="1"/>
  <c r="AF19" i="15"/>
  <c r="AF20" i="15" s="1"/>
  <c r="AB23" i="15"/>
  <c r="AB18" i="15"/>
  <c r="AG19" i="15" s="1"/>
  <c r="AG20" i="15" s="1"/>
  <c r="BV50" i="11"/>
  <c r="AG24" i="15"/>
  <c r="BF63" i="8"/>
  <c r="BF66" i="8" s="1"/>
  <c r="BN48" i="10"/>
  <c r="BN54" i="10" s="1"/>
  <c r="BN57" i="10" s="1"/>
  <c r="BF59" i="8"/>
  <c r="AL54" i="2" s="1"/>
  <c r="BI69" i="2"/>
  <c r="BB43" i="2"/>
  <c r="BA43" i="2"/>
  <c r="BP47" i="8"/>
  <c r="AV52" i="2" s="1"/>
  <c r="AL28" i="7"/>
  <c r="AL29" i="7" s="1"/>
  <c r="Z28" i="7"/>
  <c r="Z29" i="7" s="1"/>
  <c r="BL10" i="2"/>
  <c r="BL65" i="2" s="1"/>
  <c r="BN43" i="2"/>
  <c r="BB12" i="2"/>
  <c r="BB88" i="2" s="1"/>
  <c r="BL69" i="2"/>
  <c r="BD12" i="2"/>
  <c r="BD88" i="2" s="1"/>
  <c r="CC32" i="11"/>
  <c r="BU28" i="11"/>
  <c r="BU29" i="11" s="1"/>
  <c r="BW176" i="11"/>
  <c r="AO33" i="7"/>
  <c r="AO35" i="7" s="1"/>
  <c r="CC63" i="8"/>
  <c r="CC66" i="8" s="1"/>
  <c r="BO130" i="10" s="1"/>
  <c r="BG43" i="2"/>
  <c r="BI10" i="2"/>
  <c r="BN65" i="2" s="1"/>
  <c r="BS52" i="8"/>
  <c r="AB34" i="7" s="1"/>
  <c r="CF47" i="8"/>
  <c r="BL52" i="2" s="1"/>
  <c r="AV69" i="2"/>
  <c r="BS63" i="8"/>
  <c r="BS66" i="8" s="1"/>
  <c r="BE130" i="10" s="1"/>
  <c r="BV59" i="8"/>
  <c r="BB54" i="2" s="1"/>
  <c r="CF63" i="8"/>
  <c r="BR130" i="10" s="1"/>
  <c r="BX59" i="8"/>
  <c r="BD54" i="2" s="1"/>
  <c r="BI43" i="2"/>
  <c r="CF28" i="11"/>
  <c r="CF29" i="11" s="1"/>
  <c r="BL9" i="2"/>
  <c r="BL64" i="2" s="1"/>
  <c r="CF109" i="8"/>
  <c r="BV47" i="8"/>
  <c r="BB52" i="2" s="1"/>
  <c r="AZ69" i="2"/>
  <c r="BC12" i="2"/>
  <c r="BC88" i="2" s="1"/>
  <c r="CF33" i="11"/>
  <c r="CF53" i="11"/>
  <c r="BL42" i="2"/>
  <c r="BA69" i="2"/>
  <c r="BS47" i="8"/>
  <c r="AY52" i="2" s="1"/>
  <c r="AG33" i="7"/>
  <c r="BA12" i="2"/>
  <c r="BA88" i="2" s="1"/>
  <c r="BC69" i="2"/>
  <c r="AY10" i="2"/>
  <c r="AY65" i="2" s="1"/>
  <c r="BX109" i="8"/>
  <c r="BX47" i="8"/>
  <c r="BD52" i="2" s="1"/>
  <c r="BU59" i="8"/>
  <c r="BA54" i="2" s="1"/>
  <c r="BW59" i="8"/>
  <c r="BC54" i="2" s="1"/>
  <c r="BD43" i="2"/>
  <c r="BT59" i="8"/>
  <c r="AZ54" i="2" s="1"/>
  <c r="BS64" i="11"/>
  <c r="BD10" i="2"/>
  <c r="W35" i="7"/>
  <c r="BT63" i="8"/>
  <c r="BT70" i="8" s="1"/>
  <c r="BF12" i="10" s="1"/>
  <c r="BE79" i="6"/>
  <c r="BG71" i="6" s="1"/>
  <c r="AQ104" i="8"/>
  <c r="W50" i="2"/>
  <c r="G28" i="7"/>
  <c r="G29" i="7" s="1"/>
  <c r="BC47" i="8"/>
  <c r="AI52" i="2" s="1"/>
  <c r="BC43" i="2"/>
  <c r="AN43" i="2"/>
  <c r="U42" i="2"/>
  <c r="AW69" i="2"/>
  <c r="AB62" i="2"/>
  <c r="BE82" i="6"/>
  <c r="AH64" i="11"/>
  <c r="AH53" i="11"/>
  <c r="AJ35" i="7"/>
  <c r="U12" i="2"/>
  <c r="U88" i="2" s="1"/>
  <c r="AY9" i="2"/>
  <c r="AY64" i="2" s="1"/>
  <c r="AO52" i="8"/>
  <c r="U51" i="2" s="1"/>
  <c r="AY12" i="2"/>
  <c r="AY88" i="2" s="1"/>
  <c r="AJ9" i="2"/>
  <c r="AJ87" i="2" s="1"/>
  <c r="N87" i="2"/>
  <c r="N64" i="2"/>
  <c r="N78" i="2"/>
  <c r="U9" i="2"/>
  <c r="U77" i="2" s="1"/>
  <c r="BD42" i="2"/>
  <c r="AL69" i="2"/>
  <c r="U69" i="2"/>
  <c r="AY42" i="2"/>
  <c r="AY69" i="2"/>
  <c r="AJ42" i="2"/>
  <c r="Z42" i="2"/>
  <c r="BS109" i="8"/>
  <c r="W113" i="2"/>
  <c r="AO63" i="8"/>
  <c r="U13" i="2" s="1"/>
  <c r="AB33" i="7"/>
  <c r="AB35" i="7" s="1"/>
  <c r="BS59" i="8"/>
  <c r="AY54" i="2" s="1"/>
  <c r="M33" i="7"/>
  <c r="M35" i="7" s="1"/>
  <c r="AQ143" i="11"/>
  <c r="AQ110" i="8"/>
  <c r="AQ51" i="8"/>
  <c r="AQ41" i="8"/>
  <c r="AQ58" i="8"/>
  <c r="AQ40" i="8"/>
  <c r="AQ106" i="8" s="1"/>
  <c r="AV41" i="8"/>
  <c r="AQ46" i="8"/>
  <c r="AT150" i="7"/>
  <c r="BY126" i="10"/>
  <c r="H87" i="2"/>
  <c r="M64" i="2"/>
  <c r="H78" i="2"/>
  <c r="L78" i="2"/>
  <c r="K78" i="2"/>
  <c r="V100" i="11"/>
  <c r="AB53" i="11"/>
  <c r="AB64" i="11"/>
  <c r="AO59" i="8"/>
  <c r="U54" i="2" s="1"/>
  <c r="BK42" i="2"/>
  <c r="AX10" i="2"/>
  <c r="BC65" i="2" s="1"/>
  <c r="AO109" i="8"/>
  <c r="AW12" i="2"/>
  <c r="AW88" i="2" s="1"/>
  <c r="G44" i="2"/>
  <c r="V89" i="11"/>
  <c r="V104" i="11" s="1"/>
  <c r="AI10" i="2"/>
  <c r="AI65" i="2" s="1"/>
  <c r="AA28" i="7"/>
  <c r="AA29" i="7" s="1"/>
  <c r="BM110" i="8"/>
  <c r="BQ59" i="8"/>
  <c r="AW54" i="2" s="1"/>
  <c r="B86" i="7"/>
  <c r="BP63" i="8"/>
  <c r="AV55" i="2" s="1"/>
  <c r="X64" i="11"/>
  <c r="X53" i="11"/>
  <c r="H82" i="6"/>
  <c r="H76" i="6"/>
  <c r="H78" i="6"/>
  <c r="H80" i="6"/>
  <c r="K77" i="2"/>
  <c r="AI43" i="2"/>
  <c r="Q77" i="2"/>
  <c r="BQ63" i="8"/>
  <c r="Z40" i="7" s="1"/>
  <c r="O65" i="2"/>
  <c r="J73" i="2"/>
  <c r="O64" i="2"/>
  <c r="J87" i="2"/>
  <c r="J64" i="2"/>
  <c r="J78" i="2"/>
  <c r="BP59" i="8"/>
  <c r="AV54" i="2" s="1"/>
  <c r="AD64" i="11"/>
  <c r="AD53" i="11"/>
  <c r="BF9" i="2"/>
  <c r="AX47" i="8"/>
  <c r="AD52" i="2" s="1"/>
  <c r="H77" i="2"/>
  <c r="L77" i="2"/>
  <c r="AV12" i="2"/>
  <c r="AV88" i="2" s="1"/>
  <c r="W81" i="8"/>
  <c r="W86" i="8" s="1"/>
  <c r="AB87" i="8" s="1"/>
  <c r="P77" i="2"/>
  <c r="AO65" i="2"/>
  <c r="I35" i="7"/>
  <c r="R77" i="2"/>
  <c r="AH65" i="2"/>
  <c r="AK65" i="2"/>
  <c r="S77" i="2"/>
  <c r="BR81" i="2"/>
  <c r="CN148" i="14"/>
  <c r="CM144" i="14"/>
  <c r="CM146" i="14" s="1"/>
  <c r="CM152" i="14" s="1"/>
  <c r="DA149" i="14"/>
  <c r="CZ148" i="14"/>
  <c r="CV148" i="14" s="1"/>
  <c r="CW148" i="14" s="1"/>
  <c r="CX148" i="14" s="1"/>
  <c r="CY148" i="14" s="1"/>
  <c r="CZ151" i="14"/>
  <c r="AH77" i="2"/>
  <c r="Y65" i="2"/>
  <c r="W86" i="11"/>
  <c r="X65" i="2"/>
  <c r="AQ12" i="2"/>
  <c r="AQ88" i="2" s="1"/>
  <c r="BY29" i="11"/>
  <c r="CP48" i="12"/>
  <c r="CK49" i="12"/>
  <c r="CK45" i="12"/>
  <c r="AQ69" i="2"/>
  <c r="BK59" i="8"/>
  <c r="AQ54" i="2" s="1"/>
  <c r="BK63" i="8"/>
  <c r="BK66" i="8" s="1"/>
  <c r="BB65" i="2"/>
  <c r="AT65" i="2"/>
  <c r="BS89" i="11"/>
  <c r="CF165" i="11"/>
  <c r="AO126" i="7" s="1"/>
  <c r="BV87" i="9"/>
  <c r="BV86" i="9"/>
  <c r="BV109" i="9" s="1"/>
  <c r="BV88" i="9"/>
  <c r="BV85" i="9"/>
  <c r="CG65" i="8"/>
  <c r="AP42" i="7" s="1"/>
  <c r="CA89" i="11"/>
  <c r="AM42" i="7"/>
  <c r="BC46" i="15"/>
  <c r="BD46" i="15" s="1"/>
  <c r="BE46" i="15" s="1"/>
  <c r="T19" i="15"/>
  <c r="T20" i="15" s="1"/>
  <c r="Y19" i="15"/>
  <c r="Y20" i="15" s="1"/>
  <c r="BB100" i="15"/>
  <c r="BB47" i="15"/>
  <c r="BW165" i="11"/>
  <c r="U24" i="15"/>
  <c r="U23" i="15"/>
  <c r="U18" i="15"/>
  <c r="BO50" i="11"/>
  <c r="Z24" i="15"/>
  <c r="AW48" i="15"/>
  <c r="AB89" i="7"/>
  <c r="W89" i="7"/>
  <c r="W81" i="7"/>
  <c r="BN61" i="11"/>
  <c r="S30" i="15"/>
  <c r="S35" i="15"/>
  <c r="BM138" i="11"/>
  <c r="BM151" i="11" s="1"/>
  <c r="W22" i="15"/>
  <c r="BQ71" i="11"/>
  <c r="AP89" i="7"/>
  <c r="AP81" i="7"/>
  <c r="CG61" i="11"/>
  <c r="BK19" i="14"/>
  <c r="BK20" i="14" s="1"/>
  <c r="BL18" i="14"/>
  <c r="BL19" i="14" s="1"/>
  <c r="BL20" i="14" s="1"/>
  <c r="Y60" i="11"/>
  <c r="Y53" i="11"/>
  <c r="BP19" i="14"/>
  <c r="BP20" i="14" s="1"/>
  <c r="BQ31" i="14"/>
  <c r="BQ30" i="14"/>
  <c r="BM136" i="11"/>
  <c r="BM149" i="11" s="1"/>
  <c r="BV31" i="14"/>
  <c r="CK63" i="14"/>
  <c r="CF59" i="14"/>
  <c r="BG30" i="14"/>
  <c r="BG35" i="14"/>
  <c r="BG31" i="14"/>
  <c r="BC136" i="11"/>
  <c r="CK211" i="14"/>
  <c r="CK210" i="14" s="1"/>
  <c r="CP210" i="14" s="1"/>
  <c r="CU210" i="14" s="1"/>
  <c r="CP54" i="14"/>
  <c r="CU54" i="14" s="1"/>
  <c r="Q88" i="7"/>
  <c r="Q80" i="7"/>
  <c r="BH60" i="11"/>
  <c r="G88" i="7"/>
  <c r="G80" i="7"/>
  <c r="AX60" i="11"/>
  <c r="L88" i="7"/>
  <c r="L80" i="7"/>
  <c r="BC60" i="11"/>
  <c r="BB19" i="14"/>
  <c r="BB20" i="14" s="1"/>
  <c r="CF45" i="14"/>
  <c r="CF48" i="14" s="1"/>
  <c r="CK46" i="14"/>
  <c r="BQ19" i="14"/>
  <c r="BQ20" i="14" s="1"/>
  <c r="BV19" i="14"/>
  <c r="BV20" i="14" s="1"/>
  <c r="V88" i="7"/>
  <c r="V80" i="7"/>
  <c r="BM60" i="11"/>
  <c r="AA88" i="7"/>
  <c r="AP88" i="7"/>
  <c r="AP80" i="7"/>
  <c r="CG60" i="11"/>
  <c r="B88" i="7"/>
  <c r="B80" i="7"/>
  <c r="AS60" i="11"/>
  <c r="BL31" i="14"/>
  <c r="BL30" i="14"/>
  <c r="BH136" i="11"/>
  <c r="BH149" i="11" s="1"/>
  <c r="P88" i="7"/>
  <c r="P80" i="7"/>
  <c r="BG60" i="11"/>
  <c r="U88" i="7"/>
  <c r="CK101" i="14"/>
  <c r="CK47" i="14"/>
  <c r="BJ66" i="2"/>
  <c r="BE53" i="2"/>
  <c r="BE66" i="2"/>
  <c r="CL71" i="13"/>
  <c r="CL74" i="13" s="1"/>
  <c r="CL61" i="13"/>
  <c r="CK126" i="13"/>
  <c r="BR23" i="13"/>
  <c r="BR45" i="11"/>
  <c r="BW24" i="13"/>
  <c r="AP87" i="7"/>
  <c r="AP79" i="7"/>
  <c r="CG57" i="11"/>
  <c r="CV54" i="13"/>
  <c r="AQ66" i="2"/>
  <c r="AQ53" i="2"/>
  <c r="AV66" i="2"/>
  <c r="AT66" i="2"/>
  <c r="AY66" i="2"/>
  <c r="AT53" i="2"/>
  <c r="AU66" i="2"/>
  <c r="AU53" i="2"/>
  <c r="AZ66" i="2"/>
  <c r="CB74" i="13"/>
  <c r="CG74" i="13" s="1"/>
  <c r="CQ74" i="13" s="1"/>
  <c r="CV74" i="13" s="1"/>
  <c r="CW74" i="13" s="1"/>
  <c r="CX74" i="13" s="1"/>
  <c r="CY74" i="13" s="1"/>
  <c r="BG24" i="12"/>
  <c r="BG23" i="12"/>
  <c r="BC44" i="11"/>
  <c r="BC53" i="2"/>
  <c r="O86" i="7"/>
  <c r="T86" i="7"/>
  <c r="O78" i="7"/>
  <c r="BF56" i="11"/>
  <c r="BH53" i="2"/>
  <c r="BH66" i="2"/>
  <c r="BK24" i="12"/>
  <c r="BK23" i="12"/>
  <c r="BK18" i="12"/>
  <c r="BG44" i="11"/>
  <c r="BP24" i="12"/>
  <c r="Y86" i="11"/>
  <c r="Y92" i="11"/>
  <c r="BV80" i="12"/>
  <c r="BV69" i="12"/>
  <c r="CA49" i="12"/>
  <c r="BF24" i="12"/>
  <c r="BF23" i="12"/>
  <c r="BF18" i="12"/>
  <c r="BF19" i="12" s="1"/>
  <c r="BF20" i="12" s="1"/>
  <c r="BB44" i="11"/>
  <c r="BJ19" i="12"/>
  <c r="BJ20" i="12" s="1"/>
  <c r="BO19" i="12"/>
  <c r="BO20" i="12" s="1"/>
  <c r="W89" i="11"/>
  <c r="W104" i="11" s="1"/>
  <c r="W100" i="11"/>
  <c r="J78" i="7"/>
  <c r="J86" i="7"/>
  <c r="BA56" i="11"/>
  <c r="DA44" i="12"/>
  <c r="DB44" i="12" s="1"/>
  <c r="CZ75" i="12"/>
  <c r="C66" i="2"/>
  <c r="D66" i="2"/>
  <c r="C53" i="2"/>
  <c r="BL80" i="12"/>
  <c r="BQ69" i="12"/>
  <c r="Y53" i="2"/>
  <c r="Y66" i="2"/>
  <c r="G113" i="7"/>
  <c r="G99" i="7"/>
  <c r="G118" i="7"/>
  <c r="Y86" i="8"/>
  <c r="AD87" i="8" s="1"/>
  <c r="E68" i="2"/>
  <c r="E56" i="2"/>
  <c r="E14" i="2"/>
  <c r="E123" i="2" s="1"/>
  <c r="CA61" i="12"/>
  <c r="CA77" i="12"/>
  <c r="CF55" i="12"/>
  <c r="CF63" i="12"/>
  <c r="CF64" i="12" s="1"/>
  <c r="BL23" i="12"/>
  <c r="BL29" i="12"/>
  <c r="BL24" i="12"/>
  <c r="BH44" i="11"/>
  <c r="BQ24" i="12"/>
  <c r="BQ82" i="12"/>
  <c r="BQ36" i="12"/>
  <c r="BM78" i="11"/>
  <c r="BV37" i="12"/>
  <c r="BV38" i="12"/>
  <c r="BB46" i="12"/>
  <c r="BG61" i="12"/>
  <c r="BG49" i="12"/>
  <c r="BE19" i="12"/>
  <c r="BE20" i="12" s="1"/>
  <c r="AD11" i="2"/>
  <c r="AD44" i="2"/>
  <c r="AX100" i="11"/>
  <c r="AX89" i="11"/>
  <c r="AX104" i="11" s="1"/>
  <c r="G110" i="7"/>
  <c r="DA78" i="12"/>
  <c r="BL18" i="12"/>
  <c r="AG65" i="2"/>
  <c r="V65" i="2"/>
  <c r="BT29" i="11"/>
  <c r="J76" i="6"/>
  <c r="J80" i="6"/>
  <c r="J82" i="6"/>
  <c r="J78" i="6"/>
  <c r="B53" i="6"/>
  <c r="B52" i="6"/>
  <c r="CB88" i="11"/>
  <c r="BW143" i="11"/>
  <c r="BW88" i="11"/>
  <c r="BW89" i="11" s="1"/>
  <c r="B60" i="6"/>
  <c r="P35" i="7"/>
  <c r="B58" i="6"/>
  <c r="CF176" i="11"/>
  <c r="CF79" i="8"/>
  <c r="CG31" i="11"/>
  <c r="AW65" i="2"/>
  <c r="AF65" i="2"/>
  <c r="CD29" i="11"/>
  <c r="BE76" i="6"/>
  <c r="CA29" i="11"/>
  <c r="BW93" i="10"/>
  <c r="BX93" i="10" s="1"/>
  <c r="CL97" i="8"/>
  <c r="AS146" i="2"/>
  <c r="AS144" i="2"/>
  <c r="AS145" i="2"/>
  <c r="AS147" i="2"/>
  <c r="AJ47" i="10"/>
  <c r="BC144" i="2"/>
  <c r="BC146" i="2"/>
  <c r="BC145" i="2"/>
  <c r="BY60" i="9"/>
  <c r="AT158" i="7"/>
  <c r="S145" i="2"/>
  <c r="S144" i="2"/>
  <c r="S147" i="2"/>
  <c r="S146" i="2"/>
  <c r="AL145" i="2"/>
  <c r="AL147" i="2"/>
  <c r="AL144" i="2"/>
  <c r="BS48" i="10"/>
  <c r="BS54" i="10" s="1"/>
  <c r="BS57" i="10" s="1"/>
  <c r="BY56" i="9"/>
  <c r="AT156" i="7"/>
  <c r="J38" i="7"/>
  <c r="BA58" i="8"/>
  <c r="CO85" i="10"/>
  <c r="BO80" i="10"/>
  <c r="BS80" i="10" s="1"/>
  <c r="BO76" i="10"/>
  <c r="AP136" i="9"/>
  <c r="AP113" i="9"/>
  <c r="AP115" i="9"/>
  <c r="AW145" i="2"/>
  <c r="AW146" i="2"/>
  <c r="AW144" i="2"/>
  <c r="AO47" i="10"/>
  <c r="BP142" i="2"/>
  <c r="AS49" i="7"/>
  <c r="BP27" i="2"/>
  <c r="AX142" i="2"/>
  <c r="AX148" i="2"/>
  <c r="AX147" i="2" s="1"/>
  <c r="CA84" i="10"/>
  <c r="CA38" i="10" s="1"/>
  <c r="AI31" i="2"/>
  <c r="AW89" i="2"/>
  <c r="AW32" i="2"/>
  <c r="AW133" i="2" s="1"/>
  <c r="AW122" i="2"/>
  <c r="BG44" i="10"/>
  <c r="BG47" i="10" s="1"/>
  <c r="AD185" i="7"/>
  <c r="AT82" i="10"/>
  <c r="AP83" i="10"/>
  <c r="AM144" i="2"/>
  <c r="AM146" i="2"/>
  <c r="AM147" i="2"/>
  <c r="AM145" i="2"/>
  <c r="BO136" i="9"/>
  <c r="BO113" i="9"/>
  <c r="BO115" i="9"/>
  <c r="BC36" i="10"/>
  <c r="N190" i="7"/>
  <c r="AT47" i="10"/>
  <c r="AD144" i="2"/>
  <c r="AD145" i="2"/>
  <c r="AD147" i="2"/>
  <c r="AN147" i="2"/>
  <c r="AN144" i="2"/>
  <c r="AN145" i="2"/>
  <c r="W80" i="2"/>
  <c r="W79" i="2"/>
  <c r="W20" i="2"/>
  <c r="AW144" i="7"/>
  <c r="BT17" i="2"/>
  <c r="BU112" i="9"/>
  <c r="BU64" i="9"/>
  <c r="BN85" i="2"/>
  <c r="BS129" i="9"/>
  <c r="BS130" i="9"/>
  <c r="BS66" i="9"/>
  <c r="BL103" i="2"/>
  <c r="BL83" i="2"/>
  <c r="AF28" i="9"/>
  <c r="AE30" i="9"/>
  <c r="BY47" i="9"/>
  <c r="AT151" i="7"/>
  <c r="BX48" i="9"/>
  <c r="BM80" i="2"/>
  <c r="BM79" i="2"/>
  <c r="BM20" i="2"/>
  <c r="BM84" i="2" s="1"/>
  <c r="AG28" i="9"/>
  <c r="AG30" i="9" s="1"/>
  <c r="AH23" i="9"/>
  <c r="AH28" i="9" s="1"/>
  <c r="AH30" i="9" s="1"/>
  <c r="BU117" i="9"/>
  <c r="BU118" i="9"/>
  <c r="AV149" i="7"/>
  <c r="BS18" i="2"/>
  <c r="BS81" i="2" s="1"/>
  <c r="BT107" i="9"/>
  <c r="BT104" i="9"/>
  <c r="BT30" i="9"/>
  <c r="BM92" i="2"/>
  <c r="BM91" i="2"/>
  <c r="BT114" i="9"/>
  <c r="AD23" i="9"/>
  <c r="AD28" i="9" s="1"/>
  <c r="AD30" i="9" s="1"/>
  <c r="AC28" i="9"/>
  <c r="AC30" i="9" s="1"/>
  <c r="AJ28" i="9"/>
  <c r="AK23" i="9"/>
  <c r="AD107" i="9"/>
  <c r="AD104" i="9"/>
  <c r="W91" i="2"/>
  <c r="W92" i="2"/>
  <c r="CC22" i="9"/>
  <c r="BW58" i="9"/>
  <c r="AR159" i="7"/>
  <c r="AB129" i="9"/>
  <c r="AB66" i="9"/>
  <c r="U83" i="2"/>
  <c r="U103" i="2"/>
  <c r="AA129" i="9"/>
  <c r="AA130" i="9"/>
  <c r="Z30" i="9"/>
  <c r="AA66" i="9"/>
  <c r="T103" i="2"/>
  <c r="T83" i="2"/>
  <c r="AU150" i="7"/>
  <c r="BU105" i="9"/>
  <c r="BU78" i="9"/>
  <c r="BU19" i="9"/>
  <c r="BV14" i="9"/>
  <c r="AQ137" i="7"/>
  <c r="AQ138" i="7" s="1"/>
  <c r="BN16" i="2"/>
  <c r="AO34" i="7"/>
  <c r="BL51" i="2"/>
  <c r="AJ70" i="8"/>
  <c r="V12" i="10" s="1"/>
  <c r="V20" i="10" s="1"/>
  <c r="AJ66" i="8"/>
  <c r="P119" i="2" s="1"/>
  <c r="P55" i="2"/>
  <c r="P13" i="2"/>
  <c r="S87" i="2"/>
  <c r="S64" i="2"/>
  <c r="Z65" i="2"/>
  <c r="AT87" i="2"/>
  <c r="AT64" i="2"/>
  <c r="AG34" i="7"/>
  <c r="BD51" i="2"/>
  <c r="I34" i="7"/>
  <c r="AF51" i="2"/>
  <c r="P64" i="2"/>
  <c r="P87" i="2"/>
  <c r="R78" i="2"/>
  <c r="Q78" i="2"/>
  <c r="S78" i="2"/>
  <c r="P78" i="2"/>
  <c r="AN34" i="7"/>
  <c r="BK51" i="2"/>
  <c r="CA70" i="8"/>
  <c r="BM12" i="10" s="1"/>
  <c r="CA66" i="8"/>
  <c r="BM130" i="10" s="1"/>
  <c r="AJ40" i="7"/>
  <c r="BG55" i="2"/>
  <c r="BG13" i="2"/>
  <c r="AM87" i="2"/>
  <c r="AM64" i="2"/>
  <c r="AS70" i="8"/>
  <c r="AE12" i="10" s="1"/>
  <c r="AS66" i="8"/>
  <c r="B40" i="7"/>
  <c r="Y13" i="2"/>
  <c r="Y55" i="2"/>
  <c r="D34" i="7"/>
  <c r="AA51" i="2"/>
  <c r="AC64" i="2"/>
  <c r="K34" i="7"/>
  <c r="AH51" i="2"/>
  <c r="AQ65" i="2"/>
  <c r="AG40" i="7"/>
  <c r="AE34" i="7"/>
  <c r="BB51" i="2"/>
  <c r="J34" i="7"/>
  <c r="AG51" i="2"/>
  <c r="AP70" i="8"/>
  <c r="AB12" i="10" s="1"/>
  <c r="AB20" i="10" s="1"/>
  <c r="AP66" i="8"/>
  <c r="V119" i="2" s="1"/>
  <c r="V55" i="2"/>
  <c r="V13" i="2"/>
  <c r="CD70" i="8"/>
  <c r="BP12" i="10" s="1"/>
  <c r="BP20" i="10" s="1"/>
  <c r="AM40" i="7"/>
  <c r="BJ55" i="2"/>
  <c r="BJ13" i="2"/>
  <c r="CD66" i="8"/>
  <c r="BP130" i="10" s="1"/>
  <c r="Q87" i="2"/>
  <c r="Q64" i="2"/>
  <c r="AF87" i="2"/>
  <c r="AF64" i="2"/>
  <c r="AW70" i="8"/>
  <c r="AI12" i="10" s="1"/>
  <c r="AI20" i="10" s="1"/>
  <c r="AW66" i="8"/>
  <c r="F40" i="7"/>
  <c r="AC13" i="2"/>
  <c r="AC55" i="2"/>
  <c r="AJ34" i="7"/>
  <c r="BG51" i="2"/>
  <c r="AQ34" i="7"/>
  <c r="BN51" i="2"/>
  <c r="AL70" i="8"/>
  <c r="X12" i="10" s="1"/>
  <c r="X20" i="10" s="1"/>
  <c r="AL66" i="8"/>
  <c r="R119" i="2" s="1"/>
  <c r="R55" i="2"/>
  <c r="R13" i="2"/>
  <c r="BL66" i="8"/>
  <c r="H34" i="7"/>
  <c r="AE51" i="2"/>
  <c r="BK87" i="2"/>
  <c r="AM65" i="2"/>
  <c r="BU70" i="8"/>
  <c r="BG12" i="10" s="1"/>
  <c r="BY70" i="8"/>
  <c r="BK12" i="10" s="1"/>
  <c r="BY66" i="8"/>
  <c r="BK130" i="10" s="1"/>
  <c r="AH40" i="7"/>
  <c r="BE13" i="2"/>
  <c r="BE55" i="2"/>
  <c r="AT70" i="8"/>
  <c r="AF12" i="10" s="1"/>
  <c r="AF20" i="10" s="1"/>
  <c r="AT66" i="8"/>
  <c r="C40" i="7"/>
  <c r="Z55" i="2"/>
  <c r="Z13" i="2"/>
  <c r="R87" i="2"/>
  <c r="R64" i="2"/>
  <c r="AR65" i="2"/>
  <c r="BM47" i="8"/>
  <c r="AS52" i="2" s="1"/>
  <c r="V28" i="7"/>
  <c r="V29" i="7" s="1"/>
  <c r="AS43" i="2"/>
  <c r="AS10" i="2"/>
  <c r="BV70" i="8"/>
  <c r="BH12" i="10" s="1"/>
  <c r="BV66" i="8"/>
  <c r="BH130" i="10" s="1"/>
  <c r="AE40" i="7"/>
  <c r="BB55" i="2"/>
  <c r="BB13" i="2"/>
  <c r="AA87" i="2"/>
  <c r="AE78" i="2"/>
  <c r="AU65" i="2"/>
  <c r="AH87" i="2"/>
  <c r="H35" i="7"/>
  <c r="BB87" i="2"/>
  <c r="AG87" i="2"/>
  <c r="AZ70" i="8"/>
  <c r="AL12" i="10" s="1"/>
  <c r="AZ66" i="8"/>
  <c r="I40" i="7"/>
  <c r="AF55" i="2"/>
  <c r="AF13" i="2"/>
  <c r="AN70" i="8"/>
  <c r="Z12" i="10" s="1"/>
  <c r="AN66" i="8"/>
  <c r="T119" i="2" s="1"/>
  <c r="T55" i="2"/>
  <c r="T13" i="2"/>
  <c r="AX70" i="8"/>
  <c r="AJ12" i="10" s="1"/>
  <c r="AJ21" i="10" s="1"/>
  <c r="AJ25" i="10" s="1"/>
  <c r="G40" i="7"/>
  <c r="AX66" i="8"/>
  <c r="AD55" i="2"/>
  <c r="AD13" i="2"/>
  <c r="B34" i="7"/>
  <c r="Y51" i="2"/>
  <c r="BG87" i="2"/>
  <c r="BG64" i="2"/>
  <c r="R34" i="7"/>
  <c r="AO51" i="2"/>
  <c r="AM70" i="8"/>
  <c r="Y12" i="10" s="1"/>
  <c r="Y20" i="10" s="1"/>
  <c r="AM66" i="8"/>
  <c r="S119" i="2" s="1"/>
  <c r="S55" i="2"/>
  <c r="S13" i="2"/>
  <c r="AE87" i="2"/>
  <c r="AE64" i="2"/>
  <c r="AH78" i="2"/>
  <c r="AC65" i="2"/>
  <c r="CE70" i="8"/>
  <c r="BQ12" i="10" s="1"/>
  <c r="BQ20" i="10" s="1"/>
  <c r="CE66" i="8"/>
  <c r="AN40" i="7"/>
  <c r="BK55" i="2"/>
  <c r="BK13" i="2"/>
  <c r="AB40" i="7"/>
  <c r="M34" i="7"/>
  <c r="AJ51" i="2"/>
  <c r="AA65" i="2"/>
  <c r="C34" i="7"/>
  <c r="Z51" i="2"/>
  <c r="AE65" i="2"/>
  <c r="AJ65" i="2"/>
  <c r="AV70" i="8"/>
  <c r="AH12" i="10" s="1"/>
  <c r="AH20" i="10" s="1"/>
  <c r="AB13" i="2"/>
  <c r="BG70" i="8"/>
  <c r="AS12" i="10" s="1"/>
  <c r="BG66" i="8"/>
  <c r="P40" i="7"/>
  <c r="AM55" i="2"/>
  <c r="AM13" i="2"/>
  <c r="AK70" i="8"/>
  <c r="W12" i="10" s="1"/>
  <c r="W20" i="10" s="1"/>
  <c r="AK66" i="8"/>
  <c r="Q119" i="2" s="1"/>
  <c r="Q13" i="2"/>
  <c r="Q55" i="2"/>
  <c r="BE87" i="2"/>
  <c r="AU70" i="8"/>
  <c r="AG12" i="10" s="1"/>
  <c r="AG20" i="10" s="1"/>
  <c r="AU66" i="8"/>
  <c r="D40" i="7"/>
  <c r="AA55" i="2"/>
  <c r="AA13" i="2"/>
  <c r="AR70" i="8"/>
  <c r="AD12" i="10" s="1"/>
  <c r="AD20" i="10" s="1"/>
  <c r="AR66" i="8"/>
  <c r="X119" i="2" s="1"/>
  <c r="X55" i="2"/>
  <c r="X13" i="2"/>
  <c r="W34" i="7"/>
  <c r="AT51" i="2"/>
  <c r="Y87" i="2"/>
  <c r="Y78" i="2"/>
  <c r="Y73" i="2"/>
  <c r="Y64" i="2"/>
  <c r="Y77" i="2"/>
  <c r="AL13" i="2"/>
  <c r="BG65" i="2"/>
  <c r="X87" i="2"/>
  <c r="X64" i="2"/>
  <c r="AB78" i="2"/>
  <c r="AO87" i="2"/>
  <c r="T73" i="2"/>
  <c r="T87" i="2"/>
  <c r="T64" i="2"/>
  <c r="T78" i="2"/>
  <c r="BC13" i="2"/>
  <c r="BJ65" i="2"/>
  <c r="AD65" i="2"/>
  <c r="P34" i="7"/>
  <c r="AM51" i="2"/>
  <c r="AL65" i="2"/>
  <c r="F34" i="7"/>
  <c r="AC51" i="2"/>
  <c r="Z87" i="2"/>
  <c r="J35" i="7"/>
  <c r="CQ93" i="14" l="1"/>
  <c r="CS148" i="14"/>
  <c r="CR155" i="14"/>
  <c r="BW70" i="8"/>
  <c r="BI12" i="10" s="1"/>
  <c r="BE51" i="2"/>
  <c r="BZ109" i="8"/>
  <c r="CH87" i="10"/>
  <c r="CI87" i="10" s="1"/>
  <c r="CI88" i="10" s="1"/>
  <c r="CI39" i="10" s="1"/>
  <c r="BY141" i="2" s="1"/>
  <c r="CJ87" i="10"/>
  <c r="CJ88" i="10" s="1"/>
  <c r="CJ39" i="10" s="1"/>
  <c r="AE77" i="2"/>
  <c r="BF70" i="8"/>
  <c r="AR12" i="10" s="1"/>
  <c r="AB55" i="2"/>
  <c r="BX66" i="8"/>
  <c r="BJ130" i="10" s="1"/>
  <c r="AF78" i="2"/>
  <c r="E40" i="7"/>
  <c r="AG64" i="2"/>
  <c r="BD13" i="2"/>
  <c r="BX70" i="8"/>
  <c r="BJ12" i="10" s="1"/>
  <c r="AB87" i="2"/>
  <c r="AF77" i="2"/>
  <c r="AB77" i="2"/>
  <c r="BF43" i="2"/>
  <c r="BC55" i="2"/>
  <c r="AC78" i="2"/>
  <c r="AF40" i="7"/>
  <c r="E34" i="7"/>
  <c r="BF77" i="2"/>
  <c r="AG78" i="2"/>
  <c r="AP80" i="6"/>
  <c r="B59" i="6" s="1"/>
  <c r="AC77" i="2"/>
  <c r="AH64" i="2"/>
  <c r="AC87" i="2"/>
  <c r="BW28" i="11"/>
  <c r="BW29" i="11" s="1"/>
  <c r="CK59" i="9"/>
  <c r="CL59" i="9" s="1"/>
  <c r="BF159" i="7"/>
  <c r="CR153" i="14"/>
  <c r="CR93" i="14" s="1"/>
  <c r="DA152" i="14"/>
  <c r="DB149" i="14"/>
  <c r="CT151" i="14"/>
  <c r="BD188" i="7"/>
  <c r="BF188" i="7"/>
  <c r="CF39" i="10"/>
  <c r="CH88" i="10"/>
  <c r="CH39" i="10" s="1"/>
  <c r="DC44" i="12"/>
  <c r="DB75" i="12"/>
  <c r="BM22" i="13"/>
  <c r="BR19" i="13"/>
  <c r="BR20" i="13" s="1"/>
  <c r="AV65" i="2"/>
  <c r="BZ47" i="8"/>
  <c r="BF52" i="2" s="1"/>
  <c r="AI28" i="7"/>
  <c r="AI29" i="7" s="1"/>
  <c r="BF10" i="2"/>
  <c r="BF65" i="2" s="1"/>
  <c r="CR27" i="13"/>
  <c r="CV107" i="11"/>
  <c r="CW27" i="13"/>
  <c r="CW118" i="13"/>
  <c r="CW123" i="13" s="1"/>
  <c r="CV123" i="13"/>
  <c r="CU118" i="13"/>
  <c r="CU123" i="13" s="1"/>
  <c r="BZ52" i="8"/>
  <c r="AI34" i="7" s="1"/>
  <c r="AI33" i="7"/>
  <c r="AN35" i="7" s="1"/>
  <c r="AO66" i="8"/>
  <c r="U119" i="2" s="1"/>
  <c r="BZ87" i="11"/>
  <c r="BZ89" i="11" s="1"/>
  <c r="U87" i="2"/>
  <c r="U78" i="2"/>
  <c r="BZ59" i="8"/>
  <c r="BF54" i="2" s="1"/>
  <c r="Z64" i="2"/>
  <c r="U64" i="2"/>
  <c r="AO64" i="2"/>
  <c r="BF69" i="2"/>
  <c r="BZ63" i="8"/>
  <c r="BZ66" i="8" s="1"/>
  <c r="BL130" i="10" s="1"/>
  <c r="BF12" i="2"/>
  <c r="BF88" i="2" s="1"/>
  <c r="BZ33" i="11"/>
  <c r="BZ64" i="11"/>
  <c r="BZ28" i="11"/>
  <c r="CE33" i="11"/>
  <c r="BA55" i="2"/>
  <c r="U40" i="7"/>
  <c r="AJ77" i="2"/>
  <c r="AN65" i="2"/>
  <c r="AY51" i="2"/>
  <c r="AR13" i="2"/>
  <c r="BL70" i="8"/>
  <c r="AX12" i="10" s="1"/>
  <c r="AX20" i="10" s="1"/>
  <c r="H44" i="2"/>
  <c r="AZ65" i="2"/>
  <c r="AY13" i="2"/>
  <c r="BS70" i="8"/>
  <c r="BE12" i="10" s="1"/>
  <c r="BE26" i="10" s="1"/>
  <c r="Y40" i="7"/>
  <c r="CH29" i="11"/>
  <c r="AY87" i="2"/>
  <c r="BU66" i="8"/>
  <c r="BG130" i="10" s="1"/>
  <c r="BE65" i="2"/>
  <c r="BA13" i="2"/>
  <c r="AZ55" i="2"/>
  <c r="BT66" i="8"/>
  <c r="BF130" i="10" s="1"/>
  <c r="AO70" i="8"/>
  <c r="AA12" i="10" s="1"/>
  <c r="AA20" i="10" s="1"/>
  <c r="AL55" i="2"/>
  <c r="BI55" i="2"/>
  <c r="U55" i="2"/>
  <c r="O40" i="7"/>
  <c r="BK64" i="2"/>
  <c r="CF70" i="8"/>
  <c r="BR12" i="10" s="1"/>
  <c r="BR20" i="10" s="1"/>
  <c r="BI13" i="2"/>
  <c r="BL13" i="2"/>
  <c r="CC70" i="8"/>
  <c r="BO12" i="10" s="1"/>
  <c r="BO20" i="10" s="1"/>
  <c r="AO40" i="7"/>
  <c r="AF81" i="7"/>
  <c r="BW61" i="11"/>
  <c r="AK89" i="7"/>
  <c r="BV61" i="11"/>
  <c r="AJ89" i="7"/>
  <c r="AE81" i="7"/>
  <c r="BV53" i="11"/>
  <c r="AL40" i="7"/>
  <c r="AY55" i="2"/>
  <c r="BF78" i="2"/>
  <c r="BG78" i="2"/>
  <c r="CF66" i="8"/>
  <c r="BL119" i="2" s="1"/>
  <c r="BG77" i="2"/>
  <c r="BI65" i="2"/>
  <c r="BF87" i="2"/>
  <c r="BL87" i="2"/>
  <c r="BL55" i="2"/>
  <c r="BP66" i="8"/>
  <c r="AV119" i="2" s="1"/>
  <c r="BD64" i="2"/>
  <c r="AC40" i="7"/>
  <c r="AZ13" i="2"/>
  <c r="BD65" i="2"/>
  <c r="AV13" i="2"/>
  <c r="BP70" i="8"/>
  <c r="BB12" i="10" s="1"/>
  <c r="BB26" i="10" s="1"/>
  <c r="AI40" i="7"/>
  <c r="AQ102" i="11"/>
  <c r="AQ104" i="11" s="1"/>
  <c r="AQ154" i="11"/>
  <c r="AQ103" i="11"/>
  <c r="AJ78" i="2"/>
  <c r="AG35" i="7"/>
  <c r="AP82" i="6"/>
  <c r="B61" i="6" s="1"/>
  <c r="R35" i="7"/>
  <c r="W69" i="2"/>
  <c r="AD122" i="9"/>
  <c r="AQ63" i="8"/>
  <c r="W12" i="2"/>
  <c r="W88" i="2" s="1"/>
  <c r="AQ59" i="8"/>
  <c r="W54" i="2" s="1"/>
  <c r="AB43" i="2"/>
  <c r="AQ47" i="8"/>
  <c r="W52" i="2" s="1"/>
  <c r="W43" i="2"/>
  <c r="W10" i="2"/>
  <c r="BK65" i="2"/>
  <c r="AJ64" i="2"/>
  <c r="AQ54" i="11"/>
  <c r="AQ109" i="8"/>
  <c r="AQ52" i="8"/>
  <c r="W51" i="2" s="1"/>
  <c r="W42" i="2"/>
  <c r="AB42" i="2"/>
  <c r="W9" i="2"/>
  <c r="BQ31" i="2"/>
  <c r="B57" i="6"/>
  <c r="AW13" i="2"/>
  <c r="BQ66" i="8"/>
  <c r="Z43" i="7" s="1"/>
  <c r="BQ70" i="8"/>
  <c r="BC12" i="10" s="1"/>
  <c r="BC30" i="10" s="1"/>
  <c r="BS19" i="2"/>
  <c r="AW55" i="2"/>
  <c r="BK70" i="8"/>
  <c r="AW12" i="10" s="1"/>
  <c r="AW20" i="10" s="1"/>
  <c r="AQ13" i="2"/>
  <c r="DA148" i="14"/>
  <c r="DA151" i="14"/>
  <c r="DA153" i="14" s="1"/>
  <c r="DA93" i="14" s="1"/>
  <c r="CZ153" i="14"/>
  <c r="CZ93" i="14" s="1"/>
  <c r="CO148" i="14"/>
  <c r="CO144" i="14" s="1"/>
  <c r="CO146" i="14" s="1"/>
  <c r="CO152" i="14" s="1"/>
  <c r="CN144" i="14"/>
  <c r="CN146" i="14" s="1"/>
  <c r="CN152" i="14" s="1"/>
  <c r="CS153" i="14" s="1"/>
  <c r="CS93" i="14" s="1"/>
  <c r="AQ55" i="2"/>
  <c r="T40" i="7"/>
  <c r="CP79" i="12"/>
  <c r="CP80" i="12" s="1"/>
  <c r="CU48" i="12"/>
  <c r="CP49" i="12"/>
  <c r="CP58" i="12" s="1"/>
  <c r="CP69" i="12" s="1"/>
  <c r="CF54" i="12"/>
  <c r="CP45" i="12"/>
  <c r="CK46" i="12"/>
  <c r="CK55" i="12" s="1"/>
  <c r="CK63" i="12" s="1"/>
  <c r="CK76" i="12"/>
  <c r="CK77" i="12" s="1"/>
  <c r="CK58" i="12"/>
  <c r="CK69" i="12" s="1"/>
  <c r="CF79" i="12"/>
  <c r="CF80" i="12" s="1"/>
  <c r="CG165" i="11"/>
  <c r="BZ126" i="10"/>
  <c r="CB89" i="11"/>
  <c r="W24" i="15"/>
  <c r="W23" i="15"/>
  <c r="BQ50" i="11"/>
  <c r="W18" i="15"/>
  <c r="AB24" i="15"/>
  <c r="X22" i="15"/>
  <c r="X89" i="7"/>
  <c r="X81" i="7"/>
  <c r="BO61" i="11"/>
  <c r="AC89" i="7"/>
  <c r="S36" i="15"/>
  <c r="BM83" i="11"/>
  <c r="BM86" i="11" s="1"/>
  <c r="BB101" i="15"/>
  <c r="BB48" i="15"/>
  <c r="U19" i="15"/>
  <c r="U20" i="15" s="1"/>
  <c r="Z19" i="15"/>
  <c r="Z20" i="15" s="1"/>
  <c r="BC47" i="15"/>
  <c r="BC100" i="15"/>
  <c r="CP63" i="14"/>
  <c r="CK59" i="14"/>
  <c r="DI38" i="14"/>
  <c r="CP47" i="14"/>
  <c r="CP211" i="14"/>
  <c r="CP212" i="14" s="1"/>
  <c r="BG79" i="14"/>
  <c r="BG37" i="14"/>
  <c r="BG36" i="14"/>
  <c r="BG38" i="14" s="1"/>
  <c r="BC82" i="11"/>
  <c r="BL38" i="14"/>
  <c r="BL37" i="14"/>
  <c r="CP46" i="14"/>
  <c r="CK45" i="14"/>
  <c r="CK48" i="14" s="1"/>
  <c r="BC149" i="11"/>
  <c r="BC143" i="11"/>
  <c r="CK103" i="14"/>
  <c r="CK107" i="14" s="1"/>
  <c r="CK113" i="14" s="1"/>
  <c r="CF60" i="14"/>
  <c r="CF73" i="14"/>
  <c r="CG75" i="13"/>
  <c r="CW54" i="13"/>
  <c r="AA79" i="7"/>
  <c r="BR57" i="11"/>
  <c r="AF87" i="7"/>
  <c r="CM126" i="13"/>
  <c r="CQ71" i="13"/>
  <c r="CQ75" i="13" s="1"/>
  <c r="BG18" i="12"/>
  <c r="BG19" i="12" s="1"/>
  <c r="BG20" i="12" s="1"/>
  <c r="BG80" i="12"/>
  <c r="BG77" i="12" s="1"/>
  <c r="BG87" i="12" s="1"/>
  <c r="BL69" i="12"/>
  <c r="DA75" i="12"/>
  <c r="V94" i="7"/>
  <c r="BM92" i="11"/>
  <c r="BQ77" i="12"/>
  <c r="BQ91" i="12"/>
  <c r="BL35" i="12"/>
  <c r="BL31" i="12"/>
  <c r="BL30" i="12"/>
  <c r="BH132" i="11"/>
  <c r="BH145" i="11" s="1"/>
  <c r="BQ31" i="12"/>
  <c r="K86" i="7"/>
  <c r="K78" i="7"/>
  <c r="BB56" i="11"/>
  <c r="BB53" i="11"/>
  <c r="U86" i="7"/>
  <c r="P78" i="7"/>
  <c r="P86" i="7"/>
  <c r="BG56" i="11"/>
  <c r="BG53" i="11"/>
  <c r="L78" i="7"/>
  <c r="L86" i="7"/>
  <c r="BC56" i="11"/>
  <c r="BB61" i="12"/>
  <c r="BB77" i="12"/>
  <c r="BB80" i="12" s="1"/>
  <c r="BB90" i="12" s="1"/>
  <c r="BB63" i="12"/>
  <c r="BB49" i="12"/>
  <c r="BB69" i="12" s="1"/>
  <c r="CB77" i="12"/>
  <c r="CA80" i="12"/>
  <c r="CA90" i="12" s="1"/>
  <c r="BK19" i="12"/>
  <c r="BK20" i="12" s="1"/>
  <c r="BP19" i="12"/>
  <c r="BP20" i="12" s="1"/>
  <c r="BL19" i="12"/>
  <c r="BL20" i="12" s="1"/>
  <c r="BQ19" i="12"/>
  <c r="BQ20" i="12" s="1"/>
  <c r="AD66" i="2"/>
  <c r="AD53" i="2"/>
  <c r="Q78" i="7"/>
  <c r="Q86" i="7"/>
  <c r="BH56" i="11"/>
  <c r="V86" i="7"/>
  <c r="CF69" i="12"/>
  <c r="CF58" i="12"/>
  <c r="E44" i="2"/>
  <c r="Y100" i="11"/>
  <c r="Y89" i="11"/>
  <c r="Y104" i="11" s="1"/>
  <c r="J44" i="2"/>
  <c r="E11" i="2"/>
  <c r="AJ117" i="10"/>
  <c r="AJ120" i="10" s="1"/>
  <c r="AJ36" i="10"/>
  <c r="AJ44" i="10" s="1"/>
  <c r="AJ26" i="10"/>
  <c r="AJ96" i="10"/>
  <c r="AP76" i="6"/>
  <c r="B54" i="6" s="1"/>
  <c r="BH76" i="6" s="1"/>
  <c r="BQ130" i="10"/>
  <c r="CE173" i="11"/>
  <c r="BK20" i="10"/>
  <c r="BK30" i="10"/>
  <c r="BK26" i="10"/>
  <c r="CB143" i="11"/>
  <c r="Z20" i="10"/>
  <c r="Z21" i="10" s="1"/>
  <c r="Z25" i="10" s="1"/>
  <c r="BJ20" i="10"/>
  <c r="BJ26" i="10"/>
  <c r="BJ30" i="10"/>
  <c r="BW154" i="11"/>
  <c r="BW31" i="11"/>
  <c r="BH26" i="10"/>
  <c r="BH20" i="10"/>
  <c r="BH30" i="10"/>
  <c r="AT76" i="10"/>
  <c r="AT79" i="10" s="1"/>
  <c r="AT83" i="10"/>
  <c r="BZ127" i="10"/>
  <c r="AW187" i="7"/>
  <c r="AP117" i="9"/>
  <c r="AP118" i="9"/>
  <c r="AN122" i="9"/>
  <c r="AG69" i="2"/>
  <c r="AG12" i="2"/>
  <c r="AG88" i="2" s="1"/>
  <c r="BA63" i="8"/>
  <c r="BA59" i="8"/>
  <c r="AG54" i="2" s="1"/>
  <c r="BQ27" i="2"/>
  <c r="BQ142" i="2"/>
  <c r="AT49" i="7"/>
  <c r="CL99" i="8"/>
  <c r="AR20" i="10"/>
  <c r="AR26" i="10"/>
  <c r="AL20" i="10"/>
  <c r="AL26" i="10"/>
  <c r="CB82" i="10"/>
  <c r="CC82" i="10" s="1"/>
  <c r="CA76" i="10"/>
  <c r="CA127" i="10"/>
  <c r="AX187" i="7"/>
  <c r="BO82" i="10"/>
  <c r="CN89" i="10"/>
  <c r="AS20" i="10"/>
  <c r="AS26" i="10"/>
  <c r="BG20" i="10"/>
  <c r="BG26" i="10"/>
  <c r="BG30" i="10"/>
  <c r="BM20" i="10"/>
  <c r="BM26" i="10"/>
  <c r="BM30" i="10"/>
  <c r="BO118" i="9"/>
  <c r="BO117" i="9"/>
  <c r="AD190" i="7"/>
  <c r="BI47" i="10"/>
  <c r="AU158" i="7"/>
  <c r="BF20" i="10"/>
  <c r="BF26" i="10"/>
  <c r="BF30" i="10"/>
  <c r="BC44" i="10"/>
  <c r="BC47" i="10" s="1"/>
  <c r="Z190" i="7" s="1"/>
  <c r="Z185" i="7"/>
  <c r="AX145" i="2"/>
  <c r="AX146" i="2"/>
  <c r="AX144" i="2"/>
  <c r="CO89" i="10"/>
  <c r="CO90" i="10" s="1"/>
  <c r="CO86" i="10"/>
  <c r="CO87" i="10" s="1"/>
  <c r="CO88" i="10" s="1"/>
  <c r="AU156" i="7"/>
  <c r="BW128" i="10"/>
  <c r="BX128" i="10"/>
  <c r="AD130" i="9"/>
  <c r="AD129" i="9"/>
  <c r="AD66" i="9"/>
  <c r="W103" i="2"/>
  <c r="W83" i="2"/>
  <c r="BU107" i="9"/>
  <c r="BU104" i="9"/>
  <c r="BN92" i="2"/>
  <c r="BN91" i="2"/>
  <c r="AV150" i="7"/>
  <c r="CJ135" i="9"/>
  <c r="CK135" i="9" s="1"/>
  <c r="BX135" i="9"/>
  <c r="AC130" i="9"/>
  <c r="AC129" i="9"/>
  <c r="AC66" i="9"/>
  <c r="V103" i="2"/>
  <c r="V83" i="2"/>
  <c r="BT130" i="9"/>
  <c r="BT66" i="9"/>
  <c r="BM83" i="2"/>
  <c r="AG130" i="9"/>
  <c r="AG66" i="9"/>
  <c r="Z103" i="2"/>
  <c r="Z83" i="2"/>
  <c r="AU151" i="7"/>
  <c r="BY48" i="9"/>
  <c r="BU114" i="9"/>
  <c r="BU115" i="9" s="1"/>
  <c r="BU113" i="9"/>
  <c r="W84" i="2"/>
  <c r="AE129" i="9"/>
  <c r="AE130" i="9"/>
  <c r="AE66" i="9"/>
  <c r="AF30" i="9"/>
  <c r="X103" i="2"/>
  <c r="X83" i="2"/>
  <c r="Z130" i="9"/>
  <c r="Z129" i="9"/>
  <c r="Z66" i="9"/>
  <c r="S103" i="2"/>
  <c r="S83" i="2"/>
  <c r="AB130" i="9"/>
  <c r="BN80" i="2"/>
  <c r="BN79" i="2"/>
  <c r="BN20" i="2"/>
  <c r="AW149" i="7"/>
  <c r="BT18" i="2"/>
  <c r="BT81" i="2" s="1"/>
  <c r="BW14" i="9"/>
  <c r="BX58" i="9"/>
  <c r="AS159" i="7"/>
  <c r="CD22" i="9"/>
  <c r="CE22" i="9" s="1"/>
  <c r="CF22" i="9" s="1"/>
  <c r="CG22" i="9" s="1"/>
  <c r="CH22" i="9" s="1"/>
  <c r="CI22" i="9" s="1"/>
  <c r="AK28" i="9"/>
  <c r="AJ30" i="9"/>
  <c r="AH130" i="9"/>
  <c r="AH129" i="9"/>
  <c r="AH66" i="9"/>
  <c r="AA103" i="2"/>
  <c r="AA83" i="2"/>
  <c r="AI130" i="9"/>
  <c r="AI129" i="9"/>
  <c r="CC33" i="9"/>
  <c r="AX144" i="7"/>
  <c r="BU17" i="2"/>
  <c r="AF43" i="7"/>
  <c r="BC119" i="2"/>
  <c r="O43" i="7"/>
  <c r="AL119" i="2"/>
  <c r="AL43" i="7"/>
  <c r="BI119" i="2"/>
  <c r="AR83" i="8"/>
  <c r="AR81" i="8"/>
  <c r="AR77" i="8"/>
  <c r="AR71" i="8"/>
  <c r="D43" i="7"/>
  <c r="AA119" i="2"/>
  <c r="AN43" i="7"/>
  <c r="BK119" i="2"/>
  <c r="AN83" i="8"/>
  <c r="AN77" i="8"/>
  <c r="AN81" i="8"/>
  <c r="AN71" i="8"/>
  <c r="I43" i="7"/>
  <c r="AF119" i="2"/>
  <c r="AE43" i="7"/>
  <c r="BB119" i="2"/>
  <c r="BU83" i="8"/>
  <c r="BU77" i="8"/>
  <c r="BU81" i="8"/>
  <c r="AD47" i="7"/>
  <c r="F43" i="7"/>
  <c r="AC119" i="2"/>
  <c r="CA83" i="8"/>
  <c r="CA81" i="8"/>
  <c r="CA77" i="8"/>
  <c r="CA71" i="8"/>
  <c r="AJ47" i="7"/>
  <c r="BW81" i="8"/>
  <c r="BW83" i="8"/>
  <c r="BW77" i="8"/>
  <c r="AF47" i="7"/>
  <c r="AO77" i="8"/>
  <c r="AO81" i="8"/>
  <c r="AO83" i="8"/>
  <c r="AO71" i="8"/>
  <c r="BF81" i="8"/>
  <c r="BF77" i="8"/>
  <c r="BF83" i="8"/>
  <c r="O47" i="7"/>
  <c r="AU81" i="8"/>
  <c r="AU83" i="8"/>
  <c r="AU77" i="8"/>
  <c r="AH120" i="9" s="1"/>
  <c r="AU71" i="8"/>
  <c r="D47" i="7"/>
  <c r="P43" i="7"/>
  <c r="AM119" i="2"/>
  <c r="CE77" i="8"/>
  <c r="AN47" i="7"/>
  <c r="AM83" i="8"/>
  <c r="AM81" i="8"/>
  <c r="AM77" i="8"/>
  <c r="Z120" i="9" s="1"/>
  <c r="AM71" i="8"/>
  <c r="G43" i="7"/>
  <c r="AD119" i="2"/>
  <c r="AZ83" i="8"/>
  <c r="AZ81" i="8"/>
  <c r="AZ77" i="8"/>
  <c r="AZ71" i="8"/>
  <c r="I47" i="7"/>
  <c r="BV81" i="8"/>
  <c r="BV83" i="8"/>
  <c r="BV77" i="8"/>
  <c r="AE47" i="7"/>
  <c r="C43" i="7"/>
  <c r="Z119" i="2"/>
  <c r="BT83" i="8"/>
  <c r="BT77" i="8"/>
  <c r="BT81" i="8"/>
  <c r="AC47" i="7"/>
  <c r="U43" i="7"/>
  <c r="AR119" i="2"/>
  <c r="AW81" i="8"/>
  <c r="AW77" i="8"/>
  <c r="AW83" i="8"/>
  <c r="AW71" i="8"/>
  <c r="F47" i="7"/>
  <c r="AM43" i="7"/>
  <c r="BJ119" i="2"/>
  <c r="CD81" i="8"/>
  <c r="CD73" i="8"/>
  <c r="CD77" i="8" s="1"/>
  <c r="CD71" i="8"/>
  <c r="AM47" i="7"/>
  <c r="BX83" i="8"/>
  <c r="BX81" i="8"/>
  <c r="BX77" i="8"/>
  <c r="AG47" i="7"/>
  <c r="B43" i="7"/>
  <c r="Y119" i="2"/>
  <c r="AK83" i="8"/>
  <c r="AK81" i="8"/>
  <c r="AK77" i="8"/>
  <c r="AK71" i="8"/>
  <c r="BG83" i="8"/>
  <c r="BG81" i="8"/>
  <c r="BG77" i="8"/>
  <c r="P47" i="7"/>
  <c r="E43" i="7"/>
  <c r="AB119" i="2"/>
  <c r="CP98" i="8"/>
  <c r="AB43" i="7"/>
  <c r="AY119" i="2"/>
  <c r="AS65" i="2"/>
  <c r="AT81" i="8"/>
  <c r="AT83" i="8"/>
  <c r="AT77" i="8"/>
  <c r="AG120" i="9" s="1"/>
  <c r="AT71" i="8"/>
  <c r="C47" i="7"/>
  <c r="AH43" i="7"/>
  <c r="BE119" i="2"/>
  <c r="BL83" i="8"/>
  <c r="AL81" i="8"/>
  <c r="AL83" i="8"/>
  <c r="AL77" i="8"/>
  <c r="AL71" i="8"/>
  <c r="AP81" i="8"/>
  <c r="AP77" i="8"/>
  <c r="AP83" i="8"/>
  <c r="AP71" i="8"/>
  <c r="AS83" i="8"/>
  <c r="AS77" i="8"/>
  <c r="AS81" i="8"/>
  <c r="AS71" i="8"/>
  <c r="B47" i="7"/>
  <c r="AJ83" i="8"/>
  <c r="AJ81" i="8"/>
  <c r="AJ71" i="8"/>
  <c r="AJ77" i="8"/>
  <c r="AV83" i="8"/>
  <c r="AV81" i="8"/>
  <c r="AV77" i="8"/>
  <c r="AI120" i="9" s="1"/>
  <c r="E47" i="7"/>
  <c r="AX83" i="8"/>
  <c r="AX81" i="8"/>
  <c r="AX77" i="8"/>
  <c r="AX71" i="8"/>
  <c r="G47" i="7"/>
  <c r="T43" i="7"/>
  <c r="AQ119" i="2"/>
  <c r="BY83" i="8"/>
  <c r="BY77" i="8"/>
  <c r="BY81" i="8"/>
  <c r="BY71" i="8"/>
  <c r="AH47" i="7"/>
  <c r="CF81" i="8"/>
  <c r="AO47" i="7"/>
  <c r="AJ43" i="7"/>
  <c r="BG119" i="2"/>
  <c r="AX65" i="2"/>
  <c r="CT148" i="14" l="1"/>
  <c r="CS155" i="14"/>
  <c r="CF71" i="8"/>
  <c r="CF77" i="8"/>
  <c r="CK87" i="10"/>
  <c r="CK88" i="10" s="1"/>
  <c r="CK39" i="10" s="1"/>
  <c r="CC76" i="10"/>
  <c r="CH82" i="10"/>
  <c r="BF119" i="2"/>
  <c r="U47" i="7"/>
  <c r="AI43" i="7"/>
  <c r="BD119" i="2"/>
  <c r="CJ66" i="14"/>
  <c r="CI66" i="14"/>
  <c r="CG66" i="14"/>
  <c r="CH66" i="14"/>
  <c r="CV66" i="14"/>
  <c r="CW66" i="14"/>
  <c r="CX66" i="14"/>
  <c r="CY66" i="14"/>
  <c r="CN66" i="14"/>
  <c r="AG43" i="7"/>
  <c r="CT153" i="14"/>
  <c r="CT93" i="14" s="1"/>
  <c r="CP144" i="14"/>
  <c r="CP146" i="14" s="1"/>
  <c r="CP152" i="14" s="1"/>
  <c r="DC149" i="14"/>
  <c r="DB151" i="14"/>
  <c r="DB148" i="14"/>
  <c r="DB152" i="14"/>
  <c r="BX141" i="2"/>
  <c r="BE188" i="7"/>
  <c r="BC188" i="7"/>
  <c r="CF127" i="10"/>
  <c r="CV93" i="14"/>
  <c r="CW93" i="14" s="1"/>
  <c r="CX93" i="14" s="1"/>
  <c r="DC75" i="12"/>
  <c r="BD100" i="15"/>
  <c r="BD47" i="15"/>
  <c r="CX54" i="13"/>
  <c r="BM45" i="11"/>
  <c r="BM23" i="13"/>
  <c r="BR24" i="13"/>
  <c r="BF51" i="2"/>
  <c r="CW107" i="11"/>
  <c r="CX118" i="13"/>
  <c r="CX123" i="13" s="1"/>
  <c r="CX27" i="13"/>
  <c r="CR107" i="11"/>
  <c r="CS27" i="13"/>
  <c r="CL135" i="9"/>
  <c r="AL47" i="7"/>
  <c r="CC81" i="8"/>
  <c r="BO26" i="10" s="1"/>
  <c r="BZ70" i="8"/>
  <c r="BL12" i="10" s="1"/>
  <c r="BL20" i="10" s="1"/>
  <c r="BN20" i="10" s="1"/>
  <c r="BF55" i="2"/>
  <c r="BF13" i="2"/>
  <c r="BZ29" i="11"/>
  <c r="CE29" i="11"/>
  <c r="BS77" i="8"/>
  <c r="BS89" i="8" s="1"/>
  <c r="BL77" i="8"/>
  <c r="BL81" i="8"/>
  <c r="BL107" i="8" s="1"/>
  <c r="BX71" i="8"/>
  <c r="BL71" i="8"/>
  <c r="AZ119" i="2"/>
  <c r="BE20" i="10"/>
  <c r="AX26" i="10"/>
  <c r="BS81" i="8"/>
  <c r="AB47" i="7"/>
  <c r="AB176" i="7" s="1"/>
  <c r="BP77" i="8"/>
  <c r="BP89" i="8" s="1"/>
  <c r="BE30" i="10"/>
  <c r="BA119" i="2"/>
  <c r="AC43" i="7"/>
  <c r="AD43" i="7"/>
  <c r="BS83" i="8"/>
  <c r="Y43" i="7"/>
  <c r="BB20" i="10"/>
  <c r="AO43" i="7"/>
  <c r="CC71" i="8"/>
  <c r="BS20" i="10"/>
  <c r="BB30" i="10"/>
  <c r="Y47" i="7"/>
  <c r="BP81" i="8"/>
  <c r="BP107" i="8" s="1"/>
  <c r="BP83" i="8"/>
  <c r="BU71" i="8"/>
  <c r="AW119" i="2"/>
  <c r="T47" i="7"/>
  <c r="Z47" i="7"/>
  <c r="AW26" i="10"/>
  <c r="BQ71" i="8"/>
  <c r="BQ83" i="8"/>
  <c r="BK83" i="8"/>
  <c r="AQ29" i="2" s="1"/>
  <c r="AQ132" i="2" s="1"/>
  <c r="BQ77" i="8"/>
  <c r="BQ113" i="8" s="1"/>
  <c r="BC26" i="10"/>
  <c r="AQ53" i="11"/>
  <c r="AQ64" i="11"/>
  <c r="W87" i="2"/>
  <c r="W64" i="2"/>
  <c r="AA77" i="2"/>
  <c r="AA78" i="2"/>
  <c r="AB64" i="2"/>
  <c r="W65" i="2"/>
  <c r="AB65" i="2"/>
  <c r="BV71" i="8"/>
  <c r="BK71" i="8"/>
  <c r="BP71" i="8"/>
  <c r="BK77" i="8"/>
  <c r="AX128" i="9" s="1"/>
  <c r="AX132" i="9" s="1"/>
  <c r="BK81" i="8"/>
  <c r="BK86" i="8" s="1"/>
  <c r="BQ81" i="8"/>
  <c r="AW14" i="2" s="1"/>
  <c r="AW123" i="2" s="1"/>
  <c r="BC20" i="10"/>
  <c r="W55" i="2"/>
  <c r="AQ66" i="8"/>
  <c r="W119" i="2" s="1"/>
  <c r="W13" i="2"/>
  <c r="AQ70" i="8"/>
  <c r="BR31" i="2"/>
  <c r="BT19" i="2"/>
  <c r="CK51" i="12"/>
  <c r="CK61" i="12" s="1"/>
  <c r="AI95" i="10"/>
  <c r="AG95" i="10"/>
  <c r="V95" i="10"/>
  <c r="X95" i="10"/>
  <c r="AF95" i="10"/>
  <c r="W95" i="10"/>
  <c r="AH95" i="10"/>
  <c r="AB95" i="10"/>
  <c r="Y95" i="10"/>
  <c r="AA95" i="10"/>
  <c r="Z95" i="10"/>
  <c r="AD95" i="10"/>
  <c r="CP90" i="12"/>
  <c r="CU90" i="12" s="1"/>
  <c r="CZ90" i="12" s="1"/>
  <c r="DA90" i="12" s="1"/>
  <c r="DB90" i="12" s="1"/>
  <c r="DC90" i="12" s="1"/>
  <c r="AS95" i="10"/>
  <c r="AL95" i="10"/>
  <c r="AR95" i="10"/>
  <c r="CC108" i="9"/>
  <c r="CU45" i="12"/>
  <c r="CP76" i="12"/>
  <c r="CP77" i="12" s="1"/>
  <c r="CP46" i="12"/>
  <c r="CP55" i="12" s="1"/>
  <c r="CP63" i="12" s="1"/>
  <c r="CF76" i="12"/>
  <c r="CF77" i="12" s="1"/>
  <c r="CF87" i="12" s="1"/>
  <c r="CF90" i="12"/>
  <c r="CK87" i="12"/>
  <c r="CK80" i="12"/>
  <c r="CU49" i="12"/>
  <c r="CU58" i="12" s="1"/>
  <c r="CU69" i="12" s="1"/>
  <c r="CU79" i="12"/>
  <c r="CU80" i="12" s="1"/>
  <c r="CZ48" i="12"/>
  <c r="AX95" i="10"/>
  <c r="AP126" i="7"/>
  <c r="CG166" i="11"/>
  <c r="CB63" i="10"/>
  <c r="CA126" i="10"/>
  <c r="CL214" i="11"/>
  <c r="CC73" i="8"/>
  <c r="AJ95" i="10"/>
  <c r="BI95" i="10"/>
  <c r="AE95" i="10"/>
  <c r="W19" i="15"/>
  <c r="W20" i="15" s="1"/>
  <c r="AB19" i="15"/>
  <c r="AB20" i="15" s="1"/>
  <c r="X18" i="15"/>
  <c r="AC19" i="15" s="1"/>
  <c r="AC20" i="15" s="1"/>
  <c r="V97" i="7"/>
  <c r="V116" i="7" s="1"/>
  <c r="BM97" i="11"/>
  <c r="Z89" i="7"/>
  <c r="Z81" i="7"/>
  <c r="BQ61" i="11"/>
  <c r="AE89" i="7"/>
  <c r="X29" i="15"/>
  <c r="X24" i="15"/>
  <c r="X23" i="15"/>
  <c r="BR50" i="11"/>
  <c r="AC24" i="15"/>
  <c r="BC101" i="15"/>
  <c r="BC48" i="15"/>
  <c r="CP45" i="14"/>
  <c r="CP48" i="14" s="1"/>
  <c r="CU46" i="14"/>
  <c r="CZ210" i="14"/>
  <c r="CU211" i="14"/>
  <c r="CU212" i="14" s="1"/>
  <c r="CU63" i="14"/>
  <c r="L103" i="7"/>
  <c r="L119" i="7" s="1"/>
  <c r="BC154" i="11"/>
  <c r="BC103" i="11"/>
  <c r="L96" i="7"/>
  <c r="BC96" i="11"/>
  <c r="BC86" i="11"/>
  <c r="CU47" i="14"/>
  <c r="CL66" i="14"/>
  <c r="CM66" i="14"/>
  <c r="CO66" i="14"/>
  <c r="CK73" i="14"/>
  <c r="CL76" i="13"/>
  <c r="CI31" i="13"/>
  <c r="CI30" i="13"/>
  <c r="CI22" i="13"/>
  <c r="CI45" i="11" s="1"/>
  <c r="CV71" i="13"/>
  <c r="CN126" i="13"/>
  <c r="CG83" i="13"/>
  <c r="CG76" i="13"/>
  <c r="E53" i="2"/>
  <c r="J66" i="2"/>
  <c r="E66" i="2"/>
  <c r="BL37" i="12"/>
  <c r="BL82" i="12"/>
  <c r="BL38" i="12"/>
  <c r="BL36" i="12"/>
  <c r="BH78" i="11"/>
  <c r="BQ38" i="12"/>
  <c r="BQ37" i="12"/>
  <c r="AA105" i="7"/>
  <c r="V113" i="7"/>
  <c r="BG69" i="12"/>
  <c r="BM100" i="11"/>
  <c r="BM89" i="11"/>
  <c r="BM104" i="11" s="1"/>
  <c r="AS11" i="2"/>
  <c r="BL128" i="9"/>
  <c r="BL132" i="9" s="1"/>
  <c r="BL121" i="9"/>
  <c r="BL120" i="9"/>
  <c r="W128" i="9"/>
  <c r="W132" i="9" s="1"/>
  <c r="W121" i="9"/>
  <c r="W120" i="9"/>
  <c r="AF128" i="9"/>
  <c r="AF121" i="9"/>
  <c r="BF95" i="10"/>
  <c r="BT177" i="11"/>
  <c r="BY177" i="11"/>
  <c r="BK95" i="10"/>
  <c r="AI128" i="9"/>
  <c r="AI132" i="9" s="1"/>
  <c r="AI121" i="9"/>
  <c r="X128" i="9"/>
  <c r="X132" i="9" s="1"/>
  <c r="X121" i="9"/>
  <c r="X120" i="9"/>
  <c r="BK128" i="9"/>
  <c r="BK132" i="9" s="1"/>
  <c r="BK121" i="9"/>
  <c r="BK120" i="9"/>
  <c r="AJ128" i="9"/>
  <c r="AJ121" i="9"/>
  <c r="Z128" i="9"/>
  <c r="Z132" i="9" s="1"/>
  <c r="Z121" i="9"/>
  <c r="AB128" i="9"/>
  <c r="AB132" i="9" s="1"/>
  <c r="AB121" i="9"/>
  <c r="AB120" i="9"/>
  <c r="BG95" i="10"/>
  <c r="BU177" i="11"/>
  <c r="AE128" i="9"/>
  <c r="AE132" i="9" s="1"/>
  <c r="AE121" i="9"/>
  <c r="CB154" i="11"/>
  <c r="CB31" i="11"/>
  <c r="BI76" i="6"/>
  <c r="BH75" i="6"/>
  <c r="AK128" i="9"/>
  <c r="AK121" i="9"/>
  <c r="AC128" i="9"/>
  <c r="AC132" i="9" s="1"/>
  <c r="AC121" i="9"/>
  <c r="Y128" i="9"/>
  <c r="Y132" i="9" s="1"/>
  <c r="Y121" i="9"/>
  <c r="Y120" i="9"/>
  <c r="AG128" i="9"/>
  <c r="AG121" i="9"/>
  <c r="BQ128" i="9"/>
  <c r="BQ132" i="9" s="1"/>
  <c r="BQ121" i="9"/>
  <c r="BQ120" i="9"/>
  <c r="BR128" i="9"/>
  <c r="BR132" i="9" s="1"/>
  <c r="BR121" i="9"/>
  <c r="BR120" i="9"/>
  <c r="BM95" i="10"/>
  <c r="CA177" i="11"/>
  <c r="AA128" i="9"/>
  <c r="AA132" i="9" s="1"/>
  <c r="AA121" i="9"/>
  <c r="AA120" i="9"/>
  <c r="BW32" i="11"/>
  <c r="BW33" i="11"/>
  <c r="Z96" i="10"/>
  <c r="Z117" i="10"/>
  <c r="Z120" i="10" s="1"/>
  <c r="Z36" i="10"/>
  <c r="Z44" i="10" s="1"/>
  <c r="Z48" i="10" s="1"/>
  <c r="Z54" i="10" s="1"/>
  <c r="BO30" i="10"/>
  <c r="BX177" i="11"/>
  <c r="BJ95" i="10"/>
  <c r="BP30" i="10"/>
  <c r="BP26" i="10"/>
  <c r="BH95" i="10"/>
  <c r="BV177" i="11"/>
  <c r="AH128" i="9"/>
  <c r="AH132" i="9" s="1"/>
  <c r="AH121" i="9"/>
  <c r="AE120" i="9"/>
  <c r="AC120" i="9"/>
  <c r="CG173" i="11"/>
  <c r="CE175" i="11"/>
  <c r="BI128" i="9"/>
  <c r="BI132" i="9" s="1"/>
  <c r="BI121" i="9"/>
  <c r="BI120" i="9"/>
  <c r="AV156" i="7"/>
  <c r="AV158" i="7"/>
  <c r="BI20" i="10"/>
  <c r="BI21" i="10" s="1"/>
  <c r="BI25" i="10" s="1"/>
  <c r="BS82" i="10"/>
  <c r="BO83" i="10"/>
  <c r="CB84" i="10"/>
  <c r="CB76" i="10"/>
  <c r="BR27" i="2"/>
  <c r="AU49" i="7"/>
  <c r="BR142" i="2"/>
  <c r="BS128" i="9"/>
  <c r="BS132" i="9" s="1"/>
  <c r="BS121" i="9"/>
  <c r="BS120" i="9"/>
  <c r="BG128" i="9"/>
  <c r="BG132" i="9" s="1"/>
  <c r="BG121" i="9"/>
  <c r="BG120" i="9"/>
  <c r="AM128" i="9"/>
  <c r="AM132" i="9" s="1"/>
  <c r="AM121" i="9"/>
  <c r="AM120" i="9"/>
  <c r="BJ128" i="9"/>
  <c r="BJ132" i="9" s="1"/>
  <c r="BJ121" i="9"/>
  <c r="BJ120" i="9"/>
  <c r="BH128" i="9"/>
  <c r="BH132" i="9" s="1"/>
  <c r="BH121" i="9"/>
  <c r="BH120" i="9"/>
  <c r="BY127" i="10"/>
  <c r="AV187" i="7"/>
  <c r="J40" i="7"/>
  <c r="AG13" i="2"/>
  <c r="BA70" i="8"/>
  <c r="AG55" i="2"/>
  <c r="BA66" i="8"/>
  <c r="BR26" i="10"/>
  <c r="BR30" i="10"/>
  <c r="AT128" i="9"/>
  <c r="AT132" i="9" s="1"/>
  <c r="AT121" i="9"/>
  <c r="AT120" i="9"/>
  <c r="AS128" i="9"/>
  <c r="AS132" i="9" s="1"/>
  <c r="AS121" i="9"/>
  <c r="AS120" i="9"/>
  <c r="AY75" i="10"/>
  <c r="AU75" i="10"/>
  <c r="AU76" i="10" s="1"/>
  <c r="AU82" i="10" s="1"/>
  <c r="AU134" i="9"/>
  <c r="AT93" i="10"/>
  <c r="AY128" i="9"/>
  <c r="AY132" i="9" s="1"/>
  <c r="AY121" i="9"/>
  <c r="AY120" i="9"/>
  <c r="BN128" i="9"/>
  <c r="BN132" i="9" s="1"/>
  <c r="BN121" i="9"/>
  <c r="BN120" i="9"/>
  <c r="AW150" i="7"/>
  <c r="BY58" i="9"/>
  <c r="AT159" i="7"/>
  <c r="CC42" i="9"/>
  <c r="CB64" i="10" s="1"/>
  <c r="AX149" i="7"/>
  <c r="BU18" i="2"/>
  <c r="BU19" i="2" s="1"/>
  <c r="BN84" i="2"/>
  <c r="AF129" i="9"/>
  <c r="AF130" i="9"/>
  <c r="AF120" i="9"/>
  <c r="AF66" i="9"/>
  <c r="Y83" i="2"/>
  <c r="Y103" i="2"/>
  <c r="BX136" i="9"/>
  <c r="AV151" i="7"/>
  <c r="BZ48" i="9"/>
  <c r="CD33" i="9"/>
  <c r="CE33" i="9" s="1"/>
  <c r="BA144" i="7" s="1"/>
  <c r="AY144" i="7"/>
  <c r="BV17" i="2"/>
  <c r="AJ129" i="9"/>
  <c r="AJ130" i="9"/>
  <c r="AJ120" i="9"/>
  <c r="AJ66" i="9"/>
  <c r="AK30" i="9"/>
  <c r="AC83" i="2"/>
  <c r="AC103" i="2"/>
  <c r="AL130" i="9"/>
  <c r="BX14" i="9"/>
  <c r="AG129" i="9"/>
  <c r="BY107" i="8"/>
  <c r="BE56" i="2"/>
  <c r="BE68" i="2"/>
  <c r="BE14" i="2"/>
  <c r="BE123" i="2" s="1"/>
  <c r="AB180" i="7"/>
  <c r="AY29" i="2"/>
  <c r="AY132" i="2" s="1"/>
  <c r="AV107" i="8"/>
  <c r="AV86" i="8"/>
  <c r="AB68" i="2"/>
  <c r="AB14" i="2"/>
  <c r="AB123" i="2" s="1"/>
  <c r="AB56" i="2"/>
  <c r="AL180" i="7"/>
  <c r="AL176" i="7"/>
  <c r="AS84" i="8"/>
  <c r="Y46" i="2" s="1"/>
  <c r="B51" i="7"/>
  <c r="Y29" i="2"/>
  <c r="Y132" i="2" s="1"/>
  <c r="AP84" i="8"/>
  <c r="V46" i="2" s="1"/>
  <c r="V29" i="2"/>
  <c r="V132" i="2" s="1"/>
  <c r="AL84" i="8"/>
  <c r="R46" i="2" s="1"/>
  <c r="R29" i="2"/>
  <c r="R132" i="2" s="1"/>
  <c r="BL113" i="8"/>
  <c r="BL92" i="8"/>
  <c r="BL89" i="8"/>
  <c r="AT113" i="8"/>
  <c r="AT92" i="8"/>
  <c r="AT89" i="8"/>
  <c r="AW84" i="8"/>
  <c r="AC46" i="2" s="1"/>
  <c r="F51" i="7"/>
  <c r="AC29" i="2"/>
  <c r="AC132" i="2" s="1"/>
  <c r="BT113" i="8"/>
  <c r="BT92" i="8"/>
  <c r="BT89" i="8"/>
  <c r="BT86" i="8"/>
  <c r="AM107" i="8"/>
  <c r="AM86" i="8"/>
  <c r="AM87" i="8" s="1"/>
  <c r="S56" i="2"/>
  <c r="S68" i="2"/>
  <c r="S14" i="2"/>
  <c r="S123" i="2" s="1"/>
  <c r="AN180" i="7"/>
  <c r="AN176" i="7"/>
  <c r="AU84" i="8"/>
  <c r="AA46" i="2" s="1"/>
  <c r="D51" i="7"/>
  <c r="AA29" i="2"/>
  <c r="AA132" i="2" s="1"/>
  <c r="O51" i="7"/>
  <c r="AL29" i="2"/>
  <c r="AL132" i="2" s="1"/>
  <c r="AO84" i="8"/>
  <c r="U46" i="2" s="1"/>
  <c r="U29" i="2"/>
  <c r="U132" i="2" s="1"/>
  <c r="AJ180" i="7"/>
  <c r="AJ176" i="7"/>
  <c r="CA84" i="8"/>
  <c r="BG46" i="2" s="1"/>
  <c r="AJ51" i="7"/>
  <c r="BG29" i="2"/>
  <c r="BG132" i="2" s="1"/>
  <c r="BU113" i="8"/>
  <c r="BU92" i="8"/>
  <c r="BU86" i="8"/>
  <c r="BU89" i="8"/>
  <c r="AN107" i="8"/>
  <c r="AN86" i="8"/>
  <c r="AN87" i="8" s="1"/>
  <c r="T68" i="2"/>
  <c r="T14" i="2"/>
  <c r="T56" i="2"/>
  <c r="AR84" i="8"/>
  <c r="X46" i="2" s="1"/>
  <c r="X29" i="2"/>
  <c r="X132" i="2" s="1"/>
  <c r="CF113" i="8"/>
  <c r="CF92" i="8"/>
  <c r="CF89" i="8"/>
  <c r="CF86" i="8"/>
  <c r="BY113" i="8"/>
  <c r="BY92" i="8"/>
  <c r="BY89" i="8"/>
  <c r="BY86" i="8"/>
  <c r="AX113" i="8"/>
  <c r="AX92" i="8"/>
  <c r="AX89" i="8"/>
  <c r="E51" i="7"/>
  <c r="AB29" i="2"/>
  <c r="AB132" i="2" s="1"/>
  <c r="AJ107" i="8"/>
  <c r="AJ86" i="8"/>
  <c r="AJ87" i="8" s="1"/>
  <c r="P68" i="2"/>
  <c r="P14" i="2"/>
  <c r="P123" i="2" s="1"/>
  <c r="P56" i="2"/>
  <c r="AP113" i="8"/>
  <c r="AP92" i="8"/>
  <c r="AP89" i="8"/>
  <c r="AL107" i="8"/>
  <c r="AL86" i="8"/>
  <c r="AL87" i="8" s="1"/>
  <c r="R56" i="2"/>
  <c r="R68" i="2"/>
  <c r="R14" i="2"/>
  <c r="R123" i="2" s="1"/>
  <c r="BL86" i="8"/>
  <c r="AT84" i="8"/>
  <c r="Z46" i="2" s="1"/>
  <c r="C51" i="7"/>
  <c r="Z29" i="2"/>
  <c r="Z132" i="2" s="1"/>
  <c r="BG113" i="8"/>
  <c r="BG89" i="8"/>
  <c r="BG92" i="8"/>
  <c r="AK113" i="8"/>
  <c r="AK92" i="8"/>
  <c r="AK93" i="8" s="1"/>
  <c r="AK89" i="8"/>
  <c r="BX113" i="8"/>
  <c r="BX92" i="8"/>
  <c r="BX89" i="8"/>
  <c r="BX86" i="8"/>
  <c r="AW113" i="8"/>
  <c r="AW89" i="8"/>
  <c r="AW92" i="8"/>
  <c r="AC180" i="7"/>
  <c r="AC176" i="7"/>
  <c r="AC51" i="7"/>
  <c r="AZ29" i="2"/>
  <c r="AZ132" i="2" s="1"/>
  <c r="BV113" i="8"/>
  <c r="BV92" i="8"/>
  <c r="BV86" i="8"/>
  <c r="BV89" i="8"/>
  <c r="AZ113" i="8"/>
  <c r="AZ92" i="8"/>
  <c r="AZ89" i="8"/>
  <c r="AM84" i="8"/>
  <c r="S46" i="2" s="1"/>
  <c r="S29" i="2"/>
  <c r="S132" i="2" s="1"/>
  <c r="AU107" i="8"/>
  <c r="AU86" i="8"/>
  <c r="AA56" i="2"/>
  <c r="AA68" i="2"/>
  <c r="AA14" i="2"/>
  <c r="AA123" i="2" s="1"/>
  <c r="BF113" i="8"/>
  <c r="BF92" i="8"/>
  <c r="BF89" i="8"/>
  <c r="AO107" i="8"/>
  <c r="AO86" i="8"/>
  <c r="U56" i="2"/>
  <c r="U68" i="2"/>
  <c r="U14" i="2"/>
  <c r="U123" i="2" s="1"/>
  <c r="BW113" i="8"/>
  <c r="BW89" i="8"/>
  <c r="BW92" i="8"/>
  <c r="BW86" i="8"/>
  <c r="AD180" i="7"/>
  <c r="AD176" i="7"/>
  <c r="AD51" i="7"/>
  <c r="BA29" i="2"/>
  <c r="BA132" i="2" s="1"/>
  <c r="AN113" i="8"/>
  <c r="AN92" i="8"/>
  <c r="AN93" i="8" s="1"/>
  <c r="AN89" i="8"/>
  <c r="CF107" i="8"/>
  <c r="CF83" i="8"/>
  <c r="BL68" i="2"/>
  <c r="BL14" i="2"/>
  <c r="BL123" i="2" s="1"/>
  <c r="BL56" i="2"/>
  <c r="AH176" i="7"/>
  <c r="AH180" i="7"/>
  <c r="BY84" i="8"/>
  <c r="BE46" i="2" s="1"/>
  <c r="AH51" i="7"/>
  <c r="BE29" i="2"/>
  <c r="BE132" i="2" s="1"/>
  <c r="AX107" i="8"/>
  <c r="AX86" i="8"/>
  <c r="AD56" i="2"/>
  <c r="AD68" i="2"/>
  <c r="AD14" i="2"/>
  <c r="BS113" i="8"/>
  <c r="AJ84" i="8"/>
  <c r="P46" i="2" s="1"/>
  <c r="P29" i="2"/>
  <c r="P132" i="2" s="1"/>
  <c r="AS107" i="8"/>
  <c r="AS86" i="8"/>
  <c r="Y56" i="2"/>
  <c r="Y68" i="2"/>
  <c r="Y14" i="2"/>
  <c r="AP107" i="8"/>
  <c r="AP86" i="8"/>
  <c r="V56" i="2"/>
  <c r="V68" i="2"/>
  <c r="V14" i="2"/>
  <c r="V123" i="2" s="1"/>
  <c r="BL84" i="8"/>
  <c r="AR46" i="2" s="1"/>
  <c r="U51" i="7"/>
  <c r="AR29" i="2"/>
  <c r="AR132" i="2" s="1"/>
  <c r="AT107" i="8"/>
  <c r="AT86" i="8"/>
  <c r="Z56" i="2"/>
  <c r="Z68" i="2"/>
  <c r="Z14" i="2"/>
  <c r="Z123" i="2" s="1"/>
  <c r="BG107" i="8"/>
  <c r="BG86" i="8"/>
  <c r="AM56" i="2"/>
  <c r="AM68" i="2"/>
  <c r="AM14" i="2"/>
  <c r="AM123" i="2" s="1"/>
  <c r="AK107" i="8"/>
  <c r="AK86" i="8"/>
  <c r="AK87" i="8" s="1"/>
  <c r="Q56" i="2"/>
  <c r="Q68" i="2"/>
  <c r="Q14" i="2"/>
  <c r="Q123" i="2" s="1"/>
  <c r="BX107" i="8"/>
  <c r="BD68" i="2"/>
  <c r="BD14" i="2"/>
  <c r="BD123" i="2" s="1"/>
  <c r="BD56" i="2"/>
  <c r="AM176" i="7"/>
  <c r="AM180" i="7"/>
  <c r="CD113" i="8"/>
  <c r="CD92" i="8"/>
  <c r="CD89" i="8"/>
  <c r="CD86" i="8"/>
  <c r="AW107" i="8"/>
  <c r="AW86" i="8"/>
  <c r="AC56" i="2"/>
  <c r="AC68" i="2"/>
  <c r="AC14" i="2"/>
  <c r="AC123" i="2" s="1"/>
  <c r="AE51" i="7"/>
  <c r="BB29" i="2"/>
  <c r="BB132" i="2" s="1"/>
  <c r="AZ107" i="8"/>
  <c r="AZ86" i="8"/>
  <c r="AF68" i="2"/>
  <c r="AF14" i="2"/>
  <c r="AF123" i="2" s="1"/>
  <c r="AF56" i="2"/>
  <c r="CE113" i="8"/>
  <c r="CE92" i="8"/>
  <c r="CE89" i="8"/>
  <c r="BF107" i="8"/>
  <c r="BF86" i="8"/>
  <c r="AL56" i="2"/>
  <c r="AL68" i="2"/>
  <c r="AL14" i="2"/>
  <c r="AL123" i="2" s="1"/>
  <c r="AO113" i="8"/>
  <c r="AO92" i="8"/>
  <c r="AO89" i="8"/>
  <c r="AF51" i="7"/>
  <c r="BC29" i="2"/>
  <c r="BC132" i="2" s="1"/>
  <c r="CA113" i="8"/>
  <c r="CA92" i="8"/>
  <c r="CA86" i="8"/>
  <c r="CA89" i="8"/>
  <c r="AN84" i="8"/>
  <c r="T46" i="2" s="1"/>
  <c r="T29" i="2"/>
  <c r="T132" i="2" s="1"/>
  <c r="AR113" i="8"/>
  <c r="AR92" i="8"/>
  <c r="AR89" i="8"/>
  <c r="AO180" i="7"/>
  <c r="AO176" i="7"/>
  <c r="AX84" i="8"/>
  <c r="AD46" i="2" s="1"/>
  <c r="G51" i="7"/>
  <c r="AD29" i="2"/>
  <c r="AD132" i="2" s="1"/>
  <c r="BS107" i="8"/>
  <c r="AY56" i="2"/>
  <c r="AY68" i="2"/>
  <c r="AY14" i="2"/>
  <c r="AY123" i="2" s="1"/>
  <c r="AV113" i="8"/>
  <c r="AV92" i="8"/>
  <c r="AV89" i="8"/>
  <c r="BI68" i="2"/>
  <c r="AJ113" i="8"/>
  <c r="AJ92" i="8"/>
  <c r="AJ93" i="8" s="1"/>
  <c r="AJ89" i="8"/>
  <c r="AS113" i="8"/>
  <c r="AS92" i="8"/>
  <c r="AS89" i="8"/>
  <c r="AL113" i="8"/>
  <c r="AL89" i="8"/>
  <c r="AL92" i="8"/>
  <c r="AL93" i="8" s="1"/>
  <c r="P51" i="7"/>
  <c r="AM29" i="2"/>
  <c r="AM132" i="2" s="1"/>
  <c r="AK84" i="8"/>
  <c r="Q46" i="2" s="1"/>
  <c r="Q29" i="2"/>
  <c r="Q132" i="2" s="1"/>
  <c r="AG176" i="7"/>
  <c r="AG180" i="7"/>
  <c r="AG51" i="7"/>
  <c r="BD29" i="2"/>
  <c r="BD132" i="2" s="1"/>
  <c r="CD107" i="8"/>
  <c r="CD83" i="8"/>
  <c r="BJ56" i="2"/>
  <c r="BJ68" i="2"/>
  <c r="BJ14" i="2"/>
  <c r="BJ123" i="2" s="1"/>
  <c r="BT107" i="8"/>
  <c r="AZ68" i="2"/>
  <c r="AZ14" i="2"/>
  <c r="AZ123" i="2" s="1"/>
  <c r="AZ56" i="2"/>
  <c r="AE180" i="7"/>
  <c r="AE176" i="7"/>
  <c r="BV107" i="8"/>
  <c r="BB56" i="2"/>
  <c r="BB68" i="2"/>
  <c r="BB14" i="2"/>
  <c r="BB123" i="2" s="1"/>
  <c r="AZ84" i="8"/>
  <c r="AF46" i="2" s="1"/>
  <c r="I51" i="7"/>
  <c r="AF29" i="2"/>
  <c r="AF132" i="2" s="1"/>
  <c r="AM92" i="8"/>
  <c r="AM93" i="8" s="1"/>
  <c r="AM113" i="8"/>
  <c r="AM89" i="8"/>
  <c r="AU113" i="8"/>
  <c r="AU92" i="8"/>
  <c r="AU89" i="8"/>
  <c r="BW107" i="8"/>
  <c r="BC56" i="2"/>
  <c r="BC68" i="2"/>
  <c r="BC14" i="2"/>
  <c r="CA107" i="8"/>
  <c r="BG56" i="2"/>
  <c r="BG68" i="2"/>
  <c r="BG14" i="2"/>
  <c r="BG123" i="2" s="1"/>
  <c r="BU107" i="8"/>
  <c r="BA56" i="2"/>
  <c r="BA68" i="2"/>
  <c r="BA14" i="2"/>
  <c r="BA123" i="2" s="1"/>
  <c r="AR107" i="8"/>
  <c r="AR86" i="8"/>
  <c r="X68" i="2"/>
  <c r="X14" i="2"/>
  <c r="X123" i="2" s="1"/>
  <c r="X56" i="2"/>
  <c r="CU153" i="14" l="1"/>
  <c r="CU93" i="14" s="1"/>
  <c r="BE95" i="10"/>
  <c r="CI82" i="10"/>
  <c r="CD82" i="10"/>
  <c r="CH76" i="10"/>
  <c r="CK66" i="14"/>
  <c r="CP66" i="14"/>
  <c r="BX84" i="8"/>
  <c r="BD46" i="2" s="1"/>
  <c r="BS177" i="11"/>
  <c r="AB51" i="7"/>
  <c r="AG52" i="7" s="1"/>
  <c r="CT155" i="14"/>
  <c r="CT159" i="14" s="1"/>
  <c r="CB28" i="10" s="1"/>
  <c r="DB153" i="14"/>
  <c r="DB93" i="14" s="1"/>
  <c r="CP153" i="14"/>
  <c r="CP93" i="14" s="1"/>
  <c r="DC148" i="14"/>
  <c r="DC151" i="14"/>
  <c r="DC152" i="14"/>
  <c r="BD48" i="15"/>
  <c r="BD101" i="15"/>
  <c r="CY93" i="14"/>
  <c r="BE47" i="15"/>
  <c r="BE100" i="15"/>
  <c r="V79" i="7"/>
  <c r="BM57" i="11"/>
  <c r="AA87" i="7"/>
  <c r="CY54" i="13"/>
  <c r="BZ71" i="8"/>
  <c r="AI47" i="7"/>
  <c r="AI176" i="7" s="1"/>
  <c r="BL26" i="10"/>
  <c r="CF33" i="9"/>
  <c r="BB144" i="7" s="1"/>
  <c r="CX107" i="11"/>
  <c r="CY27" i="13"/>
  <c r="CY107" i="11" s="1"/>
  <c r="CY118" i="13"/>
  <c r="CY123" i="13" s="1"/>
  <c r="CS107" i="11"/>
  <c r="CT27" i="13"/>
  <c r="CC83" i="8"/>
  <c r="AR14" i="2"/>
  <c r="AR123" i="2" s="1"/>
  <c r="Y51" i="7"/>
  <c r="AD52" i="7" s="1"/>
  <c r="BI14" i="2"/>
  <c r="BI123" i="2" s="1"/>
  <c r="CC107" i="8"/>
  <c r="AR68" i="2"/>
  <c r="BI56" i="2"/>
  <c r="AR56" i="2"/>
  <c r="BL30" i="10"/>
  <c r="BZ83" i="8"/>
  <c r="AI51" i="7" s="1"/>
  <c r="AI52" i="7" s="1"/>
  <c r="BZ77" i="8"/>
  <c r="BZ92" i="8" s="1"/>
  <c r="CE93" i="8" s="1"/>
  <c r="CE71" i="8"/>
  <c r="BZ81" i="8"/>
  <c r="BF14" i="2" s="1"/>
  <c r="BF123" i="2" s="1"/>
  <c r="BP113" i="8"/>
  <c r="BC121" i="9"/>
  <c r="BF121" i="9"/>
  <c r="AO87" i="8"/>
  <c r="BP92" i="8"/>
  <c r="BS92" i="8"/>
  <c r="BX93" i="8" s="1"/>
  <c r="BC120" i="9"/>
  <c r="BF120" i="9"/>
  <c r="BS86" i="8"/>
  <c r="BC128" i="9"/>
  <c r="BC132" i="9" s="1"/>
  <c r="BF128" i="9"/>
  <c r="BF132" i="9" s="1"/>
  <c r="BF56" i="2"/>
  <c r="BZ84" i="8"/>
  <c r="BF46" i="2" s="1"/>
  <c r="AG132" i="9"/>
  <c r="CO106" i="14"/>
  <c r="CP106" i="14" s="1"/>
  <c r="AW95" i="10"/>
  <c r="AW56" i="2"/>
  <c r="AV14" i="2"/>
  <c r="AV123" i="2" s="1"/>
  <c r="BP86" i="8"/>
  <c r="BP87" i="8" s="1"/>
  <c r="AV68" i="2"/>
  <c r="AV29" i="2"/>
  <c r="AV132" i="2" s="1"/>
  <c r="BB95" i="10"/>
  <c r="BQ86" i="8"/>
  <c r="BQ87" i="8" s="1"/>
  <c r="AV56" i="2"/>
  <c r="BQ89" i="8"/>
  <c r="Z54" i="7" s="1"/>
  <c r="BK92" i="8"/>
  <c r="BD120" i="9"/>
  <c r="BK113" i="8"/>
  <c r="BV84" i="8"/>
  <c r="BB46" i="2" s="1"/>
  <c r="BQ92" i="8"/>
  <c r="BV93" i="8" s="1"/>
  <c r="BU84" i="8"/>
  <c r="BA46" i="2" s="1"/>
  <c r="CD87" i="8"/>
  <c r="CD93" i="8"/>
  <c r="AR87" i="8"/>
  <c r="T51" i="7"/>
  <c r="AW29" i="2"/>
  <c r="AW132" i="2" s="1"/>
  <c r="V99" i="7"/>
  <c r="BK84" i="8"/>
  <c r="AQ46" i="2" s="1"/>
  <c r="BP84" i="8"/>
  <c r="AV46" i="2" s="1"/>
  <c r="AX121" i="9"/>
  <c r="AW68" i="2"/>
  <c r="BK107" i="8"/>
  <c r="BK89" i="8"/>
  <c r="AQ30" i="2" s="1"/>
  <c r="BC95" i="10"/>
  <c r="BQ107" i="8"/>
  <c r="BD121" i="9"/>
  <c r="BD128" i="9"/>
  <c r="BD132" i="9" s="1"/>
  <c r="AQ14" i="2"/>
  <c r="AQ123" i="2" s="1"/>
  <c r="AS93" i="8"/>
  <c r="AQ68" i="2"/>
  <c r="AT87" i="8"/>
  <c r="AX120" i="9"/>
  <c r="AC12" i="10"/>
  <c r="AC20" i="10" s="1"/>
  <c r="AE20" i="10" s="1"/>
  <c r="AE21" i="10" s="1"/>
  <c r="AE25" i="10" s="1"/>
  <c r="AQ81" i="8"/>
  <c r="AQ77" i="8"/>
  <c r="AQ83" i="8"/>
  <c r="AQ71" i="8"/>
  <c r="AV71" i="8"/>
  <c r="AQ56" i="2"/>
  <c r="Z51" i="7"/>
  <c r="AE52" i="7" s="1"/>
  <c r="G52" i="7"/>
  <c r="AZ87" i="8"/>
  <c r="BQ84" i="8"/>
  <c r="AW46" i="2" s="1"/>
  <c r="CK59" i="12"/>
  <c r="CB126" i="10"/>
  <c r="CK91" i="12"/>
  <c r="CK12" i="12"/>
  <c r="CG12" i="11" s="1"/>
  <c r="CA87" i="8"/>
  <c r="U52" i="7"/>
  <c r="V118" i="7"/>
  <c r="AS87" i="8"/>
  <c r="AU93" i="8"/>
  <c r="BU81" i="2"/>
  <c r="CA93" i="8"/>
  <c r="CP87" i="12"/>
  <c r="CU87" i="12" s="1"/>
  <c r="DH35" i="12"/>
  <c r="CZ79" i="12"/>
  <c r="CZ80" i="12" s="1"/>
  <c r="CZ49" i="12"/>
  <c r="CZ58" i="12" s="1"/>
  <c r="CZ69" i="12" s="1"/>
  <c r="DA48" i="12"/>
  <c r="DB48" i="12" s="1"/>
  <c r="CF82" i="12"/>
  <c r="CF91" i="12" s="1"/>
  <c r="CZ45" i="12"/>
  <c r="CU76" i="12"/>
  <c r="CU77" i="12" s="1"/>
  <c r="DI35" i="12" s="1"/>
  <c r="CU46" i="12"/>
  <c r="CU55" i="12" s="1"/>
  <c r="CU63" i="12" s="1"/>
  <c r="CK79" i="12"/>
  <c r="CK89" i="12" s="1"/>
  <c r="CK90" i="12"/>
  <c r="CL84" i="13"/>
  <c r="BY93" i="8"/>
  <c r="BS107" i="10"/>
  <c r="AP127" i="7"/>
  <c r="CB65" i="10"/>
  <c r="CG73" i="8"/>
  <c r="CC77" i="8"/>
  <c r="BO95" i="10"/>
  <c r="BP95" i="10"/>
  <c r="X35" i="15"/>
  <c r="X31" i="15"/>
  <c r="X30" i="15"/>
  <c r="BR138" i="11"/>
  <c r="BR151" i="11" s="1"/>
  <c r="AC31" i="15"/>
  <c r="AA89" i="7"/>
  <c r="AA81" i="7"/>
  <c r="BR61" i="11"/>
  <c r="AF89" i="7"/>
  <c r="CZ47" i="14"/>
  <c r="L115" i="7"/>
  <c r="L107" i="7"/>
  <c r="L118" i="7"/>
  <c r="Q107" i="7"/>
  <c r="L99" i="7"/>
  <c r="L101" i="7" s="1"/>
  <c r="CZ63" i="14"/>
  <c r="BC89" i="11"/>
  <c r="BC104" i="11" s="1"/>
  <c r="AI11" i="2"/>
  <c r="BC100" i="11"/>
  <c r="AI44" i="2"/>
  <c r="L110" i="7"/>
  <c r="DA210" i="14"/>
  <c r="CZ211" i="14"/>
  <c r="CZ46" i="14"/>
  <c r="CU45" i="14"/>
  <c r="CG84" i="13"/>
  <c r="CG87" i="13"/>
  <c r="CI24" i="13"/>
  <c r="CI23" i="13"/>
  <c r="CI18" i="13"/>
  <c r="CI19" i="13" s="1"/>
  <c r="CO126" i="13"/>
  <c r="CV75" i="13"/>
  <c r="CW71" i="13"/>
  <c r="BL77" i="12"/>
  <c r="BL87" i="12" s="1"/>
  <c r="BQ87" i="12" s="1"/>
  <c r="BL91" i="12"/>
  <c r="Q94" i="7"/>
  <c r="BH92" i="11"/>
  <c r="BH86" i="11"/>
  <c r="CM31" i="12"/>
  <c r="CM30" i="12"/>
  <c r="CM22" i="12"/>
  <c r="CI44" i="11" s="1"/>
  <c r="AS53" i="2"/>
  <c r="AX87" i="8"/>
  <c r="CA178" i="11"/>
  <c r="BH72" i="6"/>
  <c r="BH70" i="6"/>
  <c r="BH71" i="6"/>
  <c r="BH73" i="6"/>
  <c r="CE176" i="11"/>
  <c r="CE177" i="11" s="1"/>
  <c r="CG175" i="11"/>
  <c r="CG176" i="11" s="1"/>
  <c r="BX178" i="11"/>
  <c r="CC178" i="11"/>
  <c r="BK76" i="6"/>
  <c r="BI75" i="6"/>
  <c r="BR95" i="10"/>
  <c r="CF177" i="11"/>
  <c r="CF178" i="11" s="1"/>
  <c r="CB32" i="11"/>
  <c r="CB33" i="11"/>
  <c r="CB28" i="11"/>
  <c r="CG33" i="11"/>
  <c r="AH52" i="7"/>
  <c r="Z55" i="10"/>
  <c r="Z60" i="10" s="1"/>
  <c r="Z61" i="10" s="1"/>
  <c r="Z57" i="10"/>
  <c r="BY178" i="11"/>
  <c r="CD178" i="11"/>
  <c r="BS76" i="10"/>
  <c r="BS79" i="10" s="1"/>
  <c r="BX75" i="10" s="1"/>
  <c r="BS83" i="10"/>
  <c r="AU136" i="9"/>
  <c r="AU113" i="9"/>
  <c r="AU115" i="9"/>
  <c r="AG119" i="2"/>
  <c r="J43" i="7"/>
  <c r="BI117" i="10"/>
  <c r="BI120" i="10" s="1"/>
  <c r="BI26" i="10"/>
  <c r="BI29" i="10"/>
  <c r="BI96" i="10"/>
  <c r="AW156" i="7"/>
  <c r="AY82" i="10"/>
  <c r="AU83" i="10"/>
  <c r="CB38" i="10"/>
  <c r="CC84" i="10"/>
  <c r="BK87" i="8"/>
  <c r="BY87" i="8"/>
  <c r="AJ132" i="9"/>
  <c r="AN31" i="2"/>
  <c r="AM12" i="10"/>
  <c r="BA81" i="8"/>
  <c r="BA77" i="8"/>
  <c r="BA71" i="8"/>
  <c r="BA83" i="8"/>
  <c r="J47" i="7"/>
  <c r="BF71" i="8"/>
  <c r="AW158" i="7"/>
  <c r="CJ22" i="9"/>
  <c r="CK22" i="9" s="1"/>
  <c r="CL22" i="9" s="1"/>
  <c r="AF132" i="9"/>
  <c r="CD42" i="9"/>
  <c r="AY149" i="7"/>
  <c r="BV18" i="2"/>
  <c r="BV81" i="2" s="1"/>
  <c r="BX118" i="9"/>
  <c r="BX117" i="9"/>
  <c r="CC43" i="9"/>
  <c r="CB18" i="10" s="1"/>
  <c r="CC18" i="10" s="1"/>
  <c r="AX150" i="7"/>
  <c r="BY14" i="9"/>
  <c r="AW151" i="7"/>
  <c r="CA48" i="9"/>
  <c r="BZ58" i="9"/>
  <c r="AU159" i="7"/>
  <c r="AK130" i="9"/>
  <c r="AK129" i="9"/>
  <c r="AK120" i="9"/>
  <c r="AK66" i="9"/>
  <c r="AD103" i="2"/>
  <c r="AD83" i="2"/>
  <c r="AL129" i="9"/>
  <c r="AP129" i="9"/>
  <c r="AI103" i="2"/>
  <c r="AP130" i="9"/>
  <c r="AZ144" i="7"/>
  <c r="BW17" i="2"/>
  <c r="AU90" i="8"/>
  <c r="D54" i="7"/>
  <c r="AA30" i="2"/>
  <c r="CC84" i="8"/>
  <c r="BI46" i="2" s="1"/>
  <c r="AL51" i="7"/>
  <c r="AL52" i="7" s="1"/>
  <c r="BI29" i="2"/>
  <c r="BI132" i="2" s="1"/>
  <c r="AR93" i="8"/>
  <c r="AZ93" i="8"/>
  <c r="AW90" i="8"/>
  <c r="F54" i="7"/>
  <c r="AC30" i="2"/>
  <c r="AK90" i="8"/>
  <c r="Q30" i="2"/>
  <c r="P54" i="7"/>
  <c r="AM30" i="2"/>
  <c r="AP93" i="8"/>
  <c r="I52" i="7"/>
  <c r="BL93" i="8"/>
  <c r="AL90" i="8"/>
  <c r="R30" i="2"/>
  <c r="AS90" i="8"/>
  <c r="B54" i="7"/>
  <c r="Y30" i="2"/>
  <c r="AJ90" i="8"/>
  <c r="P30" i="2"/>
  <c r="AO90" i="8"/>
  <c r="U30" i="2"/>
  <c r="AN54" i="7"/>
  <c r="BK30" i="2"/>
  <c r="Y54" i="7"/>
  <c r="AV30" i="2"/>
  <c r="AP87" i="8"/>
  <c r="CF84" i="8"/>
  <c r="BL46" i="2" s="1"/>
  <c r="AO51" i="7"/>
  <c r="AO52" i="7" s="1"/>
  <c r="BL29" i="2"/>
  <c r="BL132" i="2" s="1"/>
  <c r="AN90" i="8"/>
  <c r="T30" i="2"/>
  <c r="O54" i="7"/>
  <c r="AL30" i="2"/>
  <c r="BL87" i="8"/>
  <c r="AX90" i="8"/>
  <c r="G54" i="7"/>
  <c r="AD30" i="2"/>
  <c r="BY90" i="8"/>
  <c r="AH54" i="7"/>
  <c r="BE30" i="2"/>
  <c r="CF87" i="8"/>
  <c r="BU90" i="8"/>
  <c r="AD54" i="7"/>
  <c r="BA30" i="2"/>
  <c r="AC54" i="7"/>
  <c r="AZ30" i="2"/>
  <c r="AT90" i="8"/>
  <c r="C54" i="7"/>
  <c r="Z30" i="2"/>
  <c r="E54" i="7"/>
  <c r="AB30" i="2"/>
  <c r="AO93" i="8"/>
  <c r="CD90" i="8"/>
  <c r="AM54" i="7"/>
  <c r="BJ30" i="2"/>
  <c r="AB54" i="7"/>
  <c r="AY30" i="2"/>
  <c r="AF54" i="7"/>
  <c r="BC30" i="2"/>
  <c r="AE54" i="7"/>
  <c r="BB30" i="2"/>
  <c r="BX87" i="8"/>
  <c r="AX93" i="8"/>
  <c r="CF90" i="8"/>
  <c r="AO54" i="7"/>
  <c r="BL30" i="2"/>
  <c r="AT93" i="8"/>
  <c r="AM90" i="8"/>
  <c r="S30" i="2"/>
  <c r="CD84" i="8"/>
  <c r="BJ46" i="2" s="1"/>
  <c r="AM51" i="7"/>
  <c r="AM52" i="7" s="1"/>
  <c r="BJ29" i="2"/>
  <c r="BJ132" i="2" s="1"/>
  <c r="AR90" i="8"/>
  <c r="X30" i="2"/>
  <c r="CA90" i="8"/>
  <c r="AJ54" i="7"/>
  <c r="BG30" i="2"/>
  <c r="AJ52" i="7"/>
  <c r="AW87" i="8"/>
  <c r="AU87" i="8"/>
  <c r="AZ90" i="8"/>
  <c r="I54" i="7"/>
  <c r="AF30" i="2"/>
  <c r="AW93" i="8"/>
  <c r="BX90" i="8"/>
  <c r="AG54" i="7"/>
  <c r="BD30" i="2"/>
  <c r="AP90" i="8"/>
  <c r="V30" i="2"/>
  <c r="CF93" i="8"/>
  <c r="BU93" i="8"/>
  <c r="BL90" i="8"/>
  <c r="U54" i="7"/>
  <c r="AR30" i="2"/>
  <c r="CD84" i="10" l="1"/>
  <c r="CE82" i="10"/>
  <c r="CD76" i="10"/>
  <c r="CJ82" i="10"/>
  <c r="CI76" i="10"/>
  <c r="CU155" i="14"/>
  <c r="CU156" i="14" s="1"/>
  <c r="BF29" i="2"/>
  <c r="BF132" i="2" s="1"/>
  <c r="CZ212" i="14"/>
  <c r="CZ54" i="14"/>
  <c r="DA211" i="14"/>
  <c r="DB210" i="14"/>
  <c r="CU159" i="14"/>
  <c r="CC28" i="10" s="1"/>
  <c r="DC153" i="14"/>
  <c r="DC93" i="14" s="1"/>
  <c r="BE48" i="15"/>
  <c r="BE101" i="15"/>
  <c r="DB49" i="12"/>
  <c r="DC48" i="12"/>
  <c r="DB79" i="12"/>
  <c r="DB80" i="12" s="1"/>
  <c r="BL95" i="10"/>
  <c r="BZ113" i="8"/>
  <c r="BZ89" i="8"/>
  <c r="CW75" i="13"/>
  <c r="CW76" i="13" s="1"/>
  <c r="CX71" i="13"/>
  <c r="Y52" i="7"/>
  <c r="AI180" i="7"/>
  <c r="BM128" i="9"/>
  <c r="BM132" i="9" s="1"/>
  <c r="CC64" i="10"/>
  <c r="CD63" i="10" s="1"/>
  <c r="CE42" i="9"/>
  <c r="BA149" i="7" s="1"/>
  <c r="CG33" i="9"/>
  <c r="BC144" i="7" s="1"/>
  <c r="CT107" i="11"/>
  <c r="CU27" i="13"/>
  <c r="CU107" i="11" s="1"/>
  <c r="BU87" i="8"/>
  <c r="T52" i="7"/>
  <c r="BM120" i="9"/>
  <c r="BM121" i="9"/>
  <c r="BZ86" i="8"/>
  <c r="BZ87" i="8" s="1"/>
  <c r="BZ177" i="11"/>
  <c r="BZ178" i="11" s="1"/>
  <c r="BF68" i="2"/>
  <c r="BZ107" i="8"/>
  <c r="BZ14" i="9"/>
  <c r="CA14" i="9" s="1"/>
  <c r="CB14" i="9" s="1"/>
  <c r="CC14" i="9" s="1"/>
  <c r="CD14" i="9" s="1"/>
  <c r="BP93" i="8"/>
  <c r="BZ93" i="8"/>
  <c r="BQ90" i="8"/>
  <c r="AW30" i="2"/>
  <c r="BQ93" i="8"/>
  <c r="BK93" i="8"/>
  <c r="CL44" i="12"/>
  <c r="CL45" i="12" s="1"/>
  <c r="BV87" i="8"/>
  <c r="BV90" i="8"/>
  <c r="T54" i="7"/>
  <c r="BK90" i="8"/>
  <c r="BP90" i="8"/>
  <c r="Z52" i="7"/>
  <c r="AE117" i="10"/>
  <c r="AE120" i="10" s="1"/>
  <c r="AE36" i="10"/>
  <c r="AE44" i="10" s="1"/>
  <c r="AE96" i="10"/>
  <c r="AD120" i="9"/>
  <c r="AQ89" i="8"/>
  <c r="AQ92" i="8"/>
  <c r="AD128" i="9"/>
  <c r="AD132" i="9" s="1"/>
  <c r="AD121" i="9"/>
  <c r="AQ113" i="8"/>
  <c r="AQ84" i="8"/>
  <c r="W46" i="2" s="1"/>
  <c r="W29" i="2"/>
  <c r="W132" i="2" s="1"/>
  <c r="AC95" i="10"/>
  <c r="AV84" i="8"/>
  <c r="AB46" i="2" s="1"/>
  <c r="W56" i="2"/>
  <c r="W68" i="2"/>
  <c r="AQ107" i="8"/>
  <c r="AQ86" i="8"/>
  <c r="W14" i="2"/>
  <c r="W123" i="2" s="1"/>
  <c r="CK30" i="12"/>
  <c r="CK23" i="12"/>
  <c r="CP14" i="12"/>
  <c r="CP103" i="12" s="1"/>
  <c r="CK41" i="12"/>
  <c r="CU41" i="12" s="1"/>
  <c r="CZ41" i="12" s="1"/>
  <c r="DA41" i="12" s="1"/>
  <c r="CK37" i="12"/>
  <c r="CK36" i="12"/>
  <c r="CP100" i="12" s="1"/>
  <c r="CK13" i="12"/>
  <c r="CK16" i="12" s="1"/>
  <c r="CK18" i="12"/>
  <c r="CK19" i="12" s="1"/>
  <c r="CC38" i="10"/>
  <c r="AZ187" i="7" s="1"/>
  <c r="CC83" i="10"/>
  <c r="DI41" i="14"/>
  <c r="CL191" i="11" s="1"/>
  <c r="DA45" i="12"/>
  <c r="DB45" i="12" s="1"/>
  <c r="CZ76" i="12"/>
  <c r="CZ77" i="12" s="1"/>
  <c r="CZ46" i="12"/>
  <c r="CZ55" i="12" s="1"/>
  <c r="CZ63" i="12" s="1"/>
  <c r="DA79" i="12"/>
  <c r="DA80" i="12" s="1"/>
  <c r="DA49" i="12"/>
  <c r="DA58" i="12" s="1"/>
  <c r="DA69" i="12" s="1"/>
  <c r="CG21" i="11"/>
  <c r="CG145" i="11"/>
  <c r="AP61" i="7"/>
  <c r="CG56" i="11"/>
  <c r="AP71" i="7"/>
  <c r="CG92" i="11"/>
  <c r="CG11" i="8"/>
  <c r="CG174" i="11"/>
  <c r="CC65" i="10"/>
  <c r="CH63" i="10"/>
  <c r="CC113" i="8"/>
  <c r="BP128" i="9"/>
  <c r="BP132" i="9" s="1"/>
  <c r="CC89" i="8"/>
  <c r="BP121" i="9"/>
  <c r="CC92" i="8"/>
  <c r="CC93" i="8" s="1"/>
  <c r="BP120" i="9"/>
  <c r="CC86" i="8"/>
  <c r="CC87" i="8" s="1"/>
  <c r="X36" i="15"/>
  <c r="X38" i="15"/>
  <c r="AC115" i="15"/>
  <c r="AC122" i="15" s="1"/>
  <c r="X39" i="15"/>
  <c r="BR83" i="11"/>
  <c r="AC38" i="15"/>
  <c r="AC39" i="15"/>
  <c r="DA46" i="14"/>
  <c r="DB46" i="14" s="1"/>
  <c r="DC46" i="14" s="1"/>
  <c r="CZ45" i="14"/>
  <c r="CZ48" i="14" s="1"/>
  <c r="CP59" i="14"/>
  <c r="CU48" i="14"/>
  <c r="DA212" i="14"/>
  <c r="DA47" i="14"/>
  <c r="AI53" i="2"/>
  <c r="AI66" i="2"/>
  <c r="DA63" i="14"/>
  <c r="DB63" i="14" s="1"/>
  <c r="DC63" i="14" s="1"/>
  <c r="CP126" i="13"/>
  <c r="CR126" i="13" s="1"/>
  <c r="CS126" i="13" s="1"/>
  <c r="CT126" i="13" s="1"/>
  <c r="CU126" i="13" s="1"/>
  <c r="CG88" i="13"/>
  <c r="CG60" i="13"/>
  <c r="Q113" i="7"/>
  <c r="Q105" i="7"/>
  <c r="Q99" i="7"/>
  <c r="Q118" i="7"/>
  <c r="V105" i="7"/>
  <c r="CM24" i="12"/>
  <c r="CM23" i="12"/>
  <c r="CM18" i="12"/>
  <c r="CM19" i="12" s="1"/>
  <c r="AN11" i="2"/>
  <c r="AN44" i="2"/>
  <c r="BH100" i="11"/>
  <c r="BH89" i="11"/>
  <c r="BH104" i="11" s="1"/>
  <c r="Q110" i="7"/>
  <c r="AS44" i="2"/>
  <c r="V110" i="7"/>
  <c r="BI71" i="6"/>
  <c r="BI70" i="6"/>
  <c r="BI73" i="6"/>
  <c r="BI72" i="6"/>
  <c r="CB29" i="11"/>
  <c r="BL76" i="6"/>
  <c r="BK75" i="6"/>
  <c r="Y61" i="10"/>
  <c r="Z68" i="10"/>
  <c r="CB127" i="10"/>
  <c r="AY187" i="7"/>
  <c r="AX156" i="7"/>
  <c r="CC56" i="9"/>
  <c r="AN128" i="9"/>
  <c r="AN132" i="9" s="1"/>
  <c r="AN120" i="9"/>
  <c r="AN121" i="9"/>
  <c r="BA89" i="8"/>
  <c r="BA113" i="8"/>
  <c r="BA92" i="8"/>
  <c r="AU118" i="9"/>
  <c r="AU117" i="9"/>
  <c r="CC60" i="9"/>
  <c r="AX158" i="7"/>
  <c r="BA107" i="8"/>
  <c r="AG14" i="2"/>
  <c r="AG123" i="2" s="1"/>
  <c r="BA86" i="8"/>
  <c r="AG56" i="2"/>
  <c r="AG68" i="2"/>
  <c r="AY76" i="10"/>
  <c r="AY79" i="10" s="1"/>
  <c r="AY83" i="10"/>
  <c r="BI36" i="10"/>
  <c r="BI44" i="10" s="1"/>
  <c r="BI48" i="10" s="1"/>
  <c r="BI54" i="10" s="1"/>
  <c r="BI30" i="10"/>
  <c r="AM95" i="10"/>
  <c r="BA84" i="8"/>
  <c r="AG46" i="2" s="1"/>
  <c r="J51" i="7"/>
  <c r="AG29" i="2"/>
  <c r="AG132" i="2" s="1"/>
  <c r="BF84" i="8"/>
  <c r="AL46" i="2" s="1"/>
  <c r="AM20" i="10"/>
  <c r="AM26" i="10"/>
  <c r="BT134" i="9"/>
  <c r="AK132" i="9"/>
  <c r="BV19" i="2"/>
  <c r="AZ149" i="7"/>
  <c r="BW18" i="2"/>
  <c r="BW81" i="2" s="1"/>
  <c r="CA58" i="9"/>
  <c r="AV159" i="7"/>
  <c r="CC47" i="9"/>
  <c r="AX151" i="7"/>
  <c r="CB48" i="9"/>
  <c r="CD43" i="9"/>
  <c r="CE43" i="9" s="1"/>
  <c r="AY150" i="7"/>
  <c r="CK82" i="10" l="1"/>
  <c r="CK76" i="10" s="1"/>
  <c r="CJ76" i="10"/>
  <c r="CE76" i="10"/>
  <c r="CF82" i="10"/>
  <c r="CE84" i="10"/>
  <c r="CE38" i="10" s="1"/>
  <c r="CD38" i="10"/>
  <c r="CZ155" i="14"/>
  <c r="DA155" i="14" s="1"/>
  <c r="DC210" i="14"/>
  <c r="DC211" i="14" s="1"/>
  <c r="DB211" i="14"/>
  <c r="DB212" i="14" s="1"/>
  <c r="CQ66" i="14"/>
  <c r="CR66" i="14"/>
  <c r="CS66" i="14"/>
  <c r="CT66" i="14"/>
  <c r="DA54" i="14"/>
  <c r="CZ55" i="14"/>
  <c r="CF43" i="9"/>
  <c r="BA150" i="7"/>
  <c r="CD18" i="10"/>
  <c r="CC126" i="10"/>
  <c r="DC49" i="12"/>
  <c r="DC58" i="12" s="1"/>
  <c r="DC69" i="12" s="1"/>
  <c r="DC79" i="12"/>
  <c r="DC80" i="12" s="1"/>
  <c r="DC45" i="12"/>
  <c r="DB76" i="12"/>
  <c r="DB77" i="12" s="1"/>
  <c r="DB46" i="12"/>
  <c r="DB58" i="12"/>
  <c r="DB69" i="12" s="1"/>
  <c r="CY71" i="13"/>
  <c r="CY75" i="13" s="1"/>
  <c r="CX75" i="13"/>
  <c r="BF30" i="2"/>
  <c r="CE90" i="8"/>
  <c r="BZ90" i="8"/>
  <c r="AI54" i="7"/>
  <c r="CF42" i="9"/>
  <c r="BB149" i="7" s="1"/>
  <c r="CD64" i="10"/>
  <c r="BA194" i="7" s="1"/>
  <c r="CH33" i="9"/>
  <c r="BD144" i="7" s="1"/>
  <c r="DB47" i="14"/>
  <c r="CE178" i="11"/>
  <c r="CC127" i="10"/>
  <c r="CK20" i="12"/>
  <c r="AQ87" i="8"/>
  <c r="AV87" i="8"/>
  <c r="AV93" i="8"/>
  <c r="AQ93" i="8"/>
  <c r="W30" i="2"/>
  <c r="AQ90" i="8"/>
  <c r="AV90" i="8"/>
  <c r="CC48" i="9"/>
  <c r="CG22" i="11"/>
  <c r="AP69" i="7" s="1"/>
  <c r="AP118" i="7"/>
  <c r="AP113" i="7"/>
  <c r="DA76" i="12"/>
  <c r="DA77" i="12" s="1"/>
  <c r="DA46" i="12"/>
  <c r="CG20" i="8"/>
  <c r="CG21" i="8" s="1"/>
  <c r="AP68" i="7"/>
  <c r="BW19" i="2"/>
  <c r="CC90" i="8"/>
  <c r="AL54" i="7"/>
  <c r="BI30" i="2"/>
  <c r="AA97" i="7"/>
  <c r="BR97" i="11"/>
  <c r="BR86" i="11"/>
  <c r="DA45" i="14"/>
  <c r="DA48" i="14" s="1"/>
  <c r="CP60" i="14"/>
  <c r="AN66" i="2"/>
  <c r="AN53" i="2"/>
  <c r="AS66" i="2"/>
  <c r="BK73" i="6"/>
  <c r="BK72" i="6"/>
  <c r="BK71" i="6"/>
  <c r="BK70" i="6"/>
  <c r="BM76" i="6"/>
  <c r="BL75" i="6"/>
  <c r="BI57" i="10"/>
  <c r="BI55" i="10"/>
  <c r="BI60" i="10" s="1"/>
  <c r="BA93" i="8"/>
  <c r="BF93" i="8"/>
  <c r="BA87" i="8"/>
  <c r="BF87" i="8"/>
  <c r="CD60" i="9"/>
  <c r="CE60" i="9" s="1"/>
  <c r="AY158" i="7"/>
  <c r="BD75" i="10"/>
  <c r="AZ75" i="10"/>
  <c r="AZ76" i="10" s="1"/>
  <c r="AZ82" i="10" s="1"/>
  <c r="AZ134" i="9"/>
  <c r="AY93" i="10"/>
  <c r="BF90" i="8"/>
  <c r="AG30" i="2"/>
  <c r="BA90" i="8"/>
  <c r="J54" i="7"/>
  <c r="AY156" i="7"/>
  <c r="CD56" i="9"/>
  <c r="CE56" i="9" s="1"/>
  <c r="O52" i="7"/>
  <c r="J52" i="7"/>
  <c r="BT136" i="9"/>
  <c r="BT113" i="9"/>
  <c r="BT115" i="9"/>
  <c r="CC135" i="9"/>
  <c r="CE135" i="9" s="1"/>
  <c r="CB58" i="9"/>
  <c r="AW159" i="7"/>
  <c r="CD47" i="9"/>
  <c r="CE47" i="9" s="1"/>
  <c r="AY151" i="7"/>
  <c r="AZ150" i="7"/>
  <c r="CU66" i="14" l="1"/>
  <c r="CZ66" i="14" s="1"/>
  <c r="CZ159" i="14"/>
  <c r="CG82" i="10"/>
  <c r="CF76" i="10"/>
  <c r="BB187" i="7"/>
  <c r="CE127" i="10"/>
  <c r="BA187" i="7"/>
  <c r="CD127" i="10"/>
  <c r="CV155" i="14"/>
  <c r="CV159" i="14" s="1"/>
  <c r="DB54" i="14"/>
  <c r="DA55" i="14"/>
  <c r="DC212" i="14"/>
  <c r="CU59" i="14"/>
  <c r="BB150" i="7"/>
  <c r="CG43" i="9"/>
  <c r="CE18" i="10"/>
  <c r="CF47" i="9"/>
  <c r="CF48" i="9" s="1"/>
  <c r="BA151" i="7"/>
  <c r="CF56" i="9"/>
  <c r="BA156" i="7"/>
  <c r="DB155" i="14"/>
  <c r="DA159" i="14"/>
  <c r="CW155" i="14"/>
  <c r="CF60" i="9"/>
  <c r="BA158" i="7"/>
  <c r="DC76" i="12"/>
  <c r="DC77" i="12" s="1"/>
  <c r="DC46" i="12"/>
  <c r="DC55" i="12" s="1"/>
  <c r="DC63" i="12" s="1"/>
  <c r="DA55" i="12"/>
  <c r="DA63" i="12" s="1"/>
  <c r="DB55" i="12"/>
  <c r="DB63" i="12" s="1"/>
  <c r="CX76" i="13"/>
  <c r="CY76" i="13"/>
  <c r="CF135" i="9"/>
  <c r="CE48" i="9"/>
  <c r="CG42" i="9"/>
  <c r="BC149" i="7" s="1"/>
  <c r="CE64" i="10"/>
  <c r="BB194" i="7" s="1"/>
  <c r="CE63" i="10"/>
  <c r="CD126" i="10"/>
  <c r="CD65" i="10"/>
  <c r="CI33" i="9"/>
  <c r="DC47" i="14"/>
  <c r="DB45" i="14"/>
  <c r="CP103" i="14"/>
  <c r="CN103" i="14" s="1"/>
  <c r="CG32" i="11"/>
  <c r="AP76" i="7"/>
  <c r="CG100" i="11"/>
  <c r="CG36" i="11"/>
  <c r="CG154" i="11"/>
  <c r="CG28" i="11"/>
  <c r="CG29" i="11" s="1"/>
  <c r="CG42" i="11"/>
  <c r="CG39" i="11"/>
  <c r="CG182" i="11" s="1"/>
  <c r="CG23" i="11"/>
  <c r="BM36" i="2" s="1"/>
  <c r="AX86" i="6"/>
  <c r="BT129" i="9"/>
  <c r="AP10" i="7"/>
  <c r="BM103" i="2"/>
  <c r="BM7" i="2"/>
  <c r="BS100" i="10"/>
  <c r="BS101" i="10" s="1"/>
  <c r="CG22" i="8"/>
  <c r="AP11" i="7" s="1"/>
  <c r="BT76" i="9"/>
  <c r="AA108" i="7"/>
  <c r="AA116" i="7"/>
  <c r="AA99" i="7"/>
  <c r="AF108" i="7"/>
  <c r="AA118" i="7"/>
  <c r="AX11" i="2"/>
  <c r="BC44" i="2"/>
  <c r="BR89" i="11"/>
  <c r="BR104" i="11" s="1"/>
  <c r="BR100" i="11"/>
  <c r="AF110" i="7"/>
  <c r="AA110" i="7"/>
  <c r="AX44" i="2"/>
  <c r="DA66" i="14"/>
  <c r="CZ59" i="14"/>
  <c r="BL73" i="6"/>
  <c r="BL72" i="6"/>
  <c r="BL71" i="6"/>
  <c r="BL70" i="6"/>
  <c r="BM75" i="6"/>
  <c r="BN76" i="6"/>
  <c r="BI61" i="10"/>
  <c r="BI68" i="10" s="1"/>
  <c r="BN59" i="10"/>
  <c r="AZ156" i="7"/>
  <c r="AZ136" i="9"/>
  <c r="AZ113" i="9"/>
  <c r="AZ115" i="9"/>
  <c r="AZ158" i="7"/>
  <c r="BT117" i="9"/>
  <c r="BT118" i="9"/>
  <c r="AZ83" i="10"/>
  <c r="BD82" i="10"/>
  <c r="AS31" i="2"/>
  <c r="AZ151" i="7"/>
  <c r="CC58" i="9"/>
  <c r="AX159" i="7"/>
  <c r="CD48" i="9"/>
  <c r="CU60" i="14" l="1"/>
  <c r="CU103" i="14" s="1"/>
  <c r="CU74" i="14"/>
  <c r="CU12" i="14" s="1"/>
  <c r="CG76" i="10"/>
  <c r="CG84" i="10"/>
  <c r="DC54" i="14"/>
  <c r="DC55" i="14" s="1"/>
  <c r="DB55" i="14"/>
  <c r="CG47" i="9"/>
  <c r="BB151" i="7"/>
  <c r="BC150" i="7"/>
  <c r="CF18" i="10"/>
  <c r="CH43" i="9"/>
  <c r="CG56" i="9"/>
  <c r="BB156" i="7"/>
  <c r="CX155" i="14"/>
  <c r="CW159" i="14"/>
  <c r="DC155" i="14"/>
  <c r="DC159" i="14" s="1"/>
  <c r="CK28" i="10" s="1"/>
  <c r="DB159" i="14"/>
  <c r="CJ28" i="10" s="1"/>
  <c r="CG60" i="9"/>
  <c r="BB158" i="7"/>
  <c r="DA59" i="14"/>
  <c r="DA60" i="14" s="1"/>
  <c r="DA103" i="14" s="1"/>
  <c r="DB66" i="14"/>
  <c r="BN75" i="6"/>
  <c r="BN73" i="6" s="1"/>
  <c r="BP76" i="6"/>
  <c r="CG135" i="9"/>
  <c r="CE65" i="10"/>
  <c r="CE126" i="10"/>
  <c r="CF63" i="10"/>
  <c r="CH42" i="9"/>
  <c r="BD149" i="7" s="1"/>
  <c r="CF64" i="10"/>
  <c r="BC194" i="7" s="1"/>
  <c r="CJ33" i="9"/>
  <c r="BF144" i="7" s="1"/>
  <c r="BE144" i="7"/>
  <c r="BX17" i="2"/>
  <c r="DC45" i="14"/>
  <c r="DB48" i="14"/>
  <c r="CG24" i="11"/>
  <c r="CQ103" i="14"/>
  <c r="CR103" i="14" s="1"/>
  <c r="CS103" i="14" s="1"/>
  <c r="CT103" i="14" s="1"/>
  <c r="BM106" i="2"/>
  <c r="BM110" i="2"/>
  <c r="BM139" i="2"/>
  <c r="BM104" i="2"/>
  <c r="BM138" i="2"/>
  <c r="BM66" i="2"/>
  <c r="BM100" i="2"/>
  <c r="BM111" i="2"/>
  <c r="BM53" i="2"/>
  <c r="BM112" i="2"/>
  <c r="BM72" i="2"/>
  <c r="BT100" i="9"/>
  <c r="BT79" i="9"/>
  <c r="BT108" i="9" s="1"/>
  <c r="BT80" i="9"/>
  <c r="BT77" i="9"/>
  <c r="BT81" i="9"/>
  <c r="BT78" i="9"/>
  <c r="BT97" i="9"/>
  <c r="AX53" i="2"/>
  <c r="BC66" i="2"/>
  <c r="AX66" i="2"/>
  <c r="CL96" i="14"/>
  <c r="CZ60" i="14"/>
  <c r="CZ103" i="14" s="1"/>
  <c r="CV103" i="14" s="1"/>
  <c r="CW103" i="14" s="1"/>
  <c r="CX103" i="14" s="1"/>
  <c r="CY103" i="14" s="1"/>
  <c r="BM70" i="6"/>
  <c r="BM73" i="6"/>
  <c r="BM72" i="6"/>
  <c r="BM71" i="6"/>
  <c r="BN53" i="10"/>
  <c r="BN55" i="10" s="1"/>
  <c r="BN60" i="10" s="1"/>
  <c r="AZ117" i="9"/>
  <c r="AZ118" i="9"/>
  <c r="BD76" i="10"/>
  <c r="BD79" i="10" s="1"/>
  <c r="BD83" i="10"/>
  <c r="CD58" i="9"/>
  <c r="AY159" i="7"/>
  <c r="CG38" i="10" l="1"/>
  <c r="CH56" i="9" s="1"/>
  <c r="CH84" i="10"/>
  <c r="BN72" i="6"/>
  <c r="CH47" i="9"/>
  <c r="CH48" i="9" s="1"/>
  <c r="BC151" i="7"/>
  <c r="CG18" i="10"/>
  <c r="BD150" i="7"/>
  <c r="CI43" i="9"/>
  <c r="CG48" i="9"/>
  <c r="BC156" i="7"/>
  <c r="CY155" i="14"/>
  <c r="CY159" i="14" s="1"/>
  <c r="CX159" i="14"/>
  <c r="CH60" i="9"/>
  <c r="BC158" i="7"/>
  <c r="DC66" i="14"/>
  <c r="DC59" i="14" s="1"/>
  <c r="DB59" i="14"/>
  <c r="BN71" i="6"/>
  <c r="BN70" i="6"/>
  <c r="BQ76" i="6"/>
  <c r="BP75" i="6"/>
  <c r="CH135" i="9"/>
  <c r="CF65" i="10"/>
  <c r="CF126" i="10"/>
  <c r="CG63" i="10"/>
  <c r="CI42" i="9"/>
  <c r="CG64" i="10"/>
  <c r="BD194" i="7" s="1"/>
  <c r="CK33" i="9"/>
  <c r="BY17" i="2"/>
  <c r="DC48" i="14"/>
  <c r="BM37" i="2"/>
  <c r="CM96" i="14"/>
  <c r="BM113" i="2"/>
  <c r="BS59" i="10"/>
  <c r="BS53" i="10" s="1"/>
  <c r="BS55" i="10" s="1"/>
  <c r="BS60" i="10" s="1"/>
  <c r="BX59" i="10" s="1"/>
  <c r="BX53" i="10" s="1"/>
  <c r="CL99" i="14"/>
  <c r="CO103" i="14"/>
  <c r="BI75" i="10"/>
  <c r="BE75" i="10"/>
  <c r="BE76" i="10" s="1"/>
  <c r="BE82" i="10" s="1"/>
  <c r="BE134" i="9"/>
  <c r="BN61" i="10"/>
  <c r="BN68" i="10" s="1"/>
  <c r="AZ159" i="7"/>
  <c r="CH83" i="10" l="1"/>
  <c r="CI83" i="10" s="1"/>
  <c r="CH38" i="10"/>
  <c r="BD187" i="7"/>
  <c r="CG127" i="10"/>
  <c r="CJ43" i="9"/>
  <c r="CH18" i="10"/>
  <c r="BE150" i="7"/>
  <c r="CI47" i="9"/>
  <c r="BD151" i="7"/>
  <c r="CI56" i="9"/>
  <c r="BD156" i="7"/>
  <c r="CI60" i="9"/>
  <c r="BD158" i="7"/>
  <c r="DB60" i="14"/>
  <c r="DB103" i="14" s="1"/>
  <c r="DC60" i="14"/>
  <c r="DC103" i="14" s="1"/>
  <c r="BP70" i="6"/>
  <c r="BP73" i="6"/>
  <c r="BP72" i="6"/>
  <c r="BP71" i="6"/>
  <c r="BR76" i="6"/>
  <c r="BQ75" i="6"/>
  <c r="CG65" i="10"/>
  <c r="CG126" i="10"/>
  <c r="CI48" i="9"/>
  <c r="BE149" i="7"/>
  <c r="BX18" i="2"/>
  <c r="CJ42" i="9"/>
  <c r="BF149" i="7" s="1"/>
  <c r="CH64" i="10"/>
  <c r="CL33" i="9"/>
  <c r="CI82" i="11"/>
  <c r="BS61" i="10"/>
  <c r="BS68" i="10" s="1"/>
  <c r="BE136" i="9"/>
  <c r="BE113" i="9"/>
  <c r="BE115" i="9"/>
  <c r="BI82" i="10"/>
  <c r="BI76" i="10" s="1"/>
  <c r="BE83" i="10"/>
  <c r="CJ58" i="9"/>
  <c r="CK58" i="9" s="1"/>
  <c r="CL58" i="9" s="1"/>
  <c r="BE159" i="7"/>
  <c r="CJ83" i="10" l="1"/>
  <c r="CI84" i="10"/>
  <c r="CI38" i="10" s="1"/>
  <c r="BE187" i="7"/>
  <c r="CH127" i="10"/>
  <c r="CK43" i="9"/>
  <c r="BF150" i="7"/>
  <c r="CI18" i="10"/>
  <c r="BE151" i="7"/>
  <c r="CJ47" i="9"/>
  <c r="CJ48" i="9" s="1"/>
  <c r="BE156" i="7"/>
  <c r="CJ60" i="9"/>
  <c r="BE158" i="7"/>
  <c r="BQ72" i="6"/>
  <c r="BQ70" i="6"/>
  <c r="BQ73" i="6"/>
  <c r="BQ71" i="6"/>
  <c r="BS76" i="6"/>
  <c r="BS75" i="6" s="1"/>
  <c r="BR75" i="6"/>
  <c r="CH126" i="10"/>
  <c r="CI63" i="10"/>
  <c r="CH65" i="10"/>
  <c r="CK42" i="9"/>
  <c r="BY18" i="2"/>
  <c r="CI64" i="10"/>
  <c r="BF194" i="7" s="1"/>
  <c r="BX19" i="2"/>
  <c r="BX81" i="2"/>
  <c r="CM30" i="14"/>
  <c r="CM31" i="14"/>
  <c r="CI136" i="11"/>
  <c r="BE118" i="9"/>
  <c r="BE117" i="9"/>
  <c r="CJ14" i="9"/>
  <c r="CK14" i="9" s="1"/>
  <c r="CL14" i="9" s="1"/>
  <c r="BF187" i="7" l="1"/>
  <c r="CI127" i="10"/>
  <c r="CJ56" i="9"/>
  <c r="BF156" i="7" s="1"/>
  <c r="CK83" i="10"/>
  <c r="CK84" i="10" s="1"/>
  <c r="CK38" i="10" s="1"/>
  <c r="CK127" i="10" s="1"/>
  <c r="CJ84" i="10"/>
  <c r="CJ38" i="10" s="1"/>
  <c r="CJ127" i="10" s="1"/>
  <c r="BF151" i="7"/>
  <c r="CK47" i="9"/>
  <c r="CL47" i="9" s="1"/>
  <c r="CL43" i="9"/>
  <c r="CK18" i="10" s="1"/>
  <c r="CJ18" i="10"/>
  <c r="CK60" i="9"/>
  <c r="CL60" i="9" s="1"/>
  <c r="BF158" i="7"/>
  <c r="BR73" i="6"/>
  <c r="BR72" i="6"/>
  <c r="BR71" i="6"/>
  <c r="BR70" i="6"/>
  <c r="BS70" i="6"/>
  <c r="BS73" i="6"/>
  <c r="BS72" i="6"/>
  <c r="BS71" i="6"/>
  <c r="CI65" i="10"/>
  <c r="BY19" i="2"/>
  <c r="BY81" i="2"/>
  <c r="CL42" i="9"/>
  <c r="CJ64" i="10"/>
  <c r="CJ63" i="10"/>
  <c r="CI126" i="10"/>
  <c r="CK48" i="9" l="1"/>
  <c r="CK56" i="9"/>
  <c r="CL56" i="9" s="1"/>
  <c r="CJ65" i="10"/>
  <c r="CK64" i="10"/>
  <c r="CL48" i="9"/>
  <c r="CK63" i="10"/>
  <c r="CJ126" i="10"/>
  <c r="CH54" i="8"/>
  <c r="CD49" i="8"/>
  <c r="CK126" i="10" l="1"/>
  <c r="CK65" i="10"/>
  <c r="BQ84" i="9"/>
  <c r="AM31" i="7"/>
  <c r="BJ60" i="2"/>
  <c r="CD51" i="8"/>
  <c r="CD54" i="11" s="1"/>
  <c r="CH61" i="8"/>
  <c r="BT70" i="10" s="1"/>
  <c r="AQ38" i="7"/>
  <c r="CH58" i="8"/>
  <c r="BT71" i="10" l="1"/>
  <c r="BT118" i="10"/>
  <c r="CD53" i="11"/>
  <c r="CD64" i="11"/>
  <c r="BQ86" i="9"/>
  <c r="BQ85" i="9"/>
  <c r="BQ88" i="9"/>
  <c r="BQ87" i="9"/>
  <c r="BJ42" i="2"/>
  <c r="CD109" i="8"/>
  <c r="BJ9" i="2"/>
  <c r="CD52" i="8"/>
  <c r="AM33" i="7"/>
  <c r="AM35" i="7" s="1"/>
  <c r="BU122" i="9"/>
  <c r="CH63" i="8"/>
  <c r="CH59" i="8"/>
  <c r="BN54" i="2" s="1"/>
  <c r="BN69" i="2"/>
  <c r="BN12" i="2"/>
  <c r="BN88" i="2" s="1"/>
  <c r="AQ37" i="7"/>
  <c r="CH110" i="8"/>
  <c r="BN89" i="2"/>
  <c r="CH109" i="8"/>
  <c r="BN87" i="2"/>
  <c r="BQ109" i="9" l="1"/>
  <c r="BQ110" i="9" s="1"/>
  <c r="BJ51" i="2"/>
  <c r="AM34" i="7"/>
  <c r="BJ64" i="2"/>
  <c r="BJ87" i="2"/>
  <c r="BN78" i="2"/>
  <c r="BN77" i="2"/>
  <c r="BT119" i="10"/>
  <c r="BT120" i="10" s="1"/>
  <c r="BN55" i="2"/>
  <c r="CH70" i="8"/>
  <c r="BN13" i="2"/>
  <c r="AQ40" i="7"/>
  <c r="CH66" i="8"/>
  <c r="BT130" i="10" s="1"/>
  <c r="BT12" i="10" l="1"/>
  <c r="BT20" i="10" s="1"/>
  <c r="BT26" i="10"/>
  <c r="CH71" i="8"/>
  <c r="AQ47" i="7"/>
  <c r="CH77" i="8"/>
  <c r="CH81" i="8"/>
  <c r="AQ43" i="7"/>
  <c r="BN119" i="2"/>
  <c r="BT30" i="10" l="1"/>
  <c r="BN56" i="2"/>
  <c r="BN68" i="2"/>
  <c r="CH107" i="8"/>
  <c r="BN14" i="2"/>
  <c r="BN123" i="2" s="1"/>
  <c r="CH83" i="8"/>
  <c r="BU121" i="9"/>
  <c r="BU128" i="9"/>
  <c r="CH92" i="8"/>
  <c r="CH93" i="8" s="1"/>
  <c r="CH113" i="8"/>
  <c r="CH89" i="8"/>
  <c r="CH86" i="8"/>
  <c r="CH87" i="8" s="1"/>
  <c r="AQ176" i="7"/>
  <c r="AQ180" i="7"/>
  <c r="BT95" i="10" l="1"/>
  <c r="AQ54" i="7"/>
  <c r="BN30" i="2"/>
  <c r="CH90" i="8"/>
  <c r="AQ51" i="7"/>
  <c r="AQ52" i="7" s="1"/>
  <c r="BN29" i="2"/>
  <c r="BN132" i="2" s="1"/>
  <c r="CH84" i="8"/>
  <c r="BN46" i="2" s="1"/>
  <c r="CB49" i="8" l="1"/>
  <c r="BE190" i="7"/>
  <c r="B193" i="7"/>
  <c r="B195" i="7" s="1"/>
  <c r="Q193" i="7"/>
  <c r="Q195" i="7" s="1"/>
  <c r="AJ107" i="10" l="1"/>
  <c r="G127" i="7"/>
  <c r="AV111" i="10"/>
  <c r="BJ49" i="8"/>
  <c r="AB111" i="10"/>
  <c r="AP49" i="8"/>
  <c r="BA107" i="10"/>
  <c r="X127" i="7"/>
  <c r="AK31" i="7"/>
  <c r="BH60" i="2"/>
  <c r="AQ111" i="10"/>
  <c r="BE49" i="8"/>
  <c r="AV107" i="10"/>
  <c r="S127" i="7"/>
  <c r="BA111" i="10"/>
  <c r="BO49" i="8"/>
  <c r="AO111" i="10"/>
  <c r="BC49" i="8"/>
  <c r="AO107" i="10"/>
  <c r="L127" i="7"/>
  <c r="AX111" i="10"/>
  <c r="BL49" i="8"/>
  <c r="AJ111" i="10"/>
  <c r="AX49" i="8"/>
  <c r="AN194" i="7"/>
  <c r="AN195" i="7" s="1"/>
  <c r="AM194" i="7"/>
  <c r="AM195" i="7" s="1"/>
  <c r="Q106" i="11"/>
  <c r="Q117" i="11" s="1"/>
  <c r="CG37" i="8"/>
  <c r="AP21" i="7" s="1"/>
  <c r="B191" i="7"/>
  <c r="E194" i="7"/>
  <c r="E195" i="7" s="1"/>
  <c r="V193" i="7"/>
  <c r="V195" i="7" s="1"/>
  <c r="AH194" i="7"/>
  <c r="AH195" i="7" s="1"/>
  <c r="G193" i="7"/>
  <c r="G195" i="7" s="1"/>
  <c r="X126" i="7"/>
  <c r="L126" i="7"/>
  <c r="L193" i="7"/>
  <c r="L195" i="7" s="1"/>
  <c r="G126" i="7"/>
  <c r="R106" i="11"/>
  <c r="R117" i="11" s="1"/>
  <c r="Q102" i="11" l="1"/>
  <c r="Q79" i="8"/>
  <c r="R102" i="11"/>
  <c r="R79" i="8"/>
  <c r="R81" i="8" s="1"/>
  <c r="R86" i="8" s="1"/>
  <c r="AR107" i="10"/>
  <c r="O127" i="7"/>
  <c r="AQ107" i="10"/>
  <c r="AQ108" i="10" s="1"/>
  <c r="N127" i="7"/>
  <c r="AY84" i="9"/>
  <c r="U31" i="7"/>
  <c r="AR60" i="2"/>
  <c r="BL51" i="8"/>
  <c r="BL54" i="11" s="1"/>
  <c r="AP84" i="9"/>
  <c r="L31" i="7"/>
  <c r="AI60" i="2"/>
  <c r="BC51" i="8"/>
  <c r="BC54" i="11" s="1"/>
  <c r="AW84" i="9"/>
  <c r="S31" i="7"/>
  <c r="AP60" i="2"/>
  <c r="BJ51" i="8"/>
  <c r="BJ54" i="11" s="1"/>
  <c r="AW111" i="10"/>
  <c r="BK49" i="8"/>
  <c r="AX109" i="10"/>
  <c r="AX110" i="10" s="1"/>
  <c r="AX103" i="10"/>
  <c r="AO109" i="10"/>
  <c r="AO110" i="10" s="1"/>
  <c r="AO108" i="10"/>
  <c r="AO103" i="10"/>
  <c r="AV109" i="10"/>
  <c r="AV110" i="10" s="1"/>
  <c r="AV108" i="10"/>
  <c r="AV103" i="10"/>
  <c r="AW107" i="10"/>
  <c r="T127" i="7"/>
  <c r="BB111" i="10"/>
  <c r="BP49" i="8"/>
  <c r="AX107" i="10"/>
  <c r="AX108" i="10" s="1"/>
  <c r="U127" i="7"/>
  <c r="AB107" i="10"/>
  <c r="AB108" i="10" s="1"/>
  <c r="AK84" i="9"/>
  <c r="G31" i="7"/>
  <c r="AD60" i="2"/>
  <c r="AX51" i="8"/>
  <c r="AX54" i="11" s="1"/>
  <c r="BB84" i="9"/>
  <c r="X31" i="7"/>
  <c r="AU60" i="2"/>
  <c r="BO51" i="8"/>
  <c r="BO54" i="11" s="1"/>
  <c r="AR84" i="9"/>
  <c r="AK60" i="2"/>
  <c r="BE51" i="8"/>
  <c r="BE54" i="11" s="1"/>
  <c r="AC84" i="9"/>
  <c r="V60" i="2"/>
  <c r="AP51" i="8"/>
  <c r="AP54" i="11" s="1"/>
  <c r="BF107" i="10"/>
  <c r="AC127" i="7"/>
  <c r="BF111" i="10"/>
  <c r="BT49" i="8"/>
  <c r="AJ103" i="10"/>
  <c r="AJ108" i="10"/>
  <c r="AJ109" i="10"/>
  <c r="AJ110" i="10" s="1"/>
  <c r="BA109" i="10"/>
  <c r="BA110" i="10" s="1"/>
  <c r="BA108" i="10"/>
  <c r="BA103" i="10"/>
  <c r="AQ103" i="10"/>
  <c r="AQ109" i="10"/>
  <c r="AQ110" i="10" s="1"/>
  <c r="AB109" i="10"/>
  <c r="AB110" i="10" s="1"/>
  <c r="AB103" i="10"/>
  <c r="AF194" i="7"/>
  <c r="AA193" i="7"/>
  <c r="AA195" i="7" s="1"/>
  <c r="AG194" i="7"/>
  <c r="AG195" i="7" s="1"/>
  <c r="AK194" i="7"/>
  <c r="Q78" i="11"/>
  <c r="Q44" i="11"/>
  <c r="M103" i="7"/>
  <c r="N126" i="7"/>
  <c r="AC107" i="10"/>
  <c r="AC108" i="10" s="1"/>
  <c r="AC126" i="7"/>
  <c r="R44" i="11"/>
  <c r="R78" i="11"/>
  <c r="O126" i="7"/>
  <c r="R92" i="11" l="1"/>
  <c r="R86" i="11"/>
  <c r="Q56" i="11"/>
  <c r="Q53" i="11"/>
  <c r="BE64" i="11"/>
  <c r="BE53" i="11"/>
  <c r="BL64" i="11"/>
  <c r="BL53" i="11"/>
  <c r="R87" i="8"/>
  <c r="W87" i="8"/>
  <c r="AP64" i="11"/>
  <c r="AP53" i="11"/>
  <c r="Q86" i="11"/>
  <c r="Q92" i="11"/>
  <c r="Q81" i="8"/>
  <c r="Q86" i="8" s="1"/>
  <c r="T79" i="8"/>
  <c r="T81" i="8" s="1"/>
  <c r="R56" i="11"/>
  <c r="R53" i="11"/>
  <c r="BO64" i="11"/>
  <c r="BO53" i="11"/>
  <c r="AX53" i="11"/>
  <c r="AX64" i="11"/>
  <c r="BJ64" i="11"/>
  <c r="BJ53" i="11"/>
  <c r="BC64" i="11"/>
  <c r="BC53" i="11"/>
  <c r="AR111" i="10"/>
  <c r="BF49" i="8"/>
  <c r="AC86" i="9"/>
  <c r="AC109" i="9" s="1"/>
  <c r="AC110" i="9" s="1"/>
  <c r="AC87" i="9"/>
  <c r="AC88" i="9"/>
  <c r="AC85" i="9"/>
  <c r="BO109" i="8"/>
  <c r="AU9" i="2"/>
  <c r="BO52" i="8"/>
  <c r="X33" i="7"/>
  <c r="AU42" i="2"/>
  <c r="AX52" i="8"/>
  <c r="G33" i="7"/>
  <c r="G35" i="7" s="1"/>
  <c r="AD42" i="2"/>
  <c r="AX109" i="8"/>
  <c r="AD9" i="2"/>
  <c r="AK87" i="9"/>
  <c r="AK86" i="9"/>
  <c r="AK109" i="9" s="1"/>
  <c r="AK110" i="9" s="1"/>
  <c r="AK88" i="9"/>
  <c r="AK85" i="9"/>
  <c r="BL52" i="8"/>
  <c r="U33" i="7"/>
  <c r="U35" i="7" s="1"/>
  <c r="AR42" i="2"/>
  <c r="BL109" i="8"/>
  <c r="AR9" i="2"/>
  <c r="AT111" i="10"/>
  <c r="BH49" i="8"/>
  <c r="Y126" i="7"/>
  <c r="BB107" i="10"/>
  <c r="BB108" i="10" s="1"/>
  <c r="Y127" i="7"/>
  <c r="BE52" i="8"/>
  <c r="AK42" i="2"/>
  <c r="N33" i="7"/>
  <c r="N35" i="7" s="1"/>
  <c r="BE109" i="8"/>
  <c r="AK9" i="2"/>
  <c r="BC84" i="9"/>
  <c r="Y31" i="7"/>
  <c r="AV60" i="2"/>
  <c r="BP51" i="8"/>
  <c r="BP54" i="11" s="1"/>
  <c r="AX84" i="9"/>
  <c r="T31" i="7"/>
  <c r="AQ60" i="2"/>
  <c r="BK51" i="8"/>
  <c r="BK54" i="11" s="1"/>
  <c r="AY111" i="10"/>
  <c r="BM49" i="8"/>
  <c r="AY107" i="10"/>
  <c r="V127" i="7"/>
  <c r="BI107" i="10"/>
  <c r="AF127" i="7"/>
  <c r="BG84" i="9"/>
  <c r="AC31" i="7"/>
  <c r="AZ60" i="2"/>
  <c r="BT51" i="8"/>
  <c r="BT54" i="11" s="1"/>
  <c r="AP109" i="8"/>
  <c r="AP52" i="8"/>
  <c r="V51" i="2" s="1"/>
  <c r="AA42" i="2"/>
  <c r="V42" i="2"/>
  <c r="V9" i="2"/>
  <c r="BB109" i="10"/>
  <c r="BB110" i="10" s="1"/>
  <c r="BB103" i="10"/>
  <c r="AW109" i="10"/>
  <c r="AW110" i="10" s="1"/>
  <c r="AW108" i="10"/>
  <c r="AW103" i="10"/>
  <c r="AW86" i="9"/>
  <c r="AW109" i="9" s="1"/>
  <c r="AW110" i="9" s="1"/>
  <c r="AW87" i="9"/>
  <c r="AW88" i="9"/>
  <c r="AW85" i="9"/>
  <c r="BD107" i="10"/>
  <c r="AA127" i="7"/>
  <c r="BG111" i="10"/>
  <c r="BU49" i="8"/>
  <c r="BF109" i="10"/>
  <c r="BF110" i="10" s="1"/>
  <c r="BF108" i="10"/>
  <c r="BF103" i="10"/>
  <c r="AR86" i="9"/>
  <c r="AR109" i="9" s="1"/>
  <c r="AR110" i="9" s="1"/>
  <c r="AR85" i="9"/>
  <c r="AR88" i="9"/>
  <c r="AR87" i="9"/>
  <c r="BB87" i="9"/>
  <c r="BB88" i="9"/>
  <c r="BB86" i="9"/>
  <c r="BB109" i="9" s="1"/>
  <c r="BB110" i="9" s="1"/>
  <c r="BB85" i="9"/>
  <c r="BJ109" i="8"/>
  <c r="AP9" i="2"/>
  <c r="BJ52" i="8"/>
  <c r="S33" i="7"/>
  <c r="AP42" i="2"/>
  <c r="AI42" i="2"/>
  <c r="BC109" i="8"/>
  <c r="AI9" i="2"/>
  <c r="BC52" i="8"/>
  <c r="L33" i="7"/>
  <c r="AP88" i="9"/>
  <c r="AP85" i="9"/>
  <c r="AP87" i="9"/>
  <c r="AP86" i="9"/>
  <c r="AP109" i="9" s="1"/>
  <c r="AP110" i="9" s="1"/>
  <c r="AY85" i="9"/>
  <c r="AY87" i="9"/>
  <c r="AY88" i="9"/>
  <c r="AY86" i="9"/>
  <c r="AY109" i="9" s="1"/>
  <c r="AY110" i="9" s="1"/>
  <c r="BO54" i="8"/>
  <c r="R191" i="7"/>
  <c r="AN191" i="7"/>
  <c r="AO191" i="7"/>
  <c r="BB54" i="8"/>
  <c r="E191" i="7"/>
  <c r="W191" i="7"/>
  <c r="AY54" i="8"/>
  <c r="M111" i="7"/>
  <c r="M119" i="7"/>
  <c r="M101" i="7"/>
  <c r="U126" i="7"/>
  <c r="T126" i="7"/>
  <c r="V191" i="7"/>
  <c r="AF126" i="7"/>
  <c r="R190" i="7"/>
  <c r="AA126" i="7"/>
  <c r="V126" i="7"/>
  <c r="AH190" i="7"/>
  <c r="W190" i="7"/>
  <c r="E190" i="7"/>
  <c r="T44" i="11"/>
  <c r="S126" i="7"/>
  <c r="L191" i="7"/>
  <c r="G191" i="7"/>
  <c r="L35" i="7" l="1"/>
  <c r="S35" i="7"/>
  <c r="Q87" i="8"/>
  <c r="V87" i="8"/>
  <c r="BT64" i="11"/>
  <c r="BT53" i="11"/>
  <c r="X35" i="7"/>
  <c r="Q100" i="11"/>
  <c r="Q89" i="11"/>
  <c r="Q104" i="11" s="1"/>
  <c r="R100" i="11"/>
  <c r="R89" i="11"/>
  <c r="R104" i="11" s="1"/>
  <c r="T56" i="11"/>
  <c r="T53" i="11"/>
  <c r="BK64" i="11"/>
  <c r="BK53" i="11"/>
  <c r="BP64" i="11"/>
  <c r="BP53" i="11"/>
  <c r="T86" i="8"/>
  <c r="D68" i="2"/>
  <c r="D14" i="2"/>
  <c r="D123" i="2" s="1"/>
  <c r="D56" i="2"/>
  <c r="BI111" i="10"/>
  <c r="BW49" i="8"/>
  <c r="S34" i="7"/>
  <c r="AP51" i="2"/>
  <c r="BG108" i="10"/>
  <c r="BI108" i="10" s="1"/>
  <c r="BI109" i="10" s="1"/>
  <c r="BI112" i="10" s="1"/>
  <c r="BG103" i="10"/>
  <c r="BG109" i="10"/>
  <c r="BG110" i="10" s="1"/>
  <c r="AZ42" i="2"/>
  <c r="BT52" i="8"/>
  <c r="BT109" i="8"/>
  <c r="AZ9" i="2"/>
  <c r="BE42" i="2"/>
  <c r="AC33" i="7"/>
  <c r="AZ84" i="9"/>
  <c r="V31" i="7"/>
  <c r="AS60" i="2"/>
  <c r="BM51" i="8"/>
  <c r="BM54" i="11" s="1"/>
  <c r="AD77" i="2"/>
  <c r="AD78" i="2"/>
  <c r="AD73" i="2"/>
  <c r="AD87" i="2"/>
  <c r="AD64" i="2"/>
  <c r="G34" i="7"/>
  <c r="AD51" i="2"/>
  <c r="AU87" i="2"/>
  <c r="AU64" i="2"/>
  <c r="AT107" i="10"/>
  <c r="Q127" i="7"/>
  <c r="AP87" i="2"/>
  <c r="AP64" i="2"/>
  <c r="AY108" i="10"/>
  <c r="AY109" i="10"/>
  <c r="AY110" i="10" s="1"/>
  <c r="AY103" i="10"/>
  <c r="AX88" i="9"/>
  <c r="AX86" i="9"/>
  <c r="AX109" i="9" s="1"/>
  <c r="AX110" i="9" s="1"/>
  <c r="AX85" i="9"/>
  <c r="AX87" i="9"/>
  <c r="BC85" i="9"/>
  <c r="BC88" i="9"/>
  <c r="BC86" i="9"/>
  <c r="BC109" i="9" s="1"/>
  <c r="BC110" i="9" s="1"/>
  <c r="BC87" i="9"/>
  <c r="AU84" i="9"/>
  <c r="Q31" i="7"/>
  <c r="AN60" i="2"/>
  <c r="BH51" i="8"/>
  <c r="BH54" i="11" s="1"/>
  <c r="BC107" i="10"/>
  <c r="Z127" i="7"/>
  <c r="AI51" i="2"/>
  <c r="L34" i="7"/>
  <c r="BK109" i="8"/>
  <c r="AQ9" i="2"/>
  <c r="AR77" i="2" s="1"/>
  <c r="BK52" i="8"/>
  <c r="T33" i="7"/>
  <c r="Y33" i="7"/>
  <c r="AV42" i="2"/>
  <c r="BP109" i="8"/>
  <c r="AV9" i="2"/>
  <c r="AV78" i="2" s="1"/>
  <c r="BP52" i="8"/>
  <c r="AK64" i="2"/>
  <c r="AK77" i="2"/>
  <c r="AK78" i="2"/>
  <c r="AK87" i="2"/>
  <c r="N34" i="7"/>
  <c r="AK51" i="2"/>
  <c r="AT109" i="10"/>
  <c r="AT110" i="10" s="1"/>
  <c r="AT108" i="10"/>
  <c r="AT103" i="10"/>
  <c r="AS84" i="9"/>
  <c r="AL60" i="2"/>
  <c r="BF51" i="8"/>
  <c r="BF54" i="11" s="1"/>
  <c r="BC111" i="10"/>
  <c r="BQ49" i="8"/>
  <c r="AI77" i="2"/>
  <c r="AI87" i="2"/>
  <c r="AI73" i="2"/>
  <c r="AI64" i="2"/>
  <c r="AI78" i="2"/>
  <c r="BH84" i="9"/>
  <c r="AD31" i="7"/>
  <c r="BA60" i="2"/>
  <c r="BU51" i="8"/>
  <c r="BU54" i="11" s="1"/>
  <c r="Z77" i="2"/>
  <c r="X77" i="2"/>
  <c r="V77" i="2"/>
  <c r="W78" i="2"/>
  <c r="V87" i="2"/>
  <c r="V78" i="2"/>
  <c r="V64" i="2"/>
  <c r="AA64" i="2"/>
  <c r="Z78" i="2"/>
  <c r="X78" i="2"/>
  <c r="W77" i="2"/>
  <c r="BG85" i="9"/>
  <c r="BG86" i="9"/>
  <c r="BG109" i="9" s="1"/>
  <c r="BG110" i="9" s="1"/>
  <c r="BG87" i="9"/>
  <c r="BG88" i="9"/>
  <c r="AR64" i="2"/>
  <c r="AR87" i="2"/>
  <c r="AR51" i="2"/>
  <c r="U34" i="7"/>
  <c r="X34" i="7"/>
  <c r="AU51" i="2"/>
  <c r="AR109" i="10"/>
  <c r="AR110" i="10" s="1"/>
  <c r="AR108" i="10"/>
  <c r="AR103" i="10"/>
  <c r="BJ54" i="8"/>
  <c r="M191" i="7"/>
  <c r="AG191" i="7"/>
  <c r="AP194" i="7"/>
  <c r="H38" i="7"/>
  <c r="BC54" i="8"/>
  <c r="AY58" i="8"/>
  <c r="K38" i="7"/>
  <c r="BB58" i="8"/>
  <c r="BE54" i="8"/>
  <c r="H191" i="7"/>
  <c r="AM191" i="7"/>
  <c r="AL191" i="7"/>
  <c r="AH191" i="7"/>
  <c r="X38" i="7"/>
  <c r="BO58" i="8"/>
  <c r="E103" i="7"/>
  <c r="M84" i="7"/>
  <c r="AG103" i="7"/>
  <c r="Y103" i="7"/>
  <c r="B190" i="7"/>
  <c r="BI54" i="8"/>
  <c r="Z126" i="7"/>
  <c r="Q126" i="7"/>
  <c r="U103" i="7"/>
  <c r="F191" i="7"/>
  <c r="E111" i="7"/>
  <c r="CB61" i="8"/>
  <c r="H190" i="7"/>
  <c r="R103" i="7"/>
  <c r="AD103" i="7"/>
  <c r="AL103" i="7"/>
  <c r="W103" i="7"/>
  <c r="N103" i="7"/>
  <c r="S103" i="7"/>
  <c r="P103" i="7"/>
  <c r="AL190" i="7"/>
  <c r="AB103" i="7"/>
  <c r="AC103" i="7"/>
  <c r="O103" i="7"/>
  <c r="Q191" i="7"/>
  <c r="M190" i="7"/>
  <c r="BD54" i="8"/>
  <c r="AG190" i="7"/>
  <c r="AR194" i="7"/>
  <c r="Z103" i="7"/>
  <c r="AM190" i="7"/>
  <c r="T103" i="7"/>
  <c r="AM103" i="7"/>
  <c r="AK37" i="7" l="1"/>
  <c r="BU64" i="11"/>
  <c r="BU53" i="11"/>
  <c r="BH64" i="11"/>
  <c r="BH53" i="11"/>
  <c r="T87" i="8"/>
  <c r="Y87" i="8"/>
  <c r="BM64" i="11"/>
  <c r="BM53" i="11"/>
  <c r="BF64" i="11"/>
  <c r="BF53" i="11"/>
  <c r="BN106" i="10"/>
  <c r="BJ106" i="10"/>
  <c r="BJ108" i="10" s="1"/>
  <c r="BN108" i="10" s="1"/>
  <c r="AV77" i="2"/>
  <c r="BD84" i="9"/>
  <c r="Z31" i="7"/>
  <c r="AW60" i="2"/>
  <c r="BQ51" i="8"/>
  <c r="BQ54" i="11" s="1"/>
  <c r="AS86" i="9"/>
  <c r="AS109" i="9" s="1"/>
  <c r="AS110" i="9" s="1"/>
  <c r="AS88" i="9"/>
  <c r="AS85" i="9"/>
  <c r="AS87" i="9"/>
  <c r="AU77" i="2"/>
  <c r="AU78" i="2"/>
  <c r="AQ87" i="2"/>
  <c r="AT78" i="2"/>
  <c r="AT77" i="2"/>
  <c r="BM52" i="8"/>
  <c r="V33" i="7"/>
  <c r="AS42" i="2"/>
  <c r="BM109" i="8"/>
  <c r="AS9" i="2"/>
  <c r="AZ88" i="9"/>
  <c r="AZ85" i="9"/>
  <c r="AZ87" i="9"/>
  <c r="AZ86" i="9"/>
  <c r="AZ109" i="9" s="1"/>
  <c r="AZ110" i="9" s="1"/>
  <c r="BD111" i="10"/>
  <c r="BR49" i="8"/>
  <c r="BC108" i="10"/>
  <c r="BC109" i="10"/>
  <c r="BC110" i="10" s="1"/>
  <c r="BC103" i="10"/>
  <c r="Y34" i="7"/>
  <c r="AV51" i="2"/>
  <c r="Y35" i="7"/>
  <c r="AQ78" i="2"/>
  <c r="AH35" i="7"/>
  <c r="AC35" i="7"/>
  <c r="AZ51" i="2"/>
  <c r="AC34" i="7"/>
  <c r="BH87" i="9"/>
  <c r="BH88" i="9"/>
  <c r="BH85" i="9"/>
  <c r="BH86" i="9"/>
  <c r="BH109" i="9" s="1"/>
  <c r="BH110" i="9" s="1"/>
  <c r="O33" i="7"/>
  <c r="O35" i="7" s="1"/>
  <c r="AL42" i="2"/>
  <c r="BF109" i="8"/>
  <c r="AL9" i="2"/>
  <c r="BF52" i="8"/>
  <c r="AV87" i="2"/>
  <c r="AV64" i="2"/>
  <c r="AQ42" i="2"/>
  <c r="BJ84" i="9"/>
  <c r="AF31" i="7"/>
  <c r="BC60" i="2"/>
  <c r="BW51" i="8"/>
  <c r="BW54" i="11" s="1"/>
  <c r="BA42" i="2"/>
  <c r="BU109" i="8"/>
  <c r="BA9" i="2"/>
  <c r="BD78" i="2" s="1"/>
  <c r="BF42" i="2"/>
  <c r="BU52" i="8"/>
  <c r="AD33" i="7"/>
  <c r="T34" i="7"/>
  <c r="AQ51" i="2"/>
  <c r="BH52" i="8"/>
  <c r="Q33" i="7"/>
  <c r="Q35" i="7" s="1"/>
  <c r="AN42" i="2"/>
  <c r="BH109" i="8"/>
  <c r="AN9" i="2"/>
  <c r="AU87" i="9"/>
  <c r="AU88" i="9"/>
  <c r="AU86" i="9"/>
  <c r="AU109" i="9" s="1"/>
  <c r="AU110" i="9" s="1"/>
  <c r="AU85" i="9"/>
  <c r="AR78" i="2"/>
  <c r="AQ77" i="2"/>
  <c r="AZ87" i="2"/>
  <c r="BE64" i="2"/>
  <c r="AZ64" i="2"/>
  <c r="BI110" i="10"/>
  <c r="BI103" i="10"/>
  <c r="AI191" i="7"/>
  <c r="R38" i="7"/>
  <c r="BM54" i="8"/>
  <c r="BI58" i="8"/>
  <c r="BB122" i="9"/>
  <c r="AU12" i="2"/>
  <c r="AU88" i="2" s="1"/>
  <c r="BO63" i="8"/>
  <c r="BO59" i="8"/>
  <c r="AU54" i="2" s="1"/>
  <c r="AU69" i="2"/>
  <c r="AA191" i="7"/>
  <c r="M38" i="7"/>
  <c r="BH54" i="8"/>
  <c r="BD58" i="8"/>
  <c r="AL122" i="9"/>
  <c r="AY59" i="8"/>
  <c r="AE54" i="2" s="1"/>
  <c r="AE69" i="2"/>
  <c r="AY63" i="8"/>
  <c r="AE12" i="2"/>
  <c r="AE88" i="2" s="1"/>
  <c r="AB191" i="7"/>
  <c r="N38" i="7"/>
  <c r="BE58" i="8"/>
  <c r="L38" i="7"/>
  <c r="BC58" i="8"/>
  <c r="AO122" i="9"/>
  <c r="AH69" i="2"/>
  <c r="BB63" i="8"/>
  <c r="BB59" i="8"/>
  <c r="AH54" i="2" s="1"/>
  <c r="AH12" i="2"/>
  <c r="AH88" i="2" s="1"/>
  <c r="S38" i="7"/>
  <c r="BJ58" i="8"/>
  <c r="E84" i="7"/>
  <c r="N119" i="7"/>
  <c r="N111" i="7"/>
  <c r="N101" i="7"/>
  <c r="T119" i="7"/>
  <c r="T111" i="7"/>
  <c r="T101" i="7"/>
  <c r="AM119" i="7"/>
  <c r="F111" i="7"/>
  <c r="F103" i="7"/>
  <c r="M83" i="7"/>
  <c r="Z111" i="7"/>
  <c r="Z119" i="7"/>
  <c r="Z101" i="7"/>
  <c r="D111" i="7"/>
  <c r="D103" i="7"/>
  <c r="O101" i="7"/>
  <c r="O111" i="7"/>
  <c r="O119" i="7"/>
  <c r="AC119" i="7"/>
  <c r="C111" i="7"/>
  <c r="C103" i="7"/>
  <c r="AL119" i="7"/>
  <c r="AL111" i="7"/>
  <c r="U119" i="7"/>
  <c r="U111" i="7"/>
  <c r="U101" i="7"/>
  <c r="Y119" i="7"/>
  <c r="Y111" i="7"/>
  <c r="Y101" i="7"/>
  <c r="AB119" i="7"/>
  <c r="AB111" i="7"/>
  <c r="W119" i="7"/>
  <c r="W111" i="7"/>
  <c r="W101" i="7"/>
  <c r="AG119" i="7"/>
  <c r="AG111" i="7"/>
  <c r="Y84" i="7"/>
  <c r="E119" i="7"/>
  <c r="J111" i="7"/>
  <c r="E101" i="7"/>
  <c r="P119" i="7"/>
  <c r="P111" i="7"/>
  <c r="P101" i="7"/>
  <c r="S111" i="7"/>
  <c r="S119" i="7"/>
  <c r="S101" i="7"/>
  <c r="AD119" i="7"/>
  <c r="AD111" i="7"/>
  <c r="R111" i="7"/>
  <c r="R119" i="7"/>
  <c r="R101" i="7"/>
  <c r="AI103" i="7"/>
  <c r="X103" i="7"/>
  <c r="AB190" i="7"/>
  <c r="F190" i="7"/>
  <c r="AM102" i="7"/>
  <c r="AM101" i="7" s="1"/>
  <c r="Y92" i="7"/>
  <c r="BN54" i="8"/>
  <c r="AC102" i="7"/>
  <c r="AC101" i="7" s="1"/>
  <c r="AF190" i="7"/>
  <c r="AI190" i="7"/>
  <c r="Q103" i="7"/>
  <c r="AL102" i="7"/>
  <c r="AL101" i="7" s="1"/>
  <c r="AS194" i="7"/>
  <c r="AA103" i="7"/>
  <c r="V103" i="7"/>
  <c r="AG102" i="7"/>
  <c r="AG101" i="7" s="1"/>
  <c r="AD102" i="7"/>
  <c r="AD101" i="7" s="1"/>
  <c r="L190" i="7"/>
  <c r="Q190" i="7"/>
  <c r="AB102" i="7"/>
  <c r="AB101" i="7" s="1"/>
  <c r="E92" i="7"/>
  <c r="BB78" i="2" l="1"/>
  <c r="BB77" i="2"/>
  <c r="BD77" i="2"/>
  <c r="BW64" i="11"/>
  <c r="BW53" i="11"/>
  <c r="BQ64" i="11"/>
  <c r="BQ53" i="11"/>
  <c r="BW109" i="8"/>
  <c r="BC9" i="2"/>
  <c r="BW52" i="8"/>
  <c r="AF33" i="7"/>
  <c r="BJ88" i="9"/>
  <c r="BJ85" i="9"/>
  <c r="BJ87" i="9"/>
  <c r="BJ86" i="9"/>
  <c r="BJ109" i="9" s="1"/>
  <c r="BJ110" i="9" s="1"/>
  <c r="AL51" i="2"/>
  <c r="O34" i="7"/>
  <c r="AS73" i="2"/>
  <c r="AS87" i="2"/>
  <c r="AS77" i="2"/>
  <c r="AS64" i="2"/>
  <c r="AS78" i="2"/>
  <c r="V34" i="7"/>
  <c r="AS51" i="2"/>
  <c r="BA64" i="2"/>
  <c r="BF64" i="2"/>
  <c r="BE77" i="2"/>
  <c r="BA87" i="2"/>
  <c r="BE78" i="2"/>
  <c r="AP77" i="2"/>
  <c r="AL87" i="2"/>
  <c r="AL64" i="2"/>
  <c r="AP78" i="2"/>
  <c r="AL77" i="2"/>
  <c r="AM78" i="2"/>
  <c r="AO77" i="2"/>
  <c r="AL78" i="2"/>
  <c r="AM77" i="2"/>
  <c r="AO78" i="2"/>
  <c r="BE84" i="9"/>
  <c r="AA31" i="7"/>
  <c r="AX60" i="2"/>
  <c r="BR51" i="8"/>
  <c r="BR54" i="11" s="1"/>
  <c r="AQ64" i="2"/>
  <c r="AD35" i="7"/>
  <c r="AI35" i="7"/>
  <c r="BD109" i="10"/>
  <c r="BD110" i="10" s="1"/>
  <c r="BD108" i="10"/>
  <c r="BD103" i="10"/>
  <c r="BD86" i="9"/>
  <c r="BD109" i="9" s="1"/>
  <c r="BD110" i="9" s="1"/>
  <c r="BD88" i="9"/>
  <c r="BD85" i="9"/>
  <c r="BD87" i="9"/>
  <c r="AN77" i="2"/>
  <c r="AN73" i="2"/>
  <c r="AN78" i="2"/>
  <c r="AN87" i="2"/>
  <c r="AN64" i="2"/>
  <c r="Q34" i="7"/>
  <c r="AN51" i="2"/>
  <c r="AD34" i="7"/>
  <c r="BA51" i="2"/>
  <c r="T35" i="7"/>
  <c r="V35" i="7"/>
  <c r="BQ109" i="8"/>
  <c r="AW9" i="2"/>
  <c r="BQ52" i="8"/>
  <c r="BB42" i="2"/>
  <c r="Z33" i="7"/>
  <c r="AW42" i="2"/>
  <c r="BN109" i="10"/>
  <c r="AQ191" i="7"/>
  <c r="AU55" i="2"/>
  <c r="BO66" i="8"/>
  <c r="BO70" i="8"/>
  <c r="BA12" i="10" s="1"/>
  <c r="AU13" i="2"/>
  <c r="X40" i="7"/>
  <c r="V38" i="7"/>
  <c r="BM58" i="8"/>
  <c r="AR122" i="9"/>
  <c r="BE63" i="8"/>
  <c r="AK69" i="2"/>
  <c r="BE59" i="8"/>
  <c r="AK54" i="2" s="1"/>
  <c r="AK12" i="2"/>
  <c r="AK88" i="2" s="1"/>
  <c r="AW122" i="9"/>
  <c r="AP12" i="2"/>
  <c r="AP88" i="2" s="1"/>
  <c r="BJ59" i="8"/>
  <c r="AP54" i="2" s="1"/>
  <c r="AP69" i="2"/>
  <c r="BJ63" i="8"/>
  <c r="AH55" i="2"/>
  <c r="BB70" i="8"/>
  <c r="AN12" i="10" s="1"/>
  <c r="AH13" i="2"/>
  <c r="K40" i="7"/>
  <c r="BB66" i="8"/>
  <c r="AP122" i="9"/>
  <c r="AI69" i="2"/>
  <c r="BC63" i="8"/>
  <c r="BC59" i="8"/>
  <c r="AI54" i="2" s="1"/>
  <c r="AI12" i="2"/>
  <c r="AI88" i="2" s="1"/>
  <c r="AE55" i="2"/>
  <c r="AY66" i="8"/>
  <c r="AY70" i="8"/>
  <c r="AK12" i="10" s="1"/>
  <c r="AE13" i="2"/>
  <c r="H40" i="7"/>
  <c r="AQ122" i="9"/>
  <c r="BD59" i="8"/>
  <c r="AJ54" i="2" s="1"/>
  <c r="AJ12" i="2"/>
  <c r="AJ88" i="2" s="1"/>
  <c r="BD63" i="8"/>
  <c r="AJ69" i="2"/>
  <c r="W38" i="7"/>
  <c r="BN58" i="8"/>
  <c r="BR54" i="8"/>
  <c r="Q38" i="7"/>
  <c r="BH58" i="8"/>
  <c r="AV122" i="9"/>
  <c r="BI63" i="8"/>
  <c r="BI59" i="8"/>
  <c r="AO54" i="2" s="1"/>
  <c r="AO69" i="2"/>
  <c r="AO12" i="2"/>
  <c r="AO88" i="2" s="1"/>
  <c r="N92" i="7"/>
  <c r="N84" i="7"/>
  <c r="AJ92" i="7"/>
  <c r="AJ84" i="7"/>
  <c r="AD92" i="7"/>
  <c r="AD84" i="7"/>
  <c r="W92" i="7"/>
  <c r="W84" i="7"/>
  <c r="C92" i="7"/>
  <c r="C84" i="7"/>
  <c r="H92" i="7"/>
  <c r="H84" i="7"/>
  <c r="M92" i="7"/>
  <c r="AB92" i="7"/>
  <c r="AB84" i="7"/>
  <c r="AC84" i="7"/>
  <c r="O92" i="7"/>
  <c r="O84" i="7"/>
  <c r="AJ103" i="7"/>
  <c r="AE103" i="7"/>
  <c r="AI119" i="7"/>
  <c r="AI111" i="7"/>
  <c r="B111" i="7"/>
  <c r="B103" i="7"/>
  <c r="AE92" i="7"/>
  <c r="AE84" i="7"/>
  <c r="V119" i="7"/>
  <c r="V111" i="7"/>
  <c r="V101" i="7"/>
  <c r="E83" i="7"/>
  <c r="R92" i="7"/>
  <c r="R84" i="7"/>
  <c r="S92" i="7"/>
  <c r="S84" i="7"/>
  <c r="P92" i="7"/>
  <c r="P84" i="7"/>
  <c r="D92" i="7"/>
  <c r="D84" i="7"/>
  <c r="I92" i="7"/>
  <c r="I84" i="7"/>
  <c r="G103" i="7"/>
  <c r="AI92" i="7"/>
  <c r="AI84" i="7"/>
  <c r="Y83" i="7"/>
  <c r="X119" i="7"/>
  <c r="X111" i="7"/>
  <c r="X101" i="7"/>
  <c r="J92" i="7"/>
  <c r="J84" i="7"/>
  <c r="AC111" i="7"/>
  <c r="K111" i="7"/>
  <c r="F119" i="7"/>
  <c r="F101" i="7"/>
  <c r="AA111" i="7"/>
  <c r="AA101" i="7"/>
  <c r="AA119" i="7"/>
  <c r="Q119" i="7"/>
  <c r="Q111" i="7"/>
  <c r="Q101" i="7"/>
  <c r="K92" i="7"/>
  <c r="K84" i="7"/>
  <c r="F92" i="7"/>
  <c r="F84" i="7"/>
  <c r="T92" i="7"/>
  <c r="T84" i="7"/>
  <c r="L84" i="7"/>
  <c r="U92" i="7"/>
  <c r="U84" i="7"/>
  <c r="Z92" i="7"/>
  <c r="Z84" i="7"/>
  <c r="AH103" i="7"/>
  <c r="C119" i="7"/>
  <c r="H111" i="7"/>
  <c r="C101" i="7"/>
  <c r="D119" i="7"/>
  <c r="I111" i="7"/>
  <c r="D101" i="7"/>
  <c r="AE102" i="7"/>
  <c r="AC92" i="7"/>
  <c r="G190" i="7"/>
  <c r="AT194" i="7"/>
  <c r="Y91" i="7"/>
  <c r="I168" i="7"/>
  <c r="AK190" i="7"/>
  <c r="E91" i="7"/>
  <c r="E168" i="7"/>
  <c r="J168" i="7"/>
  <c r="BR53" i="11" l="1"/>
  <c r="BR64" i="11"/>
  <c r="AN26" i="10"/>
  <c r="AN20" i="10"/>
  <c r="BA26" i="10"/>
  <c r="BA20" i="10"/>
  <c r="BA30" i="10"/>
  <c r="BN112" i="10"/>
  <c r="BN110" i="10"/>
  <c r="Z34" i="7"/>
  <c r="AW51" i="2"/>
  <c r="AF34" i="7"/>
  <c r="BC51" i="2"/>
  <c r="AW87" i="2"/>
  <c r="BB64" i="2"/>
  <c r="AW64" i="2"/>
  <c r="BA78" i="2"/>
  <c r="BA77" i="2"/>
  <c r="AY77" i="2"/>
  <c r="AW77" i="2"/>
  <c r="AZ77" i="2"/>
  <c r="AW78" i="2"/>
  <c r="AZ78" i="2"/>
  <c r="AY78" i="2"/>
  <c r="BR109" i="8"/>
  <c r="BR52" i="8"/>
  <c r="AX9" i="2"/>
  <c r="BC64" i="2" s="1"/>
  <c r="AA33" i="7"/>
  <c r="AA35" i="7" s="1"/>
  <c r="AX42" i="2"/>
  <c r="BE85" i="9"/>
  <c r="BE86" i="9"/>
  <c r="BE109" i="9" s="1"/>
  <c r="BE110" i="9" s="1"/>
  <c r="BE87" i="9"/>
  <c r="BE88" i="9"/>
  <c r="BC77" i="2"/>
  <c r="BC73" i="2"/>
  <c r="BC78" i="2"/>
  <c r="BC87" i="2"/>
  <c r="AK20" i="10"/>
  <c r="AK26" i="10"/>
  <c r="AE35" i="7"/>
  <c r="Z35" i="7"/>
  <c r="BC42" i="2"/>
  <c r="AO13" i="2"/>
  <c r="BI70" i="8"/>
  <c r="AO55" i="2"/>
  <c r="R40" i="7"/>
  <c r="BI66" i="8"/>
  <c r="AY83" i="8"/>
  <c r="H47" i="7"/>
  <c r="AY81" i="8"/>
  <c r="AY77" i="8"/>
  <c r="AY71" i="8"/>
  <c r="H43" i="7"/>
  <c r="AE119" i="2"/>
  <c r="BG71" i="8"/>
  <c r="BB77" i="8"/>
  <c r="BB83" i="8"/>
  <c r="BB71" i="8"/>
  <c r="BB81" i="8"/>
  <c r="K47" i="7"/>
  <c r="AZ122" i="9"/>
  <c r="BM63" i="8"/>
  <c r="AS69" i="2"/>
  <c r="AS12" i="2"/>
  <c r="AS88" i="2" s="1"/>
  <c r="BM59" i="8"/>
  <c r="AS54" i="2" s="1"/>
  <c r="AA38" i="7"/>
  <c r="BR58" i="8"/>
  <c r="BD70" i="8"/>
  <c r="AP12" i="10" s="1"/>
  <c r="AJ13" i="2"/>
  <c r="M40" i="7"/>
  <c r="BD66" i="8"/>
  <c r="AJ55" i="2"/>
  <c r="K43" i="7"/>
  <c r="AH119" i="2"/>
  <c r="BO83" i="8"/>
  <c r="X47" i="7"/>
  <c r="BO81" i="8"/>
  <c r="BO77" i="8"/>
  <c r="BT71" i="8"/>
  <c r="AU122" i="9"/>
  <c r="AN69" i="2"/>
  <c r="AN12" i="2"/>
  <c r="AN88" i="2" s="1"/>
  <c r="BH63" i="8"/>
  <c r="BH59" i="8"/>
  <c r="AN54" i="2" s="1"/>
  <c r="BA122" i="9"/>
  <c r="BN59" i="8"/>
  <c r="AT54" i="2" s="1"/>
  <c r="BN63" i="8"/>
  <c r="AT69" i="2"/>
  <c r="AT12" i="2"/>
  <c r="AT88" i="2" s="1"/>
  <c r="BC70" i="8"/>
  <c r="AO12" i="10" s="1"/>
  <c r="L168" i="7" s="1"/>
  <c r="AI55" i="2"/>
  <c r="L40" i="7"/>
  <c r="AI13" i="2"/>
  <c r="BC66" i="8"/>
  <c r="AP55" i="2"/>
  <c r="BJ70" i="8"/>
  <c r="AV12" i="10" s="1"/>
  <c r="S168" i="7" s="1"/>
  <c r="AP13" i="2"/>
  <c r="S40" i="7"/>
  <c r="BJ66" i="8"/>
  <c r="BE70" i="8"/>
  <c r="AQ12" i="10" s="1"/>
  <c r="N168" i="7" s="1"/>
  <c r="AK55" i="2"/>
  <c r="N40" i="7"/>
  <c r="BE66" i="8"/>
  <c r="AK13" i="2"/>
  <c r="AU119" i="2"/>
  <c r="X43" i="7"/>
  <c r="AH111" i="7"/>
  <c r="AH119" i="7"/>
  <c r="AH101" i="7"/>
  <c r="AM111" i="7"/>
  <c r="B119" i="7"/>
  <c r="B101" i="7"/>
  <c r="G119" i="7"/>
  <c r="L111" i="7"/>
  <c r="G111" i="7"/>
  <c r="G101" i="7"/>
  <c r="AE101" i="7"/>
  <c r="AE119" i="7"/>
  <c r="AE111" i="7"/>
  <c r="AC91" i="7"/>
  <c r="AC83" i="7"/>
  <c r="AJ83" i="7"/>
  <c r="AJ91" i="7"/>
  <c r="AD91" i="7"/>
  <c r="AD83" i="7"/>
  <c r="X83" i="7"/>
  <c r="X91" i="7"/>
  <c r="Q92" i="7"/>
  <c r="Q84" i="7"/>
  <c r="AA92" i="7"/>
  <c r="AA84" i="7"/>
  <c r="P83" i="7"/>
  <c r="P91" i="7"/>
  <c r="AH92" i="7"/>
  <c r="AH84" i="7"/>
  <c r="R91" i="7"/>
  <c r="R83" i="7"/>
  <c r="V92" i="7"/>
  <c r="V84" i="7"/>
  <c r="AF102" i="7"/>
  <c r="D83" i="7"/>
  <c r="D91" i="7"/>
  <c r="B92" i="7"/>
  <c r="B84" i="7"/>
  <c r="O83" i="7"/>
  <c r="O91" i="7"/>
  <c r="N91" i="7"/>
  <c r="N83" i="7"/>
  <c r="J91" i="7"/>
  <c r="J83" i="7"/>
  <c r="X92" i="7"/>
  <c r="X84" i="7"/>
  <c r="AG92" i="7"/>
  <c r="AG84" i="7"/>
  <c r="C83" i="7"/>
  <c r="C91" i="7"/>
  <c r="U91" i="7"/>
  <c r="U83" i="7"/>
  <c r="AB83" i="7"/>
  <c r="AB91" i="7"/>
  <c r="AI83" i="7"/>
  <c r="AI91" i="7"/>
  <c r="AE83" i="7"/>
  <c r="AE91" i="7"/>
  <c r="I91" i="7"/>
  <c r="I83" i="7"/>
  <c r="Z91" i="7"/>
  <c r="Z83" i="7"/>
  <c r="F91" i="7"/>
  <c r="F83" i="7"/>
  <c r="L83" i="7"/>
  <c r="AG91" i="7"/>
  <c r="AG83" i="7"/>
  <c r="H83" i="7"/>
  <c r="H91" i="7"/>
  <c r="M91" i="7"/>
  <c r="K83" i="7"/>
  <c r="K91" i="7"/>
  <c r="S83" i="7"/>
  <c r="S91" i="7"/>
  <c r="W83" i="7"/>
  <c r="W91" i="7"/>
  <c r="T83" i="7"/>
  <c r="T91" i="7"/>
  <c r="AF92" i="7"/>
  <c r="AF84" i="7"/>
  <c r="G92" i="7"/>
  <c r="G84" i="7"/>
  <c r="L92" i="7"/>
  <c r="AJ119" i="7"/>
  <c r="AJ111" i="7"/>
  <c r="AM168" i="7"/>
  <c r="AL168" i="7"/>
  <c r="AB168" i="7"/>
  <c r="H168" i="7"/>
  <c r="X168" i="7"/>
  <c r="P168" i="7"/>
  <c r="AK191" i="7"/>
  <c r="I171" i="7"/>
  <c r="I172" i="7" s="1"/>
  <c r="AD168" i="7"/>
  <c r="AE168" i="7"/>
  <c r="AJ102" i="7"/>
  <c r="AJ101" i="7" s="1"/>
  <c r="J171" i="7"/>
  <c r="J172" i="7" s="1"/>
  <c r="Y168" i="7"/>
  <c r="K168" i="7"/>
  <c r="D168" i="7"/>
  <c r="AJ168" i="7"/>
  <c r="O168" i="7"/>
  <c r="F168" i="7"/>
  <c r="AI102" i="7"/>
  <c r="AI101" i="7" s="1"/>
  <c r="AG168" i="7"/>
  <c r="AF103" i="7"/>
  <c r="AC168" i="7"/>
  <c r="E171" i="7"/>
  <c r="E172" i="7" s="1"/>
  <c r="U168" i="7"/>
  <c r="AI168" i="7"/>
  <c r="T168" i="7"/>
  <c r="G168" i="7"/>
  <c r="G172" i="7" s="1"/>
  <c r="Z168" i="7"/>
  <c r="C168" i="7"/>
  <c r="AH168" i="7"/>
  <c r="AN95" i="10" l="1"/>
  <c r="AK95" i="10"/>
  <c r="BA95" i="10"/>
  <c r="AZ178" i="7"/>
  <c r="AP20" i="10"/>
  <c r="AP26" i="10"/>
  <c r="AQ26" i="10"/>
  <c r="AQ20" i="10"/>
  <c r="AV20" i="10"/>
  <c r="S171" i="7" s="1"/>
  <c r="S172" i="7" s="1"/>
  <c r="AV26" i="10"/>
  <c r="AO20" i="10"/>
  <c r="AO21" i="10" s="1"/>
  <c r="AO25" i="10" s="1"/>
  <c r="AX77" i="2"/>
  <c r="AX78" i="2"/>
  <c r="AX64" i="2"/>
  <c r="AX87" i="2"/>
  <c r="AX73" i="2"/>
  <c r="BS106" i="10"/>
  <c r="BO106" i="10"/>
  <c r="AF35" i="7"/>
  <c r="CH28" i="10"/>
  <c r="AA34" i="7"/>
  <c r="AX51" i="2"/>
  <c r="AU12" i="10"/>
  <c r="L43" i="7"/>
  <c r="AI119" i="2"/>
  <c r="AJ119" i="2"/>
  <c r="M43" i="7"/>
  <c r="BE83" i="8"/>
  <c r="BE81" i="8"/>
  <c r="BE71" i="8"/>
  <c r="BE77" i="8"/>
  <c r="N47" i="7"/>
  <c r="BJ77" i="8"/>
  <c r="BJ83" i="8"/>
  <c r="BO84" i="8" s="1"/>
  <c r="AU46" i="2" s="1"/>
  <c r="BJ71" i="8"/>
  <c r="BJ81" i="8"/>
  <c r="S47" i="7"/>
  <c r="BH70" i="8"/>
  <c r="AT12" i="10" s="1"/>
  <c r="AN55" i="2"/>
  <c r="Q40" i="7"/>
  <c r="BH66" i="8"/>
  <c r="AN13" i="2"/>
  <c r="BO71" i="8"/>
  <c r="AO128" i="9"/>
  <c r="AO132" i="9" s="1"/>
  <c r="AO121" i="9"/>
  <c r="AO120" i="9"/>
  <c r="BB92" i="8"/>
  <c r="BB113" i="8"/>
  <c r="BB89" i="8"/>
  <c r="AE68" i="2"/>
  <c r="AY107" i="8"/>
  <c r="AE14" i="2"/>
  <c r="AE123" i="2" s="1"/>
  <c r="AY86" i="8"/>
  <c r="AY87" i="8" s="1"/>
  <c r="AE56" i="2"/>
  <c r="N43" i="7"/>
  <c r="AK119" i="2"/>
  <c r="S43" i="7"/>
  <c r="AP119" i="2"/>
  <c r="X51" i="7"/>
  <c r="AU29" i="2"/>
  <c r="AU132" i="2" s="1"/>
  <c r="BT84" i="8"/>
  <c r="AZ46" i="2" s="1"/>
  <c r="BD81" i="8"/>
  <c r="BD71" i="8"/>
  <c r="BD83" i="8"/>
  <c r="M47" i="7"/>
  <c r="BD77" i="8"/>
  <c r="AS13" i="2"/>
  <c r="BM66" i="8"/>
  <c r="BM70" i="8"/>
  <c r="AY12" i="10" s="1"/>
  <c r="V168" i="7" s="1"/>
  <c r="V40" i="7"/>
  <c r="AS55" i="2"/>
  <c r="AH68" i="2"/>
  <c r="BB107" i="8"/>
  <c r="AH14" i="2"/>
  <c r="AH123" i="2" s="1"/>
  <c r="BB86" i="8"/>
  <c r="AH56" i="2"/>
  <c r="BN70" i="8"/>
  <c r="AZ12" i="10" s="1"/>
  <c r="AT13" i="2"/>
  <c r="BN66" i="8"/>
  <c r="W40" i="7"/>
  <c r="AT55" i="2"/>
  <c r="BE122" i="9"/>
  <c r="AX12" i="2"/>
  <c r="AX88" i="2" s="1"/>
  <c r="BR59" i="8"/>
  <c r="AX54" i="2" s="1"/>
  <c r="BR63" i="8"/>
  <c r="AX69" i="2"/>
  <c r="H51" i="7"/>
  <c r="AE29" i="2"/>
  <c r="AE132" i="2" s="1"/>
  <c r="AY84" i="8"/>
  <c r="AE46" i="2" s="1"/>
  <c r="BI71" i="8"/>
  <c r="BI83" i="8"/>
  <c r="R47" i="7"/>
  <c r="BI77" i="8"/>
  <c r="BI81" i="8"/>
  <c r="BB128" i="9"/>
  <c r="BB132" i="9" s="1"/>
  <c r="BB120" i="9"/>
  <c r="BB121" i="9"/>
  <c r="BO92" i="8"/>
  <c r="BO89" i="8"/>
  <c r="BO113" i="8"/>
  <c r="BC81" i="8"/>
  <c r="BC77" i="8"/>
  <c r="BC71" i="8"/>
  <c r="BC83" i="8"/>
  <c r="L47" i="7"/>
  <c r="AU56" i="2"/>
  <c r="AU68" i="2"/>
  <c r="BO107" i="8"/>
  <c r="AU14" i="2"/>
  <c r="AU123" i="2" s="1"/>
  <c r="BO86" i="8"/>
  <c r="K51" i="7"/>
  <c r="BG84" i="8"/>
  <c r="AM46" i="2" s="1"/>
  <c r="AH29" i="2"/>
  <c r="AH132" i="2" s="1"/>
  <c r="BB84" i="8"/>
  <c r="AH46" i="2" s="1"/>
  <c r="AL120" i="9"/>
  <c r="AL128" i="9"/>
  <c r="AL132" i="9" s="1"/>
  <c r="AL121" i="9"/>
  <c r="AY92" i="8"/>
  <c r="AY93" i="8" s="1"/>
  <c r="AY89" i="8"/>
  <c r="AY113" i="8"/>
  <c r="AO119" i="2"/>
  <c r="R43" i="7"/>
  <c r="G83" i="7"/>
  <c r="G91" i="7"/>
  <c r="Q91" i="7"/>
  <c r="Q83" i="7"/>
  <c r="V91" i="7"/>
  <c r="V83" i="7"/>
  <c r="AA83" i="7"/>
  <c r="AA91" i="7"/>
  <c r="AH91" i="7"/>
  <c r="AH83" i="7"/>
  <c r="B91" i="7"/>
  <c r="B83" i="7"/>
  <c r="AF119" i="7"/>
  <c r="AF111" i="7"/>
  <c r="AF101" i="7"/>
  <c r="AF83" i="7"/>
  <c r="AF91" i="7"/>
  <c r="L91" i="7"/>
  <c r="CI28" i="10"/>
  <c r="AC171" i="7"/>
  <c r="AC172" i="7" s="1"/>
  <c r="AE171" i="7"/>
  <c r="AE172" i="7" s="1"/>
  <c r="AD171" i="7"/>
  <c r="AD172" i="7" s="1"/>
  <c r="AI171" i="7"/>
  <c r="AI172" i="7" s="1"/>
  <c r="F171" i="7"/>
  <c r="F172" i="7" s="1"/>
  <c r="AF168" i="7"/>
  <c r="Y171" i="7"/>
  <c r="Y172" i="7" s="1"/>
  <c r="P171" i="7"/>
  <c r="P172" i="7" s="1"/>
  <c r="X171" i="7"/>
  <c r="X172" i="7" s="1"/>
  <c r="Z171" i="7"/>
  <c r="Z172" i="7" s="1"/>
  <c r="AH171" i="7"/>
  <c r="AH172" i="7" s="1"/>
  <c r="C171" i="7"/>
  <c r="C172" i="7" s="1"/>
  <c r="M168" i="7"/>
  <c r="AG171" i="7"/>
  <c r="AG172" i="7" s="1"/>
  <c r="AK102" i="7"/>
  <c r="AJ171" i="7"/>
  <c r="AJ172" i="7" s="1"/>
  <c r="D171" i="7"/>
  <c r="D172" i="7" s="1"/>
  <c r="B171" i="7"/>
  <c r="K171" i="7"/>
  <c r="K172" i="7" s="1"/>
  <c r="N171" i="7"/>
  <c r="N172" i="7" s="1"/>
  <c r="H171" i="7"/>
  <c r="H172" i="7" s="1"/>
  <c r="AD22" i="2"/>
  <c r="T171" i="7"/>
  <c r="T172" i="7" s="1"/>
  <c r="U171" i="7"/>
  <c r="U172" i="7" s="1"/>
  <c r="O171" i="7"/>
  <c r="O172" i="7" s="1"/>
  <c r="AB171" i="7"/>
  <c r="AB172" i="7" s="1"/>
  <c r="B168" i="7"/>
  <c r="T22" i="2"/>
  <c r="BF178" i="7" l="1"/>
  <c r="CD28" i="10"/>
  <c r="AQ95" i="10"/>
  <c r="AP95" i="10"/>
  <c r="AV95" i="10"/>
  <c r="AU95" i="10"/>
  <c r="AO95" i="10"/>
  <c r="AT20" i="10"/>
  <c r="AT21" i="10" s="1"/>
  <c r="AT25" i="10" s="1"/>
  <c r="B172" i="7"/>
  <c r="AO117" i="10"/>
  <c r="AO120" i="10" s="1"/>
  <c r="AO36" i="10"/>
  <c r="AO44" i="10" s="1"/>
  <c r="AO26" i="10"/>
  <c r="AO96" i="10"/>
  <c r="AZ20" i="10"/>
  <c r="BD20" i="10" s="1"/>
  <c r="AZ26" i="10"/>
  <c r="AZ30" i="10"/>
  <c r="AU20" i="10"/>
  <c r="AU26" i="10"/>
  <c r="BE178" i="7"/>
  <c r="AV178" i="7"/>
  <c r="R168" i="7"/>
  <c r="BT87" i="8"/>
  <c r="BT93" i="8"/>
  <c r="BI86" i="8"/>
  <c r="AO56" i="2"/>
  <c r="AO68" i="2"/>
  <c r="BI107" i="8"/>
  <c r="AO14" i="2"/>
  <c r="AO123" i="2" s="1"/>
  <c r="BN77" i="8"/>
  <c r="BN71" i="8"/>
  <c r="BN83" i="8"/>
  <c r="W47" i="7"/>
  <c r="BS71" i="8"/>
  <c r="BN81" i="8"/>
  <c r="BG87" i="8"/>
  <c r="BB87" i="8"/>
  <c r="AS119" i="2"/>
  <c r="V43" i="7"/>
  <c r="AJ29" i="2"/>
  <c r="AJ132" i="2" s="1"/>
  <c r="BD84" i="8"/>
  <c r="AJ46" i="2" s="1"/>
  <c r="M51" i="7"/>
  <c r="M52" i="7" s="1"/>
  <c r="BH77" i="8"/>
  <c r="BH71" i="8"/>
  <c r="BH83" i="8"/>
  <c r="Q47" i="7"/>
  <c r="BH81" i="8"/>
  <c r="AP29" i="2"/>
  <c r="AP132" i="2" s="1"/>
  <c r="BJ84" i="8"/>
  <c r="AP46" i="2" s="1"/>
  <c r="S51" i="7"/>
  <c r="X52" i="7" s="1"/>
  <c r="AP120" i="9"/>
  <c r="AP128" i="9"/>
  <c r="AP132" i="9" s="1"/>
  <c r="AP121" i="9"/>
  <c r="BC113" i="8"/>
  <c r="BC92" i="8"/>
  <c r="BC93" i="8" s="1"/>
  <c r="BC89" i="8"/>
  <c r="AV128" i="9"/>
  <c r="AV132" i="9" s="1"/>
  <c r="AV120" i="9"/>
  <c r="AV121" i="9"/>
  <c r="BI89" i="8"/>
  <c r="BI113" i="8"/>
  <c r="BI92" i="8"/>
  <c r="BB93" i="8"/>
  <c r="BG93" i="8"/>
  <c r="Q43" i="7"/>
  <c r="AN119" i="2"/>
  <c r="AW128" i="9"/>
  <c r="AW132" i="9" s="1"/>
  <c r="AW121" i="9"/>
  <c r="AW120" i="9"/>
  <c r="BJ92" i="8"/>
  <c r="BJ89" i="8"/>
  <c r="BO90" i="8" s="1"/>
  <c r="BJ113" i="8"/>
  <c r="AK68" i="2"/>
  <c r="BE107" i="8"/>
  <c r="AK14" i="2"/>
  <c r="AK123" i="2" s="1"/>
  <c r="BE86" i="8"/>
  <c r="BE87" i="8" s="1"/>
  <c r="AK56" i="2"/>
  <c r="AY90" i="8"/>
  <c r="H54" i="7"/>
  <c r="AE30" i="2"/>
  <c r="BC86" i="8"/>
  <c r="BC87" i="8" s="1"/>
  <c r="AI14" i="2"/>
  <c r="AI56" i="2"/>
  <c r="BC107" i="8"/>
  <c r="AI68" i="2"/>
  <c r="W43" i="7"/>
  <c r="AT119" i="2"/>
  <c r="AQ128" i="9"/>
  <c r="AQ132" i="9" s="1"/>
  <c r="AQ121" i="9"/>
  <c r="AQ120" i="9"/>
  <c r="BD92" i="8"/>
  <c r="BD93" i="8" s="1"/>
  <c r="BD89" i="8"/>
  <c r="BD113" i="8"/>
  <c r="BD86" i="8"/>
  <c r="BD87" i="8" s="1"/>
  <c r="AJ68" i="2"/>
  <c r="AJ14" i="2"/>
  <c r="AJ123" i="2" s="1"/>
  <c r="BD107" i="8"/>
  <c r="AJ56" i="2"/>
  <c r="AC52" i="7"/>
  <c r="AP56" i="2"/>
  <c r="AP68" i="2"/>
  <c r="BJ107" i="8"/>
  <c r="AP14" i="2"/>
  <c r="AP123" i="2" s="1"/>
  <c r="BJ86" i="8"/>
  <c r="AK29" i="2"/>
  <c r="AK132" i="2" s="1"/>
  <c r="BE84" i="8"/>
  <c r="AK46" i="2" s="1"/>
  <c r="N51" i="7"/>
  <c r="N52" i="7" s="1"/>
  <c r="AU194" i="7"/>
  <c r="K52" i="7"/>
  <c r="P52" i="7"/>
  <c r="BC84" i="8"/>
  <c r="AI46" i="2" s="1"/>
  <c r="L51" i="7"/>
  <c r="L52" i="7" s="1"/>
  <c r="AI29" i="2"/>
  <c r="AI132" i="2" s="1"/>
  <c r="X54" i="7"/>
  <c r="BT90" i="8"/>
  <c r="AU30" i="2"/>
  <c r="AO29" i="2"/>
  <c r="AO132" i="2" s="1"/>
  <c r="BI84" i="8"/>
  <c r="AO46" i="2" s="1"/>
  <c r="R51" i="7"/>
  <c r="R52" i="7" s="1"/>
  <c r="H52" i="7"/>
  <c r="AA40" i="7"/>
  <c r="AX55" i="2"/>
  <c r="BR70" i="8"/>
  <c r="BD12" i="10" s="1"/>
  <c r="BR66" i="8"/>
  <c r="AX13" i="2"/>
  <c r="BM81" i="8"/>
  <c r="V47" i="7"/>
  <c r="BM83" i="8"/>
  <c r="BM77" i="8"/>
  <c r="BM71" i="8"/>
  <c r="BG90" i="8"/>
  <c r="K54" i="7"/>
  <c r="AH30" i="2"/>
  <c r="BB90" i="8"/>
  <c r="AR128" i="9"/>
  <c r="AR132" i="9" s="1"/>
  <c r="AR120" i="9"/>
  <c r="AR121" i="9"/>
  <c r="BE92" i="8"/>
  <c r="BE93" i="8" s="1"/>
  <c r="BE89" i="8"/>
  <c r="BE113" i="8"/>
  <c r="AD25" i="2"/>
  <c r="AD121" i="2"/>
  <c r="T121" i="2"/>
  <c r="T25" i="2"/>
  <c r="AV194" i="7"/>
  <c r="Y22" i="2"/>
  <c r="W168" i="7"/>
  <c r="Q168" i="7"/>
  <c r="AK103" i="7"/>
  <c r="M171" i="7"/>
  <c r="M172" i="7" s="1"/>
  <c r="G175" i="7"/>
  <c r="G176" i="7" s="1"/>
  <c r="CE28" i="10" l="1"/>
  <c r="BA178" i="7"/>
  <c r="BD21" i="10"/>
  <c r="BD25" i="10" s="1"/>
  <c r="BD96" i="10" s="1"/>
  <c r="AZ95" i="10"/>
  <c r="AY95" i="10"/>
  <c r="AT95" i="10"/>
  <c r="AW178" i="7"/>
  <c r="AY20" i="10"/>
  <c r="AY21" i="10" s="1"/>
  <c r="AY25" i="10" s="1"/>
  <c r="R171" i="7"/>
  <c r="R172" i="7" s="1"/>
  <c r="AT117" i="10"/>
  <c r="AT120" i="10" s="1"/>
  <c r="AT26" i="10"/>
  <c r="AT36" i="10"/>
  <c r="AT44" i="10" s="1"/>
  <c r="AT96" i="10"/>
  <c r="BM86" i="8"/>
  <c r="AS14" i="2"/>
  <c r="AS56" i="2"/>
  <c r="BM107" i="8"/>
  <c r="AS68" i="2"/>
  <c r="BR83" i="8"/>
  <c r="AA47" i="7"/>
  <c r="BR81" i="8"/>
  <c r="BR77" i="8"/>
  <c r="BW71" i="8"/>
  <c r="BJ93" i="8"/>
  <c r="BH86" i="8"/>
  <c r="BH87" i="8" s="1"/>
  <c r="AN56" i="2"/>
  <c r="AN68" i="2"/>
  <c r="AN14" i="2"/>
  <c r="BH107" i="8"/>
  <c r="AU128" i="9"/>
  <c r="AU132" i="9" s="1"/>
  <c r="AU121" i="9"/>
  <c r="AU120" i="9"/>
  <c r="BH113" i="8"/>
  <c r="BH92" i="8"/>
  <c r="BH93" i="8" s="1"/>
  <c r="BH89" i="8"/>
  <c r="BN84" i="8"/>
  <c r="AT46" i="2" s="1"/>
  <c r="W51" i="7"/>
  <c r="BS84" i="8"/>
  <c r="AY46" i="2" s="1"/>
  <c r="AT29" i="2"/>
  <c r="AT132" i="2" s="1"/>
  <c r="AZ128" i="9"/>
  <c r="AZ132" i="9" s="1"/>
  <c r="AZ120" i="9"/>
  <c r="AZ121" i="9"/>
  <c r="BM92" i="8"/>
  <c r="BM113" i="8"/>
  <c r="BM89" i="8"/>
  <c r="BR71" i="8"/>
  <c r="BJ87" i="8"/>
  <c r="BI93" i="8"/>
  <c r="S52" i="7"/>
  <c r="BN107" i="8"/>
  <c r="AT14" i="2"/>
  <c r="AT123" i="2" s="1"/>
  <c r="BN86" i="8"/>
  <c r="AT56" i="2"/>
  <c r="AT68" i="2"/>
  <c r="BO93" i="8"/>
  <c r="BM84" i="8"/>
  <c r="AS46" i="2" s="1"/>
  <c r="V51" i="7"/>
  <c r="AS29" i="2"/>
  <c r="AS132" i="2" s="1"/>
  <c r="M54" i="7"/>
  <c r="AJ30" i="2"/>
  <c r="BD90" i="8"/>
  <c r="Q51" i="7"/>
  <c r="Q52" i="7" s="1"/>
  <c r="AN29" i="2"/>
  <c r="AN132" i="2" s="1"/>
  <c r="BH84" i="8"/>
  <c r="AN46" i="2" s="1"/>
  <c r="BA121" i="9"/>
  <c r="BA128" i="9"/>
  <c r="BA132" i="9" s="1"/>
  <c r="BA120" i="9"/>
  <c r="BN113" i="8"/>
  <c r="BN92" i="8"/>
  <c r="BN89" i="8"/>
  <c r="N54" i="7"/>
  <c r="BE90" i="8"/>
  <c r="AK30" i="2"/>
  <c r="AA43" i="7"/>
  <c r="AX119" i="2"/>
  <c r="S54" i="7"/>
  <c r="AP30" i="2"/>
  <c r="BJ90" i="8"/>
  <c r="AO30" i="2"/>
  <c r="BI90" i="8"/>
  <c r="R54" i="7"/>
  <c r="BC90" i="8"/>
  <c r="AI30" i="2"/>
  <c r="L54" i="7"/>
  <c r="BI87" i="8"/>
  <c r="BO87" i="8"/>
  <c r="AK119" i="7"/>
  <c r="AK111" i="7"/>
  <c r="AK101" i="7"/>
  <c r="L171" i="7"/>
  <c r="L172" i="7" s="1"/>
  <c r="T123" i="2"/>
  <c r="T122" i="2"/>
  <c r="T89" i="2"/>
  <c r="T32" i="2"/>
  <c r="T133" i="2" s="1"/>
  <c r="AK171" i="7"/>
  <c r="BC22" i="2"/>
  <c r="AF171" i="7"/>
  <c r="AF172" i="7" s="1"/>
  <c r="Y121" i="2"/>
  <c r="Y25" i="2"/>
  <c r="AD122" i="2"/>
  <c r="AD89" i="2"/>
  <c r="AD32" i="2"/>
  <c r="AD133" i="2" s="1"/>
  <c r="AD123" i="2"/>
  <c r="AW194" i="7"/>
  <c r="AF175" i="7"/>
  <c r="G185" i="7"/>
  <c r="B175" i="7"/>
  <c r="B176" i="7" s="1"/>
  <c r="AA168" i="7"/>
  <c r="W171" i="7"/>
  <c r="W172" i="7" s="1"/>
  <c r="AI22" i="2"/>
  <c r="CF28" i="10" l="1"/>
  <c r="BB178" i="7"/>
  <c r="BD29" i="10"/>
  <c r="BD36" i="10" s="1"/>
  <c r="BD44" i="10" s="1"/>
  <c r="BD47" i="10" s="1"/>
  <c r="BD26" i="10"/>
  <c r="BD117" i="10"/>
  <c r="BD120" i="10" s="1"/>
  <c r="V171" i="7"/>
  <c r="V172" i="7" s="1"/>
  <c r="BD95" i="10"/>
  <c r="AS22" i="2"/>
  <c r="AS121" i="2" s="1"/>
  <c r="AY117" i="10"/>
  <c r="AY120" i="10" s="1"/>
  <c r="AY26" i="10"/>
  <c r="AY36" i="10"/>
  <c r="AY44" i="10" s="1"/>
  <c r="AY47" i="10" s="1"/>
  <c r="AY96" i="10"/>
  <c r="V52" i="7"/>
  <c r="AX178" i="7"/>
  <c r="V175" i="7"/>
  <c r="V176" i="7" s="1"/>
  <c r="BN93" i="8"/>
  <c r="BS93" i="8"/>
  <c r="AN30" i="2"/>
  <c r="BH90" i="8"/>
  <c r="Q54" i="7"/>
  <c r="BM90" i="8"/>
  <c r="AS30" i="2"/>
  <c r="V54" i="7"/>
  <c r="AA51" i="7"/>
  <c r="AX29" i="2"/>
  <c r="AX132" i="2" s="1"/>
  <c r="BW84" i="8"/>
  <c r="BC46" i="2" s="1"/>
  <c r="BR84" i="8"/>
  <c r="AX46" i="2" s="1"/>
  <c r="BS87" i="8"/>
  <c r="BN87" i="8"/>
  <c r="AB52" i="7"/>
  <c r="W52" i="7"/>
  <c r="BE121" i="9"/>
  <c r="BE128" i="9"/>
  <c r="BE132" i="9" s="1"/>
  <c r="BE120" i="9"/>
  <c r="BR92" i="8"/>
  <c r="BR113" i="8"/>
  <c r="BR89" i="8"/>
  <c r="AT30" i="2"/>
  <c r="BN90" i="8"/>
  <c r="W54" i="7"/>
  <c r="BS90" i="8"/>
  <c r="BM93" i="8"/>
  <c r="BR107" i="8"/>
  <c r="AX68" i="2"/>
  <c r="BR86" i="8"/>
  <c r="AX14" i="2"/>
  <c r="AX56" i="2"/>
  <c r="BM87" i="8"/>
  <c r="AN22" i="2"/>
  <c r="Q171" i="7"/>
  <c r="Q172" i="7" s="1"/>
  <c r="Y32" i="2"/>
  <c r="Y133" i="2" s="1"/>
  <c r="Y123" i="2"/>
  <c r="Y122" i="2"/>
  <c r="Y89" i="2"/>
  <c r="AI25" i="2"/>
  <c r="AI121" i="2"/>
  <c r="AF176" i="7"/>
  <c r="AF179" i="7"/>
  <c r="AF180" i="7" s="1"/>
  <c r="BC121" i="2"/>
  <c r="BC25" i="2"/>
  <c r="AX194" i="7"/>
  <c r="Q175" i="7"/>
  <c r="Q176" i="7" s="1"/>
  <c r="B185" i="7"/>
  <c r="L175" i="7"/>
  <c r="L176" i="7" s="1"/>
  <c r="CB25" i="8"/>
  <c r="CG28" i="10" l="1"/>
  <c r="BD178" i="7" s="1"/>
  <c r="BC178" i="7"/>
  <c r="BD30" i="10"/>
  <c r="AS25" i="2"/>
  <c r="AS123" i="2" s="1"/>
  <c r="V185" i="7"/>
  <c r="BO84" i="9"/>
  <c r="BO88" i="9" s="1"/>
  <c r="AY178" i="7"/>
  <c r="AX30" i="2"/>
  <c r="BR90" i="8"/>
  <c r="BW90" i="8"/>
  <c r="AA54" i="7"/>
  <c r="BW93" i="8"/>
  <c r="BR93" i="8"/>
  <c r="AF52" i="7"/>
  <c r="AA52" i="7"/>
  <c r="BW87" i="8"/>
  <c r="BR87" i="8"/>
  <c r="CB26" i="8"/>
  <c r="AK14" i="7"/>
  <c r="CB28" i="8"/>
  <c r="BH105" i="2"/>
  <c r="AI123" i="2"/>
  <c r="AI89" i="2"/>
  <c r="AI32" i="2"/>
  <c r="AI133" i="2" s="1"/>
  <c r="AI122" i="2"/>
  <c r="AA171" i="7"/>
  <c r="AA172" i="7" s="1"/>
  <c r="BC122" i="2"/>
  <c r="BC123" i="2"/>
  <c r="BC89" i="2"/>
  <c r="BC32" i="2"/>
  <c r="BC133" i="2" s="1"/>
  <c r="AN121" i="2"/>
  <c r="AN25" i="2"/>
  <c r="AY194" i="7"/>
  <c r="AX22" i="2"/>
  <c r="Q185" i="7"/>
  <c r="L185" i="7"/>
  <c r="V190" i="7"/>
  <c r="AF185" i="7"/>
  <c r="BO85" i="9" l="1"/>
  <c r="AS32" i="2"/>
  <c r="AS133" i="2" s="1"/>
  <c r="AS122" i="2"/>
  <c r="AS89" i="2"/>
  <c r="BO86" i="9"/>
  <c r="BO109" i="9" s="1"/>
  <c r="BO110" i="9" s="1"/>
  <c r="BO87" i="9"/>
  <c r="AN32" i="2"/>
  <c r="AN133" i="2" s="1"/>
  <c r="AN89" i="2"/>
  <c r="AN123" i="2"/>
  <c r="AN122" i="2"/>
  <c r="AX121" i="2"/>
  <c r="AX25" i="2"/>
  <c r="CB39" i="8"/>
  <c r="CB29" i="8"/>
  <c r="AK16" i="7"/>
  <c r="BH41" i="2"/>
  <c r="BH8" i="2"/>
  <c r="BH62" i="2" s="1"/>
  <c r="AA175" i="7"/>
  <c r="AF191" i="7"/>
  <c r="AZ194" i="7" l="1"/>
  <c r="CB104" i="8"/>
  <c r="AK17" i="7"/>
  <c r="BH50" i="2"/>
  <c r="AA179" i="7"/>
  <c r="AA180" i="7" s="1"/>
  <c r="AA176" i="7"/>
  <c r="CB110" i="8"/>
  <c r="CB58" i="8"/>
  <c r="BO122" i="9" s="1"/>
  <c r="CB46" i="8"/>
  <c r="CB51" i="8"/>
  <c r="CB54" i="11" s="1"/>
  <c r="CB41" i="8"/>
  <c r="CB40" i="8"/>
  <c r="CB106" i="8" s="1"/>
  <c r="AK23" i="7"/>
  <c r="AK24" i="7" s="1"/>
  <c r="AX89" i="2"/>
  <c r="AX32" i="2"/>
  <c r="AX133" i="2" s="1"/>
  <c r="AX123" i="2"/>
  <c r="AX122" i="2"/>
  <c r="BE194" i="7"/>
  <c r="CB64" i="11" l="1"/>
  <c r="CB53" i="11"/>
  <c r="CB47" i="8"/>
  <c r="AK28" i="7"/>
  <c r="AK29" i="7" s="1"/>
  <c r="BH43" i="2"/>
  <c r="BH10" i="2"/>
  <c r="BH65" i="2" s="1"/>
  <c r="AR189" i="7"/>
  <c r="BO131" i="2"/>
  <c r="CB59" i="8"/>
  <c r="BH54" i="2" s="1"/>
  <c r="CB63" i="8"/>
  <c r="BH69" i="2"/>
  <c r="BH12" i="2"/>
  <c r="BH88" i="2" s="1"/>
  <c r="CB109" i="8"/>
  <c r="CB52" i="8"/>
  <c r="AK33" i="7"/>
  <c r="AK35" i="7" s="1"/>
  <c r="BH42" i="2"/>
  <c r="BH9" i="2"/>
  <c r="AF193" i="7"/>
  <c r="AF195" i="7" s="1"/>
  <c r="AA185" i="7"/>
  <c r="BH52" i="2" l="1"/>
  <c r="CB70" i="8"/>
  <c r="BN12" i="10" s="1"/>
  <c r="AK40" i="7"/>
  <c r="BH55" i="2"/>
  <c r="CB66" i="8"/>
  <c r="BN130" i="10" s="1"/>
  <c r="BH13" i="2"/>
  <c r="AS189" i="7"/>
  <c r="BP131" i="2"/>
  <c r="AK34" i="7"/>
  <c r="BH51" i="2"/>
  <c r="BH73" i="2"/>
  <c r="BH87" i="2"/>
  <c r="BH64" i="2"/>
  <c r="BH78" i="2"/>
  <c r="BH77" i="2"/>
  <c r="AA190" i="7"/>
  <c r="BN21" i="10" l="1"/>
  <c r="BN25" i="10" s="1"/>
  <c r="BN30" i="10"/>
  <c r="BR131" i="2"/>
  <c r="BQ131" i="2"/>
  <c r="AK43" i="7"/>
  <c r="BH119" i="2"/>
  <c r="AK92" i="7"/>
  <c r="AK84" i="7"/>
  <c r="CB83" i="8"/>
  <c r="CB81" i="8"/>
  <c r="CB77" i="8"/>
  <c r="CB71" i="8"/>
  <c r="AK47" i="7"/>
  <c r="AU189" i="7"/>
  <c r="BN95" i="10" l="1"/>
  <c r="BO128" i="9"/>
  <c r="BO132" i="9" s="1"/>
  <c r="BO121" i="9"/>
  <c r="BO120" i="9"/>
  <c r="BN117" i="10"/>
  <c r="BN120" i="10" s="1"/>
  <c r="BN26" i="10"/>
  <c r="BN96" i="10"/>
  <c r="AT189" i="7"/>
  <c r="CB84" i="8"/>
  <c r="BH46" i="2" s="1"/>
  <c r="AK51" i="7"/>
  <c r="AK52" i="7" s="1"/>
  <c r="BH29" i="2"/>
  <c r="BH132" i="2" s="1"/>
  <c r="CB113" i="8"/>
  <c r="CB92" i="8"/>
  <c r="CB93" i="8" s="1"/>
  <c r="CB89" i="8"/>
  <c r="CB86" i="8"/>
  <c r="CB87" i="8" s="1"/>
  <c r="AK91" i="7"/>
  <c r="AK83" i="7"/>
  <c r="CB107" i="8"/>
  <c r="BH68" i="2"/>
  <c r="BH14" i="2"/>
  <c r="BH56" i="2"/>
  <c r="AK168" i="7"/>
  <c r="AK172" i="7" s="1"/>
  <c r="AK193" i="7"/>
  <c r="AK195" i="7" s="1"/>
  <c r="CB90" i="8" l="1"/>
  <c r="AK54" i="7"/>
  <c r="BH30" i="2"/>
  <c r="BH22" i="2"/>
  <c r="BH25" i="2" l="1"/>
  <c r="BH121" i="2"/>
  <c r="BH123" i="2" l="1"/>
  <c r="BH122" i="2"/>
  <c r="BH89" i="2"/>
  <c r="BH32" i="2"/>
  <c r="BH133" i="2" s="1"/>
  <c r="AK175" i="7"/>
  <c r="AK179" i="7" l="1"/>
  <c r="AK180" i="7" s="1"/>
  <c r="AK176" i="7"/>
  <c r="AN103" i="7"/>
  <c r="AN119" i="7" l="1"/>
  <c r="AN111" i="7"/>
  <c r="CE79" i="8" l="1"/>
  <c r="CE86" i="8"/>
  <c r="CE87" i="8" s="1"/>
  <c r="AN168" i="7"/>
  <c r="CG79" i="8" l="1"/>
  <c r="CE81" i="8"/>
  <c r="BQ26" i="10" l="1"/>
  <c r="BQ30" i="10"/>
  <c r="CE107" i="8"/>
  <c r="CE83" i="8"/>
  <c r="BK56" i="2"/>
  <c r="BK68" i="2"/>
  <c r="BK14" i="2"/>
  <c r="BK123" i="2" s="1"/>
  <c r="AN171" i="7"/>
  <c r="AN172" i="7" s="1"/>
  <c r="BQ95" i="10" l="1"/>
  <c r="CE84" i="8"/>
  <c r="BK46" i="2" s="1"/>
  <c r="AN51" i="7"/>
  <c r="BK29" i="2"/>
  <c r="BK132" i="2" s="1"/>
  <c r="AN52" i="7" l="1"/>
  <c r="AN190" i="7" l="1"/>
  <c r="CG31" i="8" l="1"/>
  <c r="CG34" i="8"/>
  <c r="CG35" i="8" l="1"/>
  <c r="BM59" i="2" s="1"/>
  <c r="AP20" i="7"/>
  <c r="CG32" i="8"/>
  <c r="BM58" i="2" s="1"/>
  <c r="AP19" i="7"/>
  <c r="BM63" i="2"/>
  <c r="AN92" i="7" l="1"/>
  <c r="AN84" i="7"/>
  <c r="AN83" i="7" l="1"/>
  <c r="AN91" i="7"/>
  <c r="AO103" i="7" l="1"/>
  <c r="AO119" i="7" l="1"/>
  <c r="AO111" i="7"/>
  <c r="AO92" i="7" l="1"/>
  <c r="AO84" i="7"/>
  <c r="AO91" i="7" l="1"/>
  <c r="AO83" i="7"/>
  <c r="CG61" i="8" l="1"/>
  <c r="AO171" i="7" l="1"/>
  <c r="AO168" i="7"/>
  <c r="AP37" i="7"/>
  <c r="AO172" i="7" l="1"/>
  <c r="AO190" i="7"/>
  <c r="AP190" i="7" l="1"/>
  <c r="AP191" i="7" l="1"/>
  <c r="AP193" i="7" l="1"/>
  <c r="AP195" i="7" s="1"/>
  <c r="BU28" i="9" l="1"/>
  <c r="BU30" i="9" s="1"/>
  <c r="AQ141" i="7"/>
  <c r="AQ142" i="7" s="1"/>
  <c r="BU130" i="9" l="1"/>
  <c r="BU129" i="9"/>
  <c r="BU66" i="9"/>
  <c r="BN103" i="2"/>
  <c r="BN83" i="2"/>
  <c r="BU120" i="9"/>
  <c r="BU132" i="9" l="1"/>
  <c r="AR96" i="7" l="1"/>
  <c r="AR107" i="7" l="1"/>
  <c r="AL171" i="7" l="1"/>
  <c r="AL172" i="7" s="1"/>
  <c r="CC49" i="8"/>
  <c r="BP84" i="9" l="1"/>
  <c r="AL31" i="7"/>
  <c r="BI60" i="2"/>
  <c r="CC51" i="8"/>
  <c r="CC54" i="11" s="1"/>
  <c r="AM171" i="7"/>
  <c r="AM172" i="7" s="1"/>
  <c r="BO111" i="10"/>
  <c r="CC64" i="11" l="1"/>
  <c r="CC53" i="11"/>
  <c r="CG53" i="11" s="1"/>
  <c r="BO108" i="10"/>
  <c r="BO103" i="10"/>
  <c r="BO109" i="10"/>
  <c r="BO110" i="10" s="1"/>
  <c r="CC109" i="8"/>
  <c r="BI9" i="2"/>
  <c r="CC52" i="8"/>
  <c r="BN42" i="2"/>
  <c r="AL33" i="7"/>
  <c r="BI42" i="2"/>
  <c r="BP85" i="9"/>
  <c r="BP87" i="9"/>
  <c r="BP88" i="9"/>
  <c r="BP86" i="9"/>
  <c r="BP109" i="9" s="1"/>
  <c r="BP110" i="9" s="1"/>
  <c r="BP111" i="10"/>
  <c r="BS111" i="10" s="1"/>
  <c r="CG54" i="11" l="1"/>
  <c r="BS114" i="10"/>
  <c r="BS103" i="10"/>
  <c r="AL34" i="7"/>
  <c r="BI51" i="2"/>
  <c r="AQ35" i="7"/>
  <c r="AL35" i="7"/>
  <c r="BP109" i="10"/>
  <c r="BP110" i="10" s="1"/>
  <c r="BP103" i="10"/>
  <c r="BP108" i="10"/>
  <c r="BS108" i="10" s="1"/>
  <c r="BS109" i="10" s="1"/>
  <c r="BK77" i="2"/>
  <c r="BL77" i="2"/>
  <c r="BJ77" i="2"/>
  <c r="BN64" i="2"/>
  <c r="BI87" i="2"/>
  <c r="BI77" i="2"/>
  <c r="BI64" i="2"/>
  <c r="BL78" i="2"/>
  <c r="BJ78" i="2"/>
  <c r="BK78" i="2"/>
  <c r="BI78" i="2"/>
  <c r="AP171" i="7"/>
  <c r="CG49" i="8"/>
  <c r="CG64" i="11" l="1"/>
  <c r="BS112" i="10"/>
  <c r="BX106" i="10" s="1"/>
  <c r="BS110" i="10"/>
  <c r="AP31" i="7"/>
  <c r="BM60" i="2"/>
  <c r="AL92" i="7"/>
  <c r="AL84" i="7"/>
  <c r="AM92" i="7"/>
  <c r="AM84" i="7"/>
  <c r="BT106" i="10" l="1"/>
  <c r="BT108" i="10" s="1"/>
  <c r="AM83" i="7"/>
  <c r="AM91" i="7"/>
  <c r="AL91" i="7"/>
  <c r="AL83" i="7"/>
  <c r="AP91" i="7" l="1"/>
  <c r="AP83" i="7"/>
  <c r="AP92" i="7" l="1"/>
  <c r="AP84" i="7"/>
  <c r="AO102" i="7" l="1"/>
  <c r="AO101" i="7" s="1"/>
  <c r="AN102" i="7"/>
  <c r="AN101" i="7" s="1"/>
  <c r="AP102" i="7" l="1"/>
  <c r="AP103" i="7" l="1"/>
  <c r="AP111" i="7" l="1"/>
  <c r="AP119" i="7"/>
  <c r="AP101" i="7"/>
  <c r="CI12" i="11" l="1"/>
  <c r="CI16" i="11"/>
  <c r="CI79" i="11"/>
  <c r="CI13" i="11"/>
  <c r="CN26" i="11" l="1"/>
  <c r="CI11" i="8"/>
  <c r="AR71" i="7"/>
  <c r="AR61" i="7"/>
  <c r="CI12" i="8"/>
  <c r="AR72" i="7"/>
  <c r="AR62" i="7"/>
  <c r="CI93" i="11"/>
  <c r="AR95" i="7"/>
  <c r="CI15" i="8"/>
  <c r="AR73" i="7"/>
  <c r="AR65" i="7"/>
  <c r="AR115" i="7" s="1"/>
  <c r="CI149" i="11"/>
  <c r="CI96" i="11"/>
  <c r="CI133" i="11"/>
  <c r="CI78" i="11" l="1"/>
  <c r="CI146" i="11"/>
  <c r="AR114" i="7"/>
  <c r="AR106" i="7"/>
  <c r="CI132" i="11"/>
  <c r="CI145" i="11" s="1"/>
  <c r="BU14" i="10" l="1"/>
  <c r="AR45" i="7"/>
  <c r="CI57" i="11"/>
  <c r="AR87" i="7"/>
  <c r="AR79" i="7"/>
  <c r="CI86" i="11"/>
  <c r="CI92" i="11"/>
  <c r="AR94" i="7"/>
  <c r="AR110" i="7" l="1"/>
  <c r="AR113" i="7"/>
  <c r="AR105" i="7"/>
  <c r="AR99" i="7"/>
  <c r="CI56" i="11"/>
  <c r="AR78" i="7"/>
  <c r="AR86" i="7"/>
  <c r="AR154" i="7"/>
  <c r="BO44" i="2"/>
  <c r="BO11" i="2"/>
  <c r="AQ102" i="7" l="1"/>
  <c r="AQ103" i="7"/>
  <c r="AQ92" i="7" l="1"/>
  <c r="AQ84" i="7"/>
  <c r="AQ101" i="7"/>
  <c r="AQ119" i="7"/>
  <c r="AQ111" i="7"/>
  <c r="AQ171" i="7" l="1"/>
  <c r="AQ168" i="7"/>
  <c r="AQ172" i="7" l="1"/>
  <c r="AQ190" i="7" l="1"/>
  <c r="AR141" i="7" l="1"/>
  <c r="CG25" i="8" l="1"/>
  <c r="BT84" i="9" s="1"/>
  <c r="BT86" i="9" l="1"/>
  <c r="BT109" i="9" s="1"/>
  <c r="BT110" i="9" s="1"/>
  <c r="BT87" i="9"/>
  <c r="BT88" i="9"/>
  <c r="BT85" i="9"/>
  <c r="CG26" i="8"/>
  <c r="AP14" i="7"/>
  <c r="CG28" i="8"/>
  <c r="BM105" i="2"/>
  <c r="CG29" i="8" l="1"/>
  <c r="CG39" i="8"/>
  <c r="AP16" i="7"/>
  <c r="BM41" i="2"/>
  <c r="BM8" i="2"/>
  <c r="BM62" i="2" s="1"/>
  <c r="CG110" i="8" l="1"/>
  <c r="CG46" i="8"/>
  <c r="CG58" i="8"/>
  <c r="BT122" i="9" s="1"/>
  <c r="CG51" i="8"/>
  <c r="CG41" i="8"/>
  <c r="CG40" i="8"/>
  <c r="CG106" i="8" s="1"/>
  <c r="AP23" i="7"/>
  <c r="AP24" i="7" s="1"/>
  <c r="CG104" i="8"/>
  <c r="AP17" i="7"/>
  <c r="BM50" i="2"/>
  <c r="CG109" i="8" l="1"/>
  <c r="CG52" i="8"/>
  <c r="AP33" i="7"/>
  <c r="AP35" i="7" s="1"/>
  <c r="BM42" i="2"/>
  <c r="BM9" i="2"/>
  <c r="CG63" i="8"/>
  <c r="CG59" i="8"/>
  <c r="BM54" i="2" s="1"/>
  <c r="BM69" i="2"/>
  <c r="BM12" i="2"/>
  <c r="BM88" i="2" s="1"/>
  <c r="CG47" i="8"/>
  <c r="BM52" i="2" s="1"/>
  <c r="AP28" i="7"/>
  <c r="AP29" i="7" s="1"/>
  <c r="BM43" i="2"/>
  <c r="BM10" i="2"/>
  <c r="BM65" i="2" s="1"/>
  <c r="CG70" i="8" l="1"/>
  <c r="BS12" i="10" s="1"/>
  <c r="BS21" i="10" s="1"/>
  <c r="BS25" i="10" s="1"/>
  <c r="AP40" i="7"/>
  <c r="BM13" i="2"/>
  <c r="BM55" i="2"/>
  <c r="CG66" i="8"/>
  <c r="BS130" i="10" s="1"/>
  <c r="BM87" i="2"/>
  <c r="BM73" i="2"/>
  <c r="BM64" i="2"/>
  <c r="BM78" i="2"/>
  <c r="BM77" i="2"/>
  <c r="AP34" i="7"/>
  <c r="BM51" i="2"/>
  <c r="BS117" i="10" l="1"/>
  <c r="BS120" i="10" s="1"/>
  <c r="BS96" i="10"/>
  <c r="AP43" i="7"/>
  <c r="BM119" i="2"/>
  <c r="CG81" i="8"/>
  <c r="CG77" i="8"/>
  <c r="CG71" i="8"/>
  <c r="AP47" i="7"/>
  <c r="BS30" i="10" l="1"/>
  <c r="BT128" i="9"/>
  <c r="BT132" i="9" s="1"/>
  <c r="BT121" i="9"/>
  <c r="BT120" i="9"/>
  <c r="BS26" i="10"/>
  <c r="CG113" i="8"/>
  <c r="CG92" i="8"/>
  <c r="CG93" i="8" s="1"/>
  <c r="CG86" i="8"/>
  <c r="CG87" i="8" s="1"/>
  <c r="CG89" i="8"/>
  <c r="CG107" i="8"/>
  <c r="CG83" i="8"/>
  <c r="BM56" i="2"/>
  <c r="BM68" i="2"/>
  <c r="BM14" i="2"/>
  <c r="AP168" i="7"/>
  <c r="AP172" i="7" s="1"/>
  <c r="BS95" i="10" l="1"/>
  <c r="CG84" i="8"/>
  <c r="BM46" i="2" s="1"/>
  <c r="AP51" i="7"/>
  <c r="AP52" i="7" s="1"/>
  <c r="AW86" i="6"/>
  <c r="BM29" i="2"/>
  <c r="BM132" i="2" s="1"/>
  <c r="CG90" i="8"/>
  <c r="AP54" i="7"/>
  <c r="BM30" i="2"/>
  <c r="BM22" i="2"/>
  <c r="BM121" i="2" l="1"/>
  <c r="BM25" i="2"/>
  <c r="BM89" i="2" l="1"/>
  <c r="BM32" i="2"/>
  <c r="BM133" i="2" s="1"/>
  <c r="BM123" i="2"/>
  <c r="BM122" i="2"/>
  <c r="AP175" i="7"/>
  <c r="AP179" i="7" l="1"/>
  <c r="AP180" i="7" s="1"/>
  <c r="AP176" i="7"/>
  <c r="CM20" i="12" l="1"/>
  <c r="CM15" i="12"/>
  <c r="BG36" i="6" s="1"/>
  <c r="BU107" i="10" l="1"/>
  <c r="AR127" i="7" l="1"/>
  <c r="AR174" i="7" l="1"/>
  <c r="BO23" i="2"/>
  <c r="BO101" i="2" l="1"/>
  <c r="BO148" i="2"/>
  <c r="BO145" i="2" s="1"/>
  <c r="BO147" i="2" l="1"/>
  <c r="BO146" i="2"/>
  <c r="BO144" i="2"/>
  <c r="BO108" i="2"/>
  <c r="AR140" i="7"/>
  <c r="BV28" i="9"/>
  <c r="CI20" i="13" l="1"/>
  <c r="CI15" i="13"/>
  <c r="BG37" i="6" s="1"/>
  <c r="CI127" i="13" l="1"/>
  <c r="CI124" i="13" s="1"/>
  <c r="AO30" i="15" l="1"/>
  <c r="AO37" i="15"/>
  <c r="AO38" i="15"/>
  <c r="AO36" i="15"/>
  <c r="CI18" i="11"/>
  <c r="AO13" i="15"/>
  <c r="AO15" i="15" s="1"/>
  <c r="BG39" i="6" s="1"/>
  <c r="CI97" i="11" l="1"/>
  <c r="CI151" i="11"/>
  <c r="AR66" i="7"/>
  <c r="AR74" i="7"/>
  <c r="CI17" i="8"/>
  <c r="CI22" i="11"/>
  <c r="CN23" i="11" l="1"/>
  <c r="CN25" i="11"/>
  <c r="BL32" i="6" s="1"/>
  <c r="CI42" i="11"/>
  <c r="CI39" i="11"/>
  <c r="CI36" i="11"/>
  <c r="CS36" i="11" s="1"/>
  <c r="AR76" i="7"/>
  <c r="CI100" i="11"/>
  <c r="AR69" i="7"/>
  <c r="CI23" i="11"/>
  <c r="AR68" i="7"/>
  <c r="CI21" i="8"/>
  <c r="AR118" i="7"/>
  <c r="AR116" i="7"/>
  <c r="CN24" i="11" l="1"/>
  <c r="BL45" i="6"/>
  <c r="BL46" i="6"/>
  <c r="BL43" i="6"/>
  <c r="BL33" i="6"/>
  <c r="BL44" i="6"/>
  <c r="CI182" i="11"/>
  <c r="BV76" i="9"/>
  <c r="CI28" i="8"/>
  <c r="AR10" i="7"/>
  <c r="BO60" i="2"/>
  <c r="BO7" i="2"/>
  <c r="CI22" i="8"/>
  <c r="AR11" i="7" s="1"/>
  <c r="BU100" i="10"/>
  <c r="BU101" i="10" s="1"/>
  <c r="CI181" i="11"/>
  <c r="BO36" i="2"/>
  <c r="CS182" i="11" l="1"/>
  <c r="BV77" i="9"/>
  <c r="BV80" i="9"/>
  <c r="BV79" i="9"/>
  <c r="BV78" i="9"/>
  <c r="BV97" i="9"/>
  <c r="BV81" i="9"/>
  <c r="BV100" i="9"/>
  <c r="AR20" i="7"/>
  <c r="CI35" i="8"/>
  <c r="BO59" i="2" s="1"/>
  <c r="BO63" i="2"/>
  <c r="AR19" i="7"/>
  <c r="CI32" i="8"/>
  <c r="BO58" i="2" s="1"/>
  <c r="AR21" i="7"/>
  <c r="BO53" i="2"/>
  <c r="BO138" i="2"/>
  <c r="BO100" i="2"/>
  <c r="BO139" i="2"/>
  <c r="BO66" i="2"/>
  <c r="BO106" i="2"/>
  <c r="BV108" i="9" l="1"/>
  <c r="BV110" i="9" s="1"/>
  <c r="AR137" i="7"/>
  <c r="AR135" i="7"/>
  <c r="BO110" i="2"/>
  <c r="AR14" i="7" l="1"/>
  <c r="CI26" i="8"/>
  <c r="CI29" i="8" l="1"/>
  <c r="BO41" i="2"/>
  <c r="AR16" i="7"/>
  <c r="BO8" i="2"/>
  <c r="BO62" i="2" s="1"/>
  <c r="CI39" i="8"/>
  <c r="CI143" i="11" s="1"/>
  <c r="BO112" i="2" l="1"/>
  <c r="AR145" i="7"/>
  <c r="AR136" i="7"/>
  <c r="BO111" i="2"/>
  <c r="BO104" i="2"/>
  <c r="BO105" i="2"/>
  <c r="CI41" i="8"/>
  <c r="CI40" i="8"/>
  <c r="CI106" i="8" s="1"/>
  <c r="CI51" i="8"/>
  <c r="AR23" i="7"/>
  <c r="AR24" i="7" s="1"/>
  <c r="CI46" i="8"/>
  <c r="CI104" i="8"/>
  <c r="BO50" i="2"/>
  <c r="AR17" i="7"/>
  <c r="CI54" i="11" l="1"/>
  <c r="BO113" i="2"/>
  <c r="AR170" i="7"/>
  <c r="BO43" i="2"/>
  <c r="AR28" i="7"/>
  <c r="AR29" i="7" s="1"/>
  <c r="CI47" i="8"/>
  <c r="BO52" i="2" s="1"/>
  <c r="BO10" i="2"/>
  <c r="BO65" i="2" s="1"/>
  <c r="BO42" i="2"/>
  <c r="CI52" i="8"/>
  <c r="BO9" i="2"/>
  <c r="AR33" i="7"/>
  <c r="AR35" i="7" s="1"/>
  <c r="CI141" i="11" l="1"/>
  <c r="AR146" i="7"/>
  <c r="AR147" i="7" s="1"/>
  <c r="AR152" i="7" s="1"/>
  <c r="BV39" i="9"/>
  <c r="BO51" i="2"/>
  <c r="AR34" i="7"/>
  <c r="BO64" i="2"/>
  <c r="BO78" i="2"/>
  <c r="BV50" i="9" l="1"/>
  <c r="BV105" i="9"/>
  <c r="AR42" i="7"/>
  <c r="AR157" i="7" l="1"/>
  <c r="AR160" i="7" s="1"/>
  <c r="BV62" i="9"/>
  <c r="BV112" i="9" s="1"/>
  <c r="BO22" i="2"/>
  <c r="BU25" i="10"/>
  <c r="BV114" i="9" l="1"/>
  <c r="BV115" i="9" s="1"/>
  <c r="BV113" i="9"/>
  <c r="BU96" i="10"/>
  <c r="AR175" i="7"/>
  <c r="BU117" i="10"/>
  <c r="BU29" i="10"/>
  <c r="BO85" i="2"/>
  <c r="BV64" i="9"/>
  <c r="BO121" i="2"/>
  <c r="BO25" i="2"/>
  <c r="BO122" i="2" l="1"/>
  <c r="BO32" i="2"/>
  <c r="BO133" i="2" s="1"/>
  <c r="BU36" i="10"/>
  <c r="AR179" i="7"/>
  <c r="AR185" i="7" l="1"/>
  <c r="BU44" i="10"/>
  <c r="BU47" i="10" s="1"/>
  <c r="AR190" i="7" l="1"/>
  <c r="AR191" i="7"/>
  <c r="AR193" i="7" l="1"/>
  <c r="AR195" i="7" s="1"/>
  <c r="BO16" i="2" l="1"/>
  <c r="BV19" i="9"/>
  <c r="AR134" i="7"/>
  <c r="AR138" i="7" s="1"/>
  <c r="AR142" i="7" s="1"/>
  <c r="BV107" i="9" l="1"/>
  <c r="BV104" i="9"/>
  <c r="BO91" i="2"/>
  <c r="BO92" i="2"/>
  <c r="BV30" i="9"/>
  <c r="BO79" i="2"/>
  <c r="BO20" i="2"/>
  <c r="BO80" i="2"/>
  <c r="BV130" i="9" l="1"/>
  <c r="BV129" i="9"/>
  <c r="BO83" i="2"/>
  <c r="BV66" i="9"/>
  <c r="BO103" i="2"/>
  <c r="BO84" i="2"/>
  <c r="BO77" i="2"/>
  <c r="CI54" i="8"/>
  <c r="CI58" i="8" s="1"/>
  <c r="CI61" i="8" l="1"/>
  <c r="BU70" i="10" s="1"/>
  <c r="AR38" i="7"/>
  <c r="BO69" i="2"/>
  <c r="BV122" i="9"/>
  <c r="BO12" i="2"/>
  <c r="CI59" i="8"/>
  <c r="BO54" i="2" s="1"/>
  <c r="BO88" i="2" l="1"/>
  <c r="CI63" i="8"/>
  <c r="BO13" i="2" s="1"/>
  <c r="BU71" i="10"/>
  <c r="BU118" i="10"/>
  <c r="AR37" i="7"/>
  <c r="BO89" i="2"/>
  <c r="CI109" i="8"/>
  <c r="BO87" i="2"/>
  <c r="CI110" i="8"/>
  <c r="CI66" i="8" l="1"/>
  <c r="BU130" i="10" s="1"/>
  <c r="CI70" i="8"/>
  <c r="BU26" i="10" s="1"/>
  <c r="BO55" i="2"/>
  <c r="AR40" i="7"/>
  <c r="BU119" i="10"/>
  <c r="BU120" i="10" s="1"/>
  <c r="BO119" i="2" l="1"/>
  <c r="AR47" i="7"/>
  <c r="AR180" i="7" s="1"/>
  <c r="CI71" i="8"/>
  <c r="AR43" i="7"/>
  <c r="CI81" i="8"/>
  <c r="BO14" i="2" s="1"/>
  <c r="BO123" i="2" s="1"/>
  <c r="CI77" i="8"/>
  <c r="BV120" i="9" s="1"/>
  <c r="BU12" i="10"/>
  <c r="BU30" i="10" s="1"/>
  <c r="BO56" i="2" l="1"/>
  <c r="CI107" i="8"/>
  <c r="CI86" i="8"/>
  <c r="CI87" i="8" s="1"/>
  <c r="CI89" i="8"/>
  <c r="AR54" i="7" s="1"/>
  <c r="AR168" i="7"/>
  <c r="AR176" i="7"/>
  <c r="BV128" i="9"/>
  <c r="BV132" i="9" s="1"/>
  <c r="BV121" i="9"/>
  <c r="CI113" i="8"/>
  <c r="CI83" i="8"/>
  <c r="AR51" i="7" s="1"/>
  <c r="AR52" i="7" s="1"/>
  <c r="BO68" i="2"/>
  <c r="CI92" i="8"/>
  <c r="CI93" i="8" s="1"/>
  <c r="BU20" i="10"/>
  <c r="AR171" i="7" s="1"/>
  <c r="BO29" i="2" l="1"/>
  <c r="BO132" i="2" s="1"/>
  <c r="CI90" i="8"/>
  <c r="BO30" i="2"/>
  <c r="AR172" i="7"/>
  <c r="CI84" i="8"/>
  <c r="BO46" i="2" s="1"/>
  <c r="BU95" i="10"/>
  <c r="AR92" i="7"/>
  <c r="AR84" i="7"/>
  <c r="CI64" i="11"/>
  <c r="CI154" i="11" l="1"/>
  <c r="AR103" i="7"/>
  <c r="AR111" i="7" s="1"/>
  <c r="CI31" i="11"/>
  <c r="CI33" i="11" s="1"/>
  <c r="CI89" i="11" l="1"/>
  <c r="CI28" i="11"/>
  <c r="AR119" i="7"/>
  <c r="CI32" i="11"/>
  <c r="AR102" i="7"/>
  <c r="AR101" i="7" s="1"/>
  <c r="CI29" i="11" l="1"/>
  <c r="CI25" i="11" l="1"/>
  <c r="BG32" i="6" s="1"/>
  <c r="BG33" i="6" s="1"/>
  <c r="BG45" i="6" l="1"/>
  <c r="BG44" i="6"/>
  <c r="BG46" i="6"/>
  <c r="BO38" i="2"/>
  <c r="CI24" i="11"/>
  <c r="BO37" i="2" s="1"/>
  <c r="CJ127" i="13" l="1"/>
  <c r="AP38" i="15" l="1"/>
  <c r="AP37" i="15"/>
  <c r="AP36" i="15"/>
  <c r="CJ16" i="11"/>
  <c r="CJ13" i="11"/>
  <c r="CJ18" i="11"/>
  <c r="CJ37" i="13"/>
  <c r="CJ38" i="13"/>
  <c r="CJ36" i="13"/>
  <c r="CJ15" i="8" l="1"/>
  <c r="AS73" i="7"/>
  <c r="AS65" i="7"/>
  <c r="AS66" i="7"/>
  <c r="CJ17" i="8"/>
  <c r="AS74" i="7"/>
  <c r="CJ146" i="11"/>
  <c r="CJ31" i="13"/>
  <c r="CJ30" i="13"/>
  <c r="CJ93" i="11"/>
  <c r="AS95" i="7"/>
  <c r="AS62" i="7"/>
  <c r="AS72" i="7"/>
  <c r="CJ12" i="8"/>
  <c r="AS114" i="7" l="1"/>
  <c r="AS106" i="7"/>
  <c r="AP31" i="15"/>
  <c r="AP30" i="15"/>
  <c r="CJ24" i="13"/>
  <c r="CJ23" i="13"/>
  <c r="CJ18" i="13"/>
  <c r="CJ19" i="13" s="1"/>
  <c r="CJ20" i="13" s="1"/>
  <c r="AS97" i="7"/>
  <c r="CJ97" i="11"/>
  <c r="CJ151" i="11" l="1"/>
  <c r="AS87" i="7"/>
  <c r="CJ57" i="11"/>
  <c r="AS79" i="7"/>
  <c r="AS108" i="7"/>
  <c r="AS116" i="7"/>
  <c r="CO17" i="14" l="1"/>
  <c r="CM99" i="14" l="1"/>
  <c r="CP184" i="14"/>
  <c r="CP193" i="14" s="1"/>
  <c r="CP194" i="14" s="1"/>
  <c r="CP173" i="14"/>
  <c r="CU173" i="14" s="1"/>
  <c r="CZ173" i="14" s="1"/>
  <c r="DA173" i="14" l="1"/>
  <c r="DB173" i="14" s="1"/>
  <c r="DB177" i="14" s="1"/>
  <c r="DB176" i="14" s="1"/>
  <c r="DC94" i="14" s="1"/>
  <c r="CP177" i="14"/>
  <c r="CP187" i="14"/>
  <c r="CU177" i="14" l="1"/>
  <c r="CP178" i="14"/>
  <c r="CP176" i="14" s="1"/>
  <c r="CO176" i="14" l="1"/>
  <c r="CN176" i="14"/>
  <c r="CL176" i="14"/>
  <c r="CM176" i="14"/>
  <c r="CP94" i="14"/>
  <c r="CN94" i="14" s="1"/>
  <c r="CU181" i="14"/>
  <c r="CU180" i="14"/>
  <c r="CU179" i="14"/>
  <c r="CU178" i="14"/>
  <c r="CU176" i="14" l="1"/>
  <c r="CU94" i="14" s="1"/>
  <c r="CZ180" i="14"/>
  <c r="CZ179" i="14"/>
  <c r="CZ178" i="14"/>
  <c r="CZ181" i="14"/>
  <c r="CO94" i="14"/>
  <c r="CM94" i="14"/>
  <c r="CL94" i="14"/>
  <c r="CR176" i="14" l="1"/>
  <c r="CR177" i="14" s="1"/>
  <c r="CR94" i="14" s="1"/>
  <c r="CS176" i="14"/>
  <c r="CS177" i="14" s="1"/>
  <c r="CS94" i="14" s="1"/>
  <c r="CQ176" i="14"/>
  <c r="CQ177" i="14" s="1"/>
  <c r="CQ94" i="14" s="1"/>
  <c r="CT176" i="14"/>
  <c r="CT177" i="14" s="1"/>
  <c r="CT94" i="14" s="1"/>
  <c r="DA179" i="14"/>
  <c r="DA178" i="14"/>
  <c r="DA181" i="14"/>
  <c r="DA180" i="14"/>
  <c r="DD178" i="14" l="1"/>
  <c r="DD180" i="14"/>
  <c r="DD181" i="14"/>
  <c r="DD179" i="14"/>
  <c r="CN29" i="14"/>
  <c r="CJ136" i="11" s="1"/>
  <c r="CN31" i="14" l="1"/>
  <c r="CN30" i="14"/>
  <c r="AS96" i="7"/>
  <c r="CJ96" i="11"/>
  <c r="AS115" i="7" l="1"/>
  <c r="AS107" i="7"/>
  <c r="CJ149" i="11"/>
  <c r="CU216" i="14" l="1"/>
  <c r="CR102" i="14" l="1"/>
  <c r="DK40" i="14"/>
  <c r="CS102" i="14"/>
  <c r="CT102" i="14" l="1"/>
  <c r="CJ49" i="8" l="1"/>
  <c r="BW84" i="9" s="1"/>
  <c r="AS169" i="7"/>
  <c r="BW86" i="9" l="1"/>
  <c r="BW109" i="9" s="1"/>
  <c r="BW88" i="9"/>
  <c r="BW85" i="9"/>
  <c r="BW87" i="9"/>
  <c r="AS31" i="7"/>
  <c r="CP66" i="11" l="1"/>
  <c r="CU26" i="12"/>
  <c r="CQ66" i="11" l="1"/>
  <c r="BG43" i="6" l="1"/>
  <c r="CJ12" i="11" l="1"/>
  <c r="CN29" i="12" l="1"/>
  <c r="AS71" i="7"/>
  <c r="AS61" i="7"/>
  <c r="CJ11" i="8"/>
  <c r="CJ132" i="11" l="1"/>
  <c r="AS94" i="7"/>
  <c r="CJ92" i="11"/>
  <c r="AS68" i="7"/>
  <c r="CJ20" i="8"/>
  <c r="CJ21" i="8" s="1"/>
  <c r="AS45" i="7"/>
  <c r="BV14" i="10"/>
  <c r="CJ22" i="11"/>
  <c r="CN31" i="12"/>
  <c r="CN22" i="12"/>
  <c r="CJ44" i="11" s="1"/>
  <c r="CN30" i="12"/>
  <c r="BV100" i="10" l="1"/>
  <c r="BV101" i="10" s="1"/>
  <c r="CJ28" i="8"/>
  <c r="BW76" i="9"/>
  <c r="CJ39" i="11"/>
  <c r="CJ42" i="11"/>
  <c r="CJ36" i="11"/>
  <c r="BP60" i="2"/>
  <c r="AS10" i="7"/>
  <c r="BP7" i="2"/>
  <c r="CJ22" i="8"/>
  <c r="AS11" i="7" s="1"/>
  <c r="CN24" i="12"/>
  <c r="CN23" i="12"/>
  <c r="CN18" i="12"/>
  <c r="CN19" i="12" s="1"/>
  <c r="CJ100" i="11"/>
  <c r="AS110" i="7"/>
  <c r="BP44" i="2"/>
  <c r="BP11" i="2"/>
  <c r="CJ145" i="11"/>
  <c r="AS69" i="7"/>
  <c r="AS76" i="7"/>
  <c r="CJ23" i="11"/>
  <c r="AS99" i="7"/>
  <c r="AS113" i="7"/>
  <c r="AS118" i="7"/>
  <c r="AS105" i="7"/>
  <c r="CJ182" i="11" l="1"/>
  <c r="BW79" i="9"/>
  <c r="CG79" i="9" s="1"/>
  <c r="CG108" i="9" s="1"/>
  <c r="CG110" i="9" s="1"/>
  <c r="BW80" i="9"/>
  <c r="BW78" i="9"/>
  <c r="BW81" i="9"/>
  <c r="BW77" i="9"/>
  <c r="BW97" i="9"/>
  <c r="BP36" i="2"/>
  <c r="BP66" i="2"/>
  <c r="BP53" i="2"/>
  <c r="AS86" i="7"/>
  <c r="AS78" i="7"/>
  <c r="CJ56" i="11"/>
  <c r="BP138" i="2"/>
  <c r="BP139" i="2"/>
  <c r="CJ181" i="11"/>
  <c r="AS154" i="7"/>
  <c r="BW108" i="9" l="1"/>
  <c r="BW110" i="9" s="1"/>
  <c r="AS21" i="7"/>
  <c r="AS137" i="7"/>
  <c r="AS19" i="7"/>
  <c r="CJ32" i="8"/>
  <c r="BP58" i="2" s="1"/>
  <c r="BP63" i="2"/>
  <c r="AS20" i="7"/>
  <c r="CJ35" i="8"/>
  <c r="BP59" i="2" s="1"/>
  <c r="AS135" i="7"/>
  <c r="BP110" i="2"/>
  <c r="AS127" i="7" l="1"/>
  <c r="AS174" i="7" l="1"/>
  <c r="BP23" i="2"/>
  <c r="BW106" i="10" l="1"/>
  <c r="BP101" i="2"/>
  <c r="BP100" i="2"/>
  <c r="BP148" i="2"/>
  <c r="BP144" i="2" l="1"/>
  <c r="BP146" i="2"/>
  <c r="BP147" i="2"/>
  <c r="BP145" i="2"/>
  <c r="BP108" i="2"/>
  <c r="AS140" i="7"/>
  <c r="BP106" i="2"/>
  <c r="AS14" i="7" l="1"/>
  <c r="CJ26" i="8"/>
  <c r="BP41" i="2" l="1"/>
  <c r="CJ29" i="8"/>
  <c r="AS16" i="7"/>
  <c r="BP8" i="2"/>
  <c r="CJ39" i="8"/>
  <c r="CJ143" i="11" s="1"/>
  <c r="CJ141" i="11" s="1"/>
  <c r="BP50" i="2" l="1"/>
  <c r="CJ104" i="8"/>
  <c r="AS17" i="7"/>
  <c r="AS136" i="7"/>
  <c r="BP111" i="2"/>
  <c r="BP104" i="2"/>
  <c r="BP105" i="2"/>
  <c r="CJ41" i="8"/>
  <c r="CJ40" i="8"/>
  <c r="CJ106" i="8" s="1"/>
  <c r="AS23" i="7"/>
  <c r="AS24" i="7" s="1"/>
  <c r="CJ46" i="8"/>
  <c r="CJ51" i="8"/>
  <c r="CJ54" i="11" s="1"/>
  <c r="BP62" i="2"/>
  <c r="BP112" i="2"/>
  <c r="AS145" i="7"/>
  <c r="AS92" i="7" l="1"/>
  <c r="AS84" i="7"/>
  <c r="CJ64" i="11"/>
  <c r="CJ52" i="8"/>
  <c r="BP42" i="2"/>
  <c r="BP9" i="2"/>
  <c r="AS33" i="7"/>
  <c r="BW100" i="9"/>
  <c r="BP43" i="2"/>
  <c r="CJ47" i="8"/>
  <c r="BP52" i="2" s="1"/>
  <c r="BP10" i="2"/>
  <c r="AS28" i="7"/>
  <c r="AS29" i="7" s="1"/>
  <c r="BP113" i="2"/>
  <c r="AS170" i="7"/>
  <c r="AS146" i="7" l="1"/>
  <c r="AS147" i="7" s="1"/>
  <c r="AS152" i="7" s="1"/>
  <c r="BW39" i="9"/>
  <c r="BP64" i="2"/>
  <c r="BP78" i="2"/>
  <c r="BP65" i="2"/>
  <c r="AS35" i="7"/>
  <c r="AS34" i="7"/>
  <c r="BP51" i="2"/>
  <c r="BW50" i="9" l="1"/>
  <c r="BW105" i="9"/>
  <c r="AS42" i="7"/>
  <c r="CJ89" i="11" l="1"/>
  <c r="AS157" i="7"/>
  <c r="AS160" i="7" s="1"/>
  <c r="BW62" i="9"/>
  <c r="BP22" i="2"/>
  <c r="BV25" i="10"/>
  <c r="BW112" i="9" l="1"/>
  <c r="BW64" i="9"/>
  <c r="BV117" i="10"/>
  <c r="BV96" i="10"/>
  <c r="AS175" i="7"/>
  <c r="BV29" i="10"/>
  <c r="BP85" i="2"/>
  <c r="BP121" i="2"/>
  <c r="BP25" i="2"/>
  <c r="BW114" i="9" l="1"/>
  <c r="BW115" i="9" s="1"/>
  <c r="BW113" i="9"/>
  <c r="AS179" i="7"/>
  <c r="BP122" i="2"/>
  <c r="BP32" i="2"/>
  <c r="BP133" i="2" s="1"/>
  <c r="BV36" i="10"/>
  <c r="AS185" i="7" l="1"/>
  <c r="AS191" i="7" l="1"/>
  <c r="AS193" i="7" l="1"/>
  <c r="AS195" i="7" s="1"/>
  <c r="BW19" i="9" l="1"/>
  <c r="BP16" i="2"/>
  <c r="AS134" i="7"/>
  <c r="AS138" i="7" s="1"/>
  <c r="BW53" i="10"/>
  <c r="BW104" i="9" l="1"/>
  <c r="BW107" i="9"/>
  <c r="BP20" i="2"/>
  <c r="BP80" i="2"/>
  <c r="BP79" i="2"/>
  <c r="BP91" i="2"/>
  <c r="BP92" i="2"/>
  <c r="BP77" i="2" l="1"/>
  <c r="BP84" i="2"/>
  <c r="AS187" i="7" l="1"/>
  <c r="BV127" i="10"/>
  <c r="BV44" i="10"/>
  <c r="BV47" i="10" s="1"/>
  <c r="AS190" i="7" s="1"/>
  <c r="AS103" i="7" l="1"/>
  <c r="AS111" i="7" s="1"/>
  <c r="CJ154" i="11"/>
  <c r="CJ31" i="11"/>
  <c r="CJ33" i="11" s="1"/>
  <c r="AS102" i="7"/>
  <c r="AS101" i="7" l="1"/>
  <c r="AS119" i="7"/>
  <c r="CJ32" i="11"/>
  <c r="CJ28" i="11"/>
  <c r="CJ29" i="11" l="1"/>
  <c r="CN20" i="12"/>
  <c r="CN15" i="12"/>
  <c r="BH36" i="6" s="1"/>
  <c r="CN15" i="14" l="1"/>
  <c r="BH38" i="6" l="1"/>
  <c r="CN69" i="14"/>
  <c r="CJ25" i="11"/>
  <c r="BH32" i="6" s="1"/>
  <c r="BH39" i="6"/>
  <c r="CJ24" i="11" l="1"/>
  <c r="BP37" i="2" s="1"/>
  <c r="BP38" i="2"/>
  <c r="BH46" i="6"/>
  <c r="BH45" i="6"/>
  <c r="BH44" i="6"/>
  <c r="BH33" i="6"/>
  <c r="BH43" i="6"/>
  <c r="AR15" i="15" l="1"/>
  <c r="CK127" i="13"/>
  <c r="CL127" i="13" s="1"/>
  <c r="CL15" i="13"/>
  <c r="CL85" i="13" s="1"/>
  <c r="CP15" i="14"/>
  <c r="CP73" i="14" s="1"/>
  <c r="CL60" i="13" l="1"/>
  <c r="CL88" i="13"/>
  <c r="CL12" i="13"/>
  <c r="CK13" i="11"/>
  <c r="CP74" i="14"/>
  <c r="CL190" i="11"/>
  <c r="DD41" i="13"/>
  <c r="CP12" i="14"/>
  <c r="CP41" i="14" s="1"/>
  <c r="CK16" i="11"/>
  <c r="CK38" i="13"/>
  <c r="CK79" i="11"/>
  <c r="CK29" i="13"/>
  <c r="CL35" i="13"/>
  <c r="CK37" i="13"/>
  <c r="CK36" i="13"/>
  <c r="AR50" i="15"/>
  <c r="AR95" i="15"/>
  <c r="CL192" i="11" s="1"/>
  <c r="AR12" i="15"/>
  <c r="AR42" i="15" s="1"/>
  <c r="CK18" i="11"/>
  <c r="CL41" i="13" l="1"/>
  <c r="CQ41" i="13" s="1"/>
  <c r="CV41" i="13" s="1"/>
  <c r="CW41" i="13" s="1"/>
  <c r="CX41" i="13" s="1"/>
  <c r="CY41" i="13" s="1"/>
  <c r="CL168" i="13"/>
  <c r="CR56" i="13"/>
  <c r="CR57" i="13"/>
  <c r="CR54" i="13"/>
  <c r="CM13" i="11"/>
  <c r="CL16" i="11"/>
  <c r="AT65" i="7"/>
  <c r="AT73" i="7"/>
  <c r="CK15" i="8"/>
  <c r="CM12" i="11"/>
  <c r="CL13" i="11"/>
  <c r="AT62" i="7"/>
  <c r="CK12" i="8"/>
  <c r="AT72" i="7"/>
  <c r="AR13" i="15"/>
  <c r="AR16" i="15" s="1"/>
  <c r="CK30" i="13"/>
  <c r="CK22" i="13"/>
  <c r="CK133" i="11"/>
  <c r="CK146" i="11" s="1"/>
  <c r="CK31" i="13"/>
  <c r="CP13" i="14"/>
  <c r="CP16" i="14" s="1"/>
  <c r="CZ73" i="14"/>
  <c r="CL13" i="13"/>
  <c r="CQ14" i="13"/>
  <c r="AR51" i="15"/>
  <c r="AR52" i="15" s="1"/>
  <c r="AT66" i="7"/>
  <c r="CK17" i="8"/>
  <c r="CL18" i="11"/>
  <c r="AT74" i="7"/>
  <c r="CL36" i="13"/>
  <c r="CL34" i="13"/>
  <c r="DD42" i="13" s="1"/>
  <c r="DD36" i="13" s="1"/>
  <c r="CL37" i="13"/>
  <c r="CL79" i="11"/>
  <c r="CL29" i="13"/>
  <c r="CL38" i="13"/>
  <c r="CP75" i="14"/>
  <c r="CK93" i="11"/>
  <c r="AT95" i="7"/>
  <c r="CR74" i="13" l="1"/>
  <c r="CQ55" i="13"/>
  <c r="CV59" i="14"/>
  <c r="AV72" i="7"/>
  <c r="CM12" i="8"/>
  <c r="AV62" i="7"/>
  <c r="AU62" i="7"/>
  <c r="AU72" i="7" s="1"/>
  <c r="CL12" i="8"/>
  <c r="AT106" i="7"/>
  <c r="AT114" i="7"/>
  <c r="AU66" i="7"/>
  <c r="AU74" i="7" s="1"/>
  <c r="CL17" i="8"/>
  <c r="DA73" i="14"/>
  <c r="DB73" i="14" s="1"/>
  <c r="DC73" i="14" s="1"/>
  <c r="CP13" i="12"/>
  <c r="CU14" i="12"/>
  <c r="CU103" i="12" s="1"/>
  <c r="CU75" i="14"/>
  <c r="CK24" i="13"/>
  <c r="CK45" i="11"/>
  <c r="CK23" i="13"/>
  <c r="CK18" i="13"/>
  <c r="CK19" i="13" s="1"/>
  <c r="CK20" i="13" s="1"/>
  <c r="AN41" i="15"/>
  <c r="CL162" i="11"/>
  <c r="AU124" i="7" s="1"/>
  <c r="AV61" i="7"/>
  <c r="CM11" i="8"/>
  <c r="AV71" i="7"/>
  <c r="AU65" i="7"/>
  <c r="AU73" i="7" s="1"/>
  <c r="CL15" i="8"/>
  <c r="CL93" i="11"/>
  <c r="AU95" i="7"/>
  <c r="CL30" i="13"/>
  <c r="CL31" i="13"/>
  <c r="CL133" i="11"/>
  <c r="CL146" i="11" s="1"/>
  <c r="CL22" i="13"/>
  <c r="CL157" i="11"/>
  <c r="AU122" i="7" s="1"/>
  <c r="CH40" i="13"/>
  <c r="CL160" i="11"/>
  <c r="AU123" i="7" s="1"/>
  <c r="CL40" i="14"/>
  <c r="CV55" i="13" l="1"/>
  <c r="CQ59" i="13"/>
  <c r="CR55" i="13"/>
  <c r="AV45" i="7"/>
  <c r="CH41" i="13"/>
  <c r="CH157" i="11"/>
  <c r="AQ122" i="7" s="1"/>
  <c r="CI40" i="13"/>
  <c r="AO41" i="15"/>
  <c r="CH162" i="11"/>
  <c r="AQ124" i="7" s="1"/>
  <c r="AN42" i="15"/>
  <c r="CK12" i="11"/>
  <c r="CO13" i="12"/>
  <c r="CM92" i="11"/>
  <c r="AV94" i="7"/>
  <c r="AT79" i="7"/>
  <c r="AT87" i="7"/>
  <c r="CK57" i="11"/>
  <c r="CH160" i="11"/>
  <c r="AQ123" i="7" s="1"/>
  <c r="CM40" i="14"/>
  <c r="CL41" i="14"/>
  <c r="CL156" i="11"/>
  <c r="CL40" i="12"/>
  <c r="CQ31" i="12"/>
  <c r="CM145" i="11"/>
  <c r="CQ30" i="12"/>
  <c r="CQ22" i="12"/>
  <c r="CL23" i="13"/>
  <c r="CL45" i="11"/>
  <c r="CL24" i="13"/>
  <c r="CL18" i="13"/>
  <c r="CL19" i="13" s="1"/>
  <c r="CL20" i="13" s="1"/>
  <c r="AU114" i="7"/>
  <c r="AU106" i="7"/>
  <c r="AN26" i="15"/>
  <c r="CL71" i="11"/>
  <c r="CW55" i="13" l="1"/>
  <c r="CV59" i="13"/>
  <c r="CV83" i="13" s="1"/>
  <c r="CR59" i="13"/>
  <c r="BQ39" i="2"/>
  <c r="CO15" i="12"/>
  <c r="AU79" i="7"/>
  <c r="AU87" i="7" s="1"/>
  <c r="CL57" i="11"/>
  <c r="CL132" i="11"/>
  <c r="CN40" i="14"/>
  <c r="CM41" i="14"/>
  <c r="CI160" i="11"/>
  <c r="AR123" i="7" s="1"/>
  <c r="AV105" i="7"/>
  <c r="AV113" i="7"/>
  <c r="CK78" i="11"/>
  <c r="CO38" i="12"/>
  <c r="CO29" i="12"/>
  <c r="CP29" i="12" s="1"/>
  <c r="CP22" i="12" s="1"/>
  <c r="CO37" i="12"/>
  <c r="CO36" i="12"/>
  <c r="CL41" i="12"/>
  <c r="CH156" i="11"/>
  <c r="CM40" i="12"/>
  <c r="CI162" i="11"/>
  <c r="AR124" i="7" s="1"/>
  <c r="AP41" i="15"/>
  <c r="AQ41" i="15" s="1"/>
  <c r="AO42" i="15"/>
  <c r="CQ23" i="12"/>
  <c r="CQ24" i="12"/>
  <c r="CQ18" i="12"/>
  <c r="CQ19" i="12" s="1"/>
  <c r="AN22" i="15"/>
  <c r="CH71" i="11"/>
  <c r="AO26" i="15"/>
  <c r="AU121" i="7"/>
  <c r="AT61" i="7"/>
  <c r="CL12" i="11"/>
  <c r="AT71" i="7"/>
  <c r="CK11" i="8"/>
  <c r="CJ40" i="13"/>
  <c r="CK40" i="13" s="1"/>
  <c r="CI41" i="13"/>
  <c r="CI157" i="11"/>
  <c r="AR122" i="7" s="1"/>
  <c r="AT12" i="7" l="1"/>
  <c r="CX55" i="13"/>
  <c r="CW59" i="13"/>
  <c r="CW83" i="13" s="1"/>
  <c r="CW84" i="13" s="1"/>
  <c r="CK23" i="8"/>
  <c r="CP31" i="12"/>
  <c r="CP30" i="12"/>
  <c r="CK25" i="11"/>
  <c r="CP15" i="12"/>
  <c r="CK162" i="11"/>
  <c r="AT124" i="7" s="1"/>
  <c r="AQ42" i="15"/>
  <c r="CK92" i="11"/>
  <c r="AT94" i="7"/>
  <c r="CJ160" i="11"/>
  <c r="AS123" i="7" s="1"/>
  <c r="CN41" i="14"/>
  <c r="CO40" i="14"/>
  <c r="CJ41" i="13"/>
  <c r="CJ157" i="11"/>
  <c r="AS122" i="7" s="1"/>
  <c r="CK22" i="11"/>
  <c r="CK36" i="11" s="1"/>
  <c r="AT68" i="7"/>
  <c r="CL21" i="11"/>
  <c r="CL22" i="11" s="1"/>
  <c r="CK20" i="8"/>
  <c r="CK21" i="8" s="1"/>
  <c r="AU61" i="7"/>
  <c r="AU71" i="7" s="1"/>
  <c r="CL11" i="8"/>
  <c r="AN23" i="15"/>
  <c r="AN24" i="15"/>
  <c r="CH50" i="11"/>
  <c r="AN18" i="15"/>
  <c r="AN19" i="15" s="1"/>
  <c r="AN20" i="15" s="1"/>
  <c r="AQ121" i="7"/>
  <c r="CH165" i="11"/>
  <c r="CK41" i="13"/>
  <c r="CK157" i="11"/>
  <c r="AT122" i="7" s="1"/>
  <c r="AO22" i="15"/>
  <c r="AP26" i="15"/>
  <c r="AQ26" i="15" s="1"/>
  <c r="CK71" i="11" s="1"/>
  <c r="CI71" i="11"/>
  <c r="CO30" i="12"/>
  <c r="CO31" i="12"/>
  <c r="CO22" i="12"/>
  <c r="CK132" i="11"/>
  <c r="CK145" i="11" s="1"/>
  <c r="CP23" i="12"/>
  <c r="CL44" i="11"/>
  <c r="CP24" i="12"/>
  <c r="CP18" i="12"/>
  <c r="CP19" i="12" s="1"/>
  <c r="CP20" i="12" s="1"/>
  <c r="AV86" i="7"/>
  <c r="AV78" i="7"/>
  <c r="CJ162" i="11"/>
  <c r="AS124" i="7" s="1"/>
  <c r="AP42" i="15"/>
  <c r="CI156" i="11"/>
  <c r="CN40" i="12"/>
  <c r="CM41" i="12"/>
  <c r="CL68" i="8"/>
  <c r="AT45" i="7"/>
  <c r="BW14" i="10"/>
  <c r="BX14" i="10" s="1"/>
  <c r="CL145" i="11"/>
  <c r="CY55" i="13" l="1"/>
  <c r="CY59" i="13" s="1"/>
  <c r="CY83" i="13" s="1"/>
  <c r="CX59" i="13"/>
  <c r="CX83" i="13" s="1"/>
  <c r="CX84" i="13" s="1"/>
  <c r="BQ38" i="2"/>
  <c r="BI32" i="6"/>
  <c r="CP50" i="12"/>
  <c r="CP102" i="12"/>
  <c r="CP16" i="12"/>
  <c r="CI165" i="11"/>
  <c r="AR126" i="7" s="1"/>
  <c r="AR121" i="7"/>
  <c r="CL56" i="11"/>
  <c r="AU78" i="7"/>
  <c r="AU86" i="7" s="1"/>
  <c r="AQ126" i="7"/>
  <c r="AS29" i="15"/>
  <c r="AT10" i="7"/>
  <c r="BX76" i="9"/>
  <c r="CK22" i="8"/>
  <c r="AT11" i="7" s="1"/>
  <c r="BW100" i="10"/>
  <c r="BQ7" i="2"/>
  <c r="CK160" i="11"/>
  <c r="AT123" i="7" s="1"/>
  <c r="CO41" i="14"/>
  <c r="CK44" i="11"/>
  <c r="CO23" i="12"/>
  <c r="CO24" i="12"/>
  <c r="CO18" i="12"/>
  <c r="CO19" i="12" s="1"/>
  <c r="CO20" i="12" s="1"/>
  <c r="CK23" i="11"/>
  <c r="AT69" i="7"/>
  <c r="AT76" i="7"/>
  <c r="AT105" i="7"/>
  <c r="AT113" i="7"/>
  <c r="AU45" i="7"/>
  <c r="CJ71" i="11"/>
  <c r="AP22" i="15"/>
  <c r="CL20" i="8"/>
  <c r="AU68" i="7"/>
  <c r="AT154" i="7"/>
  <c r="BY52" i="9"/>
  <c r="CO40" i="12"/>
  <c r="CN41" i="12"/>
  <c r="CJ156" i="11"/>
  <c r="AU69" i="7"/>
  <c r="AU76" i="7" s="1"/>
  <c r="CL23" i="11"/>
  <c r="AO23" i="15"/>
  <c r="CI50" i="11"/>
  <c r="AO24" i="15"/>
  <c r="AO18" i="15"/>
  <c r="AO19" i="15" s="1"/>
  <c r="AO20" i="15" s="1"/>
  <c r="AQ81" i="7"/>
  <c r="CH61" i="11"/>
  <c r="AQ89" i="7"/>
  <c r="CM18" i="11"/>
  <c r="CY84" i="13" l="1"/>
  <c r="BI43" i="6"/>
  <c r="BI33" i="6"/>
  <c r="BI45" i="6"/>
  <c r="BI46" i="6"/>
  <c r="BI44" i="6"/>
  <c r="CL21" i="8"/>
  <c r="BR7" i="2" s="1"/>
  <c r="AU12" i="7"/>
  <c r="BR39" i="2"/>
  <c r="CL23" i="8"/>
  <c r="CP81" i="12"/>
  <c r="CP82" i="12" s="1"/>
  <c r="DH40" i="12"/>
  <c r="DH41" i="12" s="1"/>
  <c r="CL189" i="11"/>
  <c r="CL193" i="11" s="1"/>
  <c r="CP51" i="12"/>
  <c r="BR38" i="2"/>
  <c r="BX80" i="9"/>
  <c r="BX79" i="9"/>
  <c r="CJ165" i="11"/>
  <c r="AS121" i="7"/>
  <c r="AU34" i="15"/>
  <c r="CK24" i="11"/>
  <c r="BQ37" i="2" s="1"/>
  <c r="BQ36" i="2"/>
  <c r="CK56" i="11"/>
  <c r="AT78" i="7"/>
  <c r="AT86" i="7"/>
  <c r="CM97" i="11"/>
  <c r="AV97" i="7"/>
  <c r="AS30" i="15"/>
  <c r="AS22" i="15"/>
  <c r="AS31" i="15"/>
  <c r="CM151" i="11"/>
  <c r="AR81" i="7"/>
  <c r="AR89" i="7"/>
  <c r="CI61" i="11"/>
  <c r="BR36" i="2"/>
  <c r="CL24" i="11"/>
  <c r="CO41" i="12"/>
  <c r="CK156" i="11"/>
  <c r="AT29" i="15"/>
  <c r="BX81" i="9"/>
  <c r="BX78" i="9"/>
  <c r="CM17" i="8"/>
  <c r="AV74" i="7"/>
  <c r="AV66" i="7"/>
  <c r="AU154" i="7"/>
  <c r="CJ50" i="11"/>
  <c r="AP23" i="15"/>
  <c r="AP18" i="15"/>
  <c r="AP19" i="15" s="1"/>
  <c r="AP20" i="15" s="1"/>
  <c r="AP24" i="15"/>
  <c r="CL35" i="11"/>
  <c r="BQ138" i="2"/>
  <c r="BQ139" i="2"/>
  <c r="BY76" i="9" l="1"/>
  <c r="BY78" i="9" s="1"/>
  <c r="AU10" i="7"/>
  <c r="CL22" i="8"/>
  <c r="AU11" i="7" s="1"/>
  <c r="BX100" i="10"/>
  <c r="BX101" i="10" s="1"/>
  <c r="BX108" i="9"/>
  <c r="CH79" i="9"/>
  <c r="CH108" i="9" s="1"/>
  <c r="CH110" i="9" s="1"/>
  <c r="CP61" i="12"/>
  <c r="CP59" i="12"/>
  <c r="CP35" i="12"/>
  <c r="CP83" i="12"/>
  <c r="CP91" i="12"/>
  <c r="BR138" i="2"/>
  <c r="BR139" i="2"/>
  <c r="CL31" i="8"/>
  <c r="CL36" i="11"/>
  <c r="AV154" i="7"/>
  <c r="BX92" i="9"/>
  <c r="AT137" i="7"/>
  <c r="BY18" i="9"/>
  <c r="AW97" i="7"/>
  <c r="AU29" i="15"/>
  <c r="AT121" i="7"/>
  <c r="AS23" i="15"/>
  <c r="AS24" i="15"/>
  <c r="AS18" i="15"/>
  <c r="AS19" i="15" s="1"/>
  <c r="AS20" i="15" s="1"/>
  <c r="CK32" i="8"/>
  <c r="BQ58" i="2" s="1"/>
  <c r="AT19" i="7"/>
  <c r="BQ63" i="2"/>
  <c r="AS89" i="7"/>
  <c r="CJ61" i="11"/>
  <c r="AS81" i="7"/>
  <c r="BR37" i="2"/>
  <c r="AV108" i="7"/>
  <c r="AV116" i="7"/>
  <c r="AS126" i="7"/>
  <c r="AT20" i="7"/>
  <c r="CK35" i="8"/>
  <c r="BQ59" i="2" s="1"/>
  <c r="BQ110" i="2"/>
  <c r="BY15" i="9"/>
  <c r="BX90" i="9"/>
  <c r="AT135" i="7"/>
  <c r="AT22" i="15"/>
  <c r="AT31" i="15"/>
  <c r="BY81" i="9" l="1"/>
  <c r="CL78" i="11"/>
  <c r="CP36" i="12"/>
  <c r="CU100" i="12" s="1"/>
  <c r="CP38" i="12"/>
  <c r="CP34" i="12"/>
  <c r="CP37" i="12"/>
  <c r="AX97" i="7"/>
  <c r="AW108" i="7"/>
  <c r="AV89" i="7"/>
  <c r="AV81" i="7"/>
  <c r="AU31" i="15"/>
  <c r="AU22" i="15"/>
  <c r="AU137" i="7"/>
  <c r="BY92" i="9"/>
  <c r="BY80" i="9"/>
  <c r="AU19" i="7"/>
  <c r="BR63" i="2"/>
  <c r="CL32" i="8"/>
  <c r="BR58" i="2" s="1"/>
  <c r="AT24" i="15"/>
  <c r="AU135" i="7"/>
  <c r="BR110" i="2"/>
  <c r="BY90" i="9"/>
  <c r="BY79" i="9"/>
  <c r="BY108" i="9" s="1"/>
  <c r="AU94" i="7" l="1"/>
  <c r="CL92" i="11"/>
  <c r="AX108" i="7"/>
  <c r="AW89" i="7"/>
  <c r="AW81" i="7"/>
  <c r="AU24" i="15"/>
  <c r="AU105" i="7" l="1"/>
  <c r="AU113" i="7"/>
  <c r="AX89" i="7"/>
  <c r="AX81" i="7"/>
  <c r="BR23" i="2"/>
  <c r="AU174" i="7"/>
  <c r="BR100" i="2" l="1"/>
  <c r="BR148" i="2"/>
  <c r="BR145" i="2" l="1"/>
  <c r="BR147" i="2"/>
  <c r="BR146" i="2"/>
  <c r="BR144" i="2"/>
  <c r="CZ101" i="14" l="1"/>
  <c r="DK38" i="14"/>
  <c r="CV101" i="14" l="1"/>
  <c r="CW101" i="14" s="1"/>
  <c r="CX101" i="14" s="1"/>
  <c r="CY101" i="14" s="1"/>
  <c r="AQ36" i="15"/>
  <c r="AQ39" i="15"/>
  <c r="CK83" i="11"/>
  <c r="AQ37" i="15"/>
  <c r="DA101" i="14" l="1"/>
  <c r="DB110" i="14"/>
  <c r="AT97" i="7"/>
  <c r="CK97" i="11"/>
  <c r="DC110" i="14" l="1"/>
  <c r="DC101" i="14" s="1"/>
  <c r="DB101" i="14"/>
  <c r="AT116" i="7"/>
  <c r="AT108" i="7"/>
  <c r="CT101" i="14" l="1"/>
  <c r="CN158" i="14"/>
  <c r="CI76" i="11" l="1"/>
  <c r="BU111" i="10" s="1"/>
  <c r="BU103" i="10" l="1"/>
  <c r="BU109" i="10"/>
  <c r="BU110" i="10" s="1"/>
  <c r="BU108" i="10"/>
  <c r="CK49" i="8" l="1"/>
  <c r="AT169" i="7" l="1"/>
  <c r="BQ60" i="2"/>
  <c r="AT31" i="7"/>
  <c r="BQ106" i="2" l="1"/>
  <c r="BQ108" i="2"/>
  <c r="BY21" i="9"/>
  <c r="AT140" i="7"/>
  <c r="AU140" i="7" l="1"/>
  <c r="BR106" i="2"/>
  <c r="CP98" i="14" l="1"/>
  <c r="CN102" i="14" l="1"/>
  <c r="CO102" i="14" l="1"/>
  <c r="CL87" i="11" l="1"/>
  <c r="BQ112" i="2" l="1"/>
  <c r="BY35" i="9"/>
  <c r="AT145" i="7"/>
  <c r="BX93" i="9"/>
  <c r="AT136" i="7"/>
  <c r="BY16" i="9"/>
  <c r="BQ111" i="2"/>
  <c r="BQ104" i="2"/>
  <c r="BX91" i="9"/>
  <c r="BQ113" i="2" l="1"/>
  <c r="BR112" i="2"/>
  <c r="BY93" i="9"/>
  <c r="AU145" i="7"/>
  <c r="BX99" i="9"/>
  <c r="BX100" i="9" s="1"/>
  <c r="BR104" i="2"/>
  <c r="AU136" i="7"/>
  <c r="BR111" i="2"/>
  <c r="BY91" i="9"/>
  <c r="AT170" i="7"/>
  <c r="AU170" i="7" l="1"/>
  <c r="BY99" i="9"/>
  <c r="BY100" i="9" s="1"/>
  <c r="BR113" i="2"/>
  <c r="AT146" i="7" l="1"/>
  <c r="AT147" i="7" s="1"/>
  <c r="AT152" i="7" s="1"/>
  <c r="BY36" i="9"/>
  <c r="BX39" i="9"/>
  <c r="BX50" i="9" s="1"/>
  <c r="AU146" i="7" l="1"/>
  <c r="AU147" i="7" s="1"/>
  <c r="AU152" i="7" s="1"/>
  <c r="BY39" i="9"/>
  <c r="BY50" i="9" s="1"/>
  <c r="BX62" i="9" l="1"/>
  <c r="AT157" i="7"/>
  <c r="AT160" i="7" s="1"/>
  <c r="BY61" i="9"/>
  <c r="BQ85" i="2" l="1"/>
  <c r="BX112" i="9"/>
  <c r="BX64" i="9"/>
  <c r="AU157" i="7"/>
  <c r="AU160" i="7" s="1"/>
  <c r="BY62" i="9"/>
  <c r="BY124" i="9" s="1"/>
  <c r="BY125" i="9" s="1"/>
  <c r="BR85" i="2" l="1"/>
  <c r="BY112" i="9"/>
  <c r="BY64" i="9"/>
  <c r="BX113" i="9"/>
  <c r="BX114" i="9"/>
  <c r="BX115" i="9" s="1"/>
  <c r="BY114" i="9" l="1"/>
  <c r="BQ16" i="2" l="1"/>
  <c r="BX77" i="9"/>
  <c r="BX19" i="9"/>
  <c r="BX105" i="9"/>
  <c r="AT134" i="7"/>
  <c r="AT138" i="7" s="1"/>
  <c r="BY13" i="9"/>
  <c r="BX107" i="9" l="1"/>
  <c r="BX104" i="9"/>
  <c r="BQ91" i="2"/>
  <c r="BQ92" i="2"/>
  <c r="BY77" i="9"/>
  <c r="BY19" i="9"/>
  <c r="BY105" i="9"/>
  <c r="BR16" i="2"/>
  <c r="AU134" i="7"/>
  <c r="AU138" i="7" s="1"/>
  <c r="BQ79" i="2"/>
  <c r="BQ20" i="2"/>
  <c r="BQ80" i="2"/>
  <c r="BR80" i="2" l="1"/>
  <c r="BR79" i="2"/>
  <c r="BR20" i="2"/>
  <c r="BQ84" i="2"/>
  <c r="BR92" i="2"/>
  <c r="BY104" i="9"/>
  <c r="BR91" i="2"/>
  <c r="BY107" i="9"/>
  <c r="BR84" i="2" l="1"/>
  <c r="BT86" i="10" l="1"/>
  <c r="BT82" i="10"/>
  <c r="BZ134" i="9" l="1"/>
  <c r="BZ136" i="9"/>
  <c r="BZ113" i="9"/>
  <c r="BZ115" i="9"/>
  <c r="BZ75" i="10"/>
  <c r="BZ117" i="9" l="1"/>
  <c r="BZ118" i="9"/>
  <c r="CA75" i="10"/>
  <c r="CA79" i="10" s="1"/>
  <c r="CB134" i="9" s="1"/>
  <c r="CB113" i="9" l="1"/>
  <c r="CB136" i="9"/>
  <c r="CB115" i="9"/>
  <c r="BS142" i="2"/>
  <c r="BS27" i="2"/>
  <c r="AV49" i="7"/>
  <c r="BS131" i="2"/>
  <c r="CA80" i="10"/>
  <c r="CB75" i="10"/>
  <c r="CB79" i="10" s="1"/>
  <c r="CB118" i="9" l="1"/>
  <c r="CB117" i="9"/>
  <c r="CQ33" i="13"/>
  <c r="CQ120" i="11" s="1"/>
  <c r="CQ130" i="11" s="1"/>
  <c r="CQ44" i="8" s="1"/>
  <c r="CM120" i="11"/>
  <c r="CM130" i="11" s="1"/>
  <c r="AV189" i="7"/>
  <c r="BY128" i="10"/>
  <c r="CB80" i="10"/>
  <c r="CC134" i="9"/>
  <c r="CC136" i="9" s="1"/>
  <c r="CM44" i="8" l="1"/>
  <c r="CC117" i="9"/>
  <c r="CC118" i="9"/>
  <c r="CQ122" i="13" l="1"/>
  <c r="CM122" i="13" s="1"/>
  <c r="CM123" i="13" s="1"/>
  <c r="CN122" i="13" l="1"/>
  <c r="DE38" i="13"/>
  <c r="CM36" i="13" l="1"/>
  <c r="CM37" i="13"/>
  <c r="CM38" i="13"/>
  <c r="CM29" i="13"/>
  <c r="CM133" i="11" s="1"/>
  <c r="CP122" i="13" l="1"/>
  <c r="AV95" i="7"/>
  <c r="CM93" i="11"/>
  <c r="CM31" i="13"/>
  <c r="CM30" i="13"/>
  <c r="CM22" i="13"/>
  <c r="CM45" i="11" s="1"/>
  <c r="CM57" i="11" s="1"/>
  <c r="AV114" i="7" l="1"/>
  <c r="AV106" i="7"/>
  <c r="CM146" i="11"/>
  <c r="CM23" i="13"/>
  <c r="CM24" i="13"/>
  <c r="CM18" i="13"/>
  <c r="CM19" i="13" s="1"/>
  <c r="AV87" i="7" l="1"/>
  <c r="AV79" i="7"/>
  <c r="DD177" i="14" l="1"/>
  <c r="DD176" i="14" s="1"/>
  <c r="DA177" i="14"/>
  <c r="DA176" i="14" s="1"/>
  <c r="DB94" i="14" s="1"/>
  <c r="CZ177" i="14"/>
  <c r="CZ176" i="14" s="1"/>
  <c r="CZ94" i="14" l="1"/>
  <c r="DA94" i="14"/>
  <c r="CV94" i="14" l="1"/>
  <c r="CW94" i="14" s="1"/>
  <c r="CX94" i="14" s="1"/>
  <c r="CY94" i="14" s="1"/>
  <c r="CZ96" i="14"/>
  <c r="CZ99" i="14" s="1"/>
  <c r="CU93" i="12"/>
  <c r="CU96" i="12" l="1"/>
  <c r="DI38" i="12"/>
  <c r="AW93" i="15" l="1"/>
  <c r="BK40" i="15" s="1"/>
  <c r="CQ213" i="11" l="1"/>
  <c r="BW24" i="9" l="1"/>
  <c r="BW28" i="9" s="1"/>
  <c r="BW30" i="9" s="1"/>
  <c r="BW66" i="9" l="1"/>
  <c r="BP83" i="2"/>
  <c r="BW130" i="9"/>
  <c r="BP103" i="2"/>
  <c r="BW129" i="9"/>
  <c r="AS141" i="7"/>
  <c r="AS142" i="7" s="1"/>
  <c r="BY24" i="9" l="1"/>
  <c r="BZ24" i="9" l="1"/>
  <c r="CB24" i="9" l="1"/>
  <c r="CC24" i="9" l="1"/>
  <c r="CB16" i="10" s="1"/>
  <c r="CC16" i="10" s="1"/>
  <c r="CD24" i="9" l="1"/>
  <c r="CE24" i="9" l="1"/>
  <c r="CD16" i="10"/>
  <c r="CF24" i="9" l="1"/>
  <c r="CE16" i="10"/>
  <c r="CG24" i="9" l="1"/>
  <c r="CF16" i="10"/>
  <c r="CL142" i="11"/>
  <c r="CH24" i="9" l="1"/>
  <c r="CI24" i="9" s="1"/>
  <c r="CG16" i="10"/>
  <c r="CL88" i="11"/>
  <c r="CJ24" i="9" l="1"/>
  <c r="CI16" i="10"/>
  <c r="CH16" i="10"/>
  <c r="CL90" i="11"/>
  <c r="CK24" i="9" l="1"/>
  <c r="CL24" i="9" s="1"/>
  <c r="CK16" i="10" s="1"/>
  <c r="CJ16" i="10"/>
  <c r="AT14" i="7"/>
  <c r="BQ105" i="2"/>
  <c r="CK26" i="8"/>
  <c r="BX84" i="9"/>
  <c r="CK28" i="8"/>
  <c r="BX86" i="9" l="1"/>
  <c r="BX85" i="9"/>
  <c r="BX88" i="9"/>
  <c r="BX87" i="9"/>
  <c r="BQ41" i="2"/>
  <c r="AT16" i="7"/>
  <c r="BQ8" i="2"/>
  <c r="BQ62" i="2" s="1"/>
  <c r="CK29" i="8"/>
  <c r="BX109" i="9" l="1"/>
  <c r="BX110" i="9" s="1"/>
  <c r="CC109" i="9"/>
  <c r="CC110" i="9" s="1"/>
  <c r="BQ50" i="2"/>
  <c r="AT17" i="7"/>
  <c r="CK104" i="8"/>
  <c r="BQ22" i="2" l="1"/>
  <c r="BQ121" i="2" l="1"/>
  <c r="AT174" i="7" l="1"/>
  <c r="BW101" i="10"/>
  <c r="BQ23" i="2"/>
  <c r="BQ101" i="2" s="1"/>
  <c r="BW25" i="10"/>
  <c r="CK166" i="11"/>
  <c r="BW96" i="10" l="1"/>
  <c r="BQ25" i="2"/>
  <c r="BQ32" i="2" s="1"/>
  <c r="BQ133" i="2" s="1"/>
  <c r="BW107" i="10"/>
  <c r="CK165" i="11"/>
  <c r="BW117" i="10"/>
  <c r="BQ148" i="2"/>
  <c r="BQ147" i="2" s="1"/>
  <c r="BW29" i="10"/>
  <c r="BX29" i="10" s="1"/>
  <c r="AT127" i="7"/>
  <c r="AT175" i="7"/>
  <c r="BQ100" i="2"/>
  <c r="BQ122" i="2" l="1"/>
  <c r="AT126" i="7"/>
  <c r="CL165" i="11"/>
  <c r="BQ144" i="2"/>
  <c r="BQ145" i="2"/>
  <c r="BQ146" i="2"/>
  <c r="AT179" i="7"/>
  <c r="CL166" i="11" l="1"/>
  <c r="AU126" i="7"/>
  <c r="AQ29" i="15"/>
  <c r="AQ30" i="15" s="1"/>
  <c r="CK112" i="11"/>
  <c r="AR27" i="15"/>
  <c r="BX107" i="10" l="1"/>
  <c r="AU127" i="7"/>
  <c r="CK138" i="11"/>
  <c r="CK151" i="11" s="1"/>
  <c r="AQ31" i="15"/>
  <c r="CL112" i="11"/>
  <c r="AQ22" i="15"/>
  <c r="CQ112" i="11" l="1"/>
  <c r="BB27" i="15"/>
  <c r="BA27" i="15" s="1"/>
  <c r="CU112" i="11" s="1"/>
  <c r="AQ24" i="15"/>
  <c r="AQ23" i="15"/>
  <c r="AQ18" i="15"/>
  <c r="AQ19" i="15" s="1"/>
  <c r="AQ20" i="15" s="1"/>
  <c r="CK50" i="11"/>
  <c r="AT89" i="7" l="1"/>
  <c r="AT81" i="7"/>
  <c r="CK61" i="11"/>
  <c r="CP112" i="11"/>
  <c r="CV112" i="11"/>
  <c r="BC27" i="15"/>
  <c r="BD27" i="15" s="1"/>
  <c r="BE27" i="15" l="1"/>
  <c r="CY112" i="11" s="1"/>
  <c r="CX112" i="11"/>
  <c r="CW112" i="11"/>
  <c r="CK110" i="11" l="1"/>
  <c r="CK117" i="11" s="1"/>
  <c r="CP27" i="14"/>
  <c r="CL110" i="11" s="1"/>
  <c r="CL117" i="11" s="1"/>
  <c r="CU104" i="14" l="1"/>
  <c r="CZ104" i="14" s="1"/>
  <c r="CQ110" i="11"/>
  <c r="CQ117" i="11" s="1"/>
  <c r="AZ100" i="7" s="1"/>
  <c r="AU100" i="7"/>
  <c r="CL43" i="8"/>
  <c r="DK42" i="14"/>
  <c r="CQ104" i="14"/>
  <c r="CK43" i="8"/>
  <c r="AT100" i="7"/>
  <c r="CZ27" i="14"/>
  <c r="CV27" i="14" s="1"/>
  <c r="DA104" i="14" l="1"/>
  <c r="CV104" i="14"/>
  <c r="CW104" i="14" s="1"/>
  <c r="CX104" i="14" s="1"/>
  <c r="CY104" i="14" s="1"/>
  <c r="CR110" i="11"/>
  <c r="CR117" i="11" s="1"/>
  <c r="CW27" i="14"/>
  <c r="CQ43" i="8"/>
  <c r="AU26" i="7"/>
  <c r="CM110" i="11"/>
  <c r="CM117" i="11" s="1"/>
  <c r="DB104" i="14"/>
  <c r="DC104" i="14" s="1"/>
  <c r="CR104" i="14"/>
  <c r="AT26" i="7"/>
  <c r="CV110" i="11"/>
  <c r="CV117" i="11" s="1"/>
  <c r="DA27" i="14"/>
  <c r="CR43" i="8" l="1"/>
  <c r="BA26" i="7" s="1"/>
  <c r="BA100" i="7"/>
  <c r="CX27" i="14"/>
  <c r="CS110" i="11"/>
  <c r="CS117" i="11" s="1"/>
  <c r="CW110" i="11"/>
  <c r="CW117" i="11" s="1"/>
  <c r="DB27" i="14"/>
  <c r="AZ26" i="7"/>
  <c r="BE100" i="7"/>
  <c r="CV43" i="8"/>
  <c r="CL79" i="8"/>
  <c r="CS104" i="14"/>
  <c r="CM43" i="8"/>
  <c r="AV100" i="7"/>
  <c r="CW43" i="8" l="1"/>
  <c r="BF26" i="7" s="1"/>
  <c r="BF100" i="7"/>
  <c r="CS43" i="8"/>
  <c r="BB26" i="7" s="1"/>
  <c r="BB100" i="7"/>
  <c r="CX110" i="11"/>
  <c r="CX117" i="11" s="1"/>
  <c r="CX43" i="8" s="1"/>
  <c r="DC27" i="14"/>
  <c r="CY110" i="11" s="1"/>
  <c r="CY117" i="11" s="1"/>
  <c r="CY43" i="8" s="1"/>
  <c r="CY27" i="14"/>
  <c r="CU110" i="11" s="1"/>
  <c r="CU117" i="11" s="1"/>
  <c r="CT110" i="11"/>
  <c r="CT117" i="11" s="1"/>
  <c r="CT27" i="14"/>
  <c r="CP110" i="11" s="1"/>
  <c r="CP117" i="11" s="1"/>
  <c r="AY100" i="7" s="1"/>
  <c r="BE26" i="7"/>
  <c r="AW100" i="7"/>
  <c r="CN43" i="8"/>
  <c r="AV26" i="7"/>
  <c r="CO43" i="8"/>
  <c r="AX100" i="7"/>
  <c r="CT104" i="14"/>
  <c r="CU43" i="8" l="1"/>
  <c r="BD26" i="7" s="1"/>
  <c r="BD100" i="7"/>
  <c r="CT43" i="8"/>
  <c r="BC26" i="7" s="1"/>
  <c r="BC100" i="7"/>
  <c r="CP43" i="8"/>
  <c r="AX26" i="7"/>
  <c r="AW26" i="7"/>
  <c r="AY26" i="7" l="1"/>
  <c r="CO37" i="14"/>
  <c r="CO36" i="14"/>
  <c r="CO39" i="14"/>
  <c r="CO38" i="14"/>
  <c r="CK82" i="11"/>
  <c r="AT96" i="7" s="1"/>
  <c r="CO29" i="14"/>
  <c r="CK136" i="11" s="1"/>
  <c r="CP35" i="14"/>
  <c r="CK149" i="11" l="1"/>
  <c r="CL82" i="11"/>
  <c r="CP29" i="14"/>
  <c r="CL136" i="11" s="1"/>
  <c r="CO30" i="14"/>
  <c r="CO31" i="14"/>
  <c r="AT99" i="7"/>
  <c r="AT115" i="7"/>
  <c r="AT107" i="7"/>
  <c r="AT118" i="7"/>
  <c r="CP38" i="14"/>
  <c r="CP34" i="14"/>
  <c r="CP36" i="14"/>
  <c r="CK86" i="11"/>
  <c r="CK96" i="11"/>
  <c r="CP30" i="14" l="1"/>
  <c r="AU96" i="7"/>
  <c r="CP31" i="14"/>
  <c r="CL96" i="11"/>
  <c r="BQ11" i="2"/>
  <c r="AT110" i="7"/>
  <c r="BQ44" i="2"/>
  <c r="CK89" i="11"/>
  <c r="CK100" i="11"/>
  <c r="CL149" i="11"/>
  <c r="AU107" i="7" l="1"/>
  <c r="AU115" i="7"/>
  <c r="BQ66" i="2"/>
  <c r="BQ53" i="2"/>
  <c r="AT21" i="7" l="1"/>
  <c r="CK39" i="8"/>
  <c r="CK143" i="11" s="1"/>
  <c r="CK41" i="11"/>
  <c r="AW21" i="7" l="1"/>
  <c r="CK46" i="8"/>
  <c r="BQ43" i="2" s="1"/>
  <c r="CL41" i="11"/>
  <c r="CK42" i="11"/>
  <c r="CK41" i="8"/>
  <c r="AT23" i="7"/>
  <c r="AT24" i="7" s="1"/>
  <c r="CK51" i="8"/>
  <c r="CK40" i="8"/>
  <c r="CK106" i="8" s="1"/>
  <c r="AV21" i="7" l="1"/>
  <c r="CP41" i="11"/>
  <c r="CP37" i="8" s="1"/>
  <c r="AY21" i="7" s="1"/>
  <c r="AX21" i="7"/>
  <c r="CK47" i="8"/>
  <c r="BQ52" i="2" s="1"/>
  <c r="BQ10" i="2"/>
  <c r="AT28" i="7"/>
  <c r="AT29" i="7" s="1"/>
  <c r="CK54" i="11"/>
  <c r="CL42" i="11"/>
  <c r="CL37" i="8"/>
  <c r="AU21" i="7" s="1"/>
  <c r="CK52" i="8"/>
  <c r="BQ42" i="2"/>
  <c r="AT33" i="7"/>
  <c r="BQ9" i="2"/>
  <c r="BQ65" i="2"/>
  <c r="CQ41" i="11" l="1"/>
  <c r="CQ37" i="8" s="1"/>
  <c r="AZ21" i="7" s="1"/>
  <c r="AT34" i="7"/>
  <c r="BQ51" i="2"/>
  <c r="AT42" i="7"/>
  <c r="CL65" i="8"/>
  <c r="BQ64" i="2"/>
  <c r="BQ78" i="2"/>
  <c r="BQ77" i="2"/>
  <c r="AT35" i="7"/>
  <c r="AU42" i="7" l="1"/>
  <c r="CO158" i="14" l="1"/>
  <c r="CO160" i="14" s="1"/>
  <c r="CN160" i="14"/>
  <c r="CJ76" i="11" l="1"/>
  <c r="BV111" i="10" s="1"/>
  <c r="BV103" i="10" l="1"/>
  <c r="BV108" i="10"/>
  <c r="BV109" i="10"/>
  <c r="BV110" i="10" s="1"/>
  <c r="CK76" i="11"/>
  <c r="BW111" i="10" s="1"/>
  <c r="BX111" i="10" s="1"/>
  <c r="CP160" i="14"/>
  <c r="CU160" i="14" l="1"/>
  <c r="CP95" i="14"/>
  <c r="BX103" i="10"/>
  <c r="BX114" i="10"/>
  <c r="CP162" i="14"/>
  <c r="CU158" i="14" s="1"/>
  <c r="CQ158" i="14"/>
  <c r="CQ160" i="14" s="1"/>
  <c r="BW103" i="10"/>
  <c r="CZ160" i="14" l="1"/>
  <c r="CU95" i="14"/>
  <c r="CU162" i="14"/>
  <c r="CZ158" i="14" s="1"/>
  <c r="CP22" i="14"/>
  <c r="CL26" i="14"/>
  <c r="CL70" i="11"/>
  <c r="CV160" i="14"/>
  <c r="CW160" i="14" s="1"/>
  <c r="CX160" i="14" s="1"/>
  <c r="CY160" i="14" s="1"/>
  <c r="BY26" i="9"/>
  <c r="BX25" i="9"/>
  <c r="CL95" i="14"/>
  <c r="CP96" i="14"/>
  <c r="CZ95" i="14" l="1"/>
  <c r="DA160" i="14"/>
  <c r="CT160" i="14"/>
  <c r="CM76" i="11"/>
  <c r="BY111" i="10" s="1"/>
  <c r="CZ162" i="14"/>
  <c r="DA158" i="14" s="1"/>
  <c r="DI39" i="14"/>
  <c r="CP99" i="14"/>
  <c r="CU96" i="14"/>
  <c r="CQ96" i="14"/>
  <c r="CL93" i="14"/>
  <c r="CM95" i="14"/>
  <c r="BX28" i="9"/>
  <c r="BX30" i="9" s="1"/>
  <c r="BY25" i="9"/>
  <c r="AT141" i="7"/>
  <c r="AT142" i="7" s="1"/>
  <c r="CP24" i="14"/>
  <c r="CP23" i="14"/>
  <c r="CL48" i="11"/>
  <c r="CP18" i="14"/>
  <c r="CP19" i="14" s="1"/>
  <c r="CP20" i="14" s="1"/>
  <c r="CM26" i="14"/>
  <c r="CH70" i="11"/>
  <c r="CH74" i="11" s="1"/>
  <c r="CL22" i="14"/>
  <c r="BZ25" i="9"/>
  <c r="DA95" i="14" l="1"/>
  <c r="DA96" i="14" s="1"/>
  <c r="DA99" i="14" s="1"/>
  <c r="DB160" i="14"/>
  <c r="CV95" i="14"/>
  <c r="DA162" i="14"/>
  <c r="BY28" i="9"/>
  <c r="BY30" i="9" s="1"/>
  <c r="AU141" i="7"/>
  <c r="AU142" i="7" s="1"/>
  <c r="CR95" i="14"/>
  <c r="CR158" i="14"/>
  <c r="BX130" i="9"/>
  <c r="BQ103" i="2"/>
  <c r="BQ83" i="2"/>
  <c r="BX129" i="9"/>
  <c r="BX66" i="9"/>
  <c r="DJ39" i="14"/>
  <c r="CM93" i="14"/>
  <c r="CN95" i="14"/>
  <c r="CN93" i="14" s="1"/>
  <c r="CI70" i="11"/>
  <c r="CI74" i="11" s="1"/>
  <c r="CM22" i="14"/>
  <c r="CN26" i="14"/>
  <c r="CO26" i="14" s="1"/>
  <c r="CL60" i="11"/>
  <c r="AU80" i="7"/>
  <c r="AU88" i="7" s="1"/>
  <c r="CL23" i="14"/>
  <c r="CH48" i="11"/>
  <c r="CL18" i="14"/>
  <c r="CL19" i="14" s="1"/>
  <c r="CL20" i="14" s="1"/>
  <c r="CL24" i="14"/>
  <c r="DC160" i="14" l="1"/>
  <c r="DC95" i="14" s="1"/>
  <c r="DC96" i="14" s="1"/>
  <c r="DC99" i="14" s="1"/>
  <c r="DB95" i="14"/>
  <c r="DB96" i="14" s="1"/>
  <c r="DB99" i="14" s="1"/>
  <c r="CJ26" i="9"/>
  <c r="DB158" i="14"/>
  <c r="DB162" i="14" s="1"/>
  <c r="CW95" i="14"/>
  <c r="CV96" i="14"/>
  <c r="CV99" i="14" s="1"/>
  <c r="CO95" i="14"/>
  <c r="CO93" i="14"/>
  <c r="CO22" i="14"/>
  <c r="CK70" i="11"/>
  <c r="CK74" i="11" s="1"/>
  <c r="CS158" i="14"/>
  <c r="CS162" i="14" s="1"/>
  <c r="CR96" i="14"/>
  <c r="CS95" i="14"/>
  <c r="CS96" i="14" s="1"/>
  <c r="AV141" i="7"/>
  <c r="AQ80" i="7"/>
  <c r="AQ88" i="7"/>
  <c r="CH53" i="11"/>
  <c r="CH60" i="11"/>
  <c r="CJ70" i="11"/>
  <c r="CJ74" i="11" s="1"/>
  <c r="CN22" i="14"/>
  <c r="BY66" i="9"/>
  <c r="BR103" i="2"/>
  <c r="BR83" i="2"/>
  <c r="BY130" i="9"/>
  <c r="BY129" i="9"/>
  <c r="CM23" i="14"/>
  <c r="CI48" i="11"/>
  <c r="CM24" i="14"/>
  <c r="CM18" i="14"/>
  <c r="CM19" i="14" s="1"/>
  <c r="CM20" i="14" s="1"/>
  <c r="CC27" i="9" l="1"/>
  <c r="CD27" i="9" s="1"/>
  <c r="CE27" i="9" s="1"/>
  <c r="CF27" i="9" s="1"/>
  <c r="CG27" i="9" s="1"/>
  <c r="CH27" i="9" s="1"/>
  <c r="CI27" i="9" s="1"/>
  <c r="CJ27" i="9" s="1"/>
  <c r="CK27" i="9" s="1"/>
  <c r="CL27" i="9" s="1"/>
  <c r="CA25" i="9"/>
  <c r="AW141" i="7" s="1"/>
  <c r="CX95" i="14"/>
  <c r="CW96" i="14"/>
  <c r="CW99" i="14" s="1"/>
  <c r="DC158" i="14"/>
  <c r="DC162" i="14" s="1"/>
  <c r="CL26" i="9" s="1"/>
  <c r="CK26" i="9"/>
  <c r="CO96" i="14"/>
  <c r="CO99" i="14" s="1"/>
  <c r="CL74" i="11"/>
  <c r="AQ83" i="7"/>
  <c r="AQ91" i="7"/>
  <c r="AR80" i="7"/>
  <c r="CI60" i="11"/>
  <c r="AR88" i="7"/>
  <c r="CI53" i="11"/>
  <c r="CB26" i="9"/>
  <c r="CB25" i="9" s="1"/>
  <c r="CT158" i="14"/>
  <c r="CT162" i="14" s="1"/>
  <c r="CJ48" i="11"/>
  <c r="CN24" i="14"/>
  <c r="CN23" i="14"/>
  <c r="CN18" i="14"/>
  <c r="CN19" i="14" s="1"/>
  <c r="CN20" i="14" s="1"/>
  <c r="CO24" i="14"/>
  <c r="CK48" i="11"/>
  <c r="CK53" i="11" s="1"/>
  <c r="CO23" i="14"/>
  <c r="CO18" i="14"/>
  <c r="CO19" i="14" s="1"/>
  <c r="CO20" i="14" s="1"/>
  <c r="CT95" i="14"/>
  <c r="CT96" i="14" s="1"/>
  <c r="CC25" i="9" l="1"/>
  <c r="CX96" i="14"/>
  <c r="CX99" i="14" s="1"/>
  <c r="CY95" i="14"/>
  <c r="CY96" i="14" s="1"/>
  <c r="CY99" i="14" s="1"/>
  <c r="CC26" i="9"/>
  <c r="CD26" i="9" s="1"/>
  <c r="CV158" i="14"/>
  <c r="CV162" i="14" s="1"/>
  <c r="CL75" i="11"/>
  <c r="BX13" i="10" s="1"/>
  <c r="AX141" i="7"/>
  <c r="CK60" i="11"/>
  <c r="AT88" i="7"/>
  <c r="AT80" i="7"/>
  <c r="CJ60" i="11"/>
  <c r="CJ53" i="11"/>
  <c r="CL53" i="11" s="1"/>
  <c r="CV53" i="11" s="1"/>
  <c r="CW53" i="11" s="1"/>
  <c r="AS88" i="7"/>
  <c r="AS80" i="7"/>
  <c r="AR83" i="7"/>
  <c r="AR91" i="7"/>
  <c r="CW158" i="14" l="1"/>
  <c r="CW162" i="14" s="1"/>
  <c r="CE26" i="9"/>
  <c r="CL76" i="11"/>
  <c r="CL49" i="8"/>
  <c r="BR60" i="2" s="1"/>
  <c r="AU83" i="7"/>
  <c r="AU91" i="7" s="1"/>
  <c r="BR108" i="2"/>
  <c r="BR101" i="2"/>
  <c r="AU169" i="7"/>
  <c r="AS91" i="7"/>
  <c r="AS83" i="7"/>
  <c r="AY141" i="7"/>
  <c r="CD25" i="9"/>
  <c r="CE25" i="9" s="1"/>
  <c r="AU31" i="7" l="1"/>
  <c r="CF25" i="9"/>
  <c r="BA141" i="7"/>
  <c r="CX158" i="14"/>
  <c r="CX162" i="14" s="1"/>
  <c r="CF26" i="9"/>
  <c r="AZ83" i="7"/>
  <c r="AZ91" i="7" s="1"/>
  <c r="CR53" i="11"/>
  <c r="AZ141" i="7"/>
  <c r="AT91" i="7"/>
  <c r="AT83" i="7"/>
  <c r="CG25" i="9" l="1"/>
  <c r="BB141" i="7"/>
  <c r="BA83" i="7"/>
  <c r="CS53" i="11"/>
  <c r="CY158" i="14"/>
  <c r="CY162" i="14" s="1"/>
  <c r="CH26" i="9" s="1"/>
  <c r="CI26" i="9" s="1"/>
  <c r="CG26" i="9"/>
  <c r="BE83" i="7"/>
  <c r="BE91" i="7" s="1"/>
  <c r="BF83" i="7"/>
  <c r="AT84" i="7"/>
  <c r="AT92" i="7"/>
  <c r="CK64" i="11"/>
  <c r="CH25" i="9" l="1"/>
  <c r="BC141" i="7"/>
  <c r="BF91" i="7"/>
  <c r="BB83" i="7"/>
  <c r="CX53" i="11"/>
  <c r="CT53" i="11"/>
  <c r="CI25" i="9" l="1"/>
  <c r="BD141" i="7"/>
  <c r="BC83" i="7"/>
  <c r="CU53" i="11"/>
  <c r="CY53" i="11"/>
  <c r="BE141" i="7" l="1"/>
  <c r="CJ25" i="9"/>
  <c r="BD83" i="7"/>
  <c r="CK25" i="9" l="1"/>
  <c r="CL25" i="9" s="1"/>
  <c r="BF141" i="7"/>
  <c r="BX96" i="9"/>
  <c r="BX97" i="9" s="1"/>
  <c r="BY94" i="9"/>
  <c r="BY96" i="9" s="1"/>
  <c r="BY97" i="9" s="1"/>
  <c r="BW61" i="10"/>
  <c r="AT193" i="7"/>
  <c r="AT195" i="7" s="1"/>
  <c r="BW54" i="10"/>
  <c r="BW55" i="10" s="1"/>
  <c r="BW48" i="10" l="1"/>
  <c r="BW57" i="10" s="1"/>
  <c r="AT191" i="7" l="1"/>
  <c r="CJ54" i="8" l="1"/>
  <c r="CJ61" i="8" s="1"/>
  <c r="BV70" i="10" s="1"/>
  <c r="BV68" i="10"/>
  <c r="CK54" i="8" l="1"/>
  <c r="CK58" i="8" s="1"/>
  <c r="CK59" i="8" s="1"/>
  <c r="BQ54" i="2" s="1"/>
  <c r="BV118" i="10"/>
  <c r="BV119" i="10" s="1"/>
  <c r="BV71" i="10"/>
  <c r="BP89" i="2"/>
  <c r="CJ110" i="8"/>
  <c r="CJ109" i="8"/>
  <c r="AS37" i="7"/>
  <c r="BV120" i="10"/>
  <c r="AS38" i="7"/>
  <c r="CJ58" i="8"/>
  <c r="BP87" i="2"/>
  <c r="AT38" i="7" l="1"/>
  <c r="CK61" i="8"/>
  <c r="CK63" i="8" s="1"/>
  <c r="CK70" i="8" s="1"/>
  <c r="BW26" i="10" s="1"/>
  <c r="BQ12" i="2"/>
  <c r="BX122" i="9"/>
  <c r="BQ69" i="2"/>
  <c r="BP69" i="2"/>
  <c r="CJ63" i="8"/>
  <c r="BP12" i="2"/>
  <c r="BP88" i="2" s="1"/>
  <c r="BW122" i="9"/>
  <c r="CJ59" i="8"/>
  <c r="BP54" i="2" s="1"/>
  <c r="CL54" i="8"/>
  <c r="CK110" i="8" l="1"/>
  <c r="CK109" i="8"/>
  <c r="BQ89" i="2"/>
  <c r="BQ88" i="2"/>
  <c r="AT37" i="7"/>
  <c r="BW70" i="10"/>
  <c r="BX70" i="10" s="1"/>
  <c r="BQ87" i="2"/>
  <c r="BQ13" i="2"/>
  <c r="AT40" i="7"/>
  <c r="BQ55" i="2"/>
  <c r="CK66" i="8"/>
  <c r="CL194" i="11" s="1"/>
  <c r="BW71" i="10"/>
  <c r="AU38" i="7"/>
  <c r="BW12" i="10"/>
  <c r="BW20" i="10" s="1"/>
  <c r="AT171" i="7" s="1"/>
  <c r="CK71" i="8"/>
  <c r="CK77" i="8"/>
  <c r="AT47" i="7"/>
  <c r="CK81" i="8"/>
  <c r="CJ66" i="8"/>
  <c r="AS40" i="7"/>
  <c r="BP13" i="2"/>
  <c r="BP55" i="2"/>
  <c r="CJ70" i="8"/>
  <c r="BV26" i="10" s="1"/>
  <c r="AT43" i="7" l="1"/>
  <c r="BW118" i="10"/>
  <c r="BW119" i="10" s="1"/>
  <c r="BW120" i="10" s="1"/>
  <c r="BW130" i="10"/>
  <c r="BQ119" i="2"/>
  <c r="BX118" i="10"/>
  <c r="BX119" i="10" s="1"/>
  <c r="BX71" i="10"/>
  <c r="CL61" i="8"/>
  <c r="BX120" i="9"/>
  <c r="BX121" i="9"/>
  <c r="CK92" i="8"/>
  <c r="CK93" i="8" s="1"/>
  <c r="BX128" i="9"/>
  <c r="BX132" i="9" s="1"/>
  <c r="CK86" i="8"/>
  <c r="CK87" i="8" s="1"/>
  <c r="CK89" i="8"/>
  <c r="CK113" i="8"/>
  <c r="AT168" i="7"/>
  <c r="AT172" i="7" s="1"/>
  <c r="BW30" i="10"/>
  <c r="CJ71" i="8"/>
  <c r="AS47" i="7"/>
  <c r="CJ81" i="8"/>
  <c r="BV12" i="10"/>
  <c r="CJ77" i="8"/>
  <c r="BP119" i="2"/>
  <c r="AS43" i="7"/>
  <c r="BV130" i="10"/>
  <c r="BQ68" i="2"/>
  <c r="CK107" i="8"/>
  <c r="CK83" i="8"/>
  <c r="BQ14" i="2"/>
  <c r="BQ123" i="2" s="1"/>
  <c r="BQ56" i="2"/>
  <c r="AT180" i="7"/>
  <c r="AT176" i="7"/>
  <c r="AU37" i="7" l="1"/>
  <c r="BV30" i="10"/>
  <c r="AS168" i="7"/>
  <c r="BV20" i="10"/>
  <c r="BX20" i="10" s="1"/>
  <c r="AS176" i="7"/>
  <c r="AS180" i="7"/>
  <c r="CK90" i="8"/>
  <c r="AT54" i="7"/>
  <c r="BQ30" i="2"/>
  <c r="CK84" i="8"/>
  <c r="BQ46" i="2" s="1"/>
  <c r="BW95" i="10"/>
  <c r="AT51" i="7"/>
  <c r="AT52" i="7" s="1"/>
  <c r="BQ29" i="2"/>
  <c r="BQ132" i="2" s="1"/>
  <c r="BP56" i="2"/>
  <c r="CJ107" i="8"/>
  <c r="BP68" i="2"/>
  <c r="BP14" i="2"/>
  <c r="BP123" i="2" s="1"/>
  <c r="CJ83" i="8"/>
  <c r="BW120" i="9"/>
  <c r="CJ113" i="8"/>
  <c r="BW121" i="9"/>
  <c r="CJ89" i="8"/>
  <c r="BW128" i="9"/>
  <c r="BW132" i="9" s="1"/>
  <c r="CJ86" i="8"/>
  <c r="CJ87" i="8" s="1"/>
  <c r="CJ92" i="8"/>
  <c r="CJ93" i="8" s="1"/>
  <c r="CJ90" i="8" l="1"/>
  <c r="AS54" i="7"/>
  <c r="BP30" i="2"/>
  <c r="BV95" i="10"/>
  <c r="CJ84" i="8"/>
  <c r="BP46" i="2" s="1"/>
  <c r="BP29" i="2"/>
  <c r="BP132" i="2" s="1"/>
  <c r="AS51" i="7"/>
  <c r="AS52" i="7" s="1"/>
  <c r="AS171" i="7"/>
  <c r="AS172" i="7" s="1"/>
  <c r="AU171" i="7" l="1"/>
  <c r="CK154" i="11" l="1"/>
  <c r="AT103" i="7"/>
  <c r="AT119" i="7" s="1"/>
  <c r="CK141" i="11"/>
  <c r="AT102" i="7" s="1"/>
  <c r="CL141" i="11" l="1"/>
  <c r="AU102" i="7" s="1"/>
  <c r="AT111" i="7"/>
  <c r="AT101" i="7"/>
  <c r="CK181" i="11"/>
  <c r="CK31" i="11"/>
  <c r="CL38" i="11"/>
  <c r="CL181" i="11" s="1"/>
  <c r="CK39" i="11"/>
  <c r="CL184" i="11" l="1"/>
  <c r="CL183" i="11"/>
  <c r="CL39" i="11"/>
  <c r="CL182" i="11" s="1"/>
  <c r="CL34" i="8"/>
  <c r="CK182" i="11"/>
  <c r="CK33" i="11"/>
  <c r="CK32" i="11"/>
  <c r="CK28" i="11"/>
  <c r="CK29" i="11" s="1"/>
  <c r="CL186" i="11" l="1"/>
  <c r="CP100" i="14" s="1"/>
  <c r="AU20" i="7"/>
  <c r="CL35" i="8"/>
  <c r="BR59" i="2" s="1"/>
  <c r="CP107" i="14" l="1"/>
  <c r="CP113" i="14" s="1"/>
  <c r="CP37" i="14" s="1"/>
  <c r="CO100" i="14"/>
  <c r="CO107" i="14" s="1"/>
  <c r="DI37" i="14"/>
  <c r="DI43" i="14" s="1"/>
  <c r="AR92" i="15"/>
  <c r="AR94" i="15" l="1"/>
  <c r="BJ39" i="15" l="1"/>
  <c r="BJ41" i="15" s="1"/>
  <c r="AR97" i="15"/>
  <c r="AR109" i="15" l="1"/>
  <c r="AR104" i="15" l="1"/>
  <c r="AR37" i="15" l="1"/>
  <c r="AR34" i="15"/>
  <c r="AR38" i="15"/>
  <c r="CL83" i="11"/>
  <c r="AR39" i="15"/>
  <c r="AR36" i="15"/>
  <c r="AR29" i="15"/>
  <c r="AR31" i="15" l="1"/>
  <c r="AR30" i="15"/>
  <c r="AR22" i="15"/>
  <c r="CL138" i="11"/>
  <c r="CL97" i="11"/>
  <c r="CL86" i="11"/>
  <c r="AU97" i="7"/>
  <c r="AR23" i="15" l="1"/>
  <c r="AR24" i="15"/>
  <c r="AR18" i="15"/>
  <c r="AR19" i="15" s="1"/>
  <c r="AR20" i="15" s="1"/>
  <c r="CL50" i="11"/>
  <c r="AU118" i="7"/>
  <c r="AU108" i="7"/>
  <c r="AU99" i="7"/>
  <c r="AU110" i="7" s="1"/>
  <c r="AU116" i="7"/>
  <c r="CL143" i="11"/>
  <c r="CL151" i="11"/>
  <c r="BR11" i="2"/>
  <c r="CZ86" i="11"/>
  <c r="BR44" i="2"/>
  <c r="CL100" i="11"/>
  <c r="CL89" i="11"/>
  <c r="AU103" i="7" l="1"/>
  <c r="CL154" i="11"/>
  <c r="CL31" i="11"/>
  <c r="AU81" i="7"/>
  <c r="AU89" i="7" s="1"/>
  <c r="CL61" i="11"/>
  <c r="CL54" i="11"/>
  <c r="BR66" i="2"/>
  <c r="BR53" i="2"/>
  <c r="AU111" i="7" l="1"/>
  <c r="AU101" i="7"/>
  <c r="AU119" i="7"/>
  <c r="AU84" i="7"/>
  <c r="AU92" i="7" s="1"/>
  <c r="CL64" i="11"/>
  <c r="CL32" i="11"/>
  <c r="CL33" i="11"/>
  <c r="CL28" i="11"/>
  <c r="CL29" i="11" l="1"/>
  <c r="CL25" i="8"/>
  <c r="AU14" i="7" l="1"/>
  <c r="BR105" i="2"/>
  <c r="CL26" i="8"/>
  <c r="BY84" i="9"/>
  <c r="CL28" i="8"/>
  <c r="BY88" i="9" l="1"/>
  <c r="BY87" i="9"/>
  <c r="BY85" i="9"/>
  <c r="BY86" i="9"/>
  <c r="BY109" i="9" s="1"/>
  <c r="BY110" i="9" s="1"/>
  <c r="BR41" i="2"/>
  <c r="CL29" i="8"/>
  <c r="BR8" i="2"/>
  <c r="BR62" i="2" s="1"/>
  <c r="AU16" i="7"/>
  <c r="CL39" i="8"/>
  <c r="AU17" i="7" l="1"/>
  <c r="BR50" i="2"/>
  <c r="CL104" i="8"/>
  <c r="AU23" i="7"/>
  <c r="AU24" i="7" s="1"/>
  <c r="CL41" i="8"/>
  <c r="CL110" i="8"/>
  <c r="CL51" i="8"/>
  <c r="CL40" i="8"/>
  <c r="CL106" i="8" s="1"/>
  <c r="CL58" i="8"/>
  <c r="CL46" i="8"/>
  <c r="AU28" i="7" l="1"/>
  <c r="AU29" i="7" s="1"/>
  <c r="BR43" i="2"/>
  <c r="BR10" i="2"/>
  <c r="BR65" i="2" s="1"/>
  <c r="CL47" i="8"/>
  <c r="BR42" i="2"/>
  <c r="BR9" i="2"/>
  <c r="CL52" i="8"/>
  <c r="CL109" i="8"/>
  <c r="AU33" i="7"/>
  <c r="AU35" i="7" s="1"/>
  <c r="BR69" i="2"/>
  <c r="BY122" i="9"/>
  <c r="CL59" i="8"/>
  <c r="BR54" i="2" s="1"/>
  <c r="BR12" i="2"/>
  <c r="BR88" i="2" s="1"/>
  <c r="CL63" i="8"/>
  <c r="BR52" i="2" l="1"/>
  <c r="BR64" i="2"/>
  <c r="BR78" i="2"/>
  <c r="BR87" i="2"/>
  <c r="BR77" i="2"/>
  <c r="AU34" i="7"/>
  <c r="BR51" i="2"/>
  <c r="BR55" i="2"/>
  <c r="CL67" i="8"/>
  <c r="AU40" i="7"/>
  <c r="CL66" i="8"/>
  <c r="BR13" i="2"/>
  <c r="CL70" i="8"/>
  <c r="AU47" i="7" l="1"/>
  <c r="CL71" i="8"/>
  <c r="CL81" i="8"/>
  <c r="BX12" i="10"/>
  <c r="CL77" i="8"/>
  <c r="BR119" i="2"/>
  <c r="AU43" i="7"/>
  <c r="BX130" i="10"/>
  <c r="BY121" i="9" l="1"/>
  <c r="CL89" i="8"/>
  <c r="BY120" i="9"/>
  <c r="CL92" i="8"/>
  <c r="CL93" i="8" s="1"/>
  <c r="BY128" i="9"/>
  <c r="BY132" i="9" s="1"/>
  <c r="CL113" i="8"/>
  <c r="CL86" i="8"/>
  <c r="CL87" i="8" s="1"/>
  <c r="AU168" i="7"/>
  <c r="AU172" i="7" s="1"/>
  <c r="BR14" i="2"/>
  <c r="BR56" i="2"/>
  <c r="CL107" i="8"/>
  <c r="BX30" i="10"/>
  <c r="BR68" i="2"/>
  <c r="CL83" i="8"/>
  <c r="BR22" i="2" l="1"/>
  <c r="BX25" i="10"/>
  <c r="CL84" i="8"/>
  <c r="BR46" i="2" s="1"/>
  <c r="BR29" i="2"/>
  <c r="BR132" i="2" s="1"/>
  <c r="AU51" i="7"/>
  <c r="AU52" i="7" s="1"/>
  <c r="BX95" i="10"/>
  <c r="AU54" i="7"/>
  <c r="BR30" i="2"/>
  <c r="CL90" i="8"/>
  <c r="BX26" i="10" l="1"/>
  <c r="BX96" i="10"/>
  <c r="AU175" i="7"/>
  <c r="BX117" i="10"/>
  <c r="BX120" i="10" s="1"/>
  <c r="BR121" i="2"/>
  <c r="BR25" i="2"/>
  <c r="BR122" i="2" l="1"/>
  <c r="BR89" i="2"/>
  <c r="BR32" i="2"/>
  <c r="BR133" i="2" s="1"/>
  <c r="BR123" i="2"/>
  <c r="AU176" i="7"/>
  <c r="AU179" i="7"/>
  <c r="AU180" i="7" s="1"/>
  <c r="BW108" i="10" l="1"/>
  <c r="BW109" i="10" s="1"/>
  <c r="BW110" i="10" s="1"/>
  <c r="BW35" i="10" l="1"/>
  <c r="AT184" i="7" s="1"/>
  <c r="BX108" i="10"/>
  <c r="BX109" i="10" s="1"/>
  <c r="BW36" i="10" l="1"/>
  <c r="BX35" i="10"/>
  <c r="BX110" i="10"/>
  <c r="BX112" i="10"/>
  <c r="BY106" i="10" s="1"/>
  <c r="BY108" i="10" l="1"/>
  <c r="AU184" i="7"/>
  <c r="BX36" i="10"/>
  <c r="AT185" i="7"/>
  <c r="CC106" i="10"/>
  <c r="BY109" i="10" l="1"/>
  <c r="BY110" i="10" s="1"/>
  <c r="AU185" i="7"/>
  <c r="CM54" i="8" l="1"/>
  <c r="AV38" i="7" l="1"/>
  <c r="CM61" i="8"/>
  <c r="CQ16" i="11" l="1"/>
  <c r="CU40" i="14"/>
  <c r="CQ40" i="14" s="1"/>
  <c r="CU13" i="14"/>
  <c r="CQ15" i="8" l="1"/>
  <c r="CR40" i="14"/>
  <c r="CN160" i="11" s="1"/>
  <c r="CM160" i="11"/>
  <c r="CQ160" i="11"/>
  <c r="CU26" i="14"/>
  <c r="AZ65" i="7"/>
  <c r="AZ123" i="7" l="1"/>
  <c r="AZ73" i="7"/>
  <c r="CS40" i="14"/>
  <c r="CO160" i="11" s="1"/>
  <c r="AV123" i="7"/>
  <c r="CQ26" i="14"/>
  <c r="CM70" i="11" s="1"/>
  <c r="CM74" i="11" s="1"/>
  <c r="CQ70" i="11"/>
  <c r="CV37" i="8" l="1"/>
  <c r="BE21" i="7" s="1"/>
  <c r="AW123" i="7"/>
  <c r="CT40" i="14"/>
  <c r="CM23" i="8"/>
  <c r="AV12" i="7"/>
  <c r="BS39" i="2"/>
  <c r="CM16" i="11"/>
  <c r="CQ41" i="14"/>
  <c r="CR26" i="14"/>
  <c r="CN70" i="11" s="1"/>
  <c r="AV65" i="7" l="1"/>
  <c r="AV73" i="7"/>
  <c r="CM15" i="8"/>
  <c r="CM49" i="8"/>
  <c r="AV169" i="7"/>
  <c r="CP160" i="11"/>
  <c r="AW12" i="7"/>
  <c r="BT39" i="2"/>
  <c r="CN23" i="8"/>
  <c r="AX123" i="7"/>
  <c r="CS26" i="14"/>
  <c r="CO70" i="11" s="1"/>
  <c r="CO74" i="11" s="1"/>
  <c r="BZ84" i="9" l="1"/>
  <c r="AV31" i="7"/>
  <c r="AY123" i="7"/>
  <c r="CT26" i="14"/>
  <c r="CP70" i="11" s="1"/>
  <c r="BU39" i="2"/>
  <c r="CO23" i="8"/>
  <c r="AX12" i="7"/>
  <c r="BZ88" i="9" l="1"/>
  <c r="BZ87" i="9"/>
  <c r="BZ86" i="9"/>
  <c r="BZ109" i="9" s="1"/>
  <c r="BZ85" i="9"/>
  <c r="CQ36" i="14" l="1"/>
  <c r="CQ37" i="14"/>
  <c r="CQ38" i="14"/>
  <c r="CQ31" i="14" l="1"/>
  <c r="CQ30" i="14"/>
  <c r="CQ22" i="14"/>
  <c r="CM48" i="11" s="1"/>
  <c r="CM60" i="11" s="1"/>
  <c r="CM96" i="11"/>
  <c r="AV96" i="7"/>
  <c r="CM149" i="11" l="1"/>
  <c r="AV118" i="7"/>
  <c r="AV115" i="7"/>
  <c r="AV107" i="7"/>
  <c r="AV99" i="7"/>
  <c r="CQ23" i="14"/>
  <c r="CQ24" i="14"/>
  <c r="CQ18" i="14"/>
  <c r="CQ19" i="14" s="1"/>
  <c r="CQ20" i="14" s="1"/>
  <c r="AV110" i="7"/>
  <c r="BS44" i="2"/>
  <c r="BS11" i="2"/>
  <c r="AV88" i="7" l="1"/>
  <c r="AV80" i="7"/>
  <c r="CQ20" i="12" l="1"/>
  <c r="CQ15" i="12"/>
  <c r="CM20" i="13" l="1"/>
  <c r="CM15" i="13"/>
  <c r="BK37" i="6" s="1"/>
  <c r="CM127" i="13" l="1"/>
  <c r="CM124" i="13" s="1"/>
  <c r="CM25" i="11"/>
  <c r="BS38" i="2" l="1"/>
  <c r="BK32" i="6"/>
  <c r="BK33" i="6" l="1"/>
  <c r="BK45" i="6"/>
  <c r="BK46" i="6"/>
  <c r="B46" i="6" s="1"/>
  <c r="BK44" i="6"/>
  <c r="BK43" i="6"/>
  <c r="CS11" i="14" l="1"/>
  <c r="AT30" i="15"/>
  <c r="AT23" i="15"/>
  <c r="AT18" i="15"/>
  <c r="AT19" i="15" s="1"/>
  <c r="AT20" i="15" s="1"/>
  <c r="CS11" i="12" l="1"/>
  <c r="CO18" i="11"/>
  <c r="AU30" i="15"/>
  <c r="AU23" i="15"/>
  <c r="AU18" i="15"/>
  <c r="AU19" i="15" s="1"/>
  <c r="AU20" i="15" s="1"/>
  <c r="AW74" i="7"/>
  <c r="AW66" i="7"/>
  <c r="AW116" i="7" s="1"/>
  <c r="CN17" i="8"/>
  <c r="CO16" i="11"/>
  <c r="CS41" i="14"/>
  <c r="CN12" i="8" l="1"/>
  <c r="AW72" i="7"/>
  <c r="AW62" i="7"/>
  <c r="CO13" i="11"/>
  <c r="CO15" i="8"/>
  <c r="AX73" i="7"/>
  <c r="AX65" i="7"/>
  <c r="AX66" i="7"/>
  <c r="AX116" i="7" s="1"/>
  <c r="CO17" i="8"/>
  <c r="CO97" i="11"/>
  <c r="AX74" i="7"/>
  <c r="CO151" i="11"/>
  <c r="CO61" i="11"/>
  <c r="CO12" i="11"/>
  <c r="AW61" i="7"/>
  <c r="CN11" i="8"/>
  <c r="AW71" i="7"/>
  <c r="AV68" i="7"/>
  <c r="CM22" i="11"/>
  <c r="CM20" i="8"/>
  <c r="CM21" i="8" s="1"/>
  <c r="CR22" i="12" l="1"/>
  <c r="AW45" i="7"/>
  <c r="BZ76" i="9"/>
  <c r="AX61" i="7"/>
  <c r="CO11" i="8"/>
  <c r="AX71" i="7"/>
  <c r="AW94" i="7"/>
  <c r="AX62" i="7"/>
  <c r="CO12" i="8"/>
  <c r="AX72" i="7"/>
  <c r="CM36" i="11"/>
  <c r="CR36" i="11" s="1"/>
  <c r="CM39" i="11"/>
  <c r="CR39" i="11" s="1"/>
  <c r="CS37" i="12"/>
  <c r="CS29" i="12"/>
  <c r="CS38" i="12"/>
  <c r="AV127" i="7"/>
  <c r="BS7" i="2"/>
  <c r="AV10" i="7"/>
  <c r="BY100" i="10"/>
  <c r="BS60" i="2"/>
  <c r="CM22" i="8"/>
  <c r="AV11" i="7" s="1"/>
  <c r="CM100" i="11"/>
  <c r="AV69" i="7"/>
  <c r="CM23" i="11"/>
  <c r="AW154" i="7" l="1"/>
  <c r="CO132" i="11"/>
  <c r="CO145" i="11" s="1"/>
  <c r="CS22" i="12"/>
  <c r="CS31" i="12"/>
  <c r="CS30" i="12"/>
  <c r="CR23" i="12"/>
  <c r="CR24" i="12"/>
  <c r="CR18" i="12"/>
  <c r="CR19" i="12" s="1"/>
  <c r="CA14" i="10"/>
  <c r="AX45" i="7"/>
  <c r="CR182" i="11"/>
  <c r="CM182" i="11"/>
  <c r="AW105" i="7"/>
  <c r="AW113" i="7"/>
  <c r="BZ78" i="9"/>
  <c r="BZ81" i="9"/>
  <c r="BZ77" i="9"/>
  <c r="BZ100" i="9"/>
  <c r="BZ79" i="9"/>
  <c r="BZ97" i="9"/>
  <c r="CE97" i="9" s="1"/>
  <c r="BZ80" i="9"/>
  <c r="CO92" i="11"/>
  <c r="AX94" i="7"/>
  <c r="BS53" i="2"/>
  <c r="BS138" i="2"/>
  <c r="BS139" i="2"/>
  <c r="BS66" i="2"/>
  <c r="BY101" i="10"/>
  <c r="BY103" i="10"/>
  <c r="AV174" i="7"/>
  <c r="BS23" i="2"/>
  <c r="BS36" i="2"/>
  <c r="CM24" i="11"/>
  <c r="BS37" i="2" s="1"/>
  <c r="CM181" i="11"/>
  <c r="AV76" i="7"/>
  <c r="AX154" i="7" l="1"/>
  <c r="AX105" i="7"/>
  <c r="AX113" i="7"/>
  <c r="BZ108" i="9"/>
  <c r="BZ110" i="9" s="1"/>
  <c r="CE108" i="9"/>
  <c r="CE110" i="9" s="1"/>
  <c r="AS38" i="15"/>
  <c r="AW78" i="7"/>
  <c r="AW86" i="7"/>
  <c r="CS24" i="12"/>
  <c r="CS23" i="12"/>
  <c r="CS18" i="12"/>
  <c r="CS19" i="12" s="1"/>
  <c r="CS20" i="12" s="1"/>
  <c r="AV20" i="7"/>
  <c r="CM35" i="8"/>
  <c r="BS59" i="2" s="1"/>
  <c r="AV135" i="7"/>
  <c r="BS110" i="2"/>
  <c r="AV19" i="7"/>
  <c r="BS63" i="2"/>
  <c r="CM32" i="8"/>
  <c r="BS58" i="2" s="1"/>
  <c r="AV137" i="7"/>
  <c r="BS100" i="2"/>
  <c r="BS101" i="2"/>
  <c r="BS148" i="2"/>
  <c r="BS145" i="2" s="1"/>
  <c r="AX78" i="7" l="1"/>
  <c r="CO56" i="11"/>
  <c r="AX86" i="7"/>
  <c r="BS108" i="2"/>
  <c r="AV140" i="7"/>
  <c r="BZ28" i="9"/>
  <c r="BS106" i="2"/>
  <c r="BS147" i="2"/>
  <c r="BS146" i="2"/>
  <c r="BS144" i="2"/>
  <c r="CM26" i="8" l="1"/>
  <c r="AV14" i="7"/>
  <c r="CM28" i="8"/>
  <c r="BS41" i="2" l="1"/>
  <c r="CM29" i="8"/>
  <c r="AV16" i="7"/>
  <c r="BS8" i="2"/>
  <c r="BS62" i="2" s="1"/>
  <c r="CM39" i="8"/>
  <c r="CM143" i="11" s="1"/>
  <c r="CM141" i="11" s="1"/>
  <c r="CM41" i="8" l="1"/>
  <c r="CM51" i="8"/>
  <c r="CM54" i="11" s="1"/>
  <c r="CM40" i="8"/>
  <c r="CM106" i="8" s="1"/>
  <c r="AV23" i="7"/>
  <c r="AV24" i="7" s="1"/>
  <c r="CM46" i="8"/>
  <c r="CM58" i="8"/>
  <c r="BS112" i="2"/>
  <c r="AV145" i="7"/>
  <c r="BS111" i="2"/>
  <c r="AV136" i="7"/>
  <c r="BS104" i="2"/>
  <c r="AV170" i="7"/>
  <c r="BS105" i="2"/>
  <c r="AV17" i="7"/>
  <c r="CM104" i="8"/>
  <c r="BS50" i="2"/>
  <c r="BZ122" i="9" l="1"/>
  <c r="CM64" i="11"/>
  <c r="CM53" i="11"/>
  <c r="AV92" i="7"/>
  <c r="AV84" i="7"/>
  <c r="BS113" i="2"/>
  <c r="BS12" i="2"/>
  <c r="CM59" i="8"/>
  <c r="BS54" i="2" s="1"/>
  <c r="BS9" i="2"/>
  <c r="CM52" i="8"/>
  <c r="BS42" i="2"/>
  <c r="AV33" i="7"/>
  <c r="AV35" i="7" s="1"/>
  <c r="BS43" i="2"/>
  <c r="BS10" i="2"/>
  <c r="BS65" i="2" s="1"/>
  <c r="CM47" i="8"/>
  <c r="BS52" i="2" s="1"/>
  <c r="AV28" i="7"/>
  <c r="AV29" i="7" s="1"/>
  <c r="BA91" i="7" l="1"/>
  <c r="AV91" i="7"/>
  <c r="AV83" i="7"/>
  <c r="BS78" i="2"/>
  <c r="BS64" i="2"/>
  <c r="AV146" i="7"/>
  <c r="AV147" i="7" s="1"/>
  <c r="AV152" i="7" s="1"/>
  <c r="BZ39" i="9"/>
  <c r="BZ50" i="9" s="1"/>
  <c r="AV34" i="7"/>
  <c r="BS51" i="2"/>
  <c r="CM89" i="11" l="1"/>
  <c r="BX37" i="2" l="1"/>
  <c r="CU15" i="14" l="1"/>
  <c r="DE18" i="14" s="1"/>
  <c r="CO20" i="8" l="1"/>
  <c r="CO21" i="8" s="1"/>
  <c r="AX68" i="7"/>
  <c r="CO22" i="11"/>
  <c r="CU16" i="14"/>
  <c r="CT16" i="14" s="1"/>
  <c r="AW73" i="7"/>
  <c r="AW65" i="7"/>
  <c r="CN15" i="8"/>
  <c r="CR41" i="14"/>
  <c r="CA100" i="10" l="1"/>
  <c r="CA101" i="10" s="1"/>
  <c r="CB76" i="9"/>
  <c r="CO39" i="11"/>
  <c r="CO36" i="11"/>
  <c r="CT36" i="11" s="1"/>
  <c r="CN20" i="8"/>
  <c r="CN21" i="8" s="1"/>
  <c r="AW68" i="7"/>
  <c r="AX69" i="7"/>
  <c r="AX76" i="7" s="1"/>
  <c r="CO23" i="11"/>
  <c r="AX10" i="7"/>
  <c r="BU7" i="2"/>
  <c r="CO22" i="8"/>
  <c r="AX11" i="7" s="1"/>
  <c r="CT13" i="14"/>
  <c r="CT12" i="14" s="1"/>
  <c r="CT11" i="14" s="1"/>
  <c r="AW69" i="7"/>
  <c r="AW76" i="7" s="1"/>
  <c r="CT39" i="11" l="1"/>
  <c r="CT182" i="11" s="1"/>
  <c r="CO182" i="11"/>
  <c r="CP39" i="11"/>
  <c r="CB79" i="9"/>
  <c r="CB108" i="9" s="1"/>
  <c r="CB81" i="9"/>
  <c r="CB77" i="9"/>
  <c r="CB78" i="9"/>
  <c r="CB80" i="9"/>
  <c r="CB97" i="9"/>
  <c r="BZ100" i="10"/>
  <c r="BZ101" i="10" s="1"/>
  <c r="CA76" i="9"/>
  <c r="CB100" i="9" s="1"/>
  <c r="AW10" i="7"/>
  <c r="CN22" i="8"/>
  <c r="AW11" i="7" s="1"/>
  <c r="BT7" i="2"/>
  <c r="CO181" i="11"/>
  <c r="BU36" i="2"/>
  <c r="BU63" i="2"/>
  <c r="CO32" i="8"/>
  <c r="BU58" i="2" s="1"/>
  <c r="AX19" i="7"/>
  <c r="BU138" i="2"/>
  <c r="BU139" i="2"/>
  <c r="CT41" i="14"/>
  <c r="CP16" i="11"/>
  <c r="BT36" i="2"/>
  <c r="CU39" i="11" l="1"/>
  <c r="CU182" i="11" s="1"/>
  <c r="CP182" i="11"/>
  <c r="CA79" i="9"/>
  <c r="CA77" i="9"/>
  <c r="CA78" i="9"/>
  <c r="CA80" i="9"/>
  <c r="CC80" i="9" s="1"/>
  <c r="CE80" i="9" s="1"/>
  <c r="CA81" i="9"/>
  <c r="CA97" i="9"/>
  <c r="CA100" i="9"/>
  <c r="BT138" i="2"/>
  <c r="BT110" i="2"/>
  <c r="BT139" i="2"/>
  <c r="AX137" i="7"/>
  <c r="AX20" i="7"/>
  <c r="CO35" i="8"/>
  <c r="BU59" i="2" s="1"/>
  <c r="AY73" i="7"/>
  <c r="CP15" i="8"/>
  <c r="AY65" i="7"/>
  <c r="BT63" i="2"/>
  <c r="CN32" i="8"/>
  <c r="BT58" i="2" s="1"/>
  <c r="AW19" i="7"/>
  <c r="AW20" i="7"/>
  <c r="CN35" i="8"/>
  <c r="BT59" i="2" s="1"/>
  <c r="AW137" i="7"/>
  <c r="CF80" i="9" l="1"/>
  <c r="CH80" i="9" s="1"/>
  <c r="CG80" i="9"/>
  <c r="CF97" i="9"/>
  <c r="CA108" i="9"/>
  <c r="CA110" i="9" s="1"/>
  <c r="CF79" i="9"/>
  <c r="CF108" i="9" s="1"/>
  <c r="CF110" i="9" s="1"/>
  <c r="AW135" i="7"/>
  <c r="CH97" i="9" l="1"/>
  <c r="CG97" i="9"/>
  <c r="BU110" i="2" l="1"/>
  <c r="AX135" i="7"/>
  <c r="AW96" i="7" l="1"/>
  <c r="CR22" i="14"/>
  <c r="CN48" i="11" s="1"/>
  <c r="CN60" i="11" s="1"/>
  <c r="CR23" i="14" l="1"/>
  <c r="CR24" i="14"/>
  <c r="CR18" i="14"/>
  <c r="CR19" i="14" s="1"/>
  <c r="CR20" i="14" s="1"/>
  <c r="AW107" i="7"/>
  <c r="AW115" i="7"/>
  <c r="AW88" i="7" l="1"/>
  <c r="AW80" i="7"/>
  <c r="BS88" i="2" l="1"/>
  <c r="BS87" i="2"/>
  <c r="CM109" i="8"/>
  <c r="AV37" i="7"/>
  <c r="CM110" i="8"/>
  <c r="BY70" i="10"/>
  <c r="CM63" i="8"/>
  <c r="CM66" i="8" s="1"/>
  <c r="BY130" i="10" l="1"/>
  <c r="AV43" i="7"/>
  <c r="BS119" i="2"/>
  <c r="BS55" i="2"/>
  <c r="AV40" i="7"/>
  <c r="BS13" i="2"/>
  <c r="BY71" i="10"/>
  <c r="BY118" i="10"/>
  <c r="BY119" i="10" s="1"/>
  <c r="AV42" i="7" l="1"/>
  <c r="CM70" i="8"/>
  <c r="AV47" i="7" l="1"/>
  <c r="CM71" i="8"/>
  <c r="CM81" i="8"/>
  <c r="CM77" i="8"/>
  <c r="BY12" i="10"/>
  <c r="CB71" i="10"/>
  <c r="CB70" i="10" l="1"/>
  <c r="CP61" i="8" s="1"/>
  <c r="CD71" i="10"/>
  <c r="BZ121" i="9"/>
  <c r="BZ128" i="9"/>
  <c r="CM113" i="8"/>
  <c r="CM89" i="8"/>
  <c r="CM92" i="8"/>
  <c r="CM93" i="8" s="1"/>
  <c r="CM86" i="8"/>
  <c r="CM87" i="8" s="1"/>
  <c r="BS56" i="2"/>
  <c r="CM107" i="8"/>
  <c r="BS14" i="2"/>
  <c r="CM83" i="8"/>
  <c r="AV168" i="7"/>
  <c r="CB118" i="10" l="1"/>
  <c r="CB119" i="10" s="1"/>
  <c r="CE71" i="10"/>
  <c r="CD70" i="10"/>
  <c r="AV157" i="7"/>
  <c r="AV160" i="7" s="1"/>
  <c r="BZ62" i="9"/>
  <c r="BS30" i="2"/>
  <c r="AV54" i="7"/>
  <c r="CM90" i="8"/>
  <c r="BY95" i="10"/>
  <c r="BS29" i="2"/>
  <c r="BS132" i="2" s="1"/>
  <c r="CM84" i="8"/>
  <c r="BS46" i="2" s="1"/>
  <c r="AV51" i="7"/>
  <c r="AV52" i="7" s="1"/>
  <c r="AY37" i="7"/>
  <c r="CD118" i="10" l="1"/>
  <c r="CD119" i="10" s="1"/>
  <c r="CR61" i="8"/>
  <c r="BA37" i="7" s="1"/>
  <c r="CF71" i="10"/>
  <c r="CE70" i="10"/>
  <c r="BZ64" i="9"/>
  <c r="BS69" i="2"/>
  <c r="BS85" i="2"/>
  <c r="BS68" i="2"/>
  <c r="CG71" i="10" l="1"/>
  <c r="CG70" i="10" s="1"/>
  <c r="CF70" i="10"/>
  <c r="CE118" i="10"/>
  <c r="CE119" i="10" s="1"/>
  <c r="CS61" i="8"/>
  <c r="BB37" i="7" s="1"/>
  <c r="BZ19" i="9"/>
  <c r="BS16" i="2"/>
  <c r="AV134" i="7"/>
  <c r="AV138" i="7" s="1"/>
  <c r="AV142" i="7" s="1"/>
  <c r="CF118" i="10" l="1"/>
  <c r="CF119" i="10" s="1"/>
  <c r="CT61" i="8"/>
  <c r="BC37" i="7" s="1"/>
  <c r="CH70" i="10"/>
  <c r="CU61" i="8"/>
  <c r="BD37" i="7" s="1"/>
  <c r="CG118" i="10"/>
  <c r="CG119" i="10" s="1"/>
  <c r="BS79" i="2"/>
  <c r="BS80" i="2"/>
  <c r="BS20" i="2"/>
  <c r="BS91" i="2"/>
  <c r="BS92" i="2"/>
  <c r="BZ30" i="9"/>
  <c r="CH118" i="10" l="1"/>
  <c r="CH119" i="10" s="1"/>
  <c r="CH71" i="10"/>
  <c r="CI71" i="10" s="1"/>
  <c r="CV61" i="8"/>
  <c r="BZ130" i="9"/>
  <c r="BZ129" i="9"/>
  <c r="BZ132" i="9" s="1"/>
  <c r="BZ120" i="9"/>
  <c r="BS77" i="2"/>
  <c r="BS84" i="2"/>
  <c r="BS83" i="2"/>
  <c r="BS103" i="2"/>
  <c r="BZ66" i="9"/>
  <c r="BS22" i="2"/>
  <c r="BY20" i="10"/>
  <c r="AV171" i="7" s="1"/>
  <c r="AV172" i="7" s="1"/>
  <c r="BY25" i="10"/>
  <c r="BY29" i="10" s="1"/>
  <c r="BE37" i="7" l="1"/>
  <c r="CI70" i="10"/>
  <c r="CJ71" i="10"/>
  <c r="BY30" i="10"/>
  <c r="BY36" i="10"/>
  <c r="AV175" i="7"/>
  <c r="BY26" i="10"/>
  <c r="BY117" i="10"/>
  <c r="BY120" i="10" s="1"/>
  <c r="BY96" i="10"/>
  <c r="BS121" i="2"/>
  <c r="BS25" i="2"/>
  <c r="CJ70" i="10" l="1"/>
  <c r="CK71" i="10"/>
  <c r="CK70" i="10" s="1"/>
  <c r="CI118" i="10"/>
  <c r="CI119" i="10" s="1"/>
  <c r="CW61" i="8"/>
  <c r="BS89" i="2"/>
  <c r="BS32" i="2"/>
  <c r="BS133" i="2" s="1"/>
  <c r="BS123" i="2"/>
  <c r="BS122" i="2"/>
  <c r="AV176" i="7"/>
  <c r="AV179" i="7"/>
  <c r="AV180" i="7" s="1"/>
  <c r="AV185" i="7"/>
  <c r="BY44" i="10"/>
  <c r="BY47" i="10" s="1"/>
  <c r="BF37" i="7" l="1"/>
  <c r="CY61" i="8"/>
  <c r="CK118" i="10"/>
  <c r="CK119" i="10" s="1"/>
  <c r="CJ118" i="10"/>
  <c r="CJ119" i="10" s="1"/>
  <c r="CX61" i="8"/>
  <c r="AV190" i="7"/>
  <c r="AV191" i="7"/>
  <c r="AV193" i="7" l="1"/>
  <c r="AV195" i="7" s="1"/>
  <c r="CN54" i="8" l="1"/>
  <c r="CN61" i="8" s="1"/>
  <c r="BZ70" i="10" s="1"/>
  <c r="BZ118" i="10" l="1"/>
  <c r="BZ71" i="10"/>
  <c r="CC70" i="10"/>
  <c r="AW37" i="7"/>
  <c r="AW38" i="7"/>
  <c r="CC118" i="10" l="1"/>
  <c r="CC119" i="10" s="1"/>
  <c r="CQ61" i="8"/>
  <c r="CC71" i="10"/>
  <c r="BZ119" i="10"/>
  <c r="BZ120" i="10" s="1"/>
  <c r="CM154" i="11"/>
  <c r="AV103" i="7"/>
  <c r="AV111" i="7" s="1"/>
  <c r="CM31" i="11"/>
  <c r="CM33" i="11" s="1"/>
  <c r="AV102" i="7"/>
  <c r="AZ37" i="7" l="1"/>
  <c r="CM28" i="11"/>
  <c r="CM29" i="11" s="1"/>
  <c r="CM32" i="11"/>
  <c r="AV101" i="7"/>
  <c r="AV119" i="7"/>
  <c r="CN120" i="13"/>
  <c r="CP120" i="13" s="1"/>
  <c r="CP123" i="13" l="1"/>
  <c r="CN36" i="13"/>
  <c r="CN38" i="13"/>
  <c r="CN37" i="13"/>
  <c r="CQ119" i="13" l="1"/>
  <c r="CO37" i="13"/>
  <c r="CO38" i="13"/>
  <c r="CO29" i="13"/>
  <c r="CO31" i="13" s="1"/>
  <c r="CO36" i="13"/>
  <c r="AW95" i="7"/>
  <c r="AW118" i="7" s="1"/>
  <c r="CN22" i="13"/>
  <c r="CN24" i="13" s="1"/>
  <c r="BT44" i="2"/>
  <c r="CO93" i="11"/>
  <c r="AX95" i="7"/>
  <c r="AW114" i="7"/>
  <c r="AW99" i="7"/>
  <c r="CO30" i="13" l="1"/>
  <c r="CO146" i="11"/>
  <c r="DE39" i="13"/>
  <c r="CQ123" i="13"/>
  <c r="CO22" i="13"/>
  <c r="CO18" i="13" s="1"/>
  <c r="CO19" i="13" s="1"/>
  <c r="AW106" i="7"/>
  <c r="CN23" i="13"/>
  <c r="CN18" i="13"/>
  <c r="CN19" i="13" s="1"/>
  <c r="AW110" i="7"/>
  <c r="BT11" i="2"/>
  <c r="BT66" i="2" s="1"/>
  <c r="AX106" i="7"/>
  <c r="AX114" i="7"/>
  <c r="AX79" i="7" l="1"/>
  <c r="CO23" i="13"/>
  <c r="CO24" i="13"/>
  <c r="AW79" i="7"/>
  <c r="AW87" i="7"/>
  <c r="BT53" i="2"/>
  <c r="AX87" i="7" l="1"/>
  <c r="CO57" i="11"/>
  <c r="AW14" i="7" l="1"/>
  <c r="CN26" i="8"/>
  <c r="CN28" i="8"/>
  <c r="AW16" i="7" l="1"/>
  <c r="CN29" i="8"/>
  <c r="BT41" i="2"/>
  <c r="BT8" i="2"/>
  <c r="BT62" i="2" s="1"/>
  <c r="CN39" i="8"/>
  <c r="CN143" i="11" s="1"/>
  <c r="CN141" i="11" l="1"/>
  <c r="CN154" i="11"/>
  <c r="CN104" i="8"/>
  <c r="BT50" i="2"/>
  <c r="AW17" i="7"/>
  <c r="CN110" i="8"/>
  <c r="CN41" i="8"/>
  <c r="AW23" i="7"/>
  <c r="AW24" i="7" s="1"/>
  <c r="CN40" i="8"/>
  <c r="CN106" i="8" s="1"/>
  <c r="CN46" i="8"/>
  <c r="CN58" i="8"/>
  <c r="CA122" i="9" l="1"/>
  <c r="BT12" i="2"/>
  <c r="BT88" i="2" s="1"/>
  <c r="CN59" i="8"/>
  <c r="BT54" i="2" s="1"/>
  <c r="CN63" i="8"/>
  <c r="CN66" i="8" s="1"/>
  <c r="BT43" i="2"/>
  <c r="BT10" i="2"/>
  <c r="BT65" i="2" s="1"/>
  <c r="AW28" i="7"/>
  <c r="AW29" i="7" s="1"/>
  <c r="CN47" i="8"/>
  <c r="BT52" i="2" s="1"/>
  <c r="AW43" i="7" l="1"/>
  <c r="BZ130" i="10"/>
  <c r="BT119" i="2"/>
  <c r="AW40" i="7"/>
  <c r="BT55" i="2"/>
  <c r="BT13" i="2"/>
  <c r="CN70" i="8" l="1"/>
  <c r="AW42" i="7"/>
  <c r="CN81" i="8" l="1"/>
  <c r="BT14" i="2" s="1"/>
  <c r="CN77" i="8"/>
  <c r="CN113" i="8" s="1"/>
  <c r="BZ12" i="10"/>
  <c r="AW47" i="7"/>
  <c r="CN71" i="8"/>
  <c r="BT56" i="2" l="1"/>
  <c r="CA128" i="9"/>
  <c r="CA121" i="9"/>
  <c r="CN107" i="8"/>
  <c r="AW168" i="7"/>
  <c r="BZ20" i="10"/>
  <c r="CR79" i="8" l="1"/>
  <c r="CD130" i="10"/>
  <c r="CS66" i="8"/>
  <c r="CS79" i="8" l="1"/>
  <c r="CE130" i="10"/>
  <c r="CT66" i="8"/>
  <c r="CF130" i="10" l="1"/>
  <c r="CT79" i="8"/>
  <c r="CU66" i="8"/>
  <c r="CG130" i="10" l="1"/>
  <c r="CU79" i="8"/>
  <c r="BY37" i="2" l="1"/>
  <c r="CZ74" i="14" l="1"/>
  <c r="CZ75" i="14" s="1"/>
  <c r="CZ216" i="14"/>
  <c r="CZ102" i="14" s="1"/>
  <c r="CV102" i="14" s="1"/>
  <c r="CW102" i="14" s="1"/>
  <c r="CX102" i="14" s="1"/>
  <c r="CY102" i="14" s="1"/>
  <c r="CZ12" i="14" l="1"/>
  <c r="DA216" i="14"/>
  <c r="DA74" i="14"/>
  <c r="CZ215" i="14"/>
  <c r="CV16" i="11" l="1"/>
  <c r="CZ40" i="14"/>
  <c r="CZ13" i="14"/>
  <c r="CZ16" i="14" s="1"/>
  <c r="DA102" i="14"/>
  <c r="DA215" i="14"/>
  <c r="DB216" i="14"/>
  <c r="DB74" i="14"/>
  <c r="DA12" i="14"/>
  <c r="DA75" i="14"/>
  <c r="CW16" i="14" l="1"/>
  <c r="CV160" i="11"/>
  <c r="CZ26" i="14"/>
  <c r="CV40" i="14"/>
  <c r="CV15" i="8"/>
  <c r="BE65" i="7"/>
  <c r="BE73" i="7" s="1"/>
  <c r="DB12" i="14"/>
  <c r="DB75" i="14"/>
  <c r="DC74" i="14"/>
  <c r="DC216" i="14"/>
  <c r="DB215" i="14"/>
  <c r="DB102" i="14"/>
  <c r="CW16" i="11"/>
  <c r="DA40" i="14"/>
  <c r="DA13" i="14"/>
  <c r="DA16" i="14" s="1"/>
  <c r="BE123" i="7" l="1"/>
  <c r="CR160" i="11"/>
  <c r="CW40" i="14"/>
  <c r="CV70" i="11"/>
  <c r="CY26" i="14"/>
  <c r="CU70" i="11" s="1"/>
  <c r="CW26" i="14"/>
  <c r="CS70" i="11" s="1"/>
  <c r="CX26" i="14"/>
  <c r="CT70" i="11" s="1"/>
  <c r="CV26" i="14"/>
  <c r="CR70" i="11" s="1"/>
  <c r="DC102" i="14"/>
  <c r="DC215" i="14"/>
  <c r="DC75" i="14"/>
  <c r="DC12" i="14"/>
  <c r="CW15" i="8"/>
  <c r="BF65" i="7"/>
  <c r="CW160" i="11"/>
  <c r="DA26" i="14"/>
  <c r="CX16" i="11"/>
  <c r="DB13" i="14"/>
  <c r="DB16" i="14" s="1"/>
  <c r="DB40" i="14"/>
  <c r="CX160" i="11" s="1"/>
  <c r="BA123" i="7" l="1"/>
  <c r="CY16" i="14"/>
  <c r="CX40" i="14"/>
  <c r="CS160" i="11"/>
  <c r="CY16" i="11"/>
  <c r="DC13" i="14"/>
  <c r="DC16" i="14" s="1"/>
  <c r="DC40" i="14"/>
  <c r="CY160" i="11" s="1"/>
  <c r="CX15" i="8"/>
  <c r="DB26" i="14"/>
  <c r="CW70" i="11"/>
  <c r="BF73" i="7"/>
  <c r="BF75" i="7"/>
  <c r="BF123" i="7"/>
  <c r="CT160" i="11" l="1"/>
  <c r="CY40" i="14"/>
  <c r="BB123" i="7"/>
  <c r="CY15" i="8"/>
  <c r="CX70" i="11"/>
  <c r="DC26" i="14"/>
  <c r="CY70" i="11" s="1"/>
  <c r="CU160" i="11" l="1"/>
  <c r="BC123" i="7"/>
  <c r="BD123" i="7" l="1"/>
  <c r="CK68" i="10" l="1"/>
  <c r="BV82" i="10"/>
  <c r="BX86" i="10"/>
  <c r="BX78" i="10" s="1"/>
  <c r="BU87" i="10"/>
  <c r="BX87" i="10"/>
  <c r="BU76" i="10"/>
  <c r="BU82" i="10" s="1"/>
  <c r="BX76" i="10"/>
  <c r="BX79" i="10" s="1"/>
  <c r="BW76" i="10"/>
  <c r="BW82" i="10"/>
  <c r="BX82" i="10" s="1"/>
  <c r="BY134" i="9" l="1"/>
  <c r="BY75" i="10"/>
  <c r="CC75" i="10"/>
  <c r="CC79" i="10" s="1"/>
  <c r="CD134" i="9" l="1"/>
  <c r="CD136" i="9" s="1"/>
  <c r="CC80" i="10"/>
  <c r="CD75" i="10"/>
  <c r="CD79" i="10" s="1"/>
  <c r="CH75" i="10"/>
  <c r="CH79" i="10" s="1"/>
  <c r="BY80" i="10"/>
  <c r="BY115" i="9"/>
  <c r="BY113" i="9"/>
  <c r="BY136" i="9"/>
  <c r="CD80" i="10" l="1"/>
  <c r="CE134" i="9"/>
  <c r="CE136" i="9" s="1"/>
  <c r="CE75" i="10"/>
  <c r="CE79" i="10" s="1"/>
  <c r="CH80" i="10"/>
  <c r="CI134" i="9"/>
  <c r="CI136" i="9" s="1"/>
  <c r="CI75" i="10"/>
  <c r="CI79" i="10" s="1"/>
  <c r="CN92" i="8"/>
  <c r="CN93" i="8" s="1"/>
  <c r="BY118" i="9"/>
  <c r="BY117" i="9"/>
  <c r="CD117" i="9"/>
  <c r="CD118" i="9"/>
  <c r="BT131" i="2" l="1"/>
  <c r="CI80" i="10"/>
  <c r="CJ134" i="9"/>
  <c r="CJ136" i="9" s="1"/>
  <c r="CJ75" i="10"/>
  <c r="CJ79" i="10" s="1"/>
  <c r="CE80" i="10"/>
  <c r="CF75" i="10"/>
  <c r="CF79" i="10" s="1"/>
  <c r="CF134" i="9"/>
  <c r="CF136" i="9" s="1"/>
  <c r="AW49" i="7"/>
  <c r="BT27" i="2"/>
  <c r="CN89" i="8"/>
  <c r="BT142" i="2"/>
  <c r="CN86" i="8"/>
  <c r="CN87" i="8" s="1"/>
  <c r="CN83" i="8"/>
  <c r="CP97" i="8"/>
  <c r="CQ97" i="8" s="1"/>
  <c r="CI118" i="9"/>
  <c r="CI117" i="9"/>
  <c r="CE117" i="9"/>
  <c r="CE118" i="9"/>
  <c r="CF117" i="9" l="1"/>
  <c r="CF118" i="9"/>
  <c r="CJ117" i="9"/>
  <c r="CJ118" i="9"/>
  <c r="BT30" i="2"/>
  <c r="CN90" i="8"/>
  <c r="AW54" i="7"/>
  <c r="CB92" i="10"/>
  <c r="CC92" i="10" s="1"/>
  <c r="CP99" i="8"/>
  <c r="CQ99" i="8" s="1"/>
  <c r="CR97" i="8"/>
  <c r="BU131" i="2"/>
  <c r="CF80" i="10"/>
  <c r="CG134" i="9"/>
  <c r="CG136" i="9" s="1"/>
  <c r="CG75" i="10"/>
  <c r="CG79" i="10" s="1"/>
  <c r="BZ95" i="10"/>
  <c r="CN84" i="8"/>
  <c r="BT46" i="2" s="1"/>
  <c r="BT29" i="2"/>
  <c r="BT132" i="2" s="1"/>
  <c r="AW51" i="7"/>
  <c r="AW52" i="7" s="1"/>
  <c r="CJ80" i="10"/>
  <c r="CK134" i="9"/>
  <c r="CK136" i="9" s="1"/>
  <c r="CK75" i="10"/>
  <c r="CK79" i="10" s="1"/>
  <c r="BU27" i="2"/>
  <c r="BU142" i="2"/>
  <c r="AX49" i="7"/>
  <c r="AW189" i="7"/>
  <c r="BZ128" i="10"/>
  <c r="AZ49" i="7" l="1"/>
  <c r="BW142" i="2"/>
  <c r="BW27" i="2"/>
  <c r="CM178" i="13"/>
  <c r="CM176" i="13" s="1"/>
  <c r="CQ98" i="8"/>
  <c r="CR98" i="8" s="1"/>
  <c r="CK117" i="9"/>
  <c r="CK118" i="9"/>
  <c r="CH134" i="9"/>
  <c r="CH136" i="9" s="1"/>
  <c r="CG80" i="10"/>
  <c r="CC42" i="10"/>
  <c r="BW131" i="2"/>
  <c r="CG118" i="9"/>
  <c r="CG117" i="9"/>
  <c r="CS97" i="8"/>
  <c r="CD92" i="10"/>
  <c r="CK80" i="10"/>
  <c r="CL134" i="9"/>
  <c r="CL136" i="9" s="1"/>
  <c r="CA128" i="10"/>
  <c r="AX189" i="7"/>
  <c r="BV131" i="2"/>
  <c r="CB42" i="10"/>
  <c r="BV27" i="2"/>
  <c r="BV142" i="2"/>
  <c r="AY49" i="7"/>
  <c r="CR99" i="8" l="1"/>
  <c r="CS98" i="8"/>
  <c r="CT98" i="8" s="1"/>
  <c r="CU98" i="8" s="1"/>
  <c r="CL117" i="9"/>
  <c r="CL118" i="9"/>
  <c r="AY189" i="7"/>
  <c r="CB128" i="10"/>
  <c r="CE92" i="10"/>
  <c r="CE42" i="10" s="1"/>
  <c r="CT97" i="8"/>
  <c r="AZ189" i="7"/>
  <c r="CC128" i="10"/>
  <c r="CD42" i="10"/>
  <c r="CH117" i="9"/>
  <c r="CH118" i="9"/>
  <c r="CT99" i="8" l="1"/>
  <c r="BC49" i="7" s="1"/>
  <c r="CS99" i="8"/>
  <c r="BB49" i="7" s="1"/>
  <c r="BA49" i="7"/>
  <c r="CU97" i="8"/>
  <c r="CG92" i="10" s="1"/>
  <c r="CG42" i="10" s="1"/>
  <c r="CF92" i="10"/>
  <c r="BB189" i="7"/>
  <c r="CE128" i="10"/>
  <c r="BA189" i="7"/>
  <c r="CD128" i="10"/>
  <c r="CV97" i="8" l="1"/>
  <c r="CW97" i="8" s="1"/>
  <c r="BD189" i="7"/>
  <c r="CG128" i="10"/>
  <c r="CU99" i="8"/>
  <c r="CF42" i="10"/>
  <c r="CH92" i="10"/>
  <c r="CI92" i="10" l="1"/>
  <c r="CX97" i="8"/>
  <c r="BD49" i="7"/>
  <c r="CV99" i="8"/>
  <c r="BC189" i="7"/>
  <c r="CF128" i="10"/>
  <c r="BX131" i="2"/>
  <c r="CH42" i="10"/>
  <c r="CJ92" i="10" l="1"/>
  <c r="CJ42" i="10" s="1"/>
  <c r="CJ128" i="10" s="1"/>
  <c r="CY97" i="8"/>
  <c r="CI42" i="10"/>
  <c r="BY131" i="2"/>
  <c r="BX142" i="2"/>
  <c r="BX27" i="2"/>
  <c r="CR178" i="13"/>
  <c r="CR176" i="13" s="1"/>
  <c r="CV98" i="8"/>
  <c r="BE49" i="7"/>
  <c r="CW99" i="8"/>
  <c r="CH128" i="10"/>
  <c r="BE189" i="7"/>
  <c r="CI128" i="10" l="1"/>
  <c r="BF189" i="7"/>
  <c r="CW98" i="8"/>
  <c r="BY27" i="2"/>
  <c r="BY142" i="2"/>
  <c r="BF49" i="7"/>
  <c r="CK92" i="10"/>
  <c r="CK42" i="10" s="1"/>
  <c r="CK128" i="10" s="1"/>
  <c r="CX99" i="8"/>
  <c r="CX98" i="8" s="1"/>
  <c r="CY99" i="8" l="1"/>
  <c r="CY98" i="8" s="1"/>
  <c r="CC73" i="10"/>
  <c r="BY76" i="10" l="1"/>
  <c r="BX127" i="10"/>
  <c r="AU187" i="7"/>
  <c r="BX44" i="10"/>
  <c r="BW127" i="10"/>
  <c r="AT187" i="7"/>
  <c r="BW84" i="10"/>
  <c r="BX84" i="10" s="1"/>
  <c r="BX83" i="10" s="1"/>
  <c r="BW44" i="10"/>
  <c r="BW47" i="10" s="1"/>
  <c r="AT190" i="7" s="1"/>
  <c r="BX47" i="10" l="1"/>
  <c r="AU190" i="7" l="1"/>
  <c r="BX48" i="10"/>
  <c r="AU191" i="7" l="1"/>
  <c r="BX54" i="10"/>
  <c r="BX57" i="10" l="1"/>
  <c r="BX55" i="10"/>
  <c r="BX60" i="10" l="1"/>
  <c r="BX61" i="10" l="1"/>
  <c r="BX68" i="10" s="1"/>
  <c r="AU193" i="7"/>
  <c r="AU195" i="7" s="1"/>
  <c r="CC59" i="10"/>
  <c r="CC53" i="10" l="1"/>
  <c r="CR20" i="12" l="1"/>
  <c r="CR15" i="12"/>
  <c r="CN20" i="13" l="1"/>
  <c r="CN15" i="13"/>
  <c r="CN127" i="13" l="1"/>
  <c r="BT38" i="2" l="1"/>
  <c r="BT37" i="2"/>
  <c r="CN89" i="11" l="1"/>
  <c r="AW103" i="7" l="1"/>
  <c r="AW102" i="7"/>
  <c r="CN31" i="11"/>
  <c r="CN28" i="11" s="1"/>
  <c r="CN29" i="11" s="1"/>
  <c r="CN33" i="11" l="1"/>
  <c r="CN32" i="11"/>
  <c r="AW119" i="7"/>
  <c r="AW111" i="7"/>
  <c r="AW101" i="7"/>
  <c r="AW169" i="7"/>
  <c r="CN75" i="11"/>
  <c r="CN76" i="11" s="1"/>
  <c r="BZ111" i="10" s="1"/>
  <c r="BZ103" i="10" s="1"/>
  <c r="CN49" i="8" l="1"/>
  <c r="CN74" i="11"/>
  <c r="BT60" i="2" l="1"/>
  <c r="AW31" i="7"/>
  <c r="CN51" i="8"/>
  <c r="BT9" i="2" l="1"/>
  <c r="BT42" i="2"/>
  <c r="CN109" i="8"/>
  <c r="CN52" i="8"/>
  <c r="AW33" i="7"/>
  <c r="AW35" i="7" s="1"/>
  <c r="CN54" i="11"/>
  <c r="CP74" i="11"/>
  <c r="AW136" i="7" l="1"/>
  <c r="BT104" i="2"/>
  <c r="BT105" i="2"/>
  <c r="BT111" i="2"/>
  <c r="CQ74" i="11"/>
  <c r="AW84" i="7"/>
  <c r="CN64" i="11"/>
  <c r="AW92" i="7"/>
  <c r="CN53" i="11"/>
  <c r="AW34" i="7"/>
  <c r="BT51" i="2"/>
  <c r="CO49" i="8"/>
  <c r="AX169" i="7"/>
  <c r="BT112" i="2"/>
  <c r="AW145" i="7"/>
  <c r="BT78" i="2"/>
  <c r="BT64" i="2"/>
  <c r="BT87" i="2"/>
  <c r="CB84" i="9" l="1"/>
  <c r="BT113" i="2"/>
  <c r="BB91" i="7"/>
  <c r="AW91" i="7"/>
  <c r="AW83" i="7"/>
  <c r="BU60" i="2"/>
  <c r="AX31" i="7"/>
  <c r="CV74" i="11"/>
  <c r="AW170" i="7"/>
  <c r="CB86" i="9" l="1"/>
  <c r="CB109" i="9" s="1"/>
  <c r="CB110" i="9" s="1"/>
  <c r="CB88" i="9"/>
  <c r="CB85" i="9"/>
  <c r="CB87" i="9"/>
  <c r="CV142" i="11"/>
  <c r="CV88" i="11" s="1"/>
  <c r="AW146" i="7"/>
  <c r="AW147" i="7" s="1"/>
  <c r="AW152" i="7" s="1"/>
  <c r="CA39" i="9"/>
  <c r="CA50" i="9" s="1"/>
  <c r="CW74" i="11"/>
  <c r="CR74" i="11"/>
  <c r="AZ102" i="7"/>
  <c r="CQ88" i="11"/>
  <c r="CG85" i="9" l="1"/>
  <c r="CR142" i="11"/>
  <c r="CR88" i="11" s="1"/>
  <c r="CV141" i="11"/>
  <c r="CW142" i="11"/>
  <c r="CX74" i="11"/>
  <c r="AW171" i="7"/>
  <c r="AW172" i="7" s="1"/>
  <c r="CS74" i="11"/>
  <c r="CR141" i="11" l="1"/>
  <c r="BA102" i="7" s="1"/>
  <c r="BE102" i="7"/>
  <c r="CS142" i="11"/>
  <c r="CS88" i="11" s="1"/>
  <c r="CT74" i="11"/>
  <c r="CW88" i="11"/>
  <c r="CX142" i="11"/>
  <c r="CY74" i="11"/>
  <c r="BT22" i="2"/>
  <c r="CS141" i="11" l="1"/>
  <c r="CU74" i="11"/>
  <c r="CT142" i="11"/>
  <c r="CT88" i="11" s="1"/>
  <c r="CX88" i="11"/>
  <c r="BT121" i="2"/>
  <c r="CY142" i="11"/>
  <c r="CT141" i="11" l="1"/>
  <c r="BC102" i="7" s="1"/>
  <c r="BB102" i="7"/>
  <c r="CY88" i="11"/>
  <c r="CU142" i="11"/>
  <c r="CU88" i="11" s="1"/>
  <c r="CU141" i="11" l="1"/>
  <c r="BD102" i="7" l="1"/>
  <c r="AW174" i="7" l="1"/>
  <c r="BT23" i="2"/>
  <c r="BT25" i="2" s="1"/>
  <c r="CN166" i="11"/>
  <c r="BZ25" i="10"/>
  <c r="BZ29" i="10"/>
  <c r="BZ30" i="10" s="1"/>
  <c r="BZ36" i="10"/>
  <c r="AW185" i="7" s="1"/>
  <c r="BZ44" i="10" l="1"/>
  <c r="BT123" i="2"/>
  <c r="BT122" i="2"/>
  <c r="BT89" i="2"/>
  <c r="BT32" i="2"/>
  <c r="BT133" i="2" s="1"/>
  <c r="BZ96" i="10"/>
  <c r="BZ26" i="10"/>
  <c r="BT101" i="2"/>
  <c r="BT148" i="2"/>
  <c r="BT145" i="2" s="1"/>
  <c r="BT100" i="2"/>
  <c r="AW175" i="7"/>
  <c r="AW127" i="7"/>
  <c r="AW176" i="7" l="1"/>
  <c r="AW179" i="7"/>
  <c r="AW180" i="7" s="1"/>
  <c r="BT147" i="2"/>
  <c r="BT144" i="2"/>
  <c r="BT146" i="2"/>
  <c r="BT16" i="2" l="1"/>
  <c r="BT80" i="2" s="1"/>
  <c r="BT20" i="2"/>
  <c r="CA19" i="9"/>
  <c r="AW134" i="7"/>
  <c r="AW138" i="7" s="1"/>
  <c r="BZ60" i="10"/>
  <c r="BZ61" i="10" l="1"/>
  <c r="AW193" i="7"/>
  <c r="AW195" i="7" s="1"/>
  <c r="BZ54" i="10"/>
  <c r="BT77" i="2"/>
  <c r="BT92" i="2"/>
  <c r="BT91" i="2"/>
  <c r="BT79" i="2"/>
  <c r="BZ55" i="10" l="1"/>
  <c r="BZ48" i="10"/>
  <c r="BZ57" i="10" s="1"/>
  <c r="CA67" i="10"/>
  <c r="AW191" i="7" l="1"/>
  <c r="BZ47" i="10"/>
  <c r="CO54" i="8"/>
  <c r="CO61" i="8" s="1"/>
  <c r="AX37" i="7" l="1"/>
  <c r="AW190" i="7"/>
  <c r="CC47" i="10"/>
  <c r="AZ190" i="7" s="1"/>
  <c r="AX38" i="7"/>
  <c r="CA62" i="9" l="1"/>
  <c r="AW157" i="7"/>
  <c r="AW160" i="7" s="1"/>
  <c r="BT85" i="2" l="1"/>
  <c r="BT68" i="2"/>
  <c r="BT69" i="2"/>
  <c r="CA64" i="9"/>
  <c r="BT84" i="2"/>
  <c r="BT106" i="2" l="1"/>
  <c r="BT108" i="2"/>
  <c r="AW140" i="7"/>
  <c r="AW142" i="7" s="1"/>
  <c r="CA28" i="9"/>
  <c r="CA30" i="9" s="1"/>
  <c r="BZ112" i="10"/>
  <c r="BZ108" i="10"/>
  <c r="BZ109" i="10" s="1"/>
  <c r="BZ110" i="10" s="1"/>
  <c r="CC108" i="10" l="1"/>
  <c r="CA120" i="9"/>
  <c r="CA129" i="9"/>
  <c r="CA130" i="9"/>
  <c r="BT83" i="2"/>
  <c r="CA66" i="9"/>
  <c r="BT103" i="2"/>
  <c r="CA132" i="9" l="1"/>
  <c r="CW141" i="11" l="1"/>
  <c r="BF102" i="7" s="1"/>
  <c r="CX141" i="11" l="1"/>
  <c r="CY141" i="11" l="1"/>
  <c r="CV76" i="13"/>
  <c r="CQ76" i="13"/>
  <c r="CR75" i="13"/>
  <c r="CQ83" i="13"/>
  <c r="CV84" i="13" l="1"/>
  <c r="CQ84" i="13"/>
  <c r="AY126" i="7" l="1"/>
  <c r="AX127" i="7" l="1"/>
  <c r="AX174" i="7" l="1"/>
  <c r="BU23" i="2"/>
  <c r="CB106" i="10" l="1"/>
  <c r="BU100" i="2"/>
  <c r="BU101" i="2"/>
  <c r="BU148" i="2"/>
  <c r="BU146" i="2" l="1"/>
  <c r="BU147" i="2"/>
  <c r="BU144" i="2"/>
  <c r="BU145" i="2"/>
  <c r="CB28" i="9"/>
  <c r="BU108" i="2"/>
  <c r="AX140" i="7"/>
  <c r="BU106" i="2"/>
  <c r="CS37" i="14" l="1"/>
  <c r="CS38" i="14"/>
  <c r="CS36" i="14"/>
  <c r="CS29" i="14"/>
  <c r="CS31" i="14" l="1"/>
  <c r="CS30" i="14"/>
  <c r="CS22" i="14"/>
  <c r="CO48" i="11" s="1"/>
  <c r="CO96" i="11"/>
  <c r="AX96" i="7"/>
  <c r="AX107" i="7" l="1"/>
  <c r="AX115" i="7"/>
  <c r="AX118" i="7"/>
  <c r="AX99" i="7"/>
  <c r="AX110" i="7"/>
  <c r="CO100" i="11"/>
  <c r="BU44" i="2"/>
  <c r="BU11" i="2"/>
  <c r="CS24" i="14"/>
  <c r="CS23" i="14"/>
  <c r="CS18" i="14"/>
  <c r="CS19" i="14" s="1"/>
  <c r="CS20" i="14" s="1"/>
  <c r="CO149" i="11"/>
  <c r="AX88" i="7" l="1"/>
  <c r="CO60" i="11"/>
  <c r="AX80" i="7"/>
  <c r="BU53" i="2"/>
  <c r="BU66" i="2"/>
  <c r="CO26" i="8" l="1"/>
  <c r="AX14" i="7"/>
  <c r="CO28" i="8"/>
  <c r="AX16" i="7" l="1"/>
  <c r="BU41" i="2"/>
  <c r="CO29" i="8"/>
  <c r="BU8" i="2"/>
  <c r="BU62" i="2" s="1"/>
  <c r="CO39" i="8"/>
  <c r="CO143" i="11" s="1"/>
  <c r="CO141" i="11" s="1"/>
  <c r="BU50" i="2" l="1"/>
  <c r="AX17" i="7"/>
  <c r="CO104" i="8"/>
  <c r="BU112" i="2"/>
  <c r="AX145" i="7"/>
  <c r="CO110" i="8"/>
  <c r="CO41" i="8"/>
  <c r="CO51" i="8"/>
  <c r="CO40" i="8"/>
  <c r="CO106" i="8" s="1"/>
  <c r="AX23" i="7"/>
  <c r="AX24" i="7" s="1"/>
  <c r="CO58" i="8"/>
  <c r="CO46" i="8"/>
  <c r="AX136" i="7"/>
  <c r="BU104" i="2"/>
  <c r="BU111" i="2"/>
  <c r="BU105" i="2"/>
  <c r="CO54" i="11" l="1"/>
  <c r="CB122" i="9"/>
  <c r="BU43" i="2"/>
  <c r="AX28" i="7"/>
  <c r="AX29" i="7" s="1"/>
  <c r="CO47" i="8"/>
  <c r="BU52" i="2" s="1"/>
  <c r="BU10" i="2"/>
  <c r="BU65" i="2" s="1"/>
  <c r="BU42" i="2"/>
  <c r="CO109" i="8"/>
  <c r="BU9" i="2"/>
  <c r="CO52" i="8"/>
  <c r="AX33" i="7"/>
  <c r="AX35" i="7" s="1"/>
  <c r="AX170" i="7"/>
  <c r="CO59" i="8"/>
  <c r="BU54" i="2" s="1"/>
  <c r="BU12" i="2"/>
  <c r="BU88" i="2" s="1"/>
  <c r="CO63" i="8"/>
  <c r="CO66" i="8" s="1"/>
  <c r="BU113" i="2"/>
  <c r="CO53" i="11" l="1"/>
  <c r="CO64" i="11"/>
  <c r="AX92" i="7"/>
  <c r="AX84" i="7"/>
  <c r="CA130" i="10"/>
  <c r="BU119" i="2"/>
  <c r="AX43" i="7"/>
  <c r="AX146" i="7"/>
  <c r="AX147" i="7" s="1"/>
  <c r="AX152" i="7" s="1"/>
  <c r="CB39" i="9"/>
  <c r="CB50" i="9" s="1"/>
  <c r="AX34" i="7"/>
  <c r="BU51" i="2"/>
  <c r="BU13" i="2"/>
  <c r="BU55" i="2"/>
  <c r="AX40" i="7"/>
  <c r="BU64" i="2"/>
  <c r="BU87" i="2"/>
  <c r="BU78" i="2"/>
  <c r="AX83" i="7" l="1"/>
  <c r="AX91" i="7"/>
  <c r="BC91" i="7"/>
  <c r="CB130" i="10"/>
  <c r="AY43" i="7"/>
  <c r="BV119" i="2"/>
  <c r="CP79" i="8"/>
  <c r="CQ79" i="8" s="1"/>
  <c r="CO70" i="8"/>
  <c r="CO81" i="8" s="1"/>
  <c r="AX47" i="7"/>
  <c r="CO71" i="8"/>
  <c r="CA12" i="10"/>
  <c r="CA20" i="10" s="1"/>
  <c r="AX171" i="7" s="1"/>
  <c r="AX42" i="7"/>
  <c r="AX102" i="7" l="1"/>
  <c r="AY83" i="7"/>
  <c r="AY91" i="7"/>
  <c r="BD91" i="7"/>
  <c r="CO77" i="8"/>
  <c r="CO89" i="8" s="1"/>
  <c r="BU14" i="2"/>
  <c r="CO107" i="8"/>
  <c r="BU56" i="2"/>
  <c r="CO83" i="8"/>
  <c r="CO86" i="8"/>
  <c r="CO87" i="8" s="1"/>
  <c r="AX168" i="7"/>
  <c r="AX172" i="7" s="1"/>
  <c r="CO113" i="8" l="1"/>
  <c r="CA95" i="10"/>
  <c r="CO89" i="11"/>
  <c r="CO31" i="11"/>
  <c r="AX103" i="7"/>
  <c r="CO154" i="11"/>
  <c r="CO92" i="8"/>
  <c r="CO93" i="8" s="1"/>
  <c r="CB121" i="9"/>
  <c r="CB128" i="9"/>
  <c r="BU22" i="2"/>
  <c r="CA25" i="10"/>
  <c r="AX54" i="7"/>
  <c r="BU30" i="2"/>
  <c r="CO90" i="8"/>
  <c r="BU29" i="2"/>
  <c r="BU132" i="2" s="1"/>
  <c r="CO84" i="8"/>
  <c r="BU46" i="2" s="1"/>
  <c r="AX51" i="7"/>
  <c r="AX52" i="7" s="1"/>
  <c r="CB62" i="9"/>
  <c r="AX157" i="7"/>
  <c r="AX160" i="7" s="1"/>
  <c r="CO28" i="11" l="1"/>
  <c r="CO33" i="11"/>
  <c r="CO32" i="11"/>
  <c r="AY102" i="7"/>
  <c r="CQ87" i="11"/>
  <c r="AX111" i="7"/>
  <c r="AX101" i="7"/>
  <c r="AX119" i="7"/>
  <c r="CA26" i="10"/>
  <c r="CA29" i="10"/>
  <c r="AX175" i="7"/>
  <c r="BU85" i="2"/>
  <c r="BU69" i="2"/>
  <c r="CB64" i="9"/>
  <c r="BU68" i="2"/>
  <c r="BU25" i="2"/>
  <c r="BU121" i="2"/>
  <c r="CO29" i="11" l="1"/>
  <c r="CQ90" i="11"/>
  <c r="CV90" i="11" s="1"/>
  <c r="AX176" i="7"/>
  <c r="AX179" i="7"/>
  <c r="AX180" i="7" s="1"/>
  <c r="CA30" i="10"/>
  <c r="CA36" i="10"/>
  <c r="BU123" i="2"/>
  <c r="BU89" i="2"/>
  <c r="BU122" i="2"/>
  <c r="BU32" i="2"/>
  <c r="BU133" i="2" s="1"/>
  <c r="AX185" i="7" l="1"/>
  <c r="CA44" i="10"/>
  <c r="AX191" i="7" l="1"/>
  <c r="AX193" i="7" l="1"/>
  <c r="AX195" i="7" s="1"/>
  <c r="CB59" i="10"/>
  <c r="BU16" i="2" l="1"/>
  <c r="CB19" i="9"/>
  <c r="AX134" i="7"/>
  <c r="AX138" i="7" s="1"/>
  <c r="AX142" i="7" s="1"/>
  <c r="CB53" i="10"/>
  <c r="CB67" i="10"/>
  <c r="BU80" i="2" l="1"/>
  <c r="BU20" i="2"/>
  <c r="BU79" i="2"/>
  <c r="CP54" i="8"/>
  <c r="CC67" i="10"/>
  <c r="BU92" i="2"/>
  <c r="BU91" i="2"/>
  <c r="CB30" i="9"/>
  <c r="CB130" i="9" l="1"/>
  <c r="CB129" i="9"/>
  <c r="CB132" i="9" s="1"/>
  <c r="CB120" i="9"/>
  <c r="CB66" i="9"/>
  <c r="BU83" i="2"/>
  <c r="BU103" i="2"/>
  <c r="AY38" i="7"/>
  <c r="BU77" i="2"/>
  <c r="BU84" i="2"/>
  <c r="CQ54" i="8"/>
  <c r="AZ38" i="7" l="1"/>
  <c r="CO11" i="13" l="1"/>
  <c r="CO20" i="13"/>
  <c r="CO15" i="13"/>
  <c r="CO127" i="13" l="1"/>
  <c r="AV14" i="15"/>
  <c r="AW14" i="15"/>
  <c r="BM39" i="6"/>
  <c r="CO25" i="11"/>
  <c r="BM32" i="6" s="1"/>
  <c r="BM33" i="6" s="1"/>
  <c r="B33" i="6" s="1"/>
  <c r="BM45" i="6" l="1"/>
  <c r="BM46" i="6"/>
  <c r="BM43" i="6"/>
  <c r="B43" i="6" s="1"/>
  <c r="BM44" i="6"/>
  <c r="B44" i="6" s="1"/>
  <c r="BN32" i="6"/>
  <c r="BP33" i="6"/>
  <c r="BU38" i="2"/>
  <c r="CO24" i="11"/>
  <c r="BU37" i="2" s="1"/>
  <c r="B45" i="6" l="1"/>
  <c r="BQ33" i="6"/>
  <c r="BP32" i="6"/>
  <c r="AV15" i="15"/>
  <c r="BN37" i="6"/>
  <c r="CP15" i="13" s="1"/>
  <c r="BN36" i="6"/>
  <c r="CT15" i="12" s="1"/>
  <c r="BP39" i="6" l="1"/>
  <c r="AX15" i="15" s="1"/>
  <c r="BP37" i="6"/>
  <c r="CR15" i="13" s="1"/>
  <c r="BP38" i="6"/>
  <c r="CV15" i="14" s="1"/>
  <c r="CV13" i="14" s="1"/>
  <c r="CV12" i="14" s="1"/>
  <c r="BP36" i="6"/>
  <c r="CV15" i="12" s="1"/>
  <c r="AW15" i="15"/>
  <c r="CP25" i="11"/>
  <c r="BV38" i="2" s="1"/>
  <c r="CU15" i="12"/>
  <c r="CP127" i="13"/>
  <c r="CQ127" i="13" s="1"/>
  <c r="DE41" i="13" s="1"/>
  <c r="CQ15" i="13"/>
  <c r="CQ85" i="13" s="1"/>
  <c r="BQ32" i="6"/>
  <c r="BR33" i="6"/>
  <c r="CQ25" i="11" l="1"/>
  <c r="CU102" i="12"/>
  <c r="CU50" i="12"/>
  <c r="CR25" i="11"/>
  <c r="CV13" i="12"/>
  <c r="CV12" i="12" s="1"/>
  <c r="CV41" i="14"/>
  <c r="CR16" i="11"/>
  <c r="CV11" i="14"/>
  <c r="BQ37" i="6"/>
  <c r="CS15" i="13" s="1"/>
  <c r="BQ39" i="6"/>
  <c r="AY15" i="15" s="1"/>
  <c r="BQ38" i="6"/>
  <c r="CW15" i="14" s="1"/>
  <c r="CW13" i="14" s="1"/>
  <c r="CW12" i="14" s="1"/>
  <c r="BQ36" i="6"/>
  <c r="CW15" i="12" s="1"/>
  <c r="AW95" i="15"/>
  <c r="AW50" i="15"/>
  <c r="CR127" i="13"/>
  <c r="CR13" i="13"/>
  <c r="CR12" i="13" s="1"/>
  <c r="CR35" i="13"/>
  <c r="BS33" i="6"/>
  <c r="BS32" i="6" s="1"/>
  <c r="BR32" i="6"/>
  <c r="CQ87" i="13"/>
  <c r="CQ60" i="13" l="1"/>
  <c r="CQ88" i="13"/>
  <c r="CQ12" i="13"/>
  <c r="CR13" i="11"/>
  <c r="CS127" i="13"/>
  <c r="CS35" i="13"/>
  <c r="CS13" i="13"/>
  <c r="CS12" i="13" s="1"/>
  <c r="CU51" i="12"/>
  <c r="BR39" i="6"/>
  <c r="AZ15" i="15" s="1"/>
  <c r="BR37" i="6"/>
  <c r="CT15" i="13" s="1"/>
  <c r="BR38" i="6"/>
  <c r="CX15" i="14" s="1"/>
  <c r="CX13" i="14" s="1"/>
  <c r="CX12" i="14" s="1"/>
  <c r="BR36" i="6"/>
  <c r="CX15" i="12" s="1"/>
  <c r="CS25" i="11"/>
  <c r="CW13" i="12"/>
  <c r="CW12" i="12" s="1"/>
  <c r="CV35" i="12"/>
  <c r="CR12" i="11"/>
  <c r="DI40" i="12"/>
  <c r="DI41" i="12" s="1"/>
  <c r="CU81" i="12"/>
  <c r="CW11" i="14"/>
  <c r="CS16" i="11"/>
  <c r="CW41" i="14"/>
  <c r="BW38" i="2"/>
  <c r="BS36" i="6"/>
  <c r="CY15" i="12" s="1"/>
  <c r="BS39" i="6"/>
  <c r="BA15" i="15" s="1"/>
  <c r="BS38" i="6"/>
  <c r="CY15" i="14" s="1"/>
  <c r="CY13" i="14" s="1"/>
  <c r="CY12" i="14" s="1"/>
  <c r="BS37" i="6"/>
  <c r="CU15" i="13" s="1"/>
  <c r="CR38" i="13"/>
  <c r="CR79" i="11"/>
  <c r="CR36" i="13"/>
  <c r="CR37" i="13"/>
  <c r="CR29" i="13"/>
  <c r="AW51" i="15"/>
  <c r="CR15" i="8"/>
  <c r="BA65" i="7"/>
  <c r="BA73" i="7"/>
  <c r="CR93" i="11" l="1"/>
  <c r="BA95" i="7"/>
  <c r="BB73" i="7"/>
  <c r="CS15" i="8"/>
  <c r="BB65" i="7"/>
  <c r="BA61" i="7"/>
  <c r="BA71" i="7"/>
  <c r="CR11" i="8"/>
  <c r="CW11" i="12"/>
  <c r="CW35" i="12"/>
  <c r="CS12" i="11"/>
  <c r="CX11" i="14"/>
  <c r="CT16" i="11"/>
  <c r="CX41" i="14"/>
  <c r="CU59" i="12"/>
  <c r="CU61" i="12"/>
  <c r="CU12" i="12"/>
  <c r="CZ81" i="12"/>
  <c r="CU82" i="12"/>
  <c r="CS38" i="13"/>
  <c r="CS79" i="11"/>
  <c r="CS36" i="13"/>
  <c r="CS37" i="13"/>
  <c r="CS29" i="13"/>
  <c r="CR31" i="13"/>
  <c r="CR30" i="13"/>
  <c r="CR133" i="11"/>
  <c r="CR146" i="11" s="1"/>
  <c r="CT25" i="11"/>
  <c r="CX13" i="12"/>
  <c r="CX12" i="12" s="1"/>
  <c r="CQ13" i="11"/>
  <c r="CQ13" i="13"/>
  <c r="CQ16" i="13" s="1"/>
  <c r="CP12" i="13"/>
  <c r="CV15" i="13" s="1"/>
  <c r="CV85" i="13" s="1"/>
  <c r="CQ40" i="13"/>
  <c r="AW52" i="15"/>
  <c r="AW12" i="15"/>
  <c r="CY41" i="14"/>
  <c r="CY11" i="14"/>
  <c r="CU16" i="11"/>
  <c r="CV38" i="12"/>
  <c r="CV37" i="12"/>
  <c r="CR68" i="8"/>
  <c r="CV29" i="12"/>
  <c r="CR78" i="11"/>
  <c r="CT127" i="13"/>
  <c r="CT35" i="13"/>
  <c r="CT13" i="13"/>
  <c r="CT12" i="13" s="1"/>
  <c r="CS13" i="11"/>
  <c r="CS11" i="13"/>
  <c r="CR12" i="8"/>
  <c r="BA62" i="7"/>
  <c r="BA72" i="7"/>
  <c r="CW85" i="13" l="1"/>
  <c r="BA94" i="7"/>
  <c r="CR92" i="11"/>
  <c r="CM40" i="13"/>
  <c r="CQ157" i="11"/>
  <c r="AZ122" i="7" s="1"/>
  <c r="AZ62" i="7"/>
  <c r="AZ72" i="7" s="1"/>
  <c r="CQ12" i="8"/>
  <c r="BB95" i="7"/>
  <c r="CS93" i="11"/>
  <c r="BB71" i="7"/>
  <c r="BB61" i="7"/>
  <c r="CS11" i="8"/>
  <c r="CV30" i="12"/>
  <c r="CV31" i="12"/>
  <c r="CR132" i="11"/>
  <c r="CR145" i="11" s="1"/>
  <c r="CP13" i="11"/>
  <c r="CP11" i="13"/>
  <c r="CV14" i="13"/>
  <c r="CV86" i="13" s="1"/>
  <c r="CW86" i="13" s="1"/>
  <c r="CX86" i="13" s="1"/>
  <c r="CY86" i="13" s="1"/>
  <c r="CP13" i="13"/>
  <c r="CP16" i="13" s="1"/>
  <c r="CP35" i="13" s="1"/>
  <c r="CR11" i="13"/>
  <c r="CS31" i="13"/>
  <c r="CS30" i="13"/>
  <c r="CS133" i="11"/>
  <c r="CS146" i="11" s="1"/>
  <c r="CU13" i="12"/>
  <c r="CU16" i="12" s="1"/>
  <c r="CQ12" i="11"/>
  <c r="CU40" i="12"/>
  <c r="CT12" i="12"/>
  <c r="CW38" i="12"/>
  <c r="CW37" i="12"/>
  <c r="CW29" i="12"/>
  <c r="CS78" i="11"/>
  <c r="CS68" i="8"/>
  <c r="CT38" i="13"/>
  <c r="CT36" i="13"/>
  <c r="CT37" i="13"/>
  <c r="CT79" i="11"/>
  <c r="CT29" i="13"/>
  <c r="BA45" i="7"/>
  <c r="CD14" i="10"/>
  <c r="BD73" i="7"/>
  <c r="CU15" i="8"/>
  <c r="BD65" i="7"/>
  <c r="CU83" i="12"/>
  <c r="CU91" i="12"/>
  <c r="CU35" i="12"/>
  <c r="BC65" i="7"/>
  <c r="BC73" i="7"/>
  <c r="CT15" i="8"/>
  <c r="BA106" i="7"/>
  <c r="BA114" i="7"/>
  <c r="CT13" i="11"/>
  <c r="CT11" i="13"/>
  <c r="CQ18" i="11"/>
  <c r="AW13" i="15"/>
  <c r="AW16" i="15" s="1"/>
  <c r="AV16" i="15" s="1"/>
  <c r="AV13" i="15" s="1"/>
  <c r="AV12" i="15" s="1"/>
  <c r="AW41" i="15"/>
  <c r="BB62" i="7"/>
  <c r="BB72" i="7"/>
  <c r="CS12" i="8"/>
  <c r="CU127" i="13"/>
  <c r="CV127" i="13" s="1"/>
  <c r="DF41" i="13" s="1"/>
  <c r="CX11" i="12"/>
  <c r="CX35" i="12"/>
  <c r="CT12" i="11"/>
  <c r="DA81" i="12"/>
  <c r="CZ82" i="12"/>
  <c r="AZ61" i="7" l="1"/>
  <c r="AZ71" i="7" s="1"/>
  <c r="CQ11" i="8"/>
  <c r="BB114" i="7"/>
  <c r="BB106" i="7"/>
  <c r="BA105" i="7"/>
  <c r="BA113" i="7"/>
  <c r="CZ35" i="12"/>
  <c r="BC61" i="7"/>
  <c r="BC71" i="7"/>
  <c r="CT11" i="8"/>
  <c r="CQ162" i="11"/>
  <c r="AZ124" i="7" s="1"/>
  <c r="AS41" i="15"/>
  <c r="AW26" i="15"/>
  <c r="CQ17" i="8"/>
  <c r="AZ66" i="7"/>
  <c r="AZ74" i="7" s="1"/>
  <c r="CW31" i="12"/>
  <c r="CW30" i="12"/>
  <c r="CS132" i="11"/>
  <c r="CS145" i="11" s="1"/>
  <c r="CQ40" i="12"/>
  <c r="CQ156" i="11"/>
  <c r="CP38" i="13"/>
  <c r="CP37" i="13"/>
  <c r="CP36" i="13"/>
  <c r="CP79" i="11"/>
  <c r="CP29" i="13"/>
  <c r="CQ35" i="13"/>
  <c r="CT93" i="11"/>
  <c r="BC95" i="7"/>
  <c r="BB45" i="7"/>
  <c r="CE14" i="10"/>
  <c r="AY72" i="7"/>
  <c r="CP12" i="8"/>
  <c r="AY62" i="7"/>
  <c r="CM41" i="13"/>
  <c r="CM157" i="11"/>
  <c r="AV122" i="7" s="1"/>
  <c r="CN40" i="13"/>
  <c r="CW87" i="13"/>
  <c r="CX85" i="13"/>
  <c r="CX37" i="12"/>
  <c r="CX38" i="12"/>
  <c r="CT78" i="11"/>
  <c r="CT68" i="8"/>
  <c r="CX29" i="12"/>
  <c r="CU38" i="12"/>
  <c r="CU34" i="12"/>
  <c r="CU37" i="12"/>
  <c r="CU36" i="12"/>
  <c r="CU29" i="12"/>
  <c r="CT35" i="12"/>
  <c r="CQ78" i="11"/>
  <c r="CT31" i="13"/>
  <c r="CT30" i="13"/>
  <c r="CT133" i="11"/>
  <c r="CT146" i="11" s="1"/>
  <c r="CP18" i="11"/>
  <c r="BB14" i="15"/>
  <c r="BB15" i="15"/>
  <c r="DB81" i="12"/>
  <c r="DA82" i="12"/>
  <c r="BC62" i="7"/>
  <c r="BC72" i="7"/>
  <c r="CT12" i="8"/>
  <c r="BB94" i="7"/>
  <c r="CS92" i="11"/>
  <c r="CT11" i="12"/>
  <c r="CT13" i="12"/>
  <c r="CT16" i="12" s="1"/>
  <c r="CP12" i="11"/>
  <c r="CV11" i="12"/>
  <c r="CZ15" i="12"/>
  <c r="CZ50" i="12" s="1"/>
  <c r="CV87" i="13"/>
  <c r="CZ51" i="12" l="1"/>
  <c r="DA50" i="12"/>
  <c r="BB50" i="15"/>
  <c r="BB51" i="15" s="1"/>
  <c r="BB105" i="7"/>
  <c r="BB113" i="7"/>
  <c r="DA35" i="12"/>
  <c r="CT36" i="12"/>
  <c r="CT37" i="12"/>
  <c r="CT38" i="12"/>
  <c r="CT29" i="12"/>
  <c r="CP78" i="11"/>
  <c r="CP68" i="8"/>
  <c r="CX31" i="12"/>
  <c r="CX30" i="12"/>
  <c r="CT132" i="11"/>
  <c r="CT145" i="11" s="1"/>
  <c r="BC106" i="7"/>
  <c r="BC114" i="7"/>
  <c r="CP30" i="13"/>
  <c r="CP31" i="13"/>
  <c r="CP22" i="13"/>
  <c r="CP133" i="11"/>
  <c r="CP146" i="11" s="1"/>
  <c r="AS42" i="15"/>
  <c r="CM162" i="11"/>
  <c r="AV124" i="7" s="1"/>
  <c r="AT41" i="15"/>
  <c r="DB82" i="12"/>
  <c r="DC81" i="12"/>
  <c r="DC82" i="12" s="1"/>
  <c r="AZ12" i="7"/>
  <c r="CQ23" i="8"/>
  <c r="BW39" i="2"/>
  <c r="CP93" i="11"/>
  <c r="AY95" i="7"/>
  <c r="AZ121" i="7"/>
  <c r="CP23" i="8"/>
  <c r="BV39" i="2"/>
  <c r="AY12" i="7"/>
  <c r="CX87" i="13"/>
  <c r="CY85" i="13"/>
  <c r="CY87" i="13" s="1"/>
  <c r="CP17" i="8"/>
  <c r="AY66" i="7"/>
  <c r="AY74" i="7"/>
  <c r="CZ100" i="12"/>
  <c r="CZ102" i="12" s="1"/>
  <c r="DJ40" i="12" s="1"/>
  <c r="DE18" i="12"/>
  <c r="BC94" i="7"/>
  <c r="CT92" i="11"/>
  <c r="CW88" i="13"/>
  <c r="CW60" i="13"/>
  <c r="CW12" i="13"/>
  <c r="CQ41" i="12"/>
  <c r="CR40" i="12"/>
  <c r="CM156" i="11"/>
  <c r="CU31" i="12"/>
  <c r="CU30" i="12"/>
  <c r="CQ132" i="11"/>
  <c r="CQ145" i="11" s="1"/>
  <c r="CU22" i="12"/>
  <c r="BC45" i="7"/>
  <c r="CF14" i="10"/>
  <c r="AY61" i="7"/>
  <c r="AY71" i="7"/>
  <c r="CP21" i="11"/>
  <c r="CP22" i="11" s="1"/>
  <c r="CP11" i="8"/>
  <c r="CV88" i="13"/>
  <c r="CV60" i="13"/>
  <c r="CV12" i="13"/>
  <c r="DD78" i="11"/>
  <c r="CQ92" i="11"/>
  <c r="AZ94" i="7"/>
  <c r="CN41" i="13"/>
  <c r="CO40" i="13"/>
  <c r="CP40" i="13" s="1"/>
  <c r="CN157" i="11"/>
  <c r="AW122" i="7" s="1"/>
  <c r="CQ38" i="13"/>
  <c r="CQ36" i="13"/>
  <c r="CQ37" i="13"/>
  <c r="CQ79" i="11"/>
  <c r="CQ29" i="13"/>
  <c r="CQ34" i="13"/>
  <c r="DE42" i="13" s="1"/>
  <c r="DE36" i="13" s="1"/>
  <c r="AV26" i="15"/>
  <c r="CP71" i="11" s="1"/>
  <c r="CP75" i="11" s="1"/>
  <c r="CQ71" i="11"/>
  <c r="CQ75" i="11" s="1"/>
  <c r="CZ38" i="12"/>
  <c r="CZ34" i="12"/>
  <c r="CV78" i="11"/>
  <c r="CZ29" i="12"/>
  <c r="CY35" i="12"/>
  <c r="DA51" i="12" l="1"/>
  <c r="DB50" i="12"/>
  <c r="CZ12" i="12"/>
  <c r="CZ61" i="12"/>
  <c r="CZ59" i="12"/>
  <c r="CZ83" i="12"/>
  <c r="CZ91" i="12"/>
  <c r="CP42" i="11"/>
  <c r="CP23" i="11"/>
  <c r="CP35" i="11"/>
  <c r="AY69" i="7"/>
  <c r="AY76" i="7" s="1"/>
  <c r="CP38" i="11"/>
  <c r="CU25" i="11"/>
  <c r="DC35" i="12"/>
  <c r="CT30" i="12"/>
  <c r="CT31" i="12"/>
  <c r="CP132" i="11"/>
  <c r="CP145" i="11" s="1"/>
  <c r="CT22" i="12"/>
  <c r="DA38" i="12"/>
  <c r="DA34" i="12"/>
  <c r="CW78" i="11"/>
  <c r="DA29" i="12"/>
  <c r="CR41" i="12"/>
  <c r="CN156" i="11"/>
  <c r="CS40" i="12"/>
  <c r="CO41" i="13"/>
  <c r="CO157" i="11"/>
  <c r="AX122" i="7" s="1"/>
  <c r="CU24" i="12"/>
  <c r="CU23" i="12"/>
  <c r="CQ44" i="11"/>
  <c r="CU18" i="12"/>
  <c r="CU19" i="12" s="1"/>
  <c r="CU20" i="12" s="1"/>
  <c r="AY114" i="7"/>
  <c r="AY106" i="7"/>
  <c r="DB35" i="12"/>
  <c r="CP24" i="13"/>
  <c r="CP23" i="13"/>
  <c r="CP45" i="11"/>
  <c r="CP18" i="13"/>
  <c r="CP19" i="13" s="1"/>
  <c r="CP20" i="13" s="1"/>
  <c r="CZ30" i="12"/>
  <c r="CZ31" i="12"/>
  <c r="CV132" i="11"/>
  <c r="BE94" i="7"/>
  <c r="BC105" i="7"/>
  <c r="BC113" i="7"/>
  <c r="CY38" i="12"/>
  <c r="CY29" i="12"/>
  <c r="CU78" i="11"/>
  <c r="CU68" i="8"/>
  <c r="CC13" i="10"/>
  <c r="AZ169" i="7" s="1"/>
  <c r="CQ49" i="8"/>
  <c r="CQ76" i="11"/>
  <c r="CC111" i="10" s="1"/>
  <c r="CQ31" i="13"/>
  <c r="CQ30" i="13"/>
  <c r="CQ133" i="11"/>
  <c r="CQ146" i="11" s="1"/>
  <c r="CQ22" i="13"/>
  <c r="CV13" i="11"/>
  <c r="CV13" i="13"/>
  <c r="CV16" i="13" s="1"/>
  <c r="DF36" i="13" s="1"/>
  <c r="CV40" i="13"/>
  <c r="CU12" i="13"/>
  <c r="BB52" i="15"/>
  <c r="BB12" i="15"/>
  <c r="CY88" i="13"/>
  <c r="CY60" i="13"/>
  <c r="CY12" i="13"/>
  <c r="AY45" i="7"/>
  <c r="CB14" i="10"/>
  <c r="CQ68" i="8"/>
  <c r="CB13" i="10"/>
  <c r="AY169" i="7" s="1"/>
  <c r="CP49" i="8"/>
  <c r="CP76" i="11"/>
  <c r="CB111" i="10" s="1"/>
  <c r="DD79" i="11"/>
  <c r="CQ93" i="11"/>
  <c r="AZ95" i="7"/>
  <c r="CP41" i="13"/>
  <c r="CP157" i="11"/>
  <c r="AY122" i="7" s="1"/>
  <c r="AZ113" i="7"/>
  <c r="AZ105" i="7"/>
  <c r="AY68" i="7"/>
  <c r="CQ21" i="11"/>
  <c r="CP20" i="8"/>
  <c r="CP21" i="8" s="1"/>
  <c r="AV121" i="7"/>
  <c r="CM165" i="11"/>
  <c r="CW13" i="13"/>
  <c r="CW16" i="13" s="1"/>
  <c r="CW13" i="11"/>
  <c r="CW40" i="13"/>
  <c r="CW157" i="11" s="1"/>
  <c r="BF122" i="7" s="1"/>
  <c r="CX60" i="13"/>
  <c r="CX88" i="13"/>
  <c r="CX12" i="13"/>
  <c r="AT42" i="15"/>
  <c r="AU41" i="15"/>
  <c r="AV41" i="15" s="1"/>
  <c r="CN162" i="11"/>
  <c r="AW124" i="7" s="1"/>
  <c r="CP92" i="11"/>
  <c r="AY94" i="7"/>
  <c r="CV12" i="11" l="1"/>
  <c r="CZ13" i="12"/>
  <c r="CZ16" i="12" s="1"/>
  <c r="CZ40" i="12"/>
  <c r="CY12" i="12"/>
  <c r="CY30" i="12" s="1"/>
  <c r="CZ36" i="12"/>
  <c r="CZ37" i="12"/>
  <c r="DB51" i="12"/>
  <c r="DC50" i="12"/>
  <c r="DC51" i="12" s="1"/>
  <c r="CV145" i="11"/>
  <c r="DA61" i="12"/>
  <c r="DA59" i="12"/>
  <c r="DA12" i="12"/>
  <c r="DA30" i="12" s="1"/>
  <c r="DA83" i="12"/>
  <c r="DA91" i="12"/>
  <c r="CB100" i="10"/>
  <c r="AY10" i="7"/>
  <c r="BV7" i="2"/>
  <c r="CP22" i="8"/>
  <c r="AY11" i="7" s="1"/>
  <c r="CC76" i="9"/>
  <c r="AZ114" i="7"/>
  <c r="AZ106" i="7"/>
  <c r="BV60" i="2"/>
  <c r="AY31" i="7"/>
  <c r="AZ31" i="7"/>
  <c r="CY31" i="12"/>
  <c r="CU132" i="11"/>
  <c r="CS41" i="12"/>
  <c r="CO156" i="11"/>
  <c r="BF94" i="7"/>
  <c r="CP31" i="8"/>
  <c r="CQ35" i="11"/>
  <c r="CX40" i="13"/>
  <c r="CX157" i="11" s="1"/>
  <c r="CX13" i="13"/>
  <c r="CX16" i="13" s="1"/>
  <c r="CX13" i="11"/>
  <c r="CX12" i="8" s="1"/>
  <c r="AV126" i="7"/>
  <c r="AU42" i="15"/>
  <c r="CO162" i="11"/>
  <c r="AX124" i="7" s="1"/>
  <c r="CW12" i="8"/>
  <c r="BF62" i="7"/>
  <c r="CY13" i="11"/>
  <c r="CY12" i="8" s="1"/>
  <c r="CY40" i="13"/>
  <c r="CY157" i="11" s="1"/>
  <c r="CY13" i="13"/>
  <c r="CY16" i="13" s="1"/>
  <c r="CU11" i="13"/>
  <c r="CU13" i="11"/>
  <c r="CU13" i="13"/>
  <c r="CU16" i="13" s="1"/>
  <c r="CU35" i="13" s="1"/>
  <c r="CV12" i="8"/>
  <c r="BE62" i="7"/>
  <c r="BE72" i="7" s="1"/>
  <c r="DB34" i="12"/>
  <c r="DB38" i="12"/>
  <c r="CX78" i="11"/>
  <c r="DB29" i="12"/>
  <c r="AW121" i="7"/>
  <c r="CN165" i="11"/>
  <c r="AW126" i="7" s="1"/>
  <c r="CT23" i="12"/>
  <c r="CT24" i="12"/>
  <c r="CP44" i="11"/>
  <c r="CT18" i="12"/>
  <c r="CT19" i="12" s="1"/>
  <c r="CT20" i="12" s="1"/>
  <c r="DC38" i="12"/>
  <c r="DC34" i="12"/>
  <c r="DC29" i="12"/>
  <c r="CY78" i="11"/>
  <c r="BV36" i="2"/>
  <c r="CP24" i="11"/>
  <c r="BV37" i="2" s="1"/>
  <c r="CQ20" i="8"/>
  <c r="CQ21" i="8" s="1"/>
  <c r="BW60" i="2" s="1"/>
  <c r="AZ68" i="7"/>
  <c r="CQ22" i="11"/>
  <c r="AZ45" i="7"/>
  <c r="CV68" i="8"/>
  <c r="CV18" i="11"/>
  <c r="CV21" i="11" s="1"/>
  <c r="BB41" i="15"/>
  <c r="BB13" i="15"/>
  <c r="BB16" i="15" s="1"/>
  <c r="BC50" i="15"/>
  <c r="CV157" i="11"/>
  <c r="CV26" i="13"/>
  <c r="CR40" i="13"/>
  <c r="CQ24" i="13"/>
  <c r="CQ23" i="13"/>
  <c r="CQ45" i="11"/>
  <c r="CQ18" i="13"/>
  <c r="CQ19" i="13" s="1"/>
  <c r="CQ20" i="13" s="1"/>
  <c r="BD45" i="7"/>
  <c r="CG14" i="10"/>
  <c r="CP57" i="11"/>
  <c r="AY79" i="7"/>
  <c r="AY87" i="7"/>
  <c r="CQ56" i="11"/>
  <c r="AZ78" i="7"/>
  <c r="AZ86" i="7" s="1"/>
  <c r="CP181" i="11"/>
  <c r="CP34" i="8"/>
  <c r="CQ38" i="11"/>
  <c r="AY105" i="7"/>
  <c r="AY113" i="7"/>
  <c r="CP162" i="11"/>
  <c r="AY124" i="7" s="1"/>
  <c r="AV42" i="15"/>
  <c r="CC52" i="9"/>
  <c r="CC14" i="10"/>
  <c r="BD94" i="7"/>
  <c r="BE105" i="7"/>
  <c r="CT40" i="12"/>
  <c r="DA31" i="12"/>
  <c r="CW132" i="11"/>
  <c r="DA40" i="12" l="1"/>
  <c r="DA13" i="12"/>
  <c r="DA16" i="12" s="1"/>
  <c r="CW12" i="11"/>
  <c r="CW145" i="11" s="1"/>
  <c r="DA37" i="12"/>
  <c r="DA36" i="12"/>
  <c r="DC59" i="12"/>
  <c r="DC61" i="12"/>
  <c r="DC12" i="12"/>
  <c r="DC30" i="12" s="1"/>
  <c r="DC91" i="12"/>
  <c r="DC83" i="12"/>
  <c r="CY13" i="12"/>
  <c r="CY16" i="12" s="1"/>
  <c r="CU12" i="11"/>
  <c r="CY11" i="12"/>
  <c r="CY37" i="12"/>
  <c r="CY36" i="12"/>
  <c r="DB61" i="12"/>
  <c r="DB59" i="12"/>
  <c r="DB12" i="12"/>
  <c r="DB91" i="12"/>
  <c r="DB83" i="12"/>
  <c r="CV40" i="12"/>
  <c r="CZ26" i="12"/>
  <c r="CV156" i="11"/>
  <c r="BE121" i="7" s="1"/>
  <c r="CU145" i="11"/>
  <c r="CV11" i="8"/>
  <c r="BE61" i="7"/>
  <c r="CV92" i="11"/>
  <c r="BF72" i="7"/>
  <c r="CR21" i="11"/>
  <c r="BE68" i="7"/>
  <c r="CV20" i="8"/>
  <c r="BD105" i="7"/>
  <c r="AY20" i="7"/>
  <c r="CP35" i="8"/>
  <c r="BV59" i="2" s="1"/>
  <c r="CT41" i="12"/>
  <c r="CP156" i="11"/>
  <c r="AY154" i="7"/>
  <c r="CD52" i="9"/>
  <c r="CQ34" i="8"/>
  <c r="CQ39" i="11"/>
  <c r="CQ182" i="11" s="1"/>
  <c r="CQ181" i="11"/>
  <c r="BE122" i="7"/>
  <c r="BE45" i="7"/>
  <c r="CW68" i="8"/>
  <c r="CH14" i="10"/>
  <c r="DC31" i="12"/>
  <c r="CY132" i="11"/>
  <c r="CQ36" i="11"/>
  <c r="CQ31" i="8"/>
  <c r="CC100" i="10"/>
  <c r="AZ10" i="7"/>
  <c r="BW7" i="2"/>
  <c r="CD76" i="9"/>
  <c r="CQ22" i="8"/>
  <c r="AZ11" i="7" s="1"/>
  <c r="CU37" i="13"/>
  <c r="CU38" i="13"/>
  <c r="CU36" i="13"/>
  <c r="CU79" i="11"/>
  <c r="CU29" i="13"/>
  <c r="CV35" i="13"/>
  <c r="AY19" i="7"/>
  <c r="BV63" i="2"/>
  <c r="CP32" i="8"/>
  <c r="BV58" i="2" s="1"/>
  <c r="AX121" i="7"/>
  <c r="CO165" i="11"/>
  <c r="AX126" i="7" s="1"/>
  <c r="CC96" i="9"/>
  <c r="CC78" i="9"/>
  <c r="CC81" i="9"/>
  <c r="CC15" i="9"/>
  <c r="CC18" i="9"/>
  <c r="AX41" i="15"/>
  <c r="CV162" i="11"/>
  <c r="BE124" i="7" s="1"/>
  <c r="BB26" i="15"/>
  <c r="CR41" i="13"/>
  <c r="CR157" i="11"/>
  <c r="CS40" i="13"/>
  <c r="BC51" i="15"/>
  <c r="CP56" i="11"/>
  <c r="AY86" i="7"/>
  <c r="AY78" i="7"/>
  <c r="CU12" i="8"/>
  <c r="BD62" i="7"/>
  <c r="BD72" i="7"/>
  <c r="CQ57" i="11"/>
  <c r="AZ79" i="7"/>
  <c r="AZ87" i="7" s="1"/>
  <c r="CW26" i="13"/>
  <c r="CV67" i="11"/>
  <c r="CT26" i="13"/>
  <c r="CU26" i="13"/>
  <c r="CU67" i="11" s="1"/>
  <c r="CR26" i="13"/>
  <c r="CS26" i="13"/>
  <c r="CV17" i="8"/>
  <c r="BE66" i="7"/>
  <c r="BE74" i="7" s="1"/>
  <c r="AZ69" i="7"/>
  <c r="AZ76" i="7" s="1"/>
  <c r="CQ42" i="11"/>
  <c r="CQ23" i="11"/>
  <c r="CV25" i="11"/>
  <c r="DB30" i="12"/>
  <c r="DB31" i="12"/>
  <c r="CX132" i="11"/>
  <c r="CV22" i="11"/>
  <c r="CW25" i="11" s="1"/>
  <c r="BF105" i="7"/>
  <c r="BV138" i="2"/>
  <c r="BV139" i="2"/>
  <c r="BD71" i="7" l="1"/>
  <c r="CU11" i="8"/>
  <c r="BD61" i="7"/>
  <c r="BD113" i="7" s="1"/>
  <c r="CU92" i="11"/>
  <c r="CY12" i="11"/>
  <c r="CY145" i="11" s="1"/>
  <c r="DC13" i="12"/>
  <c r="DC16" i="12" s="1"/>
  <c r="DC40" i="12"/>
  <c r="DC36" i="12"/>
  <c r="DC37" i="12"/>
  <c r="BE71" i="7"/>
  <c r="BE113" i="7"/>
  <c r="BF61" i="7"/>
  <c r="CW11" i="8"/>
  <c r="CW92" i="11"/>
  <c r="CZ22" i="12"/>
  <c r="CV66" i="11"/>
  <c r="CV26" i="12"/>
  <c r="DB13" i="12"/>
  <c r="DB16" i="12" s="1"/>
  <c r="DB40" i="12"/>
  <c r="CX12" i="11"/>
  <c r="DB37" i="12"/>
  <c r="DB36" i="12"/>
  <c r="CW40" i="12"/>
  <c r="CR156" i="11"/>
  <c r="BA121" i="7" s="1"/>
  <c r="CV41" i="12"/>
  <c r="CW156" i="11"/>
  <c r="BF121" i="7" s="1"/>
  <c r="DA26" i="12"/>
  <c r="CV21" i="8"/>
  <c r="BE10" i="7" s="1"/>
  <c r="BY38" i="2"/>
  <c r="CT67" i="11"/>
  <c r="CT22" i="13"/>
  <c r="BA122" i="7"/>
  <c r="AY135" i="7"/>
  <c r="CC90" i="9"/>
  <c r="CD15" i="9"/>
  <c r="BV110" i="2"/>
  <c r="CU22" i="13"/>
  <c r="CU31" i="13"/>
  <c r="CU30" i="13"/>
  <c r="CU133" i="11"/>
  <c r="CU146" i="11" s="1"/>
  <c r="BW139" i="2"/>
  <c r="BW138" i="2"/>
  <c r="AX35" i="15"/>
  <c r="AX13" i="15"/>
  <c r="AX12" i="15" s="1"/>
  <c r="CQ35" i="8"/>
  <c r="BW59" i="2" s="1"/>
  <c r="AZ20" i="7"/>
  <c r="AY41" i="15"/>
  <c r="CR162" i="11"/>
  <c r="BA124" i="7" s="1"/>
  <c r="BD95" i="7"/>
  <c r="CU93" i="11"/>
  <c r="CQ165" i="11"/>
  <c r="AZ154" i="7"/>
  <c r="CE52" i="9"/>
  <c r="BX38" i="2"/>
  <c r="CR67" i="11"/>
  <c r="CR22" i="13"/>
  <c r="CW67" i="11"/>
  <c r="CX26" i="13"/>
  <c r="BC52" i="15"/>
  <c r="BC12" i="15"/>
  <c r="CV71" i="11"/>
  <c r="BA26" i="15"/>
  <c r="CU71" i="11" s="1"/>
  <c r="CV166" i="11"/>
  <c r="CQ180" i="11"/>
  <c r="CQ183" i="11"/>
  <c r="CQ184" i="11"/>
  <c r="CQ186" i="11" s="1"/>
  <c r="CS67" i="11"/>
  <c r="CS22" i="13"/>
  <c r="BW36" i="2"/>
  <c r="CQ24" i="11"/>
  <c r="CV23" i="11"/>
  <c r="BE69" i="7"/>
  <c r="BE76" i="7" s="1"/>
  <c r="CV42" i="11"/>
  <c r="CW42" i="11" s="1"/>
  <c r="CS41" i="13"/>
  <c r="CS157" i="11"/>
  <c r="CT40" i="13"/>
  <c r="AY137" i="7"/>
  <c r="CC92" i="9"/>
  <c r="CD18" i="9"/>
  <c r="CV36" i="13"/>
  <c r="CV37" i="13"/>
  <c r="CV38" i="13"/>
  <c r="CV34" i="13"/>
  <c r="DF42" i="13" s="1"/>
  <c r="CV79" i="11"/>
  <c r="CV29" i="13"/>
  <c r="CW35" i="13"/>
  <c r="CD78" i="9"/>
  <c r="CD81" i="9"/>
  <c r="BW63" i="2"/>
  <c r="AZ19" i="7"/>
  <c r="CQ32" i="8"/>
  <c r="BW58" i="2" s="1"/>
  <c r="BF45" i="7"/>
  <c r="CX68" i="8"/>
  <c r="CI14" i="10"/>
  <c r="AY121" i="7"/>
  <c r="CP166" i="11"/>
  <c r="CR20" i="8"/>
  <c r="BA68" i="7"/>
  <c r="CS21" i="11"/>
  <c r="CV75" i="11" l="1"/>
  <c r="CH13" i="10" s="1"/>
  <c r="BE169" i="7" s="1"/>
  <c r="CI76" i="9"/>
  <c r="CI81" i="9" s="1"/>
  <c r="CJ81" i="9" s="1"/>
  <c r="CK81" i="9" s="1"/>
  <c r="CL81" i="9" s="1"/>
  <c r="BX7" i="2"/>
  <c r="BX139" i="2" s="1"/>
  <c r="DB26" i="12"/>
  <c r="DC26" i="12" s="1"/>
  <c r="CX156" i="11"/>
  <c r="CV44" i="11"/>
  <c r="CZ18" i="12"/>
  <c r="CZ19" i="12" s="1"/>
  <c r="CZ20" i="12" s="1"/>
  <c r="CZ23" i="12"/>
  <c r="CZ24" i="12"/>
  <c r="CY156" i="11"/>
  <c r="CH100" i="10"/>
  <c r="CV22" i="12"/>
  <c r="CR66" i="11"/>
  <c r="CR75" i="11" s="1"/>
  <c r="CW26" i="12"/>
  <c r="CY11" i="8"/>
  <c r="CY92" i="11"/>
  <c r="CW66" i="11"/>
  <c r="DA22" i="12"/>
  <c r="CX40" i="12"/>
  <c r="CW41" i="12"/>
  <c r="CS156" i="11"/>
  <c r="BB121" i="7" s="1"/>
  <c r="CX11" i="8"/>
  <c r="CX92" i="11"/>
  <c r="BF71" i="7"/>
  <c r="BF113" i="7"/>
  <c r="CX145" i="11"/>
  <c r="CV22" i="8"/>
  <c r="BE11" i="7" s="1"/>
  <c r="AZ41" i="15"/>
  <c r="BA41" i="15" s="1"/>
  <c r="CS162" i="11"/>
  <c r="BB124" i="7" s="1"/>
  <c r="CR18" i="11"/>
  <c r="CV93" i="11"/>
  <c r="BE95" i="7"/>
  <c r="BB122" i="7"/>
  <c r="BX36" i="2"/>
  <c r="CV26" i="11"/>
  <c r="CS23" i="13"/>
  <c r="CS45" i="11"/>
  <c r="CS24" i="13"/>
  <c r="CS18" i="13"/>
  <c r="CS19" i="13" s="1"/>
  <c r="CS20" i="13" s="1"/>
  <c r="CY26" i="13"/>
  <c r="CY67" i="11" s="1"/>
  <c r="CX67" i="11"/>
  <c r="BA154" i="7"/>
  <c r="CF52" i="9"/>
  <c r="AX42" i="15"/>
  <c r="AY35" i="15"/>
  <c r="AZ16" i="15"/>
  <c r="BA16" i="15" s="1"/>
  <c r="BA13" i="15" s="1"/>
  <c r="BA12" i="15" s="1"/>
  <c r="AY13" i="15"/>
  <c r="AY12" i="15" s="1"/>
  <c r="AY42" i="15" s="1"/>
  <c r="AZ135" i="7"/>
  <c r="CD79" i="9"/>
  <c r="CD108" i="9" s="1"/>
  <c r="CD90" i="9"/>
  <c r="BW110" i="2"/>
  <c r="CT45" i="11"/>
  <c r="CT23" i="13"/>
  <c r="CT24" i="13"/>
  <c r="CT18" i="13"/>
  <c r="CT19" i="13" s="1"/>
  <c r="CT20" i="13" s="1"/>
  <c r="CV30" i="13"/>
  <c r="CV31" i="13"/>
  <c r="CV133" i="11"/>
  <c r="CV146" i="11" s="1"/>
  <c r="CV22" i="13"/>
  <c r="CT41" i="13"/>
  <c r="CT157" i="11"/>
  <c r="BB68" i="7"/>
  <c r="CS20" i="8"/>
  <c r="CT21" i="11"/>
  <c r="CJ14" i="10"/>
  <c r="CY68" i="8"/>
  <c r="CK14" i="10" s="1"/>
  <c r="AY127" i="7"/>
  <c r="CB23" i="10"/>
  <c r="CB107" i="10"/>
  <c r="CB109" i="10" s="1"/>
  <c r="CX42" i="11"/>
  <c r="BW37" i="2"/>
  <c r="BE127" i="7"/>
  <c r="CH107" i="10"/>
  <c r="CH23" i="10"/>
  <c r="BD106" i="7"/>
  <c r="BD114" i="7"/>
  <c r="AX36" i="15"/>
  <c r="AX39" i="15"/>
  <c r="AX38" i="15"/>
  <c r="CR83" i="11"/>
  <c r="AX29" i="15"/>
  <c r="BX138" i="2"/>
  <c r="CW36" i="13"/>
  <c r="CW38" i="13"/>
  <c r="CW34" i="13"/>
  <c r="CW79" i="11"/>
  <c r="CW29" i="13"/>
  <c r="CX35" i="13"/>
  <c r="AZ137" i="7"/>
  <c r="CD92" i="9"/>
  <c r="CD80" i="9"/>
  <c r="CU40" i="13"/>
  <c r="AW92" i="15"/>
  <c r="CU100" i="14"/>
  <c r="BC13" i="15"/>
  <c r="BC16" i="15" s="1"/>
  <c r="BC41" i="15"/>
  <c r="CW18" i="11"/>
  <c r="BD50" i="15"/>
  <c r="CR23" i="13"/>
  <c r="CR24" i="13"/>
  <c r="CR45" i="11"/>
  <c r="CR18" i="13"/>
  <c r="CR19" i="13" s="1"/>
  <c r="CR20" i="13" s="1"/>
  <c r="AZ126" i="7"/>
  <c r="CQ166" i="11"/>
  <c r="BA12" i="7"/>
  <c r="CR23" i="8"/>
  <c r="CU45" i="11"/>
  <c r="CU23" i="13"/>
  <c r="CU24" i="13"/>
  <c r="CU18" i="13"/>
  <c r="CU19" i="13" s="1"/>
  <c r="CU20" i="13" s="1"/>
  <c r="CR166" i="11"/>
  <c r="CV76" i="11" l="1"/>
  <c r="CH111" i="10" s="1"/>
  <c r="CH103" i="10" s="1"/>
  <c r="CI78" i="9"/>
  <c r="CV49" i="8"/>
  <c r="CS166" i="11"/>
  <c r="CE107" i="10" s="1"/>
  <c r="CR76" i="11"/>
  <c r="CD111" i="10" s="1"/>
  <c r="CR49" i="8"/>
  <c r="BA31" i="7" s="1"/>
  <c r="CD13" i="10"/>
  <c r="BA169" i="7" s="1"/>
  <c r="CY40" i="12"/>
  <c r="CX41" i="12"/>
  <c r="CT156" i="11"/>
  <c r="BC121" i="7" s="1"/>
  <c r="CW44" i="11"/>
  <c r="DA18" i="12"/>
  <c r="DA19" i="12" s="1"/>
  <c r="DA20" i="12" s="1"/>
  <c r="DA23" i="12"/>
  <c r="DA24" i="12"/>
  <c r="CW22" i="12"/>
  <c r="CS66" i="11"/>
  <c r="CS75" i="11" s="1"/>
  <c r="CX26" i="12"/>
  <c r="CX66" i="11"/>
  <c r="DB22" i="12"/>
  <c r="CY66" i="11"/>
  <c r="DC22" i="12"/>
  <c r="CV23" i="12"/>
  <c r="CV24" i="12"/>
  <c r="CR44" i="11"/>
  <c r="CV18" i="12"/>
  <c r="CV19" i="12" s="1"/>
  <c r="CV20" i="12" s="1"/>
  <c r="CV56" i="11"/>
  <c r="BE78" i="7"/>
  <c r="BE86" i="7" s="1"/>
  <c r="CW162" i="11"/>
  <c r="BC26" i="15"/>
  <c r="BE174" i="7"/>
  <c r="CH101" i="10"/>
  <c r="BX23" i="2"/>
  <c r="CB112" i="10"/>
  <c r="CC21" i="9" s="1"/>
  <c r="CB110" i="10"/>
  <c r="CU18" i="11"/>
  <c r="CS57" i="11"/>
  <c r="BB79" i="7"/>
  <c r="BB87" i="7"/>
  <c r="CD107" i="10"/>
  <c r="BA127" i="7"/>
  <c r="CD23" i="10"/>
  <c r="CU157" i="11"/>
  <c r="CU41" i="13"/>
  <c r="CY42" i="11"/>
  <c r="CB101" i="10"/>
  <c r="CB103" i="10"/>
  <c r="AY174" i="7"/>
  <c r="BV23" i="2"/>
  <c r="CT20" i="8"/>
  <c r="BC68" i="7"/>
  <c r="CU21" i="11"/>
  <c r="CV24" i="13"/>
  <c r="CV23" i="13"/>
  <c r="CV45" i="11"/>
  <c r="CV18" i="13"/>
  <c r="CV19" i="13" s="1"/>
  <c r="CV20" i="13" s="1"/>
  <c r="BC87" i="7"/>
  <c r="CT57" i="11"/>
  <c r="BC79" i="7"/>
  <c r="CS18" i="11"/>
  <c r="CG52" i="9"/>
  <c r="BB154" i="7"/>
  <c r="BA74" i="7"/>
  <c r="BA66" i="7"/>
  <c r="CR17" i="8"/>
  <c r="CR21" i="8" s="1"/>
  <c r="CR22" i="11"/>
  <c r="BK39" i="15"/>
  <c r="BK41" i="15" s="1"/>
  <c r="AW97" i="15"/>
  <c r="AW102" i="15" s="1"/>
  <c r="BD51" i="15"/>
  <c r="BA87" i="7"/>
  <c r="BA79" i="7"/>
  <c r="CR57" i="11"/>
  <c r="CX38" i="13"/>
  <c r="CX36" i="13"/>
  <c r="CX34" i="13"/>
  <c r="CX79" i="11"/>
  <c r="CX29" i="13"/>
  <c r="CY35" i="13"/>
  <c r="AX30" i="15"/>
  <c r="AX22" i="15"/>
  <c r="AX31" i="15"/>
  <c r="CR138" i="11"/>
  <c r="AZ35" i="15"/>
  <c r="AZ13" i="15"/>
  <c r="AZ12" i="15" s="1"/>
  <c r="AZ42" i="15" s="1"/>
  <c r="BE12" i="7"/>
  <c r="BX39" i="2"/>
  <c r="CV23" i="8"/>
  <c r="BE106" i="7"/>
  <c r="BE114" i="7"/>
  <c r="BE31" i="7"/>
  <c r="BX60" i="2"/>
  <c r="CU57" i="11"/>
  <c r="BD87" i="7"/>
  <c r="BD79" i="7"/>
  <c r="CW93" i="11"/>
  <c r="BF95" i="7"/>
  <c r="CC23" i="10"/>
  <c r="AZ127" i="7"/>
  <c r="CC107" i="10"/>
  <c r="CC109" i="10" s="1"/>
  <c r="CW17" i="8"/>
  <c r="BF66" i="7"/>
  <c r="BF74" i="7" s="1"/>
  <c r="CW21" i="11"/>
  <c r="CW22" i="11" s="1"/>
  <c r="DK37" i="14"/>
  <c r="CQ100" i="14"/>
  <c r="CW22" i="13"/>
  <c r="CW30" i="13"/>
  <c r="CW31" i="13"/>
  <c r="CW133" i="11"/>
  <c r="CW146" i="11" s="1"/>
  <c r="BA97" i="7"/>
  <c r="CR97" i="11"/>
  <c r="BA42" i="15"/>
  <c r="CU162" i="11"/>
  <c r="BD124" i="7" s="1"/>
  <c r="BC122" i="7"/>
  <c r="AY38" i="15"/>
  <c r="CS83" i="11"/>
  <c r="AY36" i="15"/>
  <c r="AY39" i="15"/>
  <c r="AY29" i="15"/>
  <c r="BB127" i="7"/>
  <c r="CT162" i="11"/>
  <c r="BC124" i="7" s="1"/>
  <c r="CE23" i="10" l="1"/>
  <c r="DB23" i="12"/>
  <c r="DB24" i="12"/>
  <c r="CX44" i="11"/>
  <c r="CX56" i="11" s="1"/>
  <c r="DB18" i="12"/>
  <c r="DB19" i="12" s="1"/>
  <c r="DB20" i="12" s="1"/>
  <c r="CS44" i="11"/>
  <c r="CW18" i="12"/>
  <c r="CW19" i="12" s="1"/>
  <c r="CW20" i="12" s="1"/>
  <c r="CW23" i="12"/>
  <c r="CW24" i="12"/>
  <c r="CW56" i="11"/>
  <c r="BF78" i="7"/>
  <c r="DC18" i="12"/>
  <c r="CY44" i="11"/>
  <c r="CY56" i="11" s="1"/>
  <c r="DC23" i="12"/>
  <c r="DC24" i="12"/>
  <c r="CY26" i="12"/>
  <c r="CT66" i="11"/>
  <c r="CT75" i="11" s="1"/>
  <c r="CX22" i="12"/>
  <c r="CR56" i="11"/>
  <c r="BA86" i="7"/>
  <c r="BA78" i="7"/>
  <c r="CS76" i="11"/>
  <c r="CE111" i="10" s="1"/>
  <c r="CE13" i="10"/>
  <c r="BB169" i="7" s="1"/>
  <c r="CS49" i="8"/>
  <c r="BB31" i="7" s="1"/>
  <c r="CY41" i="12"/>
  <c r="CU156" i="11"/>
  <c r="BD121" i="7" s="1"/>
  <c r="BD52" i="15"/>
  <c r="BD12" i="15"/>
  <c r="BD122" i="7"/>
  <c r="AY140" i="7"/>
  <c r="BV108" i="2"/>
  <c r="CC28" i="9"/>
  <c r="CD21" i="9"/>
  <c r="BV106" i="2"/>
  <c r="CC103" i="10"/>
  <c r="AZ174" i="7"/>
  <c r="CC101" i="10"/>
  <c r="BW23" i="2"/>
  <c r="CR151" i="11"/>
  <c r="CY36" i="13"/>
  <c r="CY38" i="13"/>
  <c r="CY34" i="13"/>
  <c r="CY79" i="11"/>
  <c r="CY29" i="13"/>
  <c r="BA69" i="7"/>
  <c r="BA76" i="7" s="1"/>
  <c r="CR23" i="11"/>
  <c r="CR24" i="11" s="1"/>
  <c r="CR35" i="11"/>
  <c r="CR38" i="11"/>
  <c r="BB66" i="7"/>
  <c r="BB74" i="7"/>
  <c r="CS17" i="8"/>
  <c r="CS21" i="8" s="1"/>
  <c r="CS22" i="11"/>
  <c r="BV101" i="2"/>
  <c r="BV100" i="2"/>
  <c r="BV148" i="2"/>
  <c r="BV145" i="2" s="1"/>
  <c r="CD103" i="10"/>
  <c r="BA174" i="7"/>
  <c r="BD74" i="7"/>
  <c r="CU17" i="8"/>
  <c r="BD66" i="7"/>
  <c r="CU22" i="11"/>
  <c r="BX100" i="2"/>
  <c r="BX101" i="2"/>
  <c r="BX148" i="2"/>
  <c r="BX145" i="2" s="1"/>
  <c r="AY31" i="15"/>
  <c r="AY22" i="15"/>
  <c r="AY30" i="15"/>
  <c r="CS138" i="11"/>
  <c r="CW23" i="13"/>
  <c r="CW24" i="13"/>
  <c r="CW45" i="11"/>
  <c r="CW18" i="13"/>
  <c r="CW19" i="13" s="1"/>
  <c r="CW20" i="13" s="1"/>
  <c r="CW23" i="11"/>
  <c r="BF69" i="7"/>
  <c r="BF76" i="7" s="1"/>
  <c r="CW35" i="11"/>
  <c r="CW31" i="8" s="1"/>
  <c r="CW41" i="11"/>
  <c r="CW37" i="8" s="1"/>
  <c r="BF21" i="7" s="1"/>
  <c r="CT18" i="11"/>
  <c r="CX30" i="13"/>
  <c r="CX31" i="13"/>
  <c r="CX22" i="13"/>
  <c r="CX133" i="11"/>
  <c r="CX146" i="11" s="1"/>
  <c r="AW109" i="15"/>
  <c r="AW103" i="15"/>
  <c r="AW104" i="15" s="1"/>
  <c r="CD100" i="10"/>
  <c r="CD101" i="10" s="1"/>
  <c r="BA10" i="7"/>
  <c r="CR22" i="8"/>
  <c r="BA11" i="7" s="1"/>
  <c r="CE76" i="9"/>
  <c r="CU20" i="8"/>
  <c r="BD68" i="7"/>
  <c r="CW71" i="11"/>
  <c r="CW75" i="11" s="1"/>
  <c r="BB174" i="7"/>
  <c r="BA108" i="7"/>
  <c r="BA116" i="7"/>
  <c r="CS97" i="11"/>
  <c r="BB97" i="7"/>
  <c r="CT166" i="11"/>
  <c r="CQ99" i="14"/>
  <c r="CQ98" i="14" s="1"/>
  <c r="CR100" i="14"/>
  <c r="CW20" i="8"/>
  <c r="CW21" i="8" s="1"/>
  <c r="BF68" i="7"/>
  <c r="CC112" i="10"/>
  <c r="CC110" i="10"/>
  <c r="BF106" i="7"/>
  <c r="BF114" i="7"/>
  <c r="AZ36" i="15"/>
  <c r="CT83" i="11"/>
  <c r="AZ38" i="15"/>
  <c r="AZ39" i="15"/>
  <c r="AZ29" i="15"/>
  <c r="AX23" i="15"/>
  <c r="AX24" i="15"/>
  <c r="CR50" i="11"/>
  <c r="AX18" i="15"/>
  <c r="AX19" i="15" s="1"/>
  <c r="AX20" i="15" s="1"/>
  <c r="CX93" i="11"/>
  <c r="BC154" i="7"/>
  <c r="CH52" i="9"/>
  <c r="BE79" i="7"/>
  <c r="BE87" i="7" s="1"/>
  <c r="CV57" i="11"/>
  <c r="BF124" i="7"/>
  <c r="CW166" i="11"/>
  <c r="CE103" i="10" l="1"/>
  <c r="AW37" i="15"/>
  <c r="AW35" i="15" s="1"/>
  <c r="DC19" i="12"/>
  <c r="DC20" i="12" s="1"/>
  <c r="BF86" i="7"/>
  <c r="CT49" i="8"/>
  <c r="BC31" i="7" s="1"/>
  <c r="CT76" i="11"/>
  <c r="CF111" i="10" s="1"/>
  <c r="CF13" i="10"/>
  <c r="BC169" i="7" s="1"/>
  <c r="CU166" i="11"/>
  <c r="CG23" i="10" s="1"/>
  <c r="CY22" i="12"/>
  <c r="CU66" i="11"/>
  <c r="CU75" i="11" s="1"/>
  <c r="CX24" i="12"/>
  <c r="CX23" i="12"/>
  <c r="CT44" i="11"/>
  <c r="CX18" i="12"/>
  <c r="CX19" i="12" s="1"/>
  <c r="CX20" i="12" s="1"/>
  <c r="BB78" i="7"/>
  <c r="CS56" i="11"/>
  <c r="BB86" i="7"/>
  <c r="CR99" i="14"/>
  <c r="CR98" i="14" s="1"/>
  <c r="CS100" i="14"/>
  <c r="CS99" i="14" s="1"/>
  <c r="CS98" i="14" s="1"/>
  <c r="CI100" i="10"/>
  <c r="BF10" i="7"/>
  <c r="BY7" i="2"/>
  <c r="CW22" i="8"/>
  <c r="BF11" i="7" s="1"/>
  <c r="CJ76" i="9"/>
  <c r="CJ78" i="9" s="1"/>
  <c r="BY36" i="2"/>
  <c r="CW26" i="11"/>
  <c r="AY23" i="15"/>
  <c r="CS50" i="11"/>
  <c r="AY24" i="15"/>
  <c r="AY18" i="15"/>
  <c r="AY19" i="15" s="1"/>
  <c r="AY20" i="15" s="1"/>
  <c r="CU21" i="8"/>
  <c r="AZ140" i="7"/>
  <c r="CD28" i="9"/>
  <c r="BW108" i="2"/>
  <c r="BW106" i="2"/>
  <c r="CW49" i="8"/>
  <c r="CI13" i="10"/>
  <c r="BF169" i="7" s="1"/>
  <c r="CW76" i="11"/>
  <c r="CI111" i="10" s="1"/>
  <c r="BV144" i="2"/>
  <c r="BV147" i="2"/>
  <c r="BV146" i="2"/>
  <c r="BB69" i="7"/>
  <c r="BB76" i="7" s="1"/>
  <c r="CS42" i="11"/>
  <c r="CS38" i="11"/>
  <c r="CS23" i="11"/>
  <c r="CS26" i="11" s="1"/>
  <c r="CS35" i="11"/>
  <c r="CS31" i="8" s="1"/>
  <c r="CR34" i="8"/>
  <c r="CR181" i="11"/>
  <c r="CD106" i="10"/>
  <c r="CD109" i="10" s="1"/>
  <c r="CH106" i="10"/>
  <c r="CH109" i="10" s="1"/>
  <c r="BC127" i="7"/>
  <c r="CF23" i="10"/>
  <c r="CF107" i="10"/>
  <c r="BF127" i="7"/>
  <c r="CI107" i="10"/>
  <c r="CI23" i="10"/>
  <c r="BC97" i="7"/>
  <c r="CT97" i="11"/>
  <c r="BB108" i="7"/>
  <c r="BB116" i="7"/>
  <c r="CE96" i="9"/>
  <c r="CE18" i="9"/>
  <c r="CE78" i="9"/>
  <c r="CE81" i="9"/>
  <c r="CE15" i="9"/>
  <c r="CX24" i="13"/>
  <c r="CX23" i="13"/>
  <c r="CX45" i="11"/>
  <c r="CX18" i="13"/>
  <c r="CX19" i="13" s="1"/>
  <c r="CX20" i="13" s="1"/>
  <c r="CT17" i="8"/>
  <c r="CT21" i="8" s="1"/>
  <c r="BC74" i="7"/>
  <c r="BC66" i="7"/>
  <c r="CT22" i="11"/>
  <c r="BF19" i="7"/>
  <c r="CW32" i="8"/>
  <c r="BY58" i="2" s="1"/>
  <c r="CW57" i="11"/>
  <c r="BF79" i="7"/>
  <c r="BF87" i="7" s="1"/>
  <c r="CS151" i="11"/>
  <c r="BX146" i="2"/>
  <c r="BX144" i="2"/>
  <c r="BX147" i="2"/>
  <c r="CU38" i="11"/>
  <c r="CU42" i="11"/>
  <c r="CU23" i="11"/>
  <c r="CU26" i="11" s="1"/>
  <c r="BD69" i="7"/>
  <c r="BD76" i="7" s="1"/>
  <c r="CU35" i="11"/>
  <c r="CU31" i="8" s="1"/>
  <c r="CE100" i="10"/>
  <c r="CE101" i="10" s="1"/>
  <c r="BB10" i="7"/>
  <c r="CS22" i="8"/>
  <c r="BB11" i="7" s="1"/>
  <c r="CF76" i="9"/>
  <c r="CY30" i="13"/>
  <c r="CY31" i="13"/>
  <c r="CY22" i="13"/>
  <c r="CY133" i="11"/>
  <c r="CY146" i="11" s="1"/>
  <c r="BW100" i="2"/>
  <c r="BW101" i="2"/>
  <c r="BW148" i="2"/>
  <c r="CX18" i="11"/>
  <c r="BD41" i="15"/>
  <c r="BD13" i="15"/>
  <c r="BD16" i="15" s="1"/>
  <c r="CX23" i="8" s="1"/>
  <c r="BE50" i="15"/>
  <c r="BE51" i="15" s="1"/>
  <c r="BA81" i="7"/>
  <c r="CR61" i="11"/>
  <c r="BA89" i="7"/>
  <c r="BD154" i="7"/>
  <c r="CI52" i="9"/>
  <c r="AZ30" i="15"/>
  <c r="AZ31" i="15"/>
  <c r="AZ22" i="15"/>
  <c r="CT138" i="11"/>
  <c r="CR31" i="8"/>
  <c r="CY93" i="11"/>
  <c r="AV35" i="15" l="1"/>
  <c r="AV37" i="15" s="1"/>
  <c r="AW36" i="15"/>
  <c r="BB95" i="15" s="1"/>
  <c r="CQ83" i="11"/>
  <c r="AZ97" i="7" s="1"/>
  <c r="AW38" i="15"/>
  <c r="AW29" i="15"/>
  <c r="AW22" i="15" s="1"/>
  <c r="AW39" i="15"/>
  <c r="AW34" i="15"/>
  <c r="BD127" i="7"/>
  <c r="CG107" i="10"/>
  <c r="CG13" i="10"/>
  <c r="BD169" i="7" s="1"/>
  <c r="CU49" i="8"/>
  <c r="BD31" i="7" s="1"/>
  <c r="CU76" i="11"/>
  <c r="CG111" i="10" s="1"/>
  <c r="CG103" i="10" s="1"/>
  <c r="BC86" i="7"/>
  <c r="BC78" i="7"/>
  <c r="CT56" i="11"/>
  <c r="CU44" i="11"/>
  <c r="CY18" i="12"/>
  <c r="CY19" i="12" s="1"/>
  <c r="CY20" i="12" s="1"/>
  <c r="CY24" i="12"/>
  <c r="CY23" i="12"/>
  <c r="BW144" i="2"/>
  <c r="BW147" i="2"/>
  <c r="BW146" i="2"/>
  <c r="CX57" i="11"/>
  <c r="BF174" i="7"/>
  <c r="CI103" i="10"/>
  <c r="CI101" i="10"/>
  <c r="BY23" i="2"/>
  <c r="CF103" i="10"/>
  <c r="BC174" i="7"/>
  <c r="CS32" i="8"/>
  <c r="BB19" i="7"/>
  <c r="CG100" i="10"/>
  <c r="CG101" i="10" s="1"/>
  <c r="BD10" i="7"/>
  <c r="CU22" i="8"/>
  <c r="BD11" i="7" s="1"/>
  <c r="CH76" i="9"/>
  <c r="CQ97" i="11"/>
  <c r="CY24" i="13"/>
  <c r="CY23" i="13"/>
  <c r="CY45" i="11"/>
  <c r="CY18" i="13"/>
  <c r="CY19" i="13" s="1"/>
  <c r="CY20" i="13" s="1"/>
  <c r="CF81" i="9"/>
  <c r="CF78" i="9"/>
  <c r="CF96" i="9"/>
  <c r="CF18" i="9"/>
  <c r="CF15" i="9"/>
  <c r="BD12" i="7"/>
  <c r="CU23" i="8"/>
  <c r="CS23" i="8"/>
  <c r="BB12" i="7"/>
  <c r="BF12" i="7"/>
  <c r="BY39" i="2"/>
  <c r="CW23" i="8"/>
  <c r="AV39" i="15"/>
  <c r="BY139" i="2"/>
  <c r="BY138" i="2"/>
  <c r="CT151" i="11"/>
  <c r="CR32" i="8"/>
  <c r="BA19" i="7"/>
  <c r="AZ24" i="15"/>
  <c r="CT50" i="11"/>
  <c r="AZ23" i="15"/>
  <c r="AZ18" i="15"/>
  <c r="AZ19" i="15" s="1"/>
  <c r="AZ20" i="15" s="1"/>
  <c r="BE52" i="15"/>
  <c r="BE12" i="15"/>
  <c r="CX162" i="11"/>
  <c r="CX166" i="11" s="1"/>
  <c r="BD26" i="15"/>
  <c r="BW145" i="2"/>
  <c r="BC10" i="7"/>
  <c r="CF100" i="10"/>
  <c r="CF101" i="10" s="1"/>
  <c r="CT22" i="8"/>
  <c r="BC11" i="7" s="1"/>
  <c r="CG76" i="9"/>
  <c r="CE92" i="9"/>
  <c r="BA137" i="7"/>
  <c r="CH112" i="10"/>
  <c r="CI106" i="10" s="1"/>
  <c r="CI109" i="10" s="1"/>
  <c r="CI112" i="10" s="1"/>
  <c r="CH110" i="10"/>
  <c r="BA20" i="7"/>
  <c r="CR35" i="8"/>
  <c r="CS181" i="11"/>
  <c r="CS34" i="8"/>
  <c r="BF31" i="7"/>
  <c r="BY60" i="2"/>
  <c r="BD174" i="7"/>
  <c r="CT100" i="14"/>
  <c r="CJ52" i="9"/>
  <c r="BE154" i="7"/>
  <c r="CX17" i="8"/>
  <c r="CX21" i="11"/>
  <c r="CX20" i="8" s="1"/>
  <c r="BD19" i="7"/>
  <c r="CU32" i="8"/>
  <c r="CU34" i="8"/>
  <c r="CU181" i="11"/>
  <c r="CT42" i="11"/>
  <c r="CT38" i="11"/>
  <c r="CT35" i="11"/>
  <c r="CT23" i="11"/>
  <c r="CT26" i="11" s="1"/>
  <c r="BC69" i="7"/>
  <c r="BC76" i="7" s="1"/>
  <c r="BA135" i="7"/>
  <c r="CE90" i="9"/>
  <c r="BC116" i="7"/>
  <c r="BC108" i="7"/>
  <c r="CD112" i="10"/>
  <c r="CD110" i="10"/>
  <c r="CS61" i="11"/>
  <c r="BB89" i="7"/>
  <c r="BB81" i="7"/>
  <c r="AV29" i="15" l="1"/>
  <c r="CP138" i="11" s="1"/>
  <c r="AW30" i="15"/>
  <c r="DD83" i="11"/>
  <c r="AW31" i="15"/>
  <c r="CP83" i="11"/>
  <c r="AY97" i="7" s="1"/>
  <c r="AV38" i="15"/>
  <c r="CQ138" i="11"/>
  <c r="CQ151" i="11" s="1"/>
  <c r="AV34" i="15"/>
  <c r="AV36" i="15"/>
  <c r="BD78" i="7"/>
  <c r="BD86" i="7"/>
  <c r="CU56" i="11"/>
  <c r="BB135" i="7"/>
  <c r="CF90" i="9"/>
  <c r="BY100" i="2"/>
  <c r="BY148" i="2"/>
  <c r="BY145" i="2" s="1"/>
  <c r="BY101" i="2"/>
  <c r="CQ50" i="11"/>
  <c r="AW24" i="15"/>
  <c r="AW23" i="15"/>
  <c r="AW18" i="15"/>
  <c r="AW19" i="15" s="1"/>
  <c r="AW20" i="15" s="1"/>
  <c r="CE21" i="9"/>
  <c r="CE106" i="10"/>
  <c r="CE109" i="10" s="1"/>
  <c r="BC12" i="7"/>
  <c r="CT23" i="8"/>
  <c r="CX21" i="8"/>
  <c r="CJ21" i="9"/>
  <c r="CJ106" i="10"/>
  <c r="CG81" i="9"/>
  <c r="CG78" i="9"/>
  <c r="CG96" i="9"/>
  <c r="CG18" i="9"/>
  <c r="CG15" i="9"/>
  <c r="CX71" i="11"/>
  <c r="CX75" i="11" s="1"/>
  <c r="AV30" i="15"/>
  <c r="BB137" i="7"/>
  <c r="CF92" i="9"/>
  <c r="AZ108" i="7"/>
  <c r="AZ116" i="7"/>
  <c r="CH96" i="9"/>
  <c r="CH78" i="9"/>
  <c r="CH81" i="9"/>
  <c r="CH18" i="9"/>
  <c r="CH15" i="9"/>
  <c r="CT31" i="8"/>
  <c r="CV35" i="11"/>
  <c r="BD20" i="7"/>
  <c r="CU35" i="8"/>
  <c r="CJ107" i="10"/>
  <c r="CJ23" i="10"/>
  <c r="CY57" i="11"/>
  <c r="CI110" i="10"/>
  <c r="BB20" i="7"/>
  <c r="CS35" i="8"/>
  <c r="CT181" i="11"/>
  <c r="CT34" i="8"/>
  <c r="CV38" i="11"/>
  <c r="CX22" i="11"/>
  <c r="BF154" i="7"/>
  <c r="CK52" i="9"/>
  <c r="CL52" i="9" s="1"/>
  <c r="BE13" i="15"/>
  <c r="BE16" i="15" s="1"/>
  <c r="CY18" i="11"/>
  <c r="BE41" i="15"/>
  <c r="CY162" i="11" s="1"/>
  <c r="CY166" i="11" s="1"/>
  <c r="BC89" i="7"/>
  <c r="BC81" i="7"/>
  <c r="CT61" i="11"/>
  <c r="AV31" i="15" l="1"/>
  <c r="AV22" i="15"/>
  <c r="CP97" i="11"/>
  <c r="CY23" i="8"/>
  <c r="CX35" i="11"/>
  <c r="CX31" i="8" s="1"/>
  <c r="CX32" i="8" s="1"/>
  <c r="CX23" i="11"/>
  <c r="CX24" i="11" s="1"/>
  <c r="CX41" i="11"/>
  <c r="CX37" i="8" s="1"/>
  <c r="BE26" i="15"/>
  <c r="CY71" i="11" s="1"/>
  <c r="CY75" i="11" s="1"/>
  <c r="CJ100" i="10"/>
  <c r="CJ101" i="10" s="1"/>
  <c r="CX22" i="8"/>
  <c r="CK76" i="9"/>
  <c r="CK78" i="9" s="1"/>
  <c r="BA140" i="7"/>
  <c r="CE28" i="9"/>
  <c r="CQ61" i="11"/>
  <c r="AZ81" i="7"/>
  <c r="AZ89" i="7" s="1"/>
  <c r="CV39" i="11"/>
  <c r="CV181" i="11"/>
  <c r="CV34" i="8"/>
  <c r="CV36" i="11"/>
  <c r="CV31" i="8"/>
  <c r="BD135" i="7"/>
  <c r="CH90" i="9"/>
  <c r="CI15" i="9"/>
  <c r="BC135" i="7"/>
  <c r="CG90" i="9"/>
  <c r="CY17" i="8"/>
  <c r="CY21" i="11"/>
  <c r="CY20" i="8" s="1"/>
  <c r="BC19" i="7"/>
  <c r="CT32" i="8"/>
  <c r="BD137" i="7"/>
  <c r="CH92" i="9"/>
  <c r="CI18" i="9"/>
  <c r="AV24" i="15"/>
  <c r="AV23" i="15"/>
  <c r="CP50" i="11"/>
  <c r="AV18" i="15"/>
  <c r="AV19" i="15" s="1"/>
  <c r="AV20" i="15" s="1"/>
  <c r="BC137" i="7"/>
  <c r="CG92" i="9"/>
  <c r="CJ109" i="10"/>
  <c r="BY146" i="2"/>
  <c r="BY147" i="2"/>
  <c r="BY144" i="2"/>
  <c r="CK107" i="10"/>
  <c r="CK23" i="10"/>
  <c r="CT35" i="8"/>
  <c r="BC20" i="7"/>
  <c r="AY116" i="7"/>
  <c r="AY108" i="7"/>
  <c r="CP151" i="11"/>
  <c r="CJ13" i="10"/>
  <c r="CX49" i="8"/>
  <c r="CX76" i="11"/>
  <c r="CJ111" i="10" s="1"/>
  <c r="CJ103" i="10" s="1"/>
  <c r="CJ28" i="9"/>
  <c r="BF140" i="7"/>
  <c r="BY108" i="2"/>
  <c r="CE112" i="10"/>
  <c r="CE110" i="10"/>
  <c r="CJ112" i="10" l="1"/>
  <c r="CK21" i="9" s="1"/>
  <c r="CK28" i="9" s="1"/>
  <c r="BE137" i="7"/>
  <c r="CI92" i="9"/>
  <c r="CI80" i="9"/>
  <c r="CJ80" i="9" s="1"/>
  <c r="BE19" i="7"/>
  <c r="BX63" i="2"/>
  <c r="CV32" i="8"/>
  <c r="BX58" i="2" s="1"/>
  <c r="BY63" i="2"/>
  <c r="CP61" i="11"/>
  <c r="AY89" i="7"/>
  <c r="AY81" i="7"/>
  <c r="CY22" i="11"/>
  <c r="BE135" i="7"/>
  <c r="BX110" i="2"/>
  <c r="CI79" i="9"/>
  <c r="CI90" i="9"/>
  <c r="BE20" i="7"/>
  <c r="CV35" i="8"/>
  <c r="BX59" i="2" s="1"/>
  <c r="CK13" i="10"/>
  <c r="CY49" i="8"/>
  <c r="CY76" i="11"/>
  <c r="CK111" i="10" s="1"/>
  <c r="CK103" i="10" s="1"/>
  <c r="CV183" i="11"/>
  <c r="CV184" i="11"/>
  <c r="CV186" i="11" s="1"/>
  <c r="CF21" i="9"/>
  <c r="CF106" i="10"/>
  <c r="CF109" i="10" s="1"/>
  <c r="CJ110" i="10"/>
  <c r="CY21" i="8"/>
  <c r="CV182" i="11"/>
  <c r="CW39" i="11"/>
  <c r="CK106" i="10" l="1"/>
  <c r="CK109" i="10" s="1"/>
  <c r="CK112" i="10" s="1"/>
  <c r="CL21" i="9" s="1"/>
  <c r="CL28" i="9" s="1"/>
  <c r="CI108" i="9"/>
  <c r="CJ79" i="9"/>
  <c r="CY23" i="11"/>
  <c r="CY24" i="11" s="1"/>
  <c r="CY35" i="11"/>
  <c r="CY31" i="8" s="1"/>
  <c r="CY32" i="8" s="1"/>
  <c r="CY41" i="11"/>
  <c r="CY37" i="8" s="1"/>
  <c r="BB92" i="15"/>
  <c r="BB97" i="15" s="1"/>
  <c r="BB102" i="15" s="1"/>
  <c r="CZ100" i="14"/>
  <c r="CK80" i="9"/>
  <c r="CJ18" i="9"/>
  <c r="CF28" i="9"/>
  <c r="BB140" i="7"/>
  <c r="CK100" i="10"/>
  <c r="CK101" i="10" s="1"/>
  <c r="CY22" i="8"/>
  <c r="CL76" i="9"/>
  <c r="CL78" i="9" s="1"/>
  <c r="CW182" i="11"/>
  <c r="CX39" i="11"/>
  <c r="CW38" i="11"/>
  <c r="CF112" i="10"/>
  <c r="CF110" i="10"/>
  <c r="CK110" i="10" l="1"/>
  <c r="CW34" i="8"/>
  <c r="CW181" i="11"/>
  <c r="CK18" i="9"/>
  <c r="CL80" i="9"/>
  <c r="CL18" i="9" s="1"/>
  <c r="CL92" i="9" s="1"/>
  <c r="CX182" i="11"/>
  <c r="CY39" i="11"/>
  <c r="CX38" i="11"/>
  <c r="CZ107" i="14"/>
  <c r="CZ113" i="14" s="1"/>
  <c r="CZ37" i="14" s="1"/>
  <c r="CV100" i="14"/>
  <c r="BB103" i="15"/>
  <c r="BB104" i="15" s="1"/>
  <c r="BB109" i="15"/>
  <c r="BB37" i="15" s="1"/>
  <c r="BB35" i="15" s="1"/>
  <c r="CJ108" i="9"/>
  <c r="CJ15" i="9"/>
  <c r="CK79" i="9"/>
  <c r="CG21" i="9"/>
  <c r="CG106" i="10"/>
  <c r="CG109" i="10" s="1"/>
  <c r="BF137" i="7"/>
  <c r="CJ92" i="9"/>
  <c r="CG28" i="9" l="1"/>
  <c r="BC140" i="7"/>
  <c r="BB39" i="15"/>
  <c r="BB38" i="15"/>
  <c r="BB34" i="15"/>
  <c r="BB36" i="15"/>
  <c r="CV83" i="11"/>
  <c r="BA35" i="15"/>
  <c r="BB29" i="15"/>
  <c r="CY182" i="11"/>
  <c r="CY38" i="11"/>
  <c r="CW183" i="11"/>
  <c r="CW184" i="11"/>
  <c r="CW186" i="11" s="1"/>
  <c r="CK108" i="9"/>
  <c r="CL79" i="9"/>
  <c r="CK15" i="9"/>
  <c r="CW100" i="14"/>
  <c r="CV107" i="14"/>
  <c r="CV35" i="14" s="1"/>
  <c r="BF20" i="7"/>
  <c r="CW35" i="8"/>
  <c r="BY59" i="2" s="1"/>
  <c r="BF135" i="7"/>
  <c r="CJ90" i="9"/>
  <c r="BY110" i="2"/>
  <c r="CG112" i="10"/>
  <c r="CH21" i="9" s="1"/>
  <c r="CG110" i="10"/>
  <c r="CX34" i="8"/>
  <c r="CX35" i="8" s="1"/>
  <c r="CX181" i="11"/>
  <c r="CK92" i="9"/>
  <c r="CW107" i="14" l="1"/>
  <c r="CW35" i="14" s="1"/>
  <c r="CX100" i="14"/>
  <c r="DA100" i="14"/>
  <c r="DA107" i="14" s="1"/>
  <c r="DA113" i="14" s="1"/>
  <c r="DA37" i="14" s="1"/>
  <c r="BC92" i="15"/>
  <c r="BC97" i="15" s="1"/>
  <c r="BC102" i="15" s="1"/>
  <c r="CK90" i="9"/>
  <c r="BB31" i="15"/>
  <c r="BB30" i="15"/>
  <c r="CV138" i="11"/>
  <c r="BB22" i="15"/>
  <c r="CL108" i="9"/>
  <c r="CL15" i="9"/>
  <c r="CL90" i="9" s="1"/>
  <c r="CY34" i="8"/>
  <c r="CY35" i="8" s="1"/>
  <c r="CY181" i="11"/>
  <c r="BA38" i="15"/>
  <c r="BA39" i="15"/>
  <c r="BA37" i="15"/>
  <c r="BA36" i="15"/>
  <c r="CU83" i="11"/>
  <c r="BA29" i="15"/>
  <c r="CI21" i="9"/>
  <c r="BD140" i="7"/>
  <c r="CH28" i="9"/>
  <c r="CX183" i="11"/>
  <c r="CX184" i="11"/>
  <c r="CX186" i="11" s="1"/>
  <c r="CV38" i="14"/>
  <c r="CV36" i="14"/>
  <c r="CV37" i="14"/>
  <c r="CR82" i="11"/>
  <c r="CV29" i="14"/>
  <c r="CV97" i="11"/>
  <c r="BE97" i="7"/>
  <c r="CU97" i="11" l="1"/>
  <c r="BD97" i="7"/>
  <c r="CV151" i="11"/>
  <c r="BC103" i="15"/>
  <c r="BC104" i="15" s="1"/>
  <c r="BC109" i="15"/>
  <c r="BC37" i="15" s="1"/>
  <c r="BC35" i="15" s="1"/>
  <c r="CY183" i="11"/>
  <c r="CY184" i="11"/>
  <c r="CY186" i="11" s="1"/>
  <c r="BD92" i="15"/>
  <c r="BD97" i="15" s="1"/>
  <c r="BD102" i="15" s="1"/>
  <c r="DB100" i="14"/>
  <c r="DB107" i="14" s="1"/>
  <c r="DB113" i="14" s="1"/>
  <c r="DB37" i="14" s="1"/>
  <c r="CV31" i="14"/>
  <c r="CV30" i="14"/>
  <c r="CV22" i="14"/>
  <c r="CR136" i="11"/>
  <c r="CX107" i="14"/>
  <c r="CX35" i="14" s="1"/>
  <c r="CY100" i="14"/>
  <c r="CY107" i="14" s="1"/>
  <c r="BX108" i="2"/>
  <c r="CI28" i="9"/>
  <c r="BE140" i="7"/>
  <c r="BX106" i="2"/>
  <c r="BY106" i="2"/>
  <c r="BE108" i="7"/>
  <c r="BE116" i="7"/>
  <c r="BA96" i="7"/>
  <c r="CR96" i="11"/>
  <c r="CR86" i="11"/>
  <c r="BA31" i="15"/>
  <c r="BA22" i="15"/>
  <c r="BA30" i="15"/>
  <c r="CU138" i="11"/>
  <c r="BB24" i="15"/>
  <c r="BB23" i="15"/>
  <c r="CV50" i="11"/>
  <c r="BB18" i="15"/>
  <c r="BB19" i="15" s="1"/>
  <c r="BB20" i="15" s="1"/>
  <c r="CW38" i="14"/>
  <c r="CW36" i="14"/>
  <c r="CW37" i="14"/>
  <c r="CS82" i="11"/>
  <c r="CW29" i="14"/>
  <c r="CX38" i="14" l="1"/>
  <c r="CX36" i="14"/>
  <c r="CX37" i="14"/>
  <c r="CT82" i="11"/>
  <c r="CX29" i="14"/>
  <c r="CR149" i="11"/>
  <c r="CR143" i="11"/>
  <c r="DC100" i="14"/>
  <c r="DC107" i="14" s="1"/>
  <c r="DC113" i="14" s="1"/>
  <c r="DC37" i="14" s="1"/>
  <c r="BE92" i="15"/>
  <c r="BE97" i="15" s="1"/>
  <c r="BE102" i="15" s="1"/>
  <c r="CS96" i="11"/>
  <c r="BB96" i="7"/>
  <c r="CS86" i="11"/>
  <c r="CV61" i="11"/>
  <c r="BE81" i="7"/>
  <c r="BE89" i="7" s="1"/>
  <c r="CU151" i="11"/>
  <c r="CR100" i="11"/>
  <c r="BA110" i="7"/>
  <c r="CR89" i="11"/>
  <c r="CV23" i="14"/>
  <c r="CV24" i="14"/>
  <c r="CR48" i="11"/>
  <c r="CV18" i="14"/>
  <c r="CV19" i="14" s="1"/>
  <c r="CV20" i="14" s="1"/>
  <c r="BD103" i="15"/>
  <c r="BD104" i="15" s="1"/>
  <c r="BD109" i="15"/>
  <c r="BD37" i="15" s="1"/>
  <c r="BD35" i="15" s="1"/>
  <c r="BC39" i="15"/>
  <c r="BC34" i="15"/>
  <c r="BC36" i="15"/>
  <c r="BC38" i="15"/>
  <c r="CW83" i="11"/>
  <c r="BC29" i="15"/>
  <c r="BD108" i="7"/>
  <c r="BD116" i="7"/>
  <c r="CW30" i="14"/>
  <c r="CW31" i="14"/>
  <c r="CW22" i="14"/>
  <c r="CS136" i="11"/>
  <c r="BA24" i="15"/>
  <c r="BA23" i="15"/>
  <c r="CU50" i="11"/>
  <c r="BA18" i="15"/>
  <c r="BA19" i="15" s="1"/>
  <c r="BA20" i="15" s="1"/>
  <c r="BA107" i="7"/>
  <c r="BA115" i="7"/>
  <c r="BA118" i="7"/>
  <c r="BA99" i="7"/>
  <c r="CW24" i="14" l="1"/>
  <c r="CS48" i="11"/>
  <c r="CW23" i="14"/>
  <c r="CW18" i="14"/>
  <c r="CW19" i="14" s="1"/>
  <c r="CW20" i="14" s="1"/>
  <c r="CW97" i="11"/>
  <c r="BF97" i="7"/>
  <c r="CX31" i="14"/>
  <c r="CX30" i="14"/>
  <c r="CX22" i="14"/>
  <c r="CT136" i="11"/>
  <c r="CS100" i="11"/>
  <c r="BB110" i="7"/>
  <c r="CS89" i="11"/>
  <c r="BE103" i="15"/>
  <c r="BE104" i="15" s="1"/>
  <c r="BE109" i="15"/>
  <c r="BE37" i="15" s="1"/>
  <c r="BE35" i="15" s="1"/>
  <c r="CT96" i="11"/>
  <c r="BC96" i="7"/>
  <c r="CT86" i="11"/>
  <c r="BD89" i="7"/>
  <c r="CU61" i="11"/>
  <c r="BD81" i="7"/>
  <c r="BA80" i="7"/>
  <c r="CR60" i="11"/>
  <c r="BA88" i="7"/>
  <c r="CR54" i="11"/>
  <c r="BB107" i="7"/>
  <c r="BB115" i="7"/>
  <c r="BB99" i="7"/>
  <c r="BB118" i="7"/>
  <c r="CR154" i="11"/>
  <c r="BA103" i="7"/>
  <c r="CR31" i="11"/>
  <c r="CS149" i="11"/>
  <c r="CS143" i="11"/>
  <c r="BC30" i="15"/>
  <c r="BC31" i="15"/>
  <c r="CW138" i="11"/>
  <c r="BC22" i="15"/>
  <c r="BD36" i="15"/>
  <c r="BD38" i="15"/>
  <c r="BD39" i="15"/>
  <c r="BD34" i="15"/>
  <c r="BD29" i="15"/>
  <c r="CX83" i="11"/>
  <c r="CX97" i="11" s="1"/>
  <c r="CW151" i="11" l="1"/>
  <c r="BA92" i="7"/>
  <c r="BA84" i="7"/>
  <c r="CR64" i="11"/>
  <c r="BC107" i="7"/>
  <c r="BC115" i="7"/>
  <c r="BC99" i="7"/>
  <c r="BC118" i="7"/>
  <c r="CX24" i="14"/>
  <c r="CX23" i="14"/>
  <c r="CT48" i="11"/>
  <c r="CX18" i="14"/>
  <c r="CX19" i="14" s="1"/>
  <c r="CX20" i="14" s="1"/>
  <c r="CR32" i="11"/>
  <c r="CR33" i="11"/>
  <c r="CR28" i="11"/>
  <c r="BF108" i="7"/>
  <c r="BF116" i="7"/>
  <c r="CS60" i="11"/>
  <c r="BB88" i="7"/>
  <c r="BB80" i="7"/>
  <c r="CS54" i="11"/>
  <c r="BA111" i="7"/>
  <c r="BA101" i="7"/>
  <c r="BA119" i="7"/>
  <c r="BE39" i="15"/>
  <c r="BE38" i="15"/>
  <c r="BE34" i="15"/>
  <c r="BE36" i="15"/>
  <c r="BE29" i="15"/>
  <c r="CY83" i="11"/>
  <c r="CY97" i="11" s="1"/>
  <c r="BD31" i="15"/>
  <c r="BD30" i="15"/>
  <c r="BD22" i="15"/>
  <c r="CX138" i="11"/>
  <c r="BC23" i="15"/>
  <c r="BC24" i="15"/>
  <c r="CW50" i="11"/>
  <c r="BC18" i="15"/>
  <c r="BC19" i="15" s="1"/>
  <c r="BC20" i="15" s="1"/>
  <c r="CS154" i="11"/>
  <c r="BB103" i="7"/>
  <c r="CS31" i="11"/>
  <c r="CT89" i="11"/>
  <c r="CT100" i="11"/>
  <c r="BC110" i="7"/>
  <c r="CT149" i="11"/>
  <c r="CT143" i="11"/>
  <c r="CS33" i="11" l="1"/>
  <c r="CS32" i="11"/>
  <c r="CS28" i="11"/>
  <c r="CW61" i="11"/>
  <c r="BF81" i="7"/>
  <c r="BF89" i="7" s="1"/>
  <c r="BD24" i="15"/>
  <c r="BD23" i="15"/>
  <c r="CX50" i="11"/>
  <c r="CX61" i="11" s="1"/>
  <c r="BD18" i="15"/>
  <c r="BD19" i="15" s="1"/>
  <c r="BD20" i="15" s="1"/>
  <c r="BB119" i="7"/>
  <c r="BB111" i="7"/>
  <c r="BB101" i="7"/>
  <c r="CR29" i="11"/>
  <c r="CR25" i="8"/>
  <c r="CT154" i="11"/>
  <c r="CT31" i="11"/>
  <c r="BC103" i="7"/>
  <c r="CX151" i="11"/>
  <c r="BE31" i="15"/>
  <c r="BE30" i="15"/>
  <c r="CY138" i="11"/>
  <c r="BE22" i="15"/>
  <c r="BB84" i="7"/>
  <c r="CS64" i="11"/>
  <c r="BB92" i="7"/>
  <c r="CT60" i="11"/>
  <c r="BC88" i="7"/>
  <c r="BC80" i="7"/>
  <c r="CT54" i="11"/>
  <c r="BE24" i="15" l="1"/>
  <c r="BE23" i="15"/>
  <c r="CY50" i="11"/>
  <c r="CY61" i="11" s="1"/>
  <c r="BE18" i="15"/>
  <c r="BE19" i="15" s="1"/>
  <c r="BE20" i="15" s="1"/>
  <c r="CY151" i="11"/>
  <c r="BC101" i="7"/>
  <c r="BC111" i="7"/>
  <c r="BC119" i="7"/>
  <c r="CS29" i="11"/>
  <c r="CS25" i="8"/>
  <c r="CT32" i="11"/>
  <c r="CT33" i="11"/>
  <c r="CT28" i="11"/>
  <c r="BA14" i="7"/>
  <c r="CR26" i="8"/>
  <c r="CE84" i="9"/>
  <c r="CR28" i="8"/>
  <c r="CT64" i="11"/>
  <c r="BC84" i="7"/>
  <c r="BC92" i="7"/>
  <c r="CT29" i="11" l="1"/>
  <c r="CT25" i="8"/>
  <c r="CR29" i="8"/>
  <c r="BA16" i="7"/>
  <c r="CR39" i="8"/>
  <c r="CE88" i="9"/>
  <c r="CE16" i="9"/>
  <c r="CE35" i="9"/>
  <c r="BB14" i="7"/>
  <c r="CS26" i="8"/>
  <c r="CF84" i="9"/>
  <c r="CS28" i="8"/>
  <c r="BC14" i="7" l="1"/>
  <c r="CT26" i="8"/>
  <c r="CG84" i="9"/>
  <c r="CT28" i="8"/>
  <c r="BA17" i="7"/>
  <c r="CR104" i="8"/>
  <c r="BB16" i="7"/>
  <c r="CS29" i="8"/>
  <c r="CS39" i="8"/>
  <c r="CF16" i="9"/>
  <c r="CF88" i="9"/>
  <c r="CF35" i="9"/>
  <c r="CE93" i="9"/>
  <c r="BA145" i="7"/>
  <c r="BA136" i="7"/>
  <c r="CE91" i="9"/>
  <c r="CR110" i="8"/>
  <c r="CR41" i="8"/>
  <c r="BA23" i="7"/>
  <c r="BA24" i="7" s="1"/>
  <c r="CR46" i="8"/>
  <c r="CR40" i="8"/>
  <c r="CR106" i="8" s="1"/>
  <c r="CR51" i="8"/>
  <c r="CE19" i="10" l="1"/>
  <c r="BB170" i="7" s="1"/>
  <c r="BA28" i="7"/>
  <c r="BA29" i="7" s="1"/>
  <c r="CR47" i="8"/>
  <c r="CF91" i="9"/>
  <c r="BB136" i="7"/>
  <c r="CF93" i="9"/>
  <c r="BB145" i="7"/>
  <c r="BB23" i="7"/>
  <c r="BB24" i="7" s="1"/>
  <c r="CS41" i="8"/>
  <c r="CS110" i="8"/>
  <c r="CS40" i="8"/>
  <c r="CS106" i="8" s="1"/>
  <c r="CS46" i="8"/>
  <c r="CS51" i="8"/>
  <c r="CT29" i="8"/>
  <c r="BC16" i="7"/>
  <c r="CT39" i="8"/>
  <c r="CR109" i="8"/>
  <c r="BA33" i="7"/>
  <c r="BA35" i="7" s="1"/>
  <c r="CR52" i="8"/>
  <c r="BA34" i="7" s="1"/>
  <c r="CE99" i="9"/>
  <c r="CE100" i="9" s="1"/>
  <c r="CE94" i="9"/>
  <c r="CE36" i="9" s="1"/>
  <c r="BB17" i="7"/>
  <c r="CS104" i="8"/>
  <c r="CG88" i="9"/>
  <c r="CG16" i="9"/>
  <c r="CG35" i="9"/>
  <c r="BC136" i="7" l="1"/>
  <c r="CG91" i="9"/>
  <c r="CG93" i="9"/>
  <c r="BC145" i="7"/>
  <c r="CS47" i="8"/>
  <c r="BB28" i="7"/>
  <c r="BB29" i="7" s="1"/>
  <c r="CF99" i="9"/>
  <c r="CF100" i="9" s="1"/>
  <c r="CF94" i="9"/>
  <c r="CF36" i="9" s="1"/>
  <c r="CE20" i="10" s="1"/>
  <c r="BB171" i="7" s="1"/>
  <c r="CT41" i="8"/>
  <c r="CT110" i="8"/>
  <c r="CT40" i="8"/>
  <c r="CT106" i="8" s="1"/>
  <c r="CT51" i="8"/>
  <c r="BC23" i="7"/>
  <c r="BC24" i="7" s="1"/>
  <c r="CT46" i="8"/>
  <c r="CE87" i="9"/>
  <c r="BA146" i="7"/>
  <c r="BA147" i="7" s="1"/>
  <c r="BA152" i="7" s="1"/>
  <c r="CE39" i="9"/>
  <c r="CE50" i="9" s="1"/>
  <c r="CS109" i="8"/>
  <c r="CS52" i="8"/>
  <c r="BB34" i="7" s="1"/>
  <c r="BB33" i="7"/>
  <c r="BB35" i="7" s="1"/>
  <c r="CF19" i="10"/>
  <c r="BC170" i="7" s="1"/>
  <c r="CT104" i="8"/>
  <c r="BC17" i="7"/>
  <c r="CT47" i="8" l="1"/>
  <c r="BC28" i="7"/>
  <c r="BC29" i="7" s="1"/>
  <c r="BB146" i="7"/>
  <c r="BB147" i="7" s="1"/>
  <c r="BB152" i="7" s="1"/>
  <c r="CF87" i="9"/>
  <c r="CF39" i="9"/>
  <c r="CF50" i="9" s="1"/>
  <c r="CT109" i="8"/>
  <c r="BC33" i="7"/>
  <c r="BC35" i="7" s="1"/>
  <c r="CT52" i="8"/>
  <c r="BC34" i="7" s="1"/>
  <c r="CG99" i="9"/>
  <c r="CG100" i="9" s="1"/>
  <c r="CG94" i="9"/>
  <c r="CG36" i="9" s="1"/>
  <c r="CF20" i="10" s="1"/>
  <c r="BC171" i="7" s="1"/>
  <c r="CG87" i="9" l="1"/>
  <c r="BC146" i="7"/>
  <c r="BC147" i="7" s="1"/>
  <c r="BC152" i="7" s="1"/>
  <c r="CG39" i="9"/>
  <c r="CG50" i="9" s="1"/>
  <c r="CT99" i="14" l="1"/>
  <c r="CT107" i="14" s="1"/>
  <c r="CT35" i="14" l="1"/>
  <c r="CT36" i="14" s="1"/>
  <c r="CU98" i="14"/>
  <c r="CY35" i="14" l="1"/>
  <c r="CU82" i="11" s="1"/>
  <c r="CT38" i="14"/>
  <c r="CP82" i="11"/>
  <c r="CP96" i="11" s="1"/>
  <c r="CT29" i="14"/>
  <c r="CP136" i="11" s="1"/>
  <c r="CT37" i="14"/>
  <c r="DK39" i="14"/>
  <c r="DK43" i="14" s="1"/>
  <c r="CU99" i="14"/>
  <c r="CU107" i="14" s="1"/>
  <c r="CU113" i="14" s="1"/>
  <c r="CU37" i="14" s="1"/>
  <c r="CU35" i="14" s="1"/>
  <c r="CU34" i="14" s="1"/>
  <c r="CY38" i="14"/>
  <c r="CY29" i="14" l="1"/>
  <c r="CY31" i="14" s="1"/>
  <c r="CT22" i="14"/>
  <c r="CY37" i="14"/>
  <c r="CY36" i="14"/>
  <c r="CT30" i="14"/>
  <c r="CT31" i="14"/>
  <c r="CP86" i="11"/>
  <c r="AY110" i="7" s="1"/>
  <c r="AY96" i="7"/>
  <c r="AY115" i="7" s="1"/>
  <c r="CP149" i="11"/>
  <c r="CP143" i="11"/>
  <c r="BD96" i="7"/>
  <c r="CU86" i="11"/>
  <c r="CU96" i="11"/>
  <c r="CP48" i="11"/>
  <c r="CT24" i="14"/>
  <c r="CT23" i="14"/>
  <c r="CT18" i="14"/>
  <c r="CT19" i="14" s="1"/>
  <c r="CT20" i="14" s="1"/>
  <c r="CU136" i="11"/>
  <c r="CU36" i="14"/>
  <c r="CU38" i="14"/>
  <c r="CQ82" i="11"/>
  <c r="CZ35" i="14"/>
  <c r="CU29" i="14"/>
  <c r="CY22" i="14" l="1"/>
  <c r="CY23" i="14" s="1"/>
  <c r="CY30" i="14"/>
  <c r="AY118" i="7"/>
  <c r="AY107" i="7"/>
  <c r="BV11" i="2"/>
  <c r="BV53" i="2" s="1"/>
  <c r="CP100" i="11"/>
  <c r="CP89" i="11"/>
  <c r="BV44" i="2"/>
  <c r="AY99" i="7"/>
  <c r="CU100" i="11"/>
  <c r="CU89" i="11"/>
  <c r="BD110" i="7"/>
  <c r="BD107" i="7"/>
  <c r="BD115" i="7"/>
  <c r="BD118" i="7"/>
  <c r="BD99" i="7"/>
  <c r="CZ34" i="14"/>
  <c r="CZ38" i="14"/>
  <c r="CZ36" i="14"/>
  <c r="CV82" i="11"/>
  <c r="CZ29" i="14"/>
  <c r="DA35" i="14"/>
  <c r="AY88" i="7"/>
  <c r="AY80" i="7"/>
  <c r="CP54" i="11"/>
  <c r="CP60" i="11"/>
  <c r="CP154" i="11"/>
  <c r="AY103" i="7"/>
  <c r="CP31" i="11"/>
  <c r="CU30" i="14"/>
  <c r="CU31" i="14"/>
  <c r="CU22" i="14"/>
  <c r="CQ136" i="11"/>
  <c r="CY18" i="14"/>
  <c r="CY19" i="14" s="1"/>
  <c r="CY20" i="14" s="1"/>
  <c r="DD82" i="11"/>
  <c r="AZ96" i="7"/>
  <c r="CQ96" i="11"/>
  <c r="CQ86" i="11"/>
  <c r="CU149" i="11"/>
  <c r="CU143" i="11"/>
  <c r="CU48" i="11" l="1"/>
  <c r="CU54" i="11" s="1"/>
  <c r="CY24" i="14"/>
  <c r="BV66" i="2"/>
  <c r="BW11" i="2"/>
  <c r="CQ100" i="11"/>
  <c r="CQ89" i="11"/>
  <c r="BW44" i="2"/>
  <c r="CQ149" i="11"/>
  <c r="CQ143" i="11"/>
  <c r="CP32" i="11"/>
  <c r="CP33" i="11"/>
  <c r="CP28" i="11"/>
  <c r="AY92" i="7"/>
  <c r="CP64" i="11"/>
  <c r="AY84" i="7"/>
  <c r="CZ30" i="14"/>
  <c r="CZ31" i="14"/>
  <c r="CZ22" i="14"/>
  <c r="CV136" i="11"/>
  <c r="BD103" i="7"/>
  <c r="CU154" i="11"/>
  <c r="CU31" i="11"/>
  <c r="BD80" i="7"/>
  <c r="CU24" i="14"/>
  <c r="CU23" i="14"/>
  <c r="CQ48" i="11"/>
  <c r="CU18" i="14"/>
  <c r="CU19" i="14" s="1"/>
  <c r="CU20" i="14" s="1"/>
  <c r="AY101" i="7"/>
  <c r="AY119" i="7"/>
  <c r="AY111" i="7"/>
  <c r="CV96" i="11"/>
  <c r="CV86" i="11"/>
  <c r="BE96" i="7"/>
  <c r="AZ118" i="7"/>
  <c r="AZ115" i="7"/>
  <c r="AZ107" i="7"/>
  <c r="AZ99" i="7"/>
  <c r="AZ110" i="7" s="1"/>
  <c r="DA38" i="14"/>
  <c r="DA36" i="14"/>
  <c r="DA34" i="14"/>
  <c r="CW82" i="11"/>
  <c r="DA29" i="14"/>
  <c r="DB35" i="14"/>
  <c r="CU60" i="11" l="1"/>
  <c r="BD88" i="7"/>
  <c r="CU64" i="11"/>
  <c r="BD84" i="7"/>
  <c r="BD92" i="7"/>
  <c r="CU33" i="11"/>
  <c r="CU32" i="11"/>
  <c r="CU28" i="11"/>
  <c r="CZ23" i="14"/>
  <c r="CZ24" i="14"/>
  <c r="CV48" i="11"/>
  <c r="CZ18" i="14"/>
  <c r="CZ19" i="14" s="1"/>
  <c r="CZ20" i="14" s="1"/>
  <c r="DA31" i="14"/>
  <c r="DA30" i="14"/>
  <c r="DA22" i="14"/>
  <c r="CW136" i="11"/>
  <c r="CQ60" i="11"/>
  <c r="AZ80" i="7"/>
  <c r="AZ88" i="7" s="1"/>
  <c r="CQ54" i="11"/>
  <c r="AZ103" i="7"/>
  <c r="CQ154" i="11"/>
  <c r="CQ31" i="11"/>
  <c r="DB38" i="14"/>
  <c r="DB36" i="14"/>
  <c r="DB34" i="14"/>
  <c r="CX82" i="11"/>
  <c r="DB29" i="14"/>
  <c r="DC35" i="14"/>
  <c r="BF96" i="7"/>
  <c r="CW96" i="11"/>
  <c r="CW86" i="11"/>
  <c r="BE118" i="7"/>
  <c r="BE107" i="7"/>
  <c r="BE115" i="7"/>
  <c r="BE99" i="7"/>
  <c r="BE110" i="7" s="1"/>
  <c r="BD111" i="7"/>
  <c r="BD119" i="7"/>
  <c r="BD101" i="7"/>
  <c r="CP29" i="11"/>
  <c r="CP25" i="8"/>
  <c r="BX11" i="2"/>
  <c r="CV89" i="11"/>
  <c r="BX44" i="2"/>
  <c r="CV100" i="11"/>
  <c r="CV149" i="11"/>
  <c r="CV143" i="11"/>
  <c r="BW53" i="2"/>
  <c r="BW66" i="2"/>
  <c r="CV154" i="11" l="1"/>
  <c r="BE103" i="7"/>
  <c r="CV31" i="11"/>
  <c r="CX86" i="11"/>
  <c r="CX96" i="11"/>
  <c r="CQ32" i="11"/>
  <c r="CQ33" i="11"/>
  <c r="CQ28" i="11"/>
  <c r="BX53" i="2"/>
  <c r="BX66" i="2"/>
  <c r="BF107" i="7"/>
  <c r="BF99" i="7"/>
  <c r="BF110" i="7" s="1"/>
  <c r="BF115" i="7"/>
  <c r="BF118" i="7"/>
  <c r="AY14" i="7"/>
  <c r="CP26" i="8"/>
  <c r="CC84" i="9"/>
  <c r="CP28" i="8"/>
  <c r="DC34" i="14"/>
  <c r="DC36" i="14"/>
  <c r="DC38" i="14"/>
  <c r="CY82" i="11"/>
  <c r="DC29" i="14"/>
  <c r="AZ101" i="7"/>
  <c r="AZ111" i="7"/>
  <c r="AZ119" i="7"/>
  <c r="CW149" i="11"/>
  <c r="CW143" i="11"/>
  <c r="CU29" i="11"/>
  <c r="CU25" i="8"/>
  <c r="CW89" i="11"/>
  <c r="CW100" i="11"/>
  <c r="BY44" i="2"/>
  <c r="BY11" i="2"/>
  <c r="DB30" i="14"/>
  <c r="DB31" i="14"/>
  <c r="DB22" i="14"/>
  <c r="CX136" i="11"/>
  <c r="CQ64" i="11"/>
  <c r="AZ84" i="7"/>
  <c r="AZ92" i="7" s="1"/>
  <c r="DA24" i="14"/>
  <c r="DA23" i="14"/>
  <c r="CW48" i="11"/>
  <c r="DA18" i="14"/>
  <c r="DA19" i="14" s="1"/>
  <c r="DA20" i="14" s="1"/>
  <c r="CV60" i="11"/>
  <c r="CV54" i="11"/>
  <c r="BE80" i="7"/>
  <c r="BE88" i="7" s="1"/>
  <c r="CX149" i="11" l="1"/>
  <c r="CX143" i="11"/>
  <c r="CU26" i="8"/>
  <c r="BD14" i="7"/>
  <c r="CH84" i="9"/>
  <c r="CU28" i="8"/>
  <c r="CY86" i="11"/>
  <c r="CY96" i="11"/>
  <c r="BV41" i="2"/>
  <c r="CP29" i="8"/>
  <c r="AY16" i="7"/>
  <c r="BV8" i="2"/>
  <c r="BV62" i="2" s="1"/>
  <c r="CP39" i="8"/>
  <c r="CQ29" i="11"/>
  <c r="CQ25" i="8"/>
  <c r="CX89" i="11"/>
  <c r="CX100" i="11"/>
  <c r="DB23" i="14"/>
  <c r="DB24" i="14"/>
  <c r="CX48" i="11"/>
  <c r="DB18" i="14"/>
  <c r="DB19" i="14" s="1"/>
  <c r="DB20" i="14" s="1"/>
  <c r="CC88" i="9"/>
  <c r="CC16" i="9"/>
  <c r="CC35" i="9"/>
  <c r="CV33" i="11"/>
  <c r="CV32" i="11"/>
  <c r="CV28" i="11"/>
  <c r="BY53" i="2"/>
  <c r="BY66" i="2"/>
  <c r="CW60" i="11"/>
  <c r="CW54" i="11"/>
  <c r="BF80" i="7"/>
  <c r="BF88" i="7" s="1"/>
  <c r="CW154" i="11"/>
  <c r="BF103" i="7"/>
  <c r="CW31" i="11"/>
  <c r="BE101" i="7"/>
  <c r="BE111" i="7"/>
  <c r="BE119" i="7"/>
  <c r="CV64" i="11"/>
  <c r="BE84" i="7"/>
  <c r="BE92" i="7" s="1"/>
  <c r="DC31" i="14"/>
  <c r="DC30" i="14"/>
  <c r="DC22" i="14"/>
  <c r="CY136" i="11"/>
  <c r="DC23" i="14" l="1"/>
  <c r="CY48" i="11"/>
  <c r="DC24" i="14"/>
  <c r="DC18" i="14"/>
  <c r="DC19" i="14" s="1"/>
  <c r="DC20" i="14" s="1"/>
  <c r="BF119" i="7"/>
  <c r="BF111" i="7"/>
  <c r="BF101" i="7"/>
  <c r="CC93" i="9"/>
  <c r="BV112" i="2"/>
  <c r="AY145" i="7"/>
  <c r="CD35" i="9"/>
  <c r="CX60" i="11"/>
  <c r="CX54" i="11"/>
  <c r="CX64" i="11" s="1"/>
  <c r="AY136" i="7"/>
  <c r="BV104" i="2"/>
  <c r="CB19" i="10"/>
  <c r="BV111" i="2"/>
  <c r="CD16" i="9"/>
  <c r="BW105" i="2" s="1"/>
  <c r="CC91" i="9"/>
  <c r="BV105" i="2"/>
  <c r="AZ14" i="7"/>
  <c r="CQ26" i="8"/>
  <c r="CD84" i="9"/>
  <c r="CD88" i="9" s="1"/>
  <c r="CQ28" i="8"/>
  <c r="CY100" i="11"/>
  <c r="CY89" i="11"/>
  <c r="CP104" i="8"/>
  <c r="BV50" i="2"/>
  <c r="AY17" i="7"/>
  <c r="BD16" i="7"/>
  <c r="CU29" i="8"/>
  <c r="CU39" i="8"/>
  <c r="CX154" i="11"/>
  <c r="CX31" i="11"/>
  <c r="CY149" i="11"/>
  <c r="CY143" i="11"/>
  <c r="CW32" i="11"/>
  <c r="CW33" i="11"/>
  <c r="CW28" i="11"/>
  <c r="CW64" i="11"/>
  <c r="BF84" i="7"/>
  <c r="BF92" i="7" s="1"/>
  <c r="CV29" i="11"/>
  <c r="CV25" i="8"/>
  <c r="CP110" i="8"/>
  <c r="CP41" i="8"/>
  <c r="CP51" i="8"/>
  <c r="AY23" i="7"/>
  <c r="AY24" i="7" s="1"/>
  <c r="CP46" i="8"/>
  <c r="CP40" i="8"/>
  <c r="CP106" i="8" s="1"/>
  <c r="CP58" i="8"/>
  <c r="CH88" i="9"/>
  <c r="CH16" i="9"/>
  <c r="CH35" i="9"/>
  <c r="BV113" i="2" l="1"/>
  <c r="CX32" i="11"/>
  <c r="CX33" i="11"/>
  <c r="CX28" i="11"/>
  <c r="CC99" i="9"/>
  <c r="CC100" i="9" s="1"/>
  <c r="CC94" i="9"/>
  <c r="CY60" i="11"/>
  <c r="CY54" i="11"/>
  <c r="CY64" i="11" s="1"/>
  <c r="CH93" i="9"/>
  <c r="BD145" i="7"/>
  <c r="CI35" i="9"/>
  <c r="BD136" i="7"/>
  <c r="CG19" i="10"/>
  <c r="BD170" i="7" s="1"/>
  <c r="CI16" i="9"/>
  <c r="BX104" i="2" s="1"/>
  <c r="CH91" i="9"/>
  <c r="BV43" i="2"/>
  <c r="AY28" i="7"/>
  <c r="AY29" i="7" s="1"/>
  <c r="BV10" i="2"/>
  <c r="BV65" i="2" s="1"/>
  <c r="CP47" i="8"/>
  <c r="BV52" i="2" s="1"/>
  <c r="CY154" i="11"/>
  <c r="CY31" i="11"/>
  <c r="AZ136" i="7"/>
  <c r="CD19" i="10"/>
  <c r="BA170" i="7" s="1"/>
  <c r="CD85" i="9"/>
  <c r="BW111" i="2"/>
  <c r="BW104" i="2"/>
  <c r="CD91" i="9"/>
  <c r="CV26" i="8"/>
  <c r="BE14" i="7"/>
  <c r="CI84" i="9"/>
  <c r="CI88" i="9" s="1"/>
  <c r="CV28" i="8"/>
  <c r="CW29" i="11"/>
  <c r="CW25" i="8"/>
  <c r="CU110" i="8"/>
  <c r="CU41" i="8"/>
  <c r="CU40" i="8"/>
  <c r="CU106" i="8" s="1"/>
  <c r="CU51" i="8"/>
  <c r="CU46" i="8"/>
  <c r="BD23" i="7"/>
  <c r="BD24" i="7" s="1"/>
  <c r="CQ29" i="8"/>
  <c r="BW41" i="2"/>
  <c r="AZ16" i="7"/>
  <c r="BW8" i="2"/>
  <c r="BW62" i="2" s="1"/>
  <c r="CQ39" i="8"/>
  <c r="CP59" i="8"/>
  <c r="BV54" i="2" s="1"/>
  <c r="BV12" i="2"/>
  <c r="BV88" i="2" s="1"/>
  <c r="CP63" i="8"/>
  <c r="BV42" i="2"/>
  <c r="CP52" i="8"/>
  <c r="CP109" i="8"/>
  <c r="BV9" i="2"/>
  <c r="AY33" i="7"/>
  <c r="AY35" i="7" s="1"/>
  <c r="BD17" i="7"/>
  <c r="CU104" i="8"/>
  <c r="AY170" i="7"/>
  <c r="CC19" i="10"/>
  <c r="CD93" i="9"/>
  <c r="BW112" i="2"/>
  <c r="CD86" i="9"/>
  <c r="CD109" i="9" s="1"/>
  <c r="CD110" i="9" s="1"/>
  <c r="AZ145" i="7"/>
  <c r="CH19" i="10" l="1"/>
  <c r="BX105" i="2"/>
  <c r="AZ170" i="7"/>
  <c r="CH99" i="9"/>
  <c r="CH100" i="9" s="1"/>
  <c r="CH94" i="9"/>
  <c r="BX41" i="2"/>
  <c r="BX8" i="2"/>
  <c r="BX62" i="2" s="1"/>
  <c r="BE16" i="7"/>
  <c r="CV29" i="8"/>
  <c r="CV39" i="8"/>
  <c r="BW113" i="2"/>
  <c r="CI85" i="9"/>
  <c r="BE136" i="7"/>
  <c r="CI91" i="9"/>
  <c r="BX111" i="2"/>
  <c r="BX112" i="2"/>
  <c r="CI93" i="9"/>
  <c r="BE145" i="7"/>
  <c r="CI86" i="9"/>
  <c r="CX29" i="11"/>
  <c r="CX25" i="8"/>
  <c r="AY34" i="7"/>
  <c r="BV51" i="2"/>
  <c r="BV87" i="2"/>
  <c r="BV64" i="2"/>
  <c r="BV78" i="2"/>
  <c r="BV13" i="2"/>
  <c r="BV55" i="2"/>
  <c r="AY40" i="7"/>
  <c r="CP65" i="8"/>
  <c r="CP70" i="8" s="1"/>
  <c r="CU47" i="8"/>
  <c r="BD28" i="7"/>
  <c r="BD29" i="7" s="1"/>
  <c r="CD99" i="9"/>
  <c r="CD100" i="9" s="1"/>
  <c r="CY32" i="11"/>
  <c r="CY33" i="11"/>
  <c r="CY28" i="11"/>
  <c r="CQ41" i="8"/>
  <c r="CQ110" i="8"/>
  <c r="AZ23" i="7"/>
  <c r="AZ24" i="7" s="1"/>
  <c r="CQ51" i="8"/>
  <c r="CQ40" i="8"/>
  <c r="CQ106" i="8" s="1"/>
  <c r="CQ46" i="8"/>
  <c r="CQ58" i="8"/>
  <c r="BW50" i="2"/>
  <c r="AZ17" i="7"/>
  <c r="CQ104" i="8"/>
  <c r="CU109" i="8"/>
  <c r="BD33" i="7"/>
  <c r="BD35" i="7" s="1"/>
  <c r="CU52" i="8"/>
  <c r="BD34" i="7" s="1"/>
  <c r="BF14" i="7"/>
  <c r="CW26" i="8"/>
  <c r="CJ84" i="9"/>
  <c r="CW28" i="8"/>
  <c r="CD94" i="9"/>
  <c r="CD96" i="9" s="1"/>
  <c r="CD97" i="9" s="1"/>
  <c r="CC36" i="9"/>
  <c r="BE170" i="7" l="1"/>
  <c r="BX113" i="2"/>
  <c r="AY47" i="7"/>
  <c r="CP71" i="8"/>
  <c r="CP81" i="8"/>
  <c r="CB12" i="10"/>
  <c r="CP77" i="8"/>
  <c r="AY146" i="7"/>
  <c r="AY147" i="7" s="1"/>
  <c r="AY152" i="7" s="1"/>
  <c r="CC87" i="9"/>
  <c r="CB20" i="10"/>
  <c r="CD36" i="9"/>
  <c r="CC39" i="9"/>
  <c r="CC50" i="9" s="1"/>
  <c r="BY41" i="2"/>
  <c r="BF16" i="7"/>
  <c r="BY8" i="2"/>
  <c r="BY62" i="2" s="1"/>
  <c r="CW29" i="8"/>
  <c r="CW39" i="8"/>
  <c r="BW43" i="2"/>
  <c r="AZ28" i="7"/>
  <c r="AZ29" i="7" s="1"/>
  <c r="CQ47" i="8"/>
  <c r="BW52" i="2" s="1"/>
  <c r="BW10" i="2"/>
  <c r="BW65" i="2" s="1"/>
  <c r="CX26" i="8"/>
  <c r="CK84" i="9"/>
  <c r="CX28" i="8"/>
  <c r="CI99" i="9"/>
  <c r="CI100" i="9" s="1"/>
  <c r="CI94" i="9"/>
  <c r="CI96" i="9" s="1"/>
  <c r="CI97" i="9" s="1"/>
  <c r="CJ97" i="9" s="1"/>
  <c r="CH36" i="9"/>
  <c r="CJ88" i="9"/>
  <c r="CJ16" i="9"/>
  <c r="CQ109" i="8"/>
  <c r="BW9" i="2"/>
  <c r="BW42" i="2"/>
  <c r="AZ33" i="7"/>
  <c r="AZ35" i="7" s="1"/>
  <c r="CQ52" i="8"/>
  <c r="CI109" i="9"/>
  <c r="CI110" i="9" s="1"/>
  <c r="CJ86" i="9"/>
  <c r="CV110" i="8"/>
  <c r="CV41" i="8"/>
  <c r="BE23" i="7"/>
  <c r="BE24" i="7" s="1"/>
  <c r="CV51" i="8"/>
  <c r="CV40" i="8"/>
  <c r="CV106" i="8" s="1"/>
  <c r="CV46" i="8"/>
  <c r="CQ59" i="8"/>
  <c r="BW54" i="2" s="1"/>
  <c r="BW12" i="2"/>
  <c r="BW88" i="2" s="1"/>
  <c r="CQ63" i="8"/>
  <c r="CY29" i="11"/>
  <c r="CY25" i="8"/>
  <c r="AY42" i="7"/>
  <c r="CQ65" i="8"/>
  <c r="BX50" i="2"/>
  <c r="BE17" i="7"/>
  <c r="CV104" i="8"/>
  <c r="BW64" i="2" l="1"/>
  <c r="BW78" i="2"/>
  <c r="BW87" i="2"/>
  <c r="AY171" i="7"/>
  <c r="CC20" i="10"/>
  <c r="AY168" i="7"/>
  <c r="CB21" i="10"/>
  <c r="BX43" i="2"/>
  <c r="BE28" i="7"/>
  <c r="BE29" i="7" s="1"/>
  <c r="CV47" i="8"/>
  <c r="BX52" i="2" s="1"/>
  <c r="BX10" i="2"/>
  <c r="BX65" i="2" s="1"/>
  <c r="BW51" i="2"/>
  <c r="AZ34" i="7"/>
  <c r="CY26" i="8"/>
  <c r="CL84" i="9"/>
  <c r="CY28" i="8"/>
  <c r="CX29" i="8"/>
  <c r="CX104" i="8" s="1"/>
  <c r="CX39" i="8"/>
  <c r="CW110" i="8"/>
  <c r="CW41" i="8"/>
  <c r="CW51" i="8"/>
  <c r="CW40" i="8"/>
  <c r="CW106" i="8" s="1"/>
  <c r="BF23" i="7"/>
  <c r="BF24" i="7" s="1"/>
  <c r="CW46" i="8"/>
  <c r="CP107" i="8"/>
  <c r="BV14" i="2"/>
  <c r="BV56" i="2"/>
  <c r="CP83" i="8"/>
  <c r="CH87" i="9"/>
  <c r="BD146" i="7"/>
  <c r="BD147" i="7" s="1"/>
  <c r="BD152" i="7" s="1"/>
  <c r="CI36" i="9"/>
  <c r="CH20" i="10" s="1"/>
  <c r="CG20" i="10"/>
  <c r="BD171" i="7" s="1"/>
  <c r="CH39" i="9"/>
  <c r="CH50" i="9" s="1"/>
  <c r="BX9" i="2"/>
  <c r="BX42" i="2"/>
  <c r="CV109" i="8"/>
  <c r="CV52" i="8"/>
  <c r="BE33" i="7"/>
  <c r="BE35" i="7" s="1"/>
  <c r="CJ35" i="9"/>
  <c r="CJ109" i="9"/>
  <c r="CJ110" i="9" s="1"/>
  <c r="CK86" i="9"/>
  <c r="BF136" i="7"/>
  <c r="BY111" i="2"/>
  <c r="CJ91" i="9"/>
  <c r="BY104" i="2"/>
  <c r="BY105" i="2"/>
  <c r="CI19" i="10"/>
  <c r="CJ96" i="9"/>
  <c r="CK97" i="9"/>
  <c r="CK88" i="9"/>
  <c r="CK16" i="9"/>
  <c r="CW104" i="8"/>
  <c r="BF17" i="7"/>
  <c r="BY50" i="2"/>
  <c r="CQ66" i="8"/>
  <c r="AZ42" i="7"/>
  <c r="BW13" i="2"/>
  <c r="AZ40" i="7"/>
  <c r="BW55" i="2"/>
  <c r="CQ70" i="8"/>
  <c r="AZ146" i="7"/>
  <c r="AZ147" i="7" s="1"/>
  <c r="AZ152" i="7" s="1"/>
  <c r="CD87" i="9"/>
  <c r="CD20" i="10"/>
  <c r="BA171" i="7" s="1"/>
  <c r="CD39" i="9"/>
  <c r="CD50" i="9" s="1"/>
  <c r="CP113" i="8"/>
  <c r="CP86" i="8"/>
  <c r="CP87" i="8" s="1"/>
  <c r="CP89" i="8"/>
  <c r="CC128" i="9"/>
  <c r="CP92" i="8"/>
  <c r="CP93" i="8" s="1"/>
  <c r="CC61" i="9"/>
  <c r="CP90" i="8" l="1"/>
  <c r="AY54" i="7"/>
  <c r="BV30" i="2"/>
  <c r="BE171" i="7"/>
  <c r="CK91" i="9"/>
  <c r="BF170" i="7"/>
  <c r="CY29" i="8"/>
  <c r="CY104" i="8" s="1"/>
  <c r="CY39" i="8"/>
  <c r="AY157" i="7"/>
  <c r="AY160" i="7" s="1"/>
  <c r="CC62" i="9"/>
  <c r="CD61" i="9"/>
  <c r="AZ43" i="7"/>
  <c r="BW119" i="2"/>
  <c r="CC130" i="10"/>
  <c r="BY112" i="2"/>
  <c r="BY113" i="2" s="1"/>
  <c r="CJ93" i="9"/>
  <c r="CJ94" i="9" s="1"/>
  <c r="CJ36" i="9" s="1"/>
  <c r="BF145" i="7"/>
  <c r="CB95" i="10"/>
  <c r="CP84" i="8"/>
  <c r="BV46" i="2" s="1"/>
  <c r="AY51" i="7"/>
  <c r="AY52" i="7" s="1"/>
  <c r="BV29" i="2"/>
  <c r="BV132" i="2" s="1"/>
  <c r="CX110" i="8"/>
  <c r="CX41" i="8"/>
  <c r="CX51" i="8"/>
  <c r="CX40" i="8"/>
  <c r="CX106" i="8" s="1"/>
  <c r="CX46" i="8"/>
  <c r="CX47" i="8" s="1"/>
  <c r="CL88" i="9"/>
  <c r="CL16" i="9"/>
  <c r="CL91" i="9" s="1"/>
  <c r="BV22" i="2"/>
  <c r="CB25" i="10"/>
  <c r="CQ71" i="8"/>
  <c r="AZ47" i="7"/>
  <c r="CQ77" i="8"/>
  <c r="CQ81" i="8"/>
  <c r="CC12" i="10"/>
  <c r="CL97" i="9"/>
  <c r="CL96" i="9" s="1"/>
  <c r="CK96" i="9"/>
  <c r="CI87" i="9"/>
  <c r="BE146" i="7"/>
  <c r="BE147" i="7" s="1"/>
  <c r="BE152" i="7" s="1"/>
  <c r="CI39" i="9"/>
  <c r="CI50" i="9" s="1"/>
  <c r="BY9" i="2"/>
  <c r="CW52" i="8"/>
  <c r="BY42" i="2"/>
  <c r="BF33" i="7"/>
  <c r="BF35" i="7" s="1"/>
  <c r="CW109" i="8"/>
  <c r="AY172" i="7"/>
  <c r="CL86" i="9"/>
  <c r="CK109" i="9"/>
  <c r="CK110" i="9" s="1"/>
  <c r="CK35" i="9"/>
  <c r="BE34" i="7"/>
  <c r="BX51" i="2"/>
  <c r="BX87" i="2"/>
  <c r="BX78" i="2"/>
  <c r="BX64" i="2"/>
  <c r="BY43" i="2"/>
  <c r="BF28" i="7"/>
  <c r="BF29" i="7" s="1"/>
  <c r="CW47" i="8"/>
  <c r="BY52" i="2" s="1"/>
  <c r="BY10" i="2"/>
  <c r="BY65" i="2" s="1"/>
  <c r="AZ171" i="7"/>
  <c r="CJ99" i="9" l="1"/>
  <c r="CJ100" i="9" s="1"/>
  <c r="BF146" i="7"/>
  <c r="BF147" i="7" s="1"/>
  <c r="BF152" i="7" s="1"/>
  <c r="CJ87" i="9"/>
  <c r="CI20" i="10"/>
  <c r="CX52" i="8"/>
  <c r="CX109" i="8"/>
  <c r="CJ39" i="9"/>
  <c r="CJ50" i="9" s="1"/>
  <c r="AZ157" i="7"/>
  <c r="AZ160" i="7" s="1"/>
  <c r="CD62" i="9"/>
  <c r="CD121" i="9" s="1"/>
  <c r="BF34" i="7"/>
  <c r="BY51" i="2"/>
  <c r="AZ168" i="7"/>
  <c r="AZ172" i="7" s="1"/>
  <c r="CC21" i="10"/>
  <c r="CB96" i="10"/>
  <c r="AY175" i="7"/>
  <c r="CB26" i="10"/>
  <c r="CB117" i="10"/>
  <c r="CB120" i="10" s="1"/>
  <c r="CB29" i="10"/>
  <c r="BV85" i="2"/>
  <c r="CC112" i="9"/>
  <c r="BV69" i="2"/>
  <c r="BV68" i="2"/>
  <c r="CC64" i="9"/>
  <c r="CC121" i="9"/>
  <c r="CK93" i="9"/>
  <c r="CK94" i="9" s="1"/>
  <c r="CK36" i="9" s="1"/>
  <c r="CL109" i="9"/>
  <c r="CL110" i="9" s="1"/>
  <c r="CL35" i="9"/>
  <c r="CK19" i="10" s="1"/>
  <c r="BY64" i="2"/>
  <c r="BY87" i="2"/>
  <c r="BY78" i="2"/>
  <c r="BW14" i="2"/>
  <c r="BW56" i="2"/>
  <c r="CQ107" i="8"/>
  <c r="CQ83" i="8"/>
  <c r="BV121" i="2"/>
  <c r="BV25" i="2"/>
  <c r="CJ19" i="10"/>
  <c r="CQ89" i="8"/>
  <c r="CQ86" i="8"/>
  <c r="CQ87" i="8" s="1"/>
  <c r="CQ113" i="8"/>
  <c r="CD128" i="9"/>
  <c r="CQ92" i="8"/>
  <c r="CQ93" i="8" s="1"/>
  <c r="CY110" i="8"/>
  <c r="CY41" i="8"/>
  <c r="CY51" i="8"/>
  <c r="CY46" i="8"/>
  <c r="CY47" i="8" s="1"/>
  <c r="CY40" i="8"/>
  <c r="CY106" i="8" s="1"/>
  <c r="CK99" i="9" l="1"/>
  <c r="CK100" i="9" s="1"/>
  <c r="BW68" i="2"/>
  <c r="CC95" i="10"/>
  <c r="AZ51" i="7"/>
  <c r="AZ52" i="7" s="1"/>
  <c r="BW29" i="2"/>
  <c r="BW132" i="2" s="1"/>
  <c r="CQ84" i="8"/>
  <c r="BW46" i="2" s="1"/>
  <c r="CC113" i="9"/>
  <c r="CC114" i="9"/>
  <c r="CC115" i="9" s="1"/>
  <c r="BW22" i="2"/>
  <c r="CC25" i="10"/>
  <c r="BW85" i="2"/>
  <c r="CD112" i="9"/>
  <c r="BW69" i="2"/>
  <c r="CD64" i="9"/>
  <c r="BF171" i="7"/>
  <c r="CK87" i="9"/>
  <c r="CK39" i="9"/>
  <c r="CK50" i="9" s="1"/>
  <c r="CJ20" i="10"/>
  <c r="BV123" i="2"/>
  <c r="BV122" i="2"/>
  <c r="BV89" i="2"/>
  <c r="BV32" i="2"/>
  <c r="BV133" i="2" s="1"/>
  <c r="AY179" i="7"/>
  <c r="AY180" i="7" s="1"/>
  <c r="AY176" i="7"/>
  <c r="AZ54" i="7"/>
  <c r="CQ90" i="8"/>
  <c r="BW30" i="2"/>
  <c r="CY52" i="8"/>
  <c r="CY109" i="8"/>
  <c r="CL93" i="9"/>
  <c r="CB30" i="10"/>
  <c r="CB36" i="10"/>
  <c r="CL99" i="9" l="1"/>
  <c r="CL100" i="9" s="1"/>
  <c r="CL94" i="9"/>
  <c r="CL36" i="9" s="1"/>
  <c r="CD113" i="9"/>
  <c r="CD114" i="9"/>
  <c r="CD115" i="9" s="1"/>
  <c r="CC26" i="10"/>
  <c r="CC96" i="10"/>
  <c r="CC117" i="10"/>
  <c r="CC120" i="10" s="1"/>
  <c r="AZ175" i="7"/>
  <c r="CC29" i="10"/>
  <c r="AY185" i="7"/>
  <c r="CB44" i="10"/>
  <c r="CB48" i="10" s="1"/>
  <c r="BW25" i="2"/>
  <c r="BW121" i="2"/>
  <c r="CC30" i="10" l="1"/>
  <c r="CC36" i="10"/>
  <c r="CL87" i="9"/>
  <c r="CK20" i="10"/>
  <c r="CL39" i="9"/>
  <c r="CL50" i="9" s="1"/>
  <c r="BW123" i="2"/>
  <c r="BW122" i="2"/>
  <c r="BW32" i="2"/>
  <c r="BW133" i="2" s="1"/>
  <c r="BW89" i="2"/>
  <c r="AZ176" i="7"/>
  <c r="AZ179" i="7"/>
  <c r="AZ180" i="7" s="1"/>
  <c r="AY191" i="7"/>
  <c r="CB54" i="10"/>
  <c r="CB57" i="10" l="1"/>
  <c r="CB55" i="10"/>
  <c r="CB60" i="10" s="1"/>
  <c r="AZ185" i="7"/>
  <c r="CC44" i="10"/>
  <c r="CC48" i="10" s="1"/>
  <c r="CB61" i="10" l="1"/>
  <c r="AY193" i="7"/>
  <c r="AY195" i="7" s="1"/>
  <c r="CC13" i="9"/>
  <c r="AZ191" i="7"/>
  <c r="CC54" i="10"/>
  <c r="CC77" i="9" l="1"/>
  <c r="BV16" i="2"/>
  <c r="CC105" i="9"/>
  <c r="CC19" i="9"/>
  <c r="AY134" i="7"/>
  <c r="AY138" i="7" s="1"/>
  <c r="AY142" i="7" s="1"/>
  <c r="CD13" i="9"/>
  <c r="CC122" i="9"/>
  <c r="CC57" i="10"/>
  <c r="CC55" i="10"/>
  <c r="CC60" i="10" s="1"/>
  <c r="BV91" i="2" l="1"/>
  <c r="CC107" i="9"/>
  <c r="BV92" i="2"/>
  <c r="CC104" i="9"/>
  <c r="CC30" i="9"/>
  <c r="CD77" i="9"/>
  <c r="CD19" i="9"/>
  <c r="CD105" i="9"/>
  <c r="BW16" i="2"/>
  <c r="AZ134" i="7"/>
  <c r="AZ138" i="7" s="1"/>
  <c r="AZ142" i="7" s="1"/>
  <c r="CD122" i="9"/>
  <c r="CD124" i="9"/>
  <c r="CD125" i="9" s="1"/>
  <c r="BV80" i="2"/>
  <c r="BV79" i="2"/>
  <c r="BV20" i="2"/>
  <c r="AZ193" i="7"/>
  <c r="AZ195" i="7" s="1"/>
  <c r="CC61" i="10"/>
  <c r="CC68" i="10" s="1"/>
  <c r="CD59" i="10"/>
  <c r="CH59" i="10"/>
  <c r="CH53" i="10" l="1"/>
  <c r="CD67" i="10"/>
  <c r="CD53" i="10"/>
  <c r="BV84" i="2"/>
  <c r="BV77" i="2"/>
  <c r="BW91" i="2"/>
  <c r="CD107" i="9"/>
  <c r="CD104" i="9"/>
  <c r="BW92" i="2"/>
  <c r="CD30" i="9"/>
  <c r="BW79" i="2"/>
  <c r="BW20" i="2"/>
  <c r="BW80" i="2"/>
  <c r="CC129" i="9"/>
  <c r="CC130" i="9"/>
  <c r="BV83" i="2"/>
  <c r="CC66" i="9"/>
  <c r="BV103" i="2"/>
  <c r="CC120" i="9"/>
  <c r="CC132" i="9" l="1"/>
  <c r="CD66" i="9"/>
  <c r="CD130" i="9"/>
  <c r="CD129" i="9"/>
  <c r="BW103" i="2"/>
  <c r="BW83" i="2"/>
  <c r="CD120" i="9"/>
  <c r="CR54" i="8"/>
  <c r="BW77" i="2"/>
  <c r="BW84" i="2"/>
  <c r="CD132" i="9" l="1"/>
  <c r="BA38" i="7"/>
  <c r="CR58" i="8"/>
  <c r="CR59" i="8" l="1"/>
  <c r="CR63" i="8"/>
  <c r="BA40" i="7" l="1"/>
  <c r="CR65" i="8"/>
  <c r="CR70" i="8" s="1"/>
  <c r="BA47" i="7" l="1"/>
  <c r="CR81" i="8"/>
  <c r="CR71" i="8"/>
  <c r="CD12" i="10"/>
  <c r="CR77" i="8"/>
  <c r="BA42" i="7"/>
  <c r="CD21" i="10" l="1"/>
  <c r="CD25" i="10" s="1"/>
  <c r="BA168" i="7"/>
  <c r="BA172" i="7" s="1"/>
  <c r="CR107" i="8"/>
  <c r="CR83" i="8"/>
  <c r="CR113" i="8"/>
  <c r="CR89" i="8"/>
  <c r="CR92" i="8"/>
  <c r="CR93" i="8" s="1"/>
  <c r="CE128" i="9"/>
  <c r="CR86" i="8"/>
  <c r="CR87" i="8" s="1"/>
  <c r="CE61" i="9"/>
  <c r="BA51" i="7" l="1"/>
  <c r="BA52" i="7" s="1"/>
  <c r="CR84" i="8"/>
  <c r="CD95" i="10"/>
  <c r="BA157" i="7"/>
  <c r="BA160" i="7" s="1"/>
  <c r="CE62" i="9"/>
  <c r="BA54" i="7"/>
  <c r="CR90" i="8"/>
  <c r="CD96" i="10"/>
  <c r="CD26" i="10"/>
  <c r="BA175" i="7"/>
  <c r="CD117" i="10"/>
  <c r="CD120" i="10" s="1"/>
  <c r="CD29" i="10"/>
  <c r="BA176" i="7" l="1"/>
  <c r="BA179" i="7"/>
  <c r="BA180" i="7" s="1"/>
  <c r="CD36" i="10"/>
  <c r="CD30" i="10"/>
  <c r="CE112" i="9"/>
  <c r="CE64" i="9"/>
  <c r="CE121" i="9"/>
  <c r="CD44" i="10" l="1"/>
  <c r="CD48" i="10" s="1"/>
  <c r="BA185" i="7"/>
  <c r="CE113" i="9"/>
  <c r="CE114" i="9"/>
  <c r="CE115" i="9" s="1"/>
  <c r="BA191" i="7" l="1"/>
  <c r="CD54" i="10"/>
  <c r="CD57" i="10" l="1"/>
  <c r="CD55" i="10"/>
  <c r="CD60" i="10" s="1"/>
  <c r="CE13" i="9" l="1"/>
  <c r="BA193" i="7"/>
  <c r="BA195" i="7" s="1"/>
  <c r="CE59" i="10"/>
  <c r="CD61" i="10"/>
  <c r="CE67" i="10" l="1"/>
  <c r="CE53" i="10"/>
  <c r="CE77" i="9"/>
  <c r="CE19" i="9"/>
  <c r="CE105" i="9"/>
  <c r="BA134" i="7"/>
  <c r="BA138" i="7" s="1"/>
  <c r="BA142" i="7" s="1"/>
  <c r="CE122" i="9"/>
  <c r="CS54" i="8" l="1"/>
  <c r="CE104" i="9"/>
  <c r="CE107" i="9"/>
  <c r="CE30" i="9"/>
  <c r="CE130" i="9" l="1"/>
  <c r="CE129" i="9"/>
  <c r="CE66" i="9"/>
  <c r="CE120" i="9"/>
  <c r="BB38" i="7"/>
  <c r="CS58" i="8"/>
  <c r="CE132" i="9" l="1"/>
  <c r="CS59" i="8"/>
  <c r="CS63" i="8"/>
  <c r="BB40" i="7" l="1"/>
  <c r="CS65" i="8"/>
  <c r="CS70" i="8"/>
  <c r="BB47" i="7" l="1"/>
  <c r="CS71" i="8"/>
  <c r="CS81" i="8"/>
  <c r="CE12" i="10"/>
  <c r="CS77" i="8"/>
  <c r="BB42" i="7"/>
  <c r="BB168" i="7" l="1"/>
  <c r="BB172" i="7" s="1"/>
  <c r="CE21" i="10"/>
  <c r="CE25" i="10" s="1"/>
  <c r="CS107" i="8"/>
  <c r="CS83" i="8"/>
  <c r="CS113" i="8"/>
  <c r="CS89" i="8"/>
  <c r="CS92" i="8"/>
  <c r="CS93" i="8" s="1"/>
  <c r="CF128" i="9"/>
  <c r="CS86" i="8"/>
  <c r="CS87" i="8" s="1"/>
  <c r="CF61" i="9"/>
  <c r="CF62" i="9" l="1"/>
  <c r="BB157" i="7"/>
  <c r="BB160" i="7" s="1"/>
  <c r="BB54" i="7"/>
  <c r="CS90" i="8"/>
  <c r="BB51" i="7"/>
  <c r="BB52" i="7" s="1"/>
  <c r="CS84" i="8"/>
  <c r="CE95" i="10"/>
  <c r="CE26" i="10"/>
  <c r="CE117" i="10"/>
  <c r="CE120" i="10" s="1"/>
  <c r="CE96" i="10"/>
  <c r="CE29" i="10"/>
  <c r="BB175" i="7"/>
  <c r="CE30" i="10" l="1"/>
  <c r="CE36" i="10"/>
  <c r="BB176" i="7"/>
  <c r="BB179" i="7"/>
  <c r="BB180" i="7" s="1"/>
  <c r="CF64" i="9"/>
  <c r="CF112" i="9"/>
  <c r="CF121" i="9"/>
  <c r="BB185" i="7" l="1"/>
  <c r="CE44" i="10"/>
  <c r="CE48" i="10" s="1"/>
  <c r="CF113" i="9"/>
  <c r="CF114" i="9"/>
  <c r="CF115" i="9" s="1"/>
  <c r="BB191" i="7" l="1"/>
  <c r="CE54" i="10"/>
  <c r="CE57" i="10" l="1"/>
  <c r="CE55" i="10"/>
  <c r="CE60" i="10" s="1"/>
  <c r="BB193" i="7" l="1"/>
  <c r="BB195" i="7" s="1"/>
  <c r="CF13" i="9"/>
  <c r="CF59" i="10"/>
  <c r="CE61" i="10"/>
  <c r="CF53" i="10" l="1"/>
  <c r="CF67" i="10"/>
  <c r="CF77" i="9"/>
  <c r="CF19" i="9"/>
  <c r="CF105" i="9"/>
  <c r="BB134" i="7"/>
  <c r="BB138" i="7" s="1"/>
  <c r="BB142" i="7" s="1"/>
  <c r="CF122" i="9"/>
  <c r="CT54" i="8" l="1"/>
  <c r="CF104" i="9"/>
  <c r="CF30" i="9"/>
  <c r="CF107" i="9"/>
  <c r="BC38" i="7" l="1"/>
  <c r="CT58" i="8"/>
  <c r="CF130" i="9"/>
  <c r="CF129" i="9"/>
  <c r="CF66" i="9"/>
  <c r="CF120" i="9"/>
  <c r="CF132" i="9" l="1"/>
  <c r="CT59" i="8"/>
  <c r="CT63" i="8"/>
  <c r="BC40" i="7" l="1"/>
  <c r="CT65" i="8"/>
  <c r="CT70" i="8" s="1"/>
  <c r="BC42" i="7" l="1"/>
  <c r="BC47" i="7"/>
  <c r="CT71" i="8"/>
  <c r="CT81" i="8"/>
  <c r="CT77" i="8"/>
  <c r="CF12" i="10"/>
  <c r="CT89" i="8" l="1"/>
  <c r="CT113" i="8"/>
  <c r="CG128" i="9"/>
  <c r="CT86" i="8"/>
  <c r="CT87" i="8" s="1"/>
  <c r="CT92" i="8"/>
  <c r="CT93" i="8" s="1"/>
  <c r="CG61" i="9"/>
  <c r="BC168" i="7"/>
  <c r="BC172" i="7" s="1"/>
  <c r="CF21" i="10"/>
  <c r="CF25" i="10" s="1"/>
  <c r="CT107" i="8"/>
  <c r="CT83" i="8"/>
  <c r="CT84" i="8" l="1"/>
  <c r="CF95" i="10"/>
  <c r="BC51" i="7"/>
  <c r="BC52" i="7" s="1"/>
  <c r="BC157" i="7"/>
  <c r="BC160" i="7" s="1"/>
  <c r="CG62" i="9"/>
  <c r="CF96" i="10"/>
  <c r="CF26" i="10"/>
  <c r="BC175" i="7"/>
  <c r="CF29" i="10"/>
  <c r="CF117" i="10"/>
  <c r="CF120" i="10" s="1"/>
  <c r="CT90" i="8"/>
  <c r="BC54" i="7"/>
  <c r="CF30" i="10" l="1"/>
  <c r="CF36" i="10"/>
  <c r="BC176" i="7"/>
  <c r="BC179" i="7"/>
  <c r="BC180" i="7" s="1"/>
  <c r="CG64" i="9"/>
  <c r="CG112" i="9"/>
  <c r="CG121" i="9"/>
  <c r="BC185" i="7" l="1"/>
  <c r="CF44" i="10"/>
  <c r="CF48" i="10" s="1"/>
  <c r="CG114" i="9"/>
  <c r="CG115" i="9" s="1"/>
  <c r="CG113" i="9"/>
  <c r="BC191" i="7" l="1"/>
  <c r="CF54" i="10"/>
  <c r="CF57" i="10" l="1"/>
  <c r="CF55" i="10"/>
  <c r="CF60" i="10" s="1"/>
  <c r="CG13" i="9" l="1"/>
  <c r="CG59" i="10"/>
  <c r="BC193" i="7"/>
  <c r="BC195" i="7" s="1"/>
  <c r="CF61" i="10"/>
  <c r="CG67" i="10" l="1"/>
  <c r="CG53" i="10"/>
  <c r="CG105" i="9"/>
  <c r="CG77" i="9"/>
  <c r="CG19" i="9"/>
  <c r="BC134" i="7"/>
  <c r="BC138" i="7" s="1"/>
  <c r="BC142" i="7" s="1"/>
  <c r="CG122" i="9"/>
  <c r="CU54" i="8" l="1"/>
  <c r="CH67" i="10"/>
  <c r="CG30" i="9"/>
  <c r="CG104" i="9"/>
  <c r="CG107" i="9"/>
  <c r="CG130" i="9" l="1"/>
  <c r="CG129" i="9"/>
  <c r="CG66" i="9"/>
  <c r="CG120" i="9"/>
  <c r="BD38" i="7"/>
  <c r="CU58" i="8"/>
  <c r="CV54" i="8"/>
  <c r="CG132" i="9" l="1"/>
  <c r="BE38" i="7"/>
  <c r="CV58" i="8"/>
  <c r="CU59" i="8"/>
  <c r="CU63" i="8"/>
  <c r="BD40" i="7" l="1"/>
  <c r="CU65" i="8"/>
  <c r="CV59" i="8"/>
  <c r="BX54" i="2" s="1"/>
  <c r="CV63" i="8"/>
  <c r="BX12" i="2"/>
  <c r="BX88" i="2" s="1"/>
  <c r="BD42" i="7" l="1"/>
  <c r="CV65" i="8"/>
  <c r="CU70" i="8"/>
  <c r="BX13" i="2"/>
  <c r="BX55" i="2"/>
  <c r="BE40" i="7"/>
  <c r="CV70" i="8"/>
  <c r="BE47" i="7" l="1"/>
  <c r="CV71" i="8"/>
  <c r="CH12" i="10"/>
  <c r="CV77" i="8"/>
  <c r="CU71" i="8"/>
  <c r="BD47" i="7"/>
  <c r="CU81" i="8"/>
  <c r="CU77" i="8"/>
  <c r="CG12" i="10"/>
  <c r="BE42" i="7"/>
  <c r="CV66" i="8"/>
  <c r="CH130" i="10" l="1"/>
  <c r="BX119" i="2"/>
  <c r="BE43" i="7"/>
  <c r="CV79" i="8"/>
  <c r="CW66" i="8"/>
  <c r="CU107" i="8"/>
  <c r="CU83" i="8"/>
  <c r="CH21" i="10"/>
  <c r="BE168" i="7"/>
  <c r="BE172" i="7" s="1"/>
  <c r="BD168" i="7"/>
  <c r="BD172" i="7" s="1"/>
  <c r="CG21" i="10"/>
  <c r="CG25" i="10" s="1"/>
  <c r="CU113" i="8"/>
  <c r="CH128" i="9"/>
  <c r="CU89" i="8"/>
  <c r="CU86" i="8"/>
  <c r="CU87" i="8" s="1"/>
  <c r="CU92" i="8"/>
  <c r="CU93" i="8" s="1"/>
  <c r="CH61" i="9"/>
  <c r="CV113" i="8"/>
  <c r="CV89" i="8"/>
  <c r="CV92" i="8"/>
  <c r="CV93" i="8" s="1"/>
  <c r="CI128" i="9"/>
  <c r="CV86" i="8"/>
  <c r="CV87" i="8" s="1"/>
  <c r="BD54" i="7" l="1"/>
  <c r="CU90" i="8"/>
  <c r="BX30" i="2"/>
  <c r="BE54" i="7"/>
  <c r="CV90" i="8"/>
  <c r="BX22" i="2"/>
  <c r="CH25" i="10"/>
  <c r="BY119" i="2"/>
  <c r="CI130" i="10"/>
  <c r="BF43" i="7"/>
  <c r="CX66" i="8"/>
  <c r="CW79" i="8"/>
  <c r="BD157" i="7"/>
  <c r="BD160" i="7" s="1"/>
  <c r="CH62" i="9"/>
  <c r="CI61" i="9"/>
  <c r="CG96" i="10"/>
  <c r="CG26" i="10"/>
  <c r="BD175" i="7"/>
  <c r="CG117" i="10"/>
  <c r="CG120" i="10" s="1"/>
  <c r="CG29" i="10"/>
  <c r="CG95" i="10"/>
  <c r="CU84" i="8"/>
  <c r="BD51" i="7"/>
  <c r="BD52" i="7" s="1"/>
  <c r="CV81" i="8"/>
  <c r="BX56" i="2" l="1"/>
  <c r="BX14" i="2"/>
  <c r="CV107" i="8"/>
  <c r="CV83" i="8"/>
  <c r="CV82" i="8" s="1"/>
  <c r="CH112" i="9"/>
  <c r="CH64" i="9"/>
  <c r="CH121" i="9"/>
  <c r="BX121" i="2"/>
  <c r="BX25" i="2"/>
  <c r="CG36" i="10"/>
  <c r="CG30" i="10"/>
  <c r="BD179" i="7"/>
  <c r="BD180" i="7" s="1"/>
  <c r="BD176" i="7"/>
  <c r="BE157" i="7"/>
  <c r="BE160" i="7" s="1"/>
  <c r="CI62" i="9"/>
  <c r="CY66" i="8"/>
  <c r="CJ130" i="10"/>
  <c r="CX79" i="8"/>
  <c r="CH96" i="10"/>
  <c r="CH26" i="10"/>
  <c r="CH117" i="10"/>
  <c r="CH120" i="10" s="1"/>
  <c r="BE175" i="7"/>
  <c r="CH29" i="10"/>
  <c r="BE176" i="7" l="1"/>
  <c r="BE179" i="7"/>
  <c r="BE180" i="7" s="1"/>
  <c r="BD185" i="7"/>
  <c r="CG44" i="10"/>
  <c r="CG48" i="10" s="1"/>
  <c r="CH114" i="9"/>
  <c r="CH115" i="9" s="1"/>
  <c r="CH113" i="9"/>
  <c r="CH36" i="10"/>
  <c r="CH30" i="10"/>
  <c r="CY79" i="8"/>
  <c r="CK130" i="10"/>
  <c r="BX29" i="2"/>
  <c r="BX132" i="2" s="1"/>
  <c r="CH95" i="10"/>
  <c r="CV84" i="8"/>
  <c r="BX46" i="2" s="1"/>
  <c r="BE51" i="7"/>
  <c r="BE52" i="7" s="1"/>
  <c r="BX85" i="2"/>
  <c r="CI112" i="9"/>
  <c r="CI64" i="9"/>
  <c r="BX69" i="2"/>
  <c r="CI121" i="9"/>
  <c r="BX122" i="2"/>
  <c r="BX123" i="2"/>
  <c r="BX89" i="2"/>
  <c r="BX32" i="2"/>
  <c r="BX133" i="2" s="1"/>
  <c r="BX68" i="2"/>
  <c r="CI113" i="9" l="1"/>
  <c r="CI114" i="9"/>
  <c r="CI115" i="9" s="1"/>
  <c r="CG54" i="10"/>
  <c r="BD191" i="7"/>
  <c r="CH44" i="10"/>
  <c r="CH48" i="10" s="1"/>
  <c r="BE185" i="7"/>
  <c r="BE191" i="7" l="1"/>
  <c r="CH54" i="10"/>
  <c r="CG57" i="10"/>
  <c r="CG55" i="10"/>
  <c r="CG60" i="10" s="1"/>
  <c r="BD193" i="7" l="1"/>
  <c r="BD195" i="7" s="1"/>
  <c r="CH13" i="9"/>
  <c r="CG61" i="10"/>
  <c r="CH57" i="10"/>
  <c r="CH55" i="10"/>
  <c r="CH60" i="10" s="1"/>
  <c r="CH19" i="9" l="1"/>
  <c r="CH77" i="9"/>
  <c r="CH105" i="9"/>
  <c r="CI13" i="9"/>
  <c r="BD134" i="7"/>
  <c r="BD138" i="7" s="1"/>
  <c r="BD142" i="7" s="1"/>
  <c r="CH122" i="9"/>
  <c r="CI59" i="10"/>
  <c r="BE193" i="7"/>
  <c r="BE195" i="7" s="1"/>
  <c r="CH61" i="10"/>
  <c r="CH68" i="10" s="1"/>
  <c r="CI105" i="9" l="1"/>
  <c r="CI77" i="9"/>
  <c r="CI19" i="9"/>
  <c r="BE134" i="7"/>
  <c r="BE138" i="7" s="1"/>
  <c r="BE142" i="7" s="1"/>
  <c r="BX16" i="2"/>
  <c r="CI124" i="9"/>
  <c r="CI125" i="9" s="1"/>
  <c r="CI122" i="9"/>
  <c r="CI67" i="10"/>
  <c r="CW54" i="8" s="1"/>
  <c r="CI53" i="10"/>
  <c r="CH107" i="9"/>
  <c r="CH104" i="9"/>
  <c r="CH30" i="9"/>
  <c r="BX91" i="2" l="1"/>
  <c r="CI30" i="9"/>
  <c r="CI104" i="9"/>
  <c r="CI107" i="9"/>
  <c r="BX92" i="2"/>
  <c r="BF38" i="7"/>
  <c r="CW58" i="8"/>
  <c r="CH129" i="9"/>
  <c r="CH130" i="9"/>
  <c r="CH66" i="9"/>
  <c r="CH120" i="9"/>
  <c r="BX79" i="2"/>
  <c r="BX80" i="2"/>
  <c r="BX20" i="2"/>
  <c r="CH132" i="9" l="1"/>
  <c r="BX77" i="2"/>
  <c r="BX84" i="2"/>
  <c r="CW59" i="8"/>
  <c r="BY54" i="2" s="1"/>
  <c r="BY12" i="2"/>
  <c r="BY88" i="2" s="1"/>
  <c r="CW63" i="8"/>
  <c r="BX103" i="2"/>
  <c r="CI130" i="9"/>
  <c r="CI66" i="9"/>
  <c r="BX83" i="2"/>
  <c r="CI129" i="9"/>
  <c r="CI120" i="9"/>
  <c r="CI132" i="9" l="1"/>
  <c r="BY55" i="2"/>
  <c r="BF40" i="7"/>
  <c r="BY13" i="2"/>
  <c r="CW65" i="8"/>
  <c r="CW70" i="8" s="1"/>
  <c r="BF47" i="7" l="1"/>
  <c r="CW71" i="8"/>
  <c r="CW77" i="8"/>
  <c r="CW81" i="8"/>
  <c r="CI12" i="10"/>
  <c r="BF42" i="7"/>
  <c r="CW107" i="8" l="1"/>
  <c r="BY14" i="2"/>
  <c r="BY56" i="2"/>
  <c r="CW83" i="8"/>
  <c r="CW82" i="8" s="1"/>
  <c r="CW89" i="8"/>
  <c r="CW113" i="8"/>
  <c r="CW92" i="8"/>
  <c r="CW93" i="8" s="1"/>
  <c r="CJ128" i="9"/>
  <c r="CW86" i="8"/>
  <c r="CW87" i="8" s="1"/>
  <c r="CJ61" i="9"/>
  <c r="BF168" i="7"/>
  <c r="BF172" i="7" s="1"/>
  <c r="CI21" i="10"/>
  <c r="BY30" i="2" l="1"/>
  <c r="CW90" i="8"/>
  <c r="BF54" i="7"/>
  <c r="CI25" i="10"/>
  <c r="BY22" i="2"/>
  <c r="CJ62" i="9"/>
  <c r="BF157" i="7"/>
  <c r="BF160" i="7" s="1"/>
  <c r="BY29" i="2"/>
  <c r="BY132" i="2" s="1"/>
  <c r="CW84" i="8"/>
  <c r="BY46" i="2" s="1"/>
  <c r="CI95" i="10"/>
  <c r="BF51" i="7"/>
  <c r="BF52" i="7" s="1"/>
  <c r="BY121" i="2" l="1"/>
  <c r="BY25" i="2"/>
  <c r="CJ112" i="9"/>
  <c r="BY85" i="2"/>
  <c r="CJ64" i="9"/>
  <c r="BY69" i="2"/>
  <c r="CJ121" i="9"/>
  <c r="BY68" i="2"/>
  <c r="CI96" i="10"/>
  <c r="CI29" i="10"/>
  <c r="BF175" i="7"/>
  <c r="CI117" i="10"/>
  <c r="CI120" i="10" s="1"/>
  <c r="CI26" i="10"/>
  <c r="BY89" i="2" l="1"/>
  <c r="BY122" i="2"/>
  <c r="BY123" i="2"/>
  <c r="BY32" i="2"/>
  <c r="BY133" i="2" s="1"/>
  <c r="CJ114" i="9"/>
  <c r="CJ115" i="9" s="1"/>
  <c r="CJ113" i="9"/>
  <c r="CI36" i="10"/>
  <c r="CI30" i="10"/>
  <c r="BF176" i="7"/>
  <c r="BF179" i="7"/>
  <c r="BF180" i="7" s="1"/>
  <c r="BF185" i="7" l="1"/>
  <c r="CI44" i="10"/>
  <c r="CI48" i="10" s="1"/>
  <c r="BF191" i="7" l="1"/>
  <c r="CI54" i="10"/>
  <c r="CI57" i="10" l="1"/>
  <c r="CI55" i="10"/>
  <c r="CI60" i="10" s="1"/>
  <c r="CJ13" i="9" l="1"/>
  <c r="BF193" i="7"/>
  <c r="BF195" i="7" s="1"/>
  <c r="CJ59" i="10"/>
  <c r="CI61" i="10"/>
  <c r="CJ67" i="10" l="1"/>
  <c r="CX54" i="8" s="1"/>
  <c r="CX58" i="8" s="1"/>
  <c r="CJ53" i="10"/>
  <c r="CJ19" i="9"/>
  <c r="CJ105" i="9"/>
  <c r="CJ77" i="9"/>
  <c r="BF134" i="7"/>
  <c r="BF138" i="7" s="1"/>
  <c r="BF142" i="7" s="1"/>
  <c r="BY16" i="2"/>
  <c r="CJ122" i="9"/>
  <c r="BY80" i="2" l="1"/>
  <c r="BY79" i="2"/>
  <c r="BY20" i="2"/>
  <c r="BY92" i="2"/>
  <c r="CJ107" i="9"/>
  <c r="CJ30" i="9"/>
  <c r="CJ104" i="9"/>
  <c r="BY91" i="2"/>
  <c r="CX59" i="8"/>
  <c r="CX63" i="8"/>
  <c r="BY84" i="2" l="1"/>
  <c r="BY77" i="2"/>
  <c r="CX65" i="8"/>
  <c r="CX70" i="8" s="1"/>
  <c r="CJ66" i="9"/>
  <c r="BY83" i="2"/>
  <c r="BY103" i="2"/>
  <c r="CJ130" i="9"/>
  <c r="CJ129" i="9"/>
  <c r="CJ120" i="9"/>
  <c r="CJ132" i="9" l="1"/>
  <c r="CX77" i="8"/>
  <c r="CX81" i="8"/>
  <c r="CX71" i="8"/>
  <c r="CJ12" i="10"/>
  <c r="CJ21" i="10" s="1"/>
  <c r="CJ25" i="10" s="1"/>
  <c r="CJ26" i="10" l="1"/>
  <c r="CJ96" i="10"/>
  <c r="CJ29" i="10"/>
  <c r="CJ117" i="10"/>
  <c r="CJ120" i="10" s="1"/>
  <c r="CX107" i="8"/>
  <c r="CX83" i="8"/>
  <c r="CX113" i="8"/>
  <c r="CK128" i="9"/>
  <c r="CX86" i="8"/>
  <c r="CX87" i="8" s="1"/>
  <c r="CX92" i="8"/>
  <c r="CX93" i="8" s="1"/>
  <c r="CX89" i="8"/>
  <c r="CX90" i="8" s="1"/>
  <c r="CK61" i="9"/>
  <c r="CJ30" i="10" l="1"/>
  <c r="CJ36" i="10"/>
  <c r="CJ44" i="10" s="1"/>
  <c r="CJ48" i="10" s="1"/>
  <c r="CJ54" i="10" s="1"/>
  <c r="CK62" i="9"/>
  <c r="CJ95" i="10"/>
  <c r="CX84" i="8"/>
  <c r="CK112" i="9" l="1"/>
  <c r="CK64" i="9"/>
  <c r="CK121" i="9"/>
  <c r="CJ57" i="10"/>
  <c r="CJ55" i="10"/>
  <c r="CJ60" i="10" s="1"/>
  <c r="CK13" i="9" l="1"/>
  <c r="CK59" i="10"/>
  <c r="CJ61" i="10"/>
  <c r="CK113" i="9"/>
  <c r="CK114" i="9"/>
  <c r="CK115" i="9" s="1"/>
  <c r="CK67" i="10" l="1"/>
  <c r="CY54" i="8" s="1"/>
  <c r="CY58" i="8" s="1"/>
  <c r="CK53" i="10"/>
  <c r="CK105" i="9"/>
  <c r="CK77" i="9"/>
  <c r="CK19" i="9"/>
  <c r="CK122" i="9"/>
  <c r="CY59" i="8" l="1"/>
  <c r="CY63" i="8"/>
  <c r="CK107" i="9"/>
  <c r="CK104" i="9"/>
  <c r="CK30" i="9"/>
  <c r="CY65" i="8" l="1"/>
  <c r="CY70" i="8" s="1"/>
  <c r="CK66" i="9"/>
  <c r="CK129" i="9"/>
  <c r="CK130" i="9"/>
  <c r="CK120" i="9"/>
  <c r="CK132" i="9" l="1"/>
  <c r="CY71" i="8"/>
  <c r="CY81" i="8"/>
  <c r="CK12" i="10"/>
  <c r="CK21" i="10" s="1"/>
  <c r="CK25" i="10" s="1"/>
  <c r="CY77" i="8"/>
  <c r="CK96" i="10" l="1"/>
  <c r="CK29" i="10"/>
  <c r="CK26" i="10"/>
  <c r="CK117" i="10"/>
  <c r="CK120" i="10" s="1"/>
  <c r="CY83" i="8"/>
  <c r="CY107" i="8"/>
  <c r="CY113" i="8"/>
  <c r="CY89" i="8"/>
  <c r="CY90" i="8" s="1"/>
  <c r="CY86" i="8"/>
  <c r="CY87" i="8" s="1"/>
  <c r="CY92" i="8"/>
  <c r="CY93" i="8" s="1"/>
  <c r="CL128" i="9"/>
  <c r="CL61" i="9"/>
  <c r="CL62" i="9" s="1"/>
  <c r="CL121" i="9" s="1"/>
  <c r="CK30" i="10" l="1"/>
  <c r="CK36" i="10"/>
  <c r="CK44" i="10" s="1"/>
  <c r="CK48" i="10" s="1"/>
  <c r="CK54" i="10" s="1"/>
  <c r="CL112" i="9"/>
  <c r="CL64" i="9"/>
  <c r="CY84" i="8"/>
  <c r="CK95" i="10"/>
  <c r="CL113" i="9" l="1"/>
  <c r="CL114" i="9"/>
  <c r="CL115" i="9" s="1"/>
  <c r="CK57" i="10"/>
  <c r="CK55" i="10"/>
  <c r="CK60" i="10" s="1"/>
  <c r="CL13" i="9" l="1"/>
  <c r="CK61" i="10"/>
  <c r="CL77" i="9" l="1"/>
  <c r="CL105" i="9"/>
  <c r="CL19" i="9"/>
  <c r="CL122" i="9"/>
  <c r="CL30" i="9" l="1"/>
  <c r="CL104" i="9"/>
  <c r="CL107" i="9"/>
  <c r="CL66" i="9" l="1"/>
  <c r="CL129" i="9"/>
  <c r="CL130" i="9"/>
  <c r="CL120" i="9"/>
  <c r="CL132" i="9" l="1"/>
</calcChain>
</file>

<file path=xl/comments1.xml><?xml version="1.0" encoding="utf-8"?>
<comments xmlns="http://schemas.openxmlformats.org/spreadsheetml/2006/main">
  <authors>
    <author>jiayanz</author>
  </authors>
  <commentList>
    <comment ref="AT63" authorId="0">
      <text>
        <r>
          <rPr>
            <b/>
            <sz val="8"/>
            <color indexed="81"/>
            <rFont val="Tahoma"/>
            <family val="2"/>
          </rPr>
          <t>jiayanz:</t>
        </r>
        <r>
          <rPr>
            <sz val="8"/>
            <color indexed="81"/>
            <rFont val="Tahoma"/>
            <family val="2"/>
          </rPr>
          <t xml:space="preserve">
Based on spot rate</t>
        </r>
      </text>
    </comment>
    <comment ref="AT66" authorId="0">
      <text>
        <r>
          <rPr>
            <b/>
            <sz val="8"/>
            <color indexed="81"/>
            <rFont val="Tahoma"/>
            <family val="2"/>
          </rPr>
          <t>jiayanz:</t>
        </r>
        <r>
          <rPr>
            <sz val="8"/>
            <color indexed="81"/>
            <rFont val="Tahoma"/>
            <family val="2"/>
          </rPr>
          <t xml:space="preserve">
based on spot rate</t>
        </r>
      </text>
    </comment>
  </commentList>
</comments>
</file>

<file path=xl/comments2.xml><?xml version="1.0" encoding="utf-8"?>
<comments xmlns="http://schemas.openxmlformats.org/spreadsheetml/2006/main">
  <authors>
    <author>Nigel Coe</author>
    <author>Authorised Company Employee</author>
    <author>Ramyar</author>
    <author>HH</author>
    <author>sang</author>
    <author>Nicole DeBlase</author>
    <author>Coe, Nigel (Research)</author>
    <author>milip</author>
    <author>JZ</author>
    <author>shahviv</author>
    <author>Morales, Jonathan (Research)</author>
  </authors>
  <commentList>
    <comment ref="AK20" authorId="0">
      <text>
        <r>
          <rPr>
            <b/>
            <sz val="8"/>
            <color indexed="81"/>
            <rFont val="Tahoma"/>
            <family val="2"/>
          </rPr>
          <t>Nigel Coe:</t>
        </r>
        <r>
          <rPr>
            <sz val="8"/>
            <color indexed="81"/>
            <rFont val="Tahoma"/>
            <family val="2"/>
          </rPr>
          <t xml:space="preserve">
Interest on tax accrual</t>
        </r>
      </text>
    </comment>
    <comment ref="BF20" authorId="1">
      <text>
        <r>
          <rPr>
            <b/>
            <sz val="8"/>
            <color indexed="81"/>
            <rFont val="Tahoma"/>
            <family val="2"/>
          </rPr>
          <t>Authorised Company Employee:</t>
        </r>
        <r>
          <rPr>
            <sz val="8"/>
            <color indexed="81"/>
            <rFont val="Tahoma"/>
            <family val="2"/>
          </rPr>
          <t xml:space="preserve">
Other one-time items: Asset Impairment (Clipper Windpower) of -159m, A 17c impact on EPS</t>
        </r>
      </text>
    </comment>
    <comment ref="Z25" authorId="2">
      <text>
        <r>
          <rPr>
            <b/>
            <sz val="8"/>
            <color indexed="81"/>
            <rFont val="Tahoma"/>
            <family val="2"/>
          </rPr>
          <t>Ramyar:</t>
        </r>
        <r>
          <rPr>
            <sz val="8"/>
            <color indexed="81"/>
            <rFont val="Tahoma"/>
            <family val="2"/>
          </rPr>
          <t xml:space="preserve">
10K04-4,621+1,649
1Q05-6,275</t>
        </r>
      </text>
    </comment>
    <comment ref="Z31" authorId="2">
      <text>
        <r>
          <rPr>
            <b/>
            <sz val="8"/>
            <color indexed="81"/>
            <rFont val="Tahoma"/>
            <family val="2"/>
          </rPr>
          <t>Ramyar:</t>
        </r>
        <r>
          <rPr>
            <sz val="8"/>
            <color indexed="81"/>
            <rFont val="Tahoma"/>
            <family val="2"/>
          </rPr>
          <t xml:space="preserve">
10K04-1,105
1Q05-1,140</t>
        </r>
      </text>
    </comment>
    <comment ref="AA31" authorId="3">
      <text>
        <r>
          <rPr>
            <b/>
            <sz val="8"/>
            <color indexed="81"/>
            <rFont val="Tahoma"/>
            <family val="2"/>
          </rPr>
          <t>HH:</t>
        </r>
        <r>
          <rPr>
            <sz val="8"/>
            <color indexed="81"/>
            <rFont val="Tahoma"/>
            <family val="2"/>
          </rPr>
          <t xml:space="preserve">
10Q-1088
2Q05-1114</t>
        </r>
      </text>
    </comment>
    <comment ref="AB31" authorId="3">
      <text>
        <r>
          <rPr>
            <b/>
            <sz val="8"/>
            <color indexed="81"/>
            <rFont val="Tahoma"/>
            <family val="2"/>
          </rPr>
          <t>HH:</t>
        </r>
        <r>
          <rPr>
            <sz val="8"/>
            <color indexed="81"/>
            <rFont val="Tahoma"/>
            <family val="2"/>
          </rPr>
          <t xml:space="preserve">
1,070 as per 10K04. 
Assumed operating income restatement in 2Q05 to be in SGA.</t>
        </r>
      </text>
    </comment>
    <comment ref="AC31" authorId="3">
      <text>
        <r>
          <rPr>
            <b/>
            <sz val="8"/>
            <color indexed="81"/>
            <rFont val="Tahoma"/>
            <family val="2"/>
          </rPr>
          <t>HH:</t>
        </r>
        <r>
          <rPr>
            <sz val="8"/>
            <color indexed="81"/>
            <rFont val="Tahoma"/>
            <family val="2"/>
          </rPr>
          <t xml:space="preserve">
1,128 as per 10K04. Assumed operating income restatement in 2Q05 to be in SGA.</t>
        </r>
      </text>
    </comment>
    <comment ref="AD31" authorId="3">
      <text>
        <r>
          <rPr>
            <b/>
            <sz val="8"/>
            <color indexed="81"/>
            <rFont val="Tahoma"/>
            <family val="2"/>
          </rPr>
          <t>HH:</t>
        </r>
        <r>
          <rPr>
            <sz val="8"/>
            <color indexed="81"/>
            <rFont val="Tahoma"/>
            <family val="2"/>
          </rPr>
          <t xml:space="preserve">
4,498 as per 10K04.
</t>
        </r>
      </text>
    </comment>
    <comment ref="Z34" authorId="2">
      <text>
        <r>
          <rPr>
            <b/>
            <sz val="8"/>
            <color indexed="81"/>
            <rFont val="Tahoma"/>
            <family val="2"/>
          </rPr>
          <t>Ramyar:</t>
        </r>
        <r>
          <rPr>
            <sz val="8"/>
            <color indexed="81"/>
            <rFont val="Tahoma"/>
            <family val="2"/>
          </rPr>
          <t xml:space="preserve">
10K04-308
1Q05-311</t>
        </r>
      </text>
    </comment>
    <comment ref="AA34" authorId="3">
      <text>
        <r>
          <rPr>
            <b/>
            <sz val="8"/>
            <color indexed="81"/>
            <rFont val="Tahoma"/>
            <family val="2"/>
          </rPr>
          <t>HH:</t>
        </r>
        <r>
          <rPr>
            <sz val="8"/>
            <color indexed="81"/>
            <rFont val="Tahoma"/>
            <family val="2"/>
          </rPr>
          <t xml:space="preserve">
10Q-313
2Q05-315</t>
        </r>
      </text>
    </comment>
    <comment ref="BV34" authorId="4">
      <text>
        <r>
          <rPr>
            <b/>
            <sz val="8"/>
            <color indexed="81"/>
            <rFont val="Tahoma"/>
            <family val="2"/>
          </rPr>
          <t>sang:</t>
        </r>
        <r>
          <rPr>
            <sz val="8"/>
            <color indexed="81"/>
            <rFont val="Tahoma"/>
            <family val="2"/>
          </rPr>
          <t xml:space="preserve">
some y/y E&amp;D benefit</t>
        </r>
      </text>
    </comment>
    <comment ref="BD37" authorId="5">
      <text>
        <r>
          <rPr>
            <b/>
            <sz val="8"/>
            <color indexed="81"/>
            <rFont val="Tahoma"/>
            <family val="2"/>
          </rPr>
          <t>Nicole DeBlase:</t>
        </r>
        <r>
          <rPr>
            <sz val="8"/>
            <color indexed="81"/>
            <rFont val="Tahoma"/>
            <family val="2"/>
          </rPr>
          <t xml:space="preserve">
Restated</t>
        </r>
      </text>
    </comment>
    <comment ref="BE37" authorId="5">
      <text>
        <r>
          <rPr>
            <b/>
            <sz val="8"/>
            <color indexed="81"/>
            <rFont val="Tahoma"/>
            <family val="2"/>
          </rPr>
          <t>Nicole DeBlase:</t>
        </r>
        <r>
          <rPr>
            <sz val="8"/>
            <color indexed="81"/>
            <rFont val="Tahoma"/>
            <family val="2"/>
          </rPr>
          <t xml:space="preserve">
Restated</t>
        </r>
      </text>
    </comment>
    <comment ref="BF37" authorId="5">
      <text>
        <r>
          <rPr>
            <b/>
            <sz val="8"/>
            <color indexed="81"/>
            <rFont val="Tahoma"/>
            <family val="2"/>
          </rPr>
          <t>Nicole DeBlase:</t>
        </r>
        <r>
          <rPr>
            <sz val="8"/>
            <color indexed="81"/>
            <rFont val="Tahoma"/>
            <family val="2"/>
          </rPr>
          <t xml:space="preserve">
Restated</t>
        </r>
      </text>
    </comment>
    <comment ref="BM37" authorId="0">
      <text>
        <r>
          <rPr>
            <b/>
            <sz val="9"/>
            <color indexed="81"/>
            <rFont val="Arial"/>
            <family val="2"/>
          </rPr>
          <t>Nigel Coe:</t>
        </r>
        <r>
          <rPr>
            <sz val="9"/>
            <color indexed="81"/>
            <rFont val="Arial"/>
            <family val="2"/>
          </rPr>
          <t xml:space="preserve">
Royalty Income etc and approximately $180m of gains which are offset by restructuring</t>
        </r>
      </text>
    </comment>
    <comment ref="AB39" authorId="3">
      <text>
        <r>
          <rPr>
            <b/>
            <sz val="8"/>
            <color indexed="81"/>
            <rFont val="Tahoma"/>
            <family val="2"/>
          </rPr>
          <t>HH:</t>
        </r>
        <r>
          <rPr>
            <sz val="8"/>
            <color indexed="81"/>
            <rFont val="Tahoma"/>
            <family val="2"/>
          </rPr>
          <t xml:space="preserve">
1,176- as per 10K04.
1,130 as per 2Q05 restated.</t>
        </r>
      </text>
    </comment>
    <comment ref="AC39" authorId="3">
      <text>
        <r>
          <rPr>
            <b/>
            <sz val="8"/>
            <color indexed="81"/>
            <rFont val="Tahoma"/>
            <family val="2"/>
          </rPr>
          <t>HH:</t>
        </r>
        <r>
          <rPr>
            <sz val="8"/>
            <color indexed="81"/>
            <rFont val="Tahoma"/>
            <family val="2"/>
          </rPr>
          <t xml:space="preserve">
10K04-1,203. Restated in 2q05.</t>
        </r>
      </text>
    </comment>
    <comment ref="AD39" authorId="3">
      <text>
        <r>
          <rPr>
            <b/>
            <sz val="8"/>
            <color indexed="81"/>
            <rFont val="Tahoma"/>
            <family val="2"/>
          </rPr>
          <t>HH:</t>
        </r>
        <r>
          <rPr>
            <sz val="8"/>
            <color indexed="81"/>
            <rFont val="Tahoma"/>
            <family val="2"/>
          </rPr>
          <t xml:space="preserve">
4,470 as per 10K04. Res6tated in 2Q05-4,301</t>
        </r>
      </text>
    </comment>
    <comment ref="BF43" authorId="0">
      <text>
        <r>
          <rPr>
            <b/>
            <sz val="8"/>
            <color indexed="81"/>
            <rFont val="Tahoma"/>
            <family val="2"/>
          </rPr>
          <t>Nigel Coe:</t>
        </r>
        <r>
          <rPr>
            <sz val="8"/>
            <color indexed="81"/>
            <rFont val="Tahoma"/>
            <family val="2"/>
          </rPr>
          <t xml:space="preserve">
4c net restructuring in 3Q. </t>
        </r>
      </text>
    </comment>
    <comment ref="BT43" authorId="4">
      <text>
        <r>
          <rPr>
            <b/>
            <sz val="8"/>
            <color indexed="81"/>
            <rFont val="Tahoma"/>
            <family val="2"/>
          </rPr>
          <t>sang:</t>
        </r>
        <r>
          <rPr>
            <sz val="8"/>
            <color indexed="81"/>
            <rFont val="Tahoma"/>
            <family val="2"/>
          </rPr>
          <t xml:space="preserve">
epg - $150restructuring in 2Q.. All pull-forward</t>
        </r>
      </text>
    </comment>
    <comment ref="BW43" authorId="4">
      <text>
        <r>
          <rPr>
            <b/>
            <sz val="8"/>
            <color indexed="81"/>
            <rFont val="Tahoma"/>
            <family val="2"/>
          </rPr>
          <t>sang:</t>
        </r>
        <r>
          <rPr>
            <sz val="8"/>
            <color indexed="81"/>
            <rFont val="Tahoma"/>
            <family val="2"/>
          </rPr>
          <t xml:space="preserve">
500m per 3Q
increased to 620 to offset higher income from deferral of CMH deliveries</t>
        </r>
      </text>
    </comment>
    <comment ref="CB43" authorId="4">
      <text>
        <r>
          <rPr>
            <b/>
            <sz val="8"/>
            <color indexed="81"/>
            <rFont val="Tahoma"/>
            <family val="2"/>
          </rPr>
          <t>sang:</t>
        </r>
        <r>
          <rPr>
            <sz val="8"/>
            <color indexed="81"/>
            <rFont val="Tahoma"/>
            <family val="2"/>
          </rPr>
          <t xml:space="preserve">
12/13 analyst day - 300m offset by gains</t>
        </r>
      </text>
    </comment>
    <comment ref="CF43" authorId="6">
      <text>
        <r>
          <rPr>
            <b/>
            <sz val="9"/>
            <color indexed="81"/>
            <rFont val="Tahoma"/>
            <family val="2"/>
          </rPr>
          <t>Coe, Nigel (Research):</t>
        </r>
        <r>
          <rPr>
            <sz val="9"/>
            <color indexed="81"/>
            <rFont val="Tahoma"/>
            <family val="2"/>
          </rPr>
          <t xml:space="preserve">
We take up 4Q restructuring spending in order to offset benefit from share count reduction in 4Q</t>
        </r>
      </text>
    </comment>
    <comment ref="BT44" authorId="7">
      <text>
        <r>
          <rPr>
            <sz val="8"/>
            <color indexed="81"/>
            <rFont val="Tahoma"/>
            <family val="2"/>
          </rPr>
          <t xml:space="preserve">Includes gains from sale of Power Systems and F&amp;S businesses </t>
        </r>
      </text>
    </comment>
    <comment ref="BU44" authorId="4">
      <text>
        <r>
          <rPr>
            <b/>
            <sz val="8"/>
            <color indexed="81"/>
            <rFont val="Tahoma"/>
            <family val="2"/>
          </rPr>
          <t>sang:</t>
        </r>
        <r>
          <rPr>
            <sz val="8"/>
            <color indexed="81"/>
            <rFont val="Tahoma"/>
            <family val="2"/>
          </rPr>
          <t xml:space="preserve">
pratt charge $25m, no gains</t>
        </r>
      </text>
    </comment>
    <comment ref="BV44" authorId="4">
      <text>
        <r>
          <rPr>
            <b/>
            <sz val="8"/>
            <color indexed="81"/>
            <rFont val="Tahoma"/>
            <family val="2"/>
          </rPr>
          <t>sang:</t>
        </r>
        <r>
          <rPr>
            <sz val="8"/>
            <color indexed="81"/>
            <rFont val="Tahoma"/>
            <family val="2"/>
          </rPr>
          <t xml:space="preserve">
around 50-60 per 3q followup</t>
        </r>
      </text>
    </comment>
    <comment ref="BL54" authorId="7">
      <text>
        <r>
          <rPr>
            <sz val="8"/>
            <color indexed="81"/>
            <rFont val="Tahoma"/>
            <family val="2"/>
          </rPr>
          <t xml:space="preserve">Includes $89M related to the one-time settlement of US tax refund claims
(6c impact) </t>
        </r>
      </text>
    </comment>
    <comment ref="CL56" authorId="6">
      <text>
        <r>
          <rPr>
            <b/>
            <sz val="9"/>
            <color indexed="81"/>
            <rFont val="Tahoma"/>
            <family val="2"/>
          </rPr>
          <t>Coe, Nigel (Research):</t>
        </r>
        <r>
          <rPr>
            <sz val="9"/>
            <color indexed="81"/>
            <rFont val="Tahoma"/>
            <family val="2"/>
          </rPr>
          <t xml:space="preserve">
Placeholder gains offsetting restructuring actions</t>
        </r>
      </text>
    </comment>
    <comment ref="BT61" authorId="4">
      <text>
        <r>
          <rPr>
            <b/>
            <sz val="8"/>
            <color indexed="81"/>
            <rFont val="Tahoma"/>
            <family val="2"/>
          </rPr>
          <t>sang:</t>
        </r>
        <r>
          <rPr>
            <sz val="8"/>
            <color indexed="81"/>
            <rFont val="Tahoma"/>
            <family val="2"/>
          </rPr>
          <t xml:space="preserve">
36mn from non-recurring tax related benefit</t>
        </r>
      </text>
    </comment>
    <comment ref="BW61" authorId="4">
      <text>
        <r>
          <rPr>
            <b/>
            <sz val="8"/>
            <color indexed="81"/>
            <rFont val="Tahoma"/>
            <family val="2"/>
          </rPr>
          <t>sang:</t>
        </r>
        <r>
          <rPr>
            <sz val="8"/>
            <color indexed="81"/>
            <rFont val="Tahoma"/>
            <family val="2"/>
          </rPr>
          <t xml:space="preserve">
2Q - guidance for 950mn net ex gains</t>
        </r>
      </text>
    </comment>
    <comment ref="BY61" authorId="8">
      <text>
        <r>
          <rPr>
            <b/>
            <sz val="9"/>
            <color indexed="81"/>
            <rFont val="Tahoma"/>
            <family val="2"/>
          </rPr>
          <t>JZ:</t>
        </r>
        <r>
          <rPr>
            <sz val="9"/>
            <color indexed="81"/>
            <rFont val="Tahoma"/>
            <family val="2"/>
          </rPr>
          <t xml:space="preserve">
including $21m non-recurring items</t>
        </r>
      </text>
    </comment>
    <comment ref="BZ61" authorId="4">
      <text>
        <r>
          <rPr>
            <b/>
            <sz val="8"/>
            <color indexed="81"/>
            <rFont val="Tahoma"/>
            <family val="2"/>
          </rPr>
          <t>sang:</t>
        </r>
        <r>
          <rPr>
            <sz val="8"/>
            <color indexed="81"/>
            <rFont val="Tahoma"/>
            <family val="2"/>
          </rPr>
          <t xml:space="preserve">
23mn benefit in int expense from favorable irs adjustments</t>
        </r>
      </text>
    </comment>
    <comment ref="CB61" authorId="4">
      <text>
        <r>
          <rPr>
            <b/>
            <sz val="8"/>
            <color indexed="81"/>
            <rFont val="Tahoma"/>
            <family val="2"/>
          </rPr>
          <t>sang:</t>
        </r>
        <r>
          <rPr>
            <sz val="8"/>
            <color indexed="81"/>
            <rFont val="Tahoma"/>
            <family val="2"/>
          </rPr>
          <t xml:space="preserve">
analyst day - abt 915m net</t>
        </r>
      </text>
    </comment>
    <comment ref="Z65" authorId="2">
      <text>
        <r>
          <rPr>
            <b/>
            <sz val="8"/>
            <color indexed="81"/>
            <rFont val="Tahoma"/>
            <family val="2"/>
          </rPr>
          <t>Ramyar:</t>
        </r>
        <r>
          <rPr>
            <sz val="8"/>
            <color indexed="81"/>
            <rFont val="Tahoma"/>
            <family val="2"/>
          </rPr>
          <t xml:space="preserve">
10K04-245
1Q05-230</t>
        </r>
      </text>
    </comment>
    <comment ref="AA65" authorId="3">
      <text>
        <r>
          <rPr>
            <b/>
            <sz val="8"/>
            <color indexed="81"/>
            <rFont val="Tahoma"/>
            <family val="2"/>
          </rPr>
          <t>HH:</t>
        </r>
        <r>
          <rPr>
            <sz val="8"/>
            <color indexed="81"/>
            <rFont val="Tahoma"/>
            <family val="2"/>
          </rPr>
          <t xml:space="preserve">
10Q-261
2Q05-248</t>
        </r>
      </text>
    </comment>
    <comment ref="AB65" authorId="3">
      <text>
        <r>
          <rPr>
            <b/>
            <sz val="8"/>
            <color indexed="81"/>
            <rFont val="Tahoma"/>
            <family val="2"/>
          </rPr>
          <t>HH:</t>
        </r>
        <r>
          <rPr>
            <sz val="8"/>
            <color indexed="81"/>
            <rFont val="Tahoma"/>
            <family val="2"/>
          </rPr>
          <t xml:space="preserve">
10K04-304
2Q05-287</t>
        </r>
      </text>
    </comment>
    <comment ref="AC65" authorId="3">
      <text>
        <r>
          <rPr>
            <b/>
            <sz val="8"/>
            <color indexed="81"/>
            <rFont val="Tahoma"/>
            <family val="2"/>
          </rPr>
          <t>HH:</t>
        </r>
        <r>
          <rPr>
            <sz val="8"/>
            <color indexed="81"/>
            <rFont val="Tahoma"/>
            <family val="2"/>
          </rPr>
          <t xml:space="preserve">
320 as per 10K04.
266 as per 2Q05</t>
        </r>
      </text>
    </comment>
    <comment ref="AD65" authorId="3">
      <text>
        <r>
          <rPr>
            <b/>
            <sz val="8"/>
            <color indexed="81"/>
            <rFont val="Tahoma"/>
            <family val="2"/>
          </rPr>
          <t>HH:</t>
        </r>
        <r>
          <rPr>
            <sz val="8"/>
            <color indexed="81"/>
            <rFont val="Tahoma"/>
            <family val="2"/>
          </rPr>
          <t xml:space="preserve">
10K04-1,085
2Q05- 1,031</t>
        </r>
      </text>
    </comment>
    <comment ref="AK65" authorId="0">
      <text>
        <r>
          <rPr>
            <b/>
            <sz val="8"/>
            <color indexed="81"/>
            <rFont val="Tahoma"/>
            <family val="2"/>
          </rPr>
          <t>Nigel Coe:</t>
        </r>
        <r>
          <rPr>
            <sz val="8"/>
            <color indexed="81"/>
            <rFont val="Tahoma"/>
            <family val="2"/>
          </rPr>
          <t xml:space="preserve">
$100m of receipts from 93-99 tax audits</t>
        </r>
      </text>
    </comment>
    <comment ref="AO65" authorId="0">
      <text>
        <r>
          <rPr>
            <b/>
            <sz val="8"/>
            <color indexed="81"/>
            <rFont val="Tahoma"/>
            <family val="2"/>
          </rPr>
          <t>Nigel Coe:</t>
        </r>
        <r>
          <rPr>
            <sz val="8"/>
            <color indexed="81"/>
            <rFont val="Tahoma"/>
            <family val="2"/>
          </rPr>
          <t xml:space="preserve">
Excludes EU fine net of reserve from tax calculation</t>
        </r>
      </text>
    </comment>
    <comment ref="AW65" authorId="1">
      <text>
        <r>
          <rPr>
            <b/>
            <sz val="8"/>
            <color indexed="81"/>
            <rFont val="Tahoma"/>
            <family val="2"/>
          </rPr>
          <t>Authorised Company Employee:</t>
        </r>
        <r>
          <rPr>
            <sz val="8"/>
            <color indexed="81"/>
            <rFont val="Tahoma"/>
            <family val="2"/>
          </rPr>
          <t xml:space="preserve">
Includes $62m tax credit</t>
        </r>
      </text>
    </comment>
    <comment ref="AY65" authorId="1">
      <text>
        <r>
          <rPr>
            <b/>
            <sz val="8"/>
            <color indexed="81"/>
            <rFont val="Tahoma"/>
            <family val="2"/>
          </rPr>
          <t>Authorised Company Employee:</t>
        </r>
        <r>
          <rPr>
            <sz val="8"/>
            <color indexed="81"/>
            <rFont val="Tahoma"/>
            <family val="2"/>
          </rPr>
          <t xml:space="preserve">
Included 2c benefit from settlement</t>
        </r>
      </text>
    </comment>
    <comment ref="BF65" authorId="1">
      <text>
        <r>
          <rPr>
            <b/>
            <sz val="8"/>
            <color indexed="81"/>
            <rFont val="Tahoma"/>
            <family val="2"/>
          </rPr>
          <t>Authorised Company Employee:</t>
        </r>
        <r>
          <rPr>
            <sz val="8"/>
            <color indexed="81"/>
            <rFont val="Tahoma"/>
            <family val="2"/>
          </rPr>
          <t xml:space="preserve">
Other one-time items: Tax benefit of $102m. A 11c positive impact on EPS</t>
        </r>
      </text>
    </comment>
    <comment ref="BG65" authorId="0">
      <text>
        <r>
          <rPr>
            <b/>
            <sz val="8"/>
            <color indexed="81"/>
            <rFont val="Tahoma"/>
            <family val="2"/>
          </rPr>
          <t>Nigel Coe:</t>
        </r>
        <r>
          <rPr>
            <sz val="8"/>
            <color indexed="81"/>
            <rFont val="Tahoma"/>
            <family val="2"/>
          </rPr>
          <t xml:space="preserve">
Includes benefit from acceleration of foreign tax credits - probably worth around 4c benefit</t>
        </r>
      </text>
    </comment>
    <comment ref="BL65" authorId="7">
      <text>
        <r>
          <rPr>
            <sz val="8"/>
            <color indexed="81"/>
            <rFont val="Tahoma"/>
            <family val="2"/>
          </rPr>
          <t xml:space="preserve">$63M of favorable income tax adjustments related to the settlement of tax refund claims (7c impact) </t>
        </r>
      </text>
    </comment>
    <comment ref="BN65" authorId="7">
      <text>
        <r>
          <rPr>
            <sz val="8"/>
            <color indexed="81"/>
            <rFont val="Tahoma"/>
            <family val="2"/>
          </rPr>
          <t>$203M of favorable tax adjustments (related to the conclusion of an IRS examination)
22c impact</t>
        </r>
      </text>
    </comment>
    <comment ref="BP65" authorId="7">
      <text>
        <r>
          <rPr>
            <sz val="8"/>
            <color indexed="81"/>
            <rFont val="Tahoma"/>
            <family val="2"/>
          </rPr>
          <t>$34M of favorable income tax adjustments related to the resolution of disputes with the IRS
~3c impact</t>
        </r>
      </text>
    </comment>
    <comment ref="BS65" authorId="7">
      <text>
        <r>
          <rPr>
            <sz val="8"/>
            <color indexed="81"/>
            <rFont val="Tahoma"/>
            <family val="2"/>
          </rPr>
          <t>Includes $95m tax benefit from R&amp;D tax extenders</t>
        </r>
      </text>
    </comment>
    <comment ref="BT65" authorId="4">
      <text>
        <r>
          <rPr>
            <b/>
            <sz val="8"/>
            <color indexed="81"/>
            <rFont val="Tahoma"/>
            <family val="2"/>
          </rPr>
          <t>sang:</t>
        </r>
        <r>
          <rPr>
            <sz val="8"/>
            <color indexed="81"/>
            <rFont val="Tahoma"/>
            <family val="2"/>
          </rPr>
          <t xml:space="preserve">
22mn benefit from audit resolution.. Eff tax rate would have been 29.1%</t>
        </r>
      </text>
    </comment>
    <comment ref="BU65" authorId="4">
      <text>
        <r>
          <rPr>
            <b/>
            <sz val="8"/>
            <color indexed="81"/>
            <rFont val="Tahoma"/>
            <family val="2"/>
          </rPr>
          <t>sang:</t>
        </r>
        <r>
          <rPr>
            <sz val="8"/>
            <color indexed="81"/>
            <rFont val="Tahoma"/>
            <family val="2"/>
          </rPr>
          <t xml:space="preserve">
24mn tax benefit as a result of a UK tax rate reduction</t>
        </r>
      </text>
    </comment>
    <comment ref="BZ65" authorId="4">
      <text>
        <r>
          <rPr>
            <b/>
            <sz val="8"/>
            <color indexed="81"/>
            <rFont val="Tahoma"/>
            <family val="2"/>
          </rPr>
          <t>sang:</t>
        </r>
        <r>
          <rPr>
            <sz val="8"/>
            <color indexed="81"/>
            <rFont val="Tahoma"/>
            <family val="2"/>
          </rPr>
          <t xml:space="preserve">
118mn of favorable IRS adjustments</t>
        </r>
      </text>
    </comment>
    <comment ref="CJ65" authorId="8">
      <text>
        <r>
          <rPr>
            <b/>
            <sz val="9"/>
            <color indexed="81"/>
            <rFont val="Tahoma"/>
            <family val="2"/>
          </rPr>
          <t>JZ:</t>
        </r>
        <r>
          <rPr>
            <sz val="9"/>
            <color indexed="81"/>
            <rFont val="Tahoma"/>
            <family val="2"/>
          </rPr>
          <t xml:space="preserve">
Including $56m non-recurring tax benefits</t>
        </r>
      </text>
    </comment>
    <comment ref="BJ66" authorId="0">
      <text>
        <r>
          <rPr>
            <b/>
            <sz val="8"/>
            <color indexed="81"/>
            <rFont val="Tahoma"/>
            <family val="2"/>
          </rPr>
          <t>Nigel Coe:</t>
        </r>
        <r>
          <rPr>
            <sz val="8"/>
            <color indexed="81"/>
            <rFont val="Tahoma"/>
            <family val="2"/>
          </rPr>
          <t xml:space="preserve">
In line with guidance for 29% in 2Q</t>
        </r>
      </text>
    </comment>
    <comment ref="CA66" authorId="6">
      <text>
        <r>
          <rPr>
            <b/>
            <sz val="9"/>
            <color indexed="81"/>
            <rFont val="Tahoma"/>
            <family val="2"/>
          </rPr>
          <t>Coe, Nigel (Research):</t>
        </r>
        <r>
          <rPr>
            <sz val="9"/>
            <color indexed="81"/>
            <rFont val="Tahoma"/>
            <family val="2"/>
          </rPr>
          <t xml:space="preserve">
25c tax charge related to a German tax litigation contingency, partially offset by 10c   and 5c of other tax gains</t>
        </r>
      </text>
    </comment>
    <comment ref="CL66" authorId="8">
      <text>
        <r>
          <rPr>
            <b/>
            <sz val="9"/>
            <color indexed="81"/>
            <rFont val="Tahoma"/>
            <family val="2"/>
          </rPr>
          <t>JZ:</t>
        </r>
        <r>
          <rPr>
            <sz val="9"/>
            <color indexed="81"/>
            <rFont val="Tahoma"/>
            <family val="2"/>
          </rPr>
          <t xml:space="preserve">
~28% for the full year</t>
        </r>
      </text>
    </comment>
    <comment ref="CQ66" authorId="6">
      <text>
        <r>
          <rPr>
            <b/>
            <sz val="9"/>
            <color indexed="81"/>
            <rFont val="Tahoma"/>
            <family val="2"/>
          </rPr>
          <t>Coe, Nigel (Research):</t>
        </r>
        <r>
          <rPr>
            <sz val="9"/>
            <color indexed="81"/>
            <rFont val="Tahoma"/>
            <family val="2"/>
          </rPr>
          <t xml:space="preserve">
Guidance for 27%</t>
        </r>
      </text>
    </comment>
    <comment ref="AO68" authorId="0">
      <text>
        <r>
          <rPr>
            <b/>
            <sz val="8"/>
            <color indexed="81"/>
            <rFont val="Tahoma"/>
            <family val="2"/>
          </rPr>
          <t>Nigel Coe:</t>
        </r>
        <r>
          <rPr>
            <sz val="8"/>
            <color indexed="81"/>
            <rFont val="Tahoma"/>
            <family val="2"/>
          </rPr>
          <t xml:space="preserve">
Includes $27m charge related to land sale</t>
        </r>
      </text>
    </comment>
    <comment ref="CB68" authorId="4">
      <text>
        <r>
          <rPr>
            <b/>
            <sz val="8"/>
            <color indexed="81"/>
            <rFont val="Tahoma"/>
            <family val="2"/>
          </rPr>
          <t>sang:</t>
        </r>
        <r>
          <rPr>
            <sz val="8"/>
            <color indexed="81"/>
            <rFont val="Tahoma"/>
            <family val="2"/>
          </rPr>
          <t xml:space="preserve">
12/13 analyst day - little more than 400m</t>
        </r>
      </text>
    </comment>
    <comment ref="CF73" authorId="6">
      <text>
        <r>
          <rPr>
            <b/>
            <sz val="9"/>
            <color indexed="81"/>
            <rFont val="Tahoma"/>
            <family val="2"/>
          </rPr>
          <t>As per dec 15 guidance
Coe, Nigel (Research):</t>
        </r>
        <r>
          <rPr>
            <sz val="9"/>
            <color indexed="81"/>
            <rFont val="Tahoma"/>
            <family val="2"/>
          </rPr>
          <t xml:space="preserve">
Assume $1.6bn book value and $3bn tax payment</t>
        </r>
      </text>
    </comment>
    <comment ref="AA79" authorId="9">
      <text>
        <r>
          <rPr>
            <sz val="8"/>
            <color indexed="81"/>
            <rFont val="Tahoma"/>
            <family val="2"/>
          </rPr>
          <t>Favorable one-time item, in excess of restructuring cost: $0.07/share
Source: 8-K 2Q05</t>
        </r>
      </text>
    </comment>
    <comment ref="AC79" authorId="9">
      <text>
        <r>
          <rPr>
            <sz val="8"/>
            <color indexed="81"/>
            <rFont val="Tahoma"/>
            <family val="2"/>
          </rPr>
          <t xml:space="preserve">Restructuring costs: $0.11/share
Favorable Items: $0.07/share
Source: 8-K 4Q04
</t>
        </r>
      </text>
    </comment>
    <comment ref="AE79" authorId="9">
      <text>
        <r>
          <rPr>
            <sz val="8"/>
            <color indexed="81"/>
            <rFont val="Tahoma"/>
            <family val="2"/>
          </rPr>
          <t xml:space="preserve">Drag of $0.02/share from restructuring
Source: Call Transcript 1Q05
</t>
        </r>
      </text>
    </comment>
    <comment ref="AF79" authorId="9">
      <text>
        <r>
          <rPr>
            <sz val="8"/>
            <color indexed="81"/>
            <rFont val="Tahoma"/>
            <family val="2"/>
          </rPr>
          <t xml:space="preserve">One-time gains ($0.14/share) in excess of restructuring charge ($0.05/share): $0.09/share
Source: 8-K 2Q06
</t>
        </r>
      </text>
    </comment>
    <comment ref="AI79" authorId="9">
      <text>
        <r>
          <rPr>
            <sz val="8"/>
            <color indexed="81"/>
            <rFont val="Tahoma"/>
            <family val="2"/>
          </rPr>
          <t xml:space="preserve">For FY2005, favorable one-time items were offset by restructuring charges resulting in a net $0.02 adverse impact to EPS
</t>
        </r>
      </text>
    </comment>
    <comment ref="AJ79" authorId="9">
      <text>
        <r>
          <rPr>
            <sz val="8"/>
            <color indexed="81"/>
            <rFont val="Tahoma"/>
            <family val="2"/>
          </rPr>
          <t xml:space="preserve">Restructuring charges: $0.02/share
Non-recurring gain: $0.02/share
Source: 8-K 1Q07
</t>
        </r>
      </text>
    </comment>
    <comment ref="AK79" authorId="9">
      <text>
        <r>
          <rPr>
            <sz val="8"/>
            <color indexed="81"/>
            <rFont val="Tahoma"/>
            <family val="2"/>
          </rPr>
          <t xml:space="preserve">Gain in excess of restructuring charges, net of taxes: $0.07/share
Source: 8-K 2Q07
</t>
        </r>
      </text>
    </comment>
    <comment ref="AL79" authorId="9">
      <text>
        <r>
          <rPr>
            <sz val="8"/>
            <color indexed="81"/>
            <rFont val="Tahoma"/>
            <family val="2"/>
          </rPr>
          <t xml:space="preserve">Restructuring in excess of one-time gains, net of taxes: $0.02/share
Source: 8-K 3Q07
</t>
        </r>
      </text>
    </comment>
    <comment ref="AM79" authorId="9">
      <text>
        <r>
          <rPr>
            <sz val="8"/>
            <color indexed="81"/>
            <rFont val="Tahoma"/>
            <family val="2"/>
          </rPr>
          <t xml:space="preserve">Restructuring in excess of one-time gains, net of taxes: $0.05/share
Source: 8-K 4Q07
</t>
        </r>
      </text>
    </comment>
    <comment ref="AO79" authorId="9">
      <text>
        <r>
          <rPr>
            <sz val="8"/>
            <color indexed="81"/>
            <rFont val="Tahoma"/>
            <family val="2"/>
          </rPr>
          <t xml:space="preserve">$0.07/share, net of taxes ($0.02/share related to restructuring and $0.05/share related to non-recurring items)
EU Commission civil fine: $0.20/share
Restructuring charge: $0.02/share
Other non-recurring items: $0.15/share
Source: 8-K 1Q08 &amp; 1Q07
</t>
        </r>
      </text>
    </comment>
    <comment ref="AP79" authorId="9">
      <text>
        <r>
          <rPr>
            <sz val="8"/>
            <color indexed="81"/>
            <rFont val="Tahoma"/>
            <family val="2"/>
          </rPr>
          <t xml:space="preserve">$0.02/share restructuring charges, net of taxes
Source: 8-K 2Q08
</t>
        </r>
      </text>
    </comment>
    <comment ref="AQ79" authorId="9">
      <text>
        <r>
          <rPr>
            <sz val="8"/>
            <color indexed="81"/>
            <rFont val="Tahoma"/>
            <family val="2"/>
          </rPr>
          <t>One-time gain in excess of restructuring charges,net of taxes: $0.04/share
Source: 8-K 3Q08</t>
        </r>
      </text>
    </comment>
    <comment ref="AR79" authorId="9">
      <text>
        <r>
          <rPr>
            <sz val="8"/>
            <color indexed="81"/>
            <rFont val="Tahoma"/>
            <family val="2"/>
          </rPr>
          <t xml:space="preserve">Restructuring charge in excess of one-time gain, net of taxes: $0.04/share
Source: 8-K 4Q08
</t>
        </r>
      </text>
    </comment>
    <comment ref="AT79" authorId="9">
      <text>
        <r>
          <rPr>
            <sz val="8"/>
            <color indexed="81"/>
            <rFont val="Tahoma"/>
            <family val="2"/>
          </rPr>
          <t xml:space="preserve">$0.02/share restructuring cost net of taxes
Source: 8-K 1Q09
</t>
        </r>
      </text>
    </comment>
    <comment ref="AU79" authorId="9">
      <text>
        <r>
          <rPr>
            <sz val="8"/>
            <color indexed="81"/>
            <rFont val="Tahoma"/>
            <family val="2"/>
          </rPr>
          <t xml:space="preserve">$0.06/share restructuring cost net of taxes
Source: 8-K 2Q09
</t>
        </r>
      </text>
    </comment>
    <comment ref="AV79" authorId="9">
      <text>
        <r>
          <rPr>
            <sz val="8"/>
            <color indexed="81"/>
            <rFont val="Tahoma"/>
            <family val="2"/>
          </rPr>
          <t xml:space="preserve">$0.03/share restructuring cost net of gains, net of taxes
Source: 8-K 3Q09
</t>
        </r>
      </text>
    </comment>
    <comment ref="AW79" authorId="9">
      <text>
        <r>
          <rPr>
            <sz val="8"/>
            <color indexed="81"/>
            <rFont val="Tahoma"/>
            <family val="2"/>
          </rPr>
          <t xml:space="preserve">Net benefit of $0.06/share from one-time gains in excess of restructuring costs:
Source: 8-K 4Q09
</t>
        </r>
      </text>
    </comment>
    <comment ref="AY79" authorId="9">
      <text>
        <r>
          <rPr>
            <sz val="8"/>
            <color indexed="81"/>
            <rFont val="Tahoma"/>
            <family val="2"/>
          </rPr>
          <t xml:space="preserve">$0.09/share restructuring cost net of a one-time tax benefit
Source: 8-K 1Q10
</t>
        </r>
      </text>
    </comment>
    <comment ref="AZ79" authorId="9">
      <text>
        <r>
          <rPr>
            <sz val="8"/>
            <color indexed="81"/>
            <rFont val="Tahoma"/>
            <family val="2"/>
          </rPr>
          <t xml:space="preserve">$0.16/share of restructuring charge and non-recurring items, net of tax
Source: 8-K 2Q10
</t>
        </r>
      </text>
    </comment>
    <comment ref="BA79" authorId="9">
      <text>
        <r>
          <rPr>
            <sz val="8"/>
            <color indexed="81"/>
            <rFont val="Tahoma"/>
            <family val="2"/>
          </rPr>
          <t xml:space="preserve">$0.13/share of restructuring charge and non-recurring items, net of tax
Source: 8-K 3Q10
</t>
        </r>
      </text>
    </comment>
    <comment ref="BB79" authorId="9">
      <text>
        <r>
          <rPr>
            <sz val="8"/>
            <color indexed="81"/>
            <rFont val="Tahoma"/>
            <family val="2"/>
          </rPr>
          <t xml:space="preserve">$0.08/share of restructuring charge and non-recurring items, net of tax
Source: 8-K 4Q10
</t>
        </r>
      </text>
    </comment>
    <comment ref="BD79" authorId="9">
      <text>
        <r>
          <rPr>
            <sz val="8"/>
            <color indexed="81"/>
            <rFont val="Tahoma"/>
            <family val="2"/>
          </rPr>
          <t xml:space="preserve">1. Restructuring charge: $67 mn
2. Tax effect of restructuring charge: $22 mn
Source: 8-K 1Q11
</t>
        </r>
      </text>
    </comment>
    <comment ref="BE79" authorId="9">
      <text>
        <r>
          <rPr>
            <sz val="8"/>
            <color indexed="81"/>
            <rFont val="Tahoma"/>
            <family val="2"/>
          </rPr>
          <t xml:space="preserve">1. Restructuring charges: $85 mn
2. Non-recurring losses: $51 mn
3. Tax effect of restructuring and non-recurring losses: $25 mn
Source: 8-K 2Q11
</t>
        </r>
      </text>
    </comment>
    <comment ref="BF79" authorId="9">
      <text>
        <r>
          <rPr>
            <sz val="8"/>
            <color indexed="81"/>
            <rFont val="Tahoma"/>
            <family val="2"/>
          </rPr>
          <t xml:space="preserve">1. Restructuring charge: $58 mn
2. Non-recurring losses: $135 mn
3. Tax effect of above items: $9 mn
4. Non-recurring income tax: $102 mn
Source: 8-K 3Q11
</t>
        </r>
      </text>
    </comment>
    <comment ref="BG79" authorId="9">
      <text>
        <r>
          <rPr>
            <sz val="8"/>
            <color indexed="81"/>
            <rFont val="Tahoma"/>
            <family val="2"/>
          </rPr>
          <t>1. Restructuring charge: $233 mn
2. Non-recurring items: $39 mn
3. Tax effect of above items: $72 mn
4. Non-recurring income tax: $93 mn
Source: 8-K 4Q11</t>
        </r>
      </text>
    </comment>
    <comment ref="BI79" authorId="9">
      <text>
        <r>
          <rPr>
            <sz val="8"/>
            <color indexed="81"/>
            <rFont val="Tahoma"/>
            <family val="2"/>
          </rPr>
          <t xml:space="preserve">1. Restructuring charge: $30 mn
2. Tax effect of restructuring charge: $10 mn
Source: 8-K 1Q12
</t>
        </r>
      </text>
    </comment>
    <comment ref="BJ79" authorId="9">
      <text>
        <r>
          <rPr>
            <sz val="8"/>
            <color indexed="81"/>
            <rFont val="Tahoma"/>
            <family val="2"/>
          </rPr>
          <t xml:space="preserve">1. Restructuring charge: $57 mn
2. Sikorsky: $73 mn (gain recognized from the contribution of a business into a new venture in the United Arab Emirates)
3. Tax effect on restructuring and above mentioned non-recurring items: $8 mn
Source: 8-K 2Q12
</t>
        </r>
      </text>
    </comment>
    <comment ref="BK79" authorId="9">
      <text>
        <r>
          <rPr>
            <sz val="8"/>
            <color indexed="81"/>
            <rFont val="Tahoma"/>
            <family val="2"/>
          </rPr>
          <t xml:space="preserve">1. Restructuring charge: $80 mn
2. UTC Climate &amp; Controls: $8 mn
Approximately $28 million net gain resulting from dispositions associated with UTC Climate, Controls &amp; Security’s ongoing portfolio transformation. Approximately $20 million other-than-temporary impairment charge on an equity investment. 
3. Pratt &amp; Whitney: $41 mn (Gain recognized from the sale of equity investment)
4. Tax effect of restructuring and non-recurring items: $4 mn
5. Favorable tax benefit as a result of UK tax rate reduction enacted in July 2011: $17 mn
Source: 8-K 3Q12
</t>
        </r>
      </text>
    </comment>
    <comment ref="BL79" authorId="9">
      <text>
        <r>
          <rPr>
            <sz val="8"/>
            <color indexed="81"/>
            <rFont val="Tahoma"/>
            <family val="2"/>
          </rPr>
          <t>1. Restructuring charge: $148 mn
2. UTC Climate Controls &amp; Security: $35 mn
(Approximately $81 million net gain resulting from Carrier’s ongoing portfolio transformation primarily as a result of the contribution of Carrier’s heating, air-conditioning, and ventilation operations in Brazil, Argentina, and Chile into a new venture controlled by Midea Group of China. Approximately $46 million other-than-temporary impairment charge on an equity investment)
3. Eliminations and Others: $45 mn (Reserves established for legal matters)
4. Favorable pre-tax interest adjustment related to settlement of US federal income tax refund claims for years prior to 2004: $89 mn
5. Tax effect of restructuring and non-recurring items: $17 mn
6. Favorable pre-tax interest adjustment related to settlement of US federal income tax refund claims for years prior to 2004: $63 mn
Source: 8-K 4Q12</t>
        </r>
      </text>
    </comment>
    <comment ref="BN79" authorId="9">
      <text>
        <r>
          <rPr>
            <sz val="8"/>
            <color indexed="81"/>
            <rFont val="Tahoma"/>
            <family val="2"/>
          </rPr>
          <t xml:space="preserve">1. Restructuring charge: $111 mn
2. Non-recurring item: 
UTC Climate, Controls &amp; Security: $112 mn
(This includes approximately $215 million from the sale of a controlling interest in a manufacturing and distribution joint venture in Asia, partially offset by $103 million of impairment charges related to planned business dispositions)
Eliminations and Others: $10 mn (Reserve established for export licensing compliance matters)
3. Pre tax interest adjustment related to conclusion of IRS examination included in interest expense: $15 mn
4. Tax effect of restructuring and above mentioned non-recurring items: $23 mn
5. Favorable income tax adjustment related to conclusion of IRS examination: $203 mn
Source: 8-K 1Q12
</t>
        </r>
      </text>
    </comment>
    <comment ref="BO79" authorId="9">
      <text>
        <r>
          <rPr>
            <sz val="8"/>
            <color indexed="81"/>
            <rFont val="Tahoma"/>
            <family val="2"/>
          </rPr>
          <t xml:space="preserve">1. Restructuring charge: $93 mn
2. UTC Climate, Controls &amp; Security: $110 mn
(This includes approximately $142 million from the sale of a controlling interest in its Canadian distribution business, partially offset by a $32 million loss on the disposition of its U.S. fire and security branch operations.)
3. Tax effect of restructuring and non-recurring items: $19 mn
Source: 8-K 2Q12
</t>
        </r>
      </text>
    </comment>
    <comment ref="BP79" authorId="9">
      <text>
        <r>
          <rPr>
            <sz val="8"/>
            <color indexed="81"/>
            <rFont val="Tahoma"/>
            <family val="2"/>
          </rPr>
          <t>1. Restructuring charge: $128 mn
2. Eliminations and Others: $34 mn (Non-cash gain recognized on the remeasurement to fair value of previously held shares of Goodrich Corporation stock resulting from acquisition of the company)
3. Favorable Pre-tax interest adjustment related to resolution of disputes with the Appeals division of IRS included in interest expense: $25 mn
4. Tax effect of restructuring and non-recurring item: $34 mn
5. Favorable Pre-tax interest adjustment related to resolution of disputes with the Appeals division of IRS included in income tax expense: $34 mn
Source: 8-K 3Q12</t>
        </r>
      </text>
    </comment>
    <comment ref="BQ79" authorId="9">
      <text>
        <r>
          <rPr>
            <sz val="8"/>
            <color indexed="81"/>
            <rFont val="Tahoma"/>
            <family val="2"/>
          </rPr>
          <t xml:space="preserve">1. Restructuring charge: $258 mn
2. UTC Climate, Controls &amp; Security: $65 mn
(This net charge includes approximately $24 million of pension settlement charges related to the sale of a controlling interest in its Canadian distribution business and $39 million of impairment charges related to the planned disposition of certain fire and security businesses.)
3. Tax impact of restructuring and non-recurring items: $92 mn
Source: 8-K 4Q12
</t>
        </r>
      </text>
    </comment>
    <comment ref="BW79" authorId="4">
      <text>
        <r>
          <rPr>
            <b/>
            <sz val="8"/>
            <color indexed="81"/>
            <rFont val="Tahoma"/>
            <family val="2"/>
          </rPr>
          <t>sang:</t>
        </r>
        <r>
          <rPr>
            <sz val="8"/>
            <color indexed="81"/>
            <rFont val="Tahoma"/>
            <family val="2"/>
          </rPr>
          <t xml:space="preserve">
net neutral per 3q earnings</t>
        </r>
      </text>
    </comment>
    <comment ref="BZ79" authorId="4">
      <text>
        <r>
          <rPr>
            <b/>
            <sz val="8"/>
            <color indexed="81"/>
            <rFont val="Tahoma"/>
            <family val="2"/>
          </rPr>
          <t>sang:</t>
        </r>
        <r>
          <rPr>
            <sz val="8"/>
            <color indexed="81"/>
            <rFont val="Tahoma"/>
            <family val="2"/>
          </rPr>
          <t xml:space="preserve">
63mn in restructuring,
113mn in nonrecurring gains in segments
23mn in int expense
123mn in taxes</t>
        </r>
      </text>
    </comment>
    <comment ref="CF79" authorId="6">
      <text>
        <r>
          <rPr>
            <b/>
            <sz val="9"/>
            <color indexed="81"/>
            <rFont val="Tahoma"/>
            <family val="2"/>
          </rPr>
          <t>Coe, Nigel (Research):</t>
        </r>
        <r>
          <rPr>
            <sz val="9"/>
            <color indexed="81"/>
            <rFont val="Tahoma"/>
            <family val="2"/>
          </rPr>
          <t xml:space="preserve">
Adjust Canadian charge into headline EPS</t>
        </r>
      </text>
    </comment>
    <comment ref="CB83" authorId="8">
      <text>
        <r>
          <rPr>
            <b/>
            <sz val="9"/>
            <color indexed="81"/>
            <rFont val="Tahoma"/>
            <family val="2"/>
          </rPr>
          <t>2Q14</t>
        </r>
        <r>
          <rPr>
            <sz val="9"/>
            <color indexed="81"/>
            <rFont val="Tahoma"/>
            <family val="2"/>
          </rPr>
          <t xml:space="preserve">
$6.75-6.85</t>
        </r>
      </text>
    </comment>
    <comment ref="CD83" authorId="8">
      <text>
        <r>
          <rPr>
            <b/>
            <sz val="9"/>
            <color indexed="81"/>
            <rFont val="Tahoma"/>
            <family val="2"/>
          </rPr>
          <t>Jun 15:</t>
        </r>
        <r>
          <rPr>
            <sz val="9"/>
            <color indexed="81"/>
            <rFont val="Tahoma"/>
            <family val="2"/>
          </rPr>
          <t xml:space="preserve">
Mgmt guided towards the low-end of $1.70-1.75 implied range</t>
        </r>
      </text>
    </comment>
    <comment ref="CG83" authorId="8">
      <text>
        <r>
          <rPr>
            <b/>
            <sz val="9"/>
            <color indexed="81"/>
            <rFont val="Tahoma"/>
            <family val="2"/>
          </rPr>
          <t>Dec 2016</t>
        </r>
        <r>
          <rPr>
            <sz val="9"/>
            <color indexed="81"/>
            <rFont val="Tahoma"/>
            <family val="2"/>
          </rPr>
          <t xml:space="preserve">
$6.20-6.30, tracking towards the HE if the tax extender is passed</t>
        </r>
        <r>
          <rPr>
            <b/>
            <sz val="9"/>
            <color indexed="81"/>
            <rFont val="Tahoma"/>
            <family val="2"/>
          </rPr>
          <t xml:space="preserve">
2Q15
$6.15-6.30
$6.45-6.60 including Sikorsky
June 2014</t>
        </r>
        <r>
          <rPr>
            <sz val="9"/>
            <color indexed="81"/>
            <rFont val="Tahoma"/>
            <family val="2"/>
          </rPr>
          <t xml:space="preserve">
$6.55-6.85 guidance, with 10-20c special costs and 10c downward revision to Sikorsky. 
Ex. Sikorsky, proforma EPS expected to be $6.35-6.55, unchanged</t>
        </r>
        <r>
          <rPr>
            <b/>
            <sz val="9"/>
            <color indexed="81"/>
            <rFont val="Tahoma"/>
            <family val="2"/>
          </rPr>
          <t xml:space="preserve">
4Q14
$6.85-7.05
JZ:</t>
        </r>
        <r>
          <rPr>
            <sz val="9"/>
            <color indexed="81"/>
            <rFont val="Tahoma"/>
            <family val="2"/>
          </rPr>
          <t xml:space="preserve">
$7-7.20</t>
        </r>
      </text>
    </comment>
    <comment ref="CH83" authorId="8">
      <text>
        <r>
          <rPr>
            <b/>
            <sz val="9"/>
            <color indexed="81"/>
            <rFont val="Tahoma"/>
            <family val="2"/>
          </rPr>
          <t>JZ:</t>
        </r>
        <r>
          <rPr>
            <sz val="9"/>
            <color indexed="81"/>
            <rFont val="Tahoma"/>
            <family val="2"/>
          </rPr>
          <t xml:space="preserve">
$1.35-1.40</t>
        </r>
      </text>
    </comment>
    <comment ref="CL83" authorId="8">
      <text>
        <r>
          <rPr>
            <b/>
            <sz val="9"/>
            <color indexed="81"/>
            <rFont val="Tahoma"/>
            <family val="2"/>
          </rPr>
          <t xml:space="preserve">3Q16
</t>
        </r>
        <r>
          <rPr>
            <sz val="9"/>
            <color indexed="81"/>
            <rFont val="Tahoma"/>
            <family val="2"/>
          </rPr>
          <t>$6.55-6.60</t>
        </r>
        <r>
          <rPr>
            <b/>
            <sz val="9"/>
            <color indexed="81"/>
            <rFont val="Tahoma"/>
            <family val="2"/>
          </rPr>
          <t xml:space="preserve">
JZ:</t>
        </r>
        <r>
          <rPr>
            <sz val="9"/>
            <color indexed="81"/>
            <rFont val="Tahoma"/>
            <family val="2"/>
          </rPr>
          <t xml:space="preserve">
$6.30-6.60</t>
        </r>
      </text>
    </comment>
    <comment ref="CM83" authorId="10">
      <text>
        <r>
          <rPr>
            <b/>
            <sz val="9"/>
            <color indexed="81"/>
            <rFont val="Tahoma"/>
            <family val="2"/>
          </rPr>
          <t>Morales, Jonathan (Research):</t>
        </r>
        <r>
          <rPr>
            <sz val="9"/>
            <color indexed="81"/>
            <rFont val="Tahoma"/>
            <family val="2"/>
          </rPr>
          <t xml:space="preserve">
$1.35-$1.40</t>
        </r>
      </text>
    </comment>
    <comment ref="CQ83" authorId="8">
      <text>
        <r>
          <rPr>
            <b/>
            <sz val="9"/>
            <color indexed="81"/>
            <rFont val="Tahoma"/>
            <family val="2"/>
          </rPr>
          <t>3Q17
$6.58-6.63
JZ:</t>
        </r>
        <r>
          <rPr>
            <sz val="9"/>
            <color indexed="81"/>
            <rFont val="Tahoma"/>
            <family val="2"/>
          </rPr>
          <t xml:space="preserve">
$6.30-6.60</t>
        </r>
      </text>
    </comment>
    <comment ref="CR83" authorId="10">
      <text>
        <r>
          <rPr>
            <b/>
            <sz val="9"/>
            <color indexed="81"/>
            <rFont val="Tahoma"/>
            <family val="2"/>
          </rPr>
          <t>Morales, Jonathan (Research):</t>
        </r>
        <r>
          <rPr>
            <sz val="9"/>
            <color indexed="81"/>
            <rFont val="Tahoma"/>
            <family val="2"/>
          </rPr>
          <t xml:space="preserve">
$1.35-$1.40</t>
        </r>
      </text>
    </comment>
    <comment ref="Z97" authorId="3">
      <text>
        <r>
          <rPr>
            <b/>
            <sz val="8"/>
            <color indexed="81"/>
            <rFont val="Tahoma"/>
            <family val="2"/>
          </rPr>
          <t>HH:</t>
        </r>
        <r>
          <rPr>
            <sz val="8"/>
            <color indexed="81"/>
            <rFont val="Tahoma"/>
            <family val="2"/>
          </rPr>
          <t xml:space="preserve">
10Q-498
</t>
        </r>
      </text>
    </comment>
    <comment ref="AB97" authorId="3">
      <text>
        <r>
          <rPr>
            <b/>
            <sz val="8"/>
            <color indexed="81"/>
            <rFont val="Tahoma"/>
            <family val="2"/>
          </rPr>
          <t>HH:</t>
        </r>
        <r>
          <rPr>
            <sz val="8"/>
            <color indexed="81"/>
            <rFont val="Tahoma"/>
            <family val="2"/>
          </rPr>
          <t xml:space="preserve">
10K-496</t>
        </r>
      </text>
    </comment>
    <comment ref="AD97" authorId="3">
      <text>
        <r>
          <rPr>
            <b/>
            <sz val="8"/>
            <color indexed="81"/>
            <rFont val="Tahoma"/>
            <family val="2"/>
          </rPr>
          <t>HH:</t>
        </r>
        <r>
          <rPr>
            <sz val="8"/>
            <color indexed="81"/>
            <rFont val="Tahoma"/>
            <family val="2"/>
          </rPr>
          <t xml:space="preserve">
10K-496</t>
        </r>
      </text>
    </comment>
    <comment ref="AE97" authorId="3">
      <text>
        <r>
          <rPr>
            <b/>
            <sz val="8"/>
            <color indexed="81"/>
            <rFont val="Tahoma"/>
            <family val="2"/>
          </rPr>
          <t>HH:</t>
        </r>
        <r>
          <rPr>
            <sz val="8"/>
            <color indexed="81"/>
            <rFont val="Tahoma"/>
            <family val="2"/>
          </rPr>
          <t xml:space="preserve">
10Q-496
</t>
        </r>
      </text>
    </comment>
    <comment ref="CH98" authorId="8">
      <text>
        <r>
          <rPr>
            <b/>
            <sz val="9"/>
            <color indexed="81"/>
            <rFont val="Tahoma"/>
            <family val="2"/>
          </rPr>
          <t>JZ:</t>
        </r>
        <r>
          <rPr>
            <sz val="9"/>
            <color indexed="81"/>
            <rFont val="Tahoma"/>
            <family val="2"/>
          </rPr>
          <t xml:space="preserve">
As per 10K, 2015 average</t>
        </r>
      </text>
    </comment>
    <comment ref="Z99" authorId="3">
      <text>
        <r>
          <rPr>
            <b/>
            <sz val="8"/>
            <color indexed="81"/>
            <rFont val="Tahoma"/>
            <family val="2"/>
          </rPr>
          <t>HH:</t>
        </r>
        <r>
          <rPr>
            <sz val="8"/>
            <color indexed="81"/>
            <rFont val="Tahoma"/>
            <family val="2"/>
          </rPr>
          <t xml:space="preserve">
10Q-508</t>
        </r>
      </text>
    </comment>
    <comment ref="AB99" authorId="3">
      <text>
        <r>
          <rPr>
            <b/>
            <sz val="8"/>
            <color indexed="81"/>
            <rFont val="Tahoma"/>
            <family val="2"/>
          </rPr>
          <t>HH:</t>
        </r>
        <r>
          <rPr>
            <sz val="8"/>
            <color indexed="81"/>
            <rFont val="Tahoma"/>
            <family val="2"/>
          </rPr>
          <t xml:space="preserve">
10Q-505</t>
        </r>
      </text>
    </comment>
    <comment ref="AD99" authorId="3">
      <text>
        <r>
          <rPr>
            <b/>
            <sz val="8"/>
            <color indexed="81"/>
            <rFont val="Tahoma"/>
            <family val="2"/>
          </rPr>
          <t>HH:</t>
        </r>
        <r>
          <rPr>
            <sz val="8"/>
            <color indexed="81"/>
            <rFont val="Tahoma"/>
            <family val="2"/>
          </rPr>
          <t xml:space="preserve">
10K-505</t>
        </r>
      </text>
    </comment>
    <comment ref="AE99" authorId="3">
      <text>
        <r>
          <rPr>
            <b/>
            <sz val="8"/>
            <color indexed="81"/>
            <rFont val="Tahoma"/>
            <family val="2"/>
          </rPr>
          <t>HH:</t>
        </r>
        <r>
          <rPr>
            <sz val="8"/>
            <color indexed="81"/>
            <rFont val="Tahoma"/>
            <family val="2"/>
          </rPr>
          <t xml:space="preserve">
1Q05-508
</t>
        </r>
      </text>
    </comment>
    <comment ref="BV99" authorId="4">
      <text>
        <r>
          <rPr>
            <b/>
            <sz val="8"/>
            <color indexed="81"/>
            <rFont val="Tahoma"/>
            <family val="2"/>
          </rPr>
          <t>sang:</t>
        </r>
        <r>
          <rPr>
            <sz val="8"/>
            <color indexed="81"/>
            <rFont val="Tahoma"/>
            <family val="2"/>
          </rPr>
          <t xml:space="preserve">
should drift up slightly in 4q</t>
        </r>
      </text>
    </comment>
    <comment ref="BW99" authorId="7">
      <text>
        <r>
          <rPr>
            <sz val="8"/>
            <color indexed="81"/>
            <rFont val="Tahoma"/>
            <family val="2"/>
          </rPr>
          <t>915</t>
        </r>
      </text>
    </comment>
  </commentList>
</comments>
</file>

<file path=xl/comments3.xml><?xml version="1.0" encoding="utf-8"?>
<comments xmlns="http://schemas.openxmlformats.org/spreadsheetml/2006/main">
  <authors>
    <author>JZ</author>
    <author>shahviv</author>
    <author>HH</author>
    <author>patepj-a</author>
    <author>Nigel Coe</author>
    <author>makam</author>
    <author>sang</author>
    <author>Ramyar</author>
    <author>Jayamin</author>
    <author>Authorised Company Employee</author>
    <author>milip</author>
    <author>Coe, Nigel (Research)</author>
    <author>Morales, Jonathan (Research)</author>
    <author>Amba</author>
  </authors>
  <commentList>
    <comment ref="BM13" authorId="0">
      <text>
        <r>
          <rPr>
            <b/>
            <sz val="9"/>
            <color indexed="81"/>
            <rFont val="Tahoma"/>
            <family val="2"/>
          </rPr>
          <t>JZ:</t>
        </r>
        <r>
          <rPr>
            <sz val="9"/>
            <color indexed="81"/>
            <rFont val="Tahoma"/>
            <family val="2"/>
          </rPr>
          <t xml:space="preserve">
the majority will be over-seas</t>
        </r>
      </text>
    </comment>
    <comment ref="BB14" authorId="1">
      <text>
        <r>
          <rPr>
            <sz val="8"/>
            <color indexed="81"/>
            <rFont val="Tahoma"/>
            <family val="2"/>
          </rPr>
          <t xml:space="preserve">Restricted cash
</t>
        </r>
      </text>
    </comment>
    <comment ref="Q16" authorId="2">
      <text>
        <r>
          <rPr>
            <b/>
            <sz val="8"/>
            <color indexed="81"/>
            <rFont val="Tahoma"/>
            <family val="2"/>
          </rPr>
          <t>HH:</t>
        </r>
        <r>
          <rPr>
            <sz val="8"/>
            <color indexed="81"/>
            <rFont val="Tahoma"/>
            <family val="2"/>
          </rPr>
          <t xml:space="preserve">
10k04-5006
2q05-5078</t>
        </r>
      </text>
    </comment>
    <comment ref="Q17" authorId="3">
      <text>
        <r>
          <rPr>
            <b/>
            <sz val="8"/>
            <color indexed="81"/>
            <rFont val="Tahoma"/>
            <family val="2"/>
          </rPr>
          <t xml:space="preserve">AMBA
</t>
        </r>
        <r>
          <rPr>
            <sz val="8"/>
            <color indexed="81"/>
            <rFont val="Tahoma"/>
            <family val="2"/>
          </rPr>
          <t>3q05 classifies this as future income tax benefits</t>
        </r>
        <r>
          <rPr>
            <sz val="8"/>
            <color indexed="81"/>
            <rFont val="Tahoma"/>
            <family val="2"/>
          </rPr>
          <t xml:space="preserve">
</t>
        </r>
      </text>
    </comment>
    <comment ref="AB17" authorId="4">
      <text>
        <r>
          <rPr>
            <b/>
            <sz val="8"/>
            <color indexed="81"/>
            <rFont val="Tahoma"/>
            <family val="2"/>
          </rPr>
          <t>Nigel Coe:</t>
        </r>
        <r>
          <rPr>
            <sz val="8"/>
            <color indexed="81"/>
            <rFont val="Tahoma"/>
            <family val="2"/>
          </rPr>
          <t xml:space="preserve">
Payment of advance deferred taxes to Canadian government</t>
        </r>
      </text>
    </comment>
    <comment ref="BA18" authorId="1">
      <text>
        <r>
          <rPr>
            <sz val="8"/>
            <color indexed="81"/>
            <rFont val="Tahoma"/>
            <family val="2"/>
          </rPr>
          <t xml:space="preserve">Includes assets of discontinued operations of $1941 mn
</t>
        </r>
      </text>
    </comment>
    <comment ref="BB18" authorId="1">
      <text>
        <r>
          <rPr>
            <sz val="8"/>
            <color indexed="81"/>
            <rFont val="Tahoma"/>
            <family val="2"/>
          </rPr>
          <t xml:space="preserve">Includes:
Assets of discontinued operations: $1,989 mn
Other assets: $755 mn
</t>
        </r>
      </text>
    </comment>
    <comment ref="BD18" authorId="5">
      <text>
        <r>
          <rPr>
            <sz val="8"/>
            <color indexed="81"/>
            <rFont val="Tahoma"/>
            <family val="2"/>
          </rPr>
          <t>Includes:
Assets held for sale: $1071
Other assets, current: $1,473</t>
        </r>
      </text>
    </comment>
    <comment ref="BG18" authorId="6">
      <text>
        <r>
          <rPr>
            <b/>
            <sz val="8"/>
            <color indexed="81"/>
            <rFont val="Tahoma"/>
            <family val="2"/>
          </rPr>
          <t>sang:</t>
        </r>
        <r>
          <rPr>
            <sz val="8"/>
            <color indexed="81"/>
            <rFont val="Tahoma"/>
            <family val="2"/>
          </rPr>
          <t xml:space="preserve">
decline due to lower assets HFS</t>
        </r>
      </text>
    </comment>
    <comment ref="Q24" authorId="7">
      <text>
        <r>
          <rPr>
            <b/>
            <sz val="8"/>
            <color indexed="81"/>
            <rFont val="Tahoma"/>
            <family val="2"/>
          </rPr>
          <t>Ramyar:</t>
        </r>
        <r>
          <rPr>
            <sz val="8"/>
            <color indexed="81"/>
            <rFont val="Tahoma"/>
            <family val="2"/>
          </rPr>
          <t xml:space="preserve">
restated in 1Q05 to 1,382 from 1,124</t>
        </r>
      </text>
    </comment>
    <comment ref="T27" authorId="3">
      <text>
        <r>
          <rPr>
            <b/>
            <sz val="8"/>
            <color indexed="81"/>
            <rFont val="Tahoma"/>
            <family val="2"/>
          </rPr>
          <t>amba:</t>
        </r>
        <r>
          <rPr>
            <sz val="8"/>
            <color indexed="81"/>
            <rFont val="Tahoma"/>
            <family val="2"/>
          </rPr>
          <t xml:space="preserve">
Intangible assets + customer financing assets.(same classification as 2004)</t>
        </r>
      </text>
    </comment>
    <comment ref="BD27" authorId="5">
      <text>
        <r>
          <rPr>
            <sz val="8"/>
            <color indexed="81"/>
            <rFont val="Tahoma"/>
            <family val="2"/>
          </rPr>
          <t>Includes:
Customer financing assets: $1,150 mn
Intangible assets: $15,189 mn</t>
        </r>
      </text>
    </comment>
    <comment ref="Q36" authorId="2">
      <text>
        <r>
          <rPr>
            <b/>
            <sz val="8"/>
            <color indexed="81"/>
            <rFont val="Tahoma"/>
            <family val="2"/>
          </rPr>
          <t>HH:</t>
        </r>
        <r>
          <rPr>
            <sz val="8"/>
            <color indexed="81"/>
            <rFont val="Tahoma"/>
            <family val="2"/>
          </rPr>
          <t xml:space="preserve">
10k04-8097
2q05-8245</t>
        </r>
      </text>
    </comment>
    <comment ref="C37" authorId="8">
      <text>
        <r>
          <rPr>
            <b/>
            <sz val="8"/>
            <color indexed="81"/>
            <rFont val="Tahoma"/>
            <family val="2"/>
          </rPr>
          <t>Amba:</t>
        </r>
        <r>
          <rPr>
            <sz val="8"/>
            <color indexed="81"/>
            <rFont val="Tahoma"/>
            <family val="2"/>
          </rPr>
          <t xml:space="preserve">
Forecast assumes the quarter's dividend is outstanding at the B/S date</t>
        </r>
      </text>
    </comment>
    <comment ref="C38" authorId="8">
      <text>
        <r>
          <rPr>
            <b/>
            <sz val="8"/>
            <color indexed="81"/>
            <rFont val="Tahoma"/>
            <family val="2"/>
          </rPr>
          <t>includes CLs of discontinued operations</t>
        </r>
        <r>
          <rPr>
            <sz val="8"/>
            <color indexed="81"/>
            <rFont val="Tahoma"/>
            <family val="2"/>
          </rPr>
          <t xml:space="preserve">
</t>
        </r>
      </text>
    </comment>
    <comment ref="BA38" authorId="1">
      <text>
        <r>
          <rPr>
            <sz val="8"/>
            <color indexed="81"/>
            <rFont val="Tahoma"/>
            <family val="2"/>
          </rPr>
          <t xml:space="preserve">Liabilities of discontinued operations
</t>
        </r>
      </text>
    </comment>
    <comment ref="BB38" authorId="1">
      <text>
        <r>
          <rPr>
            <sz val="8"/>
            <color indexed="81"/>
            <rFont val="Tahoma"/>
            <family val="2"/>
          </rPr>
          <t xml:space="preserve">Liabilities of discontinued operations
</t>
        </r>
      </text>
    </comment>
    <comment ref="BD38" authorId="5">
      <text>
        <r>
          <rPr>
            <sz val="8"/>
            <color indexed="81"/>
            <rFont val="Tahoma"/>
            <family val="2"/>
          </rPr>
          <t>Liabilities held for sale</t>
        </r>
      </text>
    </comment>
    <comment ref="AQ42" authorId="9">
      <text>
        <r>
          <rPr>
            <b/>
            <sz val="8"/>
            <color indexed="81"/>
            <rFont val="Tahoma"/>
            <family val="2"/>
          </rPr>
          <t>Authorised Company Employee:</t>
        </r>
        <r>
          <rPr>
            <sz val="8"/>
            <color indexed="81"/>
            <rFont val="Tahoma"/>
            <family val="2"/>
          </rPr>
          <t xml:space="preserve">
Issue of debt associated with acquisition of GE Security</t>
        </r>
      </text>
    </comment>
    <comment ref="BF42" authorId="10">
      <text>
        <r>
          <rPr>
            <sz val="8"/>
            <color indexed="81"/>
            <rFont val="Tahoma"/>
            <family val="2"/>
          </rPr>
          <t>2013 Guidance: $1bn of further debt reduction with anothr $1-1.5bn from retirement of GR debt 2015/16</t>
        </r>
      </text>
    </comment>
    <comment ref="BG42" authorId="10">
      <text>
        <r>
          <rPr>
            <sz val="8"/>
            <color indexed="81"/>
            <rFont val="Tahoma"/>
            <family val="2"/>
          </rPr>
          <t>2013 Guidance: expect to pay down $7bn in debt</t>
        </r>
      </text>
    </comment>
    <comment ref="BI42" authorId="10">
      <text>
        <r>
          <rPr>
            <sz val="8"/>
            <color indexed="81"/>
            <rFont val="Tahoma"/>
            <family val="2"/>
          </rPr>
          <t>2013 Guidance: expect to pay down $7bn in debt</t>
        </r>
      </text>
    </comment>
    <comment ref="BO42" authorId="10">
      <text>
        <r>
          <rPr>
            <sz val="8"/>
            <color indexed="81"/>
            <rFont val="Tahoma"/>
            <family val="2"/>
          </rPr>
          <t>Continue to repay GR related debt</t>
        </r>
      </text>
    </comment>
    <comment ref="BT42" authorId="10">
      <text>
        <r>
          <rPr>
            <sz val="8"/>
            <color indexed="81"/>
            <rFont val="Tahoma"/>
            <family val="2"/>
          </rPr>
          <t>Continue to repay GR related debt</t>
        </r>
      </text>
    </comment>
    <comment ref="BU42" authorId="11">
      <text>
        <r>
          <rPr>
            <b/>
            <sz val="9"/>
            <color indexed="81"/>
            <rFont val="Tahoma"/>
            <family val="2"/>
          </rPr>
          <t>Coe, Nigel (Research):</t>
        </r>
        <r>
          <rPr>
            <sz val="9"/>
            <color indexed="81"/>
            <rFont val="Tahoma"/>
            <family val="2"/>
          </rPr>
          <t xml:space="preserve">
EUR2.2bn bonds issued in Feb 2016 with $18m annualized interest</t>
        </r>
      </text>
    </comment>
    <comment ref="BW42" authorId="0">
      <text>
        <r>
          <rPr>
            <b/>
            <sz val="9"/>
            <color indexed="81"/>
            <rFont val="Tahoma"/>
            <family val="2"/>
          </rPr>
          <t>JZ:</t>
        </r>
        <r>
          <rPr>
            <sz val="9"/>
            <color indexed="81"/>
            <rFont val="Tahoma"/>
            <family val="2"/>
          </rPr>
          <t xml:space="preserve">
As per mgmt commentary, UTX will tap the bond market again in 2H16 to fund additional share repurchases</t>
        </r>
      </text>
    </comment>
    <comment ref="X47" authorId="4">
      <text>
        <r>
          <rPr>
            <b/>
            <sz val="8"/>
            <color indexed="81"/>
            <rFont val="Tahoma"/>
            <family val="2"/>
          </rPr>
          <t>Nigel Coe:</t>
        </r>
        <r>
          <rPr>
            <sz val="8"/>
            <color indexed="81"/>
            <rFont val="Tahoma"/>
            <family val="2"/>
          </rPr>
          <t xml:space="preserve">
Release of provision re govt settlement</t>
        </r>
      </text>
    </comment>
    <comment ref="Y47" authorId="4">
      <text>
        <r>
          <rPr>
            <b/>
            <sz val="8"/>
            <color indexed="81"/>
            <rFont val="Tahoma"/>
            <family val="2"/>
          </rPr>
          <t>Nigel Coe:</t>
        </r>
        <r>
          <rPr>
            <sz val="8"/>
            <color indexed="81"/>
            <rFont val="Tahoma"/>
            <family val="2"/>
          </rPr>
          <t xml:space="preserve">
Estimate- Payment of $283m settlement in 2 instalments</t>
        </r>
      </text>
    </comment>
    <comment ref="AB47" authorId="4">
      <text>
        <r>
          <rPr>
            <b/>
            <sz val="8"/>
            <color indexed="81"/>
            <rFont val="Tahoma"/>
            <family val="2"/>
          </rPr>
          <t>Nigel Coe:</t>
        </r>
        <r>
          <rPr>
            <sz val="8"/>
            <color indexed="81"/>
            <rFont val="Tahoma"/>
            <family val="2"/>
          </rPr>
          <t xml:space="preserve">
Release of EU reserve</t>
        </r>
      </text>
    </comment>
    <comment ref="BQ47" authorId="0">
      <text>
        <r>
          <rPr>
            <b/>
            <sz val="9"/>
            <color indexed="81"/>
            <rFont val="Tahoma"/>
            <family val="2"/>
          </rPr>
          <t>JZ:</t>
        </r>
        <r>
          <rPr>
            <sz val="9"/>
            <color indexed="81"/>
            <rFont val="Tahoma"/>
            <family val="2"/>
          </rPr>
          <t xml:space="preserve">
including German tax matter, as mgmt expects the cash outflow to happen in 2Q</t>
        </r>
      </text>
    </comment>
    <comment ref="BU47" authorId="11">
      <text>
        <r>
          <rPr>
            <b/>
            <sz val="9"/>
            <color indexed="81"/>
            <rFont val="Tahoma"/>
            <family val="2"/>
          </rPr>
          <t>Coe, Nigel (Research):</t>
        </r>
        <r>
          <rPr>
            <sz val="9"/>
            <color indexed="81"/>
            <rFont val="Tahoma"/>
            <family val="2"/>
          </rPr>
          <t xml:space="preserve">
First of 4 royalty payments to the Canadian govt regarding the change in arrangements announced on Jan 6 2016</t>
        </r>
      </text>
    </comment>
    <comment ref="BX52" authorId="12">
      <text>
        <r>
          <rPr>
            <b/>
            <sz val="9"/>
            <color indexed="81"/>
            <rFont val="Tahoma"/>
            <family val="2"/>
          </rPr>
          <t>Morales, Jonathan (Research):</t>
        </r>
        <r>
          <rPr>
            <sz val="9"/>
            <color indexed="81"/>
            <rFont val="Tahoma"/>
            <family val="2"/>
          </rPr>
          <t xml:space="preserve">
NCI + redeemable NCI</t>
        </r>
      </text>
    </comment>
    <comment ref="Q56" authorId="7">
      <text>
        <r>
          <rPr>
            <b/>
            <sz val="8"/>
            <color indexed="81"/>
            <rFont val="Tahoma"/>
            <family val="2"/>
          </rPr>
          <t>Ramyar:</t>
        </r>
        <r>
          <rPr>
            <sz val="8"/>
            <color indexed="81"/>
            <rFont val="Tahoma"/>
            <family val="2"/>
          </rPr>
          <t xml:space="preserve">
 restated to 8,106 in1Q05. 2Q05- 7,850</t>
        </r>
      </text>
    </comment>
    <comment ref="Q58" authorId="2">
      <text>
        <r>
          <rPr>
            <b/>
            <sz val="8"/>
            <color indexed="81"/>
            <rFont val="Tahoma"/>
            <family val="2"/>
          </rPr>
          <t>HH:</t>
        </r>
        <r>
          <rPr>
            <sz val="8"/>
            <color indexed="81"/>
            <rFont val="Tahoma"/>
            <family val="2"/>
          </rPr>
          <t xml:space="preserve">
210-10k04
not provided in 2q05</t>
        </r>
      </text>
    </comment>
    <comment ref="R58" authorId="7">
      <text>
        <r>
          <rPr>
            <b/>
            <sz val="8"/>
            <color indexed="81"/>
            <rFont val="Tahoma"/>
            <family val="2"/>
          </rPr>
          <t>Ramyar:</t>
        </r>
        <r>
          <rPr>
            <sz val="8"/>
            <color indexed="81"/>
            <rFont val="Tahoma"/>
            <family val="2"/>
          </rPr>
          <t xml:space="preserve">
break-up not provided. Included in other comprehensive income</t>
        </r>
      </text>
    </comment>
    <comment ref="Q59" authorId="2">
      <text>
        <r>
          <rPr>
            <b/>
            <sz val="8"/>
            <color indexed="81"/>
            <rFont val="Tahoma"/>
            <family val="2"/>
          </rPr>
          <t>HH:</t>
        </r>
        <r>
          <rPr>
            <sz val="8"/>
            <color indexed="81"/>
            <rFont val="Tahoma"/>
            <family val="2"/>
          </rPr>
          <t xml:space="preserve">
1Q05-1,618
2q05-1152</t>
        </r>
      </text>
    </comment>
    <comment ref="AJ59" authorId="9">
      <text>
        <r>
          <rPr>
            <b/>
            <sz val="8"/>
            <color indexed="81"/>
            <rFont val="Tahoma"/>
            <family val="2"/>
          </rPr>
          <t>Authorised Company Employee:</t>
        </r>
        <r>
          <rPr>
            <sz val="8"/>
            <color indexed="81"/>
            <rFont val="Tahoma"/>
            <family val="2"/>
          </rPr>
          <t xml:space="preserve">
Pension deficit net of tax</t>
        </r>
      </text>
    </comment>
    <comment ref="BS59" authorId="11">
      <text>
        <r>
          <rPr>
            <b/>
            <sz val="9"/>
            <color indexed="81"/>
            <rFont val="Tahoma"/>
            <family val="2"/>
          </rPr>
          <t>Coe, Nigel (Research):</t>
        </r>
        <r>
          <rPr>
            <sz val="9"/>
            <color indexed="81"/>
            <rFont val="Tahoma"/>
            <family val="2"/>
          </rPr>
          <t xml:space="preserve">
Plug to balance the B/S</t>
        </r>
      </text>
    </comment>
    <comment ref="Q61" authorId="7">
      <text>
        <r>
          <rPr>
            <b/>
            <sz val="8"/>
            <color indexed="81"/>
            <rFont val="Tahoma"/>
            <family val="2"/>
          </rPr>
          <t>Ramyar:</t>
        </r>
        <r>
          <rPr>
            <sz val="8"/>
            <color indexed="81"/>
            <rFont val="Tahoma"/>
            <family val="2"/>
          </rPr>
          <t xml:space="preserve">
restated from 14,569 to 13,880 in 1Q05</t>
        </r>
      </text>
    </comment>
    <comment ref="B73" authorId="8">
      <text>
        <r>
          <rPr>
            <b/>
            <sz val="8"/>
            <color indexed="81"/>
            <rFont val="Tahoma"/>
            <family val="2"/>
          </rPr>
          <t>Amba:</t>
        </r>
        <r>
          <rPr>
            <sz val="8"/>
            <color indexed="81"/>
            <rFont val="Tahoma"/>
            <family val="2"/>
          </rPr>
          <t xml:space="preserve">
These ratios were done using year-end figures</t>
        </r>
      </text>
    </comment>
    <comment ref="C94" authorId="7">
      <text>
        <r>
          <rPr>
            <b/>
            <sz val="8"/>
            <color indexed="81"/>
            <rFont val="Tahoma"/>
            <family val="2"/>
          </rPr>
          <t>Amba:
Balancing figure</t>
        </r>
      </text>
    </comment>
    <comment ref="B120" authorId="8">
      <text>
        <r>
          <rPr>
            <b/>
            <sz val="8"/>
            <color indexed="81"/>
            <rFont val="Tahoma"/>
            <family val="2"/>
          </rPr>
          <t>Amba:</t>
        </r>
        <r>
          <rPr>
            <sz val="8"/>
            <color indexed="81"/>
            <rFont val="Tahoma"/>
            <family val="2"/>
          </rPr>
          <t xml:space="preserve">
EBIT / Total assets</t>
        </r>
      </text>
    </comment>
    <comment ref="B121" authorId="8">
      <text>
        <r>
          <rPr>
            <b/>
            <sz val="8"/>
            <color indexed="81"/>
            <rFont val="Tahoma"/>
            <family val="2"/>
          </rPr>
          <t>Amba:</t>
        </r>
        <r>
          <rPr>
            <sz val="8"/>
            <color indexed="81"/>
            <rFont val="Tahoma"/>
            <family val="2"/>
          </rPr>
          <t xml:space="preserve">
GAAP net income / Equity</t>
        </r>
      </text>
    </comment>
    <comment ref="B122" authorId="8">
      <text>
        <r>
          <rPr>
            <b/>
            <sz val="8"/>
            <color indexed="81"/>
            <rFont val="Tahoma"/>
            <family val="2"/>
          </rPr>
          <t>Amba:</t>
        </r>
        <r>
          <rPr>
            <sz val="8"/>
            <color indexed="81"/>
            <rFont val="Tahoma"/>
            <family val="2"/>
          </rPr>
          <t xml:space="preserve">
EBIT / Invested Capital
Where, Invested capital= equity + longterm debt</t>
        </r>
      </text>
    </comment>
    <comment ref="B135" authorId="13">
      <text>
        <r>
          <rPr>
            <b/>
            <sz val="8"/>
            <color indexed="81"/>
            <rFont val="Tahoma"/>
            <family val="2"/>
          </rPr>
          <t>Amba:</t>
        </r>
        <r>
          <rPr>
            <sz val="8"/>
            <color indexed="81"/>
            <rFont val="Tahoma"/>
            <family val="2"/>
          </rPr>
          <t xml:space="preserve">
Yahoo finance</t>
        </r>
      </text>
    </comment>
  </commentList>
</comments>
</file>

<file path=xl/comments4.xml><?xml version="1.0" encoding="utf-8"?>
<comments xmlns="http://schemas.openxmlformats.org/spreadsheetml/2006/main">
  <authors>
    <author>Ramyar</author>
    <author>JZ</author>
    <author>Amba</author>
    <author>Coe, Nigel (Research)</author>
    <author>patepj-a</author>
    <author>Nigel Coe</author>
    <author>Authorised Company Employee</author>
    <author>milip</author>
    <author>shahviv</author>
    <author>sang</author>
    <author>HH</author>
    <author>deblase</author>
    <author>Jayamin</author>
    <author>Nicole DeBlase</author>
    <author>makam</author>
    <author>mukesh</author>
  </authors>
  <commentList>
    <comment ref="L12" authorId="0">
      <text>
        <r>
          <rPr>
            <b/>
            <sz val="8"/>
            <color indexed="81"/>
            <rFont val="Tahoma"/>
            <family val="2"/>
          </rPr>
          <t>Ramyar:</t>
        </r>
        <r>
          <rPr>
            <sz val="8"/>
            <color indexed="81"/>
            <rFont val="Tahoma"/>
            <family val="2"/>
          </rPr>
          <t xml:space="preserve">
restated in 1Q05 to 551</t>
        </r>
      </text>
    </comment>
    <comment ref="CA18" authorId="1">
      <text>
        <r>
          <rPr>
            <b/>
            <sz val="9"/>
            <color indexed="81"/>
            <rFont val="Tahoma"/>
            <family val="2"/>
          </rPr>
          <t>JZ:</t>
        </r>
        <r>
          <rPr>
            <sz val="9"/>
            <color indexed="81"/>
            <rFont val="Tahoma"/>
            <family val="2"/>
          </rPr>
          <t xml:space="preserve">
Mgmt guided for ~$1.2bn post tax pension contribution in 2017</t>
        </r>
      </text>
    </comment>
    <comment ref="BS19" authorId="1">
      <text>
        <r>
          <rPr>
            <b/>
            <sz val="9"/>
            <color indexed="81"/>
            <rFont val="Tahoma"/>
            <family val="2"/>
          </rPr>
          <t>JZ:</t>
        </r>
        <r>
          <rPr>
            <sz val="9"/>
            <color indexed="81"/>
            <rFont val="Tahoma"/>
            <family val="2"/>
          </rPr>
          <t xml:space="preserve">
WC expected to be 0-$500m benefits</t>
        </r>
      </text>
    </comment>
    <comment ref="BX19" authorId="1">
      <text>
        <r>
          <rPr>
            <b/>
            <sz val="9"/>
            <color indexed="81"/>
            <rFont val="Tahoma"/>
            <family val="2"/>
          </rPr>
          <t>JZ:</t>
        </r>
        <r>
          <rPr>
            <sz val="9"/>
            <color indexed="81"/>
            <rFont val="Tahoma"/>
            <family val="2"/>
          </rPr>
          <t xml:space="preserve">
WC expected to be 0-$500m benefits</t>
        </r>
      </text>
    </comment>
    <comment ref="L20" authorId="2">
      <text>
        <r>
          <rPr>
            <b/>
            <sz val="8"/>
            <color indexed="81"/>
            <rFont val="Tahoma"/>
            <family val="2"/>
          </rPr>
          <t>Amba:</t>
        </r>
        <r>
          <rPr>
            <sz val="8"/>
            <color indexed="81"/>
            <rFont val="Tahoma"/>
            <family val="2"/>
          </rPr>
          <t xml:space="preserve">
Includes 308m volantary contribution to pension plans.</t>
        </r>
      </text>
    </comment>
    <comment ref="BP20" authorId="1">
      <text>
        <r>
          <rPr>
            <b/>
            <sz val="9"/>
            <color indexed="81"/>
            <rFont val="Tahoma"/>
            <family val="2"/>
          </rPr>
          <t>JZ:</t>
        </r>
        <r>
          <rPr>
            <sz val="9"/>
            <color indexed="81"/>
            <rFont val="Tahoma"/>
            <family val="2"/>
          </rPr>
          <t xml:space="preserve">
including German tax matter - $236m</t>
        </r>
      </text>
    </comment>
    <comment ref="BR20" authorId="3">
      <text>
        <r>
          <rPr>
            <b/>
            <sz val="9"/>
            <color indexed="81"/>
            <rFont val="Tahoma"/>
            <family val="2"/>
          </rPr>
          <t>Coe, Nigel (Research):</t>
        </r>
        <r>
          <rPr>
            <sz val="9"/>
            <color indexed="81"/>
            <rFont val="Tahoma"/>
            <family val="2"/>
          </rPr>
          <t xml:space="preserve">
Reversing out Sikorsky Gain</t>
        </r>
      </text>
    </comment>
    <comment ref="BT20" authorId="1">
      <text>
        <r>
          <rPr>
            <b/>
            <sz val="9"/>
            <color indexed="81"/>
            <rFont val="Tahoma"/>
            <family val="2"/>
          </rPr>
          <t>JZ:</t>
        </r>
        <r>
          <rPr>
            <sz val="9"/>
            <color indexed="81"/>
            <rFont val="Tahoma"/>
            <family val="2"/>
          </rPr>
          <t xml:space="preserve">
royalty payments</t>
        </r>
      </text>
    </comment>
    <comment ref="BY20" authorId="1">
      <text>
        <r>
          <rPr>
            <b/>
            <sz val="9"/>
            <color indexed="81"/>
            <rFont val="Tahoma"/>
            <family val="2"/>
          </rPr>
          <t>JZ:</t>
        </r>
        <r>
          <rPr>
            <sz val="9"/>
            <color indexed="81"/>
            <rFont val="Tahoma"/>
            <family val="2"/>
          </rPr>
          <t xml:space="preserve">
royalty payments</t>
        </r>
      </text>
    </comment>
    <comment ref="CB20" authorId="1">
      <text>
        <r>
          <rPr>
            <b/>
            <sz val="9"/>
            <color indexed="81"/>
            <rFont val="Tahoma"/>
            <family val="2"/>
          </rPr>
          <t>JZ:</t>
        </r>
        <r>
          <rPr>
            <sz val="9"/>
            <color indexed="81"/>
            <rFont val="Tahoma"/>
            <family val="2"/>
          </rPr>
          <t xml:space="preserve">
including tax benefits from pension contribution</t>
        </r>
      </text>
    </comment>
    <comment ref="CD20" authorId="1">
      <text>
        <r>
          <rPr>
            <b/>
            <sz val="9"/>
            <color indexed="81"/>
            <rFont val="Tahoma"/>
            <family val="2"/>
          </rPr>
          <t>JZ:</t>
        </r>
        <r>
          <rPr>
            <sz val="9"/>
            <color indexed="81"/>
            <rFont val="Tahoma"/>
            <family val="2"/>
          </rPr>
          <t xml:space="preserve">
royalty payments</t>
        </r>
      </text>
    </comment>
    <comment ref="BS23" authorId="1">
      <text>
        <r>
          <rPr>
            <b/>
            <sz val="9"/>
            <color indexed="81"/>
            <rFont val="Tahoma"/>
            <family val="2"/>
          </rPr>
          <t>2014 10K:</t>
        </r>
        <r>
          <rPr>
            <sz val="9"/>
            <color indexed="81"/>
            <rFont val="Tahoma"/>
            <family val="2"/>
          </rPr>
          <t xml:space="preserve">
Capex expected to be $1.7bn in 2015</t>
        </r>
      </text>
    </comment>
    <comment ref="BX23" authorId="1">
      <text>
        <r>
          <rPr>
            <b/>
            <sz val="9"/>
            <color indexed="81"/>
            <rFont val="Tahoma"/>
            <family val="2"/>
          </rPr>
          <t>2014 10K:</t>
        </r>
        <r>
          <rPr>
            <sz val="9"/>
            <color indexed="81"/>
            <rFont val="Tahoma"/>
            <family val="2"/>
          </rPr>
          <t xml:space="preserve">
Capex expected to be $1.7bn in 2015</t>
        </r>
      </text>
    </comment>
    <comment ref="CC25" authorId="1">
      <text>
        <r>
          <rPr>
            <b/>
            <sz val="9"/>
            <color indexed="81"/>
            <rFont val="Tahoma"/>
            <family val="2"/>
          </rPr>
          <t>JZ:</t>
        </r>
        <r>
          <rPr>
            <sz val="9"/>
            <color indexed="81"/>
            <rFont val="Tahoma"/>
            <family val="2"/>
          </rPr>
          <t xml:space="preserve">
Sep 17: $3-3.5bn</t>
        </r>
      </text>
    </comment>
    <comment ref="CC26" authorId="1">
      <text>
        <r>
          <rPr>
            <b/>
            <sz val="9"/>
            <color indexed="81"/>
            <rFont val="Tahoma"/>
            <family val="2"/>
          </rPr>
          <t>JZ:</t>
        </r>
        <r>
          <rPr>
            <sz val="9"/>
            <color indexed="81"/>
            <rFont val="Tahoma"/>
            <family val="2"/>
          </rPr>
          <t xml:space="preserve">
tracking towards the low-end of 90-100%</t>
        </r>
      </text>
    </comment>
    <comment ref="S32" authorId="4">
      <text>
        <r>
          <rPr>
            <b/>
            <sz val="8"/>
            <color indexed="81"/>
            <rFont val="Tahoma"/>
            <family val="2"/>
          </rPr>
          <t>amba:</t>
        </r>
        <r>
          <rPr>
            <sz val="8"/>
            <color indexed="81"/>
            <rFont val="Tahoma"/>
            <family val="2"/>
          </rPr>
          <t xml:space="preserve">
3Q05 investments in business 9 month total 3570m</t>
        </r>
      </text>
    </comment>
    <comment ref="Y32" authorId="5">
      <text>
        <r>
          <rPr>
            <b/>
            <sz val="8"/>
            <color indexed="81"/>
            <rFont val="Tahoma"/>
            <family val="2"/>
          </rPr>
          <t>Nigel Coe:</t>
        </r>
        <r>
          <rPr>
            <sz val="8"/>
            <color indexed="81"/>
            <rFont val="Tahoma"/>
            <family val="2"/>
          </rPr>
          <t xml:space="preserve">
$135m for Red Hawk acqn at a discount to sales
$50m for acquisition of Page</t>
        </r>
      </text>
    </comment>
    <comment ref="AB32" authorId="5">
      <text>
        <r>
          <rPr>
            <b/>
            <sz val="8"/>
            <color indexed="81"/>
            <rFont val="Tahoma"/>
            <family val="2"/>
          </rPr>
          <t>Nigel Coe:</t>
        </r>
        <r>
          <rPr>
            <sz val="8"/>
            <color indexed="81"/>
            <rFont val="Tahoma"/>
            <family val="2"/>
          </rPr>
          <t xml:space="preserve">
Acquisition of SPS for an assumed $50m
Acquisition of Marioff for $338m</t>
        </r>
      </text>
    </comment>
    <comment ref="AC32" authorId="5">
      <text>
        <r>
          <rPr>
            <b/>
            <sz val="8"/>
            <color indexed="81"/>
            <rFont val="Tahoma"/>
            <family val="2"/>
          </rPr>
          <t>Nigel Coe:</t>
        </r>
        <r>
          <rPr>
            <sz val="8"/>
            <color indexed="81"/>
            <rFont val="Tahoma"/>
            <family val="2"/>
          </rPr>
          <t xml:space="preserve">
Acquisition of IESG for $1.16bn. Assume 3Q07 close</t>
        </r>
      </text>
    </comment>
    <comment ref="AP32" authorId="6">
      <text>
        <r>
          <rPr>
            <b/>
            <sz val="8"/>
            <color indexed="81"/>
            <rFont val="Tahoma"/>
            <family val="2"/>
          </rPr>
          <t>Authorised Company Employee:</t>
        </r>
        <r>
          <rPr>
            <sz val="8"/>
            <color indexed="81"/>
            <rFont val="Tahoma"/>
            <family val="2"/>
          </rPr>
          <t xml:space="preserve">
Purchase of GE Security for $1.8bn and purchase of Clipper stake for $270m</t>
        </r>
      </text>
    </comment>
    <comment ref="BN32" authorId="1">
      <text>
        <r>
          <rPr>
            <b/>
            <sz val="9"/>
            <color indexed="81"/>
            <rFont val="Tahoma"/>
            <family val="2"/>
          </rPr>
          <t>JZ:</t>
        </r>
        <r>
          <rPr>
            <sz val="9"/>
            <color indexed="81"/>
            <rFont val="Tahoma"/>
            <family val="2"/>
          </rPr>
          <t xml:space="preserve">
Acquisition of the majority interest in a Pratt &amp; Whitney joint venture and a number of small acquisitions, primarily in our commercial businesses</t>
        </r>
      </text>
    </comment>
    <comment ref="BO32" authorId="1">
      <text>
        <r>
          <rPr>
            <b/>
            <sz val="12"/>
            <color indexed="81"/>
            <rFont val="Tahoma"/>
            <family val="2"/>
          </rPr>
          <t>JZ:</t>
        </r>
        <r>
          <rPr>
            <sz val="12"/>
            <color indexed="81"/>
            <rFont val="Tahoma"/>
            <family val="2"/>
          </rPr>
          <t xml:space="preserve">
acquisition of the majority interest in a UTC Climate, Controls &amp; Security joint venture and a number of small acquisitions, primarily in our commercial
businesses.</t>
        </r>
      </text>
    </comment>
    <comment ref="BW32" authorId="1">
      <text>
        <r>
          <rPr>
            <b/>
            <sz val="9"/>
            <color indexed="81"/>
            <rFont val="Tahoma"/>
            <family val="2"/>
          </rPr>
          <t>JZ:</t>
        </r>
        <r>
          <rPr>
            <sz val="9"/>
            <color indexed="81"/>
            <rFont val="Tahoma"/>
            <family val="2"/>
          </rPr>
          <t xml:space="preserve">
Schneidler Japan acquisition</t>
        </r>
      </text>
    </comment>
    <comment ref="S33" authorId="5">
      <text>
        <r>
          <rPr>
            <b/>
            <sz val="8"/>
            <color indexed="81"/>
            <rFont val="Tahoma"/>
            <family val="2"/>
          </rPr>
          <t>Nigel Coe:</t>
        </r>
        <r>
          <rPr>
            <sz val="8"/>
            <color indexed="81"/>
            <rFont val="Tahoma"/>
            <family val="2"/>
          </rPr>
          <t xml:space="preserve">
Sale of Falk for $300m
</t>
        </r>
        <r>
          <rPr>
            <b/>
            <sz val="8"/>
            <color indexed="81"/>
            <rFont val="Tahoma"/>
            <family val="2"/>
          </rPr>
          <t xml:space="preserve">amba:
</t>
        </r>
        <r>
          <rPr>
            <sz val="8"/>
            <color indexed="81"/>
            <rFont val="Tahoma"/>
            <family val="2"/>
          </rPr>
          <t>3Q05 Dispositions of business 9 months total 308m.</t>
        </r>
      </text>
    </comment>
    <comment ref="AL33" authorId="6">
      <text>
        <r>
          <rPr>
            <b/>
            <sz val="8"/>
            <color indexed="81"/>
            <rFont val="Tahoma"/>
            <family val="2"/>
          </rPr>
          <t>Authorised Company Employee:</t>
        </r>
        <r>
          <rPr>
            <sz val="8"/>
            <color indexed="81"/>
            <rFont val="Tahoma"/>
            <family val="2"/>
          </rPr>
          <t xml:space="preserve">
$40m proceeds from Tyler transaction</t>
        </r>
      </text>
    </comment>
    <comment ref="AU33" authorId="5">
      <text>
        <r>
          <rPr>
            <b/>
            <sz val="9"/>
            <color indexed="81"/>
            <rFont val="Arial"/>
            <family val="2"/>
          </rPr>
          <t>Nigel Coe:</t>
        </r>
        <r>
          <rPr>
            <sz val="9"/>
            <color indexed="81"/>
            <rFont val="Arial"/>
            <family val="2"/>
          </rPr>
          <t xml:space="preserve">
Proceeds from sale of Bus A/C Business</t>
        </r>
      </text>
    </comment>
    <comment ref="AV33" authorId="5">
      <text>
        <r>
          <rPr>
            <b/>
            <sz val="9"/>
            <color indexed="81"/>
            <rFont val="Arial"/>
            <family val="2"/>
          </rPr>
          <t>Nigel Coe:</t>
        </r>
        <r>
          <rPr>
            <sz val="9"/>
            <color indexed="81"/>
            <rFont val="Arial"/>
            <family val="2"/>
          </rPr>
          <t xml:space="preserve">
Proceeds from sale of UK manned guard business</t>
        </r>
      </text>
    </comment>
    <comment ref="BF33" authorId="7">
      <text>
        <r>
          <rPr>
            <sz val="8"/>
            <color indexed="81"/>
            <rFont val="Tahoma"/>
            <family val="2"/>
          </rPr>
          <t>Divestiture of Power Systems</t>
        </r>
      </text>
    </comment>
    <comment ref="BR33" authorId="3">
      <text>
        <r>
          <rPr>
            <b/>
            <sz val="9"/>
            <color indexed="81"/>
            <rFont val="Tahoma"/>
            <family val="2"/>
          </rPr>
          <t>Coe, Nigel (Research):</t>
        </r>
        <r>
          <rPr>
            <sz val="9"/>
            <color indexed="81"/>
            <rFont val="Tahoma"/>
            <family val="2"/>
          </rPr>
          <t xml:space="preserve">
Net proceeds from Sikorsky sale</t>
        </r>
      </text>
    </comment>
    <comment ref="BY33" authorId="3">
      <text>
        <r>
          <rPr>
            <b/>
            <sz val="9"/>
            <color indexed="81"/>
            <rFont val="Tahoma"/>
            <family val="2"/>
          </rPr>
          <t>Coe, Nigel (Research):</t>
        </r>
        <r>
          <rPr>
            <sz val="9"/>
            <color indexed="81"/>
            <rFont val="Tahoma"/>
            <family val="2"/>
          </rPr>
          <t xml:space="preserve">
Proceeds from sale of Watsco stakes net of tax</t>
        </r>
      </text>
    </comment>
    <comment ref="BA34" authorId="8">
      <text>
        <r>
          <rPr>
            <sz val="8"/>
            <color indexed="81"/>
            <rFont val="Tahoma"/>
            <family val="2"/>
          </rPr>
          <t xml:space="preserve">Increase/decrease in restricted cash
</t>
        </r>
      </text>
    </comment>
    <comment ref="BC35" authorId="8">
      <text>
        <r>
          <rPr>
            <sz val="8"/>
            <color indexed="81"/>
            <rFont val="Tahoma"/>
            <family val="2"/>
          </rPr>
          <t xml:space="preserve">Includes:
Increase in customer financing assets: $100 mn
Decrease in customer financing assets: $75 mn
Increase in collaboration intangible assets: $1543 mn
Other investing activities: $237 mn
</t>
        </r>
      </text>
    </comment>
    <comment ref="BK35" authorId="1">
      <text>
        <r>
          <rPr>
            <b/>
            <sz val="9"/>
            <color indexed="81"/>
            <rFont val="Tahoma"/>
            <family val="2"/>
          </rPr>
          <t>JZ:</t>
        </r>
        <r>
          <rPr>
            <sz val="9"/>
            <color indexed="81"/>
            <rFont val="Tahoma"/>
            <family val="2"/>
          </rPr>
          <t xml:space="preserve">
other investment activities</t>
        </r>
      </text>
    </comment>
    <comment ref="BO35" authorId="1">
      <text>
        <r>
          <rPr>
            <b/>
            <sz val="9"/>
            <color indexed="81"/>
            <rFont val="Tahoma"/>
            <family val="2"/>
          </rPr>
          <t>JZ:</t>
        </r>
        <r>
          <rPr>
            <sz val="9"/>
            <color indexed="81"/>
            <rFont val="Tahoma"/>
            <family val="2"/>
          </rPr>
          <t xml:space="preserve">
$170 other investing activities
$569m Receipts (payments) from settlements of derivative contracts
</t>
        </r>
      </text>
    </comment>
    <comment ref="BK39" authorId="9">
      <text>
        <r>
          <rPr>
            <b/>
            <sz val="8"/>
            <color indexed="81"/>
            <rFont val="Tahoma"/>
            <family val="2"/>
          </rPr>
          <t>sang:</t>
        </r>
        <r>
          <rPr>
            <sz val="8"/>
            <color indexed="81"/>
            <rFont val="Tahoma"/>
            <family val="2"/>
          </rPr>
          <t xml:space="preserve">
1q - going to buy back a similar amt as 1q</t>
        </r>
      </text>
    </comment>
    <comment ref="BL39" authorId="9">
      <text>
        <r>
          <rPr>
            <b/>
            <sz val="8"/>
            <color indexed="81"/>
            <rFont val="Tahoma"/>
            <family val="2"/>
          </rPr>
          <t>sang:</t>
        </r>
        <r>
          <rPr>
            <sz val="8"/>
            <color indexed="81"/>
            <rFont val="Tahoma"/>
            <family val="2"/>
          </rPr>
          <t xml:space="preserve">
1q- would look to finish the 1bn buyback guidance by 3q</t>
        </r>
      </text>
    </comment>
    <comment ref="L43" authorId="0">
      <text>
        <r>
          <rPr>
            <b/>
            <sz val="8"/>
            <color indexed="81"/>
            <rFont val="Tahoma"/>
            <family val="2"/>
          </rPr>
          <t>Ramyar:</t>
        </r>
        <r>
          <rPr>
            <sz val="8"/>
            <color indexed="81"/>
            <rFont val="Tahoma"/>
            <family val="2"/>
          </rPr>
          <t xml:space="preserve">
restated in 1Q05 to 15 from 45</t>
        </r>
      </text>
    </comment>
    <comment ref="M43" authorId="10">
      <text>
        <r>
          <rPr>
            <b/>
            <sz val="8"/>
            <color indexed="81"/>
            <rFont val="Tahoma"/>
            <family val="2"/>
          </rPr>
          <t>HH:</t>
        </r>
        <r>
          <rPr>
            <sz val="8"/>
            <color indexed="81"/>
            <rFont val="Tahoma"/>
            <family val="2"/>
          </rPr>
          <t xml:space="preserve">
2Q05- othr net is 4. issue of equity sec not provided. Assumed to be as per 1oq.</t>
        </r>
      </text>
    </comment>
    <comment ref="BE46" authorId="11">
      <text>
        <r>
          <rPr>
            <b/>
            <sz val="8"/>
            <color indexed="81"/>
            <rFont val="Tahoma"/>
            <family val="2"/>
          </rPr>
          <t>deblase:</t>
        </r>
        <r>
          <rPr>
            <sz val="8"/>
            <color indexed="81"/>
            <rFont val="Tahoma"/>
            <family val="2"/>
          </rPr>
          <t xml:space="preserve">
Sale of Electric Power Systems completed in March 26</t>
        </r>
      </text>
    </comment>
    <comment ref="BF46" authorId="7">
      <text>
        <r>
          <rPr>
            <sz val="8"/>
            <color indexed="81"/>
            <rFont val="Tahoma"/>
            <family val="2"/>
          </rPr>
          <t>Includes $550mn from divestiture of Rocketdyne, offset by $1.2bn tax payment on industrial asset gain</t>
        </r>
      </text>
    </comment>
    <comment ref="BR47" authorId="1">
      <text>
        <r>
          <rPr>
            <b/>
            <sz val="9"/>
            <color indexed="81"/>
            <rFont val="Tahoma"/>
            <family val="2"/>
          </rPr>
          <t>JZ:</t>
        </r>
        <r>
          <rPr>
            <sz val="9"/>
            <color indexed="81"/>
            <rFont val="Tahoma"/>
            <family val="2"/>
          </rPr>
          <t xml:space="preserve">
Sikorsky</t>
        </r>
      </text>
    </comment>
    <comment ref="BT47" authorId="1">
      <text>
        <r>
          <rPr>
            <b/>
            <sz val="9"/>
            <color indexed="81"/>
            <rFont val="Tahoma"/>
            <family val="2"/>
          </rPr>
          <t>JZ:</t>
        </r>
        <r>
          <rPr>
            <sz val="9"/>
            <color indexed="81"/>
            <rFont val="Tahoma"/>
            <family val="2"/>
          </rPr>
          <t xml:space="preserve">
$2bn net cash used in disc. ops</t>
        </r>
      </text>
    </comment>
    <comment ref="B57" authorId="12">
      <text>
        <r>
          <rPr>
            <b/>
            <sz val="8"/>
            <color indexed="81"/>
            <rFont val="Tahoma"/>
            <family val="2"/>
          </rPr>
          <t>Amba: whether Casfflow net debt movement is equal to B/S implied</t>
        </r>
        <r>
          <rPr>
            <sz val="8"/>
            <color indexed="81"/>
            <rFont val="Tahoma"/>
            <family val="2"/>
          </rPr>
          <t xml:space="preserve">
</t>
        </r>
      </text>
    </comment>
    <comment ref="BF67" authorId="9">
      <text>
        <r>
          <rPr>
            <b/>
            <sz val="8"/>
            <color indexed="81"/>
            <rFont val="Tahoma"/>
            <family val="2"/>
          </rPr>
          <t>sang:</t>
        </r>
        <r>
          <rPr>
            <sz val="8"/>
            <color indexed="81"/>
            <rFont val="Tahoma"/>
            <family val="2"/>
          </rPr>
          <t xml:space="preserve">
includes 36mn favorable int adjustment</t>
        </r>
      </text>
    </comment>
    <comment ref="BK67" authorId="1">
      <text>
        <r>
          <rPr>
            <b/>
            <sz val="9"/>
            <color indexed="81"/>
            <rFont val="Tahoma"/>
            <family val="2"/>
          </rPr>
          <t>JZ:</t>
        </r>
        <r>
          <rPr>
            <sz val="9"/>
            <color indexed="81"/>
            <rFont val="Tahoma"/>
            <family val="2"/>
          </rPr>
          <t xml:space="preserve">
Includes $21m favorable adjustment related to IRS examination</t>
        </r>
      </text>
    </comment>
    <comment ref="BL67" authorId="1">
      <text>
        <r>
          <rPr>
            <b/>
            <sz val="9"/>
            <color indexed="81"/>
            <rFont val="Tahoma"/>
            <family val="2"/>
          </rPr>
          <t>JZ:</t>
        </r>
        <r>
          <rPr>
            <sz val="9"/>
            <color indexed="81"/>
            <rFont val="Tahoma"/>
            <family val="2"/>
          </rPr>
          <t xml:space="preserve">
include $23m favorable adj. related to IRS settlement</t>
        </r>
      </text>
    </comment>
    <comment ref="BM67" authorId="1">
      <text>
        <r>
          <rPr>
            <b/>
            <sz val="9"/>
            <color indexed="81"/>
            <rFont val="Tahoma"/>
            <family val="2"/>
          </rPr>
          <t>JZ:</t>
        </r>
        <r>
          <rPr>
            <sz val="9"/>
            <color indexed="81"/>
            <rFont val="Tahoma"/>
            <family val="2"/>
          </rPr>
          <t xml:space="preserve">
includes $93m gains</t>
        </r>
      </text>
    </comment>
    <comment ref="BF68" authorId="9">
      <text>
        <r>
          <rPr>
            <b/>
            <sz val="8"/>
            <color indexed="81"/>
            <rFont val="Tahoma"/>
            <family val="2"/>
          </rPr>
          <t>sang:</t>
        </r>
        <r>
          <rPr>
            <sz val="8"/>
            <color indexed="81"/>
            <rFont val="Tahoma"/>
            <family val="2"/>
          </rPr>
          <t xml:space="preserve">
adjusted</t>
        </r>
      </text>
    </comment>
    <comment ref="AP70" authorId="13">
      <text>
        <r>
          <rPr>
            <b/>
            <sz val="8"/>
            <color indexed="81"/>
            <rFont val="Tahoma"/>
            <family val="2"/>
          </rPr>
          <t>Nicole DeBlase:</t>
        </r>
        <r>
          <rPr>
            <sz val="8"/>
            <color indexed="81"/>
            <rFont val="Tahoma"/>
            <family val="2"/>
          </rPr>
          <t xml:space="preserve">
Restated</t>
        </r>
      </text>
    </comment>
    <comment ref="AQ70" authorId="13">
      <text>
        <r>
          <rPr>
            <b/>
            <sz val="8"/>
            <color indexed="81"/>
            <rFont val="Tahoma"/>
            <family val="2"/>
          </rPr>
          <t>Nicole DeBlase:</t>
        </r>
        <r>
          <rPr>
            <sz val="8"/>
            <color indexed="81"/>
            <rFont val="Tahoma"/>
            <family val="2"/>
          </rPr>
          <t xml:space="preserve">
Restated</t>
        </r>
      </text>
    </comment>
    <comment ref="AR70" authorId="13">
      <text>
        <r>
          <rPr>
            <b/>
            <sz val="8"/>
            <color indexed="81"/>
            <rFont val="Tahoma"/>
            <family val="2"/>
          </rPr>
          <t>Nicole DeBlase:</t>
        </r>
        <r>
          <rPr>
            <sz val="8"/>
            <color indexed="81"/>
            <rFont val="Tahoma"/>
            <family val="2"/>
          </rPr>
          <t xml:space="preserve">
Restated</t>
        </r>
      </text>
    </comment>
    <comment ref="BC70" authorId="14">
      <text>
        <r>
          <rPr>
            <sz val="8"/>
            <color indexed="81"/>
            <rFont val="Tahoma"/>
            <family val="2"/>
          </rPr>
          <t>Interest expense, net. Break-up not available in 8-K.</t>
        </r>
      </text>
    </comment>
    <comment ref="BK70" authorId="3">
      <text>
        <r>
          <rPr>
            <b/>
            <sz val="9"/>
            <color indexed="81"/>
            <rFont val="Tahoma"/>
            <family val="2"/>
          </rPr>
          <t>Coe, Nigel (Research):</t>
        </r>
        <r>
          <rPr>
            <sz val="9"/>
            <color indexed="81"/>
            <rFont val="Tahoma"/>
            <family val="2"/>
          </rPr>
          <t xml:space="preserve">
Includes $21m non-recurring item</t>
        </r>
      </text>
    </comment>
    <comment ref="BL70" authorId="9">
      <text>
        <r>
          <rPr>
            <b/>
            <sz val="8"/>
            <color indexed="81"/>
            <rFont val="Tahoma"/>
            <family val="2"/>
          </rPr>
          <t>sang:</t>
        </r>
        <r>
          <rPr>
            <sz val="8"/>
            <color indexed="81"/>
            <rFont val="Tahoma"/>
            <family val="2"/>
          </rPr>
          <t xml:space="preserve">
adjusted for 1x tax related gain
$230m ex-items</t>
        </r>
      </text>
    </comment>
    <comment ref="BM70" authorId="1">
      <text>
        <r>
          <rPr>
            <b/>
            <sz val="9"/>
            <color indexed="81"/>
            <rFont val="Tahoma"/>
            <family val="2"/>
          </rPr>
          <t>JZ:</t>
        </r>
        <r>
          <rPr>
            <sz val="9"/>
            <color indexed="81"/>
            <rFont val="Tahoma"/>
            <family val="2"/>
          </rPr>
          <t xml:space="preserve">
Includes $55m one time items incl:
- $143 million  of unfavorable pre-tax interest accruals related
to the ongoing dispute with German tax authorities concerning a 1998 reorganization of the corporate structure of Otis operations in  Germany.  
-  Approximately  $88 million  of favorable pre-tax interest adjustments, primarily related to conclusion of litigation and the resolution of disputes with the Appeals Division of the IRS regarding Goodrich Corporation's 2000 to 2010 tax years.
</t>
        </r>
      </text>
    </comment>
    <comment ref="BW71" authorId="3">
      <text>
        <r>
          <rPr>
            <b/>
            <sz val="9"/>
            <color indexed="81"/>
            <rFont val="Tahoma"/>
            <family val="2"/>
          </rPr>
          <t>Coe, Nigel (Research):</t>
        </r>
        <r>
          <rPr>
            <sz val="9"/>
            <color indexed="81"/>
            <rFont val="Tahoma"/>
            <family val="2"/>
          </rPr>
          <t xml:space="preserve">
Assume 2.5% on incremental debt</t>
        </r>
      </text>
    </comment>
    <comment ref="BV77" authorId="3">
      <text>
        <r>
          <rPr>
            <b/>
            <sz val="9"/>
            <color indexed="81"/>
            <rFont val="Tahoma"/>
            <family val="2"/>
          </rPr>
          <t>Coe, Nigel (Research):</t>
        </r>
        <r>
          <rPr>
            <sz val="9"/>
            <color indexed="81"/>
            <rFont val="Tahoma"/>
            <family val="2"/>
          </rPr>
          <t xml:space="preserve">
Remaining delivering of ASR - assume less than 15% due to rising stock price
As per 10K, </t>
        </r>
      </text>
    </comment>
    <comment ref="AE79" authorId="15">
      <text>
        <r>
          <rPr>
            <b/>
            <sz val="8"/>
            <color indexed="81"/>
            <rFont val="Tahoma"/>
            <family val="2"/>
          </rPr>
          <t>Irevna:</t>
        </r>
        <r>
          <rPr>
            <sz val="8"/>
            <color indexed="81"/>
            <rFont val="Tahoma"/>
            <family val="2"/>
          </rPr>
          <t xml:space="preserve">
=Shares Issued -Treasury Stock</t>
        </r>
      </text>
    </comment>
    <comment ref="BQ82" authorId="9">
      <text>
        <r>
          <rPr>
            <b/>
            <sz val="8"/>
            <color indexed="81"/>
            <rFont val="Tahoma"/>
            <family val="2"/>
          </rPr>
          <t>sang:</t>
        </r>
        <r>
          <rPr>
            <sz val="8"/>
            <color indexed="81"/>
            <rFont val="Tahoma"/>
            <family val="2"/>
          </rPr>
          <t xml:space="preserve">
convert = 11mn shares</t>
        </r>
      </text>
    </comment>
    <comment ref="BI86" authorId="7">
      <text>
        <r>
          <rPr>
            <sz val="8"/>
            <color indexed="81"/>
            <rFont val="Tahoma"/>
            <family val="2"/>
          </rPr>
          <t>2013 Guidance: expect to repurchase $1bn
We bake in closer to $2bn since we expect management to allocate M&amp;A placeholder</t>
        </r>
      </text>
    </comment>
    <comment ref="BN86" authorId="7">
      <text>
        <r>
          <rPr>
            <sz val="8"/>
            <color indexed="81"/>
            <rFont val="Tahoma"/>
            <family val="2"/>
          </rPr>
          <t>ate M&amp;A placeholder</t>
        </r>
      </text>
    </comment>
    <comment ref="BL87" authorId="9">
      <text>
        <r>
          <rPr>
            <b/>
            <sz val="8"/>
            <color indexed="81"/>
            <rFont val="Tahoma"/>
            <family val="2"/>
          </rPr>
          <t>sang:</t>
        </r>
        <r>
          <rPr>
            <sz val="8"/>
            <color indexed="81"/>
            <rFont val="Tahoma"/>
            <family val="2"/>
          </rPr>
          <t xml:space="preserve">
est</t>
        </r>
      </text>
    </comment>
    <comment ref="BM88" authorId="9">
      <text>
        <r>
          <rPr>
            <b/>
            <sz val="8"/>
            <color indexed="81"/>
            <rFont val="Tahoma"/>
            <family val="2"/>
          </rPr>
          <t>sang:</t>
        </r>
        <r>
          <rPr>
            <sz val="8"/>
            <color indexed="81"/>
            <rFont val="Tahoma"/>
            <family val="2"/>
          </rPr>
          <t xml:space="preserve">
guide for 4bn for 4Q</t>
        </r>
      </text>
    </comment>
    <comment ref="BN88" authorId="1">
      <text>
        <r>
          <rPr>
            <b/>
            <sz val="9"/>
            <color indexed="81"/>
            <rFont val="Tahoma"/>
            <family val="2"/>
          </rPr>
          <t xml:space="preserve">Aug 14:
</t>
        </r>
        <r>
          <rPr>
            <sz val="9"/>
            <color indexed="81"/>
            <rFont val="Tahoma"/>
            <family val="2"/>
          </rPr>
          <t xml:space="preserve">Mgmt now expects to repurhcase $1.35bn shares in 2014
</t>
        </r>
        <r>
          <rPr>
            <b/>
            <sz val="9"/>
            <color indexed="81"/>
            <rFont val="Tahoma"/>
            <family val="2"/>
          </rPr>
          <t xml:space="preserve">
2Q14:</t>
        </r>
        <r>
          <rPr>
            <sz val="9"/>
            <color indexed="81"/>
            <rFont val="Tahoma"/>
            <family val="2"/>
          </rPr>
          <t xml:space="preserve">
Now expects share repurchases of $1.25bn in 2014</t>
        </r>
      </text>
    </comment>
    <comment ref="BQ88" authorId="3">
      <text>
        <r>
          <rPr>
            <b/>
            <sz val="9"/>
            <color indexed="81"/>
            <rFont val="Tahoma"/>
            <family val="2"/>
          </rPr>
          <t>Coe, Nigel (Research):</t>
        </r>
        <r>
          <rPr>
            <sz val="9"/>
            <color indexed="81"/>
            <rFont val="Tahoma"/>
            <family val="2"/>
          </rPr>
          <t xml:space="preserve">
Per commentary at Lagina conference</t>
        </r>
      </text>
    </comment>
    <comment ref="BU88" authorId="3">
      <text>
        <r>
          <rPr>
            <b/>
            <sz val="9"/>
            <color indexed="81"/>
            <rFont val="Tahoma"/>
            <family val="2"/>
          </rPr>
          <t>Coe, Nigel (Research):</t>
        </r>
        <r>
          <rPr>
            <sz val="9"/>
            <color indexed="81"/>
            <rFont val="Tahoma"/>
            <family val="2"/>
          </rPr>
          <t xml:space="preserve">
Assume another $2bn of regualr repos on top of $2bn M&amp;A placeholder</t>
        </r>
      </text>
    </comment>
    <comment ref="BW88" authorId="3">
      <text>
        <r>
          <rPr>
            <b/>
            <sz val="9"/>
            <color indexed="81"/>
            <rFont val="Tahoma"/>
            <family val="2"/>
          </rPr>
          <t>Coe, Nigel (Research):</t>
        </r>
        <r>
          <rPr>
            <sz val="9"/>
            <color indexed="81"/>
            <rFont val="Tahoma"/>
            <family val="2"/>
          </rPr>
          <t xml:space="preserve">
Completion of $3bn program by YE</t>
        </r>
      </text>
    </comment>
    <comment ref="CC88" authorId="3">
      <text>
        <r>
          <rPr>
            <b/>
            <sz val="9"/>
            <color indexed="81"/>
            <rFont val="Tahoma"/>
            <family val="2"/>
          </rPr>
          <t>2Q17
$3.5bn repurchases in 2017
Coe, Nigel (Research):</t>
        </r>
        <r>
          <rPr>
            <sz val="9"/>
            <color indexed="81"/>
            <rFont val="Tahoma"/>
            <family val="2"/>
          </rPr>
          <t xml:space="preserve">
$16bn share repurchase by YE17</t>
        </r>
      </text>
    </comment>
    <comment ref="BM93" authorId="9">
      <text>
        <r>
          <rPr>
            <b/>
            <sz val="8"/>
            <color indexed="81"/>
            <rFont val="Tahoma"/>
            <family val="2"/>
          </rPr>
          <t>sang:</t>
        </r>
        <r>
          <rPr>
            <sz val="8"/>
            <color indexed="81"/>
            <rFont val="Tahoma"/>
            <family val="2"/>
          </rPr>
          <t xml:space="preserve">
payable dec 10th</t>
        </r>
      </text>
    </comment>
    <comment ref="B108" authorId="12">
      <text>
        <r>
          <rPr>
            <b/>
            <sz val="8"/>
            <color indexed="81"/>
            <rFont val="Tahoma"/>
            <family val="2"/>
          </rPr>
          <t xml:space="preserve">input
</t>
        </r>
        <r>
          <rPr>
            <sz val="8"/>
            <color indexed="81"/>
            <rFont val="Tahoma"/>
            <family val="2"/>
          </rPr>
          <t xml:space="preserve">
</t>
        </r>
      </text>
    </comment>
    <comment ref="B110" authorId="12">
      <text>
        <r>
          <rPr>
            <b/>
            <sz val="8"/>
            <color indexed="81"/>
            <rFont val="Tahoma"/>
            <family val="2"/>
          </rPr>
          <t>input</t>
        </r>
        <r>
          <rPr>
            <sz val="8"/>
            <color indexed="81"/>
            <rFont val="Tahoma"/>
            <family val="2"/>
          </rPr>
          <t xml:space="preserve">
</t>
        </r>
      </text>
    </comment>
  </commentList>
</comments>
</file>

<file path=xl/comments5.xml><?xml version="1.0" encoding="utf-8"?>
<comments xmlns="http://schemas.openxmlformats.org/spreadsheetml/2006/main">
  <authors>
    <author>Nigel Coe</author>
    <author>Irevna</author>
    <author>Ramyar</author>
    <author>JZ</author>
    <author>shahviv</author>
    <author>Coe, Nigel (Research)</author>
    <author>sang</author>
    <author>milip</author>
    <author>Authorised Company Employee</author>
    <author>deblase</author>
    <author>coe</author>
    <author>HH</author>
    <author>innam</author>
    <author>ramyar</author>
    <author>Sang, Michael (Research)</author>
    <author>Morales, Jonathan (Research)</author>
    <author>banesou</author>
    <author>soumavab</author>
  </authors>
  <commentList>
    <comment ref="AI21" authorId="0">
      <text>
        <r>
          <rPr>
            <b/>
            <sz val="8"/>
            <color indexed="81"/>
            <rFont val="Tahoma"/>
            <family val="2"/>
          </rPr>
          <t>Nigel Coe:</t>
        </r>
        <r>
          <rPr>
            <sz val="8"/>
            <color indexed="81"/>
            <rFont val="Tahoma"/>
            <family val="2"/>
          </rPr>
          <t xml:space="preserve">
Approximately $105m of gains within this number</t>
        </r>
      </text>
    </comment>
    <comment ref="AN21" authorId="0">
      <text>
        <r>
          <rPr>
            <b/>
            <sz val="8"/>
            <color indexed="81"/>
            <rFont val="Tahoma"/>
            <family val="2"/>
          </rPr>
          <t>Nigel Coe:</t>
        </r>
        <r>
          <rPr>
            <sz val="8"/>
            <color indexed="81"/>
            <rFont val="Tahoma"/>
            <family val="2"/>
          </rPr>
          <t xml:space="preserve">
Approximately $85m of gains within this number</t>
        </r>
      </text>
    </comment>
    <comment ref="AO21" authorId="0">
      <text>
        <r>
          <rPr>
            <b/>
            <sz val="8"/>
            <color indexed="81"/>
            <rFont val="Tahoma"/>
            <family val="2"/>
          </rPr>
          <t>Nigel Coe:</t>
        </r>
        <r>
          <rPr>
            <sz val="8"/>
            <color indexed="81"/>
            <rFont val="Tahoma"/>
            <family val="2"/>
          </rPr>
          <t xml:space="preserve">
$151m sale from marketable securities</t>
        </r>
      </text>
    </comment>
    <comment ref="BH21" authorId="1">
      <text>
        <r>
          <rPr>
            <b/>
            <sz val="8"/>
            <color indexed="81"/>
            <rFont val="Tahoma"/>
            <family val="2"/>
          </rPr>
          <t>Irevna:</t>
        </r>
        <r>
          <rPr>
            <sz val="8"/>
            <color indexed="81"/>
            <rFont val="Tahoma"/>
            <family val="2"/>
          </rPr>
          <t xml:space="preserve">
Taken from 10-K, 
sum of 4 quarters different from full year number</t>
        </r>
      </text>
    </comment>
    <comment ref="Z22" authorId="2">
      <text>
        <r>
          <rPr>
            <b/>
            <sz val="8"/>
            <color indexed="81"/>
            <rFont val="Tahoma"/>
            <family val="2"/>
          </rPr>
          <t>Ramyar:</t>
        </r>
        <r>
          <rPr>
            <sz val="8"/>
            <color indexed="81"/>
            <rFont val="Tahoma"/>
            <family val="2"/>
          </rPr>
          <t xml:space="preserve">
no restatement to total in 1Q05</t>
        </r>
      </text>
    </comment>
    <comment ref="CG22" authorId="3">
      <text>
        <r>
          <rPr>
            <b/>
            <sz val="9"/>
            <color indexed="81"/>
            <rFont val="Tahoma"/>
            <family val="2"/>
          </rPr>
          <t>2Q15
$57-58bn
4Q14
$65-66bn
JZ:</t>
        </r>
        <r>
          <rPr>
            <sz val="9"/>
            <color indexed="81"/>
            <rFont val="Tahoma"/>
            <family val="2"/>
          </rPr>
          <t xml:space="preserve">
$66-67bn</t>
        </r>
      </text>
    </comment>
    <comment ref="BI23" authorId="4">
      <text>
        <r>
          <rPr>
            <sz val="8"/>
            <color indexed="81"/>
            <rFont val="Tahoma"/>
            <family val="2"/>
          </rPr>
          <t xml:space="preserve">Reported: 10.8%
Source: 10-Q 1Q11
</t>
        </r>
      </text>
    </comment>
    <comment ref="BJ23" authorId="4">
      <text>
        <r>
          <rPr>
            <sz val="8"/>
            <color indexed="81"/>
            <rFont val="Tahoma"/>
            <family val="2"/>
          </rPr>
          <t xml:space="preserve">Reported: 9%
Source: 10-Q 2Q11
</t>
        </r>
      </text>
    </comment>
    <comment ref="BK23" authorId="4">
      <text>
        <r>
          <rPr>
            <sz val="8"/>
            <color indexed="81"/>
            <rFont val="Tahoma"/>
            <family val="2"/>
          </rPr>
          <t xml:space="preserve">Reported: 9%
Source: 10-Q 3Q11
</t>
        </r>
      </text>
    </comment>
    <comment ref="BL23" authorId="4">
      <text>
        <r>
          <rPr>
            <sz val="8"/>
            <color indexed="81"/>
            <rFont val="Tahoma"/>
            <family val="2"/>
          </rPr>
          <t xml:space="preserve">Reported: 1%
Source: Investor Presentation 2011
</t>
        </r>
      </text>
    </comment>
    <comment ref="BM23" authorId="4">
      <text>
        <r>
          <rPr>
            <sz val="8"/>
            <color indexed="81"/>
            <rFont val="Tahoma"/>
            <family val="2"/>
          </rPr>
          <t xml:space="preserve">Reported: 7%
Source: Investor Presentation 2011
</t>
        </r>
      </text>
    </comment>
    <comment ref="CD24" authorId="5">
      <text>
        <r>
          <rPr>
            <b/>
            <sz val="9"/>
            <color indexed="81"/>
            <rFont val="Tahoma"/>
            <family val="2"/>
          </rPr>
          <t>Coe, Nigel (Research)
Adjustment related to prior year Sikorsky accounting</t>
        </r>
      </text>
    </comment>
    <comment ref="BS26" authorId="6">
      <text>
        <r>
          <rPr>
            <b/>
            <sz val="8"/>
            <color indexed="81"/>
            <rFont val="Tahoma"/>
            <family val="2"/>
          </rPr>
          <t>sang:</t>
        </r>
        <r>
          <rPr>
            <sz val="8"/>
            <color indexed="81"/>
            <rFont val="Tahoma"/>
            <family val="2"/>
          </rPr>
          <t xml:space="preserve">
2pt organic decline</t>
        </r>
      </text>
    </comment>
    <comment ref="CB26" authorId="3">
      <text>
        <r>
          <rPr>
            <b/>
            <sz val="9"/>
            <color indexed="81"/>
            <rFont val="Tahoma"/>
            <family val="2"/>
          </rPr>
          <t>2Q14:</t>
        </r>
        <r>
          <rPr>
            <sz val="9"/>
            <color indexed="81"/>
            <rFont val="Tahoma"/>
            <family val="2"/>
          </rPr>
          <t xml:space="preserve">
4%</t>
        </r>
      </text>
    </comment>
    <comment ref="CG26" authorId="3">
      <text>
        <r>
          <rPr>
            <b/>
            <sz val="9"/>
            <color indexed="81"/>
            <rFont val="Tahoma"/>
            <family val="2"/>
          </rPr>
          <t>JZ:</t>
        </r>
        <r>
          <rPr>
            <sz val="9"/>
            <color indexed="81"/>
            <rFont val="Tahoma"/>
            <family val="2"/>
          </rPr>
          <t xml:space="preserve">
up 3-5%</t>
        </r>
      </text>
    </comment>
    <comment ref="CL26" authorId="3">
      <text>
        <r>
          <rPr>
            <b/>
            <sz val="9"/>
            <color indexed="81"/>
            <rFont val="Tahoma"/>
            <family val="2"/>
          </rPr>
          <t>Dec 15:</t>
        </r>
        <r>
          <rPr>
            <sz val="9"/>
            <color indexed="81"/>
            <rFont val="Tahoma"/>
            <family val="2"/>
          </rPr>
          <t xml:space="preserve">
Up 1-3%</t>
        </r>
      </text>
    </comment>
    <comment ref="BY36" authorId="5">
      <text>
        <r>
          <rPr>
            <b/>
            <sz val="9"/>
            <color indexed="81"/>
            <rFont val="Tahoma"/>
            <family val="2"/>
          </rPr>
          <t>Coe, Nigel (Research):</t>
        </r>
        <r>
          <rPr>
            <sz val="9"/>
            <color indexed="81"/>
            <rFont val="Tahoma"/>
            <family val="2"/>
          </rPr>
          <t xml:space="preserve">
50bps impact from Sikorsky adjustment</t>
        </r>
      </text>
    </comment>
    <comment ref="BW38" authorId="7">
      <text>
        <r>
          <rPr>
            <sz val="8"/>
            <color indexed="81"/>
            <rFont val="Tahoma"/>
            <family val="2"/>
          </rPr>
          <t>Up $225M y/y
legacy UTC down $50-70M organically
GR up $275M</t>
        </r>
      </text>
    </comment>
    <comment ref="CG38" authorId="3">
      <text>
        <r>
          <rPr>
            <b/>
            <sz val="9"/>
            <color indexed="81"/>
            <rFont val="Tahoma"/>
            <family val="2"/>
          </rPr>
          <t>JZ:</t>
        </r>
        <r>
          <rPr>
            <sz val="9"/>
            <color indexed="81"/>
            <rFont val="Tahoma"/>
            <family val="2"/>
          </rPr>
          <t xml:space="preserve">
$50-100m decrease in R&amp;D partly offset by ~$50m increase in BIS</t>
        </r>
      </text>
    </comment>
    <comment ref="BF41" authorId="0">
      <text>
        <r>
          <rPr>
            <b/>
            <sz val="9"/>
            <color indexed="81"/>
            <rFont val="Arial"/>
            <family val="2"/>
          </rPr>
          <t>Nigel Coe:</t>
        </r>
        <r>
          <rPr>
            <sz val="9"/>
            <color indexed="81"/>
            <rFont val="Arial"/>
            <family val="2"/>
          </rPr>
          <t xml:space="preserve">
$159m impairment on Clipper</t>
        </r>
      </text>
    </comment>
    <comment ref="CM41" authorId="5">
      <text>
        <r>
          <rPr>
            <b/>
            <sz val="9"/>
            <color indexed="81"/>
            <rFont val="Tahoma"/>
            <family val="2"/>
          </rPr>
          <t>Coe, Nigel (Research):</t>
        </r>
        <r>
          <rPr>
            <sz val="9"/>
            <color indexed="81"/>
            <rFont val="Tahoma"/>
            <family val="2"/>
          </rPr>
          <t xml:space="preserve">
Gains on Watsco assets</t>
        </r>
      </text>
    </comment>
    <comment ref="CR41" authorId="5">
      <text>
        <r>
          <rPr>
            <b/>
            <sz val="9"/>
            <color indexed="81"/>
            <rFont val="Tahoma"/>
            <family val="2"/>
          </rPr>
          <t>Coe, Nigel (Research):</t>
        </r>
        <r>
          <rPr>
            <sz val="9"/>
            <color indexed="81"/>
            <rFont val="Tahoma"/>
            <family val="2"/>
          </rPr>
          <t xml:space="preserve">
Gains on Watsco assets</t>
        </r>
      </text>
    </comment>
    <comment ref="BW53" authorId="5">
      <text>
        <r>
          <rPr>
            <b/>
            <sz val="9"/>
            <color indexed="81"/>
            <rFont val="Tahoma"/>
            <family val="2"/>
          </rPr>
          <t>Coe, Nigel (Research):</t>
        </r>
        <r>
          <rPr>
            <sz val="9"/>
            <color indexed="81"/>
            <rFont val="Tahoma"/>
            <family val="2"/>
          </rPr>
          <t xml:space="preserve">
Some bufer here</t>
        </r>
      </text>
    </comment>
    <comment ref="CV53" authorId="3">
      <text>
        <r>
          <rPr>
            <b/>
            <sz val="9"/>
            <color indexed="81"/>
            <rFont val="Tahoma"/>
            <family val="2"/>
          </rPr>
          <t>JZ:</t>
        </r>
        <r>
          <rPr>
            <sz val="9"/>
            <color indexed="81"/>
            <rFont val="Tahoma"/>
            <family val="2"/>
          </rPr>
          <t xml:space="preserve">
headwind from MtM accounting standard changes ($75m) largely offset by pension tailwind ($125-150m)</t>
        </r>
      </text>
    </comment>
    <comment ref="C74" authorId="7">
      <text>
        <r>
          <rPr>
            <sz val="8"/>
            <color indexed="81"/>
            <rFont val="Tahoma"/>
            <family val="2"/>
          </rPr>
          <t>Reported</t>
        </r>
      </text>
    </comment>
    <comment ref="CG75" authorId="3">
      <text>
        <r>
          <rPr>
            <b/>
            <sz val="9"/>
            <color indexed="81"/>
            <rFont val="Tahoma"/>
            <family val="2"/>
          </rPr>
          <t>JZ:</t>
        </r>
        <r>
          <rPr>
            <sz val="9"/>
            <color indexed="81"/>
            <rFont val="Tahoma"/>
            <family val="2"/>
          </rPr>
          <t xml:space="preserve">
mgmt guided for 1.2bn depreciation and 0.5bn amortization</t>
        </r>
      </text>
    </comment>
    <comment ref="CZ86" authorId="3">
      <text>
        <r>
          <rPr>
            <b/>
            <sz val="9"/>
            <color indexed="81"/>
            <rFont val="Tahoma"/>
            <family val="2"/>
          </rPr>
          <t>JZ:</t>
        </r>
        <r>
          <rPr>
            <sz val="9"/>
            <color indexed="81"/>
            <rFont val="Tahoma"/>
            <family val="2"/>
          </rPr>
          <t xml:space="preserve">
up $75 to down $125m</t>
        </r>
      </text>
    </comment>
    <comment ref="BW87" authorId="6">
      <text>
        <r>
          <rPr>
            <b/>
            <sz val="8"/>
            <color indexed="81"/>
            <rFont val="Tahoma"/>
            <family val="2"/>
          </rPr>
          <t>sang:</t>
        </r>
        <r>
          <rPr>
            <sz val="8"/>
            <color indexed="81"/>
            <rFont val="Tahoma"/>
            <family val="2"/>
          </rPr>
          <t xml:space="preserve">
2Q should be ~50mn hit for the full year</t>
        </r>
      </text>
    </comment>
    <comment ref="CV87" authorId="3">
      <text>
        <r>
          <rPr>
            <b/>
            <sz val="9"/>
            <color indexed="81"/>
            <rFont val="Tahoma"/>
            <family val="2"/>
          </rPr>
          <t xml:space="preserve">JZ:
Impact from MtM accounting changes </t>
        </r>
      </text>
    </comment>
    <comment ref="BV88" authorId="6">
      <text>
        <r>
          <rPr>
            <b/>
            <sz val="8"/>
            <color indexed="81"/>
            <rFont val="Tahoma"/>
            <family val="2"/>
          </rPr>
          <t>sang:</t>
        </r>
        <r>
          <rPr>
            <sz val="8"/>
            <color indexed="81"/>
            <rFont val="Tahoma"/>
            <family val="2"/>
          </rPr>
          <t xml:space="preserve">
adjusted formula to excl. the gain in corp.</t>
        </r>
      </text>
    </comment>
    <comment ref="BB103" authorId="4">
      <text>
        <r>
          <rPr>
            <sz val="8"/>
            <color indexed="81"/>
            <rFont val="Tahoma"/>
            <family val="2"/>
          </rPr>
          <t xml:space="preserve">Check failing due to sum of quarters not adding up to annual
</t>
        </r>
      </text>
    </comment>
    <comment ref="BB104" authorId="4">
      <text>
        <r>
          <rPr>
            <sz val="8"/>
            <color indexed="81"/>
            <rFont val="Tahoma"/>
            <family val="2"/>
          </rPr>
          <t xml:space="preserve">Check failing due to sum of quarters not adding up to annual
</t>
        </r>
      </text>
    </comment>
    <comment ref="Y115" authorId="2">
      <text>
        <r>
          <rPr>
            <b/>
            <sz val="8"/>
            <color indexed="81"/>
            <rFont val="Tahoma"/>
            <family val="2"/>
          </rPr>
          <t>Ramyar:</t>
        </r>
        <r>
          <rPr>
            <sz val="8"/>
            <color indexed="81"/>
            <rFont val="Tahoma"/>
            <family val="2"/>
          </rPr>
          <t xml:space="preserve">
23- Flight system
10- other</t>
        </r>
      </text>
    </comment>
    <comment ref="BA115" authorId="8">
      <text>
        <r>
          <rPr>
            <b/>
            <sz val="8"/>
            <color indexed="81"/>
            <rFont val="Tahoma"/>
            <family val="2"/>
          </rPr>
          <t>Authorized Company Employee:</t>
        </r>
        <r>
          <rPr>
            <sz val="8"/>
            <color indexed="81"/>
            <rFont val="Tahoma"/>
            <family val="2"/>
          </rPr>
          <t xml:space="preserve">
Pension curtailment expense</t>
        </r>
      </text>
    </comment>
    <comment ref="BC116" authorId="7">
      <text>
        <r>
          <rPr>
            <sz val="8"/>
            <color indexed="81"/>
            <rFont val="Tahoma"/>
            <family val="2"/>
          </rPr>
          <t>Reported</t>
        </r>
      </text>
    </comment>
    <comment ref="C117" authorId="7">
      <text>
        <r>
          <rPr>
            <sz val="8"/>
            <color indexed="81"/>
            <rFont val="Tahoma"/>
            <family val="2"/>
          </rPr>
          <t xml:space="preserve">Continuing operations </t>
        </r>
      </text>
    </comment>
    <comment ref="BW117" authorId="9">
      <text>
        <r>
          <rPr>
            <b/>
            <sz val="8"/>
            <color indexed="81"/>
            <rFont val="Tahoma"/>
            <family val="2"/>
          </rPr>
          <t>deblase:</t>
        </r>
        <r>
          <rPr>
            <sz val="8"/>
            <color indexed="81"/>
            <rFont val="Tahoma"/>
            <family val="2"/>
          </rPr>
          <t xml:space="preserve">
$350m guidance, fully offset by gains</t>
        </r>
      </text>
    </comment>
    <comment ref="CG117" authorId="3">
      <text>
        <r>
          <rPr>
            <b/>
            <sz val="9"/>
            <color indexed="81"/>
            <rFont val="Tahoma"/>
            <family val="2"/>
          </rPr>
          <t>JZ:</t>
        </r>
        <r>
          <rPr>
            <sz val="9"/>
            <color indexed="81"/>
            <rFont val="Tahoma"/>
            <family val="2"/>
          </rPr>
          <t xml:space="preserve">
mgmt expects ~$300m restructuring actions in FY15, largely offset by one-time gains</t>
        </r>
      </text>
    </comment>
    <comment ref="CL117" authorId="3">
      <text>
        <r>
          <rPr>
            <b/>
            <sz val="9"/>
            <color indexed="81"/>
            <rFont val="Tahoma"/>
            <family val="2"/>
          </rPr>
          <t>2Q16
$400m
JZ:</t>
        </r>
        <r>
          <rPr>
            <sz val="9"/>
            <color indexed="81"/>
            <rFont val="Tahoma"/>
            <family val="2"/>
          </rPr>
          <t xml:space="preserve">
$500m</t>
        </r>
      </text>
    </comment>
    <comment ref="CQ117" authorId="3">
      <text>
        <r>
          <rPr>
            <b/>
            <sz val="9"/>
            <color indexed="81"/>
            <rFont val="Tahoma"/>
            <family val="2"/>
          </rPr>
          <t>JZ:</t>
        </r>
        <r>
          <rPr>
            <sz val="9"/>
            <color indexed="81"/>
            <rFont val="Tahoma"/>
            <family val="2"/>
          </rPr>
          <t xml:space="preserve">
$300m for the full year</t>
        </r>
      </text>
    </comment>
    <comment ref="AZ119" authorId="4">
      <text>
        <r>
          <rPr>
            <sz val="8"/>
            <color indexed="81"/>
            <rFont val="Tahoma"/>
            <family val="2"/>
          </rPr>
          <t xml:space="preserve">Non-cash, non-taxable gain recognized on the remeasurement to fair value of previously held equity interest in a joint venture resulting from the purchase of controlling interest
</t>
        </r>
      </text>
    </comment>
    <comment ref="BK120" authorId="7">
      <text>
        <r>
          <rPr>
            <sz val="8"/>
            <color indexed="81"/>
            <rFont val="Tahoma"/>
            <family val="2"/>
          </rPr>
          <t>$28M gain from disposals related to on-going portfolio transformation
$20M impairment charge on an equity investment</t>
        </r>
      </text>
    </comment>
    <comment ref="BL120" authorId="7">
      <text>
        <r>
          <rPr>
            <sz val="8"/>
            <color indexed="81"/>
            <rFont val="Tahoma"/>
            <family val="2"/>
          </rPr>
          <t>$81M gain from contribution of Carrier's HVAC operations in Latam to Midea JV
$46M impairment charge on an equity investment</t>
        </r>
      </text>
    </comment>
    <comment ref="BN120" authorId="7">
      <text>
        <r>
          <rPr>
            <sz val="8"/>
            <color indexed="81"/>
            <rFont val="Tahoma"/>
            <family val="2"/>
          </rPr>
          <t>On-going portfolio transformation, includes:
$215M gain from sale of controlling interest in Asia JV
$103M impairment charges related to planned business disposals</t>
        </r>
      </text>
    </comment>
    <comment ref="BO120" authorId="7">
      <text>
        <r>
          <rPr>
            <sz val="8"/>
            <color indexed="81"/>
            <rFont val="Tahoma"/>
            <family val="2"/>
          </rPr>
          <t>Gain from ongoing portfolio transformation, includes: 
$142 from the sale of Canadian distribution business, partially offset by $32M loss on disposal of US F&amp;S branch operations</t>
        </r>
      </text>
    </comment>
    <comment ref="BQ120" authorId="7">
      <text>
        <r>
          <rPr>
            <sz val="8"/>
            <color indexed="81"/>
            <rFont val="Tahoma"/>
            <family val="2"/>
          </rPr>
          <t>Net charge from CCS's ongoing portfolio transformation, includes:
$24M pension settlement charges
$39M impairment charges related to the disposal of F&amp;S businesses</t>
        </r>
      </text>
    </comment>
    <comment ref="AW121" authorId="4">
      <text>
        <r>
          <rPr>
            <sz val="8"/>
            <color indexed="81"/>
            <rFont val="Tahoma"/>
            <family val="2"/>
          </rPr>
          <t xml:space="preserve">Gain from the contribution of a business into a new venture operating in the Middle East and the Commonwealth of Independent States
</t>
        </r>
      </text>
    </comment>
    <comment ref="BA121" authorId="4">
      <text>
        <r>
          <rPr>
            <sz val="8"/>
            <color indexed="81"/>
            <rFont val="Tahoma"/>
            <family val="2"/>
          </rPr>
          <t xml:space="preserve">Gain recognized from the contribution of the majority of Carrier's US residential sales and distribution business into a new venture formed with Watsco Inc
</t>
        </r>
      </text>
    </comment>
    <comment ref="BB121" authorId="4">
      <text>
        <r>
          <rPr>
            <sz val="8"/>
            <color indexed="81"/>
            <rFont val="Tahoma"/>
            <family val="2"/>
          </rPr>
          <t xml:space="preserve">Gain from disposition associated with Carrier's ongoing portfolio transformation
</t>
        </r>
      </text>
    </comment>
    <comment ref="BE121" authorId="4">
      <text>
        <r>
          <rPr>
            <sz val="8"/>
            <color indexed="81"/>
            <rFont val="Tahoma"/>
            <family val="2"/>
          </rPr>
          <t xml:space="preserve">Net charge resulting from disposition associated with Carrier's ongoing portfolio transformation. 
$58 mn: Asset impairment charge associated with disposition of business
$11 mn: Gain on sale of other business
</t>
        </r>
      </text>
    </comment>
    <comment ref="BF121" authorId="4">
      <text>
        <r>
          <rPr>
            <sz val="8"/>
            <color indexed="81"/>
            <rFont val="Tahoma"/>
            <family val="2"/>
          </rPr>
          <t xml:space="preserve">Net gain resulting from disposition associated with Carrier's ongoing portfolio transformation
</t>
        </r>
      </text>
    </comment>
    <comment ref="BG121" authorId="4">
      <text>
        <r>
          <rPr>
            <sz val="8"/>
            <color indexed="81"/>
            <rFont val="Tahoma"/>
            <family val="2"/>
          </rPr>
          <t xml:space="preserve">Net gain resulting from disposition associated with Carrier's ongoing portfolio transformation
</t>
        </r>
      </text>
    </comment>
    <comment ref="BK121" authorId="7">
      <text>
        <r>
          <rPr>
            <sz val="8"/>
            <color indexed="81"/>
            <rFont val="Tahoma"/>
            <family val="2"/>
          </rPr>
          <t xml:space="preserve">$28M gain from disposals related to on-going portfolio transformation
</t>
        </r>
      </text>
    </comment>
    <comment ref="BL121" authorId="7">
      <text>
        <r>
          <rPr>
            <sz val="8"/>
            <color indexed="81"/>
            <rFont val="Tahoma"/>
            <family val="2"/>
          </rPr>
          <t xml:space="preserve">$81M gain from contribution of Carrier's HVAC operations in Latam to Midea JV
</t>
        </r>
      </text>
    </comment>
    <comment ref="BK122" authorId="7">
      <text>
        <r>
          <rPr>
            <sz val="8"/>
            <color indexed="81"/>
            <rFont val="Tahoma"/>
            <family val="2"/>
          </rPr>
          <t>$20M impairment charge on an equity investment</t>
        </r>
      </text>
    </comment>
    <comment ref="BL122" authorId="7">
      <text>
        <r>
          <rPr>
            <sz val="8"/>
            <color indexed="81"/>
            <rFont val="Tahoma"/>
            <family val="2"/>
          </rPr>
          <t>$46M impairment charge on an equity investment</t>
        </r>
      </text>
    </comment>
    <comment ref="AV123" authorId="4">
      <text>
        <r>
          <rPr>
            <sz val="8"/>
            <color indexed="81"/>
            <rFont val="Tahoma"/>
            <family val="2"/>
          </rPr>
          <t xml:space="preserve">Non-cash gain on a partial sale of investment
</t>
        </r>
      </text>
    </comment>
    <comment ref="BK123" authorId="7">
      <text>
        <r>
          <rPr>
            <sz val="8"/>
            <color indexed="81"/>
            <rFont val="Tahoma"/>
            <family val="2"/>
          </rPr>
          <t>$41M gain from the sale of an equity investment</t>
        </r>
      </text>
    </comment>
    <comment ref="BT123" authorId="6">
      <text>
        <r>
          <rPr>
            <b/>
            <sz val="8"/>
            <color indexed="81"/>
            <rFont val="Tahoma"/>
            <family val="2"/>
          </rPr>
          <t>sang:</t>
        </r>
        <r>
          <rPr>
            <sz val="8"/>
            <color indexed="81"/>
            <rFont val="Tahoma"/>
            <family val="2"/>
          </rPr>
          <t xml:space="preserve">
pratt power gains</t>
        </r>
      </text>
    </comment>
    <comment ref="BU123" authorId="6">
      <text>
        <r>
          <rPr>
            <b/>
            <sz val="8"/>
            <color indexed="81"/>
            <rFont val="Tahoma"/>
            <family val="2"/>
          </rPr>
          <t>sang:</t>
        </r>
        <r>
          <rPr>
            <sz val="8"/>
            <color indexed="81"/>
            <rFont val="Tahoma"/>
            <family val="2"/>
          </rPr>
          <t xml:space="preserve">
Approximately $25 million charge to adjust the fair value of a Pratt &amp; Whitney joint venture investment.</t>
        </r>
      </text>
    </comment>
    <comment ref="BY123" authorId="3">
      <text>
        <r>
          <rPr>
            <b/>
            <sz val="9"/>
            <color indexed="81"/>
            <rFont val="Tahoma"/>
            <family val="2"/>
          </rPr>
          <t>JZ:</t>
        </r>
        <r>
          <rPr>
            <sz val="9"/>
            <color indexed="81"/>
            <rFont val="Tahoma"/>
            <family val="2"/>
          </rPr>
          <t xml:space="preserve">
charges related to JV</t>
        </r>
      </text>
    </comment>
    <comment ref="AW126" authorId="4">
      <text>
        <r>
          <rPr>
            <sz val="8"/>
            <color indexed="81"/>
            <rFont val="Tahoma"/>
            <family val="2"/>
          </rPr>
          <t xml:space="preserve">Gain on completion of divestiture of business
</t>
        </r>
      </text>
    </comment>
    <comment ref="BE126" authorId="4">
      <text>
        <r>
          <rPr>
            <sz val="8"/>
            <color indexed="81"/>
            <rFont val="Tahoma"/>
            <family val="2"/>
          </rPr>
          <t xml:space="preserve">Asset impairment charges related primarily to the disposition of an aerospace business as part of Hamilton Sundstrand’s ongoing low cost sourcing initiatives
</t>
        </r>
      </text>
    </comment>
    <comment ref="BJ127" authorId="7">
      <text>
        <r>
          <rPr>
            <sz val="8"/>
            <color indexed="81"/>
            <rFont val="Tahoma"/>
            <family val="2"/>
          </rPr>
          <t>Gain from contribution of business to a new venture in the UAE</t>
        </r>
      </text>
    </comment>
    <comment ref="BY127" authorId="3">
      <text>
        <r>
          <rPr>
            <b/>
            <sz val="9"/>
            <color indexed="81"/>
            <rFont val="Tahoma"/>
            <family val="2"/>
          </rPr>
          <t>JZ:</t>
        </r>
        <r>
          <rPr>
            <sz val="9"/>
            <color indexed="81"/>
            <rFont val="Tahoma"/>
            <family val="2"/>
          </rPr>
          <t xml:space="preserve">
$438m CMH charges, $28m impairment related to JV</t>
        </r>
      </text>
    </comment>
    <comment ref="AO128" authorId="4">
      <text>
        <r>
          <rPr>
            <sz val="8"/>
            <color indexed="81"/>
            <rFont val="Tahoma"/>
            <family val="2"/>
          </rPr>
          <t xml:space="preserve">Gain from sale of marketable securities: $151 mn
Losses in connection with EU commission fine: $216 mn
</t>
        </r>
      </text>
    </comment>
    <comment ref="AQ128" authorId="4">
      <text>
        <r>
          <rPr>
            <sz val="8"/>
            <color indexed="81"/>
            <rFont val="Tahoma"/>
            <family val="2"/>
          </rPr>
          <t xml:space="preserve">Favorable pretax interest adjustment related to IRS
</t>
        </r>
      </text>
    </comment>
    <comment ref="AW128" authorId="4">
      <text>
        <r>
          <rPr>
            <sz val="8"/>
            <color indexed="81"/>
            <rFont val="Tahoma"/>
            <family val="2"/>
          </rPr>
          <t xml:space="preserve">$38 million gain from the sale of marketable securities and an approximately $12 million favorable pretax interest adjustment related to settlement of disputed adjustments from the 2000 through 2003 examination with the Appeals Division of the IRS.
</t>
        </r>
      </text>
    </comment>
    <comment ref="BA128" authorId="4">
      <text>
        <r>
          <rPr>
            <sz val="8"/>
            <color indexed="81"/>
            <rFont val="Tahoma"/>
            <family val="2"/>
          </rPr>
          <t xml:space="preserve">Pre-tax interest adjustment related to global tax examination activity 
</t>
        </r>
      </text>
    </comment>
    <comment ref="BB128" authorId="4">
      <text>
        <r>
          <rPr>
            <sz val="8"/>
            <color indexed="81"/>
            <rFont val="Tahoma"/>
            <family val="2"/>
          </rPr>
          <t xml:space="preserve">Pre-tax interest adjustment related to global tax examination activity 
</t>
        </r>
      </text>
    </comment>
    <comment ref="BF128" authorId="4">
      <text>
        <r>
          <rPr>
            <sz val="8"/>
            <color indexed="81"/>
            <rFont val="Tahoma"/>
            <family val="2"/>
          </rPr>
          <t xml:space="preserve">Other than temporary impairment charge of equity investment in Clipper
</t>
        </r>
      </text>
    </comment>
    <comment ref="BG128" authorId="4">
      <text>
        <r>
          <rPr>
            <sz val="8"/>
            <color indexed="81"/>
            <rFont val="Tahoma"/>
            <family val="2"/>
          </rPr>
          <t xml:space="preserve">Non-cash, non-taxable gain recognized to fair value of previously held equity interest in Clipper resulting from purchase of controlling interest in Clipper
</t>
        </r>
      </text>
    </comment>
    <comment ref="BL128" authorId="7">
      <text>
        <r>
          <rPr>
            <sz val="8"/>
            <color indexed="81"/>
            <rFont val="Tahoma"/>
            <family val="2"/>
          </rPr>
          <t>Reserves established for legal matters</t>
        </r>
      </text>
    </comment>
    <comment ref="BN128" authorId="7">
      <text>
        <r>
          <rPr>
            <sz val="8"/>
            <color indexed="81"/>
            <rFont val="Tahoma"/>
            <family val="2"/>
          </rPr>
          <t>Reserves established for export licensing compliance</t>
        </r>
      </text>
    </comment>
    <comment ref="BP128" authorId="7">
      <text>
        <r>
          <rPr>
            <sz val="8"/>
            <color indexed="81"/>
            <rFont val="Tahoma"/>
            <family val="2"/>
          </rPr>
          <t>Gain on re-measurement to fair value of previously held GR shares</t>
        </r>
      </text>
    </comment>
    <comment ref="BY128" authorId="3">
      <text>
        <r>
          <rPr>
            <b/>
            <sz val="9"/>
            <color indexed="81"/>
            <rFont val="Tahoma"/>
            <family val="2"/>
          </rPr>
          <t>JZ:</t>
        </r>
        <r>
          <rPr>
            <sz val="9"/>
            <color indexed="81"/>
            <rFont val="Tahoma"/>
            <family val="2"/>
          </rPr>
          <t xml:space="preserve">
Gain on an agreement with a state taxing authority for the monetization of tax credits</t>
        </r>
      </text>
    </comment>
    <comment ref="BV129" authorId="10">
      <text>
        <r>
          <rPr>
            <b/>
            <sz val="8"/>
            <color indexed="81"/>
            <rFont val="Tahoma"/>
            <family val="2"/>
          </rPr>
          <t>coe:</t>
        </r>
        <r>
          <rPr>
            <sz val="8"/>
            <color indexed="81"/>
            <rFont val="Tahoma"/>
            <family val="2"/>
          </rPr>
          <t xml:space="preserve">
Residual gains to offset 2H restructuring</t>
        </r>
      </text>
    </comment>
    <comment ref="CE129" authorId="5">
      <text>
        <r>
          <rPr>
            <b/>
            <sz val="9"/>
            <color indexed="81"/>
            <rFont val="Tahoma"/>
            <family val="2"/>
          </rPr>
          <t>Coe, Nigel (Research):</t>
        </r>
        <r>
          <rPr>
            <sz val="9"/>
            <color indexed="81"/>
            <rFont val="Tahoma"/>
            <family val="2"/>
          </rPr>
          <t xml:space="preserve">
10-20c of one-time charges</t>
        </r>
      </text>
    </comment>
    <comment ref="CF129" authorId="5">
      <text>
        <r>
          <rPr>
            <b/>
            <sz val="9"/>
            <color indexed="81"/>
            <rFont val="Tahoma"/>
            <family val="2"/>
          </rPr>
          <t>Coe, Nigel (Research):</t>
        </r>
        <r>
          <rPr>
            <sz val="9"/>
            <color indexed="81"/>
            <rFont val="Tahoma"/>
            <family val="2"/>
          </rPr>
          <t xml:space="preserve">
$870m charge related to change in R&amp;D arrangements with the Canadian government</t>
        </r>
      </text>
    </comment>
    <comment ref="CK129" authorId="5">
      <text>
        <r>
          <rPr>
            <b/>
            <sz val="9"/>
            <color indexed="81"/>
            <rFont val="Tahoma"/>
            <family val="2"/>
          </rPr>
          <t>Original est of -450m
Coe, Nigel (Research):</t>
        </r>
        <r>
          <rPr>
            <sz val="9"/>
            <color indexed="81"/>
            <rFont val="Tahoma"/>
            <family val="2"/>
          </rPr>
          <t xml:space="preserve">
Pension settlement charge</t>
        </r>
      </text>
    </comment>
    <comment ref="F139" authorId="4">
      <text>
        <r>
          <rPr>
            <sz val="8"/>
            <color indexed="81"/>
            <rFont val="Tahoma"/>
            <family val="2"/>
          </rPr>
          <t xml:space="preserve">Flight system
</t>
        </r>
      </text>
    </comment>
    <comment ref="G139" authorId="4">
      <text>
        <r>
          <rPr>
            <sz val="8"/>
            <color indexed="81"/>
            <rFont val="Tahoma"/>
            <family val="2"/>
          </rPr>
          <t xml:space="preserve">Flight system
</t>
        </r>
      </text>
    </comment>
    <comment ref="H139" authorId="4">
      <text>
        <r>
          <rPr>
            <sz val="8"/>
            <color indexed="81"/>
            <rFont val="Tahoma"/>
            <family val="2"/>
          </rPr>
          <t xml:space="preserve">Flight system
</t>
        </r>
      </text>
    </comment>
    <comment ref="I139" authorId="4">
      <text>
        <r>
          <rPr>
            <sz val="8"/>
            <color indexed="81"/>
            <rFont val="Tahoma"/>
            <family val="2"/>
          </rPr>
          <t xml:space="preserve">Flight system
</t>
        </r>
      </text>
    </comment>
    <comment ref="K139" authorId="4">
      <text>
        <r>
          <rPr>
            <sz val="8"/>
            <color indexed="81"/>
            <rFont val="Tahoma"/>
            <family val="2"/>
          </rPr>
          <t xml:space="preserve">Flight system
</t>
        </r>
      </text>
    </comment>
    <comment ref="L139" authorId="4">
      <text>
        <r>
          <rPr>
            <sz val="8"/>
            <color indexed="81"/>
            <rFont val="Tahoma"/>
            <family val="2"/>
          </rPr>
          <t xml:space="preserve">Flight system
</t>
        </r>
      </text>
    </comment>
    <comment ref="M139" authorId="4">
      <text>
        <r>
          <rPr>
            <sz val="8"/>
            <color indexed="81"/>
            <rFont val="Tahoma"/>
            <family val="2"/>
          </rPr>
          <t xml:space="preserve">Flight system
</t>
        </r>
      </text>
    </comment>
    <comment ref="N139" authorId="4">
      <text>
        <r>
          <rPr>
            <sz val="8"/>
            <color indexed="81"/>
            <rFont val="Tahoma"/>
            <family val="2"/>
          </rPr>
          <t xml:space="preserve">Flight system
</t>
        </r>
      </text>
    </comment>
    <comment ref="BF141" authorId="0">
      <text>
        <r>
          <rPr>
            <b/>
            <sz val="9"/>
            <color indexed="81"/>
            <rFont val="Arial"/>
            <family val="2"/>
          </rPr>
          <t>Nigel Coe:</t>
        </r>
        <r>
          <rPr>
            <sz val="9"/>
            <color indexed="81"/>
            <rFont val="Arial"/>
            <family val="2"/>
          </rPr>
          <t xml:space="preserve">
$159m impairment on Clipper</t>
        </r>
      </text>
    </comment>
    <comment ref="BW141" authorId="5">
      <text>
        <r>
          <rPr>
            <b/>
            <sz val="9"/>
            <color indexed="81"/>
            <rFont val="Tahoma"/>
            <family val="2"/>
          </rPr>
          <t>Coe, Nigel (Research):</t>
        </r>
        <r>
          <rPr>
            <sz val="9"/>
            <color indexed="81"/>
            <rFont val="Tahoma"/>
            <family val="2"/>
          </rPr>
          <t xml:space="preserve">
$125-150m good placeholder according to UTC management</t>
        </r>
      </text>
    </comment>
    <comment ref="T142" authorId="2">
      <text>
        <r>
          <rPr>
            <b/>
            <sz val="8"/>
            <color indexed="81"/>
            <rFont val="Tahoma"/>
            <family val="2"/>
          </rPr>
          <t>Ramyar:</t>
        </r>
        <r>
          <rPr>
            <sz val="8"/>
            <color indexed="81"/>
            <rFont val="Tahoma"/>
            <family val="2"/>
          </rPr>
          <t xml:space="preserve">
Gen corp exp- 234
eliminations- 174</t>
        </r>
      </text>
    </comment>
    <comment ref="Y142" authorId="2">
      <text>
        <r>
          <rPr>
            <b/>
            <sz val="8"/>
            <color indexed="81"/>
            <rFont val="Tahoma"/>
            <family val="2"/>
          </rPr>
          <t>Ramyar:</t>
        </r>
        <r>
          <rPr>
            <sz val="8"/>
            <color indexed="81"/>
            <rFont val="Tahoma"/>
            <family val="2"/>
          </rPr>
          <t xml:space="preserve">
Gen corp exp- 234
eliminations- 174</t>
        </r>
      </text>
    </comment>
    <comment ref="AA142" authorId="11">
      <text>
        <r>
          <rPr>
            <b/>
            <sz val="8"/>
            <color indexed="81"/>
            <rFont val="Tahoma"/>
            <family val="2"/>
          </rPr>
          <t>HH:</t>
        </r>
        <r>
          <rPr>
            <sz val="8"/>
            <color indexed="81"/>
            <rFont val="Tahoma"/>
            <family val="2"/>
          </rPr>
          <t xml:space="preserve">
Elimination-102
corp-(82)</t>
        </r>
      </text>
    </comment>
    <comment ref="AD142" authorId="2">
      <text>
        <r>
          <rPr>
            <b/>
            <sz val="8"/>
            <color indexed="81"/>
            <rFont val="Tahoma"/>
            <family val="2"/>
          </rPr>
          <t>Ramyar:</t>
        </r>
        <r>
          <rPr>
            <sz val="8"/>
            <color indexed="81"/>
            <rFont val="Tahoma"/>
            <family val="2"/>
          </rPr>
          <t xml:space="preserve">
Gen corp exp- 279
eliminations- -262</t>
        </r>
      </text>
    </comment>
    <comment ref="AE142" authorId="2">
      <text>
        <r>
          <rPr>
            <b/>
            <sz val="8"/>
            <color indexed="81"/>
            <rFont val="Tahoma"/>
            <family val="2"/>
          </rPr>
          <t>Ramyar:</t>
        </r>
        <r>
          <rPr>
            <sz val="8"/>
            <color indexed="81"/>
            <rFont val="Tahoma"/>
            <family val="2"/>
          </rPr>
          <t xml:space="preserve">
corp exp-81
elimination-(11)</t>
        </r>
      </text>
    </comment>
    <comment ref="AF142" authorId="2">
      <text>
        <r>
          <rPr>
            <b/>
            <sz val="8"/>
            <color indexed="81"/>
            <rFont val="Tahoma"/>
            <family val="2"/>
          </rPr>
          <t>Ramyar:</t>
        </r>
        <r>
          <rPr>
            <sz val="8"/>
            <color indexed="81"/>
            <rFont val="Tahoma"/>
            <family val="2"/>
          </rPr>
          <t xml:space="preserve">
corp exp-(82)
elimination-102</t>
        </r>
      </text>
    </comment>
    <comment ref="AG142" authorId="12">
      <text>
        <r>
          <rPr>
            <b/>
            <sz val="10"/>
            <color indexed="81"/>
            <rFont val="Tahoma"/>
            <family val="2"/>
          </rPr>
          <t>innam:</t>
        </r>
        <r>
          <rPr>
            <sz val="10"/>
            <color indexed="81"/>
            <rFont val="Tahoma"/>
            <family val="2"/>
          </rPr>
          <t xml:space="preserve">
Eliminations (26) Corporate (77)
</t>
        </r>
      </text>
    </comment>
    <comment ref="AH142" authorId="12">
      <text>
        <r>
          <rPr>
            <b/>
            <sz val="10"/>
            <color indexed="81"/>
            <rFont val="Tahoma"/>
            <family val="2"/>
          </rPr>
          <t>Amba:</t>
        </r>
        <r>
          <rPr>
            <sz val="10"/>
            <color indexed="81"/>
            <rFont val="Tahoma"/>
            <family val="2"/>
          </rPr>
          <t xml:space="preserve">
Eliminations (6) Corporate (84)
</t>
        </r>
      </text>
    </comment>
    <comment ref="AI142" authorId="13">
      <text>
        <r>
          <rPr>
            <b/>
            <sz val="8"/>
            <color indexed="81"/>
            <rFont val="Tahoma"/>
            <family val="2"/>
          </rPr>
          <t>Amba:
Elimination- 81
corp exp- (324)</t>
        </r>
        <r>
          <rPr>
            <sz val="8"/>
            <color indexed="81"/>
            <rFont val="Tahoma"/>
            <family val="2"/>
          </rPr>
          <t xml:space="preserve">
</t>
        </r>
      </text>
    </comment>
    <comment ref="AJ142" authorId="12">
      <text>
        <r>
          <rPr>
            <b/>
            <sz val="10"/>
            <color indexed="81"/>
            <rFont val="Tahoma"/>
            <family val="2"/>
          </rPr>
          <t>amba:</t>
        </r>
        <r>
          <rPr>
            <sz val="10"/>
            <color indexed="81"/>
            <rFont val="Tahoma"/>
            <family val="2"/>
          </rPr>
          <t xml:space="preserve">
Eliminations 45 Corporate (85)
</t>
        </r>
      </text>
    </comment>
    <comment ref="AK142" authorId="12">
      <text>
        <r>
          <rPr>
            <b/>
            <sz val="10"/>
            <color indexed="81"/>
            <rFont val="Tahoma"/>
            <family val="2"/>
          </rPr>
          <t>amba:</t>
        </r>
        <r>
          <rPr>
            <sz val="10"/>
            <color indexed="81"/>
            <rFont val="Tahoma"/>
            <family val="2"/>
          </rPr>
          <t xml:space="preserve">
Eliminations 84
Corporate (79)
</t>
        </r>
      </text>
    </comment>
    <comment ref="AL142" authorId="12">
      <text>
        <r>
          <rPr>
            <b/>
            <sz val="10"/>
            <color indexed="81"/>
            <rFont val="Tahoma"/>
            <family val="2"/>
          </rPr>
          <t>amba:</t>
        </r>
        <r>
          <rPr>
            <sz val="10"/>
            <color indexed="81"/>
            <rFont val="Tahoma"/>
            <family val="2"/>
          </rPr>
          <t xml:space="preserve">
Eliminations 31
Corporate (80)
</t>
        </r>
      </text>
    </comment>
    <comment ref="AM142" authorId="12">
      <text>
        <r>
          <rPr>
            <b/>
            <sz val="10"/>
            <color indexed="81"/>
            <rFont val="Tahoma"/>
            <family val="2"/>
          </rPr>
          <t>amba:</t>
        </r>
        <r>
          <rPr>
            <sz val="10"/>
            <color indexed="81"/>
            <rFont val="Tahoma"/>
            <family val="2"/>
          </rPr>
          <t xml:space="preserve">
Eliminations 27
Corporate (93)
</t>
        </r>
      </text>
    </comment>
    <comment ref="AO142" authorId="12">
      <text>
        <r>
          <rPr>
            <b/>
            <sz val="10"/>
            <color indexed="81"/>
            <rFont val="Tahoma"/>
            <family val="2"/>
          </rPr>
          <t>amba:</t>
        </r>
        <r>
          <rPr>
            <sz val="10"/>
            <color indexed="81"/>
            <rFont val="Tahoma"/>
            <family val="2"/>
          </rPr>
          <t xml:space="preserve">
Eliminations (63) Corporate (87)
</t>
        </r>
      </text>
    </comment>
    <comment ref="AP142" authorId="12">
      <text>
        <r>
          <rPr>
            <b/>
            <sz val="10"/>
            <color indexed="81"/>
            <rFont val="Tahoma"/>
            <family val="2"/>
          </rPr>
          <t>amba:</t>
        </r>
        <r>
          <rPr>
            <sz val="10"/>
            <color indexed="81"/>
            <rFont val="Tahoma"/>
            <family val="2"/>
          </rPr>
          <t xml:space="preserve">
Eliminations (20) Corporate (92)
</t>
        </r>
      </text>
    </comment>
    <comment ref="BA142" authorId="0">
      <text>
        <r>
          <rPr>
            <b/>
            <sz val="9"/>
            <color indexed="81"/>
            <rFont val="Arial"/>
            <family val="2"/>
          </rPr>
          <t>Nigel Coe:</t>
        </r>
        <r>
          <rPr>
            <sz val="9"/>
            <color indexed="81"/>
            <rFont val="Arial"/>
            <family val="2"/>
          </rPr>
          <t xml:space="preserve">
Includes $59m of pension curtailment expenses</t>
        </r>
      </text>
    </comment>
    <comment ref="BW166" authorId="7">
      <text>
        <r>
          <rPr>
            <sz val="8"/>
            <color indexed="81"/>
            <rFont val="Tahoma"/>
            <family val="2"/>
          </rPr>
          <t>2013 guidance: $1.7bn</t>
        </r>
      </text>
    </comment>
    <comment ref="BY169" authorId="14">
      <text>
        <r>
          <rPr>
            <b/>
            <sz val="8"/>
            <color indexed="81"/>
            <rFont val="Tahoma"/>
            <family val="2"/>
          </rPr>
          <t>Sang, Michael (Research):</t>
        </r>
        <r>
          <rPr>
            <sz val="8"/>
            <color indexed="81"/>
            <rFont val="Tahoma"/>
            <family val="2"/>
          </rPr>
          <t xml:space="preserve">
CMH Charge</t>
        </r>
      </text>
    </comment>
    <comment ref="BX170" authorId="6">
      <text>
        <r>
          <rPr>
            <b/>
            <sz val="8"/>
            <color indexed="81"/>
            <rFont val="Tahoma"/>
            <family val="2"/>
          </rPr>
          <t>sang:</t>
        </r>
        <r>
          <rPr>
            <sz val="8"/>
            <color indexed="81"/>
            <rFont val="Tahoma"/>
            <family val="2"/>
          </rPr>
          <t xml:space="preserve">
per jay 3/14
100mn in 1q &amp; 2q,
50mn in 3q and 4q</t>
        </r>
      </text>
    </comment>
    <comment ref="BY170" authorId="6">
      <text>
        <r>
          <rPr>
            <b/>
            <sz val="8"/>
            <color indexed="81"/>
            <rFont val="Tahoma"/>
            <family val="2"/>
          </rPr>
          <t>sang:</t>
        </r>
        <r>
          <rPr>
            <sz val="8"/>
            <color indexed="81"/>
            <rFont val="Tahoma"/>
            <family val="2"/>
          </rPr>
          <t xml:space="preserve">
per jay 3/14
100mn in 1q &amp; 2q,
50mn in 3q and 4q</t>
        </r>
      </text>
    </comment>
    <comment ref="BZ170" authorId="6">
      <text>
        <r>
          <rPr>
            <b/>
            <sz val="8"/>
            <color indexed="81"/>
            <rFont val="Tahoma"/>
            <family val="2"/>
          </rPr>
          <t>sang:</t>
        </r>
        <r>
          <rPr>
            <sz val="8"/>
            <color indexed="81"/>
            <rFont val="Tahoma"/>
            <family val="2"/>
          </rPr>
          <t xml:space="preserve">
per jay 3/14
100mn in 1q &amp; 2q,
50mn in 3q and 4q</t>
        </r>
      </text>
    </comment>
    <comment ref="CA170" authorId="6">
      <text>
        <r>
          <rPr>
            <b/>
            <sz val="8"/>
            <color indexed="81"/>
            <rFont val="Tahoma"/>
            <family val="2"/>
          </rPr>
          <t>sang:</t>
        </r>
        <r>
          <rPr>
            <sz val="8"/>
            <color indexed="81"/>
            <rFont val="Tahoma"/>
            <family val="2"/>
          </rPr>
          <t xml:space="preserve">
per jay 3/14
100mn in 1q &amp; 2q,
50mn in 3q and 4q</t>
        </r>
      </text>
    </comment>
    <comment ref="BY174" authorId="6">
      <text>
        <r>
          <rPr>
            <b/>
            <sz val="8"/>
            <color indexed="81"/>
            <rFont val="Tahoma"/>
            <family val="2"/>
          </rPr>
          <t>sang:</t>
        </r>
        <r>
          <rPr>
            <sz val="8"/>
            <color indexed="81"/>
            <rFont val="Tahoma"/>
            <family val="2"/>
          </rPr>
          <t xml:space="preserve">
1q - almost all the gains coming in 2q
$250m is equivalent to $375m on a pre-tax basis</t>
        </r>
      </text>
    </comment>
    <comment ref="BX176" authorId="6">
      <text>
        <r>
          <rPr>
            <b/>
            <sz val="8"/>
            <color indexed="81"/>
            <rFont val="Tahoma"/>
            <family val="2"/>
          </rPr>
          <t>sang:</t>
        </r>
        <r>
          <rPr>
            <sz val="8"/>
            <color indexed="81"/>
            <rFont val="Tahoma"/>
            <family val="2"/>
          </rPr>
          <t xml:space="preserve">
guiding to 7c net restructuring in 1Q</t>
        </r>
      </text>
    </comment>
    <comment ref="CE176" authorId="5">
      <text>
        <r>
          <rPr>
            <b/>
            <sz val="9"/>
            <color indexed="81"/>
            <rFont val="Tahoma"/>
            <family val="2"/>
          </rPr>
          <t>Coe, Nigel (Research):
Confirmed at laguna</t>
        </r>
      </text>
    </comment>
    <comment ref="CQ208" authorId="15">
      <text>
        <r>
          <rPr>
            <b/>
            <sz val="9"/>
            <color indexed="81"/>
            <rFont val="Tahoma"/>
            <family val="2"/>
          </rPr>
          <t>Morales, Jonathan (Research):</t>
        </r>
        <r>
          <rPr>
            <sz val="9"/>
            <color indexed="81"/>
            <rFont val="Tahoma"/>
            <family val="2"/>
          </rPr>
          <t xml:space="preserve">
Dec guidance
</t>
        </r>
      </text>
    </comment>
    <comment ref="CQ209" authorId="15">
      <text>
        <r>
          <rPr>
            <b/>
            <sz val="9"/>
            <color indexed="81"/>
            <rFont val="Tahoma"/>
            <family val="2"/>
          </rPr>
          <t>Morales, Jonathan (Research):</t>
        </r>
        <r>
          <rPr>
            <sz val="9"/>
            <color indexed="81"/>
            <rFont val="Tahoma"/>
            <family val="2"/>
          </rPr>
          <t xml:space="preserve">
Dec guidance</t>
        </r>
      </text>
    </comment>
    <comment ref="CQ210" authorId="15">
      <text>
        <r>
          <rPr>
            <b/>
            <sz val="9"/>
            <color indexed="81"/>
            <rFont val="Tahoma"/>
            <family val="2"/>
          </rPr>
          <t>Morales, Jonathan (Research):</t>
        </r>
        <r>
          <rPr>
            <sz val="9"/>
            <color indexed="81"/>
            <rFont val="Tahoma"/>
            <family val="2"/>
          </rPr>
          <t xml:space="preserve">
Dec guidance</t>
        </r>
      </text>
    </comment>
    <comment ref="CQ211" authorId="15">
      <text>
        <r>
          <rPr>
            <b/>
            <sz val="9"/>
            <color indexed="81"/>
            <rFont val="Tahoma"/>
            <family val="2"/>
          </rPr>
          <t>Morales, Jonathan (Research):</t>
        </r>
        <r>
          <rPr>
            <sz val="9"/>
            <color indexed="81"/>
            <rFont val="Tahoma"/>
            <family val="2"/>
          </rPr>
          <t xml:space="preserve">
Dec guidance</t>
        </r>
      </text>
    </comment>
    <comment ref="CQ212" authorId="15">
      <text>
        <r>
          <rPr>
            <b/>
            <sz val="9"/>
            <color indexed="81"/>
            <rFont val="Tahoma"/>
            <family val="2"/>
          </rPr>
          <t>Morales, Jonathan (Research):</t>
        </r>
        <r>
          <rPr>
            <sz val="9"/>
            <color indexed="81"/>
            <rFont val="Tahoma"/>
            <family val="2"/>
          </rPr>
          <t xml:space="preserve">
plug</t>
        </r>
      </text>
    </comment>
    <comment ref="CL213" authorId="5">
      <text>
        <r>
          <rPr>
            <b/>
            <sz val="9"/>
            <color indexed="81"/>
            <rFont val="Tahoma"/>
            <family val="2"/>
          </rPr>
          <t>Coe, Nigel (Research):</t>
        </r>
        <r>
          <rPr>
            <sz val="9"/>
            <color indexed="81"/>
            <rFont val="Tahoma"/>
            <family val="2"/>
          </rPr>
          <t xml:space="preserve">
Placeholder…commentary at Laguna suggested $250m tail wind at current discount rates</t>
        </r>
      </text>
    </comment>
    <comment ref="CQ213" authorId="5">
      <text>
        <r>
          <rPr>
            <b/>
            <sz val="9"/>
            <color indexed="81"/>
            <rFont val="Tahoma"/>
            <family val="2"/>
          </rPr>
          <t>Coe, Nigel (Research):</t>
        </r>
        <r>
          <rPr>
            <sz val="9"/>
            <color indexed="81"/>
            <rFont val="Tahoma"/>
            <family val="2"/>
          </rPr>
          <t xml:space="preserve">
Discsount rates as per July suggest headwinds of $250m - we roll through majority of this headwind through our model
</t>
        </r>
        <r>
          <rPr>
            <b/>
            <sz val="9"/>
            <color indexed="81"/>
            <rFont val="Tahoma"/>
            <family val="2"/>
          </rPr>
          <t xml:space="preserve">Dec 16: 
</t>
        </r>
        <r>
          <rPr>
            <sz val="9"/>
            <color indexed="81"/>
            <rFont val="Tahoma"/>
            <family val="2"/>
          </rPr>
          <t>originally $200m, now flat, -85 plug offset in other</t>
        </r>
      </text>
    </comment>
    <comment ref="B459" authorId="16">
      <text>
        <r>
          <rPr>
            <b/>
            <sz val="8"/>
            <color indexed="81"/>
            <rFont val="Tahoma"/>
            <family val="2"/>
          </rPr>
          <t>2000 and 2001 are restated to reflect the 2005 reporting changes for stock option expense and segment interest  income, as applicable.</t>
        </r>
        <r>
          <rPr>
            <sz val="8"/>
            <color indexed="81"/>
            <rFont val="Tahoma"/>
            <family val="2"/>
          </rPr>
          <t xml:space="preserve">
</t>
        </r>
      </text>
    </comment>
    <comment ref="B460" authorId="16">
      <text>
        <r>
          <rPr>
            <sz val="8"/>
            <color indexed="81"/>
            <rFont val="Tahoma"/>
            <family val="2"/>
          </rPr>
          <t>Adjusted segment revenue in 2003 excludes a $50 million non cash gain resulting from a transaction involving an exchange of equity interests and excludes a $61 million pretax gain in 2006 for the sale of a partnership interest. In 2007, adjusted revenue excludes a number of one time gains from sales of businesses ($84M in Q1, and $26M and $57M in Q4), a one time contract termination gain in Q1 of $40M, and includes $15M of furnace litigation settlement charges that were recorded within other expenses (a component of revenue).
Segment operating profit in 2006 is adjusted for the $61 million gain as well as the impact of a litigation claim settlement, and in 2007, is adjusted for the above mentioned one time gains from sales of businesses and a contract termination, as well as $36M of furnace litigation settlement charges.</t>
        </r>
        <r>
          <rPr>
            <sz val="8"/>
            <color indexed="81"/>
            <rFont val="Tahoma"/>
            <family val="2"/>
          </rPr>
          <t xml:space="preserve">
</t>
        </r>
      </text>
    </comment>
    <comment ref="AN536" authorId="17">
      <text>
        <r>
          <rPr>
            <b/>
            <sz val="8"/>
            <color indexed="81"/>
            <rFont val="Tahoma"/>
            <family val="2"/>
          </rPr>
          <t>soumavab: -13% YoY</t>
        </r>
      </text>
    </comment>
    <comment ref="AS536" authorId="17">
      <text>
        <r>
          <rPr>
            <b/>
            <sz val="8"/>
            <color indexed="81"/>
            <rFont val="Tahoma"/>
            <family val="2"/>
          </rPr>
          <t>soumavab: -25% YoY</t>
        </r>
        <r>
          <rPr>
            <sz val="8"/>
            <color indexed="81"/>
            <rFont val="Tahoma"/>
            <family val="2"/>
          </rPr>
          <t xml:space="preserve">
</t>
        </r>
      </text>
    </comment>
    <comment ref="AX536" authorId="17">
      <text>
        <r>
          <rPr>
            <b/>
            <sz val="8"/>
            <color indexed="81"/>
            <rFont val="Tahoma"/>
            <family val="2"/>
          </rPr>
          <t>soumavab: -23% YoY</t>
        </r>
        <r>
          <rPr>
            <sz val="8"/>
            <color indexed="81"/>
            <rFont val="Tahoma"/>
            <family val="2"/>
          </rPr>
          <t xml:space="preserve">
</t>
        </r>
      </text>
    </comment>
    <comment ref="AS615" authorId="17">
      <text>
        <r>
          <rPr>
            <b/>
            <sz val="8"/>
            <color indexed="81"/>
            <rFont val="Tahoma"/>
            <family val="2"/>
          </rPr>
          <t>soumavab: CAGR 2000-07E</t>
        </r>
        <r>
          <rPr>
            <sz val="8"/>
            <color indexed="81"/>
            <rFont val="Tahoma"/>
            <family val="2"/>
          </rPr>
          <t xml:space="preserve">
</t>
        </r>
      </text>
    </comment>
    <comment ref="AS636" authorId="17">
      <text>
        <r>
          <rPr>
            <b/>
            <sz val="8"/>
            <color indexed="81"/>
            <rFont val="Tahoma"/>
            <family val="2"/>
          </rPr>
          <t xml:space="preserve">soumavab: </t>
        </r>
        <r>
          <rPr>
            <sz val="8"/>
            <color indexed="81"/>
            <rFont val="Tahoma"/>
            <family val="2"/>
          </rPr>
          <t xml:space="preserve">
26% increase in sales
Doubling of profit per employee
25% improvement in delivery performance
30% improvement in customer satisfaction
66% reduction in cost of poor quality</t>
        </r>
      </text>
    </comment>
  </commentList>
</comments>
</file>

<file path=xl/comments6.xml><?xml version="1.0" encoding="utf-8"?>
<comments xmlns="http://schemas.openxmlformats.org/spreadsheetml/2006/main">
  <authors>
    <author>Ramyar</author>
    <author>HH</author>
    <author>Nigel Coe</author>
    <author>Nicole DeBlase</author>
    <author>sang</author>
    <author>JZ</author>
    <author>Amba</author>
    <author>Authorised Company Employee</author>
    <author>shahviv</author>
    <author>Coe, Nigel (Research)</author>
    <author>Morales, Jonathan (Research)</author>
    <author>milip</author>
    <author>deblase</author>
    <author>coe</author>
    <author>rkinzley-a</author>
    <author>davmart-a</author>
    <author>bsoumava</author>
    <author>banesou</author>
    <author>makam</author>
    <author>soumavab</author>
  </authors>
  <commentList>
    <comment ref="AD12" authorId="0">
      <text>
        <r>
          <rPr>
            <b/>
            <sz val="8"/>
            <color indexed="81"/>
            <rFont val="Tahoma"/>
            <family val="2"/>
          </rPr>
          <t>Ramyar:</t>
        </r>
        <r>
          <rPr>
            <sz val="8"/>
            <color indexed="81"/>
            <rFont val="Tahoma"/>
            <family val="2"/>
          </rPr>
          <t xml:space="preserve">
restated in 1Q05- 2,102
10K04-2,115</t>
        </r>
      </text>
    </comment>
    <comment ref="AE12" authorId="1">
      <text>
        <r>
          <rPr>
            <b/>
            <sz val="8"/>
            <color indexed="81"/>
            <rFont val="Tahoma"/>
            <family val="2"/>
          </rPr>
          <t>HH:</t>
        </r>
        <r>
          <rPr>
            <sz val="8"/>
            <color indexed="81"/>
            <rFont val="Tahoma"/>
            <family val="2"/>
          </rPr>
          <t xml:space="preserve">
10Q-2208
2Q05-2193
</t>
        </r>
      </text>
    </comment>
    <comment ref="AF12" authorId="1">
      <text>
        <r>
          <rPr>
            <b/>
            <sz val="8"/>
            <color indexed="81"/>
            <rFont val="Tahoma"/>
            <family val="2"/>
          </rPr>
          <t>HH:</t>
        </r>
        <r>
          <rPr>
            <sz val="8"/>
            <color indexed="81"/>
            <rFont val="Tahoma"/>
            <family val="2"/>
          </rPr>
          <t xml:space="preserve">
10k04-2245
2q05-2228</t>
        </r>
      </text>
    </comment>
    <comment ref="AG12" authorId="1">
      <text>
        <r>
          <rPr>
            <b/>
            <sz val="8"/>
            <color indexed="81"/>
            <rFont val="Tahoma"/>
            <family val="2"/>
          </rPr>
          <t>HH:</t>
        </r>
        <r>
          <rPr>
            <sz val="8"/>
            <color indexed="81"/>
            <rFont val="Tahoma"/>
            <family val="2"/>
          </rPr>
          <t xml:space="preserve">
10k2476</t>
        </r>
      </text>
    </comment>
    <comment ref="AS12" authorId="2">
      <text>
        <r>
          <rPr>
            <b/>
            <sz val="8"/>
            <color indexed="81"/>
            <rFont val="Tahoma"/>
            <family val="2"/>
          </rPr>
          <t>Nigel Coe:</t>
        </r>
        <r>
          <rPr>
            <sz val="8"/>
            <color indexed="81"/>
            <rFont val="Tahoma"/>
            <family val="2"/>
          </rPr>
          <t xml:space="preserve">
Revenues were $2.64bn excluding gain on sale of land</t>
        </r>
      </text>
    </comment>
    <comment ref="AV12" authorId="3">
      <text>
        <r>
          <rPr>
            <b/>
            <sz val="8"/>
            <color indexed="81"/>
            <rFont val="Tahoma"/>
            <family val="2"/>
          </rPr>
          <t>Nicole DeBlase:</t>
        </r>
        <r>
          <rPr>
            <sz val="8"/>
            <color indexed="81"/>
            <rFont val="Tahoma"/>
            <family val="2"/>
          </rPr>
          <t xml:space="preserve">
Revenues were $3.337 excluding gain from sale of business</t>
        </r>
      </text>
    </comment>
    <comment ref="CA13" authorId="4">
      <text>
        <r>
          <rPr>
            <b/>
            <sz val="8"/>
            <color indexed="81"/>
            <rFont val="Tahoma"/>
            <family val="2"/>
          </rPr>
          <t>sang:</t>
        </r>
        <r>
          <rPr>
            <sz val="8"/>
            <color indexed="81"/>
            <rFont val="Tahoma"/>
            <family val="2"/>
          </rPr>
          <t xml:space="preserve">
3Q - up msd</t>
        </r>
      </text>
    </comment>
    <comment ref="CK13" authorId="5">
      <text>
        <r>
          <rPr>
            <b/>
            <sz val="9"/>
            <color indexed="81"/>
            <rFont val="Tahoma"/>
            <family val="2"/>
          </rPr>
          <t>JZ:</t>
        </r>
        <r>
          <rPr>
            <sz val="9"/>
            <color indexed="81"/>
            <rFont val="Tahoma"/>
            <family val="2"/>
          </rPr>
          <t xml:space="preserve">
Down M-HSD</t>
        </r>
      </text>
    </comment>
    <comment ref="CO14" authorId="5">
      <text>
        <r>
          <rPr>
            <b/>
            <sz val="9"/>
            <color indexed="81"/>
            <rFont val="Tahoma"/>
            <family val="2"/>
          </rPr>
          <t>JZ:</t>
        </r>
        <r>
          <rPr>
            <sz val="9"/>
            <color indexed="81"/>
            <rFont val="Tahoma"/>
            <family val="2"/>
          </rPr>
          <t xml:space="preserve">
Schindler JP</t>
        </r>
      </text>
    </comment>
    <comment ref="CR14" authorId="5">
      <text>
        <r>
          <rPr>
            <b/>
            <sz val="9"/>
            <color indexed="81"/>
            <rFont val="Tahoma"/>
            <family val="2"/>
          </rPr>
          <t>JZ:</t>
        </r>
        <r>
          <rPr>
            <sz val="9"/>
            <color indexed="81"/>
            <rFont val="Tahoma"/>
            <family val="2"/>
          </rPr>
          <t xml:space="preserve">
1ppt other
</t>
        </r>
      </text>
    </comment>
    <comment ref="CS14" authorId="5">
      <text>
        <r>
          <rPr>
            <b/>
            <sz val="9"/>
            <color indexed="81"/>
            <rFont val="Tahoma"/>
            <family val="2"/>
          </rPr>
          <t>JZ:</t>
        </r>
        <r>
          <rPr>
            <sz val="9"/>
            <color indexed="81"/>
            <rFont val="Tahoma"/>
            <family val="2"/>
          </rPr>
          <t xml:space="preserve">
including 1ppt other </t>
        </r>
      </text>
    </comment>
    <comment ref="AM16" authorId="6">
      <text>
        <r>
          <rPr>
            <b/>
            <sz val="8"/>
            <color indexed="81"/>
            <rFont val="Tahoma"/>
            <family val="2"/>
          </rPr>
          <t>Amba:</t>
        </r>
        <r>
          <rPr>
            <sz val="8"/>
            <color indexed="81"/>
            <rFont val="Tahoma"/>
            <family val="2"/>
          </rPr>
          <t xml:space="preserve">
Volume growth
</t>
        </r>
      </text>
    </comment>
    <comment ref="AS16" authorId="2">
      <text>
        <r>
          <rPr>
            <b/>
            <sz val="8"/>
            <color indexed="81"/>
            <rFont val="Tahoma"/>
            <family val="2"/>
          </rPr>
          <t>Nigel Coe:</t>
        </r>
        <r>
          <rPr>
            <sz val="8"/>
            <color indexed="81"/>
            <rFont val="Tahoma"/>
            <family val="2"/>
          </rPr>
          <t xml:space="preserve">
7% organic growth excluding gain</t>
        </r>
      </text>
    </comment>
    <comment ref="AT16" authorId="6">
      <text>
        <r>
          <rPr>
            <b/>
            <sz val="8"/>
            <color indexed="81"/>
            <rFont val="Tahoma"/>
            <family val="2"/>
          </rPr>
          <t>Amba: 8% organic growth with out gains</t>
        </r>
        <r>
          <rPr>
            <sz val="8"/>
            <color indexed="81"/>
            <rFont val="Tahoma"/>
            <family val="2"/>
          </rPr>
          <t xml:space="preserve">
</t>
        </r>
      </text>
    </comment>
    <comment ref="BM16" authorId="2">
      <text>
        <r>
          <rPr>
            <b/>
            <sz val="8"/>
            <color indexed="81"/>
            <rFont val="Tahoma"/>
            <family val="2"/>
          </rPr>
          <t>Nigel Coe:</t>
        </r>
        <r>
          <rPr>
            <sz val="8"/>
            <color indexed="81"/>
            <rFont val="Tahoma"/>
            <family val="2"/>
          </rPr>
          <t xml:space="preserve">
OE down 6% offset by growth in Service</t>
        </r>
      </text>
    </comment>
    <comment ref="BX16" authorId="4">
      <text>
        <r>
          <rPr>
            <b/>
            <sz val="8"/>
            <color indexed="81"/>
            <rFont val="Tahoma"/>
            <family val="2"/>
          </rPr>
          <t>sang:</t>
        </r>
        <r>
          <rPr>
            <sz val="8"/>
            <color indexed="81"/>
            <rFont val="Tahoma"/>
            <family val="2"/>
          </rPr>
          <t xml:space="preserve">
4% per deck</t>
        </r>
      </text>
    </comment>
    <comment ref="CA16" authorId="4">
      <text>
        <r>
          <rPr>
            <b/>
            <sz val="8"/>
            <color indexed="81"/>
            <rFont val="Tahoma"/>
            <family val="2"/>
          </rPr>
          <t>sang:</t>
        </r>
        <r>
          <rPr>
            <sz val="8"/>
            <color indexed="81"/>
            <rFont val="Tahoma"/>
            <family val="2"/>
          </rPr>
          <t xml:space="preserve">
3q - up mSd</t>
        </r>
      </text>
    </comment>
    <comment ref="CF16" authorId="5">
      <text>
        <r>
          <rPr>
            <b/>
            <sz val="9"/>
            <color indexed="81"/>
            <rFont val="Tahoma"/>
            <family val="2"/>
          </rPr>
          <t>2Q14:</t>
        </r>
        <r>
          <rPr>
            <sz val="9"/>
            <color indexed="81"/>
            <rFont val="Tahoma"/>
            <family val="2"/>
          </rPr>
          <t xml:space="preserve">
MSD organic</t>
        </r>
      </text>
    </comment>
    <comment ref="CK16" authorId="5">
      <text>
        <r>
          <rPr>
            <b/>
            <sz val="9"/>
            <color indexed="81"/>
            <rFont val="Tahoma"/>
            <family val="2"/>
          </rPr>
          <t>2Q15
Up LSD
JZ:</t>
        </r>
        <r>
          <rPr>
            <sz val="9"/>
            <color indexed="81"/>
            <rFont val="Tahoma"/>
            <family val="2"/>
          </rPr>
          <t xml:space="preserve">
up MSD</t>
        </r>
      </text>
    </comment>
    <comment ref="CM16" authorId="5">
      <text>
        <r>
          <rPr>
            <b/>
            <sz val="9"/>
            <color indexed="81"/>
            <rFont val="Tahoma"/>
            <family val="2"/>
          </rPr>
          <t>JZ:</t>
        </r>
        <r>
          <rPr>
            <sz val="9"/>
            <color indexed="81"/>
            <rFont val="Tahoma"/>
            <family val="2"/>
          </rPr>
          <t xml:space="preserve">
Organic sales increased 2% due to higher service sales (1%), with growth in the Americas and Asia, and higher new equipment sales growth (1%). The new equipment sales growth was driven by growth in North America (2%) and Europe (1%), partially offset by a decline in China (2%).</t>
        </r>
      </text>
    </comment>
    <comment ref="CP16" authorId="5">
      <text>
        <r>
          <rPr>
            <sz val="9"/>
            <color indexed="81"/>
            <rFont val="Tahoma"/>
            <family val="2"/>
          </rPr>
          <t>organic sales +1%</t>
        </r>
      </text>
    </comment>
    <comment ref="CR16" authorId="5">
      <text>
        <r>
          <rPr>
            <b/>
            <sz val="9"/>
            <color indexed="81"/>
            <rFont val="Tahoma"/>
            <family val="2"/>
          </rPr>
          <t>JZ:</t>
        </r>
        <r>
          <rPr>
            <sz val="9"/>
            <color indexed="81"/>
            <rFont val="Tahoma"/>
            <family val="2"/>
          </rPr>
          <t xml:space="preserve">
up 4% ex. China</t>
        </r>
      </text>
    </comment>
    <comment ref="CU16" authorId="5">
      <text>
        <r>
          <rPr>
            <b/>
            <sz val="9"/>
            <color indexed="81"/>
            <rFont val="Tahoma"/>
            <family val="2"/>
          </rPr>
          <t>Dec 16:</t>
        </r>
        <r>
          <rPr>
            <sz val="9"/>
            <color indexed="81"/>
            <rFont val="Tahoma"/>
            <family val="2"/>
          </rPr>
          <t xml:space="preserve">
Up LSD</t>
        </r>
      </text>
    </comment>
    <comment ref="BN20" authorId="2">
      <text>
        <r>
          <rPr>
            <b/>
            <sz val="8"/>
            <color indexed="81"/>
            <rFont val="Tahoma"/>
            <family val="2"/>
          </rPr>
          <t>Nigel Coe:</t>
        </r>
        <r>
          <rPr>
            <sz val="8"/>
            <color indexed="81"/>
            <rFont val="Tahoma"/>
            <family val="2"/>
          </rPr>
          <t xml:space="preserve">
Assume mix deteriorates on OE ramp up</t>
        </r>
      </text>
    </comment>
    <comment ref="BA23" authorId="7">
      <text>
        <r>
          <rPr>
            <b/>
            <sz val="8"/>
            <color indexed="81"/>
            <rFont val="Tahoma"/>
            <family val="2"/>
          </rPr>
          <t>Authorised Company Employee:</t>
        </r>
        <r>
          <rPr>
            <sz val="8"/>
            <color indexed="81"/>
            <rFont val="Tahoma"/>
            <family val="2"/>
          </rPr>
          <t xml:space="preserve">
1ppt impact from Brazilian inventory adjustment</t>
        </r>
      </text>
    </comment>
    <comment ref="BQ23" authorId="2">
      <text>
        <r>
          <rPr>
            <b/>
            <sz val="8"/>
            <color indexed="81"/>
            <rFont val="Tahoma"/>
            <family val="2"/>
          </rPr>
          <t>Nigel Coe:</t>
        </r>
        <r>
          <rPr>
            <sz val="8"/>
            <color indexed="81"/>
            <rFont val="Tahoma"/>
            <family val="2"/>
          </rPr>
          <t xml:space="preserve">
Assume adverse Otis mix</t>
        </r>
      </text>
    </comment>
    <comment ref="AD29" authorId="0">
      <text>
        <r>
          <rPr>
            <b/>
            <sz val="8"/>
            <color indexed="81"/>
            <rFont val="Tahoma"/>
            <family val="2"/>
          </rPr>
          <t>Ramyar:</t>
        </r>
        <r>
          <rPr>
            <sz val="8"/>
            <color indexed="81"/>
            <rFont val="Tahoma"/>
            <family val="2"/>
          </rPr>
          <t xml:space="preserve">
10K04-322
1Q05-302</t>
        </r>
      </text>
    </comment>
    <comment ref="AF29" authorId="1">
      <text>
        <r>
          <rPr>
            <b/>
            <sz val="8"/>
            <color indexed="81"/>
            <rFont val="Tahoma"/>
            <family val="2"/>
          </rPr>
          <t>HH:</t>
        </r>
        <r>
          <rPr>
            <sz val="8"/>
            <color indexed="81"/>
            <rFont val="Tahoma"/>
            <family val="2"/>
          </rPr>
          <t xml:space="preserve">
10k04-409
2q05-385</t>
        </r>
      </text>
    </comment>
    <comment ref="AG29" authorId="1">
      <text>
        <r>
          <rPr>
            <b/>
            <sz val="8"/>
            <color indexed="81"/>
            <rFont val="Tahoma"/>
            <family val="2"/>
          </rPr>
          <t>HH:</t>
        </r>
        <r>
          <rPr>
            <sz val="8"/>
            <color indexed="81"/>
            <rFont val="Tahoma"/>
            <family val="2"/>
          </rPr>
          <t xml:space="preserve">
10k-455</t>
        </r>
      </text>
    </comment>
    <comment ref="AH29" authorId="1">
      <text>
        <r>
          <rPr>
            <b/>
            <sz val="8"/>
            <color indexed="81"/>
            <rFont val="Tahoma"/>
            <family val="2"/>
          </rPr>
          <t>HH:</t>
        </r>
        <r>
          <rPr>
            <sz val="8"/>
            <color indexed="81"/>
            <rFont val="Tahoma"/>
            <family val="2"/>
          </rPr>
          <t xml:space="preserve">
10k-1504
</t>
        </r>
      </text>
    </comment>
    <comment ref="AS30" authorId="2">
      <text>
        <r>
          <rPr>
            <b/>
            <sz val="8"/>
            <color indexed="81"/>
            <rFont val="Tahoma"/>
            <family val="2"/>
          </rPr>
          <t>Nigel Coe:</t>
        </r>
        <r>
          <rPr>
            <sz val="8"/>
            <color indexed="81"/>
            <rFont val="Tahoma"/>
            <family val="2"/>
          </rPr>
          <t xml:space="preserve">
18.5% ex-gain</t>
        </r>
      </text>
    </comment>
    <comment ref="AS33" authorId="7">
      <text>
        <r>
          <rPr>
            <b/>
            <sz val="8"/>
            <color indexed="81"/>
            <rFont val="Tahoma"/>
            <family val="2"/>
          </rPr>
          <t>Authorised Company Employee:</t>
        </r>
        <r>
          <rPr>
            <sz val="8"/>
            <color indexed="81"/>
            <rFont val="Tahoma"/>
            <family val="2"/>
          </rPr>
          <t xml:space="preserve">
$84m gain on sale of a facility in Madrid</t>
        </r>
      </text>
    </comment>
    <comment ref="AV33" authorId="7">
      <text>
        <r>
          <rPr>
            <b/>
            <sz val="8"/>
            <color indexed="81"/>
            <rFont val="Tahoma"/>
            <family val="2"/>
          </rPr>
          <t>Authorised Company Employee:</t>
        </r>
        <r>
          <rPr>
            <sz val="8"/>
            <color indexed="81"/>
            <rFont val="Tahoma"/>
            <family val="2"/>
          </rPr>
          <t xml:space="preserve">
Gain on sale of non-core business</t>
        </r>
      </text>
    </comment>
    <comment ref="BD33" authorId="8">
      <text>
        <r>
          <rPr>
            <sz val="8"/>
            <color indexed="81"/>
            <rFont val="Tahoma"/>
            <family val="2"/>
          </rPr>
          <t xml:space="preserve">Non-cash, non-taxable gain recognized on the remeasurement to fair value of previously held equity interest in a joint venture resulting from the purchase of controlling interest
</t>
        </r>
      </text>
    </comment>
    <comment ref="CP34" authorId="5">
      <text>
        <r>
          <rPr>
            <b/>
            <sz val="9"/>
            <color indexed="81"/>
            <rFont val="Tahoma"/>
            <family val="2"/>
          </rPr>
          <t xml:space="preserve">3Q16
</t>
        </r>
        <r>
          <rPr>
            <sz val="9"/>
            <color indexed="81"/>
            <rFont val="Tahoma"/>
            <family val="2"/>
          </rPr>
          <t xml:space="preserve">Down $150-175m
</t>
        </r>
        <r>
          <rPr>
            <b/>
            <sz val="9"/>
            <color indexed="81"/>
            <rFont val="Tahoma"/>
            <family val="2"/>
          </rPr>
          <t xml:space="preserve">
2Q16</t>
        </r>
        <r>
          <rPr>
            <sz val="9"/>
            <color indexed="81"/>
            <rFont val="Tahoma"/>
            <family val="2"/>
          </rPr>
          <t xml:space="preserve">
Down $150-200m</t>
        </r>
        <r>
          <rPr>
            <b/>
            <sz val="9"/>
            <color indexed="81"/>
            <rFont val="Tahoma"/>
            <family val="2"/>
          </rPr>
          <t xml:space="preserve">
JZ:</t>
        </r>
        <r>
          <rPr>
            <sz val="9"/>
            <color indexed="81"/>
            <rFont val="Tahoma"/>
            <family val="2"/>
          </rPr>
          <t xml:space="preserve">
down $200-250m</t>
        </r>
      </text>
    </comment>
    <comment ref="CU34" authorId="5">
      <text>
        <r>
          <rPr>
            <b/>
            <sz val="9"/>
            <color indexed="81"/>
            <rFont val="Tahoma"/>
            <family val="2"/>
          </rPr>
          <t>JZ:</t>
        </r>
        <r>
          <rPr>
            <sz val="9"/>
            <color indexed="81"/>
            <rFont val="Tahoma"/>
            <family val="2"/>
          </rPr>
          <t xml:space="preserve">
Down $125-175m</t>
        </r>
      </text>
    </comment>
    <comment ref="BY35" authorId="4">
      <text>
        <r>
          <rPr>
            <b/>
            <sz val="8"/>
            <color indexed="81"/>
            <rFont val="Tahoma"/>
            <family val="2"/>
          </rPr>
          <t>sang:</t>
        </r>
        <r>
          <rPr>
            <sz val="8"/>
            <color indexed="81"/>
            <rFont val="Tahoma"/>
            <family val="2"/>
          </rPr>
          <t xml:space="preserve">
15mn post-tax impact, 50bps</t>
        </r>
      </text>
    </comment>
    <comment ref="CA35" authorId="4">
      <text>
        <r>
          <rPr>
            <b/>
            <sz val="8"/>
            <color indexed="81"/>
            <rFont val="Tahoma"/>
            <family val="2"/>
          </rPr>
          <t>sang:</t>
        </r>
        <r>
          <rPr>
            <sz val="8"/>
            <color indexed="81"/>
            <rFont val="Tahoma"/>
            <family val="2"/>
          </rPr>
          <t xml:space="preserve">
3q increase of ~25m</t>
        </r>
      </text>
    </comment>
    <comment ref="CB35" authorId="4">
      <text>
        <r>
          <rPr>
            <b/>
            <sz val="8"/>
            <color indexed="81"/>
            <rFont val="Tahoma"/>
            <family val="2"/>
          </rPr>
          <t>sang:</t>
        </r>
        <r>
          <rPr>
            <sz val="8"/>
            <color indexed="81"/>
            <rFont val="Tahoma"/>
            <family val="2"/>
          </rPr>
          <t xml:space="preserve">
~10mn impact from florence issues</t>
        </r>
      </text>
    </comment>
    <comment ref="CC35" authorId="4">
      <text>
        <r>
          <rPr>
            <b/>
            <sz val="8"/>
            <color indexed="81"/>
            <rFont val="Tahoma"/>
            <family val="2"/>
          </rPr>
          <t>sang:</t>
        </r>
        <r>
          <rPr>
            <sz val="8"/>
            <color indexed="81"/>
            <rFont val="Tahoma"/>
            <family val="2"/>
          </rPr>
          <t xml:space="preserve">
minimal</t>
        </r>
      </text>
    </comment>
    <comment ref="CF35" authorId="5">
      <text>
        <r>
          <rPr>
            <b/>
            <sz val="9"/>
            <color indexed="81"/>
            <rFont val="Tahoma"/>
            <family val="2"/>
          </rPr>
          <t>3Q14:</t>
        </r>
        <r>
          <rPr>
            <sz val="9"/>
            <color indexed="81"/>
            <rFont val="Tahoma"/>
            <family val="2"/>
          </rPr>
          <t xml:space="preserve">
$50m</t>
        </r>
      </text>
    </comment>
    <comment ref="CG35" authorId="4">
      <text>
        <r>
          <rPr>
            <b/>
            <sz val="8"/>
            <color indexed="81"/>
            <rFont val="Tahoma"/>
            <family val="2"/>
          </rPr>
          <t>sang:</t>
        </r>
        <r>
          <rPr>
            <sz val="8"/>
            <color indexed="81"/>
            <rFont val="Tahoma"/>
            <family val="2"/>
          </rPr>
          <t xml:space="preserve">
11pt impact from fx</t>
        </r>
      </text>
    </comment>
    <comment ref="CI35" authorId="9">
      <text>
        <r>
          <rPr>
            <b/>
            <sz val="9"/>
            <color indexed="81"/>
            <rFont val="Tahoma"/>
            <family val="2"/>
          </rPr>
          <t>Coe, Nigel (Research):</t>
        </r>
        <r>
          <rPr>
            <sz val="9"/>
            <color indexed="81"/>
            <rFont val="Tahoma"/>
            <family val="2"/>
          </rPr>
          <t xml:space="preserve">
Approx 2c from items - FX MtM</t>
        </r>
      </text>
    </comment>
    <comment ref="CK35" authorId="5">
      <text>
        <r>
          <rPr>
            <b/>
            <sz val="9"/>
            <color indexed="81"/>
            <rFont val="Tahoma"/>
            <family val="2"/>
          </rPr>
          <t>2Q15
Down $300-350m
JZ:</t>
        </r>
        <r>
          <rPr>
            <sz val="9"/>
            <color indexed="81"/>
            <rFont val="Tahoma"/>
            <family val="2"/>
          </rPr>
          <t xml:space="preserve">
down 100-150m</t>
        </r>
      </text>
    </comment>
    <comment ref="CE36" authorId="9">
      <text>
        <r>
          <rPr>
            <b/>
            <sz val="9"/>
            <color indexed="81"/>
            <rFont val="Tahoma"/>
            <family val="2"/>
          </rPr>
          <t>Coe, Nigel (Research):</t>
        </r>
        <r>
          <rPr>
            <sz val="9"/>
            <color indexed="81"/>
            <rFont val="Tahoma"/>
            <family val="2"/>
          </rPr>
          <t xml:space="preserve">
Down 90bpq Q/Q. Feels consistent</t>
        </r>
      </text>
    </comment>
    <comment ref="CJ36" authorId="5">
      <text>
        <r>
          <rPr>
            <b/>
            <sz val="9"/>
            <color indexed="81"/>
            <rFont val="Tahoma"/>
            <family val="2"/>
          </rPr>
          <t>JZ:</t>
        </r>
        <r>
          <rPr>
            <sz val="9"/>
            <color indexed="81"/>
            <rFont val="Tahoma"/>
            <family val="2"/>
          </rPr>
          <t xml:space="preserve">
including 100bps impact from FX MtM adjustment</t>
        </r>
      </text>
    </comment>
    <comment ref="CC37" authorId="4">
      <text>
        <r>
          <rPr>
            <b/>
            <sz val="8"/>
            <color indexed="81"/>
            <rFont val="Tahoma"/>
            <family val="2"/>
          </rPr>
          <t>sang:</t>
        </r>
        <r>
          <rPr>
            <sz val="8"/>
            <color indexed="81"/>
            <rFont val="Tahoma"/>
            <family val="2"/>
          </rPr>
          <t xml:space="preserve">
2Q likely to be flattish on a $ basis</t>
        </r>
      </text>
    </comment>
    <comment ref="CE37" authorId="4">
      <text>
        <r>
          <rPr>
            <b/>
            <sz val="8"/>
            <color indexed="81"/>
            <rFont val="Tahoma"/>
            <family val="2"/>
          </rPr>
          <t>sang:</t>
        </r>
        <r>
          <rPr>
            <sz val="8"/>
            <color indexed="81"/>
            <rFont val="Tahoma"/>
            <family val="2"/>
          </rPr>
          <t xml:space="preserve">
lapping florence issues</t>
        </r>
      </text>
    </comment>
    <comment ref="CU55" authorId="10">
      <text>
        <r>
          <rPr>
            <b/>
            <sz val="9"/>
            <color indexed="81"/>
            <rFont val="Tahoma"/>
            <family val="2"/>
          </rPr>
          <t xml:space="preserve">Dec 16: </t>
        </r>
        <r>
          <rPr>
            <sz val="9"/>
            <color indexed="81"/>
            <rFont val="Tahoma"/>
            <family val="2"/>
          </rPr>
          <t>Up LSD</t>
        </r>
      </text>
    </comment>
    <comment ref="CU58" authorId="10">
      <text>
        <r>
          <rPr>
            <b/>
            <sz val="9"/>
            <color indexed="81"/>
            <rFont val="Tahoma"/>
            <family val="2"/>
          </rPr>
          <t>Dec 16:</t>
        </r>
        <r>
          <rPr>
            <sz val="9"/>
            <color indexed="81"/>
            <rFont val="Tahoma"/>
            <family val="2"/>
          </rPr>
          <t xml:space="preserve"> Up LSD/MSD
</t>
        </r>
      </text>
    </comment>
    <comment ref="CU59" authorId="10">
      <text>
        <r>
          <rPr>
            <b/>
            <sz val="9"/>
            <color indexed="81"/>
            <rFont val="Tahoma"/>
            <family val="2"/>
          </rPr>
          <t xml:space="preserve">Dec 16: </t>
        </r>
        <r>
          <rPr>
            <sz val="9"/>
            <color indexed="81"/>
            <rFont val="Tahoma"/>
            <family val="2"/>
          </rPr>
          <t xml:space="preserve">Up LSD
</t>
        </r>
      </text>
    </comment>
    <comment ref="AR61" authorId="11">
      <text>
        <r>
          <rPr>
            <sz val="8"/>
            <color indexed="81"/>
            <rFont val="Tahoma"/>
            <family val="2"/>
          </rPr>
          <t>Per company IR</t>
        </r>
      </text>
    </comment>
    <comment ref="AW61" authorId="8">
      <text>
        <r>
          <rPr>
            <sz val="8"/>
            <color indexed="81"/>
            <rFont val="Tahoma"/>
            <family val="2"/>
          </rPr>
          <t>From Transcript:
reached 48% new equipment, a little bit more than that in the fourth quarter</t>
        </r>
      </text>
    </comment>
    <comment ref="BD61" authorId="8">
      <text>
        <r>
          <rPr>
            <sz val="8"/>
            <color indexed="81"/>
            <rFont val="Tahoma"/>
            <family val="2"/>
          </rPr>
          <t xml:space="preserve">55% of that business comes from the service side
</t>
        </r>
      </text>
    </comment>
    <comment ref="BI61" authorId="8">
      <text>
        <r>
          <rPr>
            <sz val="8"/>
            <color indexed="81"/>
            <rFont val="Tahoma"/>
            <family val="2"/>
          </rPr>
          <t xml:space="preserve">Across Otis, it's about a 60/40 split aftermarket to OE.
</t>
        </r>
      </text>
    </comment>
    <comment ref="BN61" authorId="8">
      <text>
        <r>
          <rPr>
            <sz val="8"/>
            <color indexed="81"/>
            <rFont val="Tahoma"/>
            <family val="2"/>
          </rPr>
          <t xml:space="preserve">Right now about 60% of their business is service, about 40% new equipment
</t>
        </r>
      </text>
    </comment>
    <comment ref="BQ61" authorId="8">
      <text>
        <r>
          <rPr>
            <sz val="8"/>
            <color indexed="81"/>
            <rFont val="Tahoma"/>
            <family val="2"/>
          </rPr>
          <t xml:space="preserve">Investor and analyst meeting presentation dated 15 Mar, 2012 (slide 4)
</t>
        </r>
      </text>
    </comment>
    <comment ref="V63" authorId="8">
      <text>
        <r>
          <rPr>
            <sz val="8"/>
            <color indexed="81"/>
            <rFont val="Tahoma"/>
            <family val="2"/>
          </rPr>
          <t xml:space="preserve">Low single digit number (up)
</t>
        </r>
      </text>
    </comment>
    <comment ref="AF63" authorId="8">
      <text>
        <r>
          <rPr>
            <sz val="8"/>
            <color indexed="81"/>
            <rFont val="Tahoma"/>
            <family val="2"/>
          </rPr>
          <t xml:space="preserve">Up high teens in the quarter on constant currency basis
</t>
        </r>
      </text>
    </comment>
    <comment ref="AL63" authorId="8">
      <text>
        <r>
          <rPr>
            <sz val="8"/>
            <color indexed="81"/>
            <rFont val="Tahoma"/>
            <family val="2"/>
          </rPr>
          <t xml:space="preserve">New equipment was -- basically I think they were relatively in line with each other this quarter. I think we saw a little bit more
new equipment last quarter than we had seen in the previous. But this quarter they are relatively in line with each other.
</t>
        </r>
      </text>
    </comment>
    <comment ref="AO63" authorId="8">
      <text>
        <r>
          <rPr>
            <sz val="8"/>
            <color indexed="81"/>
            <rFont val="Tahoma"/>
            <family val="2"/>
          </rPr>
          <t xml:space="preserve">New equipment revenues were up high single-digits in the quarter
</t>
        </r>
      </text>
    </comment>
    <comment ref="BA63" authorId="8">
      <text>
        <r>
          <rPr>
            <sz val="8"/>
            <color indexed="81"/>
            <rFont val="Tahoma"/>
            <family val="2"/>
          </rPr>
          <t xml:space="preserve">Between 2-3%
</t>
        </r>
      </text>
    </comment>
    <comment ref="BC63" authorId="8">
      <text>
        <r>
          <rPr>
            <sz val="8"/>
            <color indexed="81"/>
            <rFont val="Tahoma"/>
            <family val="2"/>
          </rPr>
          <t xml:space="preserve">Down double digit
</t>
        </r>
      </text>
    </comment>
    <comment ref="BD63" authorId="8">
      <text>
        <r>
          <rPr>
            <sz val="8"/>
            <color indexed="81"/>
            <rFont val="Tahoma"/>
            <family val="2"/>
          </rPr>
          <t xml:space="preserve">New equipment revenue was down 9% excluding currency, with mid-teen declines in Europe and North America
</t>
        </r>
      </text>
    </comment>
    <comment ref="BE63" authorId="8">
      <text>
        <r>
          <rPr>
            <sz val="8"/>
            <color indexed="81"/>
            <rFont val="Tahoma"/>
            <family val="2"/>
          </rPr>
          <t xml:space="preserve">New equipment revenue was down 10% in the quarter excluding currency, partially offset by aftermarket growth.
</t>
        </r>
      </text>
    </comment>
    <comment ref="BF63" authorId="8">
      <text>
        <r>
          <rPr>
            <sz val="8"/>
            <color indexed="81"/>
            <rFont val="Tahoma"/>
            <family val="2"/>
          </rPr>
          <t xml:space="preserve">New equipment revenue was down 14% in the quarter excluding currency with declines in most major markets partially offset by a double digit increase in China.
</t>
        </r>
      </text>
    </comment>
    <comment ref="BH63" authorId="8">
      <text>
        <r>
          <rPr>
            <sz val="8"/>
            <color indexed="81"/>
            <rFont val="Tahoma"/>
            <family val="2"/>
          </rPr>
          <t xml:space="preserve">New equipment sales were down
7%, as a strong rebound in China was more than offset by a continued decline in North America and Europe
</t>
        </r>
      </text>
    </comment>
    <comment ref="BI63" authorId="8">
      <text>
        <r>
          <rPr>
            <sz val="8"/>
            <color indexed="81"/>
            <rFont val="Tahoma"/>
            <family val="2"/>
          </rPr>
          <t xml:space="preserve">New equipment revenue was down 10% in the quarter excluding currency, as continued growth in China was offset by declines in most other major markets
</t>
        </r>
      </text>
    </comment>
    <comment ref="BJ63" authorId="8">
      <text>
        <r>
          <rPr>
            <sz val="8"/>
            <color indexed="81"/>
            <rFont val="Tahoma"/>
            <family val="2"/>
          </rPr>
          <t xml:space="preserve">New equipment revenue was down 3% in the quarter, excluding currency, as growth
in the BRIC countries and the Middle East partially offset lower volume in North America.
</t>
        </r>
      </text>
    </comment>
    <comment ref="BK63" authorId="8">
      <text>
        <r>
          <rPr>
            <sz val="8"/>
            <color indexed="81"/>
            <rFont val="Tahoma"/>
            <family val="2"/>
          </rPr>
          <t xml:space="preserve">New equipment sales were down
8% in the quarter, excluding currency.
</t>
        </r>
      </text>
    </comment>
    <comment ref="BM63" authorId="8">
      <text>
        <r>
          <rPr>
            <sz val="8"/>
            <color indexed="81"/>
            <rFont val="Tahoma"/>
            <family val="2"/>
          </rPr>
          <t xml:space="preserve">New equipment sales were down 6% at constant currency, driven by declines in North America and Europe
</t>
        </r>
      </text>
    </comment>
    <comment ref="BN63" authorId="8">
      <text>
        <r>
          <rPr>
            <sz val="8"/>
            <color indexed="81"/>
            <rFont val="Tahoma"/>
            <family val="2"/>
          </rPr>
          <t xml:space="preserve">New equipment sales were up 8% in the quarter at constant currency, led by strong growth in China and Russia.
</t>
        </r>
      </text>
    </comment>
    <comment ref="BO63" authorId="8">
      <text>
        <r>
          <rPr>
            <sz val="8"/>
            <color indexed="81"/>
            <rFont val="Tahoma"/>
            <family val="2"/>
          </rPr>
          <t xml:space="preserve">New equipment sales in the quarter were up 9% at constant currency, led by strong growth in China and Russia.
</t>
        </r>
      </text>
    </comment>
    <comment ref="BP63" authorId="8">
      <text>
        <r>
          <rPr>
            <sz val="8"/>
            <color indexed="81"/>
            <rFont val="Tahoma"/>
            <family val="2"/>
          </rPr>
          <t>New equipment sales increased 6% at constant currency, led by continued growth in emerging markets.</t>
        </r>
      </text>
    </comment>
    <comment ref="BR63" authorId="8">
      <text>
        <r>
          <rPr>
            <sz val="8"/>
            <color indexed="81"/>
            <rFont val="Tahoma"/>
            <family val="2"/>
          </rPr>
          <t xml:space="preserve">At constant currency
</t>
        </r>
      </text>
    </comment>
    <comment ref="BS63" authorId="8">
      <text>
        <r>
          <rPr>
            <sz val="8"/>
            <color indexed="81"/>
            <rFont val="Tahoma"/>
            <family val="2"/>
          </rPr>
          <t xml:space="preserve">At constant currency, new equipment sales were down low single-digit, with high single-digit sales growth in North America, more than offset by declines in
Europe and China.
</t>
        </r>
      </text>
    </comment>
    <comment ref="BT63" authorId="8">
      <text>
        <r>
          <rPr>
            <sz val="8"/>
            <color indexed="81"/>
            <rFont val="Tahoma"/>
            <family val="2"/>
          </rPr>
          <t xml:space="preserve">At constant currency, new equipment sales were down low single
digit with mid-single digit declines in Europe and China, partially offset by mid-single digit growth in the Americas and the rest of Asia.
</t>
        </r>
      </text>
    </comment>
    <comment ref="BU63" authorId="8">
      <text>
        <r>
          <rPr>
            <sz val="8"/>
            <color indexed="81"/>
            <rFont val="Tahoma"/>
            <family val="2"/>
          </rPr>
          <t xml:space="preserve">At constant currency, new equipment
sales were down slightly, as growth in China and the Americas was offset by declines in Europe and the rest of Asia.
</t>
        </r>
      </text>
    </comment>
    <comment ref="BV63" authorId="8">
      <text>
        <r>
          <rPr>
            <sz val="8"/>
            <color indexed="81"/>
            <rFont val="Tahoma"/>
            <family val="2"/>
          </rPr>
          <t xml:space="preserve">New equipment sales declined 2% in 2012
</t>
        </r>
      </text>
    </comment>
    <comment ref="BW63" authorId="12">
      <text>
        <r>
          <rPr>
            <b/>
            <sz val="8"/>
            <color indexed="81"/>
            <rFont val="Tahoma"/>
            <family val="2"/>
          </rPr>
          <t>deblase:</t>
        </r>
        <r>
          <rPr>
            <sz val="8"/>
            <color indexed="81"/>
            <rFont val="Tahoma"/>
            <family val="2"/>
          </rPr>
          <t xml:space="preserve">
Up MSD</t>
        </r>
      </text>
    </comment>
    <comment ref="BX63" authorId="4">
      <text>
        <r>
          <rPr>
            <b/>
            <sz val="8"/>
            <color indexed="81"/>
            <rFont val="Tahoma"/>
            <family val="2"/>
          </rPr>
          <t>sang:</t>
        </r>
        <r>
          <rPr>
            <sz val="8"/>
            <color indexed="81"/>
            <rFont val="Tahoma"/>
            <family val="2"/>
          </rPr>
          <t xml:space="preserve">
up high single in equip</t>
        </r>
      </text>
    </comment>
    <comment ref="BY63" authorId="4">
      <text>
        <r>
          <rPr>
            <b/>
            <sz val="8"/>
            <color indexed="81"/>
            <rFont val="Tahoma"/>
            <family val="2"/>
          </rPr>
          <t>sang:</t>
        </r>
        <r>
          <rPr>
            <sz val="8"/>
            <color indexed="81"/>
            <rFont val="Tahoma"/>
            <family val="2"/>
          </rPr>
          <t xml:space="preserve">
driven by US +25%, NA +20%.. EMEA +LSD, Asia w/ China +HSD.. China +LTs</t>
        </r>
      </text>
    </comment>
    <comment ref="CA63" authorId="9">
      <text>
        <r>
          <rPr>
            <b/>
            <sz val="9"/>
            <color indexed="81"/>
            <rFont val="Tahoma"/>
            <family val="2"/>
          </rPr>
          <t>Coe, Nigel (Research):</t>
        </r>
        <r>
          <rPr>
            <sz val="9"/>
            <color indexed="81"/>
            <rFont val="Tahoma"/>
            <family val="2"/>
          </rPr>
          <t xml:space="preserve">
Supported by backlog growth</t>
        </r>
      </text>
    </comment>
    <comment ref="CF63" authorId="13">
      <text>
        <r>
          <rPr>
            <b/>
            <sz val="8"/>
            <color indexed="81"/>
            <rFont val="Tahoma"/>
            <family val="2"/>
          </rPr>
          <t>coe:</t>
        </r>
        <r>
          <rPr>
            <sz val="8"/>
            <color indexed="81"/>
            <rFont val="Tahoma"/>
            <family val="2"/>
          </rPr>
          <t xml:space="preserve">
Americas up 10%, EMEA up mid singles and Asia up mid teens</t>
        </r>
      </text>
    </comment>
    <comment ref="CK63" authorId="5">
      <text>
        <r>
          <rPr>
            <b/>
            <sz val="9"/>
            <color indexed="81"/>
            <rFont val="Tahoma"/>
            <family val="2"/>
          </rPr>
          <t>JZ:</t>
        </r>
        <r>
          <rPr>
            <sz val="9"/>
            <color indexed="81"/>
            <rFont val="Tahoma"/>
            <family val="2"/>
          </rPr>
          <t xml:space="preserve">
~10%</t>
        </r>
      </text>
    </comment>
    <comment ref="CK64" authorId="5">
      <text>
        <r>
          <rPr>
            <b/>
            <sz val="9"/>
            <color indexed="81"/>
            <rFont val="Tahoma"/>
            <family val="2"/>
          </rPr>
          <t>JZ:</t>
        </r>
        <r>
          <rPr>
            <sz val="9"/>
            <color indexed="81"/>
            <rFont val="Tahoma"/>
            <family val="2"/>
          </rPr>
          <t xml:space="preserve">
up mid-tnx</t>
        </r>
      </text>
    </comment>
    <comment ref="CL64" authorId="5">
      <text>
        <r>
          <rPr>
            <b/>
            <sz val="9"/>
            <color indexed="81"/>
            <rFont val="Tahoma"/>
            <family val="2"/>
          </rPr>
          <t>JZ:</t>
        </r>
        <r>
          <rPr>
            <sz val="9"/>
            <color indexed="81"/>
            <rFont val="Tahoma"/>
            <family val="2"/>
          </rPr>
          <t xml:space="preserve">
tough comps</t>
        </r>
      </text>
    </comment>
    <comment ref="CK65" authorId="5">
      <text>
        <r>
          <rPr>
            <b/>
            <sz val="9"/>
            <color indexed="81"/>
            <rFont val="Tahoma"/>
            <family val="2"/>
          </rPr>
          <t>JZ:</t>
        </r>
        <r>
          <rPr>
            <sz val="9"/>
            <color indexed="81"/>
            <rFont val="Tahoma"/>
            <family val="2"/>
          </rPr>
          <t xml:space="preserve">
Flat</t>
        </r>
      </text>
    </comment>
    <comment ref="CP65" authorId="5">
      <text>
        <r>
          <rPr>
            <b/>
            <sz val="9"/>
            <color indexed="81"/>
            <rFont val="Tahoma"/>
            <family val="2"/>
          </rPr>
          <t>Dec 15:</t>
        </r>
        <r>
          <rPr>
            <sz val="9"/>
            <color indexed="81"/>
            <rFont val="Tahoma"/>
            <family val="2"/>
          </rPr>
          <t xml:space="preserve">
up 10%up LSD</t>
        </r>
      </text>
    </comment>
    <comment ref="CK66" authorId="5">
      <text>
        <r>
          <rPr>
            <b/>
            <sz val="9"/>
            <color indexed="81"/>
            <rFont val="Tahoma"/>
            <family val="2"/>
          </rPr>
          <t>JZ:</t>
        </r>
        <r>
          <rPr>
            <sz val="9"/>
            <color indexed="81"/>
            <rFont val="Tahoma"/>
            <family val="2"/>
          </rPr>
          <t xml:space="preserve">
Flat</t>
        </r>
      </text>
    </comment>
    <comment ref="CP66" authorId="5">
      <text>
        <r>
          <rPr>
            <b/>
            <sz val="9"/>
            <color indexed="81"/>
            <rFont val="Tahoma"/>
            <family val="2"/>
          </rPr>
          <t>JZ:</t>
        </r>
        <r>
          <rPr>
            <sz val="9"/>
            <color indexed="81"/>
            <rFont val="Tahoma"/>
            <family val="2"/>
          </rPr>
          <t xml:space="preserve">
Down HSD</t>
        </r>
      </text>
    </comment>
    <comment ref="CK67" authorId="5">
      <text>
        <r>
          <rPr>
            <b/>
            <sz val="9"/>
            <color indexed="81"/>
            <rFont val="Tahoma"/>
            <family val="2"/>
          </rPr>
          <t>JZ:</t>
        </r>
        <r>
          <rPr>
            <sz val="9"/>
            <color indexed="81"/>
            <rFont val="Tahoma"/>
            <family val="2"/>
          </rPr>
          <t xml:space="preserve">
down LSD</t>
        </r>
      </text>
    </comment>
    <comment ref="CL67" authorId="5">
      <text>
        <r>
          <rPr>
            <b/>
            <sz val="9"/>
            <color indexed="81"/>
            <rFont val="Tahoma"/>
            <family val="2"/>
          </rPr>
          <t>JZ:</t>
        </r>
        <r>
          <rPr>
            <sz val="9"/>
            <color indexed="81"/>
            <rFont val="Tahoma"/>
            <family val="2"/>
          </rPr>
          <t xml:space="preserve">
up 2% on unit basis</t>
        </r>
      </text>
    </comment>
    <comment ref="AE69" authorId="8">
      <text>
        <r>
          <rPr>
            <sz val="8"/>
            <color indexed="81"/>
            <rFont val="Tahoma"/>
            <family val="2"/>
          </rPr>
          <t xml:space="preserve">Up 7% in the quarter
</t>
        </r>
      </text>
    </comment>
    <comment ref="BA69" authorId="8">
      <text>
        <r>
          <rPr>
            <sz val="8"/>
            <color indexed="81"/>
            <rFont val="Tahoma"/>
            <family val="2"/>
          </rPr>
          <t xml:space="preserve">Between 6-7%
</t>
        </r>
      </text>
    </comment>
    <comment ref="BC69" authorId="8">
      <text>
        <r>
          <rPr>
            <sz val="8"/>
            <color indexed="81"/>
            <rFont val="Tahoma"/>
            <family val="2"/>
          </rPr>
          <t>Continued growth in the service business</t>
        </r>
      </text>
    </comment>
    <comment ref="BD69" authorId="8">
      <text>
        <r>
          <rPr>
            <sz val="8"/>
            <color indexed="81"/>
            <rFont val="Tahoma"/>
            <family val="2"/>
          </rPr>
          <t xml:space="preserve">Service growing at faster rate than equipment
</t>
        </r>
      </text>
    </comment>
    <comment ref="BF69" authorId="8">
      <text>
        <r>
          <rPr>
            <sz val="8"/>
            <color indexed="81"/>
            <rFont val="Tahoma"/>
            <family val="2"/>
          </rPr>
          <t xml:space="preserve">Service revenue was about flat as continued growth in the contractual maintenance business offset declines in both modernization
and repair.
</t>
        </r>
      </text>
    </comment>
    <comment ref="BH69" authorId="8">
      <text>
        <r>
          <rPr>
            <sz val="8"/>
            <color indexed="81"/>
            <rFont val="Tahoma"/>
            <family val="2"/>
          </rPr>
          <t>Service revenues were down slightly with growth in the contractual maintenance business offset by lower modernization and repair volumes.</t>
        </r>
      </text>
    </comment>
    <comment ref="BI69" authorId="8">
      <text>
        <r>
          <rPr>
            <sz val="8"/>
            <color indexed="81"/>
            <rFont val="Tahoma"/>
            <family val="2"/>
          </rPr>
          <t xml:space="preserve">Up low single digit
</t>
        </r>
      </text>
    </comment>
    <comment ref="BJ69" authorId="8">
      <text>
        <r>
          <rPr>
            <sz val="8"/>
            <color indexed="81"/>
            <rFont val="Tahoma"/>
            <family val="2"/>
          </rPr>
          <t>Service revenues offset the new
equipment decline driven by continued growth in contractual maintenance and improving repair sales</t>
        </r>
      </text>
    </comment>
    <comment ref="BK69" authorId="8">
      <text>
        <r>
          <rPr>
            <sz val="8"/>
            <color indexed="81"/>
            <rFont val="Tahoma"/>
            <family val="2"/>
          </rPr>
          <t xml:space="preserve">Higher service sales from continued growth in the contractual maintenance business, and improved repair volume,
helped mitigate the new equipment decline.
</t>
        </r>
      </text>
    </comment>
    <comment ref="BM69" authorId="8">
      <text>
        <r>
          <rPr>
            <sz val="8"/>
            <color indexed="81"/>
            <rFont val="Tahoma"/>
            <family val="2"/>
          </rPr>
          <t xml:space="preserve">Service sales were also up globally, with continuing growth in contractual maintenance
and improving repair volume.
</t>
        </r>
      </text>
    </comment>
    <comment ref="BN69" authorId="8">
      <text>
        <r>
          <rPr>
            <sz val="8"/>
            <color indexed="81"/>
            <rFont val="Tahoma"/>
            <family val="2"/>
          </rPr>
          <t xml:space="preserve">Service sales were also up in the quarter with continued growth in contractual maintenance and repair.
</t>
        </r>
      </text>
    </comment>
    <comment ref="BO69" authorId="8">
      <text>
        <r>
          <rPr>
            <sz val="8"/>
            <color indexed="81"/>
            <rFont val="Tahoma"/>
            <family val="2"/>
          </rPr>
          <t xml:space="preserve">Service sales were also up, with continued growth in contractual maintenance and repair.
</t>
        </r>
      </text>
    </comment>
    <comment ref="BP69" authorId="8">
      <text>
        <r>
          <rPr>
            <sz val="8"/>
            <color indexed="81"/>
            <rFont val="Tahoma"/>
            <family val="2"/>
          </rPr>
          <t xml:space="preserve">Service sales were also up, with growth in contractual maintenance and repair.
</t>
        </r>
      </text>
    </comment>
    <comment ref="BR69" authorId="8">
      <text>
        <r>
          <rPr>
            <sz val="8"/>
            <color indexed="81"/>
            <rFont val="Tahoma"/>
            <family val="2"/>
          </rPr>
          <t xml:space="preserve">Service sales up led by growth in modernization and contractual maintenance
</t>
        </r>
      </text>
    </comment>
    <comment ref="BS69" authorId="8">
      <text>
        <r>
          <rPr>
            <sz val="8"/>
            <color indexed="81"/>
            <rFont val="Tahoma"/>
            <family val="2"/>
          </rPr>
          <t xml:space="preserve">Overall service sales were up, led by growth in modernization and contractual maintenance.
</t>
        </r>
      </text>
    </comment>
    <comment ref="BT69" authorId="8">
      <text>
        <r>
          <rPr>
            <sz val="8"/>
            <color indexed="81"/>
            <rFont val="Tahoma"/>
            <family val="2"/>
          </rPr>
          <t xml:space="preserve">Service was up slightly with higher contractual maintenance more than offsetting a slight decline in repair.
</t>
        </r>
      </text>
    </comment>
    <comment ref="BU69" authorId="8">
      <text>
        <r>
          <rPr>
            <sz val="8"/>
            <color indexed="81"/>
            <rFont val="Tahoma"/>
            <family val="2"/>
          </rPr>
          <t xml:space="preserve">Service was up low-single digit
led by growth in modernization and contractual maintenance
</t>
        </r>
      </text>
    </comment>
    <comment ref="BX69" authorId="4">
      <text>
        <r>
          <rPr>
            <b/>
            <sz val="8"/>
            <color indexed="81"/>
            <rFont val="Tahoma"/>
            <family val="2"/>
          </rPr>
          <t>sang:</t>
        </r>
        <r>
          <rPr>
            <sz val="8"/>
            <color indexed="81"/>
            <rFont val="Tahoma"/>
            <family val="2"/>
          </rPr>
          <t xml:space="preserve">
lsd sales gowth in services</t>
        </r>
      </text>
    </comment>
    <comment ref="BY69" authorId="4">
      <text>
        <r>
          <rPr>
            <b/>
            <sz val="8"/>
            <color indexed="81"/>
            <rFont val="Tahoma"/>
            <family val="2"/>
          </rPr>
          <t>sang:</t>
        </r>
        <r>
          <rPr>
            <sz val="8"/>
            <color indexed="81"/>
            <rFont val="Tahoma"/>
            <family val="2"/>
          </rPr>
          <t xml:space="preserve">
US +MSD, EMEA -LSD, Asia up MSD. China +20%... </t>
        </r>
      </text>
    </comment>
    <comment ref="BZ69" authorId="4">
      <text>
        <r>
          <rPr>
            <b/>
            <sz val="8"/>
            <color indexed="81"/>
            <rFont val="Tahoma"/>
            <family val="2"/>
          </rPr>
          <t>sang:</t>
        </r>
        <r>
          <rPr>
            <sz val="8"/>
            <color indexed="81"/>
            <rFont val="Tahoma"/>
            <family val="2"/>
          </rPr>
          <t xml:space="preserve">
NA +4%, China +10%, Europe -1%</t>
        </r>
      </text>
    </comment>
    <comment ref="CF69" authorId="13">
      <text>
        <r>
          <rPr>
            <sz val="8"/>
            <color indexed="81"/>
            <rFont val="Tahoma"/>
            <family val="2"/>
          </rPr>
          <t>Total growth, including FX impact</t>
        </r>
        <r>
          <rPr>
            <b/>
            <sz val="8"/>
            <color indexed="81"/>
            <rFont val="Tahoma"/>
            <family val="2"/>
          </rPr>
          <t xml:space="preserve">
coe:</t>
        </r>
        <r>
          <rPr>
            <sz val="8"/>
            <color indexed="81"/>
            <rFont val="Tahoma"/>
            <family val="2"/>
          </rPr>
          <t xml:space="preserve">
Americas up low singles, EMEA flattish and Asia up mid singles</t>
        </r>
      </text>
    </comment>
    <comment ref="CK69" authorId="5">
      <text>
        <r>
          <rPr>
            <b/>
            <sz val="9"/>
            <color indexed="81"/>
            <rFont val="Tahoma"/>
            <family val="2"/>
          </rPr>
          <t>2014 Dec:</t>
        </r>
        <r>
          <rPr>
            <sz val="9"/>
            <color indexed="81"/>
            <rFont val="Tahoma"/>
            <family val="2"/>
          </rPr>
          <t xml:space="preserve">
up MSD</t>
        </r>
      </text>
    </comment>
    <comment ref="CL69" authorId="5">
      <text>
        <r>
          <rPr>
            <b/>
            <sz val="9"/>
            <color indexed="81"/>
            <rFont val="Tahoma"/>
            <family val="2"/>
          </rPr>
          <t>JZ:</t>
        </r>
        <r>
          <rPr>
            <sz val="9"/>
            <color indexed="81"/>
            <rFont val="Tahoma"/>
            <family val="2"/>
          </rPr>
          <t xml:space="preserve">
up LSD</t>
        </r>
      </text>
    </comment>
    <comment ref="CP69" authorId="9">
      <text>
        <r>
          <rPr>
            <b/>
            <sz val="9"/>
            <color indexed="81"/>
            <rFont val="Tahoma"/>
            <family val="2"/>
          </rPr>
          <t>Dec 15: up LSD
Coe, Nigel (Research):</t>
        </r>
        <r>
          <rPr>
            <sz val="9"/>
            <color indexed="81"/>
            <rFont val="Tahoma"/>
            <family val="2"/>
          </rPr>
          <t xml:space="preserve">
Acceleration due to China growth in the 20% zone</t>
        </r>
      </text>
    </comment>
    <comment ref="CR69" authorId="5">
      <text>
        <r>
          <rPr>
            <b/>
            <sz val="9"/>
            <color indexed="81"/>
            <rFont val="Tahoma"/>
            <family val="2"/>
          </rPr>
          <t>JZ:</t>
        </r>
        <r>
          <rPr>
            <sz val="9"/>
            <color indexed="81"/>
            <rFont val="Tahoma"/>
            <family val="2"/>
          </rPr>
          <t xml:space="preserve">
solid growth in modernization and report, while maintenance was up LSD</t>
        </r>
      </text>
    </comment>
    <comment ref="CS69" authorId="5">
      <text>
        <r>
          <rPr>
            <b/>
            <sz val="9"/>
            <color indexed="81"/>
            <rFont val="Tahoma"/>
            <family val="2"/>
          </rPr>
          <t>JZ:</t>
        </r>
        <r>
          <rPr>
            <sz val="9"/>
            <color indexed="81"/>
            <rFont val="Tahoma"/>
            <family val="2"/>
          </rPr>
          <t xml:space="preserve">
including acquisition</t>
        </r>
      </text>
    </comment>
    <comment ref="CK70" authorId="5">
      <text>
        <r>
          <rPr>
            <b/>
            <sz val="9"/>
            <color indexed="81"/>
            <rFont val="Tahoma"/>
            <family val="2"/>
          </rPr>
          <t>JZ:</t>
        </r>
        <r>
          <rPr>
            <sz val="9"/>
            <color indexed="81"/>
            <rFont val="Tahoma"/>
            <family val="2"/>
          </rPr>
          <t xml:space="preserve">
up LSD</t>
        </r>
      </text>
    </comment>
    <comment ref="CP70" authorId="5">
      <text>
        <r>
          <rPr>
            <b/>
            <sz val="9"/>
            <color indexed="81"/>
            <rFont val="Tahoma"/>
            <family val="2"/>
          </rPr>
          <t>JZ:</t>
        </r>
        <r>
          <rPr>
            <sz val="9"/>
            <color indexed="81"/>
            <rFont val="Tahoma"/>
            <family val="2"/>
          </rPr>
          <t xml:space="preserve">
up MSD</t>
        </r>
      </text>
    </comment>
    <comment ref="CC71" authorId="5">
      <text>
        <r>
          <rPr>
            <b/>
            <sz val="9"/>
            <color indexed="81"/>
            <rFont val="Tahoma"/>
            <family val="2"/>
          </rPr>
          <t>JZ:</t>
        </r>
        <r>
          <rPr>
            <sz val="9"/>
            <color indexed="81"/>
            <rFont val="Tahoma"/>
            <family val="2"/>
          </rPr>
          <t xml:space="preserve">
not only pricing, might had some tough comps</t>
        </r>
      </text>
    </comment>
    <comment ref="CK71" authorId="5">
      <text>
        <r>
          <rPr>
            <b/>
            <sz val="9"/>
            <color indexed="81"/>
            <rFont val="Tahoma"/>
            <family val="2"/>
          </rPr>
          <t>JZ:</t>
        </r>
        <r>
          <rPr>
            <sz val="9"/>
            <color indexed="81"/>
            <rFont val="Tahoma"/>
            <family val="2"/>
          </rPr>
          <t xml:space="preserve">
Down MSD</t>
        </r>
      </text>
    </comment>
    <comment ref="CP71" authorId="5">
      <text>
        <r>
          <rPr>
            <b/>
            <sz val="9"/>
            <color indexed="81"/>
            <rFont val="Tahoma"/>
            <family val="2"/>
          </rPr>
          <t>JZ:</t>
        </r>
        <r>
          <rPr>
            <sz val="9"/>
            <color indexed="81"/>
            <rFont val="Tahoma"/>
            <family val="2"/>
          </rPr>
          <t xml:space="preserve">
flat</t>
        </r>
      </text>
    </comment>
    <comment ref="CK72" authorId="5">
      <text>
        <r>
          <rPr>
            <b/>
            <sz val="9"/>
            <color indexed="81"/>
            <rFont val="Tahoma"/>
            <family val="2"/>
          </rPr>
          <t>JZ:</t>
        </r>
        <r>
          <rPr>
            <sz val="9"/>
            <color indexed="81"/>
            <rFont val="Tahoma"/>
            <family val="2"/>
          </rPr>
          <t xml:space="preserve">
up 10%</t>
        </r>
      </text>
    </comment>
    <comment ref="CP73" authorId="5">
      <text>
        <r>
          <rPr>
            <b/>
            <sz val="9"/>
            <color indexed="81"/>
            <rFont val="Tahoma"/>
            <family val="2"/>
          </rPr>
          <t>JZ:</t>
        </r>
        <r>
          <rPr>
            <sz val="9"/>
            <color indexed="81"/>
            <rFont val="Tahoma"/>
            <family val="2"/>
          </rPr>
          <t xml:space="preserve">
up HSD</t>
        </r>
      </text>
    </comment>
    <comment ref="CU85" authorId="9">
      <text>
        <r>
          <rPr>
            <b/>
            <sz val="9"/>
            <color indexed="81"/>
            <rFont val="Tahoma"/>
            <family val="2"/>
          </rPr>
          <t>Coe, Nigel (Research):</t>
        </r>
        <r>
          <rPr>
            <sz val="9"/>
            <color indexed="81"/>
            <rFont val="Tahoma"/>
            <family val="2"/>
          </rPr>
          <t xml:space="preserve">
Assume 5ppts price pressure</t>
        </r>
      </text>
    </comment>
    <comment ref="CA87" authorId="9">
      <text>
        <r>
          <rPr>
            <b/>
            <sz val="9"/>
            <color indexed="81"/>
            <rFont val="Tahoma"/>
            <family val="2"/>
          </rPr>
          <t>Coe, Nigel (Research):</t>
        </r>
        <r>
          <rPr>
            <sz val="9"/>
            <color indexed="81"/>
            <rFont val="Tahoma"/>
            <family val="2"/>
          </rPr>
          <t xml:space="preserve">
Assume some pressure as Otis looks to ramp up growth. Also expect incremental OE pressure in China</t>
        </r>
      </text>
    </comment>
    <comment ref="CK93" authorId="5">
      <text>
        <r>
          <rPr>
            <b/>
            <sz val="9"/>
            <color indexed="81"/>
            <rFont val="Tahoma"/>
            <family val="2"/>
          </rPr>
          <t>Dec 14: Mgmt guided for $25m total pension headwind in BIS
JZ:</t>
        </r>
        <r>
          <rPr>
            <sz val="9"/>
            <color indexed="81"/>
            <rFont val="Tahoma"/>
            <family val="2"/>
          </rPr>
          <t xml:space="preserve">
~15% of pension headwind as per Dec I-day</t>
        </r>
      </text>
    </comment>
    <comment ref="CK95" authorId="5">
      <text>
        <r>
          <rPr>
            <b/>
            <sz val="9"/>
            <color indexed="81"/>
            <rFont val="Tahoma"/>
            <family val="2"/>
          </rPr>
          <t>2Q15:</t>
        </r>
        <r>
          <rPr>
            <sz val="9"/>
            <color indexed="81"/>
            <rFont val="Tahoma"/>
            <family val="2"/>
          </rPr>
          <t xml:space="preserve">
+$125 net productivity offset by $200m price/cost headwind</t>
        </r>
      </text>
    </comment>
    <comment ref="CK102" authorId="5">
      <text>
        <r>
          <rPr>
            <b/>
            <sz val="9"/>
            <color indexed="81"/>
            <rFont val="Tahoma"/>
            <family val="2"/>
          </rPr>
          <t>JZ:</t>
        </r>
        <r>
          <rPr>
            <sz val="9"/>
            <color indexed="81"/>
            <rFont val="Tahoma"/>
            <family val="2"/>
          </rPr>
          <t xml:space="preserve">
-$275m as per 2Q guidance</t>
        </r>
      </text>
    </comment>
    <comment ref="T104" authorId="8">
      <text>
        <r>
          <rPr>
            <sz val="8"/>
            <color indexed="81"/>
            <rFont val="Tahoma"/>
            <family val="2"/>
          </rPr>
          <t>Overall orders for Otis were low single-digit numbers for the - for the quarter.</t>
        </r>
      </text>
    </comment>
    <comment ref="AC104" authorId="8">
      <text>
        <r>
          <rPr>
            <sz val="8"/>
            <color indexed="81"/>
            <rFont val="Tahoma"/>
            <family val="2"/>
          </rPr>
          <t>Upper Single Digit Growth</t>
        </r>
      </text>
    </comment>
    <comment ref="AD104" authorId="8">
      <text>
        <r>
          <rPr>
            <sz val="8"/>
            <color indexed="81"/>
            <rFont val="Tahoma"/>
            <family val="2"/>
          </rPr>
          <t>Double digit growth</t>
        </r>
      </text>
    </comment>
    <comment ref="AE104" authorId="8">
      <text>
        <r>
          <rPr>
            <sz val="8"/>
            <color indexed="81"/>
            <rFont val="Tahoma"/>
            <family val="2"/>
          </rPr>
          <t>Double digit growth</t>
        </r>
      </text>
    </comment>
    <comment ref="AG104" authorId="8">
      <text>
        <r>
          <rPr>
            <sz val="8"/>
            <color indexed="81"/>
            <rFont val="Tahoma"/>
            <family val="2"/>
          </rPr>
          <t>Double digit growth</t>
        </r>
      </text>
    </comment>
    <comment ref="AI104" authorId="8">
      <text>
        <r>
          <rPr>
            <sz val="8"/>
            <color indexed="81"/>
            <rFont val="Tahoma"/>
            <family val="2"/>
          </rPr>
          <t>Mid Single Digit Growth</t>
        </r>
      </text>
    </comment>
    <comment ref="AJ104" authorId="8">
      <text>
        <r>
          <rPr>
            <sz val="8"/>
            <color indexed="81"/>
            <rFont val="Tahoma"/>
            <family val="2"/>
          </rPr>
          <t>Upper Single Digit Growth</t>
        </r>
      </text>
    </comment>
    <comment ref="AK104" authorId="8">
      <text>
        <r>
          <rPr>
            <sz val="8"/>
            <color indexed="81"/>
            <rFont val="Tahoma"/>
            <family val="2"/>
          </rPr>
          <t>Mid Single Digit Growth</t>
        </r>
      </text>
    </comment>
    <comment ref="AN104" authorId="14">
      <text>
        <r>
          <rPr>
            <b/>
            <sz val="8"/>
            <color indexed="81"/>
            <rFont val="Tahoma"/>
            <family val="2"/>
          </rPr>
          <t>Irevna:</t>
        </r>
        <r>
          <rPr>
            <sz val="8"/>
            <color indexed="81"/>
            <rFont val="Tahoma"/>
            <family val="2"/>
          </rPr>
          <t xml:space="preserve">
Near double digit growth</t>
        </r>
      </text>
    </comment>
    <comment ref="AO104" authorId="14">
      <text>
        <r>
          <rPr>
            <b/>
            <sz val="8"/>
            <color indexed="81"/>
            <rFont val="Tahoma"/>
            <family val="2"/>
          </rPr>
          <t>Irevna:</t>
        </r>
        <r>
          <rPr>
            <sz val="8"/>
            <color indexed="81"/>
            <rFont val="Tahoma"/>
            <family val="2"/>
          </rPr>
          <t xml:space="preserve">
Increased by double digits</t>
        </r>
      </text>
    </comment>
    <comment ref="AQ104" authorId="8">
      <text>
        <r>
          <rPr>
            <sz val="8"/>
            <color indexed="81"/>
            <rFont val="Tahoma"/>
            <family val="2"/>
          </rPr>
          <t>Double digit growth</t>
        </r>
      </text>
    </comment>
    <comment ref="AR104" authorId="8">
      <text>
        <r>
          <rPr>
            <sz val="8"/>
            <color indexed="81"/>
            <rFont val="Tahoma"/>
            <family val="2"/>
          </rPr>
          <t>Double digit growth</t>
        </r>
      </text>
    </comment>
    <comment ref="AU104" authorId="14">
      <text>
        <r>
          <rPr>
            <b/>
            <sz val="8"/>
            <color indexed="81"/>
            <rFont val="Tahoma"/>
            <family val="2"/>
          </rPr>
          <t>Irevna:</t>
        </r>
        <r>
          <rPr>
            <sz val="8"/>
            <color indexed="81"/>
            <rFont val="Tahoma"/>
            <family val="2"/>
          </rPr>
          <t xml:space="preserve">
24% on YTD basis</t>
        </r>
      </text>
    </comment>
    <comment ref="AY104" authorId="15">
      <text>
        <r>
          <rPr>
            <b/>
            <sz val="8"/>
            <color indexed="81"/>
            <rFont val="Tahoma"/>
            <family val="2"/>
          </rPr>
          <t>Irevna: Ex FX 14%</t>
        </r>
        <r>
          <rPr>
            <sz val="8"/>
            <color indexed="81"/>
            <rFont val="Tahoma"/>
            <family val="2"/>
          </rPr>
          <t xml:space="preserve">
</t>
        </r>
      </text>
    </comment>
    <comment ref="BA104" authorId="3">
      <text>
        <r>
          <rPr>
            <b/>
            <sz val="8"/>
            <color indexed="81"/>
            <rFont val="Tahoma"/>
            <family val="2"/>
          </rPr>
          <t>Nicole DeBlase:</t>
        </r>
        <r>
          <rPr>
            <sz val="8"/>
            <color indexed="81"/>
            <rFont val="Tahoma"/>
            <family val="2"/>
          </rPr>
          <t xml:space="preserve">
-8% constant currency</t>
        </r>
      </text>
    </comment>
    <comment ref="BB104" authorId="3">
      <text>
        <r>
          <rPr>
            <b/>
            <sz val="8"/>
            <color indexed="81"/>
            <rFont val="Tahoma"/>
            <family val="2"/>
          </rPr>
          <t>Nicole DeBlase:</t>
        </r>
        <r>
          <rPr>
            <sz val="8"/>
            <color indexed="81"/>
            <rFont val="Tahoma"/>
            <family val="2"/>
          </rPr>
          <t xml:space="preserve">
Up 12% constant currency</t>
        </r>
      </text>
    </comment>
    <comment ref="BC104" authorId="3">
      <text>
        <r>
          <rPr>
            <b/>
            <sz val="8"/>
            <color indexed="81"/>
            <rFont val="Tahoma"/>
            <family val="2"/>
          </rPr>
          <t>Nicole DeBlase:</t>
        </r>
        <r>
          <rPr>
            <sz val="8"/>
            <color indexed="81"/>
            <rFont val="Tahoma"/>
            <family val="2"/>
          </rPr>
          <t xml:space="preserve">
Down 37% at constant currency</t>
        </r>
      </text>
    </comment>
    <comment ref="BD104" authorId="8">
      <text>
        <r>
          <rPr>
            <sz val="8"/>
            <color indexed="81"/>
            <rFont val="Tahoma"/>
            <family val="2"/>
          </rPr>
          <t xml:space="preserve">Down 42% YTD
</t>
        </r>
      </text>
    </comment>
    <comment ref="BE104" authorId="16">
      <text>
        <r>
          <rPr>
            <b/>
            <sz val="8"/>
            <color indexed="81"/>
            <rFont val="Tahoma"/>
            <family val="2"/>
          </rPr>
          <t>Irevna:</t>
        </r>
        <r>
          <rPr>
            <sz val="8"/>
            <color indexed="81"/>
            <rFont val="Tahoma"/>
            <family val="2"/>
          </rPr>
          <t xml:space="preserve">
Down 36% YTD</t>
        </r>
      </text>
    </comment>
    <comment ref="BI104" authorId="8">
      <text>
        <r>
          <rPr>
            <sz val="8"/>
            <color indexed="81"/>
            <rFont val="Tahoma"/>
            <family val="2"/>
          </rPr>
          <t xml:space="preserve">Up 11% for first half of year
</t>
        </r>
      </text>
    </comment>
    <comment ref="BV104" authorId="8">
      <text>
        <r>
          <rPr>
            <sz val="8"/>
            <color indexed="81"/>
            <rFont val="Tahoma"/>
            <family val="2"/>
          </rPr>
          <t xml:space="preserve">Consistent with 2011 order levels
</t>
        </r>
      </text>
    </comment>
    <comment ref="BX104" authorId="4">
      <text>
        <r>
          <rPr>
            <b/>
            <sz val="8"/>
            <color indexed="81"/>
            <rFont val="Tahoma"/>
            <family val="2"/>
          </rPr>
          <t>sang:</t>
        </r>
        <r>
          <rPr>
            <sz val="8"/>
            <color indexed="81"/>
            <rFont val="Tahoma"/>
            <family val="2"/>
          </rPr>
          <t xml:space="preserve">
china +35%</t>
        </r>
      </text>
    </comment>
    <comment ref="BY104" authorId="4">
      <text>
        <r>
          <rPr>
            <b/>
            <sz val="8"/>
            <color indexed="81"/>
            <rFont val="Tahoma"/>
            <family val="2"/>
          </rPr>
          <t>sang:</t>
        </r>
        <r>
          <rPr>
            <sz val="8"/>
            <color indexed="81"/>
            <rFont val="Tahoma"/>
            <family val="2"/>
          </rPr>
          <t xml:space="preserve">
china up DD.. Tough compare with UK Crossrail. US +MT, NA +LDD, MEA -HSD, Asia +MT.. China LDD</t>
        </r>
      </text>
    </comment>
    <comment ref="U105" authorId="8">
      <text>
        <r>
          <rPr>
            <sz val="8"/>
            <color indexed="81"/>
            <rFont val="Tahoma"/>
            <family val="2"/>
          </rPr>
          <t>Half of the 20% growth is organic</t>
        </r>
      </text>
    </comment>
    <comment ref="AF105" authorId="8">
      <text>
        <r>
          <rPr>
            <sz val="8"/>
            <color indexed="81"/>
            <rFont val="Tahoma"/>
            <family val="2"/>
          </rPr>
          <t xml:space="preserve">Up 12% YTD
</t>
        </r>
      </text>
    </comment>
    <comment ref="BF105" authorId="3">
      <text>
        <r>
          <rPr>
            <b/>
            <sz val="8"/>
            <color indexed="81"/>
            <rFont val="Tahoma"/>
            <family val="2"/>
          </rPr>
          <t>Nicole DeBlase:</t>
        </r>
        <r>
          <rPr>
            <sz val="8"/>
            <color indexed="81"/>
            <rFont val="Tahoma"/>
            <family val="2"/>
          </rPr>
          <t xml:space="preserve">
NE sales down 14% @ constant currency</t>
        </r>
      </text>
    </comment>
    <comment ref="CG105" authorId="4">
      <text>
        <r>
          <rPr>
            <b/>
            <sz val="8"/>
            <color indexed="81"/>
            <rFont val="Tahoma"/>
            <family val="2"/>
          </rPr>
          <t>sang:</t>
        </r>
        <r>
          <rPr>
            <sz val="8"/>
            <color indexed="81"/>
            <rFont val="Tahoma"/>
            <family val="2"/>
          </rPr>
          <t xml:space="preserve">
ex fx</t>
        </r>
      </text>
    </comment>
    <comment ref="CM105" authorId="5">
      <text>
        <r>
          <rPr>
            <b/>
            <sz val="9"/>
            <color indexed="81"/>
            <rFont val="Tahoma"/>
            <family val="2"/>
          </rPr>
          <t>JZ:</t>
        </r>
        <r>
          <rPr>
            <sz val="9"/>
            <color indexed="81"/>
            <rFont val="Tahoma"/>
            <family val="2"/>
          </rPr>
          <t xml:space="preserve">
+3% ex. China</t>
        </r>
      </text>
    </comment>
    <comment ref="CN105" authorId="5">
      <text>
        <r>
          <rPr>
            <b/>
            <sz val="9"/>
            <color indexed="81"/>
            <rFont val="Tahoma"/>
            <family val="2"/>
          </rPr>
          <t>JZ:</t>
        </r>
        <r>
          <rPr>
            <sz val="9"/>
            <color indexed="81"/>
            <rFont val="Tahoma"/>
            <family val="2"/>
          </rPr>
          <t xml:space="preserve">
+8% ex. China   </t>
        </r>
      </text>
    </comment>
    <comment ref="CO105" authorId="10">
      <text>
        <r>
          <rPr>
            <b/>
            <sz val="9"/>
            <color indexed="81"/>
            <rFont val="Tahoma"/>
            <family val="2"/>
          </rPr>
          <t>Morales, Jonathan (Research):</t>
        </r>
        <r>
          <rPr>
            <sz val="9"/>
            <color indexed="81"/>
            <rFont val="Tahoma"/>
            <family val="2"/>
          </rPr>
          <t xml:space="preserve">
ex china DD growth</t>
        </r>
      </text>
    </comment>
    <comment ref="CQ105" authorId="5">
      <text>
        <r>
          <rPr>
            <b/>
            <sz val="9"/>
            <color indexed="81"/>
            <rFont val="Tahoma"/>
            <family val="2"/>
          </rPr>
          <t>JZ:</t>
        </r>
        <r>
          <rPr>
            <sz val="9"/>
            <color indexed="81"/>
            <rFont val="Tahoma"/>
            <family val="2"/>
          </rPr>
          <t xml:space="preserve">
up 11%</t>
        </r>
      </text>
    </comment>
    <comment ref="CG107" authorId="4">
      <text>
        <r>
          <rPr>
            <b/>
            <sz val="8"/>
            <color indexed="81"/>
            <rFont val="Tahoma"/>
            <family val="2"/>
          </rPr>
          <t>sang:</t>
        </r>
        <r>
          <rPr>
            <sz val="8"/>
            <color indexed="81"/>
            <rFont val="Tahoma"/>
            <family val="2"/>
          </rPr>
          <t xml:space="preserve">
14% in US</t>
        </r>
      </text>
    </comment>
    <comment ref="CI107" authorId="5">
      <text>
        <r>
          <rPr>
            <b/>
            <sz val="9"/>
            <color indexed="81"/>
            <rFont val="Tahoma"/>
            <family val="2"/>
          </rPr>
          <t>JZ:</t>
        </r>
        <r>
          <rPr>
            <sz val="9"/>
            <color indexed="81"/>
            <rFont val="Tahoma"/>
            <family val="2"/>
          </rPr>
          <t xml:space="preserve">
20% ex. Hudson Yard</t>
        </r>
      </text>
    </comment>
    <comment ref="CL107" authorId="5">
      <text>
        <r>
          <rPr>
            <b/>
            <sz val="9"/>
            <color indexed="81"/>
            <rFont val="Tahoma"/>
            <family val="2"/>
          </rPr>
          <t>JZ:</t>
        </r>
        <r>
          <rPr>
            <sz val="9"/>
            <color indexed="81"/>
            <rFont val="Tahoma"/>
            <family val="2"/>
          </rPr>
          <t xml:space="preserve">
tough comps</t>
        </r>
      </text>
    </comment>
    <comment ref="BX108" authorId="4">
      <text>
        <r>
          <rPr>
            <b/>
            <sz val="8"/>
            <color indexed="81"/>
            <rFont val="Tahoma"/>
            <family val="2"/>
          </rPr>
          <t>sang:</t>
        </r>
        <r>
          <rPr>
            <sz val="8"/>
            <color indexed="81"/>
            <rFont val="Tahoma"/>
            <family val="2"/>
          </rPr>
          <t xml:space="preserve">
</t>
        </r>
      </text>
    </comment>
    <comment ref="BY108" authorId="4">
      <text>
        <r>
          <rPr>
            <b/>
            <sz val="8"/>
            <color indexed="81"/>
            <rFont val="Tahoma"/>
            <family val="2"/>
          </rPr>
          <t>sang:</t>
        </r>
        <r>
          <rPr>
            <sz val="8"/>
            <color indexed="81"/>
            <rFont val="Tahoma"/>
            <family val="2"/>
          </rPr>
          <t xml:space="preserve">
+12% ex. a large Y/y order</t>
        </r>
      </text>
    </comment>
    <comment ref="CC108" authorId="5">
      <text>
        <r>
          <rPr>
            <b/>
            <sz val="9"/>
            <color indexed="81"/>
            <rFont val="Tahoma"/>
            <family val="2"/>
          </rPr>
          <t>JZ:</t>
        </r>
        <r>
          <rPr>
            <sz val="9"/>
            <color indexed="81"/>
            <rFont val="Tahoma"/>
            <family val="2"/>
          </rPr>
          <t xml:space="preserve">
driven by 20% in East Europe, +4% in developed Europe</t>
        </r>
      </text>
    </comment>
    <comment ref="CH108" authorId="5">
      <text>
        <r>
          <rPr>
            <b/>
            <sz val="9"/>
            <color indexed="81"/>
            <rFont val="Tahoma"/>
            <family val="2"/>
          </rPr>
          <t>JZ:</t>
        </r>
        <r>
          <rPr>
            <sz val="9"/>
            <color indexed="81"/>
            <rFont val="Tahoma"/>
            <family val="2"/>
          </rPr>
          <t xml:space="preserve">
large Saudi orders, +3% on normalized basis</t>
        </r>
      </text>
    </comment>
    <comment ref="CQ108" authorId="5">
      <text>
        <r>
          <rPr>
            <b/>
            <sz val="9"/>
            <color indexed="81"/>
            <rFont val="Tahoma"/>
            <family val="2"/>
          </rPr>
          <t>JZ:</t>
        </r>
        <r>
          <rPr>
            <sz val="9"/>
            <color indexed="81"/>
            <rFont val="Tahoma"/>
            <family val="2"/>
          </rPr>
          <t xml:space="preserve">
EU up 30% and MEA -40%</t>
        </r>
      </text>
    </comment>
    <comment ref="CG109" authorId="4">
      <text>
        <r>
          <rPr>
            <b/>
            <sz val="8"/>
            <color indexed="81"/>
            <rFont val="Tahoma"/>
            <family val="2"/>
          </rPr>
          <t>sang:</t>
        </r>
        <r>
          <rPr>
            <sz val="8"/>
            <color indexed="81"/>
            <rFont val="Tahoma"/>
            <family val="2"/>
          </rPr>
          <t xml:space="preserve">
on flat units</t>
        </r>
      </text>
    </comment>
    <comment ref="CL109" authorId="5">
      <text>
        <r>
          <rPr>
            <b/>
            <sz val="9"/>
            <color indexed="81"/>
            <rFont val="Tahoma"/>
            <family val="2"/>
          </rPr>
          <t>JZ:</t>
        </r>
        <r>
          <rPr>
            <sz val="9"/>
            <color indexed="81"/>
            <rFont val="Tahoma"/>
            <family val="2"/>
          </rPr>
          <t xml:space="preserve">
up 2% on unit basis</t>
        </r>
      </text>
    </comment>
    <comment ref="CM109" authorId="5">
      <text>
        <r>
          <rPr>
            <b/>
            <sz val="9"/>
            <color indexed="81"/>
            <rFont val="Tahoma"/>
            <family val="2"/>
          </rPr>
          <t>JZ:</t>
        </r>
        <r>
          <rPr>
            <sz val="9"/>
            <color indexed="81"/>
            <rFont val="Tahoma"/>
            <family val="2"/>
          </rPr>
          <t xml:space="preserve">
+4% on unit basis</t>
        </r>
      </text>
    </comment>
    <comment ref="CQ109" authorId="5">
      <text>
        <r>
          <rPr>
            <b/>
            <sz val="9"/>
            <color indexed="81"/>
            <rFont val="Tahoma"/>
            <family val="2"/>
          </rPr>
          <t>JZ:</t>
        </r>
        <r>
          <rPr>
            <sz val="9"/>
            <color indexed="81"/>
            <rFont val="Tahoma"/>
            <family val="2"/>
          </rPr>
          <t xml:space="preserve">
+1% on unit, 5-6ppts mix and 5-6ppts negative pricing</t>
        </r>
      </text>
    </comment>
    <comment ref="CR109" authorId="5">
      <text>
        <r>
          <rPr>
            <b/>
            <sz val="9"/>
            <color indexed="81"/>
            <rFont val="Tahoma"/>
            <family val="2"/>
          </rPr>
          <t>JZ:</t>
        </r>
        <r>
          <rPr>
            <sz val="9"/>
            <color indexed="81"/>
            <rFont val="Tahoma"/>
            <family val="2"/>
          </rPr>
          <t xml:space="preserve">
7% growth on a unit basis</t>
        </r>
      </text>
    </comment>
    <comment ref="CS109" authorId="5">
      <text>
        <r>
          <rPr>
            <b/>
            <sz val="9"/>
            <color indexed="81"/>
            <rFont val="Tahoma"/>
            <family val="2"/>
          </rPr>
          <t>JZ:</t>
        </r>
        <r>
          <rPr>
            <sz val="9"/>
            <color indexed="81"/>
            <rFont val="Tahoma"/>
            <family val="2"/>
          </rPr>
          <t xml:space="preserve">
units up 8%</t>
        </r>
      </text>
    </comment>
    <comment ref="CO111" authorId="10">
      <text>
        <r>
          <rPr>
            <b/>
            <sz val="9"/>
            <color indexed="81"/>
            <rFont val="Tahoma"/>
            <family val="2"/>
          </rPr>
          <t>Morales, Jonathan (Research):</t>
        </r>
        <r>
          <rPr>
            <sz val="9"/>
            <color indexed="81"/>
            <rFont val="Tahoma"/>
            <family val="2"/>
          </rPr>
          <t xml:space="preserve">
-40% Middle East</t>
        </r>
      </text>
    </comment>
    <comment ref="AK112" authorId="8">
      <text>
        <r>
          <rPr>
            <sz val="8"/>
            <color indexed="81"/>
            <rFont val="Tahoma"/>
            <family val="2"/>
          </rPr>
          <t xml:space="preserve">New equipment backlog increased 10% YoY
</t>
        </r>
      </text>
    </comment>
    <comment ref="AY112" authorId="8">
      <text>
        <r>
          <rPr>
            <sz val="8"/>
            <color indexed="81"/>
            <rFont val="Tahoma"/>
            <family val="2"/>
          </rPr>
          <t>Backlog is relatively constant 
Source: Transcript</t>
        </r>
      </text>
    </comment>
    <comment ref="AZ112" authorId="7">
      <text>
        <r>
          <rPr>
            <b/>
            <sz val="8"/>
            <color indexed="81"/>
            <rFont val="Tahoma"/>
            <family val="2"/>
          </rPr>
          <t>Authorised Company Employee:</t>
        </r>
        <r>
          <rPr>
            <sz val="8"/>
            <color indexed="81"/>
            <rFont val="Tahoma"/>
            <family val="2"/>
          </rPr>
          <t xml:space="preserve">
Equipment backlog up 18% YTD
Total backlog up 11% YTD</t>
        </r>
      </text>
    </comment>
    <comment ref="BC112" authorId="3">
      <text>
        <r>
          <rPr>
            <b/>
            <sz val="8"/>
            <color indexed="81"/>
            <rFont val="Tahoma"/>
            <family val="2"/>
          </rPr>
          <t>Nicole DeBlase:</t>
        </r>
        <r>
          <rPr>
            <sz val="8"/>
            <color indexed="81"/>
            <rFont val="Tahoma"/>
            <family val="2"/>
          </rPr>
          <t xml:space="preserve">
Down 5% at constant currency YTD</t>
        </r>
      </text>
    </comment>
    <comment ref="BD112" authorId="3">
      <text>
        <r>
          <rPr>
            <b/>
            <sz val="8"/>
            <color indexed="81"/>
            <rFont val="Tahoma"/>
            <family val="2"/>
          </rPr>
          <t>Nicole DeBlase:</t>
        </r>
        <r>
          <rPr>
            <sz val="8"/>
            <color indexed="81"/>
            <rFont val="Tahoma"/>
            <family val="2"/>
          </rPr>
          <t xml:space="preserve">
down 8% YTD</t>
        </r>
      </text>
    </comment>
    <comment ref="BE112" authorId="3">
      <text>
        <r>
          <rPr>
            <b/>
            <sz val="8"/>
            <color indexed="81"/>
            <rFont val="Tahoma"/>
            <family val="2"/>
          </rPr>
          <t>Nicole DeBlase:</t>
        </r>
        <r>
          <rPr>
            <sz val="8"/>
            <color indexed="81"/>
            <rFont val="Tahoma"/>
            <family val="2"/>
          </rPr>
          <t xml:space="preserve">
flat sequentially; 
</t>
        </r>
      </text>
    </comment>
    <comment ref="BO112" authorId="8">
      <text>
        <r>
          <rPr>
            <sz val="8"/>
            <color indexed="81"/>
            <rFont val="Tahoma"/>
            <family val="2"/>
          </rPr>
          <t xml:space="preserve">Up 9% v/s prior year at constant currency
</t>
        </r>
      </text>
    </comment>
    <comment ref="B114" authorId="17">
      <text>
        <r>
          <rPr>
            <b/>
            <sz val="8"/>
            <color indexed="81"/>
            <rFont val="Tahoma"/>
            <family val="2"/>
          </rPr>
          <t>2000 and 2001 are restated to reflect the 2005 reporting changes for stock option expense and segment interest  income, as applicable.</t>
        </r>
        <r>
          <rPr>
            <sz val="8"/>
            <color indexed="81"/>
            <rFont val="Tahoma"/>
            <family val="2"/>
          </rPr>
          <t xml:space="preserve">
</t>
        </r>
      </text>
    </comment>
    <comment ref="B115" authorId="17">
      <text>
        <r>
          <rPr>
            <sz val="8"/>
            <color indexed="81"/>
            <rFont val="Tahoma"/>
            <family val="2"/>
          </rPr>
          <t xml:space="preserve">Adjusted segment revenue and operating profit in 2003 exclude a $50 million non cash gain resulting from a transaction involving an exchange of equity interests.  Adjusted segment revenue and operating profit in 2007 exclude an approximately $84 million gain from the sale of a manufacturing facility in Madrid, Spain and a $26 million gain from the sale of a non-core business.
</t>
        </r>
      </text>
    </comment>
    <comment ref="BT134" authorId="18">
      <text>
        <r>
          <rPr>
            <sz val="8"/>
            <color indexed="81"/>
            <rFont val="Tahoma"/>
            <family val="2"/>
          </rPr>
          <t>China continues to be a big market, the biggest market in the world for new equipment</t>
        </r>
      </text>
    </comment>
    <comment ref="BT140" authorId="18">
      <text>
        <r>
          <rPr>
            <sz val="8"/>
            <color indexed="81"/>
            <rFont val="Tahoma"/>
            <family val="2"/>
          </rPr>
          <t>Per 1000 people</t>
        </r>
      </text>
    </comment>
    <comment ref="AW251" authorId="19">
      <text>
        <r>
          <rPr>
            <sz val="8"/>
            <color indexed="81"/>
            <rFont val="Tahoma"/>
            <family val="2"/>
          </rPr>
          <t xml:space="preserve">Decrease from 2000 - 07 = 46%
</t>
        </r>
      </text>
    </comment>
  </commentList>
</comments>
</file>

<file path=xl/comments7.xml><?xml version="1.0" encoding="utf-8"?>
<comments xmlns="http://schemas.openxmlformats.org/spreadsheetml/2006/main">
  <authors>
    <author>sang</author>
    <author>milip</author>
    <author>Coe, Nigel (Research)</author>
    <author>JZ</author>
    <author>Morales, Jonathan (Research)</author>
    <author>coe</author>
    <author>shahviv</author>
    <author>deblase</author>
    <author>ronkowit</author>
    <author>makam</author>
  </authors>
  <commentList>
    <comment ref="BW13" authorId="0">
      <text>
        <r>
          <rPr>
            <b/>
            <sz val="8"/>
            <color indexed="81"/>
            <rFont val="Tahoma"/>
            <family val="2"/>
          </rPr>
          <t>sang:</t>
        </r>
        <r>
          <rPr>
            <sz val="8"/>
            <color indexed="81"/>
            <rFont val="Tahoma"/>
            <family val="2"/>
          </rPr>
          <t xml:space="preserve">
3q guide - reported down LSD</t>
        </r>
      </text>
    </comment>
    <comment ref="AX14" authorId="1">
      <text>
        <r>
          <rPr>
            <sz val="8"/>
            <color indexed="81"/>
            <rFont val="Tahoma"/>
            <family val="2"/>
          </rPr>
          <t>Includes the acquisition of: Detection Logic Fire Protection, a controlling stake in GST (fire detection)
Includes the divestitures of: various international mobile security services, South African wholesale refrigeration, New Zealand man guarding business</t>
        </r>
      </text>
    </comment>
    <comment ref="BC14" authorId="1">
      <text>
        <r>
          <rPr>
            <sz val="8"/>
            <color indexed="81"/>
            <rFont val="Tahoma"/>
            <family val="2"/>
          </rPr>
          <t>Includes the following divestitures: 
Guardforce (man guarding), International Cold Storage (refrigeration equipment), and Tyler (NA commercial refrigeration)</t>
        </r>
      </text>
    </comment>
    <comment ref="BH14" authorId="1">
      <text>
        <r>
          <rPr>
            <sz val="8"/>
            <color indexed="81"/>
            <rFont val="Tahoma"/>
            <family val="2"/>
          </rPr>
          <t>Includes the following divestitures (offset by GE Security acquisition):
Micro Thermo Technologies (systems for commercial refrigeration), Japan resi air conditioning, California HVAC distribution businesses</t>
        </r>
      </text>
    </comment>
    <comment ref="BM14" authorId="1">
      <text>
        <r>
          <rPr>
            <sz val="8"/>
            <color indexed="81"/>
            <rFont val="Tahoma"/>
            <family val="2"/>
          </rPr>
          <t xml:space="preserve">Includes divestitures of the following businesses:
Carrier Latam distribution, Chubb Security Personnel Singapore, certain European Carrier distribution, and bus air conditioning </t>
        </r>
      </text>
    </comment>
    <comment ref="BR14" authorId="1">
      <text>
        <r>
          <rPr>
            <sz val="8"/>
            <color indexed="81"/>
            <rFont val="Tahoma"/>
            <family val="2"/>
          </rPr>
          <t>Includes divestitures of the following businesses:
Reefer container services, Canadian HVAC distribution, certain F&amp;S manufacturing, and man guarding businesses</t>
        </r>
      </text>
    </comment>
    <comment ref="BY14" authorId="0">
      <text>
        <r>
          <rPr>
            <b/>
            <sz val="8"/>
            <color indexed="81"/>
            <rFont val="Tahoma"/>
            <family val="2"/>
          </rPr>
          <t>sang:</t>
        </r>
        <r>
          <rPr>
            <sz val="8"/>
            <color indexed="81"/>
            <rFont val="Tahoma"/>
            <family val="2"/>
          </rPr>
          <t xml:space="preserve">
12/31 analyst day
abt 600mn ccs revs identifed to divest in 2014.</t>
        </r>
      </text>
    </comment>
    <comment ref="CA14" authorId="0">
      <text>
        <r>
          <rPr>
            <b/>
            <sz val="8"/>
            <color indexed="81"/>
            <rFont val="Tahoma"/>
            <family val="2"/>
          </rPr>
          <t>sang:</t>
        </r>
        <r>
          <rPr>
            <sz val="8"/>
            <color indexed="81"/>
            <rFont val="Tahoma"/>
            <family val="2"/>
          </rPr>
          <t xml:space="preserve">
12/31 analyst day
abt 600mn ccs revs identifed to divest in 2014.</t>
        </r>
      </text>
    </comment>
    <comment ref="CC14" authorId="2">
      <text>
        <r>
          <rPr>
            <b/>
            <sz val="9"/>
            <color indexed="81"/>
            <rFont val="Tahoma"/>
            <family val="2"/>
          </rPr>
          <t>Coe, Nigel (Research):</t>
        </r>
        <r>
          <rPr>
            <sz val="9"/>
            <color indexed="81"/>
            <rFont val="Tahoma"/>
            <family val="2"/>
          </rPr>
          <t xml:space="preserve">
Acqn of CIAT</t>
        </r>
      </text>
    </comment>
    <comment ref="BZ15" authorId="0">
      <text>
        <r>
          <rPr>
            <b/>
            <sz val="8"/>
            <color indexed="81"/>
            <rFont val="Tahoma"/>
            <family val="2"/>
          </rPr>
          <t>sang:</t>
        </r>
        <r>
          <rPr>
            <sz val="8"/>
            <color indexed="81"/>
            <rFont val="Tahoma"/>
            <family val="2"/>
          </rPr>
          <t xml:space="preserve">
plug</t>
        </r>
      </text>
    </comment>
    <comment ref="BS16" authorId="2">
      <text>
        <r>
          <rPr>
            <b/>
            <sz val="9"/>
            <color indexed="81"/>
            <rFont val="Tahoma"/>
            <family val="2"/>
          </rPr>
          <t>Coe, Nigel (Research):</t>
        </r>
        <r>
          <rPr>
            <sz val="9"/>
            <color indexed="81"/>
            <rFont val="Tahoma"/>
            <family val="2"/>
          </rPr>
          <t xml:space="preserve">
Revenues always lower Q/Q in 1Q13</t>
        </r>
      </text>
    </comment>
    <comment ref="BT16" authorId="0">
      <text>
        <r>
          <rPr>
            <b/>
            <sz val="8"/>
            <color indexed="81"/>
            <rFont val="Tahoma"/>
            <family val="2"/>
          </rPr>
          <t>sang:</t>
        </r>
        <r>
          <rPr>
            <sz val="8"/>
            <color indexed="81"/>
            <rFont val="Tahoma"/>
            <family val="2"/>
          </rPr>
          <t xml:space="preserve">
deck is +1%</t>
        </r>
      </text>
    </comment>
    <comment ref="BV16" authorId="0">
      <text>
        <r>
          <rPr>
            <b/>
            <sz val="8"/>
            <color indexed="81"/>
            <rFont val="Tahoma"/>
            <family val="2"/>
          </rPr>
          <t>sang:</t>
        </r>
        <r>
          <rPr>
            <sz val="8"/>
            <color indexed="81"/>
            <rFont val="Tahoma"/>
            <family val="2"/>
          </rPr>
          <t xml:space="preserve">
org growth +4%</t>
        </r>
      </text>
    </comment>
    <comment ref="BW16" authorId="0">
      <text>
        <r>
          <rPr>
            <b/>
            <sz val="8"/>
            <color indexed="81"/>
            <rFont val="Tahoma"/>
            <family val="2"/>
          </rPr>
          <t>sang:</t>
        </r>
        <r>
          <rPr>
            <sz val="8"/>
            <color indexed="81"/>
            <rFont val="Tahoma"/>
            <family val="2"/>
          </rPr>
          <t xml:space="preserve">
3q - up 1%</t>
        </r>
      </text>
    </comment>
    <comment ref="CB16" authorId="3">
      <text>
        <r>
          <rPr>
            <b/>
            <sz val="9"/>
            <color indexed="81"/>
            <rFont val="Tahoma"/>
            <family val="2"/>
          </rPr>
          <t>JZ:</t>
        </r>
        <r>
          <rPr>
            <sz val="9"/>
            <color indexed="81"/>
            <rFont val="Tahoma"/>
            <family val="2"/>
          </rPr>
          <t xml:space="preserve">
Up LSD, up ~4% in 2H</t>
        </r>
      </text>
    </comment>
    <comment ref="CE16" authorId="2">
      <text>
        <r>
          <rPr>
            <b/>
            <sz val="9"/>
            <color indexed="81"/>
            <rFont val="Tahoma"/>
            <family val="2"/>
          </rPr>
          <t>Coe, Nigel (Research):</t>
        </r>
        <r>
          <rPr>
            <sz val="9"/>
            <color indexed="81"/>
            <rFont val="Tahoma"/>
            <family val="2"/>
          </rPr>
          <t xml:space="preserve">
Much tougher comps</t>
        </r>
      </text>
    </comment>
    <comment ref="CG16" authorId="3">
      <text>
        <r>
          <rPr>
            <b/>
            <sz val="9"/>
            <color indexed="81"/>
            <rFont val="Tahoma"/>
            <family val="2"/>
          </rPr>
          <t>JZ:</t>
        </r>
        <r>
          <rPr>
            <sz val="9"/>
            <color indexed="81"/>
            <rFont val="Tahoma"/>
            <family val="2"/>
          </rPr>
          <t xml:space="preserve">
up MSD</t>
        </r>
      </text>
    </comment>
    <comment ref="CI16" authorId="3">
      <text>
        <r>
          <rPr>
            <b/>
            <sz val="9"/>
            <color indexed="81"/>
            <rFont val="Tahoma"/>
            <family val="2"/>
          </rPr>
          <t>JZ:</t>
        </r>
        <r>
          <rPr>
            <sz val="9"/>
            <color indexed="81"/>
            <rFont val="Tahoma"/>
            <family val="2"/>
          </rPr>
          <t xml:space="preserve">
Y/Y decline largely driven by the refrigeration (-1ppt headwind) biz due to lower container volume. 
Growth in R-HVAC (+1ppt) was offset by decliens in C-HVAC and F&amp;S
</t>
        </r>
      </text>
    </comment>
    <comment ref="CL16" authorId="3">
      <text>
        <r>
          <rPr>
            <b/>
            <sz val="9"/>
            <color indexed="81"/>
            <rFont val="Tahoma"/>
            <family val="2"/>
          </rPr>
          <t>3Q16
Flat
JZ:</t>
        </r>
        <r>
          <rPr>
            <sz val="9"/>
            <color indexed="81"/>
            <rFont val="Tahoma"/>
            <family val="2"/>
          </rPr>
          <t xml:space="preserve">
up LSD</t>
        </r>
      </text>
    </comment>
    <comment ref="CQ16" authorId="4">
      <text>
        <r>
          <rPr>
            <b/>
            <sz val="9"/>
            <color indexed="81"/>
            <rFont val="Tahoma"/>
            <family val="2"/>
          </rPr>
          <t xml:space="preserve">2Q17
</t>
        </r>
        <r>
          <rPr>
            <sz val="9"/>
            <color indexed="81"/>
            <rFont val="Tahoma"/>
            <family val="2"/>
          </rPr>
          <t>Up L-MSD</t>
        </r>
        <r>
          <rPr>
            <b/>
            <sz val="9"/>
            <color indexed="81"/>
            <rFont val="Tahoma"/>
            <family val="2"/>
          </rPr>
          <t xml:space="preserve">
Dec 16: </t>
        </r>
        <r>
          <rPr>
            <sz val="9"/>
            <color indexed="81"/>
            <rFont val="Tahoma"/>
            <family val="2"/>
          </rPr>
          <t>UP LSD</t>
        </r>
      </text>
    </comment>
    <comment ref="BK33" authorId="1">
      <text>
        <r>
          <rPr>
            <sz val="8"/>
            <color indexed="81"/>
            <rFont val="Tahoma"/>
            <family val="2"/>
          </rPr>
          <t>Net gain includes: 
$28M gain from disposals related to on-going portfolio transformation
$20M impairment charge on an equity investment</t>
        </r>
      </text>
    </comment>
    <comment ref="BL33" authorId="1">
      <text>
        <r>
          <rPr>
            <sz val="8"/>
            <color indexed="81"/>
            <rFont val="Tahoma"/>
            <family val="2"/>
          </rPr>
          <t>Net gain includes:
$81M gain from contribution of Carrier's HVAC operations in Latam to Midea JV
$46M impairment charge on an equity investment</t>
        </r>
      </text>
    </comment>
    <comment ref="BN33" authorId="1">
      <text>
        <r>
          <rPr>
            <sz val="8"/>
            <color indexed="81"/>
            <rFont val="Tahoma"/>
            <family val="2"/>
          </rPr>
          <t>Net gain from on-going portfolio transformation, includes:
$215M gain from sale of controlling interest in Asia JV
$103 impairment charges related to planned business disposals</t>
        </r>
      </text>
    </comment>
    <comment ref="BO33" authorId="1">
      <text>
        <r>
          <rPr>
            <sz val="8"/>
            <color indexed="81"/>
            <rFont val="Tahoma"/>
            <family val="2"/>
          </rPr>
          <t>Net gain from ongoing portfolio transformation, includes: 
$142 from the sale of Canadian distribution business, partially offset by $32M loss on disposal of US F&amp;S branch operations</t>
        </r>
      </text>
    </comment>
    <comment ref="BQ33" authorId="1">
      <text>
        <r>
          <rPr>
            <sz val="8"/>
            <color indexed="81"/>
            <rFont val="Tahoma"/>
            <family val="2"/>
          </rPr>
          <t>Net charge ongoing portfolio transformation, includes:
$24M pension settlement charges
$39M impairment charges related to the disposal of F&amp;S businesses</t>
        </r>
      </text>
    </comment>
    <comment ref="BV33" authorId="0">
      <text>
        <r>
          <rPr>
            <b/>
            <sz val="8"/>
            <color indexed="81"/>
            <rFont val="Tahoma"/>
            <family val="2"/>
          </rPr>
          <t>sang:</t>
        </r>
        <r>
          <rPr>
            <sz val="8"/>
            <color indexed="81"/>
            <rFont val="Tahoma"/>
            <family val="2"/>
          </rPr>
          <t xml:space="preserve">
gain from cont. portfolio restructuring</t>
        </r>
      </text>
    </comment>
    <comment ref="BZ33" authorId="0">
      <text>
        <r>
          <rPr>
            <b/>
            <sz val="8"/>
            <color indexed="81"/>
            <rFont val="Tahoma"/>
            <family val="2"/>
          </rPr>
          <t>sang:</t>
        </r>
        <r>
          <rPr>
            <sz val="8"/>
            <color indexed="81"/>
            <rFont val="Tahoma"/>
            <family val="2"/>
          </rPr>
          <t xml:space="preserve">
gain from ongoing portfolio transformation</t>
        </r>
      </text>
    </comment>
    <comment ref="CC33" authorId="0">
      <text>
        <r>
          <rPr>
            <b/>
            <sz val="8"/>
            <color indexed="81"/>
            <rFont val="Tahoma"/>
            <family val="2"/>
          </rPr>
          <t>sang:</t>
        </r>
        <r>
          <rPr>
            <sz val="8"/>
            <color indexed="81"/>
            <rFont val="Tahoma"/>
            <family val="2"/>
          </rPr>
          <t xml:space="preserve">
gain</t>
        </r>
      </text>
    </comment>
    <comment ref="CI33" authorId="3">
      <text>
        <r>
          <rPr>
            <b/>
            <sz val="9"/>
            <color indexed="81"/>
            <rFont val="Tahoma"/>
            <family val="2"/>
          </rPr>
          <t>JZ:</t>
        </r>
        <r>
          <rPr>
            <sz val="9"/>
            <color indexed="81"/>
            <rFont val="Tahoma"/>
            <family val="2"/>
          </rPr>
          <t xml:space="preserve">
acquisition integration</t>
        </r>
      </text>
    </comment>
    <comment ref="CJ33" authorId="3">
      <text>
        <r>
          <rPr>
            <b/>
            <sz val="9"/>
            <color indexed="81"/>
            <rFont val="Tahoma"/>
            <family val="2"/>
          </rPr>
          <t>JZ:</t>
        </r>
        <r>
          <rPr>
            <sz val="9"/>
            <color indexed="81"/>
            <rFont val="Tahoma"/>
            <family val="2"/>
          </rPr>
          <t xml:space="preserve">
Acquisition and integration costs related to current
period acquisitions</t>
        </r>
      </text>
    </comment>
    <comment ref="CM33" authorId="2">
      <text>
        <r>
          <rPr>
            <b/>
            <sz val="9"/>
            <color indexed="81"/>
            <rFont val="Tahoma"/>
            <family val="2"/>
          </rPr>
          <t>Coe, Nigel (Research):</t>
        </r>
        <r>
          <rPr>
            <sz val="9"/>
            <color indexed="81"/>
            <rFont val="Tahoma"/>
            <family val="2"/>
          </rPr>
          <t xml:space="preserve">
Gain on sales of Watsco stake and JV interests</t>
        </r>
      </text>
    </comment>
    <comment ref="CL34" authorId="2">
      <text>
        <r>
          <rPr>
            <b/>
            <sz val="9"/>
            <color indexed="81"/>
            <rFont val="Tahoma"/>
            <family val="2"/>
          </rPr>
          <t>3Q16
Up $125-150m
Coe, Nigel (Research):</t>
        </r>
        <r>
          <rPr>
            <sz val="9"/>
            <color indexed="81"/>
            <rFont val="Tahoma"/>
            <family val="2"/>
          </rPr>
          <t xml:space="preserve">
Comment for $100-150m</t>
        </r>
      </text>
    </comment>
    <comment ref="CM34" authorId="3">
      <text>
        <r>
          <rPr>
            <b/>
            <sz val="9"/>
            <color indexed="81"/>
            <rFont val="Tahoma"/>
            <family val="2"/>
          </rPr>
          <t>JZ:</t>
        </r>
        <r>
          <rPr>
            <sz val="9"/>
            <color indexed="81"/>
            <rFont val="Tahoma"/>
            <family val="2"/>
          </rPr>
          <t xml:space="preserve">
up $175-225m ex. FX</t>
        </r>
      </text>
    </comment>
    <comment ref="CQ34" authorId="3">
      <text>
        <r>
          <rPr>
            <b/>
            <sz val="9"/>
            <color indexed="81"/>
            <rFont val="Tahoma"/>
            <family val="2"/>
          </rPr>
          <t>JZ:</t>
        </r>
        <r>
          <rPr>
            <sz val="9"/>
            <color indexed="81"/>
            <rFont val="Tahoma"/>
            <family val="2"/>
          </rPr>
          <t xml:space="preserve">
$100-150m
Trennding towards low end</t>
        </r>
      </text>
    </comment>
    <comment ref="BW35" authorId="0">
      <text>
        <r>
          <rPr>
            <b/>
            <sz val="8"/>
            <color indexed="81"/>
            <rFont val="Tahoma"/>
            <family val="2"/>
          </rPr>
          <t>sang:</t>
        </r>
        <r>
          <rPr>
            <sz val="8"/>
            <color indexed="81"/>
            <rFont val="Tahoma"/>
            <family val="2"/>
          </rPr>
          <t xml:space="preserve">
3q- around 200m higher y/y</t>
        </r>
      </text>
    </comment>
    <comment ref="CB35" authorId="2">
      <text>
        <r>
          <rPr>
            <b/>
            <sz val="9"/>
            <color indexed="81"/>
            <rFont val="Tahoma"/>
            <family val="2"/>
          </rPr>
          <t xml:space="preserve">3Q14
</t>
        </r>
        <r>
          <rPr>
            <sz val="9"/>
            <color indexed="81"/>
            <rFont val="Tahoma"/>
            <family val="2"/>
          </rPr>
          <t xml:space="preserve">$225-250m
</t>
        </r>
        <r>
          <rPr>
            <b/>
            <sz val="9"/>
            <color indexed="81"/>
            <rFont val="Tahoma"/>
            <family val="2"/>
          </rPr>
          <t xml:space="preserve">
2Q14</t>
        </r>
        <r>
          <rPr>
            <sz val="9"/>
            <color indexed="81"/>
            <rFont val="Tahoma"/>
            <family val="2"/>
          </rPr>
          <t xml:space="preserve">
$225-250m</t>
        </r>
        <r>
          <rPr>
            <b/>
            <sz val="9"/>
            <color indexed="81"/>
            <rFont val="Tahoma"/>
            <family val="2"/>
          </rPr>
          <t xml:space="preserve">
Coe, Nigel (Research):</t>
        </r>
        <r>
          <rPr>
            <sz val="9"/>
            <color indexed="81"/>
            <rFont val="Tahoma"/>
            <family val="2"/>
          </rPr>
          <t xml:space="preserve">
Guidance for $225-250m EBIT growth</t>
        </r>
      </text>
    </comment>
    <comment ref="CC35" authorId="0">
      <text>
        <r>
          <rPr>
            <b/>
            <sz val="8"/>
            <color indexed="81"/>
            <rFont val="Tahoma"/>
            <family val="2"/>
          </rPr>
          <t>sang:</t>
        </r>
        <r>
          <rPr>
            <sz val="8"/>
            <color indexed="81"/>
            <rFont val="Tahoma"/>
            <family val="2"/>
          </rPr>
          <t xml:space="preserve">
60bps benefit from 1x licensing fee</t>
        </r>
      </text>
    </comment>
    <comment ref="CG35" authorId="3">
      <text>
        <r>
          <rPr>
            <b/>
            <sz val="9"/>
            <color indexed="81"/>
            <rFont val="Tahoma"/>
            <family val="2"/>
          </rPr>
          <t>JZ:</t>
        </r>
        <r>
          <rPr>
            <sz val="9"/>
            <color indexed="81"/>
            <rFont val="Tahoma"/>
            <family val="2"/>
          </rPr>
          <t xml:space="preserve">
up $75-125m</t>
        </r>
      </text>
    </comment>
    <comment ref="CL35" authorId="3">
      <text>
        <r>
          <rPr>
            <b/>
            <sz val="9"/>
            <color indexed="81"/>
            <rFont val="Tahoma"/>
            <family val="2"/>
          </rPr>
          <t>JZ:</t>
        </r>
        <r>
          <rPr>
            <sz val="9"/>
            <color indexed="81"/>
            <rFont val="Tahoma"/>
            <family val="2"/>
          </rPr>
          <t xml:space="preserve">
up $100-150m</t>
        </r>
      </text>
    </comment>
    <comment ref="CM35" authorId="2">
      <text>
        <r>
          <rPr>
            <b/>
            <sz val="9"/>
            <color indexed="81"/>
            <rFont val="Tahoma"/>
            <family val="2"/>
          </rPr>
          <t>Coe, Nigel (Research):</t>
        </r>
        <r>
          <rPr>
            <sz val="9"/>
            <color indexed="81"/>
            <rFont val="Tahoma"/>
            <family val="2"/>
          </rPr>
          <t xml:space="preserve">
Impacted by $20m contract adjustment, with 50/50 mix split between adverse mix and acquisition dilution</t>
        </r>
      </text>
    </comment>
    <comment ref="CW35" authorId="3">
      <text>
        <r>
          <rPr>
            <b/>
            <sz val="9"/>
            <color indexed="81"/>
            <rFont val="Tahoma"/>
            <family val="2"/>
          </rPr>
          <t>JZ:</t>
        </r>
        <r>
          <rPr>
            <sz val="9"/>
            <color indexed="81"/>
            <rFont val="Tahoma"/>
            <family val="2"/>
          </rPr>
          <t xml:space="preserve">
$125m guidance</t>
        </r>
      </text>
    </comment>
    <comment ref="CG37" authorId="5">
      <text>
        <r>
          <rPr>
            <b/>
            <sz val="8"/>
            <color indexed="81"/>
            <rFont val="Tahoma"/>
            <family val="2"/>
          </rPr>
          <t>coe:</t>
        </r>
        <r>
          <rPr>
            <sz val="8"/>
            <color indexed="81"/>
            <rFont val="Tahoma"/>
            <family val="2"/>
          </rPr>
          <t xml:space="preserve">
Assume 30-40bps p.a. tailwind from BIS synergies over this timeframe</t>
        </r>
      </text>
    </comment>
    <comment ref="DD39" authorId="3">
      <text>
        <r>
          <rPr>
            <b/>
            <sz val="9"/>
            <color indexed="81"/>
            <rFont val="Tahoma"/>
            <family val="2"/>
          </rPr>
          <t>JZ:</t>
        </r>
        <r>
          <rPr>
            <sz val="9"/>
            <color indexed="81"/>
            <rFont val="Tahoma"/>
            <family val="2"/>
          </rPr>
          <t xml:space="preserve">
mgmt's updated guidance</t>
        </r>
      </text>
    </comment>
    <comment ref="BZ48" authorId="3">
      <text>
        <r>
          <rPr>
            <b/>
            <sz val="9"/>
            <color indexed="81"/>
            <rFont val="Tahoma"/>
            <family val="2"/>
          </rPr>
          <t>JZ:</t>
        </r>
        <r>
          <rPr>
            <sz val="9"/>
            <color indexed="81"/>
            <rFont val="Tahoma"/>
            <family val="2"/>
          </rPr>
          <t xml:space="preserve">
All Americas</t>
        </r>
      </text>
    </comment>
    <comment ref="BU49" authorId="0">
      <text>
        <r>
          <rPr>
            <b/>
            <sz val="8"/>
            <color indexed="81"/>
            <rFont val="Tahoma"/>
            <family val="2"/>
          </rPr>
          <t>sang:</t>
        </r>
        <r>
          <rPr>
            <sz val="8"/>
            <color indexed="81"/>
            <rFont val="Tahoma"/>
            <family val="2"/>
          </rPr>
          <t xml:space="preserve">
CHVAC -LSD
Resi - LSD</t>
        </r>
      </text>
    </comment>
    <comment ref="BU51" authorId="0">
      <text>
        <r>
          <rPr>
            <b/>
            <sz val="8"/>
            <color indexed="81"/>
            <rFont val="Tahoma"/>
            <family val="2"/>
          </rPr>
          <t>sang:</t>
        </r>
        <r>
          <rPr>
            <sz val="8"/>
            <color indexed="81"/>
            <rFont val="Tahoma"/>
            <family val="2"/>
          </rPr>
          <t xml:space="preserve">
CHVAC down slightly
RHVAC +25%
</t>
        </r>
      </text>
    </comment>
    <comment ref="BX51" authorId="0">
      <text>
        <r>
          <rPr>
            <b/>
            <sz val="8"/>
            <color indexed="81"/>
            <rFont val="Tahoma"/>
            <family val="2"/>
          </rPr>
          <t>sang:</t>
        </r>
        <r>
          <rPr>
            <sz val="8"/>
            <color indexed="81"/>
            <rFont val="Tahoma"/>
            <family val="2"/>
          </rPr>
          <t xml:space="preserve">
China +HSD</t>
        </r>
      </text>
    </comment>
    <comment ref="D58" authorId="1">
      <text>
        <r>
          <rPr>
            <sz val="8"/>
            <color indexed="81"/>
            <rFont val="Tahoma"/>
            <family val="2"/>
          </rPr>
          <t>Legacy Carrier controls business</t>
        </r>
      </text>
    </comment>
    <comment ref="BM58" authorId="1">
      <text>
        <r>
          <rPr>
            <sz val="8"/>
            <color indexed="81"/>
            <rFont val="Tahoma"/>
            <family val="2"/>
          </rPr>
          <t>Legacy Carrier controls business</t>
        </r>
      </text>
    </comment>
    <comment ref="BR63" authorId="1">
      <text>
        <r>
          <rPr>
            <sz val="8"/>
            <color indexed="81"/>
            <rFont val="Tahoma"/>
            <family val="2"/>
          </rPr>
          <t>organic up 3%</t>
        </r>
      </text>
    </comment>
    <comment ref="BR64" authorId="1">
      <text>
        <r>
          <rPr>
            <sz val="8"/>
            <color indexed="81"/>
            <rFont val="Tahoma"/>
            <family val="2"/>
          </rPr>
          <t>About flat organic</t>
        </r>
      </text>
    </comment>
    <comment ref="BT64" authorId="0">
      <text>
        <r>
          <rPr>
            <b/>
            <sz val="8"/>
            <color indexed="81"/>
            <rFont val="Tahoma"/>
            <family val="2"/>
          </rPr>
          <t>sang:</t>
        </r>
        <r>
          <rPr>
            <sz val="8"/>
            <color indexed="81"/>
            <rFont val="Tahoma"/>
            <family val="2"/>
          </rPr>
          <t xml:space="preserve">
down LSD</t>
        </r>
      </text>
    </comment>
    <comment ref="BU64" authorId="0">
      <text>
        <r>
          <rPr>
            <b/>
            <sz val="8"/>
            <color indexed="81"/>
            <rFont val="Tahoma"/>
            <family val="2"/>
          </rPr>
          <t>sang:</t>
        </r>
        <r>
          <rPr>
            <sz val="8"/>
            <color indexed="81"/>
            <rFont val="Tahoma"/>
            <family val="2"/>
          </rPr>
          <t xml:space="preserve">
-LSD</t>
        </r>
      </text>
    </comment>
    <comment ref="BY64" authorId="3">
      <text>
        <r>
          <rPr>
            <b/>
            <sz val="9"/>
            <color indexed="81"/>
            <rFont val="Tahoma"/>
            <family val="2"/>
          </rPr>
          <t>JZ:</t>
        </r>
        <r>
          <rPr>
            <sz val="9"/>
            <color indexed="81"/>
            <rFont val="Tahoma"/>
            <family val="2"/>
          </rPr>
          <t xml:space="preserve">
Down HSD in NA</t>
        </r>
      </text>
    </comment>
    <comment ref="BZ64" authorId="3">
      <text>
        <r>
          <rPr>
            <b/>
            <sz val="9"/>
            <color indexed="81"/>
            <rFont val="Tahoma"/>
            <family val="2"/>
          </rPr>
          <t>JZ:</t>
        </r>
        <r>
          <rPr>
            <sz val="9"/>
            <color indexed="81"/>
            <rFont val="Tahoma"/>
            <family val="2"/>
          </rPr>
          <t xml:space="preserve">
equipment
EU C-HVAC down 11%</t>
        </r>
      </text>
    </comment>
    <comment ref="CF64" authorId="3">
      <text>
        <r>
          <rPr>
            <b/>
            <sz val="9"/>
            <color indexed="81"/>
            <rFont val="Tahoma"/>
            <family val="2"/>
          </rPr>
          <t>JZ:</t>
        </r>
        <r>
          <rPr>
            <sz val="9"/>
            <color indexed="81"/>
            <rFont val="Tahoma"/>
            <family val="2"/>
          </rPr>
          <t xml:space="preserve">
+9% in NA, +4% in EMEA, -7% in Asia</t>
        </r>
      </text>
    </comment>
    <comment ref="CG64" authorId="3">
      <text>
        <r>
          <rPr>
            <b/>
            <sz val="9"/>
            <color indexed="81"/>
            <rFont val="Tahoma"/>
            <family val="2"/>
          </rPr>
          <t>JZ:</t>
        </r>
        <r>
          <rPr>
            <sz val="9"/>
            <color indexed="81"/>
            <rFont val="Tahoma"/>
            <family val="2"/>
          </rPr>
          <t xml:space="preserve">
Up MSD</t>
        </r>
      </text>
    </comment>
    <comment ref="CH64" authorId="3">
      <text>
        <r>
          <rPr>
            <b/>
            <sz val="9"/>
            <color indexed="81"/>
            <rFont val="Tahoma"/>
            <family val="2"/>
          </rPr>
          <t>JZ:</t>
        </r>
        <r>
          <rPr>
            <sz val="9"/>
            <color indexed="81"/>
            <rFont val="Tahoma"/>
            <family val="2"/>
          </rPr>
          <t xml:space="preserve">
+4% in Americas
down M-HSD in Europe
-3% in China
+8% in Asia ex. China
</t>
        </r>
      </text>
    </comment>
    <comment ref="CL64" authorId="3">
      <text>
        <r>
          <rPr>
            <b/>
            <sz val="9"/>
            <color indexed="81"/>
            <rFont val="Tahoma"/>
            <family val="2"/>
          </rPr>
          <t>JZ:</t>
        </r>
        <r>
          <rPr>
            <sz val="9"/>
            <color indexed="81"/>
            <rFont val="Tahoma"/>
            <family val="2"/>
          </rPr>
          <t xml:space="preserve">
Up MSD, with Americas up MSD, EMEA up LSD and Asia up slightly</t>
        </r>
      </text>
    </comment>
    <comment ref="CQ64" authorId="4">
      <text>
        <r>
          <rPr>
            <b/>
            <sz val="9"/>
            <color indexed="81"/>
            <rFont val="Tahoma"/>
            <family val="2"/>
          </rPr>
          <t xml:space="preserve">Dec 16: </t>
        </r>
        <r>
          <rPr>
            <sz val="9"/>
            <color indexed="81"/>
            <rFont val="Tahoma"/>
            <family val="2"/>
          </rPr>
          <t>Up LSD</t>
        </r>
      </text>
    </comment>
    <comment ref="BH65" authorId="1">
      <text>
        <r>
          <rPr>
            <sz val="8"/>
            <color indexed="81"/>
            <rFont val="Tahoma"/>
            <family val="2"/>
          </rPr>
          <t>Container up 50%, truck/trailer up 30%</t>
        </r>
      </text>
    </comment>
    <comment ref="BR65" authorId="1">
      <text>
        <r>
          <rPr>
            <sz val="8"/>
            <color indexed="81"/>
            <rFont val="Tahoma"/>
            <family val="2"/>
          </rPr>
          <t>Down double digits
Container down over 30%</t>
        </r>
      </text>
    </comment>
    <comment ref="BS65" authorId="0">
      <text>
        <r>
          <rPr>
            <b/>
            <sz val="8"/>
            <color indexed="81"/>
            <rFont val="Tahoma"/>
            <family val="2"/>
          </rPr>
          <t>sang:</t>
        </r>
        <r>
          <rPr>
            <sz val="8"/>
            <color indexed="81"/>
            <rFont val="Tahoma"/>
            <family val="2"/>
          </rPr>
          <t xml:space="preserve">
container down 40%</t>
        </r>
      </text>
    </comment>
    <comment ref="BT65" authorId="0">
      <text>
        <r>
          <rPr>
            <b/>
            <sz val="8"/>
            <color indexed="81"/>
            <rFont val="Tahoma"/>
            <family val="2"/>
          </rPr>
          <t>sang:</t>
        </r>
        <r>
          <rPr>
            <sz val="8"/>
            <color indexed="81"/>
            <rFont val="Tahoma"/>
            <family val="2"/>
          </rPr>
          <t xml:space="preserve">
sales +11%</t>
        </r>
      </text>
    </comment>
    <comment ref="BU65" authorId="0">
      <text>
        <r>
          <rPr>
            <b/>
            <sz val="8"/>
            <color indexed="81"/>
            <rFont val="Tahoma"/>
            <family val="2"/>
          </rPr>
          <t>sang:</t>
        </r>
        <r>
          <rPr>
            <sz val="8"/>
            <color indexed="81"/>
            <rFont val="Tahoma"/>
            <family val="2"/>
          </rPr>
          <t xml:space="preserve">
container +90%..
Truck Trailer +HSD.. Trailer</t>
        </r>
      </text>
    </comment>
    <comment ref="BW65" authorId="0">
      <text>
        <r>
          <rPr>
            <b/>
            <sz val="8"/>
            <color indexed="81"/>
            <rFont val="Tahoma"/>
            <family val="2"/>
          </rPr>
          <t>sang:</t>
        </r>
        <r>
          <rPr>
            <sz val="8"/>
            <color indexed="81"/>
            <rFont val="Tahoma"/>
            <family val="2"/>
          </rPr>
          <t xml:space="preserve">
guided to HSD during dec analyst day</t>
        </r>
      </text>
    </comment>
    <comment ref="BZ65" authorId="3">
      <text>
        <r>
          <rPr>
            <b/>
            <sz val="9"/>
            <color indexed="81"/>
            <rFont val="Tahoma"/>
            <family val="2"/>
          </rPr>
          <t>JZ:</t>
        </r>
        <r>
          <rPr>
            <sz val="9"/>
            <color indexed="81"/>
            <rFont val="Tahoma"/>
            <family val="2"/>
          </rPr>
          <t xml:space="preserve">
EU Comm Ref orders up 15%</t>
        </r>
      </text>
    </comment>
    <comment ref="CC65" authorId="0">
      <text>
        <r>
          <rPr>
            <b/>
            <sz val="8"/>
            <color indexed="81"/>
            <rFont val="Tahoma"/>
            <family val="2"/>
          </rPr>
          <t>sang:</t>
        </r>
        <r>
          <rPr>
            <sz val="8"/>
            <color indexed="81"/>
            <rFont val="Tahoma"/>
            <family val="2"/>
          </rPr>
          <t xml:space="preserve">
strong 4q orders at both container and NA truck/trailer</t>
        </r>
      </text>
    </comment>
    <comment ref="CG65" authorId="3">
      <text>
        <r>
          <rPr>
            <b/>
            <sz val="9"/>
            <color indexed="81"/>
            <rFont val="Tahoma"/>
            <family val="2"/>
          </rPr>
          <t>JZ:</t>
        </r>
        <r>
          <rPr>
            <sz val="9"/>
            <color indexed="81"/>
            <rFont val="Tahoma"/>
            <family val="2"/>
          </rPr>
          <t xml:space="preserve">
Up MSD</t>
        </r>
      </text>
    </comment>
    <comment ref="CH65" authorId="3">
      <text>
        <r>
          <rPr>
            <b/>
            <sz val="9"/>
            <color indexed="81"/>
            <rFont val="Tahoma"/>
            <family val="2"/>
          </rPr>
          <t>JZ:</t>
        </r>
        <r>
          <rPr>
            <sz val="9"/>
            <color indexed="81"/>
            <rFont val="Tahoma"/>
            <family val="2"/>
          </rPr>
          <t xml:space="preserve">
with 25% decline in container, offset by growth in truck and trailer.
EMEA comm refrigeration down M-HSD, offset by DD increase in truck &amp; trailer. 
</t>
        </r>
      </text>
    </comment>
    <comment ref="CL65" authorId="3">
      <text>
        <r>
          <rPr>
            <b/>
            <sz val="9"/>
            <color indexed="81"/>
            <rFont val="Tahoma"/>
            <family val="2"/>
          </rPr>
          <t>JZ:</t>
        </r>
        <r>
          <rPr>
            <sz val="9"/>
            <color indexed="81"/>
            <rFont val="Tahoma"/>
            <family val="2"/>
          </rPr>
          <t xml:space="preserve">
Flat</t>
        </r>
      </text>
    </comment>
    <comment ref="CQ65" authorId="4">
      <text>
        <r>
          <rPr>
            <b/>
            <sz val="9"/>
            <color indexed="81"/>
            <rFont val="Tahoma"/>
            <family val="2"/>
          </rPr>
          <t xml:space="preserve">Dec 16: </t>
        </r>
        <r>
          <rPr>
            <sz val="9"/>
            <color indexed="81"/>
            <rFont val="Tahoma"/>
            <family val="2"/>
          </rPr>
          <t>Flat</t>
        </r>
      </text>
    </comment>
    <comment ref="BU66" authorId="0">
      <text>
        <r>
          <rPr>
            <b/>
            <sz val="8"/>
            <color indexed="81"/>
            <rFont val="Tahoma"/>
            <family val="2"/>
          </rPr>
          <t>sang:</t>
        </r>
        <r>
          <rPr>
            <sz val="8"/>
            <color indexed="81"/>
            <rFont val="Tahoma"/>
            <family val="2"/>
          </rPr>
          <t xml:space="preserve">
up slightly</t>
        </r>
      </text>
    </comment>
    <comment ref="CG66" authorId="3">
      <text>
        <r>
          <rPr>
            <b/>
            <sz val="9"/>
            <color indexed="81"/>
            <rFont val="Tahoma"/>
            <family val="2"/>
          </rPr>
          <t>JZ:</t>
        </r>
        <r>
          <rPr>
            <sz val="9"/>
            <color indexed="81"/>
            <rFont val="Tahoma"/>
            <family val="2"/>
          </rPr>
          <t xml:space="preserve">
Up LSD</t>
        </r>
      </text>
    </comment>
    <comment ref="CK66" authorId="4">
      <text>
        <r>
          <rPr>
            <b/>
            <sz val="9"/>
            <color indexed="81"/>
            <rFont val="Tahoma"/>
            <family val="2"/>
          </rPr>
          <t>Morales, Jonathan (Research):</t>
        </r>
        <r>
          <rPr>
            <sz val="9"/>
            <color indexed="81"/>
            <rFont val="Tahoma"/>
            <family val="2"/>
          </rPr>
          <t xml:space="preserve">
up HSD, commercial refrigeration +9%</t>
        </r>
      </text>
    </comment>
    <comment ref="CL66" authorId="3">
      <text>
        <r>
          <rPr>
            <b/>
            <sz val="9"/>
            <color indexed="81"/>
            <rFont val="Tahoma"/>
            <family val="2"/>
          </rPr>
          <t>JZ:</t>
        </r>
        <r>
          <rPr>
            <sz val="9"/>
            <color indexed="81"/>
            <rFont val="Tahoma"/>
            <family val="2"/>
          </rPr>
          <t xml:space="preserve">
Up slightly</t>
        </r>
      </text>
    </comment>
    <comment ref="CQ66" authorId="4">
      <text>
        <r>
          <rPr>
            <b/>
            <sz val="9"/>
            <color indexed="81"/>
            <rFont val="Tahoma"/>
            <family val="2"/>
          </rPr>
          <t xml:space="preserve">Dec 16: </t>
        </r>
        <r>
          <rPr>
            <sz val="9"/>
            <color indexed="81"/>
            <rFont val="Tahoma"/>
            <family val="2"/>
          </rPr>
          <t>Up LSD</t>
        </r>
      </text>
    </comment>
    <comment ref="BW68" authorId="0">
      <text>
        <r>
          <rPr>
            <b/>
            <sz val="8"/>
            <color indexed="81"/>
            <rFont val="Tahoma"/>
            <family val="2"/>
          </rPr>
          <t>sang:</t>
        </r>
        <r>
          <rPr>
            <sz val="8"/>
            <color indexed="81"/>
            <rFont val="Tahoma"/>
            <family val="2"/>
          </rPr>
          <t xml:space="preserve">
msd in us resi per dec analyst day</t>
        </r>
      </text>
    </comment>
    <comment ref="BX68" authorId="0">
      <text>
        <r>
          <rPr>
            <b/>
            <sz val="8"/>
            <color indexed="81"/>
            <rFont val="Tahoma"/>
            <family val="2"/>
          </rPr>
          <t>sang:</t>
        </r>
        <r>
          <rPr>
            <sz val="8"/>
            <color indexed="81"/>
            <rFont val="Tahoma"/>
            <family val="2"/>
          </rPr>
          <t xml:space="preserve">
market was up LDD</t>
        </r>
      </text>
    </comment>
    <comment ref="BZ68" authorId="3">
      <text>
        <r>
          <rPr>
            <b/>
            <sz val="9"/>
            <color indexed="81"/>
            <rFont val="Tahoma"/>
            <family val="2"/>
          </rPr>
          <t>JZ:</t>
        </r>
        <r>
          <rPr>
            <sz val="9"/>
            <color indexed="81"/>
            <rFont val="Tahoma"/>
            <family val="2"/>
          </rPr>
          <t xml:space="preserve">
equipment</t>
        </r>
      </text>
    </comment>
    <comment ref="CA68" authorId="3">
      <text>
        <r>
          <rPr>
            <b/>
            <sz val="9"/>
            <color indexed="81"/>
            <rFont val="Tahoma"/>
            <family val="2"/>
          </rPr>
          <t>JZ:</t>
        </r>
        <r>
          <rPr>
            <sz val="9"/>
            <color indexed="81"/>
            <rFont val="Tahoma"/>
            <family val="2"/>
          </rPr>
          <t xml:space="preserve">
~$20m pre-build</t>
        </r>
      </text>
    </comment>
    <comment ref="CG68" authorId="3">
      <text>
        <r>
          <rPr>
            <b/>
            <sz val="9"/>
            <color indexed="81"/>
            <rFont val="Tahoma"/>
            <family val="2"/>
          </rPr>
          <t>JZ:</t>
        </r>
        <r>
          <rPr>
            <sz val="9"/>
            <color indexed="81"/>
            <rFont val="Tahoma"/>
            <family val="2"/>
          </rPr>
          <t xml:space="preserve">
Up MSD</t>
        </r>
      </text>
    </comment>
    <comment ref="CH68" authorId="3">
      <text>
        <r>
          <rPr>
            <b/>
            <sz val="9"/>
            <color indexed="81"/>
            <rFont val="Tahoma"/>
            <family val="2"/>
          </rPr>
          <t>JZ:</t>
        </r>
        <r>
          <rPr>
            <sz val="9"/>
            <color indexed="81"/>
            <rFont val="Tahoma"/>
            <family val="2"/>
          </rPr>
          <t xml:space="preserve">
up HSD ex. SEER 13 impact</t>
        </r>
      </text>
    </comment>
    <comment ref="CL68" authorId="3">
      <text>
        <r>
          <rPr>
            <b/>
            <sz val="9"/>
            <color indexed="81"/>
            <rFont val="Tahoma"/>
            <family val="2"/>
          </rPr>
          <t>JZ:</t>
        </r>
        <r>
          <rPr>
            <sz val="9"/>
            <color indexed="81"/>
            <rFont val="Tahoma"/>
            <family val="2"/>
          </rPr>
          <t xml:space="preserve">
Up MSD</t>
        </r>
      </text>
    </comment>
    <comment ref="CQ68" authorId="4">
      <text>
        <r>
          <rPr>
            <b/>
            <sz val="9"/>
            <color indexed="81"/>
            <rFont val="Tahoma"/>
            <family val="2"/>
          </rPr>
          <t xml:space="preserve">Dec 16: </t>
        </r>
        <r>
          <rPr>
            <sz val="9"/>
            <color indexed="81"/>
            <rFont val="Tahoma"/>
            <family val="2"/>
          </rPr>
          <t>Up MSD</t>
        </r>
      </text>
    </comment>
    <comment ref="CF70" authorId="3">
      <text>
        <r>
          <rPr>
            <b/>
            <sz val="9"/>
            <color indexed="81"/>
            <rFont val="Tahoma"/>
            <family val="2"/>
          </rPr>
          <t>JZ:</t>
        </r>
        <r>
          <rPr>
            <sz val="9"/>
            <color indexed="81"/>
            <rFont val="Tahoma"/>
            <family val="2"/>
          </rPr>
          <t xml:space="preserve">
+9% in China</t>
        </r>
      </text>
    </comment>
    <comment ref="CH70" authorId="3">
      <text>
        <r>
          <rPr>
            <b/>
            <sz val="9"/>
            <color indexed="81"/>
            <rFont val="Tahoma"/>
            <family val="2"/>
          </rPr>
          <t>JZ:</t>
        </r>
        <r>
          <rPr>
            <sz val="9"/>
            <color indexed="81"/>
            <rFont val="Tahoma"/>
            <family val="2"/>
          </rPr>
          <t xml:space="preserve">
HSD decline in Products</t>
        </r>
      </text>
    </comment>
    <comment ref="CM70" authorId="3">
      <text>
        <r>
          <rPr>
            <b/>
            <sz val="9"/>
            <color indexed="81"/>
            <rFont val="Tahoma"/>
            <family val="2"/>
          </rPr>
          <t>JZ:</t>
        </r>
        <r>
          <rPr>
            <sz val="9"/>
            <color indexed="81"/>
            <rFont val="Tahoma"/>
            <family val="2"/>
          </rPr>
          <t xml:space="preserve">
Product up LSD, Field down slightly</t>
        </r>
      </text>
    </comment>
    <comment ref="CN70" authorId="3">
      <text>
        <r>
          <rPr>
            <b/>
            <sz val="9"/>
            <color indexed="81"/>
            <rFont val="Tahoma"/>
            <family val="2"/>
          </rPr>
          <t>JZ:</t>
        </r>
        <r>
          <rPr>
            <sz val="9"/>
            <color indexed="81"/>
            <rFont val="Tahoma"/>
            <family val="2"/>
          </rPr>
          <t xml:space="preserve">
both product and field were flat</t>
        </r>
      </text>
    </comment>
    <comment ref="BW75" authorId="1">
      <text>
        <r>
          <rPr>
            <sz val="8"/>
            <color indexed="81"/>
            <rFont val="Tahoma"/>
            <family val="2"/>
          </rPr>
          <t>$500mn further disposals to be done</t>
        </r>
      </text>
    </comment>
    <comment ref="CG75" authorId="3">
      <text>
        <r>
          <rPr>
            <b/>
            <sz val="9"/>
            <color indexed="81"/>
            <rFont val="Tahoma"/>
            <family val="2"/>
          </rPr>
          <t>JZ:</t>
        </r>
        <r>
          <rPr>
            <sz val="9"/>
            <color indexed="81"/>
            <rFont val="Tahoma"/>
            <family val="2"/>
          </rPr>
          <t xml:space="preserve">
Up MSD, with Products up MSD and Field up LSD</t>
        </r>
      </text>
    </comment>
    <comment ref="CB78" authorId="5">
      <text>
        <r>
          <rPr>
            <b/>
            <sz val="8"/>
            <color indexed="81"/>
            <rFont val="Tahoma"/>
            <family val="2"/>
          </rPr>
          <t>coe:</t>
        </r>
        <r>
          <rPr>
            <sz val="8"/>
            <color indexed="81"/>
            <rFont val="Tahoma"/>
            <family val="2"/>
          </rPr>
          <t xml:space="preserve">
Guidance for mid single digit growth</t>
        </r>
      </text>
    </comment>
    <comment ref="CL78" authorId="3">
      <text>
        <r>
          <rPr>
            <b/>
            <sz val="9"/>
            <color indexed="81"/>
            <rFont val="Tahoma"/>
            <family val="2"/>
          </rPr>
          <t>Dec:</t>
        </r>
        <r>
          <rPr>
            <sz val="9"/>
            <color indexed="81"/>
            <rFont val="Tahoma"/>
            <family val="2"/>
          </rPr>
          <t xml:space="preserve">
F&amp;S Products up LSD</t>
        </r>
      </text>
    </comment>
    <comment ref="CQ78" authorId="4">
      <text>
        <r>
          <rPr>
            <b/>
            <sz val="9"/>
            <color indexed="81"/>
            <rFont val="Tahoma"/>
            <family val="2"/>
          </rPr>
          <t xml:space="preserve">Dec 16: </t>
        </r>
        <r>
          <rPr>
            <sz val="9"/>
            <color indexed="81"/>
            <rFont val="Tahoma"/>
            <family val="2"/>
          </rPr>
          <t xml:space="preserve">F&amp;S product up LSD, F&amp;S field up LSD
</t>
        </r>
      </text>
    </comment>
    <comment ref="BU79" authorId="0">
      <text>
        <r>
          <rPr>
            <b/>
            <sz val="8"/>
            <color indexed="81"/>
            <rFont val="Tahoma"/>
            <family val="2"/>
          </rPr>
          <t>sang:</t>
        </r>
        <r>
          <rPr>
            <sz val="8"/>
            <color indexed="81"/>
            <rFont val="Tahoma"/>
            <family val="2"/>
          </rPr>
          <t xml:space="preserve">
F&amp;S Field/product -MSD.
Field -10%, product +20%</t>
        </r>
      </text>
    </comment>
    <comment ref="BY79" authorId="3">
      <text>
        <r>
          <rPr>
            <b/>
            <sz val="9"/>
            <color indexed="81"/>
            <rFont val="Tahoma"/>
            <family val="2"/>
          </rPr>
          <t>JZ:</t>
        </r>
        <r>
          <rPr>
            <sz val="9"/>
            <color indexed="81"/>
            <rFont val="Tahoma"/>
            <family val="2"/>
          </rPr>
          <t xml:space="preserve">
Up HSD in products, down LSD on field</t>
        </r>
      </text>
    </comment>
    <comment ref="BZ79" authorId="3">
      <text>
        <r>
          <rPr>
            <b/>
            <sz val="9"/>
            <color indexed="81"/>
            <rFont val="Tahoma"/>
            <family val="2"/>
          </rPr>
          <t>JZ:</t>
        </r>
        <r>
          <rPr>
            <sz val="9"/>
            <color indexed="81"/>
            <rFont val="Tahoma"/>
            <family val="2"/>
          </rPr>
          <t xml:space="preserve">
EMEA</t>
        </r>
      </text>
    </comment>
    <comment ref="CB79" authorId="5">
      <text>
        <r>
          <rPr>
            <b/>
            <sz val="8"/>
            <color indexed="81"/>
            <rFont val="Tahoma"/>
            <family val="2"/>
          </rPr>
          <t>coe:</t>
        </r>
        <r>
          <rPr>
            <sz val="8"/>
            <color indexed="81"/>
            <rFont val="Tahoma"/>
            <family val="2"/>
          </rPr>
          <t xml:space="preserve">
Both Product and Service guided to be up slightly</t>
        </r>
      </text>
    </comment>
    <comment ref="CL79" authorId="3">
      <text>
        <r>
          <rPr>
            <b/>
            <sz val="9"/>
            <color indexed="81"/>
            <rFont val="Tahoma"/>
            <family val="2"/>
          </rPr>
          <t>JZ:</t>
        </r>
        <r>
          <rPr>
            <sz val="9"/>
            <color indexed="81"/>
            <rFont val="Tahoma"/>
            <family val="2"/>
          </rPr>
          <t xml:space="preserve">
F&amp;S Products up LSD, Field Services flattish</t>
        </r>
      </text>
    </comment>
    <comment ref="CQ79" authorId="4">
      <text>
        <r>
          <rPr>
            <b/>
            <sz val="9"/>
            <color indexed="81"/>
            <rFont val="Tahoma"/>
            <family val="2"/>
          </rPr>
          <t>Dec 16:</t>
        </r>
        <r>
          <rPr>
            <sz val="9"/>
            <color indexed="81"/>
            <rFont val="Tahoma"/>
            <family val="2"/>
          </rPr>
          <t xml:space="preserve"> F&amp;S product up LSD, F&amp;S field up LSD</t>
        </r>
      </text>
    </comment>
    <comment ref="BY80" authorId="3">
      <text>
        <r>
          <rPr>
            <b/>
            <sz val="9"/>
            <color indexed="81"/>
            <rFont val="Tahoma"/>
            <family val="2"/>
          </rPr>
          <t>JZ:</t>
        </r>
        <r>
          <rPr>
            <sz val="9"/>
            <color indexed="81"/>
            <rFont val="Tahoma"/>
            <family val="2"/>
          </rPr>
          <t xml:space="preserve">
MSD offset hby field</t>
        </r>
      </text>
    </comment>
    <comment ref="CB80" authorId="5">
      <text>
        <r>
          <rPr>
            <b/>
            <sz val="8"/>
            <color indexed="81"/>
            <rFont val="Tahoma"/>
            <family val="2"/>
          </rPr>
          <t>coe:</t>
        </r>
        <r>
          <rPr>
            <sz val="8"/>
            <color indexed="81"/>
            <rFont val="Tahoma"/>
            <family val="2"/>
          </rPr>
          <t xml:space="preserve">
Product expected to be up 10% with Field up low single digits</t>
        </r>
      </text>
    </comment>
    <comment ref="CL80" authorId="3">
      <text>
        <r>
          <rPr>
            <b/>
            <sz val="9"/>
            <color indexed="81"/>
            <rFont val="Tahoma"/>
            <family val="2"/>
          </rPr>
          <t>JZ:</t>
        </r>
        <r>
          <rPr>
            <sz val="9"/>
            <color indexed="81"/>
            <rFont val="Tahoma"/>
            <family val="2"/>
          </rPr>
          <t xml:space="preserve">
both F&amp;S product and field up LSD</t>
        </r>
      </text>
    </comment>
    <comment ref="CQ80" authorId="4">
      <text>
        <r>
          <rPr>
            <b/>
            <sz val="9"/>
            <color indexed="81"/>
            <rFont val="Tahoma"/>
            <family val="2"/>
          </rPr>
          <t>Dec 16:</t>
        </r>
        <r>
          <rPr>
            <sz val="9"/>
            <color indexed="81"/>
            <rFont val="Tahoma"/>
            <family val="2"/>
          </rPr>
          <t xml:space="preserve"> F&amp;S product up LSD, F&amp;S field up LSD</t>
        </r>
      </text>
    </comment>
    <comment ref="C91" authorId="6">
      <text>
        <r>
          <rPr>
            <sz val="8"/>
            <color indexed="81"/>
            <rFont val="Tahoma"/>
            <family val="2"/>
          </rPr>
          <t xml:space="preserve">North American Residential HVAC
</t>
        </r>
      </text>
    </comment>
    <comment ref="Q91" authorId="6">
      <text>
        <r>
          <rPr>
            <sz val="8"/>
            <color indexed="81"/>
            <rFont val="Tahoma"/>
            <family val="2"/>
          </rPr>
          <t xml:space="preserve">Stronger than last year.
Source: Transcript
</t>
        </r>
      </text>
    </comment>
    <comment ref="W91" authorId="6">
      <text>
        <r>
          <rPr>
            <sz val="8"/>
            <color indexed="81"/>
            <rFont val="Tahoma"/>
            <family val="2"/>
          </rPr>
          <t xml:space="preserve">Grew up on residential side.
</t>
        </r>
      </text>
    </comment>
    <comment ref="AS91" authorId="6">
      <text>
        <r>
          <rPr>
            <sz val="8"/>
            <color indexed="81"/>
            <rFont val="Tahoma"/>
            <family val="2"/>
          </rPr>
          <t xml:space="preserve">Unit orders in the North American residential market declined substantially in the second half of the year due to a market downturn and the 13 SEER pre-buy activity
Source: 10-K 2007 Page: 9
</t>
        </r>
      </text>
    </comment>
    <comment ref="BI91" authorId="6">
      <text>
        <r>
          <rPr>
            <sz val="8"/>
            <color indexed="81"/>
            <rFont val="Tahoma"/>
            <family val="2"/>
          </rPr>
          <t xml:space="preserve">Derived number from chart in 1Q12 Investor Presentation
</t>
        </r>
      </text>
    </comment>
    <comment ref="BK91" authorId="6">
      <text>
        <r>
          <rPr>
            <sz val="8"/>
            <color indexed="81"/>
            <rFont val="Tahoma"/>
            <family val="2"/>
          </rPr>
          <t xml:space="preserve">Mid Single Digit Growth
</t>
        </r>
      </text>
    </comment>
    <comment ref="BN91" authorId="6">
      <text>
        <r>
          <rPr>
            <sz val="8"/>
            <color indexed="81"/>
            <rFont val="Tahoma"/>
            <family val="2"/>
          </rPr>
          <t>North American Residential HVAC</t>
        </r>
      </text>
    </comment>
    <comment ref="BO91" authorId="6">
      <text>
        <r>
          <rPr>
            <sz val="8"/>
            <color indexed="81"/>
            <rFont val="Tahoma"/>
            <family val="2"/>
          </rPr>
          <t>North American Residential HVAC</t>
        </r>
      </text>
    </comment>
    <comment ref="BP91" authorId="6">
      <text>
        <r>
          <rPr>
            <sz val="8"/>
            <color indexed="81"/>
            <rFont val="Tahoma"/>
            <family val="2"/>
          </rPr>
          <t>North American Residential HVAC</t>
        </r>
      </text>
    </comment>
    <comment ref="BQ91" authorId="6">
      <text>
        <r>
          <rPr>
            <sz val="8"/>
            <color indexed="81"/>
            <rFont val="Tahoma"/>
            <family val="2"/>
          </rPr>
          <t>North American Residential HVAC</t>
        </r>
      </text>
    </comment>
    <comment ref="BS91" authorId="7">
      <text>
        <r>
          <rPr>
            <b/>
            <sz val="8"/>
            <color indexed="81"/>
            <rFont val="Tahoma"/>
            <family val="2"/>
          </rPr>
          <t>deblase:</t>
        </r>
        <r>
          <rPr>
            <sz val="8"/>
            <color indexed="81"/>
            <rFont val="Tahoma"/>
            <family val="2"/>
          </rPr>
          <t xml:space="preserve">
Up HSD</t>
        </r>
      </text>
    </comment>
    <comment ref="BV91" authorId="0">
      <text>
        <r>
          <rPr>
            <b/>
            <sz val="8"/>
            <color indexed="81"/>
            <rFont val="Tahoma"/>
            <family val="2"/>
          </rPr>
          <t>sang:</t>
        </r>
        <r>
          <rPr>
            <sz val="8"/>
            <color indexed="81"/>
            <rFont val="Tahoma"/>
            <family val="2"/>
          </rPr>
          <t xml:space="preserve">
short cycle.. Both heating and coolers..
</t>
        </r>
      </text>
    </comment>
    <comment ref="BZ91" authorId="3">
      <text>
        <r>
          <rPr>
            <b/>
            <sz val="9"/>
            <color indexed="81"/>
            <rFont val="Tahoma"/>
            <family val="2"/>
          </rPr>
          <t xml:space="preserve">JZ:
</t>
        </r>
        <r>
          <rPr>
            <sz val="9"/>
            <color indexed="81"/>
            <rFont val="Tahoma"/>
            <family val="2"/>
          </rPr>
          <t>ex. pre-buy</t>
        </r>
      </text>
    </comment>
    <comment ref="W93" authorId="6">
      <text>
        <r>
          <rPr>
            <sz val="8"/>
            <color indexed="81"/>
            <rFont val="Tahoma"/>
            <family val="2"/>
          </rPr>
          <t xml:space="preserve">Sign of stabilization
Source: Transcript
</t>
        </r>
      </text>
    </comment>
    <comment ref="AU93" authorId="6">
      <text>
        <r>
          <rPr>
            <sz val="8"/>
            <color indexed="81"/>
            <rFont val="Tahoma"/>
            <family val="2"/>
          </rPr>
          <t xml:space="preserve">Up double digit globally, flat in North America
</t>
        </r>
      </text>
    </comment>
    <comment ref="AV93" authorId="6">
      <text>
        <r>
          <rPr>
            <sz val="8"/>
            <color indexed="81"/>
            <rFont val="Tahoma"/>
            <family val="2"/>
          </rPr>
          <t>Up double digit globally, 
North america up mid to high single digit, Europe up mid single digits and Asia up as well</t>
        </r>
      </text>
    </comment>
    <comment ref="AW93" authorId="6">
      <text>
        <r>
          <rPr>
            <sz val="8"/>
            <color indexed="81"/>
            <rFont val="Tahoma"/>
            <family val="2"/>
          </rPr>
          <t xml:space="preserve">Including the impact of fx
</t>
        </r>
      </text>
    </comment>
    <comment ref="AZ93" authorId="6">
      <text>
        <r>
          <rPr>
            <sz val="8"/>
            <color indexed="81"/>
            <rFont val="Tahoma"/>
            <family val="2"/>
          </rPr>
          <t xml:space="preserve">Down mid teen organically
</t>
        </r>
      </text>
    </comment>
    <comment ref="BD93" authorId="6">
      <text>
        <r>
          <rPr>
            <sz val="8"/>
            <color indexed="81"/>
            <rFont val="Tahoma"/>
            <family val="2"/>
          </rPr>
          <t xml:space="preserve">Down low teens
</t>
        </r>
      </text>
    </comment>
    <comment ref="BE93" authorId="6">
      <text>
        <r>
          <rPr>
            <sz val="8"/>
            <color indexed="81"/>
            <rFont val="Tahoma"/>
            <family val="2"/>
          </rPr>
          <t>Up mid single digit</t>
        </r>
      </text>
    </comment>
    <comment ref="BK93" authorId="6">
      <text>
        <r>
          <rPr>
            <sz val="8"/>
            <color indexed="81"/>
            <rFont val="Tahoma"/>
            <family val="2"/>
          </rPr>
          <t xml:space="preserve">11% growth rate including favorable foreign exchange of 4%
</t>
        </r>
      </text>
    </comment>
    <comment ref="BN93" authorId="6">
      <text>
        <r>
          <rPr>
            <sz val="8"/>
            <color indexed="81"/>
            <rFont val="Tahoma"/>
            <family val="2"/>
          </rPr>
          <t>Up high single digit at constant currency with North America Up about 20%
Source: Call Transcript 1Q12</t>
        </r>
      </text>
    </comment>
    <comment ref="BO93" authorId="6">
      <text>
        <r>
          <rPr>
            <sz val="8"/>
            <color indexed="81"/>
            <rFont val="Tahoma"/>
            <family val="2"/>
          </rPr>
          <t>Glboal Commercial HVAC orders were up mid single digit overall but down low double digit in Europe
Source: Call Transcript 2Q12</t>
        </r>
      </text>
    </comment>
    <comment ref="BQ93" authorId="6">
      <text>
        <r>
          <rPr>
            <sz val="8"/>
            <color indexed="81"/>
            <rFont val="Tahoma"/>
            <family val="2"/>
          </rPr>
          <t xml:space="preserve">At constant currency
</t>
        </r>
      </text>
    </comment>
    <comment ref="BT93" authorId="0">
      <text>
        <r>
          <rPr>
            <b/>
            <sz val="8"/>
            <color indexed="81"/>
            <rFont val="Tahoma"/>
            <family val="2"/>
          </rPr>
          <t>sang:</t>
        </r>
        <r>
          <rPr>
            <sz val="8"/>
            <color indexed="81"/>
            <rFont val="Tahoma"/>
            <family val="2"/>
          </rPr>
          <t xml:space="preserve">
flattish</t>
        </r>
      </text>
    </comment>
    <comment ref="BU93" authorId="0">
      <text>
        <r>
          <rPr>
            <b/>
            <sz val="8"/>
            <color indexed="81"/>
            <rFont val="Tahoma"/>
            <family val="2"/>
          </rPr>
          <t>sang:</t>
        </r>
        <r>
          <rPr>
            <sz val="8"/>
            <color indexed="81"/>
            <rFont val="Tahoma"/>
            <family val="2"/>
          </rPr>
          <t xml:space="preserve">
Europe +MTs
Asia +HTs
NA - Flattish</t>
        </r>
      </text>
    </comment>
    <comment ref="BV93" authorId="0">
      <text>
        <r>
          <rPr>
            <b/>
            <sz val="8"/>
            <color indexed="81"/>
            <rFont val="Tahoma"/>
            <family val="2"/>
          </rPr>
          <t>sang:</t>
        </r>
        <r>
          <rPr>
            <sz val="8"/>
            <color indexed="81"/>
            <rFont val="Tahoma"/>
            <family val="2"/>
          </rPr>
          <t xml:space="preserve">
NA +MSD, Europe +MSD, Asian -LSD
</t>
        </r>
      </text>
    </comment>
    <comment ref="CI93" authorId="3">
      <text>
        <r>
          <rPr>
            <b/>
            <sz val="9"/>
            <color indexed="81"/>
            <rFont val="Tahoma"/>
            <family val="2"/>
          </rPr>
          <t>JZ:</t>
        </r>
        <r>
          <rPr>
            <sz val="9"/>
            <color indexed="81"/>
            <rFont val="Tahoma"/>
            <family val="2"/>
          </rPr>
          <t xml:space="preserve">
mainly driven by EMEA</t>
        </r>
      </text>
    </comment>
    <comment ref="CJ93" authorId="3">
      <text>
        <r>
          <rPr>
            <b/>
            <sz val="9"/>
            <color indexed="81"/>
            <rFont val="Tahoma"/>
            <family val="2"/>
          </rPr>
          <t>JZ:</t>
        </r>
        <r>
          <rPr>
            <sz val="9"/>
            <color indexed="81"/>
            <rFont val="Tahoma"/>
            <family val="2"/>
          </rPr>
          <t xml:space="preserve">
ME -40%</t>
        </r>
      </text>
    </comment>
    <comment ref="BY94" authorId="3">
      <text>
        <r>
          <rPr>
            <b/>
            <sz val="9"/>
            <color indexed="81"/>
            <rFont val="Tahoma"/>
            <family val="2"/>
          </rPr>
          <t>JZ:</t>
        </r>
        <r>
          <rPr>
            <sz val="9"/>
            <color indexed="81"/>
            <rFont val="Tahoma"/>
            <family val="2"/>
          </rPr>
          <t xml:space="preserve">
Applied up M-HSD, light comm up LSD
</t>
        </r>
      </text>
    </comment>
    <comment ref="BZ95" authorId="3">
      <text>
        <r>
          <rPr>
            <b/>
            <sz val="9"/>
            <color indexed="81"/>
            <rFont val="Tahoma"/>
            <family val="2"/>
          </rPr>
          <t>JZ:</t>
        </r>
        <r>
          <rPr>
            <sz val="9"/>
            <color indexed="81"/>
            <rFont val="Tahoma"/>
            <family val="2"/>
          </rPr>
          <t xml:space="preserve">
-11%</t>
        </r>
      </text>
    </comment>
    <comment ref="CI96" authorId="3">
      <text>
        <r>
          <rPr>
            <b/>
            <sz val="9"/>
            <color indexed="81"/>
            <rFont val="Tahoma"/>
            <family val="2"/>
          </rPr>
          <t>JZ:</t>
        </r>
        <r>
          <rPr>
            <sz val="9"/>
            <color indexed="81"/>
            <rFont val="Tahoma"/>
            <family val="2"/>
          </rPr>
          <t xml:space="preserve">
APAC</t>
        </r>
      </text>
    </comment>
    <comment ref="AY100" authorId="6">
      <text>
        <r>
          <rPr>
            <sz val="8"/>
            <color indexed="81"/>
            <rFont val="Tahoma"/>
            <family val="2"/>
          </rPr>
          <t xml:space="preserve">Down 50%-60%
</t>
        </r>
      </text>
    </comment>
    <comment ref="AZ100" authorId="6">
      <text>
        <r>
          <rPr>
            <sz val="8"/>
            <color indexed="81"/>
            <rFont val="Tahoma"/>
            <family val="2"/>
          </rPr>
          <t xml:space="preserve">About 35%-40% in terms of orders
</t>
        </r>
      </text>
    </comment>
    <comment ref="BE100" authorId="6">
      <text>
        <r>
          <rPr>
            <sz val="8"/>
            <color indexed="81"/>
            <rFont val="Tahoma"/>
            <family val="2"/>
          </rPr>
          <t xml:space="preserve">Organic orders up 40%
</t>
        </r>
      </text>
    </comment>
    <comment ref="BL100" authorId="6">
      <text>
        <r>
          <rPr>
            <sz val="8"/>
            <color indexed="81"/>
            <rFont val="Tahoma"/>
            <family val="2"/>
          </rPr>
          <t xml:space="preserve">Down low double digits
</t>
        </r>
      </text>
    </comment>
    <comment ref="BT100" authorId="0">
      <text>
        <r>
          <rPr>
            <b/>
            <sz val="8"/>
            <color indexed="81"/>
            <rFont val="Tahoma"/>
            <family val="2"/>
          </rPr>
          <t>sang:</t>
        </r>
        <r>
          <rPr>
            <sz val="8"/>
            <color indexed="81"/>
            <rFont val="Tahoma"/>
            <family val="2"/>
          </rPr>
          <t xml:space="preserve">
orders +5%</t>
        </r>
      </text>
    </comment>
    <comment ref="BU100" authorId="0">
      <text>
        <r>
          <rPr>
            <b/>
            <sz val="8"/>
            <color indexed="81"/>
            <rFont val="Tahoma"/>
            <family val="2"/>
          </rPr>
          <t>sang:</t>
        </r>
        <r>
          <rPr>
            <sz val="8"/>
            <color indexed="81"/>
            <rFont val="Tahoma"/>
            <family val="2"/>
          </rPr>
          <t xml:space="preserve">
orders were anemic last year on Container.
Europe MTs
N, 30%</t>
        </r>
      </text>
    </comment>
    <comment ref="BY100" authorId="3">
      <text>
        <r>
          <rPr>
            <b/>
            <sz val="9"/>
            <color indexed="81"/>
            <rFont val="Tahoma"/>
            <family val="2"/>
          </rPr>
          <t>JZ:</t>
        </r>
        <r>
          <rPr>
            <sz val="9"/>
            <color indexed="81"/>
            <rFont val="Tahoma"/>
            <family val="2"/>
          </rPr>
          <t xml:space="preserve">
</t>
        </r>
      </text>
    </comment>
    <comment ref="BZ100" authorId="3">
      <text>
        <r>
          <rPr>
            <b/>
            <sz val="9"/>
            <color indexed="81"/>
            <rFont val="Tahoma"/>
            <family val="2"/>
          </rPr>
          <t>JZ:</t>
        </r>
        <r>
          <rPr>
            <sz val="9"/>
            <color indexed="81"/>
            <rFont val="Tahoma"/>
            <family val="2"/>
          </rPr>
          <t xml:space="preserve">
- Contrainer down High tns
- EU trailer up high-tns
- NA trailers up low-tns</t>
        </r>
      </text>
    </comment>
    <comment ref="CA100" authorId="3">
      <text>
        <r>
          <rPr>
            <b/>
            <sz val="9"/>
            <color indexed="81"/>
            <rFont val="Tahoma"/>
            <family val="2"/>
          </rPr>
          <t>JZ:</t>
        </r>
        <r>
          <rPr>
            <sz val="9"/>
            <color indexed="81"/>
            <rFont val="Tahoma"/>
            <family val="2"/>
          </rPr>
          <t xml:space="preserve">
Container up &gt;100%</t>
        </r>
      </text>
    </comment>
    <comment ref="CE100" authorId="3">
      <text>
        <r>
          <rPr>
            <b/>
            <sz val="9"/>
            <color indexed="81"/>
            <rFont val="Tahoma"/>
            <family val="2"/>
          </rPr>
          <t>JZ:</t>
        </r>
        <r>
          <rPr>
            <sz val="9"/>
            <color indexed="81"/>
            <rFont val="Tahoma"/>
            <family val="2"/>
          </rPr>
          <t xml:space="preserve">
Contrainer down in high-teens</t>
        </r>
      </text>
    </comment>
    <comment ref="CF100" authorId="3">
      <text>
        <r>
          <rPr>
            <b/>
            <sz val="9"/>
            <color indexed="81"/>
            <rFont val="Tahoma"/>
            <family val="2"/>
          </rPr>
          <t>JZ:</t>
        </r>
        <r>
          <rPr>
            <sz val="9"/>
            <color indexed="81"/>
            <rFont val="Tahoma"/>
            <family val="2"/>
          </rPr>
          <t xml:space="preserve">
Contrainer down significantly</t>
        </r>
      </text>
    </comment>
    <comment ref="CH100" authorId="3">
      <text>
        <r>
          <rPr>
            <b/>
            <sz val="9"/>
            <color indexed="81"/>
            <rFont val="Tahoma"/>
            <family val="2"/>
          </rPr>
          <t>JZ:</t>
        </r>
        <r>
          <rPr>
            <sz val="9"/>
            <color indexed="81"/>
            <rFont val="Tahoma"/>
            <family val="2"/>
          </rPr>
          <t xml:space="preserve">
NA truck trailer down 50%</t>
        </r>
      </text>
    </comment>
    <comment ref="CI100" authorId="3">
      <text>
        <r>
          <rPr>
            <b/>
            <sz val="9"/>
            <color indexed="81"/>
            <rFont val="Tahoma"/>
            <family val="2"/>
          </rPr>
          <t>JZ:</t>
        </r>
        <r>
          <rPr>
            <sz val="9"/>
            <color indexed="81"/>
            <rFont val="Tahoma"/>
            <family val="2"/>
          </rPr>
          <t xml:space="preserve">
</t>
        </r>
      </text>
    </comment>
    <comment ref="BZ102" authorId="3">
      <text>
        <r>
          <rPr>
            <b/>
            <sz val="9"/>
            <color indexed="81"/>
            <rFont val="Tahoma"/>
            <family val="2"/>
          </rPr>
          <t>JZ:</t>
        </r>
        <r>
          <rPr>
            <sz val="9"/>
            <color indexed="81"/>
            <rFont val="Tahoma"/>
            <family val="2"/>
          </rPr>
          <t xml:space="preserve">
Comm Ref</t>
        </r>
      </text>
    </comment>
    <comment ref="BD105" authorId="6">
      <text>
        <r>
          <rPr>
            <sz val="8"/>
            <color indexed="81"/>
            <rFont val="Tahoma"/>
            <family val="2"/>
          </rPr>
          <t xml:space="preserve">Low single digit growth
</t>
        </r>
      </text>
    </comment>
    <comment ref="BE105" authorId="6">
      <text>
        <r>
          <rPr>
            <sz val="8"/>
            <color indexed="81"/>
            <rFont val="Tahoma"/>
            <family val="2"/>
          </rPr>
          <t>Up mid single digit</t>
        </r>
      </text>
    </comment>
    <comment ref="BO105" authorId="6">
      <text>
        <r>
          <rPr>
            <sz val="8"/>
            <color indexed="81"/>
            <rFont val="Tahoma"/>
            <family val="2"/>
          </rPr>
          <t xml:space="preserve">Down low single digit
Source: Call Transcript 2Q12
</t>
        </r>
      </text>
    </comment>
    <comment ref="BP105" authorId="6">
      <text>
        <r>
          <rPr>
            <sz val="8"/>
            <color indexed="81"/>
            <rFont val="Tahoma"/>
            <family val="2"/>
          </rPr>
          <t>Up low single digit
Source: Transcript</t>
        </r>
      </text>
    </comment>
    <comment ref="BQ105" authorId="6">
      <text>
        <r>
          <rPr>
            <sz val="8"/>
            <color indexed="81"/>
            <rFont val="Tahoma"/>
            <family val="2"/>
          </rPr>
          <t>Up low single digit
Source: Transcript</t>
        </r>
      </text>
    </comment>
    <comment ref="BS105" authorId="7">
      <text>
        <r>
          <rPr>
            <b/>
            <sz val="8"/>
            <color indexed="81"/>
            <rFont val="Tahoma"/>
            <family val="2"/>
          </rPr>
          <t>deblase:</t>
        </r>
        <r>
          <rPr>
            <sz val="8"/>
            <color indexed="81"/>
            <rFont val="Tahoma"/>
            <family val="2"/>
          </rPr>
          <t xml:space="preserve">
Down LSD</t>
        </r>
      </text>
    </comment>
    <comment ref="BT105" authorId="8">
      <text>
        <r>
          <rPr>
            <b/>
            <sz val="8"/>
            <color indexed="81"/>
            <rFont val="Tahoma"/>
            <family val="2"/>
          </rPr>
          <t>ronkowit:</t>
        </r>
        <r>
          <rPr>
            <sz val="8"/>
            <color indexed="81"/>
            <rFont val="Tahoma"/>
            <family val="2"/>
          </rPr>
          <t xml:space="preserve">
global F&amp;S up MSD</t>
        </r>
      </text>
    </comment>
    <comment ref="BU105" authorId="0">
      <text>
        <r>
          <rPr>
            <b/>
            <sz val="8"/>
            <color indexed="81"/>
            <rFont val="Tahoma"/>
            <family val="2"/>
          </rPr>
          <t>sang:</t>
        </r>
        <r>
          <rPr>
            <sz val="8"/>
            <color indexed="81"/>
            <rFont val="Tahoma"/>
            <family val="2"/>
          </rPr>
          <t xml:space="preserve">
product Eur - +HSD
product asia - +HTs
F&amp;S</t>
        </r>
      </text>
    </comment>
    <comment ref="BX105" authorId="0">
      <text>
        <r>
          <rPr>
            <b/>
            <sz val="8"/>
            <color indexed="81"/>
            <rFont val="Tahoma"/>
            <family val="2"/>
          </rPr>
          <t>sang:</t>
        </r>
        <r>
          <rPr>
            <sz val="8"/>
            <color indexed="81"/>
            <rFont val="Tahoma"/>
            <family val="2"/>
          </rPr>
          <t xml:space="preserve">
strong in product offset by decline in field</t>
        </r>
      </text>
    </comment>
    <comment ref="CG105" authorId="3">
      <text>
        <r>
          <rPr>
            <b/>
            <sz val="9"/>
            <color indexed="81"/>
            <rFont val="Tahoma"/>
            <family val="2"/>
          </rPr>
          <t>JZ:</t>
        </r>
        <r>
          <rPr>
            <sz val="9"/>
            <color indexed="81"/>
            <rFont val="Tahoma"/>
            <family val="2"/>
          </rPr>
          <t xml:space="preserve">
</t>
        </r>
      </text>
    </comment>
    <comment ref="CI109" authorId="3">
      <text>
        <r>
          <rPr>
            <b/>
            <sz val="9"/>
            <color indexed="81"/>
            <rFont val="Tahoma"/>
            <family val="2"/>
          </rPr>
          <t>JZ:</t>
        </r>
        <r>
          <rPr>
            <sz val="9"/>
            <color indexed="81"/>
            <rFont val="Tahoma"/>
            <family val="2"/>
          </rPr>
          <t xml:space="preserve">
APAC</t>
        </r>
      </text>
    </comment>
    <comment ref="C111" authorId="3">
      <text>
        <r>
          <rPr>
            <b/>
            <sz val="9"/>
            <color indexed="81"/>
            <rFont val="Tahoma"/>
            <family val="2"/>
          </rPr>
          <t>JZ:</t>
        </r>
        <r>
          <rPr>
            <sz val="9"/>
            <color indexed="81"/>
            <rFont val="Tahoma"/>
            <family val="2"/>
          </rPr>
          <t xml:space="preserve">
slightly less than 50%</t>
        </r>
      </text>
    </comment>
    <comment ref="CI114" authorId="3">
      <text>
        <r>
          <rPr>
            <b/>
            <sz val="9"/>
            <color indexed="81"/>
            <rFont val="Tahoma"/>
            <family val="2"/>
          </rPr>
          <t>JZ:</t>
        </r>
        <r>
          <rPr>
            <sz val="9"/>
            <color indexed="81"/>
            <rFont val="Tahoma"/>
            <family val="2"/>
          </rPr>
          <t xml:space="preserve">
APAC</t>
        </r>
      </text>
    </comment>
    <comment ref="BP116" authorId="0">
      <text>
        <r>
          <rPr>
            <b/>
            <sz val="8"/>
            <color indexed="81"/>
            <rFont val="Tahoma"/>
            <family val="2"/>
          </rPr>
          <t>sang:</t>
        </r>
        <r>
          <rPr>
            <sz val="8"/>
            <color indexed="81"/>
            <rFont val="Tahoma"/>
            <family val="2"/>
          </rPr>
          <t xml:space="preserve">
est from chart</t>
        </r>
      </text>
    </comment>
    <comment ref="BQ116" authorId="0">
      <text>
        <r>
          <rPr>
            <b/>
            <sz val="8"/>
            <color indexed="81"/>
            <rFont val="Tahoma"/>
            <family val="2"/>
          </rPr>
          <t>sang:</t>
        </r>
        <r>
          <rPr>
            <sz val="8"/>
            <color indexed="81"/>
            <rFont val="Tahoma"/>
            <family val="2"/>
          </rPr>
          <t xml:space="preserve">
est from chart</t>
        </r>
      </text>
    </comment>
    <comment ref="BS116" authorId="0">
      <text>
        <r>
          <rPr>
            <b/>
            <sz val="8"/>
            <color indexed="81"/>
            <rFont val="Tahoma"/>
            <family val="2"/>
          </rPr>
          <t>sang:</t>
        </r>
        <r>
          <rPr>
            <sz val="8"/>
            <color indexed="81"/>
            <rFont val="Tahoma"/>
            <family val="2"/>
          </rPr>
          <t xml:space="preserve">
est from chart</t>
        </r>
      </text>
    </comment>
    <comment ref="BT116" authorId="0">
      <text>
        <r>
          <rPr>
            <b/>
            <sz val="8"/>
            <color indexed="81"/>
            <rFont val="Tahoma"/>
            <family val="2"/>
          </rPr>
          <t>sang:</t>
        </r>
        <r>
          <rPr>
            <sz val="8"/>
            <color indexed="81"/>
            <rFont val="Tahoma"/>
            <family val="2"/>
          </rPr>
          <t xml:space="preserve">
est from chart</t>
        </r>
      </text>
    </comment>
    <comment ref="BV116" authorId="0">
      <text>
        <r>
          <rPr>
            <b/>
            <sz val="8"/>
            <color indexed="81"/>
            <rFont val="Tahoma"/>
            <family val="2"/>
          </rPr>
          <t>sang:</t>
        </r>
        <r>
          <rPr>
            <sz val="8"/>
            <color indexed="81"/>
            <rFont val="Tahoma"/>
            <family val="2"/>
          </rPr>
          <t xml:space="preserve">
Asia - Field -10%, Product +10%.
Global field -HSD.. High exposure in Europe, and discriplined approach to campaign.</t>
        </r>
      </text>
    </comment>
    <comment ref="BZ116" authorId="3">
      <text>
        <r>
          <rPr>
            <b/>
            <sz val="9"/>
            <color indexed="81"/>
            <rFont val="Tahoma"/>
            <family val="2"/>
          </rPr>
          <t>JZ:</t>
        </r>
        <r>
          <rPr>
            <sz val="9"/>
            <color indexed="81"/>
            <rFont val="Tahoma"/>
            <family val="2"/>
          </rPr>
          <t xml:space="preserve">
up MSD</t>
        </r>
      </text>
    </comment>
    <comment ref="CL119" authorId="3">
      <text>
        <r>
          <rPr>
            <b/>
            <sz val="9"/>
            <color indexed="81"/>
            <rFont val="Tahoma"/>
            <family val="2"/>
          </rPr>
          <t>JZ:</t>
        </r>
        <r>
          <rPr>
            <sz val="9"/>
            <color indexed="81"/>
            <rFont val="Tahoma"/>
            <family val="2"/>
          </rPr>
          <t xml:space="preserve">
$125m for the full year</t>
        </r>
      </text>
    </comment>
    <comment ref="CQ119" authorId="3">
      <text>
        <r>
          <rPr>
            <b/>
            <sz val="9"/>
            <color indexed="81"/>
            <rFont val="Tahoma"/>
            <family val="2"/>
          </rPr>
          <t>1Q:</t>
        </r>
        <r>
          <rPr>
            <sz val="9"/>
            <color indexed="81"/>
            <rFont val="Tahoma"/>
            <family val="2"/>
          </rPr>
          <t xml:space="preserve">
mgmt now expects price/raws to be flattish for the year vs. $25m prior</t>
        </r>
      </text>
    </comment>
    <comment ref="CG120" authorId="3">
      <text>
        <r>
          <rPr>
            <b/>
            <sz val="9"/>
            <color indexed="81"/>
            <rFont val="Tahoma"/>
            <family val="2"/>
          </rPr>
          <t>JZ:</t>
        </r>
        <r>
          <rPr>
            <sz val="9"/>
            <color indexed="81"/>
            <rFont val="Tahoma"/>
            <family val="2"/>
          </rPr>
          <t xml:space="preserve">
as per Dec 14 guidance</t>
        </r>
      </text>
    </comment>
    <comment ref="CM121" authorId="3">
      <text>
        <r>
          <rPr>
            <b/>
            <sz val="9"/>
            <color indexed="81"/>
            <rFont val="Tahoma"/>
            <family val="2"/>
          </rPr>
          <t>JZ:</t>
        </r>
        <r>
          <rPr>
            <sz val="9"/>
            <color indexed="81"/>
            <rFont val="Tahoma"/>
            <family val="2"/>
          </rPr>
          <t xml:space="preserve">
unfavorable contract adjustments</t>
        </r>
      </text>
    </comment>
    <comment ref="CG122" authorId="3">
      <text>
        <r>
          <rPr>
            <b/>
            <sz val="9"/>
            <color indexed="81"/>
            <rFont val="Tahoma"/>
            <family val="2"/>
          </rPr>
          <t>JZ:</t>
        </r>
        <r>
          <rPr>
            <sz val="9"/>
            <color indexed="81"/>
            <rFont val="Tahoma"/>
            <family val="2"/>
          </rPr>
          <t xml:space="preserve">
~15% of pension headwind as per Dec I-day</t>
        </r>
      </text>
    </comment>
    <comment ref="CC124" authorId="3">
      <text>
        <r>
          <rPr>
            <b/>
            <sz val="9"/>
            <color indexed="81"/>
            <rFont val="Tahoma"/>
            <family val="2"/>
          </rPr>
          <t>JZ:</t>
        </r>
        <r>
          <rPr>
            <sz val="9"/>
            <color indexed="81"/>
            <rFont val="Tahoma"/>
            <family val="2"/>
          </rPr>
          <t xml:space="preserve">
easy comps</t>
        </r>
      </text>
    </comment>
    <comment ref="CE124" authorId="2">
      <text>
        <r>
          <rPr>
            <b/>
            <sz val="9"/>
            <color indexed="81"/>
            <rFont val="Tahoma"/>
            <family val="2"/>
          </rPr>
          <t>Coe, Nigel (Research):</t>
        </r>
        <r>
          <rPr>
            <sz val="9"/>
            <color indexed="81"/>
            <rFont val="Tahoma"/>
            <family val="2"/>
          </rPr>
          <t xml:space="preserve">
Easy comp</t>
        </r>
      </text>
    </comment>
    <comment ref="CH124" authorId="3">
      <text>
        <r>
          <rPr>
            <b/>
            <sz val="9"/>
            <color indexed="81"/>
            <rFont val="Tahoma"/>
            <family val="2"/>
          </rPr>
          <t>JZ:</t>
        </r>
        <r>
          <rPr>
            <sz val="9"/>
            <color indexed="81"/>
            <rFont val="Tahoma"/>
            <family val="2"/>
          </rPr>
          <t xml:space="preserve">
1Q15 benefited from 60bps of one time licensing fee</t>
        </r>
      </text>
    </comment>
    <comment ref="CP124" authorId="2">
      <text>
        <r>
          <rPr>
            <b/>
            <sz val="9"/>
            <color indexed="81"/>
            <rFont val="Tahoma"/>
            <family val="2"/>
          </rPr>
          <t>Coe, Nigel (Research):</t>
        </r>
        <r>
          <rPr>
            <sz val="9"/>
            <color indexed="81"/>
            <rFont val="Tahoma"/>
            <family val="2"/>
          </rPr>
          <t xml:space="preserve">
Easy comp</t>
        </r>
      </text>
    </comment>
    <comment ref="CR124" authorId="3">
      <text>
        <r>
          <rPr>
            <b/>
            <sz val="9"/>
            <color indexed="81"/>
            <rFont val="Tahoma"/>
            <family val="2"/>
          </rPr>
          <t>JZ:</t>
        </r>
        <r>
          <rPr>
            <sz val="9"/>
            <color indexed="81"/>
            <rFont val="Tahoma"/>
            <family val="2"/>
          </rPr>
          <t xml:space="preserve">
easy comp</t>
        </r>
      </text>
    </comment>
    <comment ref="BW146" authorId="3">
      <text>
        <r>
          <rPr>
            <b/>
            <sz val="9"/>
            <color indexed="81"/>
            <rFont val="Tahoma"/>
            <family val="2"/>
          </rPr>
          <t>JZ:</t>
        </r>
        <r>
          <rPr>
            <sz val="9"/>
            <color indexed="81"/>
            <rFont val="Tahoma"/>
            <family val="2"/>
          </rPr>
          <t xml:space="preserve">
35-40%</t>
        </r>
      </text>
    </comment>
    <comment ref="BW147" authorId="3">
      <text>
        <r>
          <rPr>
            <b/>
            <sz val="9"/>
            <color indexed="81"/>
            <rFont val="Tahoma"/>
            <family val="2"/>
          </rPr>
          <t>JZ:</t>
        </r>
        <r>
          <rPr>
            <sz val="9"/>
            <color indexed="81"/>
            <rFont val="Tahoma"/>
            <family val="2"/>
          </rPr>
          <t xml:space="preserve">
40-45%</t>
        </r>
      </text>
    </comment>
    <comment ref="BP152" authorId="9">
      <text>
        <r>
          <rPr>
            <sz val="8"/>
            <color indexed="81"/>
            <rFont val="Tahoma"/>
            <family val="2"/>
          </rPr>
          <t>Down by 9%,
50%- Business transformation.
50%- Productivity.</t>
        </r>
      </text>
    </comment>
    <comment ref="BP159" authorId="9">
      <text>
        <r>
          <rPr>
            <sz val="8"/>
            <color indexed="81"/>
            <rFont val="Tahoma"/>
            <family val="2"/>
          </rPr>
          <t xml:space="preserve">Q4 assumption looks a little testy in the current order trend. Those are short cycle. We could get a bunch of orders, actually in the container in the next few weeks as uncertainty and things go up. We don't know. But certainly, it could put some pressure on the $150 million.
</t>
        </r>
        <r>
          <rPr>
            <sz val="8"/>
            <color indexed="81"/>
            <rFont val="Tahoma"/>
            <family val="2"/>
          </rPr>
          <t xml:space="preserve">
</t>
        </r>
      </text>
    </comment>
    <comment ref="BW170" authorId="2">
      <text>
        <r>
          <rPr>
            <b/>
            <sz val="9"/>
            <color indexed="81"/>
            <rFont val="Tahoma"/>
            <family val="2"/>
          </rPr>
          <t>Coe, Nigel (Research):</t>
        </r>
        <r>
          <rPr>
            <sz val="9"/>
            <color indexed="81"/>
            <rFont val="Tahoma"/>
            <family val="2"/>
          </rPr>
          <t xml:space="preserve">
Carrier contributed 95 stores</t>
        </r>
      </text>
    </comment>
    <comment ref="BW171" authorId="2">
      <text>
        <r>
          <rPr>
            <b/>
            <sz val="9"/>
            <color indexed="81"/>
            <rFont val="Tahoma"/>
            <family val="2"/>
          </rPr>
          <t>Coe, Nigel (Research):</t>
        </r>
        <r>
          <rPr>
            <sz val="9"/>
            <color indexed="81"/>
            <rFont val="Tahoma"/>
            <family val="2"/>
          </rPr>
          <t xml:space="preserve">
Carrier contributed 28 stores</t>
        </r>
      </text>
    </comment>
    <comment ref="CL171" authorId="2">
      <text>
        <r>
          <rPr>
            <b/>
            <sz val="9"/>
            <color indexed="81"/>
            <rFont val="Tahoma"/>
            <family val="2"/>
          </rPr>
          <t>Coe, Nigel (Research):</t>
        </r>
        <r>
          <rPr>
            <sz val="9"/>
            <color indexed="81"/>
            <rFont val="Tahoma"/>
            <family val="2"/>
          </rPr>
          <t xml:space="preserve">
Sold 10% stake in Nov 2016</t>
        </r>
      </text>
    </comment>
    <comment ref="CQ171" authorId="2">
      <text>
        <r>
          <rPr>
            <b/>
            <sz val="9"/>
            <color indexed="81"/>
            <rFont val="Tahoma"/>
            <family val="2"/>
          </rPr>
          <t>Coe, Nigel (Research):</t>
        </r>
        <r>
          <rPr>
            <sz val="9"/>
            <color indexed="81"/>
            <rFont val="Tahoma"/>
            <family val="2"/>
          </rPr>
          <t xml:space="preserve">
Sold 10% stake in Feb 2017</t>
        </r>
      </text>
    </comment>
    <comment ref="BW172" authorId="2">
      <text>
        <r>
          <rPr>
            <b/>
            <sz val="9"/>
            <color indexed="81"/>
            <rFont val="Tahoma"/>
            <family val="2"/>
          </rPr>
          <t>Coe, Nigel (Research):</t>
        </r>
        <r>
          <rPr>
            <sz val="9"/>
            <color indexed="81"/>
            <rFont val="Tahoma"/>
            <family val="2"/>
          </rPr>
          <t xml:space="preserve">
Carrier contributed 35 stores in Canada</t>
        </r>
      </text>
    </comment>
    <comment ref="CQ172" authorId="2">
      <text>
        <r>
          <rPr>
            <b/>
            <sz val="9"/>
            <color indexed="81"/>
            <rFont val="Tahoma"/>
            <family val="2"/>
          </rPr>
          <t>Coe, Nigel (Research):</t>
        </r>
        <r>
          <rPr>
            <sz val="9"/>
            <color indexed="81"/>
            <rFont val="Tahoma"/>
            <family val="2"/>
          </rPr>
          <t xml:space="preserve">
Sold 20% stake in Feb 2017</t>
        </r>
      </text>
    </comment>
    <comment ref="CM179" authorId="2">
      <text>
        <r>
          <rPr>
            <b/>
            <sz val="9"/>
            <color indexed="81"/>
            <rFont val="Tahoma"/>
            <family val="2"/>
          </rPr>
          <t>Coe, Nigel (Research):</t>
        </r>
        <r>
          <rPr>
            <sz val="9"/>
            <color indexed="81"/>
            <rFont val="Tahoma"/>
            <family val="2"/>
          </rPr>
          <t xml:space="preserve">
Accounts for 7ppts of FCF conversion</t>
        </r>
      </text>
    </comment>
    <comment ref="CR179" authorId="2">
      <text>
        <r>
          <rPr>
            <b/>
            <sz val="9"/>
            <color indexed="81"/>
            <rFont val="Tahoma"/>
            <family val="2"/>
          </rPr>
          <t>Coe, Nigel (Research):</t>
        </r>
        <r>
          <rPr>
            <sz val="9"/>
            <color indexed="81"/>
            <rFont val="Tahoma"/>
            <family val="2"/>
          </rPr>
          <t xml:space="preserve">
Accounts for 7ppts of FCF conversion</t>
        </r>
      </text>
    </comment>
  </commentList>
</comments>
</file>

<file path=xl/comments8.xml><?xml version="1.0" encoding="utf-8"?>
<comments xmlns="http://schemas.openxmlformats.org/spreadsheetml/2006/main">
  <authors>
    <author>Ramyar</author>
    <author>HH</author>
    <author>Nigel Coe</author>
    <author>JZ</author>
    <author>Nicole DeBlase</author>
    <author>shahviv</author>
    <author>sang</author>
    <author>Amba</author>
    <author>milip</author>
    <author>Morales, Jonathan (Research)</author>
    <author>Authorised Company Employee</author>
    <author>coe</author>
    <author>Coe, Nigel (Research)</author>
    <author>priyapa</author>
    <author>deblase</author>
    <author>banesou</author>
    <author>soumavab</author>
  </authors>
  <commentList>
    <comment ref="AD12" authorId="0">
      <text>
        <r>
          <rPr>
            <b/>
            <sz val="8"/>
            <color indexed="81"/>
            <rFont val="Tahoma"/>
            <family val="2"/>
          </rPr>
          <t>Ramyar:</t>
        </r>
        <r>
          <rPr>
            <sz val="8"/>
            <color indexed="81"/>
            <rFont val="Tahoma"/>
            <family val="2"/>
          </rPr>
          <t xml:space="preserve">
restated in 1Q05-1,939
10K04-1,944</t>
        </r>
      </text>
    </comment>
    <comment ref="AH12" authorId="1">
      <text>
        <r>
          <rPr>
            <b/>
            <sz val="8"/>
            <color indexed="81"/>
            <rFont val="Tahoma"/>
            <family val="2"/>
          </rPr>
          <t>HH:</t>
        </r>
        <r>
          <rPr>
            <sz val="8"/>
            <color indexed="81"/>
            <rFont val="Tahoma"/>
            <family val="2"/>
          </rPr>
          <t xml:space="preserve">
10k-8303</t>
        </r>
      </text>
    </comment>
    <comment ref="AS12" authorId="2">
      <text>
        <r>
          <rPr>
            <b/>
            <sz val="8"/>
            <color indexed="81"/>
            <rFont val="Tahoma"/>
            <family val="2"/>
          </rPr>
          <t>Nigel Coe:</t>
        </r>
        <r>
          <rPr>
            <sz val="8"/>
            <color indexed="81"/>
            <rFont val="Tahoma"/>
            <family val="2"/>
          </rPr>
          <t xml:space="preserve">
Includes $40m gain on sale of engine venture</t>
        </r>
      </text>
    </comment>
    <comment ref="CJ12" authorId="3">
      <text>
        <r>
          <rPr>
            <b/>
            <sz val="9"/>
            <color indexed="81"/>
            <rFont val="Tahoma"/>
            <family val="2"/>
          </rPr>
          <t>JZ:</t>
        </r>
        <r>
          <rPr>
            <sz val="9"/>
            <color indexed="81"/>
            <rFont val="Tahoma"/>
            <family val="2"/>
          </rPr>
          <t xml:space="preserve">
including $142m one time item related to customer cotnract re-negoation</t>
        </r>
      </text>
    </comment>
    <comment ref="CN12" authorId="3">
      <text>
        <r>
          <rPr>
            <b/>
            <sz val="9"/>
            <color indexed="81"/>
            <rFont val="Tahoma"/>
            <family val="2"/>
          </rPr>
          <t>JZ:</t>
        </r>
        <r>
          <rPr>
            <sz val="9"/>
            <color indexed="81"/>
            <rFont val="Tahoma"/>
            <family val="2"/>
          </rPr>
          <t xml:space="preserve">
including $184m charges related to customer contract negotiations</t>
        </r>
      </text>
    </comment>
    <comment ref="CZ12" authorId="3">
      <text>
        <r>
          <rPr>
            <b/>
            <sz val="9"/>
            <color indexed="81"/>
            <rFont val="Tahoma"/>
            <family val="2"/>
          </rPr>
          <t>JZ:</t>
        </r>
        <r>
          <rPr>
            <sz val="9"/>
            <color indexed="81"/>
            <rFont val="Tahoma"/>
            <family val="2"/>
          </rPr>
          <t xml:space="preserve">
$24bn revenue by 2020e</t>
        </r>
      </text>
    </comment>
    <comment ref="AX13" authorId="4">
      <text>
        <r>
          <rPr>
            <b/>
            <sz val="8"/>
            <color indexed="81"/>
            <rFont val="Tahoma"/>
            <family val="2"/>
          </rPr>
          <t>Nicole DeBlase:</t>
        </r>
        <r>
          <rPr>
            <sz val="8"/>
            <color indexed="81"/>
            <rFont val="Tahoma"/>
            <family val="2"/>
          </rPr>
          <t xml:space="preserve">
Restatement - change in accounting methods</t>
        </r>
      </text>
    </comment>
    <comment ref="BM13" authorId="5">
      <text>
        <r>
          <rPr>
            <sz val="8"/>
            <color indexed="81"/>
            <rFont val="Tahoma"/>
            <family val="2"/>
          </rPr>
          <t xml:space="preserve">Reported: 9%
Source: 10-Q 1Q11
</t>
        </r>
      </text>
    </comment>
    <comment ref="BN13" authorId="5">
      <text>
        <r>
          <rPr>
            <sz val="8"/>
            <color indexed="81"/>
            <rFont val="Tahoma"/>
            <family val="2"/>
          </rPr>
          <t xml:space="preserve">Reported: 5%
Source: 10-Q 2Q11
</t>
        </r>
      </text>
    </comment>
    <comment ref="BO13" authorId="5">
      <text>
        <r>
          <rPr>
            <sz val="8"/>
            <color indexed="81"/>
            <rFont val="Tahoma"/>
            <family val="2"/>
          </rPr>
          <t xml:space="preserve">Reported: 1%
Source: 10-Q 3Q11
</t>
        </r>
      </text>
    </comment>
    <comment ref="BP13" authorId="5">
      <text>
        <r>
          <rPr>
            <sz val="8"/>
            <color indexed="81"/>
            <rFont val="Tahoma"/>
            <family val="2"/>
          </rPr>
          <t xml:space="preserve">Reported: 1%
Source: Investor Presentation 4Q11
</t>
        </r>
      </text>
    </comment>
    <comment ref="BQ13" authorId="5">
      <text>
        <r>
          <rPr>
            <sz val="8"/>
            <color indexed="81"/>
            <rFont val="Tahoma"/>
            <family val="2"/>
          </rPr>
          <t xml:space="preserve">Reported: 4%
Source: Investor Presentation 4Q11
</t>
        </r>
      </text>
    </comment>
    <comment ref="CA13" authorId="6">
      <text>
        <r>
          <rPr>
            <b/>
            <sz val="8"/>
            <color indexed="81"/>
            <rFont val="Tahoma"/>
            <family val="2"/>
          </rPr>
          <t>sang:</t>
        </r>
        <r>
          <rPr>
            <sz val="8"/>
            <color indexed="81"/>
            <rFont val="Tahoma"/>
            <family val="2"/>
          </rPr>
          <t xml:space="preserve">
3q - up lSd</t>
        </r>
      </text>
    </comment>
    <comment ref="AM14" authorId="7">
      <text>
        <r>
          <rPr>
            <b/>
            <sz val="8"/>
            <color indexed="81"/>
            <rFont val="Tahoma"/>
            <family val="2"/>
          </rPr>
          <t>Amba:</t>
        </r>
        <r>
          <rPr>
            <sz val="8"/>
            <color indexed="81"/>
            <rFont val="Tahoma"/>
            <family val="2"/>
          </rPr>
          <t xml:space="preserve">
200m</t>
        </r>
      </text>
    </comment>
    <comment ref="BW14" authorId="8">
      <text>
        <r>
          <rPr>
            <sz val="8"/>
            <color indexed="81"/>
            <rFont val="Tahoma"/>
            <family val="2"/>
          </rPr>
          <t>1H contribution from IAE acquisition and transfer of APU business from Hamilton ($300M)</t>
        </r>
      </text>
    </comment>
    <comment ref="BX14" authorId="6">
      <text>
        <r>
          <rPr>
            <b/>
            <sz val="8"/>
            <color indexed="81"/>
            <rFont val="Tahoma"/>
            <family val="2"/>
          </rPr>
          <t>sang:</t>
        </r>
        <r>
          <rPr>
            <sz val="8"/>
            <color indexed="81"/>
            <rFont val="Tahoma"/>
            <family val="2"/>
          </rPr>
          <t xml:space="preserve">
</t>
        </r>
        <r>
          <rPr>
            <b/>
            <sz val="8"/>
            <color indexed="81"/>
            <rFont val="Tahoma"/>
            <family val="2"/>
          </rPr>
          <t>+400</t>
        </r>
        <r>
          <rPr>
            <sz val="8"/>
            <color indexed="81"/>
            <rFont val="Tahoma"/>
            <family val="2"/>
          </rPr>
          <t xml:space="preserve"> from IAE, last quarter of this
</t>
        </r>
        <r>
          <rPr>
            <b/>
            <sz val="8"/>
            <color indexed="81"/>
            <rFont val="Tahoma"/>
            <family val="2"/>
          </rPr>
          <t>+150</t>
        </r>
        <r>
          <rPr>
            <sz val="8"/>
            <color indexed="81"/>
            <rFont val="Tahoma"/>
            <family val="2"/>
          </rPr>
          <t xml:space="preserve"> from HS APU biz, also last quarter.
</t>
        </r>
        <r>
          <rPr>
            <b/>
            <sz val="8"/>
            <color indexed="81"/>
            <rFont val="Tahoma"/>
            <family val="2"/>
          </rPr>
          <t xml:space="preserve">-100 </t>
        </r>
        <r>
          <rPr>
            <sz val="8"/>
            <color indexed="81"/>
            <rFont val="Tahoma"/>
            <family val="2"/>
          </rPr>
          <t>from Power systems
~1mo impact from may divestiture. Partially offset by Power Systems disposal</t>
        </r>
      </text>
    </comment>
    <comment ref="BZ14" authorId="6">
      <text>
        <r>
          <rPr>
            <b/>
            <sz val="8"/>
            <color indexed="81"/>
            <rFont val="Tahoma"/>
            <family val="2"/>
          </rPr>
          <t>sang:</t>
        </r>
        <r>
          <rPr>
            <sz val="8"/>
            <color indexed="81"/>
            <rFont val="Tahoma"/>
            <family val="2"/>
          </rPr>
          <t xml:space="preserve">
abt 120m headwind from power systems</t>
        </r>
      </text>
    </comment>
    <comment ref="CB14" authorId="6">
      <text>
        <r>
          <rPr>
            <b/>
            <sz val="8"/>
            <color indexed="81"/>
            <rFont val="Tahoma"/>
            <family val="2"/>
          </rPr>
          <t>sang:</t>
        </r>
        <r>
          <rPr>
            <sz val="8"/>
            <color indexed="81"/>
            <rFont val="Tahoma"/>
            <family val="2"/>
          </rPr>
          <t xml:space="preserve">
power systems
</t>
        </r>
      </text>
    </comment>
    <comment ref="CC14" authorId="6">
      <text>
        <r>
          <rPr>
            <b/>
            <sz val="8"/>
            <color indexed="81"/>
            <rFont val="Tahoma"/>
            <family val="2"/>
          </rPr>
          <t>sang:</t>
        </r>
        <r>
          <rPr>
            <sz val="8"/>
            <color indexed="81"/>
            <rFont val="Tahoma"/>
            <family val="2"/>
          </rPr>
          <t xml:space="preserve">
12/13 - analyst day ~300mn impact from power systems </t>
        </r>
      </text>
    </comment>
    <comment ref="CN14" authorId="3">
      <text>
        <r>
          <rPr>
            <b/>
            <sz val="9"/>
            <color indexed="81"/>
            <rFont val="Tahoma"/>
            <family val="2"/>
          </rPr>
          <t>JZ:</t>
        </r>
        <r>
          <rPr>
            <sz val="9"/>
            <color indexed="81"/>
            <rFont val="Tahoma"/>
            <family val="2"/>
          </rPr>
          <t xml:space="preserve">
customer contract negotiations</t>
        </r>
      </text>
    </comment>
    <comment ref="CO14" authorId="9">
      <text>
        <r>
          <rPr>
            <b/>
            <sz val="9"/>
            <color indexed="81"/>
            <rFont val="Tahoma"/>
            <family val="2"/>
          </rPr>
          <t>Morales, Jonathan (Research):</t>
        </r>
        <r>
          <rPr>
            <sz val="9"/>
            <color indexed="81"/>
            <rFont val="Tahoma"/>
            <family val="2"/>
          </rPr>
          <t xml:space="preserve">
Acq -1%, Other +4%</t>
        </r>
      </text>
    </comment>
    <comment ref="CS14" authorId="3">
      <text>
        <r>
          <rPr>
            <b/>
            <sz val="9"/>
            <color indexed="81"/>
            <rFont val="Tahoma"/>
            <family val="2"/>
          </rPr>
          <t>JZ:</t>
        </r>
        <r>
          <rPr>
            <sz val="9"/>
            <color indexed="81"/>
            <rFont val="Tahoma"/>
            <family val="2"/>
          </rPr>
          <t xml:space="preserve">
Including $385m charges related to GTF contracts</t>
        </r>
      </text>
    </comment>
    <comment ref="AM16" authorId="7">
      <text>
        <r>
          <rPr>
            <b/>
            <sz val="8"/>
            <color indexed="81"/>
            <rFont val="Tahoma"/>
            <family val="2"/>
          </rPr>
          <t>Amba:</t>
        </r>
        <r>
          <rPr>
            <sz val="8"/>
            <color indexed="81"/>
            <rFont val="Tahoma"/>
            <family val="2"/>
          </rPr>
          <t xml:space="preserve">
After market &amp; commercial engine - 6%
P&amp;W Canada - 5%</t>
        </r>
      </text>
    </comment>
    <comment ref="AO16" authorId="2">
      <text>
        <r>
          <rPr>
            <b/>
            <sz val="8"/>
            <color indexed="81"/>
            <rFont val="Tahoma"/>
            <family val="2"/>
          </rPr>
          <t>Nigel Coe:
11.2% growth excluding gain</t>
        </r>
      </text>
    </comment>
    <comment ref="AS16" authorId="2">
      <text>
        <r>
          <rPr>
            <b/>
            <sz val="8"/>
            <color indexed="81"/>
            <rFont val="Tahoma"/>
            <family val="2"/>
          </rPr>
          <t>Nigel Coe:</t>
        </r>
        <r>
          <rPr>
            <sz val="8"/>
            <color indexed="81"/>
            <rFont val="Tahoma"/>
            <family val="2"/>
          </rPr>
          <t xml:space="preserve">
7% organic growth</t>
        </r>
      </text>
    </comment>
    <comment ref="AT16" authorId="7">
      <text>
        <r>
          <rPr>
            <b/>
            <sz val="8"/>
            <color indexed="81"/>
            <rFont val="Tahoma"/>
            <family val="2"/>
          </rPr>
          <t>Amba:</t>
        </r>
        <r>
          <rPr>
            <sz val="8"/>
            <color indexed="81"/>
            <rFont val="Tahoma"/>
            <family val="2"/>
          </rPr>
          <t xml:space="preserve">
13% organic growth </t>
        </r>
      </text>
    </comment>
    <comment ref="BJ16" authorId="10">
      <text>
        <r>
          <rPr>
            <b/>
            <sz val="8"/>
            <color indexed="81"/>
            <rFont val="Tahoma"/>
            <family val="2"/>
          </rPr>
          <t>Authorised Company Employee:</t>
        </r>
        <r>
          <rPr>
            <sz val="8"/>
            <color indexed="81"/>
            <rFont val="Tahoma"/>
            <family val="2"/>
          </rPr>
          <t xml:space="preserve">
mid to high single digit growth in OE and aftermarket</t>
        </r>
      </text>
    </comment>
    <comment ref="BK16" authorId="10">
      <text>
        <r>
          <rPr>
            <b/>
            <sz val="8"/>
            <color indexed="81"/>
            <rFont val="Tahoma"/>
            <family val="2"/>
          </rPr>
          <t>Authorised Company Employee:</t>
        </r>
        <r>
          <rPr>
            <sz val="8"/>
            <color indexed="81"/>
            <rFont val="Tahoma"/>
            <family val="2"/>
          </rPr>
          <t xml:space="preserve">
Expect mid-single digit OE growth</t>
        </r>
      </text>
    </comment>
    <comment ref="BM16" authorId="2">
      <text>
        <r>
          <rPr>
            <b/>
            <sz val="8"/>
            <color indexed="81"/>
            <rFont val="Tahoma"/>
            <family val="2"/>
          </rPr>
          <t>Nigel Coe:</t>
        </r>
        <r>
          <rPr>
            <sz val="8"/>
            <color indexed="81"/>
            <rFont val="Tahoma"/>
            <family val="2"/>
          </rPr>
          <t xml:space="preserve">
LCE spares up 30% Y/Y offset by Military</t>
        </r>
      </text>
    </comment>
    <comment ref="CA16" authorId="6">
      <text>
        <r>
          <rPr>
            <b/>
            <sz val="8"/>
            <color indexed="81"/>
            <rFont val="Tahoma"/>
            <family val="2"/>
          </rPr>
          <t>sang:</t>
        </r>
        <r>
          <rPr>
            <sz val="8"/>
            <color indexed="81"/>
            <rFont val="Tahoma"/>
            <family val="2"/>
          </rPr>
          <t xml:space="preserve">
3q - flattish</t>
        </r>
      </text>
    </comment>
    <comment ref="CE16" authorId="11">
      <text>
        <r>
          <rPr>
            <b/>
            <sz val="8"/>
            <color indexed="81"/>
            <rFont val="Tahoma"/>
            <family val="2"/>
          </rPr>
          <t>coe:</t>
        </r>
        <r>
          <rPr>
            <sz val="8"/>
            <color indexed="81"/>
            <rFont val="Tahoma"/>
            <family val="2"/>
          </rPr>
          <t xml:space="preserve">
Tough comp</t>
        </r>
      </text>
    </comment>
    <comment ref="CF16" authorId="3">
      <text>
        <r>
          <rPr>
            <b/>
            <sz val="9"/>
            <color indexed="81"/>
            <rFont val="Tahoma"/>
            <family val="2"/>
          </rPr>
          <t>JZ:</t>
        </r>
        <r>
          <rPr>
            <sz val="9"/>
            <color indexed="81"/>
            <rFont val="Tahoma"/>
            <family val="2"/>
          </rPr>
          <t xml:space="preserve">
Up LSD</t>
        </r>
      </text>
    </comment>
    <comment ref="CJ16" authorId="12">
      <text>
        <r>
          <rPr>
            <b/>
            <sz val="9"/>
            <color indexed="81"/>
            <rFont val="Tahoma"/>
            <family val="2"/>
          </rPr>
          <t>Coe, Nigel (Research):</t>
        </r>
        <r>
          <rPr>
            <sz val="9"/>
            <color indexed="81"/>
            <rFont val="Tahoma"/>
            <family val="2"/>
          </rPr>
          <t xml:space="preserve">
Assume phasing of approximately $400m of sales from 3Q into 4Q</t>
        </r>
      </text>
    </comment>
    <comment ref="CK16" authorId="6">
      <text>
        <r>
          <rPr>
            <b/>
            <sz val="8"/>
            <color indexed="81"/>
            <rFont val="Tahoma"/>
            <family val="2"/>
          </rPr>
          <t>sang:</t>
        </r>
        <r>
          <rPr>
            <sz val="8"/>
            <color indexed="81"/>
            <rFont val="Tahoma"/>
            <family val="2"/>
          </rPr>
          <t xml:space="preserve">
up low single</t>
        </r>
      </text>
    </comment>
    <comment ref="CL16" authorId="3">
      <text>
        <r>
          <rPr>
            <b/>
            <sz val="9"/>
            <color indexed="81"/>
            <rFont val="Tahoma"/>
            <family val="2"/>
          </rPr>
          <t xml:space="preserve">JZ:
</t>
        </r>
        <r>
          <rPr>
            <sz val="9"/>
            <color indexed="81"/>
            <rFont val="Tahoma"/>
            <family val="2"/>
          </rPr>
          <t>couple hundred of millions</t>
        </r>
      </text>
    </comment>
    <comment ref="CM16" authorId="3">
      <text>
        <r>
          <rPr>
            <b/>
            <sz val="9"/>
            <color indexed="81"/>
            <rFont val="Tahoma"/>
            <family val="2"/>
          </rPr>
          <t>JZ:</t>
        </r>
        <r>
          <rPr>
            <sz val="9"/>
            <color indexed="81"/>
            <rFont val="Tahoma"/>
            <family val="2"/>
          </rPr>
          <t xml:space="preserve">
A sale of legacy hardware (8%) and the benefit from a favorable contract termination (2%) offset by lower military engine sales (3%) and lower commercial engine sales (3%).</t>
        </r>
      </text>
    </comment>
    <comment ref="CP16" authorId="3">
      <text>
        <r>
          <rPr>
            <b/>
            <sz val="9"/>
            <color indexed="81"/>
            <rFont val="Tahoma"/>
            <family val="2"/>
          </rPr>
          <t xml:space="preserve">3Q16
Up MSD
March 2016: 
</t>
        </r>
        <r>
          <rPr>
            <sz val="9"/>
            <color indexed="81"/>
            <rFont val="Tahoma"/>
            <family val="2"/>
          </rPr>
          <t>up LSD</t>
        </r>
        <r>
          <rPr>
            <b/>
            <sz val="9"/>
            <color indexed="81"/>
            <rFont val="Tahoma"/>
            <family val="2"/>
          </rPr>
          <t xml:space="preserve">
JZ:</t>
        </r>
        <r>
          <rPr>
            <sz val="9"/>
            <color indexed="81"/>
            <rFont val="Tahoma"/>
            <family val="2"/>
          </rPr>
          <t xml:space="preserve">
Flattish</t>
        </r>
      </text>
    </comment>
    <comment ref="CU16" authorId="3">
      <text>
        <r>
          <rPr>
            <b/>
            <sz val="9"/>
            <color indexed="81"/>
            <rFont val="Tahoma"/>
            <family val="2"/>
          </rPr>
          <t>JZ:</t>
        </r>
        <r>
          <rPr>
            <sz val="9"/>
            <color indexed="81"/>
            <rFont val="Tahoma"/>
            <family val="2"/>
          </rPr>
          <t xml:space="preserve">
up HSD</t>
        </r>
      </text>
    </comment>
    <comment ref="BV20" authorId="2">
      <text>
        <r>
          <rPr>
            <b/>
            <sz val="8"/>
            <color indexed="81"/>
            <rFont val="Tahoma"/>
            <family val="2"/>
          </rPr>
          <t>Nigel Coe:</t>
        </r>
        <r>
          <rPr>
            <sz val="8"/>
            <color indexed="81"/>
            <rFont val="Tahoma"/>
            <family val="2"/>
          </rPr>
          <t xml:space="preserve">
Assume further margin pressure on GTFE&amp;D which will build up again in 2012</t>
        </r>
      </text>
    </comment>
    <comment ref="AD29" authorId="0">
      <text>
        <r>
          <rPr>
            <b/>
            <sz val="8"/>
            <color indexed="81"/>
            <rFont val="Tahoma"/>
            <family val="2"/>
          </rPr>
          <t>Ramyar:</t>
        </r>
        <r>
          <rPr>
            <sz val="8"/>
            <color indexed="81"/>
            <rFont val="Tahoma"/>
            <family val="2"/>
          </rPr>
          <t xml:space="preserve">
10K04-221
1Q05-206</t>
        </r>
      </text>
    </comment>
    <comment ref="AH29" authorId="1">
      <text>
        <r>
          <rPr>
            <b/>
            <sz val="8"/>
            <color indexed="81"/>
            <rFont val="Tahoma"/>
            <family val="2"/>
          </rPr>
          <t>HH:</t>
        </r>
        <r>
          <rPr>
            <sz val="8"/>
            <color indexed="81"/>
            <rFont val="Tahoma"/>
            <family val="2"/>
          </rPr>
          <t xml:space="preserve">
10k-1143</t>
        </r>
      </text>
    </comment>
    <comment ref="AN29" authorId="2">
      <text>
        <r>
          <rPr>
            <b/>
            <sz val="8"/>
            <color indexed="81"/>
            <rFont val="Tahoma"/>
            <family val="2"/>
          </rPr>
          <t>Nigel Coe:</t>
        </r>
        <r>
          <rPr>
            <sz val="8"/>
            <color indexed="81"/>
            <rFont val="Tahoma"/>
            <family val="2"/>
          </rPr>
          <t xml:space="preserve">
Included $25m gain on Piaggo</t>
        </r>
      </text>
    </comment>
    <comment ref="AO29" authorId="2">
      <text>
        <r>
          <rPr>
            <b/>
            <sz val="8"/>
            <color indexed="81"/>
            <rFont val="Tahoma"/>
            <family val="2"/>
          </rPr>
          <t>Nigel Coe:</t>
        </r>
        <r>
          <rPr>
            <sz val="8"/>
            <color indexed="81"/>
            <rFont val="Tahoma"/>
            <family val="2"/>
          </rPr>
          <t xml:space="preserve">
Inlcuded $80m gain</t>
        </r>
      </text>
    </comment>
    <comment ref="AQ29" authorId="2">
      <text>
        <r>
          <rPr>
            <b/>
            <sz val="8"/>
            <color indexed="81"/>
            <rFont val="Tahoma"/>
            <family val="2"/>
          </rPr>
          <t>Nigel Coe:</t>
        </r>
        <r>
          <rPr>
            <sz val="8"/>
            <color indexed="81"/>
            <rFont val="Tahoma"/>
            <family val="2"/>
          </rPr>
          <t xml:space="preserve">
$50m charge related to contract adjustment and environmental liabilities</t>
        </r>
      </text>
    </comment>
    <comment ref="BA29" authorId="10">
      <text>
        <r>
          <rPr>
            <b/>
            <sz val="8"/>
            <color indexed="81"/>
            <rFont val="Tahoma"/>
            <family val="2"/>
          </rPr>
          <t>Authorised Company Employee:</t>
        </r>
        <r>
          <rPr>
            <sz val="8"/>
            <color indexed="81"/>
            <rFont val="Tahoma"/>
            <family val="2"/>
          </rPr>
          <t xml:space="preserve">
$30m impact from MRO true-up</t>
        </r>
      </text>
    </comment>
    <comment ref="BE29" authorId="10">
      <text>
        <r>
          <rPr>
            <b/>
            <sz val="8"/>
            <color indexed="81"/>
            <rFont val="Tahoma"/>
            <family val="2"/>
          </rPr>
          <t>Authorised Company Employee:</t>
        </r>
        <r>
          <rPr>
            <sz val="8"/>
            <color indexed="81"/>
            <rFont val="Tahoma"/>
            <family val="2"/>
          </rPr>
          <t xml:space="preserve">
Includes $35m gain on contract </t>
        </r>
      </text>
    </comment>
    <comment ref="AN30" authorId="2">
      <text>
        <r>
          <rPr>
            <b/>
            <sz val="8"/>
            <color indexed="81"/>
            <rFont val="Tahoma"/>
            <family val="2"/>
          </rPr>
          <t>Nigel Coe:</t>
        </r>
        <r>
          <rPr>
            <sz val="8"/>
            <color indexed="81"/>
            <rFont val="Tahoma"/>
            <family val="2"/>
          </rPr>
          <t xml:space="preserve">
16.4% excluding Piaggio sale</t>
        </r>
      </text>
    </comment>
    <comment ref="AO30" authorId="2">
      <text>
        <r>
          <rPr>
            <b/>
            <sz val="8"/>
            <color indexed="81"/>
            <rFont val="Tahoma"/>
            <family val="2"/>
          </rPr>
          <t>Nigel Coe:</t>
        </r>
        <r>
          <rPr>
            <sz val="8"/>
            <color indexed="81"/>
            <rFont val="Tahoma"/>
            <family val="2"/>
          </rPr>
          <t xml:space="preserve">
17.2% excluding items</t>
        </r>
      </text>
    </comment>
    <comment ref="AZ33" authorId="5">
      <text>
        <r>
          <rPr>
            <sz val="8"/>
            <color indexed="81"/>
            <rFont val="Tahoma"/>
            <family val="2"/>
          </rPr>
          <t xml:space="preserve">Non-cash gain on a partial sale of investment
</t>
        </r>
      </text>
    </comment>
    <comment ref="BO33" authorId="8">
      <text>
        <r>
          <rPr>
            <sz val="8"/>
            <color indexed="81"/>
            <rFont val="Tahoma"/>
            <family val="2"/>
          </rPr>
          <t>$41M gain from the sale of an equity investment</t>
        </r>
      </text>
    </comment>
    <comment ref="BX33" authorId="8">
      <text>
        <r>
          <rPr>
            <sz val="8"/>
            <color indexed="81"/>
            <rFont val="Tahoma"/>
            <family val="2"/>
          </rPr>
          <t>Gain from 2Q sale of Power Systems business</t>
        </r>
      </text>
    </comment>
    <comment ref="BY33" authorId="6">
      <text>
        <r>
          <rPr>
            <b/>
            <sz val="8"/>
            <color indexed="81"/>
            <rFont val="Tahoma"/>
            <family val="2"/>
          </rPr>
          <t>sang:</t>
        </r>
        <r>
          <rPr>
            <sz val="8"/>
            <color indexed="81"/>
            <rFont val="Tahoma"/>
            <family val="2"/>
          </rPr>
          <t xml:space="preserve">
Pratt &amp; Whitney: Approximately $25 million charge to adjust the fair value of a Pratt &amp; Whitney joint venture investment.
</t>
        </r>
      </text>
    </comment>
    <comment ref="CC33" authorId="3">
      <text>
        <r>
          <rPr>
            <b/>
            <sz val="9"/>
            <color indexed="81"/>
            <rFont val="Tahoma"/>
            <family val="2"/>
          </rPr>
          <t>JZ:</t>
        </r>
        <r>
          <rPr>
            <sz val="9"/>
            <color indexed="81"/>
            <rFont val="Tahoma"/>
            <family val="2"/>
          </rPr>
          <t xml:space="preserve">
includes $82m charges related to a JV</t>
        </r>
      </text>
    </comment>
    <comment ref="CD33" authorId="6">
      <text>
        <r>
          <rPr>
            <b/>
            <sz val="8"/>
            <color indexed="81"/>
            <rFont val="Tahoma"/>
            <family val="2"/>
          </rPr>
          <t>sang:</t>
        </r>
        <r>
          <rPr>
            <sz val="8"/>
            <color indexed="81"/>
            <rFont val="Tahoma"/>
            <family val="2"/>
          </rPr>
          <t xml:space="preserve">
FV adjustment related to a biz acqusition</t>
        </r>
      </text>
    </comment>
    <comment ref="CJ33" authorId="3">
      <text>
        <r>
          <rPr>
            <b/>
            <sz val="9"/>
            <color indexed="81"/>
            <rFont val="Tahoma"/>
            <family val="2"/>
          </rPr>
          <t>JZ:</t>
        </r>
        <r>
          <rPr>
            <sz val="9"/>
            <color indexed="81"/>
            <rFont val="Tahoma"/>
            <family val="2"/>
          </rPr>
          <t xml:space="preserve">
customer contract negotiations</t>
        </r>
      </text>
    </comment>
    <comment ref="CK34" authorId="3">
      <text>
        <r>
          <rPr>
            <b/>
            <sz val="9"/>
            <color indexed="81"/>
            <rFont val="Tahoma"/>
            <family val="2"/>
          </rPr>
          <t xml:space="preserve">Mar 15
</t>
        </r>
        <r>
          <rPr>
            <sz val="9"/>
            <color indexed="81"/>
            <rFont val="Tahoma"/>
            <family val="2"/>
          </rPr>
          <t xml:space="preserve">Donw 50-125m
</t>
        </r>
        <r>
          <rPr>
            <b/>
            <sz val="9"/>
            <color indexed="81"/>
            <rFont val="Tahoma"/>
            <family val="2"/>
          </rPr>
          <t xml:space="preserve">
JZ:</t>
        </r>
        <r>
          <rPr>
            <sz val="9"/>
            <color indexed="81"/>
            <rFont val="Tahoma"/>
            <family val="2"/>
          </rPr>
          <t xml:space="preserve">
Down $25-100m</t>
        </r>
      </text>
    </comment>
    <comment ref="CP34" authorId="3">
      <text>
        <r>
          <rPr>
            <b/>
            <sz val="9"/>
            <color indexed="81"/>
            <rFont val="Tahoma"/>
            <family val="2"/>
          </rPr>
          <t xml:space="preserve">3Q16
</t>
        </r>
        <r>
          <rPr>
            <sz val="9"/>
            <color indexed="81"/>
            <rFont val="Tahoma"/>
            <family val="2"/>
          </rPr>
          <t>Down $125-150m</t>
        </r>
        <r>
          <rPr>
            <b/>
            <sz val="9"/>
            <color indexed="81"/>
            <rFont val="Tahoma"/>
            <family val="2"/>
          </rPr>
          <t xml:space="preserve">
2Q16
Down $50-100m
JZ:</t>
        </r>
        <r>
          <rPr>
            <sz val="9"/>
            <color indexed="81"/>
            <rFont val="Tahoma"/>
            <family val="2"/>
          </rPr>
          <t xml:space="preserve">
Flat to down $50m</t>
        </r>
      </text>
    </comment>
    <comment ref="CU34" authorId="3">
      <text>
        <r>
          <rPr>
            <b/>
            <sz val="9"/>
            <color indexed="81"/>
            <rFont val="Tahoma"/>
            <family val="2"/>
          </rPr>
          <t>JZ:</t>
        </r>
        <r>
          <rPr>
            <sz val="9"/>
            <color indexed="81"/>
            <rFont val="Tahoma"/>
            <family val="2"/>
          </rPr>
          <t xml:space="preserve">
Down $125-175m, closer to $125m
down $150-200m, closer to $200m</t>
        </r>
      </text>
    </comment>
    <comment ref="BQ35" authorId="2">
      <text>
        <r>
          <rPr>
            <b/>
            <sz val="8"/>
            <color indexed="81"/>
            <rFont val="Tahoma"/>
            <family val="2"/>
          </rPr>
          <t>Nigel Coe:</t>
        </r>
        <r>
          <rPr>
            <sz val="8"/>
            <color indexed="81"/>
            <rFont val="Tahoma"/>
            <family val="2"/>
          </rPr>
          <t xml:space="preserve">
Incremental $175m R&amp;D headwind</t>
        </r>
      </text>
    </comment>
    <comment ref="BV35" authorId="2">
      <text>
        <r>
          <rPr>
            <b/>
            <sz val="8"/>
            <color indexed="81"/>
            <rFont val="Tahoma"/>
            <family val="2"/>
          </rPr>
          <t>Nigel Coe:</t>
        </r>
        <r>
          <rPr>
            <sz val="8"/>
            <color indexed="81"/>
            <rFont val="Tahoma"/>
            <family val="2"/>
          </rPr>
          <t xml:space="preserve">
Incremental $100m R&amp;D headwind</t>
        </r>
      </text>
    </comment>
    <comment ref="BW35" authorId="11">
      <text>
        <r>
          <rPr>
            <b/>
            <sz val="8"/>
            <color indexed="81"/>
            <rFont val="Tahoma"/>
            <family val="2"/>
          </rPr>
          <t>coe:</t>
        </r>
        <r>
          <rPr>
            <sz val="8"/>
            <color indexed="81"/>
            <rFont val="Tahoma"/>
            <family val="2"/>
          </rPr>
          <t xml:space="preserve">
Includes 4-5c of contract true-ups. Underlying margin closer to 10.5%</t>
        </r>
      </text>
    </comment>
    <comment ref="CA35" authorId="6">
      <text>
        <r>
          <rPr>
            <b/>
            <sz val="8"/>
            <color indexed="81"/>
            <rFont val="Tahoma"/>
            <family val="2"/>
          </rPr>
          <t>sang:</t>
        </r>
        <r>
          <rPr>
            <sz val="8"/>
            <color indexed="81"/>
            <rFont val="Tahoma"/>
            <family val="2"/>
          </rPr>
          <t xml:space="preserve">
3Q - ~150m higher y/y</t>
        </r>
      </text>
    </comment>
    <comment ref="CB35" authorId="6">
      <text>
        <r>
          <rPr>
            <b/>
            <sz val="8"/>
            <color indexed="81"/>
            <rFont val="Tahoma"/>
            <family val="2"/>
          </rPr>
          <t>sang:</t>
        </r>
        <r>
          <rPr>
            <sz val="8"/>
            <color indexed="81"/>
            <rFont val="Tahoma"/>
            <family val="2"/>
          </rPr>
          <t xml:space="preserve">
cad was slightly favorable on profit</t>
        </r>
      </text>
    </comment>
    <comment ref="CC35" authorId="3">
      <text>
        <r>
          <rPr>
            <b/>
            <sz val="9"/>
            <color indexed="81"/>
            <rFont val="Tahoma"/>
            <family val="2"/>
          </rPr>
          <t>JZ:</t>
        </r>
        <r>
          <rPr>
            <sz val="9"/>
            <color indexed="81"/>
            <rFont val="Tahoma"/>
            <family val="2"/>
          </rPr>
          <t xml:space="preserve">
includes $20m contract gains</t>
        </r>
      </text>
    </comment>
    <comment ref="CD35" authorId="3">
      <text>
        <r>
          <rPr>
            <b/>
            <sz val="9"/>
            <color indexed="81"/>
            <rFont val="Tahoma"/>
            <family val="2"/>
          </rPr>
          <t>JZ:</t>
        </r>
        <r>
          <rPr>
            <sz val="9"/>
            <color indexed="81"/>
            <rFont val="Tahoma"/>
            <family val="2"/>
          </rPr>
          <t xml:space="preserve">
favorable A/M contract performance and licensing agreements which exceeded similar benefit from 2013</t>
        </r>
      </text>
    </comment>
    <comment ref="CF35" authorId="11">
      <text>
        <r>
          <rPr>
            <b/>
            <sz val="8"/>
            <color indexed="81"/>
            <rFont val="Tahoma"/>
            <family val="2"/>
          </rPr>
          <t xml:space="preserve">3Q14
</t>
        </r>
        <r>
          <rPr>
            <sz val="8"/>
            <color indexed="81"/>
            <rFont val="Tahoma"/>
            <family val="2"/>
          </rPr>
          <t xml:space="preserve">Expecting to be at the high-end of - 
</t>
        </r>
        <r>
          <rPr>
            <sz val="8"/>
            <color indexed="81"/>
            <rFont val="Tahoma"/>
            <family val="2"/>
          </rPr>
          <t xml:space="preserve">
up $175-200m with bulk driven by pension tailwind</t>
        </r>
      </text>
    </comment>
    <comment ref="CG35" authorId="6">
      <text>
        <r>
          <rPr>
            <b/>
            <sz val="8"/>
            <color indexed="81"/>
            <rFont val="Tahoma"/>
            <family val="2"/>
          </rPr>
          <t>sang:</t>
        </r>
        <r>
          <rPr>
            <sz val="8"/>
            <color indexed="81"/>
            <rFont val="Tahoma"/>
            <family val="2"/>
          </rPr>
          <t xml:space="preserve">
3c, ~35mn benefit from contract termination.. 100bps benefit</t>
        </r>
      </text>
    </comment>
    <comment ref="CI35" authorId="12">
      <text>
        <r>
          <rPr>
            <b/>
            <sz val="9"/>
            <color indexed="81"/>
            <rFont val="Tahoma"/>
            <family val="2"/>
          </rPr>
          <t>Coe, Nigel (Research):</t>
        </r>
        <r>
          <rPr>
            <sz val="9"/>
            <color indexed="81"/>
            <rFont val="Tahoma"/>
            <family val="2"/>
          </rPr>
          <t xml:space="preserve">
</t>
        </r>
      </text>
    </comment>
    <comment ref="CF36" authorId="12">
      <text>
        <r>
          <rPr>
            <b/>
            <sz val="9"/>
            <color indexed="81"/>
            <rFont val="Tahoma"/>
            <family val="2"/>
          </rPr>
          <t>Coe, Nigel (Research):</t>
        </r>
        <r>
          <rPr>
            <sz val="9"/>
            <color indexed="81"/>
            <rFont val="Tahoma"/>
            <family val="2"/>
          </rPr>
          <t xml:space="preserve">
Positive mix of A/M vs. OEM, falling pension and E&amp;D should see substantial margin tailwinds at Pratt</t>
        </r>
      </text>
    </comment>
    <comment ref="CK36" authorId="11">
      <text>
        <r>
          <rPr>
            <b/>
            <sz val="8"/>
            <color indexed="81"/>
            <rFont val="Tahoma"/>
            <family val="2"/>
          </rPr>
          <t>coe:</t>
        </r>
        <r>
          <rPr>
            <sz val="8"/>
            <color indexed="81"/>
            <rFont val="Tahoma"/>
            <family val="2"/>
          </rPr>
          <t xml:space="preserve">
OE mix headwinds. Excludes pension impact which we have put in corporate for now</t>
        </r>
      </text>
    </comment>
    <comment ref="CN36" authorId="3">
      <text>
        <r>
          <rPr>
            <b/>
            <sz val="9"/>
            <color indexed="81"/>
            <rFont val="Tahoma"/>
            <family val="2"/>
          </rPr>
          <t>JZ:</t>
        </r>
        <r>
          <rPr>
            <sz val="9"/>
            <color indexed="81"/>
            <rFont val="Tahoma"/>
            <family val="2"/>
          </rPr>
          <t xml:space="preserve">
$11.2% adjusted margin
</t>
        </r>
      </text>
    </comment>
    <comment ref="DI37" authorId="3">
      <text>
        <r>
          <rPr>
            <b/>
            <sz val="9"/>
            <color indexed="81"/>
            <rFont val="Tahoma"/>
            <family val="2"/>
          </rPr>
          <t>JZ:</t>
        </r>
        <r>
          <rPr>
            <sz val="9"/>
            <color indexed="81"/>
            <rFont val="Tahoma"/>
            <family val="2"/>
          </rPr>
          <t xml:space="preserve">
$50m higher</t>
        </r>
      </text>
    </comment>
    <comment ref="DI38" authorId="3">
      <text>
        <r>
          <rPr>
            <b/>
            <sz val="9"/>
            <color indexed="81"/>
            <rFont val="Tahoma"/>
            <family val="2"/>
          </rPr>
          <t>JZ:</t>
        </r>
        <r>
          <rPr>
            <sz val="9"/>
            <color indexed="81"/>
            <rFont val="Tahoma"/>
            <family val="2"/>
          </rPr>
          <t xml:space="preserve">
$125m upside to original guidance</t>
        </r>
      </text>
    </comment>
    <comment ref="DJ39" authorId="3">
      <text>
        <r>
          <rPr>
            <b/>
            <sz val="9"/>
            <color indexed="81"/>
            <rFont val="Tahoma"/>
            <family val="2"/>
          </rPr>
          <t>JZ:</t>
        </r>
        <r>
          <rPr>
            <sz val="9"/>
            <color indexed="81"/>
            <rFont val="Tahoma"/>
            <family val="2"/>
          </rPr>
          <t xml:space="preserve">
$75m downside</t>
        </r>
      </text>
    </comment>
    <comment ref="DI40" authorId="3">
      <text>
        <r>
          <rPr>
            <b/>
            <sz val="9"/>
            <color indexed="81"/>
            <rFont val="Tahoma"/>
            <family val="2"/>
          </rPr>
          <t>JZ:</t>
        </r>
        <r>
          <rPr>
            <sz val="9"/>
            <color indexed="81"/>
            <rFont val="Tahoma"/>
            <family val="2"/>
          </rPr>
          <t xml:space="preserve">
$50m lower</t>
        </r>
      </text>
    </comment>
    <comment ref="BV45" authorId="8">
      <text>
        <r>
          <rPr>
            <sz val="8"/>
            <color indexed="81"/>
            <rFont val="Tahoma"/>
            <family val="2"/>
          </rPr>
          <t xml:space="preserve">Includes the consolidation of IAE and transfer of the APU business from Aerospace Systems, $6.7-6.8bn pro forma 
</t>
        </r>
      </text>
    </comment>
    <comment ref="CA45" authorId="11">
      <text>
        <r>
          <rPr>
            <b/>
            <sz val="8"/>
            <color indexed="81"/>
            <rFont val="Tahoma"/>
            <family val="2"/>
          </rPr>
          <t>coe:</t>
        </r>
        <r>
          <rPr>
            <sz val="8"/>
            <color indexed="81"/>
            <rFont val="Tahoma"/>
            <family val="2"/>
          </rPr>
          <t xml:space="preserve">
Incremental $700m coming from IAE
Includes AeroPower</t>
        </r>
      </text>
    </comment>
    <comment ref="CG47" authorId="6">
      <text>
        <r>
          <rPr>
            <b/>
            <sz val="8"/>
            <color indexed="81"/>
            <rFont val="Tahoma"/>
            <family val="2"/>
          </rPr>
          <t>sang:</t>
        </r>
        <r>
          <rPr>
            <sz val="8"/>
            <color indexed="81"/>
            <rFont val="Tahoma"/>
            <family val="2"/>
          </rPr>
          <t xml:space="preserve">
Lce transactional spares +6%, overall spares +10%</t>
        </r>
      </text>
    </comment>
    <comment ref="CJ47" authorId="3">
      <text>
        <r>
          <rPr>
            <b/>
            <sz val="9"/>
            <color indexed="81"/>
            <rFont val="Tahoma"/>
            <family val="2"/>
          </rPr>
          <t>JZ:</t>
        </r>
        <r>
          <rPr>
            <sz val="9"/>
            <color indexed="81"/>
            <rFont val="Tahoma"/>
            <family val="2"/>
          </rPr>
          <t xml:space="preserve">
up low tns in Comm engines, V2500 +26%, $60m legacy engine hardware</t>
        </r>
      </text>
    </comment>
    <comment ref="BL48" authorId="8">
      <text>
        <r>
          <rPr>
            <sz val="8"/>
            <color indexed="81"/>
            <rFont val="Tahoma"/>
            <family val="2"/>
          </rPr>
          <t>Per company IR</t>
        </r>
      </text>
    </comment>
    <comment ref="BQ48" authorId="8">
      <text>
        <r>
          <rPr>
            <sz val="8"/>
            <color indexed="81"/>
            <rFont val="Tahoma"/>
            <family val="2"/>
          </rPr>
          <t>Per company IR</t>
        </r>
      </text>
    </comment>
    <comment ref="BV48" authorId="8">
      <text>
        <r>
          <rPr>
            <sz val="8"/>
            <color indexed="81"/>
            <rFont val="Tahoma"/>
            <family val="2"/>
          </rPr>
          <t>65% Pro-forma</t>
        </r>
      </text>
    </comment>
    <comment ref="BZ48" authorId="3">
      <text>
        <r>
          <rPr>
            <b/>
            <sz val="9"/>
            <color indexed="81"/>
            <rFont val="Tahoma"/>
            <family val="2"/>
          </rPr>
          <t>JZ:</t>
        </r>
        <r>
          <rPr>
            <sz val="9"/>
            <color indexed="81"/>
            <rFont val="Tahoma"/>
            <family val="2"/>
          </rPr>
          <t xml:space="preserve">
including all</t>
        </r>
      </text>
    </comment>
    <comment ref="BV50" authorId="8">
      <text>
        <r>
          <rPr>
            <sz val="8"/>
            <color indexed="81"/>
            <rFont val="Tahoma"/>
            <family val="2"/>
          </rPr>
          <t>Includes the consolidation of IAE and transfer of the APU business from Aerospace Systems 
Organic: up mid single digits</t>
        </r>
      </text>
    </comment>
    <comment ref="BX50" authorId="6">
      <text>
        <r>
          <rPr>
            <b/>
            <sz val="8"/>
            <color indexed="81"/>
            <rFont val="Tahoma"/>
            <family val="2"/>
          </rPr>
          <t>sang:</t>
        </r>
        <r>
          <rPr>
            <sz val="8"/>
            <color indexed="81"/>
            <rFont val="Tahoma"/>
            <family val="2"/>
          </rPr>
          <t xml:space="preserve">
reported</t>
        </r>
      </text>
    </comment>
    <comment ref="CF50" authorId="12">
      <text>
        <r>
          <rPr>
            <b/>
            <sz val="9"/>
            <color indexed="81"/>
            <rFont val="Tahoma"/>
            <family val="2"/>
          </rPr>
          <t>Coe, Nigel (Research):</t>
        </r>
        <r>
          <rPr>
            <sz val="9"/>
            <color indexed="81"/>
            <rFont val="Tahoma"/>
            <family val="2"/>
          </rPr>
          <t xml:space="preserve">
Flat A320 shipments. Some growth from A380. Launch of C-Series</t>
        </r>
      </text>
    </comment>
    <comment ref="CK50" authorId="3">
      <text>
        <r>
          <rPr>
            <b/>
            <sz val="9"/>
            <color indexed="81"/>
            <rFont val="Tahoma"/>
            <family val="2"/>
          </rPr>
          <t>JZ:</t>
        </r>
        <r>
          <rPr>
            <sz val="9"/>
            <color indexed="81"/>
            <rFont val="Tahoma"/>
            <family val="2"/>
          </rPr>
          <t xml:space="preserve">
Down LSD</t>
        </r>
      </text>
    </comment>
    <comment ref="CM50" authorId="3">
      <text>
        <r>
          <rPr>
            <b/>
            <sz val="9"/>
            <color indexed="81"/>
            <rFont val="Tahoma"/>
            <family val="2"/>
          </rPr>
          <t>JZ:</t>
        </r>
        <r>
          <rPr>
            <sz val="9"/>
            <color indexed="81"/>
            <rFont val="Tahoma"/>
            <family val="2"/>
          </rPr>
          <t xml:space="preserve">
down mid-teens</t>
        </r>
      </text>
    </comment>
    <comment ref="CN50" authorId="3">
      <text>
        <r>
          <rPr>
            <b/>
            <sz val="9"/>
            <color indexed="81"/>
            <rFont val="Tahoma"/>
            <family val="2"/>
          </rPr>
          <t>JZ:</t>
        </r>
        <r>
          <rPr>
            <sz val="9"/>
            <color indexed="81"/>
            <rFont val="Tahoma"/>
            <family val="2"/>
          </rPr>
          <t xml:space="preserve">
up LSD</t>
        </r>
      </text>
    </comment>
    <comment ref="CO50" authorId="9">
      <text>
        <r>
          <rPr>
            <b/>
            <sz val="9"/>
            <color indexed="81"/>
            <rFont val="Tahoma"/>
            <family val="2"/>
          </rPr>
          <t>Morales, Jonathan (Research):</t>
        </r>
        <r>
          <rPr>
            <sz val="9"/>
            <color indexed="81"/>
            <rFont val="Tahoma"/>
            <family val="2"/>
          </rPr>
          <t xml:space="preserve">
up high teens</t>
        </r>
      </text>
    </comment>
    <comment ref="CP50" authorId="12">
      <text>
        <r>
          <rPr>
            <b/>
            <sz val="9"/>
            <color indexed="81"/>
            <rFont val="Tahoma"/>
            <family val="2"/>
          </rPr>
          <t xml:space="preserve">Dec 15:
</t>
        </r>
        <r>
          <rPr>
            <sz val="9"/>
            <color indexed="81"/>
            <rFont val="Tahoma"/>
            <family val="2"/>
          </rPr>
          <t>Up LSD including P&amp;W Canada</t>
        </r>
        <r>
          <rPr>
            <b/>
            <sz val="9"/>
            <color indexed="81"/>
            <rFont val="Tahoma"/>
            <family val="2"/>
          </rPr>
          <t xml:space="preserve">
Coe, Nigel (Research):</t>
        </r>
        <r>
          <rPr>
            <sz val="9"/>
            <color indexed="81"/>
            <rFont val="Tahoma"/>
            <family val="2"/>
          </rPr>
          <t xml:space="preserve">
A320neo pickup</t>
        </r>
      </text>
    </comment>
    <comment ref="CR50" authorId="3">
      <text>
        <r>
          <rPr>
            <b/>
            <sz val="9"/>
            <color indexed="81"/>
            <rFont val="Tahoma"/>
            <family val="2"/>
          </rPr>
          <t>JZ:</t>
        </r>
        <r>
          <rPr>
            <sz val="9"/>
            <color indexed="81"/>
            <rFont val="Tahoma"/>
            <family val="2"/>
          </rPr>
          <t xml:space="preserve">
Declines in GP7000 and V2500</t>
        </r>
      </text>
    </comment>
    <comment ref="BV51" authorId="8">
      <text>
        <r>
          <rPr>
            <sz val="8"/>
            <color indexed="81"/>
            <rFont val="Tahoma"/>
            <family val="2"/>
          </rPr>
          <t xml:space="preserve">Includes the consolidation of IAE and transfer of the APU business from Aerospace Systems 
</t>
        </r>
      </text>
    </comment>
    <comment ref="BZ51" authorId="6">
      <text>
        <r>
          <rPr>
            <b/>
            <sz val="8"/>
            <color indexed="81"/>
            <rFont val="Tahoma"/>
            <family val="2"/>
          </rPr>
          <t>sang:</t>
        </r>
        <r>
          <rPr>
            <sz val="8"/>
            <color indexed="81"/>
            <rFont val="Tahoma"/>
            <family val="2"/>
          </rPr>
          <t xml:space="preserve">
services up 45%, 
spares up MTs
overall A/m up 20%.</t>
        </r>
      </text>
    </comment>
    <comment ref="CA51" authorId="8">
      <text>
        <r>
          <rPr>
            <sz val="8"/>
            <color indexed="81"/>
            <rFont val="Tahoma"/>
            <family val="2"/>
          </rPr>
          <t>2013 guidance: mid single digit organic growth
~25% reported</t>
        </r>
      </text>
    </comment>
    <comment ref="CF51" authorId="11">
      <text>
        <r>
          <rPr>
            <b/>
            <sz val="8"/>
            <color indexed="81"/>
            <rFont val="Tahoma"/>
            <family val="2"/>
          </rPr>
          <t>coe:</t>
        </r>
        <r>
          <rPr>
            <sz val="8"/>
            <color indexed="81"/>
            <rFont val="Tahoma"/>
            <family val="2"/>
          </rPr>
          <t xml:space="preserve">
Assume ahead of RPM given some pent up demand from 2012</t>
        </r>
      </text>
    </comment>
    <comment ref="CK51" authorId="3">
      <text>
        <r>
          <rPr>
            <b/>
            <sz val="9"/>
            <color indexed="81"/>
            <rFont val="Tahoma"/>
            <family val="2"/>
          </rPr>
          <t>2Q15 Up LSD
JZ:</t>
        </r>
        <r>
          <rPr>
            <sz val="9"/>
            <color indexed="81"/>
            <rFont val="Tahoma"/>
            <family val="2"/>
          </rPr>
          <t xml:space="preserve">
up HSD</t>
        </r>
      </text>
    </comment>
    <comment ref="CO51" authorId="9">
      <text>
        <r>
          <rPr>
            <b/>
            <sz val="9"/>
            <color indexed="81"/>
            <rFont val="Tahoma"/>
            <family val="2"/>
          </rPr>
          <t>Morales, Jonathan (Research):</t>
        </r>
        <r>
          <rPr>
            <sz val="9"/>
            <color indexed="81"/>
            <rFont val="Tahoma"/>
            <family val="2"/>
          </rPr>
          <t xml:space="preserve">
Down MSD</t>
        </r>
      </text>
    </comment>
    <comment ref="CP51" authorId="12">
      <text>
        <r>
          <rPr>
            <b/>
            <sz val="9"/>
            <color indexed="81"/>
            <rFont val="Tahoma"/>
            <family val="2"/>
          </rPr>
          <t xml:space="preserve">3Q16
Up ~10%
2Q16
Up MSD
Dec 15:
</t>
        </r>
        <r>
          <rPr>
            <sz val="9"/>
            <color indexed="81"/>
            <rFont val="Tahoma"/>
            <family val="2"/>
          </rPr>
          <t xml:space="preserve">Flat
</t>
        </r>
        <r>
          <rPr>
            <b/>
            <sz val="9"/>
            <color indexed="81"/>
            <rFont val="Tahoma"/>
            <family val="2"/>
          </rPr>
          <t xml:space="preserve">
Coe, Nigel (Research):</t>
        </r>
        <r>
          <rPr>
            <sz val="9"/>
            <color indexed="81"/>
            <rFont val="Tahoma"/>
            <family val="2"/>
          </rPr>
          <t xml:space="preserve">
Assume gradual negative impact from narrowbody refresh cycle</t>
        </r>
      </text>
    </comment>
    <comment ref="CT51" authorId="12">
      <text>
        <r>
          <rPr>
            <b/>
            <sz val="9"/>
            <color indexed="81"/>
            <rFont val="Tahoma"/>
            <family val="2"/>
          </rPr>
          <t>Coe, Nigel (Research):</t>
        </r>
        <r>
          <rPr>
            <sz val="9"/>
            <color indexed="81"/>
            <rFont val="Tahoma"/>
            <family val="2"/>
          </rPr>
          <t xml:space="preserve">
Easy comp</t>
        </r>
      </text>
    </comment>
    <comment ref="BW52" authorId="6">
      <text>
        <r>
          <rPr>
            <b/>
            <sz val="8"/>
            <color indexed="81"/>
            <rFont val="Tahoma"/>
            <family val="2"/>
          </rPr>
          <t>sang:</t>
        </r>
        <r>
          <rPr>
            <sz val="8"/>
            <color indexed="81"/>
            <rFont val="Tahoma"/>
            <family val="2"/>
          </rPr>
          <t xml:space="preserve">
organic down 19%.. Proforma -3%</t>
        </r>
      </text>
    </comment>
    <comment ref="BX52" authorId="6">
      <text>
        <r>
          <rPr>
            <b/>
            <sz val="8"/>
            <color indexed="81"/>
            <rFont val="Tahoma"/>
            <family val="2"/>
          </rPr>
          <t>sang:</t>
        </r>
        <r>
          <rPr>
            <sz val="8"/>
            <color indexed="81"/>
            <rFont val="Tahoma"/>
            <family val="2"/>
          </rPr>
          <t xml:space="preserve">
pro forma</t>
        </r>
      </text>
    </comment>
    <comment ref="BY52" authorId="6">
      <text>
        <r>
          <rPr>
            <b/>
            <sz val="8"/>
            <color indexed="81"/>
            <rFont val="Tahoma"/>
            <family val="2"/>
          </rPr>
          <t>sang:</t>
        </r>
        <r>
          <rPr>
            <sz val="8"/>
            <color indexed="81"/>
            <rFont val="Tahoma"/>
            <family val="2"/>
          </rPr>
          <t xml:space="preserve">
Am up MTs.
22% growth in spares</t>
        </r>
      </text>
    </comment>
    <comment ref="CF52" authorId="12">
      <text>
        <r>
          <rPr>
            <b/>
            <sz val="9"/>
            <color indexed="81"/>
            <rFont val="Tahoma"/>
            <family val="2"/>
          </rPr>
          <t>Coe, Nigel (Research):</t>
        </r>
        <r>
          <rPr>
            <sz val="9"/>
            <color indexed="81"/>
            <rFont val="Tahoma"/>
            <family val="2"/>
          </rPr>
          <t xml:space="preserve">
Flat A320 shipments. Some growth from A380. Launch of C-Series</t>
        </r>
      </text>
    </comment>
    <comment ref="CI52" authorId="3">
      <text>
        <r>
          <rPr>
            <b/>
            <sz val="9"/>
            <color indexed="81"/>
            <rFont val="Tahoma"/>
            <family val="2"/>
          </rPr>
          <t>JZ:</t>
        </r>
        <r>
          <rPr>
            <sz val="9"/>
            <color indexed="81"/>
            <rFont val="Tahoma"/>
            <family val="2"/>
          </rPr>
          <t xml:space="preserve">
spares orders down 30%</t>
        </r>
      </text>
    </comment>
    <comment ref="BL54" authorId="8">
      <text>
        <r>
          <rPr>
            <sz val="8"/>
            <color indexed="81"/>
            <rFont val="Tahoma"/>
            <family val="2"/>
          </rPr>
          <t>2/3 OE</t>
        </r>
      </text>
    </comment>
    <comment ref="BV55" authorId="8">
      <text>
        <r>
          <rPr>
            <sz val="8"/>
            <color indexed="81"/>
            <rFont val="Tahoma"/>
            <family val="2"/>
          </rPr>
          <t>Up high teens
OE up 25%, A/M up mid to high teens</t>
        </r>
      </text>
    </comment>
    <comment ref="BY55" authorId="6">
      <text>
        <r>
          <rPr>
            <b/>
            <sz val="8"/>
            <color indexed="81"/>
            <rFont val="Tahoma"/>
            <family val="2"/>
          </rPr>
          <t>sang:</t>
        </r>
        <r>
          <rPr>
            <sz val="8"/>
            <color indexed="81"/>
            <rFont val="Tahoma"/>
            <family val="2"/>
          </rPr>
          <t xml:space="preserve">
down low-teens</t>
        </r>
      </text>
    </comment>
    <comment ref="CA55" authorId="11">
      <text>
        <r>
          <rPr>
            <b/>
            <sz val="8"/>
            <color indexed="81"/>
            <rFont val="Tahoma"/>
            <family val="2"/>
          </rPr>
          <t>coe:</t>
        </r>
        <r>
          <rPr>
            <sz val="8"/>
            <color indexed="81"/>
            <rFont val="Tahoma"/>
            <family val="2"/>
          </rPr>
          <t xml:space="preserve">
Assuming sequestration impact</t>
        </r>
      </text>
    </comment>
    <comment ref="CF55" authorId="11">
      <text>
        <r>
          <rPr>
            <b/>
            <sz val="8"/>
            <color indexed="81"/>
            <rFont val="Tahoma"/>
            <family val="2"/>
          </rPr>
          <t>coe:</t>
        </r>
        <r>
          <rPr>
            <sz val="8"/>
            <color indexed="81"/>
            <rFont val="Tahoma"/>
            <family val="2"/>
          </rPr>
          <t xml:space="preserve">
Guidance for flattish military on rising JSF which we view as aggressive</t>
        </r>
      </text>
    </comment>
    <comment ref="CJ55" authorId="3">
      <text>
        <r>
          <rPr>
            <b/>
            <sz val="9"/>
            <color indexed="81"/>
            <rFont val="Tahoma"/>
            <family val="2"/>
          </rPr>
          <t>JZ:</t>
        </r>
        <r>
          <rPr>
            <sz val="9"/>
            <color indexed="81"/>
            <rFont val="Tahoma"/>
            <family val="2"/>
          </rPr>
          <t xml:space="preserve">
lower engine deliveries</t>
        </r>
      </text>
    </comment>
    <comment ref="CK55" authorId="11">
      <text>
        <r>
          <rPr>
            <sz val="8"/>
            <color indexed="81"/>
            <rFont val="Tahoma"/>
            <family val="2"/>
          </rPr>
          <t xml:space="preserve">Mgmt looks for $100-150m headwinds from C17 production ramp-down, as well as the ending of a LT service agreement </t>
        </r>
        <r>
          <rPr>
            <b/>
            <sz val="8"/>
            <color indexed="81"/>
            <rFont val="Tahoma"/>
            <family val="2"/>
          </rPr>
          <t xml:space="preserve">
coe:</t>
        </r>
        <r>
          <rPr>
            <sz val="8"/>
            <color indexed="81"/>
            <rFont val="Tahoma"/>
            <family val="2"/>
          </rPr>
          <t xml:space="preserve">
Assuming C17 production stops here</t>
        </r>
      </text>
    </comment>
    <comment ref="CU55" authorId="3">
      <text>
        <r>
          <rPr>
            <b/>
            <sz val="9"/>
            <color indexed="81"/>
            <rFont val="Tahoma"/>
            <family val="2"/>
          </rPr>
          <t>JZ:</t>
        </r>
        <r>
          <rPr>
            <sz val="9"/>
            <color indexed="81"/>
            <rFont val="Tahoma"/>
            <family val="2"/>
          </rPr>
          <t xml:space="preserve">
up mid-teens</t>
        </r>
      </text>
    </comment>
    <comment ref="CZ55" authorId="12">
      <text>
        <r>
          <rPr>
            <b/>
            <sz val="9"/>
            <color indexed="81"/>
            <rFont val="Tahoma"/>
            <family val="2"/>
          </rPr>
          <t>Coe, Nigel (Research):</t>
        </r>
        <r>
          <rPr>
            <sz val="9"/>
            <color indexed="81"/>
            <rFont val="Tahoma"/>
            <family val="2"/>
          </rPr>
          <t xml:space="preserve">
JSF ramp assumed to start here</t>
        </r>
      </text>
    </comment>
    <comment ref="BX56" authorId="6">
      <text>
        <r>
          <rPr>
            <b/>
            <sz val="8"/>
            <color indexed="81"/>
            <rFont val="Tahoma"/>
            <family val="2"/>
          </rPr>
          <t>sang:</t>
        </r>
        <r>
          <rPr>
            <sz val="8"/>
            <color indexed="81"/>
            <rFont val="Tahoma"/>
            <family val="2"/>
          </rPr>
          <t xml:space="preserve">
down 35%</t>
        </r>
      </text>
    </comment>
    <comment ref="BZ56" authorId="6">
      <text>
        <r>
          <rPr>
            <b/>
            <sz val="8"/>
            <color indexed="81"/>
            <rFont val="Tahoma"/>
            <family val="2"/>
          </rPr>
          <t>sang:</t>
        </r>
        <r>
          <rPr>
            <sz val="8"/>
            <color indexed="81"/>
            <rFont val="Tahoma"/>
            <family val="2"/>
          </rPr>
          <t xml:space="preserve">
timing of JSF</t>
        </r>
      </text>
    </comment>
    <comment ref="CO56" authorId="9">
      <text>
        <r>
          <rPr>
            <b/>
            <sz val="9"/>
            <color indexed="81"/>
            <rFont val="Tahoma"/>
            <family val="2"/>
          </rPr>
          <t>Morales, Jonathan (Research):</t>
        </r>
        <r>
          <rPr>
            <sz val="9"/>
            <color indexed="81"/>
            <rFont val="Tahoma"/>
            <family val="2"/>
          </rPr>
          <t xml:space="preserve">
up LSD</t>
        </r>
      </text>
    </comment>
    <comment ref="CP56" authorId="3">
      <text>
        <r>
          <rPr>
            <b/>
            <sz val="9"/>
            <color indexed="81"/>
            <rFont val="Tahoma"/>
            <family val="2"/>
          </rPr>
          <t>Dec 15:</t>
        </r>
        <r>
          <rPr>
            <sz val="9"/>
            <color indexed="81"/>
            <rFont val="Tahoma"/>
            <family val="2"/>
          </rPr>
          <t xml:space="preserve">
Down DD, driven by loss of big retrofit program for C-5</t>
        </r>
      </text>
    </comment>
    <comment ref="CR56" authorId="3">
      <text>
        <r>
          <rPr>
            <b/>
            <sz val="9"/>
            <color indexed="81"/>
            <rFont val="Tahoma"/>
            <family val="2"/>
          </rPr>
          <t>JZ:</t>
        </r>
        <r>
          <rPr>
            <sz val="9"/>
            <color indexed="81"/>
            <rFont val="Tahoma"/>
            <family val="2"/>
          </rPr>
          <t xml:space="preserve">
F-35 deliveries</t>
        </r>
      </text>
    </comment>
    <comment ref="BX57" authorId="6">
      <text>
        <r>
          <rPr>
            <b/>
            <sz val="8"/>
            <color indexed="81"/>
            <rFont val="Tahoma"/>
            <family val="2"/>
          </rPr>
          <t>sang:</t>
        </r>
        <r>
          <rPr>
            <sz val="8"/>
            <color indexed="81"/>
            <rFont val="Tahoma"/>
            <family val="2"/>
          </rPr>
          <t xml:space="preserve">
up mSD</t>
        </r>
      </text>
    </comment>
    <comment ref="BY57" authorId="6">
      <text>
        <r>
          <rPr>
            <b/>
            <sz val="8"/>
            <color indexed="81"/>
            <rFont val="Tahoma"/>
            <family val="2"/>
          </rPr>
          <t>sang:</t>
        </r>
        <r>
          <rPr>
            <sz val="8"/>
            <color indexed="81"/>
            <rFont val="Tahoma"/>
            <family val="2"/>
          </rPr>
          <t xml:space="preserve">
 up Low double</t>
        </r>
      </text>
    </comment>
    <comment ref="CO57" authorId="9">
      <text>
        <r>
          <rPr>
            <b/>
            <sz val="9"/>
            <color indexed="81"/>
            <rFont val="Tahoma"/>
            <family val="2"/>
          </rPr>
          <t>Morales, Jonathan (Research):</t>
        </r>
        <r>
          <rPr>
            <sz val="9"/>
            <color indexed="81"/>
            <rFont val="Tahoma"/>
            <family val="2"/>
          </rPr>
          <t xml:space="preserve">
up MSD</t>
        </r>
      </text>
    </comment>
    <comment ref="CP57" authorId="3">
      <text>
        <r>
          <rPr>
            <b/>
            <sz val="9"/>
            <color indexed="81"/>
            <rFont val="Tahoma"/>
            <family val="2"/>
          </rPr>
          <t>Dec 15:</t>
        </r>
        <r>
          <rPr>
            <sz val="9"/>
            <color indexed="81"/>
            <rFont val="Tahoma"/>
            <family val="2"/>
          </rPr>
          <t xml:space="preserve">
up DD</t>
        </r>
      </text>
    </comment>
    <comment ref="BL59" authorId="8">
      <text>
        <r>
          <rPr>
            <sz val="8"/>
            <color indexed="81"/>
            <rFont val="Tahoma"/>
            <family val="2"/>
          </rPr>
          <t>55% OE</t>
        </r>
      </text>
    </comment>
    <comment ref="BV60" authorId="8">
      <text>
        <r>
          <rPr>
            <sz val="8"/>
            <color indexed="81"/>
            <rFont val="Tahoma"/>
            <family val="2"/>
          </rPr>
          <t>MSD ex FX</t>
        </r>
      </text>
    </comment>
    <comment ref="BX60" authorId="6">
      <text>
        <r>
          <rPr>
            <b/>
            <sz val="8"/>
            <color indexed="81"/>
            <rFont val="Tahoma"/>
            <family val="2"/>
          </rPr>
          <t>sang:</t>
        </r>
        <r>
          <rPr>
            <sz val="8"/>
            <color indexed="81"/>
            <rFont val="Tahoma"/>
            <family val="2"/>
          </rPr>
          <t xml:space="preserve">
up LSD</t>
        </r>
      </text>
    </comment>
    <comment ref="BY60" authorId="6">
      <text>
        <r>
          <rPr>
            <b/>
            <sz val="8"/>
            <color indexed="81"/>
            <rFont val="Tahoma"/>
            <family val="2"/>
          </rPr>
          <t>sang:</t>
        </r>
        <r>
          <rPr>
            <sz val="8"/>
            <color indexed="81"/>
            <rFont val="Tahoma"/>
            <family val="2"/>
          </rPr>
          <t xml:space="preserve">
+MSD</t>
        </r>
      </text>
    </comment>
    <comment ref="CA60" authorId="8">
      <text>
        <r>
          <rPr>
            <sz val="8"/>
            <color indexed="81"/>
            <rFont val="Tahoma"/>
            <family val="2"/>
          </rPr>
          <t>PWC will be up slightly 
Source: investor day</t>
        </r>
      </text>
    </comment>
    <comment ref="CJ60" authorId="3">
      <text>
        <r>
          <rPr>
            <b/>
            <sz val="9"/>
            <color indexed="81"/>
            <rFont val="Tahoma"/>
            <family val="2"/>
          </rPr>
          <t>JZ:</t>
        </r>
        <r>
          <rPr>
            <sz val="9"/>
            <color indexed="81"/>
            <rFont val="Tahoma"/>
            <family val="2"/>
          </rPr>
          <t xml:space="preserve">
Up slightly ex. FX due to hedges</t>
        </r>
      </text>
    </comment>
    <comment ref="CA61" authorId="8">
      <text>
        <r>
          <rPr>
            <sz val="8"/>
            <color indexed="81"/>
            <rFont val="Tahoma"/>
            <family val="2"/>
          </rPr>
          <t>Deliveries up mid single digit</t>
        </r>
      </text>
    </comment>
    <comment ref="BX62" authorId="6">
      <text>
        <r>
          <rPr>
            <b/>
            <sz val="8"/>
            <color indexed="81"/>
            <rFont val="Tahoma"/>
            <family val="2"/>
          </rPr>
          <t>sang:</t>
        </r>
        <r>
          <rPr>
            <sz val="8"/>
            <color indexed="81"/>
            <rFont val="Tahoma"/>
            <family val="2"/>
          </rPr>
          <t xml:space="preserve">
up msd</t>
        </r>
      </text>
    </comment>
    <comment ref="BY62" authorId="6">
      <text>
        <r>
          <rPr>
            <b/>
            <sz val="8"/>
            <color indexed="81"/>
            <rFont val="Tahoma"/>
            <family val="2"/>
          </rPr>
          <t>sang:</t>
        </r>
        <r>
          <rPr>
            <sz val="8"/>
            <color indexed="81"/>
            <rFont val="Tahoma"/>
            <family val="2"/>
          </rPr>
          <t xml:space="preserve">
down high single</t>
        </r>
      </text>
    </comment>
    <comment ref="DA62" authorId="12">
      <text>
        <r>
          <rPr>
            <b/>
            <sz val="9"/>
            <color indexed="81"/>
            <rFont val="Tahoma"/>
            <family val="2"/>
          </rPr>
          <t>Coe, Nigel (Research):</t>
        </r>
        <r>
          <rPr>
            <sz val="9"/>
            <color indexed="81"/>
            <rFont val="Tahoma"/>
            <family val="2"/>
          </rPr>
          <t xml:space="preserve">
BJ ramp up
G5/6 Programs</t>
        </r>
      </text>
    </comment>
    <comment ref="BX64" authorId="6">
      <text>
        <r>
          <rPr>
            <b/>
            <sz val="8"/>
            <color indexed="81"/>
            <rFont val="Tahoma"/>
            <family val="2"/>
          </rPr>
          <t>sang:</t>
        </r>
        <r>
          <rPr>
            <sz val="8"/>
            <color indexed="81"/>
            <rFont val="Tahoma"/>
            <family val="2"/>
          </rPr>
          <t xml:space="preserve">
down HSD</t>
        </r>
      </text>
    </comment>
    <comment ref="BY64" authorId="6">
      <text>
        <r>
          <rPr>
            <b/>
            <sz val="8"/>
            <color indexed="81"/>
            <rFont val="Tahoma"/>
            <family val="2"/>
          </rPr>
          <t>sang:</t>
        </r>
        <r>
          <rPr>
            <sz val="8"/>
            <color indexed="81"/>
            <rFont val="Tahoma"/>
            <family val="2"/>
          </rPr>
          <t xml:space="preserve">
down low single</t>
        </r>
      </text>
    </comment>
    <comment ref="BV70" authorId="8">
      <text>
        <r>
          <rPr>
            <sz val="8"/>
            <color indexed="81"/>
            <rFont val="Tahoma"/>
            <family val="2"/>
          </rPr>
          <t>Power Systems revenue to be consolidated until divestiture in 2Q13</t>
        </r>
      </text>
    </comment>
    <comment ref="BQ73" authorId="8">
      <text>
        <r>
          <rPr>
            <sz val="8"/>
            <color indexed="81"/>
            <rFont val="Tahoma"/>
            <family val="2"/>
          </rPr>
          <t>intercompany adjustment</t>
        </r>
      </text>
    </comment>
    <comment ref="BV73" authorId="8">
      <text>
        <r>
          <rPr>
            <sz val="8"/>
            <color indexed="81"/>
            <rFont val="Tahoma"/>
            <family val="2"/>
          </rPr>
          <t>intercompany adjustment</t>
        </r>
      </text>
    </comment>
    <comment ref="CK96" authorId="3">
      <text>
        <r>
          <rPr>
            <b/>
            <sz val="9"/>
            <color indexed="81"/>
            <rFont val="Tahoma"/>
            <family val="2"/>
          </rPr>
          <t xml:space="preserve">
JZ:</t>
        </r>
        <r>
          <rPr>
            <sz val="9"/>
            <color indexed="81"/>
            <rFont val="Tahoma"/>
            <family val="2"/>
          </rPr>
          <t xml:space="preserve">
Mgmt guided for $125m total Comm OE headwind - we model $120m here including $35m growth from PWC</t>
        </r>
      </text>
    </comment>
    <comment ref="CL96" authorId="3">
      <text>
        <r>
          <rPr>
            <b/>
            <sz val="9"/>
            <color indexed="81"/>
            <rFont val="Tahoma"/>
            <family val="2"/>
          </rPr>
          <t>JZ:</t>
        </r>
        <r>
          <rPr>
            <sz val="9"/>
            <color indexed="81"/>
            <rFont val="Tahoma"/>
            <family val="2"/>
          </rPr>
          <t xml:space="preserve">
-70m</t>
        </r>
      </text>
    </comment>
    <comment ref="CN96" authorId="3">
      <text>
        <r>
          <rPr>
            <b/>
            <sz val="9"/>
            <color indexed="81"/>
            <rFont val="Tahoma"/>
            <family val="2"/>
          </rPr>
          <t>JZ:</t>
        </r>
        <r>
          <rPr>
            <sz val="9"/>
            <color indexed="81"/>
            <rFont val="Tahoma"/>
            <family val="2"/>
          </rPr>
          <t xml:space="preserve">
~$80m OE headwind</t>
        </r>
      </text>
    </comment>
    <comment ref="CP96" authorId="3">
      <text>
        <r>
          <rPr>
            <b/>
            <sz val="9"/>
            <color indexed="81"/>
            <rFont val="Tahoma"/>
            <family val="2"/>
          </rPr>
          <t>JZ:</t>
        </r>
        <r>
          <rPr>
            <sz val="9"/>
            <color indexed="81"/>
            <rFont val="Tahoma"/>
            <family val="2"/>
          </rPr>
          <t xml:space="preserve">
$225m guidance
</t>
        </r>
      </text>
    </comment>
    <comment ref="CU96" authorId="3">
      <text>
        <r>
          <rPr>
            <b/>
            <sz val="9"/>
            <color indexed="81"/>
            <rFont val="Tahoma"/>
            <family val="2"/>
          </rPr>
          <t>JZ:</t>
        </r>
        <r>
          <rPr>
            <sz val="9"/>
            <color indexed="81"/>
            <rFont val="Tahoma"/>
            <family val="2"/>
          </rPr>
          <t xml:space="preserve">
~$300m</t>
        </r>
      </text>
    </comment>
    <comment ref="CZ96" authorId="3">
      <text>
        <r>
          <rPr>
            <b/>
            <sz val="9"/>
            <color indexed="81"/>
            <rFont val="Tahoma"/>
            <family val="2"/>
          </rPr>
          <t>JZ:</t>
        </r>
        <r>
          <rPr>
            <sz val="9"/>
            <color indexed="81"/>
            <rFont val="Tahoma"/>
            <family val="2"/>
          </rPr>
          <t xml:space="preserve">
Mgmt called out ~$1.1bn negative OE margin in 2018 vs. ~$900m in 2017</t>
        </r>
      </text>
    </comment>
    <comment ref="CK97" authorId="3">
      <text>
        <r>
          <rPr>
            <b/>
            <sz val="9"/>
            <color indexed="81"/>
            <rFont val="Tahoma"/>
            <family val="2"/>
          </rPr>
          <t>As per Mar 15 guidance
as per Dec 14 guidance
JZ:</t>
        </r>
        <r>
          <rPr>
            <sz val="9"/>
            <color indexed="81"/>
            <rFont val="Tahoma"/>
            <family val="2"/>
          </rPr>
          <t xml:space="preserve">
45% of total pension impact as per Dec 2013 i-day</t>
        </r>
      </text>
    </comment>
    <comment ref="CP97" authorId="12">
      <text>
        <r>
          <rPr>
            <b/>
            <sz val="9"/>
            <color indexed="81"/>
            <rFont val="Tahoma"/>
            <family val="2"/>
          </rPr>
          <t>Coe, Nigel (Research):</t>
        </r>
        <r>
          <rPr>
            <sz val="9"/>
            <color indexed="81"/>
            <rFont val="Tahoma"/>
            <family val="2"/>
          </rPr>
          <t xml:space="preserve">
Management sees $100-150m tailwind in total for 2016 at constant discount rate. We assume $150m for UTC ex-Sikorsky</t>
        </r>
      </text>
    </comment>
    <comment ref="CU97" authorId="12">
      <text>
        <r>
          <rPr>
            <b/>
            <sz val="9"/>
            <color indexed="81"/>
            <rFont val="Tahoma"/>
            <family val="2"/>
          </rPr>
          <t>Coe, Nigel (Research):</t>
        </r>
        <r>
          <rPr>
            <sz val="9"/>
            <color indexed="81"/>
            <rFont val="Tahoma"/>
            <family val="2"/>
          </rPr>
          <t xml:space="preserve">
Assume similar tailwind in 2017</t>
        </r>
      </text>
    </comment>
    <comment ref="CM98" authorId="3">
      <text>
        <r>
          <rPr>
            <b/>
            <sz val="9"/>
            <color indexed="81"/>
            <rFont val="Tahoma"/>
            <family val="2"/>
          </rPr>
          <t>JZ:</t>
        </r>
        <r>
          <rPr>
            <sz val="9"/>
            <color indexed="81"/>
            <rFont val="Tahoma"/>
            <family val="2"/>
          </rPr>
          <t xml:space="preserve">
ramp costs</t>
        </r>
      </text>
    </comment>
    <comment ref="CQ98" authorId="3">
      <text>
        <r>
          <rPr>
            <b/>
            <sz val="9"/>
            <color indexed="81"/>
            <rFont val="Tahoma"/>
            <family val="2"/>
          </rPr>
          <t>JZ:</t>
        </r>
        <r>
          <rPr>
            <sz val="9"/>
            <color indexed="81"/>
            <rFont val="Tahoma"/>
            <family val="2"/>
          </rPr>
          <t xml:space="preserve">
balance number</t>
        </r>
      </text>
    </comment>
    <comment ref="CU98" authorId="3">
      <text>
        <r>
          <rPr>
            <b/>
            <sz val="9"/>
            <color indexed="81"/>
            <rFont val="Tahoma"/>
            <family val="2"/>
          </rPr>
          <t>JZ:</t>
        </r>
        <r>
          <rPr>
            <sz val="9"/>
            <color indexed="81"/>
            <rFont val="Tahoma"/>
            <family val="2"/>
          </rPr>
          <t xml:space="preserve">
Ramp-up costs</t>
        </r>
      </text>
    </comment>
    <comment ref="CK100" authorId="3">
      <text>
        <r>
          <rPr>
            <b/>
            <sz val="9"/>
            <color indexed="81"/>
            <rFont val="Tahoma"/>
            <family val="2"/>
          </rPr>
          <t>JZ:</t>
        </r>
        <r>
          <rPr>
            <sz val="9"/>
            <color indexed="81"/>
            <rFont val="Tahoma"/>
            <family val="2"/>
          </rPr>
          <t xml:space="preserve">
$50-75m as per guidance</t>
        </r>
      </text>
    </comment>
    <comment ref="CN100" authorId="3">
      <text>
        <r>
          <rPr>
            <b/>
            <sz val="9"/>
            <color indexed="81"/>
            <rFont val="Tahoma"/>
            <family val="2"/>
          </rPr>
          <t>JZ:</t>
        </r>
        <r>
          <rPr>
            <sz val="9"/>
            <color indexed="81"/>
            <rFont val="Tahoma"/>
            <family val="2"/>
          </rPr>
          <t xml:space="preserve">
as per 3Q disclosure</t>
        </r>
      </text>
    </comment>
    <comment ref="CK101" authorId="3">
      <text>
        <r>
          <rPr>
            <b/>
            <sz val="9"/>
            <color indexed="81"/>
            <rFont val="Tahoma"/>
            <family val="2"/>
          </rPr>
          <t>JZ:</t>
        </r>
        <r>
          <rPr>
            <sz val="9"/>
            <color indexed="81"/>
            <rFont val="Tahoma"/>
            <family val="2"/>
          </rPr>
          <t xml:space="preserve">
$150-200m A/M growth as per Dec 14 guidance</t>
        </r>
      </text>
    </comment>
    <comment ref="CN101" authorId="3">
      <text>
        <r>
          <rPr>
            <b/>
            <sz val="9"/>
            <color indexed="81"/>
            <rFont val="Tahoma"/>
            <family val="2"/>
          </rPr>
          <t>JZ:</t>
        </r>
        <r>
          <rPr>
            <sz val="9"/>
            <color indexed="81"/>
            <rFont val="Tahoma"/>
            <family val="2"/>
          </rPr>
          <t xml:space="preserve">
higher A/M volumes offset by abasence of favorable contract adjustments</t>
        </r>
      </text>
    </comment>
    <comment ref="CU101" authorId="3">
      <text>
        <r>
          <rPr>
            <b/>
            <sz val="9"/>
            <color indexed="81"/>
            <rFont val="Tahoma"/>
            <family val="2"/>
          </rPr>
          <t>JZ:</t>
        </r>
        <r>
          <rPr>
            <sz val="9"/>
            <color indexed="81"/>
            <rFont val="Tahoma"/>
            <family val="2"/>
          </rPr>
          <t xml:space="preserve">
$50-75m</t>
        </r>
      </text>
    </comment>
    <comment ref="CK102" authorId="3">
      <text>
        <r>
          <rPr>
            <b/>
            <sz val="9"/>
            <color indexed="81"/>
            <rFont val="Tahoma"/>
            <family val="2"/>
          </rPr>
          <t>JZ:</t>
        </r>
        <r>
          <rPr>
            <sz val="9"/>
            <color indexed="81"/>
            <rFont val="Tahoma"/>
            <family val="2"/>
          </rPr>
          <t xml:space="preserve">
Including total impact of C17 and F100</t>
        </r>
      </text>
    </comment>
    <comment ref="CL102" authorId="3">
      <text>
        <r>
          <rPr>
            <b/>
            <sz val="9"/>
            <color indexed="81"/>
            <rFont val="Tahoma"/>
            <family val="2"/>
          </rPr>
          <t>JZ:</t>
        </r>
        <r>
          <rPr>
            <sz val="9"/>
            <color indexed="81"/>
            <rFont val="Tahoma"/>
            <family val="2"/>
          </rPr>
          <t xml:space="preserve">
-$50m</t>
        </r>
      </text>
    </comment>
    <comment ref="CU102" authorId="3">
      <text>
        <r>
          <rPr>
            <b/>
            <sz val="9"/>
            <color indexed="81"/>
            <rFont val="Tahoma"/>
            <family val="2"/>
          </rPr>
          <t>JZ:</t>
        </r>
        <r>
          <rPr>
            <sz val="9"/>
            <color indexed="81"/>
            <rFont val="Tahoma"/>
            <family val="2"/>
          </rPr>
          <t xml:space="preserve">
$50-75</t>
        </r>
      </text>
    </comment>
    <comment ref="CK104" authorId="3">
      <text>
        <r>
          <rPr>
            <b/>
            <sz val="9"/>
            <color indexed="81"/>
            <rFont val="Tahoma"/>
            <family val="2"/>
          </rPr>
          <t>Some upside to restructuring
JZ:</t>
        </r>
        <r>
          <rPr>
            <sz val="9"/>
            <color indexed="81"/>
            <rFont val="Tahoma"/>
            <family val="2"/>
          </rPr>
          <t xml:space="preserve">
As per Dec 14 guidance</t>
        </r>
      </text>
    </comment>
    <comment ref="CP105" authorId="12">
      <text>
        <r>
          <rPr>
            <b/>
            <sz val="9"/>
            <color indexed="81"/>
            <rFont val="Tahoma"/>
            <family val="2"/>
          </rPr>
          <t xml:space="preserve">3Q16
</t>
        </r>
        <r>
          <rPr>
            <sz val="9"/>
            <color indexed="81"/>
            <rFont val="Tahoma"/>
            <family val="2"/>
          </rPr>
          <t xml:space="preserve">$96m provisioning related to customer contract negotiations booked in 3Q, but adjusted out from core income
</t>
        </r>
        <r>
          <rPr>
            <b/>
            <sz val="9"/>
            <color indexed="81"/>
            <rFont val="Tahoma"/>
            <family val="2"/>
          </rPr>
          <t xml:space="preserve">
Coe, Nigel (Research):</t>
        </r>
        <r>
          <rPr>
            <sz val="9"/>
            <color indexed="81"/>
            <rFont val="Tahoma"/>
            <family val="2"/>
          </rPr>
          <t xml:space="preserve">
Compensation payments to airlines</t>
        </r>
      </text>
    </comment>
    <comment ref="CU105" authorId="12">
      <text>
        <r>
          <rPr>
            <b/>
            <sz val="9"/>
            <color indexed="81"/>
            <rFont val="Tahoma"/>
            <family val="2"/>
          </rPr>
          <t>Coe, Nigel (Research):</t>
        </r>
        <r>
          <rPr>
            <sz val="9"/>
            <color indexed="81"/>
            <rFont val="Tahoma"/>
            <family val="2"/>
          </rPr>
          <t xml:space="preserve">
Compensation payments</t>
        </r>
      </text>
    </comment>
    <comment ref="CP106" authorId="12">
      <text>
        <r>
          <rPr>
            <b/>
            <sz val="9"/>
            <color indexed="81"/>
            <rFont val="Tahoma"/>
            <family val="2"/>
          </rPr>
          <t>Coe, Nigel (Research):</t>
        </r>
        <r>
          <rPr>
            <sz val="9"/>
            <color indexed="81"/>
            <rFont val="Tahoma"/>
            <family val="2"/>
          </rPr>
          <t xml:space="preserve">
Currency hedge gains</t>
        </r>
      </text>
    </comment>
    <comment ref="CU106" authorId="3">
      <text>
        <r>
          <rPr>
            <b/>
            <sz val="9"/>
            <color indexed="81"/>
            <rFont val="Tahoma"/>
            <family val="2"/>
          </rPr>
          <t>JZ:</t>
        </r>
        <r>
          <rPr>
            <sz val="9"/>
            <color indexed="81"/>
            <rFont val="Tahoma"/>
            <family val="2"/>
          </rPr>
          <t xml:space="preserve">
as per guidance related to hedge
$75m at outset of year. </t>
        </r>
      </text>
    </comment>
    <comment ref="CZ106" authorId="12">
      <text>
        <r>
          <rPr>
            <b/>
            <sz val="9"/>
            <color indexed="81"/>
            <rFont val="Tahoma"/>
            <family val="2"/>
          </rPr>
          <t>Coe, Nigel (Research):</t>
        </r>
        <r>
          <rPr>
            <sz val="9"/>
            <color indexed="81"/>
            <rFont val="Tahoma"/>
            <family val="2"/>
          </rPr>
          <t xml:space="preserve">
Stronger Canadian Dollar</t>
        </r>
      </text>
    </comment>
    <comment ref="DH120" authorId="3">
      <text>
        <r>
          <rPr>
            <b/>
            <sz val="9"/>
            <color indexed="81"/>
            <rFont val="Tahoma"/>
            <family val="2"/>
          </rPr>
          <t>JZ:</t>
        </r>
        <r>
          <rPr>
            <sz val="9"/>
            <color indexed="81"/>
            <rFont val="Tahoma"/>
            <family val="2"/>
          </rPr>
          <t xml:space="preserve">
as per March 16 guidance
</t>
        </r>
      </text>
    </comment>
    <comment ref="AG122" authorId="10">
      <text>
        <r>
          <rPr>
            <b/>
            <sz val="8"/>
            <color indexed="81"/>
            <rFont val="Tahoma"/>
            <family val="2"/>
          </rPr>
          <t xml:space="preserve">Amba
</t>
        </r>
        <r>
          <rPr>
            <sz val="8"/>
            <color indexed="81"/>
            <rFont val="Tahoma"/>
            <family val="2"/>
          </rPr>
          <t>Deliveries flat according to management , 4Q 2003 deliveries were 36</t>
        </r>
        <r>
          <rPr>
            <sz val="8"/>
            <color indexed="81"/>
            <rFont val="Tahoma"/>
            <family val="2"/>
          </rPr>
          <t xml:space="preserve">
</t>
        </r>
      </text>
    </comment>
    <comment ref="BL125" authorId="10">
      <text>
        <r>
          <rPr>
            <b/>
            <sz val="8"/>
            <color indexed="81"/>
            <rFont val="Tahoma"/>
            <family val="2"/>
          </rPr>
          <t>Authorised Company Employee:</t>
        </r>
        <r>
          <rPr>
            <sz val="8"/>
            <color indexed="81"/>
            <rFont val="Tahoma"/>
            <family val="2"/>
          </rPr>
          <t xml:space="preserve">
Compares to 2700 prior guidance</t>
        </r>
      </text>
    </comment>
    <comment ref="CK125" authorId="3">
      <text>
        <r>
          <rPr>
            <b/>
            <sz val="9"/>
            <color indexed="81"/>
            <rFont val="Tahoma"/>
            <family val="2"/>
          </rPr>
          <t>JZ:</t>
        </r>
        <r>
          <rPr>
            <sz val="9"/>
            <color indexed="81"/>
            <rFont val="Tahoma"/>
            <family val="2"/>
          </rPr>
          <t xml:space="preserve">
3,005 as per March 16 I-Day </t>
        </r>
      </text>
    </comment>
    <comment ref="AR126" authorId="5">
      <text>
        <r>
          <rPr>
            <sz val="8"/>
            <color indexed="81"/>
            <rFont val="Tahoma"/>
            <family val="2"/>
          </rPr>
          <t xml:space="preserve">Industrial 8
</t>
        </r>
      </text>
    </comment>
    <comment ref="AW126" authorId="5">
      <text>
        <r>
          <rPr>
            <sz val="8"/>
            <color indexed="81"/>
            <rFont val="Tahoma"/>
            <family val="2"/>
          </rPr>
          <t xml:space="preserve">Industrial 19
</t>
        </r>
      </text>
    </comment>
    <comment ref="U130" authorId="13">
      <text>
        <r>
          <rPr>
            <sz val="8"/>
            <color indexed="81"/>
            <rFont val="Tahoma"/>
            <family val="2"/>
          </rPr>
          <t xml:space="preserve">Pratt's large commercial spares orders were down less than
10 percent year-over-year
</t>
        </r>
      </text>
    </comment>
    <comment ref="V130" authorId="13">
      <text>
        <r>
          <rPr>
            <sz val="8"/>
            <color indexed="81"/>
            <rFont val="Tahoma"/>
            <family val="2"/>
          </rPr>
          <t xml:space="preserve">Pratt's large commercial spare parts orders were down a mid teens percent
</t>
        </r>
      </text>
    </comment>
    <comment ref="W130" authorId="13">
      <text>
        <r>
          <rPr>
            <sz val="8"/>
            <color indexed="81"/>
            <rFont val="Tahoma"/>
            <family val="2"/>
          </rPr>
          <t xml:space="preserve">Pratt's large commercial spare parts orders were up in the
quarter
</t>
        </r>
      </text>
    </comment>
    <comment ref="AC130" authorId="13">
      <text>
        <r>
          <rPr>
            <sz val="8"/>
            <color indexed="81"/>
            <rFont val="Tahoma"/>
            <family val="2"/>
          </rPr>
          <t>spare parts orders were flat year over year
Source: Transcript, 4Q03, Pg 14</t>
        </r>
      </text>
    </comment>
    <comment ref="AE130" authorId="13">
      <text>
        <r>
          <rPr>
            <sz val="8"/>
            <color indexed="81"/>
            <rFont val="Tahoma"/>
            <family val="2"/>
          </rPr>
          <t xml:space="preserve">Commercial spares orders were up year-over-year against a very weak quarter last year. Recall they were down more than 30 percent in the second quarter of '03 versus the prior year
Source: Transcript, Pg 4, 2Q04
</t>
        </r>
      </text>
    </comment>
    <comment ref="AF130" authorId="13">
      <text>
        <r>
          <rPr>
            <sz val="8"/>
            <color indexed="81"/>
            <rFont val="Tahoma"/>
            <family val="2"/>
          </rPr>
          <t>Year-to-date spares orders are up over 20 percent.double-digits in the third quarter
Source: Transcript, Pg 5 , 3Q04</t>
        </r>
      </text>
    </comment>
    <comment ref="AG130" authorId="13">
      <text>
        <r>
          <rPr>
            <sz val="8"/>
            <color indexed="81"/>
            <rFont val="Tahoma"/>
            <family val="2"/>
          </rPr>
          <t xml:space="preserve">Commercial spare part orders for the quarter were up low single digits, with orders up double digits for the year, led by a strong first half
Source: Trancript, 4Q04, Pg 5
</t>
        </r>
      </text>
    </comment>
    <comment ref="AH130" authorId="13">
      <text>
        <r>
          <rPr>
            <sz val="8"/>
            <color indexed="81"/>
            <rFont val="Tahoma"/>
            <family val="2"/>
          </rPr>
          <t xml:space="preserve">Commercial spare part orders for the quarter were up low single digits, with orders up double digits for the year, led by a strong first half
Source: Trancript, 4Q04, Pg 5
</t>
        </r>
      </text>
    </comment>
    <comment ref="AI130" authorId="13">
      <text>
        <r>
          <rPr>
            <sz val="8"/>
            <color indexed="81"/>
            <rFont val="Tahoma"/>
            <family val="2"/>
          </rPr>
          <t>Spares for the quarter were up high single digits
Source: Transcript, 1Q05, Pg 5</t>
        </r>
      </text>
    </comment>
    <comment ref="AJ130" authorId="13">
      <text>
        <r>
          <rPr>
            <sz val="8"/>
            <color indexed="81"/>
            <rFont val="Tahoma"/>
            <family val="2"/>
          </rPr>
          <t>Spares were up over 10% at Pratt
Source: Trancript, 2Q05, Pg 15</t>
        </r>
      </text>
    </comment>
    <comment ref="AK130" authorId="13">
      <text>
        <r>
          <rPr>
            <sz val="8"/>
            <color indexed="81"/>
            <rFont val="Tahoma"/>
            <family val="2"/>
          </rPr>
          <t>Going back to spares orders growth, about 10% for the quarter
source: Transcript, Pg 12, 3Q05</t>
        </r>
      </text>
    </comment>
    <comment ref="AX130" authorId="13">
      <text>
        <r>
          <rPr>
            <sz val="8"/>
            <color indexed="81"/>
            <rFont val="Tahoma"/>
            <family val="2"/>
          </rPr>
          <t>Aftermarket, overall commercial aftermarket growth was about 6% across UTC. It was flattish at Pratt and it was up kind of high
single digits at Hamilton
Source: Trancript,1Q08, Pg 7</t>
        </r>
      </text>
    </comment>
    <comment ref="AZ130" authorId="13">
      <text>
        <r>
          <rPr>
            <sz val="8"/>
            <color indexed="81"/>
            <rFont val="Tahoma"/>
            <family val="2"/>
          </rPr>
          <t>Commercial space orders continued to soften with the book to bill ratio again below one in the quarter
Source: Transcript, Pg 5, 3Q08</t>
        </r>
      </text>
    </comment>
    <comment ref="BC130" authorId="13">
      <text>
        <r>
          <rPr>
            <sz val="8"/>
            <color indexed="81"/>
            <rFont val="Tahoma"/>
            <family val="2"/>
          </rPr>
          <t xml:space="preserve">Pratt commercial spares down low teens through the year
Source: Transcript, 1Q09,Pg 13
</t>
        </r>
      </text>
    </comment>
    <comment ref="BT130" authorId="13">
      <text>
        <r>
          <rPr>
            <sz val="8"/>
            <color indexed="81"/>
            <rFont val="Tahoma"/>
            <family val="2"/>
          </rPr>
          <t>Pratt &amp; Whitney's large commercial spare orders
were up 14% in the quarter including the additional share of IAE. Excluding the incremental share, Pratt's orders were actually down 21% due to weakness primarily in the wide body fleet.</t>
        </r>
      </text>
    </comment>
    <comment ref="BU130" authorId="13">
      <text>
        <r>
          <rPr>
            <sz val="8"/>
            <color indexed="81"/>
            <rFont val="Tahoma"/>
            <family val="2"/>
          </rPr>
          <t xml:space="preserve">Pratt &amp; Whitney's large commercial [spare orders] were up 46% in the quarter, including the additional share of IAE. Excluding that incremental share, Pratt's orders were down 8%, following a 21% decline in third quarter
</t>
        </r>
      </text>
    </comment>
    <comment ref="BW130" authorId="14">
      <text>
        <r>
          <rPr>
            <b/>
            <sz val="8"/>
            <color indexed="81"/>
            <rFont val="Tahoma"/>
            <family val="2"/>
          </rPr>
          <t>deblase:</t>
        </r>
        <r>
          <rPr>
            <sz val="8"/>
            <color indexed="81"/>
            <rFont val="Tahoma"/>
            <family val="2"/>
          </rPr>
          <t xml:space="preserve">
Down 28% organic</t>
        </r>
      </text>
    </comment>
    <comment ref="BX130" authorId="6">
      <text>
        <r>
          <rPr>
            <b/>
            <sz val="8"/>
            <color indexed="81"/>
            <rFont val="Tahoma"/>
            <family val="2"/>
          </rPr>
          <t>sang:</t>
        </r>
        <r>
          <rPr>
            <sz val="8"/>
            <color indexed="81"/>
            <rFont val="Tahoma"/>
            <family val="2"/>
          </rPr>
          <t xml:space="preserve">
proforma was close to 15% as well</t>
        </r>
      </text>
    </comment>
    <comment ref="BY130" authorId="6">
      <text>
        <r>
          <rPr>
            <b/>
            <sz val="8"/>
            <color indexed="81"/>
            <rFont val="Tahoma"/>
            <family val="2"/>
          </rPr>
          <t>sang:</t>
        </r>
        <r>
          <rPr>
            <sz val="8"/>
            <color indexed="81"/>
            <rFont val="Tahoma"/>
            <family val="2"/>
          </rPr>
          <t xml:space="preserve">
proforma was close to 15% as well</t>
        </r>
      </text>
    </comment>
    <comment ref="BV137" authorId="8">
      <text>
        <r>
          <rPr>
            <sz val="8"/>
            <color indexed="81"/>
            <rFont val="Tahoma"/>
            <family val="2"/>
          </rPr>
          <t>Pro forma</t>
        </r>
      </text>
    </comment>
    <comment ref="CP144" authorId="3">
      <text>
        <r>
          <rPr>
            <b/>
            <sz val="9"/>
            <color indexed="81"/>
            <rFont val="Tahoma"/>
            <family val="2"/>
          </rPr>
          <t>JZ:</t>
        </r>
        <r>
          <rPr>
            <sz val="9"/>
            <color indexed="81"/>
            <rFont val="Tahoma"/>
            <family val="2"/>
          </rPr>
          <t xml:space="preserve">
as per March 16 I-Day</t>
        </r>
      </text>
    </comment>
    <comment ref="D152" authorId="3">
      <text>
        <r>
          <rPr>
            <b/>
            <sz val="9"/>
            <color indexed="81"/>
            <rFont val="Tahoma"/>
            <family val="2"/>
          </rPr>
          <t>JZ:</t>
        </r>
        <r>
          <rPr>
            <sz val="9"/>
            <color indexed="81"/>
            <rFont val="Tahoma"/>
            <family val="2"/>
          </rPr>
          <t xml:space="preserve">
PW's 61% share</t>
        </r>
      </text>
    </comment>
    <comment ref="CU152" authorId="12">
      <text>
        <r>
          <rPr>
            <b/>
            <sz val="9"/>
            <color indexed="81"/>
            <rFont val="Tahoma"/>
            <family val="2"/>
          </rPr>
          <t>Coe, Nigel (Research):</t>
        </r>
        <r>
          <rPr>
            <sz val="9"/>
            <color indexed="81"/>
            <rFont val="Tahoma"/>
            <family val="2"/>
          </rPr>
          <t xml:space="preserve">
Increase as volumes fall</t>
        </r>
      </text>
    </comment>
    <comment ref="BY155" authorId="3">
      <text>
        <r>
          <rPr>
            <b/>
            <sz val="9"/>
            <color indexed="81"/>
            <rFont val="Tahoma"/>
            <family val="2"/>
          </rPr>
          <t>JZ:</t>
        </r>
        <r>
          <rPr>
            <sz val="9"/>
            <color indexed="81"/>
            <rFont val="Tahoma"/>
            <family val="2"/>
          </rPr>
          <t xml:space="preserve">
Assuming $75-80m run rate for RR payment, termination payment should be in the $95-100m range</t>
        </r>
      </text>
    </comment>
    <comment ref="CA155" authorId="3">
      <text>
        <r>
          <rPr>
            <b/>
            <sz val="9"/>
            <color indexed="81"/>
            <rFont val="Tahoma"/>
            <family val="2"/>
          </rPr>
          <t>JZ: p-20 10K</t>
        </r>
        <r>
          <rPr>
            <sz val="9"/>
            <color indexed="81"/>
            <rFont val="Tahoma"/>
            <family val="2"/>
          </rPr>
          <t xml:space="preserve">
includes payment related to the September 2013 agreement not to proceed with the partnership with Rolls-Royce</t>
        </r>
      </text>
    </comment>
    <comment ref="DA156" authorId="12">
      <text>
        <r>
          <rPr>
            <b/>
            <sz val="9"/>
            <color indexed="81"/>
            <rFont val="Tahoma"/>
            <family val="2"/>
          </rPr>
          <t>Coe, Nigel (Research):</t>
        </r>
        <r>
          <rPr>
            <sz val="9"/>
            <color indexed="81"/>
            <rFont val="Tahoma"/>
            <family val="2"/>
          </rPr>
          <t xml:space="preserve">
fleet of V2500 starts to come off wing</t>
        </r>
      </text>
    </comment>
    <comment ref="CP160" authorId="3">
      <text>
        <r>
          <rPr>
            <b/>
            <sz val="9"/>
            <color indexed="81"/>
            <rFont val="Tahoma"/>
            <family val="2"/>
          </rPr>
          <t>JZ:</t>
        </r>
        <r>
          <rPr>
            <sz val="9"/>
            <color indexed="81"/>
            <rFont val="Tahoma"/>
            <family val="2"/>
          </rPr>
          <t xml:space="preserve">
As per conversation with mgmt, amortization is expected to pick up as V2500 A/M sales ramp up</t>
        </r>
      </text>
    </comment>
    <comment ref="CO165" authorId="3">
      <text>
        <r>
          <rPr>
            <b/>
            <sz val="9"/>
            <color indexed="81"/>
            <rFont val="Tahoma"/>
            <family val="2"/>
          </rPr>
          <t>JZ:</t>
        </r>
        <r>
          <rPr>
            <sz val="9"/>
            <color indexed="81"/>
            <rFont val="Tahoma"/>
            <family val="2"/>
          </rPr>
          <t xml:space="preserve">
~140 in 2H</t>
        </r>
      </text>
    </comment>
    <comment ref="CP165" authorId="3">
      <text>
        <r>
          <rPr>
            <b/>
            <sz val="9"/>
            <color indexed="81"/>
            <rFont val="Tahoma"/>
            <family val="2"/>
          </rPr>
          <t>JZ:</t>
        </r>
        <r>
          <rPr>
            <sz val="9"/>
            <color indexed="81"/>
            <rFont val="Tahoma"/>
            <family val="2"/>
          </rPr>
          <t xml:space="preserve">
Guidance for 150 as of Sept 2016</t>
        </r>
      </text>
    </comment>
    <comment ref="CU165" authorId="12">
      <text>
        <r>
          <rPr>
            <b/>
            <sz val="9"/>
            <color indexed="81"/>
            <rFont val="Tahoma"/>
            <family val="2"/>
          </rPr>
          <t>3Q16
300-350
Coe, Nigel (Research):</t>
        </r>
        <r>
          <rPr>
            <sz val="9"/>
            <color indexed="81"/>
            <rFont val="Tahoma"/>
            <family val="2"/>
          </rPr>
          <t xml:space="preserve">
Guidance for 350-400 as per Sept 2016</t>
        </r>
      </text>
    </comment>
    <comment ref="CK166" authorId="3">
      <text>
        <r>
          <rPr>
            <b/>
            <sz val="9"/>
            <color indexed="81"/>
            <rFont val="Tahoma"/>
            <family val="2"/>
          </rPr>
          <t xml:space="preserve">JZ:
As per 2Q15 earnings call
</t>
        </r>
        <r>
          <rPr>
            <sz val="9"/>
            <color indexed="81"/>
            <rFont val="Tahoma"/>
            <family val="2"/>
          </rPr>
          <t xml:space="preserve">
as per 4Q14 earnings call</t>
        </r>
      </text>
    </comment>
    <comment ref="CP173" authorId="3">
      <text>
        <r>
          <rPr>
            <b/>
            <sz val="9"/>
            <color indexed="81"/>
            <rFont val="Tahoma"/>
            <family val="2"/>
          </rPr>
          <t>JZ:</t>
        </r>
        <r>
          <rPr>
            <sz val="9"/>
            <color indexed="81"/>
            <rFont val="Tahoma"/>
            <family val="2"/>
          </rPr>
          <t xml:space="preserve">
mgmt noted that a doubling in volumes will drive 11%reduction in costs</t>
        </r>
      </text>
    </comment>
    <comment ref="DA173" authorId="12">
      <text>
        <r>
          <rPr>
            <b/>
            <sz val="9"/>
            <color indexed="81"/>
            <rFont val="Tahoma"/>
            <family val="2"/>
          </rPr>
          <t>Coe, Nigel (Research):</t>
        </r>
        <r>
          <rPr>
            <sz val="9"/>
            <color indexed="81"/>
            <rFont val="Tahoma"/>
            <family val="2"/>
          </rPr>
          <t xml:space="preserve">
Striving towards $1mn loss per engine fully learned out</t>
        </r>
      </text>
    </comment>
    <comment ref="DD173" authorId="12">
      <text>
        <r>
          <rPr>
            <b/>
            <sz val="9"/>
            <color indexed="81"/>
            <rFont val="Tahoma"/>
            <family val="2"/>
          </rPr>
          <t>Coe, Nigel (Research):</t>
        </r>
        <r>
          <rPr>
            <sz val="9"/>
            <color indexed="81"/>
            <rFont val="Tahoma"/>
            <family val="2"/>
          </rPr>
          <t xml:space="preserve">
Full learned out cost</t>
        </r>
      </text>
    </comment>
    <comment ref="DA174" authorId="12">
      <text>
        <r>
          <rPr>
            <b/>
            <sz val="9"/>
            <color indexed="81"/>
            <rFont val="Tahoma"/>
            <family val="2"/>
          </rPr>
          <t>Coe, Nigel (Research):</t>
        </r>
        <r>
          <rPr>
            <sz val="9"/>
            <color indexed="81"/>
            <rFont val="Tahoma"/>
            <family val="2"/>
          </rPr>
          <t xml:space="preserve">
Striving towards $0.5bn loss engine on other platforms</t>
        </r>
      </text>
    </comment>
    <comment ref="DD174" authorId="12">
      <text>
        <r>
          <rPr>
            <b/>
            <sz val="9"/>
            <color indexed="81"/>
            <rFont val="Tahoma"/>
            <family val="2"/>
          </rPr>
          <t>Coe, Nigel (Research):</t>
        </r>
        <r>
          <rPr>
            <sz val="9"/>
            <color indexed="81"/>
            <rFont val="Tahoma"/>
            <family val="2"/>
          </rPr>
          <t xml:space="preserve">
Fully learned out cost</t>
        </r>
      </text>
    </comment>
    <comment ref="CU176" authorId="12">
      <text>
        <r>
          <rPr>
            <b/>
            <sz val="9"/>
            <color indexed="81"/>
            <rFont val="Tahoma"/>
            <family val="2"/>
          </rPr>
          <t>Coe, Nigel (Research):</t>
        </r>
        <r>
          <rPr>
            <sz val="9"/>
            <color indexed="81"/>
            <rFont val="Tahoma"/>
            <family val="2"/>
          </rPr>
          <t xml:space="preserve">
Corresponds to $750m of cumulative headwind thro' 18</t>
        </r>
      </text>
    </comment>
    <comment ref="CK177" authorId="3">
      <text>
        <r>
          <rPr>
            <b/>
            <sz val="9"/>
            <color indexed="81"/>
            <rFont val="Tahoma"/>
            <family val="2"/>
          </rPr>
          <t>JZ:</t>
        </r>
        <r>
          <rPr>
            <sz val="9"/>
            <color indexed="81"/>
            <rFont val="Tahoma"/>
            <family val="2"/>
          </rPr>
          <t xml:space="preserve">
PW has ~59% share of total PW1000G-JM program for A320new, MTU takes 18% and Japan Aero has 23%. 
MTU also has has 17% share in the C-Series program
http://speednews.com/article/8348</t>
        </r>
      </text>
    </comment>
    <comment ref="CK185" authorId="3">
      <text>
        <r>
          <rPr>
            <b/>
            <sz val="9"/>
            <color indexed="81"/>
            <rFont val="Tahoma"/>
            <family val="2"/>
          </rPr>
          <t>JZ:</t>
        </r>
        <r>
          <rPr>
            <sz val="9"/>
            <color indexed="81"/>
            <rFont val="Tahoma"/>
            <family val="2"/>
          </rPr>
          <t xml:space="preserve">
the only PW2000s in backlog is for military applications</t>
        </r>
      </text>
    </comment>
    <comment ref="CK193" authorId="3">
      <text>
        <r>
          <rPr>
            <b/>
            <sz val="9"/>
            <color indexed="81"/>
            <rFont val="Tahoma"/>
            <family val="2"/>
          </rPr>
          <t>JZ:</t>
        </r>
        <r>
          <rPr>
            <sz val="9"/>
            <color indexed="81"/>
            <rFont val="Tahoma"/>
            <family val="2"/>
          </rPr>
          <t xml:space="preserve">
assuming price of V2500 is 20% above PW2000/4000 and  GTF is 20% above V2500</t>
        </r>
      </text>
    </comment>
    <comment ref="CF204" authorId="3">
      <text>
        <r>
          <rPr>
            <b/>
            <sz val="9"/>
            <color indexed="81"/>
            <rFont val="Tahoma"/>
            <family val="2"/>
          </rPr>
          <t>JZ:</t>
        </r>
        <r>
          <rPr>
            <sz val="9"/>
            <color indexed="81"/>
            <rFont val="Tahoma"/>
            <family val="2"/>
          </rPr>
          <t xml:space="preserve">
As per Mar 15 Presentation</t>
        </r>
      </text>
    </comment>
    <comment ref="CP214" authorId="3">
      <text>
        <r>
          <rPr>
            <b/>
            <sz val="9"/>
            <color indexed="81"/>
            <rFont val="Tahoma"/>
            <family val="2"/>
          </rPr>
          <t>JZ:</t>
        </r>
        <r>
          <rPr>
            <sz val="9"/>
            <color indexed="81"/>
            <rFont val="Tahoma"/>
            <family val="2"/>
          </rPr>
          <t xml:space="preserve">
assuming 20% incremental margin</t>
        </r>
      </text>
    </comment>
    <comment ref="CP215" authorId="3">
      <text>
        <r>
          <rPr>
            <b/>
            <sz val="9"/>
            <color indexed="81"/>
            <rFont val="Tahoma"/>
            <family val="2"/>
          </rPr>
          <t>JZ:</t>
        </r>
        <r>
          <rPr>
            <sz val="9"/>
            <color indexed="81"/>
            <rFont val="Tahoma"/>
            <family val="2"/>
          </rPr>
          <t xml:space="preserve">
Military A/M tracking below expectations</t>
        </r>
      </text>
    </comment>
    <comment ref="B289" authorId="15">
      <text>
        <r>
          <rPr>
            <b/>
            <sz val="8"/>
            <color indexed="81"/>
            <rFont val="Tahoma"/>
            <family val="2"/>
          </rPr>
          <t>2000 and 2001 are restated to reflect the 2005 reporting changes for stock option expense and segment interest  income, as applicable.</t>
        </r>
        <r>
          <rPr>
            <sz val="8"/>
            <color indexed="81"/>
            <rFont val="Tahoma"/>
            <family val="2"/>
          </rPr>
          <t xml:space="preserve">
</t>
        </r>
      </text>
    </comment>
    <comment ref="B290" authorId="15">
      <text>
        <r>
          <rPr>
            <sz val="8"/>
            <color indexed="81"/>
            <rFont val="Tahoma"/>
            <family val="2"/>
          </rPr>
          <t xml:space="preserve">2006 operating profit excludes an approximately $80 million pretax gain related to the settlement of a claim by the Departmen of Defense regarding Pratt &amp; Whitney's cost accounting practices for engine parts on commercial engine collaboration programs. 2006 revenue and operating profit exclude an approximately $25 million gain realized on the sale of a partnership interest in an engine program at Pratt Canada.  2007 revenue and operating profit exclude an approximately $40 million gain from a contract termination.
</t>
        </r>
      </text>
    </comment>
    <comment ref="AW315" authorId="16">
      <text>
        <r>
          <rPr>
            <b/>
            <sz val="8"/>
            <color indexed="81"/>
            <rFont val="Tahoma"/>
            <family val="2"/>
          </rPr>
          <t>30% improvement</t>
        </r>
      </text>
    </comment>
    <comment ref="AW316" authorId="16">
      <text>
        <r>
          <rPr>
            <b/>
            <sz val="8"/>
            <color indexed="81"/>
            <rFont val="Tahoma"/>
            <family val="2"/>
          </rPr>
          <t>36% improvement</t>
        </r>
      </text>
    </comment>
    <comment ref="AW317" authorId="16">
      <text>
        <r>
          <rPr>
            <b/>
            <sz val="8"/>
            <color indexed="81"/>
            <rFont val="Tahoma"/>
            <family val="2"/>
          </rPr>
          <t>40% improvement</t>
        </r>
      </text>
    </comment>
  </commentList>
</comments>
</file>

<file path=xl/comments9.xml><?xml version="1.0" encoding="utf-8"?>
<comments xmlns="http://schemas.openxmlformats.org/spreadsheetml/2006/main">
  <authors>
    <author>shahviv</author>
    <author>sang</author>
    <author>Morales, Jonathan (Research)</author>
    <author>JZ</author>
    <author>coe</author>
    <author>milip</author>
    <author>Coe, Nigel (Research)</author>
  </authors>
  <commentList>
    <comment ref="N10" authorId="0">
      <text>
        <r>
          <rPr>
            <sz val="8"/>
            <color indexed="81"/>
            <rFont val="Tahoma"/>
            <family val="2"/>
          </rPr>
          <t xml:space="preserve">Restated 10-K 2012
</t>
        </r>
      </text>
    </comment>
    <comment ref="AC12" authorId="1">
      <text>
        <r>
          <rPr>
            <b/>
            <sz val="8"/>
            <color indexed="81"/>
            <rFont val="Tahoma"/>
            <family val="2"/>
          </rPr>
          <t>sang:</t>
        </r>
        <r>
          <rPr>
            <sz val="8"/>
            <color indexed="81"/>
            <rFont val="Tahoma"/>
            <family val="2"/>
          </rPr>
          <t xml:space="preserve">
3q guide - 13.5b</t>
        </r>
      </text>
    </comment>
    <comment ref="P13" authorId="0">
      <text>
        <r>
          <rPr>
            <sz val="8"/>
            <color indexed="81"/>
            <rFont val="Tahoma"/>
            <family val="2"/>
          </rPr>
          <t xml:space="preserve">Reported: 11%
Source: 10-Q 2Q11
</t>
        </r>
      </text>
    </comment>
    <comment ref="Q13" authorId="0">
      <text>
        <r>
          <rPr>
            <sz val="8"/>
            <color indexed="81"/>
            <rFont val="Tahoma"/>
            <family val="2"/>
          </rPr>
          <t xml:space="preserve">Reported: 8%
Source: 10-Q 3Q11
</t>
        </r>
      </text>
    </comment>
    <comment ref="R13" authorId="0">
      <text>
        <r>
          <rPr>
            <sz val="8"/>
            <color indexed="81"/>
            <rFont val="Tahoma"/>
            <family val="2"/>
          </rPr>
          <t xml:space="preserve">Reported: 11%
Source: Investor Presentation 4Q11
</t>
        </r>
      </text>
    </comment>
    <comment ref="S13" authorId="0">
      <text>
        <r>
          <rPr>
            <sz val="8"/>
            <color indexed="81"/>
            <rFont val="Tahoma"/>
            <family val="2"/>
          </rPr>
          <t xml:space="preserve">Reported: 10%
Source: Investor Presentation 4Q11
</t>
        </r>
      </text>
    </comment>
    <comment ref="AQ14" authorId="2">
      <text>
        <r>
          <rPr>
            <b/>
            <sz val="9"/>
            <color indexed="81"/>
            <rFont val="Tahoma"/>
            <family val="2"/>
          </rPr>
          <t>Morales, Jonathan (Research):</t>
        </r>
        <r>
          <rPr>
            <sz val="9"/>
            <color indexed="81"/>
            <rFont val="Tahoma"/>
            <family val="2"/>
          </rPr>
          <t xml:space="preserve">
"Other"</t>
        </r>
      </text>
    </comment>
    <comment ref="Y16" authorId="1">
      <text>
        <r>
          <rPr>
            <b/>
            <sz val="8"/>
            <color indexed="81"/>
            <rFont val="Tahoma"/>
            <family val="2"/>
          </rPr>
          <t>sang:</t>
        </r>
        <r>
          <rPr>
            <sz val="8"/>
            <color indexed="81"/>
            <rFont val="Tahoma"/>
            <family val="2"/>
          </rPr>
          <t xml:space="preserve">
org sales growth flat</t>
        </r>
      </text>
    </comment>
    <comment ref="AC16" authorId="1">
      <text>
        <r>
          <rPr>
            <b/>
            <sz val="8"/>
            <color indexed="81"/>
            <rFont val="Tahoma"/>
            <family val="2"/>
          </rPr>
          <t>sang:</t>
        </r>
        <r>
          <rPr>
            <sz val="8"/>
            <color indexed="81"/>
            <rFont val="Tahoma"/>
            <family val="2"/>
          </rPr>
          <t xml:space="preserve">
3q guide up MSD</t>
        </r>
      </text>
    </comment>
    <comment ref="AH16" authorId="3">
      <text>
        <r>
          <rPr>
            <b/>
            <sz val="9"/>
            <color indexed="81"/>
            <rFont val="Tahoma"/>
            <family val="2"/>
          </rPr>
          <t>JZ:</t>
        </r>
        <r>
          <rPr>
            <sz val="9"/>
            <color indexed="81"/>
            <rFont val="Tahoma"/>
            <family val="2"/>
          </rPr>
          <t xml:space="preserve">
M-HSD
</t>
        </r>
      </text>
    </comment>
    <comment ref="AI16" authorId="1">
      <text>
        <r>
          <rPr>
            <b/>
            <sz val="8"/>
            <color indexed="81"/>
            <rFont val="Tahoma"/>
            <family val="2"/>
          </rPr>
          <t>sang:</t>
        </r>
        <r>
          <rPr>
            <sz val="8"/>
            <color indexed="81"/>
            <rFont val="Tahoma"/>
            <family val="2"/>
          </rPr>
          <t xml:space="preserve">
2ppt help from 50mn of zero margin passthru</t>
        </r>
      </text>
    </comment>
    <comment ref="AJ16" authorId="1">
      <text>
        <r>
          <rPr>
            <b/>
            <sz val="8"/>
            <color indexed="81"/>
            <rFont val="Tahoma"/>
            <family val="2"/>
          </rPr>
          <t xml:space="preserve">June 2014:
</t>
        </r>
        <r>
          <rPr>
            <sz val="8"/>
            <color indexed="81"/>
            <rFont val="Tahoma"/>
            <family val="2"/>
          </rPr>
          <t xml:space="preserve">mgmt noted continued weakness in provisioning
</t>
        </r>
        <r>
          <rPr>
            <b/>
            <sz val="8"/>
            <color indexed="81"/>
            <rFont val="Tahoma"/>
            <family val="2"/>
          </rPr>
          <t xml:space="preserve">
sang:</t>
        </r>
        <r>
          <rPr>
            <sz val="8"/>
            <color indexed="81"/>
            <rFont val="Tahoma"/>
            <family val="2"/>
          </rPr>
          <t xml:space="preserve">
tough comp</t>
        </r>
      </text>
    </comment>
    <comment ref="AM16" authorId="3">
      <text>
        <r>
          <rPr>
            <b/>
            <sz val="9"/>
            <color indexed="81"/>
            <rFont val="Tahoma"/>
            <family val="2"/>
          </rPr>
          <t>2Q15
Up LSD
JZ:</t>
        </r>
        <r>
          <rPr>
            <sz val="9"/>
            <color indexed="81"/>
            <rFont val="Tahoma"/>
            <family val="2"/>
          </rPr>
          <t xml:space="preserve">
up MSD</t>
        </r>
      </text>
    </comment>
    <comment ref="AO16" authorId="3">
      <text>
        <r>
          <rPr>
            <b/>
            <sz val="9"/>
            <color indexed="81"/>
            <rFont val="Tahoma"/>
            <family val="2"/>
          </rPr>
          <t>JZ:</t>
        </r>
        <r>
          <rPr>
            <sz val="9"/>
            <color indexed="81"/>
            <rFont val="Tahoma"/>
            <family val="2"/>
          </rPr>
          <t xml:space="preserve">
4% growth in Comm OE and A/M offset by 2% lower Military OE and A/M sales</t>
        </r>
      </text>
    </comment>
    <comment ref="AR16" authorId="3">
      <text>
        <r>
          <rPr>
            <b/>
            <sz val="9"/>
            <color indexed="81"/>
            <rFont val="Tahoma"/>
            <family val="2"/>
          </rPr>
          <t>JZ:</t>
        </r>
        <r>
          <rPr>
            <sz val="9"/>
            <color indexed="81"/>
            <rFont val="Tahoma"/>
            <family val="2"/>
          </rPr>
          <t xml:space="preserve">
up LSD</t>
        </r>
      </text>
    </comment>
    <comment ref="AU16" authorId="3">
      <text>
        <r>
          <rPr>
            <b/>
            <sz val="9"/>
            <color indexed="81"/>
            <rFont val="Tahoma"/>
            <family val="2"/>
          </rPr>
          <t>JZ:</t>
        </r>
        <r>
          <rPr>
            <sz val="9"/>
            <color indexed="81"/>
            <rFont val="Tahoma"/>
            <family val="2"/>
          </rPr>
          <t xml:space="preserve">
tough comps</t>
        </r>
      </text>
    </comment>
    <comment ref="AW16" authorId="3">
      <text>
        <r>
          <rPr>
            <b/>
            <sz val="9"/>
            <color indexed="81"/>
            <rFont val="Tahoma"/>
            <family val="2"/>
          </rPr>
          <t>JZ:</t>
        </r>
        <r>
          <rPr>
            <sz val="9"/>
            <color indexed="81"/>
            <rFont val="Tahoma"/>
            <family val="2"/>
          </rPr>
          <t xml:space="preserve">
up LSD</t>
        </r>
      </text>
    </comment>
    <comment ref="BH16" authorId="3">
      <text>
        <r>
          <rPr>
            <b/>
            <sz val="9"/>
            <color indexed="81"/>
            <rFont val="Tahoma"/>
            <family val="2"/>
          </rPr>
          <t>JZ:</t>
        </r>
        <r>
          <rPr>
            <sz val="9"/>
            <color indexed="81"/>
            <rFont val="Tahoma"/>
            <family val="2"/>
          </rPr>
          <t xml:space="preserve">
Spares: 5-7%,
Repair, 3-5%
Provisioning, 2-4%
</t>
        </r>
      </text>
    </comment>
    <comment ref="V26" authorId="4">
      <text>
        <r>
          <rPr>
            <b/>
            <sz val="8"/>
            <color indexed="81"/>
            <rFont val="Tahoma"/>
            <family val="2"/>
          </rPr>
          <t>coe:</t>
        </r>
        <r>
          <rPr>
            <sz val="8"/>
            <color indexed="81"/>
            <rFont val="Tahoma"/>
            <family val="2"/>
          </rPr>
          <t xml:space="preserve">
$46m per quarter of Goodrich intangible assets</t>
        </r>
      </text>
    </comment>
    <comment ref="N27" authorId="0">
      <text>
        <r>
          <rPr>
            <sz val="8"/>
            <color indexed="81"/>
            <rFont val="Tahoma"/>
            <family val="2"/>
          </rPr>
          <t xml:space="preserve">Source: Investor and analyst meeting presentation
</t>
        </r>
      </text>
    </comment>
    <comment ref="AR29" authorId="5">
      <text>
        <r>
          <rPr>
            <sz val="8"/>
            <color indexed="81"/>
            <rFont val="Tahoma"/>
            <family val="2"/>
          </rPr>
          <t>Expecting $500M in GR synergies by 2016</t>
        </r>
      </text>
    </comment>
    <comment ref="N33" authorId="0">
      <text>
        <r>
          <rPr>
            <sz val="8"/>
            <color indexed="81"/>
            <rFont val="Tahoma"/>
            <family val="2"/>
          </rPr>
          <t xml:space="preserve">Source: Investor and analyst meeting presentation
</t>
        </r>
      </text>
    </comment>
    <comment ref="AM34" authorId="3">
      <text>
        <r>
          <rPr>
            <b/>
            <sz val="9"/>
            <color indexed="81"/>
            <rFont val="Tahoma"/>
            <family val="2"/>
          </rPr>
          <t>2Q15
Down $25-75m
JZ:</t>
        </r>
        <r>
          <rPr>
            <sz val="9"/>
            <color indexed="81"/>
            <rFont val="Tahoma"/>
            <family val="2"/>
          </rPr>
          <t xml:space="preserve">
$225-275m growth, with $175-200m from volume &amp; growth</t>
        </r>
      </text>
    </comment>
    <comment ref="AR34" authorId="3">
      <text>
        <r>
          <rPr>
            <b/>
            <sz val="9"/>
            <color indexed="81"/>
            <rFont val="Tahoma"/>
            <family val="2"/>
          </rPr>
          <t xml:space="preserve">3Q16
</t>
        </r>
        <r>
          <rPr>
            <sz val="9"/>
            <color indexed="81"/>
            <rFont val="Tahoma"/>
            <family val="2"/>
          </rPr>
          <t xml:space="preserve">Flat to down $25m
</t>
        </r>
        <r>
          <rPr>
            <b/>
            <sz val="9"/>
            <color indexed="81"/>
            <rFont val="Tahoma"/>
            <family val="2"/>
          </rPr>
          <t xml:space="preserve">
JZ:</t>
        </r>
        <r>
          <rPr>
            <sz val="9"/>
            <color indexed="81"/>
            <rFont val="Tahoma"/>
            <family val="2"/>
          </rPr>
          <t xml:space="preserve">
Flat to down $50m</t>
        </r>
      </text>
    </comment>
    <comment ref="AW34" authorId="3">
      <text>
        <r>
          <rPr>
            <b/>
            <sz val="9"/>
            <color indexed="81"/>
            <rFont val="Tahoma"/>
            <family val="2"/>
          </rPr>
          <t>JZ:</t>
        </r>
        <r>
          <rPr>
            <sz val="9"/>
            <color indexed="81"/>
            <rFont val="Tahoma"/>
            <family val="2"/>
          </rPr>
          <t xml:space="preserve">
$50-100m
Trending towards upper end</t>
        </r>
      </text>
    </comment>
    <comment ref="AC35" authorId="1">
      <text>
        <r>
          <rPr>
            <b/>
            <sz val="8"/>
            <color indexed="81"/>
            <rFont val="Tahoma"/>
            <family val="2"/>
          </rPr>
          <t>sang:</t>
        </r>
        <r>
          <rPr>
            <sz val="8"/>
            <color indexed="81"/>
            <rFont val="Tahoma"/>
            <family val="2"/>
          </rPr>
          <t xml:space="preserve">
3Q - ~2.1m guide</t>
        </r>
      </text>
    </comment>
    <comment ref="AH35" authorId="4">
      <text>
        <r>
          <rPr>
            <b/>
            <sz val="8"/>
            <color indexed="81"/>
            <rFont val="Tahoma"/>
            <family val="2"/>
          </rPr>
          <t>3Q14
$325-350m
coe:</t>
        </r>
        <r>
          <rPr>
            <sz val="8"/>
            <color indexed="81"/>
            <rFont val="Tahoma"/>
            <family val="2"/>
          </rPr>
          <t xml:space="preserve">
Assume $125m from GR synergies
Guidance for $300-350m lift
15% pf $400m pension tailwind here as well</t>
        </r>
      </text>
    </comment>
    <comment ref="AU35" authorId="3">
      <text>
        <r>
          <rPr>
            <b/>
            <sz val="9"/>
            <color indexed="81"/>
            <rFont val="Tahoma"/>
            <family val="2"/>
          </rPr>
          <t>JZ:</t>
        </r>
        <r>
          <rPr>
            <sz val="9"/>
            <color indexed="81"/>
            <rFont val="Tahoma"/>
            <family val="2"/>
          </rPr>
          <t xml:space="preserve">
</t>
        </r>
      </text>
    </comment>
    <comment ref="W36" authorId="4">
      <text>
        <r>
          <rPr>
            <b/>
            <sz val="8"/>
            <color indexed="81"/>
            <rFont val="Tahoma"/>
            <family val="2"/>
          </rPr>
          <t>coe:</t>
        </r>
        <r>
          <rPr>
            <sz val="8"/>
            <color indexed="81"/>
            <rFont val="Tahoma"/>
            <family val="2"/>
          </rPr>
          <t xml:space="preserve">
$125m of inventory amortized</t>
        </r>
      </text>
    </comment>
    <comment ref="AI36" authorId="1">
      <text>
        <r>
          <rPr>
            <b/>
            <sz val="8"/>
            <color indexed="81"/>
            <rFont val="Tahoma"/>
            <family val="2"/>
          </rPr>
          <t>sang:</t>
        </r>
        <r>
          <rPr>
            <sz val="8"/>
            <color indexed="81"/>
            <rFont val="Tahoma"/>
            <family val="2"/>
          </rPr>
          <t xml:space="preserve">
$50mn of pass thru sales w/ no margins impacted by 30bps.. But 2c (25mn) help from licensing agreements</t>
        </r>
      </text>
    </comment>
    <comment ref="AJ38" authorId="3">
      <text>
        <r>
          <rPr>
            <b/>
            <sz val="9"/>
            <color indexed="81"/>
            <rFont val="Tahoma"/>
            <family val="2"/>
          </rPr>
          <t>JZ:</t>
        </r>
        <r>
          <rPr>
            <sz val="9"/>
            <color indexed="81"/>
            <rFont val="Tahoma"/>
            <family val="2"/>
          </rPr>
          <t xml:space="preserve">
weak comps</t>
        </r>
      </text>
    </comment>
    <comment ref="M48" authorId="5">
      <text>
        <r>
          <rPr>
            <sz val="8"/>
            <color indexed="81"/>
            <rFont val="Tahoma"/>
            <family val="2"/>
          </rPr>
          <t>67% OE</t>
        </r>
      </text>
    </comment>
    <comment ref="N48" authorId="5">
      <text>
        <r>
          <rPr>
            <sz val="8"/>
            <color indexed="81"/>
            <rFont val="Tahoma"/>
            <family val="2"/>
          </rPr>
          <t>67% OE</t>
        </r>
      </text>
    </comment>
    <comment ref="S48" authorId="5">
      <text>
        <r>
          <rPr>
            <sz val="8"/>
            <color indexed="81"/>
            <rFont val="Tahoma"/>
            <family val="2"/>
          </rPr>
          <t>60% A/M</t>
        </r>
      </text>
    </comment>
    <comment ref="X53" authorId="5">
      <text>
        <r>
          <rPr>
            <sz val="8"/>
            <color indexed="81"/>
            <rFont val="Tahoma"/>
            <family val="2"/>
          </rPr>
          <t>Goodrich closed in July 2012</t>
        </r>
      </text>
    </comment>
    <comment ref="AM53" authorId="3">
      <text>
        <r>
          <rPr>
            <b/>
            <sz val="9"/>
            <color indexed="81"/>
            <rFont val="Tahoma"/>
            <family val="2"/>
          </rPr>
          <t>2Q15
up MSD
JZ:</t>
        </r>
        <r>
          <rPr>
            <sz val="9"/>
            <color indexed="81"/>
            <rFont val="Tahoma"/>
            <family val="2"/>
          </rPr>
          <t xml:space="preserve">
Up M-HSD</t>
        </r>
      </text>
    </comment>
    <comment ref="AR53" authorId="3">
      <text>
        <r>
          <rPr>
            <b/>
            <sz val="9"/>
            <color indexed="81"/>
            <rFont val="Tahoma"/>
            <family val="2"/>
          </rPr>
          <t>JZ:</t>
        </r>
        <r>
          <rPr>
            <sz val="9"/>
            <color indexed="81"/>
            <rFont val="Tahoma"/>
            <family val="2"/>
          </rPr>
          <t xml:space="preserve">
Dec 15: up MSD</t>
        </r>
      </text>
    </comment>
    <comment ref="X54" authorId="5">
      <text>
        <r>
          <rPr>
            <sz val="8"/>
            <color indexed="81"/>
            <rFont val="Tahoma"/>
            <family val="2"/>
          </rPr>
          <t>Goodrich closed in July 2012</t>
        </r>
      </text>
    </comment>
    <comment ref="AM54" authorId="3">
      <text>
        <r>
          <rPr>
            <b/>
            <sz val="9"/>
            <color indexed="81"/>
            <rFont val="Tahoma"/>
            <family val="2"/>
          </rPr>
          <t xml:space="preserve">JZ:
Down slightly
</t>
        </r>
        <r>
          <rPr>
            <sz val="9"/>
            <color indexed="81"/>
            <rFont val="Tahoma"/>
            <family val="2"/>
          </rPr>
          <t xml:space="preserve">
Up HSD
Expecting A/M to pick up in 2H15</t>
        </r>
      </text>
    </comment>
    <comment ref="AR54" authorId="3">
      <text>
        <r>
          <rPr>
            <b/>
            <sz val="9"/>
            <color indexed="81"/>
            <rFont val="Tahoma"/>
            <family val="2"/>
          </rPr>
          <t>JZ:</t>
        </r>
        <r>
          <rPr>
            <sz val="9"/>
            <color indexed="81"/>
            <rFont val="Tahoma"/>
            <family val="2"/>
          </rPr>
          <t xml:space="preserve">
up LSD</t>
        </r>
      </text>
    </comment>
    <comment ref="AW54" authorId="6">
      <text>
        <r>
          <rPr>
            <b/>
            <sz val="9"/>
            <color indexed="81"/>
            <rFont val="Tahoma"/>
            <family val="2"/>
          </rPr>
          <t>Coe, Nigel (Research):</t>
        </r>
        <r>
          <rPr>
            <sz val="9"/>
            <color indexed="81"/>
            <rFont val="Tahoma"/>
            <family val="2"/>
          </rPr>
          <t xml:space="preserve">
Commentary that BtB was a little softer during 2Q</t>
        </r>
      </text>
    </comment>
    <comment ref="X55" authorId="5">
      <text>
        <r>
          <rPr>
            <sz val="8"/>
            <color indexed="81"/>
            <rFont val="Tahoma"/>
            <family val="2"/>
          </rPr>
          <t>Goodrich closed in July 2012</t>
        </r>
      </text>
    </comment>
    <comment ref="AM55" authorId="3">
      <text>
        <r>
          <rPr>
            <b/>
            <sz val="9"/>
            <color indexed="81"/>
            <rFont val="Tahoma"/>
            <family val="2"/>
          </rPr>
          <t>2Q15
Down LSD
JZ:</t>
        </r>
        <r>
          <rPr>
            <sz val="9"/>
            <color indexed="81"/>
            <rFont val="Tahoma"/>
            <family val="2"/>
          </rPr>
          <t xml:space="preserve">
A/M up LSD and OE flattish</t>
        </r>
      </text>
    </comment>
    <comment ref="AR55" authorId="3">
      <text>
        <r>
          <rPr>
            <b/>
            <sz val="9"/>
            <color indexed="81"/>
            <rFont val="Tahoma"/>
            <family val="2"/>
          </rPr>
          <t>JZ:</t>
        </r>
        <r>
          <rPr>
            <sz val="9"/>
            <color indexed="81"/>
            <rFont val="Tahoma"/>
            <family val="2"/>
          </rPr>
          <t xml:space="preserve">
Military OE down LSD, Military A/M down HSD</t>
        </r>
      </text>
    </comment>
    <comment ref="X57" authorId="5">
      <text>
        <r>
          <rPr>
            <sz val="8"/>
            <color indexed="81"/>
            <rFont val="Tahoma"/>
            <family val="2"/>
          </rPr>
          <t>Source: 1/9/12 Goodrich Proxy</t>
        </r>
      </text>
    </comment>
    <comment ref="AC57" authorId="5">
      <text>
        <r>
          <rPr>
            <sz val="8"/>
            <color indexed="81"/>
            <rFont val="Tahoma"/>
            <family val="2"/>
          </rPr>
          <t>Source: 1/9/12 Goodrich Proxy</t>
        </r>
      </text>
    </comment>
    <comment ref="X59" authorId="5">
      <text>
        <r>
          <rPr>
            <sz val="8"/>
            <color indexed="81"/>
            <rFont val="Tahoma"/>
            <family val="2"/>
          </rPr>
          <t>Pro forma</t>
        </r>
      </text>
    </comment>
    <comment ref="Z59" authorId="1">
      <text>
        <r>
          <rPr>
            <b/>
            <sz val="8"/>
            <color indexed="81"/>
            <rFont val="Tahoma"/>
            <family val="2"/>
          </rPr>
          <t>sang:</t>
        </r>
        <r>
          <rPr>
            <sz val="8"/>
            <color indexed="81"/>
            <rFont val="Tahoma"/>
            <family val="2"/>
          </rPr>
          <t xml:space="preserve">
pro forma</t>
        </r>
      </text>
    </comment>
    <comment ref="AA59" authorId="1">
      <text>
        <r>
          <rPr>
            <b/>
            <sz val="8"/>
            <color indexed="81"/>
            <rFont val="Tahoma"/>
            <family val="2"/>
          </rPr>
          <t>sang:</t>
        </r>
        <r>
          <rPr>
            <sz val="8"/>
            <color indexed="81"/>
            <rFont val="Tahoma"/>
            <family val="2"/>
          </rPr>
          <t xml:space="preserve">
pro forma +MSD</t>
        </r>
      </text>
    </comment>
    <comment ref="AI59" authorId="1">
      <text>
        <r>
          <rPr>
            <b/>
            <sz val="8"/>
            <color indexed="81"/>
            <rFont val="Tahoma"/>
            <family val="2"/>
          </rPr>
          <t>sang:</t>
        </r>
        <r>
          <rPr>
            <sz val="8"/>
            <color indexed="81"/>
            <rFont val="Tahoma"/>
            <family val="2"/>
          </rPr>
          <t xml:space="preserve">
included $50mn of passthru sales w/ no margins</t>
        </r>
      </text>
    </comment>
    <comment ref="AP59" authorId="3">
      <text>
        <r>
          <rPr>
            <b/>
            <sz val="9"/>
            <color indexed="81"/>
            <rFont val="Tahoma"/>
            <family val="2"/>
          </rPr>
          <t>JZ:</t>
        </r>
        <r>
          <rPr>
            <sz val="9"/>
            <color indexed="81"/>
            <rFont val="Tahoma"/>
            <family val="2"/>
          </rPr>
          <t xml:space="preserve">
easy comps</t>
        </r>
      </text>
    </comment>
    <comment ref="AQ59" authorId="2">
      <text>
        <r>
          <rPr>
            <b/>
            <sz val="9"/>
            <color indexed="81"/>
            <rFont val="Tahoma"/>
            <family val="2"/>
          </rPr>
          <t>Morales, Jonathan (Research):</t>
        </r>
        <r>
          <rPr>
            <sz val="9"/>
            <color indexed="81"/>
            <rFont val="Tahoma"/>
            <family val="2"/>
          </rPr>
          <t xml:space="preserve">
down slightly</t>
        </r>
      </text>
    </comment>
    <comment ref="AT59" authorId="3">
      <text>
        <r>
          <rPr>
            <b/>
            <sz val="9"/>
            <color indexed="81"/>
            <rFont val="Tahoma"/>
            <family val="2"/>
          </rPr>
          <t>JZ:</t>
        </r>
        <r>
          <rPr>
            <sz val="9"/>
            <color indexed="81"/>
            <rFont val="Tahoma"/>
            <family val="2"/>
          </rPr>
          <t xml:space="preserve">
declines related to 777 landing gear, which drove 3ppt headwind</t>
        </r>
      </text>
    </comment>
    <comment ref="X60" authorId="5">
      <text>
        <r>
          <rPr>
            <sz val="8"/>
            <color indexed="81"/>
            <rFont val="Tahoma"/>
            <family val="2"/>
          </rPr>
          <t>Pro forma</t>
        </r>
      </text>
    </comment>
    <comment ref="Y60" authorId="5">
      <text>
        <r>
          <rPr>
            <sz val="8"/>
            <color indexed="81"/>
            <rFont val="Tahoma"/>
            <family val="2"/>
          </rPr>
          <t>Pro forma</t>
        </r>
      </text>
    </comment>
    <comment ref="Z60" authorId="1">
      <text>
        <r>
          <rPr>
            <b/>
            <sz val="8"/>
            <color indexed="81"/>
            <rFont val="Tahoma"/>
            <family val="2"/>
          </rPr>
          <t>sang:</t>
        </r>
        <r>
          <rPr>
            <sz val="8"/>
            <color indexed="81"/>
            <rFont val="Tahoma"/>
            <family val="2"/>
          </rPr>
          <t xml:space="preserve">
pro forma</t>
        </r>
      </text>
    </comment>
    <comment ref="AA60" authorId="1">
      <text>
        <r>
          <rPr>
            <b/>
            <sz val="8"/>
            <color indexed="81"/>
            <rFont val="Tahoma"/>
            <family val="2"/>
          </rPr>
          <t>sang:</t>
        </r>
        <r>
          <rPr>
            <sz val="8"/>
            <color indexed="81"/>
            <rFont val="Tahoma"/>
            <family val="2"/>
          </rPr>
          <t xml:space="preserve">
pro forma +MSD</t>
        </r>
      </text>
    </comment>
    <comment ref="AF60" authorId="3">
      <text>
        <r>
          <rPr>
            <b/>
            <sz val="9"/>
            <color indexed="81"/>
            <rFont val="Tahoma"/>
            <family val="2"/>
          </rPr>
          <t>JZ:</t>
        </r>
        <r>
          <rPr>
            <sz val="9"/>
            <color indexed="81"/>
            <rFont val="Tahoma"/>
            <family val="2"/>
          </rPr>
          <t xml:space="preserve">
parts up HSD, while provisioning was up &gt;20%, </t>
        </r>
      </text>
    </comment>
    <comment ref="AP60" authorId="3">
      <text>
        <r>
          <rPr>
            <b/>
            <sz val="9"/>
            <color indexed="81"/>
            <rFont val="Tahoma"/>
            <family val="2"/>
          </rPr>
          <t>JZ:</t>
        </r>
        <r>
          <rPr>
            <sz val="9"/>
            <color indexed="81"/>
            <rFont val="Tahoma"/>
            <family val="2"/>
          </rPr>
          <t xml:space="preserve">
+6% ex. prior year contract close-outs</t>
        </r>
      </text>
    </comment>
    <comment ref="AQ60" authorId="2">
      <text>
        <r>
          <rPr>
            <b/>
            <sz val="9"/>
            <color indexed="81"/>
            <rFont val="Tahoma"/>
            <family val="2"/>
          </rPr>
          <t>Morales, Jonathan (Research):</t>
        </r>
        <r>
          <rPr>
            <sz val="9"/>
            <color indexed="81"/>
            <rFont val="Tahoma"/>
            <family val="2"/>
          </rPr>
          <t xml:space="preserve">
up LSD</t>
        </r>
      </text>
    </comment>
    <comment ref="AS60" authorId="3">
      <text>
        <r>
          <rPr>
            <b/>
            <sz val="9"/>
            <color indexed="81"/>
            <rFont val="Tahoma"/>
            <family val="2"/>
          </rPr>
          <t>JZ:</t>
        </r>
        <r>
          <rPr>
            <sz val="9"/>
            <color indexed="81"/>
            <rFont val="Tahoma"/>
            <family val="2"/>
          </rPr>
          <t xml:space="preserve">
HSD growth in parts and repair, provisioning up 30%</t>
        </r>
      </text>
    </comment>
    <comment ref="AT60" authorId="3">
      <text>
        <r>
          <rPr>
            <b/>
            <sz val="9"/>
            <color indexed="81"/>
            <rFont val="Tahoma"/>
            <family val="2"/>
          </rPr>
          <t>JZ:</t>
        </r>
        <r>
          <rPr>
            <sz val="9"/>
            <color indexed="81"/>
            <rFont val="Tahoma"/>
            <family val="2"/>
          </rPr>
          <t xml:space="preserve">
17% increase in provisioning, parts +2%, repair +7%</t>
        </r>
      </text>
    </comment>
    <comment ref="X61" authorId="5">
      <text>
        <r>
          <rPr>
            <sz val="8"/>
            <color indexed="81"/>
            <rFont val="Tahoma"/>
            <family val="2"/>
          </rPr>
          <t>Pro forma</t>
        </r>
      </text>
    </comment>
    <comment ref="X62" authorId="5">
      <text>
        <r>
          <rPr>
            <sz val="8"/>
            <color indexed="81"/>
            <rFont val="Tahoma"/>
            <family val="2"/>
          </rPr>
          <t>Pro forma</t>
        </r>
      </text>
    </comment>
    <comment ref="Z62" authorId="1">
      <text>
        <r>
          <rPr>
            <b/>
            <sz val="8"/>
            <color indexed="81"/>
            <rFont val="Tahoma"/>
            <family val="2"/>
          </rPr>
          <t>sang:</t>
        </r>
        <r>
          <rPr>
            <sz val="8"/>
            <color indexed="81"/>
            <rFont val="Tahoma"/>
            <family val="2"/>
          </rPr>
          <t xml:space="preserve">
pro forma</t>
        </r>
      </text>
    </comment>
    <comment ref="AA62" authorId="1">
      <text>
        <r>
          <rPr>
            <b/>
            <sz val="8"/>
            <color indexed="81"/>
            <rFont val="Tahoma"/>
            <family val="2"/>
          </rPr>
          <t>sang:</t>
        </r>
        <r>
          <rPr>
            <sz val="8"/>
            <color indexed="81"/>
            <rFont val="Tahoma"/>
            <family val="2"/>
          </rPr>
          <t xml:space="preserve">
low LSd</t>
        </r>
      </text>
    </comment>
    <comment ref="AF62" authorId="3">
      <text>
        <r>
          <rPr>
            <b/>
            <sz val="9"/>
            <color indexed="81"/>
            <rFont val="Tahoma"/>
            <family val="2"/>
          </rPr>
          <t>JZ:</t>
        </r>
        <r>
          <rPr>
            <sz val="9"/>
            <color indexed="81"/>
            <rFont val="Tahoma"/>
            <family val="2"/>
          </rPr>
          <t xml:space="preserve">
</t>
        </r>
      </text>
    </comment>
    <comment ref="X63" authorId="5">
      <text>
        <r>
          <rPr>
            <sz val="8"/>
            <color indexed="81"/>
            <rFont val="Tahoma"/>
            <family val="2"/>
          </rPr>
          <t>Pro forma</t>
        </r>
      </text>
    </comment>
    <comment ref="Z63" authorId="1">
      <text>
        <r>
          <rPr>
            <b/>
            <sz val="8"/>
            <color indexed="81"/>
            <rFont val="Tahoma"/>
            <family val="2"/>
          </rPr>
          <t>sang:</t>
        </r>
        <r>
          <rPr>
            <sz val="8"/>
            <color indexed="81"/>
            <rFont val="Tahoma"/>
            <family val="2"/>
          </rPr>
          <t xml:space="preserve">
down lSD proforma</t>
        </r>
      </text>
    </comment>
    <comment ref="AA63" authorId="1">
      <text>
        <r>
          <rPr>
            <b/>
            <sz val="8"/>
            <color indexed="81"/>
            <rFont val="Tahoma"/>
            <family val="2"/>
          </rPr>
          <t>sang:</t>
        </r>
        <r>
          <rPr>
            <sz val="8"/>
            <color indexed="81"/>
            <rFont val="Tahoma"/>
            <family val="2"/>
          </rPr>
          <t xml:space="preserve">
low LSd</t>
        </r>
      </text>
    </comment>
    <comment ref="X64" authorId="5">
      <text>
        <r>
          <rPr>
            <sz val="8"/>
            <color indexed="81"/>
            <rFont val="Tahoma"/>
            <family val="2"/>
          </rPr>
          <t>Pro forma</t>
        </r>
      </text>
    </comment>
    <comment ref="X65" authorId="5">
      <text>
        <r>
          <rPr>
            <sz val="8"/>
            <color indexed="81"/>
            <rFont val="Tahoma"/>
            <family val="2"/>
          </rPr>
          <t>Pro forma</t>
        </r>
      </text>
    </comment>
    <comment ref="AB67" authorId="1">
      <text>
        <r>
          <rPr>
            <b/>
            <sz val="8"/>
            <color indexed="81"/>
            <rFont val="Tahoma"/>
            <family val="2"/>
          </rPr>
          <t>sang:</t>
        </r>
        <r>
          <rPr>
            <sz val="8"/>
            <color indexed="81"/>
            <rFont val="Tahoma"/>
            <family val="2"/>
          </rPr>
          <t xml:space="preserve">
overall return of the heavy overhauls.. </t>
        </r>
      </text>
    </comment>
    <comment ref="AD67" authorId="1">
      <text>
        <r>
          <rPr>
            <b/>
            <sz val="8"/>
            <color indexed="81"/>
            <rFont val="Tahoma"/>
            <family val="2"/>
          </rPr>
          <t>sang:</t>
        </r>
        <r>
          <rPr>
            <sz val="8"/>
            <color indexed="81"/>
            <rFont val="Tahoma"/>
            <family val="2"/>
          </rPr>
          <t xml:space="preserve">
strength in both parts and provisioning</t>
        </r>
      </text>
    </comment>
    <comment ref="AK67" authorId="3">
      <text>
        <r>
          <rPr>
            <b/>
            <sz val="9"/>
            <color indexed="81"/>
            <rFont val="Tahoma"/>
            <family val="2"/>
          </rPr>
          <t>JZ:</t>
        </r>
        <r>
          <rPr>
            <sz val="9"/>
            <color indexed="81"/>
            <rFont val="Tahoma"/>
            <family val="2"/>
          </rPr>
          <t xml:space="preserve">
driven by provisioning
Accounting for 50% of A/M revenues</t>
        </r>
      </text>
    </comment>
    <comment ref="AC72" authorId="5">
      <text>
        <r>
          <rPr>
            <sz val="8"/>
            <color indexed="81"/>
            <rFont val="Tahoma"/>
            <family val="2"/>
          </rPr>
          <t>IATA forecast</t>
        </r>
      </text>
    </comment>
    <comment ref="AM92" authorId="3">
      <text>
        <r>
          <rPr>
            <b/>
            <sz val="9"/>
            <color indexed="81"/>
            <rFont val="Tahoma"/>
            <family val="2"/>
          </rPr>
          <t>JZ:</t>
        </r>
        <r>
          <rPr>
            <sz val="9"/>
            <color indexed="81"/>
            <rFont val="Tahoma"/>
            <family val="2"/>
          </rPr>
          <t xml:space="preserve">
$0-25m</t>
        </r>
      </text>
    </comment>
    <comment ref="AW92" authorId="3">
      <text>
        <r>
          <rPr>
            <b/>
            <sz val="9"/>
            <color indexed="81"/>
            <rFont val="Tahoma"/>
            <family val="2"/>
          </rPr>
          <t>JZ:</t>
        </r>
        <r>
          <rPr>
            <sz val="9"/>
            <color indexed="81"/>
            <rFont val="Tahoma"/>
            <family val="2"/>
          </rPr>
          <t xml:space="preserve">
$25m as per guidance</t>
        </r>
      </text>
    </comment>
    <comment ref="AM93" authorId="3">
      <text>
        <r>
          <rPr>
            <b/>
            <sz val="9"/>
            <color indexed="81"/>
            <rFont val="Tahoma"/>
            <family val="2"/>
          </rPr>
          <t>As per Dec 14 guidance
JZ:</t>
        </r>
        <r>
          <rPr>
            <sz val="9"/>
            <color indexed="81"/>
            <rFont val="Tahoma"/>
            <family val="2"/>
          </rPr>
          <t xml:space="preserve">
UTAS accounts for 15% of pension impact as per Dec 13 I-day</t>
        </r>
      </text>
    </comment>
    <comment ref="AM94" authorId="3">
      <text>
        <r>
          <rPr>
            <b/>
            <sz val="9"/>
            <color indexed="81"/>
            <rFont val="Tahoma"/>
            <family val="2"/>
          </rPr>
          <t>2Q15
$150-175m cost reduction/ E&amp;D
March 15</t>
        </r>
        <r>
          <rPr>
            <sz val="9"/>
            <color indexed="81"/>
            <rFont val="Tahoma"/>
            <family val="2"/>
          </rPr>
          <t xml:space="preserve">
$125m cost reduction vs. $100m gudiance previously. Upside to offset heavier pension headwind</t>
        </r>
        <r>
          <rPr>
            <b/>
            <sz val="9"/>
            <color indexed="81"/>
            <rFont val="Tahoma"/>
            <family val="2"/>
          </rPr>
          <t xml:space="preserve">
JZ:</t>
        </r>
        <r>
          <rPr>
            <sz val="9"/>
            <color indexed="81"/>
            <rFont val="Tahoma"/>
            <family val="2"/>
          </rPr>
          <t xml:space="preserve">
As per Dec 14 guidance</t>
        </r>
      </text>
    </comment>
    <comment ref="AW94" authorId="3">
      <text>
        <r>
          <rPr>
            <b/>
            <sz val="9"/>
            <color indexed="81"/>
            <rFont val="Tahoma"/>
            <family val="2"/>
          </rPr>
          <t xml:space="preserve">Mar 16:
</t>
        </r>
        <r>
          <rPr>
            <sz val="9"/>
            <color indexed="81"/>
            <rFont val="Tahoma"/>
            <family val="2"/>
          </rPr>
          <t xml:space="preserve">Cost reduction target of $350m vs. $175m in 2016
</t>
        </r>
      </text>
    </comment>
    <comment ref="BB94" authorId="3">
      <text>
        <r>
          <rPr>
            <b/>
            <sz val="9"/>
            <color indexed="81"/>
            <rFont val="Tahoma"/>
            <family val="2"/>
          </rPr>
          <t xml:space="preserve">Mar 16:
</t>
        </r>
        <r>
          <rPr>
            <sz val="9"/>
            <color indexed="81"/>
            <rFont val="Tahoma"/>
            <family val="2"/>
          </rPr>
          <t>Cost reduction target of $500m vs. $350m in 2016
Offsetting OE headwinds</t>
        </r>
      </text>
    </comment>
    <comment ref="AM96" authorId="6">
      <text>
        <r>
          <rPr>
            <b/>
            <sz val="9"/>
            <color indexed="81"/>
            <rFont val="Tahoma"/>
            <family val="2"/>
          </rPr>
          <t>Coe, Nigel (Research):</t>
        </r>
        <r>
          <rPr>
            <sz val="9"/>
            <color indexed="81"/>
            <rFont val="Tahoma"/>
            <family val="2"/>
          </rPr>
          <t xml:space="preserve">
Contract true-ups</t>
        </r>
      </text>
    </comment>
    <comment ref="AM99" authorId="6">
      <text>
        <r>
          <rPr>
            <b/>
            <sz val="9"/>
            <color indexed="81"/>
            <rFont val="Tahoma"/>
            <family val="2"/>
          </rPr>
          <t>Coe, Nigel (Research):</t>
        </r>
        <r>
          <rPr>
            <sz val="9"/>
            <color indexed="81"/>
            <rFont val="Tahoma"/>
            <family val="2"/>
          </rPr>
          <t xml:space="preserve">
vs. $75m guidance. Adverse mix of OE shipments - mature vs. new platforms</t>
        </r>
      </text>
    </comment>
    <comment ref="AR99" authorId="6">
      <text>
        <r>
          <rPr>
            <b/>
            <sz val="9"/>
            <color indexed="81"/>
            <rFont val="Tahoma"/>
            <family val="2"/>
          </rPr>
          <t>Coe, Nigel (Research):</t>
        </r>
        <r>
          <rPr>
            <sz val="9"/>
            <color indexed="81"/>
            <rFont val="Tahoma"/>
            <family val="2"/>
          </rPr>
          <t xml:space="preserve">
Pricing pressure on Max
This is net of product cost reduction and backs out military</t>
        </r>
      </text>
    </comment>
    <comment ref="AW99" authorId="6">
      <text>
        <r>
          <rPr>
            <b/>
            <sz val="9"/>
            <color indexed="81"/>
            <rFont val="Tahoma"/>
            <family val="2"/>
          </rPr>
          <t>Coe, Nigel (Research):</t>
        </r>
        <r>
          <rPr>
            <sz val="9"/>
            <color indexed="81"/>
            <rFont val="Tahoma"/>
            <family val="2"/>
          </rPr>
          <t xml:space="preserve">
OE headwinds peak in 2017</t>
        </r>
      </text>
    </comment>
    <comment ref="AM100" authorId="6">
      <text>
        <r>
          <rPr>
            <b/>
            <sz val="9"/>
            <color indexed="81"/>
            <rFont val="Tahoma"/>
            <family val="2"/>
          </rPr>
          <t>Coe, Nigel (Research):</t>
        </r>
        <r>
          <rPr>
            <sz val="9"/>
            <color indexed="81"/>
            <rFont val="Tahoma"/>
            <family val="2"/>
          </rPr>
          <t xml:space="preserve">
vs. $250m guidance</t>
        </r>
      </text>
    </comment>
  </commentList>
</comments>
</file>

<file path=xl/sharedStrings.xml><?xml version="1.0" encoding="utf-8"?>
<sst xmlns="http://schemas.openxmlformats.org/spreadsheetml/2006/main" count="4053" uniqueCount="1839">
  <si>
    <t>United Technologies Corp. (UTX)</t>
  </si>
  <si>
    <t>Nigel Coe, CFA</t>
  </si>
  <si>
    <t>Financial Model</t>
  </si>
  <si>
    <t>Morgan Stanley Research</t>
  </si>
  <si>
    <t>YE 31 December ($ million)</t>
  </si>
  <si>
    <t>212 761 5574</t>
  </si>
  <si>
    <t>nigel.coe@morganstanley.com</t>
  </si>
  <si>
    <t>Sales Mix</t>
  </si>
  <si>
    <t>Other</t>
  </si>
  <si>
    <t>Europe</t>
  </si>
  <si>
    <t>US</t>
  </si>
  <si>
    <t>Geographic</t>
  </si>
  <si>
    <t>Total $ Amount</t>
  </si>
  <si>
    <t>% Share Repurchases</t>
  </si>
  <si>
    <t>% Dividends</t>
  </si>
  <si>
    <t>% Capex</t>
  </si>
  <si>
    <t>% Acquisitions</t>
  </si>
  <si>
    <t>% Shares Repurchased</t>
  </si>
  <si>
    <t>Share Repurchases</t>
  </si>
  <si>
    <t>Net M&amp;A Intensity</t>
  </si>
  <si>
    <t>Gross M&amp;A Intensity</t>
  </si>
  <si>
    <t>Net acquisition spend</t>
  </si>
  <si>
    <t>Disposals</t>
  </si>
  <si>
    <t>Gross acquisition spend</t>
  </si>
  <si>
    <t>Divident Payout - FCF</t>
  </si>
  <si>
    <t>Divident Payout - Earnings</t>
  </si>
  <si>
    <t>Dividends Paid</t>
  </si>
  <si>
    <t>Shareholder Return</t>
  </si>
  <si>
    <t>Pension Expense/Net Income</t>
  </si>
  <si>
    <t>Pension Expense/EBITDA</t>
  </si>
  <si>
    <t>Pension Expense/Sales</t>
  </si>
  <si>
    <t>FCF Conversion</t>
  </si>
  <si>
    <t>FCF Margin</t>
  </si>
  <si>
    <t>CFOA Margin</t>
  </si>
  <si>
    <t>Effective Tax Rate</t>
  </si>
  <si>
    <t>Backlog/Sales</t>
  </si>
  <si>
    <t>Earnings Quality</t>
  </si>
  <si>
    <t>Cash Cycle</t>
  </si>
  <si>
    <t>A/P Days Outstanding</t>
  </si>
  <si>
    <t>Inventory Days Outstanding</t>
  </si>
  <si>
    <t>A/R Days Outstanding</t>
  </si>
  <si>
    <t>Average Asset Life (Yrs)</t>
  </si>
  <si>
    <t>PP&amp;E Turn</t>
  </si>
  <si>
    <t>Inventory Turn (COGS)</t>
  </si>
  <si>
    <t>Inventory Turn (Sales)</t>
  </si>
  <si>
    <t>Asset Turn</t>
  </si>
  <si>
    <t>Capex/D&amp;A</t>
  </si>
  <si>
    <t>Capex/Sales</t>
  </si>
  <si>
    <t>Capital Efficiency</t>
  </si>
  <si>
    <t>Pension Deficit/FCF</t>
  </si>
  <si>
    <t>Pension Deficit/EBITA</t>
  </si>
  <si>
    <t>Pension Deficit/Sales</t>
  </si>
  <si>
    <t>Current Ratio ex-Inventory</t>
  </si>
  <si>
    <t>Current Ratio</t>
  </si>
  <si>
    <t>Interest Coverage - FCF</t>
  </si>
  <si>
    <t>Interest Coverage - EBIT</t>
  </si>
  <si>
    <t>Interest Coverage - EBITDA</t>
  </si>
  <si>
    <t>Gross Debt/Capital</t>
  </si>
  <si>
    <t>Net Debt/Capital</t>
  </si>
  <si>
    <t>Assets/Equity</t>
  </si>
  <si>
    <t>ST Debt/LT Debt</t>
  </si>
  <si>
    <t>Cash/Total Debt</t>
  </si>
  <si>
    <t>Cash/ST Debt</t>
  </si>
  <si>
    <t>Gross Debt/EBITDA</t>
  </si>
  <si>
    <t>Net Debt (Cash)/EBITDA</t>
  </si>
  <si>
    <t>Debt Ratios</t>
  </si>
  <si>
    <t>EBITDA/Employee ($'000)</t>
  </si>
  <si>
    <t>Revenue/Employee ($000)</t>
  </si>
  <si>
    <t>Total Employees</t>
  </si>
  <si>
    <t>ROIC - Normalized</t>
  </si>
  <si>
    <t>ROE - Normalized</t>
  </si>
  <si>
    <t>Incremental Segment Margin</t>
  </si>
  <si>
    <t>Incremental Operating Margin</t>
  </si>
  <si>
    <t>Incremental EBITDA Margin</t>
  </si>
  <si>
    <t>Incremental SG&amp;A Margin</t>
  </si>
  <si>
    <t>Incremental Gross Margin</t>
  </si>
  <si>
    <t>D&amp;A/Sales</t>
  </si>
  <si>
    <t>R&amp;D/Sales</t>
  </si>
  <si>
    <t>SG&amp;A/Sales</t>
  </si>
  <si>
    <t>Net Margin - Normalized</t>
  </si>
  <si>
    <t>Pre Tax Margin (Reported)</t>
  </si>
  <si>
    <t>EBIT Margin</t>
  </si>
  <si>
    <t>Segment Margin (Ex-Items)</t>
  </si>
  <si>
    <t>Operating Margin (Core)</t>
  </si>
  <si>
    <t>EBITDA Margin (Core)</t>
  </si>
  <si>
    <t>Gross Margin</t>
  </si>
  <si>
    <t>Profitability</t>
  </si>
  <si>
    <t>Headline Diluted EPS</t>
  </si>
  <si>
    <t>Segment Income (Ex-Items)</t>
  </si>
  <si>
    <t>Operating Income (Core)</t>
  </si>
  <si>
    <t>EBITDA (Core)</t>
  </si>
  <si>
    <t>Gross Profit</t>
  </si>
  <si>
    <t>Organic Sales</t>
  </si>
  <si>
    <t>Currencies</t>
  </si>
  <si>
    <t>Net M&amp;A</t>
  </si>
  <si>
    <t>Reported Sales</t>
  </si>
  <si>
    <t>Growth</t>
  </si>
  <si>
    <t>FCF/Share</t>
  </si>
  <si>
    <t>DPS</t>
  </si>
  <si>
    <t>GAAP EPS</t>
  </si>
  <si>
    <t>DWAC</t>
  </si>
  <si>
    <t>FCF</t>
  </si>
  <si>
    <t>Others</t>
  </si>
  <si>
    <t>CapEx</t>
  </si>
  <si>
    <t>Operating Cash Flow</t>
  </si>
  <si>
    <t>Net Debt</t>
  </si>
  <si>
    <t>Gross Debt</t>
  </si>
  <si>
    <t>LT Debt</t>
  </si>
  <si>
    <t>ST Debt</t>
  </si>
  <si>
    <t>Cash &amp; Liquid Assets</t>
  </si>
  <si>
    <t>Normalized Net Income</t>
  </si>
  <si>
    <t>Pre-Tax Income</t>
  </si>
  <si>
    <t>EBIT</t>
  </si>
  <si>
    <t>Sales</t>
  </si>
  <si>
    <t>4Q05</t>
  </si>
  <si>
    <t>3Q05</t>
  </si>
  <si>
    <t>2Q05</t>
  </si>
  <si>
    <t>1Q05</t>
  </si>
  <si>
    <t>4Q04</t>
  </si>
  <si>
    <t>3Q04</t>
  </si>
  <si>
    <t>2Q04</t>
  </si>
  <si>
    <t>1Q04</t>
  </si>
  <si>
    <t>Key Performance Indicators</t>
  </si>
  <si>
    <t>Nigel Coe. CFA</t>
  </si>
  <si>
    <t>2016E</t>
  </si>
  <si>
    <t>ROE</t>
  </si>
  <si>
    <t>Long term debt</t>
  </si>
  <si>
    <t>Shareholders Equity</t>
  </si>
  <si>
    <t>4Q15</t>
  </si>
  <si>
    <t>3Q15</t>
  </si>
  <si>
    <t>2Q15</t>
  </si>
  <si>
    <t>1Q15</t>
  </si>
  <si>
    <t>4Q14</t>
  </si>
  <si>
    <t>Shares Outstanding</t>
  </si>
  <si>
    <t>Pension</t>
  </si>
  <si>
    <t>Free Cash Flow</t>
  </si>
  <si>
    <t>Working capital</t>
  </si>
  <si>
    <t>2017E</t>
  </si>
  <si>
    <t>Interest Income</t>
  </si>
  <si>
    <t>Cash</t>
  </si>
  <si>
    <t>3Q14</t>
  </si>
  <si>
    <t>Organic Growth</t>
  </si>
  <si>
    <t>Headline EPS</t>
  </si>
  <si>
    <t>Net Income</t>
  </si>
  <si>
    <t>Minority Interest</t>
  </si>
  <si>
    <t>Interest Expense</t>
  </si>
  <si>
    <t>Incremental Margin</t>
  </si>
  <si>
    <t>Margin</t>
  </si>
  <si>
    <t>Core Operating Income</t>
  </si>
  <si>
    <t>M&amp;A</t>
  </si>
  <si>
    <t>FX</t>
  </si>
  <si>
    <t>Revenues</t>
  </si>
  <si>
    <t>2Q14</t>
  </si>
  <si>
    <t>High</t>
  </si>
  <si>
    <t>Low</t>
  </si>
  <si>
    <t>NA</t>
  </si>
  <si>
    <t>Sikorsky/Total FX</t>
  </si>
  <si>
    <t>Aerospace Systems/Total FX</t>
  </si>
  <si>
    <t>Pratt &amp; Whitney/Total FX</t>
  </si>
  <si>
    <t>CCS/Total FX</t>
  </si>
  <si>
    <t>Otis/Total FX</t>
  </si>
  <si>
    <t>Fx/Tw$</t>
  </si>
  <si>
    <t>UTX FX</t>
  </si>
  <si>
    <t>Sikorsky</t>
  </si>
  <si>
    <t>Aerospace Systems</t>
  </si>
  <si>
    <t>Pratt &amp; Whitney</t>
  </si>
  <si>
    <t>CCS</t>
  </si>
  <si>
    <t>Otis</t>
  </si>
  <si>
    <t>Ratio</t>
  </si>
  <si>
    <t>y/y</t>
  </si>
  <si>
    <t/>
  </si>
  <si>
    <t>USD/EUR</t>
  </si>
  <si>
    <t>TW$</t>
  </si>
  <si>
    <t>4Q16E</t>
  </si>
  <si>
    <t>1Q14</t>
  </si>
  <si>
    <t>4Q13</t>
  </si>
  <si>
    <t>3Q13</t>
  </si>
  <si>
    <t>2Q13</t>
  </si>
  <si>
    <t>1Q13</t>
  </si>
  <si>
    <t>4Q12</t>
  </si>
  <si>
    <t>3Q12</t>
  </si>
  <si>
    <t>2Q12</t>
  </si>
  <si>
    <t>1Q12</t>
  </si>
  <si>
    <t>4Q11</t>
  </si>
  <si>
    <t>3Q11</t>
  </si>
  <si>
    <t>2Q11</t>
  </si>
  <si>
    <t>1Q11</t>
  </si>
  <si>
    <t>4Q10</t>
  </si>
  <si>
    <t>3Q10</t>
  </si>
  <si>
    <t>2Q10</t>
  </si>
  <si>
    <t>1Q10</t>
  </si>
  <si>
    <t>4Q09</t>
  </si>
  <si>
    <t>3Q09</t>
  </si>
  <si>
    <t>2Q09</t>
  </si>
  <si>
    <t>1Q09</t>
  </si>
  <si>
    <t>4Q08</t>
  </si>
  <si>
    <t>3Q08</t>
  </si>
  <si>
    <t>2Q08</t>
  </si>
  <si>
    <t>1Q08</t>
  </si>
  <si>
    <t>4Q07</t>
  </si>
  <si>
    <t>3Q07</t>
  </si>
  <si>
    <t>2Q07</t>
  </si>
  <si>
    <t>1Q07</t>
  </si>
  <si>
    <t>4Q06</t>
  </si>
  <si>
    <t>3Q06</t>
  </si>
  <si>
    <t>2Q06</t>
  </si>
  <si>
    <t>1Q06</t>
  </si>
  <si>
    <t>Currency</t>
  </si>
  <si>
    <t>TW$/US$</t>
  </si>
  <si>
    <t>Median Tw$ ratio</t>
  </si>
  <si>
    <t>Tw$ Correl</t>
  </si>
  <si>
    <t>EUR Correl</t>
  </si>
  <si>
    <t>EUR Assumption</t>
  </si>
  <si>
    <t>Movement on Net Debt</t>
  </si>
  <si>
    <t>Dividends</t>
  </si>
  <si>
    <t>Stock repurchase</t>
  </si>
  <si>
    <t>Equity issue</t>
  </si>
  <si>
    <t>Cash Flow Pre Financing</t>
  </si>
  <si>
    <t>Acquisitions</t>
  </si>
  <si>
    <t>Conversion</t>
  </si>
  <si>
    <t>FCF adj. for Collaboration Intangibles</t>
  </si>
  <si>
    <t xml:space="preserve">Increase in collaboration intangibles </t>
  </si>
  <si>
    <t>Capital Expenditure</t>
  </si>
  <si>
    <t>Working Capital</t>
  </si>
  <si>
    <t>Depreciation &amp; Amortization</t>
  </si>
  <si>
    <t>YE 31 December ($m)</t>
  </si>
  <si>
    <t>Cash Flow</t>
  </si>
  <si>
    <t>Treasury Stock</t>
  </si>
  <si>
    <t>Retained Earnings</t>
  </si>
  <si>
    <t>Common Stock</t>
  </si>
  <si>
    <t>Minority interest</t>
  </si>
  <si>
    <t>Total Liabilities</t>
  </si>
  <si>
    <t>Pension &amp; post-retirement</t>
  </si>
  <si>
    <t>Current Liabilities</t>
  </si>
  <si>
    <t>Accounts payable</t>
  </si>
  <si>
    <t>Short term debt</t>
  </si>
  <si>
    <t>Total Assets</t>
  </si>
  <si>
    <t>PP&amp;E</t>
  </si>
  <si>
    <t>Current Assets</t>
  </si>
  <si>
    <t>Inventory</t>
  </si>
  <si>
    <t>Accounts receivable</t>
  </si>
  <si>
    <t>Cash &amp; liquid assets</t>
  </si>
  <si>
    <t>At 31 December ($m)</t>
  </si>
  <si>
    <t>Balance Sheet</t>
  </si>
  <si>
    <t>Operating Margins</t>
  </si>
  <si>
    <t>Segment Margins ex-Restructuring</t>
  </si>
  <si>
    <t>Operating income YoY</t>
  </si>
  <si>
    <t>Segment income ex-Restructuring YoY</t>
  </si>
  <si>
    <t>Operating Income</t>
  </si>
  <si>
    <t>Corporate &amp; Eliminations</t>
  </si>
  <si>
    <t>Restructuring</t>
  </si>
  <si>
    <t>Segment Income ex-items</t>
  </si>
  <si>
    <t>EBITDA (Ex-Items) YoY</t>
  </si>
  <si>
    <t>EBITDA (Ex-Items)</t>
  </si>
  <si>
    <t>Sales YoY</t>
  </si>
  <si>
    <t>Segment Summary</t>
  </si>
  <si>
    <t>Yoy</t>
  </si>
  <si>
    <t>Continuing Income</t>
  </si>
  <si>
    <t>Effective Rate</t>
  </si>
  <si>
    <t>Taxes</t>
  </si>
  <si>
    <t>Interest &amp; Others income/expenses</t>
  </si>
  <si>
    <t>Interest expense</t>
  </si>
  <si>
    <t>Core EBITDA</t>
  </si>
  <si>
    <t>D&amp;A</t>
  </si>
  <si>
    <t>Adjustments</t>
  </si>
  <si>
    <t>Reported Operating Income</t>
  </si>
  <si>
    <t>R&amp;D</t>
  </si>
  <si>
    <t>SG&amp;A</t>
  </si>
  <si>
    <t>Gross profit</t>
  </si>
  <si>
    <t>Cost of sales</t>
  </si>
  <si>
    <t>YoY organic growth</t>
  </si>
  <si>
    <t>YoY total growth</t>
  </si>
  <si>
    <t>Income Statement</t>
  </si>
  <si>
    <t>Net Income for Validation</t>
  </si>
  <si>
    <t>Interest coverage (EBIT)</t>
  </si>
  <si>
    <t>Interest coverage (EBITDA)</t>
  </si>
  <si>
    <t>Net Margin</t>
  </si>
  <si>
    <t>Operating Margin</t>
  </si>
  <si>
    <t>Gross Profit Margin</t>
  </si>
  <si>
    <t>Wt. Average Shares - Diluted</t>
  </si>
  <si>
    <t>Dilution</t>
  </si>
  <si>
    <t>Wt. Average Shares - Basic</t>
  </si>
  <si>
    <t>% growth</t>
  </si>
  <si>
    <t>GAAP EPS - Basic</t>
  </si>
  <si>
    <t>-</t>
  </si>
  <si>
    <t>GAAP EPS - Diluted</t>
  </si>
  <si>
    <t>Normalized EPS</t>
  </si>
  <si>
    <t>GAAP Net Income</t>
  </si>
  <si>
    <t xml:space="preserve"> </t>
  </si>
  <si>
    <t xml:space="preserve">Change of accounting </t>
  </si>
  <si>
    <t>Discontinued operations</t>
  </si>
  <si>
    <t>% rate</t>
  </si>
  <si>
    <t>Pre-tax income</t>
  </si>
  <si>
    <t>% margin</t>
  </si>
  <si>
    <t>Miscellaneous, net</t>
  </si>
  <si>
    <t>Income from Affiliates</t>
  </si>
  <si>
    <t>EBITDA ex-items</t>
  </si>
  <si>
    <t xml:space="preserve">Operating Income (ex-items) </t>
  </si>
  <si>
    <t>Other Items</t>
  </si>
  <si>
    <t>Operating Income (reported)</t>
  </si>
  <si>
    <t>Other Income (Expense)</t>
  </si>
  <si>
    <t>% of sales</t>
  </si>
  <si>
    <t>Cost of Goods Sold</t>
  </si>
  <si>
    <t>% organic growth</t>
  </si>
  <si>
    <t>Net Sales</t>
  </si>
  <si>
    <t>Elimination and Other</t>
  </si>
  <si>
    <t>Hamilton Sundstrand</t>
  </si>
  <si>
    <t>Flight System</t>
  </si>
  <si>
    <t>Fire &amp; Security</t>
  </si>
  <si>
    <t>Carrier</t>
  </si>
  <si>
    <t>CCS (Climate, Controls &amp; Security)</t>
  </si>
  <si>
    <t>2018E</t>
  </si>
  <si>
    <t>4Q03</t>
  </si>
  <si>
    <t>3Q03</t>
  </si>
  <si>
    <t>2Q03</t>
  </si>
  <si>
    <t>1Q03</t>
  </si>
  <si>
    <t>4Q02</t>
  </si>
  <si>
    <t>3Q02</t>
  </si>
  <si>
    <t>2Q02</t>
  </si>
  <si>
    <t>1Q02</t>
  </si>
  <si>
    <t>4Q01</t>
  </si>
  <si>
    <t>3Q01</t>
  </si>
  <si>
    <t>2Q01</t>
  </si>
  <si>
    <t>1Q01</t>
  </si>
  <si>
    <t>4Q00</t>
  </si>
  <si>
    <t>3Q00</t>
  </si>
  <si>
    <t>2Q00</t>
  </si>
  <si>
    <t>1Q00</t>
  </si>
  <si>
    <t>Quarter End for Thomson Formula</t>
  </si>
  <si>
    <t>Market-Cap</t>
  </si>
  <si>
    <t>Market Price per share (year end)</t>
  </si>
  <si>
    <t>Outstanding shares (year end)</t>
  </si>
  <si>
    <t>Leverage (Assets/Equity)</t>
  </si>
  <si>
    <t>Asset turn (Sales/Assets)</t>
  </si>
  <si>
    <t>Net margin (Net income/Sales)</t>
  </si>
  <si>
    <t>Dupont Analysis</t>
  </si>
  <si>
    <t>Return on Invested Capital (ROIC)</t>
  </si>
  <si>
    <t>Return on Equity (ROE)</t>
  </si>
  <si>
    <t>Return on Assets (ROA)</t>
  </si>
  <si>
    <t>Long Term Debt/Capitalization</t>
  </si>
  <si>
    <t>Total Debt/Capitalization</t>
  </si>
  <si>
    <t>Tangible Book Value per Share</t>
  </si>
  <si>
    <t>Tangible Book Value</t>
  </si>
  <si>
    <t>Book Value per Share</t>
  </si>
  <si>
    <t>Book Value</t>
  </si>
  <si>
    <t>Cash Conversion Cycle</t>
  </si>
  <si>
    <t>Accounts Payable Days Outstanding (DSO)</t>
  </si>
  <si>
    <t>Accounts Receivable Days Outstanding (DSO)</t>
  </si>
  <si>
    <t>Net Working Capital</t>
  </si>
  <si>
    <t>Quick Ratio</t>
  </si>
  <si>
    <t>Financial Ratios</t>
  </si>
  <si>
    <t>% of Sales</t>
  </si>
  <si>
    <t>Trade Working Capital</t>
  </si>
  <si>
    <t>% Sales</t>
  </si>
  <si>
    <t>Total Working Capital</t>
  </si>
  <si>
    <t>Other Current Liabilities</t>
  </si>
  <si>
    <t xml:space="preserve">  Accrued Expenses</t>
  </si>
  <si>
    <t xml:space="preserve">  Accounts Payable</t>
  </si>
  <si>
    <t xml:space="preserve">  Inventories</t>
  </si>
  <si>
    <t>% COGS</t>
  </si>
  <si>
    <t xml:space="preserve">  Deferred revenues</t>
  </si>
  <si>
    <t xml:space="preserve">  Other Current Assets</t>
  </si>
  <si>
    <t xml:space="preserve">  Accounts Receivable (net)</t>
  </si>
  <si>
    <t xml:space="preserve">  Short Term Investments</t>
  </si>
  <si>
    <t xml:space="preserve">  Cash and Cash Equivalents</t>
  </si>
  <si>
    <t>% Revenues</t>
  </si>
  <si>
    <t>Historical</t>
  </si>
  <si>
    <t>Check</t>
  </si>
  <si>
    <t>Total Liabilities and Equity</t>
  </si>
  <si>
    <t>Total Equity</t>
  </si>
  <si>
    <t>Accumulated Other Comprehensive Income</t>
  </si>
  <si>
    <t>Cumulative Currency Translation Adjustment</t>
  </si>
  <si>
    <t>Paid-in Capital</t>
  </si>
  <si>
    <t>Preferred Stock</t>
  </si>
  <si>
    <t>Equity</t>
  </si>
  <si>
    <t>Total Long Term Liabilities</t>
  </si>
  <si>
    <t>Other Long Term Liabilities</t>
  </si>
  <si>
    <t>Deferred revenues</t>
  </si>
  <si>
    <t>Deferred Income Taxes</t>
  </si>
  <si>
    <t>Postretirment Health Care Benefits</t>
  </si>
  <si>
    <t>Long Term Debt less Current Portion</t>
  </si>
  <si>
    <t>Long Term Liabilities</t>
  </si>
  <si>
    <t>Total Current Liabilities</t>
  </si>
  <si>
    <t xml:space="preserve">  </t>
  </si>
  <si>
    <t>Dividend Payable</t>
  </si>
  <si>
    <t>Accrued Expenses</t>
  </si>
  <si>
    <t>Accounts Payable</t>
  </si>
  <si>
    <t>Current Maturities of LTD</t>
  </si>
  <si>
    <t xml:space="preserve">   </t>
  </si>
  <si>
    <t>Short term borrowings</t>
  </si>
  <si>
    <t>Total Non-Current Assets</t>
  </si>
  <si>
    <t>Intangible Assets &amp; Other Assets</t>
  </si>
  <si>
    <t>IAE Intangible Assets</t>
  </si>
  <si>
    <t>Other Assets</t>
  </si>
  <si>
    <t>Investments in Affiliates</t>
  </si>
  <si>
    <t>Goodwill</t>
  </si>
  <si>
    <t>PP&amp;E (Net)</t>
  </si>
  <si>
    <t>Total Current Assets</t>
  </si>
  <si>
    <t>Other Current Assets</t>
  </si>
  <si>
    <t>Deferred Income Taxes &amp; Pre-paid expenses</t>
  </si>
  <si>
    <t>Inventories</t>
  </si>
  <si>
    <t>Accounts Receivable</t>
  </si>
  <si>
    <t>Short Term Investments</t>
  </si>
  <si>
    <t>Cash and Cash Equivalents</t>
  </si>
  <si>
    <t>Balance sheet</t>
  </si>
  <si>
    <t>2004 10K</t>
  </si>
  <si>
    <t>2003 10K</t>
  </si>
  <si>
    <t>2002 10K</t>
  </si>
  <si>
    <t>2000 10K</t>
  </si>
  <si>
    <t>Statutory tax</t>
  </si>
  <si>
    <t>Unrecorded goodwill from poolings</t>
  </si>
  <si>
    <t>Common dividends</t>
  </si>
  <si>
    <t>Share issuance/repurchase</t>
  </si>
  <si>
    <t>Change in debt</t>
  </si>
  <si>
    <t>Required Tags:</t>
  </si>
  <si>
    <t>Unlevered Free Cash Flow</t>
  </si>
  <si>
    <t>Tax Shield</t>
  </si>
  <si>
    <t>Interest</t>
  </si>
  <si>
    <t>Amortization</t>
  </si>
  <si>
    <t>Closing net book value - PP&amp;E</t>
  </si>
  <si>
    <t>Depreciation</t>
  </si>
  <si>
    <t>% of depreciation</t>
  </si>
  <si>
    <t>CAPEX</t>
  </si>
  <si>
    <t>Opening net book value - PP&amp;E</t>
  </si>
  <si>
    <t>Capex/Depreciation</t>
  </si>
  <si>
    <t>Capital expenditure</t>
  </si>
  <si>
    <t>Pay-out ratio (FCF)</t>
  </si>
  <si>
    <t>Average</t>
  </si>
  <si>
    <t>Pay-out ratio (EPS)</t>
  </si>
  <si>
    <t>Sep</t>
  </si>
  <si>
    <t>August</t>
  </si>
  <si>
    <t>July</t>
  </si>
  <si>
    <t>1Q Average</t>
  </si>
  <si>
    <t>Dividend analysis</t>
  </si>
  <si>
    <t>1Q share issued</t>
  </si>
  <si>
    <t>Mar 14-31</t>
  </si>
  <si>
    <t>Outflow from stock repurchase</t>
  </si>
  <si>
    <t>Feb</t>
  </si>
  <si>
    <t>Average price</t>
  </si>
  <si>
    <t>Jan</t>
  </si>
  <si>
    <t>Shares repurchased</t>
  </si>
  <si>
    <t>1Q15 Share repo</t>
  </si>
  <si>
    <t>Inflow from share issue</t>
  </si>
  <si>
    <t>Issued shares</t>
  </si>
  <si>
    <t>Shares issued cfwd</t>
  </si>
  <si>
    <t>Re-purchase</t>
  </si>
  <si>
    <t>Shares Issued</t>
  </si>
  <si>
    <t>Shares issued bfwd</t>
  </si>
  <si>
    <t>Stock analysis</t>
  </si>
  <si>
    <t>Interest rate</t>
  </si>
  <si>
    <t>Interest yield</t>
  </si>
  <si>
    <t>Average gross debt</t>
  </si>
  <si>
    <t>Gross debt cfwd</t>
  </si>
  <si>
    <t>Gross debt bfwd</t>
  </si>
  <si>
    <t>Average Cash</t>
  </si>
  <si>
    <t>Cash cfwd</t>
  </si>
  <si>
    <t>Cash bfwd</t>
  </si>
  <si>
    <t>CHECK = 0</t>
  </si>
  <si>
    <t>Net debt cfwd</t>
  </si>
  <si>
    <t>Net debt movement</t>
  </si>
  <si>
    <t>Net debt bfwd</t>
  </si>
  <si>
    <t>Net debt analysis</t>
  </si>
  <si>
    <t>Net Debt movement</t>
  </si>
  <si>
    <t>Continuing cash flow</t>
  </si>
  <si>
    <t>Stock options</t>
  </si>
  <si>
    <t>Net preferred stock</t>
  </si>
  <si>
    <t>Repurchase of equity securities</t>
  </si>
  <si>
    <t>Issue of equity securities</t>
  </si>
  <si>
    <t>Cash flow pre-financing</t>
  </si>
  <si>
    <t>Net ST investments</t>
  </si>
  <si>
    <t>Sale of businesses</t>
  </si>
  <si>
    <t>Purchase of businesses</t>
  </si>
  <si>
    <t>Free cash flow</t>
  </si>
  <si>
    <t>Other recurring investment</t>
  </si>
  <si>
    <t>Changes in working capital</t>
  </si>
  <si>
    <t>Pension contribution</t>
  </si>
  <si>
    <t>Deferred taxes</t>
  </si>
  <si>
    <t>Bad debt expense</t>
  </si>
  <si>
    <t>Equity income/Minorities</t>
  </si>
  <si>
    <t>Continuing Net Income</t>
  </si>
  <si>
    <t>Cash Flow Statements</t>
  </si>
  <si>
    <t>2001 10K</t>
  </si>
  <si>
    <t>Capital expenditures ($ bn)</t>
  </si>
  <si>
    <t>Cash flow from operations ($ mn)</t>
  </si>
  <si>
    <t>Other ($ mn)</t>
  </si>
  <si>
    <t>Pension contributions ($ mn)</t>
  </si>
  <si>
    <t>Change in working capital ($ mn)</t>
  </si>
  <si>
    <t>Depreciation &amp; amortization ($ mn)</t>
  </si>
  <si>
    <t>~75</t>
  </si>
  <si>
    <t>% of free cash flow</t>
  </si>
  <si>
    <t>Net Income ($ bn) (Appx.)</t>
  </si>
  <si>
    <t>13.8 bn</t>
  </si>
  <si>
    <t xml:space="preserve">Total </t>
  </si>
  <si>
    <t>ROW (%)</t>
  </si>
  <si>
    <t>Elevators/1000 people</t>
  </si>
  <si>
    <t>Revenue passenger miles</t>
  </si>
  <si>
    <t>Commercial refrigeration  ($)</t>
  </si>
  <si>
    <t>Air conditioning  ($)</t>
  </si>
  <si>
    <t>Japan</t>
  </si>
  <si>
    <t>China</t>
  </si>
  <si>
    <t>North America</t>
  </si>
  <si>
    <t>Metrics per capita</t>
  </si>
  <si>
    <t>Slide 13</t>
  </si>
  <si>
    <t xml:space="preserve">Segment opearting margin (% Appx) </t>
  </si>
  <si>
    <t>Slide 11</t>
  </si>
  <si>
    <t>Total UTC</t>
  </si>
  <si>
    <t>Pratt&amp;Whitney</t>
  </si>
  <si>
    <t>Hamilton</t>
  </si>
  <si>
    <t>Gold+Silver (%)</t>
  </si>
  <si>
    <t>Ace Status</t>
  </si>
  <si>
    <t>Slide 8</t>
  </si>
  <si>
    <t>Inventory T/O (Turns)</t>
  </si>
  <si>
    <t>Working capital T/O (Turns)</t>
  </si>
  <si>
    <t>Organic growth (%)</t>
  </si>
  <si>
    <t>Slide 6</t>
  </si>
  <si>
    <t>Aerospace</t>
  </si>
  <si>
    <t>Commercial</t>
  </si>
  <si>
    <t>CAGR 2004-07E</t>
  </si>
  <si>
    <t>Slide 5</t>
  </si>
  <si>
    <t>Revenue growth</t>
  </si>
  <si>
    <t>Slide 4</t>
  </si>
  <si>
    <t>4.65-4.85</t>
  </si>
  <si>
    <t>EPS ($)</t>
  </si>
  <si>
    <t xml:space="preserve">Slide 1 </t>
  </si>
  <si>
    <t>Figures appx.</t>
  </si>
  <si>
    <t>Data from Presentation (Dec 13)</t>
  </si>
  <si>
    <t>Truck Trailer (ProdN Rate)</t>
  </si>
  <si>
    <t>First year defects PPM indexed to Dec-2005</t>
  </si>
  <si>
    <t>Dec-08P</t>
  </si>
  <si>
    <t>Dec-07E</t>
  </si>
  <si>
    <t>ACE</t>
  </si>
  <si>
    <t>Slide 29</t>
  </si>
  <si>
    <t>(Tons, millions)</t>
  </si>
  <si>
    <t>Refrigerated Sea trade</t>
  </si>
  <si>
    <t>Mumbai</t>
  </si>
  <si>
    <t>Shanghai</t>
  </si>
  <si>
    <t>Delhi</t>
  </si>
  <si>
    <t>Singapore</t>
  </si>
  <si>
    <t>Moscow</t>
  </si>
  <si>
    <t>Manila</t>
  </si>
  <si>
    <t>Sao Paulo</t>
  </si>
  <si>
    <t>Office Vacancy Rates %</t>
  </si>
  <si>
    <t>India</t>
  </si>
  <si>
    <t>Russia</t>
  </si>
  <si>
    <t>Czech Republic</t>
  </si>
  <si>
    <t>Germany</t>
  </si>
  <si>
    <t>(Sales area sq ft/1000 capita)</t>
  </si>
  <si>
    <t>Modern Retail Penetration</t>
  </si>
  <si>
    <t>LatAm</t>
  </si>
  <si>
    <t>Middle-East &amp; Africa</t>
  </si>
  <si>
    <r>
      <t xml:space="preserve">A/C Penetration Oppurtunity - </t>
    </r>
    <r>
      <rPr>
        <sz val="8"/>
        <rFont val="Times New Roman"/>
        <family val="1"/>
      </rPr>
      <t>Household wothout A/C mn</t>
    </r>
  </si>
  <si>
    <t>Slide 18 - Emerging Market - Approx numbers</t>
  </si>
  <si>
    <t>HVACR Markets $bn)</t>
  </si>
  <si>
    <t>Slide 17</t>
  </si>
  <si>
    <t>Services &amp; Solutions</t>
  </si>
  <si>
    <t>Add-on Replacement</t>
  </si>
  <si>
    <t>New Construction</t>
  </si>
  <si>
    <t>Residential Light Commercial int'l</t>
  </si>
  <si>
    <t>Residential Light Commercial systems</t>
  </si>
  <si>
    <t>Building Systems &amp; Services</t>
  </si>
  <si>
    <t>Refrigeration</t>
  </si>
  <si>
    <t>Canada</t>
  </si>
  <si>
    <t>Latam</t>
  </si>
  <si>
    <t>Asia</t>
  </si>
  <si>
    <t>EMEA</t>
  </si>
  <si>
    <t>United States</t>
  </si>
  <si>
    <t>by Geographical Segment (% Appx)</t>
  </si>
  <si>
    <t>Finished Goods</t>
  </si>
  <si>
    <t>Service &amp; Solutions</t>
  </si>
  <si>
    <t>International</t>
  </si>
  <si>
    <t>$14.6bn</t>
  </si>
  <si>
    <t>Revenue Mix</t>
  </si>
  <si>
    <t>Slides 12-13</t>
  </si>
  <si>
    <t>Manufacturing sq. ft</t>
  </si>
  <si>
    <t>Employment</t>
  </si>
  <si>
    <t>Labour &amp; Burden</t>
  </si>
  <si>
    <t>Assets</t>
  </si>
  <si>
    <t>Operating profit</t>
  </si>
  <si>
    <t>Productivity - Slide 11 (2001-07)</t>
  </si>
  <si>
    <t xml:space="preserve"> - (5-10%)</t>
  </si>
  <si>
    <t>US Split Systems Industry (growth)</t>
  </si>
  <si>
    <t>US Housing starts (mn)</t>
  </si>
  <si>
    <t>US Housing starts (VPY - %)</t>
  </si>
  <si>
    <t>Carrier - Feb 27, 2008 presentation</t>
  </si>
  <si>
    <t>Slide 7</t>
  </si>
  <si>
    <t>Acquisition Spending 2000 -2007 in $bn</t>
  </si>
  <si>
    <t>Emerging Markets</t>
  </si>
  <si>
    <t>Developed Markets</t>
  </si>
  <si>
    <t>Material Spend</t>
  </si>
  <si>
    <t>Overhead</t>
  </si>
  <si>
    <t>Direct Labour</t>
  </si>
  <si>
    <t>Material</t>
  </si>
  <si>
    <t>ACE  - Cost of Sales</t>
  </si>
  <si>
    <t>Sales per Manufacturing Sq Ft</t>
  </si>
  <si>
    <t>Sales Per Employees in $</t>
  </si>
  <si>
    <t>Productivity</t>
  </si>
  <si>
    <t>&lt; $4 is Asia-exJapan</t>
  </si>
  <si>
    <t>HVAC Spends</t>
  </si>
  <si>
    <t>Slide 9 - Carrier presentation</t>
  </si>
  <si>
    <t>Fire Safety</t>
  </si>
  <si>
    <t>Electronic Security</t>
  </si>
  <si>
    <t>Revenue Passenger Miles</t>
  </si>
  <si>
    <t>Air Conditioning</t>
  </si>
  <si>
    <t>Metrics per capita - Slide 11</t>
  </si>
  <si>
    <t>US GDP</t>
  </si>
  <si>
    <t>World GDP</t>
  </si>
  <si>
    <t>Commercial construction starts (sq. ft. million)</t>
  </si>
  <si>
    <t>US Office Starts (sq. ft. million)</t>
  </si>
  <si>
    <t>2007E</t>
  </si>
  <si>
    <t>Economic Environment</t>
  </si>
  <si>
    <t>Financial Overview - Slide 7</t>
  </si>
  <si>
    <t>Latin America</t>
  </si>
  <si>
    <t>Asia Pacific</t>
  </si>
  <si>
    <t>Revenues by Geographical Segment (% Appx)</t>
  </si>
  <si>
    <t>Revenues by Business Segment (% Appx)</t>
  </si>
  <si>
    <t>Data from EPG Presentation</t>
  </si>
  <si>
    <t>Backlog In $bn (Appx)</t>
  </si>
  <si>
    <t>Data From Feb 27, 2008 Presentation</t>
  </si>
  <si>
    <t>Emerging markets revenues ($bn)</t>
  </si>
  <si>
    <t>Data from JP Morgan presentation</t>
  </si>
  <si>
    <t>Restructuring ($mn)</t>
  </si>
  <si>
    <t>Seg Op Margins (adjusted)</t>
  </si>
  <si>
    <t>Seg Op Margins</t>
  </si>
  <si>
    <t>Seg Operating Profit (adjusted)</t>
  </si>
  <si>
    <t>Seg Operating Profit</t>
  </si>
  <si>
    <t>Segment Revenues (adjusted)</t>
  </si>
  <si>
    <t>Segment Revenues</t>
  </si>
  <si>
    <t>Reconciliation</t>
  </si>
  <si>
    <t>Organic Growth (%)</t>
  </si>
  <si>
    <t>Net Inventory T/O (turns)</t>
  </si>
  <si>
    <t>Working Cap T/O (turns)</t>
  </si>
  <si>
    <t>Direct labor</t>
  </si>
  <si>
    <t xml:space="preserve">Materials </t>
  </si>
  <si>
    <t>Cost of Sales (%)</t>
  </si>
  <si>
    <t>Australia/Japan</t>
  </si>
  <si>
    <t>High cost Mfg areas (No of Plants)</t>
  </si>
  <si>
    <t>Mfg Sq Ft</t>
  </si>
  <si>
    <t xml:space="preserve">Employees </t>
  </si>
  <si>
    <t>Seg Op Profit</t>
  </si>
  <si>
    <t>Revenue</t>
  </si>
  <si>
    <t>Productivity Index (2004=100)</t>
  </si>
  <si>
    <t>Operating Margins (%)</t>
  </si>
  <si>
    <t>Energy Consumption (BTU's, quad)</t>
  </si>
  <si>
    <t>Business aircrafts produced</t>
  </si>
  <si>
    <t>Commercial aircrafts produced</t>
  </si>
  <si>
    <t>Asia (mn inhabitants)</t>
  </si>
  <si>
    <t>Urbanization</t>
  </si>
  <si>
    <t>Aero</t>
  </si>
  <si>
    <t>Comm &amp; Ind</t>
  </si>
  <si>
    <t>OEM</t>
  </si>
  <si>
    <t>Aftermarket</t>
  </si>
  <si>
    <t>Revenue by aftermarket/OEM</t>
  </si>
  <si>
    <t>Middle East</t>
  </si>
  <si>
    <t>Asia-Pacific ex-Japan</t>
  </si>
  <si>
    <t>Eastern Europe</t>
  </si>
  <si>
    <t>Western Europe</t>
  </si>
  <si>
    <t>World</t>
  </si>
  <si>
    <t>GDP Outlook (% growth)</t>
  </si>
  <si>
    <t>Steel</t>
  </si>
  <si>
    <t>Copper</t>
  </si>
  <si>
    <t>Oil</t>
  </si>
  <si>
    <t>Inflation (Index: Baseline Q107)</t>
  </si>
  <si>
    <t>US/CAD</t>
  </si>
  <si>
    <t>Foreign Exchange Index (Baseline Q107)</t>
  </si>
  <si>
    <t>Revenue passenger miles (RPM, tn</t>
  </si>
  <si>
    <t>US Housing starts (units,mn)</t>
  </si>
  <si>
    <t>Stock Price (CAGR 2000-07)</t>
  </si>
  <si>
    <t>$4.75bn</t>
  </si>
  <si>
    <t>EPS</t>
  </si>
  <si>
    <t>EPS (CAGR 2000-07)</t>
  </si>
  <si>
    <t>Revenue Growth (CAGR 2000-07)</t>
  </si>
  <si>
    <t>Transicold</t>
  </si>
  <si>
    <t>Carrier Res. N. America</t>
  </si>
  <si>
    <t>Europe Comm'l Refrig.</t>
  </si>
  <si>
    <t>N. America Comm'l Refrig.</t>
  </si>
  <si>
    <t>Carrier Res. International</t>
  </si>
  <si>
    <t>Fire</t>
  </si>
  <si>
    <t>Carrier Building Sys.</t>
  </si>
  <si>
    <t>Security</t>
  </si>
  <si>
    <t>Service % of sales</t>
  </si>
  <si>
    <t>EBIT ROS%</t>
  </si>
  <si>
    <t>Increased service (appx)</t>
  </si>
  <si>
    <t>Indst average</t>
  </si>
  <si>
    <t>F&amp;S</t>
  </si>
  <si>
    <t>COMMERCIAL COMPANIES</t>
  </si>
  <si>
    <t>Commercial aero</t>
  </si>
  <si>
    <t>Military aero</t>
  </si>
  <si>
    <t>Commercial &amp; industrial short cycle</t>
  </si>
  <si>
    <t>Commercial &amp; industrial long cycle</t>
  </si>
  <si>
    <t>Commercial &amp; industrial</t>
  </si>
  <si>
    <t>Revenue By End market (%)</t>
  </si>
  <si>
    <t>Acquisition spending (2000-08)</t>
  </si>
  <si>
    <t>Customer funded</t>
  </si>
  <si>
    <t>Company funded</t>
  </si>
  <si>
    <t>R&amp;D ($bn)</t>
  </si>
  <si>
    <t>Direct Labor</t>
  </si>
  <si>
    <t>Material (Low Cost)</t>
  </si>
  <si>
    <t>Material (High Cost)</t>
  </si>
  <si>
    <t>Product cost of sales</t>
  </si>
  <si>
    <t>Gold &amp; Performing (% of key supplier spend)</t>
  </si>
  <si>
    <t>Strategic Sourcing</t>
  </si>
  <si>
    <r>
      <t xml:space="preserve">ACE Status </t>
    </r>
    <r>
      <rPr>
        <sz val="8"/>
        <rFont val="Times New Roman"/>
        <family val="1"/>
      </rPr>
      <t>(Gold &amp; Silver %)</t>
    </r>
  </si>
  <si>
    <t>$400mn</t>
  </si>
  <si>
    <t>2009 funding expectation</t>
  </si>
  <si>
    <t>% funded (PBO)</t>
  </si>
  <si>
    <t>Investment performance</t>
  </si>
  <si>
    <t>Discount Rate</t>
  </si>
  <si>
    <t>All other</t>
  </si>
  <si>
    <t>Pension Charges (Since Dec11th)</t>
  </si>
  <si>
    <t>FINANCIALS</t>
  </si>
  <si>
    <t>March 12,2009</t>
  </si>
  <si>
    <t>Data from Analyst Meeting</t>
  </si>
  <si>
    <t>CAGR 2003-2009</t>
  </si>
  <si>
    <t>$4.7bn</t>
  </si>
  <si>
    <t>BRIC Revenues</t>
  </si>
  <si>
    <t>~4.4%</t>
  </si>
  <si>
    <t>~2.8%</t>
  </si>
  <si>
    <t>HS</t>
  </si>
  <si>
    <t>~4.7%</t>
  </si>
  <si>
    <t>~6.8%</t>
  </si>
  <si>
    <t>UTC Fire &amp; Security</t>
  </si>
  <si>
    <t>~45.8%</t>
  </si>
  <si>
    <t>~35.4%</t>
  </si>
  <si>
    <t>%age Split</t>
  </si>
  <si>
    <t>~$0.02bn</t>
  </si>
  <si>
    <t>~$0.01bn</t>
  </si>
  <si>
    <t>~$0.03bn</t>
  </si>
  <si>
    <t>~$0.18bn</t>
  </si>
  <si>
    <t>~$0.14bn</t>
  </si>
  <si>
    <t>INDIA</t>
  </si>
  <si>
    <t>~3.6%</t>
  </si>
  <si>
    <t>~7.2%</t>
  </si>
  <si>
    <t>~5.9%</t>
  </si>
  <si>
    <t>~11.3%</t>
  </si>
  <si>
    <t>~54.7%</t>
  </si>
  <si>
    <t>~17.4%</t>
  </si>
  <si>
    <t>~$0.11bn</t>
  </si>
  <si>
    <t>~$0.22bn</t>
  </si>
  <si>
    <t>~$0.17bn</t>
  </si>
  <si>
    <t>~$0.34bn</t>
  </si>
  <si>
    <t>~$1.64bn</t>
  </si>
  <si>
    <t>~$0.52bn</t>
  </si>
  <si>
    <t>$3.0bn</t>
  </si>
  <si>
    <t>CHINA</t>
  </si>
  <si>
    <t>Emerging Markets Revenue Split</t>
  </si>
  <si>
    <t>% of supplier spend</t>
  </si>
  <si>
    <t>Gold &amp; Perfoming</t>
  </si>
  <si>
    <t>Supplier Status</t>
  </si>
  <si>
    <t>Business Processes</t>
  </si>
  <si>
    <t>Manufacturing</t>
  </si>
  <si>
    <t>Engineering</t>
  </si>
  <si>
    <t>Gold/Silver</t>
  </si>
  <si>
    <t>ACE Status</t>
  </si>
  <si>
    <t>~210</t>
  </si>
  <si>
    <t>Number of Employees (Nov 30, 2009)</t>
  </si>
  <si>
    <t>~(4)</t>
  </si>
  <si>
    <t>Net Attrition</t>
  </si>
  <si>
    <t>~(11)</t>
  </si>
  <si>
    <t>~2</t>
  </si>
  <si>
    <t>Net Acquisitions</t>
  </si>
  <si>
    <t>~223</t>
  </si>
  <si>
    <t>Opening Number of Employees</t>
  </si>
  <si>
    <t>Employment changes (in '000)</t>
  </si>
  <si>
    <t>Data from 2010 Outlook Meeting</t>
  </si>
  <si>
    <t>170c</t>
  </si>
  <si>
    <t>154c</t>
  </si>
  <si>
    <t>Annualized DPS  -Slide 23</t>
  </si>
  <si>
    <t xml:space="preserve">Sikorsky </t>
  </si>
  <si>
    <t xml:space="preserve">UTC F&amp;S </t>
  </si>
  <si>
    <t xml:space="preserve">Carrier </t>
  </si>
  <si>
    <t>Margin - Slide 21</t>
  </si>
  <si>
    <t>Brazil</t>
  </si>
  <si>
    <t>Commercial BRIC Orders (%)- Slide 14</t>
  </si>
  <si>
    <t>BRIC</t>
  </si>
  <si>
    <t>Emerging markets revenues - Slide 13</t>
  </si>
  <si>
    <t>$1.7b</t>
  </si>
  <si>
    <t>Company Funded</t>
  </si>
  <si>
    <t>$1.9b</t>
  </si>
  <si>
    <t>Customer Funded</t>
  </si>
  <si>
    <t>Investing in Furure - Slide 7</t>
  </si>
  <si>
    <t>Emerging Europe</t>
  </si>
  <si>
    <t>GDP Outlook (% growth) - Slide 6</t>
  </si>
  <si>
    <t xml:space="preserve">Hamilton Industrials </t>
  </si>
  <si>
    <t xml:space="preserve">Hamilton Commercial Spares </t>
  </si>
  <si>
    <t xml:space="preserve">Pratt &amp; Whitney Large Engine Spares* </t>
  </si>
  <si>
    <t xml:space="preserve">Commercial Business Units, China </t>
  </si>
  <si>
    <t xml:space="preserve">Carrier Transicold </t>
  </si>
  <si>
    <t xml:space="preserve">Carrier Commercial HVAC New Equipment </t>
  </si>
  <si>
    <t>Otis New Equipment</t>
  </si>
  <si>
    <t>Order Trends (%) - Slide 3</t>
  </si>
  <si>
    <t>Data from EPG - May 18</t>
  </si>
  <si>
    <t>UTAS</t>
  </si>
  <si>
    <t>P&amp;W</t>
  </si>
  <si>
    <t>Mar 2015 Guidance</t>
  </si>
  <si>
    <t>Dec 14 Guidance</t>
  </si>
  <si>
    <t>Military Aero</t>
  </si>
  <si>
    <t>-Asia ex China</t>
  </si>
  <si>
    <t>-China</t>
  </si>
  <si>
    <t>Americas</t>
  </si>
  <si>
    <t>Building &amp; Industrial Systems</t>
  </si>
  <si>
    <t>Overall Organic Growth</t>
  </si>
  <si>
    <t>% Pratt</t>
  </si>
  <si>
    <t>Pratt (Y/Y)</t>
  </si>
  <si>
    <t>Y/Y ($)</t>
  </si>
  <si>
    <t>Y/Y (%)</t>
  </si>
  <si>
    <t>R&amp;D Reconciliation</t>
  </si>
  <si>
    <t>Y/Y growth ex. gains /r estricturing</t>
  </si>
  <si>
    <t>EPS ex. gains / restructuring</t>
  </si>
  <si>
    <t>Net impact to EPS</t>
  </si>
  <si>
    <t>Net Gains (net of restructuring)</t>
  </si>
  <si>
    <t>Gains in Taxes</t>
  </si>
  <si>
    <t>Tax Impact</t>
  </si>
  <si>
    <t>Impact to Op profit</t>
  </si>
  <si>
    <t>Gains / (Charges)</t>
  </si>
  <si>
    <t>Eliminations &amp; Other</t>
  </si>
  <si>
    <t>Corporate</t>
  </si>
  <si>
    <t>Other Gains (Charges) Non-restructuring</t>
  </si>
  <si>
    <t>Restructuring charges</t>
  </si>
  <si>
    <t>Operating Income- Core: Check</t>
  </si>
  <si>
    <t>Operating Income- Reported: Check</t>
  </si>
  <si>
    <t>Operating Income- Core</t>
  </si>
  <si>
    <t>Operating Income- Reported</t>
  </si>
  <si>
    <t>Segment Margins ex-restructuring</t>
  </si>
  <si>
    <t>General corporate expenses</t>
  </si>
  <si>
    <t>D&amp;A ex-Collaboration Intangible</t>
  </si>
  <si>
    <t>EBITDA Margins</t>
  </si>
  <si>
    <t>Other Income</t>
  </si>
  <si>
    <t>% organic</t>
  </si>
  <si>
    <t>% currencies</t>
  </si>
  <si>
    <t>% acquisitions</t>
  </si>
  <si>
    <t>Eliminations</t>
  </si>
  <si>
    <t>Divisional summary</t>
  </si>
  <si>
    <t>APAC</t>
  </si>
  <si>
    <t>By region</t>
  </si>
  <si>
    <t>R-HVAC</t>
  </si>
  <si>
    <t>C-HVAC</t>
  </si>
  <si>
    <t>Comm Refrigeration</t>
  </si>
  <si>
    <t>F&amp;S Products</t>
  </si>
  <si>
    <t>F&amp;S Field</t>
  </si>
  <si>
    <t>Otis Equipment</t>
  </si>
  <si>
    <t>Otis Service</t>
  </si>
  <si>
    <t>BIS</t>
  </si>
  <si>
    <t>South-East Asia</t>
  </si>
  <si>
    <t>Russia/Ukraine</t>
  </si>
  <si>
    <t>Middle-East</t>
  </si>
  <si>
    <t>Emergin Markets (2001-07) CAGR</t>
  </si>
  <si>
    <t>Bronze, qualified, not certified</t>
  </si>
  <si>
    <t>Silver</t>
  </si>
  <si>
    <t>Gold</t>
  </si>
  <si>
    <t>ACE Status slide 15</t>
  </si>
  <si>
    <t>10%+</t>
  </si>
  <si>
    <t>Profit Growth</t>
  </si>
  <si>
    <t>High Single Digit</t>
  </si>
  <si>
    <t>Revenue Growth</t>
  </si>
  <si>
    <t>2008 Outlook</t>
  </si>
  <si>
    <t xml:space="preserve">Field Sites </t>
  </si>
  <si>
    <t xml:space="preserve"> Manufacturing sites </t>
  </si>
  <si>
    <t>(%of sites silver &amp; Gold)</t>
  </si>
  <si>
    <t>GEN2 System Cost ($) (Appx)</t>
  </si>
  <si>
    <t>Employees</t>
  </si>
  <si>
    <t>Service (Units)</t>
  </si>
  <si>
    <t>New Equipment</t>
  </si>
  <si>
    <t>Productivity (Index Base unit = 1)</t>
  </si>
  <si>
    <t>Overheads as a % of Sales</t>
  </si>
  <si>
    <t>Service</t>
  </si>
  <si>
    <t>$11.8bn</t>
  </si>
  <si>
    <t>$5.6bn</t>
  </si>
  <si>
    <t>Gen 2 Orders ('000) (Appx)</t>
  </si>
  <si>
    <t>New equipment orders (mn)</t>
  </si>
  <si>
    <t>&gt;1000 others</t>
  </si>
  <si>
    <t>Next 5</t>
  </si>
  <si>
    <t>Top 5</t>
  </si>
  <si>
    <t>$3.1bn</t>
  </si>
  <si>
    <t>Mitsubishi</t>
  </si>
  <si>
    <t>$5.1bn</t>
  </si>
  <si>
    <t>Kone</t>
  </si>
  <si>
    <t>$5.9bn</t>
  </si>
  <si>
    <t>Thyssen</t>
  </si>
  <si>
    <t>$7.1bn</t>
  </si>
  <si>
    <t>Schindler</t>
  </si>
  <si>
    <t>$11.9bn</t>
  </si>
  <si>
    <t>$44bn</t>
  </si>
  <si>
    <t>Elevator Market</t>
  </si>
  <si>
    <t>Revenue ($mn)</t>
  </si>
  <si>
    <t>Rate of return (%)</t>
  </si>
  <si>
    <t>down 60%</t>
  </si>
  <si>
    <t>Elevator downtime</t>
  </si>
  <si>
    <t>down 30-50%</t>
  </si>
  <si>
    <t>On site repair time</t>
  </si>
  <si>
    <t>down 20-30%</t>
  </si>
  <si>
    <t>Service request rate</t>
  </si>
  <si>
    <t>down 80%</t>
  </si>
  <si>
    <t>Response time</t>
  </si>
  <si>
    <t>Elite TM Service vs Indst avg</t>
  </si>
  <si>
    <t>Administration &amp; travel</t>
  </si>
  <si>
    <t>Callbacks &amp; repair</t>
  </si>
  <si>
    <t>Preventive maintenance</t>
  </si>
  <si>
    <t>Service Productivity</t>
  </si>
  <si>
    <t>New equipment</t>
  </si>
  <si>
    <t>Overhead %of sales</t>
  </si>
  <si>
    <t>Product cost savings ($MN)</t>
  </si>
  <si>
    <t>Raw materials ($/ton)</t>
  </si>
  <si>
    <t>Overhead (% of sales)</t>
  </si>
  <si>
    <t>Cost Containment</t>
  </si>
  <si>
    <t>U.K.</t>
  </si>
  <si>
    <t>Spain</t>
  </si>
  <si>
    <t>U.S.</t>
  </si>
  <si>
    <t>France</t>
  </si>
  <si>
    <t>New equipment orders by geography</t>
  </si>
  <si>
    <t>units, 000</t>
  </si>
  <si>
    <t>Otis Service Portfolio</t>
  </si>
  <si>
    <t>Americs</t>
  </si>
  <si>
    <t>New equipment Otis orders ($ mn)</t>
  </si>
  <si>
    <t>VPY%, constant currency</t>
  </si>
  <si>
    <t>New equipment orders China</t>
  </si>
  <si>
    <t>New equipment orders</t>
  </si>
  <si>
    <t>CAGR 98-08</t>
  </si>
  <si>
    <t>Units Booked ('000)</t>
  </si>
  <si>
    <t>OTIS</t>
  </si>
  <si>
    <t>Mfg employees/unit</t>
  </si>
  <si>
    <t>New equipment (units)</t>
  </si>
  <si>
    <t>% of Silver &amp; Gold</t>
  </si>
  <si>
    <t>Bronze, non-qualified</t>
  </si>
  <si>
    <t>ACE status (%)</t>
  </si>
  <si>
    <t>Chain</t>
  </si>
  <si>
    <t>Middle east</t>
  </si>
  <si>
    <t>Korea</t>
  </si>
  <si>
    <t>Italy</t>
  </si>
  <si>
    <t>Elevators per capita</t>
  </si>
  <si>
    <t>$150m in 2012</t>
  </si>
  <si>
    <t xml:space="preserve">Restructuring </t>
  </si>
  <si>
    <t>5%  in 2013</t>
  </si>
  <si>
    <t>5%  in 2012</t>
  </si>
  <si>
    <t>25% in 2011</t>
  </si>
  <si>
    <t>Mid single- 5%</t>
  </si>
  <si>
    <t>Markets in 2013</t>
  </si>
  <si>
    <t>September 27,2012</t>
  </si>
  <si>
    <t>Revenue by Region</t>
  </si>
  <si>
    <t>Seg Opearting Profit (adjusted)</t>
  </si>
  <si>
    <t>Seg Opearting Profit</t>
  </si>
  <si>
    <t>Segment Revnues (adjusted)</t>
  </si>
  <si>
    <t>Segment Revnues</t>
  </si>
  <si>
    <t>mid-teens</t>
  </si>
  <si>
    <t>Up HTs</t>
  </si>
  <si>
    <t>+DD Y/Y</t>
  </si>
  <si>
    <t>+LSD, Q/Q</t>
  </si>
  <si>
    <t>ND</t>
  </si>
  <si>
    <t>Backlog</t>
  </si>
  <si>
    <t>Up MSD</t>
  </si>
  <si>
    <t>Down MSD</t>
  </si>
  <si>
    <t>Flat</t>
  </si>
  <si>
    <t>Down</t>
  </si>
  <si>
    <t>Asia ex. China</t>
  </si>
  <si>
    <t>Down 12%</t>
  </si>
  <si>
    <t>+MTs</t>
  </si>
  <si>
    <t>Up 37%</t>
  </si>
  <si>
    <t>Down LSD</t>
  </si>
  <si>
    <t>up LDD</t>
  </si>
  <si>
    <t>Up HSD</t>
  </si>
  <si>
    <t>~20%</t>
  </si>
  <si>
    <t>Up HDD</t>
  </si>
  <si>
    <t>+30%</t>
  </si>
  <si>
    <t>Growth at Constant currency</t>
  </si>
  <si>
    <t>New Equipment orders</t>
  </si>
  <si>
    <t>Core growth</t>
  </si>
  <si>
    <t>FX Drop-through</t>
  </si>
  <si>
    <t>Organic Incremental</t>
  </si>
  <si>
    <t>Total Op Profits</t>
  </si>
  <si>
    <t>Higher R&amp;D</t>
  </si>
  <si>
    <t>Pension (Headwind)/Tailwind</t>
  </si>
  <si>
    <t>ROW AM</t>
  </si>
  <si>
    <t>China AM</t>
  </si>
  <si>
    <t>ROW OE</t>
  </si>
  <si>
    <t>China OE</t>
  </si>
  <si>
    <t>Core Incremental</t>
  </si>
  <si>
    <t>FX &amp; Others</t>
  </si>
  <si>
    <t>mid to high teens</t>
  </si>
  <si>
    <t>A little less than 20%</t>
  </si>
  <si>
    <t>Asia w China</t>
  </si>
  <si>
    <t>Up &gt;20%</t>
  </si>
  <si>
    <t>Up mid-teens</t>
  </si>
  <si>
    <t>Up mid teens</t>
  </si>
  <si>
    <t>up HTs</t>
  </si>
  <si>
    <t>Up LSD</t>
  </si>
  <si>
    <t>UP MSD</t>
  </si>
  <si>
    <t>Up 1%</t>
  </si>
  <si>
    <t>Up slightly</t>
  </si>
  <si>
    <t>Service Sales Y/Y</t>
  </si>
  <si>
    <t>up mid-teens</t>
  </si>
  <si>
    <t>Ltns</t>
  </si>
  <si>
    <t>up 7%</t>
  </si>
  <si>
    <t>LDD</t>
  </si>
  <si>
    <t>Up +LDD</t>
  </si>
  <si>
    <t>HSD</t>
  </si>
  <si>
    <t>MSD</t>
  </si>
  <si>
    <t>Low teens</t>
  </si>
  <si>
    <t>up HT</t>
  </si>
  <si>
    <t>LSD</t>
  </si>
  <si>
    <t>Up DD</t>
  </si>
  <si>
    <t>Up 20%</t>
  </si>
  <si>
    <t>up LSD</t>
  </si>
  <si>
    <t>Up LDD</t>
  </si>
  <si>
    <t>Up MTs</t>
  </si>
  <si>
    <t>Equipment Sales Y/Y</t>
  </si>
  <si>
    <t>40-45%</t>
  </si>
  <si>
    <t>Equipment Mix</t>
  </si>
  <si>
    <t>Total Sales</t>
  </si>
  <si>
    <t>Total AM</t>
  </si>
  <si>
    <t>Total OE</t>
  </si>
  <si>
    <t>Segment Detail</t>
  </si>
  <si>
    <t>% incremental margin</t>
  </si>
  <si>
    <t>Operating Income ex-Items</t>
  </si>
  <si>
    <t>Non-Restructuring Items</t>
  </si>
  <si>
    <t>EBITDA (ex-items)</t>
  </si>
  <si>
    <t>% leverage</t>
  </si>
  <si>
    <t xml:space="preserve"> Cash operating expenses</t>
  </si>
  <si>
    <t>4Q97</t>
  </si>
  <si>
    <t>3Q97</t>
  </si>
  <si>
    <t>2Q97</t>
  </si>
  <si>
    <t>1Q97</t>
  </si>
  <si>
    <t>$150m</t>
  </si>
  <si>
    <t>Orders</t>
  </si>
  <si>
    <t>Asia &amp; ROW</t>
  </si>
  <si>
    <t>Geographic Mix (Rev %)</t>
  </si>
  <si>
    <t>Revenue by Geography</t>
  </si>
  <si>
    <t>Field</t>
  </si>
  <si>
    <t>Products</t>
  </si>
  <si>
    <t>Commercial Refrigeration</t>
  </si>
  <si>
    <t>Resi</t>
  </si>
  <si>
    <t>Revenue by Segment</t>
  </si>
  <si>
    <t>Total</t>
  </si>
  <si>
    <t>BIS Synergies and other productivity</t>
  </si>
  <si>
    <t>Global Equipment</t>
  </si>
  <si>
    <t>Downslightly</t>
  </si>
  <si>
    <t>-- China</t>
  </si>
  <si>
    <t>-- Europe</t>
  </si>
  <si>
    <t>NM</t>
  </si>
  <si>
    <t>-- NA</t>
  </si>
  <si>
    <t>Flatttish</t>
  </si>
  <si>
    <t>Up Slightly</t>
  </si>
  <si>
    <t>-- Asia w/ China</t>
  </si>
  <si>
    <t>up MSD</t>
  </si>
  <si>
    <t>Up high-teens</t>
  </si>
  <si>
    <t>Flattish</t>
  </si>
  <si>
    <t>F&amp;S Produt</t>
  </si>
  <si>
    <t>Container down over 40%</t>
  </si>
  <si>
    <t>Up 125%</t>
  </si>
  <si>
    <t>Up 80%</t>
  </si>
  <si>
    <t>Up 30%</t>
  </si>
  <si>
    <t>Up 25%</t>
  </si>
  <si>
    <t>Up 50%</t>
  </si>
  <si>
    <t>Down HTs</t>
  </si>
  <si>
    <t>-MSD</t>
  </si>
  <si>
    <t>Carrier Global HVAC</t>
  </si>
  <si>
    <t>down HSD</t>
  </si>
  <si>
    <t>+LSD</t>
  </si>
  <si>
    <t>Carrier Commercial HVAC</t>
  </si>
  <si>
    <t>Up 3%</t>
  </si>
  <si>
    <t>Down slightly</t>
  </si>
  <si>
    <t>NA Carrier Resi HVAC</t>
  </si>
  <si>
    <t>Order Growth</t>
  </si>
  <si>
    <t xml:space="preserve">Total Revenue </t>
  </si>
  <si>
    <t>Total Organic</t>
  </si>
  <si>
    <t>Y/Y</t>
  </si>
  <si>
    <t>EU</t>
  </si>
  <si>
    <t>US comm HVAC</t>
  </si>
  <si>
    <t>Up 9%</t>
  </si>
  <si>
    <t>Americas resi-HVAC</t>
  </si>
  <si>
    <t>Controls/Other</t>
  </si>
  <si>
    <t>Up MSD in NA, Up MSD in Europe, APAC down LSD</t>
  </si>
  <si>
    <t>Stationary Refrigeration Y/Y</t>
  </si>
  <si>
    <t>Up LTns</t>
  </si>
  <si>
    <t>Up slight</t>
  </si>
  <si>
    <t>Transicold Y/Y</t>
  </si>
  <si>
    <t>Up 8%</t>
  </si>
  <si>
    <t xml:space="preserve">up MSD </t>
  </si>
  <si>
    <t>Global Commercial Y/Y</t>
  </si>
  <si>
    <t>Global Residential Y/Y</t>
  </si>
  <si>
    <t>Sales Growth</t>
  </si>
  <si>
    <t>% Carrier</t>
  </si>
  <si>
    <t>Stationary Refrigeration</t>
  </si>
  <si>
    <t>Residential</t>
  </si>
  <si>
    <t>+HSD</t>
  </si>
  <si>
    <t>Asia (w/ China)</t>
  </si>
  <si>
    <t>+MSD</t>
  </si>
  <si>
    <t>Geography</t>
  </si>
  <si>
    <t>UTC Climate, Controls &amp; Security</t>
  </si>
  <si>
    <t>Operating Profit</t>
  </si>
  <si>
    <t>Mid Single Digit</t>
  </si>
  <si>
    <t>2008 Guidance</t>
  </si>
  <si>
    <t>MRO</t>
  </si>
  <si>
    <t>By Markets ($bn)</t>
  </si>
  <si>
    <t>PW600</t>
  </si>
  <si>
    <t>PW500</t>
  </si>
  <si>
    <t>PW300</t>
  </si>
  <si>
    <t>PW200</t>
  </si>
  <si>
    <t>PW100</t>
  </si>
  <si>
    <t>JT15D</t>
  </si>
  <si>
    <t>PT6</t>
  </si>
  <si>
    <t>P &amp; E Cananda  (No. Of Engines)</t>
  </si>
  <si>
    <t>MRO Business backlog ($bn)</t>
  </si>
  <si>
    <t>P &amp; W Power Systems</t>
  </si>
  <si>
    <t>Military Enginees</t>
  </si>
  <si>
    <t>Commercial Enginees</t>
  </si>
  <si>
    <t>Product Positioning (No of Engines)</t>
  </si>
  <si>
    <t>Incremental LT backlog</t>
  </si>
  <si>
    <t>Incremental EBIT</t>
  </si>
  <si>
    <t>Incremental Revenue</t>
  </si>
  <si>
    <t>ACE productivity ($bn)</t>
  </si>
  <si>
    <t>Bronze</t>
  </si>
  <si>
    <t>ACE Progress (% of Sites)</t>
  </si>
  <si>
    <t>$1.9bn</t>
  </si>
  <si>
    <t>Honeywell</t>
  </si>
  <si>
    <t>$8.1bn</t>
  </si>
  <si>
    <t>Safran</t>
  </si>
  <si>
    <t>$11.5bn</t>
  </si>
  <si>
    <t>Rolls Royce</t>
  </si>
  <si>
    <t>$12.1bn</t>
  </si>
  <si>
    <t>$18.0bn</t>
  </si>
  <si>
    <t>GE</t>
  </si>
  <si>
    <t>$54bn</t>
  </si>
  <si>
    <t>Aerospace Propulsion</t>
  </si>
  <si>
    <t>Data from JP Morgan Presentation</t>
  </si>
  <si>
    <t>Restructuring and related charges</t>
  </si>
  <si>
    <t>Reconcilliation</t>
  </si>
  <si>
    <t>Restructuring spend ($mn)</t>
  </si>
  <si>
    <t>Helicopter</t>
  </si>
  <si>
    <t>Military Utility/Agriculture</t>
  </si>
  <si>
    <t>Regional</t>
  </si>
  <si>
    <t xml:space="preserve">PWC </t>
  </si>
  <si>
    <t>Engine deliveries</t>
  </si>
  <si>
    <t>P&amp;W Canada</t>
  </si>
  <si>
    <t>2x</t>
  </si>
  <si>
    <r>
      <t xml:space="preserve">Global Services growth </t>
    </r>
    <r>
      <rPr>
        <sz val="8"/>
        <rFont val="Times New Roman"/>
        <family val="1"/>
      </rPr>
      <t>(2003-08)</t>
    </r>
  </si>
  <si>
    <t>Revenue by end-market (%)</t>
  </si>
  <si>
    <t>Commercial Engines</t>
  </si>
  <si>
    <t>Power Systems</t>
  </si>
  <si>
    <t>P&amp;W Rocketdyne</t>
  </si>
  <si>
    <t>Military Engines</t>
  </si>
  <si>
    <t>Revenue by divisions (%)</t>
  </si>
  <si>
    <t>PRATT &amp; WHITNEY</t>
  </si>
  <si>
    <t>ACE status (% of P&amp;W sites)</t>
  </si>
  <si>
    <t>FINANCIALS and PRATT &amp; WHITNEY</t>
  </si>
  <si>
    <t>Up mid-single digit</t>
  </si>
  <si>
    <t>Installed base</t>
  </si>
  <si>
    <t>Total Military Engine</t>
  </si>
  <si>
    <t>Y/Y decline from C-17 &amp; other legacy</t>
  </si>
  <si>
    <t>Y/Y EBIT Impact from F35</t>
  </si>
  <si>
    <t>Total Revenue</t>
  </si>
  <si>
    <t>Other program</t>
  </si>
  <si>
    <t>F135 Revenue</t>
  </si>
  <si>
    <t>APU, $</t>
  </si>
  <si>
    <t>US DoD</t>
  </si>
  <si>
    <t>35C</t>
  </si>
  <si>
    <t>35B</t>
  </si>
  <si>
    <t>35A</t>
  </si>
  <si>
    <t>F35 Deliveries</t>
  </si>
  <si>
    <t>Military</t>
  </si>
  <si>
    <t>Total LCE Rev</t>
  </si>
  <si>
    <t>PW4000</t>
  </si>
  <si>
    <t>PW2000</t>
  </si>
  <si>
    <t>Total losses</t>
  </si>
  <si>
    <t># of engines</t>
  </si>
  <si>
    <t>PW Legacy</t>
  </si>
  <si>
    <t>MRJ</t>
  </si>
  <si>
    <t>MS-21</t>
  </si>
  <si>
    <t>E-Jet</t>
  </si>
  <si>
    <t>C-series</t>
  </si>
  <si>
    <t>A320neo</t>
  </si>
  <si>
    <t>P&amp;W's stake</t>
  </si>
  <si>
    <t>Loss per engines</t>
  </si>
  <si>
    <t>GTF</t>
  </si>
  <si>
    <t>IAE Intangible Asset (cfwd)</t>
  </si>
  <si>
    <t>Addition to IAE Intangibles</t>
  </si>
  <si>
    <t>IAE Intangible Assets (bfwd)</t>
  </si>
  <si>
    <t>Payment to RR</t>
  </si>
  <si>
    <t>Losses on post-RR shipments</t>
  </si>
  <si>
    <t>Losses on pre-RR shipments, PW's share</t>
  </si>
  <si>
    <t>Total losses per engine</t>
  </si>
  <si>
    <t>Losses recognized as IAE intangibles</t>
  </si>
  <si>
    <t>Shipments booked post-RR acqn</t>
  </si>
  <si>
    <t>Shipments booked pre-RR acqn</t>
  </si>
  <si>
    <t>V2500</t>
  </si>
  <si>
    <t>Estimates of OE Headwind</t>
  </si>
  <si>
    <t>JT8D/9D</t>
  </si>
  <si>
    <t>PW2000/4000</t>
  </si>
  <si>
    <t>Spares Sales Mix</t>
  </si>
  <si>
    <t>up HSD</t>
  </si>
  <si>
    <t>Up</t>
  </si>
  <si>
    <t>strong</t>
  </si>
  <si>
    <t>-- PW 2000</t>
  </si>
  <si>
    <t>+HTs</t>
  </si>
  <si>
    <t>-- PW 4000</t>
  </si>
  <si>
    <t>Legacy PW</t>
  </si>
  <si>
    <t>Large Commercial Spares</t>
  </si>
  <si>
    <t>Order Trends</t>
  </si>
  <si>
    <t>Pratt &amp; Whitney Power Systems</t>
  </si>
  <si>
    <t>Pratt &amp; Whitney Canada</t>
  </si>
  <si>
    <t>Large Comercial</t>
  </si>
  <si>
    <t>Engine Deliveries</t>
  </si>
  <si>
    <t>LCE A/M Margin</t>
  </si>
  <si>
    <t>LCE OE Margin</t>
  </si>
  <si>
    <t>Total Incremental</t>
  </si>
  <si>
    <t>PWC</t>
  </si>
  <si>
    <t>LCE A/M</t>
  </si>
  <si>
    <t>Incremental Margin Assumptions</t>
  </si>
  <si>
    <t>Total Margin Bridge</t>
  </si>
  <si>
    <t>Restructuring Savings</t>
  </si>
  <si>
    <t>Lower R&amp;D</t>
  </si>
  <si>
    <t>Total Margin Headwinds</t>
  </si>
  <si>
    <t xml:space="preserve">  Pension</t>
  </si>
  <si>
    <t xml:space="preserve">  OE Mix Headwind</t>
  </si>
  <si>
    <t>IAE Amortization</t>
  </si>
  <si>
    <t>GTF Engine Losses</t>
  </si>
  <si>
    <t>V2500 Engine Losses</t>
  </si>
  <si>
    <t>Comm A/M</t>
  </si>
  <si>
    <t>PW2000/4000 Engine Losses</t>
  </si>
  <si>
    <t>Margin Buildup</t>
  </si>
  <si>
    <t>A/M</t>
  </si>
  <si>
    <t>OE</t>
  </si>
  <si>
    <t>LCE</t>
  </si>
  <si>
    <t>LCE OE</t>
  </si>
  <si>
    <t>Total Revenues</t>
  </si>
  <si>
    <t xml:space="preserve">Intercompany eliminations </t>
  </si>
  <si>
    <t>Rockedyne/Space</t>
  </si>
  <si>
    <t>Engine Collaboration Adjustment</t>
  </si>
  <si>
    <t>% PWC A/M</t>
  </si>
  <si>
    <t>Mid-tns</t>
  </si>
  <si>
    <t>Up LTs</t>
  </si>
  <si>
    <t>Down HSD</t>
  </si>
  <si>
    <t>Equipment</t>
  </si>
  <si>
    <t>P&amp;W Canada Y/Y</t>
  </si>
  <si>
    <t>Up low tns</t>
  </si>
  <si>
    <t>Mil AM</t>
  </si>
  <si>
    <t>Up mid-tns</t>
  </si>
  <si>
    <t>Down low-tns</t>
  </si>
  <si>
    <t>Down High teens</t>
  </si>
  <si>
    <t>Down HT</t>
  </si>
  <si>
    <t>+LDD</t>
  </si>
  <si>
    <t>Mil OEM</t>
  </si>
  <si>
    <t>Down LDD</t>
  </si>
  <si>
    <t>Military Y/Y</t>
  </si>
  <si>
    <t>Down mid-single</t>
  </si>
  <si>
    <t>-- Large commercial Spares</t>
  </si>
  <si>
    <t>Up 10%</t>
  </si>
  <si>
    <t>Aftermarket Y/Y</t>
  </si>
  <si>
    <t>&gt;20%</t>
  </si>
  <si>
    <t>Equipment Y/Y</t>
  </si>
  <si>
    <t>% A/M</t>
  </si>
  <si>
    <t>Up 2%</t>
  </si>
  <si>
    <t>Down MSd</t>
  </si>
  <si>
    <t>Large Commercial Engines</t>
  </si>
  <si>
    <t xml:space="preserve">more margin improvement </t>
  </si>
  <si>
    <t>Cash operating expenses</t>
  </si>
  <si>
    <t>2019E</t>
  </si>
  <si>
    <t>$450m</t>
  </si>
  <si>
    <t>$50m</t>
  </si>
  <si>
    <t>Savings</t>
  </si>
  <si>
    <t>Defence</t>
  </si>
  <si>
    <t>Commerical</t>
  </si>
  <si>
    <t>Business Mix (Revenue %)</t>
  </si>
  <si>
    <t>UTAS 2013 EBIT</t>
  </si>
  <si>
    <t>Pension, E&amp;D - Nett</t>
  </si>
  <si>
    <t>Net Amortization Step-Up</t>
  </si>
  <si>
    <t>Inventory Step-Up</t>
  </si>
  <si>
    <t>Core Revenues @ 7% Growth and 20% Incremental Margin</t>
  </si>
  <si>
    <t>Deal Synergies</t>
  </si>
  <si>
    <t>HS Incremental Revenue @13% EBIT</t>
  </si>
  <si>
    <t>UTAS 2012 EBIT</t>
  </si>
  <si>
    <t>Total Y/Y</t>
  </si>
  <si>
    <t>Comm OE</t>
  </si>
  <si>
    <t>Op Profit</t>
  </si>
  <si>
    <t>Volume/mix</t>
  </si>
  <si>
    <t>Military A/M</t>
  </si>
  <si>
    <t>Military OE</t>
  </si>
  <si>
    <t>Goodrich Synergies - modeleled</t>
  </si>
  <si>
    <t>Goodrich Synergies - guidance</t>
  </si>
  <si>
    <t>ARPU</t>
  </si>
  <si>
    <t>B787 Shipments</t>
  </si>
  <si>
    <t>B787 Revenues</t>
  </si>
  <si>
    <t>% Y/Y</t>
  </si>
  <si>
    <t xml:space="preserve">US Defense Budget </t>
  </si>
  <si>
    <t>RPK Growth (global)</t>
  </si>
  <si>
    <t xml:space="preserve">Large Commerical Shipments </t>
  </si>
  <si>
    <t>Drivers</t>
  </si>
  <si>
    <t>Comm Spares orders</t>
  </si>
  <si>
    <t>Space</t>
  </si>
  <si>
    <t>Military Repairs</t>
  </si>
  <si>
    <t>Military Spares</t>
  </si>
  <si>
    <t>-LSD</t>
  </si>
  <si>
    <t>Total Military down LSD</t>
  </si>
  <si>
    <t>Commercial Repairs</t>
  </si>
  <si>
    <t>up 4%</t>
  </si>
  <si>
    <t>+HT</t>
  </si>
  <si>
    <t>Commerical Aftermarket</t>
  </si>
  <si>
    <t>Commercial OE</t>
  </si>
  <si>
    <t>Up 16% for Total Comm</t>
  </si>
  <si>
    <t>Goodrich Revenue</t>
  </si>
  <si>
    <t>Space &amp; Defense Y/Y</t>
  </si>
  <si>
    <t>Commerical A/M Y/Y</t>
  </si>
  <si>
    <t>Commercial OE Y/Y</t>
  </si>
  <si>
    <t>Cumulative FX etc</t>
  </si>
  <si>
    <t>Industrial &amp; Other</t>
  </si>
  <si>
    <t>Space &amp; Defense</t>
  </si>
  <si>
    <t>Commerical A/M</t>
  </si>
  <si>
    <t>% incremental margin - core</t>
  </si>
  <si>
    <t xml:space="preserve">% incremental margin </t>
  </si>
  <si>
    <t>UTC Aerospace Systems</t>
  </si>
  <si>
    <t>MSE</t>
  </si>
  <si>
    <t>Headline Income</t>
  </si>
  <si>
    <t>Tax Rate</t>
  </si>
  <si>
    <t>flat</t>
  </si>
  <si>
    <t>down mid teens</t>
  </si>
  <si>
    <t>down slightly</t>
  </si>
  <si>
    <t>Up high teens</t>
  </si>
  <si>
    <t>Company</t>
  </si>
  <si>
    <t>4-6%</t>
  </si>
  <si>
    <t>Up L-MSD</t>
  </si>
  <si>
    <t>2017e</t>
  </si>
  <si>
    <t>USD</t>
  </si>
  <si>
    <t>United Technologies Corp</t>
  </si>
  <si>
    <t>UTX.N</t>
  </si>
  <si>
    <t>CAD</t>
  </si>
  <si>
    <t>Count</t>
  </si>
  <si>
    <t>Volume</t>
  </si>
  <si>
    <t>Current Stock Price</t>
  </si>
  <si>
    <t>UTX.N,mscalc:targetPrice,,,,USD</t>
  </si>
  <si>
    <t>UTX.N,mscalc:sedolCodeCalc</t>
  </si>
  <si>
    <t>UTX.N,mscalc:closePriceCurrencyCalc</t>
  </si>
  <si>
    <t>$F$2</t>
  </si>
  <si>
    <t>2915500</t>
  </si>
  <si>
    <t>One-Time Benefits</t>
  </si>
  <si>
    <t>Flatish</t>
  </si>
  <si>
    <t>Total Asia MSD</t>
  </si>
  <si>
    <t>Down DD</t>
  </si>
  <si>
    <t>Asia up LSD</t>
  </si>
  <si>
    <t>~30%</t>
  </si>
  <si>
    <t>Down ~30%</t>
  </si>
  <si>
    <t>Up ~30%</t>
  </si>
  <si>
    <t>Down LSDD</t>
  </si>
  <si>
    <t>Down ~40%</t>
  </si>
  <si>
    <t>Transactional A/M -13%</t>
  </si>
  <si>
    <t>5-7%</t>
  </si>
  <si>
    <t>2016 EBIT Bridge</t>
  </si>
  <si>
    <t>Price/mix</t>
  </si>
  <si>
    <t>Mse</t>
  </si>
  <si>
    <t>Productivity/ restructuring</t>
  </si>
  <si>
    <t>Commodities/ price</t>
  </si>
  <si>
    <t>FX Impact</t>
  </si>
  <si>
    <t>Product cost reduction</t>
  </si>
  <si>
    <t>2015 contract/ license</t>
  </si>
  <si>
    <t>Synergies/ cost actions</t>
  </si>
  <si>
    <t>FX Impact Y/Y</t>
  </si>
  <si>
    <t>Net Income from Cont. Ops</t>
  </si>
  <si>
    <t>&gt;50%</t>
  </si>
  <si>
    <t>7-9%</t>
  </si>
  <si>
    <t>Up Low-Tns</t>
  </si>
  <si>
    <t>Up &gt;30%</t>
  </si>
  <si>
    <t>Up  HSD</t>
  </si>
  <si>
    <t>1/3 container, 1/3 NA truck/trailer, 1/3 Europe truck/trailer</t>
  </si>
  <si>
    <t>Down ~25%</t>
  </si>
  <si>
    <t>Down Slightly</t>
  </si>
  <si>
    <t>Up +20%</t>
  </si>
  <si>
    <t>4Q17E</t>
  </si>
  <si>
    <t>2020e Target</t>
  </si>
  <si>
    <t>OE Growth</t>
  </si>
  <si>
    <t>China FLAT, ROW ~5%</t>
  </si>
  <si>
    <t>China service attachment rate</t>
  </si>
  <si>
    <t>&gt;50% vs. 33% in 2015</t>
  </si>
  <si>
    <t>~3% CAGR</t>
  </si>
  <si>
    <t>4-5% revenue &amp; EBIT CAGR</t>
  </si>
  <si>
    <t>Q/Q</t>
  </si>
  <si>
    <t>LT Average</t>
  </si>
  <si>
    <t>2020 Targets</t>
  </si>
  <si>
    <t>4-5% core revenue growth</t>
  </si>
  <si>
    <t>7-8% EBIT growth</t>
  </si>
  <si>
    <t>EBIT growth</t>
  </si>
  <si>
    <t>M/HSD</t>
  </si>
  <si>
    <t>2020 EBIT Bridge</t>
  </si>
  <si>
    <t>Large Engines</t>
  </si>
  <si>
    <t>March 2016 guidance (Large Engines)</t>
  </si>
  <si>
    <t>Industrial</t>
  </si>
  <si>
    <t xml:space="preserve">Y/Y </t>
  </si>
  <si>
    <t>Total Shipments</t>
  </si>
  <si>
    <t>JSF</t>
  </si>
  <si>
    <t>% of toal segment</t>
  </si>
  <si>
    <t>1Q16</t>
  </si>
  <si>
    <t>Down M-HSD</t>
  </si>
  <si>
    <t xml:space="preserve">Down slightly </t>
  </si>
  <si>
    <t>FX &amp; M&amp;A</t>
  </si>
  <si>
    <t>New FX Model</t>
  </si>
  <si>
    <t>Legacy FX Model</t>
  </si>
  <si>
    <t>FX Exposures (Sales)</t>
  </si>
  <si>
    <t>UK</t>
  </si>
  <si>
    <t>Australia</t>
  </si>
  <si>
    <t>FX Rates</t>
  </si>
  <si>
    <t>EUR/USD</t>
  </si>
  <si>
    <t>GBP/USD</t>
  </si>
  <si>
    <t>CAD/USD</t>
  </si>
  <si>
    <t>JPY/USD</t>
  </si>
  <si>
    <t>AUD/USD</t>
  </si>
  <si>
    <t>BRL/USD</t>
  </si>
  <si>
    <t>RMB/USD</t>
  </si>
  <si>
    <t>FX Movements (Y/Y)</t>
  </si>
  <si>
    <t>Explained</t>
  </si>
  <si>
    <t>IR Actual / Forecast FX</t>
  </si>
  <si>
    <t>Avg. Factor</t>
  </si>
  <si>
    <t>Plug</t>
  </si>
  <si>
    <t>Segments</t>
  </si>
  <si>
    <t>Factors</t>
  </si>
  <si>
    <t>2Q16</t>
  </si>
  <si>
    <t>down MSD</t>
  </si>
  <si>
    <t>E&amp;D &amp; Others</t>
  </si>
  <si>
    <t>Products - Up LSD; Field - Down LSD</t>
  </si>
  <si>
    <t>Down LSD Products/Down HSD Field</t>
  </si>
  <si>
    <t>Down LSD Products/Flat</t>
  </si>
  <si>
    <t>ASR</t>
  </si>
  <si>
    <t>down LSD</t>
  </si>
  <si>
    <t>FX/ M&amp;A</t>
  </si>
  <si>
    <t>3Q16</t>
  </si>
  <si>
    <t>Down HSDin products, down slightly in Field</t>
  </si>
  <si>
    <t>Up MSD in Products, down slightly in Field</t>
  </si>
  <si>
    <t>Up ~50%</t>
  </si>
  <si>
    <t>Up ~20%</t>
  </si>
  <si>
    <t>Down L-tns</t>
  </si>
  <si>
    <t>Ramp costs/ Other</t>
  </si>
  <si>
    <t>4Q16</t>
  </si>
  <si>
    <t>Product flat, field up HSD</t>
  </si>
  <si>
    <t>Product down low DD, field down MSD</t>
  </si>
  <si>
    <t>Product down low DD, field up MSD</t>
  </si>
  <si>
    <t>down LDD</t>
  </si>
  <si>
    <t>Price/Raws</t>
  </si>
  <si>
    <t>2017 EBIT Bridge</t>
  </si>
  <si>
    <t>Carrier I JV Stake</t>
  </si>
  <si>
    <t>Carrier II JV Stake</t>
  </si>
  <si>
    <t>Carrier III JV Stake</t>
  </si>
  <si>
    <t>EBIT Contribution</t>
  </si>
  <si>
    <t>Watsco Contribution</t>
  </si>
  <si>
    <t>Segment Margin Impact</t>
  </si>
  <si>
    <t>Total Stores</t>
  </si>
  <si>
    <t>Gain</t>
  </si>
  <si>
    <t>Gain on Watsco Stake</t>
  </si>
  <si>
    <t>Net Proceeds</t>
  </si>
  <si>
    <t>2018e</t>
  </si>
  <si>
    <t>2019e</t>
  </si>
  <si>
    <t>~30 non revenue recognized</t>
  </si>
  <si>
    <t>Invested Capital</t>
  </si>
  <si>
    <t>Average Invested Capital</t>
  </si>
  <si>
    <t>1Q18E</t>
  </si>
  <si>
    <t>2Q18E</t>
  </si>
  <si>
    <t>3Q18E</t>
  </si>
  <si>
    <t>4Q18E</t>
  </si>
  <si>
    <t>2020E</t>
  </si>
  <si>
    <t>2021E</t>
  </si>
  <si>
    <t>1Q17</t>
  </si>
  <si>
    <t>Up low-teens</t>
  </si>
  <si>
    <t>Up low DD</t>
  </si>
  <si>
    <t>Down L-MSD</t>
  </si>
  <si>
    <t>2Q17</t>
  </si>
  <si>
    <t>Uo LSD</t>
  </si>
  <si>
    <t xml:space="preserve"> Down MSD</t>
  </si>
  <si>
    <t>up ~25%</t>
  </si>
  <si>
    <t>up ~35%</t>
  </si>
  <si>
    <t>138</t>
  </si>
  <si>
    <t>Op Profit Bridge</t>
  </si>
  <si>
    <t>A/M Revenue</t>
  </si>
  <si>
    <t>A/M Op Profit</t>
  </si>
  <si>
    <t>Up L-DD</t>
  </si>
  <si>
    <t>3Q17</t>
  </si>
  <si>
    <t>UP LDD</t>
  </si>
  <si>
    <t>MSA82FHY</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</si>
  <si>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</si>
  <si>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</si>
  <si>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</si>
  <si>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</si>
  <si>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</si>
  <si>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</si>
  <si>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</si>
  <si>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Nigel Coe</t>
  </si>
  <si>
    <t>Date: 27 Oct 2017</t>
  </si>
  <si>
    <t>Ticker: UTX.N</t>
  </si>
  <si>
    <t>Stock Rating: NAV</t>
  </si>
  <si>
    <t>Industry: Multi-Industry</t>
  </si>
  <si>
    <t>Industry View: In-Line</t>
  </si>
  <si>
    <t>Price as of 27 Oct 2017: 119.93</t>
  </si>
  <si>
    <t xml:space="preserve">Target Price: </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</si>
  <si>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</si>
  <si>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</si>
  <si>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</si>
  <si>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</si>
  <si>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United Technologies Corp.</t>
  </si>
  <si>
    <t>STOCK RATINGS</t>
  </si>
  <si>
    <t>Global Stock Ratings Distribution</t>
  </si>
  <si>
    <t>(as of September 30, 2017)</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</si>
  <si>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</si>
  <si>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</si>
  <si>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</si>
  <si>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</si>
  <si>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</si>
  <si>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</si>
  <si>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</si>
  <si>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</si>
  <si>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</si>
  <si>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</si>
  <si>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</si>
  <si>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</si>
  <si>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</si>
  <si>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</si>
  <si>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</si>
  <si>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</si>
  <si>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</si>
  <si>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</si>
  <si>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</si>
  <si>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</si>
  <si>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</si>
  <si>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</si>
  <si>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</si>
  <si>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</si>
  <si>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</si>
  <si>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</si>
  <si>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</si>
  <si>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</si>
  <si>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</si>
  <si>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</si>
  <si>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</si>
  <si>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</si>
  <si>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</si>
  <si>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</si>
  <si>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</si>
  <si>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</si>
  <si>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</si>
  <si>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</si>
  <si>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</si>
  <si>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</si>
  <si>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</si>
  <si>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</si>
  <si>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</si>
  <si>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</si>
  <si>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</si>
  <si>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</si>
  <si>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</si>
  <si>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</si>
  <si>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</si>
  <si>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</si>
  <si>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</si>
  <si>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</si>
  <si>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</si>
  <si>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</si>
  <si>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</si>
  <si>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</si>
  <si>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</si>
  <si>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</si>
  <si>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</si>
  <si>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</si>
  <si>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</si>
  <si>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</si>
  <si>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</si>
  <si>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</si>
  <si>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</si>
  <si>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</si>
  <si>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</si>
  <si>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</si>
  <si>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</si>
  <si>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</si>
  <si>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</si>
  <si>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</si>
  <si>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</si>
  <si>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</si>
  <si>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</si>
  <si>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</si>
  <si>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</si>
  <si>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</si>
  <si>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</si>
  <si>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</si>
  <si>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</si>
  <si>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</si>
  <si>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</si>
  <si>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</si>
  <si>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</si>
  <si>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</si>
  <si>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</si>
  <si>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</si>
  <si>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</si>
  <si>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</si>
  <si>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</si>
  <si>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</si>
  <si>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</si>
  <si>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</si>
  <si>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</si>
  <si>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</si>
  <si>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</si>
  <si>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</si>
  <si>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</si>
  <si>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</si>
  <si>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</si>
  <si>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</si>
  <si>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</si>
  <si>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</si>
  <si>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</si>
  <si>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</si>
  <si>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</si>
  <si>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</si>
  <si>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</si>
  <si>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</si>
  <si>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</si>
  <si>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</si>
  <si>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</si>
  <si>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</si>
  <si>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</si>
  <si>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</si>
  <si>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</si>
  <si>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</si>
  <si>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</si>
  <si>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</si>
  <si>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</si>
  <si>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</si>
  <si>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</si>
  <si>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</si>
  <si>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</si>
  <si>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</si>
  <si>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</si>
  <si>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</si>
  <si>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</si>
  <si>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</si>
  <si>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</si>
  <si>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</si>
  <si>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</si>
  <si>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</si>
  <si>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</si>
  <si>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</si>
  <si>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</si>
  <si>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</si>
  <si>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</si>
  <si>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</si>
  <si>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</si>
  <si>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</si>
  <si>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</si>
  <si>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</si>
  <si>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</si>
  <si>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</si>
  <si>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</si>
  <si>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</si>
  <si>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</si>
  <si>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</si>
  <si>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</si>
  <si>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</si>
  <si>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</si>
  <si>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</si>
  <si>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</si>
  <si>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</si>
  <si>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</si>
  <si>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</si>
  <si>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</si>
  <si>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</si>
  <si>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</si>
  <si>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</si>
  <si>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</si>
  <si>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</si>
  <si>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</si>
  <si>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</si>
  <si>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</si>
  <si>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</si>
  <si>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</si>
  <si>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</si>
  <si>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</si>
  <si>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</si>
  <si>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</si>
  <si>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United Technologies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</si>
  <si>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</si>
  <si>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</si>
  <si>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</si>
  <si>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</si>
  <si>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</si>
  <si>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</si>
  <si>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</si>
  <si>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</si>
  <si>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</si>
  <si>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</si>
  <si>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</si>
  <si>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</si>
  <si>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</si>
  <si>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</si>
  <si>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</si>
  <si>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</si>
  <si>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</si>
  <si>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</si>
  <si>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</si>
  <si>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</si>
  <si>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</si>
  <si>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</si>
  <si>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</si>
  <si>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</si>
  <si>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</si>
  <si>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</si>
  <si>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</si>
  <si>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</si>
  <si>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</si>
  <si>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</si>
  <si>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</si>
  <si>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</si>
  <si>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</si>
  <si>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</si>
  <si>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</si>
  <si>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</si>
  <si>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</si>
  <si>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</si>
  <si>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</si>
  <si>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</si>
  <si>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</si>
  <si>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</si>
  <si>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</si>
  <si>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</si>
  <si>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</si>
  <si>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</si>
  <si>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</si>
  <si>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</si>
  <si>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</si>
  <si>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</si>
  <si>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</si>
  <si>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</si>
  <si>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</si>
  <si>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</si>
  <si>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</si>
  <si>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</si>
  <si>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</si>
  <si>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</si>
  <si>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</si>
  <si>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</si>
  <si>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</si>
  <si>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</si>
  <si>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</si>
  <si>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</si>
  <si>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</si>
  <si>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</si>
  <si>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</si>
  <si>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</si>
  <si>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United Technologies Corp.</t>
  </si>
  <si>
    <t>Within the last 12 months, Morgan Stanley has provided or is providing investment banking services to,</t>
  </si>
  <si>
    <t>or has an investment banking client relationship with, the following company: United Technologies Corp.</t>
  </si>
  <si>
    <t>In the next 3 months, Morgan Stanley expects to receive or intends to seek compensation for investment</t>
  </si>
  <si>
    <t>banking services from United Technologies Corp.</t>
  </si>
  <si>
    <t>Within the last 12 months, Morgan Stanley has received compensation for investment banking services from</t>
  </si>
  <si>
    <t>United Technologies Corp.</t>
  </si>
  <si>
    <t>Within the last 12 months, Morgan Stanley managed or co-managed a public offering (or 144A offering) of</t>
  </si>
  <si>
    <t>securities of United Technologies Corp.</t>
  </si>
  <si>
    <t>As of September 29, 2017, Morgan Stanley beneficially owned 1% or more of a class of common equity</t>
  </si>
  <si>
    <t>securities of the following companies covered in Morgan Stanley Research: United Technologies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</si>
  <si>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</si>
  <si>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</si>
  <si>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</si>
  <si>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</si>
  <si>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</si>
  <si>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Nigel Coe,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</si>
  <si>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</si>
  <si>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</si>
  <si>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</si>
  <si>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</si>
  <si>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</si>
  <si>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</si>
  <si>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</si>
  <si>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</si>
  <si>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</si>
  <si>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</si>
  <si>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</si>
  <si>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</si>
  <si>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</si>
  <si>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</si>
  <si>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</si>
  <si>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</si>
  <si>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</si>
  <si>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</si>
  <si>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</si>
  <si>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2017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</si>
  <si>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</si>
  <si>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</si>
  <si>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</si>
  <si>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</si>
  <si>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</si>
  <si>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</si>
  <si>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</si>
  <si>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</si>
  <si>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</si>
  <si>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</si>
  <si>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</si>
  <si>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</si>
  <si>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</si>
  <si>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</si>
  <si>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</si>
  <si>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</si>
  <si>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</si>
  <si>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</si>
  <si>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</si>
  <si>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</si>
  <si>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</si>
  <si>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</si>
  <si>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</si>
  <si>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</si>
  <si>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</si>
  <si>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</si>
  <si>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</si>
  <si>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</si>
  <si>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</si>
  <si>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</si>
  <si>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</si>
  <si>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</si>
  <si>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</si>
  <si>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</si>
  <si>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</si>
  <si>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</si>
  <si>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</si>
  <si>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</si>
  <si>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</si>
  <si>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</si>
  <si>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</si>
  <si>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</si>
  <si>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</si>
  <si>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</si>
  <si>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</si>
  <si>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</si>
  <si>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</si>
  <si>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NAV / In-Line</t>
  </si>
  <si>
    <t>Regular Update</t>
  </si>
  <si>
    <t>NorthAmerica</t>
  </si>
  <si>
    <t>jiayanz</t>
  </si>
  <si>
    <t>L:\EQUIP\MULTI\UTX\MS Model_UTX.xlsm</t>
  </si>
  <si>
    <t>[BRO MSA]</t>
  </si>
  <si>
    <t>[PRODUCT MODEL]</t>
  </si>
  <si>
    <t>[EMAIL_ALERT YES]</t>
  </si>
  <si>
    <t>[DISCIPLINE Company]</t>
  </si>
  <si>
    <t>[SUPPRESSED NO]</t>
  </si>
  <si>
    <t>[DOCDAT 2017-10-27]</t>
  </si>
  <si>
    <t>[DOCTIME 08:48]</t>
  </si>
  <si>
    <t>[PSYM UTX.N(S&amp;P) (None)]</t>
  </si>
  <si>
    <t>[COU 1]</t>
  </si>
  <si>
    <t>[ANA ]</t>
  </si>
  <si>
    <t>[HL UTX.N Model]</t>
  </si>
  <si>
    <t>[IND ELECTS]</t>
  </si>
  <si>
    <t>[PANA MSA82FHY]</t>
  </si>
  <si>
    <t>Morgan Stanley is acting as financial advisor and providing financing services to United Technologies Corp.("UTC”) in connection with its definitive agreement to acquire Rockwell Collins, Inc. (“Rockwell”), as announced on September 4, 2017. The proposed transaction is subject to approval by Rockwell’s shareholders, regulatory approval and other customary closing conditions. This report and the information provided herein is not intended to (i) provide voting advice, (ii) serve as an endorsement of the proposed transaction, or (iii) result in the procurement, withholding or revocation of a proxy or any other action by a security holder. UTC has agreed to pay fees to Morgan Stanley for its financial services, including transaction fees and financing fees which are contingent upon consummation of the transaction. Please refer to the notes at the end of this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</si>
</sst>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11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General_)"/>
    <numFmt numFmtId="165" formatCode="_(* #,##0.0_);_(* \(#,##0.0\);_(* &quot;-&quot;??_);_(@_)"/>
    <numFmt numFmtId="166" formatCode="0.0%"/>
    <numFmt numFmtId="167" formatCode="_(* #,##0_);_(* \(#,##0\);_(* &quot;-&quot;??_);_(@_)"/>
    <numFmt numFmtId="168" formatCode="0.0"/>
    <numFmt numFmtId="169" formatCode="#,##0.0"/>
    <numFmt numFmtId="170" formatCode="&quot;$&quot;#,##0.0_);\(&quot;$&quot;#,##0.0\)"/>
    <numFmt numFmtId="171" formatCode="0.0_);\(0.0\)"/>
    <numFmt numFmtId="172" formatCode="0.00_);\(0.00\)"/>
    <numFmt numFmtId="173" formatCode="0.00000000000000%"/>
    <numFmt numFmtId="174" formatCode="#,##0.0_);\(#,##0.0\)"/>
    <numFmt numFmtId="175" formatCode="_(* #,##0.0_);_(* \(#,##0.0\);_(* &quot;-&quot;?_);_(@_)"/>
    <numFmt numFmtId="176" formatCode="_(* #,##0.00_);_(* \(#,##0.00\);_(* &quot;-&quot;?_);_(@_)"/>
    <numFmt numFmtId="177" formatCode="0.000"/>
    <numFmt numFmtId="178" formatCode="_(* #,##0_);_(* \(#,##0\);_(* &quot;-&quot;?_);_(@_)"/>
    <numFmt numFmtId="179" formatCode="0.0\x"/>
    <numFmt numFmtId="180" formatCode="_(&quot;$&quot;* #,##0_);_(&quot;$&quot;* \(#,##0\);_(&quot;$&quot;* &quot;-&quot;??_);_(@_)"/>
    <numFmt numFmtId="181" formatCode="_(* #,##0.000_);_(* \(#,##0.000\);_(* &quot;-&quot;??_);_(@_)"/>
    <numFmt numFmtId="182" formatCode="0.0_);[Red]\(0.0\)"/>
    <numFmt numFmtId="183" formatCode="#,##0.0_);[Red]\(#,##0.0\)"/>
    <numFmt numFmtId="184" formatCode="#,##0.000"/>
    <numFmt numFmtId="185" formatCode="#,##0.000_);\(#,##0.000\)"/>
    <numFmt numFmtId="186" formatCode="_(* #,##0.0000_);_(* \(#,##0.0000\);_(* &quot;-&quot;??_);_(@_)"/>
    <numFmt numFmtId="187" formatCode="[$$-409]#,##0.0"/>
    <numFmt numFmtId="188" formatCode="[$$-409]#,##0"/>
    <numFmt numFmtId="189" formatCode="0_);\(0\)"/>
    <numFmt numFmtId="190" formatCode="mmm\-dd\ yy"/>
    <numFmt numFmtId="191" formatCode="General&quot;E&quot;"/>
    <numFmt numFmtId="192" formatCode="0.000000000000000%"/>
    <numFmt numFmtId="193" formatCode="_(&quot;$&quot;* #,##0.0000_);_(&quot;$&quot;* \(#,##0.0000\);_(&quot;$&quot;* &quot;-&quot;??_);_(@_)"/>
    <numFmt numFmtId="194" formatCode="#,##0.00&quot;&quot;;\(#,##0.00\)&quot;&quot;"/>
    <numFmt numFmtId="195" formatCode="#,##0.00_%_);\(#,##0.00\)_%;#,##0.00_%_);@_%_)"/>
    <numFmt numFmtId="196" formatCode="&quot;$&quot;#,##0;\(&quot;$&quot;#,##0\)"/>
    <numFmt numFmtId="197" formatCode="&quot;$&quot;#,##0.0;\(&quot;$&quot;#,##0.0\)"/>
    <numFmt numFmtId="198" formatCode="&quot;$&quot;#,##0.00;\(&quot;$&quot;#,##0.00\)"/>
    <numFmt numFmtId="199" formatCode="&quot;$&quot;#,##0.0\ \ ;&quot;$&quot;\(#,##0.0\)\ ;&quot;$&quot;&quot; - &quot;\ \ \ \ ;@_)"/>
    <numFmt numFmtId="200" formatCode="#,##0.0000_);[Red]\(#,##0.0000\)"/>
    <numFmt numFmtId="201" formatCode="_-* #,##0_-;\-* #,##0_-;_-* &quot;-&quot;_-;_-@_-"/>
    <numFmt numFmtId="202" formatCode="\£\ #,##0_);[Red]\(\£\ #,##0\)"/>
    <numFmt numFmtId="203" formatCode="\¥\ #,##0_);[Red]\(\¥\ #,##0\)"/>
    <numFmt numFmtId="204" formatCode="0_)"/>
    <numFmt numFmtId="205" formatCode="_(* #,##0.0_);_(* \(#,##0.0\);_(* &quot;--- &quot;_)"/>
    <numFmt numFmtId="206" formatCode="m\-d\-yy"/>
    <numFmt numFmtId="207" formatCode="#,##0_);[Red]\(#,##0\);&quot;-  &quot;"/>
    <numFmt numFmtId="208" formatCode="&quot;$&quot;\ #,##0.000\ \ \ \ ;&quot;$&quot;\ \(#,##0.000\)\ \ \ ;&quot;$&quot;\ &quot;-&quot;\ \ \ \ ;@_)"/>
    <numFmt numFmtId="209" formatCode="0.0%;\(0.0%\)"/>
    <numFmt numFmtId="210" formatCode="[Blue]General;[Blue]\-General;[Blue]&quot;--&quot;"/>
    <numFmt numFmtId="211" formatCode="0.0_)"/>
    <numFmt numFmtId="212" formatCode="#,##0\ \b\p;\(#,##0\)\b\p;0\ \ \ "/>
    <numFmt numFmtId="213" formatCode="\•\ \ @"/>
    <numFmt numFmtId="214" formatCode="#,##0.00000;[Red]\(#,##0.00000\)"/>
    <numFmt numFmtId="215" formatCode="\C\N&quot;$&quot;#,##0_);\(\C\N&quot;$&quot;#,##0\)"/>
    <numFmt numFmtId="216" formatCode="0.000_)"/>
    <numFmt numFmtId="217" formatCode="#,##0.0;[Red]\(#,##0.0\)"/>
    <numFmt numFmtId="218" formatCode="#,##0_%_);\(#,##0\)_%;#,##0_%_);@_%_)"/>
    <numFmt numFmtId="219" formatCode="#,##0.000_);[Red]\(#,##0.000\)"/>
    <numFmt numFmtId="220" formatCode="&quot;$&quot;#,##0.0;[Red]\(&quot;$&quot;#,##0.0\)"/>
    <numFmt numFmtId="221" formatCode="&quot;$&quot;#,##0_%_);\(&quot;$&quot;#,##0\)_%;&quot;$&quot;#,##0_%_);@_%_)"/>
    <numFmt numFmtId="222" formatCode="&quot;$&quot;#,##0.0_);[Red]\(&quot;$&quot;#,##0.0\)"/>
    <numFmt numFmtId="223" formatCode="\ \ _•\–\ \ \ \ @"/>
    <numFmt numFmtId="224" formatCode="m/d/yy_%_)"/>
    <numFmt numFmtId="225" formatCode="m/yy"/>
    <numFmt numFmtId="226" formatCode="#,##0;\(#,##0\)"/>
    <numFmt numFmtId="227" formatCode="#,##0.0;\(#,##0.0\)"/>
    <numFmt numFmtId="228" formatCode="#,##0.00;\(#,##0.00\)"/>
    <numFmt numFmtId="229" formatCode="#,##0.0\ \ \ ;\(#,##0.0\)\ \ \ ;&quot;-     &quot;_)"/>
    <numFmt numFmtId="230" formatCode="0_%_);\(0\)_%;0_%_);@_%_)"/>
    <numFmt numFmtId="231" formatCode="#,##0.0\ ;\(#,##0.0\)"/>
    <numFmt numFmtId="232" formatCode="#,##0.0\ \ ;\(#,##0.0\)\ ;&quot;-  &quot;"/>
    <numFmt numFmtId="233" formatCode="#,##0.0\ \ \ \ ;\(#,##0.0\)\ \ \ ;&quot;-    &quot;"/>
    <numFmt numFmtId="234" formatCode="_([$€-2]* #,##0.00_);_([$€-2]* \(#,##0.00\);_([$€-2]* &quot;-&quot;??_)"/>
    <numFmt numFmtId="235" formatCode="&quot;$&quot;#,##0.000000_);\(&quot;$&quot;#,##0.000000\)"/>
    <numFmt numFmtId="236" formatCode="&quot;$&quot;#,##0.00000_);[Red]\(&quot;$&quot;#,##0.00000\)"/>
    <numFmt numFmtId="237" formatCode="0.00%;\(0.00%\)"/>
    <numFmt numFmtId="238" formatCode="0.0\%_);\(0.0\%\);0.0\%_);@_%_)"/>
    <numFmt numFmtId="239" formatCode="&quot;\&quot;#,##0;[Red]&quot;\&quot;\-#,##0"/>
    <numFmt numFmtId="240" formatCode="mmm\-yyyy"/>
    <numFmt numFmtId="241" formatCode="#,##0.00_)"/>
    <numFmt numFmtId="242" formatCode="&quot;$&quot;\ #,##0.0000"/>
    <numFmt numFmtId="243" formatCode="0.0\x_)_);&quot;NM&quot;_x_)_);0.0\x_)_);@_%_)"/>
    <numFmt numFmtId="244" formatCode="0.00_)"/>
    <numFmt numFmtId="245" formatCode="#,##0.0\ \ \ ;\(#,##0.0\)\ \ ;0\ \ \ "/>
    <numFmt numFmtId="246" formatCode="_ #,###_-;\(#,##0\);_-* &quot;–&quot;?;_-@_-"/>
    <numFmt numFmtId="247" formatCode="_ #,###_-;\-\(#,##0\)\-;_-* &quot;0,000&quot;?;_-@_-"/>
    <numFmt numFmtId="248" formatCode="_ #,###.0_-;\(#,###.0\);_-* &quot;–&quot;?;_-@_-"/>
    <numFmt numFmtId="249" formatCode="0.0\ %;\ \(0.0\)%;\ 0\ %"/>
    <numFmt numFmtId="250" formatCode="0.0\ %"/>
    <numFmt numFmtId="251" formatCode="#,##0.0%_);[Red]\(#,##0.0%\)"/>
    <numFmt numFmtId="252" formatCode="0\ \ \ %;\(0\)\ \ \ %;0\ \ \ %"/>
    <numFmt numFmtId="253" formatCode="0.0\p\p;\(0.0\)\p\p;0.0\p\p"/>
    <numFmt numFmtId="254" formatCode="0.00000000000000000%"/>
    <numFmt numFmtId="255" formatCode="###0.0;[Red]\-###0.0"/>
    <numFmt numFmtId="256" formatCode="0;\(0\)"/>
    <numFmt numFmtId="257" formatCode="#,##0&quot;&quot;;\(#,##0\)&quot;&quot;"/>
    <numFmt numFmtId="258" formatCode="#,##0.00_)\ \x;\(#,##0.00\)\ \x"/>
    <numFmt numFmtId="259" formatCode="&quot;$&quot;0.0"/>
    <numFmt numFmtId="260" formatCode="0\ \ \ "/>
    <numFmt numFmtId="261" formatCode="0.00\ "/>
    <numFmt numFmtId="262" formatCode="&quot;US$&quot;#,##0.00_);\(&quot;US$&quot;#,##0.00\)"/>
    <numFmt numFmtId="263" formatCode="_-&quot;ÖS&quot;\ * #,##0_-;\-&quot;ÖS&quot;\ * #,##0_-;_-&quot;ÖS&quot;\ * &quot;-&quot;_-;_-@_-"/>
    <numFmt numFmtId="264" formatCode="#,##0.0\x_);\(#,##0.0\x\)"/>
    <numFmt numFmtId="265" formatCode="0.000000"/>
    <numFmt numFmtId="266" formatCode="mm/dd/yy\ hh:mm"/>
  </numFmts>
  <fonts count="244">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Times New Roman"/>
      <family val="1"/>
    </font>
    <font>
      <b/>
      <sz val="12"/>
      <name val="Times New Roman"/>
      <family val="1"/>
    </font>
    <font>
      <sz val="10"/>
      <name val="Arial"/>
      <family val="2"/>
    </font>
    <font>
      <b/>
      <i/>
      <sz val="12"/>
      <color indexed="12"/>
      <name val="Times New Roman"/>
      <family val="1"/>
    </font>
    <font>
      <i/>
      <sz val="12"/>
      <name val="Times New Roman"/>
      <family val="1"/>
    </font>
    <font>
      <b/>
      <sz val="24"/>
      <color indexed="12"/>
      <name val="Times New Roman"/>
      <family val="1"/>
    </font>
    <font>
      <b/>
      <sz val="18"/>
      <name val="Times New Roman"/>
      <family val="1"/>
    </font>
    <font>
      <b/>
      <sz val="14"/>
      <name val="Times New Roman"/>
      <family val="1"/>
    </font>
    <font>
      <b/>
      <i/>
      <sz val="12"/>
      <name val="Times New Roman"/>
      <family val="1"/>
    </font>
    <font>
      <u/>
      <sz val="10"/>
      <color indexed="12"/>
      <name val="Arial"/>
      <family val="2"/>
    </font>
    <font>
      <b/>
      <u/>
      <sz val="14"/>
      <color indexed="12"/>
      <name val="Times New Roman"/>
      <family val="1"/>
    </font>
    <font>
      <sz val="8"/>
      <name val="Univers"/>
      <family val="2"/>
    </font>
    <font>
      <sz val="10"/>
      <color indexed="8"/>
      <name val="MS Sans Serif"/>
      <family val="2"/>
    </font>
    <font>
      <sz val="10"/>
      <name val="MS Sans Serif"/>
      <family val="2"/>
    </font>
    <font>
      <b/>
      <sz val="10"/>
      <color indexed="8"/>
      <name val="Times New Roman"/>
      <family val="1"/>
    </font>
    <font>
      <sz val="11"/>
      <color indexed="8"/>
      <name val="Arial"/>
      <family val="2"/>
    </font>
    <font>
      <sz val="11"/>
      <color indexed="8"/>
      <name val="Calibri"/>
      <family val="2"/>
    </font>
    <font>
      <sz val="11"/>
      <color theme="1"/>
      <name val="Arial"/>
      <family val="2"/>
    </font>
    <font>
      <sz val="9"/>
      <name val="Times New Roman"/>
      <family val="1"/>
    </font>
    <font>
      <sz val="10"/>
      <color indexed="8"/>
      <name val="Times New Roman"/>
      <family val="1"/>
    </font>
    <font>
      <i/>
      <sz val="8"/>
      <name val="Times New Roman"/>
      <family val="1"/>
    </font>
    <font>
      <sz val="10"/>
      <name val="Courier"/>
      <family val="3"/>
    </font>
    <font>
      <b/>
      <sz val="9"/>
      <name val="Times New Roman"/>
      <family val="1"/>
    </font>
    <font>
      <b/>
      <sz val="9"/>
      <color indexed="12"/>
      <name val="Times New Roman"/>
      <family val="1"/>
    </font>
    <font>
      <b/>
      <u/>
      <sz val="9"/>
      <color indexed="12"/>
      <name val="Times New Roman"/>
      <family val="1"/>
    </font>
    <font>
      <sz val="9"/>
      <color indexed="8"/>
      <name val="Times New Roman"/>
      <family val="1"/>
    </font>
    <font>
      <sz val="9"/>
      <color indexed="10"/>
      <name val="Times New Roman"/>
      <family val="1"/>
    </font>
    <font>
      <sz val="8"/>
      <name val="Times New Roman"/>
      <family val="1"/>
    </font>
    <font>
      <b/>
      <sz val="8"/>
      <name val="Times New Roman"/>
      <family val="1"/>
    </font>
    <font>
      <sz val="10"/>
      <name val="Times New Roman"/>
      <family val="1"/>
    </font>
    <font>
      <b/>
      <sz val="10"/>
      <name val="Times New Roman"/>
      <family val="1"/>
    </font>
    <font>
      <sz val="18"/>
      <name val="Times New Roman"/>
      <family val="1"/>
    </font>
    <font>
      <b/>
      <sz val="18"/>
      <color indexed="12"/>
      <name val="Times New Roman"/>
      <family val="1"/>
    </font>
    <font>
      <sz val="10"/>
      <color indexed="12"/>
      <name val="Times New Roman"/>
      <family val="1"/>
    </font>
    <font>
      <b/>
      <sz val="9"/>
      <color indexed="8"/>
      <name val="Times New Roman"/>
      <family val="1"/>
    </font>
    <font>
      <sz val="9"/>
      <color indexed="12"/>
      <name val="Times New Roman"/>
      <family val="1"/>
    </font>
    <font>
      <sz val="8"/>
      <color indexed="8"/>
      <name val="Times New Roman"/>
      <family val="1"/>
    </font>
    <font>
      <sz val="10"/>
      <color indexed="10"/>
      <name val="Times New Roman"/>
      <family val="1"/>
    </font>
    <font>
      <sz val="8"/>
      <color indexed="12"/>
      <name val="Times New Roman"/>
      <family val="1"/>
    </font>
    <font>
      <b/>
      <sz val="8"/>
      <color indexed="8"/>
      <name val="Times New Roman"/>
      <family val="1"/>
    </font>
    <font>
      <b/>
      <u/>
      <sz val="10"/>
      <color indexed="12"/>
      <name val="Times New Roman"/>
      <family val="1"/>
    </font>
    <font>
      <b/>
      <sz val="12"/>
      <color indexed="12"/>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u/>
      <sz val="10"/>
      <color indexed="12"/>
      <name val="Times New Roman"/>
      <family val="1"/>
    </font>
    <font>
      <b/>
      <sz val="10"/>
      <name val="Arial"/>
      <family val="2"/>
    </font>
    <font>
      <i/>
      <sz val="10"/>
      <name val="Times New Roman"/>
      <family val="1"/>
    </font>
    <font>
      <i/>
      <sz val="10"/>
      <name val="Arial"/>
      <family val="2"/>
    </font>
    <font>
      <u/>
      <sz val="10"/>
      <name val="Arial"/>
      <family val="2"/>
    </font>
    <font>
      <b/>
      <u/>
      <sz val="10"/>
      <color indexed="12"/>
      <name val="Arial"/>
      <family val="2"/>
    </font>
    <font>
      <sz val="8"/>
      <name val="Arial"/>
      <family val="2"/>
    </font>
    <font>
      <b/>
      <sz val="8"/>
      <name val="Arial"/>
      <family val="2"/>
    </font>
    <font>
      <b/>
      <sz val="8"/>
      <color indexed="10"/>
      <name val="Arial"/>
      <family val="2"/>
    </font>
    <font>
      <sz val="12"/>
      <name val="Arial"/>
      <family val="2"/>
    </font>
    <font>
      <sz val="18"/>
      <name val="Arial"/>
      <family val="2"/>
    </font>
    <font>
      <b/>
      <sz val="18"/>
      <name val="Arial"/>
      <family val="2"/>
    </font>
    <font>
      <b/>
      <sz val="18"/>
      <color indexed="10"/>
      <name val="Arial"/>
      <family val="2"/>
    </font>
    <font>
      <b/>
      <sz val="18"/>
      <color indexed="12"/>
      <name val="Arial"/>
      <family val="2"/>
    </font>
    <font>
      <b/>
      <sz val="8"/>
      <color indexed="12"/>
      <name val="Times New Roman"/>
      <family val="1"/>
    </font>
    <font>
      <b/>
      <u/>
      <sz val="8"/>
      <color indexed="12"/>
      <name val="Times New Roman"/>
      <family val="1"/>
    </font>
    <font>
      <i/>
      <sz val="8"/>
      <color indexed="8"/>
      <name val="Times New Roman"/>
      <family val="1"/>
    </font>
    <font>
      <b/>
      <sz val="8"/>
      <color indexed="10"/>
      <name val="Times New Roman"/>
      <family val="1"/>
    </font>
    <font>
      <sz val="8"/>
      <color indexed="10"/>
      <name val="Times New Roman"/>
      <family val="1"/>
    </font>
    <font>
      <b/>
      <i/>
      <sz val="8"/>
      <name val="Times New Roman"/>
      <family val="1"/>
    </font>
    <font>
      <b/>
      <i/>
      <sz val="8"/>
      <color indexed="8"/>
      <name val="Times New Roman"/>
      <family val="1"/>
    </font>
    <font>
      <u/>
      <sz val="8"/>
      <name val="Times New Roman"/>
      <family val="1"/>
    </font>
    <font>
      <b/>
      <sz val="8"/>
      <color indexed="55"/>
      <name val="Times New Roman"/>
      <family val="1"/>
    </font>
    <font>
      <b/>
      <sz val="9"/>
      <color indexed="81"/>
      <name val="Arial"/>
      <family val="2"/>
    </font>
    <font>
      <sz val="9"/>
      <color indexed="81"/>
      <name val="Arial"/>
      <family val="2"/>
    </font>
    <font>
      <b/>
      <sz val="10"/>
      <color indexed="12"/>
      <name val="Times New Roman"/>
      <family val="1"/>
    </font>
    <font>
      <sz val="8"/>
      <color indexed="23"/>
      <name val="Times New Roman"/>
      <family val="1"/>
    </font>
    <font>
      <b/>
      <sz val="8"/>
      <color indexed="23"/>
      <name val="Times New Roman"/>
      <family val="1"/>
    </font>
    <font>
      <u/>
      <sz val="8"/>
      <color indexed="12"/>
      <name val="Times New Roman"/>
      <family val="1"/>
    </font>
    <font>
      <b/>
      <sz val="10"/>
      <color indexed="10"/>
      <name val="Times New Roman"/>
      <family val="1"/>
    </font>
    <font>
      <b/>
      <i/>
      <sz val="10"/>
      <name val="Times New Roman"/>
      <family val="1"/>
    </font>
    <font>
      <b/>
      <i/>
      <sz val="10"/>
      <color indexed="8"/>
      <name val="Times New Roman"/>
      <family val="1"/>
    </font>
    <font>
      <b/>
      <i/>
      <sz val="10"/>
      <color indexed="12"/>
      <name val="Times New Roman"/>
      <family val="1"/>
    </font>
    <font>
      <sz val="12"/>
      <color indexed="8"/>
      <name val="Times New Roman"/>
      <family val="1"/>
    </font>
    <font>
      <b/>
      <sz val="12"/>
      <color indexed="8"/>
      <name val="Times New Roman"/>
      <family val="1"/>
    </font>
    <font>
      <b/>
      <sz val="12"/>
      <color indexed="81"/>
      <name val="Tahoma"/>
      <family val="2"/>
    </font>
    <font>
      <sz val="12"/>
      <color indexed="81"/>
      <name val="Tahoma"/>
      <family val="2"/>
    </font>
    <font>
      <b/>
      <sz val="8"/>
      <color indexed="9"/>
      <name val="Times New Roman"/>
      <family val="1"/>
    </font>
    <font>
      <sz val="8"/>
      <color indexed="9"/>
      <name val="Times New Roman"/>
      <family val="1"/>
    </font>
    <font>
      <b/>
      <u/>
      <sz val="8"/>
      <name val="Times New Roman"/>
      <family val="1"/>
    </font>
    <font>
      <b/>
      <i/>
      <sz val="8"/>
      <color indexed="10"/>
      <name val="Times New Roman"/>
      <family val="1"/>
    </font>
    <font>
      <i/>
      <sz val="8"/>
      <color indexed="10"/>
      <name val="Times New Roman"/>
      <family val="1"/>
    </font>
    <font>
      <sz val="8"/>
      <color indexed="56"/>
      <name val="Times New Roman"/>
      <family val="1"/>
    </font>
    <font>
      <b/>
      <sz val="8"/>
      <color indexed="22"/>
      <name val="Times New Roman"/>
      <family val="1"/>
    </font>
    <font>
      <b/>
      <sz val="10"/>
      <color indexed="81"/>
      <name val="Tahoma"/>
      <family val="2"/>
    </font>
    <font>
      <sz val="10"/>
      <color indexed="81"/>
      <name val="Tahoma"/>
      <family val="2"/>
    </font>
    <font>
      <sz val="8"/>
      <color indexed="18"/>
      <name val="Times New Roman"/>
      <family val="1"/>
    </font>
    <font>
      <b/>
      <sz val="8"/>
      <color indexed="18"/>
      <name val="Times New Roman"/>
      <family val="1"/>
    </font>
    <font>
      <b/>
      <u val="singleAccounting"/>
      <sz val="8"/>
      <name val="Times New Roman"/>
      <family val="1"/>
    </font>
    <font>
      <sz val="8"/>
      <color indexed="40"/>
      <name val="Times New Roman"/>
      <family val="1"/>
    </font>
    <font>
      <i/>
      <sz val="8"/>
      <name val="Arial"/>
      <family val="2"/>
    </font>
    <font>
      <b/>
      <sz val="8"/>
      <color indexed="40"/>
      <name val="Times New Roman"/>
      <family val="1"/>
    </font>
    <font>
      <b/>
      <u/>
      <sz val="8"/>
      <name val="Arial"/>
      <family val="2"/>
    </font>
    <font>
      <sz val="10"/>
      <color indexed="62"/>
      <name val="Arial"/>
      <family val="2"/>
    </font>
    <font>
      <sz val="10"/>
      <color indexed="12"/>
      <name val="Arial"/>
      <family val="2"/>
    </font>
    <font>
      <b/>
      <sz val="10"/>
      <color indexed="9"/>
      <name val="Arial"/>
      <family val="2"/>
    </font>
    <font>
      <sz val="10"/>
      <color indexed="8"/>
      <name val="Arial"/>
      <family val="2"/>
    </font>
    <font>
      <sz val="9"/>
      <name val="Arial"/>
      <family val="2"/>
    </font>
    <font>
      <b/>
      <sz val="9"/>
      <name val="Arial"/>
      <family val="2"/>
    </font>
    <font>
      <sz val="10"/>
      <name val="Univers"/>
      <family val="2"/>
    </font>
    <font>
      <sz val="11"/>
      <name val="Arial"/>
      <family val="2"/>
    </font>
    <font>
      <b/>
      <sz val="11"/>
      <name val="Arial"/>
      <family val="2"/>
    </font>
    <font>
      <b/>
      <sz val="8"/>
      <color indexed="9"/>
      <name val="Arial"/>
      <family val="2"/>
    </font>
    <font>
      <sz val="8"/>
      <color indexed="12"/>
      <name val="Arial"/>
      <family val="2"/>
    </font>
    <font>
      <b/>
      <sz val="12"/>
      <name val="Arial"/>
      <family val="2"/>
    </font>
    <font>
      <b/>
      <sz val="11"/>
      <color rgb="FF000000"/>
      <name val="Book Antiqua"/>
      <family val="1"/>
    </font>
    <font>
      <sz val="8"/>
      <color rgb="FFFF0000"/>
      <name val="Times New Roman"/>
      <family val="1"/>
    </font>
    <font>
      <b/>
      <sz val="8"/>
      <color rgb="FFFF0000"/>
      <name val="Times New Roman"/>
      <family val="1"/>
    </font>
    <font>
      <sz val="10"/>
      <color rgb="FFFF0000"/>
      <name val="Times New Roman"/>
      <family val="1"/>
    </font>
    <font>
      <sz val="8"/>
      <color rgb="FFFF0000"/>
      <name val="Arial"/>
      <family val="2"/>
    </font>
    <font>
      <b/>
      <sz val="10"/>
      <color rgb="FF0000FF"/>
      <name val="Times New Roman"/>
      <family val="1"/>
    </font>
    <font>
      <sz val="8"/>
      <color rgb="FF0000FF"/>
      <name val="Times New Roman"/>
      <family val="1"/>
    </font>
    <font>
      <sz val="10"/>
      <color rgb="FF000000"/>
      <name val="Arial"/>
      <family val="2"/>
    </font>
    <font>
      <sz val="10"/>
      <color rgb="FF0000FF"/>
      <name val="Times New Roman"/>
      <family val="1"/>
    </font>
    <font>
      <b/>
      <sz val="8"/>
      <color rgb="FF0000FF"/>
      <name val="Arial"/>
      <family val="2"/>
    </font>
    <font>
      <i/>
      <sz val="8"/>
      <color indexed="12"/>
      <name val="Times New Roman"/>
      <family val="1"/>
    </font>
    <font>
      <sz val="8"/>
      <color rgb="FF0070C0"/>
      <name val="Times New Roman"/>
      <family val="1"/>
    </font>
    <font>
      <b/>
      <sz val="8"/>
      <color rgb="FF0000FF"/>
      <name val="Times New Roman"/>
      <family val="1"/>
    </font>
    <font>
      <sz val="10"/>
      <color theme="0" tint="-0.14999847407452621"/>
      <name val="Times New Roman"/>
      <family val="1"/>
    </font>
    <font>
      <sz val="8"/>
      <color rgb="FF0000CC"/>
      <name val="Times New Roman"/>
      <family val="1"/>
    </font>
    <font>
      <sz val="8"/>
      <color theme="4"/>
      <name val="Times New Roman"/>
      <family val="1"/>
    </font>
    <font>
      <b/>
      <u/>
      <sz val="8"/>
      <color rgb="FF0000FF"/>
      <name val="Arial"/>
      <family val="2"/>
    </font>
    <font>
      <b/>
      <sz val="8"/>
      <color theme="4"/>
      <name val="Times New Roman"/>
      <family val="1"/>
    </font>
    <font>
      <sz val="9"/>
      <color rgb="FFFF0000"/>
      <name val="Times New Roman"/>
      <family val="1"/>
    </font>
    <font>
      <sz val="8"/>
      <color indexed="8"/>
      <name val="Arial"/>
      <family val="2"/>
    </font>
    <font>
      <sz val="9"/>
      <color theme="4"/>
      <name val="Times New Roman"/>
      <family val="1"/>
    </font>
    <font>
      <sz val="10"/>
      <color theme="4"/>
      <name val="Arial"/>
      <family val="2"/>
    </font>
    <font>
      <sz val="10"/>
      <color rgb="FF0000CC"/>
      <name val="Times New Roman"/>
      <family val="1"/>
    </font>
    <font>
      <b/>
      <sz val="10"/>
      <color indexed="12"/>
      <name val="Arial"/>
      <family val="2"/>
    </font>
    <font>
      <sz val="8"/>
      <name val="Palatino"/>
      <family val="1"/>
    </font>
    <font>
      <sz val="12"/>
      <name val="palatino"/>
    </font>
    <font>
      <sz val="8"/>
      <name val="GS TheSans"/>
      <family val="2"/>
    </font>
    <font>
      <b/>
      <sz val="8"/>
      <name val="GS TheSans"/>
      <family val="2"/>
    </font>
    <font>
      <sz val="14"/>
      <name val="Terminal"/>
      <family val="3"/>
      <charset val="255"/>
    </font>
    <font>
      <sz val="11"/>
      <name val="??"/>
      <family val="1"/>
    </font>
    <font>
      <u/>
      <sz val="8.4"/>
      <color indexed="12"/>
      <name val="Arial"/>
      <family val="2"/>
    </font>
    <font>
      <sz val="10"/>
      <name val="MS ??"/>
      <family val="1"/>
    </font>
    <font>
      <sz val="11"/>
      <name val="‚l‚r ƒSƒVƒbƒN"/>
      <charset val="128"/>
    </font>
    <font>
      <sz val="10"/>
      <color indexed="8"/>
      <name val="Sabon"/>
      <family val="1"/>
    </font>
    <font>
      <sz val="12"/>
      <name val="Arial MT"/>
    </font>
    <font>
      <i/>
      <sz val="8"/>
      <color indexed="16"/>
      <name val="Arial"/>
      <family val="2"/>
    </font>
    <font>
      <i/>
      <sz val="8"/>
      <color indexed="54"/>
      <name val="Arial"/>
      <family val="2"/>
    </font>
    <font>
      <i/>
      <sz val="9"/>
      <color indexed="16"/>
      <name val="Arial"/>
      <family val="2"/>
    </font>
    <font>
      <sz val="9"/>
      <name val="AGaramond"/>
    </font>
    <font>
      <sz val="11"/>
      <name val="Times New Roman"/>
      <family val="1"/>
    </font>
    <font>
      <sz val="10"/>
      <name val="Helv"/>
    </font>
    <font>
      <sz val="8"/>
      <color indexed="13"/>
      <name val="Arial"/>
      <family val="2"/>
    </font>
    <font>
      <sz val="8"/>
      <name val="Tms Rmn"/>
      <family val="1"/>
    </font>
    <font>
      <sz val="10"/>
      <name val="Times"/>
      <family val="1"/>
    </font>
    <font>
      <sz val="8"/>
      <color indexed="12"/>
      <name val="Tms Rmn"/>
    </font>
    <font>
      <sz val="12"/>
      <name val="Tms Rmn"/>
      <family val="1"/>
    </font>
    <font>
      <i/>
      <sz val="10"/>
      <name val="Tms Rmn"/>
      <family val="1"/>
    </font>
    <font>
      <sz val="11"/>
      <name val="明朝"/>
      <family val="1"/>
      <charset val="128"/>
    </font>
    <font>
      <sz val="8"/>
      <name val="Tms Rmn"/>
    </font>
    <font>
      <sz val="10"/>
      <color indexed="18"/>
      <name val="Times New Roman"/>
      <family val="1"/>
    </font>
    <font>
      <b/>
      <sz val="7"/>
      <name val="TarzanaNarrow"/>
    </font>
    <font>
      <sz val="7"/>
      <name val="TarzanaNarrow"/>
    </font>
    <font>
      <sz val="11"/>
      <name val="Tms Rmn"/>
      <family val="1"/>
    </font>
    <font>
      <i/>
      <sz val="9"/>
      <name val="MS Sans Serif"/>
      <family val="2"/>
    </font>
    <font>
      <b/>
      <sz val="11"/>
      <name val="Times New Roman"/>
      <family val="1"/>
    </font>
    <font>
      <sz val="10"/>
      <name val="MS Serif"/>
      <family val="1"/>
    </font>
    <font>
      <b/>
      <sz val="14"/>
      <name val="Tms Rmn"/>
    </font>
    <font>
      <sz val="9"/>
      <name val="Helv"/>
    </font>
    <font>
      <sz val="12"/>
      <name val="TimesNewRomanPS"/>
    </font>
    <font>
      <sz val="10"/>
      <name val="TarzanaNarrow"/>
    </font>
    <font>
      <sz val="8"/>
      <name val="Helv"/>
    </font>
    <font>
      <sz val="10"/>
      <color indexed="16"/>
      <name val="MS Serif"/>
      <family val="1"/>
    </font>
    <font>
      <sz val="10"/>
      <color indexed="2"/>
      <name val="Tahoma"/>
      <family val="2"/>
    </font>
    <font>
      <sz val="14"/>
      <color indexed="32"/>
      <name val="Times New Roman"/>
      <family val="1"/>
    </font>
    <font>
      <b/>
      <sz val="10"/>
      <color indexed="0"/>
      <name val="Tahoma"/>
      <family val="2"/>
    </font>
    <font>
      <sz val="8"/>
      <color indexed="10"/>
      <name val="Arial"/>
      <family val="2"/>
    </font>
    <font>
      <sz val="7"/>
      <name val="Palatino"/>
      <family val="1"/>
    </font>
    <font>
      <i/>
      <sz val="8"/>
      <name val="Tms Rmn"/>
    </font>
    <font>
      <sz val="9"/>
      <name val="GillSans"/>
    </font>
    <font>
      <sz val="9"/>
      <name val="GillSans Light"/>
    </font>
    <font>
      <b/>
      <sz val="10"/>
      <color indexed="17"/>
      <name val="Helvetica"/>
      <family val="2"/>
    </font>
    <font>
      <sz val="9"/>
      <name val="Futura UBS Bk"/>
      <family val="2"/>
    </font>
    <font>
      <b/>
      <sz val="8"/>
      <color indexed="8"/>
      <name val="Arial"/>
      <family val="2"/>
    </font>
    <font>
      <b/>
      <sz val="10"/>
      <color indexed="8"/>
      <name val="News Gothic"/>
      <family val="2"/>
    </font>
    <font>
      <b/>
      <sz val="11"/>
      <name val="Tms Rmn"/>
    </font>
    <font>
      <b/>
      <sz val="12"/>
      <name val="Tms Rmn"/>
    </font>
    <font>
      <sz val="10"/>
      <name val="Tahoma"/>
      <family val="2"/>
    </font>
    <font>
      <sz val="10"/>
      <name val="GillSans Light"/>
    </font>
    <font>
      <b/>
      <sz val="13"/>
      <name val="Times New Roman"/>
      <family val="1"/>
    </font>
    <font>
      <b/>
      <sz val="12"/>
      <color indexed="17"/>
      <name val="Wingdings"/>
      <charset val="2"/>
    </font>
    <font>
      <b/>
      <i/>
      <sz val="10"/>
      <color indexed="4"/>
      <name val="Tahoma"/>
      <family val="2"/>
    </font>
    <font>
      <sz val="10"/>
      <color indexed="4"/>
      <name val="Tahoma"/>
      <family val="2"/>
    </font>
    <font>
      <b/>
      <sz val="12"/>
      <name val="Tms Rmn"/>
      <family val="1"/>
    </font>
    <font>
      <sz val="10"/>
      <name val="LucidaSans"/>
      <family val="2"/>
    </font>
    <font>
      <sz val="7"/>
      <name val="Helv"/>
    </font>
    <font>
      <sz val="7"/>
      <name val="Small Fonts"/>
      <family val="2"/>
    </font>
    <font>
      <b/>
      <i/>
      <sz val="16"/>
      <name val="Helv"/>
    </font>
    <font>
      <sz val="8"/>
      <name val="Helv"/>
      <family val="2"/>
    </font>
    <font>
      <sz val="10"/>
      <name val="Tms Rmn"/>
    </font>
    <font>
      <sz val="9"/>
      <name val="Tms Rmn"/>
    </font>
    <font>
      <b/>
      <sz val="10"/>
      <name val="MS Sans Serif"/>
      <family val="2"/>
    </font>
    <font>
      <b/>
      <sz val="9"/>
      <name val="TarzanaNarrow"/>
    </font>
    <font>
      <b/>
      <sz val="10"/>
      <name val="TarzanaNarrow"/>
    </font>
    <font>
      <sz val="9"/>
      <name val="Geneva"/>
    </font>
    <font>
      <b/>
      <sz val="9"/>
      <name val="Helv"/>
    </font>
    <font>
      <b/>
      <sz val="13.5"/>
      <name val="MS Sans Serif"/>
      <family val="2"/>
    </font>
    <font>
      <b/>
      <sz val="14.5"/>
      <name val="TarzanaNarrow"/>
    </font>
    <font>
      <sz val="10"/>
      <color indexed="16"/>
      <name val="Helvetica-Black"/>
    </font>
    <font>
      <i/>
      <sz val="9"/>
      <name val="Helv"/>
    </font>
    <font>
      <sz val="11"/>
      <name val="Helvetica-Light"/>
    </font>
    <font>
      <sz val="6"/>
      <color indexed="12"/>
      <name val="Tms Rmn"/>
      <family val="1"/>
    </font>
    <font>
      <sz val="8"/>
      <color indexed="32"/>
      <name val="Arial"/>
      <family val="2"/>
    </font>
    <font>
      <sz val="7"/>
      <color indexed="12"/>
      <name val="Arial"/>
      <family val="2"/>
    </font>
    <font>
      <sz val="8"/>
      <color indexed="12"/>
      <name val="Helvetica"/>
      <family val="2"/>
    </font>
    <font>
      <i/>
      <sz val="8"/>
      <name val="Univers"/>
      <family val="2"/>
    </font>
    <font>
      <b/>
      <sz val="8"/>
      <name val="Univers"/>
      <family val="2"/>
    </font>
    <font>
      <b/>
      <sz val="8"/>
      <name val="Verdana"/>
      <family val="2"/>
    </font>
    <font>
      <b/>
      <sz val="12"/>
      <color indexed="63"/>
      <name val="Arial"/>
      <family val="2"/>
    </font>
    <font>
      <b/>
      <u/>
      <sz val="9"/>
      <name val="Helv"/>
    </font>
    <font>
      <b/>
      <sz val="8"/>
      <color indexed="8"/>
      <name val="Helv"/>
      <family val="2"/>
    </font>
    <font>
      <b/>
      <sz val="9"/>
      <name val="Palatino"/>
      <family val="1"/>
    </font>
    <font>
      <sz val="9"/>
      <name val="Helvetica-Black"/>
    </font>
    <font>
      <sz val="8"/>
      <name val="Helvetica-Narrow"/>
      <family val="2"/>
    </font>
    <font>
      <b/>
      <sz val="7"/>
      <name val="Helvetica-Narrow"/>
      <family val="2"/>
    </font>
    <font>
      <b/>
      <sz val="10"/>
      <name val="‚l‚r –¾’©"/>
      <family val="1"/>
      <charset val="128"/>
    </font>
    <font>
      <sz val="9.5"/>
      <name val="TarzanaNarrow"/>
    </font>
    <font>
      <b/>
      <sz val="11"/>
      <color indexed="9"/>
      <name val="GillSans"/>
    </font>
    <font>
      <b/>
      <sz val="11"/>
      <name val="GillSans"/>
    </font>
    <font>
      <b/>
      <sz val="14"/>
      <name val="Tms Rmn"/>
      <family val="1"/>
    </font>
    <font>
      <b/>
      <sz val="7"/>
      <color indexed="12"/>
      <name val="Arial"/>
      <family val="2"/>
    </font>
    <font>
      <sz val="7"/>
      <color indexed="12"/>
      <name val="Tms Rmn"/>
      <family val="1"/>
    </font>
    <font>
      <sz val="8"/>
      <color indexed="16"/>
      <name val="Helv"/>
    </font>
    <font>
      <sz val="6"/>
      <name val="Tms Rmn"/>
      <family val="1"/>
    </font>
    <font>
      <sz val="8"/>
      <color theme="1"/>
      <name val="Times New Roman"/>
      <family val="1"/>
    </font>
    <font>
      <sz val="9"/>
      <color rgb="FF0070C0"/>
      <name val="Times New Roman"/>
      <family val="1"/>
    </font>
    <font>
      <b/>
      <sz val="10"/>
      <color rgb="FFFF0000"/>
      <name val="Times New Roman"/>
      <family val="1"/>
    </font>
    <font>
      <i/>
      <sz val="8"/>
      <color theme="0" tint="-0.249977111117893"/>
      <name val="Times New Roman"/>
      <family val="1"/>
    </font>
    <font>
      <b/>
      <sz val="12"/>
      <color rgb="FF000080"/>
      <name val="Arial"/>
      <family val="2"/>
    </font>
  </fonts>
  <fills count="33">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22"/>
        <bgColor indexed="64"/>
      </patternFill>
    </fill>
    <fill>
      <patternFill patternType="solid">
        <fgColor indexed="18"/>
        <bgColor indexed="64"/>
      </patternFill>
    </fill>
    <fill>
      <patternFill patternType="solid">
        <fgColor indexed="13"/>
        <bgColor indexed="64"/>
      </patternFill>
    </fill>
    <fill>
      <patternFill patternType="solid">
        <fgColor indexed="8"/>
        <bgColor indexed="64"/>
      </patternFill>
    </fill>
    <fill>
      <patternFill patternType="solid">
        <fgColor indexed="65"/>
        <bgColor indexed="64"/>
      </patternFill>
    </fill>
    <fill>
      <patternFill patternType="solid">
        <fgColor indexed="31"/>
        <bgColor indexed="64"/>
      </patternFill>
    </fill>
    <fill>
      <patternFill patternType="solid">
        <fgColor indexed="1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indexed="51"/>
        <bgColor indexed="64"/>
      </patternFill>
    </fill>
    <fill>
      <patternFill patternType="solid">
        <fgColor indexed="25"/>
        <bgColor indexed="64"/>
      </patternFill>
    </fill>
    <fill>
      <patternFill patternType="solid">
        <fgColor indexed="29"/>
        <bgColor indexed="64"/>
      </patternFill>
    </fill>
    <fill>
      <patternFill patternType="solid">
        <fgColor indexed="42"/>
        <bgColor indexed="64"/>
      </patternFill>
    </fill>
    <fill>
      <patternFill patternType="solid">
        <fgColor indexed="44"/>
        <bgColor indexed="64"/>
      </patternFill>
    </fill>
    <fill>
      <patternFill patternType="solid">
        <fgColor indexed="49"/>
        <bgColor indexed="64"/>
      </patternFill>
    </fill>
    <fill>
      <patternFill patternType="solid">
        <fgColor indexed="32"/>
        <bgColor indexed="64"/>
      </patternFill>
    </fill>
    <fill>
      <patternFill patternType="solid">
        <fgColor indexed="60"/>
        <bgColor indexed="64"/>
      </patternFill>
    </fill>
    <fill>
      <patternFill patternType="gray0625">
        <fgColor indexed="13"/>
        <bgColor indexed="9"/>
      </patternFill>
    </fill>
    <fill>
      <patternFill patternType="solid">
        <fgColor indexed="35"/>
        <bgColor indexed="64"/>
      </patternFill>
    </fill>
    <fill>
      <patternFill patternType="solid">
        <fgColor indexed="48"/>
      </patternFill>
    </fill>
    <fill>
      <patternFill patternType="solid">
        <fgColor indexed="26"/>
        <bgColor indexed="64"/>
      </patternFill>
    </fill>
    <fill>
      <patternFill patternType="solid">
        <fgColor indexed="15"/>
      </patternFill>
    </fill>
    <fill>
      <patternFill patternType="solid">
        <fgColor indexed="53"/>
        <bgColor indexed="64"/>
      </patternFill>
    </fill>
    <fill>
      <patternFill patternType="gray0625"/>
    </fill>
    <fill>
      <patternFill patternType="solid">
        <fgColor indexed="15"/>
        <bgColor indexed="64"/>
      </patternFill>
    </fill>
    <fill>
      <patternFill patternType="solid">
        <fgColor indexed="16"/>
        <bgColor indexed="64"/>
      </patternFill>
    </fill>
    <fill>
      <patternFill patternType="solid">
        <fgColor indexed="38"/>
        <bgColor indexed="64"/>
      </patternFill>
    </fill>
    <fill>
      <patternFill patternType="solid">
        <fgColor indexed="27"/>
        <bgColor indexed="64"/>
      </patternFill>
    </fill>
  </fills>
  <borders count="48">
    <border>
      <left/>
      <right/>
      <top/>
      <bottom/>
      <diagonal/>
    </border>
    <border>
      <left/>
      <right/>
      <top/>
      <bottom style="medium">
        <color indexed="8"/>
      </bottom>
      <diagonal/>
    </border>
    <border>
      <left/>
      <right/>
      <top/>
      <bottom style="medium">
        <color indexed="64"/>
      </bottom>
      <diagonal/>
    </border>
    <border>
      <left/>
      <right/>
      <top/>
      <bottom style="thin">
        <color indexed="8"/>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medium">
        <color indexed="64"/>
      </top>
      <bottom style="thin">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bottom/>
      <diagonal/>
    </border>
    <border>
      <left/>
      <right/>
      <top style="thin">
        <color indexed="64"/>
      </top>
      <bottom style="medium">
        <color indexed="64"/>
      </bottom>
      <diagonal/>
    </border>
    <border>
      <left/>
      <right/>
      <top style="hair">
        <color indexed="64"/>
      </top>
      <bottom style="hair">
        <color indexed="64"/>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style="double">
        <color indexed="64"/>
      </left>
      <right/>
      <top/>
      <bottom style="hair">
        <color indexed="64"/>
      </bottom>
      <diagonal/>
    </border>
    <border>
      <left style="thin">
        <color indexed="9"/>
      </left>
      <right style="thin">
        <color indexed="9"/>
      </right>
      <top style="thin">
        <color indexed="9"/>
      </top>
      <bottom style="thin">
        <color indexed="9"/>
      </bottom>
      <diagonal/>
    </border>
    <border>
      <left/>
      <right/>
      <top/>
      <bottom style="hair">
        <color indexed="64"/>
      </bottom>
      <diagonal/>
    </border>
    <border>
      <left style="medium">
        <color indexed="8"/>
      </left>
      <right style="medium">
        <color indexed="8"/>
      </right>
      <top/>
      <bottom/>
      <diagonal/>
    </border>
    <border>
      <left/>
      <right/>
      <top style="thin">
        <color indexed="8"/>
      </top>
      <bottom/>
      <diagonal/>
    </border>
    <border>
      <left/>
      <right/>
      <top/>
      <bottom style="dotted">
        <color indexed="64"/>
      </bottom>
      <diagonal/>
    </border>
    <border>
      <left style="hair">
        <color indexed="64"/>
      </left>
      <right style="hair">
        <color indexed="64"/>
      </right>
      <top style="hair">
        <color indexed="64"/>
      </top>
      <bottom style="hair">
        <color indexed="64"/>
      </bottom>
      <diagonal/>
    </border>
    <border>
      <left style="double">
        <color indexed="64"/>
      </left>
      <right style="double">
        <color indexed="64"/>
      </right>
      <top style="double">
        <color indexed="64"/>
      </top>
      <bottom style="double">
        <color indexed="64"/>
      </bottom>
      <diagonal/>
    </border>
    <border>
      <left/>
      <right/>
      <top style="dotted">
        <color indexed="64"/>
      </top>
      <bottom style="dotted">
        <color indexed="64"/>
      </bottom>
      <diagonal/>
    </border>
    <border>
      <left style="thin">
        <color indexed="9"/>
      </left>
      <right/>
      <top style="thin">
        <color indexed="9"/>
      </top>
      <bottom style="thin">
        <color indexed="23"/>
      </bottom>
      <diagonal/>
    </border>
    <border>
      <left style="thin">
        <color indexed="23"/>
      </left>
      <right style="dashed">
        <color indexed="9"/>
      </right>
      <top/>
      <bottom style="dashed">
        <color indexed="9"/>
      </bottom>
      <diagonal/>
    </border>
    <border>
      <left style="thick">
        <color indexed="64"/>
      </left>
      <right/>
      <top/>
      <bottom/>
      <diagonal/>
    </border>
    <border>
      <left/>
      <right/>
      <top style="thick">
        <color indexed="64"/>
      </top>
      <bottom/>
      <diagonal/>
    </border>
    <border>
      <left style="thick">
        <color indexed="64"/>
      </left>
      <right/>
      <top style="thick">
        <color indexed="64"/>
      </top>
      <bottom/>
      <diagonal/>
    </border>
    <border>
      <left/>
      <right/>
      <top/>
      <bottom style="thick">
        <color indexed="64"/>
      </bottom>
      <diagonal/>
    </border>
    <border>
      <left style="thick">
        <color indexed="64"/>
      </left>
      <right/>
      <top/>
      <bottom style="thick">
        <color indexed="64"/>
      </bottom>
      <diagonal/>
    </border>
    <border>
      <left style="medium">
        <color indexed="9"/>
      </left>
      <right style="medium">
        <color indexed="49"/>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18">
    <xf numFmtId="0" fontId="0" fillId="0" borderId="0" applyNumberFormat="0" applyFill="0" applyBorder="0" applyAlignment="0" applyProtection="0"/>
    <xf numFmtId="164" fontId="5" fillId="0" borderId="0" applyNumberFormat="0" applyFill="0" applyBorder="0" applyAlignment="0" applyProtection="0"/>
    <xf numFmtId="0" fontId="7" fillId="0" borderId="0" applyNumberFormat="0" applyFill="0" applyBorder="0" applyAlignment="0" applyProtection="0"/>
    <xf numFmtId="0" fontId="14" fillId="0" borderId="0" applyNumberFormat="0" applyFill="0" applyBorder="0" applyAlignment="0" applyProtection="0">
      <alignment vertical="top"/>
      <protection locked="0"/>
    </xf>
    <xf numFmtId="0" fontId="16" fillId="0" borderId="0" applyNumberFormat="0" applyFill="0" applyBorder="0" applyAlignment="0" applyProtection="0"/>
    <xf numFmtId="0" fontId="7" fillId="0" borderId="0" applyNumberFormat="0" applyFill="0" applyBorder="0" applyAlignment="0" applyProtection="0"/>
    <xf numFmtId="0" fontId="16" fillId="0" borderId="0" applyNumberFormat="0" applyFill="0" applyBorder="0" applyAlignment="0" applyProtection="0"/>
    <xf numFmtId="0" fontId="7" fillId="0" borderId="0" applyNumberFormat="0" applyFill="0" applyBorder="0" applyAlignment="0" applyProtection="0"/>
    <xf numFmtId="0" fontId="17" fillId="0" borderId="0" applyNumberFormat="0" applyFill="0" applyBorder="0" applyAlignment="0" applyProtection="0"/>
    <xf numFmtId="0" fontId="7" fillId="0" borderId="0"/>
    <xf numFmtId="0" fontId="7" fillId="0" borderId="0"/>
    <xf numFmtId="0" fontId="18" fillId="0" borderId="0"/>
    <xf numFmtId="0" fontId="18" fillId="0" borderId="0"/>
    <xf numFmtId="0" fontId="19" fillId="0" borderId="0"/>
    <xf numFmtId="0" fontId="19" fillId="0" borderId="0"/>
    <xf numFmtId="43" fontId="20"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21"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0" fontId="7" fillId="0" borderId="0"/>
    <xf numFmtId="0" fontId="7" fillId="0" borderId="0">
      <alignment vertical="top"/>
    </xf>
    <xf numFmtId="0" fontId="7" fillId="0" borderId="0">
      <alignment vertical="top"/>
    </xf>
    <xf numFmtId="0" fontId="7" fillId="0" borderId="0" applyNumberFormat="0" applyFill="0" applyBorder="0" applyAlignment="0" applyProtection="0"/>
    <xf numFmtId="0" fontId="7" fillId="0" borderId="0"/>
    <xf numFmtId="0" fontId="7" fillId="0" borderId="0"/>
    <xf numFmtId="0" fontId="7" fillId="0" borderId="0"/>
    <xf numFmtId="0" fontId="7" fillId="0" borderId="0">
      <alignment vertical="center"/>
    </xf>
    <xf numFmtId="0" fontId="7" fillId="0" borderId="0" applyFont="0" applyFill="0" applyBorder="0" applyAlignment="0" applyProtection="0"/>
    <xf numFmtId="0" fontId="22" fillId="0" borderId="0"/>
    <xf numFmtId="0" fontId="7" fillId="0" borderId="0"/>
    <xf numFmtId="0" fontId="22" fillId="0" borderId="0"/>
    <xf numFmtId="0" fontId="7" fillId="0" borderId="0"/>
    <xf numFmtId="0" fontId="7" fillId="0" borderId="0">
      <alignment vertical="center"/>
    </xf>
    <xf numFmtId="0" fontId="23" fillId="0" borderId="0">
      <alignment vertical="center"/>
    </xf>
    <xf numFmtId="9" fontId="20"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1" fillId="0" borderId="0" applyFont="0" applyFill="0" applyBorder="0" applyAlignment="0" applyProtection="0"/>
    <xf numFmtId="0" fontId="7" fillId="3" borderId="0" applyNumberFormat="0" applyFont="0" applyBorder="0" applyAlignment="0" applyProtection="0"/>
    <xf numFmtId="0" fontId="24" fillId="0" borderId="0"/>
    <xf numFmtId="0" fontId="24" fillId="0" borderId="0"/>
    <xf numFmtId="0" fontId="24" fillId="0" borderId="3">
      <alignment horizontal="centerContinuous"/>
    </xf>
    <xf numFmtId="0" fontId="24" fillId="0" borderId="3">
      <alignment horizontal="centerContinuous"/>
    </xf>
    <xf numFmtId="0" fontId="25" fillId="0" borderId="3"/>
    <xf numFmtId="0" fontId="26" fillId="0" borderId="0">
      <alignment vertical="center"/>
    </xf>
    <xf numFmtId="0" fontId="7" fillId="0" borderId="0" applyFont="0" applyFill="0" applyBorder="0" applyAlignment="0" applyProtection="0"/>
    <xf numFmtId="0"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4" fillId="0" borderId="0"/>
    <xf numFmtId="0" fontId="7" fillId="0" borderId="0"/>
    <xf numFmtId="0" fontId="18" fillId="0" borderId="0"/>
    <xf numFmtId="0" fontId="18" fillId="0" borderId="0"/>
    <xf numFmtId="0" fontId="19" fillId="0" borderId="0"/>
    <xf numFmtId="0" fontId="7" fillId="0" borderId="0">
      <alignment vertical="center"/>
    </xf>
    <xf numFmtId="0" fontId="7" fillId="0" borderId="0"/>
    <xf numFmtId="0" fontId="7" fillId="0" borderId="0">
      <alignment vertical="center"/>
    </xf>
    <xf numFmtId="0" fontId="24" fillId="0" borderId="0"/>
    <xf numFmtId="0" fontId="24" fillId="0" borderId="3">
      <alignment horizontal="centerContinuous"/>
    </xf>
    <xf numFmtId="0" fontId="3" fillId="0" borderId="0"/>
    <xf numFmtId="0" fontId="2" fillId="0" borderId="0"/>
    <xf numFmtId="9" fontId="7" fillId="0" borderId="0" applyFont="0" applyFill="0" applyBorder="0" applyAlignment="0" applyProtection="0"/>
    <xf numFmtId="0" fontId="7" fillId="0" borderId="0">
      <alignment vertical="center"/>
    </xf>
    <xf numFmtId="0"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7"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22"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95" fontId="140" fillId="0" borderId="0" applyFont="0" applyFill="0" applyBorder="0" applyAlignment="0" applyProtection="0">
      <alignment horizontal="right"/>
    </xf>
    <xf numFmtId="0" fontId="7" fillId="0" borderId="16" applyFont="0" applyFill="0" applyAlignment="0" applyProtection="0"/>
    <xf numFmtId="0" fontId="104" fillId="0" borderId="16" applyFill="0" applyAlignment="0" applyProtection="0"/>
    <xf numFmtId="0" fontId="7" fillId="0" borderId="16" applyNumberFormat="0" applyFill="0" applyAlignment="0" applyProtection="0"/>
    <xf numFmtId="0" fontId="7" fillId="0" borderId="16" applyNumberFormat="0" applyFill="0" applyProtection="0">
      <alignment wrapText="1"/>
    </xf>
    <xf numFmtId="0" fontId="58" fillId="0" borderId="0" applyNumberFormat="0" applyFill="0" applyBorder="0" applyAlignment="0" applyProtection="0"/>
    <xf numFmtId="0" fontId="52" fillId="0" borderId="16" applyNumberFormat="0" applyFill="0" applyProtection="0">
      <alignment horizontal="center"/>
    </xf>
    <xf numFmtId="0" fontId="7" fillId="0" borderId="0">
      <alignment vertical="center"/>
    </xf>
    <xf numFmtId="0" fontId="7" fillId="0" borderId="0">
      <alignment vertical="center"/>
    </xf>
    <xf numFmtId="9" fontId="21" fillId="0" borderId="0" applyFont="0" applyFill="0" applyBorder="0" applyAlignment="0" applyProtection="0"/>
    <xf numFmtId="9" fontId="7"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7" fillId="0" borderId="0" applyFill="0" applyAlignment="0">
      <protection locked="0"/>
    </xf>
    <xf numFmtId="0" fontId="2" fillId="0" borderId="0"/>
    <xf numFmtId="0" fontId="7" fillId="0" borderId="0"/>
    <xf numFmtId="0" fontId="7" fillId="0" borderId="0">
      <alignment vertical="top"/>
    </xf>
    <xf numFmtId="0" fontId="7" fillId="0" borderId="0">
      <alignment vertical="top"/>
    </xf>
    <xf numFmtId="0" fontId="60" fillId="0" borderId="0"/>
    <xf numFmtId="0" fontId="7" fillId="0" borderId="0">
      <alignment vertical="top"/>
    </xf>
    <xf numFmtId="0" fontId="7" fillId="0" borderId="0">
      <alignment vertical="top"/>
    </xf>
    <xf numFmtId="0" fontId="141" fillId="0" borderId="0" applyNumberFormat="0" applyAlignment="0" applyProtection="0"/>
    <xf numFmtId="0" fontId="108" fillId="0" borderId="0">
      <alignment vertical="top"/>
    </xf>
    <xf numFmtId="0" fontId="7" fillId="0" borderId="0"/>
    <xf numFmtId="0" fontId="7" fillId="0" borderId="0"/>
    <xf numFmtId="0" fontId="108" fillId="0" borderId="0">
      <alignment vertical="top"/>
    </xf>
    <xf numFmtId="0" fontId="7" fillId="0" borderId="0">
      <alignment vertical="top"/>
    </xf>
    <xf numFmtId="0" fontId="7" fillId="0" borderId="0">
      <alignment vertical="top"/>
    </xf>
    <xf numFmtId="0" fontId="7" fillId="0" borderId="0" applyFont="0" applyFill="0" applyBorder="0" applyAlignment="0" applyProtection="0"/>
    <xf numFmtId="0" fontId="7" fillId="0" borderId="0" applyFont="0" applyFill="0" applyBorder="0" applyAlignment="0" applyProtection="0"/>
    <xf numFmtId="43" fontId="7" fillId="0" borderId="0" applyFont="0" applyFill="0" applyBorder="0" applyAlignment="0" applyProtection="0"/>
    <xf numFmtId="9" fontId="114" fillId="0" borderId="0">
      <alignment horizontal="right"/>
    </xf>
    <xf numFmtId="5" fontId="7" fillId="0" borderId="0" applyFont="0" applyFill="0" applyBorder="0" applyAlignment="0" applyProtection="0"/>
    <xf numFmtId="8" fontId="7" fillId="0" borderId="0" applyFont="0" applyFill="0" applyBorder="0" applyAlignment="0" applyProtection="0"/>
    <xf numFmtId="196" fontId="32" fillId="0" borderId="0">
      <alignment horizontal="right"/>
    </xf>
    <xf numFmtId="197" fontId="32" fillId="0" borderId="0">
      <alignment horizontal="right"/>
    </xf>
    <xf numFmtId="198" fontId="32" fillId="0" borderId="0">
      <alignment horizontal="right"/>
    </xf>
    <xf numFmtId="0" fontId="142" fillId="0" borderId="22">
      <alignment vertical="top"/>
    </xf>
    <xf numFmtId="199" fontId="143" fillId="15" borderId="22">
      <alignment vertical="top"/>
    </xf>
    <xf numFmtId="10" fontId="7" fillId="0" borderId="0" applyFont="0" applyFill="0" applyBorder="0" applyAlignment="0" applyProtection="0"/>
    <xf numFmtId="0" fontId="17" fillId="0" borderId="0" applyNumberFormat="0" applyFont="0" applyFill="0" applyBorder="0" applyAlignment="0" applyProtection="0"/>
    <xf numFmtId="0" fontId="7" fillId="0" borderId="0"/>
    <xf numFmtId="0" fontId="17" fillId="0" borderId="0" applyNumberFormat="0" applyFont="0" applyFill="0" applyBorder="0" applyAlignment="0" applyProtection="0"/>
    <xf numFmtId="9" fontId="7" fillId="0" borderId="0" applyFont="0" applyFill="0" applyBorder="0" applyAlignment="0" applyProtection="0"/>
    <xf numFmtId="0" fontId="17" fillId="0" borderId="0" applyNumberFormat="0" applyFont="0" applyFill="0" applyBorder="0" applyAlignment="0" applyProtection="0"/>
    <xf numFmtId="0" fontId="17" fillId="0" borderId="0" applyNumberFormat="0" applyFont="0" applyFill="0" applyBorder="0" applyAlignment="0" applyProtection="0"/>
    <xf numFmtId="0" fontId="17" fillId="0" borderId="0" applyNumberFormat="0" applyFont="0" applyFill="0" applyBorder="0" applyAlignment="0" applyProtection="0"/>
    <xf numFmtId="0" fontId="17" fillId="0" borderId="0" applyNumberFormat="0" applyFont="0" applyFill="0" applyBorder="0" applyAlignment="0" applyProtection="0"/>
    <xf numFmtId="0" fontId="7" fillId="0" borderId="0"/>
    <xf numFmtId="0" fontId="17" fillId="0" borderId="0" applyNumberFormat="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42" fontId="7" fillId="0" borderId="0" applyFont="0" applyFill="0" applyBorder="0" applyAlignment="0" applyProtection="0"/>
    <xf numFmtId="200" fontId="144" fillId="0" borderId="0" applyFont="0" applyFill="0" applyBorder="0" applyAlignment="0" applyProtection="0"/>
    <xf numFmtId="201" fontId="7" fillId="0" borderId="0" applyFont="0" applyFill="0" applyBorder="0" applyAlignment="0" applyProtection="0"/>
    <xf numFmtId="40" fontId="145" fillId="0" borderId="0" applyFont="0" applyFill="0" applyBorder="0" applyAlignment="0" applyProtection="0"/>
    <xf numFmtId="0" fontId="146" fillId="0" borderId="0" applyNumberFormat="0" applyFill="0" applyBorder="0" applyAlignment="0" applyProtection="0">
      <alignment vertical="top"/>
      <protection locked="0"/>
    </xf>
    <xf numFmtId="0" fontId="7" fillId="0" borderId="0" applyFont="0" applyFill="0" applyBorder="0" applyAlignment="0" applyProtection="0"/>
    <xf numFmtId="0" fontId="147" fillId="0" borderId="0"/>
    <xf numFmtId="0" fontId="7" fillId="0" borderId="0" applyFont="0" applyFill="0" applyBorder="0" applyAlignment="0" applyProtection="0"/>
    <xf numFmtId="3" fontId="108" fillId="0" borderId="0"/>
    <xf numFmtId="0" fontId="107" fillId="0" borderId="0">
      <alignment vertical="top"/>
    </xf>
    <xf numFmtId="0" fontId="107" fillId="0" borderId="0">
      <alignment vertical="top"/>
    </xf>
    <xf numFmtId="0" fontId="107" fillId="0" borderId="0">
      <alignment vertical="top"/>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7" fillId="0" borderId="0"/>
    <xf numFmtId="0" fontId="7" fillId="0" borderId="0" applyFill="0" applyAlignment="0">
      <protection locked="0"/>
    </xf>
    <xf numFmtId="0" fontId="7" fillId="0" borderId="0" applyNumberFormat="0" applyFill="0" applyBorder="0" applyAlignment="0" applyProtection="0"/>
    <xf numFmtId="0" fontId="7" fillId="0" borderId="0" applyNumberFormat="0" applyFill="0" applyBorder="0" applyAlignment="0" applyProtection="0"/>
    <xf numFmtId="0" fontId="7" fillId="0" borderId="0"/>
    <xf numFmtId="0" fontId="7" fillId="0" borderId="0" applyFill="0" applyAlignment="0">
      <protection locked="0"/>
    </xf>
    <xf numFmtId="0" fontId="7" fillId="0" borderId="0"/>
    <xf numFmtId="0" fontId="7" fillId="0" borderId="0" applyNumberForma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applyNumberFormat="0" applyFill="0" applyBorder="0" applyAlignment="0" applyProtection="0"/>
    <xf numFmtId="0" fontId="7" fillId="0" borderId="0" applyFont="0" applyFill="0" applyBorder="0" applyAlignment="0" applyProtection="0"/>
    <xf numFmtId="0" fontId="26" fillId="0" borderId="0">
      <alignment vertical="center"/>
    </xf>
    <xf numFmtId="0" fontId="7" fillId="0" borderId="0">
      <alignment vertical="top"/>
    </xf>
    <xf numFmtId="0" fontId="7" fillId="0" borderId="0">
      <alignment vertical="top"/>
    </xf>
    <xf numFmtId="0" fontId="7" fillId="0" borderId="0">
      <alignment vertical="top"/>
    </xf>
    <xf numFmtId="0" fontId="7" fillId="0" borderId="0" applyFill="0" applyAlignment="0">
      <protection locked="0"/>
    </xf>
    <xf numFmtId="0" fontId="7" fillId="0" borderId="0" applyFont="0" applyFill="0" applyBorder="0" applyAlignment="0" applyProtection="0"/>
    <xf numFmtId="0" fontId="7" fillId="0" borderId="0"/>
    <xf numFmtId="0" fontId="7" fillId="0" borderId="0"/>
    <xf numFmtId="0" fontId="7" fillId="0" borderId="0">
      <alignment vertical="top"/>
    </xf>
    <xf numFmtId="0" fontId="7" fillId="0" borderId="0">
      <alignment vertical="top"/>
    </xf>
    <xf numFmtId="0" fontId="7" fillId="0" borderId="0">
      <alignment vertical="top"/>
    </xf>
    <xf numFmtId="0" fontId="26" fillId="0" borderId="0">
      <alignment vertical="center"/>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alignment vertical="top"/>
    </xf>
    <xf numFmtId="0" fontId="7" fillId="0" borderId="0">
      <alignment vertical="top"/>
    </xf>
    <xf numFmtId="0" fontId="7" fillId="0" borderId="0">
      <alignment vertical="top"/>
    </xf>
    <xf numFmtId="0" fontId="26" fillId="0" borderId="0">
      <alignment vertical="center"/>
    </xf>
    <xf numFmtId="0" fontId="7" fillId="0" borderId="0" applyFont="0" applyFill="0" applyBorder="0" applyAlignment="0" applyProtection="0"/>
    <xf numFmtId="0" fontId="7" fillId="0" borderId="0" applyFont="0" applyFill="0" applyBorder="0" applyAlignment="0" applyProtection="0"/>
    <xf numFmtId="202" fontId="5" fillId="0" borderId="0" applyFont="0" applyFill="0" applyBorder="0" applyAlignment="0" applyProtection="0"/>
    <xf numFmtId="203" fontId="5" fillId="0" borderId="0" applyFont="0" applyFill="0" applyBorder="0" applyAlignment="0" applyProtection="0"/>
    <xf numFmtId="0" fontId="148" fillId="0" borderId="0"/>
    <xf numFmtId="0" fontId="34" fillId="0" borderId="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xf numFmtId="0" fontId="18" fillId="0" borderId="0"/>
    <xf numFmtId="9" fontId="7" fillId="0" borderId="0"/>
    <xf numFmtId="0" fontId="18" fillId="0" borderId="0"/>
    <xf numFmtId="0" fontId="18" fillId="0" borderId="0"/>
    <xf numFmtId="0" fontId="18" fillId="0" borderId="0"/>
    <xf numFmtId="2" fontId="18" fillId="0" borderId="0"/>
    <xf numFmtId="10" fontId="18" fillId="0" borderId="0"/>
    <xf numFmtId="2"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04" fontId="18" fillId="0" borderId="0"/>
    <xf numFmtId="0" fontId="18" fillId="0" borderId="0"/>
    <xf numFmtId="204" fontId="18" fillId="0" borderId="0"/>
    <xf numFmtId="204"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4" fontId="7" fillId="0" borderId="0"/>
    <xf numFmtId="0" fontId="149" fillId="0" borderId="0">
      <alignment horizontal="left"/>
    </xf>
    <xf numFmtId="0" fontId="149" fillId="0" borderId="0">
      <alignment horizontal="left"/>
    </xf>
    <xf numFmtId="170" fontId="18" fillId="0" borderId="15">
      <alignment horizontal="center"/>
    </xf>
    <xf numFmtId="37" fontId="150" fillId="0" borderId="0">
      <alignment horizontal="center"/>
    </xf>
    <xf numFmtId="174" fontId="111" fillId="4" borderId="0" applyFont="0" applyBorder="0"/>
    <xf numFmtId="0" fontId="23" fillId="5" borderId="0"/>
    <xf numFmtId="174" fontId="111" fillId="16" borderId="0" applyNumberFormat="0" applyFont="0" applyBorder="0" applyAlignment="0" applyProtection="0"/>
    <xf numFmtId="174" fontId="26" fillId="17" borderId="0" applyNumberFormat="0" applyFont="0" applyBorder="0" applyAlignment="0" applyProtection="0"/>
    <xf numFmtId="174" fontId="57" fillId="9" borderId="0" applyBorder="0"/>
    <xf numFmtId="174" fontId="7" fillId="0" borderId="23" applyNumberFormat="0" applyBorder="0" applyAlignment="0" applyProtection="0"/>
    <xf numFmtId="169" fontId="114" fillId="0" borderId="0" applyBorder="0">
      <alignment horizontal="right"/>
    </xf>
    <xf numFmtId="169" fontId="57" fillId="0" borderId="23" applyBorder="0">
      <alignment horizontal="right"/>
    </xf>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74" fontId="7" fillId="0" borderId="23" applyNumberFormat="0" applyBorder="0" applyAlignment="0" applyProtection="0"/>
    <xf numFmtId="166" fontId="151" fillId="0" borderId="0" applyBorder="0">
      <alignment horizontal="right"/>
    </xf>
    <xf numFmtId="166" fontId="152" fillId="0" borderId="23" applyBorder="0">
      <alignment horizontal="right"/>
    </xf>
    <xf numFmtId="174" fontId="153" fillId="0" borderId="0">
      <alignment horizontal="left" indent="1"/>
    </xf>
    <xf numFmtId="174" fontId="112" fillId="0" borderId="12" applyBorder="0"/>
    <xf numFmtId="174" fontId="111" fillId="3" borderId="23" applyNumberFormat="0" applyFont="0" applyBorder="0" applyAlignment="0" applyProtection="0"/>
    <xf numFmtId="169" fontId="109" fillId="14" borderId="12" applyBorder="0">
      <alignment horizontal="right"/>
    </xf>
    <xf numFmtId="169" fontId="109" fillId="0" borderId="12" applyBorder="0">
      <alignment horizontal="right"/>
    </xf>
    <xf numFmtId="174" fontId="108" fillId="0" borderId="23" applyNumberFormat="0" applyBorder="0" applyAlignment="0" applyProtection="0"/>
    <xf numFmtId="0" fontId="109" fillId="4" borderId="24" applyBorder="0">
      <alignment horizontal="center"/>
    </xf>
    <xf numFmtId="205" fontId="40" fillId="0" borderId="0" applyFont="0" applyFill="0" applyBorder="0" applyAlignment="0" applyProtection="0"/>
    <xf numFmtId="206" fontId="52" fillId="18" borderId="25">
      <alignment horizontal="center" vertical="center"/>
    </xf>
    <xf numFmtId="0" fontId="7" fillId="0" borderId="0"/>
    <xf numFmtId="0" fontId="154" fillId="0" borderId="0"/>
    <xf numFmtId="207" fontId="155" fillId="0" borderId="0"/>
    <xf numFmtId="0" fontId="156" fillId="0" borderId="0"/>
    <xf numFmtId="0" fontId="57" fillId="0" borderId="26" applyNumberFormat="0" applyFill="0" applyAlignment="0" applyProtection="0"/>
    <xf numFmtId="183" fontId="7" fillId="19" borderId="16" applyNumberFormat="0" applyFont="0" applyAlignment="0" applyProtection="0"/>
    <xf numFmtId="208" fontId="142" fillId="0" borderId="22">
      <alignment vertical="top"/>
    </xf>
    <xf numFmtId="1" fontId="157" fillId="20" borderId="10" applyNumberFormat="0" applyBorder="0" applyAlignment="0">
      <alignment horizontal="center" vertical="top" wrapText="1"/>
      <protection hidden="1"/>
    </xf>
    <xf numFmtId="37" fontId="158" fillId="0" borderId="0" applyNumberFormat="0" applyFill="0" applyBorder="0" applyAlignment="0" applyProtection="0"/>
    <xf numFmtId="0" fontId="7" fillId="0" borderId="0" applyNumberFormat="0" applyFill="0" applyBorder="0" applyAlignment="0" applyProtection="0"/>
    <xf numFmtId="164" fontId="159" fillId="0" borderId="0"/>
    <xf numFmtId="209" fontId="57" fillId="0" borderId="0" applyNumberFormat="0" applyFont="0" applyAlignment="0"/>
    <xf numFmtId="0" fontId="160" fillId="0" borderId="0" applyNumberFormat="0" applyFill="0" applyBorder="0" applyAlignment="0" applyProtection="0"/>
    <xf numFmtId="210" fontId="32" fillId="0" borderId="0">
      <alignment horizontal="right"/>
    </xf>
    <xf numFmtId="0" fontId="161" fillId="0" borderId="0" applyNumberFormat="0" applyFill="0" applyBorder="0" applyAlignment="0" applyProtection="0"/>
    <xf numFmtId="0" fontId="6" fillId="0" borderId="4" applyNumberFormat="0" applyFill="0" applyAlignment="0" applyProtection="0"/>
    <xf numFmtId="211" fontId="32" fillId="0" borderId="27" applyNumberFormat="0" applyFont="0" applyFill="0" applyAlignment="0" applyProtection="0"/>
    <xf numFmtId="0" fontId="7" fillId="0" borderId="4" applyNumberFormat="0" applyFont="0" applyFill="0" applyAlignment="0" applyProtection="0"/>
    <xf numFmtId="0" fontId="7" fillId="0" borderId="10" applyNumberFormat="0" applyFont="0" applyFill="0" applyAlignment="0" applyProtection="0"/>
    <xf numFmtId="0" fontId="7" fillId="0" borderId="9" applyNumberFormat="0" applyFont="0" applyFill="0" applyAlignment="0" applyProtection="0"/>
    <xf numFmtId="0" fontId="7" fillId="0" borderId="12" applyNumberFormat="0" applyFont="0" applyFill="0" applyAlignment="0" applyProtection="0"/>
    <xf numFmtId="169" fontId="57" fillId="0" borderId="28" applyNumberFormat="0" applyFont="0" applyFill="0" applyAlignment="0" applyProtection="0"/>
    <xf numFmtId="0" fontId="13" fillId="0" borderId="29" applyFill="0" applyProtection="0">
      <alignment horizontal="right"/>
    </xf>
    <xf numFmtId="37" fontId="162" fillId="0" borderId="0" applyNumberFormat="0" applyFill="0" applyBorder="0" applyAlignment="0" applyProtection="0">
      <alignment horizontal="center"/>
    </xf>
    <xf numFmtId="212" fontId="57" fillId="0" borderId="0"/>
    <xf numFmtId="213" fontId="5"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57" fillId="0" borderId="0"/>
    <xf numFmtId="214" fontId="163" fillId="0" borderId="0" applyFill="0" applyBorder="0" applyAlignment="0"/>
    <xf numFmtId="0" fontId="164" fillId="0" borderId="0">
      <alignment horizontal="right"/>
    </xf>
    <xf numFmtId="198" fontId="164" fillId="0" borderId="0"/>
    <xf numFmtId="1" fontId="165" fillId="0" borderId="0"/>
    <xf numFmtId="215" fontId="57" fillId="21" borderId="0">
      <alignment horizontal="right" vertical="center"/>
    </xf>
    <xf numFmtId="49" fontId="166" fillId="0" borderId="0">
      <alignment horizontal="right" vertical="center"/>
    </xf>
    <xf numFmtId="49" fontId="167" fillId="0" borderId="0">
      <alignment horizontal="right" vertical="center"/>
    </xf>
    <xf numFmtId="168" fontId="58" fillId="0" borderId="0" applyBorder="0">
      <alignment horizontal="right"/>
    </xf>
    <xf numFmtId="168" fontId="58" fillId="0" borderId="2" applyAlignment="0">
      <alignment horizontal="right"/>
    </xf>
    <xf numFmtId="0" fontId="7" fillId="0" borderId="0"/>
    <xf numFmtId="216" fontId="168" fillId="0" borderId="0"/>
    <xf numFmtId="216" fontId="168" fillId="0" borderId="0"/>
    <xf numFmtId="216" fontId="168" fillId="0" borderId="0"/>
    <xf numFmtId="216" fontId="168" fillId="0" borderId="0"/>
    <xf numFmtId="216" fontId="168" fillId="0" borderId="0"/>
    <xf numFmtId="216" fontId="168" fillId="0" borderId="0"/>
    <xf numFmtId="216" fontId="168" fillId="0" borderId="0"/>
    <xf numFmtId="217" fontId="32" fillId="0" borderId="0"/>
    <xf numFmtId="217" fontId="32" fillId="0" borderId="0"/>
    <xf numFmtId="218" fontId="140" fillId="0" borderId="0" applyFont="0" applyFill="0" applyBorder="0" applyAlignment="0" applyProtection="0">
      <alignment horizontal="right"/>
    </xf>
    <xf numFmtId="40" fontId="7" fillId="0" borderId="0" applyFont="0" applyFill="0" applyBorder="0" applyProtection="0">
      <alignment horizontal="right"/>
    </xf>
    <xf numFmtId="169" fontId="32" fillId="0" borderId="0"/>
    <xf numFmtId="4" fontId="32" fillId="0" borderId="0"/>
    <xf numFmtId="219" fontId="32" fillId="0" borderId="0"/>
    <xf numFmtId="0" fontId="169" fillId="0" borderId="0"/>
    <xf numFmtId="0" fontId="170" fillId="0" borderId="0" applyFill="0" applyBorder="0">
      <alignment horizontal="left"/>
    </xf>
    <xf numFmtId="0" fontId="171" fillId="0" borderId="0" applyNumberFormat="0" applyAlignment="0">
      <alignment horizontal="left"/>
    </xf>
    <xf numFmtId="0" fontId="7" fillId="0" borderId="0"/>
    <xf numFmtId="0" fontId="7" fillId="0" borderId="0"/>
    <xf numFmtId="220" fontId="32" fillId="0" borderId="0"/>
    <xf numFmtId="170" fontId="6" fillId="0" borderId="0" applyFont="0" applyFill="0" applyBorder="0" applyAlignment="0">
      <alignment horizontal="center" wrapText="1"/>
    </xf>
    <xf numFmtId="8" fontId="32" fillId="0" borderId="0" applyFont="0" applyFill="0" applyBorder="0" applyAlignment="0" applyProtection="0">
      <alignment horizontal="left"/>
    </xf>
    <xf numFmtId="221" fontId="140" fillId="0" borderId="0" applyFont="0" applyFill="0" applyBorder="0" applyAlignment="0" applyProtection="0">
      <alignment horizontal="right"/>
    </xf>
    <xf numFmtId="44" fontId="21" fillId="0" borderId="0" applyFont="0" applyFill="0" applyBorder="0" applyAlignment="0" applyProtection="0"/>
    <xf numFmtId="222" fontId="172" fillId="0" borderId="0" applyFont="0" applyFill="0" applyBorder="0" applyAlignment="0" applyProtection="0"/>
    <xf numFmtId="223" fontId="5" fillId="0" borderId="0" applyFont="0" applyFill="0" applyBorder="0" applyAlignment="0" applyProtection="0"/>
    <xf numFmtId="2" fontId="173" fillId="0" borderId="0" applyNumberFormat="0" applyFill="0" applyBorder="0" applyAlignment="0" applyProtection="0">
      <protection locked="0"/>
    </xf>
    <xf numFmtId="2" fontId="156" fillId="0" borderId="0" applyNumberFormat="0" applyFill="0" applyBorder="0" applyProtection="0">
      <alignment horizontal="left"/>
    </xf>
    <xf numFmtId="14" fontId="174" fillId="0" borderId="0"/>
    <xf numFmtId="224" fontId="140" fillId="0" borderId="0" applyFont="0" applyFill="0" applyBorder="0" applyAlignment="0" applyProtection="0"/>
    <xf numFmtId="0" fontId="175" fillId="0" borderId="0"/>
    <xf numFmtId="225" fontId="32" fillId="0" borderId="0">
      <alignment horizontal="right"/>
    </xf>
    <xf numFmtId="14" fontId="174" fillId="0" borderId="0"/>
    <xf numFmtId="0" fontId="34" fillId="0" borderId="0"/>
    <xf numFmtId="1" fontId="18" fillId="0" borderId="0">
      <alignment horizontal="center"/>
      <protection locked="0"/>
    </xf>
    <xf numFmtId="0" fontId="176" fillId="0" borderId="0"/>
    <xf numFmtId="1" fontId="34" fillId="0" borderId="0" applyFont="0" applyFill="0" applyBorder="0" applyAlignment="0" applyProtection="0">
      <alignment horizontal="right"/>
    </xf>
    <xf numFmtId="0" fontId="32" fillId="0" borderId="0"/>
    <xf numFmtId="226" fontId="32" fillId="0" borderId="0">
      <alignment horizontal="right"/>
    </xf>
    <xf numFmtId="227" fontId="32" fillId="0" borderId="0">
      <alignment horizontal="right"/>
    </xf>
    <xf numFmtId="228" fontId="32" fillId="0" borderId="0">
      <alignment horizontal="right"/>
    </xf>
    <xf numFmtId="229" fontId="142" fillId="0" borderId="0" applyFill="0" applyBorder="0"/>
    <xf numFmtId="0" fontId="32" fillId="0" borderId="0"/>
    <xf numFmtId="201" fontId="7" fillId="0" borderId="0" applyFont="0" applyFill="0" applyBorder="0" applyAlignment="0" applyProtection="0"/>
    <xf numFmtId="43" fontId="7" fillId="0" borderId="0" applyFont="0" applyFill="0" applyBorder="0" applyAlignment="0" applyProtection="0"/>
    <xf numFmtId="0" fontId="164" fillId="0" borderId="0"/>
    <xf numFmtId="5" fontId="107" fillId="0" borderId="0" applyFont="0" applyFill="0" applyBorder="0" applyAlignment="0" applyProtection="0">
      <protection locked="0"/>
    </xf>
    <xf numFmtId="230" fontId="140" fillId="0" borderId="30" applyNumberFormat="0" applyFont="0" applyFill="0" applyAlignment="0" applyProtection="0"/>
    <xf numFmtId="231" fontId="40" fillId="0" borderId="12" applyNumberFormat="0" applyBorder="0"/>
    <xf numFmtId="232" fontId="143" fillId="15" borderId="22">
      <alignment horizontal="right" vertical="top"/>
    </xf>
    <xf numFmtId="233" fontId="142" fillId="0" borderId="22" applyAlignment="0">
      <alignment horizontal="right" vertical="top"/>
    </xf>
    <xf numFmtId="0" fontId="177" fillId="0" borderId="0" applyNumberFormat="0" applyAlignment="0">
      <alignment horizontal="left"/>
    </xf>
    <xf numFmtId="0" fontId="7" fillId="22" borderId="31" applyNumberFormat="0" applyFont="0" applyAlignment="0">
      <protection locked="0"/>
    </xf>
    <xf numFmtId="7" fontId="18" fillId="0" borderId="0" applyBorder="0">
      <alignment horizontal="center"/>
    </xf>
    <xf numFmtId="234" fontId="7" fillId="0" borderId="0" applyFont="0" applyFill="0" applyBorder="0" applyAlignment="0" applyProtection="0"/>
    <xf numFmtId="177" fontId="34" fillId="0" borderId="0" applyFont="0" applyFill="0" applyBorder="0" applyAlignment="0" applyProtection="0"/>
    <xf numFmtId="0" fontId="178" fillId="0" borderId="0"/>
    <xf numFmtId="1" fontId="179" fillId="23" borderId="13" applyNumberFormat="0" applyBorder="0" applyAlignment="0">
      <alignment horizontal="centerContinuous" vertical="center"/>
      <protection locked="0"/>
    </xf>
    <xf numFmtId="174" fontId="34" fillId="0" borderId="0" applyFont="0" applyFill="0" applyBorder="0" applyAlignment="0" applyProtection="0">
      <alignment horizontal="right"/>
    </xf>
    <xf numFmtId="0" fontId="180" fillId="24" borderId="0"/>
    <xf numFmtId="0" fontId="164" fillId="0" borderId="0"/>
    <xf numFmtId="49" fontId="166" fillId="0" borderId="0"/>
    <xf numFmtId="169" fontId="181" fillId="0" borderId="0" applyNumberFormat="0" applyFill="0" applyBorder="0" applyAlignment="0" applyProtection="0"/>
    <xf numFmtId="0" fontId="182" fillId="0" borderId="0" applyFill="0" applyBorder="0" applyProtection="0">
      <alignment horizontal="left"/>
    </xf>
    <xf numFmtId="0" fontId="183" fillId="0" borderId="0"/>
    <xf numFmtId="0" fontId="35" fillId="0" borderId="4" applyProtection="0">
      <alignment horizontal="center"/>
    </xf>
    <xf numFmtId="49" fontId="57"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0" fontId="184" fillId="0" borderId="0"/>
    <xf numFmtId="0" fontId="185" fillId="0" borderId="0"/>
    <xf numFmtId="0" fontId="186" fillId="0" borderId="0"/>
    <xf numFmtId="38" fontId="57" fillId="4" borderId="0" applyNumberFormat="0" applyBorder="0" applyAlignment="0" applyProtection="0"/>
    <xf numFmtId="164" fontId="111" fillId="0" borderId="0">
      <alignment horizontal="left"/>
    </xf>
    <xf numFmtId="235" fontId="142" fillId="0" borderId="0">
      <alignment horizontal="left"/>
    </xf>
    <xf numFmtId="164" fontId="111" fillId="0" borderId="0">
      <alignment horizontal="left"/>
    </xf>
    <xf numFmtId="235" fontId="142" fillId="0" borderId="0">
      <alignment horizontal="left"/>
    </xf>
    <xf numFmtId="164" fontId="111" fillId="0" borderId="0">
      <alignment horizontal="left"/>
    </xf>
    <xf numFmtId="164" fontId="111" fillId="0" borderId="0">
      <alignment horizontal="left"/>
    </xf>
    <xf numFmtId="236" fontId="142" fillId="0" borderId="0">
      <alignment horizontal="left"/>
    </xf>
    <xf numFmtId="236" fontId="142" fillId="0" borderId="0">
      <alignment horizontal="left"/>
    </xf>
    <xf numFmtId="235" fontId="142" fillId="0" borderId="0">
      <alignment horizontal="left"/>
    </xf>
    <xf numFmtId="235" fontId="142" fillId="0" borderId="0">
      <alignment horizontal="left"/>
    </xf>
    <xf numFmtId="236" fontId="142" fillId="0" borderId="0">
      <alignment horizontal="left"/>
    </xf>
    <xf numFmtId="164" fontId="111" fillId="0" borderId="0">
      <alignment horizontal="left"/>
    </xf>
    <xf numFmtId="166" fontId="7" fillId="17" borderId="16" applyNumberFormat="0" applyFont="0" applyBorder="0" applyAlignment="0" applyProtection="0"/>
    <xf numFmtId="237" fontId="58" fillId="25" borderId="16" applyNumberFormat="0" applyFont="0" applyAlignment="0"/>
    <xf numFmtId="238" fontId="140" fillId="0" borderId="0" applyFont="0" applyFill="0" applyBorder="0" applyAlignment="0" applyProtection="0">
      <alignment horizontal="right"/>
    </xf>
    <xf numFmtId="174" fontId="187" fillId="17" borderId="0" applyNumberFormat="0" applyFont="0" applyAlignment="0"/>
    <xf numFmtId="0" fontId="6" fillId="0" borderId="0" applyAlignment="0" applyProtection="0"/>
    <xf numFmtId="0" fontId="81" fillId="0" borderId="0" applyAlignment="0" applyProtection="0"/>
    <xf numFmtId="0" fontId="53" fillId="0" borderId="0" applyAlignment="0" applyProtection="0"/>
    <xf numFmtId="164" fontId="139" fillId="0" borderId="0">
      <alignment horizontal="left"/>
      <protection locked="0"/>
    </xf>
    <xf numFmtId="0" fontId="188" fillId="0" borderId="0" applyFill="0" applyBorder="0" applyProtection="0">
      <alignment horizontal="right"/>
    </xf>
    <xf numFmtId="0" fontId="115" fillId="0" borderId="19" applyNumberFormat="0" applyAlignment="0" applyProtection="0">
      <alignment horizontal="left" vertical="center"/>
    </xf>
    <xf numFmtId="0" fontId="115" fillId="0" borderId="5">
      <alignment horizontal="left" vertical="center"/>
    </xf>
    <xf numFmtId="0" fontId="189" fillId="0" borderId="0">
      <alignment horizontal="left"/>
    </xf>
    <xf numFmtId="169" fontId="113" fillId="0" borderId="0" applyNumberFormat="0" applyFill="0" applyBorder="0" applyAlignment="0" applyProtection="0"/>
    <xf numFmtId="0" fontId="190" fillId="0" borderId="27"/>
    <xf numFmtId="0" fontId="191" fillId="0" borderId="27"/>
    <xf numFmtId="169" fontId="188" fillId="0" borderId="0" applyNumberFormat="0" applyFill="0" applyBorder="0" applyAlignment="0" applyProtection="0"/>
    <xf numFmtId="0" fontId="192" fillId="0" borderId="0">
      <alignment wrapText="1"/>
    </xf>
    <xf numFmtId="211" fontId="170" fillId="0" borderId="0" applyNumberFormat="0" applyFill="0" applyBorder="0" applyAlignment="0" applyProtection="0"/>
    <xf numFmtId="0" fontId="105" fillId="0" borderId="32" applyNumberFormat="0" applyFill="0" applyAlignment="0" applyProtection="0"/>
    <xf numFmtId="226" fontId="38" fillId="2" borderId="0" applyNumberFormat="0" applyAlignment="0"/>
    <xf numFmtId="10" fontId="57" fillId="25" borderId="16" applyNumberFormat="0" applyBorder="0" applyAlignment="0" applyProtection="0"/>
    <xf numFmtId="0" fontId="38" fillId="0" borderId="0" applyNumberFormat="0" applyFill="0" applyBorder="0" applyAlignment="0">
      <protection locked="0"/>
    </xf>
    <xf numFmtId="0" fontId="7" fillId="0" borderId="7" applyBorder="0">
      <protection locked="0"/>
    </xf>
    <xf numFmtId="0" fontId="164" fillId="0" borderId="0"/>
    <xf numFmtId="211" fontId="25" fillId="0" borderId="0"/>
    <xf numFmtId="0" fontId="193" fillId="0" borderId="0" applyNumberFormat="0" applyFill="0" applyBorder="0" applyProtection="0">
      <alignment horizontal="left" vertical="center"/>
    </xf>
    <xf numFmtId="38" fontId="36" fillId="0" borderId="0"/>
    <xf numFmtId="38" fontId="194" fillId="0" borderId="0"/>
    <xf numFmtId="38" fontId="13" fillId="0" borderId="0"/>
    <xf numFmtId="38" fontId="9" fillId="0" borderId="0"/>
    <xf numFmtId="0" fontId="155" fillId="0" borderId="0"/>
    <xf numFmtId="0" fontId="155" fillId="0" borderId="0"/>
    <xf numFmtId="0" fontId="7" fillId="0" borderId="0"/>
    <xf numFmtId="174" fontId="195" fillId="0" borderId="0" applyNumberFormat="0" applyFont="0" applyFill="0" applyBorder="0" applyAlignment="0">
      <protection hidden="1"/>
    </xf>
    <xf numFmtId="0" fontId="180" fillId="0" borderId="0"/>
    <xf numFmtId="0" fontId="196" fillId="0" borderId="0"/>
    <xf numFmtId="0" fontId="197" fillId="0" borderId="0"/>
    <xf numFmtId="37" fontId="198" fillId="0" borderId="0" applyNumberFormat="0" applyFill="0" applyBorder="0" applyAlignment="0" applyProtection="0">
      <alignment horizontal="center"/>
    </xf>
    <xf numFmtId="37" fontId="198" fillId="0" borderId="0" applyNumberFormat="0" applyFill="0" applyBorder="0" applyAlignment="0" applyProtection="0">
      <alignment horizontal="center"/>
    </xf>
    <xf numFmtId="41" fontId="7" fillId="0" borderId="0" applyFont="0" applyFill="0" applyBorder="0" applyAlignment="0" applyProtection="0"/>
    <xf numFmtId="43" fontId="7" fillId="0" borderId="0" applyFont="0" applyFill="0" applyBorder="0" applyAlignment="0" applyProtection="0"/>
    <xf numFmtId="239" fontId="32" fillId="0" borderId="0" applyFill="0" applyBorder="0" applyProtection="0">
      <alignment horizontal="right"/>
      <protection locked="0"/>
    </xf>
    <xf numFmtId="14" fontId="7" fillId="0" borderId="0" applyFont="0" applyFill="0" applyBorder="0" applyAlignment="0" applyProtection="0"/>
    <xf numFmtId="42" fontId="7" fillId="0" borderId="0" applyFont="0" applyFill="0" applyBorder="0" applyAlignment="0" applyProtection="0"/>
    <xf numFmtId="44" fontId="7" fillId="0" borderId="0" applyFont="0" applyFill="0" applyBorder="0" applyAlignment="0" applyProtection="0"/>
    <xf numFmtId="240" fontId="57" fillId="25" borderId="0">
      <alignment horizontal="center"/>
    </xf>
    <xf numFmtId="0" fontId="7" fillId="0" borderId="0" applyFill="0" applyBorder="0" applyAlignment="0" applyProtection="0"/>
    <xf numFmtId="241" fontId="199" fillId="0" borderId="4" applyFont="0" applyFill="0" applyBorder="0" applyProtection="0"/>
    <xf numFmtId="242" fontId="199" fillId="0" borderId="4" applyFont="0" applyFill="0" applyBorder="0" applyAlignment="0" applyProtection="0"/>
    <xf numFmtId="243" fontId="140" fillId="0" borderId="0" applyFont="0" applyFill="0" applyBorder="0" applyAlignment="0" applyProtection="0">
      <alignment horizontal="right"/>
    </xf>
    <xf numFmtId="241" fontId="199" fillId="0" borderId="0" applyFont="0" applyFill="0" applyBorder="0" applyAlignment="0" applyProtection="0"/>
    <xf numFmtId="242" fontId="199" fillId="0" borderId="0" applyFont="0" applyFill="0" applyBorder="0" applyAlignment="0" applyProtection="0"/>
    <xf numFmtId="0" fontId="7" fillId="0" borderId="0">
      <alignment horizontal="right"/>
    </xf>
    <xf numFmtId="0" fontId="200" fillId="0" borderId="0"/>
    <xf numFmtId="0" fontId="7" fillId="0" borderId="33" applyNumberFormat="0" applyAlignment="0"/>
    <xf numFmtId="37" fontId="201" fillId="0" borderId="0"/>
    <xf numFmtId="0" fontId="18" fillId="0" borderId="0"/>
    <xf numFmtId="244" fontId="202" fillId="0" borderId="0"/>
    <xf numFmtId="0" fontId="7" fillId="0" borderId="0"/>
    <xf numFmtId="0" fontId="7" fillId="0" borderId="0">
      <alignment vertical="center"/>
    </xf>
    <xf numFmtId="0" fontId="191" fillId="0" borderId="0"/>
    <xf numFmtId="245" fontId="203" fillId="0" borderId="12"/>
    <xf numFmtId="0" fontId="204" fillId="0" borderId="0"/>
    <xf numFmtId="0" fontId="7" fillId="0" borderId="0" applyFill="0" applyBorder="0"/>
    <xf numFmtId="0" fontId="205" fillId="0" borderId="0"/>
    <xf numFmtId="168" fontId="7" fillId="0" borderId="0" applyBorder="0"/>
    <xf numFmtId="0" fontId="7" fillId="0" borderId="0"/>
    <xf numFmtId="164" fontId="25" fillId="0" borderId="0" applyBorder="0">
      <alignment horizontal="left"/>
    </xf>
    <xf numFmtId="14" fontId="57" fillId="0" borderId="0" applyFont="0" applyFill="0" applyBorder="0" applyAlignment="0" applyProtection="0"/>
    <xf numFmtId="175" fontId="114" fillId="0" borderId="0" applyFont="0" applyFill="0" applyBorder="0" applyProtection="0">
      <alignment horizontal="right"/>
    </xf>
    <xf numFmtId="170" fontId="206" fillId="0" borderId="0" applyFont="0" applyBorder="0">
      <alignment horizontal="center"/>
    </xf>
    <xf numFmtId="246" fontId="207" fillId="0" borderId="0" applyFill="0" applyBorder="0">
      <alignment horizontal="right" vertical="center"/>
    </xf>
    <xf numFmtId="247" fontId="208" fillId="0" borderId="0">
      <alignment horizontal="right"/>
    </xf>
    <xf numFmtId="0" fontId="209" fillId="0" borderId="0" applyNumberFormat="0" applyFont="0" applyAlignment="0"/>
    <xf numFmtId="248" fontId="175" fillId="0" borderId="0" applyFill="0" applyBorder="0" applyProtection="0">
      <alignment horizontal="right" vertical="center"/>
    </xf>
    <xf numFmtId="43" fontId="105" fillId="0" borderId="0" applyFont="0" applyFill="0" applyBorder="0" applyAlignment="0" applyProtection="0"/>
    <xf numFmtId="5" fontId="18" fillId="0" borderId="0">
      <alignment horizontal="center"/>
    </xf>
    <xf numFmtId="231" fontId="173" fillId="0" borderId="20" applyBorder="0"/>
    <xf numFmtId="231" fontId="210" fillId="0" borderId="20" applyBorder="0"/>
    <xf numFmtId="0" fontId="7" fillId="0" borderId="0" applyFont="0" applyFill="0" applyBorder="0" applyAlignment="0" applyProtection="0"/>
    <xf numFmtId="0" fontId="7" fillId="0" borderId="0" applyFont="0" applyFill="0" applyBorder="0" applyAlignment="0" applyProtection="0"/>
    <xf numFmtId="0" fontId="211" fillId="0" borderId="0">
      <alignment horizontal="left"/>
    </xf>
    <xf numFmtId="0" fontId="212" fillId="0" borderId="0"/>
    <xf numFmtId="1" fontId="213" fillId="0" borderId="0" applyProtection="0">
      <alignment horizontal="right" vertical="center"/>
    </xf>
    <xf numFmtId="0" fontId="197" fillId="0" borderId="0"/>
    <xf numFmtId="169" fontId="57" fillId="26" borderId="0" applyNumberFormat="0" applyFont="0" applyBorder="0" applyAlignment="0" applyProtection="0"/>
    <xf numFmtId="166" fontId="214" fillId="0" borderId="20" applyBorder="0"/>
    <xf numFmtId="9" fontId="34" fillId="0" borderId="0"/>
    <xf numFmtId="166" fontId="32" fillId="0" borderId="0"/>
    <xf numFmtId="0" fontId="7" fillId="0" borderId="0" applyFont="0" applyFill="0" applyBorder="0" applyAlignment="0" applyProtection="0"/>
    <xf numFmtId="10" fontId="7" fillId="0" borderId="0" applyFont="0" applyFill="0" applyBorder="0" applyAlignment="0" applyProtection="0"/>
    <xf numFmtId="166" fontId="7" fillId="0" borderId="0" applyBorder="0"/>
    <xf numFmtId="166" fontId="32" fillId="0" borderId="0">
      <alignment horizontal="right"/>
    </xf>
    <xf numFmtId="10" fontId="32" fillId="0" borderId="0">
      <alignment horizontal="right"/>
    </xf>
    <xf numFmtId="9" fontId="7" fillId="0" borderId="0" applyFont="0" applyFill="0" applyBorder="0" applyAlignment="0" applyProtection="0"/>
    <xf numFmtId="249" fontId="142" fillId="0" borderId="22" applyFill="0">
      <alignment vertical="top"/>
    </xf>
    <xf numFmtId="0" fontId="7" fillId="0" borderId="0" applyFont="0" applyFill="0" applyBorder="0" applyProtection="0">
      <alignment horizontal="right"/>
    </xf>
    <xf numFmtId="9" fontId="32" fillId="0" borderId="0">
      <alignment horizontal="right"/>
    </xf>
    <xf numFmtId="250" fontId="203" fillId="0" borderId="12"/>
    <xf numFmtId="0" fontId="32" fillId="0" borderId="0"/>
    <xf numFmtId="0" fontId="142" fillId="0" borderId="0" applyFill="0" applyBorder="0"/>
    <xf numFmtId="0" fontId="142" fillId="0" borderId="0" applyFill="0" applyBorder="0"/>
    <xf numFmtId="0" fontId="142" fillId="0" borderId="0"/>
    <xf numFmtId="166" fontId="18" fillId="0" borderId="0" applyBorder="0" applyAlignment="0">
      <alignment horizontal="left"/>
    </xf>
    <xf numFmtId="10" fontId="172" fillId="0" borderId="0" applyFont="0" applyFill="0" applyBorder="0" applyAlignment="0" applyProtection="0"/>
    <xf numFmtId="251" fontId="215" fillId="0" borderId="0" applyFont="0">
      <alignment horizontal="right"/>
    </xf>
    <xf numFmtId="166" fontId="216" fillId="0" borderId="0" applyFill="0" applyBorder="0" applyAlignment="0" applyProtection="0"/>
    <xf numFmtId="252" fontId="57" fillId="0" borderId="0"/>
    <xf numFmtId="38" fontId="57" fillId="0" borderId="0" applyFill="0" applyBorder="0" applyAlignment="0" applyProtection="0">
      <alignment horizontal="right"/>
    </xf>
    <xf numFmtId="253" fontId="57" fillId="0" borderId="0"/>
    <xf numFmtId="0" fontId="32" fillId="0" borderId="0">
      <alignment horizontal="right"/>
    </xf>
    <xf numFmtId="0" fontId="106" fillId="10" borderId="0" applyNumberFormat="0" applyBorder="0" applyAlignment="0" applyProtection="0"/>
    <xf numFmtId="1" fontId="217" fillId="4" borderId="0">
      <alignment horizontal="center"/>
    </xf>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206" fillId="0" borderId="2">
      <alignment horizontal="center"/>
    </xf>
    <xf numFmtId="170" fontId="218" fillId="0" borderId="0"/>
    <xf numFmtId="0" fontId="7" fillId="0" borderId="0" applyFont="0" applyFill="0" applyBorder="0" applyProtection="0">
      <alignment horizontal="right"/>
    </xf>
    <xf numFmtId="0" fontId="7" fillId="0" borderId="0" applyFont="0" applyFill="0" applyBorder="0" applyProtection="0">
      <alignment horizontal="right"/>
    </xf>
    <xf numFmtId="0" fontId="7" fillId="0" borderId="0" applyFont="0" applyFill="0" applyBorder="0" applyProtection="0">
      <alignment horizontal="right"/>
    </xf>
    <xf numFmtId="254" fontId="57" fillId="0" borderId="0"/>
    <xf numFmtId="0" fontId="219" fillId="0" borderId="0"/>
    <xf numFmtId="255" fontId="163" fillId="0" borderId="0" applyNumberFormat="0" applyFill="0" applyBorder="0" applyAlignment="0" applyProtection="0">
      <alignment horizontal="left"/>
    </xf>
    <xf numFmtId="0" fontId="193" fillId="0" borderId="0" applyNumberFormat="0" applyFill="0" applyBorder="0" applyProtection="0">
      <alignment horizontal="right" vertical="center"/>
    </xf>
    <xf numFmtId="0" fontId="52" fillId="0" borderId="0" applyNumberFormat="0" applyFill="0" applyBorder="0" applyAlignment="0" applyProtection="0"/>
    <xf numFmtId="0" fontId="57" fillId="0" borderId="0"/>
    <xf numFmtId="0" fontId="220" fillId="0" borderId="0"/>
    <xf numFmtId="0" fontId="221" fillId="0" borderId="0">
      <alignment horizontal="right"/>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24" fillId="0" borderId="3">
      <alignment horizontal="centerContinuous"/>
    </xf>
    <xf numFmtId="0" fontId="115" fillId="0" borderId="0" applyFill="0" applyBorder="0" applyProtection="0">
      <alignment horizontal="left"/>
    </xf>
    <xf numFmtId="37" fontId="33" fillId="27" borderId="19"/>
    <xf numFmtId="256" fontId="18" fillId="28" borderId="0">
      <alignment horizontal="right"/>
    </xf>
    <xf numFmtId="37" fontId="12" fillId="27" borderId="19"/>
    <xf numFmtId="169" fontId="34" fillId="0" borderId="4" applyFont="0" applyFill="0" applyBorder="0" applyAlignment="0" applyProtection="0">
      <alignment horizontal="right"/>
    </xf>
    <xf numFmtId="169" fontId="18" fillId="0" borderId="0">
      <alignment horizontal="center"/>
    </xf>
    <xf numFmtId="0" fontId="53" fillId="0" borderId="0" applyNumberFormat="0" applyFill="0" applyBorder="0" applyAlignment="0" applyProtection="0"/>
    <xf numFmtId="3" fontId="7" fillId="4" borderId="34" applyFont="0" applyFill="0" applyBorder="0" applyAlignment="0" applyProtection="0"/>
    <xf numFmtId="4" fontId="7" fillId="4" borderId="34" applyFont="0" applyFill="0" applyBorder="0" applyAlignment="0" applyProtection="0"/>
    <xf numFmtId="0" fontId="156" fillId="4" borderId="34" applyFont="0" applyFill="0" applyBorder="0" applyAlignment="0" applyProtection="0"/>
    <xf numFmtId="0" fontId="156" fillId="4" borderId="35" applyFont="0" applyFill="0" applyBorder="0" applyAlignment="0" applyProtection="0"/>
    <xf numFmtId="10" fontId="7" fillId="4" borderId="34" applyFont="0" applyFill="0" applyBorder="0" applyAlignment="0" applyProtection="0"/>
    <xf numFmtId="9" fontId="7" fillId="4" borderId="34" applyFont="0" applyFill="0" applyBorder="0" applyAlignment="0" applyProtection="0"/>
    <xf numFmtId="2" fontId="7" fillId="4" borderId="34" applyFont="0" applyFill="0" applyBorder="0" applyAlignment="0" applyProtection="0"/>
    <xf numFmtId="0" fontId="7" fillId="0" borderId="0"/>
    <xf numFmtId="12" fontId="7" fillId="0" borderId="0" applyFont="0" applyFill="0" applyBorder="0" applyProtection="0">
      <alignment horizontal="right"/>
    </xf>
    <xf numFmtId="0" fontId="7" fillId="29" borderId="0" applyFont="0" applyFill="0" applyBorder="0" applyProtection="0">
      <alignment horizontal="right"/>
    </xf>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0" fontId="7" fillId="0" borderId="36" applyNumberFormat="0" applyFont="0" applyFill="0" applyProtection="0">
      <alignment vertical="center"/>
    </xf>
    <xf numFmtId="257" fontId="7" fillId="0" borderId="0" applyFont="0" applyFill="0" applyBorder="0" applyAlignment="0" applyProtection="0"/>
    <xf numFmtId="257" fontId="7" fillId="0" borderId="0" applyFont="0" applyFill="0" applyBorder="0" applyAlignment="0" applyProtection="0"/>
    <xf numFmtId="0" fontId="7" fillId="0" borderId="37" applyNumberFormat="0" applyFont="0" applyFill="0" applyProtection="0">
      <alignment vertical="center"/>
    </xf>
    <xf numFmtId="0" fontId="7" fillId="0" borderId="38" applyNumberFormat="0" applyFont="0" applyFill="0" applyProtection="0">
      <alignment vertical="center"/>
    </xf>
    <xf numFmtId="0" fontId="7" fillId="0" borderId="39" applyNumberFormat="0" applyFont="0" applyFill="0" applyProtection="0">
      <alignment vertical="center"/>
    </xf>
    <xf numFmtId="0" fontId="7" fillId="0" borderId="40" applyNumberFormat="0" applyFont="0" applyFill="0" applyProtection="0">
      <alignment vertical="center"/>
    </xf>
    <xf numFmtId="0" fontId="57" fillId="0" borderId="0" applyNumberFormat="0" applyFill="0" applyBorder="0" applyProtection="0">
      <alignment vertical="center"/>
    </xf>
    <xf numFmtId="0" fontId="58" fillId="0" borderId="0" applyNumberFormat="0" applyFill="0" applyBorder="0" applyProtection="0">
      <alignment vertical="center"/>
    </xf>
    <xf numFmtId="0" fontId="54" fillId="0" borderId="0" applyNumberFormat="0" applyFill="0" applyBorder="0" applyAlignment="0" applyProtection="0"/>
    <xf numFmtId="0" fontId="57" fillId="0" borderId="0" applyNumberFormat="0" applyFill="0" applyBorder="0" applyProtection="0">
      <alignment horizontal="right"/>
    </xf>
    <xf numFmtId="0" fontId="222" fillId="18" borderId="0" applyNumberFormat="0" applyBorder="0" applyProtection="0">
      <alignment horizontal="center" vertical="center"/>
    </xf>
    <xf numFmtId="0" fontId="223" fillId="0" borderId="0" applyNumberForma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194"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257" fontId="7" fillId="0" borderId="0" applyFont="0" applyFill="0" applyBorder="0" applyAlignment="0" applyProtection="0"/>
    <xf numFmtId="169" fontId="224" fillId="0" borderId="20" applyBorder="0"/>
    <xf numFmtId="40" fontId="225" fillId="0" borderId="0" applyBorder="0">
      <alignment horizontal="right"/>
    </xf>
    <xf numFmtId="0" fontId="226" fillId="0" borderId="0" applyBorder="0" applyProtection="0">
      <alignment vertical="center"/>
    </xf>
    <xf numFmtId="230" fontId="226" fillId="0" borderId="4" applyBorder="0" applyProtection="0">
      <alignment horizontal="right" vertical="center"/>
    </xf>
    <xf numFmtId="0" fontId="110" fillId="30" borderId="0" applyBorder="0" applyProtection="0">
      <alignment horizontal="centerContinuous" vertical="center"/>
    </xf>
    <xf numFmtId="0" fontId="110" fillId="7" borderId="4" applyBorder="0" applyProtection="0">
      <alignment horizontal="centerContinuous" vertical="center"/>
    </xf>
    <xf numFmtId="0" fontId="227" fillId="0" borderId="0" applyFill="0" applyBorder="0" applyProtection="0">
      <alignment horizontal="left"/>
    </xf>
    <xf numFmtId="0" fontId="182" fillId="0" borderId="10" applyFill="0" applyBorder="0" applyProtection="0">
      <alignment horizontal="left" vertical="top"/>
    </xf>
    <xf numFmtId="0" fontId="228" fillId="0" borderId="0" applyNumberFormat="0" applyFill="0" applyBorder="0">
      <alignment horizontal="left"/>
    </xf>
    <xf numFmtId="0" fontId="228" fillId="0" borderId="0" applyNumberFormat="0" applyFill="0" applyBorder="0">
      <alignment horizontal="right"/>
    </xf>
    <xf numFmtId="0" fontId="229" fillId="0" borderId="0" applyNumberFormat="0" applyFill="0" applyBorder="0">
      <alignment horizontal="right"/>
    </xf>
    <xf numFmtId="38" fontId="72" fillId="0" borderId="0" applyNumberFormat="0" applyBorder="0">
      <alignment horizontal="left"/>
    </xf>
    <xf numFmtId="0" fontId="230" fillId="31" borderId="0">
      <alignment vertical="top" wrapText="1"/>
    </xf>
    <xf numFmtId="0" fontId="57" fillId="0" borderId="0"/>
    <xf numFmtId="0" fontId="208" fillId="0" borderId="0" applyFill="0" applyBorder="0">
      <alignment vertical="center"/>
    </xf>
    <xf numFmtId="0" fontId="175" fillId="0" borderId="0">
      <alignment vertical="center"/>
    </xf>
    <xf numFmtId="0" fontId="7" fillId="0" borderId="0" applyNumberFormat="0" applyFont="0" applyFill="0" applyBorder="0" applyProtection="0">
      <alignment horizontal="left" vertical="top" wrapText="1"/>
    </xf>
    <xf numFmtId="0" fontId="19" fillId="0" borderId="0">
      <alignment vertical="center"/>
    </xf>
    <xf numFmtId="0" fontId="231" fillId="0" borderId="4" applyAlignment="0"/>
    <xf numFmtId="0" fontId="175" fillId="0" borderId="27" applyAlignment="0"/>
    <xf numFmtId="258" fontId="7" fillId="0" borderId="0"/>
    <xf numFmtId="40" fontId="7" fillId="0" borderId="0"/>
    <xf numFmtId="0" fontId="232" fillId="8" borderId="0" applyNumberFormat="0" applyBorder="0" applyProtection="0">
      <alignment horizontal="left" vertical="center"/>
    </xf>
    <xf numFmtId="0" fontId="233" fillId="1" borderId="0" applyNumberFormat="0" applyBorder="0" applyProtection="0">
      <alignment horizontal="left" vertical="center"/>
    </xf>
    <xf numFmtId="168" fontId="109" fillId="0" borderId="0"/>
    <xf numFmtId="169" fontId="57" fillId="0" borderId="0" applyNumberFormat="0" applyFont="0" applyBorder="0" applyAlignment="0" applyProtection="0"/>
    <xf numFmtId="1" fontId="57" fillId="4" borderId="0" applyFont="0" applyBorder="0" applyAlignment="0" applyProtection="0"/>
    <xf numFmtId="37" fontId="234" fillId="0" borderId="0" applyNumberFormat="0" applyFill="0" applyBorder="0" applyAlignment="0" applyProtection="0">
      <alignment horizontal="center"/>
    </xf>
    <xf numFmtId="0" fontId="53" fillId="0" borderId="0" applyFill="0" applyBorder="0" applyAlignment="0" applyProtection="0"/>
    <xf numFmtId="3" fontId="7" fillId="0" borderId="12" applyNumberFormat="0" applyFont="0" applyFill="0" applyAlignment="0" applyProtection="0"/>
    <xf numFmtId="37" fontId="234" fillId="0" borderId="0" applyNumberFormat="0" applyFill="0" applyBorder="0" applyAlignment="0" applyProtection="0">
      <alignment horizontal="center"/>
    </xf>
    <xf numFmtId="168" fontId="58" fillId="0" borderId="21"/>
    <xf numFmtId="0" fontId="235" fillId="0" borderId="0">
      <alignment horizontal="left"/>
      <protection locked="0"/>
    </xf>
    <xf numFmtId="259" fontId="18" fillId="0" borderId="15">
      <alignment horizontal="center"/>
    </xf>
    <xf numFmtId="227" fontId="72" fillId="0" borderId="0">
      <alignment horizontal="right"/>
    </xf>
    <xf numFmtId="228" fontId="72" fillId="0" borderId="0">
      <alignment horizontal="right"/>
    </xf>
    <xf numFmtId="1" fontId="72" fillId="0" borderId="0">
      <alignment horizontal="left"/>
    </xf>
    <xf numFmtId="226" fontId="72" fillId="0" borderId="0">
      <alignment horizontal="right"/>
    </xf>
    <xf numFmtId="0" fontId="206" fillId="0" borderId="15" applyNumberFormat="0" applyFont="0" applyAlignment="0">
      <alignment horizontal="left"/>
    </xf>
    <xf numFmtId="259" fontId="18" fillId="0" borderId="15">
      <alignment horizontal="center"/>
    </xf>
    <xf numFmtId="0" fontId="18" fillId="0" borderId="15">
      <alignment horizontal="center"/>
    </xf>
    <xf numFmtId="38" fontId="72" fillId="0" borderId="0">
      <alignment horizontal="right"/>
    </xf>
    <xf numFmtId="260" fontId="203" fillId="0" borderId="12"/>
    <xf numFmtId="3" fontId="18" fillId="0" borderId="0" applyBorder="0">
      <alignment horizontal="center"/>
    </xf>
    <xf numFmtId="37" fontId="57" fillId="3" borderId="0" applyNumberFormat="0" applyBorder="0" applyAlignment="0" applyProtection="0"/>
    <xf numFmtId="37" fontId="57" fillId="0" borderId="0"/>
    <xf numFmtId="37" fontId="57" fillId="4" borderId="0" applyNumberFormat="0" applyBorder="0" applyAlignment="0" applyProtection="0"/>
    <xf numFmtId="3" fontId="114" fillId="0" borderId="32" applyProtection="0"/>
    <xf numFmtId="6" fontId="236" fillId="0" borderId="15" applyNumberFormat="0" applyFill="0" applyBorder="0" applyAlignment="0" applyProtection="0">
      <alignment horizontal="right"/>
    </xf>
    <xf numFmtId="261" fontId="217" fillId="4" borderId="10" applyBorder="0">
      <alignment horizontal="right" vertical="center"/>
      <protection locked="0"/>
    </xf>
    <xf numFmtId="231" fontId="237" fillId="0" borderId="0" applyNumberFormat="0"/>
    <xf numFmtId="262" fontId="57" fillId="21" borderId="0" applyFont="0" applyBorder="0">
      <alignment horizontal="right" vertical="center"/>
    </xf>
    <xf numFmtId="0" fontId="7" fillId="32" borderId="41">
      <alignment horizontal="left"/>
    </xf>
    <xf numFmtId="0" fontId="32" fillId="0" borderId="0"/>
    <xf numFmtId="177" fontId="34" fillId="0" borderId="0" applyFont="0" applyFill="0" applyBorder="0" applyAlignment="0" applyProtection="0"/>
    <xf numFmtId="37" fontId="34" fillId="0" borderId="0" applyFont="0" applyFill="0" applyBorder="0" applyAlignment="0" applyProtection="0"/>
    <xf numFmtId="263" fontId="7" fillId="0" borderId="0" applyFont="0" applyFill="0" applyBorder="0" applyAlignment="0" applyProtection="0"/>
    <xf numFmtId="0" fontId="7" fillId="0" borderId="0" applyFont="0" applyFill="0" applyBorder="0" applyAlignment="0" applyProtection="0"/>
    <xf numFmtId="264" fontId="32" fillId="0" borderId="0"/>
    <xf numFmtId="265" fontId="34" fillId="0" borderId="0" applyFont="0" applyFill="0" applyBorder="0" applyAlignment="0" applyProtection="0">
      <alignment horizontal="right"/>
    </xf>
    <xf numFmtId="1" fontId="7" fillId="0" borderId="0">
      <alignment horizontal="center"/>
    </xf>
    <xf numFmtId="1" fontId="238" fillId="0" borderId="4">
      <alignment horizontal="center"/>
    </xf>
    <xf numFmtId="0" fontId="7" fillId="0" borderId="0"/>
    <xf numFmtId="43" fontId="23" fillId="0" borderId="0" applyFont="0" applyFill="0" applyBorder="0" applyAlignment="0" applyProtection="0"/>
    <xf numFmtId="41" fontId="23" fillId="0" borderId="0" applyFont="0" applyFill="0" applyBorder="0" applyAlignment="0" applyProtection="0"/>
    <xf numFmtId="0" fontId="163" fillId="0" borderId="0"/>
    <xf numFmtId="44" fontId="23" fillId="0" borderId="0" applyFon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7" fillId="0" borderId="0"/>
    <xf numFmtId="0" fontId="7" fillId="0" borderId="0"/>
  </cellStyleXfs>
  <cellXfs count="2369">
    <xf numFmtId="0" fontId="0" fillId="0" borderId="0" xfId="0"/>
    <xf numFmtId="164" fontId="5" fillId="2" borderId="0" xfId="1" applyFont="1" applyFill="1"/>
    <xf numFmtId="164" fontId="6" fillId="2" borderId="0" xfId="1" applyNumberFormat="1" applyFont="1" applyFill="1" applyProtection="1"/>
    <xf numFmtId="164" fontId="8" fillId="2" borderId="0" xfId="1" applyNumberFormat="1" applyFont="1" applyFill="1" applyAlignment="1" applyProtection="1">
      <alignment horizontal="centerContinuous"/>
    </xf>
    <xf numFmtId="164" fontId="5" fillId="2" borderId="0" xfId="1" applyNumberFormat="1" applyFont="1" applyFill="1" applyAlignment="1" applyProtection="1">
      <alignment horizontal="centerContinuous"/>
    </xf>
    <xf numFmtId="164" fontId="9" fillId="2" borderId="0" xfId="1" applyFont="1" applyFill="1"/>
    <xf numFmtId="164" fontId="9" fillId="2" borderId="1" xfId="1" applyNumberFormat="1" applyFont="1" applyFill="1" applyBorder="1" applyProtection="1"/>
    <xf numFmtId="164" fontId="9" fillId="2" borderId="1" xfId="1" applyNumberFormat="1" applyFont="1" applyFill="1" applyBorder="1" applyAlignment="1" applyProtection="1">
      <alignment horizontal="right"/>
    </xf>
    <xf numFmtId="164" fontId="10" fillId="2" borderId="0" xfId="1" applyFont="1" applyFill="1" applyAlignment="1">
      <alignment horizontal="left"/>
    </xf>
    <xf numFmtId="164" fontId="11" fillId="2" borderId="0" xfId="1" applyFont="1" applyFill="1" applyAlignment="1">
      <alignment horizontal="right"/>
    </xf>
    <xf numFmtId="164" fontId="11" fillId="2" borderId="0" xfId="1" applyFont="1" applyFill="1"/>
    <xf numFmtId="164" fontId="11" fillId="2" borderId="0" xfId="1" applyFont="1" applyFill="1" applyAlignment="1">
      <alignment horizontal="left"/>
    </xf>
    <xf numFmtId="164" fontId="12" fillId="2" borderId="0" xfId="1" applyFont="1" applyFill="1"/>
    <xf numFmtId="0" fontId="12" fillId="0" borderId="0" xfId="2" applyFont="1" applyFill="1" applyBorder="1" applyAlignment="1" applyProtection="1">
      <protection locked="0"/>
    </xf>
    <xf numFmtId="164" fontId="12" fillId="2" borderId="0" xfId="1" applyFont="1" applyFill="1" applyAlignment="1">
      <alignment horizontal="right"/>
    </xf>
    <xf numFmtId="164" fontId="6" fillId="2" borderId="0" xfId="1" applyFont="1" applyFill="1"/>
    <xf numFmtId="164" fontId="13" fillId="2" borderId="2" xfId="1" applyFont="1" applyFill="1" applyBorder="1"/>
    <xf numFmtId="164" fontId="6" fillId="2" borderId="2" xfId="1" applyFont="1" applyFill="1" applyBorder="1"/>
    <xf numFmtId="164" fontId="15" fillId="2" borderId="2" xfId="3" applyNumberFormat="1" applyFont="1" applyFill="1" applyBorder="1" applyAlignment="1" applyProtection="1">
      <alignment horizontal="right"/>
    </xf>
    <xf numFmtId="165" fontId="23" fillId="4" borderId="4" xfId="16" applyNumberFormat="1" applyFont="1" applyFill="1" applyBorder="1" applyAlignment="1">
      <alignment horizontal="right"/>
    </xf>
    <xf numFmtId="9" fontId="27" fillId="0" borderId="4" xfId="43" applyFont="1" applyFill="1" applyBorder="1"/>
    <xf numFmtId="9" fontId="27" fillId="4" borderId="4" xfId="43" applyFont="1" applyFill="1" applyBorder="1"/>
    <xf numFmtId="165" fontId="23" fillId="2" borderId="4" xfId="16" applyNumberFormat="1" applyFont="1" applyFill="1" applyBorder="1" applyAlignment="1">
      <alignment horizontal="right"/>
    </xf>
    <xf numFmtId="0" fontId="23" fillId="2" borderId="4" xfId="2" applyFont="1" applyFill="1" applyBorder="1"/>
    <xf numFmtId="9" fontId="27" fillId="2" borderId="4" xfId="43" applyFont="1" applyFill="1" applyBorder="1"/>
    <xf numFmtId="0" fontId="27" fillId="2" borderId="4" xfId="2" applyFont="1" applyFill="1" applyBorder="1"/>
    <xf numFmtId="165" fontId="23" fillId="4" borderId="0" xfId="16" applyNumberFormat="1" applyFont="1" applyFill="1" applyAlignment="1">
      <alignment horizontal="right"/>
    </xf>
    <xf numFmtId="9" fontId="23" fillId="0" borderId="0" xfId="43" applyFont="1" applyFill="1"/>
    <xf numFmtId="9" fontId="23" fillId="4" borderId="0" xfId="43" applyFont="1" applyFill="1"/>
    <xf numFmtId="165" fontId="23" fillId="2" borderId="0" xfId="16" applyNumberFormat="1" applyFont="1" applyFill="1" applyAlignment="1">
      <alignment horizontal="right"/>
    </xf>
    <xf numFmtId="0" fontId="23" fillId="2" borderId="0" xfId="2" applyFont="1" applyFill="1"/>
    <xf numFmtId="9" fontId="23" fillId="2" borderId="0" xfId="43" applyFont="1" applyFill="1"/>
    <xf numFmtId="0" fontId="23" fillId="4" borderId="0" xfId="2" applyFont="1" applyFill="1"/>
    <xf numFmtId="0" fontId="23" fillId="0" borderId="0" xfId="2" applyFont="1" applyFill="1"/>
    <xf numFmtId="0" fontId="28" fillId="2" borderId="0" xfId="2" applyFont="1" applyFill="1" applyBorder="1"/>
    <xf numFmtId="37" fontId="27" fillId="4" borderId="4" xfId="2" applyNumberFormat="1" applyFont="1" applyFill="1" applyBorder="1"/>
    <xf numFmtId="37" fontId="27" fillId="2" borderId="4" xfId="2" applyNumberFormat="1" applyFont="1" applyFill="1" applyBorder="1"/>
    <xf numFmtId="166" fontId="23" fillId="4" borderId="0" xfId="43" applyNumberFormat="1" applyFont="1" applyFill="1"/>
    <xf numFmtId="166" fontId="23" fillId="2" borderId="0" xfId="43" applyNumberFormat="1" applyFont="1" applyFill="1"/>
    <xf numFmtId="37" fontId="23" fillId="4" borderId="0" xfId="2" applyNumberFormat="1" applyFont="1" applyFill="1"/>
    <xf numFmtId="37" fontId="23" fillId="2" borderId="0" xfId="2" applyNumberFormat="1" applyFont="1" applyFill="1"/>
    <xf numFmtId="0" fontId="27" fillId="2" borderId="0" xfId="2" applyFont="1" applyFill="1"/>
    <xf numFmtId="37" fontId="23" fillId="4" borderId="0" xfId="43" applyNumberFormat="1" applyFont="1" applyFill="1"/>
    <xf numFmtId="37" fontId="23" fillId="2" borderId="0" xfId="43" applyNumberFormat="1" applyFont="1" applyFill="1"/>
    <xf numFmtId="1" fontId="23" fillId="2" borderId="0" xfId="2" applyNumberFormat="1" applyFont="1" applyFill="1"/>
    <xf numFmtId="166" fontId="23" fillId="0" borderId="0" xfId="43" applyNumberFormat="1" applyFont="1" applyFill="1"/>
    <xf numFmtId="166" fontId="27" fillId="4" borderId="0" xfId="43" applyNumberFormat="1" applyFont="1" applyFill="1"/>
    <xf numFmtId="166" fontId="27" fillId="0" borderId="0" xfId="43" applyNumberFormat="1" applyFont="1" applyFill="1"/>
    <xf numFmtId="167" fontId="23" fillId="4" borderId="0" xfId="16" applyNumberFormat="1" applyFont="1" applyFill="1"/>
    <xf numFmtId="167" fontId="23" fillId="0" borderId="0" xfId="16" applyNumberFormat="1" applyFont="1" applyFill="1"/>
    <xf numFmtId="0" fontId="29" fillId="2" borderId="0" xfId="2" applyFont="1" applyFill="1" applyBorder="1"/>
    <xf numFmtId="166" fontId="23" fillId="0" borderId="4" xfId="43" applyNumberFormat="1" applyFont="1" applyFill="1" applyBorder="1"/>
    <xf numFmtId="166" fontId="23" fillId="4" borderId="4" xfId="43" applyNumberFormat="1" applyFont="1" applyFill="1" applyBorder="1"/>
    <xf numFmtId="166" fontId="23" fillId="2" borderId="4" xfId="43" applyNumberFormat="1" applyFont="1" applyFill="1" applyBorder="1"/>
    <xf numFmtId="166" fontId="23" fillId="2" borderId="4" xfId="43" applyNumberFormat="1" applyFont="1" applyFill="1" applyBorder="1" applyAlignment="1">
      <alignment horizontal="right"/>
    </xf>
    <xf numFmtId="165" fontId="27" fillId="4" borderId="0" xfId="16" applyNumberFormat="1" applyFont="1" applyFill="1" applyAlignment="1">
      <alignment horizontal="right"/>
    </xf>
    <xf numFmtId="166" fontId="27" fillId="2" borderId="0" xfId="43" applyNumberFormat="1" applyFont="1" applyFill="1"/>
    <xf numFmtId="166" fontId="27" fillId="2" borderId="0" xfId="43" applyNumberFormat="1" applyFont="1" applyFill="1" applyAlignment="1">
      <alignment horizontal="right"/>
    </xf>
    <xf numFmtId="165" fontId="27" fillId="2" borderId="0" xfId="16" applyNumberFormat="1" applyFont="1" applyFill="1" applyAlignment="1">
      <alignment horizontal="right"/>
    </xf>
    <xf numFmtId="166" fontId="23" fillId="2" borderId="0" xfId="43" applyNumberFormat="1" applyFont="1" applyFill="1" applyAlignment="1">
      <alignment horizontal="right"/>
    </xf>
    <xf numFmtId="166" fontId="23" fillId="4" borderId="0" xfId="43" applyNumberFormat="1" applyFont="1" applyFill="1" applyAlignment="1">
      <alignment horizontal="right"/>
    </xf>
    <xf numFmtId="166" fontId="23" fillId="0" borderId="0" xfId="43" applyNumberFormat="1" applyFont="1" applyFill="1" applyAlignment="1">
      <alignment horizontal="right"/>
    </xf>
    <xf numFmtId="0" fontId="23" fillId="4" borderId="0" xfId="2" applyFont="1" applyFill="1" applyAlignment="1">
      <alignment horizontal="right"/>
    </xf>
    <xf numFmtId="0" fontId="23" fillId="0" borderId="0" xfId="2" applyFont="1" applyFill="1" applyAlignment="1">
      <alignment horizontal="right"/>
    </xf>
    <xf numFmtId="9" fontId="27" fillId="4" borderId="0" xfId="43" applyFont="1" applyFill="1"/>
    <xf numFmtId="9" fontId="27" fillId="0" borderId="0" xfId="43" applyFont="1" applyFill="1"/>
    <xf numFmtId="0" fontId="23" fillId="2" borderId="0" xfId="2" applyFont="1" applyFill="1" applyAlignment="1">
      <alignment horizontal="right"/>
    </xf>
    <xf numFmtId="166" fontId="27" fillId="0" borderId="0" xfId="43" applyNumberFormat="1" applyFont="1" applyFill="1" applyAlignment="1">
      <alignment horizontal="right"/>
    </xf>
    <xf numFmtId="166" fontId="27" fillId="4" borderId="0" xfId="43" applyNumberFormat="1" applyFont="1" applyFill="1" applyAlignment="1">
      <alignment horizontal="right"/>
    </xf>
    <xf numFmtId="167" fontId="27" fillId="2" borderId="0" xfId="16" applyNumberFormat="1" applyFont="1" applyFill="1"/>
    <xf numFmtId="0" fontId="27" fillId="0" borderId="0" xfId="2" applyFont="1" applyFill="1"/>
    <xf numFmtId="167" fontId="23" fillId="4" borderId="4" xfId="16" applyNumberFormat="1" applyFont="1" applyFill="1" applyBorder="1"/>
    <xf numFmtId="167" fontId="23" fillId="0" borderId="4" xfId="16" applyNumberFormat="1" applyFont="1" applyFill="1" applyBorder="1"/>
    <xf numFmtId="165" fontId="23" fillId="4" borderId="0" xfId="16" applyNumberFormat="1" applyFont="1" applyFill="1"/>
    <xf numFmtId="165" fontId="23" fillId="0" borderId="0" xfId="16" applyNumberFormat="1" applyFont="1" applyFill="1"/>
    <xf numFmtId="165" fontId="27" fillId="4" borderId="0" xfId="16" applyNumberFormat="1" applyFont="1" applyFill="1"/>
    <xf numFmtId="165" fontId="27" fillId="0" borderId="0" xfId="16" applyNumberFormat="1" applyFont="1" applyFill="1"/>
    <xf numFmtId="9" fontId="23" fillId="2" borderId="4" xfId="43" applyNumberFormat="1" applyFont="1" applyFill="1" applyBorder="1" applyAlignment="1">
      <alignment horizontal="right"/>
    </xf>
    <xf numFmtId="9" fontId="27" fillId="2" borderId="0" xfId="43" applyNumberFormat="1" applyFont="1" applyFill="1" applyAlignment="1">
      <alignment horizontal="right"/>
    </xf>
    <xf numFmtId="9" fontId="23" fillId="2" borderId="0" xfId="43" applyNumberFormat="1" applyFont="1" applyFill="1" applyAlignment="1">
      <alignment horizontal="right"/>
    </xf>
    <xf numFmtId="165" fontId="23" fillId="2" borderId="0" xfId="16" applyNumberFormat="1" applyFont="1" applyFill="1"/>
    <xf numFmtId="43" fontId="23" fillId="4" borderId="0" xfId="2" applyNumberFormat="1" applyFont="1" applyFill="1"/>
    <xf numFmtId="43" fontId="23" fillId="0" borderId="0" xfId="2" applyNumberFormat="1" applyFont="1" applyFill="1"/>
    <xf numFmtId="43" fontId="27" fillId="4" borderId="0" xfId="16" applyFont="1" applyFill="1"/>
    <xf numFmtId="43" fontId="27" fillId="0" borderId="0" xfId="16" applyFont="1" applyFill="1"/>
    <xf numFmtId="165" fontId="23" fillId="0" borderId="4" xfId="16" applyNumberFormat="1" applyFont="1" applyFill="1" applyBorder="1"/>
    <xf numFmtId="167" fontId="23" fillId="4" borderId="4" xfId="16" applyNumberFormat="1" applyFont="1" applyFill="1" applyBorder="1" applyAlignment="1">
      <alignment horizontal="right"/>
    </xf>
    <xf numFmtId="165" fontId="23" fillId="0" borderId="4" xfId="16" applyNumberFormat="1" applyFont="1" applyFill="1" applyBorder="1" applyAlignment="1">
      <alignment horizontal="right"/>
    </xf>
    <xf numFmtId="167" fontId="23" fillId="0" borderId="4" xfId="16" applyNumberFormat="1" applyFont="1" applyFill="1" applyBorder="1" applyAlignment="1">
      <alignment horizontal="right"/>
    </xf>
    <xf numFmtId="165" fontId="23" fillId="2" borderId="4" xfId="16" applyNumberFormat="1" applyFont="1" applyFill="1" applyBorder="1"/>
    <xf numFmtId="165" fontId="23" fillId="4" borderId="4" xfId="16" applyNumberFormat="1" applyFont="1" applyFill="1" applyBorder="1"/>
    <xf numFmtId="0" fontId="23" fillId="0" borderId="4" xfId="2" applyFont="1" applyFill="1" applyBorder="1"/>
    <xf numFmtId="167" fontId="23" fillId="4" borderId="0" xfId="16" applyNumberFormat="1" applyFont="1" applyFill="1" applyAlignment="1">
      <alignment horizontal="right"/>
    </xf>
    <xf numFmtId="165" fontId="23" fillId="0" borderId="0" xfId="16" applyNumberFormat="1" applyFont="1" applyFill="1" applyAlignment="1">
      <alignment horizontal="right"/>
    </xf>
    <xf numFmtId="167" fontId="23" fillId="0" borderId="0" xfId="16" applyNumberFormat="1" applyFont="1" applyFill="1" applyAlignment="1">
      <alignment horizontal="right"/>
    </xf>
    <xf numFmtId="0" fontId="27" fillId="4" borderId="0" xfId="2" applyFont="1" applyFill="1"/>
    <xf numFmtId="166" fontId="27" fillId="4" borderId="4" xfId="43" applyNumberFormat="1" applyFont="1" applyFill="1" applyBorder="1"/>
    <xf numFmtId="166" fontId="27" fillId="0" borderId="4" xfId="43" applyNumberFormat="1" applyFont="1" applyFill="1" applyBorder="1"/>
    <xf numFmtId="0" fontId="30" fillId="2" borderId="0" xfId="2" applyFont="1" applyFill="1"/>
    <xf numFmtId="43" fontId="23" fillId="2" borderId="0" xfId="2" applyNumberFormat="1" applyFont="1" applyFill="1"/>
    <xf numFmtId="43" fontId="23" fillId="4" borderId="4" xfId="2" applyNumberFormat="1" applyFont="1" applyFill="1" applyBorder="1"/>
    <xf numFmtId="43" fontId="23" fillId="0" borderId="4" xfId="2" applyNumberFormat="1" applyFont="1" applyFill="1" applyBorder="1"/>
    <xf numFmtId="43" fontId="23" fillId="4" borderId="0" xfId="2" applyNumberFormat="1" applyFont="1" applyFill="1" applyBorder="1"/>
    <xf numFmtId="43" fontId="23" fillId="0" borderId="0" xfId="2" applyNumberFormat="1" applyFont="1" applyFill="1" applyBorder="1"/>
    <xf numFmtId="0" fontId="23" fillId="2" borderId="0" xfId="2" applyFont="1" applyFill="1" applyBorder="1"/>
    <xf numFmtId="43" fontId="27" fillId="4" borderId="0" xfId="2" applyNumberFormat="1" applyFont="1" applyFill="1"/>
    <xf numFmtId="43" fontId="27" fillId="0" borderId="0" xfId="2" applyNumberFormat="1" applyFont="1" applyFill="1"/>
    <xf numFmtId="0" fontId="31" fillId="0" borderId="0" xfId="2" applyFont="1" applyFill="1"/>
    <xf numFmtId="9" fontId="31" fillId="4" borderId="0" xfId="43" applyFont="1" applyFill="1"/>
    <xf numFmtId="167" fontId="27" fillId="4" borderId="0" xfId="16" applyNumberFormat="1" applyFont="1" applyFill="1"/>
    <xf numFmtId="167" fontId="27" fillId="0" borderId="0" xfId="16" applyNumberFormat="1" applyFont="1" applyFill="1"/>
    <xf numFmtId="0" fontId="27" fillId="2" borderId="0" xfId="2" applyFont="1" applyFill="1" applyAlignment="1">
      <alignment horizontal="right"/>
    </xf>
    <xf numFmtId="0" fontId="27" fillId="4" borderId="5" xfId="2" applyFont="1" applyFill="1" applyBorder="1" applyAlignment="1">
      <alignment horizontal="right"/>
    </xf>
    <xf numFmtId="0" fontId="27" fillId="0" borderId="5" xfId="2" applyFont="1" applyFill="1" applyBorder="1" applyAlignment="1">
      <alignment horizontal="right"/>
    </xf>
    <xf numFmtId="0" fontId="27" fillId="2" borderId="5" xfId="2" applyFont="1" applyFill="1" applyBorder="1" applyAlignment="1">
      <alignment horizontal="right"/>
    </xf>
    <xf numFmtId="0" fontId="27" fillId="2" borderId="5" xfId="2" applyFont="1" applyFill="1" applyBorder="1"/>
    <xf numFmtId="0" fontId="32" fillId="0" borderId="0" xfId="2" applyFont="1" applyFill="1" applyBorder="1" applyAlignment="1" applyProtection="1">
      <protection locked="0"/>
    </xf>
    <xf numFmtId="0" fontId="32" fillId="0" borderId="0" xfId="2" applyFont="1" applyFill="1" applyBorder="1" applyAlignment="1" applyProtection="1">
      <alignment horizontal="centerContinuous"/>
      <protection locked="0"/>
    </xf>
    <xf numFmtId="0" fontId="33" fillId="0" borderId="0" xfId="2" applyFont="1" applyFill="1" applyBorder="1" applyAlignment="1" applyProtection="1">
      <alignment horizontal="centerContinuous"/>
      <protection locked="0"/>
    </xf>
    <xf numFmtId="0" fontId="32" fillId="2" borderId="0" xfId="2" applyFont="1" applyFill="1" applyBorder="1" applyAlignment="1" applyProtection="1">
      <alignment horizontal="centerContinuous"/>
      <protection locked="0"/>
    </xf>
    <xf numFmtId="0" fontId="33" fillId="2" borderId="0" xfId="2" applyFont="1" applyFill="1" applyBorder="1" applyAlignment="1" applyProtection="1">
      <alignment horizontal="centerContinuous"/>
      <protection locked="0"/>
    </xf>
    <xf numFmtId="0" fontId="32" fillId="2" borderId="0" xfId="2" applyFont="1" applyFill="1" applyAlignment="1" applyProtection="1">
      <protection locked="0"/>
    </xf>
    <xf numFmtId="9" fontId="32" fillId="2" borderId="0" xfId="43" applyFont="1" applyFill="1" applyBorder="1" applyAlignment="1" applyProtection="1">
      <alignment horizontal="centerContinuous"/>
      <protection locked="0"/>
    </xf>
    <xf numFmtId="0" fontId="32" fillId="2" borderId="0" xfId="2" applyFont="1" applyFill="1" applyBorder="1" applyAlignment="1" applyProtection="1">
      <alignment horizontal="right"/>
      <protection locked="0"/>
    </xf>
    <xf numFmtId="0" fontId="32" fillId="2" borderId="0" xfId="2" applyFont="1" applyFill="1" applyAlignment="1" applyProtection="1">
      <alignment horizontal="right"/>
      <protection locked="0"/>
    </xf>
    <xf numFmtId="0" fontId="33" fillId="0" borderId="4" xfId="2" applyFont="1" applyFill="1" applyBorder="1" applyAlignment="1" applyProtection="1">
      <protection locked="0"/>
    </xf>
    <xf numFmtId="0" fontId="32" fillId="0" borderId="4" xfId="2" applyFont="1" applyFill="1" applyBorder="1" applyAlignment="1" applyProtection="1">
      <protection locked="0"/>
    </xf>
    <xf numFmtId="164" fontId="34" fillId="0" borderId="4" xfId="1" applyFont="1" applyFill="1" applyBorder="1" applyAlignment="1" applyProtection="1">
      <alignment horizontal="right"/>
      <protection locked="0"/>
    </xf>
    <xf numFmtId="0" fontId="32" fillId="2" borderId="4" xfId="2" applyFont="1" applyFill="1" applyBorder="1" applyAlignment="1" applyProtection="1">
      <protection locked="0"/>
    </xf>
    <xf numFmtId="0" fontId="33" fillId="2" borderId="4" xfId="2" applyFont="1" applyFill="1" applyBorder="1" applyAlignment="1" applyProtection="1">
      <protection locked="0"/>
    </xf>
    <xf numFmtId="0" fontId="5" fillId="2" borderId="4" xfId="2" applyFont="1" applyFill="1" applyBorder="1" applyAlignment="1" applyProtection="1">
      <protection locked="0"/>
    </xf>
    <xf numFmtId="0" fontId="35" fillId="2" borderId="4" xfId="2" applyFont="1" applyFill="1" applyBorder="1" applyAlignment="1" applyProtection="1">
      <protection locked="0"/>
    </xf>
    <xf numFmtId="0" fontId="11" fillId="0" borderId="7" xfId="2" applyFont="1" applyFill="1" applyBorder="1" applyAlignment="1" applyProtection="1">
      <protection locked="0"/>
    </xf>
    <xf numFmtId="0" fontId="36" fillId="0" borderId="7" xfId="2" applyFont="1" applyFill="1" applyBorder="1" applyAlignment="1" applyProtection="1">
      <protection locked="0"/>
    </xf>
    <xf numFmtId="0" fontId="34" fillId="0" borderId="7" xfId="2" applyFont="1" applyFill="1" applyBorder="1" applyAlignment="1" applyProtection="1">
      <alignment horizontal="right"/>
      <protection locked="0"/>
    </xf>
    <xf numFmtId="0" fontId="36" fillId="2" borderId="7" xfId="2" applyFont="1" applyFill="1" applyBorder="1" applyAlignment="1" applyProtection="1">
      <protection locked="0"/>
    </xf>
    <xf numFmtId="0" fontId="11" fillId="2" borderId="7" xfId="2" applyFont="1" applyFill="1" applyBorder="1" applyAlignment="1" applyProtection="1">
      <protection locked="0"/>
    </xf>
    <xf numFmtId="0" fontId="37" fillId="2" borderId="7" xfId="2" applyFont="1" applyFill="1" applyBorder="1" applyAlignment="1" applyProtection="1">
      <protection locked="0"/>
    </xf>
    <xf numFmtId="0" fontId="32" fillId="2" borderId="0" xfId="2" applyFont="1" applyFill="1" applyBorder="1" applyAlignment="1" applyProtection="1">
      <protection locked="0"/>
    </xf>
    <xf numFmtId="0" fontId="33" fillId="2" borderId="0" xfId="2" applyFont="1" applyFill="1" applyBorder="1" applyAlignment="1" applyProtection="1">
      <protection locked="0"/>
    </xf>
    <xf numFmtId="164" fontId="32" fillId="2" borderId="9" xfId="1" applyFont="1" applyFill="1" applyBorder="1" applyAlignment="1" applyProtection="1">
      <alignment horizontal="right"/>
      <protection locked="0"/>
    </xf>
    <xf numFmtId="0" fontId="23" fillId="0" borderId="11" xfId="2" applyFont="1" applyFill="1" applyBorder="1" applyAlignment="1" applyProtection="1">
      <alignment horizontal="right"/>
      <protection locked="0"/>
    </xf>
    <xf numFmtId="0" fontId="23" fillId="2" borderId="0" xfId="0" applyFont="1" applyFill="1" applyBorder="1" applyAlignment="1"/>
    <xf numFmtId="0" fontId="27" fillId="2" borderId="0" xfId="0" applyFont="1" applyFill="1" applyBorder="1" applyAlignment="1"/>
    <xf numFmtId="2" fontId="0" fillId="0" borderId="0" xfId="0" applyNumberFormat="1"/>
    <xf numFmtId="37" fontId="0" fillId="0" borderId="0" xfId="0" applyNumberFormat="1"/>
    <xf numFmtId="0" fontId="7" fillId="0" borderId="0" xfId="0" applyFont="1"/>
    <xf numFmtId="0" fontId="7" fillId="0" borderId="0" xfId="39" applyFont="1"/>
    <xf numFmtId="167" fontId="7" fillId="4" borderId="5" xfId="39" applyNumberFormat="1" applyFont="1" applyFill="1" applyBorder="1"/>
    <xf numFmtId="167" fontId="7" fillId="0" borderId="5" xfId="39" applyNumberFormat="1" applyFont="1" applyBorder="1"/>
    <xf numFmtId="0" fontId="52" fillId="0" borderId="5" xfId="39" applyFont="1" applyBorder="1"/>
    <xf numFmtId="167" fontId="7" fillId="4" borderId="4" xfId="16" applyNumberFormat="1" applyFont="1" applyFill="1" applyBorder="1"/>
    <xf numFmtId="167" fontId="7" fillId="0" borderId="4" xfId="16" applyNumberFormat="1" applyFont="1" applyBorder="1"/>
    <xf numFmtId="0" fontId="7" fillId="0" borderId="4" xfId="39" applyFont="1" applyBorder="1"/>
    <xf numFmtId="167" fontId="7" fillId="4" borderId="0" xfId="16" applyNumberFormat="1" applyFont="1" applyFill="1" applyBorder="1"/>
    <xf numFmtId="167" fontId="7" fillId="0" borderId="0" xfId="16" applyNumberFormat="1" applyFont="1" applyBorder="1"/>
    <xf numFmtId="0" fontId="7" fillId="0" borderId="0" xfId="39" applyFont="1" applyBorder="1"/>
    <xf numFmtId="0" fontId="7" fillId="4" borderId="0" xfId="39" applyFont="1" applyFill="1"/>
    <xf numFmtId="167" fontId="52" fillId="4" borderId="5" xfId="16" applyNumberFormat="1" applyFont="1" applyFill="1" applyBorder="1"/>
    <xf numFmtId="167" fontId="52" fillId="0" borderId="5" xfId="16" applyNumberFormat="1" applyFont="1" applyBorder="1"/>
    <xf numFmtId="167" fontId="7" fillId="4" borderId="0" xfId="16" applyNumberFormat="1" applyFont="1" applyFill="1"/>
    <xf numFmtId="167" fontId="7" fillId="0" borderId="0" xfId="16" applyNumberFormat="1" applyFont="1"/>
    <xf numFmtId="0" fontId="7" fillId="0" borderId="0" xfId="39" applyFont="1" applyFill="1" applyProtection="1">
      <protection locked="0"/>
    </xf>
    <xf numFmtId="167" fontId="52" fillId="4" borderId="12" xfId="39" applyNumberFormat="1" applyFont="1" applyFill="1" applyBorder="1"/>
    <xf numFmtId="167" fontId="52" fillId="0" borderId="12" xfId="39" applyNumberFormat="1" applyFont="1" applyBorder="1"/>
    <xf numFmtId="0" fontId="52" fillId="0" borderId="12" xfId="39" applyFont="1" applyFill="1" applyBorder="1" applyProtection="1">
      <protection locked="0"/>
    </xf>
    <xf numFmtId="41" fontId="53" fillId="0" borderId="0" xfId="2" applyNumberFormat="1" applyFont="1" applyFill="1" applyProtection="1">
      <protection locked="0"/>
    </xf>
    <xf numFmtId="0" fontId="54" fillId="0" borderId="0" xfId="0" applyFont="1"/>
    <xf numFmtId="0" fontId="54" fillId="0" borderId="0" xfId="39" applyFont="1"/>
    <xf numFmtId="166" fontId="54" fillId="4" borderId="0" xfId="43" applyNumberFormat="1" applyFont="1" applyFill="1"/>
    <xf numFmtId="166" fontId="54" fillId="0" borderId="0" xfId="43" applyNumberFormat="1" applyFont="1"/>
    <xf numFmtId="0" fontId="54" fillId="0" borderId="0" xfId="39" applyFont="1" applyFill="1" applyProtection="1">
      <protection locked="0"/>
    </xf>
    <xf numFmtId="167" fontId="52" fillId="4" borderId="0" xfId="16" applyNumberFormat="1" applyFont="1" applyFill="1"/>
    <xf numFmtId="167" fontId="52" fillId="0" borderId="0" xfId="16" applyNumberFormat="1" applyFont="1"/>
    <xf numFmtId="0" fontId="52" fillId="0" borderId="0" xfId="39" applyFont="1" applyFill="1" applyProtection="1">
      <protection locked="0"/>
    </xf>
    <xf numFmtId="0" fontId="7" fillId="0" borderId="4" xfId="39" applyFont="1" applyFill="1" applyBorder="1" applyProtection="1">
      <protection locked="0"/>
    </xf>
    <xf numFmtId="167" fontId="52" fillId="4" borderId="12" xfId="16" applyNumberFormat="1" applyFont="1" applyFill="1" applyBorder="1"/>
    <xf numFmtId="167" fontId="52" fillId="0" borderId="12" xfId="16" applyNumberFormat="1" applyFont="1" applyBorder="1"/>
    <xf numFmtId="0" fontId="52" fillId="4" borderId="0" xfId="39" applyFont="1" applyFill="1"/>
    <xf numFmtId="0" fontId="52" fillId="0" borderId="0" xfId="39" applyFont="1"/>
    <xf numFmtId="0" fontId="52" fillId="4" borderId="5" xfId="39" applyFont="1" applyFill="1" applyBorder="1" applyAlignment="1">
      <alignment horizontal="center"/>
    </xf>
    <xf numFmtId="0" fontId="52" fillId="0" borderId="5" xfId="39" applyFont="1" applyBorder="1" applyAlignment="1">
      <alignment horizontal="center"/>
    </xf>
    <xf numFmtId="0" fontId="7" fillId="2" borderId="0" xfId="39" applyFont="1" applyFill="1"/>
    <xf numFmtId="0" fontId="7" fillId="2" borderId="0" xfId="39" applyFont="1" applyFill="1" applyAlignment="1">
      <alignment horizontal="right"/>
    </xf>
    <xf numFmtId="0" fontId="55" fillId="2" borderId="0" xfId="39" applyFont="1" applyFill="1"/>
    <xf numFmtId="0" fontId="56" fillId="2" borderId="0" xfId="39" applyFont="1" applyFill="1"/>
    <xf numFmtId="167" fontId="7" fillId="2" borderId="0" xfId="39" applyNumberFormat="1" applyFont="1" applyFill="1"/>
    <xf numFmtId="167" fontId="52" fillId="2" borderId="0" xfId="16" applyNumberFormat="1" applyFont="1" applyFill="1"/>
    <xf numFmtId="0" fontId="52" fillId="2" borderId="0" xfId="39" applyFont="1" applyFill="1"/>
    <xf numFmtId="167" fontId="7" fillId="4" borderId="0" xfId="39" applyNumberFormat="1" applyFont="1" applyFill="1"/>
    <xf numFmtId="167" fontId="7" fillId="0" borderId="0" xfId="39" applyNumberFormat="1" applyFont="1"/>
    <xf numFmtId="174" fontId="7" fillId="0" borderId="0" xfId="39" applyNumberFormat="1" applyFont="1" applyFill="1" applyAlignment="1"/>
    <xf numFmtId="166" fontId="52" fillId="4" borderId="0" xfId="43" applyNumberFormat="1" applyFont="1" applyFill="1"/>
    <xf numFmtId="166" fontId="52" fillId="0" borderId="0" xfId="43" applyNumberFormat="1" applyFont="1"/>
    <xf numFmtId="166" fontId="52" fillId="4" borderId="12" xfId="43" applyNumberFormat="1" applyFont="1" applyFill="1" applyBorder="1"/>
    <xf numFmtId="166" fontId="52" fillId="0" borderId="12" xfId="43" applyNumberFormat="1" applyFont="1" applyBorder="1"/>
    <xf numFmtId="0" fontId="52" fillId="0" borderId="12" xfId="39" applyFont="1" applyBorder="1"/>
    <xf numFmtId="166" fontId="52" fillId="4" borderId="0" xfId="43" applyNumberFormat="1" applyFont="1" applyFill="1" applyBorder="1"/>
    <xf numFmtId="166" fontId="52" fillId="2" borderId="0" xfId="43" applyNumberFormat="1" applyFont="1" applyFill="1" applyBorder="1"/>
    <xf numFmtId="166" fontId="52" fillId="0" borderId="0" xfId="43" applyNumberFormat="1" applyFont="1" applyBorder="1"/>
    <xf numFmtId="0" fontId="52" fillId="0" borderId="0" xfId="39" applyFont="1" applyBorder="1"/>
    <xf numFmtId="166" fontId="7" fillId="4" borderId="0" xfId="43" applyNumberFormat="1" applyFont="1" applyFill="1"/>
    <xf numFmtId="166" fontId="7" fillId="0" borderId="0" xfId="43" applyNumberFormat="1" applyFont="1"/>
    <xf numFmtId="167" fontId="52" fillId="0" borderId="0" xfId="16" applyNumberFormat="1" applyFont="1" applyFill="1"/>
    <xf numFmtId="167" fontId="7" fillId="0" borderId="0" xfId="16" applyNumberFormat="1" applyFont="1" applyFill="1"/>
    <xf numFmtId="0" fontId="7" fillId="0" borderId="0" xfId="39" applyFont="1" applyFill="1"/>
    <xf numFmtId="166" fontId="52" fillId="0" borderId="0" xfId="43" applyNumberFormat="1" applyFont="1" applyFill="1"/>
    <xf numFmtId="0" fontId="52" fillId="0" borderId="0" xfId="39" applyFont="1" applyFill="1"/>
    <xf numFmtId="166" fontId="7" fillId="4" borderId="4" xfId="43" applyNumberFormat="1" applyFont="1" applyFill="1" applyBorder="1"/>
    <xf numFmtId="166" fontId="7" fillId="0" borderId="4" xfId="43" applyNumberFormat="1" applyFont="1" applyFill="1" applyBorder="1"/>
    <xf numFmtId="0" fontId="7" fillId="0" borderId="4" xfId="39" applyFont="1" applyFill="1" applyBorder="1"/>
    <xf numFmtId="166" fontId="7" fillId="0" borderId="0" xfId="43" applyNumberFormat="1" applyFont="1" applyFill="1"/>
    <xf numFmtId="166" fontId="7" fillId="0" borderId="4" xfId="43" applyNumberFormat="1" applyFont="1" applyBorder="1"/>
    <xf numFmtId="174" fontId="7" fillId="0" borderId="4" xfId="39" applyNumberFormat="1" applyFont="1" applyFill="1" applyBorder="1" applyAlignment="1"/>
    <xf numFmtId="0" fontId="55" fillId="0" borderId="0" xfId="39" applyFont="1"/>
    <xf numFmtId="0" fontId="56" fillId="0" borderId="0" xfId="39" applyFont="1"/>
    <xf numFmtId="43" fontId="7" fillId="2" borderId="0" xfId="16" applyFont="1" applyFill="1"/>
    <xf numFmtId="43" fontId="7" fillId="0" borderId="0" xfId="16" applyFont="1"/>
    <xf numFmtId="43" fontId="7" fillId="4" borderId="5" xfId="16" applyFont="1" applyFill="1" applyBorder="1"/>
    <xf numFmtId="43" fontId="7" fillId="0" borderId="5" xfId="16" applyFont="1" applyBorder="1"/>
    <xf numFmtId="9" fontId="54" fillId="0" borderId="0" xfId="43" applyFont="1"/>
    <xf numFmtId="9" fontId="54" fillId="4" borderId="0" xfId="43" applyNumberFormat="1" applyFont="1" applyFill="1"/>
    <xf numFmtId="9" fontId="54" fillId="0" borderId="0" xfId="43" applyNumberFormat="1" applyFont="1"/>
    <xf numFmtId="43" fontId="54" fillId="0" borderId="0" xfId="16" applyFont="1"/>
    <xf numFmtId="43" fontId="52" fillId="0" borderId="0" xfId="16" applyFont="1"/>
    <xf numFmtId="43" fontId="52" fillId="4" borderId="5" xfId="16" applyFont="1" applyFill="1" applyBorder="1"/>
    <xf numFmtId="43" fontId="52" fillId="0" borderId="5" xfId="16" applyFont="1" applyBorder="1"/>
    <xf numFmtId="167" fontId="54" fillId="0" borderId="0" xfId="16" applyNumberFormat="1" applyFont="1"/>
    <xf numFmtId="167" fontId="54" fillId="4" borderId="0" xfId="16" applyNumberFormat="1" applyFont="1" applyFill="1" applyBorder="1"/>
    <xf numFmtId="167" fontId="54" fillId="0" borderId="0" xfId="16" applyNumberFormat="1" applyFont="1" applyBorder="1"/>
    <xf numFmtId="43" fontId="54" fillId="0" borderId="0" xfId="16" applyFont="1" applyBorder="1"/>
    <xf numFmtId="167" fontId="52" fillId="4" borderId="0" xfId="16" applyNumberFormat="1" applyFont="1" applyFill="1" applyBorder="1"/>
    <xf numFmtId="167" fontId="52" fillId="0" borderId="0" xfId="16" applyNumberFormat="1" applyFont="1" applyBorder="1"/>
    <xf numFmtId="43" fontId="52" fillId="0" borderId="0" xfId="16" applyFont="1" applyBorder="1"/>
    <xf numFmtId="43" fontId="52" fillId="0" borderId="12" xfId="16" applyFont="1" applyBorder="1"/>
    <xf numFmtId="9" fontId="7" fillId="0" borderId="0" xfId="43" applyFont="1"/>
    <xf numFmtId="9" fontId="7" fillId="0" borderId="0" xfId="16" applyNumberFormat="1" applyFont="1"/>
    <xf numFmtId="0" fontId="7" fillId="4" borderId="4" xfId="39" applyFont="1" applyFill="1" applyBorder="1"/>
    <xf numFmtId="43" fontId="7" fillId="0" borderId="4" xfId="16" applyFont="1" applyBorder="1"/>
    <xf numFmtId="37" fontId="7" fillId="4" borderId="0" xfId="39" applyNumberFormat="1" applyFont="1" applyFill="1"/>
    <xf numFmtId="37" fontId="7" fillId="0" borderId="0" xfId="39" applyNumberFormat="1" applyFont="1"/>
    <xf numFmtId="167" fontId="7" fillId="2" borderId="0" xfId="16" applyNumberFormat="1" applyFont="1" applyFill="1"/>
    <xf numFmtId="43" fontId="7" fillId="4" borderId="0" xfId="16" applyFont="1" applyFill="1"/>
    <xf numFmtId="166" fontId="54" fillId="2" borderId="0" xfId="43" applyNumberFormat="1" applyFont="1" applyFill="1"/>
    <xf numFmtId="166" fontId="7" fillId="2" borderId="4" xfId="43" applyNumberFormat="1" applyFont="1" applyFill="1" applyBorder="1"/>
    <xf numFmtId="164" fontId="7" fillId="2" borderId="4" xfId="1" applyFont="1" applyFill="1" applyBorder="1" applyAlignment="1" applyProtection="1">
      <alignment horizontal="right"/>
      <protection locked="0"/>
    </xf>
    <xf numFmtId="0" fontId="57" fillId="2" borderId="4" xfId="2" applyFont="1" applyFill="1" applyBorder="1" applyAlignment="1" applyProtection="1">
      <protection locked="0"/>
    </xf>
    <xf numFmtId="0" fontId="58" fillId="2" borderId="4" xfId="2" applyFont="1" applyFill="1" applyBorder="1" applyAlignment="1" applyProtection="1">
      <protection locked="0"/>
    </xf>
    <xf numFmtId="0" fontId="59" fillId="2" borderId="4" xfId="2" applyFont="1" applyFill="1" applyBorder="1" applyAlignment="1" applyProtection="1">
      <alignment horizontal="left"/>
      <protection locked="0"/>
    </xf>
    <xf numFmtId="0" fontId="60" fillId="2" borderId="4" xfId="2" applyFont="1" applyFill="1" applyBorder="1" applyAlignment="1" applyProtection="1">
      <protection locked="0"/>
    </xf>
    <xf numFmtId="0" fontId="52" fillId="2" borderId="4" xfId="2" applyFont="1" applyFill="1" applyBorder="1" applyAlignment="1" applyProtection="1">
      <protection locked="0"/>
    </xf>
    <xf numFmtId="0" fontId="7" fillId="2" borderId="7" xfId="2" applyFont="1" applyFill="1" applyBorder="1" applyAlignment="1" applyProtection="1">
      <alignment horizontal="right"/>
      <protection locked="0"/>
    </xf>
    <xf numFmtId="0" fontId="61" fillId="2" borderId="7" xfId="2" applyFont="1" applyFill="1" applyBorder="1" applyAlignment="1" applyProtection="1">
      <protection locked="0"/>
    </xf>
    <xf numFmtId="0" fontId="62" fillId="2" borderId="7" xfId="2" applyFont="1" applyFill="1" applyBorder="1" applyAlignment="1" applyProtection="1">
      <protection locked="0"/>
    </xf>
    <xf numFmtId="175" fontId="63" fillId="2" borderId="7" xfId="2" applyNumberFormat="1" applyFont="1" applyFill="1" applyBorder="1" applyAlignment="1" applyProtection="1">
      <protection locked="0"/>
    </xf>
    <xf numFmtId="0" fontId="64" fillId="2" borderId="7" xfId="2" applyFont="1" applyFill="1" applyBorder="1" applyAlignment="1" applyProtection="1">
      <protection locked="0"/>
    </xf>
    <xf numFmtId="37" fontId="32" fillId="0" borderId="0" xfId="2" applyNumberFormat="1" applyFont="1" applyFill="1" applyBorder="1" applyAlignment="1" applyProtection="1">
      <protection locked="0"/>
    </xf>
    <xf numFmtId="166" fontId="43" fillId="0" borderId="0" xfId="43" applyNumberFormat="1" applyFont="1" applyFill="1" applyAlignment="1" applyProtection="1">
      <protection locked="0"/>
    </xf>
    <xf numFmtId="166" fontId="43" fillId="0" borderId="0" xfId="43" applyNumberFormat="1" applyFont="1" applyFill="1" applyBorder="1" applyAlignment="1" applyProtection="1">
      <protection locked="0"/>
    </xf>
    <xf numFmtId="166" fontId="32" fillId="0" borderId="0" xfId="43" applyNumberFormat="1" applyFont="1" applyFill="1" applyAlignment="1" applyProtection="1">
      <protection locked="0"/>
    </xf>
    <xf numFmtId="166" fontId="65" fillId="0" borderId="0" xfId="43" applyNumberFormat="1" applyFont="1" applyFill="1" applyAlignment="1" applyProtection="1">
      <protection locked="0"/>
    </xf>
    <xf numFmtId="0" fontId="43" fillId="0" borderId="0" xfId="2" applyFont="1" applyFill="1" applyAlignment="1" applyProtection="1">
      <protection locked="0"/>
    </xf>
    <xf numFmtId="0" fontId="43" fillId="0" borderId="0" xfId="2" applyFont="1" applyFill="1" applyAlignment="1" applyProtection="1">
      <alignment horizontal="left"/>
      <protection locked="0"/>
    </xf>
    <xf numFmtId="43" fontId="65" fillId="0" borderId="0" xfId="2" applyNumberFormat="1" applyFont="1" applyFill="1" applyAlignment="1" applyProtection="1">
      <alignment horizontal="left" indent="1"/>
      <protection locked="0"/>
    </xf>
    <xf numFmtId="0" fontId="32" fillId="0" borderId="0" xfId="2" applyFont="1" applyFill="1" applyProtection="1">
      <protection locked="0"/>
    </xf>
    <xf numFmtId="0" fontId="32" fillId="0" borderId="0" xfId="2" applyFont="1" applyFill="1" applyBorder="1" applyProtection="1">
      <protection locked="0"/>
    </xf>
    <xf numFmtId="0" fontId="33" fillId="0" borderId="0" xfId="2" applyFont="1" applyFill="1" applyProtection="1">
      <protection locked="0"/>
    </xf>
    <xf numFmtId="0" fontId="32" fillId="0" borderId="0" xfId="2" applyFont="1" applyFill="1" applyAlignment="1" applyProtection="1">
      <alignment horizontal="left"/>
      <protection locked="0"/>
    </xf>
    <xf numFmtId="0" fontId="32" fillId="0" borderId="0" xfId="2" applyFont="1" applyFill="1" applyAlignment="1" applyProtection="1">
      <protection locked="0"/>
    </xf>
    <xf numFmtId="176" fontId="32" fillId="0" borderId="0" xfId="2" applyNumberFormat="1" applyFont="1" applyFill="1" applyBorder="1" applyAlignment="1" applyProtection="1">
      <protection locked="0"/>
    </xf>
    <xf numFmtId="176" fontId="32" fillId="0" borderId="0" xfId="2" applyNumberFormat="1" applyFont="1" applyFill="1" applyAlignment="1" applyProtection="1">
      <protection locked="0"/>
    </xf>
    <xf numFmtId="0" fontId="33" fillId="0" borderId="0" xfId="2" applyFont="1" applyFill="1" applyAlignment="1" applyProtection="1">
      <protection locked="0"/>
    </xf>
    <xf numFmtId="37" fontId="32" fillId="0" borderId="0" xfId="2" applyNumberFormat="1" applyFont="1" applyFill="1" applyAlignment="1" applyProtection="1">
      <protection locked="0"/>
    </xf>
    <xf numFmtId="1" fontId="32" fillId="0" borderId="0" xfId="2" applyNumberFormat="1" applyFont="1" applyFill="1" applyAlignment="1" applyProtection="1">
      <protection locked="0"/>
    </xf>
    <xf numFmtId="44" fontId="32" fillId="0" borderId="0" xfId="20" applyFont="1" applyFill="1" applyAlignment="1" applyProtection="1">
      <protection locked="0"/>
    </xf>
    <xf numFmtId="0" fontId="32" fillId="4" borderId="2" xfId="2" applyFont="1" applyFill="1" applyBorder="1" applyAlignment="1" applyProtection="1">
      <protection locked="0"/>
    </xf>
    <xf numFmtId="0" fontId="32" fillId="0" borderId="2" xfId="2" applyFont="1" applyFill="1" applyBorder="1" applyAlignment="1" applyProtection="1">
      <protection locked="0"/>
    </xf>
    <xf numFmtId="43" fontId="32" fillId="4" borderId="0" xfId="16" applyFont="1" applyFill="1" applyBorder="1" applyAlignment="1" applyProtection="1">
      <protection locked="0"/>
    </xf>
    <xf numFmtId="43" fontId="32" fillId="0" borderId="0" xfId="16" applyFont="1" applyFill="1" applyBorder="1" applyAlignment="1" applyProtection="1">
      <protection locked="0"/>
    </xf>
    <xf numFmtId="0" fontId="44" fillId="0" borderId="0" xfId="2" applyFont="1" applyFill="1" applyBorder="1" applyAlignment="1" applyProtection="1">
      <protection locked="0"/>
    </xf>
    <xf numFmtId="175" fontId="41" fillId="0" borderId="0" xfId="2" applyNumberFormat="1" applyFont="1" applyFill="1" applyBorder="1" applyAlignment="1" applyProtection="1">
      <protection locked="0"/>
    </xf>
    <xf numFmtId="43" fontId="32" fillId="4" borderId="0" xfId="16" applyFont="1" applyFill="1" applyAlignment="1" applyProtection="1">
      <protection locked="0"/>
    </xf>
    <xf numFmtId="43" fontId="32" fillId="0" borderId="0" xfId="16" applyFont="1" applyFill="1" applyAlignment="1" applyProtection="1">
      <protection locked="0"/>
    </xf>
    <xf numFmtId="0" fontId="44" fillId="0" borderId="0" xfId="2" applyFont="1" applyFill="1" applyAlignment="1" applyProtection="1">
      <protection locked="0"/>
    </xf>
    <xf numFmtId="175" fontId="41" fillId="0" borderId="0" xfId="2" applyNumberFormat="1" applyFont="1" applyFill="1" applyAlignment="1" applyProtection="1">
      <protection locked="0"/>
    </xf>
    <xf numFmtId="166" fontId="33" fillId="4" borderId="0" xfId="43" applyNumberFormat="1" applyFont="1" applyFill="1" applyAlignment="1" applyProtection="1">
      <protection locked="0"/>
    </xf>
    <xf numFmtId="166" fontId="32" fillId="4" borderId="0" xfId="43" applyNumberFormat="1" applyFont="1" applyFill="1" applyAlignment="1" applyProtection="1">
      <alignment horizontal="right"/>
      <protection locked="0"/>
    </xf>
    <xf numFmtId="166" fontId="32" fillId="0" borderId="0" xfId="43" applyNumberFormat="1" applyFont="1" applyFill="1" applyAlignment="1" applyProtection="1">
      <alignment horizontal="right"/>
      <protection locked="0"/>
    </xf>
    <xf numFmtId="166" fontId="33" fillId="4" borderId="0" xfId="43" applyNumberFormat="1" applyFont="1" applyFill="1" applyAlignment="1" applyProtection="1">
      <alignment horizontal="right"/>
      <protection locked="0"/>
    </xf>
    <xf numFmtId="0" fontId="33" fillId="4" borderId="0" xfId="2" applyFont="1" applyFill="1" applyBorder="1" applyProtection="1">
      <protection locked="0"/>
    </xf>
    <xf numFmtId="176" fontId="32" fillId="0" borderId="0" xfId="2" applyNumberFormat="1" applyFont="1" applyFill="1" applyBorder="1" applyProtection="1">
      <protection locked="0"/>
    </xf>
    <xf numFmtId="0" fontId="41" fillId="0" borderId="0" xfId="2" applyFont="1" applyFill="1" applyBorder="1" applyProtection="1">
      <protection locked="0"/>
    </xf>
    <xf numFmtId="0" fontId="32" fillId="4" borderId="0" xfId="2" applyFont="1" applyFill="1" applyAlignment="1" applyProtection="1">
      <protection locked="0"/>
    </xf>
    <xf numFmtId="0" fontId="66" fillId="0" borderId="0" xfId="2" applyFont="1" applyFill="1" applyBorder="1" applyProtection="1">
      <protection locked="0"/>
    </xf>
    <xf numFmtId="0" fontId="33" fillId="4" borderId="7" xfId="2" applyFont="1" applyFill="1" applyBorder="1" applyAlignment="1" applyProtection="1">
      <protection locked="0"/>
    </xf>
    <xf numFmtId="0" fontId="32" fillId="0" borderId="7" xfId="2" applyFont="1" applyFill="1" applyBorder="1" applyAlignment="1" applyProtection="1">
      <protection locked="0"/>
    </xf>
    <xf numFmtId="0" fontId="33" fillId="0" borderId="7" xfId="2" applyFont="1" applyFill="1" applyBorder="1" applyAlignment="1" applyProtection="1">
      <protection locked="0"/>
    </xf>
    <xf numFmtId="3" fontId="33" fillId="0" borderId="7" xfId="2" applyNumberFormat="1" applyFont="1" applyFill="1" applyBorder="1" applyAlignment="1" applyProtection="1">
      <protection locked="0"/>
    </xf>
    <xf numFmtId="0" fontId="33" fillId="4" borderId="0" xfId="2" applyFont="1" applyFill="1" applyAlignment="1" applyProtection="1">
      <protection locked="0"/>
    </xf>
    <xf numFmtId="9" fontId="33" fillId="4" borderId="0" xfId="2" applyNumberFormat="1" applyFont="1" applyFill="1" applyAlignment="1" applyProtection="1">
      <protection locked="0"/>
    </xf>
    <xf numFmtId="37" fontId="33" fillId="4" borderId="0" xfId="2" applyNumberFormat="1" applyFont="1" applyFill="1" applyAlignment="1" applyProtection="1">
      <protection locked="0"/>
    </xf>
    <xf numFmtId="167" fontId="33" fillId="4" borderId="0" xfId="2" applyNumberFormat="1" applyFont="1" applyFill="1" applyAlignment="1" applyProtection="1">
      <protection locked="0"/>
    </xf>
    <xf numFmtId="0" fontId="33" fillId="0" borderId="0" xfId="2" applyFont="1" applyFill="1" applyBorder="1" applyAlignment="1" applyProtection="1">
      <protection locked="0"/>
    </xf>
    <xf numFmtId="167" fontId="32" fillId="4" borderId="0" xfId="16" applyNumberFormat="1" applyFont="1" applyFill="1" applyBorder="1" applyAlignment="1" applyProtection="1">
      <protection locked="0"/>
    </xf>
    <xf numFmtId="37" fontId="32" fillId="4" borderId="0" xfId="43" applyNumberFormat="1" applyFont="1" applyFill="1" applyAlignment="1" applyProtection="1">
      <alignment horizontal="right"/>
      <protection locked="0"/>
    </xf>
    <xf numFmtId="167" fontId="32" fillId="0" borderId="0" xfId="16" applyNumberFormat="1" applyFont="1" applyFill="1" applyBorder="1" applyAlignment="1" applyProtection="1">
      <protection locked="0"/>
    </xf>
    <xf numFmtId="3" fontId="32" fillId="4" borderId="0" xfId="43" applyNumberFormat="1" applyFont="1" applyFill="1" applyAlignment="1" applyProtection="1">
      <alignment horizontal="right"/>
      <protection locked="0"/>
    </xf>
    <xf numFmtId="167" fontId="41" fillId="0" borderId="0" xfId="16" applyNumberFormat="1" applyFont="1" applyFill="1" applyBorder="1" applyAlignment="1" applyProtection="1">
      <protection locked="0"/>
    </xf>
    <xf numFmtId="167" fontId="32" fillId="0" borderId="0" xfId="16" applyNumberFormat="1" applyFont="1" applyFill="1" applyBorder="1"/>
    <xf numFmtId="177" fontId="32" fillId="0" borderId="0" xfId="2" applyNumberFormat="1" applyFont="1" applyFill="1" applyBorder="1"/>
    <xf numFmtId="166" fontId="32" fillId="0" borderId="0" xfId="43" applyNumberFormat="1" applyFont="1" applyFill="1" applyBorder="1" applyProtection="1">
      <protection locked="0"/>
    </xf>
    <xf numFmtId="0" fontId="41" fillId="0" borderId="0" xfId="2" applyFont="1" applyFill="1" applyBorder="1" applyAlignment="1" applyProtection="1">
      <protection locked="0"/>
    </xf>
    <xf numFmtId="166" fontId="25" fillId="0" borderId="0" xfId="43" applyNumberFormat="1" applyFont="1" applyFill="1" applyAlignment="1" applyProtection="1">
      <protection locked="0"/>
    </xf>
    <xf numFmtId="37" fontId="32" fillId="0" borderId="0" xfId="43" applyNumberFormat="1" applyFont="1" applyFill="1" applyAlignment="1" applyProtection="1">
      <alignment horizontal="right"/>
      <protection locked="0"/>
    </xf>
    <xf numFmtId="37" fontId="41" fillId="0" borderId="0" xfId="43" applyNumberFormat="1" applyFont="1" applyFill="1" applyAlignment="1" applyProtection="1">
      <alignment horizontal="right"/>
      <protection locked="0"/>
    </xf>
    <xf numFmtId="37" fontId="32" fillId="0" borderId="0" xfId="2" applyNumberFormat="1" applyFont="1" applyFill="1" applyBorder="1"/>
    <xf numFmtId="37" fontId="67" fillId="0" borderId="0" xfId="2" applyNumberFormat="1" applyFont="1" applyFill="1" applyAlignment="1" applyProtection="1">
      <protection locked="0"/>
    </xf>
    <xf numFmtId="37" fontId="41" fillId="0" borderId="0" xfId="2" applyNumberFormat="1" applyFont="1" applyFill="1" applyAlignment="1" applyProtection="1">
      <protection locked="0"/>
    </xf>
    <xf numFmtId="43" fontId="33" fillId="4" borderId="0" xfId="2" applyNumberFormat="1" applyFont="1" applyFill="1" applyAlignment="1" applyProtection="1">
      <protection locked="0"/>
    </xf>
    <xf numFmtId="43" fontId="33" fillId="0" borderId="0" xfId="2" applyNumberFormat="1" applyFont="1" applyFill="1" applyAlignment="1" applyProtection="1">
      <protection locked="0"/>
    </xf>
    <xf numFmtId="0" fontId="66" fillId="0" borderId="0" xfId="2" applyFont="1" applyFill="1" applyAlignment="1" applyProtection="1">
      <protection locked="0"/>
    </xf>
    <xf numFmtId="43" fontId="32" fillId="0" borderId="7" xfId="2" applyNumberFormat="1" applyFont="1" applyFill="1" applyBorder="1" applyAlignment="1" applyProtection="1">
      <protection locked="0"/>
    </xf>
    <xf numFmtId="8" fontId="32" fillId="0" borderId="7" xfId="2" applyNumberFormat="1" applyFont="1" applyFill="1" applyBorder="1" applyAlignment="1" applyProtection="1">
      <protection locked="0"/>
    </xf>
    <xf numFmtId="9" fontId="32" fillId="4" borderId="0" xfId="43" applyNumberFormat="1" applyFont="1" applyFill="1" applyAlignment="1" applyProtection="1">
      <alignment horizontal="right"/>
      <protection locked="0"/>
    </xf>
    <xf numFmtId="9" fontId="32" fillId="0" borderId="0" xfId="43" applyNumberFormat="1" applyFont="1" applyFill="1" applyAlignment="1" applyProtection="1">
      <alignment horizontal="right"/>
      <protection locked="0"/>
    </xf>
    <xf numFmtId="9" fontId="41" fillId="0" borderId="0" xfId="43" applyNumberFormat="1" applyFont="1" applyFill="1" applyAlignment="1" applyProtection="1">
      <alignment horizontal="right"/>
      <protection locked="0"/>
    </xf>
    <xf numFmtId="0" fontId="41" fillId="0" borderId="0" xfId="2" applyFont="1" applyFill="1" applyAlignment="1" applyProtection="1">
      <protection locked="0"/>
    </xf>
    <xf numFmtId="43" fontId="0" fillId="0" borderId="0" xfId="16" applyFont="1"/>
    <xf numFmtId="43" fontId="33" fillId="4" borderId="12" xfId="16" applyFont="1" applyFill="1" applyBorder="1" applyAlignment="1" applyProtection="1">
      <alignment horizontal="right"/>
      <protection locked="0"/>
    </xf>
    <xf numFmtId="43" fontId="33" fillId="0" borderId="12" xfId="16" applyFont="1" applyFill="1" applyBorder="1" applyAlignment="1" applyProtection="1">
      <alignment horizontal="right"/>
      <protection locked="0"/>
    </xf>
    <xf numFmtId="43" fontId="44" fillId="0" borderId="12" xfId="16" applyFont="1" applyFill="1" applyBorder="1" applyAlignment="1" applyProtection="1">
      <alignment horizontal="right"/>
      <protection locked="0"/>
    </xf>
    <xf numFmtId="43" fontId="32" fillId="0" borderId="12" xfId="16" applyFont="1" applyFill="1" applyBorder="1" applyAlignment="1" applyProtection="1">
      <alignment horizontal="right"/>
      <protection locked="0"/>
    </xf>
    <xf numFmtId="43" fontId="32" fillId="0" borderId="12" xfId="16" applyFont="1" applyFill="1" applyBorder="1" applyAlignment="1" applyProtection="1">
      <protection locked="0"/>
    </xf>
    <xf numFmtId="43" fontId="41" fillId="0" borderId="12" xfId="16" applyFont="1" applyFill="1" applyBorder="1" applyProtection="1">
      <protection locked="0"/>
    </xf>
    <xf numFmtId="43" fontId="44" fillId="0" borderId="12" xfId="16" applyFont="1" applyFill="1" applyBorder="1" applyAlignment="1" applyProtection="1">
      <protection locked="0"/>
    </xf>
    <xf numFmtId="166" fontId="43" fillId="4" borderId="0" xfId="43" applyNumberFormat="1" applyFont="1" applyFill="1" applyAlignment="1" applyProtection="1">
      <alignment horizontal="right"/>
      <protection locked="0"/>
    </xf>
    <xf numFmtId="166" fontId="43" fillId="0" borderId="0" xfId="43" applyNumberFormat="1" applyFont="1" applyFill="1" applyAlignment="1" applyProtection="1">
      <alignment horizontal="right"/>
      <protection locked="0"/>
    </xf>
    <xf numFmtId="166" fontId="41" fillId="0" borderId="0" xfId="43" applyNumberFormat="1" applyFont="1" applyFill="1" applyAlignment="1" applyProtection="1">
      <alignment horizontal="right"/>
      <protection locked="0"/>
    </xf>
    <xf numFmtId="0" fontId="67" fillId="0" borderId="0" xfId="2" applyFont="1" applyFill="1" applyAlignment="1" applyProtection="1">
      <protection locked="0"/>
    </xf>
    <xf numFmtId="0" fontId="41" fillId="0" borderId="0" xfId="2" applyFont="1" applyFill="1" applyProtection="1">
      <protection locked="0"/>
    </xf>
    <xf numFmtId="8" fontId="68" fillId="4" borderId="2" xfId="43" applyNumberFormat="1" applyFont="1" applyFill="1" applyBorder="1" applyAlignment="1" applyProtection="1">
      <alignment horizontal="right"/>
      <protection locked="0"/>
    </xf>
    <xf numFmtId="8" fontId="68" fillId="0" borderId="2" xfId="43" applyNumberFormat="1" applyFont="1" applyFill="1" applyBorder="1" applyAlignment="1" applyProtection="1">
      <alignment horizontal="right"/>
      <protection locked="0"/>
    </xf>
    <xf numFmtId="4" fontId="68" fillId="4" borderId="2" xfId="43" applyNumberFormat="1" applyFont="1" applyFill="1" applyBorder="1" applyAlignment="1" applyProtection="1">
      <alignment horizontal="right"/>
      <protection locked="0"/>
    </xf>
    <xf numFmtId="8" fontId="68" fillId="4" borderId="0" xfId="16" applyNumberFormat="1" applyFont="1" applyFill="1" applyBorder="1" applyAlignment="1" applyProtection="1">
      <alignment horizontal="right"/>
      <protection locked="0"/>
    </xf>
    <xf numFmtId="8" fontId="68" fillId="0" borderId="0" xfId="16" applyNumberFormat="1" applyFont="1" applyFill="1" applyBorder="1" applyAlignment="1" applyProtection="1">
      <alignment horizontal="right"/>
      <protection locked="0"/>
    </xf>
    <xf numFmtId="8" fontId="68" fillId="0" borderId="0" xfId="2" applyNumberFormat="1" applyFont="1" applyFill="1" applyBorder="1" applyProtection="1">
      <protection locked="0"/>
    </xf>
    <xf numFmtId="37" fontId="68" fillId="0" borderId="0" xfId="2" applyNumberFormat="1" applyFont="1" applyFill="1" applyBorder="1" applyProtection="1">
      <protection locked="0"/>
    </xf>
    <xf numFmtId="37" fontId="33" fillId="0" borderId="0" xfId="2" applyNumberFormat="1" applyFont="1" applyFill="1" applyBorder="1" applyProtection="1">
      <protection locked="0"/>
    </xf>
    <xf numFmtId="37" fontId="33" fillId="4" borderId="0" xfId="2" applyNumberFormat="1" applyFont="1" applyFill="1" applyBorder="1" applyProtection="1">
      <protection locked="0"/>
    </xf>
    <xf numFmtId="37" fontId="32" fillId="0" borderId="0" xfId="2" applyNumberFormat="1" applyFont="1" applyFill="1" applyBorder="1" applyProtection="1">
      <protection locked="0"/>
    </xf>
    <xf numFmtId="37" fontId="41" fillId="0" borderId="0" xfId="2" applyNumberFormat="1" applyFont="1" applyFill="1" applyBorder="1" applyProtection="1">
      <protection locked="0"/>
    </xf>
    <xf numFmtId="37" fontId="44" fillId="0" borderId="0" xfId="2" applyNumberFormat="1" applyFont="1" applyFill="1" applyBorder="1" applyProtection="1">
      <protection locked="0"/>
    </xf>
    <xf numFmtId="8" fontId="33" fillId="4" borderId="19" xfId="43" applyNumberFormat="1" applyFont="1" applyFill="1" applyBorder="1" applyAlignment="1" applyProtection="1">
      <alignment horizontal="right"/>
      <protection locked="0"/>
    </xf>
    <xf numFmtId="8" fontId="33" fillId="0" borderId="19" xfId="43" applyNumberFormat="1" applyFont="1" applyFill="1" applyBorder="1" applyAlignment="1" applyProtection="1">
      <alignment horizontal="right"/>
      <protection locked="0"/>
    </xf>
    <xf numFmtId="8" fontId="44" fillId="0" borderId="19" xfId="43" applyNumberFormat="1" applyFont="1" applyFill="1" applyBorder="1" applyAlignment="1" applyProtection="1">
      <alignment horizontal="right"/>
      <protection locked="0"/>
    </xf>
    <xf numFmtId="8" fontId="32" fillId="0" borderId="19" xfId="2" applyNumberFormat="1" applyFont="1" applyFill="1" applyBorder="1" applyAlignment="1" applyProtection="1">
      <protection locked="0"/>
    </xf>
    <xf numFmtId="8" fontId="67" fillId="0" borderId="19" xfId="2" applyNumberFormat="1" applyFont="1" applyFill="1" applyBorder="1" applyAlignment="1" applyProtection="1">
      <protection locked="0"/>
    </xf>
    <xf numFmtId="8" fontId="44" fillId="0" borderId="19" xfId="2" applyNumberFormat="1" applyFont="1" applyFill="1" applyBorder="1" applyAlignment="1" applyProtection="1">
      <protection locked="0"/>
    </xf>
    <xf numFmtId="4" fontId="68" fillId="0" borderId="2" xfId="43" applyNumberFormat="1" applyFont="1" applyFill="1" applyBorder="1" applyAlignment="1" applyProtection="1">
      <alignment horizontal="right"/>
      <protection locked="0"/>
    </xf>
    <xf numFmtId="37" fontId="33" fillId="4" borderId="12" xfId="2" applyNumberFormat="1" applyFont="1" applyFill="1" applyBorder="1" applyProtection="1">
      <protection locked="0"/>
    </xf>
    <xf numFmtId="37" fontId="33" fillId="0" borderId="12" xfId="2" applyNumberFormat="1" applyFont="1" applyFill="1" applyBorder="1" applyProtection="1">
      <protection locked="0"/>
    </xf>
    <xf numFmtId="37" fontId="32" fillId="0" borderId="12" xfId="2" applyNumberFormat="1" applyFont="1" applyFill="1" applyBorder="1" applyProtection="1">
      <protection locked="0"/>
    </xf>
    <xf numFmtId="37" fontId="41" fillId="0" borderId="12" xfId="2" applyNumberFormat="1" applyFont="1" applyFill="1" applyBorder="1" applyProtection="1">
      <protection locked="0"/>
    </xf>
    <xf numFmtId="37" fontId="44" fillId="0" borderId="12" xfId="2" applyNumberFormat="1" applyFont="1" applyFill="1" applyBorder="1" applyProtection="1">
      <protection locked="0"/>
    </xf>
    <xf numFmtId="37" fontId="33" fillId="4" borderId="0" xfId="16" applyNumberFormat="1" applyFont="1" applyFill="1" applyBorder="1" applyAlignment="1" applyProtection="1">
      <alignment horizontal="right"/>
      <protection locked="0"/>
    </xf>
    <xf numFmtId="37" fontId="33" fillId="0" borderId="0" xfId="16" applyNumberFormat="1" applyFont="1" applyFill="1" applyBorder="1" applyAlignment="1" applyProtection="1">
      <alignment horizontal="right"/>
      <protection locked="0"/>
    </xf>
    <xf numFmtId="37" fontId="44" fillId="0" borderId="0" xfId="16" applyNumberFormat="1" applyFont="1" applyFill="1" applyBorder="1" applyAlignment="1" applyProtection="1">
      <alignment horizontal="right"/>
      <protection locked="0"/>
    </xf>
    <xf numFmtId="174" fontId="33" fillId="0" borderId="0" xfId="16" applyNumberFormat="1" applyFont="1" applyFill="1" applyBorder="1" applyAlignment="1" applyProtection="1">
      <alignment horizontal="right"/>
      <protection locked="0"/>
    </xf>
    <xf numFmtId="37" fontId="33" fillId="0" borderId="0" xfId="43" applyNumberFormat="1" applyFont="1" applyFill="1" applyBorder="1" applyAlignment="1" applyProtection="1">
      <alignment horizontal="right"/>
      <protection locked="0"/>
    </xf>
    <xf numFmtId="37" fontId="33" fillId="0" borderId="0" xfId="2" applyNumberFormat="1" applyFont="1" applyFill="1" applyBorder="1" applyAlignment="1" applyProtection="1">
      <protection locked="0"/>
    </xf>
    <xf numFmtId="37" fontId="44" fillId="0" borderId="0" xfId="2" applyNumberFormat="1" applyFont="1" applyFill="1" applyBorder="1" applyAlignment="1" applyProtection="1">
      <protection locked="0"/>
    </xf>
    <xf numFmtId="37" fontId="33" fillId="0" borderId="0" xfId="2" applyNumberFormat="1" applyFont="1" applyFill="1" applyAlignment="1" applyProtection="1">
      <protection locked="0"/>
    </xf>
    <xf numFmtId="37" fontId="41" fillId="4" borderId="0" xfId="2" applyNumberFormat="1" applyFont="1" applyFill="1" applyAlignment="1" applyProtection="1">
      <protection locked="0"/>
    </xf>
    <xf numFmtId="37" fontId="32" fillId="0" borderId="0" xfId="2" applyNumberFormat="1" applyFont="1" applyFill="1" applyAlignment="1"/>
    <xf numFmtId="37" fontId="33" fillId="4" borderId="17" xfId="16" applyNumberFormat="1" applyFont="1" applyFill="1" applyBorder="1" applyAlignment="1" applyProtection="1">
      <alignment horizontal="right"/>
      <protection locked="0"/>
    </xf>
    <xf numFmtId="37" fontId="33" fillId="0" borderId="17" xfId="16" applyNumberFormat="1" applyFont="1" applyFill="1" applyBorder="1" applyAlignment="1" applyProtection="1">
      <alignment horizontal="right"/>
      <protection locked="0"/>
    </xf>
    <xf numFmtId="37" fontId="44" fillId="0" borderId="17" xfId="16" applyNumberFormat="1" applyFont="1" applyFill="1" applyBorder="1" applyAlignment="1" applyProtection="1">
      <alignment horizontal="right"/>
      <protection locked="0"/>
    </xf>
    <xf numFmtId="174" fontId="33" fillId="0" borderId="17" xfId="16" applyNumberFormat="1" applyFont="1" applyFill="1" applyBorder="1" applyAlignment="1" applyProtection="1">
      <alignment horizontal="right"/>
      <protection locked="0"/>
    </xf>
    <xf numFmtId="37" fontId="33" fillId="0" borderId="17" xfId="43" applyNumberFormat="1" applyFont="1" applyFill="1" applyBorder="1" applyAlignment="1" applyProtection="1">
      <alignment horizontal="right"/>
      <protection locked="0"/>
    </xf>
    <xf numFmtId="37" fontId="33" fillId="0" borderId="17" xfId="2" applyNumberFormat="1" applyFont="1" applyFill="1" applyBorder="1" applyAlignment="1" applyProtection="1">
      <protection locked="0"/>
    </xf>
    <xf numFmtId="37" fontId="44" fillId="0" borderId="17" xfId="2" applyNumberFormat="1" applyFont="1" applyFill="1" applyBorder="1" applyAlignment="1" applyProtection="1">
      <protection locked="0"/>
    </xf>
    <xf numFmtId="37" fontId="43" fillId="4" borderId="0" xfId="43" applyNumberFormat="1" applyFont="1" applyFill="1" applyAlignment="1" applyProtection="1">
      <alignment horizontal="right"/>
      <protection locked="0"/>
    </xf>
    <xf numFmtId="37" fontId="43" fillId="0" borderId="0" xfId="43" applyNumberFormat="1" applyFont="1" applyFill="1" applyAlignment="1" applyProtection="1">
      <alignment horizontal="right"/>
      <protection locked="0"/>
    </xf>
    <xf numFmtId="37" fontId="32" fillId="4" borderId="0" xfId="16" applyNumberFormat="1" applyFont="1" applyFill="1" applyAlignment="1" applyProtection="1">
      <alignment horizontal="right"/>
      <protection locked="0"/>
    </xf>
    <xf numFmtId="37" fontId="32" fillId="0" borderId="0" xfId="16" applyNumberFormat="1" applyFont="1" applyFill="1" applyAlignment="1" applyProtection="1">
      <alignment horizontal="right"/>
      <protection locked="0"/>
    </xf>
    <xf numFmtId="37" fontId="32" fillId="4" borderId="0" xfId="2" applyNumberFormat="1" applyFont="1" applyFill="1" applyAlignment="1" applyProtection="1">
      <protection locked="0"/>
    </xf>
    <xf numFmtId="37" fontId="41" fillId="0" borderId="0" xfId="16" applyNumberFormat="1" applyFont="1" applyFill="1" applyAlignment="1" applyProtection="1">
      <alignment horizontal="right"/>
      <protection locked="0"/>
    </xf>
    <xf numFmtId="37" fontId="32" fillId="4" borderId="0" xfId="2" applyNumberFormat="1" applyFont="1" applyFill="1" applyAlignment="1"/>
    <xf numFmtId="37" fontId="41" fillId="0" borderId="0" xfId="2" applyNumberFormat="1" applyFont="1" applyFill="1" applyAlignment="1"/>
    <xf numFmtId="37" fontId="32" fillId="0" borderId="0" xfId="16" applyNumberFormat="1" applyFont="1" applyFill="1" applyAlignment="1"/>
    <xf numFmtId="37" fontId="32" fillId="2" borderId="0" xfId="16" applyNumberFormat="1" applyFont="1" applyFill="1" applyAlignment="1" applyProtection="1">
      <alignment horizontal="right"/>
      <protection locked="0"/>
    </xf>
    <xf numFmtId="37" fontId="32" fillId="6" borderId="0" xfId="16" applyNumberFormat="1" applyFont="1" applyFill="1" applyAlignment="1" applyProtection="1">
      <alignment horizontal="right"/>
      <protection locked="0"/>
    </xf>
    <xf numFmtId="37" fontId="43" fillId="0" borderId="0" xfId="16" applyNumberFormat="1" applyFont="1" applyFill="1" applyAlignment="1" applyProtection="1">
      <alignment horizontal="right"/>
      <protection locked="0"/>
    </xf>
    <xf numFmtId="43" fontId="32" fillId="0" borderId="0" xfId="16" applyFont="1" applyFill="1" applyAlignment="1" applyProtection="1">
      <alignment horizontal="right"/>
      <protection locked="0"/>
    </xf>
    <xf numFmtId="37" fontId="33" fillId="4" borderId="17" xfId="2" applyNumberFormat="1" applyFont="1" applyFill="1" applyBorder="1" applyAlignment="1" applyProtection="1">
      <alignment horizontal="right"/>
      <protection locked="0"/>
    </xf>
    <xf numFmtId="37" fontId="33" fillId="0" borderId="17" xfId="2" applyNumberFormat="1" applyFont="1" applyFill="1" applyBorder="1" applyAlignment="1" applyProtection="1">
      <alignment horizontal="right"/>
      <protection locked="0"/>
    </xf>
    <xf numFmtId="37" fontId="44" fillId="0" borderId="17" xfId="2" applyNumberFormat="1" applyFont="1" applyFill="1" applyBorder="1" applyAlignment="1" applyProtection="1">
      <alignment horizontal="right"/>
      <protection locked="0"/>
    </xf>
    <xf numFmtId="37" fontId="32" fillId="0" borderId="17" xfId="2" applyNumberFormat="1" applyFont="1" applyFill="1" applyBorder="1" applyAlignment="1" applyProtection="1">
      <protection locked="0"/>
    </xf>
    <xf numFmtId="37" fontId="41" fillId="0" borderId="17" xfId="2" applyNumberFormat="1" applyFont="1" applyFill="1" applyBorder="1" applyAlignment="1" applyProtection="1">
      <protection locked="0"/>
    </xf>
    <xf numFmtId="175" fontId="32" fillId="4" borderId="0" xfId="2" applyNumberFormat="1" applyFont="1" applyFill="1" applyAlignment="1" applyProtection="1">
      <protection locked="0"/>
    </xf>
    <xf numFmtId="175" fontId="32" fillId="0" borderId="0" xfId="2" applyNumberFormat="1" applyFont="1" applyFill="1" applyAlignment="1" applyProtection="1">
      <protection locked="0"/>
    </xf>
    <xf numFmtId="37" fontId="69" fillId="0" borderId="0" xfId="2" applyNumberFormat="1" applyFont="1" applyFill="1" applyAlignment="1" applyProtection="1">
      <protection locked="0"/>
    </xf>
    <xf numFmtId="37" fontId="32" fillId="2" borderId="0" xfId="2" applyNumberFormat="1" applyFont="1" applyFill="1" applyAlignment="1" applyProtection="1">
      <protection locked="0"/>
    </xf>
    <xf numFmtId="166" fontId="43" fillId="4" borderId="0" xfId="43" applyNumberFormat="1" applyFont="1" applyFill="1" applyBorder="1" applyAlignment="1" applyProtection="1">
      <protection locked="0"/>
    </xf>
    <xf numFmtId="166" fontId="32" fillId="4" borderId="0" xfId="43" applyNumberFormat="1" applyFont="1" applyFill="1" applyBorder="1" applyAlignment="1" applyProtection="1">
      <protection locked="0"/>
    </xf>
    <xf numFmtId="9" fontId="32" fillId="4" borderId="0" xfId="43" applyNumberFormat="1" applyFont="1" applyFill="1" applyBorder="1" applyAlignment="1" applyProtection="1">
      <protection locked="0"/>
    </xf>
    <xf numFmtId="166" fontId="41" fillId="0" borderId="0" xfId="43" applyNumberFormat="1" applyFont="1" applyFill="1" applyAlignment="1" applyProtection="1">
      <protection locked="0"/>
    </xf>
    <xf numFmtId="9" fontId="32" fillId="0" borderId="0" xfId="43" applyNumberFormat="1" applyFont="1" applyFill="1" applyAlignment="1" applyProtection="1">
      <protection locked="0"/>
    </xf>
    <xf numFmtId="166" fontId="32" fillId="0" borderId="0" xfId="2" applyNumberFormat="1" applyFont="1" applyFill="1" applyAlignment="1" applyProtection="1">
      <protection locked="0"/>
    </xf>
    <xf numFmtId="37" fontId="32" fillId="4" borderId="0" xfId="2" applyNumberFormat="1" applyFont="1" applyFill="1" applyBorder="1" applyAlignment="1"/>
    <xf numFmtId="37" fontId="69" fillId="0" borderId="0" xfId="2" applyNumberFormat="1" applyFont="1" applyFill="1" applyAlignment="1"/>
    <xf numFmtId="37" fontId="44" fillId="0" borderId="0" xfId="2" applyNumberFormat="1" applyFont="1" applyFill="1" applyAlignment="1" applyProtection="1">
      <protection locked="0"/>
    </xf>
    <xf numFmtId="37" fontId="33" fillId="4" borderId="0" xfId="2" applyNumberFormat="1" applyFont="1" applyFill="1" applyBorder="1" applyAlignment="1" applyProtection="1">
      <protection locked="0"/>
    </xf>
    <xf numFmtId="37" fontId="33" fillId="4" borderId="4" xfId="2" applyNumberFormat="1" applyFont="1" applyFill="1" applyBorder="1" applyAlignment="1" applyProtection="1">
      <protection locked="0"/>
    </xf>
    <xf numFmtId="37" fontId="32" fillId="0" borderId="4" xfId="2" applyNumberFormat="1" applyFont="1" applyFill="1" applyBorder="1" applyAlignment="1" applyProtection="1">
      <protection locked="0"/>
    </xf>
    <xf numFmtId="37" fontId="41" fillId="0" borderId="4" xfId="2" applyNumberFormat="1" applyFont="1" applyFill="1" applyBorder="1" applyAlignment="1" applyProtection="1">
      <protection locked="0"/>
    </xf>
    <xf numFmtId="9" fontId="32" fillId="4" borderId="0" xfId="43" applyFont="1" applyFill="1" applyBorder="1" applyAlignment="1" applyProtection="1">
      <protection locked="0"/>
    </xf>
    <xf numFmtId="9" fontId="32" fillId="0" borderId="0" xfId="43" applyFont="1" applyFill="1" applyBorder="1" applyAlignment="1" applyProtection="1">
      <protection locked="0"/>
    </xf>
    <xf numFmtId="9" fontId="41" fillId="0" borderId="0" xfId="43" applyFont="1" applyFill="1" applyBorder="1" applyAlignment="1" applyProtection="1">
      <protection locked="0"/>
    </xf>
    <xf numFmtId="37" fontId="41" fillId="0" borderId="0" xfId="2" applyNumberFormat="1" applyFont="1" applyFill="1" applyBorder="1" applyAlignment="1" applyProtection="1">
      <protection locked="0"/>
    </xf>
    <xf numFmtId="37" fontId="33" fillId="4" borderId="17" xfId="2" applyNumberFormat="1" applyFont="1" applyFill="1" applyBorder="1" applyAlignment="1" applyProtection="1">
      <protection locked="0"/>
    </xf>
    <xf numFmtId="37" fontId="43" fillId="4" borderId="0" xfId="2" applyNumberFormat="1" applyFont="1" applyFill="1" applyAlignment="1" applyProtection="1">
      <protection locked="0"/>
    </xf>
    <xf numFmtId="37" fontId="43" fillId="0" borderId="0" xfId="2" applyNumberFormat="1" applyFont="1" applyFill="1" applyAlignment="1" applyProtection="1">
      <protection locked="0"/>
    </xf>
    <xf numFmtId="166" fontId="65" fillId="4" borderId="0" xfId="43" applyNumberFormat="1" applyFont="1" applyFill="1" applyAlignment="1" applyProtection="1">
      <protection locked="0"/>
    </xf>
    <xf numFmtId="44" fontId="44" fillId="0" borderId="0" xfId="2" applyNumberFormat="1" applyFont="1" applyFill="1" applyAlignment="1" applyProtection="1">
      <protection locked="0"/>
    </xf>
    <xf numFmtId="3" fontId="33" fillId="4" borderId="17" xfId="2" applyNumberFormat="1" applyFont="1" applyFill="1" applyBorder="1" applyAlignment="1" applyProtection="1">
      <protection locked="0"/>
    </xf>
    <xf numFmtId="3" fontId="33" fillId="0" borderId="17" xfId="2" applyNumberFormat="1" applyFont="1" applyFill="1" applyBorder="1" applyAlignment="1" applyProtection="1">
      <protection locked="0"/>
    </xf>
    <xf numFmtId="3" fontId="44" fillId="0" borderId="17" xfId="2" applyNumberFormat="1" applyFont="1" applyFill="1" applyBorder="1" applyAlignment="1" applyProtection="1">
      <protection locked="0"/>
    </xf>
    <xf numFmtId="3" fontId="32" fillId="0" borderId="17" xfId="2" applyNumberFormat="1" applyFont="1" applyFill="1" applyBorder="1" applyAlignment="1" applyProtection="1">
      <protection locked="0"/>
    </xf>
    <xf numFmtId="3" fontId="32" fillId="0" borderId="0" xfId="2" applyNumberFormat="1" applyFont="1" applyFill="1" applyAlignment="1" applyProtection="1">
      <protection locked="0"/>
    </xf>
    <xf numFmtId="44" fontId="70" fillId="4" borderId="0" xfId="2" applyNumberFormat="1" applyFont="1" applyFill="1" applyAlignment="1" applyProtection="1">
      <protection locked="0"/>
    </xf>
    <xf numFmtId="44" fontId="25" fillId="0" borderId="0" xfId="2" applyNumberFormat="1" applyFont="1" applyFill="1" applyAlignment="1" applyProtection="1">
      <protection locked="0"/>
    </xf>
    <xf numFmtId="44" fontId="67" fillId="0" borderId="0" xfId="2" applyNumberFormat="1" applyFont="1" applyFill="1" applyAlignment="1" applyProtection="1">
      <protection locked="0"/>
    </xf>
    <xf numFmtId="44" fontId="41" fillId="0" borderId="0" xfId="2" applyNumberFormat="1" applyFont="1" applyFill="1" applyAlignment="1" applyProtection="1">
      <protection locked="0"/>
    </xf>
    <xf numFmtId="44" fontId="32" fillId="0" borderId="0" xfId="2" applyNumberFormat="1" applyFont="1" applyFill="1" applyAlignment="1" applyProtection="1">
      <protection locked="0"/>
    </xf>
    <xf numFmtId="3" fontId="32" fillId="4" borderId="0" xfId="2" applyNumberFormat="1" applyFont="1" applyFill="1" applyAlignment="1" applyProtection="1">
      <protection locked="0"/>
    </xf>
    <xf numFmtId="3" fontId="41" fillId="0" borderId="0" xfId="2" applyNumberFormat="1" applyFont="1" applyFill="1" applyAlignment="1" applyProtection="1">
      <protection locked="0"/>
    </xf>
    <xf numFmtId="3" fontId="32" fillId="0" borderId="0" xfId="2" applyNumberFormat="1" applyFont="1" applyFill="1" applyAlignment="1"/>
    <xf numFmtId="3" fontId="25" fillId="0" borderId="0" xfId="2" applyNumberFormat="1" applyFont="1" applyFill="1" applyAlignment="1" applyProtection="1">
      <protection locked="0"/>
    </xf>
    <xf numFmtId="3" fontId="67" fillId="0" borderId="0" xfId="2" applyNumberFormat="1" applyFont="1" applyFill="1" applyAlignment="1" applyProtection="1">
      <alignment horizontal="left"/>
      <protection locked="0"/>
    </xf>
    <xf numFmtId="3" fontId="41" fillId="0" borderId="0" xfId="2" applyNumberFormat="1" applyFont="1" applyFill="1" applyAlignment="1" applyProtection="1">
      <alignment horizontal="left"/>
      <protection locked="0"/>
    </xf>
    <xf numFmtId="3" fontId="33" fillId="0" borderId="0" xfId="2" applyNumberFormat="1" applyFont="1" applyFill="1" applyAlignment="1" applyProtection="1">
      <protection locked="0"/>
    </xf>
    <xf numFmtId="41" fontId="32" fillId="4" borderId="0" xfId="2" applyNumberFormat="1" applyFont="1" applyFill="1" applyAlignment="1"/>
    <xf numFmtId="41" fontId="32" fillId="0" borderId="0" xfId="2" applyNumberFormat="1" applyFont="1" applyFill="1" applyAlignment="1"/>
    <xf numFmtId="3" fontId="32" fillId="4" borderId="0" xfId="2" applyNumberFormat="1" applyFont="1" applyFill="1" applyAlignment="1"/>
    <xf numFmtId="3" fontId="41" fillId="0" borderId="0" xfId="2" applyNumberFormat="1" applyFont="1" applyFill="1" applyAlignment="1"/>
    <xf numFmtId="167" fontId="68" fillId="4" borderId="0" xfId="16" applyNumberFormat="1" applyFont="1" applyFill="1" applyAlignment="1" applyProtection="1">
      <protection locked="0"/>
    </xf>
    <xf numFmtId="167" fontId="68" fillId="0" borderId="0" xfId="16" applyNumberFormat="1" applyFont="1" applyFill="1" applyAlignment="1" applyProtection="1">
      <protection locked="0"/>
    </xf>
    <xf numFmtId="167" fontId="32" fillId="4" borderId="0" xfId="16" applyNumberFormat="1" applyFont="1" applyFill="1" applyAlignment="1" applyProtection="1">
      <protection locked="0"/>
    </xf>
    <xf numFmtId="167" fontId="32" fillId="0" borderId="0" xfId="16" applyNumberFormat="1" applyFont="1" applyFill="1" applyAlignment="1" applyProtection="1">
      <protection locked="0"/>
    </xf>
    <xf numFmtId="167" fontId="69" fillId="0" borderId="0" xfId="16" applyNumberFormat="1" applyFont="1" applyFill="1" applyAlignment="1" applyProtection="1">
      <protection locked="0"/>
    </xf>
    <xf numFmtId="166" fontId="32" fillId="0" borderId="0" xfId="43" applyNumberFormat="1" applyFont="1" applyFill="1" applyAlignment="1"/>
    <xf numFmtId="175" fontId="32" fillId="0" borderId="0" xfId="2" applyNumberFormat="1" applyFont="1" applyFill="1" applyAlignment="1"/>
    <xf numFmtId="166" fontId="32" fillId="4" borderId="0" xfId="43" applyNumberFormat="1" applyFont="1" applyFill="1" applyAlignment="1" applyProtection="1">
      <protection locked="0"/>
    </xf>
    <xf numFmtId="3" fontId="69" fillId="0" borderId="0" xfId="2" applyNumberFormat="1" applyFont="1" applyFill="1" applyAlignment="1" applyProtection="1">
      <protection locked="0"/>
    </xf>
    <xf numFmtId="3" fontId="71" fillId="0" borderId="0" xfId="2" applyNumberFormat="1" applyFont="1" applyFill="1" applyAlignment="1" applyProtection="1">
      <protection locked="0"/>
    </xf>
    <xf numFmtId="167" fontId="32" fillId="0" borderId="0" xfId="16" applyNumberFormat="1" applyFont="1" applyFill="1" applyAlignment="1" applyProtection="1">
      <alignment horizontal="right"/>
      <protection locked="0"/>
    </xf>
    <xf numFmtId="175" fontId="33" fillId="0" borderId="0" xfId="2" applyNumberFormat="1" applyFont="1" applyFill="1" applyAlignment="1" applyProtection="1">
      <protection locked="0"/>
    </xf>
    <xf numFmtId="175" fontId="44" fillId="0" borderId="0" xfId="2" applyNumberFormat="1" applyFont="1" applyFill="1" applyAlignment="1" applyProtection="1">
      <protection locked="0"/>
    </xf>
    <xf numFmtId="3" fontId="69" fillId="0" borderId="0" xfId="2" applyNumberFormat="1" applyFont="1" applyFill="1" applyAlignment="1"/>
    <xf numFmtId="3" fontId="67" fillId="0" borderId="0" xfId="2" applyNumberFormat="1" applyFont="1" applyFill="1" applyAlignment="1" applyProtection="1">
      <protection locked="0"/>
    </xf>
    <xf numFmtId="44" fontId="32" fillId="4" borderId="0" xfId="2" applyNumberFormat="1" applyFont="1" applyFill="1" applyAlignment="1" applyProtection="1">
      <protection locked="0"/>
    </xf>
    <xf numFmtId="0" fontId="70" fillId="4" borderId="0" xfId="2" applyFont="1" applyFill="1" applyAlignment="1" applyProtection="1">
      <protection locked="0"/>
    </xf>
    <xf numFmtId="0" fontId="25" fillId="0" borderId="0" xfId="2" applyFont="1" applyFill="1" applyAlignment="1" applyProtection="1">
      <protection locked="0"/>
    </xf>
    <xf numFmtId="3" fontId="33" fillId="4" borderId="0" xfId="2" applyNumberFormat="1" applyFont="1" applyFill="1" applyBorder="1" applyAlignment="1" applyProtection="1">
      <protection locked="0"/>
    </xf>
    <xf numFmtId="3" fontId="33" fillId="0" borderId="0" xfId="2" applyNumberFormat="1" applyFont="1" applyFill="1" applyBorder="1" applyAlignment="1" applyProtection="1">
      <protection locked="0"/>
    </xf>
    <xf numFmtId="3" fontId="44" fillId="0" borderId="0" xfId="2" applyNumberFormat="1" applyFont="1" applyFill="1" applyBorder="1" applyAlignment="1" applyProtection="1">
      <protection locked="0"/>
    </xf>
    <xf numFmtId="175" fontId="33" fillId="4" borderId="0" xfId="2" applyNumberFormat="1" applyFont="1" applyFill="1" applyBorder="1" applyAlignment="1" applyProtection="1">
      <protection locked="0"/>
    </xf>
    <xf numFmtId="175" fontId="33" fillId="0" borderId="0" xfId="2" applyNumberFormat="1" applyFont="1" applyFill="1" applyBorder="1" applyAlignment="1" applyProtection="1">
      <protection locked="0"/>
    </xf>
    <xf numFmtId="166" fontId="33" fillId="0" borderId="0" xfId="43" applyNumberFormat="1" applyFont="1" applyFill="1" applyBorder="1" applyAlignment="1" applyProtection="1">
      <protection locked="0"/>
    </xf>
    <xf numFmtId="175" fontId="44" fillId="0" borderId="0" xfId="2" applyNumberFormat="1" applyFont="1" applyFill="1" applyBorder="1" applyAlignment="1" applyProtection="1">
      <protection locked="0"/>
    </xf>
    <xf numFmtId="0" fontId="67" fillId="0" borderId="0" xfId="2" applyFont="1" applyFill="1" applyBorder="1" applyAlignment="1" applyProtection="1">
      <protection locked="0"/>
    </xf>
    <xf numFmtId="175" fontId="65" fillId="0" borderId="0" xfId="2" applyNumberFormat="1" applyFont="1" applyFill="1" applyAlignment="1" applyProtection="1">
      <protection locked="0"/>
    </xf>
    <xf numFmtId="37" fontId="32" fillId="4" borderId="0" xfId="16" applyNumberFormat="1" applyFont="1" applyFill="1" applyAlignment="1"/>
    <xf numFmtId="37" fontId="69" fillId="0" borderId="0" xfId="16" applyNumberFormat="1" applyFont="1" applyFill="1" applyAlignment="1"/>
    <xf numFmtId="43" fontId="33" fillId="4" borderId="0" xfId="16" applyFont="1" applyFill="1" applyAlignment="1" applyProtection="1">
      <protection locked="0"/>
    </xf>
    <xf numFmtId="166" fontId="33" fillId="4" borderId="0" xfId="2" applyNumberFormat="1" applyFont="1" applyFill="1" applyAlignment="1" applyProtection="1">
      <protection locked="0"/>
    </xf>
    <xf numFmtId="178" fontId="33" fillId="0" borderId="0" xfId="2" applyNumberFormat="1" applyFont="1" applyFill="1" applyBorder="1" applyAlignment="1" applyProtection="1">
      <protection locked="0"/>
    </xf>
    <xf numFmtId="178" fontId="33" fillId="4" borderId="0" xfId="2" applyNumberFormat="1" applyFont="1" applyFill="1" applyAlignment="1" applyProtection="1">
      <protection locked="0"/>
    </xf>
    <xf numFmtId="166" fontId="33" fillId="0" borderId="0" xfId="2" applyNumberFormat="1" applyFont="1" applyFill="1" applyBorder="1" applyAlignment="1" applyProtection="1">
      <protection locked="0"/>
    </xf>
    <xf numFmtId="175" fontId="33" fillId="4" borderId="0" xfId="2" applyNumberFormat="1" applyFont="1" applyFill="1" applyAlignment="1" applyProtection="1">
      <protection locked="0"/>
    </xf>
    <xf numFmtId="9" fontId="33" fillId="0" borderId="0" xfId="43" applyFont="1" applyFill="1" applyBorder="1" applyAlignment="1" applyProtection="1">
      <protection locked="0"/>
    </xf>
    <xf numFmtId="9" fontId="65" fillId="0" borderId="0" xfId="43" applyFont="1" applyFill="1" applyAlignment="1" applyProtection="1">
      <protection locked="0"/>
    </xf>
    <xf numFmtId="9" fontId="41" fillId="0" borderId="0" xfId="43" applyFont="1" applyFill="1" applyAlignment="1" applyProtection="1">
      <protection locked="0"/>
    </xf>
    <xf numFmtId="9" fontId="44" fillId="0" borderId="0" xfId="43" applyFont="1" applyFill="1" applyAlignment="1" applyProtection="1">
      <protection locked="0"/>
    </xf>
    <xf numFmtId="37" fontId="32" fillId="0" borderId="0" xfId="2" applyNumberFormat="1" applyFont="1" applyFill="1" applyProtection="1">
      <protection locked="0"/>
    </xf>
    <xf numFmtId="37" fontId="41" fillId="0" borderId="0" xfId="43" applyNumberFormat="1" applyFont="1" applyFill="1" applyAlignment="1" applyProtection="1">
      <protection locked="0"/>
    </xf>
    <xf numFmtId="37" fontId="32" fillId="0" borderId="0" xfId="2" applyNumberFormat="1" applyFont="1" applyFill="1" applyAlignment="1" applyProtection="1">
      <alignment horizontal="right"/>
      <protection locked="0"/>
    </xf>
    <xf numFmtId="0" fontId="33" fillId="4" borderId="0" xfId="2" applyFont="1" applyFill="1" applyBorder="1" applyAlignment="1" applyProtection="1">
      <alignment horizontal="center"/>
      <protection locked="0"/>
    </xf>
    <xf numFmtId="0" fontId="33" fillId="0" borderId="0" xfId="2" applyFont="1" applyFill="1" applyBorder="1" applyAlignment="1" applyProtection="1">
      <alignment horizontal="center"/>
      <protection locked="0"/>
    </xf>
    <xf numFmtId="0" fontId="33" fillId="2" borderId="0" xfId="2" applyFont="1" applyFill="1" applyBorder="1" applyAlignment="1" applyProtection="1">
      <alignment horizontal="center"/>
      <protection locked="0"/>
    </xf>
    <xf numFmtId="0" fontId="44" fillId="2" borderId="0" xfId="2" applyFont="1" applyFill="1" applyBorder="1" applyAlignment="1" applyProtection="1">
      <alignment horizontal="center"/>
      <protection locked="0"/>
    </xf>
    <xf numFmtId="0" fontId="33" fillId="4" borderId="0" xfId="2" applyFont="1" applyFill="1" applyBorder="1" applyAlignment="1" applyProtection="1">
      <alignment horizontal="right"/>
      <protection locked="0"/>
    </xf>
    <xf numFmtId="0" fontId="33" fillId="2" borderId="14" xfId="2" applyFont="1" applyFill="1" applyBorder="1" applyAlignment="1" applyProtection="1">
      <alignment horizontal="right"/>
      <protection locked="0"/>
    </xf>
    <xf numFmtId="0" fontId="33" fillId="0" borderId="14" xfId="2" applyFont="1" applyFill="1" applyBorder="1" applyAlignment="1" applyProtection="1">
      <alignment horizontal="right"/>
      <protection locked="0"/>
    </xf>
    <xf numFmtId="0" fontId="44" fillId="0" borderId="14" xfId="2" applyFont="1" applyFill="1" applyBorder="1" applyAlignment="1" applyProtection="1">
      <alignment horizontal="right"/>
      <protection locked="0"/>
    </xf>
    <xf numFmtId="0" fontId="32" fillId="0" borderId="14" xfId="2" applyFont="1" applyFill="1" applyBorder="1" applyProtection="1">
      <protection locked="0"/>
    </xf>
    <xf numFmtId="0" fontId="32" fillId="0" borderId="14" xfId="2" applyFont="1" applyFill="1" applyBorder="1" applyAlignment="1" applyProtection="1">
      <protection locked="0"/>
    </xf>
    <xf numFmtId="0" fontId="44" fillId="0" borderId="14" xfId="2" applyFont="1" applyFill="1" applyBorder="1" applyAlignment="1" applyProtection="1">
      <protection locked="0"/>
    </xf>
    <xf numFmtId="0" fontId="66" fillId="0" borderId="14" xfId="2" applyFont="1" applyFill="1" applyBorder="1" applyAlignment="1" applyProtection="1">
      <protection locked="0"/>
    </xf>
    <xf numFmtId="0" fontId="73" fillId="0" borderId="2" xfId="2" applyFont="1" applyFill="1" applyBorder="1" applyAlignment="1" applyProtection="1">
      <alignment horizontal="center"/>
      <protection locked="0"/>
    </xf>
    <xf numFmtId="0" fontId="33" fillId="0" borderId="2" xfId="2" applyFont="1" applyFill="1" applyBorder="1" applyAlignment="1" applyProtection="1">
      <alignment horizontal="centerContinuous"/>
      <protection locked="0"/>
    </xf>
    <xf numFmtId="0" fontId="73" fillId="0" borderId="2" xfId="2" applyFont="1" applyFill="1" applyBorder="1" applyAlignment="1" applyProtection="1">
      <alignment horizontal="centerContinuous"/>
      <protection locked="0"/>
    </xf>
    <xf numFmtId="175" fontId="68" fillId="0" borderId="0" xfId="2" applyNumberFormat="1" applyFont="1" applyFill="1" applyAlignment="1" applyProtection="1">
      <protection locked="0"/>
    </xf>
    <xf numFmtId="0" fontId="33" fillId="0" borderId="2" xfId="2" applyFont="1" applyFill="1" applyBorder="1" applyAlignment="1" applyProtection="1">
      <alignment horizontal="center"/>
      <protection locked="0"/>
    </xf>
    <xf numFmtId="167" fontId="32" fillId="0" borderId="4" xfId="2" applyNumberFormat="1" applyFont="1" applyFill="1" applyBorder="1" applyAlignment="1" applyProtection="1">
      <protection locked="0"/>
    </xf>
    <xf numFmtId="43" fontId="32" fillId="0" borderId="4" xfId="2" applyNumberFormat="1" applyFont="1" applyFill="1" applyBorder="1" applyAlignment="1" applyProtection="1">
      <protection locked="0"/>
    </xf>
    <xf numFmtId="0" fontId="33" fillId="0" borderId="4" xfId="2" applyFont="1" applyFill="1" applyBorder="1" applyAlignment="1" applyProtection="1">
      <alignment horizontal="centerContinuous"/>
      <protection locked="0"/>
    </xf>
    <xf numFmtId="0" fontId="33" fillId="0" borderId="8" xfId="2" applyFont="1" applyFill="1" applyBorder="1" applyAlignment="1" applyProtection="1">
      <alignment horizontal="left"/>
      <protection locked="0"/>
    </xf>
    <xf numFmtId="167" fontId="32" fillId="0" borderId="0" xfId="16" applyNumberFormat="1" applyFont="1" applyFill="1" applyBorder="1" applyAlignment="1" applyProtection="1">
      <alignment horizontal="right"/>
      <protection locked="0"/>
    </xf>
    <xf numFmtId="9" fontId="32" fillId="0" borderId="0" xfId="43" applyFont="1" applyFill="1" applyBorder="1" applyAlignment="1" applyProtection="1">
      <alignment horizontal="right"/>
      <protection locked="0"/>
    </xf>
    <xf numFmtId="43" fontId="32" fillId="0" borderId="0" xfId="16" applyNumberFormat="1" applyFont="1" applyFill="1" applyBorder="1" applyAlignment="1" applyProtection="1">
      <protection locked="0"/>
    </xf>
    <xf numFmtId="165" fontId="32" fillId="0" borderId="0" xfId="16" applyNumberFormat="1" applyFont="1" applyFill="1" applyBorder="1" applyAlignment="1" applyProtection="1">
      <protection locked="0"/>
    </xf>
    <xf numFmtId="167" fontId="32" fillId="0" borderId="0" xfId="16" applyNumberFormat="1" applyFont="1" applyFill="1" applyBorder="1" applyAlignment="1" applyProtection="1">
      <alignment horizontal="left"/>
      <protection locked="0"/>
    </xf>
    <xf numFmtId="0" fontId="32" fillId="0" borderId="10" xfId="2" applyFont="1" applyFill="1" applyBorder="1" applyAlignment="1" applyProtection="1">
      <protection locked="0"/>
    </xf>
    <xf numFmtId="0" fontId="33" fillId="0" borderId="10" xfId="2" applyFont="1" applyFill="1" applyBorder="1" applyAlignment="1" applyProtection="1">
      <protection locked="0"/>
    </xf>
    <xf numFmtId="0" fontId="33" fillId="0" borderId="12" xfId="2" applyFont="1" applyFill="1" applyBorder="1" applyAlignment="1" applyProtection="1">
      <protection locked="0"/>
    </xf>
    <xf numFmtId="0" fontId="32" fillId="0" borderId="12" xfId="2" applyFont="1" applyFill="1" applyBorder="1" applyAlignment="1" applyProtection="1">
      <alignment horizontal="right"/>
      <protection locked="0"/>
    </xf>
    <xf numFmtId="0" fontId="32" fillId="0" borderId="12" xfId="2" applyFont="1" applyFill="1" applyBorder="1" applyAlignment="1" applyProtection="1">
      <protection locked="0"/>
    </xf>
    <xf numFmtId="175" fontId="68" fillId="0" borderId="12" xfId="2" applyNumberFormat="1" applyFont="1" applyFill="1" applyBorder="1" applyAlignment="1" applyProtection="1">
      <protection locked="0"/>
    </xf>
    <xf numFmtId="0" fontId="65" fillId="0" borderId="13" xfId="2" applyFont="1" applyFill="1" applyBorder="1" applyAlignment="1" applyProtection="1">
      <protection locked="0"/>
    </xf>
    <xf numFmtId="167" fontId="0" fillId="0" borderId="0" xfId="16" applyNumberFormat="1" applyFont="1"/>
    <xf numFmtId="0" fontId="32" fillId="4" borderId="0" xfId="2" applyFont="1" applyFill="1" applyBorder="1" applyAlignment="1" applyProtection="1">
      <alignment horizontal="right"/>
      <protection locked="0"/>
    </xf>
    <xf numFmtId="0" fontId="32" fillId="4" borderId="0" xfId="2" applyFont="1" applyFill="1" applyProtection="1">
      <protection locked="0"/>
    </xf>
    <xf numFmtId="0" fontId="32" fillId="0" borderId="0" xfId="2" applyFont="1" applyFill="1" applyBorder="1" applyAlignment="1" applyProtection="1">
      <alignment horizontal="right"/>
      <protection locked="0"/>
    </xf>
    <xf numFmtId="0" fontId="32" fillId="0" borderId="0" xfId="2" applyFont="1" applyFill="1" applyAlignment="1" applyProtection="1">
      <alignment horizontal="right"/>
      <protection locked="0"/>
    </xf>
    <xf numFmtId="0" fontId="41" fillId="0" borderId="0" xfId="2" applyFont="1" applyFill="1" applyAlignment="1" applyProtection="1">
      <alignment horizontal="right"/>
      <protection locked="0"/>
    </xf>
    <xf numFmtId="168" fontId="68" fillId="0" borderId="0" xfId="2" applyNumberFormat="1" applyFont="1" applyFill="1" applyProtection="1">
      <protection locked="0"/>
    </xf>
    <xf numFmtId="14" fontId="32" fillId="0" borderId="0" xfId="2" applyNumberFormat="1" applyFont="1" applyFill="1" applyAlignment="1" applyProtection="1">
      <alignment horizontal="right"/>
      <protection locked="0"/>
    </xf>
    <xf numFmtId="14" fontId="32" fillId="0" borderId="0" xfId="2" applyNumberFormat="1" applyFont="1" applyFill="1" applyBorder="1" applyAlignment="1" applyProtection="1">
      <alignment horizontal="right"/>
      <protection locked="0"/>
    </xf>
    <xf numFmtId="37" fontId="32" fillId="0" borderId="0" xfId="2" applyNumberFormat="1" applyFont="1" applyFill="1" applyBorder="1" applyAlignment="1" applyProtection="1">
      <alignment horizontal="right"/>
      <protection locked="0"/>
    </xf>
    <xf numFmtId="37" fontId="32" fillId="4" borderId="4" xfId="2" applyNumberFormat="1" applyFont="1" applyFill="1" applyBorder="1" applyAlignment="1" applyProtection="1">
      <alignment horizontal="right"/>
      <protection locked="0"/>
    </xf>
    <xf numFmtId="37" fontId="32" fillId="0" borderId="4" xfId="2" applyNumberFormat="1" applyFont="1" applyFill="1" applyBorder="1" applyAlignment="1" applyProtection="1">
      <alignment horizontal="right"/>
      <protection locked="0"/>
    </xf>
    <xf numFmtId="37" fontId="41" fillId="0" borderId="4" xfId="2" applyNumberFormat="1" applyFont="1" applyFill="1" applyBorder="1" applyAlignment="1" applyProtection="1">
      <alignment horizontal="right"/>
      <protection locked="0"/>
    </xf>
    <xf numFmtId="37" fontId="32" fillId="0" borderId="4" xfId="2" applyNumberFormat="1" applyFont="1" applyFill="1" applyBorder="1" applyProtection="1">
      <protection locked="0"/>
    </xf>
    <xf numFmtId="37" fontId="65" fillId="0" borderId="4" xfId="2" applyNumberFormat="1" applyFont="1" applyFill="1" applyBorder="1" applyProtection="1">
      <protection locked="0"/>
    </xf>
    <xf numFmtId="39" fontId="32" fillId="0" borderId="0" xfId="2" applyNumberFormat="1" applyFont="1" applyFill="1" applyBorder="1" applyAlignment="1" applyProtection="1">
      <alignment horizontal="right"/>
      <protection locked="0"/>
    </xf>
    <xf numFmtId="39" fontId="32" fillId="4" borderId="0" xfId="2" applyNumberFormat="1" applyFont="1" applyFill="1" applyAlignment="1" applyProtection="1">
      <alignment horizontal="right"/>
      <protection locked="0"/>
    </xf>
    <xf numFmtId="39" fontId="32" fillId="0" borderId="0" xfId="2" applyNumberFormat="1" applyFont="1" applyFill="1" applyAlignment="1" applyProtection="1">
      <alignment horizontal="right"/>
      <protection locked="0"/>
    </xf>
    <xf numFmtId="39" fontId="41" fillId="0" borderId="0" xfId="2" applyNumberFormat="1" applyFont="1" applyFill="1" applyAlignment="1" applyProtection="1">
      <alignment horizontal="right"/>
      <protection locked="0"/>
    </xf>
    <xf numFmtId="39" fontId="32" fillId="0" borderId="0" xfId="2" applyNumberFormat="1" applyFont="1"/>
    <xf numFmtId="39" fontId="32" fillId="0" borderId="0" xfId="2" applyNumberFormat="1" applyFont="1" applyFill="1" applyProtection="1">
      <protection locked="0"/>
    </xf>
    <xf numFmtId="166" fontId="41" fillId="0" borderId="0" xfId="43" applyNumberFormat="1" applyFont="1" applyFill="1" applyBorder="1" applyAlignment="1" applyProtection="1">
      <alignment horizontal="right"/>
      <protection locked="0"/>
    </xf>
    <xf numFmtId="166" fontId="32" fillId="0" borderId="0" xfId="43" applyNumberFormat="1" applyFont="1" applyFill="1" applyBorder="1" applyAlignment="1" applyProtection="1">
      <alignment horizontal="right"/>
      <protection locked="0"/>
    </xf>
    <xf numFmtId="166" fontId="32" fillId="4" borderId="0" xfId="43" applyNumberFormat="1" applyFont="1" applyFill="1" applyBorder="1" applyAlignment="1" applyProtection="1">
      <alignment horizontal="right"/>
    </xf>
    <xf numFmtId="166" fontId="32" fillId="0" borderId="0" xfId="43" applyNumberFormat="1" applyFont="1" applyFill="1" applyBorder="1" applyAlignment="1" applyProtection="1">
      <alignment horizontal="right"/>
    </xf>
    <xf numFmtId="179" fontId="32" fillId="0" borderId="0" xfId="2" applyNumberFormat="1" applyFont="1" applyFill="1" applyBorder="1" applyProtection="1">
      <protection locked="0"/>
    </xf>
    <xf numFmtId="0" fontId="32" fillId="0" borderId="0" xfId="2" applyFont="1" applyFill="1" applyBorder="1" applyAlignment="1" applyProtection="1">
      <alignment horizontal="left"/>
      <protection locked="0"/>
    </xf>
    <xf numFmtId="179" fontId="32" fillId="0" borderId="0" xfId="43" applyNumberFormat="1" applyFont="1" applyFill="1" applyBorder="1" applyProtection="1">
      <protection locked="0"/>
    </xf>
    <xf numFmtId="166" fontId="41" fillId="0" borderId="0" xfId="43" applyNumberFormat="1" applyFont="1" applyFill="1" applyBorder="1" applyAlignment="1" applyProtection="1">
      <alignment horizontal="right"/>
    </xf>
    <xf numFmtId="0" fontId="32" fillId="0" borderId="0" xfId="2" applyFont="1" applyFill="1" applyBorder="1" applyAlignment="1" applyProtection="1">
      <alignment horizontal="right"/>
    </xf>
    <xf numFmtId="0" fontId="65" fillId="0" borderId="0" xfId="2" applyFont="1" applyFill="1" applyBorder="1" applyProtection="1">
      <protection locked="0"/>
    </xf>
    <xf numFmtId="37" fontId="33" fillId="0" borderId="0" xfId="2" applyNumberFormat="1" applyFont="1" applyFill="1" applyProtection="1">
      <protection locked="0"/>
    </xf>
    <xf numFmtId="37" fontId="33" fillId="4" borderId="0" xfId="2" applyNumberFormat="1" applyFont="1" applyFill="1" applyProtection="1">
      <protection locked="0"/>
    </xf>
    <xf numFmtId="37" fontId="33" fillId="2" borderId="0" xfId="2" applyNumberFormat="1" applyFont="1" applyFill="1" applyProtection="1">
      <protection locked="0"/>
    </xf>
    <xf numFmtId="166" fontId="32" fillId="2" borderId="0" xfId="43" applyNumberFormat="1" applyFont="1" applyFill="1" applyBorder="1" applyAlignment="1" applyProtection="1">
      <alignment horizontal="right"/>
    </xf>
    <xf numFmtId="166" fontId="32" fillId="4" borderId="0" xfId="43" applyNumberFormat="1" applyFont="1" applyFill="1" applyAlignment="1" applyProtection="1">
      <alignment horizontal="right"/>
    </xf>
    <xf numFmtId="166" fontId="32" fillId="0" borderId="0" xfId="43" applyNumberFormat="1" applyFont="1" applyFill="1" applyAlignment="1" applyProtection="1">
      <alignment horizontal="right"/>
    </xf>
    <xf numFmtId="180" fontId="32" fillId="0" borderId="0" xfId="2" applyNumberFormat="1" applyFont="1" applyFill="1" applyBorder="1" applyProtection="1">
      <protection locked="0"/>
    </xf>
    <xf numFmtId="0" fontId="32" fillId="4" borderId="0" xfId="2" applyFont="1" applyFill="1" applyBorder="1" applyAlignment="1" applyProtection="1">
      <alignment horizontal="right"/>
    </xf>
    <xf numFmtId="0" fontId="41" fillId="0" borderId="0" xfId="2" applyFont="1" applyFill="1" applyBorder="1" applyAlignment="1" applyProtection="1">
      <alignment horizontal="right"/>
    </xf>
    <xf numFmtId="44" fontId="32" fillId="0" borderId="0" xfId="20" applyFont="1" applyFill="1" applyBorder="1" applyProtection="1">
      <protection locked="0"/>
    </xf>
    <xf numFmtId="175" fontId="32" fillId="4" borderId="0" xfId="20" applyNumberFormat="1" applyFont="1" applyFill="1" applyBorder="1" applyAlignment="1" applyProtection="1">
      <alignment horizontal="right"/>
    </xf>
    <xf numFmtId="175" fontId="32" fillId="0" borderId="0" xfId="20" applyNumberFormat="1" applyFont="1" applyFill="1" applyBorder="1" applyAlignment="1" applyProtection="1">
      <alignment horizontal="right"/>
    </xf>
    <xf numFmtId="175" fontId="41" fillId="0" borderId="0" xfId="20" applyNumberFormat="1" applyFont="1" applyFill="1" applyBorder="1" applyAlignment="1" applyProtection="1">
      <alignment horizontal="right"/>
    </xf>
    <xf numFmtId="37" fontId="32" fillId="4" borderId="0" xfId="2" applyNumberFormat="1" applyFont="1" applyFill="1" applyProtection="1">
      <protection locked="0"/>
    </xf>
    <xf numFmtId="43" fontId="32" fillId="0" borderId="0" xfId="16" applyFont="1" applyFill="1" applyBorder="1" applyAlignment="1" applyProtection="1">
      <alignment horizontal="right"/>
      <protection locked="0"/>
    </xf>
    <xf numFmtId="43" fontId="32" fillId="4" borderId="0" xfId="16" applyFont="1" applyFill="1" applyBorder="1" applyAlignment="1" applyProtection="1">
      <alignment horizontal="right"/>
    </xf>
    <xf numFmtId="43" fontId="32" fillId="0" borderId="0" xfId="16" applyFont="1" applyFill="1" applyBorder="1" applyAlignment="1" applyProtection="1">
      <alignment horizontal="right"/>
    </xf>
    <xf numFmtId="43" fontId="41" fillId="0" borderId="0" xfId="16" applyFont="1" applyFill="1" applyBorder="1" applyAlignment="1" applyProtection="1">
      <alignment horizontal="right"/>
    </xf>
    <xf numFmtId="43" fontId="32" fillId="0" borderId="0" xfId="16" applyFont="1" applyFill="1" applyBorder="1" applyProtection="1">
      <protection locked="0"/>
    </xf>
    <xf numFmtId="43" fontId="32" fillId="0" borderId="0" xfId="16" applyFont="1" applyFill="1" applyProtection="1">
      <protection locked="0"/>
    </xf>
    <xf numFmtId="175" fontId="32" fillId="4" borderId="0" xfId="2" applyNumberFormat="1" applyFont="1" applyFill="1" applyBorder="1" applyAlignment="1" applyProtection="1">
      <alignment horizontal="right"/>
    </xf>
    <xf numFmtId="175" fontId="32" fillId="0" borderId="0" xfId="2" applyNumberFormat="1" applyFont="1" applyFill="1" applyBorder="1" applyAlignment="1" applyProtection="1">
      <alignment horizontal="right"/>
    </xf>
    <xf numFmtId="175" fontId="41" fillId="0" borderId="0" xfId="2" applyNumberFormat="1" applyFont="1" applyFill="1" applyBorder="1" applyAlignment="1" applyProtection="1">
      <alignment horizontal="right"/>
    </xf>
    <xf numFmtId="168" fontId="32" fillId="0" borderId="0" xfId="2" applyNumberFormat="1" applyFont="1" applyFill="1" applyBorder="1" applyProtection="1">
      <protection locked="0"/>
    </xf>
    <xf numFmtId="168" fontId="32" fillId="0" borderId="0" xfId="2" applyNumberFormat="1" applyFont="1" applyFill="1" applyBorder="1" applyAlignment="1" applyProtection="1">
      <alignment horizontal="right"/>
    </xf>
    <xf numFmtId="175" fontId="32" fillId="4" borderId="0" xfId="16" applyNumberFormat="1" applyFont="1" applyFill="1" applyBorder="1" applyAlignment="1" applyProtection="1">
      <alignment horizontal="right"/>
    </xf>
    <xf numFmtId="175" fontId="32" fillId="0" borderId="0" xfId="16" applyNumberFormat="1" applyFont="1" applyFill="1" applyBorder="1" applyAlignment="1" applyProtection="1">
      <alignment horizontal="right"/>
    </xf>
    <xf numFmtId="175" fontId="41" fillId="0" borderId="0" xfId="16" applyNumberFormat="1" applyFont="1" applyFill="1" applyBorder="1" applyAlignment="1" applyProtection="1">
      <alignment horizontal="right"/>
    </xf>
    <xf numFmtId="165" fontId="32" fillId="0" borderId="0" xfId="16" applyNumberFormat="1" applyFont="1" applyFill="1" applyBorder="1" applyAlignment="1" applyProtection="1">
      <alignment horizontal="right"/>
    </xf>
    <xf numFmtId="165" fontId="32" fillId="0" borderId="0" xfId="16" applyNumberFormat="1" applyFont="1" applyFill="1" applyBorder="1" applyProtection="1">
      <protection locked="0"/>
    </xf>
    <xf numFmtId="179" fontId="32" fillId="4" borderId="0" xfId="2" applyNumberFormat="1" applyFont="1" applyFill="1" applyBorder="1" applyAlignment="1" applyProtection="1">
      <alignment horizontal="right"/>
    </xf>
    <xf numFmtId="179" fontId="32" fillId="0" borderId="0" xfId="2" applyNumberFormat="1" applyFont="1" applyFill="1" applyBorder="1" applyAlignment="1" applyProtection="1">
      <alignment horizontal="right"/>
    </xf>
    <xf numFmtId="179" fontId="41" fillId="0" borderId="0" xfId="2" applyNumberFormat="1" applyFont="1" applyFill="1" applyBorder="1" applyAlignment="1" applyProtection="1">
      <alignment horizontal="right"/>
    </xf>
    <xf numFmtId="14" fontId="32" fillId="0" borderId="0" xfId="2" applyNumberFormat="1" applyFont="1" applyFill="1" applyBorder="1" applyAlignment="1" applyProtection="1">
      <alignment horizontal="center"/>
      <protection locked="0"/>
    </xf>
    <xf numFmtId="166" fontId="43" fillId="4" borderId="0" xfId="2" applyNumberFormat="1" applyFont="1" applyFill="1" applyAlignment="1" applyProtection="1">
      <alignment horizontal="right"/>
    </xf>
    <xf numFmtId="166" fontId="43" fillId="0" borderId="0" xfId="2" applyNumberFormat="1" applyFont="1" applyFill="1" applyAlignment="1" applyProtection="1">
      <alignment horizontal="right"/>
    </xf>
    <xf numFmtId="4" fontId="43" fillId="0" borderId="0" xfId="2" applyNumberFormat="1" applyFont="1" applyFill="1" applyAlignment="1" applyProtection="1">
      <alignment horizontal="right"/>
    </xf>
    <xf numFmtId="166" fontId="32" fillId="0" borderId="0" xfId="2" applyNumberFormat="1" applyFont="1" applyFill="1" applyAlignment="1" applyProtection="1">
      <alignment horizontal="right"/>
    </xf>
    <xf numFmtId="166" fontId="41" fillId="0" borderId="0" xfId="2" applyNumberFormat="1" applyFont="1" applyFill="1" applyAlignment="1" applyProtection="1">
      <alignment horizontal="right"/>
    </xf>
    <xf numFmtId="166" fontId="32" fillId="0" borderId="0" xfId="2" applyNumberFormat="1" applyFont="1" applyFill="1" applyProtection="1">
      <protection locked="0"/>
    </xf>
    <xf numFmtId="0" fontId="32" fillId="0" borderId="0" xfId="2" applyFont="1" applyFill="1" applyAlignment="1" applyProtection="1">
      <alignment horizontal="left" indent="1"/>
      <protection locked="0"/>
    </xf>
    <xf numFmtId="166" fontId="32" fillId="4" borderId="0" xfId="2" applyNumberFormat="1" applyFont="1" applyFill="1" applyProtection="1"/>
    <xf numFmtId="166" fontId="32" fillId="0" borderId="0" xfId="2" applyNumberFormat="1" applyFont="1" applyFill="1" applyProtection="1"/>
    <xf numFmtId="166" fontId="43" fillId="4" borderId="0" xfId="2" applyNumberFormat="1" applyFont="1" applyFill="1" applyProtection="1">
      <protection locked="0"/>
    </xf>
    <xf numFmtId="166" fontId="43" fillId="0" borderId="0" xfId="2" applyNumberFormat="1" applyFont="1" applyFill="1" applyProtection="1"/>
    <xf numFmtId="166" fontId="32" fillId="4" borderId="0" xfId="2" applyNumberFormat="1" applyFont="1" applyFill="1" applyProtection="1">
      <protection locked="0"/>
    </xf>
    <xf numFmtId="37" fontId="33" fillId="0" borderId="0" xfId="2" applyNumberFormat="1" applyFont="1" applyFill="1" applyBorder="1" applyAlignment="1" applyProtection="1">
      <alignment horizontal="right"/>
      <protection locked="0"/>
    </xf>
    <xf numFmtId="167" fontId="33" fillId="0" borderId="0" xfId="16" applyNumberFormat="1" applyFont="1" applyFill="1" applyBorder="1" applyAlignment="1" applyProtection="1">
      <alignment horizontal="right"/>
      <protection locked="0"/>
    </xf>
    <xf numFmtId="37" fontId="33" fillId="0" borderId="0" xfId="2" applyNumberFormat="1" applyFont="1" applyFill="1" applyAlignment="1" applyProtection="1">
      <alignment horizontal="left" indent="1"/>
      <protection locked="0"/>
    </xf>
    <xf numFmtId="37" fontId="32" fillId="0" borderId="0" xfId="2" applyNumberFormat="1" applyFont="1" applyFill="1" applyAlignment="1" applyProtection="1">
      <alignment horizontal="left" indent="1"/>
      <protection locked="0"/>
    </xf>
    <xf numFmtId="3" fontId="43" fillId="0" borderId="0" xfId="2" applyNumberFormat="1" applyFont="1" applyFill="1" applyAlignment="1" applyProtection="1">
      <alignment horizontal="right"/>
    </xf>
    <xf numFmtId="166" fontId="43" fillId="4" borderId="0" xfId="2" applyNumberFormat="1" applyFont="1" applyFill="1" applyProtection="1"/>
    <xf numFmtId="37" fontId="33" fillId="4" borderId="0" xfId="16" applyNumberFormat="1" applyFont="1" applyFill="1" applyBorder="1" applyProtection="1"/>
    <xf numFmtId="37" fontId="33" fillId="0" borderId="0" xfId="16" applyNumberFormat="1" applyFont="1" applyFill="1" applyBorder="1" applyProtection="1"/>
    <xf numFmtId="37" fontId="33" fillId="0" borderId="0" xfId="2" applyNumberFormat="1" applyFont="1" applyFill="1" applyBorder="1" applyAlignment="1" applyProtection="1">
      <alignment horizontal="centerContinuous"/>
      <protection locked="0"/>
    </xf>
    <xf numFmtId="166" fontId="32" fillId="4" borderId="0" xfId="2" applyNumberFormat="1" applyFont="1" applyFill="1" applyAlignment="1" applyProtection="1">
      <alignment horizontal="right"/>
    </xf>
    <xf numFmtId="166" fontId="43" fillId="0" borderId="0" xfId="43" applyNumberFormat="1" applyFont="1" applyFill="1" applyProtection="1"/>
    <xf numFmtId="166" fontId="32" fillId="4" borderId="0" xfId="2" applyNumberFormat="1" applyFont="1" applyFill="1" applyBorder="1" applyProtection="1"/>
    <xf numFmtId="167" fontId="33" fillId="4" borderId="0" xfId="16" applyNumberFormat="1" applyFont="1" applyFill="1" applyBorder="1" applyAlignment="1" applyProtection="1">
      <alignment horizontal="right"/>
    </xf>
    <xf numFmtId="167" fontId="33" fillId="0" borderId="0" xfId="16" applyNumberFormat="1" applyFont="1" applyFill="1" applyBorder="1" applyAlignment="1" applyProtection="1">
      <alignment horizontal="right"/>
    </xf>
    <xf numFmtId="0" fontId="35" fillId="0" borderId="0" xfId="2" applyFont="1" applyFill="1" applyBorder="1" applyAlignment="1" applyProtection="1">
      <alignment horizontal="right"/>
      <protection locked="0"/>
    </xf>
    <xf numFmtId="167" fontId="35" fillId="0" borderId="0" xfId="16" applyNumberFormat="1" applyFont="1" applyFill="1" applyBorder="1" applyAlignment="1" applyProtection="1">
      <alignment horizontal="right"/>
      <protection locked="0"/>
    </xf>
    <xf numFmtId="0" fontId="35" fillId="4" borderId="0" xfId="2" applyFont="1" applyFill="1" applyProtection="1">
      <protection locked="0"/>
    </xf>
    <xf numFmtId="0" fontId="35" fillId="0" borderId="0" xfId="2" applyFont="1" applyFill="1" applyProtection="1">
      <protection locked="0"/>
    </xf>
    <xf numFmtId="0" fontId="35" fillId="0" borderId="0" xfId="2" applyFont="1" applyFill="1" applyBorder="1" applyAlignment="1" applyProtection="1">
      <alignment horizontal="centerContinuous"/>
      <protection locked="0"/>
    </xf>
    <xf numFmtId="0" fontId="34" fillId="4" borderId="0" xfId="2" applyFont="1" applyFill="1" applyBorder="1" applyAlignment="1" applyProtection="1">
      <alignment horizontal="left"/>
      <protection locked="0"/>
    </xf>
    <xf numFmtId="0" fontId="34" fillId="0" borderId="0" xfId="2" applyFont="1" applyFill="1" applyBorder="1" applyAlignment="1" applyProtection="1">
      <alignment horizontal="right"/>
      <protection locked="0"/>
    </xf>
    <xf numFmtId="167" fontId="34" fillId="0" borderId="0" xfId="16" applyNumberFormat="1" applyFont="1" applyFill="1" applyBorder="1" applyAlignment="1" applyProtection="1">
      <alignment horizontal="right"/>
      <protection locked="0"/>
    </xf>
    <xf numFmtId="0" fontId="35" fillId="4" borderId="0" xfId="2" applyFont="1" applyFill="1" applyBorder="1" applyAlignment="1" applyProtection="1">
      <alignment horizontal="right"/>
      <protection locked="0"/>
    </xf>
    <xf numFmtId="43" fontId="35" fillId="0" borderId="0" xfId="2" applyNumberFormat="1" applyFont="1" applyFill="1" applyBorder="1" applyAlignment="1" applyProtection="1">
      <alignment horizontal="right"/>
      <protection locked="0"/>
    </xf>
    <xf numFmtId="0" fontId="19" fillId="0" borderId="0" xfId="2" applyFont="1" applyFill="1" applyBorder="1" applyAlignment="1" applyProtection="1">
      <alignment horizontal="right"/>
      <protection locked="0"/>
    </xf>
    <xf numFmtId="0" fontId="34" fillId="0" borderId="0" xfId="2" applyFont="1" applyFill="1" applyProtection="1">
      <protection locked="0"/>
    </xf>
    <xf numFmtId="0" fontId="76" fillId="0" borderId="0" xfId="2" applyFont="1" applyFill="1" applyProtection="1">
      <protection locked="0"/>
    </xf>
    <xf numFmtId="181" fontId="35" fillId="0" borderId="0" xfId="2" applyNumberFormat="1" applyFont="1" applyFill="1" applyBorder="1" applyAlignment="1" applyProtection="1">
      <alignment horizontal="right"/>
      <protection locked="0"/>
    </xf>
    <xf numFmtId="0" fontId="33" fillId="0" borderId="0" xfId="2" applyFont="1" applyFill="1" applyBorder="1" applyAlignment="1" applyProtection="1">
      <alignment horizontal="right"/>
      <protection locked="0"/>
    </xf>
    <xf numFmtId="0" fontId="44" fillId="0" borderId="0" xfId="2" applyFont="1" applyFill="1" applyBorder="1" applyAlignment="1" applyProtection="1">
      <alignment horizontal="right"/>
      <protection locked="0"/>
    </xf>
    <xf numFmtId="0" fontId="65" fillId="0" borderId="0" xfId="2" applyFont="1" applyFill="1" applyProtection="1">
      <protection locked="0"/>
    </xf>
    <xf numFmtId="43" fontId="32" fillId="0" borderId="0" xfId="2" applyNumberFormat="1" applyFont="1" applyFill="1" applyBorder="1" applyAlignment="1" applyProtection="1">
      <alignment horizontal="right"/>
      <protection locked="0"/>
    </xf>
    <xf numFmtId="0" fontId="41" fillId="0" borderId="0" xfId="2" applyFont="1" applyFill="1" applyBorder="1" applyAlignment="1" applyProtection="1">
      <alignment horizontal="right"/>
      <protection locked="0"/>
    </xf>
    <xf numFmtId="168" fontId="32" fillId="4" borderId="0" xfId="2" applyNumberFormat="1" applyFont="1" applyFill="1" applyBorder="1" applyAlignment="1" applyProtection="1">
      <alignment horizontal="right"/>
      <protection locked="0"/>
    </xf>
    <xf numFmtId="168" fontId="32" fillId="0" borderId="0" xfId="2" applyNumberFormat="1" applyFont="1" applyFill="1" applyBorder="1" applyAlignment="1" applyProtection="1">
      <alignment horizontal="right"/>
      <protection locked="0"/>
    </xf>
    <xf numFmtId="168" fontId="41" fillId="0" borderId="0" xfId="2" applyNumberFormat="1" applyFont="1" applyFill="1" applyBorder="1" applyAlignment="1" applyProtection="1">
      <alignment horizontal="right"/>
      <protection locked="0"/>
    </xf>
    <xf numFmtId="0" fontId="69" fillId="0" borderId="0" xfId="2" applyFont="1" applyFill="1" applyBorder="1" applyAlignment="1" applyProtection="1">
      <alignment horizontal="right"/>
      <protection locked="0"/>
    </xf>
    <xf numFmtId="167" fontId="69" fillId="0" borderId="0" xfId="16" applyNumberFormat="1" applyFont="1" applyFill="1" applyBorder="1" applyAlignment="1" applyProtection="1">
      <alignment horizontal="right"/>
      <protection locked="0"/>
    </xf>
    <xf numFmtId="167" fontId="69" fillId="4" borderId="0" xfId="16" applyNumberFormat="1" applyFont="1" applyFill="1" applyBorder="1" applyProtection="1">
      <protection locked="0"/>
    </xf>
    <xf numFmtId="167" fontId="69" fillId="0" borderId="0" xfId="16" applyNumberFormat="1" applyFont="1" applyFill="1" applyBorder="1" applyProtection="1">
      <protection locked="0"/>
    </xf>
    <xf numFmtId="167" fontId="32" fillId="0" borderId="0" xfId="16" applyNumberFormat="1" applyFont="1" applyFill="1" applyBorder="1" applyProtection="1">
      <protection locked="0"/>
    </xf>
    <xf numFmtId="167" fontId="41" fillId="0" borderId="0" xfId="16" applyNumberFormat="1" applyFont="1" applyFill="1" applyBorder="1" applyProtection="1">
      <protection locked="0"/>
    </xf>
    <xf numFmtId="181" fontId="69" fillId="0" borderId="0" xfId="16" applyNumberFormat="1" applyFont="1" applyFill="1" applyBorder="1" applyProtection="1">
      <protection locked="0"/>
    </xf>
    <xf numFmtId="167" fontId="69" fillId="0" borderId="0" xfId="2" applyNumberFormat="1" applyFont="1" applyFill="1" applyBorder="1" applyProtection="1">
      <protection locked="0"/>
    </xf>
    <xf numFmtId="167" fontId="69" fillId="0" borderId="0" xfId="2" applyNumberFormat="1" applyFont="1" applyFill="1" applyProtection="1">
      <protection locked="0"/>
    </xf>
    <xf numFmtId="0" fontId="69" fillId="0" borderId="0" xfId="2" applyFont="1" applyFill="1" applyProtection="1">
      <protection locked="0"/>
    </xf>
    <xf numFmtId="0" fontId="68" fillId="0" borderId="0" xfId="2" applyFont="1" applyFill="1" applyBorder="1" applyProtection="1">
      <protection locked="0"/>
    </xf>
    <xf numFmtId="181" fontId="32" fillId="0" borderId="0" xfId="16" applyNumberFormat="1" applyFont="1" applyFill="1" applyBorder="1" applyProtection="1">
      <protection locked="0"/>
    </xf>
    <xf numFmtId="165" fontId="32" fillId="4" borderId="0" xfId="16" applyNumberFormat="1" applyFont="1" applyFill="1" applyAlignment="1" applyProtection="1">
      <alignment horizontal="right"/>
      <protection locked="0"/>
    </xf>
    <xf numFmtId="165" fontId="32" fillId="0" borderId="0" xfId="16" applyNumberFormat="1" applyFont="1" applyFill="1" applyAlignment="1" applyProtection="1">
      <alignment horizontal="right"/>
      <protection locked="0"/>
    </xf>
    <xf numFmtId="165" fontId="32" fillId="0" borderId="0" xfId="16" applyNumberFormat="1" applyFont="1" applyFill="1" applyBorder="1" applyAlignment="1" applyProtection="1">
      <alignment horizontal="right"/>
      <protection locked="0"/>
    </xf>
    <xf numFmtId="37" fontId="33" fillId="2" borderId="17" xfId="16" applyNumberFormat="1" applyFont="1" applyFill="1" applyBorder="1" applyAlignment="1" applyProtection="1">
      <alignment horizontal="right"/>
      <protection locked="0"/>
    </xf>
    <xf numFmtId="37" fontId="33" fillId="0" borderId="17" xfId="2" applyNumberFormat="1" applyFont="1" applyFill="1" applyBorder="1" applyProtection="1">
      <protection locked="0"/>
    </xf>
    <xf numFmtId="37" fontId="32" fillId="0" borderId="17" xfId="2" applyNumberFormat="1" applyFont="1" applyFill="1" applyBorder="1" applyProtection="1">
      <protection locked="0"/>
    </xf>
    <xf numFmtId="37" fontId="33" fillId="2" borderId="0" xfId="16" applyNumberFormat="1" applyFont="1" applyFill="1" applyBorder="1" applyAlignment="1" applyProtection="1">
      <alignment horizontal="right"/>
      <protection locked="0"/>
    </xf>
    <xf numFmtId="37" fontId="33" fillId="0" borderId="0" xfId="2" applyNumberFormat="1" applyFont="1" applyFill="1" applyBorder="1" applyAlignment="1" applyProtection="1">
      <alignment horizontal="left"/>
      <protection locked="0"/>
    </xf>
    <xf numFmtId="37" fontId="32" fillId="4" borderId="4" xfId="16" applyNumberFormat="1" applyFont="1" applyFill="1" applyBorder="1"/>
    <xf numFmtId="37" fontId="32" fillId="0" borderId="4" xfId="16" applyNumberFormat="1" applyFont="1" applyFill="1" applyBorder="1"/>
    <xf numFmtId="37" fontId="69" fillId="0" borderId="4" xfId="16" applyNumberFormat="1" applyFont="1" applyFill="1" applyBorder="1"/>
    <xf numFmtId="37" fontId="32" fillId="2" borderId="4" xfId="16" applyNumberFormat="1" applyFont="1" applyFill="1" applyBorder="1"/>
    <xf numFmtId="37" fontId="32" fillId="0" borderId="4" xfId="2" applyNumberFormat="1" applyFont="1" applyFill="1" applyBorder="1" applyAlignment="1" applyProtection="1">
      <alignment horizontal="left"/>
      <protection locked="0"/>
    </xf>
    <xf numFmtId="37" fontId="32" fillId="4" borderId="0" xfId="16" applyNumberFormat="1" applyFont="1" applyFill="1" applyBorder="1"/>
    <xf numFmtId="37" fontId="32" fillId="0" borderId="0" xfId="16" applyNumberFormat="1" applyFont="1" applyFill="1" applyBorder="1"/>
    <xf numFmtId="37" fontId="69" fillId="0" borderId="0" xfId="16" applyNumberFormat="1" applyFont="1" applyFill="1" applyBorder="1"/>
    <xf numFmtId="37" fontId="32" fillId="2" borderId="0" xfId="16" applyNumberFormat="1" applyFont="1" applyFill="1" applyBorder="1"/>
    <xf numFmtId="37" fontId="32" fillId="0" borderId="0" xfId="2" applyNumberFormat="1" applyFont="1" applyFill="1" applyBorder="1" applyAlignment="1" applyProtection="1">
      <alignment horizontal="left"/>
      <protection locked="0"/>
    </xf>
    <xf numFmtId="37" fontId="32" fillId="0" borderId="0" xfId="16" applyNumberFormat="1" applyFont="1" applyFill="1"/>
    <xf numFmtId="37" fontId="32" fillId="0" borderId="0" xfId="2" applyNumberFormat="1" applyFont="1" applyFill="1" applyAlignment="1" applyProtection="1">
      <alignment horizontal="left"/>
      <protection locked="0"/>
    </xf>
    <xf numFmtId="37" fontId="41" fillId="4" borderId="0" xfId="16" applyNumberFormat="1" applyFont="1" applyFill="1"/>
    <xf numFmtId="37" fontId="41" fillId="0" borderId="0" xfId="16" applyNumberFormat="1" applyFont="1" applyFill="1"/>
    <xf numFmtId="37" fontId="32" fillId="4" borderId="0" xfId="16" applyNumberFormat="1" applyFont="1" applyFill="1"/>
    <xf numFmtId="37" fontId="32" fillId="2" borderId="0" xfId="16" applyNumberFormat="1" applyFont="1" applyFill="1"/>
    <xf numFmtId="37" fontId="43" fillId="4" borderId="0" xfId="16" applyNumberFormat="1" applyFont="1" applyFill="1" applyProtection="1">
      <protection locked="0"/>
    </xf>
    <xf numFmtId="37" fontId="32" fillId="4" borderId="0" xfId="16" applyNumberFormat="1" applyFont="1" applyFill="1" applyProtection="1">
      <protection locked="0"/>
    </xf>
    <xf numFmtId="37" fontId="43" fillId="0" borderId="0" xfId="16" applyNumberFormat="1" applyFont="1" applyFill="1" applyProtection="1">
      <protection locked="0"/>
    </xf>
    <xf numFmtId="37" fontId="32" fillId="2" borderId="0" xfId="16" applyNumberFormat="1" applyFont="1" applyFill="1" applyProtection="1">
      <protection locked="0"/>
    </xf>
    <xf numFmtId="37" fontId="69" fillId="0" borderId="0" xfId="16" applyNumberFormat="1" applyFont="1" applyFill="1" applyProtection="1">
      <protection locked="0"/>
    </xf>
    <xf numFmtId="37" fontId="32" fillId="0" borderId="0" xfId="16" applyNumberFormat="1" applyFont="1" applyFill="1" applyProtection="1">
      <protection locked="0"/>
    </xf>
    <xf numFmtId="37" fontId="41" fillId="4" borderId="0" xfId="16" applyNumberFormat="1" applyFont="1" applyFill="1" applyAlignment="1" applyProtection="1">
      <alignment horizontal="right"/>
      <protection locked="0"/>
    </xf>
    <xf numFmtId="37" fontId="69" fillId="0" borderId="0" xfId="16" applyNumberFormat="1" applyFont="1" applyFill="1" applyAlignment="1" applyProtection="1">
      <alignment horizontal="right"/>
      <protection locked="0"/>
    </xf>
    <xf numFmtId="37" fontId="43" fillId="0" borderId="0" xfId="2" applyNumberFormat="1" applyFont="1" applyFill="1" applyProtection="1">
      <protection locked="0"/>
    </xf>
    <xf numFmtId="37" fontId="43" fillId="4" borderId="0" xfId="16" applyNumberFormat="1" applyFont="1" applyFill="1" applyBorder="1" applyAlignment="1" applyProtection="1">
      <alignment horizontal="right"/>
      <protection locked="0"/>
    </xf>
    <xf numFmtId="37" fontId="43" fillId="0" borderId="0" xfId="16" applyNumberFormat="1" applyFont="1" applyFill="1" applyBorder="1" applyAlignment="1" applyProtection="1">
      <alignment horizontal="right"/>
      <protection locked="0"/>
    </xf>
    <xf numFmtId="37" fontId="32" fillId="0" borderId="0" xfId="16" applyNumberFormat="1" applyFont="1" applyFill="1" applyBorder="1" applyAlignment="1" applyProtection="1">
      <alignment horizontal="right"/>
      <protection locked="0"/>
    </xf>
    <xf numFmtId="37" fontId="32" fillId="2" borderId="0" xfId="16" applyNumberFormat="1" applyFont="1" applyFill="1" applyBorder="1" applyAlignment="1" applyProtection="1">
      <alignment horizontal="right"/>
      <protection locked="0"/>
    </xf>
    <xf numFmtId="37" fontId="43" fillId="2" borderId="0" xfId="16" applyNumberFormat="1" applyFont="1" applyFill="1" applyBorder="1" applyAlignment="1" applyProtection="1">
      <alignment horizontal="right"/>
      <protection locked="0"/>
    </xf>
    <xf numFmtId="37" fontId="43" fillId="0" borderId="0" xfId="2" applyNumberFormat="1" applyFont="1" applyFill="1" applyBorder="1" applyProtection="1">
      <protection locked="0"/>
    </xf>
    <xf numFmtId="37" fontId="32" fillId="0" borderId="0" xfId="2" applyNumberFormat="1" applyFont="1" applyFill="1" applyBorder="1" applyAlignment="1" applyProtection="1">
      <alignment horizontal="left" indent="1"/>
      <protection locked="0"/>
    </xf>
    <xf numFmtId="37" fontId="72" fillId="0" borderId="4" xfId="2" applyNumberFormat="1" applyFont="1" applyFill="1" applyBorder="1" applyProtection="1">
      <protection locked="0"/>
    </xf>
    <xf numFmtId="37" fontId="72" fillId="0" borderId="0" xfId="2" applyNumberFormat="1" applyFont="1" applyFill="1" applyProtection="1">
      <protection locked="0"/>
    </xf>
    <xf numFmtId="37" fontId="43" fillId="4" borderId="0" xfId="16" applyNumberFormat="1" applyFont="1" applyFill="1" applyAlignment="1" applyProtection="1">
      <alignment horizontal="right"/>
      <protection locked="0"/>
    </xf>
    <xf numFmtId="37" fontId="43" fillId="2" borderId="0" xfId="16" applyNumberFormat="1" applyFont="1" applyFill="1" applyAlignment="1" applyProtection="1">
      <alignment horizontal="right"/>
      <protection locked="0"/>
    </xf>
    <xf numFmtId="37" fontId="33" fillId="0" borderId="0" xfId="2" applyNumberFormat="1" applyFont="1" applyFill="1" applyBorder="1" applyAlignment="1" applyProtection="1">
      <alignment horizontal="left" indent="1"/>
      <protection locked="0"/>
    </xf>
    <xf numFmtId="37" fontId="32" fillId="0" borderId="4" xfId="16" applyNumberFormat="1" applyFont="1" applyFill="1" applyBorder="1" applyAlignment="1" applyProtection="1">
      <alignment horizontal="right"/>
      <protection locked="0"/>
    </xf>
    <xf numFmtId="37" fontId="32" fillId="2" borderId="4" xfId="16" applyNumberFormat="1" applyFont="1" applyFill="1" applyBorder="1" applyAlignment="1" applyProtection="1">
      <alignment horizontal="right"/>
      <protection locked="0"/>
    </xf>
    <xf numFmtId="37" fontId="33" fillId="4" borderId="0" xfId="16" applyNumberFormat="1" applyFont="1" applyFill="1" applyBorder="1" applyProtection="1">
      <protection locked="0"/>
    </xf>
    <xf numFmtId="37" fontId="33" fillId="0" borderId="0" xfId="16" applyNumberFormat="1" applyFont="1" applyFill="1" applyBorder="1" applyProtection="1">
      <protection locked="0"/>
    </xf>
    <xf numFmtId="37" fontId="33" fillId="2" borderId="0" xfId="16" applyNumberFormat="1" applyFont="1" applyFill="1" applyBorder="1" applyProtection="1">
      <protection locked="0"/>
    </xf>
    <xf numFmtId="37" fontId="32" fillId="0" borderId="0" xfId="5" applyNumberFormat="1" applyFont="1" applyFill="1" applyAlignment="1" applyProtection="1">
      <alignment horizontal="left"/>
      <protection locked="0"/>
    </xf>
    <xf numFmtId="37" fontId="33" fillId="4" borderId="0" xfId="16" applyNumberFormat="1" applyFont="1" applyFill="1" applyBorder="1"/>
    <xf numFmtId="37" fontId="33" fillId="0" borderId="0" xfId="16" applyNumberFormat="1" applyFont="1" applyFill="1" applyBorder="1"/>
    <xf numFmtId="37" fontId="33" fillId="2" borderId="0" xfId="16" applyNumberFormat="1" applyFont="1" applyFill="1" applyBorder="1"/>
    <xf numFmtId="37" fontId="43" fillId="4" borderId="0" xfId="16" applyNumberFormat="1" applyFont="1" applyFill="1" applyBorder="1"/>
    <xf numFmtId="37" fontId="43" fillId="0" borderId="0" xfId="16" applyNumberFormat="1" applyFont="1" applyFill="1" applyBorder="1"/>
    <xf numFmtId="37" fontId="32" fillId="4" borderId="0" xfId="2" applyNumberFormat="1" applyFont="1" applyFill="1" applyBorder="1" applyAlignment="1" applyProtection="1">
      <alignment horizontal="right"/>
      <protection locked="0"/>
    </xf>
    <xf numFmtId="37" fontId="32" fillId="2" borderId="0" xfId="2" applyNumberFormat="1" applyFont="1" applyFill="1" applyAlignment="1" applyProtection="1">
      <alignment horizontal="right"/>
      <protection locked="0"/>
    </xf>
    <xf numFmtId="37" fontId="41" fillId="2" borderId="0" xfId="2" applyNumberFormat="1" applyFont="1" applyFill="1" applyAlignment="1" applyProtection="1">
      <alignment horizontal="right"/>
      <protection locked="0"/>
    </xf>
    <xf numFmtId="37" fontId="41" fillId="0" borderId="0" xfId="2" applyNumberFormat="1" applyFont="1" applyFill="1" applyAlignment="1" applyProtection="1">
      <alignment horizontal="right"/>
      <protection locked="0"/>
    </xf>
    <xf numFmtId="0" fontId="41" fillId="2" borderId="0" xfId="2" applyFont="1" applyFill="1" applyAlignment="1" applyProtection="1">
      <alignment horizontal="right"/>
      <protection locked="0"/>
    </xf>
    <xf numFmtId="0" fontId="33" fillId="4" borderId="14" xfId="2" applyFont="1" applyFill="1" applyBorder="1" applyAlignment="1" applyProtection="1">
      <alignment horizontal="right"/>
      <protection locked="0"/>
    </xf>
    <xf numFmtId="0" fontId="33" fillId="0" borderId="14" xfId="2" applyFont="1" applyFill="1" applyBorder="1" applyAlignment="1" applyProtection="1">
      <alignment horizontal="center"/>
      <protection locked="0"/>
    </xf>
    <xf numFmtId="43" fontId="32" fillId="0" borderId="0" xfId="16" applyNumberFormat="1" applyFont="1" applyFill="1" applyBorder="1" applyAlignment="1" applyProtection="1">
      <alignment horizontal="right"/>
      <protection locked="0"/>
    </xf>
    <xf numFmtId="0" fontId="77" fillId="0" borderId="0" xfId="2" applyFont="1" applyFill="1" applyAlignment="1" applyProtection="1">
      <alignment horizontal="right"/>
      <protection locked="0"/>
    </xf>
    <xf numFmtId="37" fontId="77" fillId="0" borderId="0" xfId="2" applyNumberFormat="1" applyFont="1" applyFill="1" applyAlignment="1" applyProtection="1">
      <alignment horizontal="right"/>
      <protection locked="0"/>
    </xf>
    <xf numFmtId="0" fontId="78" fillId="0" borderId="0" xfId="2" applyFont="1" applyFill="1" applyBorder="1" applyAlignment="1" applyProtection="1">
      <alignment horizontal="right"/>
      <protection locked="0"/>
    </xf>
    <xf numFmtId="0" fontId="78" fillId="0" borderId="0" xfId="2" applyFont="1" applyFill="1" applyBorder="1" applyAlignment="1" applyProtection="1">
      <alignment horizontal="center"/>
      <protection locked="0"/>
    </xf>
    <xf numFmtId="0" fontId="78" fillId="0" borderId="0" xfId="2" applyFont="1" applyFill="1" applyBorder="1" applyAlignment="1" applyProtection="1">
      <alignment horizontal="left"/>
      <protection locked="0"/>
    </xf>
    <xf numFmtId="0" fontId="77" fillId="0" borderId="0" xfId="2" applyFont="1" applyFill="1" applyBorder="1" applyAlignment="1" applyProtection="1">
      <alignment horizontal="right"/>
      <protection locked="0"/>
    </xf>
    <xf numFmtId="167" fontId="77" fillId="0" borderId="0" xfId="16" applyNumberFormat="1" applyFont="1" applyFill="1" applyBorder="1" applyAlignment="1" applyProtection="1">
      <alignment horizontal="right"/>
      <protection locked="0"/>
    </xf>
    <xf numFmtId="0" fontId="77" fillId="0" borderId="0" xfId="2" applyFont="1" applyFill="1" applyProtection="1">
      <protection locked="0"/>
    </xf>
    <xf numFmtId="0" fontId="32" fillId="0" borderId="2" xfId="2" applyFont="1" applyFill="1" applyBorder="1" applyAlignment="1" applyProtection="1">
      <alignment horizontal="right"/>
      <protection locked="0"/>
    </xf>
    <xf numFmtId="0" fontId="33" fillId="0" borderId="2" xfId="2" applyFont="1" applyFill="1" applyBorder="1" applyAlignment="1" applyProtection="1">
      <alignment horizontal="right"/>
      <protection locked="0"/>
    </xf>
    <xf numFmtId="0" fontId="44" fillId="0" borderId="2" xfId="2" applyFont="1" applyFill="1" applyBorder="1" applyAlignment="1" applyProtection="1">
      <alignment horizontal="right"/>
      <protection locked="0"/>
    </xf>
    <xf numFmtId="182" fontId="32" fillId="0" borderId="0" xfId="2" applyNumberFormat="1" applyFont="1" applyFill="1" applyBorder="1" applyAlignment="1" applyProtection="1">
      <alignment horizontal="right"/>
      <protection locked="0"/>
    </xf>
    <xf numFmtId="0" fontId="32" fillId="0" borderId="0" xfId="2" applyFont="1" applyFill="1" applyAlignment="1" applyProtection="1">
      <alignment horizontal="centerContinuous"/>
      <protection locked="0"/>
    </xf>
    <xf numFmtId="0" fontId="32" fillId="0" borderId="6" xfId="2" applyFont="1" applyFill="1" applyBorder="1" applyAlignment="1" applyProtection="1">
      <protection locked="0"/>
    </xf>
    <xf numFmtId="0" fontId="32" fillId="0" borderId="4" xfId="2" applyFont="1" applyFill="1" applyBorder="1" applyAlignment="1" applyProtection="1">
      <alignment horizontal="right"/>
      <protection locked="0"/>
    </xf>
    <xf numFmtId="0" fontId="33" fillId="0" borderId="4" xfId="2" applyFont="1" applyFill="1" applyBorder="1" applyAlignment="1" applyProtection="1">
      <alignment horizontal="right"/>
      <protection locked="0"/>
    </xf>
    <xf numFmtId="0" fontId="41" fillId="0" borderId="4" xfId="2" applyFont="1" applyFill="1" applyBorder="1" applyAlignment="1" applyProtection="1">
      <alignment horizontal="right"/>
      <protection locked="0"/>
    </xf>
    <xf numFmtId="0" fontId="79" fillId="0" borderId="9" xfId="3" applyFont="1" applyFill="1" applyBorder="1" applyAlignment="1" applyProtection="1">
      <alignment horizontal="right"/>
      <protection locked="0"/>
    </xf>
    <xf numFmtId="0" fontId="32" fillId="0" borderId="11" xfId="2" applyFont="1" applyFill="1" applyBorder="1" applyAlignment="1" applyProtection="1">
      <alignment horizontal="right"/>
      <protection locked="0"/>
    </xf>
    <xf numFmtId="0" fontId="33" fillId="0" borderId="12" xfId="2" applyFont="1" applyFill="1" applyBorder="1" applyAlignment="1" applyProtection="1">
      <alignment horizontal="right"/>
      <protection locked="0"/>
    </xf>
    <xf numFmtId="0" fontId="33" fillId="0" borderId="12" xfId="2" applyFont="1" applyFill="1" applyBorder="1" applyAlignment="1" applyProtection="1">
      <alignment horizontal="left"/>
      <protection locked="0"/>
    </xf>
    <xf numFmtId="0" fontId="44" fillId="0" borderId="12" xfId="2" applyFont="1" applyFill="1" applyBorder="1" applyAlignment="1" applyProtection="1">
      <alignment horizontal="left"/>
      <protection locked="0"/>
    </xf>
    <xf numFmtId="0" fontId="0" fillId="0" borderId="0" xfId="0" applyAlignment="1">
      <alignment horizontal="left"/>
    </xf>
    <xf numFmtId="0" fontId="34" fillId="4" borderId="0" xfId="2" applyFont="1" applyFill="1" applyBorder="1" applyProtection="1">
      <protection locked="0"/>
    </xf>
    <xf numFmtId="166" fontId="34" fillId="0" borderId="0" xfId="2" applyNumberFormat="1" applyFont="1" applyFill="1" applyBorder="1" applyAlignment="1" applyProtection="1">
      <alignment horizontal="right"/>
      <protection locked="0"/>
    </xf>
    <xf numFmtId="166" fontId="24" fillId="0" borderId="0" xfId="2" applyNumberFormat="1" applyFont="1" applyFill="1" applyBorder="1" applyAlignment="1" applyProtection="1">
      <alignment horizontal="right"/>
      <protection locked="0"/>
    </xf>
    <xf numFmtId="0" fontId="34" fillId="0" borderId="0" xfId="2" applyFont="1" applyFill="1" applyBorder="1" applyProtection="1">
      <protection locked="0"/>
    </xf>
    <xf numFmtId="168" fontId="80" fillId="0" borderId="0" xfId="2" applyNumberFormat="1" applyFont="1" applyFill="1" applyProtection="1">
      <protection locked="0"/>
    </xf>
    <xf numFmtId="0" fontId="34" fillId="0" borderId="0" xfId="2" applyFont="1" applyFill="1" applyBorder="1" applyAlignment="1" applyProtection="1">
      <alignment horizontal="left"/>
      <protection locked="0"/>
    </xf>
    <xf numFmtId="37" fontId="34" fillId="0" borderId="0" xfId="2" applyNumberFormat="1" applyFont="1" applyFill="1" applyBorder="1" applyAlignment="1" applyProtection="1">
      <alignment horizontal="right"/>
      <protection locked="0"/>
    </xf>
    <xf numFmtId="0" fontId="24" fillId="0" borderId="0" xfId="2" applyFont="1" applyFill="1" applyBorder="1" applyAlignment="1" applyProtection="1">
      <alignment horizontal="right"/>
      <protection locked="0"/>
    </xf>
    <xf numFmtId="0" fontId="35" fillId="0" borderId="0" xfId="2" applyFont="1" applyFill="1" applyBorder="1" applyProtection="1">
      <protection locked="0"/>
    </xf>
    <xf numFmtId="0" fontId="34" fillId="4" borderId="0" xfId="2" applyFont="1" applyFill="1" applyBorder="1" applyAlignment="1" applyProtection="1">
      <alignment horizontal="right"/>
      <protection locked="0"/>
    </xf>
    <xf numFmtId="183" fontId="34" fillId="0" borderId="0" xfId="2" applyNumberFormat="1" applyFont="1" applyFill="1" applyBorder="1" applyAlignment="1" applyProtection="1">
      <alignment horizontal="right"/>
      <protection locked="0"/>
    </xf>
    <xf numFmtId="183" fontId="24" fillId="0" borderId="0" xfId="2" applyNumberFormat="1" applyFont="1" applyFill="1" applyBorder="1" applyAlignment="1" applyProtection="1">
      <alignment horizontal="right"/>
      <protection locked="0"/>
    </xf>
    <xf numFmtId="183" fontId="34" fillId="0" borderId="0" xfId="2" applyNumberFormat="1" applyFont="1" applyFill="1" applyBorder="1" applyProtection="1">
      <protection locked="0"/>
    </xf>
    <xf numFmtId="37" fontId="34" fillId="4" borderId="0" xfId="2" applyNumberFormat="1" applyFont="1" applyFill="1" applyBorder="1" applyProtection="1">
      <protection locked="0"/>
    </xf>
    <xf numFmtId="183" fontId="34" fillId="0" borderId="0" xfId="2" applyNumberFormat="1" applyFont="1" applyFill="1" applyBorder="1" applyAlignment="1" applyProtection="1">
      <alignment horizontal="left"/>
      <protection locked="0"/>
    </xf>
    <xf numFmtId="37" fontId="35" fillId="4" borderId="0" xfId="2" applyNumberFormat="1" applyFont="1" applyFill="1" applyBorder="1" applyAlignment="1" applyProtection="1">
      <alignment horizontal="right"/>
      <protection locked="0"/>
    </xf>
    <xf numFmtId="37" fontId="35" fillId="0" borderId="0" xfId="2" applyNumberFormat="1" applyFont="1" applyFill="1" applyBorder="1" applyAlignment="1" applyProtection="1">
      <alignment horizontal="right"/>
      <protection locked="0"/>
    </xf>
    <xf numFmtId="37" fontId="35" fillId="2" borderId="0" xfId="2" applyNumberFormat="1" applyFont="1" applyFill="1" applyBorder="1" applyAlignment="1" applyProtection="1">
      <alignment horizontal="right"/>
      <protection locked="0"/>
    </xf>
    <xf numFmtId="37" fontId="19" fillId="2" borderId="0" xfId="2" applyNumberFormat="1" applyFont="1" applyFill="1" applyBorder="1" applyAlignment="1" applyProtection="1">
      <alignment horizontal="right"/>
      <protection locked="0"/>
    </xf>
    <xf numFmtId="37" fontId="34" fillId="2" borderId="0" xfId="2" applyNumberFormat="1" applyFont="1" applyFill="1" applyBorder="1" applyProtection="1">
      <protection locked="0"/>
    </xf>
    <xf numFmtId="37" fontId="80" fillId="2" borderId="0" xfId="2" applyNumberFormat="1" applyFont="1" applyFill="1" applyProtection="1">
      <protection locked="0"/>
    </xf>
    <xf numFmtId="37" fontId="35" fillId="2" borderId="0" xfId="2" applyNumberFormat="1" applyFont="1" applyFill="1" applyBorder="1" applyProtection="1">
      <protection locked="0"/>
    </xf>
    <xf numFmtId="37" fontId="34" fillId="0" borderId="0" xfId="2" applyNumberFormat="1" applyFont="1" applyFill="1" applyBorder="1" applyProtection="1">
      <protection locked="0"/>
    </xf>
    <xf numFmtId="37" fontId="34" fillId="0" borderId="0" xfId="2" applyNumberFormat="1" applyFont="1" applyFill="1" applyBorder="1" applyAlignment="1" applyProtection="1">
      <alignment horizontal="left"/>
      <protection locked="0"/>
    </xf>
    <xf numFmtId="37" fontId="34" fillId="4" borderId="0" xfId="16" applyNumberFormat="1" applyFont="1" applyFill="1" applyBorder="1" applyAlignment="1" applyProtection="1">
      <alignment horizontal="right"/>
      <protection locked="0"/>
    </xf>
    <xf numFmtId="37" fontId="34" fillId="0" borderId="0" xfId="16" applyNumberFormat="1" applyFont="1" applyFill="1" applyBorder="1" applyAlignment="1" applyProtection="1">
      <alignment horizontal="right"/>
      <protection locked="0"/>
    </xf>
    <xf numFmtId="37" fontId="34" fillId="2" borderId="0" xfId="16" applyNumberFormat="1" applyFont="1" applyFill="1" applyBorder="1" applyAlignment="1" applyProtection="1">
      <alignment horizontal="right"/>
      <protection locked="0"/>
    </xf>
    <xf numFmtId="37" fontId="24" fillId="2" borderId="0" xfId="16" applyNumberFormat="1" applyFont="1" applyFill="1" applyBorder="1" applyAlignment="1" applyProtection="1">
      <alignment horizontal="right"/>
      <protection locked="0"/>
    </xf>
    <xf numFmtId="37" fontId="34" fillId="4" borderId="0" xfId="2" applyNumberFormat="1" applyFont="1" applyFill="1" applyBorder="1" applyAlignment="1" applyProtection="1">
      <alignment horizontal="right"/>
      <protection locked="0"/>
    </xf>
    <xf numFmtId="37" fontId="34" fillId="2" borderId="0" xfId="2" applyNumberFormat="1" applyFont="1" applyFill="1" applyBorder="1" applyAlignment="1" applyProtection="1">
      <alignment horizontal="right"/>
      <protection locked="0"/>
    </xf>
    <xf numFmtId="37" fontId="24" fillId="2" borderId="0" xfId="2" applyNumberFormat="1" applyFont="1" applyFill="1" applyBorder="1" applyAlignment="1" applyProtection="1">
      <alignment horizontal="right"/>
      <protection locked="0"/>
    </xf>
    <xf numFmtId="0" fontId="34" fillId="2" borderId="0" xfId="2" applyFont="1" applyFill="1" applyBorder="1" applyAlignment="1" applyProtection="1">
      <alignment horizontal="right"/>
      <protection locked="0"/>
    </xf>
    <xf numFmtId="0" fontId="24" fillId="2" borderId="0" xfId="2" applyFont="1" applyFill="1" applyBorder="1" applyAlignment="1" applyProtection="1">
      <alignment horizontal="right"/>
      <protection locked="0"/>
    </xf>
    <xf numFmtId="183" fontId="34" fillId="2" borderId="0" xfId="2" applyNumberFormat="1" applyFont="1" applyFill="1" applyBorder="1" applyAlignment="1" applyProtection="1">
      <alignment horizontal="right"/>
      <protection locked="0"/>
    </xf>
    <xf numFmtId="0" fontId="34" fillId="2" borderId="0" xfId="2" applyFont="1" applyFill="1" applyBorder="1" applyProtection="1">
      <protection locked="0"/>
    </xf>
    <xf numFmtId="183" fontId="24" fillId="2" borderId="0" xfId="2" applyNumberFormat="1" applyFont="1" applyFill="1" applyBorder="1" applyAlignment="1" applyProtection="1">
      <alignment horizontal="right"/>
      <protection locked="0"/>
    </xf>
    <xf numFmtId="0" fontId="45" fillId="0" borderId="0" xfId="2" applyFont="1" applyFill="1" applyBorder="1" applyProtection="1">
      <protection locked="0"/>
    </xf>
    <xf numFmtId="1" fontId="34" fillId="4" borderId="0" xfId="2" applyNumberFormat="1" applyFont="1" applyFill="1" applyBorder="1" applyAlignment="1" applyProtection="1">
      <alignment horizontal="right"/>
      <protection locked="0"/>
    </xf>
    <xf numFmtId="1" fontId="0" fillId="0" borderId="0" xfId="0" applyNumberFormat="1"/>
    <xf numFmtId="1" fontId="34" fillId="0" borderId="0" xfId="2" applyNumberFormat="1" applyFont="1" applyFill="1" applyBorder="1" applyAlignment="1" applyProtection="1">
      <alignment horizontal="right"/>
      <protection locked="0"/>
    </xf>
    <xf numFmtId="1" fontId="24" fillId="0" borderId="0" xfId="2" applyNumberFormat="1" applyFont="1" applyFill="1" applyBorder="1" applyAlignment="1" applyProtection="1">
      <alignment horizontal="right"/>
      <protection locked="0"/>
    </xf>
    <xf numFmtId="1" fontId="34" fillId="0" borderId="0" xfId="2" applyNumberFormat="1" applyFont="1" applyFill="1" applyBorder="1" applyProtection="1">
      <protection locked="0"/>
    </xf>
    <xf numFmtId="1" fontId="34" fillId="0" borderId="0" xfId="2" applyNumberFormat="1" applyFont="1" applyFill="1" applyBorder="1" applyAlignment="1" applyProtection="1">
      <alignment horizontal="left"/>
      <protection locked="0"/>
    </xf>
    <xf numFmtId="37" fontId="19" fillId="0" borderId="0" xfId="2" applyNumberFormat="1" applyFont="1" applyFill="1" applyBorder="1" applyAlignment="1" applyProtection="1">
      <alignment horizontal="right"/>
      <protection locked="0"/>
    </xf>
    <xf numFmtId="37" fontId="35" fillId="0" borderId="0" xfId="2" applyNumberFormat="1" applyFont="1" applyFill="1" applyBorder="1" applyProtection="1">
      <protection locked="0"/>
    </xf>
    <xf numFmtId="37" fontId="35" fillId="0" borderId="0" xfId="2" applyNumberFormat="1" applyFont="1" applyFill="1" applyBorder="1" applyAlignment="1" applyProtection="1">
      <alignment horizontal="left"/>
      <protection locked="0"/>
    </xf>
    <xf numFmtId="37" fontId="24" fillId="0" borderId="0" xfId="2" applyNumberFormat="1" applyFont="1" applyFill="1" applyBorder="1" applyAlignment="1" applyProtection="1">
      <alignment horizontal="right"/>
      <protection locked="0"/>
    </xf>
    <xf numFmtId="9" fontId="24" fillId="4" borderId="0" xfId="2" applyNumberFormat="1" applyFont="1" applyFill="1" applyBorder="1" applyAlignment="1" applyProtection="1">
      <alignment horizontal="right"/>
      <protection locked="0"/>
    </xf>
    <xf numFmtId="9" fontId="24" fillId="0" borderId="0" xfId="2" applyNumberFormat="1" applyFont="1" applyFill="1" applyBorder="1" applyAlignment="1" applyProtection="1">
      <alignment horizontal="right"/>
      <protection locked="0"/>
    </xf>
    <xf numFmtId="9" fontId="34" fillId="0" borderId="0" xfId="2" applyNumberFormat="1" applyFont="1" applyFill="1" applyBorder="1" applyAlignment="1" applyProtection="1">
      <alignment horizontal="right"/>
      <protection locked="0"/>
    </xf>
    <xf numFmtId="9" fontId="34" fillId="0" borderId="0" xfId="2" applyNumberFormat="1" applyFont="1" applyFill="1" applyBorder="1" applyProtection="1">
      <protection locked="0"/>
    </xf>
    <xf numFmtId="9" fontId="34" fillId="0" borderId="0" xfId="2" applyNumberFormat="1" applyFont="1" applyFill="1" applyBorder="1" applyAlignment="1" applyProtection="1">
      <alignment horizontal="left"/>
      <protection locked="0"/>
    </xf>
    <xf numFmtId="166" fontId="34" fillId="4" borderId="0" xfId="43" applyNumberFormat="1" applyFont="1" applyFill="1" applyBorder="1" applyAlignment="1" applyProtection="1">
      <alignment horizontal="right"/>
      <protection locked="0"/>
    </xf>
    <xf numFmtId="166" fontId="34" fillId="0" borderId="0" xfId="43" applyNumberFormat="1" applyFont="1" applyFill="1" applyBorder="1" applyAlignment="1" applyProtection="1">
      <alignment horizontal="right"/>
      <protection locked="0"/>
    </xf>
    <xf numFmtId="166" fontId="24" fillId="0" borderId="0" xfId="43" applyNumberFormat="1" applyFont="1" applyFill="1" applyBorder="1" applyAlignment="1" applyProtection="1">
      <alignment horizontal="right"/>
      <protection locked="0"/>
    </xf>
    <xf numFmtId="9" fontId="34" fillId="4" borderId="0" xfId="43" applyFont="1" applyFill="1" applyBorder="1" applyAlignment="1" applyProtection="1">
      <alignment horizontal="right"/>
      <protection locked="0"/>
    </xf>
    <xf numFmtId="9" fontId="34" fillId="0" borderId="0" xfId="43" applyFont="1" applyFill="1" applyBorder="1" applyAlignment="1" applyProtection="1">
      <alignment horizontal="right"/>
      <protection locked="0"/>
    </xf>
    <xf numFmtId="9" fontId="24" fillId="0" borderId="0" xfId="43" applyFont="1" applyFill="1" applyBorder="1" applyAlignment="1" applyProtection="1">
      <alignment horizontal="right"/>
      <protection locked="0"/>
    </xf>
    <xf numFmtId="3" fontId="34" fillId="4" borderId="0" xfId="43" applyNumberFormat="1" applyFont="1" applyFill="1" applyBorder="1" applyAlignment="1" applyProtection="1">
      <alignment horizontal="right"/>
      <protection locked="0"/>
    </xf>
    <xf numFmtId="3" fontId="34" fillId="0" borderId="0" xfId="43" applyNumberFormat="1" applyFont="1" applyFill="1" applyBorder="1" applyAlignment="1" applyProtection="1">
      <alignment horizontal="right"/>
      <protection locked="0"/>
    </xf>
    <xf numFmtId="3" fontId="24" fillId="0" borderId="0" xfId="43" applyNumberFormat="1" applyFont="1" applyFill="1" applyBorder="1" applyAlignment="1" applyProtection="1">
      <alignment horizontal="right"/>
      <protection locked="0"/>
    </xf>
    <xf numFmtId="166" fontId="34" fillId="0" borderId="0" xfId="43" applyNumberFormat="1" applyFont="1" applyFill="1" applyBorder="1" applyProtection="1">
      <protection locked="0"/>
    </xf>
    <xf numFmtId="169" fontId="35" fillId="4" borderId="0" xfId="43" applyNumberFormat="1" applyFont="1" applyFill="1" applyBorder="1" applyAlignment="1" applyProtection="1">
      <alignment horizontal="right"/>
      <protection locked="0"/>
    </xf>
    <xf numFmtId="169" fontId="35" fillId="0" borderId="0" xfId="43" applyNumberFormat="1" applyFont="1" applyFill="1" applyBorder="1" applyAlignment="1" applyProtection="1">
      <alignment horizontal="right"/>
      <protection locked="0"/>
    </xf>
    <xf numFmtId="169" fontId="19" fillId="0" borderId="0" xfId="43" applyNumberFormat="1" applyFont="1" applyFill="1" applyBorder="1" applyAlignment="1" applyProtection="1">
      <alignment horizontal="right"/>
      <protection locked="0"/>
    </xf>
    <xf numFmtId="166" fontId="35" fillId="0" borderId="0" xfId="43" applyNumberFormat="1" applyFont="1" applyFill="1" applyBorder="1" applyProtection="1">
      <protection locked="0"/>
    </xf>
    <xf numFmtId="0" fontId="35" fillId="0" borderId="0" xfId="2" applyFont="1" applyFill="1" applyBorder="1" applyAlignment="1" applyProtection="1">
      <alignment horizontal="left"/>
      <protection locked="0"/>
    </xf>
    <xf numFmtId="169" fontId="34" fillId="4" borderId="0" xfId="2" applyNumberFormat="1" applyFont="1" applyFill="1" applyBorder="1" applyAlignment="1" applyProtection="1">
      <alignment horizontal="right"/>
      <protection locked="0"/>
    </xf>
    <xf numFmtId="169" fontId="34" fillId="0" borderId="0" xfId="2" applyNumberFormat="1" applyFont="1" applyFill="1" applyBorder="1" applyAlignment="1" applyProtection="1">
      <alignment horizontal="right"/>
      <protection locked="0"/>
    </xf>
    <xf numFmtId="169" fontId="24" fillId="0" borderId="0" xfId="2" applyNumberFormat="1" applyFont="1" applyFill="1" applyBorder="1" applyAlignment="1" applyProtection="1">
      <alignment horizontal="right"/>
      <protection locked="0"/>
    </xf>
    <xf numFmtId="179" fontId="34" fillId="0" borderId="0" xfId="2" applyNumberFormat="1" applyFont="1" applyFill="1" applyBorder="1" applyProtection="1">
      <protection locked="0"/>
    </xf>
    <xf numFmtId="9" fontId="34" fillId="0" borderId="0" xfId="43" applyNumberFormat="1" applyFont="1" applyFill="1" applyBorder="1" applyAlignment="1" applyProtection="1">
      <alignment horizontal="right"/>
      <protection locked="0"/>
    </xf>
    <xf numFmtId="184" fontId="34" fillId="0" borderId="0" xfId="2" applyNumberFormat="1" applyFont="1" applyFill="1" applyBorder="1" applyAlignment="1" applyProtection="1">
      <alignment horizontal="right"/>
      <protection locked="0"/>
    </xf>
    <xf numFmtId="43" fontId="34" fillId="4" borderId="0" xfId="16" applyNumberFormat="1" applyFont="1" applyFill="1" applyBorder="1" applyAlignment="1" applyProtection="1">
      <alignment horizontal="right"/>
      <protection locked="0"/>
    </xf>
    <xf numFmtId="43" fontId="38" fillId="0" borderId="0" xfId="16" applyNumberFormat="1" applyFont="1" applyFill="1" applyBorder="1" applyAlignment="1" applyProtection="1">
      <alignment horizontal="right"/>
      <protection locked="0"/>
    </xf>
    <xf numFmtId="43" fontId="34" fillId="0" borderId="0" xfId="16" applyNumberFormat="1" applyFont="1" applyFill="1" applyBorder="1" applyAlignment="1" applyProtection="1">
      <alignment horizontal="right"/>
      <protection locked="0"/>
    </xf>
    <xf numFmtId="43" fontId="24" fillId="0" borderId="0" xfId="16" applyNumberFormat="1" applyFont="1" applyFill="1" applyBorder="1" applyAlignment="1" applyProtection="1">
      <alignment horizontal="right"/>
      <protection locked="0"/>
    </xf>
    <xf numFmtId="37" fontId="24" fillId="0" borderId="0" xfId="16" applyNumberFormat="1" applyFont="1" applyFill="1" applyBorder="1" applyAlignment="1" applyProtection="1">
      <alignment horizontal="right"/>
      <protection locked="0"/>
    </xf>
    <xf numFmtId="185" fontId="34" fillId="0" borderId="0" xfId="2" applyNumberFormat="1" applyFont="1" applyFill="1" applyBorder="1" applyAlignment="1" applyProtection="1">
      <alignment horizontal="right"/>
      <protection locked="0"/>
    </xf>
    <xf numFmtId="37" fontId="45" fillId="0" borderId="0" xfId="2" applyNumberFormat="1" applyFont="1" applyFill="1" applyBorder="1" applyProtection="1">
      <protection locked="0"/>
    </xf>
    <xf numFmtId="39" fontId="35" fillId="0" borderId="0" xfId="2" applyNumberFormat="1" applyFont="1" applyFill="1" applyBorder="1" applyAlignment="1" applyProtection="1">
      <alignment horizontal="right"/>
      <protection locked="0"/>
    </xf>
    <xf numFmtId="37" fontId="35" fillId="4" borderId="0" xfId="16" applyNumberFormat="1" applyFont="1" applyFill="1" applyBorder="1" applyAlignment="1" applyProtection="1">
      <alignment horizontal="right"/>
      <protection locked="0"/>
    </xf>
    <xf numFmtId="37" fontId="35" fillId="0" borderId="0" xfId="16" applyNumberFormat="1" applyFont="1" applyFill="1" applyBorder="1" applyAlignment="1" applyProtection="1">
      <alignment horizontal="right"/>
      <protection locked="0"/>
    </xf>
    <xf numFmtId="37" fontId="19" fillId="0" borderId="0" xfId="16" applyNumberFormat="1" applyFont="1" applyFill="1" applyBorder="1" applyAlignment="1" applyProtection="1">
      <alignment horizontal="right"/>
      <protection locked="0"/>
    </xf>
    <xf numFmtId="39" fontId="34" fillId="0" borderId="0" xfId="2" applyNumberFormat="1" applyFont="1" applyFill="1" applyBorder="1" applyAlignment="1" applyProtection="1">
      <alignment horizontal="right"/>
      <protection locked="0"/>
    </xf>
    <xf numFmtId="37" fontId="38" fillId="4" borderId="0" xfId="16" applyNumberFormat="1" applyFont="1" applyFill="1" applyBorder="1" applyAlignment="1" applyProtection="1">
      <alignment horizontal="right"/>
      <protection locked="0"/>
    </xf>
    <xf numFmtId="37" fontId="38" fillId="0" borderId="0" xfId="16" applyNumberFormat="1" applyFont="1" applyFill="1" applyBorder="1" applyAlignment="1" applyProtection="1">
      <alignment horizontal="right"/>
      <protection locked="0"/>
    </xf>
    <xf numFmtId="37" fontId="34" fillId="0" borderId="0" xfId="43" applyNumberFormat="1" applyFont="1" applyFill="1" applyBorder="1" applyProtection="1">
      <protection locked="0"/>
    </xf>
    <xf numFmtId="174" fontId="34" fillId="4" borderId="0" xfId="16" applyNumberFormat="1" applyFont="1" applyFill="1" applyBorder="1" applyAlignment="1" applyProtection="1">
      <alignment horizontal="right"/>
      <protection locked="0"/>
    </xf>
    <xf numFmtId="174" fontId="34" fillId="0" borderId="0" xfId="16" applyNumberFormat="1" applyFont="1" applyFill="1" applyBorder="1" applyAlignment="1" applyProtection="1">
      <alignment horizontal="right"/>
      <protection locked="0"/>
    </xf>
    <xf numFmtId="37" fontId="34" fillId="4" borderId="0" xfId="43" applyNumberFormat="1" applyFont="1" applyFill="1" applyBorder="1" applyAlignment="1" applyProtection="1">
      <alignment horizontal="right"/>
      <protection locked="0"/>
    </xf>
    <xf numFmtId="37" fontId="34" fillId="0" borderId="0" xfId="43" applyNumberFormat="1" applyFont="1" applyFill="1" applyBorder="1" applyAlignment="1" applyProtection="1">
      <alignment horizontal="right"/>
      <protection locked="0"/>
    </xf>
    <xf numFmtId="37" fontId="24" fillId="2" borderId="0" xfId="43" applyNumberFormat="1" applyFont="1" applyFill="1" applyBorder="1" applyAlignment="1" applyProtection="1">
      <alignment horizontal="right"/>
      <protection locked="0"/>
    </xf>
    <xf numFmtId="37" fontId="24" fillId="0" borderId="0" xfId="43" applyNumberFormat="1" applyFont="1" applyFill="1" applyBorder="1" applyAlignment="1" applyProtection="1">
      <alignment horizontal="right"/>
      <protection locked="0"/>
    </xf>
    <xf numFmtId="37" fontId="19" fillId="0" borderId="0" xfId="20" applyNumberFormat="1" applyFont="1" applyFill="1" applyBorder="1" applyAlignment="1" applyProtection="1">
      <alignment horizontal="right"/>
      <protection locked="0"/>
    </xf>
    <xf numFmtId="37" fontId="35" fillId="0" borderId="0" xfId="20" applyNumberFormat="1" applyFont="1" applyFill="1" applyBorder="1" applyProtection="1">
      <protection locked="0"/>
    </xf>
    <xf numFmtId="37" fontId="24" fillId="4" borderId="0" xfId="2" applyNumberFormat="1" applyFont="1" applyFill="1" applyBorder="1" applyAlignment="1" applyProtection="1">
      <alignment horizontal="right"/>
      <protection locked="0"/>
    </xf>
    <xf numFmtId="37" fontId="38" fillId="0" borderId="0" xfId="2" applyNumberFormat="1" applyFont="1" applyFill="1" applyBorder="1" applyAlignment="1" applyProtection="1">
      <alignment horizontal="right"/>
      <protection locked="0"/>
    </xf>
    <xf numFmtId="37" fontId="24" fillId="4" borderId="0" xfId="20" applyNumberFormat="1" applyFont="1" applyFill="1" applyBorder="1" applyAlignment="1" applyProtection="1">
      <alignment horizontal="right"/>
      <protection locked="0"/>
    </xf>
    <xf numFmtId="37" fontId="34" fillId="0" borderId="0" xfId="20" applyNumberFormat="1" applyFont="1" applyFill="1" applyBorder="1" applyProtection="1">
      <protection locked="0"/>
    </xf>
    <xf numFmtId="37" fontId="34" fillId="0" borderId="0" xfId="20" applyNumberFormat="1" applyFont="1" applyFill="1" applyBorder="1" applyAlignment="1" applyProtection="1">
      <alignment horizontal="right"/>
      <protection locked="0"/>
    </xf>
    <xf numFmtId="37" fontId="38" fillId="6" borderId="0" xfId="20" applyNumberFormat="1" applyFont="1" applyFill="1" applyBorder="1" applyAlignment="1" applyProtection="1">
      <alignment horizontal="right"/>
      <protection locked="0"/>
    </xf>
    <xf numFmtId="37" fontId="24" fillId="0" borderId="0" xfId="20" applyNumberFormat="1" applyFont="1" applyFill="1" applyBorder="1" applyAlignment="1" applyProtection="1">
      <alignment horizontal="right"/>
      <protection locked="0"/>
    </xf>
    <xf numFmtId="37" fontId="34" fillId="4" borderId="0" xfId="20" applyNumberFormat="1" applyFont="1" applyFill="1" applyBorder="1" applyAlignment="1" applyProtection="1">
      <alignment horizontal="right"/>
      <protection locked="0"/>
    </xf>
    <xf numFmtId="39" fontId="34" fillId="0" borderId="0" xfId="20" applyNumberFormat="1" applyFont="1" applyFill="1" applyBorder="1" applyAlignment="1" applyProtection="1">
      <alignment horizontal="right"/>
      <protection locked="0"/>
    </xf>
    <xf numFmtId="37" fontId="24" fillId="2" borderId="0" xfId="20" applyNumberFormat="1" applyFont="1" applyFill="1" applyBorder="1" applyAlignment="1" applyProtection="1">
      <alignment horizontal="right"/>
      <protection locked="0"/>
    </xf>
    <xf numFmtId="37" fontId="19" fillId="2" borderId="0" xfId="16" applyNumberFormat="1" applyFont="1" applyFill="1" applyBorder="1" applyAlignment="1" applyProtection="1">
      <alignment horizontal="right"/>
      <protection locked="0"/>
    </xf>
    <xf numFmtId="168" fontId="34" fillId="0" borderId="0" xfId="2" applyNumberFormat="1" applyFont="1" applyFill="1" applyBorder="1" applyProtection="1">
      <protection locked="0"/>
    </xf>
    <xf numFmtId="165" fontId="34" fillId="4" borderId="0" xfId="16" applyNumberFormat="1" applyFont="1" applyFill="1" applyBorder="1" applyAlignment="1" applyProtection="1">
      <alignment horizontal="right"/>
      <protection locked="0"/>
    </xf>
    <xf numFmtId="165" fontId="34" fillId="0" borderId="0" xfId="16" applyNumberFormat="1" applyFont="1" applyFill="1" applyBorder="1" applyAlignment="1" applyProtection="1">
      <alignment horizontal="right"/>
      <protection locked="0"/>
    </xf>
    <xf numFmtId="165" fontId="24" fillId="0" borderId="0" xfId="16" applyNumberFormat="1" applyFont="1" applyFill="1" applyBorder="1" applyAlignment="1" applyProtection="1">
      <alignment horizontal="right"/>
      <protection locked="0"/>
    </xf>
    <xf numFmtId="165" fontId="34" fillId="0" borderId="0" xfId="16" applyNumberFormat="1" applyFont="1" applyFill="1" applyBorder="1" applyProtection="1">
      <protection locked="0"/>
    </xf>
    <xf numFmtId="166" fontId="38" fillId="4" borderId="0" xfId="2" applyNumberFormat="1" applyFont="1" applyFill="1" applyBorder="1" applyAlignment="1" applyProtection="1">
      <alignment horizontal="right"/>
    </xf>
    <xf numFmtId="166" fontId="34" fillId="4" borderId="0" xfId="2" applyNumberFormat="1" applyFont="1" applyFill="1" applyBorder="1" applyAlignment="1" applyProtection="1">
      <alignment horizontal="right"/>
    </xf>
    <xf numFmtId="166" fontId="38" fillId="0" borderId="0" xfId="2" applyNumberFormat="1" applyFont="1" applyFill="1" applyBorder="1" applyAlignment="1" applyProtection="1">
      <alignment horizontal="right"/>
    </xf>
    <xf numFmtId="166" fontId="34" fillId="0" borderId="0" xfId="2" applyNumberFormat="1" applyFont="1" applyFill="1" applyBorder="1" applyAlignment="1" applyProtection="1">
      <alignment horizontal="right"/>
    </xf>
    <xf numFmtId="166" fontId="24" fillId="0" borderId="0" xfId="2" applyNumberFormat="1" applyFont="1" applyFill="1" applyBorder="1" applyAlignment="1" applyProtection="1">
      <alignment horizontal="right"/>
    </xf>
    <xf numFmtId="166" fontId="34" fillId="0" borderId="0" xfId="2" applyNumberFormat="1" applyFont="1" applyFill="1" applyBorder="1" applyProtection="1">
      <protection locked="0"/>
    </xf>
    <xf numFmtId="0" fontId="34" fillId="0" borderId="0" xfId="2" applyFont="1" applyFill="1" applyBorder="1" applyAlignment="1" applyProtection="1">
      <alignment horizontal="left" indent="1"/>
      <protection locked="0"/>
    </xf>
    <xf numFmtId="37" fontId="35" fillId="4" borderId="0" xfId="2" applyNumberFormat="1" applyFont="1" applyFill="1" applyBorder="1" applyAlignment="1" applyProtection="1">
      <alignment horizontal="right"/>
    </xf>
    <xf numFmtId="37" fontId="35" fillId="0" borderId="0" xfId="2" applyNumberFormat="1" applyFont="1" applyFill="1" applyBorder="1" applyAlignment="1" applyProtection="1">
      <alignment horizontal="right"/>
    </xf>
    <xf numFmtId="37" fontId="35" fillId="0" borderId="0" xfId="16" applyNumberFormat="1" applyFont="1" applyFill="1" applyBorder="1" applyAlignment="1" applyProtection="1">
      <alignment horizontal="right"/>
    </xf>
    <xf numFmtId="37" fontId="19" fillId="0" borderId="0" xfId="2" applyNumberFormat="1" applyFont="1" applyFill="1" applyBorder="1" applyAlignment="1" applyProtection="1">
      <alignment horizontal="right"/>
    </xf>
    <xf numFmtId="37" fontId="35" fillId="0" borderId="0" xfId="2" applyNumberFormat="1" applyFont="1" applyFill="1" applyBorder="1" applyAlignment="1" applyProtection="1">
      <alignment horizontal="center"/>
      <protection locked="0"/>
    </xf>
    <xf numFmtId="179" fontId="34" fillId="4" borderId="0" xfId="2" applyNumberFormat="1" applyFont="1" applyFill="1" applyBorder="1" applyAlignment="1" applyProtection="1">
      <alignment horizontal="right"/>
    </xf>
    <xf numFmtId="179" fontId="34" fillId="0" borderId="0" xfId="2" applyNumberFormat="1" applyFont="1" applyFill="1" applyBorder="1" applyAlignment="1" applyProtection="1">
      <alignment horizontal="right"/>
    </xf>
    <xf numFmtId="179" fontId="34" fillId="0" borderId="0" xfId="2" quotePrefix="1" applyNumberFormat="1" applyFont="1" applyFill="1" applyBorder="1" applyAlignment="1" applyProtection="1">
      <alignment horizontal="right"/>
    </xf>
    <xf numFmtId="179" fontId="24" fillId="0" borderId="0" xfId="2" applyNumberFormat="1" applyFont="1" applyFill="1" applyBorder="1" applyAlignment="1" applyProtection="1">
      <alignment horizontal="right"/>
    </xf>
    <xf numFmtId="37" fontId="19" fillId="4" borderId="0" xfId="16" applyNumberFormat="1" applyFont="1" applyFill="1" applyBorder="1" applyAlignment="1" applyProtection="1">
      <alignment horizontal="right"/>
    </xf>
    <xf numFmtId="37" fontId="19" fillId="0" borderId="0" xfId="16" applyNumberFormat="1" applyFont="1" applyFill="1" applyBorder="1" applyAlignment="1" applyProtection="1">
      <alignment horizontal="right"/>
    </xf>
    <xf numFmtId="37" fontId="34" fillId="4" borderId="0" xfId="2" applyNumberFormat="1" applyFont="1" applyFill="1" applyBorder="1" applyAlignment="1" applyProtection="1">
      <alignment horizontal="right"/>
    </xf>
    <xf numFmtId="37" fontId="34" fillId="0" borderId="0" xfId="2" applyNumberFormat="1" applyFont="1" applyFill="1" applyBorder="1" applyAlignment="1" applyProtection="1">
      <alignment horizontal="right"/>
    </xf>
    <xf numFmtId="9" fontId="34" fillId="0" borderId="0" xfId="2" applyNumberFormat="1" applyFont="1" applyFill="1" applyBorder="1" applyAlignment="1" applyProtection="1">
      <alignment horizontal="right"/>
    </xf>
    <xf numFmtId="37" fontId="24" fillId="0" borderId="0" xfId="2" applyNumberFormat="1" applyFont="1" applyFill="1" applyBorder="1" applyAlignment="1" applyProtection="1">
      <alignment horizontal="right"/>
    </xf>
    <xf numFmtId="37" fontId="34" fillId="0" borderId="0" xfId="2" applyNumberFormat="1" applyFont="1" applyFill="1" applyBorder="1" applyAlignment="1" applyProtection="1">
      <alignment horizontal="left" indent="1"/>
      <protection locked="0"/>
    </xf>
    <xf numFmtId="37" fontId="34" fillId="4" borderId="0" xfId="16" applyNumberFormat="1" applyFont="1" applyFill="1" applyBorder="1" applyAlignment="1" applyProtection="1">
      <alignment horizontal="right"/>
    </xf>
    <xf numFmtId="37" fontId="34" fillId="0" borderId="0" xfId="16" applyNumberFormat="1" applyFont="1" applyFill="1" applyBorder="1" applyAlignment="1" applyProtection="1">
      <alignment horizontal="right"/>
    </xf>
    <xf numFmtId="37" fontId="24" fillId="0" borderId="0" xfId="16" applyNumberFormat="1" applyFont="1" applyFill="1" applyBorder="1" applyAlignment="1" applyProtection="1">
      <alignment horizontal="right"/>
    </xf>
    <xf numFmtId="37" fontId="35" fillId="4" borderId="0" xfId="16" applyNumberFormat="1" applyFont="1" applyFill="1" applyBorder="1" applyAlignment="1" applyProtection="1">
      <alignment horizontal="right"/>
    </xf>
    <xf numFmtId="37" fontId="34" fillId="4" borderId="0" xfId="2" applyNumberFormat="1" applyFont="1" applyFill="1" applyAlignment="1" applyProtection="1">
      <alignment horizontal="right"/>
    </xf>
    <xf numFmtId="37" fontId="34" fillId="0" borderId="0" xfId="2" applyNumberFormat="1" applyFont="1" applyFill="1" applyAlignment="1" applyProtection="1">
      <alignment horizontal="right"/>
    </xf>
    <xf numFmtId="37" fontId="24" fillId="0" borderId="0" xfId="2" applyNumberFormat="1" applyFont="1" applyFill="1" applyAlignment="1" applyProtection="1">
      <alignment horizontal="right"/>
    </xf>
    <xf numFmtId="37" fontId="34" fillId="0" borderId="0" xfId="2" applyNumberFormat="1" applyFont="1" applyFill="1" applyProtection="1">
      <protection locked="0"/>
    </xf>
    <xf numFmtId="37" fontId="35" fillId="0" borderId="0" xfId="2" applyNumberFormat="1" applyFont="1" applyFill="1" applyBorder="1" applyAlignment="1" applyProtection="1">
      <protection locked="0"/>
    </xf>
    <xf numFmtId="167" fontId="35" fillId="4" borderId="0" xfId="2" applyNumberFormat="1" applyFont="1" applyFill="1" applyBorder="1" applyAlignment="1" applyProtection="1">
      <alignment horizontal="right"/>
    </xf>
    <xf numFmtId="167" fontId="35" fillId="0" borderId="0" xfId="2" applyNumberFormat="1" applyFont="1" applyFill="1" applyBorder="1" applyAlignment="1" applyProtection="1">
      <alignment horizontal="right"/>
    </xf>
    <xf numFmtId="167" fontId="19" fillId="0" borderId="0" xfId="2" applyNumberFormat="1" applyFont="1" applyFill="1" applyBorder="1" applyAlignment="1" applyProtection="1">
      <alignment horizontal="right"/>
    </xf>
    <xf numFmtId="0" fontId="38" fillId="0" borderId="0" xfId="2" applyFont="1" applyFill="1" applyBorder="1" applyProtection="1">
      <protection locked="0"/>
    </xf>
    <xf numFmtId="0" fontId="38" fillId="0" borderId="0" xfId="2" applyFont="1" applyFill="1" applyBorder="1" applyAlignment="1" applyProtection="1">
      <alignment horizontal="right"/>
      <protection locked="0"/>
    </xf>
    <xf numFmtId="0" fontId="38" fillId="0" borderId="0" xfId="2" applyFont="1" applyFill="1" applyBorder="1" applyAlignment="1" applyProtection="1">
      <alignment horizontal="left"/>
      <protection locked="0"/>
    </xf>
    <xf numFmtId="167" fontId="76" fillId="4" borderId="0" xfId="16" applyNumberFormat="1" applyFont="1" applyFill="1" applyBorder="1" applyAlignment="1" applyProtection="1">
      <alignment horizontal="right"/>
    </xf>
    <xf numFmtId="167" fontId="76" fillId="0" borderId="0" xfId="16" applyNumberFormat="1" applyFont="1" applyFill="1" applyBorder="1" applyAlignment="1" applyProtection="1">
      <alignment horizontal="right"/>
    </xf>
    <xf numFmtId="167" fontId="35" fillId="0" borderId="0" xfId="16" applyNumberFormat="1" applyFont="1" applyFill="1" applyBorder="1" applyAlignment="1" applyProtection="1">
      <alignment horizontal="right"/>
    </xf>
    <xf numFmtId="167" fontId="19" fillId="0" borderId="0" xfId="16" applyNumberFormat="1" applyFont="1" applyFill="1" applyBorder="1" applyAlignment="1" applyProtection="1">
      <alignment horizontal="right"/>
    </xf>
    <xf numFmtId="165" fontId="19" fillId="0" borderId="0" xfId="16" applyNumberFormat="1" applyFont="1" applyFill="1" applyBorder="1" applyAlignment="1" applyProtection="1">
      <alignment horizontal="right"/>
    </xf>
    <xf numFmtId="186" fontId="19" fillId="0" borderId="0" xfId="16" applyNumberFormat="1" applyFont="1" applyFill="1" applyBorder="1" applyAlignment="1" applyProtection="1">
      <alignment horizontal="right"/>
    </xf>
    <xf numFmtId="0" fontId="76" fillId="0" borderId="0" xfId="2" applyFont="1" applyFill="1" applyBorder="1" applyAlignment="1" applyProtection="1">
      <alignment horizontal="centerContinuous"/>
      <protection locked="0"/>
    </xf>
    <xf numFmtId="0" fontId="76" fillId="0" borderId="0" xfId="2" applyFont="1" applyFill="1" applyBorder="1" applyProtection="1">
      <protection locked="0"/>
    </xf>
    <xf numFmtId="0" fontId="38" fillId="0" borderId="0" xfId="2" applyFont="1" applyFill="1" applyProtection="1">
      <protection locked="0"/>
    </xf>
    <xf numFmtId="37" fontId="35" fillId="0" borderId="0" xfId="2" applyNumberFormat="1" applyFont="1" applyFill="1" applyBorder="1" applyAlignment="1" applyProtection="1">
      <alignment horizontal="centerContinuous"/>
      <protection locked="0"/>
    </xf>
    <xf numFmtId="37" fontId="34" fillId="0" borderId="0" xfId="2" applyNumberFormat="1" applyFont="1" applyFill="1" applyBorder="1" applyAlignment="1" applyProtection="1">
      <alignment horizontal="centerContinuous"/>
      <protection locked="0"/>
    </xf>
    <xf numFmtId="167" fontId="35" fillId="4" borderId="0" xfId="2" applyNumberFormat="1" applyFont="1" applyFill="1" applyBorder="1" applyAlignment="1" applyProtection="1">
      <alignment horizontal="right"/>
      <protection locked="0"/>
    </xf>
    <xf numFmtId="167" fontId="35" fillId="0" borderId="0" xfId="2" applyNumberFormat="1" applyFont="1" applyFill="1" applyBorder="1" applyAlignment="1" applyProtection="1">
      <alignment horizontal="right"/>
      <protection locked="0"/>
    </xf>
    <xf numFmtId="167" fontId="19" fillId="0" borderId="0" xfId="2" applyNumberFormat="1" applyFont="1" applyFill="1" applyBorder="1" applyAlignment="1" applyProtection="1">
      <alignment horizontal="right"/>
      <protection locked="0"/>
    </xf>
    <xf numFmtId="167" fontId="35" fillId="4" borderId="4" xfId="16" applyNumberFormat="1" applyFont="1" applyFill="1" applyBorder="1" applyAlignment="1" applyProtection="1">
      <alignment horizontal="right"/>
      <protection locked="0"/>
    </xf>
    <xf numFmtId="0" fontId="34" fillId="0" borderId="4" xfId="2" applyFont="1" applyFill="1" applyBorder="1" applyProtection="1">
      <protection locked="0"/>
    </xf>
    <xf numFmtId="0" fontId="35" fillId="0" borderId="4" xfId="2" applyFont="1" applyFill="1" applyBorder="1" applyProtection="1">
      <protection locked="0"/>
    </xf>
    <xf numFmtId="167" fontId="19" fillId="0" borderId="4" xfId="16" applyNumberFormat="1" applyFont="1" applyFill="1" applyBorder="1" applyAlignment="1" applyProtection="1">
      <alignment horizontal="right"/>
      <protection locked="0"/>
    </xf>
    <xf numFmtId="0" fontId="19" fillId="0" borderId="4" xfId="2" applyFont="1" applyFill="1" applyBorder="1" applyAlignment="1" applyProtection="1">
      <alignment horizontal="centerContinuous"/>
      <protection locked="0"/>
    </xf>
    <xf numFmtId="0" fontId="24" fillId="0" borderId="4" xfId="2" applyFont="1" applyFill="1" applyBorder="1" applyProtection="1">
      <protection locked="0"/>
    </xf>
    <xf numFmtId="0" fontId="19" fillId="0" borderId="4" xfId="2" applyFont="1" applyFill="1" applyBorder="1" applyProtection="1">
      <protection locked="0"/>
    </xf>
    <xf numFmtId="0" fontId="35" fillId="0" borderId="4" xfId="2" applyFont="1" applyFill="1" applyBorder="1" applyAlignment="1" applyProtection="1">
      <alignment horizontal="centerContinuous"/>
      <protection locked="0"/>
    </xf>
    <xf numFmtId="41" fontId="35" fillId="0" borderId="0" xfId="2" applyNumberFormat="1" applyFont="1" applyFill="1" applyBorder="1" applyProtection="1">
      <protection locked="0"/>
    </xf>
    <xf numFmtId="41" fontId="35" fillId="0" borderId="0" xfId="2" applyNumberFormat="1" applyFont="1" applyFill="1" applyBorder="1" applyAlignment="1" applyProtection="1">
      <alignment horizontal="right"/>
      <protection locked="0"/>
    </xf>
    <xf numFmtId="41" fontId="35" fillId="0" borderId="0" xfId="2" applyNumberFormat="1" applyFont="1" applyFill="1" applyBorder="1" applyAlignment="1" applyProtection="1">
      <alignment horizontal="left"/>
      <protection locked="0"/>
    </xf>
    <xf numFmtId="37" fontId="35" fillId="4" borderId="17" xfId="16" applyNumberFormat="1" applyFont="1" applyFill="1" applyBorder="1" applyAlignment="1" applyProtection="1">
      <alignment horizontal="right"/>
      <protection locked="0"/>
    </xf>
    <xf numFmtId="37" fontId="35" fillId="0" borderId="17" xfId="16" applyNumberFormat="1" applyFont="1" applyFill="1" applyBorder="1" applyAlignment="1" applyProtection="1">
      <alignment horizontal="right"/>
      <protection locked="0"/>
    </xf>
    <xf numFmtId="41" fontId="35" fillId="0" borderId="17" xfId="16" applyNumberFormat="1" applyFont="1" applyFill="1" applyBorder="1" applyAlignment="1" applyProtection="1">
      <alignment horizontal="right"/>
      <protection locked="0"/>
    </xf>
    <xf numFmtId="41" fontId="19" fillId="0" borderId="17" xfId="16" applyNumberFormat="1" applyFont="1" applyFill="1" applyBorder="1" applyAlignment="1" applyProtection="1">
      <alignment horizontal="right"/>
      <protection locked="0"/>
    </xf>
    <xf numFmtId="41" fontId="76" fillId="0" borderId="17" xfId="2" applyNumberFormat="1" applyFont="1" applyFill="1" applyBorder="1" applyProtection="1">
      <protection locked="0"/>
    </xf>
    <xf numFmtId="41" fontId="35" fillId="0" borderId="17" xfId="2" applyNumberFormat="1" applyFont="1" applyFill="1" applyBorder="1" applyProtection="1">
      <protection locked="0"/>
    </xf>
    <xf numFmtId="41" fontId="35" fillId="0" borderId="0" xfId="2" applyNumberFormat="1" applyFont="1" applyFill="1" applyProtection="1">
      <protection locked="0"/>
    </xf>
    <xf numFmtId="41" fontId="34" fillId="0" borderId="0" xfId="2" applyNumberFormat="1" applyFont="1" applyFill="1" applyBorder="1" applyProtection="1">
      <protection locked="0"/>
    </xf>
    <xf numFmtId="41" fontId="34" fillId="0" borderId="0" xfId="2" applyNumberFormat="1" applyFont="1" applyFill="1" applyBorder="1" applyAlignment="1" applyProtection="1">
      <alignment horizontal="right"/>
      <protection locked="0"/>
    </xf>
    <xf numFmtId="41" fontId="34" fillId="0" borderId="0" xfId="2" applyNumberFormat="1" applyFont="1" applyFill="1" applyBorder="1" applyAlignment="1" applyProtection="1">
      <alignment horizontal="left"/>
      <protection locked="0"/>
    </xf>
    <xf numFmtId="37" fontId="34" fillId="4" borderId="4" xfId="16" applyNumberFormat="1" applyFont="1" applyFill="1" applyBorder="1" applyAlignment="1" applyProtection="1">
      <alignment horizontal="right"/>
      <protection locked="0"/>
    </xf>
    <xf numFmtId="37" fontId="34" fillId="0" borderId="4" xfId="16" applyNumberFormat="1" applyFont="1" applyFill="1" applyBorder="1" applyAlignment="1" applyProtection="1">
      <alignment horizontal="right"/>
      <protection locked="0"/>
    </xf>
    <xf numFmtId="37" fontId="24" fillId="0" borderId="4" xfId="16" applyNumberFormat="1" applyFont="1" applyFill="1" applyBorder="1" applyAlignment="1" applyProtection="1">
      <alignment horizontal="right"/>
      <protection locked="0"/>
    </xf>
    <xf numFmtId="41" fontId="38" fillId="0" borderId="4" xfId="2" applyNumberFormat="1" applyFont="1" applyFill="1" applyBorder="1" applyProtection="1">
      <protection locked="0"/>
    </xf>
    <xf numFmtId="41" fontId="34" fillId="0" borderId="4" xfId="2" applyNumberFormat="1" applyFont="1" applyFill="1" applyBorder="1" applyProtection="1">
      <protection locked="0"/>
    </xf>
    <xf numFmtId="41" fontId="35" fillId="0" borderId="0" xfId="2" applyNumberFormat="1" applyFont="1" applyFill="1" applyBorder="1" applyAlignment="1" applyProtection="1">
      <alignment horizontal="left" indent="1"/>
      <protection locked="0"/>
    </xf>
    <xf numFmtId="41" fontId="34" fillId="0" borderId="0" xfId="2" applyNumberFormat="1" applyFont="1" applyFill="1" applyProtection="1">
      <protection locked="0"/>
    </xf>
    <xf numFmtId="41" fontId="38" fillId="0" borderId="0" xfId="2" applyNumberFormat="1" applyFont="1" applyFill="1" applyBorder="1" applyProtection="1">
      <protection locked="0"/>
    </xf>
    <xf numFmtId="41" fontId="76" fillId="0" borderId="0" xfId="2" applyNumberFormat="1" applyFont="1" applyFill="1" applyBorder="1" applyProtection="1">
      <protection locked="0"/>
    </xf>
    <xf numFmtId="37" fontId="38" fillId="0" borderId="4" xfId="16" applyNumberFormat="1" applyFont="1" applyFill="1" applyBorder="1" applyAlignment="1" applyProtection="1">
      <alignment horizontal="right"/>
      <protection locked="0"/>
    </xf>
    <xf numFmtId="37" fontId="42" fillId="0" borderId="4" xfId="16" applyNumberFormat="1" applyFont="1" applyFill="1" applyBorder="1" applyAlignment="1" applyProtection="1">
      <alignment horizontal="right"/>
      <protection locked="0"/>
    </xf>
    <xf numFmtId="37" fontId="24" fillId="2" borderId="4" xfId="16" applyNumberFormat="1" applyFont="1" applyFill="1" applyBorder="1" applyAlignment="1" applyProtection="1">
      <alignment horizontal="right"/>
      <protection locked="0"/>
    </xf>
    <xf numFmtId="41" fontId="34" fillId="0" borderId="0" xfId="2" applyNumberFormat="1" applyFont="1" applyFill="1" applyBorder="1" applyAlignment="1" applyProtection="1">
      <alignment horizontal="left" indent="1"/>
      <protection locked="0"/>
    </xf>
    <xf numFmtId="37" fontId="42" fillId="0" borderId="0" xfId="16" applyNumberFormat="1" applyFont="1" applyFill="1" applyBorder="1" applyAlignment="1" applyProtection="1">
      <alignment horizontal="right"/>
      <protection locked="0"/>
    </xf>
    <xf numFmtId="37" fontId="24" fillId="2" borderId="0" xfId="2" applyNumberFormat="1" applyFont="1" applyFill="1" applyProtection="1">
      <protection locked="0"/>
    </xf>
    <xf numFmtId="37" fontId="24" fillId="0" borderId="0" xfId="16" applyNumberFormat="1" applyFont="1" applyFill="1" applyBorder="1"/>
    <xf numFmtId="37" fontId="35" fillId="4" borderId="12" xfId="16" applyNumberFormat="1" applyFont="1" applyFill="1" applyBorder="1" applyAlignment="1" applyProtection="1">
      <alignment horizontal="right"/>
      <protection locked="0"/>
    </xf>
    <xf numFmtId="9" fontId="34" fillId="4" borderId="0" xfId="16" applyNumberFormat="1" applyFont="1" applyFill="1" applyBorder="1" applyAlignment="1" applyProtection="1">
      <alignment horizontal="right"/>
      <protection locked="0"/>
    </xf>
    <xf numFmtId="41" fontId="81" fillId="0" borderId="0" xfId="2" applyNumberFormat="1" applyFont="1" applyFill="1" applyBorder="1" applyProtection="1">
      <protection locked="0"/>
    </xf>
    <xf numFmtId="41" fontId="81" fillId="0" borderId="0" xfId="2" applyNumberFormat="1" applyFont="1" applyFill="1" applyBorder="1" applyAlignment="1" applyProtection="1">
      <alignment horizontal="right"/>
      <protection locked="0"/>
    </xf>
    <xf numFmtId="41" fontId="81" fillId="0" borderId="0" xfId="2" applyNumberFormat="1" applyFont="1" applyFill="1" applyBorder="1" applyAlignment="1" applyProtection="1">
      <alignment horizontal="left"/>
      <protection locked="0"/>
    </xf>
    <xf numFmtId="9" fontId="53" fillId="4" borderId="0" xfId="16" applyNumberFormat="1" applyFont="1" applyFill="1" applyBorder="1" applyAlignment="1" applyProtection="1">
      <alignment horizontal="right"/>
      <protection locked="0"/>
    </xf>
    <xf numFmtId="9" fontId="53" fillId="0" borderId="0" xfId="16" applyNumberFormat="1" applyFont="1" applyFill="1" applyBorder="1" applyAlignment="1" applyProtection="1">
      <alignment horizontal="right"/>
      <protection locked="0"/>
    </xf>
    <xf numFmtId="37" fontId="81" fillId="0" borderId="0" xfId="16" applyNumberFormat="1" applyFont="1" applyFill="1" applyBorder="1" applyAlignment="1" applyProtection="1">
      <alignment horizontal="right"/>
      <protection locked="0"/>
    </xf>
    <xf numFmtId="37" fontId="81" fillId="4" borderId="0" xfId="16" applyNumberFormat="1" applyFont="1" applyFill="1" applyBorder="1" applyAlignment="1" applyProtection="1">
      <alignment horizontal="right"/>
      <protection locked="0"/>
    </xf>
    <xf numFmtId="37" fontId="82" fillId="0" borderId="0" xfId="16" applyNumberFormat="1" applyFont="1" applyFill="1" applyBorder="1" applyAlignment="1" applyProtection="1">
      <alignment horizontal="right"/>
      <protection locked="0"/>
    </xf>
    <xf numFmtId="41" fontId="83" fillId="0" borderId="0" xfId="2" applyNumberFormat="1" applyFont="1" applyFill="1" applyBorder="1" applyProtection="1">
      <protection locked="0"/>
    </xf>
    <xf numFmtId="41" fontId="81" fillId="0" borderId="0" xfId="2" applyNumberFormat="1" applyFont="1" applyFill="1" applyProtection="1">
      <protection locked="0"/>
    </xf>
    <xf numFmtId="37" fontId="35" fillId="4" borderId="0" xfId="16" applyNumberFormat="1" applyFont="1" applyFill="1" applyAlignment="1" applyProtection="1">
      <alignment horizontal="right"/>
      <protection locked="0"/>
    </xf>
    <xf numFmtId="9" fontId="34" fillId="0" borderId="0" xfId="16" applyNumberFormat="1" applyFont="1" applyFill="1" applyBorder="1" applyAlignment="1" applyProtection="1">
      <alignment horizontal="right"/>
      <protection locked="0"/>
    </xf>
    <xf numFmtId="37" fontId="80" fillId="4" borderId="0" xfId="16" applyNumberFormat="1" applyFont="1" applyFill="1" applyAlignment="1" applyProtection="1">
      <alignment horizontal="right"/>
      <protection locked="0"/>
    </xf>
    <xf numFmtId="37" fontId="80" fillId="0" borderId="0" xfId="16" applyNumberFormat="1" applyFont="1" applyFill="1" applyBorder="1" applyAlignment="1" applyProtection="1">
      <alignment horizontal="right"/>
      <protection locked="0"/>
    </xf>
    <xf numFmtId="37" fontId="24" fillId="0" borderId="0" xfId="16" applyNumberFormat="1" applyFont="1" applyFill="1" applyAlignment="1" applyProtection="1">
      <alignment horizontal="right"/>
      <protection locked="0"/>
    </xf>
    <xf numFmtId="37" fontId="35" fillId="0" borderId="0" xfId="16" applyNumberFormat="1" applyFont="1" applyFill="1" applyAlignment="1" applyProtection="1">
      <alignment horizontal="right"/>
      <protection locked="0"/>
    </xf>
    <xf numFmtId="37" fontId="80" fillId="0" borderId="0" xfId="16" applyNumberFormat="1" applyFont="1" applyFill="1" applyAlignment="1" applyProtection="1">
      <alignment horizontal="right"/>
      <protection locked="0"/>
    </xf>
    <xf numFmtId="37" fontId="19" fillId="0" borderId="0" xfId="16" applyNumberFormat="1" applyFont="1" applyFill="1" applyAlignment="1" applyProtection="1">
      <alignment horizontal="right"/>
      <protection locked="0"/>
    </xf>
    <xf numFmtId="41" fontId="34" fillId="0" borderId="0" xfId="2" applyNumberFormat="1" applyFont="1" applyFill="1" applyAlignment="1" applyProtection="1">
      <alignment horizontal="left" indent="1"/>
      <protection locked="0"/>
    </xf>
    <xf numFmtId="37" fontId="34" fillId="0" borderId="0" xfId="16" applyNumberFormat="1" applyFont="1" applyFill="1" applyAlignment="1" applyProtection="1">
      <alignment horizontal="right"/>
      <protection locked="0"/>
    </xf>
    <xf numFmtId="37" fontId="42" fillId="0" borderId="0" xfId="16" applyNumberFormat="1" applyFont="1" applyFill="1" applyAlignment="1" applyProtection="1">
      <alignment horizontal="right"/>
      <protection locked="0"/>
    </xf>
    <xf numFmtId="37" fontId="24" fillId="2" borderId="0" xfId="16" applyNumberFormat="1" applyFont="1" applyFill="1" applyAlignment="1" applyProtection="1">
      <alignment horizontal="right"/>
      <protection locked="0"/>
    </xf>
    <xf numFmtId="41" fontId="38" fillId="0" borderId="0" xfId="2" applyNumberFormat="1" applyFont="1" applyFill="1" applyProtection="1">
      <protection locked="0"/>
    </xf>
    <xf numFmtId="37" fontId="34" fillId="4" borderId="0" xfId="16" applyNumberFormat="1" applyFont="1" applyFill="1" applyAlignment="1" applyProtection="1">
      <alignment horizontal="right"/>
      <protection locked="0"/>
    </xf>
    <xf numFmtId="183" fontId="34" fillId="4" borderId="0" xfId="2" applyNumberFormat="1" applyFont="1" applyFill="1" applyAlignment="1" applyProtection="1">
      <alignment horizontal="right"/>
      <protection locked="0"/>
    </xf>
    <xf numFmtId="183" fontId="34" fillId="0" borderId="0" xfId="2" applyNumberFormat="1" applyFont="1" applyFill="1" applyAlignment="1" applyProtection="1">
      <alignment horizontal="right"/>
      <protection locked="0"/>
    </xf>
    <xf numFmtId="183" fontId="34" fillId="2" borderId="0" xfId="2" applyNumberFormat="1" applyFont="1" applyFill="1" applyAlignment="1" applyProtection="1">
      <alignment horizontal="right"/>
      <protection locked="0"/>
    </xf>
    <xf numFmtId="183" fontId="24" fillId="2" borderId="0" xfId="2" applyNumberFormat="1" applyFont="1" applyFill="1" applyAlignment="1" applyProtection="1">
      <alignment horizontal="right"/>
      <protection locked="0"/>
    </xf>
    <xf numFmtId="183" fontId="24" fillId="0" borderId="0" xfId="2" applyNumberFormat="1" applyFont="1" applyFill="1" applyAlignment="1" applyProtection="1">
      <alignment horizontal="right"/>
      <protection locked="0"/>
    </xf>
    <xf numFmtId="0" fontId="35" fillId="4" borderId="14" xfId="2" applyFont="1" applyFill="1" applyBorder="1" applyAlignment="1" applyProtection="1">
      <alignment horizontal="center"/>
      <protection locked="0"/>
    </xf>
    <xf numFmtId="0" fontId="35" fillId="0" borderId="14" xfId="2" applyFont="1" applyFill="1" applyBorder="1" applyAlignment="1" applyProtection="1">
      <alignment horizontal="right"/>
      <protection locked="0"/>
    </xf>
    <xf numFmtId="0" fontId="35" fillId="0" borderId="14" xfId="2" applyFont="1" applyFill="1" applyBorder="1" applyAlignment="1" applyProtection="1">
      <alignment horizontal="center"/>
      <protection locked="0"/>
    </xf>
    <xf numFmtId="0" fontId="19" fillId="0" borderId="14" xfId="2" applyFont="1" applyFill="1" applyBorder="1" applyAlignment="1" applyProtection="1">
      <alignment horizontal="center"/>
      <protection locked="0"/>
    </xf>
    <xf numFmtId="0" fontId="19" fillId="0" borderId="14" xfId="2" applyFont="1" applyFill="1" applyBorder="1" applyAlignment="1" applyProtection="1">
      <alignment horizontal="right"/>
      <protection locked="0"/>
    </xf>
    <xf numFmtId="0" fontId="34" fillId="0" borderId="14" xfId="2" applyFont="1" applyFill="1" applyBorder="1" applyAlignment="1" applyProtection="1">
      <protection locked="0"/>
    </xf>
    <xf numFmtId="0" fontId="45" fillId="0" borderId="14" xfId="2" applyFont="1" applyFill="1" applyBorder="1" applyAlignment="1" applyProtection="1">
      <protection locked="0"/>
    </xf>
    <xf numFmtId="0" fontId="32" fillId="0" borderId="2" xfId="2" applyNumberFormat="1" applyFont="1" applyFill="1" applyBorder="1" applyAlignment="1" applyProtection="1">
      <alignment horizontal="right"/>
      <protection locked="0"/>
    </xf>
    <xf numFmtId="0" fontId="78" fillId="0" borderId="2" xfId="2" applyFont="1" applyFill="1" applyBorder="1" applyAlignment="1" applyProtection="1">
      <alignment horizontal="right"/>
      <protection locked="0"/>
    </xf>
    <xf numFmtId="0" fontId="78" fillId="0" borderId="2" xfId="2" applyFont="1" applyFill="1" applyBorder="1" applyAlignment="1" applyProtection="1">
      <alignment horizontal="left"/>
      <protection locked="0"/>
    </xf>
    <xf numFmtId="0" fontId="34" fillId="0" borderId="0" xfId="2" applyFont="1" applyFill="1" applyAlignment="1" applyProtection="1">
      <alignment horizontal="right"/>
      <protection locked="0"/>
    </xf>
    <xf numFmtId="0" fontId="24" fillId="0" borderId="0" xfId="2" applyFont="1" applyFill="1" applyAlignment="1" applyProtection="1">
      <alignment horizontal="right"/>
      <protection locked="0"/>
    </xf>
    <xf numFmtId="0" fontId="27" fillId="0" borderId="2" xfId="2" applyFont="1" applyFill="1" applyBorder="1" applyAlignment="1" applyProtection="1">
      <alignment horizontal="right"/>
      <protection locked="0"/>
    </xf>
    <xf numFmtId="0" fontId="39" fillId="0" borderId="2" xfId="2" applyFont="1" applyFill="1" applyBorder="1" applyAlignment="1" applyProtection="1">
      <alignment horizontal="right"/>
      <protection locked="0"/>
    </xf>
    <xf numFmtId="0" fontId="27" fillId="0" borderId="2" xfId="2" applyFont="1" applyFill="1" applyBorder="1" applyAlignment="1" applyProtection="1">
      <alignment horizontal="center"/>
      <protection locked="0"/>
    </xf>
    <xf numFmtId="9" fontId="32" fillId="0" borderId="0" xfId="43" applyFont="1" applyFill="1" applyBorder="1" applyAlignment="1" applyProtection="1">
      <alignment horizontal="centerContinuous"/>
      <protection locked="0"/>
    </xf>
    <xf numFmtId="9" fontId="32" fillId="0" borderId="0" xfId="43" applyFont="1" applyFill="1" applyBorder="1" applyAlignment="1" applyProtection="1">
      <alignment horizontal="left"/>
      <protection locked="0"/>
    </xf>
    <xf numFmtId="0" fontId="32" fillId="4" borderId="0" xfId="2" applyFont="1" applyFill="1" applyBorder="1" applyAlignment="1" applyProtection="1">
      <protection locked="0"/>
    </xf>
    <xf numFmtId="0" fontId="33" fillId="0" borderId="6" xfId="2" applyFont="1" applyFill="1" applyBorder="1" applyAlignment="1" applyProtection="1">
      <alignment horizontal="right"/>
      <protection locked="0"/>
    </xf>
    <xf numFmtId="0" fontId="44" fillId="0" borderId="4" xfId="2" applyFont="1" applyFill="1" applyBorder="1" applyAlignment="1" applyProtection="1">
      <alignment horizontal="right"/>
      <protection locked="0"/>
    </xf>
    <xf numFmtId="0" fontId="51" fillId="0" borderId="9" xfId="3" applyFont="1" applyFill="1" applyBorder="1" applyAlignment="1" applyProtection="1">
      <alignment horizontal="right"/>
      <protection locked="0"/>
    </xf>
    <xf numFmtId="0" fontId="34" fillId="0" borderId="10" xfId="2" applyFont="1" applyFill="1" applyBorder="1" applyAlignment="1" applyProtection="1">
      <protection locked="0"/>
    </xf>
    <xf numFmtId="0" fontId="6" fillId="0" borderId="0" xfId="2" applyFont="1" applyFill="1" applyBorder="1" applyAlignment="1" applyProtection="1">
      <alignment horizontal="right"/>
      <protection locked="0"/>
    </xf>
    <xf numFmtId="0" fontId="5" fillId="0" borderId="0" xfId="2" applyFont="1" applyFill="1" applyBorder="1" applyAlignment="1" applyProtection="1">
      <alignment horizontal="right"/>
      <protection locked="0"/>
    </xf>
    <xf numFmtId="0" fontId="84" fillId="0" borderId="0" xfId="2" applyFont="1" applyFill="1" applyBorder="1" applyAlignment="1" applyProtection="1">
      <alignment horizontal="right"/>
      <protection locked="0"/>
    </xf>
    <xf numFmtId="0" fontId="85" fillId="0" borderId="0" xfId="2" applyFont="1" applyFill="1" applyBorder="1" applyAlignment="1" applyProtection="1">
      <alignment horizontal="right"/>
      <protection locked="0"/>
    </xf>
    <xf numFmtId="0" fontId="5" fillId="0" borderId="0" xfId="2" applyFont="1" applyFill="1" applyBorder="1" applyAlignment="1" applyProtection="1">
      <protection locked="0"/>
    </xf>
    <xf numFmtId="0" fontId="5" fillId="0" borderId="10" xfId="2" applyFont="1" applyFill="1" applyBorder="1" applyAlignment="1" applyProtection="1">
      <protection locked="0"/>
    </xf>
    <xf numFmtId="0" fontId="41" fillId="0" borderId="12" xfId="2" applyFont="1" applyFill="1" applyBorder="1" applyAlignment="1" applyProtection="1">
      <alignment horizontal="right"/>
      <protection locked="0"/>
    </xf>
    <xf numFmtId="0" fontId="39" fillId="0" borderId="12" xfId="2" applyFont="1" applyFill="1" applyBorder="1" applyAlignment="1" applyProtection="1">
      <protection locked="0"/>
    </xf>
    <xf numFmtId="0" fontId="27" fillId="0" borderId="12" xfId="2" applyFont="1" applyFill="1" applyBorder="1" applyAlignment="1" applyProtection="1">
      <protection locked="0"/>
    </xf>
    <xf numFmtId="0" fontId="33" fillId="0" borderId="0" xfId="2" applyFont="1" applyFill="1" applyAlignment="1" applyProtection="1">
      <alignment horizontal="right"/>
      <protection locked="0"/>
    </xf>
    <xf numFmtId="39" fontId="33" fillId="0" borderId="0" xfId="2" applyNumberFormat="1" applyFont="1" applyFill="1" applyAlignment="1" applyProtection="1">
      <protection locked="0"/>
    </xf>
    <xf numFmtId="2" fontId="33" fillId="0" borderId="0" xfId="2" applyNumberFormat="1" applyFont="1" applyFill="1" applyAlignment="1" applyProtection="1">
      <protection locked="0"/>
    </xf>
    <xf numFmtId="39" fontId="32" fillId="0" borderId="0" xfId="2" applyNumberFormat="1" applyFont="1" applyFill="1" applyAlignment="1" applyProtection="1">
      <protection locked="0"/>
    </xf>
    <xf numFmtId="0" fontId="33" fillId="0" borderId="0" xfId="2" applyFont="1" applyFill="1" applyBorder="1" applyProtection="1">
      <protection locked="0"/>
    </xf>
    <xf numFmtId="0" fontId="25" fillId="0" borderId="0" xfId="2" applyFont="1" applyFill="1" applyProtection="1">
      <protection locked="0"/>
    </xf>
    <xf numFmtId="166" fontId="33" fillId="0" borderId="0" xfId="2" applyNumberFormat="1" applyFont="1" applyFill="1" applyProtection="1">
      <protection locked="0"/>
    </xf>
    <xf numFmtId="0" fontId="32" fillId="0" borderId="0" xfId="2" applyFont="1" applyBorder="1"/>
    <xf numFmtId="0" fontId="25" fillId="0" borderId="0" xfId="2" applyFont="1"/>
    <xf numFmtId="10" fontId="33" fillId="0" borderId="0" xfId="2" applyNumberFormat="1" applyFont="1" applyFill="1" applyProtection="1">
      <protection locked="0"/>
    </xf>
    <xf numFmtId="0" fontId="32" fillId="0" borderId="0" xfId="2" applyFont="1"/>
    <xf numFmtId="0" fontId="33" fillId="0" borderId="0" xfId="2" applyFont="1" applyAlignment="1">
      <alignment horizontal="right"/>
    </xf>
    <xf numFmtId="0" fontId="33" fillId="0" borderId="0" xfId="2" applyFont="1" applyBorder="1"/>
    <xf numFmtId="10" fontId="32" fillId="0" borderId="0" xfId="2" applyNumberFormat="1" applyFont="1"/>
    <xf numFmtId="0" fontId="33" fillId="0" borderId="0" xfId="2" applyFont="1"/>
    <xf numFmtId="0" fontId="33" fillId="0" borderId="0" xfId="2" applyFont="1" applyFill="1" applyAlignment="1" applyProtection="1">
      <alignment horizontal="left"/>
      <protection locked="0"/>
    </xf>
    <xf numFmtId="9" fontId="32" fillId="0" borderId="0" xfId="2" applyNumberFormat="1" applyFont="1" applyFill="1" applyAlignment="1" applyProtection="1">
      <protection locked="0"/>
    </xf>
    <xf numFmtId="168" fontId="32" fillId="0" borderId="0" xfId="2" applyNumberFormat="1" applyFont="1" applyFill="1" applyAlignment="1" applyProtection="1">
      <protection locked="0"/>
    </xf>
    <xf numFmtId="168" fontId="32" fillId="0" borderId="0" xfId="2" applyNumberFormat="1" applyFont="1" applyFill="1" applyBorder="1" applyAlignment="1" applyProtection="1">
      <protection locked="0"/>
    </xf>
    <xf numFmtId="17" fontId="33" fillId="0" borderId="0" xfId="2" applyNumberFormat="1" applyFont="1" applyFill="1" applyBorder="1" applyAlignment="1" applyProtection="1">
      <protection locked="0"/>
    </xf>
    <xf numFmtId="17" fontId="33" fillId="0" borderId="0" xfId="2" applyNumberFormat="1" applyFont="1" applyFill="1" applyBorder="1" applyAlignment="1" applyProtection="1">
      <alignment horizontal="right"/>
      <protection locked="0"/>
    </xf>
    <xf numFmtId="1" fontId="33" fillId="0" borderId="0" xfId="2" applyNumberFormat="1" applyFont="1" applyFill="1" applyAlignment="1" applyProtection="1">
      <protection locked="0"/>
    </xf>
    <xf numFmtId="1" fontId="33" fillId="0" borderId="0" xfId="2" applyNumberFormat="1" applyFont="1" applyFill="1" applyBorder="1" applyAlignment="1" applyProtection="1">
      <protection locked="0"/>
    </xf>
    <xf numFmtId="1" fontId="32" fillId="0" borderId="0" xfId="2" applyNumberFormat="1" applyFont="1" applyFill="1" applyBorder="1" applyAlignment="1" applyProtection="1">
      <protection locked="0"/>
    </xf>
    <xf numFmtId="9" fontId="33" fillId="0" borderId="0" xfId="2" applyNumberFormat="1" applyFont="1" applyFill="1" applyBorder="1" applyAlignment="1" applyProtection="1">
      <protection locked="0"/>
    </xf>
    <xf numFmtId="9" fontId="33" fillId="0" borderId="0" xfId="2" applyNumberFormat="1" applyFont="1" applyFill="1" applyAlignment="1" applyProtection="1">
      <protection locked="0"/>
    </xf>
    <xf numFmtId="9" fontId="32" fillId="0" borderId="0" xfId="0" applyNumberFormat="1" applyFont="1"/>
    <xf numFmtId="0" fontId="32" fillId="0" borderId="0" xfId="0" applyFont="1"/>
    <xf numFmtId="0" fontId="72" fillId="0" borderId="0" xfId="2" applyFont="1" applyFill="1" applyAlignment="1" applyProtection="1">
      <protection locked="0"/>
    </xf>
    <xf numFmtId="166" fontId="32" fillId="0" borderId="0" xfId="2" applyNumberFormat="1" applyFont="1" applyFill="1" applyAlignment="1" applyProtection="1">
      <alignment horizontal="right"/>
      <protection locked="0"/>
    </xf>
    <xf numFmtId="9" fontId="32" fillId="0" borderId="0" xfId="2" applyNumberFormat="1" applyFont="1" applyFill="1" applyBorder="1" applyAlignment="1" applyProtection="1">
      <protection locked="0"/>
    </xf>
    <xf numFmtId="6" fontId="32" fillId="0" borderId="0" xfId="2" applyNumberFormat="1" applyFont="1" applyFill="1" applyAlignment="1" applyProtection="1">
      <protection locked="0"/>
    </xf>
    <xf numFmtId="0" fontId="32" fillId="0" borderId="0" xfId="2" applyNumberFormat="1" applyFont="1" applyFill="1" applyAlignment="1" applyProtection="1">
      <protection locked="0"/>
    </xf>
    <xf numFmtId="187" fontId="32" fillId="0" borderId="0" xfId="2" applyNumberFormat="1" applyFont="1" applyFill="1" applyAlignment="1" applyProtection="1">
      <protection locked="0"/>
    </xf>
    <xf numFmtId="188" fontId="32" fillId="0" borderId="0" xfId="2" applyNumberFormat="1" applyFont="1" applyFill="1" applyAlignment="1" applyProtection="1">
      <protection locked="0"/>
    </xf>
    <xf numFmtId="169" fontId="32" fillId="0" borderId="0" xfId="2" applyNumberFormat="1" applyFont="1" applyFill="1" applyAlignment="1" applyProtection="1">
      <protection locked="0"/>
    </xf>
    <xf numFmtId="168" fontId="32" fillId="0" borderId="0" xfId="0" applyNumberFormat="1" applyFont="1"/>
    <xf numFmtId="166" fontId="32" fillId="0" borderId="0" xfId="2" applyNumberFormat="1" applyFont="1" applyFill="1" applyBorder="1" applyProtection="1">
      <protection locked="0"/>
    </xf>
    <xf numFmtId="3" fontId="32" fillId="0" borderId="0" xfId="2" applyNumberFormat="1" applyFont="1" applyFill="1" applyProtection="1">
      <protection locked="0"/>
    </xf>
    <xf numFmtId="3" fontId="32" fillId="0" borderId="0" xfId="2" applyNumberFormat="1" applyFont="1" applyFill="1" applyBorder="1" applyProtection="1">
      <protection locked="0"/>
    </xf>
    <xf numFmtId="9" fontId="25" fillId="0" borderId="0" xfId="2" applyNumberFormat="1" applyFont="1" applyFill="1" applyProtection="1">
      <protection locked="0"/>
    </xf>
    <xf numFmtId="9" fontId="32" fillId="0" borderId="0" xfId="2" applyNumberFormat="1" applyFont="1" applyFill="1" applyProtection="1">
      <protection locked="0"/>
    </xf>
    <xf numFmtId="168" fontId="32" fillId="0" borderId="0" xfId="2" applyNumberFormat="1" applyFont="1" applyFill="1" applyProtection="1">
      <protection locked="0"/>
    </xf>
    <xf numFmtId="0" fontId="88" fillId="5" borderId="0" xfId="2" applyFont="1" applyFill="1" applyProtection="1">
      <protection locked="0"/>
    </xf>
    <xf numFmtId="0" fontId="88" fillId="5" borderId="0" xfId="2" applyFont="1" applyFill="1" applyBorder="1" applyProtection="1">
      <protection locked="0"/>
    </xf>
    <xf numFmtId="0" fontId="89" fillId="5" borderId="0" xfId="2" applyFont="1" applyFill="1" applyProtection="1">
      <protection locked="0"/>
    </xf>
    <xf numFmtId="0" fontId="89" fillId="5" borderId="0" xfId="2" applyFont="1" applyFill="1" applyAlignment="1" applyProtection="1">
      <protection locked="0"/>
    </xf>
    <xf numFmtId="0" fontId="33" fillId="4" borderId="0" xfId="2" applyFont="1" applyFill="1" applyProtection="1">
      <protection locked="0"/>
    </xf>
    <xf numFmtId="0" fontId="25" fillId="0" borderId="0" xfId="0" applyFont="1"/>
    <xf numFmtId="10" fontId="32" fillId="0" borderId="0" xfId="2" applyNumberFormat="1" applyFont="1" applyFill="1" applyProtection="1">
      <protection locked="0"/>
    </xf>
    <xf numFmtId="0" fontId="89" fillId="5" borderId="0" xfId="2" applyFont="1" applyFill="1" applyBorder="1" applyProtection="1">
      <protection locked="0"/>
    </xf>
    <xf numFmtId="9" fontId="33" fillId="0" borderId="0" xfId="2" applyNumberFormat="1" applyFont="1" applyFill="1" applyBorder="1" applyProtection="1">
      <protection locked="0"/>
    </xf>
    <xf numFmtId="0" fontId="43" fillId="0" borderId="0" xfId="2" applyFont="1" applyFill="1" applyBorder="1" applyAlignment="1" applyProtection="1">
      <alignment horizontal="left"/>
      <protection locked="0"/>
    </xf>
    <xf numFmtId="9" fontId="32" fillId="0" borderId="0" xfId="2" applyNumberFormat="1" applyFont="1" applyFill="1" applyBorder="1" applyProtection="1">
      <protection locked="0"/>
    </xf>
    <xf numFmtId="9" fontId="32" fillId="0" borderId="0" xfId="2" applyNumberFormat="1" applyFont="1" applyFill="1" applyBorder="1" applyAlignment="1" applyProtection="1">
      <alignment horizontal="right"/>
      <protection locked="0"/>
    </xf>
    <xf numFmtId="0" fontId="25" fillId="0" borderId="0" xfId="2" applyFont="1" applyFill="1" applyBorder="1" applyProtection="1">
      <protection locked="0"/>
    </xf>
    <xf numFmtId="0" fontId="70" fillId="0" borderId="0" xfId="2" applyFont="1" applyFill="1" applyBorder="1" applyProtection="1">
      <protection locked="0"/>
    </xf>
    <xf numFmtId="9" fontId="25" fillId="0" borderId="0" xfId="2" applyNumberFormat="1" applyFont="1" applyFill="1" applyBorder="1" applyProtection="1">
      <protection locked="0"/>
    </xf>
    <xf numFmtId="9" fontId="88" fillId="5" borderId="0" xfId="2" applyNumberFormat="1" applyFont="1" applyFill="1" applyBorder="1" applyProtection="1">
      <protection locked="0"/>
    </xf>
    <xf numFmtId="0" fontId="89" fillId="5" borderId="0" xfId="2" applyFont="1" applyFill="1" applyBorder="1" applyAlignment="1" applyProtection="1">
      <alignment horizontal="left"/>
      <protection locked="0"/>
    </xf>
    <xf numFmtId="0" fontId="88" fillId="5" borderId="0" xfId="2" applyFont="1" applyFill="1" applyBorder="1" applyAlignment="1" applyProtection="1">
      <protection locked="0"/>
    </xf>
    <xf numFmtId="168" fontId="32" fillId="0" borderId="0" xfId="2" applyNumberFormat="1" applyFont="1" applyFill="1" applyAlignment="1" applyProtection="1">
      <alignment horizontal="right"/>
      <protection locked="0"/>
    </xf>
    <xf numFmtId="9" fontId="32" fillId="0" borderId="0" xfId="2" quotePrefix="1" applyNumberFormat="1" applyFont="1" applyFill="1" applyAlignment="1" applyProtection="1">
      <protection locked="0"/>
    </xf>
    <xf numFmtId="9" fontId="0" fillId="0" borderId="0" xfId="0" applyNumberFormat="1"/>
    <xf numFmtId="9" fontId="90" fillId="0" borderId="0" xfId="2" applyNumberFormat="1" applyFont="1" applyFill="1" applyAlignment="1" applyProtection="1">
      <protection locked="0"/>
    </xf>
    <xf numFmtId="8" fontId="32" fillId="0" borderId="0" xfId="2" applyNumberFormat="1" applyFont="1" applyFill="1" applyBorder="1" applyAlignment="1" applyProtection="1">
      <protection locked="0"/>
    </xf>
    <xf numFmtId="167" fontId="32" fillId="0" borderId="0" xfId="2" applyNumberFormat="1" applyFont="1" applyFill="1" applyBorder="1" applyAlignment="1" applyProtection="1">
      <protection locked="0"/>
    </xf>
    <xf numFmtId="166" fontId="32" fillId="0" borderId="0" xfId="43" applyNumberFormat="1" applyFont="1" applyFill="1" applyBorder="1" applyAlignment="1" applyProtection="1">
      <protection locked="0"/>
    </xf>
    <xf numFmtId="9" fontId="0" fillId="0" borderId="0" xfId="43" applyFont="1"/>
    <xf numFmtId="166" fontId="0" fillId="0" borderId="0" xfId="43" applyNumberFormat="1" applyFont="1"/>
    <xf numFmtId="9" fontId="32" fillId="0" borderId="0" xfId="43" applyFont="1" applyFill="1" applyAlignment="1" applyProtection="1">
      <protection locked="0"/>
    </xf>
    <xf numFmtId="9" fontId="33" fillId="0" borderId="0" xfId="43" applyFont="1" applyFill="1" applyAlignment="1" applyProtection="1">
      <protection locked="0"/>
    </xf>
    <xf numFmtId="0" fontId="52" fillId="0" borderId="0" xfId="0" applyFont="1"/>
    <xf numFmtId="8" fontId="33" fillId="0" borderId="0" xfId="2" applyNumberFormat="1" applyFont="1" applyFill="1" applyBorder="1" applyAlignment="1" applyProtection="1">
      <protection locked="0"/>
    </xf>
    <xf numFmtId="8" fontId="33" fillId="4" borderId="15" xfId="16" applyNumberFormat="1" applyFont="1" applyFill="1" applyBorder="1" applyAlignment="1" applyProtection="1">
      <protection locked="0"/>
    </xf>
    <xf numFmtId="8" fontId="33" fillId="0" borderId="15" xfId="16" applyNumberFormat="1" applyFont="1" applyFill="1" applyBorder="1" applyAlignment="1" applyProtection="1">
      <protection locked="0"/>
    </xf>
    <xf numFmtId="8" fontId="33" fillId="0" borderId="15" xfId="2" applyNumberFormat="1" applyFont="1" applyFill="1" applyBorder="1" applyAlignment="1" applyProtection="1">
      <protection locked="0"/>
    </xf>
    <xf numFmtId="167" fontId="32" fillId="4" borderId="12" xfId="16" applyNumberFormat="1" applyFont="1" applyFill="1" applyBorder="1" applyAlignment="1" applyProtection="1">
      <protection locked="0"/>
    </xf>
    <xf numFmtId="167" fontId="32" fillId="0" borderId="12" xfId="16" applyNumberFormat="1" applyFont="1" applyFill="1" applyBorder="1" applyAlignment="1" applyProtection="1">
      <protection locked="0"/>
    </xf>
    <xf numFmtId="189" fontId="32" fillId="0" borderId="12" xfId="2" applyNumberFormat="1" applyFont="1" applyFill="1" applyBorder="1" applyAlignment="1" applyProtection="1">
      <protection locked="0"/>
    </xf>
    <xf numFmtId="171" fontId="32" fillId="0" borderId="12" xfId="2" applyNumberFormat="1" applyFont="1" applyFill="1" applyBorder="1" applyAlignment="1" applyProtection="1">
      <protection locked="0"/>
    </xf>
    <xf numFmtId="0" fontId="25" fillId="0" borderId="12" xfId="2" applyFont="1" applyFill="1" applyBorder="1" applyAlignment="1" applyProtection="1">
      <protection locked="0"/>
    </xf>
    <xf numFmtId="167" fontId="33" fillId="6" borderId="0" xfId="16" applyNumberFormat="1" applyFont="1" applyFill="1" applyAlignment="1" applyProtection="1">
      <protection locked="0"/>
    </xf>
    <xf numFmtId="189" fontId="32" fillId="0" borderId="0" xfId="2" applyNumberFormat="1" applyFont="1" applyFill="1" applyAlignment="1" applyProtection="1">
      <protection locked="0"/>
    </xf>
    <xf numFmtId="171" fontId="32" fillId="0" borderId="0" xfId="2" applyNumberFormat="1" applyFont="1" applyFill="1" applyAlignment="1" applyProtection="1">
      <protection locked="0"/>
    </xf>
    <xf numFmtId="167" fontId="33" fillId="4" borderId="0" xfId="16" applyNumberFormat="1" applyFont="1" applyFill="1" applyAlignment="1" applyProtection="1">
      <protection locked="0"/>
    </xf>
    <xf numFmtId="167" fontId="33" fillId="0" borderId="0" xfId="16" applyNumberFormat="1" applyFont="1" applyFill="1" applyAlignment="1" applyProtection="1">
      <protection locked="0"/>
    </xf>
    <xf numFmtId="189" fontId="33" fillId="0" borderId="0" xfId="2" applyNumberFormat="1" applyFont="1" applyFill="1" applyAlignment="1" applyProtection="1">
      <protection locked="0"/>
    </xf>
    <xf numFmtId="171" fontId="33" fillId="0" borderId="0" xfId="2" applyNumberFormat="1" applyFont="1" applyFill="1" applyAlignment="1" applyProtection="1">
      <protection locked="0"/>
    </xf>
    <xf numFmtId="0" fontId="70" fillId="0" borderId="0" xfId="2" applyFont="1" applyFill="1" applyAlignment="1" applyProtection="1">
      <protection locked="0"/>
    </xf>
    <xf numFmtId="9" fontId="70" fillId="4" borderId="0" xfId="43" applyNumberFormat="1" applyFont="1" applyFill="1" applyAlignment="1" applyProtection="1">
      <protection locked="0"/>
    </xf>
    <xf numFmtId="9" fontId="70" fillId="0" borderId="0" xfId="43" applyNumberFormat="1" applyFont="1" applyFill="1" applyAlignment="1" applyProtection="1">
      <protection locked="0"/>
    </xf>
    <xf numFmtId="9" fontId="25" fillId="0" borderId="0" xfId="43" applyNumberFormat="1" applyFont="1" applyFill="1" applyAlignment="1" applyProtection="1">
      <protection locked="0"/>
    </xf>
    <xf numFmtId="167" fontId="33" fillId="4" borderId="17" xfId="16" applyNumberFormat="1" applyFont="1" applyFill="1" applyBorder="1" applyAlignment="1" applyProtection="1">
      <protection locked="0"/>
    </xf>
    <xf numFmtId="167" fontId="33" fillId="0" borderId="17" xfId="16" applyNumberFormat="1" applyFont="1" applyFill="1" applyBorder="1" applyAlignment="1" applyProtection="1">
      <protection locked="0"/>
    </xf>
    <xf numFmtId="189" fontId="33" fillId="0" borderId="17" xfId="2" applyNumberFormat="1" applyFont="1" applyFill="1" applyBorder="1" applyAlignment="1" applyProtection="1">
      <protection locked="0"/>
    </xf>
    <xf numFmtId="171" fontId="33" fillId="0" borderId="17" xfId="2" applyNumberFormat="1" applyFont="1" applyFill="1" applyBorder="1" applyAlignment="1" applyProtection="1">
      <protection locked="0"/>
    </xf>
    <xf numFmtId="0" fontId="33" fillId="0" borderId="17" xfId="2" applyFont="1" applyFill="1" applyBorder="1" applyAlignment="1" applyProtection="1">
      <protection locked="0"/>
    </xf>
    <xf numFmtId="167" fontId="43" fillId="4" borderId="0" xfId="16" applyNumberFormat="1" applyFont="1" applyFill="1" applyAlignment="1" applyProtection="1">
      <protection locked="0"/>
    </xf>
    <xf numFmtId="167" fontId="43" fillId="0" borderId="0" xfId="16" applyNumberFormat="1" applyFont="1" applyFill="1" applyAlignment="1" applyProtection="1">
      <protection locked="0"/>
    </xf>
    <xf numFmtId="167" fontId="32" fillId="3" borderId="0" xfId="16" applyNumberFormat="1" applyFont="1" applyFill="1" applyAlignment="1" applyProtection="1">
      <protection locked="0"/>
    </xf>
    <xf numFmtId="167" fontId="32" fillId="4" borderId="0" xfId="16" applyNumberFormat="1" applyFont="1" applyFill="1" applyAlignment="1" applyProtection="1">
      <alignment horizontal="right"/>
      <protection locked="0"/>
    </xf>
    <xf numFmtId="166" fontId="33" fillId="4" borderId="17" xfId="43" applyNumberFormat="1" applyFont="1" applyFill="1" applyBorder="1" applyAlignment="1" applyProtection="1">
      <protection locked="0"/>
    </xf>
    <xf numFmtId="166" fontId="33" fillId="0" borderId="17" xfId="43" applyNumberFormat="1" applyFont="1" applyFill="1" applyBorder="1" applyAlignment="1" applyProtection="1">
      <protection locked="0"/>
    </xf>
    <xf numFmtId="9" fontId="33" fillId="0" borderId="17" xfId="43" applyNumberFormat="1" applyFont="1" applyFill="1" applyBorder="1" applyAlignment="1" applyProtection="1">
      <protection locked="0"/>
    </xf>
    <xf numFmtId="0" fontId="65" fillId="0" borderId="17" xfId="2" applyFont="1" applyFill="1" applyBorder="1" applyAlignment="1" applyProtection="1">
      <protection locked="0"/>
    </xf>
    <xf numFmtId="167" fontId="70" fillId="4" borderId="0" xfId="43" applyNumberFormat="1" applyFont="1" applyFill="1" applyAlignment="1" applyProtection="1">
      <protection locked="0"/>
    </xf>
    <xf numFmtId="167" fontId="33" fillId="0" borderId="0" xfId="43" applyNumberFormat="1" applyFont="1" applyFill="1" applyAlignment="1" applyProtection="1">
      <protection locked="0"/>
    </xf>
    <xf numFmtId="167" fontId="70" fillId="0" borderId="0" xfId="43" applyNumberFormat="1" applyFont="1" applyFill="1" applyAlignment="1" applyProtection="1">
      <protection locked="0"/>
    </xf>
    <xf numFmtId="38" fontId="33" fillId="4" borderId="17" xfId="16" applyNumberFormat="1" applyFont="1" applyFill="1" applyBorder="1" applyAlignment="1" applyProtection="1">
      <protection locked="0"/>
    </xf>
    <xf numFmtId="38" fontId="33" fillId="0" borderId="17" xfId="43" applyNumberFormat="1" applyFont="1" applyFill="1" applyBorder="1" applyAlignment="1" applyProtection="1">
      <protection locked="0"/>
    </xf>
    <xf numFmtId="167" fontId="32" fillId="0" borderId="0" xfId="2" applyNumberFormat="1" applyFont="1" applyFill="1" applyAlignment="1" applyProtection="1">
      <protection locked="0"/>
    </xf>
    <xf numFmtId="167" fontId="57" fillId="0" borderId="0" xfId="16" applyNumberFormat="1" applyFont="1"/>
    <xf numFmtId="167" fontId="41" fillId="4" borderId="0" xfId="16" applyNumberFormat="1" applyFont="1" applyFill="1" applyAlignment="1" applyProtection="1">
      <protection locked="0"/>
    </xf>
    <xf numFmtId="9" fontId="43" fillId="0" borderId="0" xfId="43" applyFont="1" applyFill="1" applyAlignment="1" applyProtection="1">
      <protection locked="0"/>
    </xf>
    <xf numFmtId="167" fontId="41" fillId="0" borderId="0" xfId="16" applyNumberFormat="1" applyFont="1" applyFill="1" applyAlignment="1" applyProtection="1">
      <protection locked="0"/>
    </xf>
    <xf numFmtId="38" fontId="32" fillId="0" borderId="0" xfId="16" applyNumberFormat="1" applyFont="1" applyFill="1" applyAlignment="1" applyProtection="1">
      <protection locked="0"/>
    </xf>
    <xf numFmtId="38" fontId="32" fillId="0" borderId="0" xfId="43" applyNumberFormat="1" applyFont="1" applyFill="1" applyAlignment="1" applyProtection="1">
      <protection locked="0"/>
    </xf>
    <xf numFmtId="0" fontId="70" fillId="0" borderId="17" xfId="2" applyFont="1" applyFill="1" applyBorder="1" applyAlignment="1" applyProtection="1">
      <protection locked="0"/>
    </xf>
    <xf numFmtId="4" fontId="70" fillId="0" borderId="0" xfId="43" applyNumberFormat="1" applyFont="1" applyFill="1" applyAlignment="1" applyProtection="1">
      <protection locked="0"/>
    </xf>
    <xf numFmtId="167" fontId="65" fillId="0" borderId="0" xfId="16" applyNumberFormat="1" applyFont="1" applyFill="1" applyAlignment="1" applyProtection="1">
      <protection locked="0"/>
    </xf>
    <xf numFmtId="44" fontId="69" fillId="0" borderId="0" xfId="2" applyNumberFormat="1" applyFont="1" applyFill="1" applyAlignment="1" applyProtection="1">
      <protection locked="0"/>
    </xf>
    <xf numFmtId="9" fontId="91" fillId="4" borderId="0" xfId="43" applyNumberFormat="1" applyFont="1" applyFill="1" applyAlignment="1" applyProtection="1">
      <protection locked="0"/>
    </xf>
    <xf numFmtId="9" fontId="91" fillId="0" borderId="0" xfId="43" applyNumberFormat="1" applyFont="1" applyFill="1" applyAlignment="1" applyProtection="1">
      <protection locked="0"/>
    </xf>
    <xf numFmtId="43" fontId="91" fillId="4" borderId="0" xfId="16" applyFont="1" applyFill="1" applyAlignment="1" applyProtection="1">
      <protection locked="0"/>
    </xf>
    <xf numFmtId="43" fontId="92" fillId="0" borderId="0" xfId="16" applyFont="1" applyFill="1" applyAlignment="1" applyProtection="1">
      <protection locked="0"/>
    </xf>
    <xf numFmtId="9" fontId="92" fillId="0" borderId="0" xfId="43" applyNumberFormat="1" applyFont="1" applyFill="1" applyAlignment="1" applyProtection="1">
      <protection locked="0"/>
    </xf>
    <xf numFmtId="0" fontId="92" fillId="0" borderId="0" xfId="2" applyFont="1" applyFill="1" applyAlignment="1" applyProtection="1">
      <protection locked="0"/>
    </xf>
    <xf numFmtId="174" fontId="32" fillId="4" borderId="0" xfId="43" applyNumberFormat="1" applyFont="1" applyFill="1" applyAlignment="1" applyProtection="1">
      <protection locked="0"/>
    </xf>
    <xf numFmtId="174" fontId="32" fillId="0" borderId="0" xfId="43" applyNumberFormat="1" applyFont="1" applyFill="1" applyAlignment="1" applyProtection="1">
      <protection locked="0"/>
    </xf>
    <xf numFmtId="0" fontId="0" fillId="0" borderId="0" xfId="0" applyFill="1"/>
    <xf numFmtId="167" fontId="33" fillId="4" borderId="0" xfId="16" applyNumberFormat="1" applyFont="1" applyFill="1" applyBorder="1" applyAlignment="1" applyProtection="1">
      <protection locked="0"/>
    </xf>
    <xf numFmtId="167" fontId="33" fillId="0" borderId="0" xfId="16" applyNumberFormat="1" applyFont="1" applyFill="1" applyBorder="1" applyAlignment="1" applyProtection="1">
      <protection locked="0"/>
    </xf>
    <xf numFmtId="9" fontId="33" fillId="0" borderId="0" xfId="43" applyNumberFormat="1" applyFont="1" applyFill="1" applyBorder="1" applyAlignment="1" applyProtection="1">
      <protection locked="0"/>
    </xf>
    <xf numFmtId="43" fontId="70" fillId="4" borderId="0" xfId="16" applyFont="1" applyFill="1" applyAlignment="1" applyProtection="1">
      <protection locked="0"/>
    </xf>
    <xf numFmtId="43" fontId="25" fillId="0" borderId="0" xfId="16" applyFont="1" applyFill="1" applyAlignment="1" applyProtection="1">
      <protection locked="0"/>
    </xf>
    <xf numFmtId="43" fontId="25" fillId="2" borderId="0" xfId="16" applyFont="1" applyFill="1" applyAlignment="1" applyProtection="1">
      <protection locked="0"/>
    </xf>
    <xf numFmtId="0" fontId="7" fillId="0" borderId="0" xfId="0" applyFont="1" applyBorder="1"/>
    <xf numFmtId="0" fontId="7" fillId="0" borderId="0" xfId="0" applyFont="1" applyFill="1" applyBorder="1"/>
    <xf numFmtId="183" fontId="32" fillId="0" borderId="12" xfId="43" applyNumberFormat="1" applyFont="1" applyFill="1" applyBorder="1" applyAlignment="1" applyProtection="1">
      <protection locked="0"/>
    </xf>
    <xf numFmtId="9" fontId="32" fillId="0" borderId="12" xfId="43" applyNumberFormat="1" applyFont="1" applyFill="1" applyBorder="1" applyAlignment="1" applyProtection="1">
      <protection locked="0"/>
    </xf>
    <xf numFmtId="183" fontId="33" fillId="0" borderId="17" xfId="43" applyNumberFormat="1" applyFont="1" applyFill="1" applyBorder="1" applyAlignment="1" applyProtection="1">
      <protection locked="0"/>
    </xf>
    <xf numFmtId="0" fontId="25" fillId="2" borderId="0" xfId="2" applyFont="1" applyFill="1" applyAlignment="1" applyProtection="1">
      <protection locked="0"/>
    </xf>
    <xf numFmtId="183" fontId="32" fillId="0" borderId="0" xfId="43" applyNumberFormat="1" applyFont="1" applyFill="1" applyAlignment="1" applyProtection="1">
      <protection locked="0"/>
    </xf>
    <xf numFmtId="9" fontId="33" fillId="4" borderId="17" xfId="43" applyNumberFormat="1" applyFont="1" applyFill="1" applyBorder="1" applyAlignment="1" applyProtection="1">
      <protection locked="0"/>
    </xf>
    <xf numFmtId="9" fontId="32" fillId="4" borderId="0" xfId="43" applyNumberFormat="1" applyFont="1" applyFill="1" applyAlignment="1" applyProtection="1">
      <protection locked="0"/>
    </xf>
    <xf numFmtId="183" fontId="33" fillId="0" borderId="0" xfId="43" applyNumberFormat="1" applyFont="1" applyFill="1" applyAlignment="1" applyProtection="1">
      <protection locked="0"/>
    </xf>
    <xf numFmtId="43" fontId="32" fillId="0" borderId="0" xfId="2" applyNumberFormat="1" applyFont="1" applyFill="1" applyAlignment="1" applyProtection="1">
      <protection locked="0"/>
    </xf>
    <xf numFmtId="180" fontId="32" fillId="0" borderId="0" xfId="2" applyNumberFormat="1" applyFont="1" applyFill="1" applyAlignment="1" applyProtection="1">
      <protection locked="0"/>
    </xf>
    <xf numFmtId="167" fontId="44" fillId="0" borderId="17" xfId="16" applyNumberFormat="1" applyFont="1" applyFill="1" applyBorder="1" applyAlignment="1" applyProtection="1">
      <protection locked="0"/>
    </xf>
    <xf numFmtId="175" fontId="33" fillId="0" borderId="17" xfId="2" applyNumberFormat="1" applyFont="1" applyFill="1" applyBorder="1" applyAlignment="1" applyProtection="1">
      <protection locked="0"/>
    </xf>
    <xf numFmtId="167" fontId="43" fillId="4" borderId="0" xfId="16" applyNumberFormat="1" applyFont="1" applyFill="1" applyBorder="1" applyAlignment="1" applyProtection="1">
      <protection locked="0"/>
    </xf>
    <xf numFmtId="167" fontId="32" fillId="2" borderId="0" xfId="16" applyNumberFormat="1" applyFont="1" applyFill="1" applyBorder="1" applyAlignment="1" applyProtection="1">
      <protection locked="0"/>
    </xf>
    <xf numFmtId="44" fontId="32" fillId="2" borderId="0" xfId="2" applyNumberFormat="1" applyFont="1" applyFill="1" applyAlignment="1" applyProtection="1">
      <protection locked="0"/>
    </xf>
    <xf numFmtId="9" fontId="25" fillId="2" borderId="0" xfId="43" applyNumberFormat="1" applyFont="1" applyFill="1" applyAlignment="1" applyProtection="1">
      <protection locked="0"/>
    </xf>
    <xf numFmtId="166" fontId="41" fillId="4" borderId="0" xfId="43" applyNumberFormat="1" applyFont="1" applyFill="1" applyAlignment="1" applyProtection="1">
      <alignment horizontal="right"/>
      <protection locked="0"/>
    </xf>
    <xf numFmtId="166" fontId="41" fillId="2" borderId="0" xfId="43" applyNumberFormat="1" applyFont="1" applyFill="1" applyAlignment="1" applyProtection="1">
      <alignment horizontal="right"/>
      <protection locked="0"/>
    </xf>
    <xf numFmtId="166" fontId="32" fillId="0" borderId="0" xfId="43" applyNumberFormat="1" applyFont="1" applyFill="1" applyAlignment="1">
      <alignment horizontal="right"/>
    </xf>
    <xf numFmtId="166" fontId="32" fillId="2" borderId="0" xfId="43" applyNumberFormat="1" applyFont="1" applyFill="1" applyAlignment="1" applyProtection="1">
      <alignment horizontal="right"/>
      <protection locked="0"/>
    </xf>
    <xf numFmtId="9" fontId="33" fillId="0" borderId="0" xfId="43" applyNumberFormat="1" applyFont="1" applyFill="1" applyAlignment="1" applyProtection="1">
      <protection locked="0"/>
    </xf>
    <xf numFmtId="0" fontId="32" fillId="0" borderId="0" xfId="2" applyFont="1" applyFill="1" applyAlignment="1"/>
    <xf numFmtId="167" fontId="41" fillId="4" borderId="0" xfId="16" applyNumberFormat="1" applyFont="1" applyFill="1" applyAlignment="1" applyProtection="1">
      <alignment horizontal="right"/>
      <protection locked="0"/>
    </xf>
    <xf numFmtId="10" fontId="32" fillId="4" borderId="0" xfId="43" applyNumberFormat="1" applyFont="1" applyFill="1" applyAlignment="1" applyProtection="1">
      <alignment horizontal="right"/>
      <protection locked="0"/>
    </xf>
    <xf numFmtId="10" fontId="41" fillId="4" borderId="0" xfId="43" applyNumberFormat="1" applyFont="1" applyFill="1" applyAlignment="1" applyProtection="1">
      <alignment horizontal="right"/>
      <protection locked="0"/>
    </xf>
    <xf numFmtId="3" fontId="41" fillId="4" borderId="0" xfId="43" applyNumberFormat="1" applyFont="1" applyFill="1" applyAlignment="1" applyProtection="1">
      <alignment horizontal="right"/>
      <protection locked="0"/>
    </xf>
    <xf numFmtId="189" fontId="33" fillId="0" borderId="0" xfId="2" applyNumberFormat="1" applyFont="1" applyFill="1" applyBorder="1" applyAlignment="1" applyProtection="1">
      <protection locked="0"/>
    </xf>
    <xf numFmtId="167" fontId="41" fillId="0" borderId="0" xfId="16" applyNumberFormat="1" applyFont="1" applyFill="1" applyAlignment="1" applyProtection="1">
      <alignment horizontal="right"/>
      <protection locked="0"/>
    </xf>
    <xf numFmtId="43" fontId="41" fillId="0" borderId="0" xfId="16" applyFont="1" applyFill="1" applyAlignment="1" applyProtection="1">
      <alignment horizontal="right"/>
      <protection locked="0"/>
    </xf>
    <xf numFmtId="166" fontId="65" fillId="0" borderId="0" xfId="43" applyNumberFormat="1" applyFont="1" applyFill="1" applyAlignment="1" applyProtection="1">
      <alignment horizontal="right"/>
      <protection locked="0"/>
    </xf>
    <xf numFmtId="166" fontId="33" fillId="2" borderId="0" xfId="16" applyNumberFormat="1" applyFont="1" applyFill="1" applyBorder="1" applyAlignment="1" applyProtection="1">
      <protection locked="0"/>
    </xf>
    <xf numFmtId="167" fontId="0" fillId="0" borderId="0" xfId="0" applyNumberFormat="1"/>
    <xf numFmtId="167" fontId="32" fillId="2" borderId="0" xfId="16" applyNumberFormat="1" applyFont="1" applyFill="1" applyAlignment="1" applyProtection="1">
      <protection locked="0"/>
    </xf>
    <xf numFmtId="167" fontId="41" fillId="2" borderId="0" xfId="16" applyNumberFormat="1" applyFont="1" applyFill="1" applyAlignment="1" applyProtection="1">
      <protection locked="0"/>
    </xf>
    <xf numFmtId="169" fontId="32" fillId="0" borderId="0" xfId="43" applyNumberFormat="1" applyFont="1" applyFill="1" applyAlignment="1" applyProtection="1">
      <alignment horizontal="right"/>
      <protection locked="0"/>
    </xf>
    <xf numFmtId="166" fontId="33" fillId="4" borderId="0" xfId="43" applyNumberFormat="1" applyFont="1" applyFill="1" applyBorder="1" applyAlignment="1" applyProtection="1">
      <alignment horizontal="center"/>
      <protection locked="0"/>
    </xf>
    <xf numFmtId="166" fontId="33" fillId="4" borderId="0" xfId="2" applyNumberFormat="1" applyFont="1" applyFill="1" applyBorder="1" applyAlignment="1" applyProtection="1">
      <alignment horizontal="center"/>
      <protection locked="0"/>
    </xf>
    <xf numFmtId="0" fontId="33" fillId="4" borderId="14" xfId="2" applyFont="1" applyFill="1" applyBorder="1" applyAlignment="1" applyProtection="1">
      <alignment horizontal="center"/>
      <protection locked="0"/>
    </xf>
    <xf numFmtId="0" fontId="32" fillId="0" borderId="2" xfId="2" applyFont="1" applyBorder="1" applyAlignment="1" applyProtection="1">
      <alignment horizontal="centerContinuous"/>
      <protection locked="0"/>
    </xf>
    <xf numFmtId="0" fontId="94" fillId="0" borderId="2" xfId="2" applyFont="1" applyFill="1" applyBorder="1" applyAlignment="1" applyProtection="1">
      <alignment horizontal="center"/>
      <protection locked="0"/>
    </xf>
    <xf numFmtId="0" fontId="32" fillId="0" borderId="2" xfId="2" applyFont="1" applyFill="1" applyBorder="1" applyAlignment="1" applyProtection="1">
      <alignment horizontal="centerContinuous"/>
      <protection locked="0"/>
    </xf>
    <xf numFmtId="166" fontId="33" fillId="0" borderId="2" xfId="43" applyNumberFormat="1" applyFont="1" applyFill="1" applyBorder="1" applyAlignment="1" applyProtection="1">
      <alignment horizontal="centerContinuous"/>
      <protection locked="0"/>
    </xf>
    <xf numFmtId="0" fontId="33" fillId="0" borderId="7" xfId="2" applyFont="1" applyFill="1" applyBorder="1" applyAlignment="1" applyProtection="1">
      <alignment horizontal="center"/>
      <protection locked="0"/>
    </xf>
    <xf numFmtId="0" fontId="57" fillId="0" borderId="0" xfId="0" applyFont="1"/>
    <xf numFmtId="0" fontId="57" fillId="4" borderId="0" xfId="0" applyFont="1" applyFill="1"/>
    <xf numFmtId="9" fontId="57" fillId="4" borderId="0" xfId="0" applyNumberFormat="1" applyFont="1" applyFill="1"/>
    <xf numFmtId="0" fontId="25" fillId="0" borderId="0" xfId="2" applyFont="1" applyFill="1"/>
    <xf numFmtId="0" fontId="33" fillId="0" borderId="0" xfId="2" applyFont="1" applyFill="1"/>
    <xf numFmtId="9" fontId="57" fillId="4" borderId="0" xfId="43" applyFont="1" applyFill="1"/>
    <xf numFmtId="0" fontId="32" fillId="0" borderId="0" xfId="2" applyFont="1" applyFill="1" applyBorder="1" applyAlignment="1"/>
    <xf numFmtId="0" fontId="32" fillId="2" borderId="0" xfId="2" applyFont="1" applyFill="1" applyBorder="1" applyAlignment="1"/>
    <xf numFmtId="0" fontId="33" fillId="0" borderId="0" xfId="2" applyFont="1" applyFill="1" applyAlignment="1"/>
    <xf numFmtId="9" fontId="32" fillId="0" borderId="0" xfId="2" applyNumberFormat="1" applyFont="1" applyFill="1" applyAlignment="1"/>
    <xf numFmtId="190" fontId="32" fillId="0" borderId="0" xfId="2" applyNumberFormat="1" applyFont="1" applyFill="1" applyAlignment="1"/>
    <xf numFmtId="0" fontId="32" fillId="2" borderId="0" xfId="2" applyFont="1" applyFill="1" applyBorder="1"/>
    <xf numFmtId="0" fontId="32" fillId="0" borderId="0" xfId="2" applyFont="1" applyFill="1" applyBorder="1"/>
    <xf numFmtId="0" fontId="32" fillId="0" borderId="0" xfId="2" applyFont="1" applyFill="1"/>
    <xf numFmtId="190" fontId="33" fillId="0" borderId="0" xfId="2" applyNumberFormat="1" applyFont="1" applyFill="1" applyAlignment="1"/>
    <xf numFmtId="166" fontId="32" fillId="0" borderId="0" xfId="2" applyNumberFormat="1" applyFont="1" applyFill="1" applyAlignment="1"/>
    <xf numFmtId="44" fontId="32" fillId="0" borderId="0" xfId="20" applyFont="1" applyFill="1" applyAlignment="1"/>
    <xf numFmtId="44" fontId="32" fillId="0" borderId="0" xfId="20" applyFont="1" applyFill="1" applyBorder="1" applyAlignment="1"/>
    <xf numFmtId="0" fontId="32" fillId="2" borderId="0" xfId="2" applyFont="1" applyFill="1" applyAlignment="1"/>
    <xf numFmtId="0" fontId="32" fillId="0" borderId="0" xfId="2" applyFont="1" applyFill="1" applyAlignment="1">
      <alignment horizontal="right"/>
    </xf>
    <xf numFmtId="0" fontId="69" fillId="0" borderId="0" xfId="2" applyFont="1" applyFill="1"/>
    <xf numFmtId="9" fontId="32" fillId="0" borderId="0" xfId="2" applyNumberFormat="1" applyFont="1" applyFill="1"/>
    <xf numFmtId="0" fontId="33" fillId="0" borderId="0" xfId="2" applyFont="1" applyFill="1" applyAlignment="1">
      <alignment horizontal="right"/>
    </xf>
    <xf numFmtId="9" fontId="32" fillId="0" borderId="0" xfId="2" applyNumberFormat="1" applyFont="1" applyFill="1" applyAlignment="1">
      <alignment horizontal="right"/>
    </xf>
    <xf numFmtId="0" fontId="32" fillId="5" borderId="0" xfId="2" applyFont="1" applyFill="1" applyAlignment="1"/>
    <xf numFmtId="0" fontId="32" fillId="5" borderId="0" xfId="2" applyFont="1" applyFill="1" applyBorder="1"/>
    <xf numFmtId="0" fontId="33" fillId="5" borderId="0" xfId="2" applyFont="1" applyFill="1"/>
    <xf numFmtId="0" fontId="32" fillId="5" borderId="0" xfId="2" applyFont="1" applyFill="1"/>
    <xf numFmtId="0" fontId="32" fillId="2" borderId="0" xfId="2" applyFont="1" applyFill="1"/>
    <xf numFmtId="9" fontId="33" fillId="0" borderId="0" xfId="43" applyFont="1" applyFill="1"/>
    <xf numFmtId="10" fontId="33" fillId="0" borderId="0" xfId="43" applyNumberFormat="1" applyFont="1" applyFill="1"/>
    <xf numFmtId="10" fontId="32" fillId="0" borderId="0" xfId="43" applyNumberFormat="1" applyFont="1" applyFill="1"/>
    <xf numFmtId="9" fontId="32" fillId="0" borderId="0" xfId="2" applyNumberFormat="1" applyFont="1" applyFill="1" applyBorder="1"/>
    <xf numFmtId="9" fontId="32" fillId="0" borderId="0" xfId="43" applyFont="1" applyFill="1"/>
    <xf numFmtId="168" fontId="32" fillId="0" borderId="0" xfId="2" applyNumberFormat="1" applyFont="1" applyFill="1"/>
    <xf numFmtId="0" fontId="32" fillId="4" borderId="0" xfId="2" applyFont="1" applyFill="1"/>
    <xf numFmtId="0" fontId="33" fillId="4" borderId="0" xfId="2" applyFont="1" applyFill="1"/>
    <xf numFmtId="168" fontId="33" fillId="0" borderId="0" xfId="2" applyNumberFormat="1" applyFont="1" applyFill="1"/>
    <xf numFmtId="0" fontId="89" fillId="5" borderId="0" xfId="2" applyFont="1" applyFill="1" applyAlignment="1"/>
    <xf numFmtId="0" fontId="89" fillId="5" borderId="0" xfId="2" applyFont="1" applyFill="1" applyBorder="1" applyAlignment="1"/>
    <xf numFmtId="0" fontId="89" fillId="5" borderId="0" xfId="2" applyFont="1" applyFill="1" applyBorder="1"/>
    <xf numFmtId="0" fontId="88" fillId="5" borderId="0" xfId="2" applyFont="1" applyFill="1"/>
    <xf numFmtId="0" fontId="89" fillId="5" borderId="0" xfId="2" applyFont="1" applyFill="1"/>
    <xf numFmtId="0" fontId="32" fillId="4" borderId="0" xfId="2" applyFont="1" applyFill="1" applyAlignment="1"/>
    <xf numFmtId="0" fontId="32" fillId="4" borderId="0" xfId="2" applyFont="1" applyFill="1" applyBorder="1" applyAlignment="1"/>
    <xf numFmtId="0" fontId="32" fillId="4" borderId="0" xfId="2" applyFont="1" applyFill="1" applyBorder="1"/>
    <xf numFmtId="9" fontId="32" fillId="4" borderId="0" xfId="2" applyNumberFormat="1" applyFont="1" applyFill="1" applyBorder="1" applyAlignment="1" applyProtection="1">
      <protection locked="0"/>
    </xf>
    <xf numFmtId="10" fontId="32" fillId="4" borderId="0" xfId="2" applyNumberFormat="1" applyFont="1" applyFill="1" applyProtection="1">
      <protection locked="0"/>
    </xf>
    <xf numFmtId="10" fontId="32" fillId="4" borderId="0" xfId="2" applyNumberFormat="1" applyFont="1" applyFill="1" applyBorder="1" applyProtection="1">
      <protection locked="0"/>
    </xf>
    <xf numFmtId="3" fontId="32" fillId="4" borderId="0" xfId="2" applyNumberFormat="1" applyFont="1" applyFill="1" applyProtection="1">
      <protection locked="0"/>
    </xf>
    <xf numFmtId="3" fontId="32" fillId="4" borderId="0" xfId="2" applyNumberFormat="1" applyFont="1" applyFill="1" applyBorder="1" applyProtection="1">
      <protection locked="0"/>
    </xf>
    <xf numFmtId="0" fontId="32" fillId="2" borderId="0" xfId="2" applyFont="1" applyFill="1" applyBorder="1" applyAlignment="1">
      <alignment horizontal="right"/>
    </xf>
    <xf numFmtId="0" fontId="32" fillId="0" borderId="0" xfId="2" quotePrefix="1" applyFont="1" applyFill="1" applyBorder="1"/>
    <xf numFmtId="167" fontId="32" fillId="0" borderId="0" xfId="16" applyNumberFormat="1" applyFont="1" applyFill="1"/>
    <xf numFmtId="3" fontId="32" fillId="4" borderId="0" xfId="2" applyNumberFormat="1" applyFont="1" applyFill="1"/>
    <xf numFmtId="9" fontId="69" fillId="0" borderId="0" xfId="2" applyNumberFormat="1" applyFont="1" applyFill="1"/>
    <xf numFmtId="0" fontId="58" fillId="0" borderId="0" xfId="0" applyFont="1"/>
    <xf numFmtId="0" fontId="33" fillId="4" borderId="0" xfId="2" applyFont="1" applyFill="1" applyAlignment="1"/>
    <xf numFmtId="0" fontId="33" fillId="4" borderId="0" xfId="2" applyFont="1" applyFill="1" applyBorder="1" applyAlignment="1"/>
    <xf numFmtId="0" fontId="33" fillId="2" borderId="0" xfId="2" applyFont="1" applyFill="1" applyBorder="1"/>
    <xf numFmtId="0" fontId="33" fillId="2" borderId="0" xfId="2" applyFont="1" applyFill="1" applyBorder="1" applyAlignment="1">
      <alignment horizontal="right"/>
    </xf>
    <xf numFmtId="0" fontId="33" fillId="4" borderId="0" xfId="2" applyFont="1" applyFill="1" applyBorder="1"/>
    <xf numFmtId="0" fontId="32" fillId="0" borderId="0" xfId="2" applyFont="1" applyFill="1" applyBorder="1" applyAlignment="1">
      <alignment horizontal="right"/>
    </xf>
    <xf numFmtId="9" fontId="33" fillId="0" borderId="0" xfId="2" applyNumberFormat="1" applyFont="1" applyFill="1" applyBorder="1"/>
    <xf numFmtId="9" fontId="58" fillId="0" borderId="0" xfId="43" applyFont="1"/>
    <xf numFmtId="0" fontId="33" fillId="0" borderId="0" xfId="2" applyFont="1" applyFill="1" applyBorder="1" applyAlignment="1">
      <alignment horizontal="right"/>
    </xf>
    <xf numFmtId="0" fontId="33" fillId="4" borderId="0" xfId="2" applyFont="1" applyFill="1" applyBorder="1" applyAlignment="1">
      <alignment horizontal="right"/>
    </xf>
    <xf numFmtId="0" fontId="33" fillId="0" borderId="0" xfId="2" quotePrefix="1" applyFont="1" applyFill="1" applyBorder="1" applyAlignment="1">
      <alignment horizontal="right"/>
    </xf>
    <xf numFmtId="0" fontId="33" fillId="0" borderId="0" xfId="2" quotePrefix="1" applyFont="1" applyFill="1" applyBorder="1"/>
    <xf numFmtId="37" fontId="33" fillId="0" borderId="0" xfId="2" applyNumberFormat="1" applyFont="1" applyFill="1" applyBorder="1" applyAlignment="1">
      <alignment horizontal="right"/>
    </xf>
    <xf numFmtId="37" fontId="33" fillId="4" borderId="0" xfId="2" applyNumberFormat="1" applyFont="1" applyFill="1" applyBorder="1" applyAlignment="1">
      <alignment horizontal="right"/>
    </xf>
    <xf numFmtId="37" fontId="33" fillId="0" borderId="0" xfId="2" applyNumberFormat="1" applyFont="1" applyFill="1" applyAlignment="1">
      <alignment horizontal="right"/>
    </xf>
    <xf numFmtId="37" fontId="33" fillId="0" borderId="0" xfId="2" applyNumberFormat="1" applyFont="1" applyFill="1"/>
    <xf numFmtId="37" fontId="33" fillId="0" borderId="0" xfId="16" applyNumberFormat="1" applyFont="1" applyFill="1" applyAlignment="1">
      <alignment horizontal="right"/>
    </xf>
    <xf numFmtId="37" fontId="33" fillId="0" borderId="0" xfId="16" applyNumberFormat="1" applyFont="1" applyFill="1"/>
    <xf numFmtId="0" fontId="32" fillId="4" borderId="0" xfId="2" applyFont="1" applyFill="1" applyBorder="1" applyAlignment="1">
      <alignment horizontal="right"/>
    </xf>
    <xf numFmtId="9" fontId="32" fillId="0" borderId="0" xfId="2" applyNumberFormat="1" applyFont="1" applyFill="1" applyBorder="1" applyAlignment="1">
      <alignment horizontal="right"/>
    </xf>
    <xf numFmtId="9" fontId="32" fillId="4" borderId="0" xfId="2" applyNumberFormat="1" applyFont="1" applyFill="1" applyAlignment="1">
      <alignment horizontal="right"/>
    </xf>
    <xf numFmtId="9" fontId="32" fillId="4" borderId="0" xfId="2" applyNumberFormat="1" applyFont="1" applyFill="1"/>
    <xf numFmtId="9" fontId="33" fillId="4" borderId="0" xfId="2" applyNumberFormat="1" applyFont="1" applyFill="1" applyBorder="1" applyAlignment="1">
      <alignment horizontal="right"/>
    </xf>
    <xf numFmtId="9" fontId="32" fillId="2" borderId="0" xfId="2" applyNumberFormat="1" applyFont="1" applyFill="1" applyBorder="1"/>
    <xf numFmtId="0" fontId="32" fillId="0" borderId="0" xfId="2" quotePrefix="1" applyFont="1" applyFill="1" applyBorder="1" applyAlignment="1">
      <alignment horizontal="right"/>
    </xf>
    <xf numFmtId="0" fontId="69" fillId="0" borderId="0" xfId="2" applyFont="1" applyFill="1" applyBorder="1" applyAlignment="1">
      <alignment horizontal="right"/>
    </xf>
    <xf numFmtId="9" fontId="97" fillId="0" borderId="0" xfId="43" applyFont="1" applyFill="1" applyBorder="1" applyAlignment="1">
      <alignment horizontal="right"/>
    </xf>
    <xf numFmtId="9" fontId="70" fillId="4" borderId="0" xfId="2" applyNumberFormat="1" applyFont="1" applyFill="1" applyBorder="1" applyAlignment="1">
      <alignment horizontal="right"/>
    </xf>
    <xf numFmtId="9" fontId="32" fillId="2" borderId="0" xfId="2" applyNumberFormat="1" applyFont="1" applyFill="1" applyBorder="1" applyAlignment="1">
      <alignment horizontal="right"/>
    </xf>
    <xf numFmtId="9" fontId="98" fillId="0" borderId="0" xfId="43" applyFont="1" applyFill="1" applyBorder="1" applyAlignment="1">
      <alignment horizontal="right"/>
    </xf>
    <xf numFmtId="9" fontId="33" fillId="0" borderId="0" xfId="43" applyFont="1" applyFill="1" applyBorder="1" applyAlignment="1">
      <alignment horizontal="right"/>
    </xf>
    <xf numFmtId="9" fontId="33" fillId="0" borderId="0" xfId="2" applyNumberFormat="1" applyFont="1" applyFill="1" applyBorder="1" applyAlignment="1">
      <alignment horizontal="right"/>
    </xf>
    <xf numFmtId="9" fontId="33" fillId="4" borderId="0" xfId="2" applyNumberFormat="1" applyFont="1" applyFill="1"/>
    <xf numFmtId="9" fontId="33" fillId="0" borderId="0" xfId="2" applyNumberFormat="1" applyFont="1" applyFill="1"/>
    <xf numFmtId="9" fontId="33" fillId="4" borderId="0" xfId="2" applyNumberFormat="1" applyFont="1" applyFill="1" applyAlignment="1">
      <alignment horizontal="right"/>
    </xf>
    <xf numFmtId="9" fontId="33" fillId="0" borderId="0" xfId="2" applyNumberFormat="1" applyFont="1" applyFill="1" applyAlignment="1">
      <alignment horizontal="right"/>
    </xf>
    <xf numFmtId="9" fontId="33" fillId="0" borderId="0" xfId="43" applyNumberFormat="1" applyFont="1" applyFill="1"/>
    <xf numFmtId="0" fontId="32" fillId="4" borderId="2" xfId="2" applyFont="1" applyFill="1" applyBorder="1" applyAlignment="1"/>
    <xf numFmtId="167" fontId="33" fillId="4" borderId="2" xfId="16" applyNumberFormat="1" applyFont="1" applyFill="1" applyBorder="1" applyAlignment="1"/>
    <xf numFmtId="0" fontId="32" fillId="2" borderId="2" xfId="2" applyFont="1" applyFill="1" applyBorder="1"/>
    <xf numFmtId="167" fontId="32" fillId="2" borderId="2" xfId="16" applyNumberFormat="1" applyFont="1" applyFill="1" applyBorder="1" applyAlignment="1">
      <alignment horizontal="right"/>
    </xf>
    <xf numFmtId="0" fontId="32" fillId="4" borderId="2" xfId="2" applyFont="1" applyFill="1" applyBorder="1"/>
    <xf numFmtId="0" fontId="32" fillId="0" borderId="2" xfId="2" applyFont="1" applyFill="1" applyBorder="1"/>
    <xf numFmtId="0" fontId="33" fillId="4" borderId="2" xfId="2" applyFont="1" applyFill="1" applyBorder="1"/>
    <xf numFmtId="0" fontId="33" fillId="0" borderId="2" xfId="2" applyFont="1" applyFill="1" applyBorder="1"/>
    <xf numFmtId="167" fontId="33" fillId="4" borderId="0" xfId="16" applyNumberFormat="1" applyFont="1" applyFill="1" applyBorder="1" applyAlignment="1"/>
    <xf numFmtId="167" fontId="32" fillId="2" borderId="0" xfId="16" applyNumberFormat="1" applyFont="1" applyFill="1" applyBorder="1" applyAlignment="1">
      <alignment horizontal="right"/>
    </xf>
    <xf numFmtId="166" fontId="43" fillId="4" borderId="0" xfId="43" applyNumberFormat="1" applyFont="1" applyFill="1" applyBorder="1"/>
    <xf numFmtId="166" fontId="32" fillId="2" borderId="0" xfId="2" applyNumberFormat="1" applyFont="1" applyFill="1" applyBorder="1"/>
    <xf numFmtId="166" fontId="43" fillId="2" borderId="0" xfId="43" applyNumberFormat="1" applyFont="1" applyFill="1" applyBorder="1" applyAlignment="1">
      <alignment horizontal="right"/>
    </xf>
    <xf numFmtId="166" fontId="32" fillId="2" borderId="0" xfId="43" applyNumberFormat="1" applyFont="1" applyFill="1" applyBorder="1" applyAlignment="1">
      <alignment horizontal="right"/>
    </xf>
    <xf numFmtId="1" fontId="33" fillId="4" borderId="0" xfId="2" applyNumberFormat="1" applyFont="1" applyFill="1" applyBorder="1" applyAlignment="1"/>
    <xf numFmtId="167" fontId="33" fillId="4" borderId="0" xfId="2" applyNumberFormat="1" applyFont="1" applyFill="1"/>
    <xf numFmtId="166" fontId="33" fillId="4" borderId="0" xfId="43" applyNumberFormat="1" applyFont="1" applyFill="1"/>
    <xf numFmtId="166" fontId="33" fillId="2" borderId="0" xfId="43" applyNumberFormat="1" applyFont="1" applyFill="1"/>
    <xf numFmtId="166" fontId="33" fillId="0" borderId="0" xfId="43" applyNumberFormat="1" applyFont="1" applyFill="1"/>
    <xf numFmtId="0" fontId="33" fillId="2" borderId="0" xfId="2" applyFont="1" applyFill="1"/>
    <xf numFmtId="0" fontId="68" fillId="2" borderId="0" xfId="2" applyFont="1" applyFill="1"/>
    <xf numFmtId="167" fontId="68" fillId="4" borderId="0" xfId="2" applyNumberFormat="1" applyFont="1" applyFill="1"/>
    <xf numFmtId="0" fontId="68" fillId="4" borderId="0" xfId="2" applyFont="1" applyFill="1"/>
    <xf numFmtId="0" fontId="44" fillId="2" borderId="0" xfId="2" applyFont="1" applyFill="1"/>
    <xf numFmtId="9" fontId="58" fillId="0" borderId="0" xfId="0" applyNumberFormat="1" applyFont="1"/>
    <xf numFmtId="9" fontId="33" fillId="2" borderId="0" xfId="2" applyNumberFormat="1" applyFont="1" applyFill="1" applyBorder="1" applyAlignment="1">
      <alignment horizontal="right"/>
    </xf>
    <xf numFmtId="9" fontId="65" fillId="0" borderId="0" xfId="43" applyNumberFormat="1" applyFont="1" applyFill="1" applyBorder="1" applyAlignment="1">
      <alignment horizontal="right"/>
    </xf>
    <xf numFmtId="9" fontId="33" fillId="4" borderId="0" xfId="43" applyNumberFormat="1" applyFont="1" applyFill="1" applyBorder="1" applyAlignment="1">
      <alignment horizontal="right"/>
    </xf>
    <xf numFmtId="9" fontId="65" fillId="4" borderId="0" xfId="43" applyNumberFormat="1" applyFont="1" applyFill="1" applyBorder="1" applyAlignment="1">
      <alignment horizontal="right"/>
    </xf>
    <xf numFmtId="9" fontId="65" fillId="0" borderId="0" xfId="43" applyNumberFormat="1" applyFont="1" applyFill="1"/>
    <xf numFmtId="166" fontId="69" fillId="2" borderId="0" xfId="2" applyNumberFormat="1" applyFont="1" applyFill="1"/>
    <xf numFmtId="166" fontId="69" fillId="0" borderId="0" xfId="2" applyNumberFormat="1" applyFont="1" applyFill="1"/>
    <xf numFmtId="166" fontId="32" fillId="4" borderId="0" xfId="2" applyNumberFormat="1" applyFont="1" applyFill="1"/>
    <xf numFmtId="9" fontId="32" fillId="4" borderId="0" xfId="43" applyFont="1" applyFill="1"/>
    <xf numFmtId="0" fontId="69" fillId="2" borderId="0" xfId="2" applyFont="1" applyFill="1"/>
    <xf numFmtId="9" fontId="43" fillId="4" borderId="0" xfId="43" applyFont="1" applyFill="1"/>
    <xf numFmtId="9" fontId="68" fillId="4" borderId="0" xfId="43" applyFont="1" applyFill="1"/>
    <xf numFmtId="0" fontId="41" fillId="2" borderId="0" xfId="2" applyFont="1" applyFill="1"/>
    <xf numFmtId="0" fontId="69" fillId="2" borderId="0" xfId="2" applyFont="1" applyFill="1" applyBorder="1"/>
    <xf numFmtId="0" fontId="69" fillId="0" borderId="0" xfId="2" applyFont="1" applyFill="1" applyBorder="1"/>
    <xf numFmtId="0" fontId="69" fillId="4" borderId="0" xfId="2" applyFont="1" applyFill="1" applyBorder="1"/>
    <xf numFmtId="167" fontId="44" fillId="4" borderId="0" xfId="16" applyNumberFormat="1" applyFont="1" applyFill="1"/>
    <xf numFmtId="167" fontId="68" fillId="2" borderId="0" xfId="16" applyNumberFormat="1" applyFont="1" applyFill="1"/>
    <xf numFmtId="167" fontId="68" fillId="0" borderId="0" xfId="16" applyNumberFormat="1" applyFont="1" applyFill="1"/>
    <xf numFmtId="167" fontId="33" fillId="4" borderId="0" xfId="16" applyNumberFormat="1" applyFont="1" applyFill="1"/>
    <xf numFmtId="167" fontId="33" fillId="2" borderId="0" xfId="16" applyNumberFormat="1" applyFont="1" applyFill="1"/>
    <xf numFmtId="9" fontId="0" fillId="4" borderId="0" xfId="0" applyNumberFormat="1" applyFill="1"/>
    <xf numFmtId="167" fontId="41" fillId="4" borderId="0" xfId="16" applyNumberFormat="1" applyFont="1" applyFill="1"/>
    <xf numFmtId="167" fontId="69" fillId="2" borderId="0" xfId="16" applyNumberFormat="1" applyFont="1" applyFill="1"/>
    <xf numFmtId="167" fontId="69" fillId="0" borderId="0" xfId="16" applyNumberFormat="1" applyFont="1" applyFill="1"/>
    <xf numFmtId="167" fontId="32" fillId="4" borderId="0" xfId="16" applyNumberFormat="1" applyFont="1" applyFill="1"/>
    <xf numFmtId="167" fontId="32" fillId="4" borderId="0" xfId="2" applyNumberFormat="1" applyFont="1" applyFill="1"/>
    <xf numFmtId="167" fontId="69" fillId="4" borderId="0" xfId="2" applyNumberFormat="1" applyFont="1" applyFill="1"/>
    <xf numFmtId="0" fontId="69" fillId="4" borderId="0" xfId="2" applyFont="1" applyFill="1"/>
    <xf numFmtId="9" fontId="69" fillId="0" borderId="0" xfId="16" applyNumberFormat="1" applyFont="1" applyFill="1"/>
    <xf numFmtId="9" fontId="69" fillId="0" borderId="0" xfId="43" applyFont="1" applyFill="1"/>
    <xf numFmtId="9" fontId="68" fillId="0" borderId="0" xfId="16" applyNumberFormat="1" applyFont="1" applyFill="1"/>
    <xf numFmtId="9" fontId="68" fillId="0" borderId="0" xfId="43" applyFont="1" applyFill="1"/>
    <xf numFmtId="167" fontId="32" fillId="4" borderId="0" xfId="16" applyNumberFormat="1" applyFont="1" applyFill="1" applyBorder="1" applyAlignment="1">
      <alignment horizontal="right"/>
    </xf>
    <xf numFmtId="9" fontId="69" fillId="0" borderId="0" xfId="2" applyNumberFormat="1" applyFont="1" applyFill="1" applyBorder="1"/>
    <xf numFmtId="9" fontId="69" fillId="4" borderId="0" xfId="43" applyFont="1" applyFill="1" applyBorder="1" applyAlignment="1">
      <alignment horizontal="right"/>
    </xf>
    <xf numFmtId="9" fontId="65" fillId="0" borderId="0" xfId="43" applyFont="1" applyFill="1" applyBorder="1" applyAlignment="1">
      <alignment horizontal="right"/>
    </xf>
    <xf numFmtId="9" fontId="32" fillId="4" borderId="0" xfId="43" applyFont="1" applyFill="1" applyBorder="1" applyAlignment="1">
      <alignment horizontal="right"/>
    </xf>
    <xf numFmtId="9" fontId="32" fillId="0" borderId="0" xfId="43" applyFont="1" applyFill="1" applyBorder="1"/>
    <xf numFmtId="9" fontId="32" fillId="0" borderId="0" xfId="43" applyFont="1" applyFill="1" applyBorder="1" applyAlignment="1">
      <alignment horizontal="right"/>
    </xf>
    <xf numFmtId="9" fontId="43" fillId="0" borderId="0" xfId="43" applyFont="1" applyFill="1" applyBorder="1" applyAlignment="1">
      <alignment horizontal="right"/>
    </xf>
    <xf numFmtId="9" fontId="43" fillId="4" borderId="0" xfId="43" applyFont="1" applyFill="1" applyBorder="1" applyAlignment="1">
      <alignment horizontal="right"/>
    </xf>
    <xf numFmtId="9" fontId="43" fillId="0" borderId="0" xfId="43" applyFont="1" applyFill="1"/>
    <xf numFmtId="166" fontId="32" fillId="4" borderId="0" xfId="43" applyNumberFormat="1" applyFont="1" applyFill="1" applyBorder="1" applyAlignment="1">
      <alignment horizontal="right"/>
    </xf>
    <xf numFmtId="9" fontId="33" fillId="4" borderId="0" xfId="43" applyFont="1" applyFill="1" applyBorder="1" applyAlignment="1">
      <alignment horizontal="right"/>
    </xf>
    <xf numFmtId="9" fontId="68" fillId="4" borderId="0" xfId="43" applyFont="1" applyFill="1" applyBorder="1" applyAlignment="1">
      <alignment horizontal="right"/>
    </xf>
    <xf numFmtId="9" fontId="33" fillId="0" borderId="0" xfId="43" applyFont="1" applyFill="1" applyBorder="1"/>
    <xf numFmtId="9" fontId="65" fillId="4" borderId="0" xfId="43" applyFont="1" applyFill="1" applyBorder="1" applyAlignment="1">
      <alignment horizontal="right"/>
    </xf>
    <xf numFmtId="9" fontId="65" fillId="0" borderId="0" xfId="43" applyFont="1" applyFill="1"/>
    <xf numFmtId="9" fontId="32" fillId="4" borderId="0" xfId="43" applyFont="1" applyFill="1" applyBorder="1"/>
    <xf numFmtId="9" fontId="43" fillId="0" borderId="0" xfId="43" applyFont="1" applyFill="1" applyBorder="1"/>
    <xf numFmtId="9" fontId="33" fillId="4" borderId="0" xfId="43" applyFont="1" applyFill="1" applyBorder="1"/>
    <xf numFmtId="9" fontId="65" fillId="0" borderId="0" xfId="43" applyFont="1" applyFill="1" applyBorder="1"/>
    <xf numFmtId="166" fontId="32" fillId="4" borderId="0" xfId="43" applyNumberFormat="1" applyFont="1" applyFill="1" applyBorder="1" applyAlignment="1"/>
    <xf numFmtId="9" fontId="32" fillId="2" borderId="0" xfId="43" applyFont="1" applyFill="1" applyBorder="1"/>
    <xf numFmtId="9" fontId="32" fillId="2" borderId="0" xfId="43" applyFont="1" applyFill="1"/>
    <xf numFmtId="9" fontId="43" fillId="4" borderId="0" xfId="2" applyNumberFormat="1" applyFont="1" applyFill="1"/>
    <xf numFmtId="0" fontId="0" fillId="4" borderId="0" xfId="0" applyFill="1"/>
    <xf numFmtId="9" fontId="32" fillId="4" borderId="0" xfId="16" applyNumberFormat="1" applyFont="1" applyFill="1"/>
    <xf numFmtId="167" fontId="33" fillId="0" borderId="0" xfId="16" applyNumberFormat="1" applyFont="1" applyFill="1"/>
    <xf numFmtId="0" fontId="33" fillId="0" borderId="0" xfId="2" applyFont="1" applyFill="1" applyBorder="1"/>
    <xf numFmtId="9" fontId="33" fillId="4" borderId="0" xfId="16" applyNumberFormat="1" applyFont="1" applyFill="1"/>
    <xf numFmtId="167" fontId="32" fillId="4" borderId="0" xfId="16" applyNumberFormat="1" applyFont="1" applyFill="1" applyBorder="1" applyAlignment="1"/>
    <xf numFmtId="167" fontId="33" fillId="2" borderId="0" xfId="16" applyNumberFormat="1" applyFont="1" applyFill="1" applyBorder="1" applyAlignment="1"/>
    <xf numFmtId="167" fontId="33" fillId="0" borderId="0" xfId="16" applyNumberFormat="1" applyFont="1" applyFill="1" applyBorder="1" applyAlignment="1"/>
    <xf numFmtId="9" fontId="33" fillId="0" borderId="0" xfId="16" applyNumberFormat="1" applyFont="1" applyFill="1" applyBorder="1" applyAlignment="1"/>
    <xf numFmtId="0" fontId="33" fillId="0" borderId="0" xfId="2" applyFont="1" applyFill="1" applyBorder="1" applyAlignment="1"/>
    <xf numFmtId="178" fontId="33" fillId="4" borderId="0" xfId="2" applyNumberFormat="1" applyFont="1" applyFill="1"/>
    <xf numFmtId="167" fontId="32" fillId="2" borderId="0" xfId="16" applyNumberFormat="1" applyFont="1" applyFill="1" applyBorder="1" applyAlignment="1"/>
    <xf numFmtId="167" fontId="32" fillId="0" borderId="0" xfId="16" applyNumberFormat="1" applyFont="1" applyFill="1" applyBorder="1" applyAlignment="1"/>
    <xf numFmtId="9" fontId="32" fillId="0" borderId="0" xfId="16" applyNumberFormat="1" applyFont="1" applyFill="1" applyBorder="1" applyAlignment="1"/>
    <xf numFmtId="166" fontId="32" fillId="0" borderId="0" xfId="43" applyNumberFormat="1" applyFont="1" applyFill="1"/>
    <xf numFmtId="178" fontId="32" fillId="4" borderId="0" xfId="2" applyNumberFormat="1" applyFont="1" applyFill="1"/>
    <xf numFmtId="0" fontId="90" fillId="4" borderId="0" xfId="2" applyFont="1" applyFill="1" applyAlignment="1">
      <alignment horizontal="right"/>
    </xf>
    <xf numFmtId="0" fontId="90" fillId="2" borderId="0" xfId="2" applyFont="1" applyFill="1"/>
    <xf numFmtId="0" fontId="90" fillId="4" borderId="0" xfId="2" applyFont="1" applyFill="1"/>
    <xf numFmtId="0" fontId="90" fillId="0" borderId="0" xfId="2" applyFont="1" applyFill="1"/>
    <xf numFmtId="0" fontId="90" fillId="0" borderId="0" xfId="2" applyFont="1" applyFill="1" applyAlignment="1">
      <alignment horizontal="right"/>
    </xf>
    <xf numFmtId="0" fontId="66" fillId="0" borderId="0" xfId="2" applyFont="1" applyFill="1"/>
    <xf numFmtId="166" fontId="43" fillId="4" borderId="2" xfId="43" applyNumberFormat="1" applyFont="1" applyFill="1" applyBorder="1" applyAlignment="1"/>
    <xf numFmtId="166" fontId="32" fillId="2" borderId="2" xfId="43" applyNumberFormat="1" applyFont="1" applyFill="1" applyBorder="1" applyAlignment="1"/>
    <xf numFmtId="166" fontId="32" fillId="4" borderId="2" xfId="43" applyNumberFormat="1" applyFont="1" applyFill="1" applyBorder="1" applyAlignment="1"/>
    <xf numFmtId="166" fontId="32" fillId="0" borderId="2" xfId="43" applyNumberFormat="1" applyFont="1" applyFill="1" applyBorder="1" applyAlignment="1"/>
    <xf numFmtId="166" fontId="41" fillId="0" borderId="2" xfId="43" applyNumberFormat="1" applyFont="1" applyFill="1" applyBorder="1" applyAlignment="1"/>
    <xf numFmtId="0" fontId="32" fillId="0" borderId="2" xfId="2" applyFont="1" applyFill="1" applyBorder="1" applyAlignment="1"/>
    <xf numFmtId="0" fontId="41" fillId="0" borderId="2" xfId="2" applyFont="1" applyFill="1" applyBorder="1" applyAlignment="1"/>
    <xf numFmtId="1" fontId="33" fillId="2" borderId="0" xfId="2" applyNumberFormat="1" applyFont="1" applyFill="1" applyBorder="1" applyAlignment="1"/>
    <xf numFmtId="1" fontId="33" fillId="0" borderId="0" xfId="2" applyNumberFormat="1" applyFont="1" applyFill="1" applyBorder="1" applyAlignment="1"/>
    <xf numFmtId="1" fontId="44" fillId="0" borderId="0" xfId="2" applyNumberFormat="1" applyFont="1" applyFill="1" applyBorder="1" applyAlignment="1"/>
    <xf numFmtId="0" fontId="44" fillId="0" borderId="0" xfId="2" applyFont="1" applyFill="1" applyBorder="1" applyAlignment="1"/>
    <xf numFmtId="44" fontId="44" fillId="0" borderId="0" xfId="2" applyNumberFormat="1" applyFont="1" applyFill="1" applyAlignment="1"/>
    <xf numFmtId="166" fontId="41" fillId="4" borderId="0" xfId="43" applyNumberFormat="1" applyFont="1" applyFill="1" applyAlignment="1"/>
    <xf numFmtId="166" fontId="41" fillId="2" borderId="0" xfId="43" applyNumberFormat="1" applyFont="1" applyFill="1" applyAlignment="1"/>
    <xf numFmtId="166" fontId="41" fillId="0" borderId="0" xfId="43" applyNumberFormat="1" applyFont="1" applyFill="1" applyAlignment="1"/>
    <xf numFmtId="175" fontId="41" fillId="0" borderId="0" xfId="2" applyNumberFormat="1" applyFont="1" applyFill="1" applyAlignment="1"/>
    <xf numFmtId="175" fontId="41" fillId="0" borderId="0" xfId="2" applyNumberFormat="1" applyFont="1" applyFill="1" applyAlignment="1">
      <alignment horizontal="right"/>
    </xf>
    <xf numFmtId="0" fontId="41" fillId="0" borderId="0" xfId="2" applyFont="1" applyFill="1" applyAlignment="1"/>
    <xf numFmtId="0" fontId="41" fillId="0" borderId="0" xfId="2" applyFont="1" applyFill="1" applyAlignment="1">
      <alignment horizontal="left"/>
    </xf>
    <xf numFmtId="44" fontId="41" fillId="0" borderId="0" xfId="2" applyNumberFormat="1" applyFont="1" applyFill="1" applyAlignment="1">
      <alignment horizontal="left"/>
    </xf>
    <xf numFmtId="44" fontId="41" fillId="0" borderId="0" xfId="2" applyNumberFormat="1" applyFont="1" applyFill="1" applyAlignment="1"/>
    <xf numFmtId="166" fontId="32" fillId="4" borderId="0" xfId="43" applyNumberFormat="1" applyFont="1" applyFill="1" applyAlignment="1"/>
    <xf numFmtId="166" fontId="32" fillId="4" borderId="0" xfId="43" applyNumberFormat="1" applyFont="1" applyFill="1" applyAlignment="1">
      <alignment horizontal="right"/>
    </xf>
    <xf numFmtId="166" fontId="32" fillId="2" borderId="0" xfId="43" applyNumberFormat="1" applyFont="1" applyFill="1" applyAlignment="1"/>
    <xf numFmtId="178" fontId="33" fillId="4" borderId="17" xfId="2" applyNumberFormat="1" applyFont="1" applyFill="1" applyBorder="1" applyAlignment="1"/>
    <xf numFmtId="167" fontId="33" fillId="0" borderId="17" xfId="2" applyNumberFormat="1" applyFont="1" applyFill="1" applyBorder="1" applyAlignment="1"/>
    <xf numFmtId="178" fontId="33" fillId="2" borderId="17" xfId="2" applyNumberFormat="1" applyFont="1" applyFill="1" applyBorder="1" applyAlignment="1"/>
    <xf numFmtId="178" fontId="33" fillId="0" borderId="17" xfId="2" applyNumberFormat="1" applyFont="1" applyFill="1" applyBorder="1" applyAlignment="1"/>
    <xf numFmtId="178" fontId="44" fillId="0" borderId="17" xfId="2" applyNumberFormat="1" applyFont="1" applyFill="1" applyBorder="1" applyAlignment="1"/>
    <xf numFmtId="175" fontId="33" fillId="0" borderId="17" xfId="2" applyNumberFormat="1" applyFont="1" applyFill="1" applyBorder="1" applyAlignment="1"/>
    <xf numFmtId="175" fontId="33" fillId="0" borderId="17" xfId="2" applyNumberFormat="1" applyFont="1" applyFill="1" applyBorder="1" applyAlignment="1">
      <alignment horizontal="right"/>
    </xf>
    <xf numFmtId="0" fontId="33" fillId="0" borderId="17" xfId="2" applyFont="1" applyFill="1" applyBorder="1" applyAlignment="1"/>
    <xf numFmtId="0" fontId="44" fillId="0" borderId="17" xfId="2" applyFont="1" applyFill="1" applyBorder="1" applyAlignment="1"/>
    <xf numFmtId="44" fontId="44" fillId="0" borderId="17" xfId="2" applyNumberFormat="1" applyFont="1" applyFill="1" applyBorder="1" applyAlignment="1"/>
    <xf numFmtId="167" fontId="65" fillId="4" borderId="0" xfId="16" applyNumberFormat="1" applyFont="1" applyFill="1" applyAlignment="1"/>
    <xf numFmtId="166" fontId="65" fillId="2" borderId="0" xfId="43" applyNumberFormat="1" applyFont="1" applyFill="1" applyAlignment="1"/>
    <xf numFmtId="167" fontId="65" fillId="2" borderId="0" xfId="16" applyNumberFormat="1" applyFont="1" applyFill="1" applyAlignment="1"/>
    <xf numFmtId="166" fontId="65" fillId="0" borderId="0" xfId="43" applyNumberFormat="1" applyFont="1" applyFill="1" applyAlignment="1"/>
    <xf numFmtId="178" fontId="91" fillId="4" borderId="0" xfId="2" applyNumberFormat="1" applyFont="1" applyFill="1" applyAlignment="1"/>
    <xf numFmtId="166" fontId="65" fillId="4" borderId="0" xfId="43" applyNumberFormat="1" applyFont="1" applyFill="1" applyAlignment="1"/>
    <xf numFmtId="166" fontId="33" fillId="0" borderId="0" xfId="43" applyNumberFormat="1" applyFont="1" applyFill="1" applyAlignment="1"/>
    <xf numFmtId="166" fontId="43" fillId="0" borderId="0" xfId="43" applyNumberFormat="1" applyFont="1" applyFill="1" applyAlignment="1"/>
    <xf numFmtId="0" fontId="43" fillId="0" borderId="0" xfId="2" applyFont="1" applyFill="1" applyAlignment="1"/>
    <xf numFmtId="167" fontId="43" fillId="4" borderId="0" xfId="16" applyNumberFormat="1" applyFont="1" applyFill="1" applyAlignment="1"/>
    <xf numFmtId="167" fontId="43" fillId="2" borderId="0" xfId="16" applyNumberFormat="1" applyFont="1" applyFill="1" applyAlignment="1"/>
    <xf numFmtId="167" fontId="32" fillId="4" borderId="0" xfId="16" applyNumberFormat="1" applyFont="1" applyFill="1" applyAlignment="1"/>
    <xf numFmtId="167" fontId="43" fillId="0" borderId="0" xfId="16" applyNumberFormat="1" applyFont="1" applyFill="1" applyAlignment="1"/>
    <xf numFmtId="167" fontId="41" fillId="4" borderId="0" xfId="16" applyNumberFormat="1" applyFont="1" applyFill="1" applyAlignment="1"/>
    <xf numFmtId="167" fontId="41" fillId="0" borderId="0" xfId="16" applyNumberFormat="1" applyFont="1" applyFill="1" applyAlignment="1"/>
    <xf numFmtId="167" fontId="32" fillId="0" borderId="0" xfId="16" applyNumberFormat="1" applyFont="1" applyFill="1" applyAlignment="1"/>
    <xf numFmtId="43" fontId="41" fillId="0" borderId="0" xfId="16" applyFont="1" applyFill="1" applyAlignment="1"/>
    <xf numFmtId="0" fontId="41" fillId="0" borderId="0" xfId="2" applyNumberFormat="1" applyFont="1" applyFill="1" applyAlignment="1"/>
    <xf numFmtId="0" fontId="33" fillId="2" borderId="0" xfId="2" applyFont="1" applyFill="1" applyAlignment="1"/>
    <xf numFmtId="178" fontId="33" fillId="4" borderId="0" xfId="2" applyNumberFormat="1" applyFont="1" applyFill="1" applyAlignment="1"/>
    <xf numFmtId="166" fontId="32" fillId="2" borderId="0" xfId="43" applyNumberFormat="1" applyFont="1" applyFill="1" applyAlignment="1">
      <alignment horizontal="right"/>
    </xf>
    <xf numFmtId="166" fontId="41" fillId="0" borderId="0" xfId="43" applyNumberFormat="1" applyFont="1" applyFill="1" applyAlignment="1">
      <alignment horizontal="right"/>
    </xf>
    <xf numFmtId="166" fontId="43" fillId="0" borderId="0" xfId="43" applyNumberFormat="1" applyFont="1" applyFill="1" applyAlignment="1">
      <alignment horizontal="right"/>
    </xf>
    <xf numFmtId="166" fontId="33" fillId="0" borderId="0" xfId="43" applyNumberFormat="1" applyFont="1" applyFill="1" applyAlignment="1">
      <alignment horizontal="right"/>
    </xf>
    <xf numFmtId="166" fontId="65" fillId="0" borderId="0" xfId="43" applyNumberFormat="1" applyFont="1" applyFill="1" applyAlignment="1">
      <alignment horizontal="right"/>
    </xf>
    <xf numFmtId="178" fontId="68" fillId="0" borderId="17" xfId="2" applyNumberFormat="1" applyFont="1" applyFill="1" applyBorder="1" applyAlignment="1"/>
    <xf numFmtId="0" fontId="70" fillId="4" borderId="0" xfId="2" applyFont="1" applyFill="1" applyAlignment="1"/>
    <xf numFmtId="0" fontId="70" fillId="2" borderId="0" xfId="2" applyFont="1" applyFill="1" applyAlignment="1"/>
    <xf numFmtId="178" fontId="70" fillId="4" borderId="0" xfId="2" applyNumberFormat="1" applyFont="1" applyFill="1" applyAlignment="1"/>
    <xf numFmtId="0" fontId="70" fillId="0" borderId="0" xfId="2" applyFont="1" applyFill="1" applyAlignment="1"/>
    <xf numFmtId="0" fontId="71" fillId="0" borderId="0" xfId="2" applyFont="1" applyFill="1" applyAlignment="1"/>
    <xf numFmtId="0" fontId="25" fillId="0" borderId="0" xfId="2" applyFont="1" applyFill="1" applyAlignment="1"/>
    <xf numFmtId="0" fontId="67" fillId="0" borderId="0" xfId="2" applyFont="1" applyFill="1" applyAlignment="1"/>
    <xf numFmtId="0" fontId="25" fillId="0" borderId="0" xfId="2" applyFont="1" applyFill="1" applyAlignment="1">
      <alignment horizontal="right"/>
    </xf>
    <xf numFmtId="178" fontId="43" fillId="4" borderId="0" xfId="2" applyNumberFormat="1" applyFont="1" applyFill="1" applyAlignment="1"/>
    <xf numFmtId="178" fontId="32" fillId="2" borderId="0" xfId="2" applyNumberFormat="1" applyFont="1" applyFill="1" applyAlignment="1"/>
    <xf numFmtId="178" fontId="32" fillId="4" borderId="0" xfId="2" applyNumberFormat="1" applyFont="1" applyFill="1" applyAlignment="1"/>
    <xf numFmtId="178" fontId="69" fillId="0" borderId="0" xfId="2" applyNumberFormat="1" applyFont="1" applyFill="1" applyAlignment="1"/>
    <xf numFmtId="178" fontId="32" fillId="0" borderId="0" xfId="2" applyNumberFormat="1" applyFont="1" applyFill="1" applyAlignment="1"/>
    <xf numFmtId="178" fontId="41" fillId="0" borderId="0" xfId="2" applyNumberFormat="1" applyFont="1" applyFill="1" applyAlignment="1"/>
    <xf numFmtId="175" fontId="32" fillId="0" borderId="0" xfId="2" applyNumberFormat="1" applyFont="1" applyFill="1" applyAlignment="1">
      <alignment horizontal="right"/>
    </xf>
    <xf numFmtId="0" fontId="67" fillId="0" borderId="0" xfId="2" applyFont="1" applyFill="1" applyAlignment="1">
      <alignment horizontal="left"/>
    </xf>
    <xf numFmtId="44" fontId="32" fillId="0" borderId="0" xfId="2" applyNumberFormat="1" applyFont="1" applyFill="1" applyAlignment="1"/>
    <xf numFmtId="166" fontId="44" fillId="0" borderId="0" xfId="43" applyNumberFormat="1" applyFont="1" applyFill="1" applyAlignment="1"/>
    <xf numFmtId="44" fontId="70" fillId="4" borderId="0" xfId="2" applyNumberFormat="1" applyFont="1" applyFill="1" applyAlignment="1"/>
    <xf numFmtId="44" fontId="70" fillId="2" borderId="0" xfId="2" applyNumberFormat="1" applyFont="1" applyFill="1" applyAlignment="1"/>
    <xf numFmtId="44" fontId="70" fillId="0" borderId="0" xfId="2" applyNumberFormat="1" applyFont="1" applyFill="1" applyAlignment="1"/>
    <xf numFmtId="44" fontId="71" fillId="0" borderId="0" xfId="2" applyNumberFormat="1" applyFont="1" applyFill="1" applyAlignment="1"/>
    <xf numFmtId="44" fontId="25" fillId="0" borderId="0" xfId="2" applyNumberFormat="1" applyFont="1" applyFill="1" applyAlignment="1"/>
    <xf numFmtId="44" fontId="67" fillId="0" borderId="0" xfId="2" applyNumberFormat="1" applyFont="1" applyFill="1" applyAlignment="1"/>
    <xf numFmtId="44" fontId="25" fillId="0" borderId="0" xfId="2" applyNumberFormat="1" applyFont="1" applyFill="1" applyAlignment="1">
      <alignment horizontal="right"/>
    </xf>
    <xf numFmtId="172" fontId="32" fillId="4" borderId="0" xfId="43" applyNumberFormat="1" applyFont="1" applyFill="1" applyAlignment="1">
      <alignment horizontal="right"/>
    </xf>
    <xf numFmtId="172" fontId="32" fillId="2" borderId="0" xfId="43" applyNumberFormat="1" applyFont="1" applyFill="1" applyAlignment="1">
      <alignment horizontal="right"/>
    </xf>
    <xf numFmtId="172" fontId="32" fillId="0" borderId="0" xfId="43" applyNumberFormat="1" applyFont="1" applyFill="1" applyAlignment="1">
      <alignment horizontal="right"/>
    </xf>
    <xf numFmtId="172" fontId="41" fillId="0" borderId="0" xfId="43" applyNumberFormat="1" applyFont="1" applyFill="1" applyAlignment="1">
      <alignment horizontal="right"/>
    </xf>
    <xf numFmtId="175" fontId="65" fillId="0" borderId="0" xfId="2" applyNumberFormat="1" applyFont="1" applyFill="1" applyAlignment="1"/>
    <xf numFmtId="175" fontId="44" fillId="0" borderId="0" xfId="2" applyNumberFormat="1" applyFont="1" applyFill="1" applyAlignment="1"/>
    <xf numFmtId="175" fontId="33" fillId="0" borderId="0" xfId="2" applyNumberFormat="1" applyFont="1" applyFill="1" applyAlignment="1"/>
    <xf numFmtId="178" fontId="33" fillId="2" borderId="0" xfId="2" applyNumberFormat="1" applyFont="1" applyFill="1" applyAlignment="1"/>
    <xf numFmtId="178" fontId="33" fillId="0" borderId="0" xfId="2" applyNumberFormat="1" applyFont="1" applyFill="1" applyAlignment="1"/>
    <xf numFmtId="178" fontId="44" fillId="0" borderId="0" xfId="2" applyNumberFormat="1" applyFont="1" applyFill="1" applyAlignment="1"/>
    <xf numFmtId="175" fontId="99" fillId="0" borderId="0" xfId="2" applyNumberFormat="1" applyFont="1" applyFill="1" applyAlignment="1"/>
    <xf numFmtId="175" fontId="99" fillId="0" borderId="0" xfId="2" applyNumberFormat="1" applyFont="1" applyFill="1" applyAlignment="1">
      <alignment horizontal="right"/>
    </xf>
    <xf numFmtId="9" fontId="57" fillId="0" borderId="0" xfId="0" applyNumberFormat="1" applyFont="1"/>
    <xf numFmtId="9" fontId="33" fillId="4" borderId="0" xfId="2" applyNumberFormat="1" applyFont="1" applyFill="1" applyAlignment="1"/>
    <xf numFmtId="9" fontId="33" fillId="2" borderId="0" xfId="2" applyNumberFormat="1" applyFont="1" applyFill="1" applyAlignment="1"/>
    <xf numFmtId="9" fontId="33" fillId="0" borderId="0" xfId="2" applyNumberFormat="1" applyFont="1" applyFill="1" applyAlignment="1"/>
    <xf numFmtId="9" fontId="33" fillId="0" borderId="0" xfId="43" applyNumberFormat="1" applyFont="1" applyFill="1" applyAlignment="1"/>
    <xf numFmtId="9" fontId="44" fillId="0" borderId="0" xfId="2" applyNumberFormat="1" applyFont="1" applyFill="1" applyAlignment="1"/>
    <xf numFmtId="9" fontId="67" fillId="0" borderId="0" xfId="2" applyNumberFormat="1" applyFont="1" applyFill="1" applyAlignment="1"/>
    <xf numFmtId="166" fontId="41" fillId="4" borderId="0" xfId="43" applyNumberFormat="1" applyFont="1" applyFill="1" applyAlignment="1">
      <alignment horizontal="right"/>
    </xf>
    <xf numFmtId="166" fontId="43" fillId="2" borderId="0" xfId="43" applyNumberFormat="1" applyFont="1" applyFill="1" applyAlignment="1">
      <alignment horizontal="right"/>
    </xf>
    <xf numFmtId="9" fontId="65" fillId="0" borderId="0" xfId="43" applyFont="1" applyFill="1" applyAlignment="1"/>
    <xf numFmtId="9" fontId="44" fillId="0" borderId="0" xfId="43" applyFont="1" applyFill="1" applyAlignment="1"/>
    <xf numFmtId="166" fontId="43" fillId="4" borderId="0" xfId="43" applyNumberFormat="1" applyFont="1" applyFill="1" applyAlignment="1">
      <alignment horizontal="right"/>
    </xf>
    <xf numFmtId="167" fontId="33" fillId="2" borderId="0" xfId="2" applyNumberFormat="1" applyFont="1" applyFill="1" applyAlignment="1"/>
    <xf numFmtId="175" fontId="33" fillId="0" borderId="0" xfId="2" applyNumberFormat="1" applyFont="1" applyFill="1" applyAlignment="1">
      <alignment horizontal="right"/>
    </xf>
    <xf numFmtId="0" fontId="33" fillId="4" borderId="0" xfId="2" applyFont="1" applyFill="1" applyBorder="1" applyAlignment="1">
      <alignment horizontal="center"/>
    </xf>
    <xf numFmtId="0" fontId="33" fillId="2" borderId="0" xfId="2" applyFont="1" applyFill="1" applyBorder="1" applyAlignment="1">
      <alignment horizontal="center"/>
    </xf>
    <xf numFmtId="167" fontId="33" fillId="4" borderId="0" xfId="16" applyNumberFormat="1" applyFont="1" applyFill="1" applyBorder="1" applyAlignment="1">
      <alignment horizontal="center"/>
    </xf>
    <xf numFmtId="0" fontId="33" fillId="0" borderId="0" xfId="2" applyFont="1" applyFill="1" applyBorder="1" applyAlignment="1">
      <alignment horizontal="center"/>
    </xf>
    <xf numFmtId="0" fontId="44" fillId="2" borderId="0" xfId="2" applyFont="1" applyFill="1" applyBorder="1" applyAlignment="1">
      <alignment horizontal="center"/>
    </xf>
    <xf numFmtId="0" fontId="41" fillId="0" borderId="0" xfId="2" applyFont="1" applyFill="1" applyBorder="1" applyAlignment="1"/>
    <xf numFmtId="0" fontId="0" fillId="0" borderId="0" xfId="0" applyAlignment="1">
      <alignment horizontal="right"/>
    </xf>
    <xf numFmtId="0" fontId="33" fillId="4" borderId="14" xfId="2" applyFont="1" applyFill="1" applyBorder="1" applyAlignment="1">
      <alignment horizontal="right"/>
    </xf>
    <xf numFmtId="191" fontId="33" fillId="2" borderId="14" xfId="2" applyNumberFormat="1" applyFont="1" applyFill="1" applyBorder="1" applyAlignment="1">
      <alignment horizontal="right"/>
    </xf>
    <xf numFmtId="191" fontId="33" fillId="0" borderId="14" xfId="2" applyNumberFormat="1" applyFont="1" applyFill="1" applyBorder="1" applyAlignment="1">
      <alignment horizontal="right"/>
    </xf>
    <xf numFmtId="0" fontId="33" fillId="2" borderId="14" xfId="2" applyFont="1" applyFill="1" applyBorder="1" applyAlignment="1">
      <alignment horizontal="right"/>
    </xf>
    <xf numFmtId="0" fontId="44" fillId="2" borderId="14" xfId="2" applyFont="1" applyFill="1" applyBorder="1" applyAlignment="1">
      <alignment horizontal="right"/>
    </xf>
    <xf numFmtId="0" fontId="33" fillId="0" borderId="14" xfId="2" applyFont="1" applyFill="1" applyBorder="1" applyAlignment="1">
      <alignment horizontal="right"/>
    </xf>
    <xf numFmtId="0" fontId="32" fillId="0" borderId="14" xfId="2" applyFont="1" applyFill="1" applyBorder="1" applyAlignment="1">
      <alignment horizontal="right"/>
    </xf>
    <xf numFmtId="0" fontId="66" fillId="0" borderId="14" xfId="2" applyFont="1" applyFill="1" applyBorder="1" applyAlignment="1">
      <alignment horizontal="right"/>
    </xf>
    <xf numFmtId="0" fontId="72" fillId="0" borderId="0" xfId="2" applyFont="1" applyFill="1" applyBorder="1" applyAlignment="1">
      <alignment horizontal="center"/>
    </xf>
    <xf numFmtId="0" fontId="33" fillId="2" borderId="2" xfId="2" applyFont="1" applyFill="1" applyBorder="1" applyAlignment="1">
      <alignment horizontal="centerContinuous"/>
    </xf>
    <xf numFmtId="0" fontId="33" fillId="0" borderId="2" xfId="2" applyFont="1" applyFill="1" applyBorder="1" applyAlignment="1">
      <alignment horizontal="centerContinuous"/>
    </xf>
    <xf numFmtId="0" fontId="32" fillId="0" borderId="2" xfId="2" applyFont="1" applyBorder="1" applyAlignment="1">
      <alignment horizontal="centerContinuous"/>
    </xf>
    <xf numFmtId="0" fontId="73" fillId="0" borderId="2" xfId="2" applyFont="1" applyFill="1" applyBorder="1" applyAlignment="1">
      <alignment horizontal="center"/>
    </xf>
    <xf numFmtId="0" fontId="32" fillId="0" borderId="2" xfId="2" applyFont="1" applyFill="1" applyBorder="1" applyAlignment="1">
      <alignment horizontal="centerContinuous"/>
    </xf>
    <xf numFmtId="166" fontId="33" fillId="0" borderId="2" xfId="43" applyNumberFormat="1" applyFont="1" applyFill="1" applyBorder="1" applyAlignment="1">
      <alignment horizontal="centerContinuous"/>
    </xf>
    <xf numFmtId="175" fontId="68" fillId="0" borderId="0" xfId="2" applyNumberFormat="1" applyFont="1" applyFill="1" applyAlignment="1"/>
    <xf numFmtId="0" fontId="33" fillId="0" borderId="2" xfId="2" applyFont="1" applyFill="1" applyBorder="1" applyAlignment="1">
      <alignment horizontal="center"/>
    </xf>
    <xf numFmtId="0" fontId="33" fillId="2" borderId="2" xfId="2" applyFont="1" applyFill="1" applyBorder="1" applyAlignment="1">
      <alignment horizontal="center"/>
    </xf>
    <xf numFmtId="0" fontId="33" fillId="2" borderId="0" xfId="2" applyFont="1" applyFill="1" applyBorder="1" applyAlignment="1">
      <alignment horizontal="centerContinuous"/>
    </xf>
    <xf numFmtId="0" fontId="33" fillId="0" borderId="0" xfId="2" applyFont="1" applyFill="1" applyBorder="1" applyAlignment="1">
      <alignment horizontal="centerContinuous"/>
    </xf>
    <xf numFmtId="9" fontId="32" fillId="0" borderId="0" xfId="43" applyFont="1" applyFill="1" applyBorder="1" applyAlignment="1">
      <alignment horizontal="centerContinuous"/>
    </xf>
    <xf numFmtId="0" fontId="32" fillId="0" borderId="0" xfId="2" applyFont="1" applyFill="1" applyBorder="1" applyAlignment="1">
      <alignment horizontal="centerContinuous"/>
    </xf>
    <xf numFmtId="0" fontId="32" fillId="0" borderId="0" xfId="2" applyFont="1" applyFill="1" applyAlignment="1">
      <alignment horizontal="centerContinuous"/>
    </xf>
    <xf numFmtId="0" fontId="32" fillId="0" borderId="6" xfId="2" applyFont="1" applyFill="1" applyBorder="1" applyAlignment="1"/>
    <xf numFmtId="0" fontId="32" fillId="0" borderId="4" xfId="2" applyFont="1" applyFill="1" applyBorder="1" applyAlignment="1"/>
    <xf numFmtId="0" fontId="33" fillId="2" borderId="4" xfId="2" applyFont="1" applyFill="1" applyBorder="1" applyAlignment="1"/>
    <xf numFmtId="0" fontId="33" fillId="0" borderId="4" xfId="2" applyFont="1" applyFill="1" applyBorder="1" applyAlignment="1"/>
    <xf numFmtId="0" fontId="33" fillId="0" borderId="4" xfId="2" applyFont="1" applyFill="1" applyBorder="1" applyAlignment="1">
      <alignment horizontal="centerContinuous"/>
    </xf>
    <xf numFmtId="0" fontId="68" fillId="0" borderId="4" xfId="2" applyFont="1" applyFill="1" applyBorder="1" applyAlignment="1">
      <alignment horizontal="left"/>
    </xf>
    <xf numFmtId="0" fontId="33" fillId="0" borderId="8" xfId="2" applyFont="1" applyFill="1" applyBorder="1" applyAlignment="1">
      <alignment horizontal="left"/>
    </xf>
    <xf numFmtId="0" fontId="79" fillId="0" borderId="0" xfId="3" applyFont="1" applyFill="1" applyBorder="1" applyAlignment="1" applyProtection="1">
      <alignment horizontal="right"/>
      <protection locked="0"/>
    </xf>
    <xf numFmtId="175" fontId="33" fillId="0" borderId="0" xfId="2" applyNumberFormat="1" applyFont="1" applyFill="1" applyBorder="1" applyAlignment="1"/>
    <xf numFmtId="175" fontId="68" fillId="0" borderId="0" xfId="2" applyNumberFormat="1" applyFont="1" applyFill="1" applyAlignment="1">
      <alignment horizontal="left"/>
    </xf>
    <xf numFmtId="164" fontId="32" fillId="2" borderId="0" xfId="1" applyFont="1" applyFill="1" applyBorder="1" applyAlignment="1" applyProtection="1">
      <alignment horizontal="right"/>
      <protection locked="0"/>
    </xf>
    <xf numFmtId="0" fontId="68" fillId="0" borderId="0" xfId="2" applyFont="1" applyFill="1" applyBorder="1" applyAlignment="1">
      <alignment horizontal="left"/>
    </xf>
    <xf numFmtId="0" fontId="32" fillId="0" borderId="12" xfId="2" applyFont="1" applyFill="1" applyBorder="1" applyAlignment="1"/>
    <xf numFmtId="0" fontId="32" fillId="2" borderId="12" xfId="2" applyFont="1" applyFill="1" applyBorder="1" applyAlignment="1">
      <alignment horizontal="right"/>
    </xf>
    <xf numFmtId="0" fontId="32" fillId="0" borderId="12" xfId="2" applyFont="1" applyFill="1" applyBorder="1" applyAlignment="1">
      <alignment horizontal="right"/>
    </xf>
    <xf numFmtId="0" fontId="33" fillId="0" borderId="12" xfId="2" applyFont="1" applyFill="1" applyBorder="1" applyAlignment="1"/>
    <xf numFmtId="0" fontId="57" fillId="0" borderId="0" xfId="0" applyFont="1" applyAlignment="1">
      <alignment horizontal="right"/>
    </xf>
    <xf numFmtId="0" fontId="32" fillId="4" borderId="0" xfId="2" applyFont="1" applyFill="1" applyAlignment="1">
      <alignment horizontal="right"/>
    </xf>
    <xf numFmtId="9" fontId="32" fillId="0" borderId="0" xfId="2" applyNumberFormat="1" applyFont="1" applyFill="1" applyBorder="1" applyAlignment="1"/>
    <xf numFmtId="9" fontId="32" fillId="4" borderId="0" xfId="2" applyNumberFormat="1" applyFont="1" applyFill="1" applyBorder="1" applyAlignment="1">
      <alignment horizontal="right"/>
    </xf>
    <xf numFmtId="9" fontId="32" fillId="0" borderId="0" xfId="5" applyNumberFormat="1" applyFont="1" applyFill="1" applyBorder="1" applyAlignment="1">
      <alignment horizontal="right"/>
    </xf>
    <xf numFmtId="9" fontId="32" fillId="0" borderId="0" xfId="2" quotePrefix="1" applyNumberFormat="1" applyFont="1" applyFill="1" applyBorder="1" applyAlignment="1">
      <alignment horizontal="right"/>
    </xf>
    <xf numFmtId="9" fontId="32" fillId="4" borderId="0" xfId="2" applyNumberFormat="1" applyFont="1" applyFill="1" applyBorder="1" applyAlignment="1"/>
    <xf numFmtId="9" fontId="32" fillId="0" borderId="0" xfId="43" applyNumberFormat="1" applyFont="1" applyFill="1" applyBorder="1" applyAlignment="1"/>
    <xf numFmtId="9" fontId="32" fillId="0" borderId="0" xfId="43" applyFont="1" applyFill="1" applyBorder="1" applyAlignment="1"/>
    <xf numFmtId="0" fontId="32" fillId="0" borderId="0" xfId="2" quotePrefix="1" applyFont="1" applyFill="1" applyAlignment="1"/>
    <xf numFmtId="1" fontId="100" fillId="4" borderId="0" xfId="2" applyNumberFormat="1" applyFont="1" applyFill="1" applyBorder="1" applyAlignment="1">
      <alignment horizontal="right"/>
    </xf>
    <xf numFmtId="37" fontId="32" fillId="0" borderId="0" xfId="2" applyNumberFormat="1" applyFont="1" applyFill="1" applyBorder="1" applyAlignment="1"/>
    <xf numFmtId="0" fontId="89" fillId="5" borderId="0" xfId="2" applyFont="1" applyFill="1" applyAlignment="1">
      <alignment horizontal="right"/>
    </xf>
    <xf numFmtId="0" fontId="72" fillId="0" borderId="0" xfId="2" quotePrefix="1" applyFont="1" applyFill="1" applyAlignment="1"/>
    <xf numFmtId="0" fontId="33" fillId="4" borderId="0" xfId="2" applyFont="1" applyFill="1" applyAlignment="1">
      <alignment horizontal="right"/>
    </xf>
    <xf numFmtId="9" fontId="33" fillId="0" borderId="0" xfId="2" applyNumberFormat="1" applyFont="1" applyFill="1" applyBorder="1" applyAlignment="1"/>
    <xf numFmtId="9" fontId="33" fillId="0" borderId="0" xfId="5" applyNumberFormat="1" applyFont="1" applyFill="1" applyBorder="1" applyAlignment="1"/>
    <xf numFmtId="0" fontId="72" fillId="0" borderId="0" xfId="2" applyFont="1" applyFill="1" applyAlignment="1"/>
    <xf numFmtId="0" fontId="101" fillId="0" borderId="0" xfId="0" applyFont="1"/>
    <xf numFmtId="0" fontId="25" fillId="4" borderId="0" xfId="2" applyFont="1" applyFill="1" applyAlignment="1">
      <alignment horizontal="right"/>
    </xf>
    <xf numFmtId="0" fontId="25" fillId="4" borderId="0" xfId="2" applyFont="1" applyFill="1" applyBorder="1" applyAlignment="1">
      <alignment horizontal="right"/>
    </xf>
    <xf numFmtId="9" fontId="25" fillId="0" borderId="0" xfId="2" applyNumberFormat="1" applyFont="1" applyFill="1" applyBorder="1" applyAlignment="1"/>
    <xf numFmtId="9" fontId="25" fillId="0" borderId="0" xfId="5" applyNumberFormat="1" applyFont="1" applyFill="1" applyBorder="1" applyAlignment="1"/>
    <xf numFmtId="9" fontId="33" fillId="4" borderId="0" xfId="2" applyNumberFormat="1" applyFont="1" applyFill="1" applyBorder="1" applyAlignment="1"/>
    <xf numFmtId="9" fontId="25" fillId="0" borderId="0" xfId="2" applyNumberFormat="1" applyFont="1" applyFill="1" applyBorder="1" applyAlignment="1">
      <alignment horizontal="right"/>
    </xf>
    <xf numFmtId="0" fontId="25" fillId="4" borderId="0" xfId="2" applyFont="1" applyFill="1" applyBorder="1" applyAlignment="1"/>
    <xf numFmtId="0" fontId="25" fillId="0" borderId="0" xfId="2" applyFont="1" applyFill="1" applyBorder="1" applyAlignment="1"/>
    <xf numFmtId="0" fontId="25" fillId="4" borderId="0" xfId="2" applyFont="1" applyFill="1" applyAlignment="1"/>
    <xf numFmtId="0" fontId="32" fillId="4" borderId="2" xfId="2" applyFont="1" applyFill="1" applyBorder="1" applyAlignment="1">
      <alignment horizontal="right"/>
    </xf>
    <xf numFmtId="1" fontId="102" fillId="4" borderId="2" xfId="2" applyNumberFormat="1" applyFont="1" applyFill="1" applyBorder="1" applyAlignment="1">
      <alignment horizontal="right"/>
    </xf>
    <xf numFmtId="0" fontId="32" fillId="0" borderId="2" xfId="2" applyFont="1" applyFill="1" applyBorder="1" applyAlignment="1">
      <alignment horizontal="right"/>
    </xf>
    <xf numFmtId="0" fontId="33" fillId="4" borderId="2" xfId="2" applyFont="1" applyFill="1" applyBorder="1" applyAlignment="1"/>
    <xf numFmtId="0" fontId="33" fillId="0" borderId="2" xfId="2" applyFont="1" applyFill="1" applyBorder="1" applyAlignment="1"/>
    <xf numFmtId="1" fontId="33" fillId="4" borderId="0" xfId="2" applyNumberFormat="1" applyFont="1" applyFill="1" applyBorder="1" applyAlignment="1">
      <alignment horizontal="right"/>
    </xf>
    <xf numFmtId="167" fontId="32" fillId="0" borderId="0" xfId="2" applyNumberFormat="1" applyFont="1" applyFill="1" applyBorder="1" applyAlignment="1">
      <alignment horizontal="right"/>
    </xf>
    <xf numFmtId="1" fontId="32" fillId="4" borderId="0" xfId="2" applyNumberFormat="1" applyFont="1" applyFill="1" applyBorder="1" applyAlignment="1">
      <alignment horizontal="right"/>
    </xf>
    <xf numFmtId="9" fontId="32" fillId="2" borderId="0" xfId="5" applyNumberFormat="1" applyFont="1" applyFill="1" applyBorder="1" applyAlignment="1">
      <alignment horizontal="right"/>
    </xf>
    <xf numFmtId="9" fontId="32" fillId="0" borderId="0" xfId="43" applyFont="1" applyFill="1" applyAlignment="1"/>
    <xf numFmtId="9" fontId="32" fillId="4" borderId="0" xfId="43" applyFont="1" applyFill="1" applyBorder="1" applyAlignment="1"/>
    <xf numFmtId="0" fontId="32" fillId="0" borderId="0" xfId="5" applyFont="1" applyFill="1" applyBorder="1" applyAlignment="1">
      <alignment horizontal="right"/>
    </xf>
    <xf numFmtId="0" fontId="43" fillId="0" borderId="0" xfId="2" applyFont="1" applyFill="1" applyBorder="1" applyAlignment="1">
      <alignment horizontal="right"/>
    </xf>
    <xf numFmtId="166" fontId="32" fillId="4" borderId="0" xfId="2" applyNumberFormat="1" applyFont="1" applyFill="1" applyBorder="1" applyAlignment="1">
      <alignment horizontal="right"/>
    </xf>
    <xf numFmtId="178" fontId="33" fillId="4" borderId="0" xfId="2" applyNumberFormat="1" applyFont="1" applyFill="1" applyAlignment="1">
      <alignment horizontal="right"/>
    </xf>
    <xf numFmtId="167" fontId="32" fillId="4" borderId="0" xfId="2" applyNumberFormat="1" applyFont="1" applyFill="1" applyAlignment="1">
      <alignment horizontal="right"/>
    </xf>
    <xf numFmtId="167" fontId="32" fillId="4" borderId="0" xfId="2" applyNumberFormat="1" applyFont="1" applyFill="1" applyBorder="1" applyAlignment="1">
      <alignment horizontal="right"/>
    </xf>
    <xf numFmtId="0" fontId="33" fillId="0" borderId="0" xfId="5" applyFont="1" applyFill="1" applyBorder="1" applyAlignment="1">
      <alignment horizontal="right"/>
    </xf>
    <xf numFmtId="178" fontId="33" fillId="4" borderId="0" xfId="43" applyNumberFormat="1" applyFont="1" applyFill="1" applyBorder="1" applyAlignment="1">
      <alignment horizontal="right"/>
    </xf>
    <xf numFmtId="0" fontId="32" fillId="0" borderId="0" xfId="5" applyFont="1" applyFill="1" applyAlignment="1">
      <alignment horizontal="right"/>
    </xf>
    <xf numFmtId="9" fontId="43" fillId="4" borderId="0" xfId="2" applyNumberFormat="1" applyFont="1" applyFill="1" applyBorder="1" applyAlignment="1">
      <alignment horizontal="right"/>
    </xf>
    <xf numFmtId="9" fontId="43" fillId="4" borderId="0" xfId="2" applyNumberFormat="1" applyFont="1" applyFill="1" applyBorder="1"/>
    <xf numFmtId="0" fontId="32" fillId="0" borderId="0" xfId="5" applyFont="1" applyFill="1" applyBorder="1"/>
    <xf numFmtId="178" fontId="33" fillId="4" borderId="0" xfId="2" applyNumberFormat="1" applyFont="1" applyFill="1" applyBorder="1" applyAlignment="1">
      <alignment horizontal="right"/>
    </xf>
    <xf numFmtId="178" fontId="33" fillId="4" borderId="0" xfId="2" applyNumberFormat="1" applyFont="1" applyFill="1" applyBorder="1"/>
    <xf numFmtId="178" fontId="32" fillId="0" borderId="0" xfId="2" applyNumberFormat="1" applyFont="1" applyFill="1"/>
    <xf numFmtId="178" fontId="33" fillId="0" borderId="0" xfId="2" applyNumberFormat="1" applyFont="1" applyFill="1"/>
    <xf numFmtId="167" fontId="32" fillId="4" borderId="0" xfId="16" applyNumberFormat="1" applyFont="1" applyFill="1" applyAlignment="1">
      <alignment horizontal="right"/>
    </xf>
    <xf numFmtId="167" fontId="32" fillId="0" borderId="0" xfId="16" applyNumberFormat="1" applyFont="1" applyFill="1" applyBorder="1" applyAlignment="1">
      <alignment horizontal="right"/>
    </xf>
    <xf numFmtId="167" fontId="32" fillId="4" borderId="0" xfId="16" applyNumberFormat="1" applyFont="1" applyFill="1" applyBorder="1"/>
    <xf numFmtId="178" fontId="32" fillId="4" borderId="0" xfId="2" applyNumberFormat="1" applyFont="1" applyFill="1" applyBorder="1"/>
    <xf numFmtId="9" fontId="32" fillId="0" borderId="0" xfId="2" applyNumberFormat="1" applyFont="1" applyFill="1" applyBorder="1" applyAlignment="1">
      <alignment horizontal="left"/>
    </xf>
    <xf numFmtId="0" fontId="57" fillId="4" borderId="0" xfId="0" applyFont="1" applyFill="1" applyAlignment="1">
      <alignment horizontal="right"/>
    </xf>
    <xf numFmtId="9" fontId="32" fillId="0" borderId="0" xfId="5" applyNumberFormat="1" applyFont="1" applyFill="1" applyBorder="1"/>
    <xf numFmtId="9" fontId="32" fillId="4" borderId="0" xfId="43" applyFont="1" applyFill="1" applyAlignment="1">
      <alignment horizontal="right"/>
    </xf>
    <xf numFmtId="178" fontId="33" fillId="2" borderId="0" xfId="2" applyNumberFormat="1" applyFont="1" applyFill="1"/>
    <xf numFmtId="37" fontId="32" fillId="4" borderId="0" xfId="2" applyNumberFormat="1" applyFont="1" applyFill="1" applyBorder="1"/>
    <xf numFmtId="178" fontId="43" fillId="4" borderId="0" xfId="2" applyNumberFormat="1" applyFont="1" applyFill="1"/>
    <xf numFmtId="1" fontId="32" fillId="0" borderId="0" xfId="2" applyNumberFormat="1" applyFont="1" applyFill="1" applyBorder="1"/>
    <xf numFmtId="178" fontId="32" fillId="2" borderId="0" xfId="2" applyNumberFormat="1" applyFont="1" applyFill="1"/>
    <xf numFmtId="37" fontId="32" fillId="4" borderId="0" xfId="2" applyNumberFormat="1" applyFont="1" applyFill="1" applyBorder="1" applyAlignment="1">
      <alignment horizontal="right"/>
    </xf>
    <xf numFmtId="0" fontId="32" fillId="0" borderId="0" xfId="2" applyFont="1" applyFill="1" applyBorder="1" applyAlignment="1">
      <alignment horizontal="left"/>
    </xf>
    <xf numFmtId="166" fontId="43" fillId="4" borderId="2" xfId="43" applyNumberFormat="1" applyFont="1" applyFill="1" applyBorder="1" applyAlignment="1">
      <alignment horizontal="right"/>
    </xf>
    <xf numFmtId="166" fontId="32" fillId="4" borderId="2" xfId="43" applyNumberFormat="1" applyFont="1" applyFill="1" applyBorder="1" applyAlignment="1">
      <alignment horizontal="right"/>
    </xf>
    <xf numFmtId="166" fontId="41" fillId="0" borderId="0" xfId="43" applyNumberFormat="1" applyFont="1" applyFill="1" applyAlignment="1">
      <alignment horizontal="left"/>
    </xf>
    <xf numFmtId="166" fontId="32" fillId="0" borderId="0" xfId="43" quotePrefix="1" applyNumberFormat="1" applyFont="1" applyFill="1" applyAlignment="1">
      <alignment horizontal="right"/>
    </xf>
    <xf numFmtId="178" fontId="33" fillId="4" borderId="17" xfId="2" applyNumberFormat="1" applyFont="1" applyFill="1" applyBorder="1" applyAlignment="1">
      <alignment horizontal="right"/>
    </xf>
    <xf numFmtId="178" fontId="65" fillId="0" borderId="17" xfId="2" applyNumberFormat="1" applyFont="1" applyFill="1" applyBorder="1" applyAlignment="1"/>
    <xf numFmtId="0" fontId="58" fillId="0" borderId="0" xfId="0" applyFont="1" applyAlignment="1">
      <alignment horizontal="right"/>
    </xf>
    <xf numFmtId="166" fontId="65" fillId="4" borderId="0" xfId="43" applyNumberFormat="1" applyFont="1" applyFill="1" applyAlignment="1">
      <alignment horizontal="right"/>
    </xf>
    <xf numFmtId="167" fontId="65" fillId="4" borderId="0" xfId="16" applyNumberFormat="1" applyFont="1" applyFill="1" applyAlignment="1">
      <alignment horizontal="right"/>
    </xf>
    <xf numFmtId="167" fontId="65" fillId="0" borderId="0" xfId="16" applyNumberFormat="1" applyFont="1" applyFill="1" applyAlignment="1"/>
    <xf numFmtId="178" fontId="65" fillId="4" borderId="0" xfId="2" applyNumberFormat="1" applyFont="1" applyFill="1" applyAlignment="1">
      <alignment horizontal="right"/>
    </xf>
    <xf numFmtId="41" fontId="43" fillId="4" borderId="0" xfId="16" applyNumberFormat="1" applyFont="1" applyFill="1" applyAlignment="1">
      <alignment horizontal="right"/>
    </xf>
    <xf numFmtId="41" fontId="43" fillId="0" borderId="0" xfId="16" applyNumberFormat="1" applyFont="1" applyFill="1" applyAlignment="1"/>
    <xf numFmtId="41" fontId="41" fillId="0" borderId="0" xfId="16" applyNumberFormat="1" applyFont="1" applyFill="1" applyAlignment="1"/>
    <xf numFmtId="41" fontId="32" fillId="4" borderId="0" xfId="16" applyNumberFormat="1" applyFont="1" applyFill="1" applyAlignment="1">
      <alignment horizontal="right"/>
    </xf>
    <xf numFmtId="41" fontId="32" fillId="4" borderId="0" xfId="16" applyNumberFormat="1" applyFont="1" applyFill="1" applyAlignment="1"/>
    <xf numFmtId="41" fontId="32" fillId="0" borderId="0" xfId="16" applyNumberFormat="1" applyFont="1" applyFill="1" applyAlignment="1"/>
    <xf numFmtId="41" fontId="41" fillId="4" borderId="0" xfId="16" applyNumberFormat="1" applyFont="1" applyFill="1" applyAlignment="1"/>
    <xf numFmtId="0" fontId="70" fillId="4" borderId="0" xfId="2" applyFont="1" applyFill="1" applyAlignment="1">
      <alignment horizontal="right"/>
    </xf>
    <xf numFmtId="178" fontId="91" fillId="4" borderId="0" xfId="2" applyNumberFormat="1" applyFont="1" applyFill="1" applyAlignment="1">
      <alignment horizontal="right"/>
    </xf>
    <xf numFmtId="178" fontId="43" fillId="4" borderId="0" xfId="2" applyNumberFormat="1" applyFont="1" applyFill="1" applyAlignment="1">
      <alignment horizontal="right"/>
    </xf>
    <xf numFmtId="178" fontId="32" fillId="4" borderId="0" xfId="2" applyNumberFormat="1" applyFont="1" applyFill="1" applyAlignment="1">
      <alignment horizontal="right"/>
    </xf>
    <xf numFmtId="167" fontId="32" fillId="0" borderId="0" xfId="2" applyNumberFormat="1" applyFont="1" applyFill="1" applyAlignment="1"/>
    <xf numFmtId="44" fontId="70" fillId="4" borderId="0" xfId="2" applyNumberFormat="1" applyFont="1" applyFill="1" applyAlignment="1">
      <alignment horizontal="right"/>
    </xf>
    <xf numFmtId="175" fontId="33" fillId="4" borderId="0" xfId="2" applyNumberFormat="1" applyFont="1" applyFill="1" applyAlignment="1">
      <alignment horizontal="right"/>
    </xf>
    <xf numFmtId="175" fontId="33" fillId="4" borderId="0" xfId="2" applyNumberFormat="1" applyFont="1" applyFill="1" applyAlignment="1"/>
    <xf numFmtId="166" fontId="93" fillId="4" borderId="0" xfId="43" applyNumberFormat="1" applyFont="1" applyFill="1" applyAlignment="1">
      <alignment horizontal="right"/>
    </xf>
    <xf numFmtId="166" fontId="69" fillId="0" borderId="0" xfId="43" applyNumberFormat="1" applyFont="1" applyFill="1" applyAlignment="1">
      <alignment horizontal="right"/>
    </xf>
    <xf numFmtId="167" fontId="33" fillId="4" borderId="0" xfId="16" applyNumberFormat="1" applyFont="1" applyFill="1" applyAlignment="1">
      <alignment horizontal="right"/>
    </xf>
    <xf numFmtId="167" fontId="33" fillId="0" borderId="0" xfId="16" applyNumberFormat="1" applyFont="1" applyFill="1" applyAlignment="1"/>
    <xf numFmtId="167" fontId="68" fillId="0" borderId="0" xfId="16" applyNumberFormat="1" applyFont="1" applyFill="1" applyAlignment="1"/>
    <xf numFmtId="167" fontId="33" fillId="4" borderId="0" xfId="16" applyNumberFormat="1" applyFont="1" applyFill="1" applyAlignment="1"/>
    <xf numFmtId="167" fontId="44" fillId="0" borderId="0" xfId="16" applyNumberFormat="1" applyFont="1" applyFill="1" applyAlignment="1"/>
    <xf numFmtId="0" fontId="35" fillId="4" borderId="0" xfId="2" applyFont="1" applyFill="1" applyBorder="1" applyAlignment="1">
      <alignment horizontal="right"/>
    </xf>
    <xf numFmtId="0" fontId="35" fillId="0" borderId="0" xfId="2" applyFont="1" applyFill="1" applyBorder="1" applyAlignment="1">
      <alignment horizontal="center"/>
    </xf>
    <xf numFmtId="0" fontId="35" fillId="4" borderId="0" xfId="2" applyFont="1" applyFill="1" applyBorder="1" applyAlignment="1">
      <alignment horizontal="center"/>
    </xf>
    <xf numFmtId="43" fontId="35" fillId="0" borderId="0" xfId="2" applyNumberFormat="1" applyFont="1" applyFill="1" applyBorder="1" applyAlignment="1">
      <alignment horizontal="center"/>
    </xf>
    <xf numFmtId="43" fontId="35" fillId="4" borderId="0" xfId="2" applyNumberFormat="1" applyFont="1" applyFill="1" applyBorder="1" applyAlignment="1">
      <alignment horizontal="center"/>
    </xf>
    <xf numFmtId="0" fontId="34" fillId="0" borderId="0" xfId="2" applyFont="1" applyFill="1" applyBorder="1" applyAlignment="1"/>
    <xf numFmtId="0" fontId="33" fillId="0" borderId="14" xfId="2" applyFont="1" applyFill="1" applyBorder="1" applyAlignment="1">
      <alignment horizontal="center"/>
    </xf>
    <xf numFmtId="0" fontId="33" fillId="4" borderId="14" xfId="2" applyFont="1" applyFill="1" applyBorder="1" applyAlignment="1">
      <alignment horizontal="center"/>
    </xf>
    <xf numFmtId="0" fontId="32" fillId="0" borderId="14" xfId="2" applyFont="1" applyFill="1" applyBorder="1"/>
    <xf numFmtId="0" fontId="32" fillId="0" borderId="14" xfId="2" applyFont="1" applyFill="1" applyBorder="1" applyAlignment="1"/>
    <xf numFmtId="0" fontId="66" fillId="0" borderId="14" xfId="2" applyFont="1" applyFill="1" applyBorder="1" applyAlignment="1"/>
    <xf numFmtId="0" fontId="72" fillId="0" borderId="0" xfId="2" applyFont="1" applyFill="1" applyBorder="1" applyAlignment="1">
      <alignment horizontal="right"/>
    </xf>
    <xf numFmtId="0" fontId="33" fillId="0" borderId="2" xfId="2" applyFont="1" applyFill="1" applyBorder="1" applyAlignment="1">
      <alignment horizontal="right"/>
    </xf>
    <xf numFmtId="0" fontId="32" fillId="0" borderId="6" xfId="2" applyFont="1" applyFill="1" applyBorder="1" applyAlignment="1">
      <alignment horizontal="right"/>
    </xf>
    <xf numFmtId="0" fontId="32" fillId="0" borderId="4" xfId="2" applyFont="1" applyFill="1" applyBorder="1" applyAlignment="1">
      <alignment horizontal="right"/>
    </xf>
    <xf numFmtId="0" fontId="33" fillId="0" borderId="4" xfId="2" applyFont="1" applyFill="1" applyBorder="1" applyAlignment="1">
      <alignment horizontal="right"/>
    </xf>
    <xf numFmtId="166" fontId="32" fillId="0" borderId="0" xfId="2" applyNumberFormat="1" applyFont="1" applyFill="1"/>
    <xf numFmtId="10" fontId="32" fillId="0" borderId="0" xfId="2" applyNumberFormat="1" applyFont="1" applyFill="1"/>
    <xf numFmtId="10" fontId="32" fillId="0" borderId="0" xfId="2" applyNumberFormat="1" applyFont="1" applyFill="1" applyBorder="1" applyProtection="1">
      <protection locked="0"/>
    </xf>
    <xf numFmtId="0" fontId="89" fillId="5" borderId="0" xfId="2" applyFont="1" applyFill="1" applyBorder="1" applyAlignment="1">
      <alignment horizontal="right"/>
    </xf>
    <xf numFmtId="0" fontId="33" fillId="4" borderId="0" xfId="5" applyFont="1" applyFill="1" applyBorder="1"/>
    <xf numFmtId="9" fontId="32" fillId="4" borderId="0" xfId="16" applyNumberFormat="1" applyFont="1" applyFill="1" applyBorder="1"/>
    <xf numFmtId="167" fontId="33" fillId="4" borderId="0" xfId="16" applyNumberFormat="1" applyFont="1" applyFill="1" applyBorder="1"/>
    <xf numFmtId="0" fontId="32" fillId="4" borderId="0" xfId="5" applyFont="1" applyFill="1" applyBorder="1"/>
    <xf numFmtId="0" fontId="33" fillId="0" borderId="0" xfId="5" applyFont="1" applyFill="1"/>
    <xf numFmtId="0" fontId="32" fillId="0" borderId="0" xfId="5" applyFont="1" applyFill="1"/>
    <xf numFmtId="167" fontId="33" fillId="0" borderId="0" xfId="16" applyNumberFormat="1" applyFont="1" applyFill="1" applyBorder="1" applyAlignment="1">
      <alignment horizontal="right"/>
    </xf>
    <xf numFmtId="167" fontId="32" fillId="4" borderId="4" xfId="16" applyNumberFormat="1" applyFont="1" applyFill="1" applyBorder="1"/>
    <xf numFmtId="9" fontId="32" fillId="4" borderId="0" xfId="5" applyNumberFormat="1" applyFont="1" applyFill="1" applyBorder="1"/>
    <xf numFmtId="0" fontId="90" fillId="0" borderId="0" xfId="5" applyFont="1" applyFill="1"/>
    <xf numFmtId="167" fontId="32" fillId="0" borderId="0" xfId="5" applyNumberFormat="1" applyFont="1" applyFill="1" applyBorder="1"/>
    <xf numFmtId="167" fontId="32" fillId="4" borderId="0" xfId="5" applyNumberFormat="1" applyFont="1" applyFill="1" applyBorder="1"/>
    <xf numFmtId="9" fontId="24" fillId="2" borderId="0" xfId="0" applyNumberFormat="1" applyFont="1" applyFill="1"/>
    <xf numFmtId="167" fontId="32" fillId="0" borderId="0" xfId="2" applyNumberFormat="1" applyFont="1" applyFill="1" applyBorder="1"/>
    <xf numFmtId="167" fontId="32" fillId="4" borderId="0" xfId="2" applyNumberFormat="1" applyFont="1" applyFill="1" applyBorder="1"/>
    <xf numFmtId="0" fontId="20" fillId="2" borderId="0" xfId="0" applyFont="1" applyFill="1"/>
    <xf numFmtId="167" fontId="33" fillId="0" borderId="0" xfId="2" applyNumberFormat="1" applyFont="1" applyFill="1" applyBorder="1"/>
    <xf numFmtId="167" fontId="33" fillId="4" borderId="0" xfId="2" applyNumberFormat="1" applyFont="1" applyFill="1" applyBorder="1"/>
    <xf numFmtId="43" fontId="57" fillId="0" borderId="0" xfId="16" applyFont="1"/>
    <xf numFmtId="43" fontId="32" fillId="4" borderId="0" xfId="16" applyNumberFormat="1" applyFont="1" applyFill="1" applyBorder="1"/>
    <xf numFmtId="0" fontId="32" fillId="4" borderId="0" xfId="16" applyNumberFormat="1" applyFont="1" applyFill="1" applyBorder="1"/>
    <xf numFmtId="0" fontId="69" fillId="4" borderId="0" xfId="16" applyNumberFormat="1" applyFont="1" applyFill="1" applyBorder="1"/>
    <xf numFmtId="167" fontId="69" fillId="4" borderId="0" xfId="2" applyNumberFormat="1" applyFont="1" applyFill="1" applyBorder="1"/>
    <xf numFmtId="167" fontId="69" fillId="0" borderId="0" xfId="2" applyNumberFormat="1" applyFont="1" applyFill="1" applyBorder="1" applyAlignment="1">
      <alignment horizontal="right"/>
    </xf>
    <xf numFmtId="9" fontId="69" fillId="4" borderId="0" xfId="2" applyNumberFormat="1" applyFont="1" applyFill="1" applyBorder="1"/>
    <xf numFmtId="1" fontId="33" fillId="4" borderId="0" xfId="2" applyNumberFormat="1" applyFont="1" applyFill="1" applyBorder="1"/>
    <xf numFmtId="1" fontId="69" fillId="0" borderId="0" xfId="2" applyNumberFormat="1" applyFont="1" applyFill="1" applyBorder="1" applyAlignment="1">
      <alignment horizontal="right"/>
    </xf>
    <xf numFmtId="0" fontId="68" fillId="0" borderId="0" xfId="2" applyFont="1" applyFill="1" applyBorder="1" applyAlignment="1">
      <alignment horizontal="right"/>
    </xf>
    <xf numFmtId="167" fontId="33" fillId="0" borderId="0" xfId="2" applyNumberFormat="1" applyFont="1" applyFill="1" applyBorder="1" applyAlignment="1">
      <alignment horizontal="right"/>
    </xf>
    <xf numFmtId="2" fontId="69" fillId="4" borderId="0" xfId="2" applyNumberFormat="1" applyFont="1" applyFill="1" applyBorder="1"/>
    <xf numFmtId="2" fontId="32" fillId="4" borderId="0" xfId="2" applyNumberFormat="1" applyFont="1" applyFill="1" applyBorder="1"/>
    <xf numFmtId="37" fontId="32" fillId="0" borderId="0" xfId="2" applyNumberFormat="1" applyFont="1" applyFill="1" applyBorder="1" applyAlignment="1">
      <alignment horizontal="right"/>
    </xf>
    <xf numFmtId="1" fontId="69" fillId="4" borderId="0" xfId="2" applyNumberFormat="1" applyFont="1" applyFill="1" applyBorder="1"/>
    <xf numFmtId="9" fontId="69" fillId="0" borderId="0" xfId="2" applyNumberFormat="1" applyFont="1" applyFill="1" applyBorder="1" applyAlignment="1">
      <alignment horizontal="right"/>
    </xf>
    <xf numFmtId="1" fontId="33" fillId="0" borderId="0" xfId="2" applyNumberFormat="1" applyFont="1" applyFill="1" applyBorder="1" applyAlignment="1">
      <alignment horizontal="right"/>
    </xf>
    <xf numFmtId="9" fontId="43" fillId="0" borderId="0" xfId="43" applyNumberFormat="1" applyFont="1" applyFill="1" applyAlignment="1">
      <alignment horizontal="right"/>
    </xf>
    <xf numFmtId="9" fontId="43" fillId="4" borderId="0" xfId="43" applyNumberFormat="1" applyFont="1" applyFill="1" applyAlignment="1">
      <alignment horizontal="right"/>
    </xf>
    <xf numFmtId="0" fontId="32" fillId="0" borderId="0" xfId="2" applyFont="1" applyFill="1" applyAlignment="1">
      <alignment horizontal="left" indent="1"/>
    </xf>
    <xf numFmtId="9" fontId="43" fillId="0" borderId="0" xfId="43" applyNumberFormat="1" applyFont="1" applyFill="1" applyAlignment="1"/>
    <xf numFmtId="0" fontId="32" fillId="0" borderId="0" xfId="2" quotePrefix="1" applyFont="1" applyFill="1"/>
    <xf numFmtId="9" fontId="32" fillId="0" borderId="0" xfId="43" applyNumberFormat="1" applyFont="1" applyFill="1" applyAlignment="1"/>
    <xf numFmtId="167" fontId="33" fillId="0" borderId="0" xfId="2" applyNumberFormat="1" applyFont="1" applyFill="1"/>
    <xf numFmtId="167" fontId="32" fillId="0" borderId="0" xfId="2" applyNumberFormat="1" applyFont="1" applyFill="1"/>
    <xf numFmtId="0" fontId="41" fillId="0" borderId="0" xfId="2" applyFont="1"/>
    <xf numFmtId="167" fontId="32" fillId="2" borderId="0" xfId="2" applyNumberFormat="1" applyFont="1" applyFill="1"/>
    <xf numFmtId="167" fontId="32" fillId="2" borderId="0" xfId="16" applyNumberFormat="1" applyFont="1" applyFill="1"/>
    <xf numFmtId="167" fontId="32" fillId="10" borderId="0" xfId="16" applyNumberFormat="1" applyFont="1" applyFill="1"/>
    <xf numFmtId="1" fontId="32" fillId="0" borderId="0" xfId="2" applyNumberFormat="1" applyFont="1" applyFill="1"/>
    <xf numFmtId="1" fontId="32" fillId="0" borderId="0" xfId="2" applyNumberFormat="1" applyFont="1" applyFill="1" applyAlignment="1">
      <alignment horizontal="right"/>
    </xf>
    <xf numFmtId="167" fontId="33" fillId="0" borderId="0" xfId="16" applyNumberFormat="1" applyFont="1" applyFill="1" applyBorder="1"/>
    <xf numFmtId="9" fontId="43" fillId="4" borderId="0" xfId="43" applyFont="1" applyFill="1" applyBorder="1"/>
    <xf numFmtId="166" fontId="32" fillId="4" borderId="0" xfId="16" applyNumberFormat="1" applyFont="1" applyFill="1" applyBorder="1"/>
    <xf numFmtId="0" fontId="32" fillId="4" borderId="0" xfId="0" applyFont="1" applyFill="1"/>
    <xf numFmtId="0" fontId="7" fillId="0" borderId="0" xfId="0" applyFont="1" applyAlignment="1">
      <alignment horizontal="right"/>
    </xf>
    <xf numFmtId="167" fontId="32" fillId="4" borderId="12" xfId="16" applyNumberFormat="1" applyFont="1" applyFill="1" applyBorder="1"/>
    <xf numFmtId="43" fontId="33" fillId="0" borderId="0" xfId="16" applyNumberFormat="1" applyFont="1" applyFill="1" applyBorder="1" applyAlignment="1">
      <alignment horizontal="right"/>
    </xf>
    <xf numFmtId="9" fontId="32" fillId="4" borderId="0" xfId="43" applyFont="1" applyFill="1" applyAlignment="1"/>
    <xf numFmtId="9" fontId="33" fillId="4" borderId="0" xfId="43" applyFont="1" applyFill="1" applyAlignment="1"/>
    <xf numFmtId="166" fontId="33" fillId="4" borderId="0" xfId="16" applyNumberFormat="1" applyFont="1" applyFill="1" applyBorder="1"/>
    <xf numFmtId="167" fontId="69" fillId="4" borderId="0" xfId="16" applyNumberFormat="1" applyFont="1" applyFill="1" applyBorder="1"/>
    <xf numFmtId="167" fontId="69" fillId="0" borderId="0" xfId="16" applyNumberFormat="1" applyFont="1" applyFill="1" applyBorder="1" applyAlignment="1">
      <alignment horizontal="right"/>
    </xf>
    <xf numFmtId="167" fontId="69" fillId="0" borderId="0" xfId="16" applyNumberFormat="1" applyFont="1" applyFill="1" applyBorder="1"/>
    <xf numFmtId="167" fontId="43" fillId="0" borderId="0" xfId="16" applyNumberFormat="1" applyFont="1" applyFill="1"/>
    <xf numFmtId="0" fontId="69" fillId="4" borderId="0" xfId="2" applyFont="1" applyFill="1" applyAlignment="1"/>
    <xf numFmtId="167" fontId="69" fillId="4" borderId="0" xfId="43" applyNumberFormat="1" applyFont="1" applyFill="1" applyBorder="1"/>
    <xf numFmtId="167" fontId="32" fillId="0" borderId="0" xfId="16" quotePrefix="1" applyNumberFormat="1" applyFont="1" applyFill="1" applyBorder="1"/>
    <xf numFmtId="167" fontId="43" fillId="0" borderId="0" xfId="16" applyNumberFormat="1" applyFont="1" applyFill="1" applyBorder="1"/>
    <xf numFmtId="167" fontId="43" fillId="4" borderId="0" xfId="16" applyNumberFormat="1" applyFont="1" applyFill="1"/>
    <xf numFmtId="9" fontId="43" fillId="4" borderId="0" xfId="43" applyNumberFormat="1" applyFont="1" applyFill="1" applyAlignment="1"/>
    <xf numFmtId="0" fontId="32" fillId="0" borderId="0" xfId="2" applyFont="1" applyFill="1" applyAlignment="1">
      <alignment horizontal="left"/>
    </xf>
    <xf numFmtId="43" fontId="44" fillId="0" borderId="0" xfId="2" applyNumberFormat="1" applyFont="1" applyFill="1" applyAlignment="1"/>
    <xf numFmtId="9" fontId="41" fillId="4" borderId="0" xfId="43" applyNumberFormat="1" applyFont="1" applyFill="1" applyAlignment="1"/>
    <xf numFmtId="166" fontId="41" fillId="2" borderId="0" xfId="43" applyNumberFormat="1" applyFont="1" applyFill="1" applyAlignment="1">
      <alignment horizontal="right"/>
    </xf>
    <xf numFmtId="9" fontId="41" fillId="0" borderId="0" xfId="43" applyNumberFormat="1" applyFont="1" applyFill="1" applyAlignment="1"/>
    <xf numFmtId="9" fontId="43" fillId="4" borderId="0" xfId="43" applyFont="1" applyFill="1" applyAlignment="1"/>
    <xf numFmtId="3" fontId="32" fillId="0" borderId="0" xfId="43" applyNumberFormat="1" applyFont="1" applyFill="1" applyAlignment="1">
      <alignment horizontal="right"/>
    </xf>
    <xf numFmtId="3" fontId="43" fillId="0" borderId="0" xfId="43" applyNumberFormat="1" applyFont="1" applyFill="1" applyAlignment="1">
      <alignment horizontal="right"/>
    </xf>
    <xf numFmtId="9" fontId="43" fillId="0" borderId="0" xfId="43" quotePrefix="1" applyNumberFormat="1" applyFont="1" applyFill="1" applyAlignment="1">
      <alignment horizontal="right"/>
    </xf>
    <xf numFmtId="9" fontId="43" fillId="0" borderId="0" xfId="43" quotePrefix="1" applyNumberFormat="1" applyFont="1" applyFill="1" applyAlignment="1"/>
    <xf numFmtId="3" fontId="32" fillId="0" borderId="0" xfId="43" applyNumberFormat="1" applyFont="1" applyFill="1" applyAlignment="1"/>
    <xf numFmtId="3" fontId="32" fillId="4" borderId="0" xfId="43" applyNumberFormat="1" applyFont="1" applyFill="1" applyAlignment="1"/>
    <xf numFmtId="9" fontId="65" fillId="0" borderId="0" xfId="16" applyNumberFormat="1" applyFont="1" applyFill="1" applyAlignment="1">
      <alignment horizontal="right"/>
    </xf>
    <xf numFmtId="3" fontId="32" fillId="2" borderId="0" xfId="43" applyNumberFormat="1" applyFont="1" applyFill="1" applyAlignment="1">
      <alignment horizontal="right"/>
    </xf>
    <xf numFmtId="169" fontId="43" fillId="0" borderId="0" xfId="43" applyNumberFormat="1" applyFont="1" applyFill="1" applyAlignment="1">
      <alignment horizontal="right"/>
    </xf>
    <xf numFmtId="3" fontId="33" fillId="4" borderId="0" xfId="43" applyNumberFormat="1" applyFont="1" applyFill="1" applyAlignment="1"/>
    <xf numFmtId="167" fontId="65" fillId="0" borderId="0" xfId="16" applyNumberFormat="1" applyFont="1" applyFill="1" applyAlignment="1">
      <alignment horizontal="right"/>
    </xf>
    <xf numFmtId="9" fontId="65" fillId="0" borderId="0" xfId="16" applyNumberFormat="1" applyFont="1" applyFill="1"/>
    <xf numFmtId="166" fontId="43" fillId="4" borderId="0" xfId="43" applyNumberFormat="1" applyFont="1" applyFill="1" applyAlignment="1"/>
    <xf numFmtId="0" fontId="43" fillId="0" borderId="0" xfId="2" applyFont="1" applyFill="1" applyAlignment="1">
      <alignment horizontal="left"/>
    </xf>
    <xf numFmtId="167" fontId="43" fillId="0" borderId="0" xfId="16" applyNumberFormat="1" applyFont="1" applyFill="1" applyAlignment="1">
      <alignment horizontal="right"/>
    </xf>
    <xf numFmtId="167" fontId="43" fillId="2" borderId="0" xfId="16" applyNumberFormat="1" applyFont="1" applyFill="1" applyAlignment="1">
      <alignment horizontal="right"/>
    </xf>
    <xf numFmtId="9" fontId="43" fillId="0" borderId="0" xfId="16" quotePrefix="1" applyNumberFormat="1" applyFont="1" applyFill="1" applyAlignment="1">
      <alignment horizontal="right"/>
    </xf>
    <xf numFmtId="9" fontId="43" fillId="0" borderId="0" xfId="16" applyNumberFormat="1" applyFont="1" applyFill="1"/>
    <xf numFmtId="43" fontId="43" fillId="0" borderId="0" xfId="16" applyFont="1" applyFill="1" applyAlignment="1">
      <alignment horizontal="right"/>
    </xf>
    <xf numFmtId="167" fontId="43" fillId="0" borderId="0" xfId="16" applyNumberFormat="1" applyFont="1" applyFill="1" applyAlignment="1">
      <alignment horizontal="left"/>
    </xf>
    <xf numFmtId="9" fontId="43" fillId="0" borderId="0" xfId="43" applyFont="1" applyFill="1" applyAlignment="1">
      <alignment horizontal="right"/>
    </xf>
    <xf numFmtId="0" fontId="32" fillId="0" borderId="0" xfId="2" quotePrefix="1" applyFont="1" applyFill="1" applyAlignment="1">
      <alignment horizontal="left"/>
    </xf>
    <xf numFmtId="43" fontId="41" fillId="0" borderId="0" xfId="2" applyNumberFormat="1" applyFont="1" applyFill="1" applyAlignment="1"/>
    <xf numFmtId="166" fontId="43" fillId="6" borderId="0" xfId="43" applyNumberFormat="1" applyFont="1" applyFill="1" applyAlignment="1">
      <alignment horizontal="right"/>
    </xf>
    <xf numFmtId="166" fontId="43" fillId="6" borderId="0" xfId="43" applyNumberFormat="1" applyFont="1" applyFill="1" applyAlignment="1"/>
    <xf numFmtId="43" fontId="66" fillId="0" borderId="0" xfId="2" applyNumberFormat="1" applyFont="1" applyFill="1" applyAlignment="1"/>
    <xf numFmtId="3" fontId="43" fillId="0" borderId="0" xfId="43" applyNumberFormat="1" applyFont="1" applyFill="1" applyAlignment="1"/>
    <xf numFmtId="3" fontId="43" fillId="0" borderId="0" xfId="16" applyNumberFormat="1" applyFont="1" applyFill="1" applyAlignment="1"/>
    <xf numFmtId="3" fontId="32" fillId="0" borderId="0" xfId="16" applyNumberFormat="1" applyFont="1" applyFill="1" applyAlignment="1"/>
    <xf numFmtId="3" fontId="69" fillId="0" borderId="0" xfId="43" applyNumberFormat="1" applyFont="1" applyFill="1" applyAlignment="1"/>
    <xf numFmtId="3" fontId="41" fillId="0" borderId="0" xfId="43" applyNumberFormat="1" applyFont="1" applyFill="1" applyAlignment="1"/>
    <xf numFmtId="3" fontId="43" fillId="0" borderId="0" xfId="2" applyNumberFormat="1" applyFont="1" applyFill="1" applyAlignment="1"/>
    <xf numFmtId="3" fontId="32" fillId="0" borderId="0" xfId="2" applyNumberFormat="1" applyFont="1" applyFill="1" applyAlignment="1">
      <alignment horizontal="left"/>
    </xf>
    <xf numFmtId="167" fontId="65" fillId="0" borderId="0" xfId="16" applyNumberFormat="1" applyFont="1" applyFill="1"/>
    <xf numFmtId="166" fontId="69" fillId="4" borderId="0" xfId="43" applyNumberFormat="1" applyFont="1" applyFill="1" applyAlignment="1"/>
    <xf numFmtId="166" fontId="32" fillId="0" borderId="2" xfId="43" applyNumberFormat="1" applyFont="1" applyFill="1" applyBorder="1" applyAlignment="1">
      <alignment horizontal="right"/>
    </xf>
    <xf numFmtId="178" fontId="33" fillId="0" borderId="0" xfId="2" applyNumberFormat="1" applyFont="1" applyFill="1" applyAlignment="1">
      <alignment horizontal="right"/>
    </xf>
    <xf numFmtId="167" fontId="33" fillId="0" borderId="17" xfId="2" applyNumberFormat="1" applyFont="1" applyFill="1" applyBorder="1" applyAlignment="1">
      <alignment horizontal="right"/>
    </xf>
    <xf numFmtId="178" fontId="92" fillId="4" borderId="0" xfId="2" applyNumberFormat="1" applyFont="1" applyFill="1" applyAlignment="1"/>
    <xf numFmtId="178" fontId="43" fillId="0" borderId="0" xfId="2" applyNumberFormat="1" applyFont="1" applyFill="1" applyAlignment="1">
      <alignment horizontal="right"/>
    </xf>
    <xf numFmtId="178" fontId="32" fillId="0" borderId="0" xfId="2" applyNumberFormat="1" applyFont="1" applyFill="1" applyAlignment="1">
      <alignment horizontal="right"/>
    </xf>
    <xf numFmtId="178" fontId="69" fillId="0" borderId="0" xfId="2" applyNumberFormat="1" applyFont="1" applyFill="1" applyAlignment="1">
      <alignment horizontal="right"/>
    </xf>
    <xf numFmtId="178" fontId="43" fillId="0" borderId="0" xfId="2" applyNumberFormat="1" applyFont="1" applyFill="1" applyAlignment="1"/>
    <xf numFmtId="192" fontId="32" fillId="0" borderId="0" xfId="2" applyNumberFormat="1" applyFont="1" applyFill="1" applyAlignment="1"/>
    <xf numFmtId="178" fontId="33" fillId="0" borderId="17" xfId="2" applyNumberFormat="1" applyFont="1" applyFill="1" applyBorder="1" applyAlignment="1">
      <alignment horizontal="right"/>
    </xf>
    <xf numFmtId="166" fontId="25" fillId="0" borderId="0" xfId="43" applyNumberFormat="1" applyFont="1" applyFill="1" applyAlignment="1"/>
    <xf numFmtId="175" fontId="25" fillId="0" borderId="0" xfId="2" applyNumberFormat="1" applyFont="1" applyFill="1" applyAlignment="1"/>
    <xf numFmtId="178" fontId="32" fillId="2" borderId="0" xfId="16" applyNumberFormat="1" applyFont="1" applyFill="1" applyAlignment="1">
      <alignment horizontal="right"/>
    </xf>
    <xf numFmtId="44" fontId="25" fillId="4" borderId="0" xfId="2" applyNumberFormat="1" applyFont="1" applyFill="1" applyAlignment="1"/>
    <xf numFmtId="193" fontId="25" fillId="0" borderId="0" xfId="2" applyNumberFormat="1" applyFont="1" applyFill="1" applyAlignment="1"/>
    <xf numFmtId="178" fontId="68" fillId="0" borderId="0" xfId="2" applyNumberFormat="1" applyFont="1" applyFill="1" applyAlignment="1">
      <alignment horizontal="right"/>
    </xf>
    <xf numFmtId="0" fontId="44" fillId="0" borderId="14" xfId="2" applyFont="1" applyFill="1" applyBorder="1" applyAlignment="1">
      <alignment horizontal="center"/>
    </xf>
    <xf numFmtId="165" fontId="72" fillId="0" borderId="0" xfId="2" applyNumberFormat="1" applyFont="1" applyFill="1" applyBorder="1" applyAlignment="1">
      <alignment horizontal="center"/>
    </xf>
    <xf numFmtId="0" fontId="34" fillId="0" borderId="2" xfId="2" applyFont="1" applyBorder="1" applyAlignment="1">
      <alignment horizontal="centerContinuous"/>
    </xf>
    <xf numFmtId="0" fontId="32" fillId="0" borderId="4" xfId="7" applyFont="1" applyFill="1" applyBorder="1" applyAlignment="1"/>
    <xf numFmtId="0" fontId="33" fillId="0" borderId="4" xfId="7" applyFont="1" applyFill="1" applyBorder="1" applyAlignment="1">
      <alignment horizontal="right"/>
    </xf>
    <xf numFmtId="0" fontId="33" fillId="0" borderId="4" xfId="7" applyFont="1" applyFill="1" applyBorder="1" applyAlignment="1"/>
    <xf numFmtId="0" fontId="32" fillId="0" borderId="0" xfId="7" applyFont="1" applyFill="1" applyBorder="1" applyAlignment="1"/>
    <xf numFmtId="0" fontId="23" fillId="0" borderId="0" xfId="7" applyFont="1" applyFill="1" applyBorder="1" applyAlignment="1">
      <alignment horizontal="right"/>
    </xf>
    <xf numFmtId="0" fontId="23" fillId="0" borderId="0" xfId="2" applyFont="1" applyFill="1" applyBorder="1" applyAlignment="1">
      <alignment horizontal="right"/>
    </xf>
    <xf numFmtId="175" fontId="68" fillId="0" borderId="0" xfId="2" applyNumberFormat="1" applyFont="1" applyFill="1" applyBorder="1" applyAlignment="1">
      <alignment horizontal="left"/>
    </xf>
    <xf numFmtId="0" fontId="5" fillId="0" borderId="0" xfId="2" applyFont="1" applyFill="1" applyBorder="1" applyAlignment="1"/>
    <xf numFmtId="0" fontId="23" fillId="0" borderId="11" xfId="7" applyFont="1" applyFill="1" applyBorder="1" applyAlignment="1" applyProtection="1">
      <alignment horizontal="right"/>
      <protection locked="0"/>
    </xf>
    <xf numFmtId="0" fontId="32" fillId="0" borderId="12" xfId="7" applyFont="1" applyFill="1" applyBorder="1" applyAlignment="1"/>
    <xf numFmtId="0" fontId="23" fillId="0" borderId="12" xfId="7" applyFont="1" applyFill="1" applyBorder="1" applyAlignment="1">
      <alignment horizontal="right"/>
    </xf>
    <xf numFmtId="0" fontId="23" fillId="0" borderId="12" xfId="2" applyFont="1" applyFill="1" applyBorder="1" applyAlignment="1">
      <alignment horizontal="right"/>
    </xf>
    <xf numFmtId="175" fontId="68" fillId="0" borderId="12" xfId="2" applyNumberFormat="1" applyFont="1" applyFill="1" applyBorder="1" applyAlignment="1"/>
    <xf numFmtId="0" fontId="5" fillId="0" borderId="12" xfId="2" applyFont="1" applyFill="1" applyBorder="1" applyAlignment="1"/>
    <xf numFmtId="0" fontId="46" fillId="0" borderId="13" xfId="2" applyFont="1" applyFill="1" applyBorder="1" applyAlignment="1" applyProtection="1">
      <protection locked="0"/>
    </xf>
    <xf numFmtId="6" fontId="32" fillId="0" borderId="0" xfId="2" applyNumberFormat="1" applyFont="1" applyFill="1" applyBorder="1" applyAlignment="1">
      <alignment horizontal="right"/>
    </xf>
    <xf numFmtId="0" fontId="43" fillId="4" borderId="0" xfId="2" applyFont="1" applyFill="1" applyBorder="1" applyAlignment="1"/>
    <xf numFmtId="0" fontId="43" fillId="0" borderId="0" xfId="2" applyFont="1" applyFill="1" applyBorder="1" applyAlignment="1"/>
    <xf numFmtId="9" fontId="43" fillId="4" borderId="0" xfId="2" applyNumberFormat="1" applyFont="1" applyFill="1" applyBorder="1" applyAlignment="1"/>
    <xf numFmtId="166" fontId="43" fillId="4" borderId="4" xfId="43" applyNumberFormat="1" applyFont="1" applyFill="1" applyBorder="1" applyAlignment="1"/>
    <xf numFmtId="166" fontId="0" fillId="0" borderId="4" xfId="43" applyNumberFormat="1" applyFont="1" applyBorder="1"/>
    <xf numFmtId="166" fontId="32" fillId="4" borderId="4" xfId="43" applyNumberFormat="1" applyFont="1" applyFill="1" applyBorder="1" applyAlignment="1"/>
    <xf numFmtId="0" fontId="0" fillId="0" borderId="4" xfId="0" applyBorder="1"/>
    <xf numFmtId="0" fontId="43" fillId="4" borderId="4" xfId="2" applyFont="1" applyFill="1" applyBorder="1" applyAlignment="1"/>
    <xf numFmtId="0" fontId="33" fillId="4" borderId="4" xfId="2" applyFont="1" applyFill="1" applyBorder="1" applyAlignment="1"/>
    <xf numFmtId="166" fontId="43" fillId="4" borderId="0" xfId="43" applyNumberFormat="1" applyFont="1" applyFill="1" applyBorder="1" applyAlignment="1"/>
    <xf numFmtId="1" fontId="32" fillId="4" borderId="4" xfId="2" applyNumberFormat="1" applyFont="1" applyFill="1" applyBorder="1" applyAlignment="1"/>
    <xf numFmtId="1" fontId="32" fillId="4" borderId="0" xfId="2" applyNumberFormat="1" applyFont="1" applyFill="1" applyBorder="1" applyAlignment="1"/>
    <xf numFmtId="0" fontId="0" fillId="0" borderId="0" xfId="0" applyBorder="1"/>
    <xf numFmtId="167" fontId="0" fillId="0" borderId="0" xfId="16" applyNumberFormat="1" applyFont="1" applyBorder="1"/>
    <xf numFmtId="1" fontId="43" fillId="4" borderId="0" xfId="2" applyNumberFormat="1" applyFont="1" applyFill="1" applyBorder="1" applyAlignment="1"/>
    <xf numFmtId="167" fontId="43" fillId="4" borderId="0" xfId="16" applyNumberFormat="1" applyFont="1" applyFill="1" applyBorder="1" applyAlignment="1"/>
    <xf numFmtId="0" fontId="103" fillId="0" borderId="0" xfId="0" applyFont="1"/>
    <xf numFmtId="0" fontId="66" fillId="0" borderId="0" xfId="2" applyFont="1" applyFill="1" applyAlignment="1"/>
    <xf numFmtId="9" fontId="69" fillId="0" borderId="0" xfId="43" applyFont="1" applyFill="1" applyBorder="1" applyAlignment="1">
      <alignment horizontal="right"/>
    </xf>
    <xf numFmtId="9" fontId="69" fillId="4" borderId="0" xfId="43" applyFont="1" applyFill="1" applyAlignment="1">
      <alignment horizontal="right"/>
    </xf>
    <xf numFmtId="1" fontId="69" fillId="4" borderId="0" xfId="2" applyNumberFormat="1" applyFont="1" applyFill="1" applyAlignment="1">
      <alignment horizontal="right"/>
    </xf>
    <xf numFmtId="1" fontId="69" fillId="4" borderId="0" xfId="2" applyNumberFormat="1" applyFont="1" applyFill="1" applyBorder="1" applyAlignment="1">
      <alignment horizontal="right"/>
    </xf>
    <xf numFmtId="1" fontId="32" fillId="0" borderId="0" xfId="2" applyNumberFormat="1" applyFont="1" applyFill="1" applyBorder="1" applyAlignment="1">
      <alignment horizontal="right"/>
    </xf>
    <xf numFmtId="1" fontId="32" fillId="0" borderId="0" xfId="2" applyNumberFormat="1" applyFont="1" applyFill="1" applyBorder="1" applyAlignment="1"/>
    <xf numFmtId="1" fontId="32" fillId="4" borderId="0" xfId="2" applyNumberFormat="1" applyFont="1" applyFill="1" applyAlignment="1"/>
    <xf numFmtId="1" fontId="32" fillId="0" borderId="0" xfId="2" applyNumberFormat="1" applyFont="1" applyFill="1" applyAlignment="1"/>
    <xf numFmtId="37" fontId="69" fillId="0" borderId="0" xfId="2" applyNumberFormat="1" applyFont="1" applyFill="1" applyAlignment="1">
      <alignment horizontal="right"/>
    </xf>
    <xf numFmtId="37" fontId="69" fillId="4" borderId="0" xfId="2" applyNumberFormat="1" applyFont="1" applyFill="1" applyAlignment="1">
      <alignment horizontal="right"/>
    </xf>
    <xf numFmtId="37" fontId="32" fillId="0" borderId="0" xfId="2" applyNumberFormat="1" applyFont="1" applyFill="1" applyAlignment="1">
      <alignment horizontal="right"/>
    </xf>
    <xf numFmtId="0" fontId="90" fillId="0" borderId="0" xfId="2" applyFont="1" applyFill="1" applyAlignment="1"/>
    <xf numFmtId="9" fontId="33" fillId="4" borderId="0" xfId="43" applyFont="1" applyFill="1" applyBorder="1" applyAlignment="1"/>
    <xf numFmtId="0" fontId="32" fillId="6" borderId="0" xfId="2" applyFont="1" applyFill="1" applyBorder="1" applyAlignment="1"/>
    <xf numFmtId="37" fontId="33" fillId="0" borderId="0" xfId="2" applyNumberFormat="1" applyFont="1" applyFill="1" applyAlignment="1"/>
    <xf numFmtId="37" fontId="33" fillId="4" borderId="0" xfId="2" applyNumberFormat="1" applyFont="1" applyFill="1" applyAlignment="1"/>
    <xf numFmtId="37" fontId="68" fillId="4" borderId="0" xfId="2" applyNumberFormat="1" applyFont="1" applyFill="1" applyAlignment="1"/>
    <xf numFmtId="166" fontId="32" fillId="4" borderId="0" xfId="2" applyNumberFormat="1" applyFont="1" applyFill="1" applyBorder="1" applyAlignment="1"/>
    <xf numFmtId="37" fontId="33" fillId="4" borderId="0" xfId="2" applyNumberFormat="1" applyFont="1" applyFill="1" applyBorder="1" applyAlignment="1"/>
    <xf numFmtId="37" fontId="68" fillId="4" borderId="0" xfId="2" applyNumberFormat="1" applyFont="1" applyFill="1" applyBorder="1" applyAlignment="1"/>
    <xf numFmtId="37" fontId="33" fillId="0" borderId="0" xfId="2" applyNumberFormat="1" applyFont="1" applyFill="1" applyBorder="1" applyAlignment="1"/>
    <xf numFmtId="37" fontId="32" fillId="2" borderId="0" xfId="2" applyNumberFormat="1" applyFont="1" applyFill="1" applyAlignment="1"/>
    <xf numFmtId="37" fontId="69" fillId="4" borderId="0" xfId="2" applyNumberFormat="1" applyFont="1" applyFill="1" applyAlignment="1"/>
    <xf numFmtId="178" fontId="32" fillId="0" borderId="0" xfId="2" applyNumberFormat="1" applyFont="1" applyFill="1" applyBorder="1" applyAlignment="1"/>
    <xf numFmtId="3" fontId="65" fillId="4" borderId="0" xfId="43" applyNumberFormat="1" applyFont="1" applyFill="1" applyAlignment="1"/>
    <xf numFmtId="3" fontId="65" fillId="0" borderId="0" xfId="43" applyNumberFormat="1" applyFont="1" applyFill="1" applyAlignment="1"/>
    <xf numFmtId="4" fontId="65" fillId="4" borderId="0" xfId="43" applyNumberFormat="1" applyFont="1" applyFill="1" applyAlignment="1"/>
    <xf numFmtId="178" fontId="68" fillId="0" borderId="0" xfId="2" applyNumberFormat="1" applyFont="1" applyFill="1" applyAlignment="1"/>
    <xf numFmtId="17" fontId="32" fillId="4" borderId="0" xfId="2" applyNumberFormat="1" applyFont="1" applyFill="1" applyBorder="1" applyAlignment="1">
      <alignment horizontal="right"/>
    </xf>
    <xf numFmtId="178" fontId="32" fillId="4" borderId="0" xfId="2" applyNumberFormat="1" applyFont="1" applyFill="1" applyBorder="1" applyAlignment="1">
      <alignment horizontal="right"/>
    </xf>
    <xf numFmtId="43" fontId="33" fillId="2" borderId="0" xfId="2" applyNumberFormat="1" applyFont="1" applyFill="1" applyBorder="1" applyAlignment="1">
      <alignment horizontal="right"/>
    </xf>
    <xf numFmtId="0" fontId="41" fillId="0" borderId="0" xfId="2" applyFont="1" applyFill="1" applyBorder="1" applyAlignment="1">
      <alignment horizontal="right"/>
    </xf>
    <xf numFmtId="0" fontId="65" fillId="0" borderId="14" xfId="2" applyFont="1" applyFill="1" applyBorder="1" applyAlignment="1">
      <alignment horizontal="left"/>
    </xf>
    <xf numFmtId="0" fontId="33" fillId="0" borderId="6" xfId="2" applyFont="1" applyFill="1" applyBorder="1" applyAlignment="1"/>
    <xf numFmtId="0" fontId="5" fillId="0" borderId="12" xfId="2" applyFont="1" applyFill="1" applyBorder="1" applyAlignment="1" applyProtection="1">
      <protection locked="0"/>
    </xf>
    <xf numFmtId="166" fontId="32" fillId="0" borderId="0" xfId="43" applyNumberFormat="1" applyFont="1" applyFill="1" applyBorder="1" applyAlignment="1"/>
    <xf numFmtId="167" fontId="57" fillId="0" borderId="0" xfId="0" applyNumberFormat="1" applyFont="1"/>
    <xf numFmtId="43" fontId="57" fillId="0" borderId="0" xfId="0" applyNumberFormat="1" applyFont="1"/>
    <xf numFmtId="9" fontId="32" fillId="4" borderId="0" xfId="2" applyNumberFormat="1" applyFont="1" applyFill="1" applyBorder="1"/>
    <xf numFmtId="0" fontId="32" fillId="0" borderId="0" xfId="0" applyFont="1" applyFill="1" applyBorder="1"/>
    <xf numFmtId="0" fontId="32" fillId="2" borderId="0" xfId="0" applyFont="1" applyFill="1"/>
    <xf numFmtId="165" fontId="32" fillId="2" borderId="0" xfId="0" applyNumberFormat="1" applyFont="1" applyFill="1"/>
    <xf numFmtId="171" fontId="32" fillId="2" borderId="0" xfId="0" applyNumberFormat="1" applyFont="1" applyFill="1"/>
    <xf numFmtId="49" fontId="0" fillId="0" borderId="0" xfId="0" applyNumberFormat="1"/>
    <xf numFmtId="167" fontId="43" fillId="4" borderId="0" xfId="56" applyNumberFormat="1" applyFont="1" applyFill="1" applyBorder="1" applyAlignment="1"/>
    <xf numFmtId="1" fontId="117" fillId="4" borderId="0" xfId="2" applyNumberFormat="1" applyFont="1" applyFill="1" applyBorder="1" applyAlignment="1"/>
    <xf numFmtId="0" fontId="57" fillId="11" borderId="0" xfId="0" applyFont="1" applyFill="1"/>
    <xf numFmtId="0" fontId="0" fillId="11" borderId="4" xfId="0" applyFill="1" applyBorder="1"/>
    <xf numFmtId="167" fontId="33" fillId="13" borderId="0" xfId="16" applyNumberFormat="1" applyFont="1" applyFill="1" applyAlignment="1" applyProtection="1">
      <protection locked="0"/>
    </xf>
    <xf numFmtId="178" fontId="118" fillId="2" borderId="17" xfId="2" applyNumberFormat="1" applyFont="1" applyFill="1" applyBorder="1" applyAlignment="1"/>
    <xf numFmtId="178" fontId="118" fillId="2" borderId="0" xfId="2" applyNumberFormat="1" applyFont="1" applyFill="1" applyAlignment="1"/>
    <xf numFmtId="178" fontId="118" fillId="0" borderId="17" xfId="2" applyNumberFormat="1" applyFont="1" applyFill="1" applyBorder="1" applyAlignment="1"/>
    <xf numFmtId="167" fontId="118" fillId="0" borderId="0" xfId="16" applyNumberFormat="1" applyFont="1" applyFill="1" applyAlignment="1"/>
    <xf numFmtId="178" fontId="118" fillId="0" borderId="17" xfId="2" applyNumberFormat="1" applyFont="1" applyFill="1" applyBorder="1" applyAlignment="1">
      <alignment horizontal="right"/>
    </xf>
    <xf numFmtId="178" fontId="118" fillId="0" borderId="0" xfId="2" applyNumberFormat="1" applyFont="1" applyFill="1" applyAlignment="1">
      <alignment horizontal="right"/>
    </xf>
    <xf numFmtId="178" fontId="118" fillId="0" borderId="0" xfId="2" applyNumberFormat="1" applyFont="1" applyFill="1" applyAlignment="1"/>
    <xf numFmtId="178" fontId="117" fillId="2" borderId="0" xfId="2" applyNumberFormat="1" applyFont="1" applyFill="1" applyAlignment="1"/>
    <xf numFmtId="178" fontId="117" fillId="0" borderId="0" xfId="2" applyNumberFormat="1" applyFont="1" applyFill="1" applyAlignment="1"/>
    <xf numFmtId="37" fontId="117" fillId="0" borderId="0" xfId="2" applyNumberFormat="1" applyFont="1" applyFill="1" applyAlignment="1" applyProtection="1">
      <protection locked="0"/>
    </xf>
    <xf numFmtId="167" fontId="117" fillId="0" borderId="0" xfId="16" applyNumberFormat="1" applyFont="1" applyFill="1" applyBorder="1" applyAlignment="1" applyProtection="1">
      <protection locked="0"/>
    </xf>
    <xf numFmtId="3" fontId="117" fillId="0" borderId="0" xfId="2" applyNumberFormat="1" applyFont="1" applyFill="1" applyAlignment="1"/>
    <xf numFmtId="3" fontId="117" fillId="0" borderId="0" xfId="2" applyNumberFormat="1" applyFont="1" applyFill="1" applyAlignment="1" applyProtection="1">
      <protection locked="0"/>
    </xf>
    <xf numFmtId="37" fontId="117" fillId="0" borderId="0" xfId="16" applyNumberFormat="1" applyFont="1" applyFill="1" applyAlignment="1"/>
    <xf numFmtId="167" fontId="117" fillId="0" borderId="0" xfId="16" applyNumberFormat="1" applyFont="1" applyFill="1" applyAlignment="1" applyProtection="1">
      <protection locked="0"/>
    </xf>
    <xf numFmtId="37" fontId="117" fillId="0" borderId="0" xfId="2" applyNumberFormat="1" applyFont="1" applyFill="1" applyAlignment="1"/>
    <xf numFmtId="37" fontId="117" fillId="0" borderId="0" xfId="43" applyNumberFormat="1" applyFont="1" applyFill="1" applyAlignment="1" applyProtection="1">
      <alignment horizontal="right"/>
      <protection locked="0"/>
    </xf>
    <xf numFmtId="37" fontId="117" fillId="2" borderId="0" xfId="16" applyNumberFormat="1" applyFont="1" applyFill="1" applyAlignment="1" applyProtection="1">
      <alignment horizontal="right"/>
      <protection locked="0"/>
    </xf>
    <xf numFmtId="37" fontId="119" fillId="0" borderId="0" xfId="16" applyNumberFormat="1" applyFont="1" applyFill="1" applyBorder="1" applyAlignment="1" applyProtection="1">
      <alignment horizontal="right"/>
      <protection locked="0"/>
    </xf>
    <xf numFmtId="166" fontId="117" fillId="2" borderId="0" xfId="43" applyNumberFormat="1" applyFont="1" applyFill="1" applyAlignment="1">
      <alignment horizontal="right"/>
    </xf>
    <xf numFmtId="166" fontId="117" fillId="0" borderId="0" xfId="43" applyNumberFormat="1" applyFont="1" applyFill="1" applyAlignment="1">
      <alignment horizontal="right"/>
    </xf>
    <xf numFmtId="9" fontId="32" fillId="0" borderId="0" xfId="57" applyFont="1" applyFill="1" applyBorder="1" applyAlignment="1">
      <alignment horizontal="right"/>
    </xf>
    <xf numFmtId="166" fontId="117" fillId="0" borderId="0" xfId="43" applyNumberFormat="1" applyFont="1" applyFill="1" applyAlignment="1"/>
    <xf numFmtId="167" fontId="33" fillId="4" borderId="0" xfId="56" applyNumberFormat="1" applyFont="1" applyFill="1" applyBorder="1" applyAlignment="1">
      <alignment horizontal="right"/>
    </xf>
    <xf numFmtId="0" fontId="120" fillId="11" borderId="0" xfId="0" applyFont="1" applyFill="1"/>
    <xf numFmtId="37" fontId="121" fillId="0" borderId="0" xfId="16" applyNumberFormat="1" applyFont="1" applyFill="1" applyBorder="1" applyAlignment="1" applyProtection="1">
      <alignment horizontal="right"/>
      <protection locked="0"/>
    </xf>
    <xf numFmtId="9" fontId="43" fillId="0" borderId="0" xfId="16" applyNumberFormat="1" applyFont="1" applyFill="1" applyAlignment="1">
      <alignment horizontal="right"/>
    </xf>
    <xf numFmtId="43" fontId="41" fillId="4" borderId="0" xfId="56" applyFont="1" applyFill="1" applyAlignment="1" applyProtection="1">
      <alignment horizontal="right"/>
      <protection locked="0"/>
    </xf>
    <xf numFmtId="1" fontId="57" fillId="0" borderId="0" xfId="0" applyNumberFormat="1" applyFont="1"/>
    <xf numFmtId="1" fontId="58" fillId="0" borderId="0" xfId="0" applyNumberFormat="1" applyFont="1"/>
    <xf numFmtId="0" fontId="65" fillId="0" borderId="0" xfId="2" applyFont="1" applyFill="1" applyBorder="1" applyAlignment="1" applyProtection="1">
      <alignment horizontal="left"/>
      <protection locked="0"/>
    </xf>
    <xf numFmtId="167" fontId="33" fillId="0" borderId="0" xfId="2" applyNumberFormat="1" applyFont="1" applyFill="1" applyBorder="1" applyProtection="1">
      <protection locked="0"/>
    </xf>
    <xf numFmtId="166" fontId="122" fillId="0" borderId="0" xfId="43" applyNumberFormat="1" applyFont="1" applyFill="1" applyAlignment="1"/>
    <xf numFmtId="166" fontId="122" fillId="0" borderId="0" xfId="57" applyNumberFormat="1" applyFont="1" applyFill="1" applyAlignment="1"/>
    <xf numFmtId="167" fontId="32" fillId="0" borderId="2" xfId="2" applyNumberFormat="1" applyFont="1" applyFill="1" applyBorder="1" applyAlignment="1"/>
    <xf numFmtId="167" fontId="33" fillId="4" borderId="2" xfId="2" applyNumberFormat="1" applyFont="1" applyFill="1" applyBorder="1" applyAlignment="1">
      <alignment horizontal="right"/>
    </xf>
    <xf numFmtId="167" fontId="58" fillId="0" borderId="0" xfId="0" applyNumberFormat="1" applyFont="1"/>
    <xf numFmtId="0" fontId="125" fillId="0" borderId="0" xfId="0" applyFont="1"/>
    <xf numFmtId="0" fontId="125" fillId="0" borderId="0" xfId="0" applyFont="1" applyAlignment="1">
      <alignment horizontal="right"/>
    </xf>
    <xf numFmtId="167" fontId="58" fillId="0" borderId="0" xfId="56" applyNumberFormat="1" applyFont="1"/>
    <xf numFmtId="167" fontId="33" fillId="4" borderId="0" xfId="56" applyNumberFormat="1" applyFont="1" applyFill="1" applyBorder="1"/>
    <xf numFmtId="43" fontId="41" fillId="0" borderId="0" xfId="56" applyFont="1" applyFill="1" applyAlignment="1">
      <alignment horizontal="right"/>
    </xf>
    <xf numFmtId="43" fontId="41" fillId="4" borderId="0" xfId="43" applyNumberFormat="1" applyFont="1" applyFill="1" applyAlignment="1"/>
    <xf numFmtId="2" fontId="122" fillId="0" borderId="0" xfId="43" applyNumberFormat="1" applyFont="1" applyFill="1" applyAlignment="1">
      <alignment horizontal="right"/>
    </xf>
    <xf numFmtId="167" fontId="41" fillId="4" borderId="0" xfId="43" applyNumberFormat="1" applyFont="1" applyFill="1" applyAlignment="1"/>
    <xf numFmtId="167" fontId="44" fillId="0" borderId="0" xfId="56" applyNumberFormat="1" applyFont="1" applyFill="1" applyAlignment="1">
      <alignment horizontal="right"/>
    </xf>
    <xf numFmtId="167" fontId="44" fillId="4" borderId="0" xfId="43" applyNumberFormat="1" applyFont="1" applyFill="1" applyAlignment="1"/>
    <xf numFmtId="43" fontId="71" fillId="0" borderId="0" xfId="2" applyNumberFormat="1" applyFont="1" applyFill="1" applyAlignment="1"/>
    <xf numFmtId="166" fontId="67" fillId="0" borderId="0" xfId="43" applyNumberFormat="1" applyFont="1" applyFill="1" applyAlignment="1"/>
    <xf numFmtId="167" fontId="67" fillId="0" borderId="0" xfId="16" applyNumberFormat="1" applyFont="1" applyFill="1" applyAlignment="1"/>
    <xf numFmtId="9" fontId="67" fillId="0" borderId="0" xfId="43" applyNumberFormat="1" applyFont="1" applyFill="1" applyAlignment="1"/>
    <xf numFmtId="9" fontId="67" fillId="4" borderId="0" xfId="43" applyNumberFormat="1" applyFont="1" applyFill="1" applyAlignment="1"/>
    <xf numFmtId="9" fontId="126" fillId="0" borderId="0" xfId="43" applyNumberFormat="1" applyFont="1" applyFill="1" applyAlignment="1"/>
    <xf numFmtId="43" fontId="32" fillId="0" borderId="0" xfId="56" applyFont="1" applyFill="1" applyBorder="1" applyAlignment="1" applyProtection="1">
      <protection locked="0"/>
    </xf>
    <xf numFmtId="167" fontId="32" fillId="0" borderId="0" xfId="56" applyNumberFormat="1" applyFont="1" applyFill="1" applyBorder="1" applyAlignment="1" applyProtection="1">
      <protection locked="0"/>
    </xf>
    <xf numFmtId="167" fontId="33" fillId="0" borderId="0" xfId="43" applyNumberFormat="1" applyFont="1" applyFill="1" applyBorder="1" applyAlignment="1" applyProtection="1">
      <protection locked="0"/>
    </xf>
    <xf numFmtId="39" fontId="35" fillId="0" borderId="0" xfId="2" applyNumberFormat="1" applyFont="1" applyFill="1" applyBorder="1" applyAlignment="1" applyProtection="1">
      <alignment horizontal="left"/>
      <protection locked="0"/>
    </xf>
    <xf numFmtId="167" fontId="43" fillId="0" borderId="0" xfId="56" applyNumberFormat="1" applyFont="1" applyFill="1" applyAlignment="1" applyProtection="1">
      <alignment horizontal="right"/>
      <protection locked="0"/>
    </xf>
    <xf numFmtId="167" fontId="127" fillId="0" borderId="0" xfId="16" applyNumberFormat="1" applyFont="1" applyFill="1" applyAlignment="1" applyProtection="1">
      <protection locked="0"/>
    </xf>
    <xf numFmtId="167" fontId="122" fillId="0" borderId="0" xfId="16" applyNumberFormat="1" applyFont="1" applyFill="1" applyAlignment="1" applyProtection="1">
      <protection locked="0"/>
    </xf>
    <xf numFmtId="167" fontId="122" fillId="4" borderId="0" xfId="16" applyNumberFormat="1" applyFont="1" applyFill="1" applyBorder="1"/>
    <xf numFmtId="37" fontId="122" fillId="0" borderId="4" xfId="16" applyNumberFormat="1" applyFont="1" applyFill="1" applyBorder="1"/>
    <xf numFmtId="37" fontId="122" fillId="4" borderId="4" xfId="16" applyNumberFormat="1" applyFont="1" applyFill="1" applyBorder="1"/>
    <xf numFmtId="167" fontId="43" fillId="0" borderId="0" xfId="56" applyNumberFormat="1" applyFont="1" applyFill="1" applyAlignment="1" applyProtection="1">
      <protection locked="0"/>
    </xf>
    <xf numFmtId="43" fontId="33" fillId="0" borderId="0" xfId="56" applyFont="1" applyFill="1" applyAlignment="1" applyProtection="1">
      <protection locked="0"/>
    </xf>
    <xf numFmtId="167" fontId="118" fillId="2" borderId="0" xfId="2" applyNumberFormat="1" applyFont="1" applyFill="1" applyAlignment="1"/>
    <xf numFmtId="41" fontId="117" fillId="0" borderId="0" xfId="16" applyNumberFormat="1" applyFont="1" applyFill="1" applyAlignment="1"/>
    <xf numFmtId="167" fontId="117" fillId="4" borderId="0" xfId="16" applyNumberFormat="1" applyFont="1" applyFill="1" applyAlignment="1"/>
    <xf numFmtId="9" fontId="32" fillId="2" borderId="0" xfId="16" applyNumberFormat="1" applyFont="1" applyFill="1" applyBorder="1" applyAlignment="1"/>
    <xf numFmtId="167" fontId="32" fillId="0" borderId="0" xfId="56" applyNumberFormat="1" applyFont="1" applyFill="1" applyBorder="1" applyAlignment="1">
      <alignment horizontal="right"/>
    </xf>
    <xf numFmtId="167" fontId="32" fillId="0" borderId="4" xfId="56" applyNumberFormat="1" applyFont="1" applyFill="1" applyBorder="1" applyAlignment="1">
      <alignment horizontal="right"/>
    </xf>
    <xf numFmtId="167" fontId="7" fillId="0" borderId="4" xfId="56" applyNumberFormat="1" applyFont="1" applyBorder="1"/>
    <xf numFmtId="167" fontId="32" fillId="13" borderId="0" xfId="16" applyNumberFormat="1" applyFont="1" applyFill="1" applyBorder="1"/>
    <xf numFmtId="9" fontId="32" fillId="0" borderId="0" xfId="16" applyNumberFormat="1" applyFont="1" applyFill="1" applyBorder="1" applyAlignment="1">
      <alignment horizontal="right"/>
    </xf>
    <xf numFmtId="9" fontId="122" fillId="4" borderId="0" xfId="16" applyNumberFormat="1" applyFont="1" applyFill="1"/>
    <xf numFmtId="167" fontId="32" fillId="4" borderId="4" xfId="56" applyNumberFormat="1" applyFont="1" applyFill="1" applyBorder="1" applyAlignment="1"/>
    <xf numFmtId="167" fontId="32" fillId="0" borderId="0" xfId="56" applyNumberFormat="1" applyFont="1" applyFill="1" applyBorder="1" applyAlignment="1"/>
    <xf numFmtId="167" fontId="33" fillId="0" borderId="0" xfId="2" applyNumberFormat="1" applyFont="1" applyFill="1" applyBorder="1" applyAlignment="1"/>
    <xf numFmtId="37" fontId="129" fillId="0" borderId="0" xfId="2" applyNumberFormat="1" applyFont="1" applyFill="1" applyAlignment="1" applyProtection="1">
      <alignment horizontal="right"/>
    </xf>
    <xf numFmtId="167" fontId="128" fillId="0" borderId="17" xfId="2" applyNumberFormat="1" applyFont="1" applyFill="1" applyBorder="1" applyAlignment="1">
      <alignment horizontal="right"/>
    </xf>
    <xf numFmtId="9" fontId="33" fillId="2" borderId="0" xfId="57" applyFont="1" applyFill="1" applyBorder="1" applyAlignment="1">
      <alignment horizontal="right"/>
    </xf>
    <xf numFmtId="167" fontId="118" fillId="0" borderId="17" xfId="2" applyNumberFormat="1" applyFont="1" applyFill="1" applyBorder="1" applyAlignment="1"/>
    <xf numFmtId="166" fontId="7" fillId="0" borderId="0" xfId="43" applyNumberFormat="1" applyFont="1" applyAlignment="1">
      <alignment horizontal="right"/>
    </xf>
    <xf numFmtId="9" fontId="33" fillId="4" borderId="0" xfId="16" applyNumberFormat="1" applyFont="1" applyFill="1" applyBorder="1"/>
    <xf numFmtId="166" fontId="122" fillId="4" borderId="0" xfId="43" applyNumberFormat="1" applyFont="1" applyFill="1"/>
    <xf numFmtId="0" fontId="33" fillId="4" borderId="0" xfId="2" applyFont="1" applyFill="1" applyBorder="1" applyAlignment="1">
      <alignment horizontal="left"/>
    </xf>
    <xf numFmtId="4" fontId="32" fillId="0" borderId="0" xfId="2" applyNumberFormat="1" applyFont="1" applyFill="1" applyAlignment="1" applyProtection="1">
      <alignment horizontal="right"/>
    </xf>
    <xf numFmtId="37" fontId="32" fillId="13" borderId="0" xfId="16" applyNumberFormat="1" applyFont="1" applyFill="1" applyBorder="1"/>
    <xf numFmtId="0" fontId="23" fillId="0" borderId="0" xfId="2" applyFont="1" applyFill="1" applyBorder="1" applyAlignment="1" applyProtection="1">
      <alignment horizontal="right"/>
      <protection locked="0"/>
    </xf>
    <xf numFmtId="0" fontId="51" fillId="0" borderId="0" xfId="3" applyFont="1" applyFill="1" applyBorder="1" applyAlignment="1" applyProtection="1">
      <alignment horizontal="right"/>
      <protection locked="0"/>
    </xf>
    <xf numFmtId="0" fontId="27" fillId="0" borderId="0" xfId="2" applyFont="1" applyFill="1" applyBorder="1" applyAlignment="1" applyProtection="1">
      <alignment horizontal="right"/>
      <protection locked="0"/>
    </xf>
    <xf numFmtId="0" fontId="35" fillId="4" borderId="0" xfId="2" applyFont="1" applyFill="1" applyBorder="1" applyAlignment="1" applyProtection="1">
      <alignment horizontal="center"/>
      <protection locked="0"/>
    </xf>
    <xf numFmtId="167" fontId="35" fillId="4" borderId="0" xfId="16" applyNumberFormat="1" applyFont="1" applyFill="1" applyBorder="1" applyAlignment="1" applyProtection="1">
      <alignment horizontal="right"/>
      <protection locked="0"/>
    </xf>
    <xf numFmtId="167" fontId="32" fillId="2" borderId="0" xfId="56" applyNumberFormat="1" applyFont="1" applyFill="1" applyAlignment="1"/>
    <xf numFmtId="9" fontId="130" fillId="0" borderId="0" xfId="2" applyNumberFormat="1" applyFont="1" applyFill="1" applyBorder="1" applyAlignment="1"/>
    <xf numFmtId="164" fontId="32" fillId="0" borderId="0" xfId="1" applyFont="1" applyFill="1" applyBorder="1" applyAlignment="1" applyProtection="1">
      <alignment horizontal="right"/>
      <protection locked="0"/>
    </xf>
    <xf numFmtId="0" fontId="35" fillId="0" borderId="0" xfId="2" applyFont="1" applyFill="1" applyBorder="1" applyAlignment="1">
      <alignment horizontal="right"/>
    </xf>
    <xf numFmtId="167" fontId="33" fillId="0" borderId="0" xfId="16" applyNumberFormat="1" applyFont="1" applyFill="1" applyAlignment="1">
      <alignment horizontal="right"/>
    </xf>
    <xf numFmtId="44" fontId="70" fillId="0" borderId="0" xfId="2" applyNumberFormat="1" applyFont="1" applyFill="1" applyAlignment="1">
      <alignment horizontal="right"/>
    </xf>
    <xf numFmtId="178" fontId="33" fillId="0" borderId="0" xfId="2" applyNumberFormat="1" applyFont="1" applyFill="1" applyBorder="1" applyAlignment="1">
      <alignment horizontal="right"/>
    </xf>
    <xf numFmtId="0" fontId="70" fillId="0" borderId="0" xfId="2" applyFont="1" applyFill="1" applyAlignment="1">
      <alignment horizontal="right"/>
    </xf>
    <xf numFmtId="41" fontId="43" fillId="0" borderId="0" xfId="16" applyNumberFormat="1" applyFont="1" applyFill="1" applyAlignment="1">
      <alignment horizontal="right"/>
    </xf>
    <xf numFmtId="166" fontId="43" fillId="0" borderId="0" xfId="43" applyNumberFormat="1" applyFont="1" applyFill="1" applyBorder="1" applyAlignment="1">
      <alignment horizontal="right"/>
    </xf>
    <xf numFmtId="0" fontId="57" fillId="0" borderId="0" xfId="0" applyFont="1" applyFill="1" applyAlignment="1">
      <alignment horizontal="right"/>
    </xf>
    <xf numFmtId="9" fontId="43" fillId="0" borderId="0" xfId="2" applyNumberFormat="1" applyFont="1" applyFill="1" applyBorder="1" applyAlignment="1">
      <alignment horizontal="right"/>
    </xf>
    <xf numFmtId="167" fontId="32" fillId="0" borderId="0" xfId="16" applyNumberFormat="1" applyFont="1" applyFill="1" applyAlignment="1">
      <alignment horizontal="right"/>
    </xf>
    <xf numFmtId="178" fontId="33" fillId="0" borderId="0" xfId="43" applyNumberFormat="1" applyFont="1" applyFill="1" applyBorder="1" applyAlignment="1">
      <alignment horizontal="right"/>
    </xf>
    <xf numFmtId="166" fontId="32" fillId="0" borderId="0" xfId="2" applyNumberFormat="1" applyFont="1" applyFill="1" applyBorder="1" applyAlignment="1">
      <alignment horizontal="right"/>
    </xf>
    <xf numFmtId="167" fontId="32" fillId="0" borderId="0" xfId="2" applyNumberFormat="1" applyFont="1" applyFill="1" applyAlignment="1">
      <alignment horizontal="right"/>
    </xf>
    <xf numFmtId="167" fontId="33" fillId="0" borderId="0" xfId="56" applyNumberFormat="1" applyFont="1" applyFill="1" applyBorder="1" applyAlignment="1">
      <alignment horizontal="right"/>
    </xf>
    <xf numFmtId="0" fontId="89" fillId="0" borderId="0" xfId="2" applyFont="1" applyFill="1" applyAlignment="1">
      <alignment horizontal="right"/>
    </xf>
    <xf numFmtId="0" fontId="0" fillId="0" borderId="0" xfId="0" applyFill="1" applyAlignment="1">
      <alignment horizontal="right"/>
    </xf>
    <xf numFmtId="167" fontId="58" fillId="0" borderId="0" xfId="16" applyNumberFormat="1" applyFont="1"/>
    <xf numFmtId="178" fontId="33" fillId="0" borderId="0" xfId="2" applyNumberFormat="1" applyFont="1" applyFill="1" applyBorder="1" applyAlignment="1"/>
    <xf numFmtId="166" fontId="43" fillId="0" borderId="0" xfId="43" applyNumberFormat="1" applyFont="1" applyFill="1" applyBorder="1" applyAlignment="1"/>
    <xf numFmtId="166" fontId="32" fillId="0" borderId="0" xfId="2" applyNumberFormat="1" applyFont="1" applyFill="1" applyBorder="1" applyAlignment="1"/>
    <xf numFmtId="166" fontId="122" fillId="0" borderId="0" xfId="43" applyNumberFormat="1" applyFont="1" applyFill="1"/>
    <xf numFmtId="9" fontId="43" fillId="0" borderId="0" xfId="2" applyNumberFormat="1" applyFont="1" applyFill="1" applyBorder="1" applyAlignment="1"/>
    <xf numFmtId="1" fontId="69" fillId="0" borderId="0" xfId="2" applyNumberFormat="1" applyFont="1" applyFill="1" applyAlignment="1">
      <alignment horizontal="right"/>
    </xf>
    <xf numFmtId="167" fontId="43" fillId="0" borderId="0" xfId="56" applyNumberFormat="1" applyFont="1" applyFill="1" applyBorder="1" applyAlignment="1"/>
    <xf numFmtId="0" fontId="57" fillId="0" borderId="0" xfId="0" applyFont="1" applyFill="1"/>
    <xf numFmtId="1" fontId="117" fillId="0" borderId="0" xfId="2" applyNumberFormat="1" applyFont="1" applyFill="1" applyBorder="1" applyAlignment="1"/>
    <xf numFmtId="166" fontId="32" fillId="0" borderId="0" xfId="43" applyNumberFormat="1" applyFont="1" applyFill="1" applyBorder="1" applyAlignment="1">
      <alignment horizontal="right"/>
    </xf>
    <xf numFmtId="0" fontId="89" fillId="0" borderId="0" xfId="2" applyFont="1" applyFill="1"/>
    <xf numFmtId="167" fontId="69" fillId="0" borderId="0" xfId="43" applyNumberFormat="1" applyFont="1" applyFill="1" applyBorder="1"/>
    <xf numFmtId="166" fontId="33" fillId="0" borderId="0" xfId="16" applyNumberFormat="1" applyFont="1" applyFill="1" applyBorder="1"/>
    <xf numFmtId="0" fontId="89" fillId="0" borderId="0" xfId="2" applyFont="1" applyFill="1" applyBorder="1" applyAlignment="1"/>
    <xf numFmtId="167" fontId="122" fillId="0" borderId="0" xfId="16" applyNumberFormat="1" applyFont="1" applyFill="1" applyBorder="1"/>
    <xf numFmtId="9" fontId="32" fillId="0" borderId="0" xfId="16" applyNumberFormat="1" applyFont="1" applyFill="1" applyBorder="1"/>
    <xf numFmtId="1" fontId="33" fillId="0" borderId="0" xfId="2" applyNumberFormat="1" applyFont="1" applyFill="1" applyBorder="1"/>
    <xf numFmtId="1" fontId="69" fillId="0" borderId="0" xfId="2" applyNumberFormat="1" applyFont="1" applyFill="1" applyBorder="1"/>
    <xf numFmtId="2" fontId="69" fillId="0" borderId="0" xfId="2" applyNumberFormat="1" applyFont="1" applyFill="1" applyBorder="1"/>
    <xf numFmtId="167" fontId="69" fillId="0" borderId="0" xfId="2" applyNumberFormat="1" applyFont="1" applyFill="1" applyBorder="1"/>
    <xf numFmtId="0" fontId="0" fillId="0" borderId="0" xfId="0" applyFill="1" applyBorder="1"/>
    <xf numFmtId="172" fontId="32" fillId="0" borderId="0" xfId="43" applyNumberFormat="1" applyFont="1" applyFill="1" applyBorder="1" applyAlignment="1">
      <alignment horizontal="right"/>
    </xf>
    <xf numFmtId="44" fontId="25" fillId="0" borderId="0" xfId="2" applyNumberFormat="1" applyFont="1" applyFill="1" applyBorder="1" applyAlignment="1"/>
    <xf numFmtId="166" fontId="41" fillId="0" borderId="0" xfId="43" applyNumberFormat="1" applyFont="1" applyFill="1" applyBorder="1" applyAlignment="1">
      <alignment horizontal="right"/>
    </xf>
    <xf numFmtId="178" fontId="43" fillId="0" borderId="0" xfId="2" applyNumberFormat="1" applyFont="1" applyFill="1" applyBorder="1" applyAlignment="1"/>
    <xf numFmtId="167" fontId="43" fillId="0" borderId="0" xfId="16" applyNumberFormat="1" applyFont="1" applyFill="1" applyBorder="1" applyAlignment="1"/>
    <xf numFmtId="167" fontId="65" fillId="0" borderId="0" xfId="16" applyNumberFormat="1" applyFont="1" applyFill="1" applyBorder="1" applyAlignment="1"/>
    <xf numFmtId="166" fontId="41" fillId="0" borderId="0" xfId="43" applyNumberFormat="1" applyFont="1" applyFill="1" applyBorder="1" applyAlignment="1"/>
    <xf numFmtId="166" fontId="69" fillId="0" borderId="0" xfId="43" applyNumberFormat="1" applyFont="1" applyFill="1" applyBorder="1" applyAlignment="1"/>
    <xf numFmtId="3" fontId="32" fillId="0" borderId="0" xfId="43" applyNumberFormat="1" applyFont="1" applyFill="1" applyBorder="1" applyAlignment="1"/>
    <xf numFmtId="9" fontId="41" fillId="0" borderId="0" xfId="43" applyNumberFormat="1" applyFont="1" applyFill="1" applyBorder="1" applyAlignment="1"/>
    <xf numFmtId="3" fontId="33" fillId="0" borderId="0" xfId="43" applyNumberFormat="1" applyFont="1" applyFill="1" applyBorder="1" applyAlignment="1"/>
    <xf numFmtId="9" fontId="43" fillId="0" borderId="0" xfId="43" applyFont="1" applyFill="1" applyBorder="1" applyAlignment="1"/>
    <xf numFmtId="167" fontId="41" fillId="0" borderId="0" xfId="43" applyNumberFormat="1" applyFont="1" applyFill="1" applyBorder="1" applyAlignment="1"/>
    <xf numFmtId="9" fontId="67" fillId="0" borderId="0" xfId="43" applyNumberFormat="1" applyFont="1" applyFill="1" applyBorder="1" applyAlignment="1"/>
    <xf numFmtId="9" fontId="43" fillId="0" borderId="0" xfId="43" applyNumberFormat="1" applyFont="1" applyFill="1" applyBorder="1" applyAlignment="1"/>
    <xf numFmtId="0" fontId="132" fillId="0" borderId="0" xfId="0" applyFont="1"/>
    <xf numFmtId="167" fontId="33" fillId="10" borderId="0" xfId="16" applyNumberFormat="1" applyFont="1" applyFill="1"/>
    <xf numFmtId="167" fontId="33" fillId="2" borderId="0" xfId="2" applyNumberFormat="1" applyFont="1" applyFill="1"/>
    <xf numFmtId="0" fontId="133" fillId="0" borderId="0" xfId="2" applyFont="1" applyFill="1" applyBorder="1" applyAlignment="1">
      <alignment horizontal="right"/>
    </xf>
    <xf numFmtId="9" fontId="131" fillId="4" borderId="0" xfId="2" applyNumberFormat="1" applyFont="1" applyFill="1" applyBorder="1"/>
    <xf numFmtId="167" fontId="33" fillId="4" borderId="0" xfId="5" applyNumberFormat="1" applyFont="1" applyFill="1" applyBorder="1"/>
    <xf numFmtId="167" fontId="33" fillId="0" borderId="0" xfId="5" applyNumberFormat="1" applyFont="1" applyFill="1" applyBorder="1" applyAlignment="1">
      <alignment horizontal="right"/>
    </xf>
    <xf numFmtId="167" fontId="32" fillId="0" borderId="0" xfId="5" applyNumberFormat="1" applyFont="1" applyFill="1" applyBorder="1" applyAlignment="1">
      <alignment horizontal="right"/>
    </xf>
    <xf numFmtId="1" fontId="32" fillId="0" borderId="0" xfId="5" applyNumberFormat="1" applyFont="1" applyFill="1" applyBorder="1" applyAlignment="1">
      <alignment horizontal="right"/>
    </xf>
    <xf numFmtId="9" fontId="32" fillId="0" borderId="0" xfId="43" applyNumberFormat="1" applyFont="1" applyFill="1" applyAlignment="1">
      <alignment horizontal="right"/>
    </xf>
    <xf numFmtId="9" fontId="32" fillId="0" borderId="0" xfId="16" applyNumberFormat="1" applyFont="1" applyFill="1" applyBorder="1" applyAlignment="1">
      <alignment horizontal="left"/>
    </xf>
    <xf numFmtId="167" fontId="32" fillId="4" borderId="0" xfId="2" applyNumberFormat="1" applyFont="1" applyFill="1" applyAlignment="1"/>
    <xf numFmtId="0" fontId="0" fillId="0" borderId="0" xfId="0"/>
    <xf numFmtId="0" fontId="7" fillId="0" borderId="0" xfId="39" applyFont="1"/>
    <xf numFmtId="167" fontId="7" fillId="0" borderId="5" xfId="39" applyNumberFormat="1" applyFont="1" applyBorder="1"/>
    <xf numFmtId="167" fontId="7" fillId="0" borderId="4" xfId="16" applyNumberFormat="1" applyFont="1" applyBorder="1"/>
    <xf numFmtId="0" fontId="7" fillId="0" borderId="4" xfId="39" applyFont="1" applyBorder="1"/>
    <xf numFmtId="167" fontId="7" fillId="0" borderId="0" xfId="16" applyNumberFormat="1" applyFont="1" applyBorder="1"/>
    <xf numFmtId="167" fontId="52" fillId="0" borderId="5" xfId="16" applyNumberFormat="1" applyFont="1" applyBorder="1"/>
    <xf numFmtId="167" fontId="7" fillId="0" borderId="0" xfId="16" applyNumberFormat="1" applyFont="1"/>
    <xf numFmtId="167" fontId="52" fillId="0" borderId="12" xfId="39" applyNumberFormat="1" applyFont="1" applyBorder="1"/>
    <xf numFmtId="166" fontId="54" fillId="0" borderId="0" xfId="43" applyNumberFormat="1" applyFont="1"/>
    <xf numFmtId="167" fontId="52" fillId="0" borderId="0" xfId="16" applyNumberFormat="1" applyFont="1"/>
    <xf numFmtId="167" fontId="52" fillId="0" borderId="12" xfId="16" applyNumberFormat="1" applyFont="1" applyBorder="1"/>
    <xf numFmtId="0" fontId="52" fillId="0" borderId="0" xfId="39" applyFont="1"/>
    <xf numFmtId="0" fontId="52" fillId="0" borderId="5" xfId="39" applyFont="1" applyBorder="1" applyAlignment="1">
      <alignment horizontal="center"/>
    </xf>
    <xf numFmtId="0" fontId="7" fillId="2" borderId="0" xfId="39" applyFont="1" applyFill="1"/>
    <xf numFmtId="167" fontId="7" fillId="2" borderId="0" xfId="39" applyNumberFormat="1" applyFont="1" applyFill="1"/>
    <xf numFmtId="167" fontId="52" fillId="2" borderId="0" xfId="16" applyNumberFormat="1" applyFont="1" applyFill="1"/>
    <xf numFmtId="167" fontId="7" fillId="0" borderId="0" xfId="39" applyNumberFormat="1" applyFont="1"/>
    <xf numFmtId="166" fontId="52" fillId="0" borderId="0" xfId="43" applyNumberFormat="1" applyFont="1"/>
    <xf numFmtId="166" fontId="52" fillId="0" borderId="12" xfId="43" applyNumberFormat="1" applyFont="1" applyBorder="1"/>
    <xf numFmtId="166" fontId="52" fillId="2" borderId="0" xfId="43" applyNumberFormat="1" applyFont="1" applyFill="1" applyBorder="1"/>
    <xf numFmtId="166" fontId="7" fillId="0" borderId="0" xfId="43" applyNumberFormat="1" applyFont="1"/>
    <xf numFmtId="167" fontId="52" fillId="0" borderId="0" xfId="16" applyNumberFormat="1" applyFont="1" applyFill="1"/>
    <xf numFmtId="167" fontId="7" fillId="0" borderId="0" xfId="16" applyNumberFormat="1" applyFont="1" applyFill="1"/>
    <xf numFmtId="166" fontId="52" fillId="0" borderId="0" xfId="43" applyNumberFormat="1" applyFont="1" applyFill="1"/>
    <xf numFmtId="166" fontId="7" fillId="0" borderId="4" xfId="43" applyNumberFormat="1" applyFont="1" applyFill="1" applyBorder="1"/>
    <xf numFmtId="166" fontId="7" fillId="0" borderId="0" xfId="43" applyNumberFormat="1" applyFont="1" applyFill="1"/>
    <xf numFmtId="166" fontId="7" fillId="0" borderId="4" xfId="43" applyNumberFormat="1" applyFont="1" applyBorder="1"/>
    <xf numFmtId="43" fontId="7" fillId="2" borderId="0" xfId="16" applyFont="1" applyFill="1"/>
    <xf numFmtId="43" fontId="7" fillId="0" borderId="0" xfId="16" applyFont="1"/>
    <xf numFmtId="43" fontId="7" fillId="0" borderId="5" xfId="16" applyFont="1" applyBorder="1"/>
    <xf numFmtId="9" fontId="54" fillId="0" borderId="0" xfId="43" applyNumberFormat="1" applyFont="1"/>
    <xf numFmtId="43" fontId="52" fillId="0" borderId="5" xfId="16" applyFont="1" applyBorder="1"/>
    <xf numFmtId="167" fontId="54" fillId="0" borderId="0" xfId="16" applyNumberFormat="1" applyFont="1" applyBorder="1"/>
    <xf numFmtId="167" fontId="52" fillId="0" borderId="0" xfId="16" applyNumberFormat="1" applyFont="1" applyBorder="1"/>
    <xf numFmtId="37" fontId="7" fillId="0" borderId="0" xfId="39" applyNumberFormat="1" applyFont="1"/>
    <xf numFmtId="167" fontId="7" fillId="2" borderId="0" xfId="16" applyNumberFormat="1" applyFont="1" applyFill="1"/>
    <xf numFmtId="166" fontId="54" fillId="2" borderId="0" xfId="43" applyNumberFormat="1" applyFont="1" applyFill="1"/>
    <xf numFmtId="166" fontId="7" fillId="2" borderId="4" xfId="43" applyNumberFormat="1" applyFont="1" applyFill="1" applyBorder="1"/>
    <xf numFmtId="0" fontId="57" fillId="2" borderId="4" xfId="2" applyFont="1" applyFill="1" applyBorder="1" applyAlignment="1" applyProtection="1">
      <protection locked="0"/>
    </xf>
    <xf numFmtId="0" fontId="61" fillId="2" borderId="7" xfId="2" applyFont="1" applyFill="1" applyBorder="1" applyAlignment="1" applyProtection="1">
      <protection locked="0"/>
    </xf>
    <xf numFmtId="167" fontId="32" fillId="4" borderId="0" xfId="16" applyNumberFormat="1" applyFont="1" applyFill="1" applyAlignment="1" applyProtection="1">
      <protection locked="0"/>
    </xf>
    <xf numFmtId="166" fontId="43" fillId="0" borderId="0" xfId="2" applyNumberFormat="1" applyFont="1" applyFill="1" applyProtection="1"/>
    <xf numFmtId="37" fontId="34" fillId="4" borderId="0" xfId="16" applyNumberFormat="1" applyFont="1" applyFill="1" applyBorder="1" applyAlignment="1" applyProtection="1">
      <alignment horizontal="right"/>
      <protection locked="0"/>
    </xf>
    <xf numFmtId="166" fontId="34" fillId="4" borderId="0" xfId="43" applyNumberFormat="1" applyFont="1" applyFill="1" applyBorder="1" applyAlignment="1" applyProtection="1">
      <alignment horizontal="right"/>
      <protection locked="0"/>
    </xf>
    <xf numFmtId="43" fontId="34" fillId="4" borderId="0" xfId="16" applyNumberFormat="1" applyFont="1" applyFill="1" applyBorder="1" applyAlignment="1" applyProtection="1">
      <alignment horizontal="right"/>
      <protection locked="0"/>
    </xf>
    <xf numFmtId="37" fontId="35" fillId="4" borderId="0" xfId="16" applyNumberFormat="1" applyFont="1" applyFill="1" applyBorder="1" applyAlignment="1" applyProtection="1">
      <alignment horizontal="right"/>
      <protection locked="0"/>
    </xf>
    <xf numFmtId="37" fontId="34" fillId="4" borderId="4" xfId="16" applyNumberFormat="1" applyFont="1" applyFill="1" applyBorder="1" applyAlignment="1" applyProtection="1">
      <alignment horizontal="right"/>
      <protection locked="0"/>
    </xf>
    <xf numFmtId="9" fontId="53" fillId="4" borderId="0" xfId="16" applyNumberFormat="1" applyFont="1" applyFill="1" applyBorder="1" applyAlignment="1" applyProtection="1">
      <alignment horizontal="right"/>
      <protection locked="0"/>
    </xf>
    <xf numFmtId="37" fontId="35" fillId="4" borderId="0" xfId="16" applyNumberFormat="1" applyFont="1" applyFill="1" applyAlignment="1" applyProtection="1">
      <alignment horizontal="right"/>
      <protection locked="0"/>
    </xf>
    <xf numFmtId="166" fontId="43" fillId="4" borderId="0" xfId="43" applyNumberFormat="1" applyFont="1" applyFill="1" applyBorder="1"/>
    <xf numFmtId="178" fontId="117" fillId="0" borderId="0" xfId="2" applyNumberFormat="1" applyFont="1" applyFill="1" applyAlignment="1">
      <alignment horizontal="right"/>
    </xf>
    <xf numFmtId="37" fontId="117" fillId="0" borderId="4" xfId="16" applyNumberFormat="1" applyFont="1" applyFill="1" applyBorder="1"/>
    <xf numFmtId="37" fontId="118" fillId="0" borderId="0" xfId="16" applyNumberFormat="1" applyFont="1" applyFill="1" applyBorder="1"/>
    <xf numFmtId="37" fontId="117" fillId="0" borderId="0" xfId="16" applyNumberFormat="1" applyFont="1" applyFill="1" applyBorder="1"/>
    <xf numFmtId="37" fontId="117" fillId="0" borderId="0" xfId="16" applyNumberFormat="1" applyFont="1" applyFill="1" applyAlignment="1" applyProtection="1">
      <alignment horizontal="right"/>
      <protection locked="0"/>
    </xf>
    <xf numFmtId="37" fontId="34" fillId="12" borderId="0" xfId="2" applyNumberFormat="1" applyFont="1" applyFill="1" applyBorder="1" applyAlignment="1" applyProtection="1">
      <alignment horizontal="right"/>
      <protection locked="0"/>
    </xf>
    <xf numFmtId="37" fontId="35" fillId="11" borderId="0" xfId="16" applyNumberFormat="1" applyFont="1" applyFill="1" applyAlignment="1" applyProtection="1">
      <alignment horizontal="right"/>
      <protection locked="0"/>
    </xf>
    <xf numFmtId="37" fontId="34" fillId="11" borderId="0" xfId="16" applyNumberFormat="1" applyFont="1" applyFill="1" applyAlignment="1" applyProtection="1">
      <alignment horizontal="right"/>
      <protection locked="0"/>
    </xf>
    <xf numFmtId="37" fontId="34" fillId="11" borderId="0" xfId="16" applyNumberFormat="1" applyFont="1" applyFill="1" applyBorder="1" applyAlignment="1" applyProtection="1">
      <alignment horizontal="right"/>
      <protection locked="0"/>
    </xf>
    <xf numFmtId="37" fontId="34" fillId="11" borderId="4" xfId="16" applyNumberFormat="1" applyFont="1" applyFill="1" applyBorder="1" applyAlignment="1" applyProtection="1">
      <alignment horizontal="right"/>
      <protection locked="0"/>
    </xf>
    <xf numFmtId="37" fontId="35" fillId="11" borderId="0" xfId="16" applyNumberFormat="1" applyFont="1" applyFill="1" applyBorder="1" applyAlignment="1" applyProtection="1">
      <alignment horizontal="right"/>
      <protection locked="0"/>
    </xf>
    <xf numFmtId="9" fontId="53" fillId="11" borderId="0" xfId="16" applyNumberFormat="1" applyFont="1" applyFill="1" applyBorder="1" applyAlignment="1" applyProtection="1">
      <alignment horizontal="right"/>
      <protection locked="0"/>
    </xf>
    <xf numFmtId="37" fontId="35" fillId="11" borderId="12" xfId="16" applyNumberFormat="1" applyFont="1" applyFill="1" applyBorder="1" applyAlignment="1" applyProtection="1">
      <alignment horizontal="right"/>
      <protection locked="0"/>
    </xf>
    <xf numFmtId="167" fontId="117" fillId="0" borderId="0" xfId="56" applyNumberFormat="1" applyFont="1" applyFill="1" applyBorder="1" applyAlignment="1">
      <alignment horizontal="right"/>
    </xf>
    <xf numFmtId="167" fontId="120" fillId="0" borderId="0" xfId="0" applyNumberFormat="1" applyFont="1"/>
    <xf numFmtId="167" fontId="117" fillId="0" borderId="0" xfId="2" applyNumberFormat="1" applyFont="1" applyFill="1" applyBorder="1" applyAlignment="1">
      <alignment horizontal="right"/>
    </xf>
    <xf numFmtId="9" fontId="122" fillId="0" borderId="0" xfId="16" applyNumberFormat="1" applyFont="1" applyFill="1" applyBorder="1" applyAlignment="1">
      <alignment horizontal="right"/>
    </xf>
    <xf numFmtId="167" fontId="117" fillId="0" borderId="0" xfId="16" applyNumberFormat="1" applyFont="1" applyFill="1" applyBorder="1" applyAlignment="1">
      <alignment horizontal="right"/>
    </xf>
    <xf numFmtId="4" fontId="122" fillId="0" borderId="0" xfId="43" applyNumberFormat="1" applyFont="1" applyFill="1" applyAlignment="1">
      <alignment horizontal="right"/>
    </xf>
    <xf numFmtId="167" fontId="118" fillId="0" borderId="0" xfId="16" applyNumberFormat="1" applyFont="1" applyFill="1" applyBorder="1" applyAlignment="1">
      <alignment horizontal="right"/>
    </xf>
    <xf numFmtId="167" fontId="65" fillId="2" borderId="0" xfId="56" applyNumberFormat="1" applyFont="1" applyFill="1" applyAlignment="1"/>
    <xf numFmtId="166" fontId="122" fillId="4" borderId="0" xfId="16" applyNumberFormat="1" applyFont="1" applyFill="1"/>
    <xf numFmtId="39" fontId="118" fillId="4" borderId="0" xfId="2" applyNumberFormat="1" applyFont="1" applyFill="1" applyBorder="1" applyAlignment="1" applyProtection="1">
      <alignment horizontal="right"/>
      <protection locked="0"/>
    </xf>
    <xf numFmtId="8" fontId="118" fillId="4" borderId="2" xfId="43" applyNumberFormat="1" applyFont="1" applyFill="1" applyBorder="1" applyAlignment="1" applyProtection="1">
      <alignment horizontal="right"/>
      <protection locked="0"/>
    </xf>
    <xf numFmtId="8" fontId="118" fillId="0" borderId="2" xfId="43" applyNumberFormat="1" applyFont="1" applyFill="1" applyBorder="1" applyAlignment="1" applyProtection="1">
      <alignment horizontal="right"/>
      <protection locked="0"/>
    </xf>
    <xf numFmtId="43" fontId="122" fillId="0" borderId="0" xfId="43" applyNumberFormat="1" applyFont="1" applyFill="1" applyAlignment="1">
      <alignment horizontal="right"/>
    </xf>
    <xf numFmtId="9" fontId="23" fillId="2" borderId="0" xfId="43" applyFont="1" applyFill="1"/>
    <xf numFmtId="166" fontId="23" fillId="2" borderId="0" xfId="43" applyNumberFormat="1" applyFont="1" applyFill="1"/>
    <xf numFmtId="0" fontId="32" fillId="0" borderId="0" xfId="2" applyFont="1" applyFill="1" applyAlignment="1"/>
    <xf numFmtId="0" fontId="57" fillId="0" borderId="0" xfId="0" applyFont="1"/>
    <xf numFmtId="0" fontId="32" fillId="0" borderId="0" xfId="2" applyFont="1" applyFill="1" applyBorder="1" applyAlignment="1"/>
    <xf numFmtId="0" fontId="32" fillId="4" borderId="0" xfId="2" applyFont="1" applyFill="1" applyAlignment="1"/>
    <xf numFmtId="0" fontId="32" fillId="4" borderId="0" xfId="2" applyFont="1" applyFill="1" applyBorder="1" applyAlignment="1"/>
    <xf numFmtId="0" fontId="33" fillId="0" borderId="0" xfId="2" applyFont="1" applyFill="1" applyBorder="1" applyAlignment="1">
      <alignment horizontal="right"/>
    </xf>
    <xf numFmtId="0" fontId="32" fillId="4" borderId="0" xfId="2" applyFont="1" applyFill="1" applyBorder="1" applyAlignment="1">
      <alignment horizontal="right"/>
    </xf>
    <xf numFmtId="9" fontId="32" fillId="0" borderId="0" xfId="2" applyNumberFormat="1" applyFont="1" applyFill="1" applyBorder="1" applyAlignment="1">
      <alignment horizontal="right"/>
    </xf>
    <xf numFmtId="9" fontId="32" fillId="2" borderId="0" xfId="2" applyNumberFormat="1" applyFont="1" applyFill="1" applyBorder="1"/>
    <xf numFmtId="9" fontId="32" fillId="2" borderId="0" xfId="2" applyNumberFormat="1" applyFont="1" applyFill="1" applyBorder="1" applyAlignment="1">
      <alignment horizontal="right"/>
    </xf>
    <xf numFmtId="9" fontId="33" fillId="2" borderId="0" xfId="2" applyNumberFormat="1" applyFont="1" applyFill="1" applyBorder="1" applyAlignment="1">
      <alignment horizontal="right"/>
    </xf>
    <xf numFmtId="166" fontId="43" fillId="2" borderId="0" xfId="43" applyNumberFormat="1" applyFont="1" applyFill="1" applyAlignment="1">
      <alignment horizontal="right"/>
    </xf>
    <xf numFmtId="166" fontId="43" fillId="4" borderId="0" xfId="43" applyNumberFormat="1" applyFont="1" applyFill="1" applyAlignment="1">
      <alignment horizontal="right"/>
    </xf>
    <xf numFmtId="9" fontId="32" fillId="0" borderId="0" xfId="2" applyNumberFormat="1" applyFont="1" applyFill="1" applyBorder="1" applyAlignment="1"/>
    <xf numFmtId="9" fontId="32" fillId="4" borderId="0" xfId="2" applyNumberFormat="1" applyFont="1" applyFill="1" applyBorder="1" applyAlignment="1">
      <alignment horizontal="right"/>
    </xf>
    <xf numFmtId="0" fontId="33" fillId="0" borderId="0" xfId="5" applyFont="1" applyFill="1" applyBorder="1" applyAlignment="1">
      <alignment horizontal="right"/>
    </xf>
    <xf numFmtId="167" fontId="32" fillId="0" borderId="0" xfId="16" applyNumberFormat="1" applyFont="1" applyFill="1" applyBorder="1" applyAlignment="1">
      <alignment horizontal="right"/>
    </xf>
    <xf numFmtId="178" fontId="32" fillId="4" borderId="0" xfId="2" applyNumberFormat="1" applyFont="1" applyFill="1" applyAlignment="1">
      <alignment horizontal="right"/>
    </xf>
    <xf numFmtId="167" fontId="69" fillId="0" borderId="0" xfId="2" applyNumberFormat="1" applyFont="1" applyFill="1" applyBorder="1" applyAlignment="1">
      <alignment horizontal="right"/>
    </xf>
    <xf numFmtId="167" fontId="33" fillId="0" borderId="0" xfId="2" applyNumberFormat="1" applyFont="1" applyFill="1" applyBorder="1" applyAlignment="1">
      <alignment horizontal="right"/>
    </xf>
    <xf numFmtId="178" fontId="32" fillId="0" borderId="0" xfId="2" applyNumberFormat="1" applyFont="1" applyFill="1" applyAlignment="1">
      <alignment horizontal="right"/>
    </xf>
    <xf numFmtId="167" fontId="32" fillId="0" borderId="0" xfId="56" applyNumberFormat="1" applyFont="1" applyFill="1" applyBorder="1" applyAlignment="1"/>
    <xf numFmtId="167" fontId="33" fillId="0" borderId="0" xfId="2" applyNumberFormat="1" applyFont="1" applyFill="1" applyBorder="1" applyAlignment="1"/>
    <xf numFmtId="167" fontId="33" fillId="0" borderId="0" xfId="5" applyNumberFormat="1" applyFont="1" applyFill="1" applyBorder="1" applyAlignment="1">
      <alignment horizontal="right"/>
    </xf>
    <xf numFmtId="9" fontId="32" fillId="0" borderId="0" xfId="43" applyNumberFormat="1" applyFont="1" applyFill="1" applyAlignment="1">
      <alignment horizontal="right"/>
    </xf>
    <xf numFmtId="9" fontId="68" fillId="4" borderId="2" xfId="43" applyNumberFormat="1" applyFont="1" applyFill="1" applyBorder="1" applyAlignment="1" applyProtection="1">
      <alignment horizontal="right"/>
      <protection locked="0"/>
    </xf>
    <xf numFmtId="0" fontId="32" fillId="2" borderId="0" xfId="58" applyFont="1" applyFill="1" applyBorder="1" applyAlignment="1"/>
    <xf numFmtId="2" fontId="57" fillId="0" borderId="0" xfId="0" applyNumberFormat="1" applyFont="1"/>
    <xf numFmtId="0" fontId="32" fillId="2" borderId="13" xfId="40" applyFont="1" applyFill="1" applyBorder="1" applyAlignment="1"/>
    <xf numFmtId="0" fontId="32" fillId="2" borderId="8" xfId="40" applyFont="1" applyFill="1" applyBorder="1" applyAlignment="1"/>
    <xf numFmtId="0" fontId="32" fillId="2" borderId="0" xfId="40" applyFont="1" applyFill="1" applyBorder="1" applyAlignment="1"/>
    <xf numFmtId="43" fontId="32" fillId="2" borderId="0" xfId="40" applyNumberFormat="1" applyFont="1" applyFill="1" applyBorder="1" applyAlignment="1"/>
    <xf numFmtId="43" fontId="32" fillId="2" borderId="0" xfId="16" applyFont="1" applyFill="1" applyAlignment="1"/>
    <xf numFmtId="43" fontId="41" fillId="2" borderId="0" xfId="16" applyFont="1" applyFill="1" applyAlignment="1"/>
    <xf numFmtId="2" fontId="41" fillId="2" borderId="0" xfId="16" applyNumberFormat="1" applyFont="1" applyFill="1" applyAlignment="1"/>
    <xf numFmtId="43" fontId="97" fillId="2" borderId="0" xfId="16" applyFont="1" applyFill="1" applyAlignment="1"/>
    <xf numFmtId="2" fontId="77" fillId="2" borderId="0" xfId="40" applyNumberFormat="1" applyFont="1" applyFill="1" applyAlignment="1"/>
    <xf numFmtId="2" fontId="32" fillId="2" borderId="0" xfId="40" applyNumberFormat="1" applyFont="1" applyFill="1" applyAlignment="1"/>
    <xf numFmtId="2" fontId="135" fillId="2" borderId="0" xfId="40" applyNumberFormat="1" applyFont="1" applyFill="1" applyAlignment="1"/>
    <xf numFmtId="43" fontId="32" fillId="6" borderId="0" xfId="16" applyFont="1" applyFill="1" applyAlignment="1"/>
    <xf numFmtId="39" fontId="32" fillId="2" borderId="0" xfId="16" applyNumberFormat="1" applyFont="1" applyFill="1" applyAlignment="1"/>
    <xf numFmtId="9" fontId="32" fillId="2" borderId="0" xfId="0" applyNumberFormat="1" applyFont="1" applyFill="1" applyAlignment="1"/>
    <xf numFmtId="0" fontId="32" fillId="2" borderId="10" xfId="40" applyFont="1" applyFill="1" applyBorder="1" applyAlignment="1"/>
    <xf numFmtId="0" fontId="33" fillId="2" borderId="0" xfId="58" applyFont="1" applyFill="1" applyBorder="1" applyAlignment="1"/>
    <xf numFmtId="0" fontId="33" fillId="11" borderId="5" xfId="40" applyFont="1" applyFill="1" applyBorder="1" applyAlignment="1">
      <alignment horizontal="right"/>
    </xf>
    <xf numFmtId="0" fontId="33" fillId="11" borderId="5" xfId="40" applyFont="1" applyFill="1" applyBorder="1" applyAlignment="1"/>
    <xf numFmtId="0" fontId="33" fillId="11" borderId="18" xfId="58" applyFont="1" applyFill="1" applyBorder="1" applyAlignment="1"/>
    <xf numFmtId="0" fontId="33" fillId="2" borderId="0" xfId="40" applyFont="1" applyFill="1" applyAlignment="1"/>
    <xf numFmtId="0" fontId="32" fillId="2" borderId="0" xfId="40" applyFont="1" applyFill="1" applyAlignment="1"/>
    <xf numFmtId="39" fontId="32" fillId="2" borderId="0" xfId="19" applyNumberFormat="1" applyFont="1" applyFill="1" applyAlignment="1"/>
    <xf numFmtId="9" fontId="32" fillId="2" borderId="0" xfId="43" applyFont="1" applyFill="1"/>
    <xf numFmtId="9" fontId="32" fillId="4" borderId="0" xfId="43" applyFont="1" applyFill="1"/>
    <xf numFmtId="166" fontId="32" fillId="2" borderId="0" xfId="43" applyNumberFormat="1" applyFont="1" applyFill="1"/>
    <xf numFmtId="165" fontId="135" fillId="2" borderId="0" xfId="56" applyNumberFormat="1" applyFont="1" applyFill="1" applyAlignment="1"/>
    <xf numFmtId="43" fontId="32" fillId="2" borderId="0" xfId="0" applyNumberFormat="1" applyFont="1" applyFill="1" applyAlignment="1"/>
    <xf numFmtId="165" fontId="57" fillId="0" borderId="0" xfId="0" applyNumberFormat="1" applyFont="1" applyAlignment="1"/>
    <xf numFmtId="43" fontId="57" fillId="2" borderId="0" xfId="16" applyFont="1" applyFill="1" applyAlignment="1"/>
    <xf numFmtId="167" fontId="57" fillId="0" borderId="0" xfId="0" applyNumberFormat="1" applyFont="1" applyAlignment="1"/>
    <xf numFmtId="9" fontId="32" fillId="2" borderId="0" xfId="43" applyFont="1" applyFill="1" applyAlignment="1"/>
    <xf numFmtId="0" fontId="43" fillId="2" borderId="0" xfId="40" applyFont="1" applyFill="1" applyAlignment="1"/>
    <xf numFmtId="2" fontId="41" fillId="2" borderId="0" xfId="40" applyNumberFormat="1" applyFont="1" applyFill="1" applyAlignment="1"/>
    <xf numFmtId="2" fontId="97" fillId="2" borderId="0" xfId="40" applyNumberFormat="1" applyFont="1" applyFill="1" applyAlignment="1"/>
    <xf numFmtId="2" fontId="135" fillId="12" borderId="0" xfId="40" applyNumberFormat="1" applyFont="1" applyFill="1" applyAlignment="1"/>
    <xf numFmtId="43" fontId="57" fillId="2" borderId="0" xfId="17" applyFont="1" applyFill="1" applyAlignment="1"/>
    <xf numFmtId="2" fontId="117" fillId="2" borderId="0" xfId="0" applyNumberFormat="1" applyFont="1" applyFill="1" applyAlignment="1"/>
    <xf numFmtId="43" fontId="57" fillId="0" borderId="0" xfId="0" applyNumberFormat="1" applyFont="1" applyAlignment="1"/>
    <xf numFmtId="2" fontId="57" fillId="0" borderId="0" xfId="0" applyNumberFormat="1" applyFont="1" applyAlignment="1"/>
    <xf numFmtId="165" fontId="32" fillId="2" borderId="0" xfId="16" applyNumberFormat="1" applyFont="1" applyFill="1" applyAlignment="1"/>
    <xf numFmtId="173" fontId="32" fillId="2" borderId="0" xfId="40" applyNumberFormat="1" applyFont="1" applyFill="1" applyAlignment="1"/>
    <xf numFmtId="43" fontId="32" fillId="2" borderId="0" xfId="16" applyNumberFormat="1" applyFont="1" applyFill="1" applyAlignment="1"/>
    <xf numFmtId="9" fontId="32" fillId="2" borderId="0" xfId="43" applyNumberFormat="1" applyFont="1" applyFill="1"/>
    <xf numFmtId="9" fontId="32" fillId="2" borderId="0" xfId="43" applyFont="1" applyFill="1" applyAlignment="1">
      <alignment horizontal="right"/>
    </xf>
    <xf numFmtId="166" fontId="33" fillId="2" borderId="0" xfId="40" applyNumberFormat="1" applyFont="1" applyFill="1" applyAlignment="1"/>
    <xf numFmtId="10" fontId="33" fillId="2" borderId="0" xfId="43" applyNumberFormat="1" applyFont="1" applyFill="1"/>
    <xf numFmtId="171" fontId="32" fillId="2" borderId="0" xfId="40" applyNumberFormat="1" applyFont="1" applyFill="1" applyAlignment="1"/>
    <xf numFmtId="171" fontId="32" fillId="2" borderId="0" xfId="16" applyNumberFormat="1" applyFont="1" applyFill="1" applyAlignment="1"/>
    <xf numFmtId="172" fontId="32" fillId="4" borderId="0" xfId="0" applyNumberFormat="1" applyFont="1" applyFill="1"/>
    <xf numFmtId="172" fontId="32" fillId="2" borderId="0" xfId="0" applyNumberFormat="1" applyFont="1" applyFill="1"/>
    <xf numFmtId="172" fontId="69" fillId="2" borderId="0" xfId="0" applyNumberFormat="1" applyFont="1" applyFill="1"/>
    <xf numFmtId="172" fontId="57" fillId="0" borderId="0" xfId="0" applyNumberFormat="1" applyFont="1"/>
    <xf numFmtId="172" fontId="32" fillId="2" borderId="0" xfId="0" applyNumberFormat="1" applyFont="1" applyFill="1" applyAlignment="1">
      <alignment horizontal="right"/>
    </xf>
    <xf numFmtId="8" fontId="57" fillId="0" borderId="0" xfId="0" applyNumberFormat="1" applyFont="1"/>
    <xf numFmtId="37" fontId="57" fillId="0" borderId="0" xfId="0" applyNumberFormat="1" applyFont="1"/>
    <xf numFmtId="0" fontId="137" fillId="0" borderId="0" xfId="0" applyFont="1"/>
    <xf numFmtId="166" fontId="136" fillId="2" borderId="0" xfId="65" applyNumberFormat="1" applyFont="1" applyFill="1" applyAlignment="1"/>
    <xf numFmtId="171" fontId="32" fillId="2" borderId="0" xfId="40" applyNumberFormat="1" applyFont="1" applyFill="1" applyBorder="1" applyAlignment="1"/>
    <xf numFmtId="166" fontId="33" fillId="2" borderId="0" xfId="40" applyNumberFormat="1" applyFont="1" applyFill="1" applyBorder="1" applyAlignment="1"/>
    <xf numFmtId="43" fontId="32" fillId="2" borderId="4" xfId="40" applyNumberFormat="1" applyFont="1" applyFill="1" applyBorder="1" applyAlignment="1"/>
    <xf numFmtId="39" fontId="32" fillId="2" borderId="0" xfId="40" applyNumberFormat="1" applyFont="1" applyFill="1" applyBorder="1" applyAlignment="1"/>
    <xf numFmtId="39" fontId="32" fillId="2" borderId="0" xfId="16" applyNumberFormat="1" applyFont="1" applyFill="1" applyBorder="1" applyAlignment="1"/>
    <xf numFmtId="39" fontId="32" fillId="2" borderId="12" xfId="0" applyNumberFormat="1" applyFont="1" applyFill="1" applyBorder="1" applyAlignment="1"/>
    <xf numFmtId="0" fontId="57" fillId="0" borderId="0" xfId="0" applyFont="1" applyBorder="1"/>
    <xf numFmtId="2" fontId="57" fillId="0" borderId="0" xfId="0" applyNumberFormat="1" applyFont="1" applyBorder="1"/>
    <xf numFmtId="9" fontId="32" fillId="2" borderId="0" xfId="65" applyNumberFormat="1" applyFont="1" applyFill="1" applyBorder="1" applyAlignment="1"/>
    <xf numFmtId="0" fontId="32" fillId="2" borderId="0" xfId="65" applyFont="1" applyFill="1" applyBorder="1" applyAlignment="1"/>
    <xf numFmtId="0" fontId="33" fillId="2" borderId="0" xfId="40" applyFont="1" applyFill="1" applyBorder="1" applyAlignment="1"/>
    <xf numFmtId="39" fontId="134" fillId="2" borderId="0" xfId="0" applyNumberFormat="1" applyFont="1" applyFill="1" applyBorder="1" applyAlignment="1">
      <alignment horizontal="right"/>
    </xf>
    <xf numFmtId="166" fontId="134" fillId="2" borderId="0" xfId="0" applyNumberFormat="1" applyFont="1" applyFill="1" applyBorder="1" applyAlignment="1">
      <alignment horizontal="right"/>
    </xf>
    <xf numFmtId="0" fontId="27" fillId="2" borderId="0" xfId="0" applyFont="1" applyFill="1" applyBorder="1" applyAlignment="1">
      <alignment horizontal="right"/>
    </xf>
    <xf numFmtId="166" fontId="27" fillId="11" borderId="5" xfId="0" applyNumberFormat="1" applyFont="1" applyFill="1" applyBorder="1" applyAlignment="1"/>
    <xf numFmtId="166" fontId="27" fillId="11" borderId="5" xfId="0" applyNumberFormat="1" applyFont="1" applyFill="1" applyBorder="1" applyAlignment="1">
      <alignment horizontal="right"/>
    </xf>
    <xf numFmtId="166" fontId="27" fillId="11" borderId="18" xfId="0" applyNumberFormat="1" applyFont="1" applyFill="1" applyBorder="1" applyAlignment="1"/>
    <xf numFmtId="43" fontId="23" fillId="2" borderId="0" xfId="19" applyFont="1" applyFill="1" applyAlignment="1"/>
    <xf numFmtId="0" fontId="23" fillId="2" borderId="0" xfId="65" applyFont="1" applyFill="1" applyAlignment="1"/>
    <xf numFmtId="9" fontId="23" fillId="2" borderId="0" xfId="65" applyNumberFormat="1" applyFont="1" applyFill="1" applyAlignment="1"/>
    <xf numFmtId="0" fontId="23" fillId="2" borderId="0" xfId="65" applyFont="1" applyFill="1" applyBorder="1" applyAlignment="1"/>
    <xf numFmtId="39" fontId="23" fillId="2" borderId="0" xfId="19" applyNumberFormat="1" applyFont="1" applyFill="1" applyAlignment="1"/>
    <xf numFmtId="166" fontId="32" fillId="0" borderId="0" xfId="43" applyNumberFormat="1" applyFont="1" applyFill="1" applyAlignment="1">
      <alignment horizontal="right"/>
    </xf>
    <xf numFmtId="166" fontId="23" fillId="2" borderId="0" xfId="65" applyNumberFormat="1" applyFont="1" applyFill="1" applyAlignment="1"/>
    <xf numFmtId="166" fontId="32" fillId="2" borderId="0" xfId="43" applyNumberFormat="1" applyFont="1" applyFill="1" applyAlignment="1">
      <alignment horizontal="right"/>
    </xf>
    <xf numFmtId="9" fontId="23" fillId="2" borderId="0" xfId="43" applyFont="1" applyFill="1" applyBorder="1" applyAlignment="1">
      <alignment horizontal="right"/>
    </xf>
    <xf numFmtId="166" fontId="23" fillId="2" borderId="0" xfId="43" applyNumberFormat="1" applyFont="1" applyFill="1" applyBorder="1" applyAlignment="1">
      <alignment horizontal="right"/>
    </xf>
    <xf numFmtId="39" fontId="23" fillId="2" borderId="0" xfId="40" applyNumberFormat="1" applyFont="1" applyFill="1" applyAlignment="1">
      <alignment horizontal="right"/>
    </xf>
    <xf numFmtId="37" fontId="118" fillId="0" borderId="12" xfId="2" applyNumberFormat="1" applyFont="1" applyFill="1" applyBorder="1" applyProtection="1">
      <protection locked="0"/>
    </xf>
    <xf numFmtId="8" fontId="118" fillId="0" borderId="19" xfId="43" applyNumberFormat="1" applyFont="1" applyFill="1" applyBorder="1" applyAlignment="1" applyProtection="1">
      <alignment horizontal="right"/>
      <protection locked="0"/>
    </xf>
    <xf numFmtId="167" fontId="118" fillId="0" borderId="0" xfId="16" applyNumberFormat="1" applyFont="1" applyFill="1" applyAlignment="1" applyProtection="1">
      <protection locked="0"/>
    </xf>
    <xf numFmtId="0" fontId="32" fillId="2" borderId="0" xfId="2" applyFont="1" applyFill="1" applyBorder="1" applyAlignment="1">
      <alignment horizontal="left"/>
    </xf>
    <xf numFmtId="9" fontId="117" fillId="0" borderId="0" xfId="2" applyNumberFormat="1" applyFont="1" applyFill="1" applyBorder="1" applyAlignment="1"/>
    <xf numFmtId="167" fontId="32" fillId="11" borderId="0" xfId="16" applyNumberFormat="1" applyFont="1" applyFill="1" applyBorder="1"/>
    <xf numFmtId="0" fontId="32" fillId="11" borderId="0" xfId="0" applyFont="1" applyFill="1"/>
    <xf numFmtId="167" fontId="33" fillId="11" borderId="0" xfId="16" applyNumberFormat="1" applyFont="1" applyFill="1" applyBorder="1"/>
    <xf numFmtId="167" fontId="130" fillId="11" borderId="0" xfId="16" applyNumberFormat="1" applyFont="1" applyFill="1" applyBorder="1"/>
    <xf numFmtId="167" fontId="117" fillId="11" borderId="0" xfId="16" applyNumberFormat="1" applyFont="1" applyFill="1" applyBorder="1"/>
    <xf numFmtId="167" fontId="65" fillId="0" borderId="0" xfId="56" applyNumberFormat="1" applyFont="1" applyFill="1" applyAlignment="1">
      <alignment horizontal="right"/>
    </xf>
    <xf numFmtId="167" fontId="32" fillId="11" borderId="0" xfId="56" applyNumberFormat="1" applyFont="1" applyFill="1"/>
    <xf numFmtId="167" fontId="32" fillId="4" borderId="0" xfId="16" applyNumberFormat="1" applyFont="1" applyFill="1" applyAlignment="1" applyProtection="1">
      <protection locked="0"/>
    </xf>
    <xf numFmtId="167" fontId="32" fillId="4" borderId="0" xfId="16" applyNumberFormat="1" applyFont="1" applyFill="1" applyBorder="1"/>
    <xf numFmtId="9" fontId="32" fillId="0" borderId="0" xfId="16" applyNumberFormat="1" applyFont="1" applyFill="1" applyAlignment="1">
      <alignment horizontal="right"/>
    </xf>
    <xf numFmtId="37" fontId="138" fillId="4" borderId="0" xfId="20" applyNumberFormat="1" applyFont="1" applyFill="1" applyBorder="1" applyAlignment="1" applyProtection="1">
      <alignment horizontal="right"/>
      <protection locked="0"/>
    </xf>
    <xf numFmtId="174" fontId="34" fillId="0" borderId="0" xfId="43" applyNumberFormat="1" applyFont="1" applyFill="1" applyBorder="1" applyAlignment="1" applyProtection="1">
      <alignment horizontal="right"/>
      <protection locked="0"/>
    </xf>
    <xf numFmtId="167" fontId="33" fillId="4" borderId="0" xfId="56" applyNumberFormat="1" applyFont="1" applyFill="1" applyAlignment="1" applyProtection="1">
      <protection locked="0"/>
    </xf>
    <xf numFmtId="166" fontId="90" fillId="2" borderId="0" xfId="2" applyNumberFormat="1" applyFont="1" applyFill="1"/>
    <xf numFmtId="9" fontId="32" fillId="12" borderId="0" xfId="2" applyNumberFormat="1" applyFont="1" applyFill="1" applyBorder="1" applyAlignment="1"/>
    <xf numFmtId="166" fontId="32" fillId="4" borderId="0" xfId="2" applyNumberFormat="1" applyFont="1" applyFill="1" applyAlignment="1"/>
    <xf numFmtId="167" fontId="57" fillId="0" borderId="0" xfId="56" applyNumberFormat="1" applyFont="1"/>
    <xf numFmtId="167" fontId="117" fillId="4" borderId="0" xfId="16" applyNumberFormat="1" applyFont="1" applyFill="1" applyBorder="1"/>
    <xf numFmtId="167" fontId="117" fillId="4" borderId="12" xfId="16" applyNumberFormat="1" applyFont="1" applyFill="1" applyBorder="1"/>
    <xf numFmtId="167" fontId="57" fillId="0" borderId="0" xfId="56" applyNumberFormat="1" applyFont="1" applyAlignment="1"/>
    <xf numFmtId="166" fontId="43" fillId="4" borderId="0" xfId="2" applyNumberFormat="1" applyFont="1" applyFill="1" applyBorder="1" applyAlignment="1">
      <alignment horizontal="right"/>
    </xf>
    <xf numFmtId="166" fontId="43" fillId="4" borderId="0" xfId="2" applyNumberFormat="1" applyFont="1" applyFill="1" applyAlignment="1">
      <alignment horizontal="right"/>
    </xf>
    <xf numFmtId="0" fontId="118" fillId="0" borderId="0" xfId="2" applyFont="1" applyFill="1" applyBorder="1" applyAlignment="1">
      <alignment horizontal="right"/>
    </xf>
    <xf numFmtId="167" fontId="118" fillId="4" borderId="0" xfId="16" applyNumberFormat="1" applyFont="1" applyFill="1" applyBorder="1"/>
    <xf numFmtId="167" fontId="130" fillId="0" borderId="0" xfId="16" applyNumberFormat="1" applyFont="1" applyFill="1" applyAlignment="1" applyProtection="1">
      <protection locked="0"/>
    </xf>
    <xf numFmtId="43" fontId="32" fillId="0" borderId="0" xfId="2" applyNumberFormat="1" applyFont="1" applyFill="1" applyAlignment="1">
      <alignment horizontal="right"/>
    </xf>
    <xf numFmtId="167" fontId="118" fillId="0" borderId="17" xfId="2" applyNumberFormat="1" applyFont="1" applyFill="1" applyBorder="1" applyAlignment="1">
      <alignment horizontal="right"/>
    </xf>
    <xf numFmtId="167" fontId="117" fillId="0" borderId="0" xfId="2" applyNumberFormat="1" applyFont="1" applyFill="1" applyAlignment="1">
      <alignment horizontal="right"/>
    </xf>
    <xf numFmtId="166" fontId="33" fillId="4" borderId="0" xfId="16" applyNumberFormat="1" applyFont="1" applyFill="1"/>
    <xf numFmtId="9" fontId="33" fillId="4" borderId="0" xfId="56" applyNumberFormat="1" applyFont="1" applyFill="1" applyAlignment="1" applyProtection="1">
      <protection locked="0"/>
    </xf>
    <xf numFmtId="167" fontId="131" fillId="0" borderId="0" xfId="16" applyNumberFormat="1" applyFont="1" applyFill="1" applyBorder="1" applyAlignment="1">
      <alignment horizontal="right"/>
    </xf>
    <xf numFmtId="166" fontId="33" fillId="0" borderId="0" xfId="57" applyNumberFormat="1" applyFont="1" applyFill="1" applyBorder="1" applyAlignment="1">
      <alignment horizontal="right"/>
    </xf>
    <xf numFmtId="9" fontId="33" fillId="0" borderId="0" xfId="57" applyNumberFormat="1" applyFont="1" applyFill="1" applyBorder="1" applyAlignment="1">
      <alignment horizontal="right"/>
    </xf>
    <xf numFmtId="167" fontId="117" fillId="4" borderId="0" xfId="56" applyNumberFormat="1" applyFont="1" applyFill="1"/>
    <xf numFmtId="167" fontId="32" fillId="4" borderId="0" xfId="56" applyNumberFormat="1" applyFont="1" applyFill="1"/>
    <xf numFmtId="167" fontId="137" fillId="0" borderId="0" xfId="0" applyNumberFormat="1" applyFont="1"/>
    <xf numFmtId="166" fontId="43" fillId="0" borderId="0" xfId="57" applyNumberFormat="1" applyFont="1" applyFill="1" applyAlignment="1" applyProtection="1">
      <alignment horizontal="right"/>
      <protection locked="0"/>
    </xf>
    <xf numFmtId="37" fontId="124" fillId="4" borderId="0" xfId="16" applyNumberFormat="1" applyFont="1" applyFill="1" applyBorder="1" applyAlignment="1" applyProtection="1">
      <alignment horizontal="right"/>
      <protection locked="0"/>
    </xf>
    <xf numFmtId="167" fontId="41" fillId="4" borderId="0" xfId="56" applyNumberFormat="1" applyFont="1" applyFill="1" applyAlignment="1" applyProtection="1">
      <alignment horizontal="right"/>
      <protection locked="0"/>
    </xf>
    <xf numFmtId="0" fontId="41" fillId="2" borderId="0" xfId="43" applyNumberFormat="1" applyFont="1" applyFill="1" applyAlignment="1">
      <alignment horizontal="right"/>
    </xf>
    <xf numFmtId="0" fontId="41" fillId="0" borderId="0" xfId="43" applyNumberFormat="1" applyFont="1" applyFill="1" applyAlignment="1">
      <alignment horizontal="right"/>
    </xf>
    <xf numFmtId="167" fontId="33" fillId="4" borderId="0" xfId="43" applyNumberFormat="1" applyFont="1" applyFill="1" applyAlignment="1" applyProtection="1">
      <protection locked="0"/>
    </xf>
    <xf numFmtId="43" fontId="33" fillId="4" borderId="0" xfId="56" applyNumberFormat="1" applyFont="1" applyFill="1" applyAlignment="1" applyProtection="1">
      <protection locked="0"/>
    </xf>
    <xf numFmtId="166" fontId="32" fillId="2" borderId="0" xfId="2" applyNumberFormat="1" applyFont="1" applyFill="1" applyBorder="1" applyAlignment="1">
      <alignment horizontal="right"/>
    </xf>
    <xf numFmtId="166" fontId="33" fillId="2" borderId="0" xfId="2" applyNumberFormat="1" applyFont="1" applyFill="1" applyBorder="1" applyAlignment="1">
      <alignment horizontal="right"/>
    </xf>
    <xf numFmtId="0" fontId="57" fillId="0" borderId="0" xfId="0" applyFont="1" applyAlignment="1">
      <alignment horizontal="left"/>
    </xf>
    <xf numFmtId="166" fontId="41" fillId="13" borderId="0" xfId="43" applyNumberFormat="1" applyFont="1" applyFill="1" applyAlignment="1"/>
    <xf numFmtId="9" fontId="57" fillId="0" borderId="0" xfId="57" applyFont="1" applyAlignment="1">
      <alignment horizontal="right"/>
    </xf>
    <xf numFmtId="9" fontId="57" fillId="0" borderId="0" xfId="57" applyFont="1"/>
    <xf numFmtId="166" fontId="57" fillId="0" borderId="0" xfId="57" applyNumberFormat="1" applyFont="1" applyAlignment="1">
      <alignment horizontal="right"/>
    </xf>
    <xf numFmtId="166" fontId="57" fillId="0" borderId="0" xfId="57" applyNumberFormat="1" applyFont="1"/>
    <xf numFmtId="43" fontId="57" fillId="0" borderId="0" xfId="56" applyFont="1" applyAlignment="1">
      <alignment horizontal="right"/>
    </xf>
    <xf numFmtId="167" fontId="57" fillId="0" borderId="0" xfId="56" applyNumberFormat="1" applyFont="1" applyAlignment="1">
      <alignment horizontal="right"/>
    </xf>
    <xf numFmtId="9" fontId="57" fillId="0" borderId="0" xfId="0" applyNumberFormat="1" applyFont="1" applyAlignment="1">
      <alignment horizontal="right"/>
    </xf>
    <xf numFmtId="37" fontId="32" fillId="11" borderId="0" xfId="2" applyNumberFormat="1" applyFont="1" applyFill="1" applyAlignment="1" applyProtection="1">
      <protection locked="0"/>
    </xf>
    <xf numFmtId="9" fontId="32" fillId="0" borderId="0" xfId="57" applyFont="1" applyFill="1" applyBorder="1"/>
    <xf numFmtId="0" fontId="0" fillId="0" borderId="0" xfId="39" applyFont="1"/>
    <xf numFmtId="2" fontId="32" fillId="4" borderId="0" xfId="43" applyNumberFormat="1" applyFont="1" applyFill="1" applyBorder="1" applyAlignment="1" applyProtection="1">
      <alignment horizontal="right"/>
    </xf>
    <xf numFmtId="167" fontId="43" fillId="4" borderId="0" xfId="56" applyNumberFormat="1" applyFont="1" applyFill="1" applyAlignment="1">
      <alignment horizontal="right"/>
    </xf>
    <xf numFmtId="167" fontId="43" fillId="4" borderId="0" xfId="2" applyNumberFormat="1" applyFont="1" applyFill="1" applyAlignment="1"/>
    <xf numFmtId="178" fontId="130" fillId="0" borderId="0" xfId="2" applyNumberFormat="1" applyFont="1" applyFill="1" applyAlignment="1"/>
    <xf numFmtId="37" fontId="239" fillId="0" borderId="0" xfId="16" applyNumberFormat="1" applyFont="1" applyFill="1" applyBorder="1"/>
    <xf numFmtId="37" fontId="119" fillId="0" borderId="0" xfId="16" applyNumberFormat="1" applyFont="1" applyFill="1" applyAlignment="1" applyProtection="1">
      <alignment horizontal="right"/>
      <protection locked="0"/>
    </xf>
    <xf numFmtId="37" fontId="119" fillId="0" borderId="4" xfId="16" applyNumberFormat="1" applyFont="1" applyFill="1" applyBorder="1" applyAlignment="1" applyProtection="1">
      <alignment horizontal="right"/>
      <protection locked="0"/>
    </xf>
    <xf numFmtId="37" fontId="119" fillId="0" borderId="0" xfId="2" applyNumberFormat="1" applyFont="1" applyFill="1" applyProtection="1">
      <protection locked="0"/>
    </xf>
    <xf numFmtId="167" fontId="122" fillId="0" borderId="0" xfId="16" applyNumberFormat="1" applyFont="1" applyFill="1" applyBorder="1" applyAlignment="1" applyProtection="1">
      <protection locked="0"/>
    </xf>
    <xf numFmtId="167" fontId="122" fillId="4" borderId="0" xfId="16" applyNumberFormat="1" applyFont="1" applyFill="1" applyBorder="1" applyAlignment="1" applyProtection="1">
      <protection locked="0"/>
    </xf>
    <xf numFmtId="0" fontId="32" fillId="0" borderId="0" xfId="2" applyFont="1" applyFill="1" applyBorder="1" applyAlignment="1">
      <alignment horizontal="center"/>
    </xf>
    <xf numFmtId="167" fontId="33" fillId="13" borderId="0" xfId="16" applyNumberFormat="1" applyFont="1" applyFill="1" applyBorder="1"/>
    <xf numFmtId="167" fontId="122" fillId="0" borderId="0" xfId="2" applyNumberFormat="1" applyFont="1" applyFill="1" applyBorder="1" applyAlignment="1">
      <alignment horizontal="right"/>
    </xf>
    <xf numFmtId="0" fontId="122" fillId="0" borderId="0" xfId="2" applyFont="1" applyFill="1" applyBorder="1" applyAlignment="1">
      <alignment horizontal="right"/>
    </xf>
    <xf numFmtId="167" fontId="122" fillId="0" borderId="0" xfId="56" applyNumberFormat="1" applyFont="1" applyFill="1" applyBorder="1" applyAlignment="1">
      <alignment horizontal="right"/>
    </xf>
    <xf numFmtId="9" fontId="43" fillId="0" borderId="0" xfId="56" applyNumberFormat="1" applyFont="1" applyFill="1" applyAlignment="1">
      <alignment horizontal="right"/>
    </xf>
    <xf numFmtId="37" fontId="124" fillId="0" borderId="0" xfId="16" applyNumberFormat="1" applyFont="1" applyFill="1" applyBorder="1" applyAlignment="1" applyProtection="1">
      <alignment horizontal="right"/>
      <protection locked="0"/>
    </xf>
    <xf numFmtId="167" fontId="32" fillId="0" borderId="0" xfId="56" applyNumberFormat="1" applyFont="1"/>
    <xf numFmtId="167" fontId="32" fillId="0" borderId="4" xfId="56" applyNumberFormat="1" applyFont="1" applyBorder="1"/>
    <xf numFmtId="9" fontId="122" fillId="4" borderId="0" xfId="43" applyFont="1" applyFill="1"/>
    <xf numFmtId="9" fontId="32" fillId="0" borderId="0" xfId="57" applyNumberFormat="1" applyFont="1" applyFill="1" applyBorder="1"/>
    <xf numFmtId="37" fontId="241" fillId="0" borderId="0" xfId="16" applyNumberFormat="1" applyFont="1" applyFill="1" applyAlignment="1" applyProtection="1">
      <alignment horizontal="right"/>
      <protection locked="0"/>
    </xf>
    <xf numFmtId="37" fontId="118" fillId="0" borderId="0" xfId="16" applyNumberFormat="1" applyFont="1" applyFill="1" applyBorder="1" applyAlignment="1" applyProtection="1">
      <alignment horizontal="right"/>
      <protection locked="0"/>
    </xf>
    <xf numFmtId="167" fontId="65" fillId="0" borderId="0" xfId="56" applyNumberFormat="1" applyFont="1" applyFill="1" applyAlignment="1"/>
    <xf numFmtId="167" fontId="33" fillId="0" borderId="0" xfId="2" applyNumberFormat="1" applyFont="1" applyFill="1" applyBorder="1" applyAlignment="1" applyProtection="1">
      <protection locked="0"/>
    </xf>
    <xf numFmtId="167" fontId="33" fillId="0" borderId="0" xfId="56" applyNumberFormat="1" applyFont="1" applyFill="1" applyAlignment="1" applyProtection="1">
      <protection locked="0"/>
    </xf>
    <xf numFmtId="166" fontId="43" fillId="0" borderId="0" xfId="56" applyNumberFormat="1" applyFont="1" applyFill="1" applyAlignment="1">
      <alignment horizontal="right"/>
    </xf>
    <xf numFmtId="43" fontId="32" fillId="2" borderId="0" xfId="19" applyFont="1" applyFill="1" applyAlignment="1"/>
    <xf numFmtId="9" fontId="242" fillId="13" borderId="0" xfId="57" applyFont="1" applyFill="1" applyBorder="1" applyAlignment="1">
      <alignment horizontal="right"/>
    </xf>
    <xf numFmtId="9" fontId="33" fillId="0" borderId="0" xfId="5" applyNumberFormat="1" applyFont="1" applyFill="1" applyBorder="1" applyAlignment="1">
      <alignment horizontal="right"/>
    </xf>
    <xf numFmtId="9" fontId="33" fillId="4" borderId="0" xfId="5" applyNumberFormat="1" applyFont="1" applyFill="1" applyBorder="1"/>
    <xf numFmtId="167" fontId="33" fillId="4" borderId="7" xfId="56" applyNumberFormat="1" applyFont="1" applyFill="1" applyBorder="1" applyAlignment="1" applyProtection="1">
      <protection locked="0"/>
    </xf>
    <xf numFmtId="37" fontId="241" fillId="0" borderId="0" xfId="16" applyNumberFormat="1" applyFont="1" applyFill="1" applyBorder="1" applyAlignment="1" applyProtection="1">
      <alignment horizontal="right"/>
      <protection locked="0"/>
    </xf>
    <xf numFmtId="43" fontId="32" fillId="2" borderId="0" xfId="56" applyNumberFormat="1" applyFont="1" applyFill="1" applyAlignment="1"/>
    <xf numFmtId="43" fontId="32" fillId="2" borderId="0" xfId="56" applyNumberFormat="1" applyFont="1" applyFill="1" applyBorder="1" applyAlignment="1">
      <alignment horizontal="right"/>
    </xf>
    <xf numFmtId="43" fontId="57" fillId="0" borderId="0" xfId="56" applyNumberFormat="1" applyFont="1"/>
    <xf numFmtId="43" fontId="117" fillId="2" borderId="0" xfId="56" applyNumberFormat="1" applyFont="1" applyFill="1" applyBorder="1" applyAlignment="1">
      <alignment horizontal="right"/>
    </xf>
    <xf numFmtId="1" fontId="33" fillId="0" borderId="0" xfId="2" applyNumberFormat="1" applyFont="1" applyFill="1" applyBorder="1" applyProtection="1">
      <protection locked="0"/>
    </xf>
    <xf numFmtId="178" fontId="122" fillId="4" borderId="0" xfId="2" applyNumberFormat="1" applyFont="1" applyFill="1" applyAlignment="1">
      <alignment horizontal="right"/>
    </xf>
    <xf numFmtId="1" fontId="32" fillId="4" borderId="0" xfId="0" applyNumberFormat="1" applyFont="1" applyFill="1"/>
    <xf numFmtId="8" fontId="33" fillId="4" borderId="19" xfId="43" applyNumberFormat="1" applyFont="1" applyFill="1" applyBorder="1" applyAlignment="1" applyProtection="1">
      <alignment horizontal="right"/>
      <protection locked="0"/>
    </xf>
    <xf numFmtId="167" fontId="33" fillId="4" borderId="0" xfId="16" applyNumberFormat="1" applyFont="1" applyFill="1" applyBorder="1" applyAlignment="1"/>
    <xf numFmtId="167" fontId="57" fillId="0" borderId="0" xfId="0" applyNumberFormat="1" applyFont="1"/>
    <xf numFmtId="167" fontId="43" fillId="4" borderId="0" xfId="56" applyNumberFormat="1" applyFont="1" applyFill="1" applyBorder="1" applyAlignment="1"/>
    <xf numFmtId="1" fontId="57" fillId="0" borderId="0" xfId="0" applyNumberFormat="1" applyFont="1"/>
    <xf numFmtId="0" fontId="125" fillId="0" borderId="0" xfId="0" applyFont="1" applyAlignment="1">
      <alignment horizontal="right"/>
    </xf>
    <xf numFmtId="166" fontId="136" fillId="2" borderId="0" xfId="65" applyNumberFormat="1" applyFont="1" applyFill="1" applyAlignment="1"/>
    <xf numFmtId="166" fontId="32" fillId="4" borderId="0" xfId="2" applyNumberFormat="1" applyFont="1" applyFill="1" applyAlignment="1"/>
    <xf numFmtId="166" fontId="41" fillId="0" borderId="0" xfId="43" quotePrefix="1" applyNumberFormat="1" applyFont="1" applyFill="1" applyAlignment="1"/>
    <xf numFmtId="166" fontId="23" fillId="2" borderId="0" xfId="57" applyNumberFormat="1" applyFont="1" applyFill="1" applyBorder="1" applyAlignment="1">
      <alignment horizontal="right"/>
    </xf>
    <xf numFmtId="166" fontId="240" fillId="12" borderId="0" xfId="65" applyNumberFormat="1" applyFont="1" applyFill="1" applyAlignment="1"/>
    <xf numFmtId="167" fontId="130" fillId="0" borderId="0" xfId="16" applyNumberFormat="1" applyFont="1" applyFill="1" applyBorder="1" applyAlignment="1" applyProtection="1">
      <protection locked="0"/>
    </xf>
    <xf numFmtId="0" fontId="7" fillId="8" borderId="0" xfId="815" applyFont="1" applyFill="1" applyAlignment="1">
      <alignment vertical="top"/>
    </xf>
    <xf numFmtId="0" fontId="7" fillId="8" borderId="0" xfId="525" applyFill="1" applyAlignment="1">
      <alignment vertical="top"/>
    </xf>
    <xf numFmtId="0" fontId="7" fillId="8" borderId="0" xfId="525" applyFill="1"/>
    <xf numFmtId="0" fontId="111" fillId="8" borderId="0" xfId="815" applyFont="1" applyFill="1" applyAlignment="1">
      <alignment horizontal="left" vertical="top"/>
    </xf>
    <xf numFmtId="0" fontId="7" fillId="8" borderId="0" xfId="525" applyFont="1" applyFill="1" applyAlignment="1">
      <alignment vertical="top"/>
    </xf>
    <xf numFmtId="0" fontId="54" fillId="8" borderId="0" xfId="815" applyFont="1" applyFill="1" applyAlignment="1">
      <alignment vertical="top"/>
    </xf>
    <xf numFmtId="0" fontId="0" fillId="8" borderId="0" xfId="0" applyFill="1" applyAlignment="1">
      <alignment vertical="top"/>
    </xf>
    <xf numFmtId="0" fontId="123" fillId="8" borderId="0" xfId="0" applyFont="1" applyFill="1" applyAlignment="1">
      <alignment vertical="top"/>
    </xf>
    <xf numFmtId="0" fontId="243" fillId="8" borderId="0" xfId="0" applyFont="1" applyFill="1" applyAlignment="1">
      <alignment vertical="top"/>
    </xf>
    <xf numFmtId="0" fontId="123" fillId="8" borderId="0" xfId="0" applyFont="1" applyFill="1" applyAlignment="1">
      <alignment vertical="top"/>
    </xf>
    <xf numFmtId="0" fontId="0" fillId="8" borderId="0" xfId="0" applyFill="1" applyAlignment="1">
      <alignment vertical="top"/>
    </xf>
    <xf numFmtId="0" fontId="123" fillId="8" borderId="42" xfId="0" applyFont="1" applyFill="1" applyBorder="1" applyAlignment="1">
      <alignment vertical="top"/>
    </xf>
    <xf numFmtId="9" fontId="123" fillId="8" borderId="42" xfId="0" applyNumberFormat="1" applyFont="1" applyFill="1" applyBorder="1" applyAlignment="1">
      <alignment vertical="top"/>
    </xf>
    <xf numFmtId="3" fontId="123" fillId="8" borderId="42" xfId="0" applyNumberFormat="1" applyFont="1" applyFill="1" applyBorder="1" applyAlignment="1">
      <alignment vertical="top"/>
    </xf>
    <xf numFmtId="0" fontId="7" fillId="0" borderId="0" xfId="816"/>
    <xf numFmtId="2" fontId="7" fillId="0" borderId="0" xfId="816" applyNumberFormat="1" applyAlignment="1">
      <alignment horizontal="left"/>
    </xf>
    <xf numFmtId="0" fontId="7" fillId="0" borderId="0" xfId="816" applyNumberFormat="1" applyAlignment="1">
      <alignment horizontal="left"/>
    </xf>
    <xf numFmtId="1" fontId="7" fillId="0" borderId="0" xfId="816" applyNumberFormat="1" applyAlignment="1">
      <alignment horizontal="left"/>
    </xf>
    <xf numFmtId="0" fontId="7" fillId="0" borderId="0" xfId="816" applyFont="1"/>
    <xf numFmtId="266" fontId="7" fillId="0" borderId="0" xfId="816" applyNumberFormat="1" applyAlignment="1">
      <alignment horizontal="left"/>
    </xf>
    <xf numFmtId="49" fontId="7" fillId="0" borderId="0" xfId="817" applyNumberFormat="1"/>
    <xf numFmtId="0" fontId="7" fillId="0" borderId="0" xfId="817"/>
    <xf numFmtId="0" fontId="0" fillId="8" borderId="47" xfId="0" applyFill="1" applyBorder="1" applyAlignment="1">
      <alignment vertical="top"/>
    </xf>
    <xf numFmtId="0" fontId="123" fillId="8" borderId="0" xfId="0" applyFont="1" applyFill="1" applyAlignment="1">
      <alignment vertical="top"/>
    </xf>
    <xf numFmtId="0" fontId="123" fillId="8" borderId="43" xfId="0" applyFont="1" applyFill="1" applyBorder="1" applyAlignment="1">
      <alignment vertical="top"/>
    </xf>
    <xf numFmtId="0" fontId="123" fillId="8" borderId="44" xfId="0" applyFont="1" applyFill="1" applyBorder="1" applyAlignment="1">
      <alignment vertical="top"/>
    </xf>
    <xf numFmtId="0" fontId="123" fillId="8" borderId="45" xfId="0" applyFont="1" applyFill="1" applyBorder="1" applyAlignment="1">
      <alignment vertical="top"/>
    </xf>
    <xf numFmtId="0" fontId="243" fillId="8" borderId="0" xfId="0" applyFont="1" applyFill="1" applyAlignment="1">
      <alignment vertical="top"/>
    </xf>
    <xf numFmtId="0" fontId="0" fillId="8" borderId="0" xfId="0" applyFill="1" applyAlignment="1">
      <alignment vertical="top"/>
    </xf>
    <xf numFmtId="0" fontId="0" fillId="8" borderId="46" xfId="0" applyFill="1" applyBorder="1" applyAlignment="1">
      <alignment vertical="top"/>
    </xf>
    <xf numFmtId="0" fontId="33" fillId="0" borderId="12" xfId="2" applyFont="1" applyFill="1" applyBorder="1" applyAlignment="1" applyProtection="1">
      <alignment horizontal="left"/>
      <protection locked="0"/>
    </xf>
    <xf numFmtId="167" fontId="57" fillId="0" borderId="0" xfId="0" applyNumberFormat="1" applyFont="1" applyAlignment="1">
      <alignment horizontal="center"/>
    </xf>
    <xf numFmtId="167" fontId="57" fillId="0" borderId="0" xfId="56" applyNumberFormat="1" applyFont="1" applyAlignment="1">
      <alignment horizontal="center"/>
    </xf>
    <xf numFmtId="0" fontId="123" fillId="8" borderId="0" xfId="0" applyFont="1" applyFill="1" applyAlignment="1">
      <alignment horizontal="left" vertical="top" wrapText="1"/>
    </xf>
  </cellXfs>
  <cellStyles count="818">
    <cellStyle name="-" xfId="157"/>
    <cellStyle name="_x000a_386grabber=M" xfId="2"/>
    <cellStyle name="_x000a_386grabber=M 2" xfId="4"/>
    <cellStyle name="_x000a_386grabber=M 3" xfId="5"/>
    <cellStyle name="_x000a_386grabber=M_DB Model_DHR_wip" xfId="6"/>
    <cellStyle name="_x000a_386grabber=M_Pratt" xfId="7"/>
    <cellStyle name="$" xfId="158"/>
    <cellStyle name="$ &amp; ¢" xfId="159"/>
    <cellStyle name="$ 0 decimal" xfId="160"/>
    <cellStyle name="$ 1 decimal" xfId="161"/>
    <cellStyle name="$ 2 decimals" xfId="162"/>
    <cellStyle name="$norm" xfId="163"/>
    <cellStyle name="$normbold" xfId="164"/>
    <cellStyle name="%" xfId="82"/>
    <cellStyle name="% 2" xfId="83"/>
    <cellStyle name="%.00" xfId="165"/>
    <cellStyle name="%_1Q13 Results" xfId="166"/>
    <cellStyle name="%_2Q13 Results" xfId="167"/>
    <cellStyle name="%_IS" xfId="168"/>
    <cellStyle name="%_MMM Chartbook Files" xfId="169"/>
    <cellStyle name="%_MS Model_CBE" xfId="170"/>
    <cellStyle name="%_MS Model_GE" xfId="171"/>
    <cellStyle name="%_MS Model_LII" xfId="172"/>
    <cellStyle name="%_MS Model_MMM" xfId="173"/>
    <cellStyle name="%_MS Model_SPW" xfId="174"/>
    <cellStyle name="%_MS Model_UTX" xfId="175"/>
    <cellStyle name="%_RRST1" xfId="176"/>
    <cellStyle name="%_RRST1_2Q13 Results" xfId="177"/>
    <cellStyle name="%_RRST1_IS" xfId="178"/>
    <cellStyle name="%_RRST1_MS Model_SPW" xfId="179"/>
    <cellStyle name="%_RRST1_Risk Reward" xfId="180"/>
    <cellStyle name="%_RRST15" xfId="181"/>
    <cellStyle name="%_RRST20" xfId="182"/>
    <cellStyle name="%_RRST3" xfId="183"/>
    <cellStyle name="%_RRST30" xfId="184"/>
    <cellStyle name="%_RRST6" xfId="185"/>
    <cellStyle name="??" xfId="186"/>
    <cellStyle name="?? [0.00]_HELPDESK" xfId="187"/>
    <cellStyle name="?? [0]_VERA" xfId="188"/>
    <cellStyle name="???? [0.00]_HELPDESK" xfId="189"/>
    <cellStyle name="?????_VERA" xfId="190"/>
    <cellStyle name="????_GTParentheet" xfId="191"/>
    <cellStyle name="??_BB" xfId="192"/>
    <cellStyle name="?Q\?1@" xfId="84"/>
    <cellStyle name="_9952 formal model(070322)-1" xfId="193"/>
    <cellStyle name="_AAPL_MS_Model (2)" xfId="194"/>
    <cellStyle name="_Commercial Aircraft Orders  Deliveries" xfId="195"/>
    <cellStyle name="_Commercial Aircraft Orders  Deliveries_DOV" xfId="196"/>
    <cellStyle name="_Commercial Aircraft Orders  Deliveries_MS Model_MMM" xfId="197"/>
    <cellStyle name="_Communication Technologies New " xfId="8"/>
    <cellStyle name="_DB Model_DOV" xfId="198"/>
    <cellStyle name="_DB Model_ETN" xfId="199"/>
    <cellStyle name="_DB Model_HON" xfId="200"/>
    <cellStyle name="_DB Model_IR" xfId="201"/>
    <cellStyle name="_DOV" xfId="202"/>
    <cellStyle name="_MMM" xfId="203"/>
    <cellStyle name="_MMM Chartbook Files" xfId="204"/>
    <cellStyle name="_MS Model_ADT" xfId="205"/>
    <cellStyle name="_MS Model_AME" xfId="206"/>
    <cellStyle name="_MS Model_DHR" xfId="207"/>
    <cellStyle name="_MS Model_DOV" xfId="208"/>
    <cellStyle name="_MS Model_EMR" xfId="209"/>
    <cellStyle name="_MS Model_GE" xfId="210"/>
    <cellStyle name="_MS Model_HUBB" xfId="211"/>
    <cellStyle name="_MS Model_LII" xfId="212"/>
    <cellStyle name="_MS Model_MMM" xfId="213"/>
    <cellStyle name="_MS Model_RBC" xfId="214"/>
    <cellStyle name="_MS Model_ROK" xfId="215"/>
    <cellStyle name="_MS Model_SWK" xfId="216"/>
    <cellStyle name="_MS Model_TYC" xfId="217"/>
    <cellStyle name="_Multi Industry variance analysis 3Q07" xfId="218"/>
    <cellStyle name="_Multi Industry_SOTP 2" xfId="219"/>
    <cellStyle name="_MWAnalytics" xfId="220"/>
    <cellStyle name="_MWAnalytics_DOV" xfId="221"/>
    <cellStyle name="_MWAnalytics_MS Model_MMM" xfId="222"/>
    <cellStyle name="_MWAnalytics_v2" xfId="223"/>
    <cellStyle name="_Quarterly Analysis" xfId="224"/>
    <cellStyle name="_RRS1" xfId="225"/>
    <cellStyle name="_RRS13" xfId="226"/>
    <cellStyle name="_ShtReferance" xfId="227"/>
    <cellStyle name="_ShtReferance_DOV" xfId="228"/>
    <cellStyle name="_ShtReferance_MS Model_MMM" xfId="229"/>
    <cellStyle name="_SOTP" xfId="230"/>
    <cellStyle name="_SUMMARY " xfId="9"/>
    <cellStyle name="_SUMMARY  2" xfId="10"/>
    <cellStyle name="_SUMMARY _2Q13 Results" xfId="231"/>
    <cellStyle name="_SUMMARY _CBE Divisional" xfId="232"/>
    <cellStyle name="_SUMMARY _IS" xfId="233"/>
    <cellStyle name="_SUMMARY _MS Model_CBE" xfId="234"/>
    <cellStyle name="_SUMMARY _MS Model_CBE_10Q" xfId="235"/>
    <cellStyle name="_SUMMARY _MS Model_SPW" xfId="236"/>
    <cellStyle name="_SUMMARY _Risk Reward" xfId="237"/>
    <cellStyle name="_SUMMARY _RRST1" xfId="59"/>
    <cellStyle name="_SUMMARY _RRST6" xfId="238"/>
    <cellStyle name="_TemplateSheets" xfId="239"/>
    <cellStyle name="_TemplateSheets_DOV" xfId="240"/>
    <cellStyle name="_TemplateSheets_MS Model_MMM" xfId="241"/>
    <cellStyle name="_Tyco_29 May 2007" xfId="242"/>
    <cellStyle name="’Ê‰Ý [0.00]_COMPANY" xfId="243"/>
    <cellStyle name="’Ê‰Ý_COMPANY" xfId="244"/>
    <cellStyle name="£ BP" xfId="245"/>
    <cellStyle name="¥ JY" xfId="246"/>
    <cellStyle name="=C:\WINNT35\SYSTEM32\COMMAND.COM" xfId="85"/>
    <cellStyle name="=C:\WINNT35\SYSTEM32\COMMAND.COM 2" xfId="86"/>
    <cellStyle name="•W€_Comparables" xfId="247"/>
    <cellStyle name="•W_GE 3 MINIMUM" xfId="248"/>
    <cellStyle name="æØè [0.00]_COMPANY" xfId="249"/>
    <cellStyle name="æØè_COMPANY" xfId="250"/>
    <cellStyle name="ÊÝ [0.00]_COMPANY" xfId="251"/>
    <cellStyle name="ÊÝ_COMPANY" xfId="252"/>
    <cellStyle name="W_GTParent" xfId="253"/>
    <cellStyle name="0" xfId="254"/>
    <cellStyle name="0%" xfId="255"/>
    <cellStyle name="0.0" xfId="256"/>
    <cellStyle name="0.0%" xfId="257"/>
    <cellStyle name="0.0_40050504 (pension)" xfId="258"/>
    <cellStyle name="0.00" xfId="259"/>
    <cellStyle name="0.00%" xfId="260"/>
    <cellStyle name="0.00_40050504 (pension)" xfId="261"/>
    <cellStyle name="0_40050504 (pension)" xfId="262"/>
    <cellStyle name="0_9952 formal model(070322)-1" xfId="263"/>
    <cellStyle name="0_bs" xfId="264"/>
    <cellStyle name="0_Capex &amp; Depreciation " xfId="11"/>
    <cellStyle name="0_Capex &amp; Depreciation _1Q14 Results" xfId="87"/>
    <cellStyle name="0_Capex &amp; Depreciation _1Q14 Results_IS" xfId="88"/>
    <cellStyle name="0_Capex &amp; Depreciation _1Q14 Results_MS_Model_ROK_2Q_WIP" xfId="89"/>
    <cellStyle name="0_Capex &amp; Depreciation _CBE Divisional" xfId="265"/>
    <cellStyle name="0_Capex &amp; Depreciation _CF" xfId="266"/>
    <cellStyle name="0_Capex &amp; Depreciation _IS" xfId="267"/>
    <cellStyle name="0_Capex &amp; Depreciation _ITW" xfId="90"/>
    <cellStyle name="0_Capex &amp; Depreciation _MS Model_CBE" xfId="268"/>
    <cellStyle name="0_Capex &amp; Depreciation _MS Model_CBE_10Q" xfId="269"/>
    <cellStyle name="0_Capex &amp; Depreciation _MS Model_HON_NC" xfId="270"/>
    <cellStyle name="0_Capex &amp; Depreciation _MS Model_ROK_NC" xfId="271"/>
    <cellStyle name="0_Capex &amp; Depreciation _Multiples" xfId="272"/>
    <cellStyle name="0_Capex &amp; Depreciation _Risk Reward" xfId="273"/>
    <cellStyle name="0_Capex &amp; Depreciation _RRST1" xfId="60"/>
    <cellStyle name="0_Capex &amp; Depreciation _RRST6" xfId="274"/>
    <cellStyle name="0_Conso-inc" xfId="275"/>
    <cellStyle name="0_Japan Pension Module Sumitomo Chemical" xfId="276"/>
    <cellStyle name="0_Lonmin_request" xfId="277"/>
    <cellStyle name="0_MMM" xfId="278"/>
    <cellStyle name="0_MWAnalytics" xfId="279"/>
    <cellStyle name="0_MWAnalytics_v2" xfId="280"/>
    <cellStyle name="0_Rio_main" xfId="281"/>
    <cellStyle name="0_ShtReferance" xfId="282"/>
    <cellStyle name="0_TemplateSheets" xfId="283"/>
    <cellStyle name="0_Valuing BP " xfId="12"/>
    <cellStyle name="0_Valuing BP _1Q14 Results" xfId="91"/>
    <cellStyle name="0_Valuing BP _1Q14 Results_IS" xfId="92"/>
    <cellStyle name="0_Valuing BP _1Q14 Results_MS_Model_ROK_2Q_WIP" xfId="93"/>
    <cellStyle name="0_Valuing BP _CBE Divisional" xfId="284"/>
    <cellStyle name="0_Valuing BP _CF" xfId="285"/>
    <cellStyle name="0_Valuing BP _IS" xfId="286"/>
    <cellStyle name="0_Valuing BP _ITW" xfId="94"/>
    <cellStyle name="0_Valuing BP _MS Model_CBE" xfId="287"/>
    <cellStyle name="0_Valuing BP _MS Model_CBE_10Q" xfId="288"/>
    <cellStyle name="0_Valuing BP _MS Model_HON_NC" xfId="289"/>
    <cellStyle name="0_Valuing BP _MS Model_ROK_NC" xfId="290"/>
    <cellStyle name="0_Valuing BP _Multiples" xfId="291"/>
    <cellStyle name="0_Valuing BP _Risk Reward" xfId="292"/>
    <cellStyle name="0_Valuing BP _RRST1" xfId="61"/>
    <cellStyle name="0_Valuing BP _RRST6" xfId="293"/>
    <cellStyle name="1,comma" xfId="294"/>
    <cellStyle name="1st indent" xfId="295"/>
    <cellStyle name="2nd indent" xfId="296"/>
    <cellStyle name="2underline" xfId="297"/>
    <cellStyle name="752131" xfId="298"/>
    <cellStyle name="A_Block Space" xfId="299"/>
    <cellStyle name="A_BlueLine" xfId="300"/>
    <cellStyle name="A_Do not Change" xfId="301"/>
    <cellStyle name="A_Estimate" xfId="302"/>
    <cellStyle name="A_Memo" xfId="303"/>
    <cellStyle name="A_Normal" xfId="304"/>
    <cellStyle name="A_Normal Forecast" xfId="305"/>
    <cellStyle name="A_Normal Historical" xfId="306"/>
    <cellStyle name="A_Normal_DB Model_UTX" xfId="307"/>
    <cellStyle name="A_Normal_GE extra stuff" xfId="308"/>
    <cellStyle name="A_Normal_GE Model_WIP" xfId="309"/>
    <cellStyle name="A_Normal_MS Model_CBE" xfId="310"/>
    <cellStyle name="A_Normal_MS Model_ETN" xfId="311"/>
    <cellStyle name="A_Normal_MS Model_GE" xfId="312"/>
    <cellStyle name="A_Normal_MS Model_GE_WIP" xfId="313"/>
    <cellStyle name="A_Normal_MS Model_LII" xfId="314"/>
    <cellStyle name="A_Normal_MS Model_MMM" xfId="315"/>
    <cellStyle name="A_Normal_MS Model_SPW" xfId="316"/>
    <cellStyle name="A_Normal_MS Model_TYC" xfId="317"/>
    <cellStyle name="A_Normal_MS Model_UTX" xfId="318"/>
    <cellStyle name="A_Normal_Risk Reward" xfId="319"/>
    <cellStyle name="A_Rate_Data" xfId="320"/>
    <cellStyle name="A_Rate_Data Historical" xfId="321"/>
    <cellStyle name="A_Rate_Title" xfId="322"/>
    <cellStyle name="A_Simple Title" xfId="323"/>
    <cellStyle name="A_Sum" xfId="324"/>
    <cellStyle name="A_SUM_Row Major" xfId="325"/>
    <cellStyle name="A_SUM_Row Minor" xfId="326"/>
    <cellStyle name="A_Title" xfId="327"/>
    <cellStyle name="A_YearHeadings" xfId="328"/>
    <cellStyle name="Acctg" xfId="329"/>
    <cellStyle name="Actual Date" xfId="330"/>
    <cellStyle name="AFE" xfId="331"/>
    <cellStyle name="Agara" xfId="332"/>
    <cellStyle name="AMN" xfId="333"/>
    <cellStyle name="Ȧormal_VALC" xfId="334"/>
    <cellStyle name="ArialNormal" xfId="335"/>
    <cellStyle name="Assumption" xfId="336"/>
    <cellStyle name="AUV" xfId="337"/>
    <cellStyle name="Band 2" xfId="338"/>
    <cellStyle name="big-font" xfId="339"/>
    <cellStyle name="Black" xfId="340"/>
    <cellStyle name="black - Style1" xfId="341"/>
    <cellStyle name="blank" xfId="342"/>
    <cellStyle name="Blue" xfId="343"/>
    <cellStyle name="BLuedashZero" xfId="344"/>
    <cellStyle name="Body" xfId="345"/>
    <cellStyle name="Bold/Border" xfId="346"/>
    <cellStyle name="Border" xfId="347"/>
    <cellStyle name="Border, Bottom" xfId="348"/>
    <cellStyle name="Border, Left" xfId="349"/>
    <cellStyle name="Border, Right" xfId="350"/>
    <cellStyle name="Border, Top" xfId="351"/>
    <cellStyle name="Border_Current" xfId="352"/>
    <cellStyle name="Bottom Edge" xfId="353"/>
    <cellStyle name="bottom-title" xfId="354"/>
    <cellStyle name="bps" xfId="355"/>
    <cellStyle name="Bullet" xfId="356"/>
    <cellStyle name="c_HardInc " xfId="13"/>
    <cellStyle name="c_HardInc  2" xfId="14"/>
    <cellStyle name="c_HardInc _1Q12 Results" xfId="357"/>
    <cellStyle name="c_HardInc _1Q14 Results" xfId="95"/>
    <cellStyle name="c_HardInc _1Q14 Results_IS" xfId="96"/>
    <cellStyle name="c_HardInc _1Q14 Results_MS_Model_ROK_2Q_WIP" xfId="97"/>
    <cellStyle name="c_HardInc _CBE Divisional" xfId="358"/>
    <cellStyle name="c_HardInc _CF" xfId="359"/>
    <cellStyle name="c_HardInc _Divisional" xfId="98"/>
    <cellStyle name="c_HardInc _IS" xfId="99"/>
    <cellStyle name="c_HardInc _IS 2" xfId="100"/>
    <cellStyle name="c_HardInc _ITW" xfId="101"/>
    <cellStyle name="c_HardInc _MS Model_CBE" xfId="360"/>
    <cellStyle name="c_HardInc _MS Model_CBE_10Q" xfId="361"/>
    <cellStyle name="c_HardInc _MS Model_HON_NC" xfId="362"/>
    <cellStyle name="c_HardInc _MS Model_ITW_WIP" xfId="102"/>
    <cellStyle name="c_HardInc _MS Model_ROK" xfId="103"/>
    <cellStyle name="c_HardInc _MS Model_ROK_NC" xfId="363"/>
    <cellStyle name="c_HardInc _MS_Model_ITW_4Q13" xfId="104"/>
    <cellStyle name="c_HardInc _MS_Model_ROK_2Q_WIP" xfId="105"/>
    <cellStyle name="c_HardInc _Multiples" xfId="364"/>
    <cellStyle name="c_HardInc _Risk Reward" xfId="365"/>
    <cellStyle name="c_HardInc _RRST1" xfId="62"/>
    <cellStyle name="c_HardInc _RRST1_MS Model_HON_NC" xfId="366"/>
    <cellStyle name="c_HardInc _RRST4" xfId="367"/>
    <cellStyle name="c_HardInc _RRST4_MS Model_HON_NC" xfId="368"/>
    <cellStyle name="c_HardInc _RRST6" xfId="369"/>
    <cellStyle name="C05_Style E Text" xfId="370"/>
    <cellStyle name="Calc Currency (0)" xfId="371"/>
    <cellStyle name="Cents" xfId="372"/>
    <cellStyle name="Change" xfId="373"/>
    <cellStyle name="Changeable" xfId="374"/>
    <cellStyle name="cn$" xfId="375"/>
    <cellStyle name="Col head bold" xfId="376"/>
    <cellStyle name="Col head light" xfId="377"/>
    <cellStyle name="ColumnHeadings" xfId="378"/>
    <cellStyle name="ColumnHeadings2" xfId="379"/>
    <cellStyle name="Comma" xfId="56" builtinId="3"/>
    <cellStyle name="Comma  - Style1" xfId="380"/>
    <cellStyle name="Comma  - Style2" xfId="381"/>
    <cellStyle name="Comma  - Style3" xfId="382"/>
    <cellStyle name="Comma  - Style4" xfId="383"/>
    <cellStyle name="Comma  - Style5" xfId="384"/>
    <cellStyle name="Comma  - Style6" xfId="385"/>
    <cellStyle name="Comma  - Style7" xfId="386"/>
    <cellStyle name="Comma  - Style8" xfId="387"/>
    <cellStyle name="Comma (1)" xfId="388"/>
    <cellStyle name="Comma [1]" xfId="389"/>
    <cellStyle name="Comma 0" xfId="390"/>
    <cellStyle name="Comma 2" xfId="15"/>
    <cellStyle name="Comma 2 2" xfId="16"/>
    <cellStyle name="Comma 2 3" xfId="106"/>
    <cellStyle name="Comma 2_MS Model_SPW" xfId="156"/>
    <cellStyle name="Comma 3" xfId="17"/>
    <cellStyle name="Comma 3 2" xfId="73"/>
    <cellStyle name="Comma 4" xfId="18"/>
    <cellStyle name="Comma 5" xfId="19"/>
    <cellStyle name="Comma 5 2" xfId="75"/>
    <cellStyle name="Comma Cents" xfId="391"/>
    <cellStyle name="Comma(1)" xfId="392"/>
    <cellStyle name="Comma(2)" xfId="393"/>
    <cellStyle name="comma(3)" xfId="394"/>
    <cellStyle name="Comment" xfId="395"/>
    <cellStyle name="CompanyName" xfId="396"/>
    <cellStyle name="Copied" xfId="397"/>
    <cellStyle name="Curren - Style3" xfId="398"/>
    <cellStyle name="Curren - Style4" xfId="399"/>
    <cellStyle name="Currency (1)" xfId="400"/>
    <cellStyle name="Currency [1]" xfId="401"/>
    <cellStyle name="Currency [2]" xfId="402"/>
    <cellStyle name="Currency 0" xfId="403"/>
    <cellStyle name="Currency 2" xfId="20"/>
    <cellStyle name="Currency 2 2" xfId="21"/>
    <cellStyle name="Currency 2 3" xfId="22"/>
    <cellStyle name="Currency 3" xfId="23"/>
    <cellStyle name="Currency 3 2" xfId="24"/>
    <cellStyle name="Currency 4" xfId="25"/>
    <cellStyle name="Currency 4 2" xfId="26"/>
    <cellStyle name="Currency 5" xfId="404"/>
    <cellStyle name="Currency(1)" xfId="405"/>
    <cellStyle name="Dash" xfId="406"/>
    <cellStyle name="data" xfId="407"/>
    <cellStyle name="data top 2" xfId="408"/>
    <cellStyle name="DataStyle" xfId="107"/>
    <cellStyle name="DataStyleForecast" xfId="108"/>
    <cellStyle name="Date" xfId="409"/>
    <cellStyle name="Date Aligned" xfId="410"/>
    <cellStyle name="Date Line" xfId="411"/>
    <cellStyle name="date month-year" xfId="412"/>
    <cellStyle name="Date_1Q13 Results" xfId="413"/>
    <cellStyle name="Date2" xfId="414"/>
    <cellStyle name="Dates" xfId="415"/>
    <cellStyle name="DBTemplate" xfId="416"/>
    <cellStyle name="Dec_0" xfId="417"/>
    <cellStyle name="Decimal" xfId="418"/>
    <cellStyle name="decimal 0" xfId="419"/>
    <cellStyle name="decimal 1" xfId="420"/>
    <cellStyle name="decimal 2" xfId="421"/>
    <cellStyle name="Decimal.1" xfId="422"/>
    <cellStyle name="Decimal_9952 formal model(070322)-1" xfId="423"/>
    <cellStyle name="DescriptionStyle" xfId="109"/>
    <cellStyle name="DescriptionWrappedStyle" xfId="110"/>
    <cellStyle name="Dezimal [0]_Ergebnis" xfId="424"/>
    <cellStyle name="Dezimal__Utopia Index Index und Guidance (Deutsch)" xfId="425"/>
    <cellStyle name="Dollar" xfId="426"/>
    <cellStyle name="Dollars" xfId="427"/>
    <cellStyle name="Dotted Line" xfId="428"/>
    <cellStyle name="Download" xfId="429"/>
    <cellStyle name="DRI bold" xfId="430"/>
    <cellStyle name="DRI norm" xfId="431"/>
    <cellStyle name="Entered" xfId="432"/>
    <cellStyle name="Entry" xfId="433"/>
    <cellStyle name="EPS" xfId="434"/>
    <cellStyle name="Euro" xfId="435"/>
    <cellStyle name="ExchRate" xfId="436"/>
    <cellStyle name="Fail" xfId="437"/>
    <cellStyle name="FieldName" xfId="438"/>
    <cellStyle name="Financial" xfId="439"/>
    <cellStyle name="FiscalPeriod" xfId="440"/>
    <cellStyle name="Fixed" xfId="441"/>
    <cellStyle name="folio" xfId="442"/>
    <cellStyle name="Font_Actual" xfId="443"/>
    <cellStyle name="FooterStyle" xfId="111"/>
    <cellStyle name="Footnote" xfId="444"/>
    <cellStyle name="Footnote8ital" xfId="445"/>
    <cellStyle name="Fyear" xfId="446"/>
    <cellStyle name="G02 Table Text" xfId="447"/>
    <cellStyle name="G04_Main head" xfId="448"/>
    <cellStyle name="G05 Tab Head Bold" xfId="449"/>
    <cellStyle name="G05 Tab Head Light" xfId="450"/>
    <cellStyle name="Gilsans" xfId="451"/>
    <cellStyle name="Gilsansl" xfId="452"/>
    <cellStyle name="Green" xfId="453"/>
    <cellStyle name="Grey" xfId="454"/>
    <cellStyle name="h" xfId="455"/>
    <cellStyle name="h_APPB MODEL" xfId="456"/>
    <cellStyle name="h_E v A - Dec 01" xfId="457"/>
    <cellStyle name="h_EAT MODEL" xfId="458"/>
    <cellStyle name="h_MCD MODEL" xfId="459"/>
    <cellStyle name="h_SBUX MODEL" xfId="460"/>
    <cellStyle name="h_WEN MODEL" xfId="461"/>
    <cellStyle name="h_WEN MODEL_EAT MODEL" xfId="462"/>
    <cellStyle name="h_WEN MODEL_MCD MODEL" xfId="463"/>
    <cellStyle name="h_WEN MODEL_SBUX MODEL" xfId="464"/>
    <cellStyle name="h_WEN MODEL_YUM MODEL" xfId="465"/>
    <cellStyle name="h_YUM MODEL" xfId="466"/>
    <cellStyle name="hard no" xfId="467"/>
    <cellStyle name="hard no." xfId="468"/>
    <cellStyle name="Hard Percent" xfId="469"/>
    <cellStyle name="hardno" xfId="470"/>
    <cellStyle name="Head 1" xfId="471"/>
    <cellStyle name="Head 2" xfId="472"/>
    <cellStyle name="Head 3" xfId="473"/>
    <cellStyle name="Head1" xfId="474"/>
    <cellStyle name="Header" xfId="475"/>
    <cellStyle name="Header1" xfId="476"/>
    <cellStyle name="Header2" xfId="477"/>
    <cellStyle name="HeaderStyle" xfId="112"/>
    <cellStyle name="heading" xfId="478"/>
    <cellStyle name="Heading1" xfId="479"/>
    <cellStyle name="Heading11Bold" xfId="480"/>
    <cellStyle name="Heading12Bold" xfId="481"/>
    <cellStyle name="Heading2" xfId="482"/>
    <cellStyle name="Hidden" xfId="483"/>
    <cellStyle name="High" xfId="484"/>
    <cellStyle name="HIGHLIGHT" xfId="485"/>
    <cellStyle name="Historicals" xfId="486"/>
    <cellStyle name="Hyperlink" xfId="3" builtinId="8"/>
    <cellStyle name="Input [yellow]" xfId="487"/>
    <cellStyle name="InputBlueFont" xfId="488"/>
    <cellStyle name="Inputs" xfId="489"/>
    <cellStyle name="Integer" xfId="490"/>
    <cellStyle name="Italic" xfId="491"/>
    <cellStyle name="KP_Normal" xfId="492"/>
    <cellStyle name="KPMG Heading 1" xfId="493"/>
    <cellStyle name="KPMG Heading 2" xfId="494"/>
    <cellStyle name="KPMG Heading 3" xfId="495"/>
    <cellStyle name="KPMG Heading 4" xfId="496"/>
    <cellStyle name="KPMG Normal" xfId="497"/>
    <cellStyle name="KPMG Normal Text" xfId="498"/>
    <cellStyle name="l]_x000d__x000a_Path=M:\RIOCEN01_x000d__x000a_Name=Carlos Emilio Brousse_x000d__x000a_DDEApps=nsf,nsg,nsh,ntf,ns2,ors,org_x000d__x000a_SmartIcons=Todos_x000d__x000a_" xfId="499"/>
    <cellStyle name="Locked" xfId="500"/>
    <cellStyle name="MetricLabel" xfId="501"/>
    <cellStyle name="MetricLabelBlue" xfId="502"/>
    <cellStyle name="MetricValue" xfId="503"/>
    <cellStyle name="middle" xfId="504"/>
    <cellStyle name="middle-title" xfId="505"/>
    <cellStyle name="Milliers [0]_AMP" xfId="506"/>
    <cellStyle name="Milliers_AMP" xfId="507"/>
    <cellStyle name="MLCP Normal" xfId="508"/>
    <cellStyle name="mm/dd/yy" xfId="509"/>
    <cellStyle name="Monétaire [0]_AMP" xfId="510"/>
    <cellStyle name="Monétaire_AMP" xfId="511"/>
    <cellStyle name="MonthYears" xfId="512"/>
    <cellStyle name="MthBrief" xfId="513"/>
    <cellStyle name="Mult No x" xfId="514"/>
    <cellStyle name="Mult With x" xfId="515"/>
    <cellStyle name="Multiple" xfId="516"/>
    <cellStyle name="Multiple (no x)" xfId="517"/>
    <cellStyle name="Multiple (x)" xfId="518"/>
    <cellStyle name="Name" xfId="519"/>
    <cellStyle name="New" xfId="520"/>
    <cellStyle name="NewAcct" xfId="521"/>
    <cellStyle name="no dec" xfId="522"/>
    <cellStyle name="No.s to 1dp" xfId="523"/>
    <cellStyle name="Normal" xfId="0" builtinId="0"/>
    <cellStyle name="Normal - Style1" xfId="524"/>
    <cellStyle name="Normal 1" xfId="525"/>
    <cellStyle name="Normal 10" xfId="69"/>
    <cellStyle name="Normal 10 2" xfId="810"/>
    <cellStyle name="Normal 11" xfId="140"/>
    <cellStyle name="Normal 11 2" xfId="811"/>
    <cellStyle name="Normal 12" xfId="805"/>
    <cellStyle name="Normal 12 2" xfId="812"/>
    <cellStyle name="Normal 13" xfId="806"/>
    <cellStyle name="Normal 13 2" xfId="813"/>
    <cellStyle name="Normal 14" xfId="807"/>
    <cellStyle name="Normal 14 2" xfId="814"/>
    <cellStyle name="Normal 15" xfId="816"/>
    <cellStyle name="Normal 16" xfId="817"/>
    <cellStyle name="Normal 2" xfId="27"/>
    <cellStyle name="Normal 2 2" xfId="28"/>
    <cellStyle name="Normal 2 2 2" xfId="81"/>
    <cellStyle name="Normal 2 3" xfId="29"/>
    <cellStyle name="Normal 2 4" xfId="63"/>
    <cellStyle name="Normal 2 4 2" xfId="154"/>
    <cellStyle name="Normal 2 4 3" xfId="77"/>
    <cellStyle name="Normal 2 5" xfId="72"/>
    <cellStyle name="Normal 2_MS Model_SPW" xfId="526"/>
    <cellStyle name="Normal 3" xfId="30"/>
    <cellStyle name="Normal 3 2" xfId="31"/>
    <cellStyle name="Normal 3 3" xfId="71"/>
    <cellStyle name="Normal 4" xfId="32"/>
    <cellStyle name="Normal 4 2" xfId="33"/>
    <cellStyle name="Normal 4 3" xfId="34"/>
    <cellStyle name="Normal 5" xfId="35"/>
    <cellStyle name="Normal 5 2" xfId="64"/>
    <cellStyle name="Normal 6" xfId="36"/>
    <cellStyle name="Normal 6 2" xfId="37"/>
    <cellStyle name="Normal 6 2 2" xfId="155"/>
    <cellStyle name="Normal 7" xfId="38"/>
    <cellStyle name="Normal 7 2" xfId="113"/>
    <cellStyle name="Normal 8" xfId="55"/>
    <cellStyle name="Normal 8 2" xfId="114"/>
    <cellStyle name="Normal 9" xfId="58"/>
    <cellStyle name="Normal 9 2" xfId="68"/>
    <cellStyle name="Normal 9 2 2" xfId="809"/>
    <cellStyle name="Normal 9 3" xfId="808"/>
    <cellStyle name="Normal Bold" xfId="527"/>
    <cellStyle name="Normal Total" xfId="528"/>
    <cellStyle name="Normal_AIRWAYS_revisited_9500" xfId="1"/>
    <cellStyle name="Normal_DB Model_HON" xfId="39"/>
    <cellStyle name="Normal_DisclaimerSheet Samples" xfId="815"/>
    <cellStyle name="Normal_MS Model_CBE" xfId="65"/>
    <cellStyle name="Normal_MS Model_DOV" xfId="40"/>
    <cellStyle name="Normal10pt" xfId="529"/>
    <cellStyle name="Normal1dec" xfId="530"/>
    <cellStyle name="Normal9pt" xfId="531"/>
    <cellStyle name="Normal-Blue" xfId="532"/>
    <cellStyle name="Normale_Pipeline Summary" xfId="533"/>
    <cellStyle name="NormalItalic" xfId="534"/>
    <cellStyle name="Num_Date" xfId="535"/>
    <cellStyle name="number" xfId="536"/>
    <cellStyle name="Numbers" xfId="537"/>
    <cellStyle name="Numbers Bold" xfId="538"/>
    <cellStyle name="Numbers Bold (0)" xfId="539"/>
    <cellStyle name="Numbers Bold (no point)" xfId="540"/>
    <cellStyle name="Numbers Light" xfId="541"/>
    <cellStyle name="Numbers_MMM Chartbook Files" xfId="542"/>
    <cellStyle name="Numbers0" xfId="543"/>
    <cellStyle name="Numdec1" xfId="544"/>
    <cellStyle name="Numdec1bold" xfId="545"/>
    <cellStyle name="Œ…‹æØ‚è [0.00]_COMPANY" xfId="546"/>
    <cellStyle name="Œ…‹æØ‚è_COMPANY" xfId="547"/>
    <cellStyle name="outh America" xfId="548"/>
    <cellStyle name="p " xfId="41"/>
    <cellStyle name="Page Head" xfId="549"/>
    <cellStyle name="Page Number" xfId="550"/>
    <cellStyle name="Pass" xfId="551"/>
    <cellStyle name="Pattern_Forecast" xfId="552"/>
    <cellStyle name="Pctdec1itals" xfId="553"/>
    <cellStyle name="Percent" xfId="57" builtinId="5"/>
    <cellStyle name="Percent (0)" xfId="554"/>
    <cellStyle name="Percent (1)" xfId="555"/>
    <cellStyle name="Percent [1]" xfId="556"/>
    <cellStyle name="Percent [2]" xfId="557"/>
    <cellStyle name="Percent 1" xfId="558"/>
    <cellStyle name="percent 1 decimal" xfId="559"/>
    <cellStyle name="Percent 2" xfId="42"/>
    <cellStyle name="Percent 2 2" xfId="43"/>
    <cellStyle name="Percent 2 2 2" xfId="70"/>
    <cellStyle name="Percent 2 2 3" xfId="115"/>
    <cellStyle name="Percent 2 3" xfId="78"/>
    <cellStyle name="percent 2 decimal" xfId="560"/>
    <cellStyle name="Percent 3" xfId="44"/>
    <cellStyle name="Percent 3 2" xfId="561"/>
    <cellStyle name="Percent 4" xfId="45"/>
    <cellStyle name="Percent 4 2" xfId="79"/>
    <cellStyle name="Percent 4 3" xfId="116"/>
    <cellStyle name="Percent 5" xfId="76"/>
    <cellStyle name="Percent 6" xfId="80"/>
    <cellStyle name="Percent 7" xfId="74"/>
    <cellStyle name="Percent Change" xfId="562"/>
    <cellStyle name="Percent Comma" xfId="563"/>
    <cellStyle name="percent no decimal" xfId="564"/>
    <cellStyle name="Percent total" xfId="565"/>
    <cellStyle name="Percent(1)" xfId="566"/>
    <cellStyle name="Percent.0" xfId="567"/>
    <cellStyle name="Percent.1" xfId="568"/>
    <cellStyle name="Percent.whole" xfId="569"/>
    <cellStyle name="Percent1" xfId="570"/>
    <cellStyle name="Percent2" xfId="571"/>
    <cellStyle name="Percentage" xfId="572"/>
    <cellStyle name="Percent-Input" xfId="573"/>
    <cellStyle name="Percent-whole" xfId="574"/>
    <cellStyle name="PlainDollar" xfId="575"/>
    <cellStyle name="PPT" xfId="576"/>
    <cellStyle name="Price" xfId="577"/>
    <cellStyle name="Problem" xfId="578"/>
    <cellStyle name="ProtectedDates" xfId="579"/>
    <cellStyle name="PSChar" xfId="580"/>
    <cellStyle name="PSDate" xfId="581"/>
    <cellStyle name="PSDec" xfId="582"/>
    <cellStyle name="PSHeading" xfId="583"/>
    <cellStyle name="rate" xfId="584"/>
    <cellStyle name="Ratio" xfId="585"/>
    <cellStyle name="Ratio Comma" xfId="586"/>
    <cellStyle name="Ratio_Private" xfId="587"/>
    <cellStyle name="RED" xfId="588"/>
    <cellStyle name="Restruct" xfId="589"/>
    <cellStyle name="RevList" xfId="590"/>
    <cellStyle name="Right" xfId="591"/>
    <cellStyle name="RowLevel_" xfId="592"/>
    <cellStyle name="RRSInstruction" xfId="46"/>
    <cellStyle name="RSCo" xfId="593"/>
    <cellStyle name="RSSmall" xfId="594"/>
    <cellStyle name="RSTableHead" xfId="595"/>
    <cellStyle name="s_HardInc " xfId="47"/>
    <cellStyle name="s_HardInc  2" xfId="48"/>
    <cellStyle name="s_HardInc _1Q12 Results" xfId="596"/>
    <cellStyle name="s_HardInc _1Q14 Results" xfId="117"/>
    <cellStyle name="s_HardInc _1Q14 Results_IS" xfId="118"/>
    <cellStyle name="s_HardInc _1Q14 Results_MS_Model_ROK_2Q_WIP" xfId="119"/>
    <cellStyle name="s_HardInc _2Q13 Results" xfId="597"/>
    <cellStyle name="s_HardInc _CBE Divisional" xfId="598"/>
    <cellStyle name="s_HardInc _CF" xfId="599"/>
    <cellStyle name="s_HardInc _Divisional" xfId="120"/>
    <cellStyle name="s_HardInc _IS" xfId="121"/>
    <cellStyle name="s_HardInc _IS 2" xfId="122"/>
    <cellStyle name="s_HardInc _ITW" xfId="123"/>
    <cellStyle name="s_HardInc _MS Model_CBE" xfId="600"/>
    <cellStyle name="s_HardInc _MS Model_CBE_10Q" xfId="601"/>
    <cellStyle name="s_HardInc _MS Model_HON_NC" xfId="602"/>
    <cellStyle name="s_HardInc _MS Model_ITW_WIP" xfId="124"/>
    <cellStyle name="s_HardInc _MS Model_ROK" xfId="125"/>
    <cellStyle name="s_HardInc _MS Model_ROK_NC" xfId="603"/>
    <cellStyle name="s_HardInc _MS Model_SPW" xfId="604"/>
    <cellStyle name="s_HardInc _MS_Model_ITW_4Q13" xfId="126"/>
    <cellStyle name="s_HardInc _MS_Model_ROK_2Q_WIP" xfId="127"/>
    <cellStyle name="s_HardInc _Multiples" xfId="605"/>
    <cellStyle name="s_HardInc _Risk Reward" xfId="606"/>
    <cellStyle name="s_HardInc _RRST1" xfId="66"/>
    <cellStyle name="s_HardInc _RRST1_MS Model_HON_NC" xfId="607"/>
    <cellStyle name="s_HardInc _RRST4" xfId="608"/>
    <cellStyle name="s_HardInc _RRST4_MS Model_HON_NC" xfId="609"/>
    <cellStyle name="s_HardInc _RRST6" xfId="610"/>
    <cellStyle name="s_Valuation " xfId="49"/>
    <cellStyle name="s_Valuation  2" xfId="50"/>
    <cellStyle name="s_Valuation _1Q12 Results" xfId="611"/>
    <cellStyle name="s_Valuation _1Q14 Results" xfId="128"/>
    <cellStyle name="s_Valuation _1Q14 Results_IS" xfId="129"/>
    <cellStyle name="s_Valuation _1Q14 Results_MS_Model_ROK_2Q_WIP" xfId="130"/>
    <cellStyle name="s_Valuation _2Q13 Results" xfId="612"/>
    <cellStyle name="s_Valuation _CBE Divisional" xfId="613"/>
    <cellStyle name="s_Valuation _CF" xfId="614"/>
    <cellStyle name="s_Valuation _Divisional" xfId="131"/>
    <cellStyle name="s_Valuation _IS" xfId="132"/>
    <cellStyle name="s_Valuation _IS 2" xfId="133"/>
    <cellStyle name="s_Valuation _ITW" xfId="134"/>
    <cellStyle name="s_Valuation _MS Model_CBE" xfId="615"/>
    <cellStyle name="s_Valuation _MS Model_CBE_10Q" xfId="616"/>
    <cellStyle name="s_Valuation _MS Model_HON_NC" xfId="617"/>
    <cellStyle name="s_Valuation _MS Model_ITW_WIP" xfId="135"/>
    <cellStyle name="s_Valuation _MS Model_ROK" xfId="136"/>
    <cellStyle name="s_Valuation _MS Model_ROK_NC" xfId="618"/>
    <cellStyle name="s_Valuation _MS Model_SPW" xfId="619"/>
    <cellStyle name="s_Valuation _MS_Model_ITW_4Q13" xfId="137"/>
    <cellStyle name="s_Valuation _MS_Model_ROK_2Q_WIP" xfId="138"/>
    <cellStyle name="s_Valuation _Multiples" xfId="620"/>
    <cellStyle name="s_Valuation _Risk Reward" xfId="621"/>
    <cellStyle name="s_Valuation _RRST1" xfId="67"/>
    <cellStyle name="s_Valuation _RRST1_MS Model_HON_NC" xfId="622"/>
    <cellStyle name="s_Valuation _RRST4" xfId="623"/>
    <cellStyle name="s_Valuation _RRST4_MS Model_HON_NC" xfId="624"/>
    <cellStyle name="s_Valuation _RRST6" xfId="625"/>
    <cellStyle name="Section" xfId="626"/>
    <cellStyle name="shade" xfId="627"/>
    <cellStyle name="Shaded" xfId="628"/>
    <cellStyle name="Shading" xfId="629"/>
    <cellStyle name="Share" xfId="630"/>
    <cellStyle name="Shares O/S" xfId="631"/>
    <cellStyle name="Source" xfId="632"/>
    <cellStyle name="SSComma0" xfId="633"/>
    <cellStyle name="SSComma2" xfId="634"/>
    <cellStyle name="SSDecs3" xfId="635"/>
    <cellStyle name="SSDflt" xfId="636"/>
    <cellStyle name="SSDfltPct" xfId="637"/>
    <cellStyle name="SSDfltPct0" xfId="638"/>
    <cellStyle name="SSFixed2" xfId="639"/>
    <cellStyle name="ssp " xfId="51"/>
    <cellStyle name="Standard__Utopia Index Index und Guidance (Deutsch)" xfId="640"/>
    <cellStyle name="Stock Comma" xfId="641"/>
    <cellStyle name="Stock Price" xfId="642"/>
    <cellStyle name="Style 1" xfId="52"/>
    <cellStyle name="Style 1 2" xfId="53"/>
    <cellStyle name="Style 1 3" xfId="54"/>
    <cellStyle name="Style 1 4" xfId="139"/>
    <cellStyle name="Style 101" xfId="643"/>
    <cellStyle name="Style 103" xfId="644"/>
    <cellStyle name="Style 105" xfId="645"/>
    <cellStyle name="Style 107" xfId="646"/>
    <cellStyle name="Style 109" xfId="647"/>
    <cellStyle name="Style 111" xfId="648"/>
    <cellStyle name="Style 114" xfId="649"/>
    <cellStyle name="Style 116" xfId="650"/>
    <cellStyle name="Style 118" xfId="651"/>
    <cellStyle name="Style 120" xfId="652"/>
    <cellStyle name="Style 122" xfId="653"/>
    <cellStyle name="Style 124" xfId="654"/>
    <cellStyle name="Style 126" xfId="655"/>
    <cellStyle name="Style 128" xfId="656"/>
    <cellStyle name="Style 130" xfId="657"/>
    <cellStyle name="Style 132" xfId="658"/>
    <cellStyle name="Style 134" xfId="659"/>
    <cellStyle name="Style 136" xfId="660"/>
    <cellStyle name="Style 140" xfId="661"/>
    <cellStyle name="Style 142" xfId="662"/>
    <cellStyle name="Style 144" xfId="663"/>
    <cellStyle name="Style 146" xfId="664"/>
    <cellStyle name="Style 148" xfId="665"/>
    <cellStyle name="Style 150" xfId="666"/>
    <cellStyle name="Style 152" xfId="667"/>
    <cellStyle name="Style 154" xfId="668"/>
    <cellStyle name="Style 156" xfId="669"/>
    <cellStyle name="Style 158" xfId="670"/>
    <cellStyle name="Style 160" xfId="671"/>
    <cellStyle name="Style 162" xfId="672"/>
    <cellStyle name="Style 165" xfId="673"/>
    <cellStyle name="Style 167" xfId="674"/>
    <cellStyle name="Style 169" xfId="675"/>
    <cellStyle name="Style 171" xfId="676"/>
    <cellStyle name="Style 173" xfId="677"/>
    <cellStyle name="Style 175" xfId="678"/>
    <cellStyle name="Style 177" xfId="679"/>
    <cellStyle name="Style 179" xfId="680"/>
    <cellStyle name="Style 181" xfId="681"/>
    <cellStyle name="Style 183" xfId="682"/>
    <cellStyle name="Style 185" xfId="683"/>
    <cellStyle name="Style 187" xfId="684"/>
    <cellStyle name="Style 190" xfId="685"/>
    <cellStyle name="Style 192" xfId="686"/>
    <cellStyle name="Style 194" xfId="687"/>
    <cellStyle name="Style 196" xfId="688"/>
    <cellStyle name="Style 198" xfId="689"/>
    <cellStyle name="Style 2" xfId="141"/>
    <cellStyle name="Style 200" xfId="690"/>
    <cellStyle name="Style 202" xfId="691"/>
    <cellStyle name="Style 204" xfId="692"/>
    <cellStyle name="Style 206" xfId="693"/>
    <cellStyle name="Style 208" xfId="694"/>
    <cellStyle name="Style 21" xfId="695"/>
    <cellStyle name="Style 210" xfId="696"/>
    <cellStyle name="Style 212" xfId="697"/>
    <cellStyle name="Style 22" xfId="698"/>
    <cellStyle name="Style 23" xfId="699"/>
    <cellStyle name="Style 24" xfId="700"/>
    <cellStyle name="Style 25" xfId="701"/>
    <cellStyle name="Style 26" xfId="702"/>
    <cellStyle name="Style 27" xfId="703"/>
    <cellStyle name="Style 28" xfId="704"/>
    <cellStyle name="Style 29" xfId="705"/>
    <cellStyle name="Style 3" xfId="142"/>
    <cellStyle name="Style 3 2" xfId="143"/>
    <cellStyle name="Style 3 3" xfId="144"/>
    <cellStyle name="Style 30" xfId="706"/>
    <cellStyle name="Style 31" xfId="707"/>
    <cellStyle name="Style 36" xfId="708"/>
    <cellStyle name="Style 38" xfId="709"/>
    <cellStyle name="Style 4" xfId="145"/>
    <cellStyle name="Style 4 2" xfId="146"/>
    <cellStyle name="Style 40" xfId="710"/>
    <cellStyle name="Style 42" xfId="711"/>
    <cellStyle name="Style 44" xfId="712"/>
    <cellStyle name="Style 46" xfId="713"/>
    <cellStyle name="Style 48" xfId="714"/>
    <cellStyle name="Style 5" xfId="147"/>
    <cellStyle name="Style 50" xfId="715"/>
    <cellStyle name="Style 52" xfId="716"/>
    <cellStyle name="Style 54" xfId="717"/>
    <cellStyle name="Style 56" xfId="718"/>
    <cellStyle name="Style 58" xfId="719"/>
    <cellStyle name="Style 6" xfId="148"/>
    <cellStyle name="Style 63" xfId="720"/>
    <cellStyle name="Style 65" xfId="721"/>
    <cellStyle name="Style 67" xfId="722"/>
    <cellStyle name="Style 69" xfId="723"/>
    <cellStyle name="Style 7" xfId="149"/>
    <cellStyle name="Style 7 2" xfId="150"/>
    <cellStyle name="Style 71" xfId="724"/>
    <cellStyle name="Style 73" xfId="725"/>
    <cellStyle name="Style 75" xfId="726"/>
    <cellStyle name="Style 77" xfId="727"/>
    <cellStyle name="Style 79" xfId="728"/>
    <cellStyle name="Style 8" xfId="151"/>
    <cellStyle name="Style 81" xfId="729"/>
    <cellStyle name="Style 83" xfId="730"/>
    <cellStyle name="Style 85" xfId="731"/>
    <cellStyle name="Style 89" xfId="732"/>
    <cellStyle name="Style 9" xfId="152"/>
    <cellStyle name="Style 9 2" xfId="153"/>
    <cellStyle name="Style 91" xfId="733"/>
    <cellStyle name="Style 93" xfId="734"/>
    <cellStyle name="Style 95" xfId="735"/>
    <cellStyle name="Style 97" xfId="736"/>
    <cellStyle name="Style 99" xfId="737"/>
    <cellStyle name="Subheadbldun" xfId="738"/>
    <cellStyle name="Subtotal" xfId="739"/>
    <cellStyle name="Table Head" xfId="740"/>
    <cellStyle name="Table Head Aligned" xfId="741"/>
    <cellStyle name="Table Head Blue" xfId="742"/>
    <cellStyle name="Table Head Green" xfId="743"/>
    <cellStyle name="Table Title" xfId="744"/>
    <cellStyle name="Table Units" xfId="745"/>
    <cellStyle name="TableBody" xfId="746"/>
    <cellStyle name="TableBodyR" xfId="747"/>
    <cellStyle name="TableColHeads" xfId="748"/>
    <cellStyle name="TableName" xfId="749"/>
    <cellStyle name="Terms" xfId="750"/>
    <cellStyle name="Test" xfId="751"/>
    <cellStyle name="Text Bold" xfId="752"/>
    <cellStyle name="Text Light" xfId="753"/>
    <cellStyle name="Text Wrap" xfId="754"/>
    <cellStyle name="textbold" xfId="755"/>
    <cellStyle name="Thick Rule" xfId="756"/>
    <cellStyle name="Thin Rule" xfId="757"/>
    <cellStyle name="times" xfId="758"/>
    <cellStyle name="Times New Roman" xfId="759"/>
    <cellStyle name="title1" xfId="760"/>
    <cellStyle name="title2" xfId="761"/>
    <cellStyle name="Titles" xfId="762"/>
    <cellStyle name="TOGGLEOFF" xfId="763"/>
    <cellStyle name="TOGGLEON" xfId="764"/>
    <cellStyle name="top" xfId="765"/>
    <cellStyle name="Top Edge" xfId="766"/>
    <cellStyle name="topline" xfId="767"/>
    <cellStyle name="top-title" xfId="768"/>
    <cellStyle name="Totals" xfId="769"/>
    <cellStyle name="ubordinated Debt" xfId="770"/>
    <cellStyle name="underline" xfId="771"/>
    <cellStyle name="underline 1 decimal" xfId="772"/>
    <cellStyle name="underline 2 decimals" xfId="773"/>
    <cellStyle name="underline flush left" xfId="774"/>
    <cellStyle name="underline no decimals" xfId="775"/>
    <cellStyle name="underline(2)" xfId="776"/>
    <cellStyle name="underline_1Q13 Results" xfId="777"/>
    <cellStyle name="underlined(2)" xfId="778"/>
    <cellStyle name="UnderlineNormal" xfId="779"/>
    <cellStyle name="unit totals" xfId="780"/>
    <cellStyle name="units" xfId="781"/>
    <cellStyle name="Unprot" xfId="782"/>
    <cellStyle name="Unprot$" xfId="783"/>
    <cellStyle name="Unprot_CurrencySKorea" xfId="784"/>
    <cellStyle name="Unprotect" xfId="785"/>
    <cellStyle name="Unprotected" xfId="786"/>
    <cellStyle name="UnProtectedCalc" xfId="787"/>
    <cellStyle name="Upload Only" xfId="788"/>
    <cellStyle name="US" xfId="789"/>
    <cellStyle name="Validation" xfId="790"/>
    <cellStyle name="Volume" xfId="791"/>
    <cellStyle name="Vpershare" xfId="792"/>
    <cellStyle name="Vstandard" xfId="793"/>
    <cellStyle name="Währung [0]_Ergebnis" xfId="794"/>
    <cellStyle name="Währung_BBTR0050" xfId="795"/>
    <cellStyle name="x" xfId="796"/>
    <cellStyle name="xstyle" xfId="797"/>
    <cellStyle name="Year" xfId="798"/>
    <cellStyle name="Years" xfId="799"/>
    <cellStyle name="표준_SEC-Telecom" xfId="800"/>
    <cellStyle name="桁区切り [0.00]_Modelware Template 2004-02-12" xfId="801"/>
    <cellStyle name="桁区切り_modelware trial" xfId="802"/>
    <cellStyle name="標準_8180 Skylark modelware 041108" xfId="803"/>
    <cellStyle name="通貨 [0.00]_modelware trial" xfId="804"/>
  </cellStyles>
  <dxfs count="0"/>
  <tableStyles count="0" defaultTableStyle="TableStyleMedium2" defaultPivotStyle="PivotStyleLight16"/>
  <colors>
    <mruColors>
      <color rgb="FF0000CC"/>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theme/theme1.xml" Type="http://schemas.openxmlformats.org/officeDocument/2006/relationships/theme"/>
<Relationship Id="rId18" Target="styles.xml" Type="http://schemas.openxmlformats.org/officeDocument/2006/relationships/styles"/>
<Relationship Id="rId19" Target="sharedStrings.xml" Type="http://schemas.openxmlformats.org/officeDocument/2006/relationships/sharedStrings"/>
<Relationship Id="rId2" Target="worksheets/sheet2.xml" Type="http://schemas.openxmlformats.org/officeDocument/2006/relationships/worksheet"/>
<Relationship Id="rId20" Target="calcChain.xml" Type="http://schemas.openxmlformats.org/officeDocument/2006/relationships/calcChain"/>
<Relationship Id="rId21" Target="../customXml/item1.xml" Type="http://schemas.openxmlformats.org/officeDocument/2006/relationships/customXml"/>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188</xdr:row>
      <xdr:rowOff>0</xdr:rowOff>
    </xdr:from>
    <xdr:to>
      <xdr:col>7</xdr:col>
      <xdr:colOff>390525</xdr:colOff>
      <xdr:row>211</xdr:row>
      <xdr:rowOff>104775</xdr:rowOff>
    </xdr:to>
    <xdr:pic>
      <xdr:nvPicPr>
        <xdr:cNvPr id="92161" name="Picture 1" descr="C:\Users\jiayanz\AppData\Local\Temp\MercuryPriceRatingHistoryChart\UTX.N_2017_10_26_18_36_4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14</xdr:row>
          <xdr:rowOff>904875</xdr:rowOff>
        </xdr:from>
        <xdr:to>
          <xdr:col>1</xdr:col>
          <xdr:colOff>1343025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Book Antiqua"/>
                </a:rPr>
                <a:t>Print Financial Statements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14</xdr:row>
          <xdr:rowOff>904875</xdr:rowOff>
        </xdr:from>
        <xdr:to>
          <xdr:col>4</xdr:col>
          <xdr:colOff>0</xdr:colOff>
          <xdr:row>15</xdr:row>
          <xdr:rowOff>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Book Antiqua"/>
                </a:rPr>
                <a:t>Print Divisional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904875</xdr:rowOff>
        </xdr:from>
        <xdr:to>
          <xdr:col>5</xdr:col>
          <xdr:colOff>1333500</xdr:colOff>
          <xdr:row>15</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Book Antiqua"/>
                </a:rPr>
                <a:t>Print KPI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14</xdr:row>
          <xdr:rowOff>904875</xdr:rowOff>
        </xdr:from>
        <xdr:to>
          <xdr:col>7</xdr:col>
          <xdr:colOff>1343025</xdr:colOff>
          <xdr:row>15</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Book Antiqua"/>
                </a:rPr>
                <a:t>Print 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14</xdr:row>
          <xdr:rowOff>904875</xdr:rowOff>
        </xdr:from>
        <xdr:to>
          <xdr:col>9</xdr:col>
          <xdr:colOff>1343025</xdr:colOff>
          <xdr:row>15</xdr:row>
          <xdr:rowOff>9525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Book Antiqua"/>
                </a:rPr>
                <a:t>Print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printerSettings/printerSettings2.bin" Type="http://schemas.openxmlformats.org/officeDocument/2006/relationships/printerSettings"/>
<Relationship Id="rId3" Target="../drawings/drawing2.xml" Type="http://schemas.openxmlformats.org/officeDocument/2006/relationships/drawing"/>
<Relationship Id="rId4" Target="../drawings/vmlDrawing1.vml" Type="http://schemas.openxmlformats.org/officeDocument/2006/relationships/vmlDrawing"/>
<Relationship Id="rId5" Target="../ctrlProps/ctrlProp1.xml" Type="http://schemas.openxmlformats.org/officeDocument/2006/relationships/ctrlProp"/>
<Relationship Id="rId6" Target="../ctrlProps/ctrlProp2.xml" Type="http://schemas.openxmlformats.org/officeDocument/2006/relationships/ctrlProp"/>
<Relationship Id="rId7" Target="../ctrlProps/ctrlProp3.xml" Type="http://schemas.openxmlformats.org/officeDocument/2006/relationships/ctrlProp"/>
<Relationship Id="rId8" Target="../ctrlProps/ctrlProp4.xml" Type="http://schemas.openxmlformats.org/officeDocument/2006/relationships/ctrlProp"/>
<Relationship Id="rId9" Target="../ctrlProps/ctrlProp5.xml" Type="http://schemas.openxmlformats.org/officeDocument/2006/relationships/ctrlProp"/>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printerSettings/printerSettings6.bin" Type="http://schemas.openxmlformats.org/officeDocument/2006/relationships/printerSettings"/>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mailto:nigel.coe@db.com" TargetMode="External" Type="http://schemas.openxmlformats.org/officeDocument/2006/relationships/hyperlink"/>
<Relationship Id="rId2" Target="mailto:nigel.coe@db.com" TargetMode="External" Type="http://schemas.openxmlformats.org/officeDocument/2006/relationships/hyperlink"/>
<Relationship Id="rId3" Target="mailto:nigel.coe@morganstanley.com" TargetMode="External" Type="http://schemas.openxmlformats.org/officeDocument/2006/relationships/hyperlink"/>
<Relationship Id="rId4" Target="mailto:nigel.coe@morganstanley.com" TargetMode="External" Type="http://schemas.openxmlformats.org/officeDocument/2006/relationships/hyperlink"/>
<Relationship Id="rId5" Target="mailto:nigel.coe@morganstanley.com" TargetMode="External" Type="http://schemas.openxmlformats.org/officeDocument/2006/relationships/hyperlink"/>
<Relationship Id="rId6" Target="mailto:nigel.coe@morganstanley.com" TargetMode="External" Type="http://schemas.openxmlformats.org/officeDocument/2006/relationships/hyperlink"/>
<Relationship Id="rId7" Target="../printerSettings/printerSettings7.bin" Type="http://schemas.openxmlformats.org/officeDocument/2006/relationships/printerSettings"/>
<Relationship Id="rId8" Target="../drawings/vmlDrawing4.vml" Type="http://schemas.openxmlformats.org/officeDocument/2006/relationships/vmlDrawing"/>
<Relationship Id="rId9"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mailto:nigel.coe@morganstanley.com" TargetMode="External" Type="http://schemas.openxmlformats.org/officeDocument/2006/relationships/hyperlink"/>
<Relationship Id="rId3" Target="mailto:nigel.coe@morganstanley.com" TargetMode="External" Type="http://schemas.openxmlformats.org/officeDocument/2006/relationships/hyperlink"/>
<Relationship Id="rId4" Target="mailto:nigel.coe@morganstanley.com" TargetMode="External" Type="http://schemas.openxmlformats.org/officeDocument/2006/relationships/hyperlink"/>
<Relationship Id="rId5" Target="mailto:nigel.coe@morganstanley.com" TargetMode="External" Type="http://schemas.openxmlformats.org/officeDocument/2006/relationships/hyperlink"/>
<Relationship Id="rId6" Target="../printerSettings/printerSettings8.bin" Type="http://schemas.openxmlformats.org/officeDocument/2006/relationships/printerSettings"/>
<Relationship Id="rId7" Target="../drawings/vmlDrawing5.vml" Type="http://schemas.openxmlformats.org/officeDocument/2006/relationships/vmlDrawing"/>
<Relationship Id="rId8"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printerSettings/printerSettings9.bin" Type="http://schemas.openxmlformats.org/officeDocument/2006/relationships/printerSettings"/>
<Relationship Id="rId3" Target="../drawings/vmlDrawing6.vml" Type="http://schemas.openxmlformats.org/officeDocument/2006/relationships/vmlDrawing"/>
<Relationship Id="rId4"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printerSettings/printerSettings10.bin" Type="http://schemas.openxmlformats.org/officeDocument/2006/relationships/printerSettings"/>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mailto:nigel.coe@morganstanley.com" TargetMode="External" Type="http://schemas.openxmlformats.org/officeDocument/2006/relationships/hyperlink"/>
<Relationship Id="rId3" Target="mailto:nigel.coe@morganstanley.com" TargetMode="External" Type="http://schemas.openxmlformats.org/officeDocument/2006/relationships/hyperlink"/>
<Relationship Id="rId4" Target="mailto:nigel.coe@morganstanley.com" TargetMode="External" Type="http://schemas.openxmlformats.org/officeDocument/2006/relationships/hyperlink"/>
<Relationship Id="rId5" Target="mailto:nigel.coe@morganstanley.com" TargetMode="External" Type="http://schemas.openxmlformats.org/officeDocument/2006/relationships/hyperlink"/>
<Relationship Id="rId6" Target="../printerSettings/printerSettings11.bin" Type="http://schemas.openxmlformats.org/officeDocument/2006/relationships/printerSettings"/>
<Relationship Id="rId7" Target="../drawings/vmlDrawing8.vml" Type="http://schemas.openxmlformats.org/officeDocument/2006/relationships/vmlDrawing"/>
<Relationship Id="rId8"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printerSettings/printerSettings12.bin" Type="http://schemas.openxmlformats.org/officeDocument/2006/relationships/printerSettings"/>
<Relationship Id="rId3" Target="../drawings/vmlDrawing9.vml" Type="http://schemas.openxmlformats.org/officeDocument/2006/relationships/vmlDrawing"/>
<Relationship Id="rId4"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mailto:nigel.coe@morganstanley.com" TargetMode="External" Type="http://schemas.openxmlformats.org/officeDocument/2006/relationships/hyperlink"/>
<Relationship Id="rId3" Target="mailto:nigel.coe@morganstanley.com" TargetMode="External" Type="http://schemas.openxmlformats.org/officeDocument/2006/relationships/hyperlink"/>
<Relationship Id="rId4" Target="mailto:nigel.coe@morganstanley.com" TargetMode="External" Type="http://schemas.openxmlformats.org/officeDocument/2006/relationships/hyperlink"/>
<Relationship Id="rId5" Target="mailto:nigel.coe@morganstanley.com" TargetMode="External" Type="http://schemas.openxmlformats.org/officeDocument/2006/relationships/hyperlink"/>
<Relationship Id="rId6" Target="../printerSettings/printerSettings13.bin" Type="http://schemas.openxmlformats.org/officeDocument/2006/relationships/printerSettings"/>
<Relationship Id="rId7" Target="../drawings/vmlDrawing10.vml" Type="http://schemas.openxmlformats.org/officeDocument/2006/relationships/vmlDrawing"/>
<Relationship Id="rId8"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05"/>
  <sheetViews>
    <sheetView showGridLines="0" tabSelected="1" topLeftCell="A24" workbookViewId="0">
      <selection activeCell="A28" sqref="A28:G35"/>
    </sheetView>
  </sheetViews>
  <sheetFormatPr defaultRowHeight="12.75"/>
  <cols>
    <col min="1" max="1" width="25.7109375" style="2337" customWidth="1"/>
    <col min="2" max="5" width="9.140625" style="2337"/>
    <col min="6" max="6" width="18.7109375" style="2337" customWidth="1"/>
    <col min="7" max="256" width="9.140625" style="2337"/>
    <col min="257" max="257" width="100.7109375" style="2337" customWidth="1"/>
    <col min="258" max="512" width="9.140625" style="2337"/>
    <col min="513" max="513" width="100.7109375" style="2337" customWidth="1"/>
    <col min="514" max="768" width="9.140625" style="2337"/>
    <col min="769" max="769" width="100.7109375" style="2337" customWidth="1"/>
    <col min="770" max="1024" width="9.140625" style="2337"/>
    <col min="1025" max="1025" width="100.7109375" style="2337" customWidth="1"/>
    <col min="1026" max="1280" width="9.140625" style="2337"/>
    <col min="1281" max="1281" width="100.7109375" style="2337" customWidth="1"/>
    <col min="1282" max="1536" width="9.140625" style="2337"/>
    <col min="1537" max="1537" width="100.7109375" style="2337" customWidth="1"/>
    <col min="1538" max="1792" width="9.140625" style="2337"/>
    <col min="1793" max="1793" width="100.7109375" style="2337" customWidth="1"/>
    <col min="1794" max="2048" width="9.140625" style="2337"/>
    <col min="2049" max="2049" width="100.7109375" style="2337" customWidth="1"/>
    <col min="2050" max="2304" width="9.140625" style="2337"/>
    <col min="2305" max="2305" width="100.7109375" style="2337" customWidth="1"/>
    <col min="2306" max="2560" width="9.140625" style="2337"/>
    <col min="2561" max="2561" width="100.7109375" style="2337" customWidth="1"/>
    <col min="2562" max="2816" width="9.140625" style="2337"/>
    <col min="2817" max="2817" width="100.7109375" style="2337" customWidth="1"/>
    <col min="2818" max="3072" width="9.140625" style="2337"/>
    <col min="3073" max="3073" width="100.7109375" style="2337" customWidth="1"/>
    <col min="3074" max="3328" width="9.140625" style="2337"/>
    <col min="3329" max="3329" width="100.7109375" style="2337" customWidth="1"/>
    <col min="3330" max="3584" width="9.140625" style="2337"/>
    <col min="3585" max="3585" width="100.7109375" style="2337" customWidth="1"/>
    <col min="3586" max="3840" width="9.140625" style="2337"/>
    <col min="3841" max="3841" width="100.7109375" style="2337" customWidth="1"/>
    <col min="3842" max="4096" width="9.140625" style="2337"/>
    <col min="4097" max="4097" width="100.7109375" style="2337" customWidth="1"/>
    <col min="4098" max="4352" width="9.140625" style="2337"/>
    <col min="4353" max="4353" width="100.7109375" style="2337" customWidth="1"/>
    <col min="4354" max="4608" width="9.140625" style="2337"/>
    <col min="4609" max="4609" width="100.7109375" style="2337" customWidth="1"/>
    <col min="4610" max="4864" width="9.140625" style="2337"/>
    <col min="4865" max="4865" width="100.7109375" style="2337" customWidth="1"/>
    <col min="4866" max="5120" width="9.140625" style="2337"/>
    <col min="5121" max="5121" width="100.7109375" style="2337" customWidth="1"/>
    <col min="5122" max="5376" width="9.140625" style="2337"/>
    <col min="5377" max="5377" width="100.7109375" style="2337" customWidth="1"/>
    <col min="5378" max="5632" width="9.140625" style="2337"/>
    <col min="5633" max="5633" width="100.7109375" style="2337" customWidth="1"/>
    <col min="5634" max="5888" width="9.140625" style="2337"/>
    <col min="5889" max="5889" width="100.7109375" style="2337" customWidth="1"/>
    <col min="5890" max="6144" width="9.140625" style="2337"/>
    <col min="6145" max="6145" width="100.7109375" style="2337" customWidth="1"/>
    <col min="6146" max="6400" width="9.140625" style="2337"/>
    <col min="6401" max="6401" width="100.7109375" style="2337" customWidth="1"/>
    <col min="6402" max="6656" width="9.140625" style="2337"/>
    <col min="6657" max="6657" width="100.7109375" style="2337" customWidth="1"/>
    <col min="6658" max="6912" width="9.140625" style="2337"/>
    <col min="6913" max="6913" width="100.7109375" style="2337" customWidth="1"/>
    <col min="6914" max="7168" width="9.140625" style="2337"/>
    <col min="7169" max="7169" width="100.7109375" style="2337" customWidth="1"/>
    <col min="7170" max="7424" width="9.140625" style="2337"/>
    <col min="7425" max="7425" width="100.7109375" style="2337" customWidth="1"/>
    <col min="7426" max="7680" width="9.140625" style="2337"/>
    <col min="7681" max="7681" width="100.7109375" style="2337" customWidth="1"/>
    <col min="7682" max="7936" width="9.140625" style="2337"/>
    <col min="7937" max="7937" width="100.7109375" style="2337" customWidth="1"/>
    <col min="7938" max="8192" width="9.140625" style="2337"/>
    <col min="8193" max="8193" width="100.7109375" style="2337" customWidth="1"/>
    <col min="8194" max="8448" width="9.140625" style="2337"/>
    <col min="8449" max="8449" width="100.7109375" style="2337" customWidth="1"/>
    <col min="8450" max="8704" width="9.140625" style="2337"/>
    <col min="8705" max="8705" width="100.7109375" style="2337" customWidth="1"/>
    <col min="8706" max="8960" width="9.140625" style="2337"/>
    <col min="8961" max="8961" width="100.7109375" style="2337" customWidth="1"/>
    <col min="8962" max="9216" width="9.140625" style="2337"/>
    <col min="9217" max="9217" width="100.7109375" style="2337" customWidth="1"/>
    <col min="9218" max="9472" width="9.140625" style="2337"/>
    <col min="9473" max="9473" width="100.7109375" style="2337" customWidth="1"/>
    <col min="9474" max="9728" width="9.140625" style="2337"/>
    <col min="9729" max="9729" width="100.7109375" style="2337" customWidth="1"/>
    <col min="9730" max="9984" width="9.140625" style="2337"/>
    <col min="9985" max="9985" width="100.7109375" style="2337" customWidth="1"/>
    <col min="9986" max="10240" width="9.140625" style="2337"/>
    <col min="10241" max="10241" width="100.7109375" style="2337" customWidth="1"/>
    <col min="10242" max="10496" width="9.140625" style="2337"/>
    <col min="10497" max="10497" width="100.7109375" style="2337" customWidth="1"/>
    <col min="10498" max="10752" width="9.140625" style="2337"/>
    <col min="10753" max="10753" width="100.7109375" style="2337" customWidth="1"/>
    <col min="10754" max="11008" width="9.140625" style="2337"/>
    <col min="11009" max="11009" width="100.7109375" style="2337" customWidth="1"/>
    <col min="11010" max="11264" width="9.140625" style="2337"/>
    <col min="11265" max="11265" width="100.7109375" style="2337" customWidth="1"/>
    <col min="11266" max="11520" width="9.140625" style="2337"/>
    <col min="11521" max="11521" width="100.7109375" style="2337" customWidth="1"/>
    <col min="11522" max="11776" width="9.140625" style="2337"/>
    <col min="11777" max="11777" width="100.7109375" style="2337" customWidth="1"/>
    <col min="11778" max="12032" width="9.140625" style="2337"/>
    <col min="12033" max="12033" width="100.7109375" style="2337" customWidth="1"/>
    <col min="12034" max="12288" width="9.140625" style="2337"/>
    <col min="12289" max="12289" width="100.7109375" style="2337" customWidth="1"/>
    <col min="12290" max="12544" width="9.140625" style="2337"/>
    <col min="12545" max="12545" width="100.7109375" style="2337" customWidth="1"/>
    <col min="12546" max="12800" width="9.140625" style="2337"/>
    <col min="12801" max="12801" width="100.7109375" style="2337" customWidth="1"/>
    <col min="12802" max="13056" width="9.140625" style="2337"/>
    <col min="13057" max="13057" width="100.7109375" style="2337" customWidth="1"/>
    <col min="13058" max="13312" width="9.140625" style="2337"/>
    <col min="13313" max="13313" width="100.7109375" style="2337" customWidth="1"/>
    <col min="13314" max="13568" width="9.140625" style="2337"/>
    <col min="13569" max="13569" width="100.7109375" style="2337" customWidth="1"/>
    <col min="13570" max="13824" width="9.140625" style="2337"/>
    <col min="13825" max="13825" width="100.7109375" style="2337" customWidth="1"/>
    <col min="13826" max="14080" width="9.140625" style="2337"/>
    <col min="14081" max="14081" width="100.7109375" style="2337" customWidth="1"/>
    <col min="14082" max="14336" width="9.140625" style="2337"/>
    <col min="14337" max="14337" width="100.7109375" style="2337" customWidth="1"/>
    <col min="14338" max="14592" width="9.140625" style="2337"/>
    <col min="14593" max="14593" width="100.7109375" style="2337" customWidth="1"/>
    <col min="14594" max="14848" width="9.140625" style="2337"/>
    <col min="14849" max="14849" width="100.7109375" style="2337" customWidth="1"/>
    <col min="14850" max="15104" width="9.140625" style="2337"/>
    <col min="15105" max="15105" width="100.7109375" style="2337" customWidth="1"/>
    <col min="15106" max="15360" width="9.140625" style="2337"/>
    <col min="15361" max="15361" width="100.7109375" style="2337" customWidth="1"/>
    <col min="15362" max="15616" width="9.140625" style="2337"/>
    <col min="15617" max="15617" width="100.7109375" style="2337" customWidth="1"/>
    <col min="15618" max="15872" width="9.140625" style="2337"/>
    <col min="15873" max="15873" width="100.7109375" style="2337" customWidth="1"/>
    <col min="15874" max="16128" width="9.140625" style="2337"/>
    <col min="16129" max="16129" width="100.7109375" style="2337" customWidth="1"/>
    <col min="16130" max="16384" width="9.140625" style="2337"/>
  </cols>
  <sheetData>
    <row r="1" spans="1:8" ht="30" customHeight="1">
      <c r="A1" s="2335"/>
      <c r="B1" s="2336"/>
      <c r="C1" s="2336"/>
      <c r="D1" s="2336"/>
      <c r="E1" s="2336"/>
      <c r="F1" s="2336"/>
      <c r="G1" s="2336"/>
      <c r="H1" s="2336"/>
    </row>
    <row r="2" spans="1:8" ht="14.25">
      <c r="A2" s="2338" t="s">
        <v>1475</v>
      </c>
      <c r="B2" s="2336"/>
      <c r="C2" s="2336"/>
      <c r="D2" s="2336"/>
      <c r="E2" s="2336"/>
      <c r="F2" s="2336"/>
      <c r="G2" s="2336"/>
      <c r="H2" s="2336"/>
    </row>
    <row r="3" spans="1:8" ht="14.25">
      <c r="A3" s="2338" t="s">
        <v>1476</v>
      </c>
      <c r="B3" s="2336"/>
      <c r="C3" s="2336"/>
      <c r="D3" s="2336"/>
      <c r="E3" s="2336"/>
      <c r="F3" s="2336"/>
      <c r="G3" s="2336"/>
      <c r="H3" s="2336"/>
    </row>
    <row r="4" spans="1:8" ht="14.25">
      <c r="A4" s="2338" t="s">
        <v>565</v>
      </c>
      <c r="B4" s="2336"/>
      <c r="C4" s="2336"/>
      <c r="D4" s="2336"/>
      <c r="E4" s="2336"/>
      <c r="F4" s="2336"/>
      <c r="G4" s="2336"/>
      <c r="H4" s="2336"/>
    </row>
    <row r="5" spans="1:8" ht="14.25">
      <c r="A5" s="2338" t="s">
        <v>1477</v>
      </c>
      <c r="B5" s="2336"/>
      <c r="C5" s="2336"/>
      <c r="D5" s="2336"/>
      <c r="E5" s="2336"/>
      <c r="F5" s="2336"/>
      <c r="G5" s="2336"/>
      <c r="H5" s="2336"/>
    </row>
    <row r="6" spans="1:8" ht="14.25">
      <c r="A6" s="2338"/>
      <c r="B6" s="2336"/>
      <c r="C6" s="2336"/>
      <c r="D6" s="2336"/>
      <c r="E6" s="2336"/>
      <c r="F6" s="2336"/>
      <c r="G6" s="2336"/>
      <c r="H6" s="2336"/>
    </row>
    <row r="7" spans="1:8">
      <c r="A7" s="2335" t="s">
        <v>1478</v>
      </c>
      <c r="B7" s="2336"/>
      <c r="C7" s="2336"/>
      <c r="D7" s="2336"/>
      <c r="E7" s="2336"/>
      <c r="F7" s="2336"/>
      <c r="G7" s="2336"/>
      <c r="H7" s="2336"/>
    </row>
    <row r="8" spans="1:8">
      <c r="A8" s="2335" t="s">
        <v>1479</v>
      </c>
      <c r="B8" s="2336"/>
      <c r="C8" s="2336"/>
      <c r="D8" s="2336"/>
      <c r="E8" s="2336"/>
      <c r="F8" s="2336"/>
      <c r="G8" s="2336"/>
      <c r="H8" s="2336"/>
    </row>
    <row r="9" spans="1:8">
      <c r="A9" s="2335"/>
      <c r="B9" s="2336"/>
      <c r="C9" s="2336"/>
      <c r="D9" s="2336"/>
      <c r="E9" s="2336"/>
      <c r="F9" s="2336"/>
      <c r="G9" s="2336"/>
      <c r="H9" s="2336"/>
    </row>
    <row r="10" spans="1:8">
      <c r="A10" s="2339" t="s">
        <v>1480</v>
      </c>
      <c r="B10" s="2336"/>
      <c r="C10" s="2336"/>
      <c r="D10" s="2336"/>
      <c r="E10" s="2336"/>
      <c r="F10" s="2336"/>
      <c r="G10" s="2336"/>
      <c r="H10" s="2336"/>
    </row>
    <row r="11" spans="1:8">
      <c r="A11" s="2339" t="s">
        <v>1481</v>
      </c>
      <c r="B11" s="2336"/>
      <c r="C11" s="2336"/>
      <c r="D11" s="2336"/>
      <c r="E11" s="2336"/>
      <c r="F11" s="2336"/>
      <c r="G11" s="2336"/>
      <c r="H11" s="2336"/>
    </row>
    <row r="12" spans="1:8">
      <c r="A12" s="2339" t="s">
        <v>1482</v>
      </c>
      <c r="B12" s="2336"/>
      <c r="C12" s="2336"/>
      <c r="D12" s="2336"/>
      <c r="E12" s="2336"/>
      <c r="F12" s="2336"/>
      <c r="G12" s="2336"/>
      <c r="H12" s="2336"/>
    </row>
    <row r="13" spans="1:8">
      <c r="A13" s="2339" t="s">
        <v>1483</v>
      </c>
      <c r="B13" s="2336"/>
      <c r="C13" s="2336"/>
      <c r="D13" s="2336"/>
      <c r="E13" s="2336"/>
      <c r="F13" s="2336"/>
      <c r="G13" s="2336"/>
      <c r="H13" s="2336"/>
    </row>
    <row r="14" spans="1:8">
      <c r="A14" s="2339" t="s">
        <v>1484</v>
      </c>
      <c r="B14" s="2336"/>
      <c r="C14" s="2336"/>
      <c r="D14" s="2336"/>
      <c r="E14" s="2336"/>
      <c r="F14" s="2336"/>
      <c r="G14" s="2336"/>
      <c r="H14" s="2336"/>
    </row>
    <row r="15" spans="1:8">
      <c r="A15" s="2339" t="s">
        <v>1485</v>
      </c>
      <c r="B15" s="2336"/>
      <c r="C15" s="2336"/>
      <c r="D15" s="2336"/>
      <c r="E15" s="2336"/>
      <c r="F15" s="2336"/>
      <c r="G15" s="2336"/>
      <c r="H15" s="2336"/>
    </row>
    <row r="16" spans="1:8">
      <c r="A16" s="2339"/>
      <c r="B16" s="2336"/>
      <c r="C16" s="2336"/>
      <c r="D16" s="2336"/>
      <c r="E16" s="2336"/>
      <c r="F16" s="2336"/>
      <c r="G16" s="2336"/>
      <c r="H16" s="2336"/>
    </row>
    <row r="17" spans="1:8">
      <c r="A17" s="2339" t="s">
        <v>1472</v>
      </c>
      <c r="B17" s="2336"/>
      <c r="C17" s="2336"/>
      <c r="D17" s="2336"/>
      <c r="E17" s="2336"/>
      <c r="F17" s="2336"/>
      <c r="G17" s="2336"/>
      <c r="H17" s="2336"/>
    </row>
    <row r="18" spans="1:8">
      <c r="A18" s="2339"/>
      <c r="B18" s="2336"/>
      <c r="C18" s="2336"/>
      <c r="D18" s="2336"/>
      <c r="E18" s="2336"/>
      <c r="F18" s="2336"/>
      <c r="G18" s="2336"/>
      <c r="H18" s="2336"/>
    </row>
    <row r="19" spans="1:8">
      <c r="A19" s="2339" t="s">
        <v>1473</v>
      </c>
      <c r="B19" s="2336"/>
      <c r="C19" s="2336"/>
      <c r="D19" s="2336"/>
      <c r="E19" s="2336"/>
      <c r="F19" s="2336"/>
      <c r="G19" s="2336"/>
      <c r="H19" s="2336"/>
    </row>
    <row r="20" spans="1:8">
      <c r="A20" s="2335"/>
      <c r="B20" s="2336"/>
      <c r="C20" s="2336"/>
      <c r="D20" s="2336"/>
      <c r="E20" s="2336"/>
      <c r="F20" s="2336"/>
      <c r="G20" s="2336"/>
      <c r="H20" s="2336"/>
    </row>
    <row r="21" spans="1:8">
      <c r="A21" s="2340" t="s">
        <v>1474</v>
      </c>
      <c r="B21" s="2336"/>
      <c r="C21" s="2336"/>
      <c r="D21" s="2336"/>
      <c r="E21" s="2336"/>
      <c r="F21" s="2336"/>
      <c r="G21" s="2336"/>
      <c r="H21" s="2336"/>
    </row>
    <row r="22" spans="1:8">
      <c r="A22" s="2341"/>
      <c r="B22" s="2341"/>
      <c r="C22" s="2341"/>
      <c r="D22" s="2341"/>
      <c r="E22" s="2341"/>
      <c r="F22" s="2341"/>
      <c r="G22" s="2341"/>
      <c r="H22" s="2341"/>
    </row>
    <row r="23" spans="1:8">
      <c r="A23" s="2342" t="s">
        <v>1768</v>
      </c>
      <c r="B23" s="2341"/>
      <c r="C23" s="2341"/>
      <c r="D23" s="2341"/>
      <c r="E23" s="2341"/>
      <c r="F23" s="2341"/>
      <c r="G23" s="2341"/>
      <c r="H23" s="2341"/>
    </row>
    <row r="24" spans="1:8">
      <c r="A24" s="2342" t="s">
        <v>1769</v>
      </c>
      <c r="B24" s="2341"/>
      <c r="C24" s="2341"/>
      <c r="D24" s="2341"/>
      <c r="E24" s="2341"/>
      <c r="F24" s="2341"/>
      <c r="G24" s="2341"/>
      <c r="H24" s="2341"/>
    </row>
    <row r="25" spans="1:8">
      <c r="A25" s="2342" t="s">
        <v>1770</v>
      </c>
      <c r="B25" s="2341"/>
      <c r="C25" s="2341"/>
      <c r="D25" s="2341"/>
      <c r="E25" s="2341"/>
      <c r="F25" s="2341"/>
      <c r="G25" s="2341"/>
      <c r="H25" s="2341"/>
    </row>
    <row r="26" spans="1:8">
      <c r="A26" s="2342" t="s">
        <v>1771</v>
      </c>
      <c r="B26" s="2341"/>
      <c r="C26" s="2341"/>
      <c r="D26" s="2341"/>
      <c r="E26" s="2341"/>
      <c r="F26" s="2341"/>
      <c r="G26" s="2341"/>
      <c r="H26" s="2341"/>
    </row>
    <row r="27" spans="1:8">
      <c r="A27" s="2344"/>
      <c r="B27" s="2345"/>
      <c r="C27" s="2345"/>
      <c r="D27" s="2345"/>
      <c r="E27" s="2345"/>
      <c r="F27" s="2345"/>
      <c r="G27" s="2345"/>
      <c r="H27" s="2345"/>
    </row>
    <row r="28" spans="1:8" ht="134.25" customHeight="1">
      <c r="A28" s="2368" t="s">
        <v>1838</v>
      </c>
      <c r="B28" s="2368"/>
      <c r="C28" s="2368"/>
      <c r="D28" s="2368"/>
      <c r="E28" s="2368"/>
      <c r="F28" s="2368"/>
      <c r="G28" s="2368"/>
      <c r="H28" s="2345"/>
    </row>
    <row r="29" spans="1:8" ht="12" hidden="1" customHeight="1">
      <c r="A29" s="2368"/>
      <c r="B29" s="2368"/>
      <c r="C29" s="2368"/>
      <c r="D29" s="2368"/>
      <c r="E29" s="2368"/>
      <c r="F29" s="2368"/>
      <c r="G29" s="2368"/>
      <c r="H29" s="2345"/>
    </row>
    <row r="30" spans="1:8" ht="12.75" hidden="1" customHeight="1">
      <c r="A30" s="2368"/>
      <c r="B30" s="2368"/>
      <c r="C30" s="2368"/>
      <c r="D30" s="2368"/>
      <c r="E30" s="2368"/>
      <c r="F30" s="2368"/>
      <c r="G30" s="2368"/>
      <c r="H30" s="2345"/>
    </row>
    <row r="31" spans="1:8" ht="12.75" hidden="1" customHeight="1">
      <c r="A31" s="2368"/>
      <c r="B31" s="2368"/>
      <c r="C31" s="2368"/>
      <c r="D31" s="2368"/>
      <c r="E31" s="2368"/>
      <c r="F31" s="2368"/>
      <c r="G31" s="2368"/>
      <c r="H31" s="2345"/>
    </row>
    <row r="32" spans="1:8" ht="12.75" hidden="1" customHeight="1">
      <c r="A32" s="2368"/>
      <c r="B32" s="2368"/>
      <c r="C32" s="2368"/>
      <c r="D32" s="2368"/>
      <c r="E32" s="2368"/>
      <c r="F32" s="2368"/>
      <c r="G32" s="2368"/>
      <c r="H32" s="2345"/>
    </row>
    <row r="33" spans="1:8" ht="12.75" hidden="1" customHeight="1">
      <c r="A33" s="2368"/>
      <c r="B33" s="2368"/>
      <c r="C33" s="2368"/>
      <c r="D33" s="2368"/>
      <c r="E33" s="2368"/>
      <c r="F33" s="2368"/>
      <c r="G33" s="2368"/>
      <c r="H33" s="2345"/>
    </row>
    <row r="34" spans="1:8" ht="12.75" hidden="1" customHeight="1">
      <c r="A34" s="2368"/>
      <c r="B34" s="2368"/>
      <c r="C34" s="2368"/>
      <c r="D34" s="2368"/>
      <c r="E34" s="2368"/>
      <c r="F34" s="2368"/>
      <c r="G34" s="2368"/>
      <c r="H34" s="2345"/>
    </row>
    <row r="35" spans="1:8" ht="12.75" hidden="1" customHeight="1">
      <c r="A35" s="2368"/>
      <c r="B35" s="2368"/>
      <c r="C35" s="2368"/>
      <c r="D35" s="2368"/>
      <c r="E35" s="2368"/>
      <c r="F35" s="2368"/>
      <c r="G35" s="2368"/>
      <c r="H35" s="2341"/>
    </row>
    <row r="36" spans="1:8">
      <c r="A36" s="2341"/>
      <c r="B36" s="2341"/>
      <c r="C36" s="2341"/>
      <c r="D36" s="2341"/>
      <c r="E36" s="2341"/>
      <c r="F36" s="2341"/>
      <c r="G36" s="2341"/>
      <c r="H36" s="2341"/>
    </row>
    <row r="37" spans="1:8">
      <c r="A37" s="2342" t="s">
        <v>1763</v>
      </c>
      <c r="B37" s="2341"/>
      <c r="C37" s="2341"/>
      <c r="D37" s="2341"/>
      <c r="E37" s="2341"/>
      <c r="F37" s="2341"/>
      <c r="G37" s="2341"/>
      <c r="H37" s="2341"/>
    </row>
    <row r="38" spans="1:8">
      <c r="A38" s="2342" t="s">
        <v>1764</v>
      </c>
      <c r="B38" s="2341"/>
      <c r="C38" s="2341"/>
      <c r="D38" s="2341"/>
      <c r="E38" s="2341"/>
      <c r="F38" s="2341"/>
      <c r="G38" s="2341"/>
      <c r="H38" s="2341"/>
    </row>
    <row r="39" spans="1:8">
      <c r="A39" s="2342" t="s">
        <v>1765</v>
      </c>
      <c r="B39" s="2341"/>
      <c r="C39" s="2341"/>
      <c r="D39" s="2341"/>
      <c r="E39" s="2341"/>
      <c r="F39" s="2341"/>
      <c r="G39" s="2341"/>
      <c r="H39" s="2341"/>
    </row>
    <row r="40" spans="1:8">
      <c r="A40" s="2342" t="s">
        <v>1766</v>
      </c>
      <c r="B40" s="2341"/>
      <c r="C40" s="2341"/>
      <c r="D40" s="2341"/>
      <c r="E40" s="2341"/>
      <c r="F40" s="2341"/>
      <c r="G40" s="2341"/>
      <c r="H40" s="2341"/>
    </row>
    <row r="41" spans="1:8">
      <c r="A41" s="2342" t="s">
        <v>1767</v>
      </c>
      <c r="B41" s="2341"/>
      <c r="C41" s="2341"/>
      <c r="D41" s="2341"/>
      <c r="E41" s="2341"/>
      <c r="F41" s="2341"/>
      <c r="G41" s="2341"/>
      <c r="H41" s="2341"/>
    </row>
    <row r="42" spans="1:8">
      <c r="A42" s="2341"/>
      <c r="B42" s="2341"/>
      <c r="C42" s="2341"/>
      <c r="D42" s="2341"/>
      <c r="E42" s="2341"/>
      <c r="F42" s="2341"/>
      <c r="G42" s="2341"/>
      <c r="H42" s="2341"/>
    </row>
    <row r="43" spans="1:8">
      <c r="A43" s="2342" t="s">
        <v>1759</v>
      </c>
      <c r="B43" s="2341"/>
      <c r="C43" s="2341"/>
      <c r="D43" s="2341"/>
      <c r="E43" s="2341"/>
      <c r="F43" s="2341"/>
      <c r="G43" s="2341"/>
      <c r="H43" s="2341"/>
    </row>
    <row r="44" spans="1:8">
      <c r="A44" s="2342" t="s">
        <v>1760</v>
      </c>
      <c r="B44" s="2341"/>
      <c r="C44" s="2341"/>
      <c r="D44" s="2341"/>
      <c r="E44" s="2341"/>
      <c r="F44" s="2341"/>
      <c r="G44" s="2341"/>
      <c r="H44" s="2341"/>
    </row>
    <row r="45" spans="1:8">
      <c r="A45" s="2342" t="s">
        <v>1761</v>
      </c>
      <c r="B45" s="2341"/>
      <c r="C45" s="2341"/>
      <c r="D45" s="2341"/>
      <c r="E45" s="2341"/>
      <c r="F45" s="2341"/>
      <c r="G45" s="2341"/>
      <c r="H45" s="2341"/>
    </row>
    <row r="46" spans="1:8">
      <c r="A46" s="2342" t="s">
        <v>1762</v>
      </c>
      <c r="B46" s="2341"/>
      <c r="C46" s="2341"/>
      <c r="D46" s="2341"/>
      <c r="E46" s="2341"/>
      <c r="F46" s="2341"/>
      <c r="G46" s="2341"/>
      <c r="H46" s="2341"/>
    </row>
    <row r="47" spans="1:8">
      <c r="A47" s="2341"/>
      <c r="B47" s="2341"/>
      <c r="C47" s="2341"/>
      <c r="D47" s="2341"/>
      <c r="E47" s="2341"/>
      <c r="F47" s="2341"/>
      <c r="G47" s="2341"/>
      <c r="H47" s="2341"/>
    </row>
    <row r="48" spans="1:8">
      <c r="A48" s="2342" t="s">
        <v>1753</v>
      </c>
      <c r="B48" s="2341"/>
      <c r="C48" s="2341"/>
      <c r="D48" s="2341"/>
      <c r="E48" s="2341"/>
      <c r="F48" s="2341"/>
      <c r="G48" s="2341"/>
      <c r="H48" s="2341"/>
    </row>
    <row r="49" spans="1:8">
      <c r="A49" s="2342" t="s">
        <v>1754</v>
      </c>
      <c r="B49" s="2341"/>
      <c r="C49" s="2341"/>
      <c r="D49" s="2341"/>
      <c r="E49" s="2341"/>
      <c r="F49" s="2341"/>
      <c r="G49" s="2341"/>
      <c r="H49" s="2341"/>
    </row>
    <row r="50" spans="1:8">
      <c r="A50" s="2342" t="s">
        <v>1755</v>
      </c>
      <c r="B50" s="2341"/>
      <c r="C50" s="2341"/>
      <c r="D50" s="2341"/>
      <c r="E50" s="2341"/>
      <c r="F50" s="2341"/>
      <c r="G50" s="2341"/>
      <c r="H50" s="2341"/>
    </row>
    <row r="51" spans="1:8">
      <c r="A51" s="2342" t="s">
        <v>1756</v>
      </c>
      <c r="B51" s="2341"/>
      <c r="C51" s="2341"/>
      <c r="D51" s="2341"/>
      <c r="E51" s="2341"/>
      <c r="F51" s="2341"/>
      <c r="G51" s="2341"/>
      <c r="H51" s="2341"/>
    </row>
    <row r="52" spans="1:8">
      <c r="A52" s="2342" t="s">
        <v>1757</v>
      </c>
      <c r="B52" s="2341"/>
      <c r="C52" s="2341"/>
      <c r="D52" s="2341"/>
      <c r="E52" s="2341"/>
      <c r="F52" s="2341"/>
      <c r="G52" s="2341"/>
      <c r="H52" s="2341"/>
    </row>
    <row r="53" spans="1:8">
      <c r="A53" s="2342" t="s">
        <v>1758</v>
      </c>
      <c r="B53" s="2341"/>
      <c r="C53" s="2341"/>
      <c r="D53" s="2341"/>
      <c r="E53" s="2341"/>
      <c r="F53" s="2341"/>
      <c r="G53" s="2341"/>
      <c r="H53" s="2341"/>
    </row>
    <row r="54" spans="1:8">
      <c r="A54" s="2341"/>
      <c r="B54" s="2341"/>
      <c r="C54" s="2341"/>
      <c r="D54" s="2341"/>
      <c r="E54" s="2341"/>
      <c r="F54" s="2341"/>
      <c r="G54" s="2341"/>
      <c r="H54" s="2341"/>
    </row>
    <row r="55" spans="1:8" ht="15.75">
      <c r="A55" s="2343" t="s">
        <v>1486</v>
      </c>
      <c r="B55" s="2341"/>
      <c r="C55" s="2341"/>
      <c r="D55" s="2341"/>
      <c r="E55" s="2341"/>
      <c r="F55" s="2341"/>
      <c r="G55" s="2341"/>
      <c r="H55" s="2341"/>
    </row>
    <row r="56" spans="1:8">
      <c r="A56" s="2341"/>
      <c r="B56" s="2341"/>
      <c r="C56" s="2341"/>
      <c r="D56" s="2341"/>
      <c r="E56" s="2341"/>
      <c r="F56" s="2341"/>
      <c r="G56" s="2341"/>
      <c r="H56" s="2341"/>
    </row>
    <row r="57" spans="1:8">
      <c r="A57" s="2342" t="s">
        <v>1749</v>
      </c>
      <c r="B57" s="2341"/>
      <c r="C57" s="2341"/>
      <c r="D57" s="2341"/>
      <c r="E57" s="2341"/>
      <c r="F57" s="2341"/>
      <c r="G57" s="2341"/>
      <c r="H57" s="2341"/>
    </row>
    <row r="58" spans="1:8">
      <c r="A58" s="2342" t="s">
        <v>1750</v>
      </c>
      <c r="B58" s="2341"/>
      <c r="C58" s="2341"/>
      <c r="D58" s="2341"/>
      <c r="E58" s="2341"/>
      <c r="F58" s="2341"/>
      <c r="G58" s="2341"/>
      <c r="H58" s="2341"/>
    </row>
    <row r="59" spans="1:8">
      <c r="A59" s="2342" t="s">
        <v>1751</v>
      </c>
      <c r="B59" s="2341"/>
      <c r="C59" s="2341"/>
      <c r="D59" s="2341"/>
      <c r="E59" s="2341"/>
      <c r="F59" s="2341"/>
      <c r="G59" s="2341"/>
      <c r="H59" s="2341"/>
    </row>
    <row r="60" spans="1:8">
      <c r="A60" s="2342" t="s">
        <v>1752</v>
      </c>
      <c r="B60" s="2341"/>
      <c r="C60" s="2341"/>
      <c r="D60" s="2341"/>
      <c r="E60" s="2341"/>
      <c r="F60" s="2341"/>
      <c r="G60" s="2341"/>
      <c r="H60" s="2341"/>
    </row>
    <row r="61" spans="1:8">
      <c r="A61" s="2341"/>
      <c r="B61" s="2341"/>
      <c r="C61" s="2341"/>
      <c r="D61" s="2341"/>
      <c r="E61" s="2341"/>
      <c r="F61" s="2341"/>
      <c r="G61" s="2341"/>
      <c r="H61" s="2341"/>
    </row>
    <row r="62" spans="1:8">
      <c r="A62" s="2342" t="s">
        <v>1487</v>
      </c>
      <c r="B62" s="2341"/>
      <c r="C62" s="2341"/>
      <c r="D62" s="2341"/>
      <c r="E62" s="2341"/>
      <c r="F62" s="2341"/>
      <c r="G62" s="2341"/>
      <c r="H62" s="2341"/>
    </row>
    <row r="63" spans="1:8">
      <c r="A63" s="2341"/>
      <c r="B63" s="2341"/>
      <c r="C63" s="2341"/>
      <c r="D63" s="2341"/>
      <c r="E63" s="2341"/>
      <c r="F63" s="2341"/>
      <c r="G63" s="2341"/>
      <c r="H63" s="2341"/>
    </row>
    <row r="64" spans="1:8" ht="15.75">
      <c r="A64" s="2343" t="s">
        <v>1488</v>
      </c>
      <c r="B64" s="2341"/>
      <c r="C64" s="2341"/>
      <c r="D64" s="2341"/>
      <c r="E64" s="2341"/>
      <c r="F64" s="2341"/>
      <c r="G64" s="2341"/>
      <c r="H64" s="2341"/>
    </row>
    <row r="65" spans="1:8">
      <c r="A65" s="2341"/>
      <c r="B65" s="2341"/>
      <c r="C65" s="2341"/>
      <c r="D65" s="2341"/>
      <c r="E65" s="2341"/>
      <c r="F65" s="2341"/>
      <c r="G65" s="2341"/>
      <c r="H65" s="2341"/>
    </row>
    <row r="66" spans="1:8">
      <c r="A66" s="2342" t="s">
        <v>1747</v>
      </c>
      <c r="B66" s="2341"/>
      <c r="C66" s="2341"/>
      <c r="D66" s="2341"/>
      <c r="E66" s="2341"/>
      <c r="F66" s="2341"/>
      <c r="G66" s="2341"/>
      <c r="H66" s="2341"/>
    </row>
    <row r="67" spans="1:8">
      <c r="A67" s="2342" t="s">
        <v>1748</v>
      </c>
      <c r="B67" s="2341"/>
      <c r="C67" s="2341"/>
      <c r="D67" s="2341"/>
      <c r="E67" s="2341"/>
      <c r="F67" s="2341"/>
      <c r="G67" s="2341"/>
      <c r="H67" s="2341"/>
    </row>
    <row r="68" spans="1:8">
      <c r="A68" s="2341"/>
      <c r="B68" s="2341"/>
      <c r="C68" s="2341"/>
      <c r="D68" s="2341"/>
      <c r="E68" s="2341"/>
      <c r="F68" s="2341"/>
      <c r="G68" s="2341"/>
      <c r="H68" s="2341"/>
    </row>
    <row r="69" spans="1:8" ht="15.75">
      <c r="A69" s="2343" t="s">
        <v>1489</v>
      </c>
      <c r="B69" s="2341"/>
      <c r="C69" s="2341"/>
      <c r="D69" s="2341"/>
      <c r="E69" s="2341"/>
      <c r="F69" s="2341"/>
      <c r="G69" s="2341"/>
      <c r="H69" s="2341"/>
    </row>
    <row r="70" spans="1:8">
      <c r="A70" s="2341"/>
      <c r="B70" s="2341"/>
      <c r="C70" s="2341"/>
      <c r="D70" s="2341"/>
      <c r="E70" s="2341"/>
      <c r="F70" s="2341"/>
      <c r="G70" s="2341"/>
      <c r="H70" s="2341"/>
    </row>
    <row r="71" spans="1:8">
      <c r="A71" s="2342" t="s">
        <v>1745</v>
      </c>
      <c r="B71" s="2341"/>
      <c r="C71" s="2341"/>
      <c r="D71" s="2341"/>
      <c r="E71" s="2341"/>
      <c r="F71" s="2341"/>
      <c r="G71" s="2341"/>
      <c r="H71" s="2341"/>
    </row>
    <row r="72" spans="1:8">
      <c r="A72" s="2342" t="s">
        <v>1746</v>
      </c>
      <c r="B72" s="2341"/>
      <c r="C72" s="2341"/>
      <c r="D72" s="2341"/>
      <c r="E72" s="2341"/>
      <c r="F72" s="2341"/>
      <c r="G72" s="2341"/>
      <c r="H72" s="2341"/>
    </row>
    <row r="73" spans="1:8">
      <c r="A73" s="2341"/>
      <c r="B73" s="2341"/>
      <c r="C73" s="2341"/>
      <c r="D73" s="2341"/>
      <c r="E73" s="2341"/>
      <c r="F73" s="2341"/>
      <c r="G73" s="2341"/>
      <c r="H73" s="2341"/>
    </row>
    <row r="74" spans="1:8">
      <c r="A74" s="2342" t="s">
        <v>1743</v>
      </c>
      <c r="B74" s="2341"/>
      <c r="C74" s="2341"/>
      <c r="D74" s="2341"/>
      <c r="E74" s="2341"/>
      <c r="F74" s="2341"/>
      <c r="G74" s="2341"/>
      <c r="H74" s="2341"/>
    </row>
    <row r="75" spans="1:8">
      <c r="A75" s="2342" t="s">
        <v>1744</v>
      </c>
      <c r="B75" s="2341"/>
      <c r="C75" s="2341"/>
      <c r="D75" s="2341"/>
      <c r="E75" s="2341"/>
      <c r="F75" s="2341"/>
      <c r="G75" s="2341"/>
      <c r="H75" s="2341"/>
    </row>
    <row r="76" spans="1:8">
      <c r="A76" s="2341"/>
      <c r="B76" s="2341"/>
      <c r="C76" s="2341"/>
      <c r="D76" s="2341"/>
      <c r="E76" s="2341"/>
      <c r="F76" s="2341"/>
      <c r="G76" s="2341"/>
      <c r="H76" s="2341"/>
    </row>
    <row r="77" spans="1:8">
      <c r="A77" s="2342" t="s">
        <v>1741</v>
      </c>
      <c r="B77" s="2341"/>
      <c r="C77" s="2341"/>
      <c r="D77" s="2341"/>
      <c r="E77" s="2341"/>
      <c r="F77" s="2341"/>
      <c r="G77" s="2341"/>
      <c r="H77" s="2341"/>
    </row>
    <row r="78" spans="1:8">
      <c r="A78" s="2342" t="s">
        <v>1742</v>
      </c>
      <c r="B78" s="2341"/>
      <c r="C78" s="2341"/>
      <c r="D78" s="2341"/>
      <c r="E78" s="2341"/>
      <c r="F78" s="2341"/>
      <c r="G78" s="2341"/>
      <c r="H78" s="2341"/>
    </row>
    <row r="79" spans="1:8">
      <c r="A79" s="2341"/>
      <c r="B79" s="2341"/>
      <c r="C79" s="2341"/>
      <c r="D79" s="2341"/>
      <c r="E79" s="2341"/>
      <c r="F79" s="2341"/>
      <c r="G79" s="2341"/>
      <c r="H79" s="2341"/>
    </row>
    <row r="80" spans="1:8">
      <c r="A80" s="2342" t="s">
        <v>1739</v>
      </c>
      <c r="B80" s="2341"/>
      <c r="C80" s="2341"/>
      <c r="D80" s="2341"/>
      <c r="E80" s="2341"/>
      <c r="F80" s="2341"/>
      <c r="G80" s="2341"/>
      <c r="H80" s="2341"/>
    </row>
    <row r="81" spans="1:8">
      <c r="A81" s="2342" t="s">
        <v>1740</v>
      </c>
      <c r="B81" s="2341"/>
      <c r="C81" s="2341"/>
      <c r="D81" s="2341"/>
      <c r="E81" s="2341"/>
      <c r="F81" s="2341"/>
      <c r="G81" s="2341"/>
      <c r="H81" s="2341"/>
    </row>
    <row r="82" spans="1:8">
      <c r="A82" s="2341"/>
      <c r="B82" s="2341"/>
      <c r="C82" s="2341"/>
      <c r="D82" s="2341"/>
      <c r="E82" s="2341"/>
      <c r="F82" s="2341"/>
      <c r="G82" s="2341"/>
      <c r="H82" s="2341"/>
    </row>
    <row r="83" spans="1:8">
      <c r="A83" s="2342" t="s">
        <v>1737</v>
      </c>
      <c r="B83" s="2341"/>
      <c r="C83" s="2341"/>
      <c r="D83" s="2341"/>
      <c r="E83" s="2341"/>
      <c r="F83" s="2341"/>
      <c r="G83" s="2341"/>
      <c r="H83" s="2341"/>
    </row>
    <row r="84" spans="1:8">
      <c r="A84" s="2342" t="s">
        <v>1738</v>
      </c>
      <c r="B84" s="2341"/>
      <c r="C84" s="2341"/>
      <c r="D84" s="2341"/>
      <c r="E84" s="2341"/>
      <c r="F84" s="2341"/>
      <c r="G84" s="2341"/>
      <c r="H84" s="2341"/>
    </row>
    <row r="85" spans="1:8">
      <c r="A85" s="2341"/>
      <c r="B85" s="2341"/>
      <c r="C85" s="2341"/>
      <c r="D85" s="2341"/>
      <c r="E85" s="2341"/>
      <c r="F85" s="2341"/>
      <c r="G85" s="2341"/>
      <c r="H85" s="2341"/>
    </row>
    <row r="86" spans="1:8">
      <c r="A86" s="2342" t="s">
        <v>1734</v>
      </c>
      <c r="B86" s="2341"/>
      <c r="C86" s="2341"/>
      <c r="D86" s="2341"/>
      <c r="E86" s="2341"/>
      <c r="F86" s="2341"/>
      <c r="G86" s="2341"/>
      <c r="H86" s="2341"/>
    </row>
    <row r="87" spans="1:8">
      <c r="A87" s="2342" t="s">
        <v>1735</v>
      </c>
      <c r="B87" s="2341"/>
      <c r="C87" s="2341"/>
      <c r="D87" s="2341"/>
      <c r="E87" s="2341"/>
      <c r="F87" s="2341"/>
      <c r="G87" s="2341"/>
      <c r="H87" s="2341"/>
    </row>
    <row r="88" spans="1:8">
      <c r="A88" s="2342" t="s">
        <v>1736</v>
      </c>
      <c r="B88" s="2341"/>
      <c r="C88" s="2341"/>
      <c r="D88" s="2341"/>
      <c r="E88" s="2341"/>
      <c r="F88" s="2341"/>
      <c r="G88" s="2341"/>
      <c r="H88" s="2341"/>
    </row>
    <row r="89" spans="1:8">
      <c r="A89" s="2341"/>
      <c r="B89" s="2341"/>
      <c r="C89" s="2341"/>
      <c r="D89" s="2341"/>
      <c r="E89" s="2341"/>
      <c r="F89" s="2341"/>
      <c r="G89" s="2341"/>
      <c r="H89" s="2341"/>
    </row>
    <row r="90" spans="1:8">
      <c r="A90" s="2342" t="s">
        <v>1490</v>
      </c>
      <c r="B90" s="2341"/>
      <c r="C90" s="2341"/>
      <c r="D90" s="2341"/>
      <c r="E90" s="2341"/>
      <c r="F90" s="2341"/>
      <c r="G90" s="2341"/>
      <c r="H90" s="2341"/>
    </row>
    <row r="91" spans="1:8">
      <c r="A91" s="2341"/>
      <c r="B91" s="2341"/>
      <c r="C91" s="2341"/>
      <c r="D91" s="2341"/>
      <c r="E91" s="2341"/>
      <c r="F91" s="2341"/>
      <c r="G91" s="2341"/>
      <c r="H91" s="2341"/>
    </row>
    <row r="92" spans="1:8">
      <c r="A92" s="2342" t="s">
        <v>1729</v>
      </c>
      <c r="B92" s="2341"/>
      <c r="C92" s="2341"/>
      <c r="D92" s="2341"/>
      <c r="E92" s="2341"/>
      <c r="F92" s="2341"/>
      <c r="G92" s="2341"/>
      <c r="H92" s="2341"/>
    </row>
    <row r="93" spans="1:8">
      <c r="A93" s="2342" t="s">
        <v>1730</v>
      </c>
      <c r="B93" s="2341"/>
      <c r="C93" s="2341"/>
      <c r="D93" s="2341"/>
      <c r="E93" s="2341"/>
      <c r="F93" s="2341"/>
      <c r="G93" s="2341"/>
      <c r="H93" s="2341"/>
    </row>
    <row r="94" spans="1:8">
      <c r="A94" s="2342" t="s">
        <v>1731</v>
      </c>
      <c r="B94" s="2341"/>
      <c r="C94" s="2341"/>
      <c r="D94" s="2341"/>
      <c r="E94" s="2341"/>
      <c r="F94" s="2341"/>
      <c r="G94" s="2341"/>
      <c r="H94" s="2341"/>
    </row>
    <row r="95" spans="1:8">
      <c r="A95" s="2342" t="s">
        <v>1732</v>
      </c>
      <c r="B95" s="2341"/>
      <c r="C95" s="2341"/>
      <c r="D95" s="2341"/>
      <c r="E95" s="2341"/>
      <c r="F95" s="2341"/>
      <c r="G95" s="2341"/>
      <c r="H95" s="2341"/>
    </row>
    <row r="96" spans="1:8">
      <c r="A96" s="2342" t="s">
        <v>1733</v>
      </c>
      <c r="B96" s="2341"/>
      <c r="C96" s="2341"/>
      <c r="D96" s="2341"/>
      <c r="E96" s="2341"/>
      <c r="F96" s="2341"/>
      <c r="G96" s="2341"/>
      <c r="H96" s="2341"/>
    </row>
    <row r="97" spans="1:8">
      <c r="A97" s="2342" t="s">
        <v>1616</v>
      </c>
      <c r="B97" s="2341"/>
      <c r="C97" s="2341"/>
      <c r="D97" s="2341"/>
      <c r="E97" s="2341"/>
      <c r="F97" s="2341"/>
      <c r="G97" s="2341"/>
      <c r="H97" s="2341"/>
    </row>
    <row r="98" spans="1:8">
      <c r="A98" s="2341"/>
      <c r="B98" s="2341"/>
      <c r="C98" s="2341"/>
      <c r="D98" s="2341"/>
      <c r="E98" s="2341"/>
      <c r="F98" s="2341"/>
      <c r="G98" s="2341"/>
      <c r="H98" s="2341"/>
    </row>
    <row r="99" spans="1:8">
      <c r="A99" s="2342" t="s">
        <v>1722</v>
      </c>
      <c r="B99" s="2341"/>
      <c r="C99" s="2341"/>
      <c r="D99" s="2341"/>
      <c r="E99" s="2341"/>
      <c r="F99" s="2341"/>
      <c r="G99" s="2341"/>
      <c r="H99" s="2341"/>
    </row>
    <row r="100" spans="1:8">
      <c r="A100" s="2342" t="s">
        <v>1723</v>
      </c>
      <c r="B100" s="2341"/>
      <c r="C100" s="2341"/>
      <c r="D100" s="2341"/>
      <c r="E100" s="2341"/>
      <c r="F100" s="2341"/>
      <c r="G100" s="2341"/>
      <c r="H100" s="2341"/>
    </row>
    <row r="101" spans="1:8">
      <c r="A101" s="2342" t="s">
        <v>1724</v>
      </c>
      <c r="B101" s="2341"/>
      <c r="C101" s="2341"/>
      <c r="D101" s="2341"/>
      <c r="E101" s="2341"/>
      <c r="F101" s="2341"/>
      <c r="G101" s="2341"/>
      <c r="H101" s="2341"/>
    </row>
    <row r="102" spans="1:8">
      <c r="A102" s="2342" t="s">
        <v>1725</v>
      </c>
      <c r="B102" s="2341"/>
      <c r="C102" s="2341"/>
      <c r="D102" s="2341"/>
      <c r="E102" s="2341"/>
      <c r="F102" s="2341"/>
      <c r="G102" s="2341"/>
      <c r="H102" s="2341"/>
    </row>
    <row r="103" spans="1:8">
      <c r="A103" s="2342" t="s">
        <v>1726</v>
      </c>
      <c r="B103" s="2341"/>
      <c r="C103" s="2341"/>
      <c r="D103" s="2341"/>
      <c r="E103" s="2341"/>
      <c r="F103" s="2341"/>
      <c r="G103" s="2341"/>
      <c r="H103" s="2341"/>
    </row>
    <row r="104" spans="1:8">
      <c r="A104" s="2342" t="s">
        <v>1727</v>
      </c>
      <c r="B104" s="2341"/>
      <c r="C104" s="2341"/>
      <c r="D104" s="2341"/>
      <c r="E104" s="2341"/>
      <c r="F104" s="2341"/>
      <c r="G104" s="2341"/>
      <c r="H104" s="2341"/>
    </row>
    <row r="105" spans="1:8">
      <c r="A105" s="2342" t="s">
        <v>1728</v>
      </c>
      <c r="B105" s="2341"/>
      <c r="C105" s="2341"/>
      <c r="D105" s="2341"/>
      <c r="E105" s="2341"/>
      <c r="F105" s="2341"/>
      <c r="G105" s="2341"/>
      <c r="H105" s="2341"/>
    </row>
    <row r="106" spans="1:8">
      <c r="A106" s="2341"/>
      <c r="B106" s="2341"/>
      <c r="C106" s="2341"/>
      <c r="D106" s="2341"/>
      <c r="E106" s="2341"/>
      <c r="F106" s="2341"/>
      <c r="G106" s="2341"/>
      <c r="H106" s="2341"/>
    </row>
    <row r="107" spans="1:8">
      <c r="A107" s="2342" t="s">
        <v>1720</v>
      </c>
      <c r="B107" s="2341"/>
      <c r="C107" s="2341"/>
      <c r="D107" s="2341"/>
      <c r="E107" s="2341"/>
      <c r="F107" s="2341"/>
      <c r="G107" s="2341"/>
      <c r="H107" s="2341"/>
    </row>
    <row r="108" spans="1:8">
      <c r="A108" s="2342" t="s">
        <v>1721</v>
      </c>
      <c r="B108" s="2341"/>
      <c r="C108" s="2341"/>
      <c r="D108" s="2341"/>
      <c r="E108" s="2341"/>
      <c r="F108" s="2341"/>
      <c r="G108" s="2341"/>
      <c r="H108" s="2341"/>
    </row>
    <row r="109" spans="1:8">
      <c r="A109" s="2341"/>
      <c r="B109" s="2341"/>
      <c r="C109" s="2341"/>
      <c r="D109" s="2341"/>
      <c r="E109" s="2341"/>
      <c r="F109" s="2341"/>
      <c r="G109" s="2341"/>
      <c r="H109" s="2341"/>
    </row>
    <row r="110" spans="1:8" ht="15.75">
      <c r="A110" s="2343" t="s">
        <v>1491</v>
      </c>
      <c r="B110" s="2341"/>
      <c r="C110" s="2341"/>
      <c r="D110" s="2341"/>
      <c r="E110" s="2341"/>
      <c r="F110" s="2341"/>
      <c r="G110" s="2341"/>
      <c r="H110" s="2341"/>
    </row>
    <row r="111" spans="1:8">
      <c r="A111" s="2341"/>
      <c r="B111" s="2341"/>
      <c r="C111" s="2341"/>
      <c r="D111" s="2341"/>
      <c r="E111" s="2341"/>
      <c r="F111" s="2341"/>
      <c r="G111" s="2341"/>
      <c r="H111" s="2341"/>
    </row>
    <row r="112" spans="1:8">
      <c r="A112" s="2342" t="s">
        <v>1711</v>
      </c>
      <c r="B112" s="2341"/>
      <c r="C112" s="2341"/>
      <c r="D112" s="2341"/>
      <c r="E112" s="2341"/>
      <c r="F112" s="2341"/>
      <c r="G112" s="2341"/>
      <c r="H112" s="2341"/>
    </row>
    <row r="113" spans="1:8">
      <c r="A113" s="2342" t="s">
        <v>1712</v>
      </c>
      <c r="B113" s="2341"/>
      <c r="C113" s="2341"/>
      <c r="D113" s="2341"/>
      <c r="E113" s="2341"/>
      <c r="F113" s="2341"/>
      <c r="G113" s="2341"/>
      <c r="H113" s="2341"/>
    </row>
    <row r="114" spans="1:8">
      <c r="A114" s="2342" t="s">
        <v>1713</v>
      </c>
      <c r="B114" s="2341"/>
      <c r="C114" s="2341"/>
      <c r="D114" s="2341"/>
      <c r="E114" s="2341"/>
      <c r="F114" s="2341"/>
      <c r="G114" s="2341"/>
      <c r="H114" s="2341"/>
    </row>
    <row r="115" spans="1:8">
      <c r="A115" s="2342" t="s">
        <v>1714</v>
      </c>
      <c r="B115" s="2341"/>
      <c r="C115" s="2341"/>
      <c r="D115" s="2341"/>
      <c r="E115" s="2341"/>
      <c r="F115" s="2341"/>
      <c r="G115" s="2341"/>
      <c r="H115" s="2341"/>
    </row>
    <row r="116" spans="1:8">
      <c r="A116" s="2342" t="s">
        <v>1715</v>
      </c>
      <c r="B116" s="2341"/>
      <c r="C116" s="2341"/>
      <c r="D116" s="2341"/>
      <c r="E116" s="2341"/>
      <c r="F116" s="2341"/>
      <c r="G116" s="2341"/>
      <c r="H116" s="2341"/>
    </row>
    <row r="117" spans="1:8">
      <c r="A117" s="2342" t="s">
        <v>1716</v>
      </c>
      <c r="B117" s="2341"/>
      <c r="C117" s="2341"/>
      <c r="D117" s="2341"/>
      <c r="E117" s="2341"/>
      <c r="F117" s="2341"/>
      <c r="G117" s="2341"/>
      <c r="H117" s="2341"/>
    </row>
    <row r="118" spans="1:8">
      <c r="A118" s="2342" t="s">
        <v>1717</v>
      </c>
      <c r="B118" s="2341"/>
      <c r="C118" s="2341"/>
      <c r="D118" s="2341"/>
      <c r="E118" s="2341"/>
      <c r="F118" s="2341"/>
      <c r="G118" s="2341"/>
      <c r="H118" s="2341"/>
    </row>
    <row r="119" spans="1:8">
      <c r="A119" s="2342" t="s">
        <v>1718</v>
      </c>
      <c r="B119" s="2341"/>
      <c r="C119" s="2341"/>
      <c r="D119" s="2341"/>
      <c r="E119" s="2341"/>
      <c r="F119" s="2341"/>
      <c r="G119" s="2341"/>
      <c r="H119" s="2341"/>
    </row>
    <row r="120" spans="1:8">
      <c r="A120" s="2342" t="s">
        <v>1719</v>
      </c>
      <c r="B120" s="2341"/>
      <c r="C120" s="2341"/>
      <c r="D120" s="2341"/>
      <c r="E120" s="2341"/>
      <c r="F120" s="2341"/>
      <c r="G120" s="2341"/>
      <c r="H120" s="2341"/>
    </row>
    <row r="121" spans="1:8">
      <c r="A121" s="2341"/>
      <c r="B121" s="2341"/>
      <c r="C121" s="2341"/>
      <c r="D121" s="2341"/>
      <c r="E121" s="2341"/>
      <c r="F121" s="2341"/>
      <c r="G121" s="2341"/>
      <c r="H121" s="2341"/>
    </row>
    <row r="122" spans="1:8" ht="15.75">
      <c r="A122" s="2362" t="s">
        <v>1492</v>
      </c>
      <c r="B122" s="2362"/>
      <c r="C122" s="2362"/>
      <c r="D122" s="2362"/>
      <c r="E122" s="2362"/>
      <c r="F122" s="2362"/>
      <c r="G122" s="2362"/>
      <c r="H122" s="2362"/>
    </row>
    <row r="123" spans="1:8">
      <c r="A123" s="2358" t="s">
        <v>1493</v>
      </c>
      <c r="B123" s="2358"/>
      <c r="C123" s="2358"/>
      <c r="D123" s="2358"/>
      <c r="E123" s="2358"/>
      <c r="F123" s="2358"/>
      <c r="G123" s="2358"/>
      <c r="H123" s="2358"/>
    </row>
    <row r="124" spans="1:8">
      <c r="A124" s="2363"/>
      <c r="B124" s="2363"/>
      <c r="C124" s="2363"/>
      <c r="D124" s="2363"/>
      <c r="E124" s="2363"/>
      <c r="F124" s="2363"/>
      <c r="G124" s="2363"/>
      <c r="H124" s="2363"/>
    </row>
    <row r="125" spans="1:8">
      <c r="A125" s="2358" t="s">
        <v>1709</v>
      </c>
      <c r="B125" s="2358"/>
      <c r="C125" s="2358"/>
      <c r="D125" s="2358"/>
      <c r="E125" s="2358"/>
      <c r="F125" s="2358"/>
      <c r="G125" s="2358"/>
      <c r="H125" s="2358"/>
    </row>
    <row r="126" spans="1:8">
      <c r="A126" s="2342" t="s">
        <v>1710</v>
      </c>
      <c r="B126" s="2342"/>
      <c r="C126" s="2342"/>
      <c r="D126" s="2342"/>
      <c r="E126" s="2342"/>
      <c r="F126" s="2342"/>
      <c r="G126" s="2342"/>
      <c r="H126" s="2342"/>
    </row>
    <row r="127" spans="1:8">
      <c r="A127" s="2363"/>
      <c r="B127" s="2363"/>
      <c r="C127" s="2363"/>
      <c r="D127" s="2363"/>
      <c r="E127" s="2363"/>
      <c r="F127" s="2363"/>
      <c r="G127" s="2363"/>
      <c r="H127" s="2363"/>
    </row>
    <row r="128" spans="1:8">
      <c r="A128" s="2358" t="s">
        <v>1702</v>
      </c>
      <c r="B128" s="2358"/>
      <c r="C128" s="2358"/>
      <c r="D128" s="2358"/>
      <c r="E128" s="2358"/>
      <c r="F128" s="2358"/>
      <c r="G128" s="2358"/>
      <c r="H128" s="2358"/>
    </row>
    <row r="129" spans="1:8">
      <c r="A129" s="2342" t="s">
        <v>1703</v>
      </c>
      <c r="B129" s="2342"/>
      <c r="C129" s="2342"/>
      <c r="D129" s="2342"/>
      <c r="E129" s="2342"/>
      <c r="F129" s="2342"/>
      <c r="G129" s="2342"/>
      <c r="H129" s="2342"/>
    </row>
    <row r="130" spans="1:8">
      <c r="A130" s="2342" t="s">
        <v>1704</v>
      </c>
      <c r="B130" s="2342"/>
      <c r="C130" s="2342"/>
      <c r="D130" s="2342"/>
      <c r="E130" s="2342"/>
      <c r="F130" s="2342"/>
      <c r="G130" s="2342"/>
      <c r="H130" s="2342"/>
    </row>
    <row r="131" spans="1:8">
      <c r="A131" s="2342" t="s">
        <v>1705</v>
      </c>
      <c r="B131" s="2342"/>
      <c r="C131" s="2342"/>
      <c r="D131" s="2342"/>
      <c r="E131" s="2342"/>
      <c r="F131" s="2342"/>
      <c r="G131" s="2342"/>
      <c r="H131" s="2342"/>
    </row>
    <row r="132" spans="1:8">
      <c r="A132" s="2342" t="s">
        <v>1706</v>
      </c>
      <c r="B132" s="2342"/>
      <c r="C132" s="2342"/>
      <c r="D132" s="2342"/>
      <c r="E132" s="2342"/>
      <c r="F132" s="2342"/>
      <c r="G132" s="2342"/>
      <c r="H132" s="2342"/>
    </row>
    <row r="133" spans="1:8">
      <c r="A133" s="2342" t="s">
        <v>1707</v>
      </c>
      <c r="B133" s="2342"/>
      <c r="C133" s="2342"/>
      <c r="D133" s="2342"/>
      <c r="E133" s="2342"/>
      <c r="F133" s="2342"/>
      <c r="G133" s="2342"/>
      <c r="H133" s="2342"/>
    </row>
    <row r="134" spans="1:8">
      <c r="A134" s="2342" t="s">
        <v>1708</v>
      </c>
      <c r="B134" s="2342"/>
      <c r="C134" s="2342"/>
      <c r="D134" s="2342"/>
      <c r="E134" s="2342"/>
      <c r="F134" s="2342"/>
      <c r="G134" s="2342"/>
      <c r="H134" s="2342"/>
    </row>
    <row r="135" spans="1:8">
      <c r="A135" s="2364"/>
      <c r="B135" s="2364"/>
      <c r="C135" s="2364"/>
      <c r="D135" s="2364"/>
      <c r="E135" s="2364"/>
      <c r="F135" s="2364"/>
      <c r="G135" s="2364"/>
      <c r="H135" s="2364"/>
    </row>
    <row r="136" spans="1:8">
      <c r="A136" s="2346"/>
      <c r="B136" s="2359" t="s">
        <v>1494</v>
      </c>
      <c r="C136" s="2360"/>
      <c r="D136" s="2359" t="s">
        <v>1495</v>
      </c>
      <c r="E136" s="2361"/>
      <c r="F136" s="2360"/>
      <c r="G136" s="2359" t="s">
        <v>1496</v>
      </c>
      <c r="H136" s="2360"/>
    </row>
    <row r="137" spans="1:8">
      <c r="A137" s="2346" t="s">
        <v>1497</v>
      </c>
      <c r="B137" s="2346" t="s">
        <v>1323</v>
      </c>
      <c r="C137" s="2346" t="s">
        <v>1498</v>
      </c>
      <c r="D137" s="2346" t="s">
        <v>1323</v>
      </c>
      <c r="E137" s="2346" t="s">
        <v>1499</v>
      </c>
      <c r="F137" s="2346" t="s">
        <v>1500</v>
      </c>
      <c r="G137" s="2346" t="s">
        <v>1323</v>
      </c>
      <c r="H137" s="2346" t="s">
        <v>1501</v>
      </c>
    </row>
    <row r="138" spans="1:8">
      <c r="A138" s="2346" t="s">
        <v>1502</v>
      </c>
      <c r="B138" s="2346">
        <v>1162</v>
      </c>
      <c r="C138" s="2347">
        <v>0.36</v>
      </c>
      <c r="D138" s="2346">
        <v>304</v>
      </c>
      <c r="E138" s="2347">
        <v>0.4</v>
      </c>
      <c r="F138" s="2347">
        <v>0.26</v>
      </c>
      <c r="G138" s="2346">
        <v>560</v>
      </c>
      <c r="H138" s="2347">
        <v>0.37</v>
      </c>
    </row>
    <row r="139" spans="1:8">
      <c r="A139" s="2346" t="s">
        <v>1503</v>
      </c>
      <c r="B139" s="2346">
        <v>1420</v>
      </c>
      <c r="C139" s="2347">
        <v>0.44</v>
      </c>
      <c r="D139" s="2346">
        <v>363</v>
      </c>
      <c r="E139" s="2347">
        <v>0.48</v>
      </c>
      <c r="F139" s="2347">
        <v>0.26</v>
      </c>
      <c r="G139" s="2346">
        <v>697</v>
      </c>
      <c r="H139" s="2347">
        <v>0.46</v>
      </c>
    </row>
    <row r="140" spans="1:8">
      <c r="A140" s="2346" t="s">
        <v>1504</v>
      </c>
      <c r="B140" s="2346">
        <v>58</v>
      </c>
      <c r="C140" s="2347">
        <v>0.02</v>
      </c>
      <c r="D140" s="2346">
        <v>6</v>
      </c>
      <c r="E140" s="2347">
        <v>0.01</v>
      </c>
      <c r="F140" s="2347">
        <v>0.1</v>
      </c>
      <c r="G140" s="2346">
        <v>9</v>
      </c>
      <c r="H140" s="2347">
        <v>0.01</v>
      </c>
    </row>
    <row r="141" spans="1:8">
      <c r="A141" s="2346" t="s">
        <v>1505</v>
      </c>
      <c r="B141" s="2346">
        <v>612</v>
      </c>
      <c r="C141" s="2347">
        <v>0.19</v>
      </c>
      <c r="D141" s="2346">
        <v>91</v>
      </c>
      <c r="E141" s="2347">
        <v>0.12</v>
      </c>
      <c r="F141" s="2347">
        <v>0.15</v>
      </c>
      <c r="G141" s="2346">
        <v>242</v>
      </c>
      <c r="H141" s="2347">
        <v>0.16</v>
      </c>
    </row>
    <row r="142" spans="1:8">
      <c r="A142" s="2346" t="s">
        <v>1030</v>
      </c>
      <c r="B142" s="2348">
        <v>3252</v>
      </c>
      <c r="C142" s="2346"/>
      <c r="D142" s="2346">
        <v>764</v>
      </c>
      <c r="E142" s="2346"/>
      <c r="F142" s="2346"/>
      <c r="G142" s="2346">
        <v>1508</v>
      </c>
      <c r="H142" s="2346"/>
    </row>
    <row r="143" spans="1:8">
      <c r="A143" s="2357"/>
      <c r="B143" s="2357"/>
      <c r="C143" s="2357"/>
      <c r="D143" s="2357"/>
      <c r="E143" s="2357"/>
      <c r="F143" s="2357"/>
      <c r="G143" s="2357"/>
      <c r="H143" s="2357"/>
    </row>
    <row r="144" spans="1:8">
      <c r="A144" s="2358" t="s">
        <v>1698</v>
      </c>
      <c r="B144" s="2358"/>
      <c r="C144" s="2358"/>
      <c r="D144" s="2358"/>
      <c r="E144" s="2358"/>
      <c r="F144" s="2358"/>
      <c r="G144" s="2358"/>
      <c r="H144" s="2358"/>
    </row>
    <row r="145" spans="1:8">
      <c r="A145" s="2342" t="s">
        <v>1699</v>
      </c>
      <c r="B145" s="2342"/>
      <c r="C145" s="2342"/>
      <c r="D145" s="2342"/>
      <c r="E145" s="2342"/>
      <c r="F145" s="2342"/>
      <c r="G145" s="2342"/>
      <c r="H145" s="2342"/>
    </row>
    <row r="146" spans="1:8">
      <c r="A146" s="2342" t="s">
        <v>1700</v>
      </c>
      <c r="B146" s="2342"/>
      <c r="C146" s="2342"/>
      <c r="D146" s="2342"/>
      <c r="E146" s="2342"/>
      <c r="F146" s="2342"/>
      <c r="G146" s="2342"/>
      <c r="H146" s="2342"/>
    </row>
    <row r="147" spans="1:8">
      <c r="A147" s="2342" t="s">
        <v>1701</v>
      </c>
      <c r="B147" s="2342"/>
      <c r="C147" s="2342"/>
      <c r="D147" s="2342"/>
      <c r="E147" s="2342"/>
      <c r="F147" s="2342"/>
      <c r="G147" s="2342"/>
      <c r="H147" s="2342"/>
    </row>
    <row r="148" spans="1:8">
      <c r="A148" s="2341"/>
      <c r="B148" s="2341"/>
      <c r="C148" s="2341"/>
      <c r="D148" s="2341"/>
      <c r="E148" s="2341"/>
      <c r="F148" s="2341"/>
      <c r="G148" s="2341"/>
      <c r="H148" s="2341"/>
    </row>
    <row r="149" spans="1:8" ht="15.75">
      <c r="A149" s="2343" t="s">
        <v>1506</v>
      </c>
      <c r="B149" s="2341"/>
      <c r="C149" s="2341"/>
      <c r="D149" s="2341"/>
      <c r="E149" s="2341"/>
      <c r="F149" s="2341"/>
      <c r="G149" s="2341"/>
      <c r="H149" s="2341"/>
    </row>
    <row r="150" spans="1:8">
      <c r="A150" s="2341"/>
      <c r="B150" s="2341"/>
      <c r="C150" s="2341"/>
      <c r="D150" s="2341"/>
      <c r="E150" s="2341"/>
      <c r="F150" s="2341"/>
      <c r="G150" s="2341"/>
      <c r="H150" s="2341"/>
    </row>
    <row r="151" spans="1:8">
      <c r="A151" s="2342" t="s">
        <v>1696</v>
      </c>
      <c r="B151" s="2341"/>
      <c r="C151" s="2341"/>
      <c r="D151" s="2341"/>
      <c r="E151" s="2341"/>
      <c r="F151" s="2341"/>
      <c r="G151" s="2341"/>
      <c r="H151" s="2341"/>
    </row>
    <row r="152" spans="1:8">
      <c r="A152" s="2342" t="s">
        <v>1697</v>
      </c>
      <c r="B152" s="2341"/>
      <c r="C152" s="2341"/>
      <c r="D152" s="2341"/>
      <c r="E152" s="2341"/>
      <c r="F152" s="2341"/>
      <c r="G152" s="2341"/>
      <c r="H152" s="2341"/>
    </row>
    <row r="153" spans="1:8">
      <c r="A153" s="2341"/>
      <c r="B153" s="2341"/>
      <c r="C153" s="2341"/>
      <c r="D153" s="2341"/>
      <c r="E153" s="2341"/>
      <c r="F153" s="2341"/>
      <c r="G153" s="2341"/>
      <c r="H153" s="2341"/>
    </row>
    <row r="154" spans="1:8">
      <c r="A154" s="2342" t="s">
        <v>1693</v>
      </c>
      <c r="B154" s="2341"/>
      <c r="C154" s="2341"/>
      <c r="D154" s="2341"/>
      <c r="E154" s="2341"/>
      <c r="F154" s="2341"/>
      <c r="G154" s="2341"/>
      <c r="H154" s="2341"/>
    </row>
    <row r="155" spans="1:8">
      <c r="A155" s="2342" t="s">
        <v>1694</v>
      </c>
      <c r="B155" s="2341"/>
      <c r="C155" s="2341"/>
      <c r="D155" s="2341"/>
      <c r="E155" s="2341"/>
      <c r="F155" s="2341"/>
      <c r="G155" s="2341"/>
      <c r="H155" s="2341"/>
    </row>
    <row r="156" spans="1:8">
      <c r="A156" s="2342" t="s">
        <v>1695</v>
      </c>
      <c r="B156" s="2341"/>
      <c r="C156" s="2341"/>
      <c r="D156" s="2341"/>
      <c r="E156" s="2341"/>
      <c r="F156" s="2341"/>
      <c r="G156" s="2341"/>
      <c r="H156" s="2341"/>
    </row>
    <row r="157" spans="1:8">
      <c r="A157" s="2341"/>
      <c r="B157" s="2341"/>
      <c r="C157" s="2341"/>
      <c r="D157" s="2341"/>
      <c r="E157" s="2341"/>
      <c r="F157" s="2341"/>
      <c r="G157" s="2341"/>
      <c r="H157" s="2341"/>
    </row>
    <row r="158" spans="1:8">
      <c r="A158" s="2342" t="s">
        <v>1690</v>
      </c>
      <c r="B158" s="2341"/>
      <c r="C158" s="2341"/>
      <c r="D158" s="2341"/>
      <c r="E158" s="2341"/>
      <c r="F158" s="2341"/>
      <c r="G158" s="2341"/>
      <c r="H158" s="2341"/>
    </row>
    <row r="159" spans="1:8">
      <c r="A159" s="2342" t="s">
        <v>1691</v>
      </c>
      <c r="B159" s="2341"/>
      <c r="C159" s="2341"/>
      <c r="D159" s="2341"/>
      <c r="E159" s="2341"/>
      <c r="F159" s="2341"/>
      <c r="G159" s="2341"/>
      <c r="H159" s="2341"/>
    </row>
    <row r="160" spans="1:8">
      <c r="A160" s="2342" t="s">
        <v>1692</v>
      </c>
      <c r="B160" s="2341"/>
      <c r="C160" s="2341"/>
      <c r="D160" s="2341"/>
      <c r="E160" s="2341"/>
      <c r="F160" s="2341"/>
      <c r="G160" s="2341"/>
      <c r="H160" s="2341"/>
    </row>
    <row r="161" spans="1:8">
      <c r="A161" s="2341"/>
      <c r="B161" s="2341"/>
      <c r="C161" s="2341"/>
      <c r="D161" s="2341"/>
      <c r="E161" s="2341"/>
      <c r="F161" s="2341"/>
      <c r="G161" s="2341"/>
      <c r="H161" s="2341"/>
    </row>
    <row r="162" spans="1:8">
      <c r="A162" s="2342" t="s">
        <v>1687</v>
      </c>
      <c r="B162" s="2341"/>
      <c r="C162" s="2341"/>
      <c r="D162" s="2341"/>
      <c r="E162" s="2341"/>
      <c r="F162" s="2341"/>
      <c r="G162" s="2341"/>
      <c r="H162" s="2341"/>
    </row>
    <row r="163" spans="1:8">
      <c r="A163" s="2342" t="s">
        <v>1688</v>
      </c>
      <c r="B163" s="2341"/>
      <c r="C163" s="2341"/>
      <c r="D163" s="2341"/>
      <c r="E163" s="2341"/>
      <c r="F163" s="2341"/>
      <c r="G163" s="2341"/>
      <c r="H163" s="2341"/>
    </row>
    <row r="164" spans="1:8">
      <c r="A164" s="2342" t="s">
        <v>1689</v>
      </c>
      <c r="B164" s="2341"/>
      <c r="C164" s="2341"/>
      <c r="D164" s="2341"/>
      <c r="E164" s="2341"/>
      <c r="F164" s="2341"/>
      <c r="G164" s="2341"/>
      <c r="H164" s="2341"/>
    </row>
    <row r="165" spans="1:8">
      <c r="A165" s="2341"/>
      <c r="B165" s="2341"/>
      <c r="C165" s="2341"/>
      <c r="D165" s="2341"/>
      <c r="E165" s="2341"/>
      <c r="F165" s="2341"/>
      <c r="G165" s="2341"/>
      <c r="H165" s="2341"/>
    </row>
    <row r="166" spans="1:8">
      <c r="A166" s="2342" t="s">
        <v>1685</v>
      </c>
      <c r="B166" s="2341"/>
      <c r="C166" s="2341"/>
      <c r="D166" s="2341"/>
      <c r="E166" s="2341"/>
      <c r="F166" s="2341"/>
      <c r="G166" s="2341"/>
      <c r="H166" s="2341"/>
    </row>
    <row r="167" spans="1:8">
      <c r="A167" s="2342" t="s">
        <v>1686</v>
      </c>
      <c r="B167" s="2341"/>
      <c r="C167" s="2341"/>
      <c r="D167" s="2341"/>
      <c r="E167" s="2341"/>
      <c r="F167" s="2341"/>
      <c r="G167" s="2341"/>
      <c r="H167" s="2341"/>
    </row>
    <row r="168" spans="1:8">
      <c r="A168" s="2341"/>
      <c r="B168" s="2341"/>
      <c r="C168" s="2341"/>
      <c r="D168" s="2341"/>
      <c r="E168" s="2341"/>
      <c r="F168" s="2341"/>
      <c r="G168" s="2341"/>
      <c r="H168" s="2341"/>
    </row>
    <row r="169" spans="1:8" ht="15.75">
      <c r="A169" s="2343" t="s">
        <v>1507</v>
      </c>
      <c r="B169" s="2341"/>
      <c r="C169" s="2341"/>
      <c r="D169" s="2341"/>
      <c r="E169" s="2341"/>
      <c r="F169" s="2341"/>
      <c r="G169" s="2341"/>
      <c r="H169" s="2341"/>
    </row>
    <row r="170" spans="1:8">
      <c r="A170" s="2341"/>
      <c r="B170" s="2341"/>
      <c r="C170" s="2341"/>
      <c r="D170" s="2341"/>
      <c r="E170" s="2341"/>
      <c r="F170" s="2341"/>
      <c r="G170" s="2341"/>
      <c r="H170" s="2341"/>
    </row>
    <row r="171" spans="1:8">
      <c r="A171" s="2342" t="s">
        <v>1683</v>
      </c>
      <c r="B171" s="2341"/>
      <c r="C171" s="2341"/>
      <c r="D171" s="2341"/>
      <c r="E171" s="2341"/>
      <c r="F171" s="2341"/>
      <c r="G171" s="2341"/>
      <c r="H171" s="2341"/>
    </row>
    <row r="172" spans="1:8">
      <c r="A172" s="2342" t="s">
        <v>1684</v>
      </c>
      <c r="B172" s="2341"/>
      <c r="C172" s="2341"/>
      <c r="D172" s="2341"/>
      <c r="E172" s="2341"/>
      <c r="F172" s="2341"/>
      <c r="G172" s="2341"/>
      <c r="H172" s="2341"/>
    </row>
    <row r="173" spans="1:8">
      <c r="A173" s="2341"/>
      <c r="B173" s="2341"/>
      <c r="C173" s="2341"/>
      <c r="D173" s="2341"/>
      <c r="E173" s="2341"/>
      <c r="F173" s="2341"/>
      <c r="G173" s="2341"/>
      <c r="H173" s="2341"/>
    </row>
    <row r="174" spans="1:8">
      <c r="A174" s="2342" t="s">
        <v>1681</v>
      </c>
      <c r="B174" s="2341"/>
      <c r="C174" s="2341"/>
      <c r="D174" s="2341"/>
      <c r="E174" s="2341"/>
      <c r="F174" s="2341"/>
      <c r="G174" s="2341"/>
      <c r="H174" s="2341"/>
    </row>
    <row r="175" spans="1:8">
      <c r="A175" s="2342" t="s">
        <v>1682</v>
      </c>
      <c r="B175" s="2341"/>
      <c r="C175" s="2341"/>
      <c r="D175" s="2341"/>
      <c r="E175" s="2341"/>
      <c r="F175" s="2341"/>
      <c r="G175" s="2341"/>
      <c r="H175" s="2341"/>
    </row>
    <row r="176" spans="1:8">
      <c r="A176" s="2341"/>
      <c r="B176" s="2341"/>
      <c r="C176" s="2341"/>
      <c r="D176" s="2341"/>
      <c r="E176" s="2341"/>
      <c r="F176" s="2341"/>
      <c r="G176" s="2341"/>
      <c r="H176" s="2341"/>
    </row>
    <row r="177" spans="1:8">
      <c r="A177" s="2342" t="s">
        <v>1679</v>
      </c>
      <c r="B177" s="2341"/>
      <c r="C177" s="2341"/>
      <c r="D177" s="2341"/>
      <c r="E177" s="2341"/>
      <c r="F177" s="2341"/>
      <c r="G177" s="2341"/>
      <c r="H177" s="2341"/>
    </row>
    <row r="178" spans="1:8">
      <c r="A178" s="2342" t="s">
        <v>1680</v>
      </c>
      <c r="B178" s="2341"/>
      <c r="C178" s="2341"/>
      <c r="D178" s="2341"/>
      <c r="E178" s="2341"/>
      <c r="F178" s="2341"/>
      <c r="G178" s="2341"/>
      <c r="H178" s="2341"/>
    </row>
    <row r="179" spans="1:8">
      <c r="A179" s="2341"/>
      <c r="B179" s="2341"/>
      <c r="C179" s="2341"/>
      <c r="D179" s="2341"/>
      <c r="E179" s="2341"/>
      <c r="F179" s="2341"/>
      <c r="G179" s="2341"/>
      <c r="H179" s="2341"/>
    </row>
    <row r="180" spans="1:8">
      <c r="A180" s="2342" t="s">
        <v>1676</v>
      </c>
      <c r="B180" s="2341"/>
      <c r="C180" s="2341"/>
      <c r="D180" s="2341"/>
      <c r="E180" s="2341"/>
      <c r="F180" s="2341"/>
      <c r="G180" s="2341"/>
      <c r="H180" s="2341"/>
    </row>
    <row r="181" spans="1:8">
      <c r="A181" s="2342" t="s">
        <v>1677</v>
      </c>
      <c r="B181" s="2341"/>
      <c r="C181" s="2341"/>
      <c r="D181" s="2341"/>
      <c r="E181" s="2341"/>
      <c r="F181" s="2341"/>
      <c r="G181" s="2341"/>
      <c r="H181" s="2341"/>
    </row>
    <row r="182" spans="1:8">
      <c r="A182" s="2342" t="s">
        <v>1678</v>
      </c>
      <c r="B182" s="2341"/>
      <c r="C182" s="2341"/>
      <c r="D182" s="2341"/>
      <c r="E182" s="2341"/>
      <c r="F182" s="2341"/>
      <c r="G182" s="2341"/>
      <c r="H182" s="2341"/>
    </row>
    <row r="183" spans="1:8">
      <c r="A183" s="2341"/>
      <c r="B183" s="2341"/>
      <c r="C183" s="2341"/>
      <c r="D183" s="2341"/>
      <c r="E183" s="2341"/>
      <c r="F183" s="2341"/>
      <c r="G183" s="2341"/>
      <c r="H183" s="2341"/>
    </row>
    <row r="184" spans="1:8">
      <c r="A184" s="2341"/>
      <c r="B184" s="2341"/>
      <c r="C184" s="2341"/>
      <c r="D184" s="2341"/>
      <c r="E184" s="2341"/>
      <c r="F184" s="2341"/>
      <c r="G184" s="2341"/>
      <c r="H184" s="2341"/>
    </row>
    <row r="185" spans="1:8">
      <c r="A185" s="2342" t="s">
        <v>1508</v>
      </c>
      <c r="B185" s="2341"/>
      <c r="C185" s="2341"/>
      <c r="D185" s="2341"/>
      <c r="E185" s="2341"/>
      <c r="F185" s="2341"/>
      <c r="G185" s="2341"/>
      <c r="H185" s="2341"/>
    </row>
    <row r="186" spans="1:8">
      <c r="A186" s="2341"/>
      <c r="B186" s="2341"/>
      <c r="C186" s="2341"/>
      <c r="D186" s="2341"/>
      <c r="E186" s="2341"/>
      <c r="F186" s="2341"/>
      <c r="G186" s="2341"/>
      <c r="H186" s="2341"/>
    </row>
    <row r="187" spans="1:8" ht="15.75">
      <c r="A187" s="2343" t="s">
        <v>1509</v>
      </c>
      <c r="B187" s="2341"/>
      <c r="C187" s="2341"/>
      <c r="D187" s="2341"/>
      <c r="E187" s="2341"/>
      <c r="F187" s="2341"/>
      <c r="G187" s="2341"/>
      <c r="H187" s="2341"/>
    </row>
    <row r="188" spans="1:8">
      <c r="A188" s="2341"/>
      <c r="B188" s="2341"/>
      <c r="C188" s="2341"/>
      <c r="D188" s="2341"/>
      <c r="E188" s="2341"/>
      <c r="F188" s="2341"/>
      <c r="G188" s="2341"/>
      <c r="H188" s="2341"/>
    </row>
    <row r="189" spans="1:8">
      <c r="A189" s="2341"/>
      <c r="B189" s="2341"/>
      <c r="C189" s="2341"/>
      <c r="D189" s="2341"/>
      <c r="E189" s="2341"/>
      <c r="F189" s="2341"/>
      <c r="G189" s="2341"/>
      <c r="H189" s="2341"/>
    </row>
    <row r="190" spans="1:8">
      <c r="A190" s="2341"/>
      <c r="B190" s="2341"/>
      <c r="C190" s="2341"/>
      <c r="D190" s="2341"/>
      <c r="E190" s="2341"/>
      <c r="F190" s="2341"/>
      <c r="G190" s="2341"/>
      <c r="H190" s="2341"/>
    </row>
    <row r="191" spans="1:8">
      <c r="A191" s="2341"/>
      <c r="B191" s="2341"/>
      <c r="C191" s="2341"/>
      <c r="D191" s="2341"/>
      <c r="E191" s="2341"/>
      <c r="F191" s="2341"/>
      <c r="G191" s="2341"/>
      <c r="H191" s="2341"/>
    </row>
    <row r="192" spans="1:8">
      <c r="A192" s="2341"/>
      <c r="B192" s="2341"/>
      <c r="C192" s="2341"/>
      <c r="D192" s="2341"/>
      <c r="E192" s="2341"/>
      <c r="F192" s="2341"/>
      <c r="G192" s="2341"/>
      <c r="H192" s="2341"/>
    </row>
    <row r="193" spans="1:8">
      <c r="A193" s="2341"/>
      <c r="B193" s="2341"/>
      <c r="C193" s="2341"/>
      <c r="D193" s="2341"/>
      <c r="E193" s="2341"/>
      <c r="F193" s="2341"/>
      <c r="G193" s="2341"/>
      <c r="H193" s="2341"/>
    </row>
    <row r="194" spans="1:8">
      <c r="A194" s="2341"/>
      <c r="B194" s="2341"/>
      <c r="C194" s="2341"/>
      <c r="D194" s="2341"/>
      <c r="E194" s="2341"/>
      <c r="F194" s="2341"/>
      <c r="G194" s="2341"/>
      <c r="H194" s="2341"/>
    </row>
    <row r="195" spans="1:8">
      <c r="A195" s="2341"/>
      <c r="B195" s="2341"/>
      <c r="C195" s="2341"/>
      <c r="D195" s="2341"/>
      <c r="E195" s="2341"/>
      <c r="F195" s="2341"/>
      <c r="G195" s="2341"/>
      <c r="H195" s="2341"/>
    </row>
    <row r="196" spans="1:8">
      <c r="A196" s="2341"/>
      <c r="B196" s="2341"/>
      <c r="C196" s="2341"/>
      <c r="D196" s="2341"/>
      <c r="E196" s="2341"/>
      <c r="F196" s="2341"/>
      <c r="G196" s="2341"/>
      <c r="H196" s="2341"/>
    </row>
    <row r="197" spans="1:8">
      <c r="A197" s="2341"/>
      <c r="B197" s="2341"/>
      <c r="C197" s="2341"/>
      <c r="D197" s="2341"/>
      <c r="E197" s="2341"/>
      <c r="F197" s="2341"/>
      <c r="G197" s="2341"/>
      <c r="H197" s="2341"/>
    </row>
    <row r="198" spans="1:8">
      <c r="A198" s="2341"/>
      <c r="B198" s="2341"/>
      <c r="C198" s="2341"/>
      <c r="D198" s="2341"/>
      <c r="E198" s="2341"/>
      <c r="F198" s="2341"/>
      <c r="G198" s="2341"/>
      <c r="H198" s="2341"/>
    </row>
    <row r="199" spans="1:8">
      <c r="A199" s="2341"/>
      <c r="B199" s="2341"/>
      <c r="C199" s="2341"/>
      <c r="D199" s="2341"/>
      <c r="E199" s="2341"/>
      <c r="F199" s="2341"/>
      <c r="G199" s="2341"/>
      <c r="H199" s="2341"/>
    </row>
    <row r="200" spans="1:8">
      <c r="A200" s="2341"/>
      <c r="B200" s="2341"/>
      <c r="C200" s="2341"/>
      <c r="D200" s="2341"/>
      <c r="E200" s="2341"/>
      <c r="F200" s="2341"/>
      <c r="G200" s="2341"/>
      <c r="H200" s="2341"/>
    </row>
    <row r="201" spans="1:8">
      <c r="A201" s="2341"/>
      <c r="B201" s="2341"/>
      <c r="C201" s="2341"/>
      <c r="D201" s="2341"/>
      <c r="E201" s="2341"/>
      <c r="F201" s="2341"/>
      <c r="G201" s="2341"/>
      <c r="H201" s="2341"/>
    </row>
    <row r="202" spans="1:8">
      <c r="A202" s="2341"/>
      <c r="B202" s="2341"/>
      <c r="C202" s="2341"/>
      <c r="D202" s="2341"/>
      <c r="E202" s="2341"/>
      <c r="F202" s="2341"/>
      <c r="G202" s="2341"/>
      <c r="H202" s="2341"/>
    </row>
    <row r="203" spans="1:8">
      <c r="A203" s="2341"/>
      <c r="B203" s="2341"/>
      <c r="C203" s="2341"/>
      <c r="D203" s="2341"/>
      <c r="E203" s="2341"/>
      <c r="F203" s="2341"/>
      <c r="G203" s="2341"/>
      <c r="H203" s="2341"/>
    </row>
    <row r="204" spans="1:8">
      <c r="A204" s="2341"/>
      <c r="B204" s="2341"/>
      <c r="C204" s="2341"/>
      <c r="D204" s="2341"/>
      <c r="E204" s="2341"/>
      <c r="F204" s="2341"/>
      <c r="G204" s="2341"/>
      <c r="H204" s="2341"/>
    </row>
    <row r="205" spans="1:8">
      <c r="A205" s="2341"/>
      <c r="B205" s="2341"/>
      <c r="C205" s="2341"/>
      <c r="D205" s="2341"/>
      <c r="E205" s="2341"/>
      <c r="F205" s="2341"/>
      <c r="G205" s="2341"/>
      <c r="H205" s="2341"/>
    </row>
    <row r="206" spans="1:8">
      <c r="A206" s="2341"/>
      <c r="B206" s="2341"/>
      <c r="C206" s="2341"/>
      <c r="D206" s="2341"/>
      <c r="E206" s="2341"/>
      <c r="F206" s="2341"/>
      <c r="G206" s="2341"/>
      <c r="H206" s="2341"/>
    </row>
    <row r="207" spans="1:8">
      <c r="A207" s="2341"/>
      <c r="B207" s="2341"/>
      <c r="C207" s="2341"/>
      <c r="D207" s="2341"/>
      <c r="E207" s="2341"/>
      <c r="F207" s="2341"/>
      <c r="G207" s="2341"/>
      <c r="H207" s="2341"/>
    </row>
    <row r="208" spans="1:8">
      <c r="A208" s="2341"/>
      <c r="B208" s="2341"/>
      <c r="C208" s="2341"/>
      <c r="D208" s="2341"/>
      <c r="E208" s="2341"/>
      <c r="F208" s="2341"/>
      <c r="G208" s="2341"/>
      <c r="H208" s="2341"/>
    </row>
    <row r="209" spans="1:8">
      <c r="A209" s="2341"/>
      <c r="B209" s="2341"/>
      <c r="C209" s="2341"/>
      <c r="D209" s="2341"/>
      <c r="E209" s="2341"/>
      <c r="F209" s="2341"/>
      <c r="G209" s="2341"/>
      <c r="H209" s="2341"/>
    </row>
    <row r="210" spans="1:8">
      <c r="A210" s="2341"/>
      <c r="B210" s="2341"/>
      <c r="C210" s="2341"/>
      <c r="D210" s="2341"/>
      <c r="E210" s="2341"/>
      <c r="F210" s="2341"/>
      <c r="G210" s="2341"/>
      <c r="H210" s="2341"/>
    </row>
    <row r="211" spans="1:8">
      <c r="A211" s="2341"/>
      <c r="B211" s="2341"/>
      <c r="C211" s="2341"/>
      <c r="D211" s="2341"/>
      <c r="E211" s="2341"/>
      <c r="F211" s="2341"/>
      <c r="G211" s="2341"/>
      <c r="H211" s="2341"/>
    </row>
    <row r="212" spans="1:8">
      <c r="A212" s="2341"/>
      <c r="B212" s="2341"/>
      <c r="C212" s="2341"/>
      <c r="D212" s="2341"/>
      <c r="E212" s="2341"/>
      <c r="F212" s="2341"/>
      <c r="G212" s="2341"/>
      <c r="H212" s="2341"/>
    </row>
    <row r="213" spans="1:8">
      <c r="A213" s="2341"/>
      <c r="B213" s="2341"/>
      <c r="C213" s="2341"/>
      <c r="D213" s="2341"/>
      <c r="E213" s="2341"/>
      <c r="F213" s="2341"/>
      <c r="G213" s="2341"/>
      <c r="H213" s="2341"/>
    </row>
    <row r="214" spans="1:8" ht="15.75">
      <c r="A214" s="2343" t="s">
        <v>1510</v>
      </c>
      <c r="B214" s="2341"/>
      <c r="C214" s="2341"/>
      <c r="D214" s="2341"/>
      <c r="E214" s="2341"/>
      <c r="F214" s="2341"/>
      <c r="G214" s="2341"/>
      <c r="H214" s="2341"/>
    </row>
    <row r="215" spans="1:8">
      <c r="A215" s="2341"/>
      <c r="B215" s="2341"/>
      <c r="C215" s="2341"/>
      <c r="D215" s="2341"/>
      <c r="E215" s="2341"/>
      <c r="F215" s="2341"/>
      <c r="G215" s="2341"/>
      <c r="H215" s="2341"/>
    </row>
    <row r="216" spans="1:8">
      <c r="A216" s="2342" t="s">
        <v>1671</v>
      </c>
      <c r="B216" s="2341"/>
      <c r="C216" s="2341"/>
      <c r="D216" s="2341"/>
      <c r="E216" s="2341"/>
      <c r="F216" s="2341"/>
      <c r="G216" s="2341"/>
      <c r="H216" s="2341"/>
    </row>
    <row r="217" spans="1:8">
      <c r="A217" s="2342" t="s">
        <v>1672</v>
      </c>
      <c r="B217" s="2341"/>
      <c r="C217" s="2341"/>
      <c r="D217" s="2341"/>
      <c r="E217" s="2341"/>
      <c r="F217" s="2341"/>
      <c r="G217" s="2341"/>
      <c r="H217" s="2341"/>
    </row>
    <row r="218" spans="1:8">
      <c r="A218" s="2342" t="s">
        <v>1673</v>
      </c>
      <c r="B218" s="2341"/>
      <c r="C218" s="2341"/>
      <c r="D218" s="2341"/>
      <c r="E218" s="2341"/>
      <c r="F218" s="2341"/>
      <c r="G218" s="2341"/>
      <c r="H218" s="2341"/>
    </row>
    <row r="219" spans="1:8">
      <c r="A219" s="2342" t="s">
        <v>1674</v>
      </c>
      <c r="B219" s="2341"/>
      <c r="C219" s="2341"/>
      <c r="D219" s="2341"/>
      <c r="E219" s="2341"/>
      <c r="F219" s="2341"/>
      <c r="G219" s="2341"/>
      <c r="H219" s="2341"/>
    </row>
    <row r="220" spans="1:8">
      <c r="A220" s="2342" t="s">
        <v>1675</v>
      </c>
      <c r="B220" s="2341"/>
      <c r="C220" s="2341"/>
      <c r="D220" s="2341"/>
      <c r="E220" s="2341"/>
      <c r="F220" s="2341"/>
      <c r="G220" s="2341"/>
      <c r="H220" s="2341"/>
    </row>
    <row r="221" spans="1:8">
      <c r="A221" s="2341"/>
      <c r="B221" s="2341"/>
      <c r="C221" s="2341"/>
      <c r="D221" s="2341"/>
      <c r="E221" s="2341"/>
      <c r="F221" s="2341"/>
      <c r="G221" s="2341"/>
      <c r="H221" s="2341"/>
    </row>
    <row r="222" spans="1:8">
      <c r="A222" s="2342" t="s">
        <v>1668</v>
      </c>
      <c r="B222" s="2341"/>
      <c r="C222" s="2341"/>
      <c r="D222" s="2341"/>
      <c r="E222" s="2341"/>
      <c r="F222" s="2341"/>
      <c r="G222" s="2341"/>
      <c r="H222" s="2341"/>
    </row>
    <row r="223" spans="1:8">
      <c r="A223" s="2342" t="s">
        <v>1669</v>
      </c>
      <c r="B223" s="2341"/>
      <c r="C223" s="2341"/>
      <c r="D223" s="2341"/>
      <c r="E223" s="2341"/>
      <c r="F223" s="2341"/>
      <c r="G223" s="2341"/>
      <c r="H223" s="2341"/>
    </row>
    <row r="224" spans="1:8">
      <c r="A224" s="2342" t="s">
        <v>1670</v>
      </c>
      <c r="B224" s="2341"/>
      <c r="C224" s="2341"/>
      <c r="D224" s="2341"/>
      <c r="E224" s="2341"/>
      <c r="F224" s="2341"/>
      <c r="G224" s="2341"/>
      <c r="H224" s="2341"/>
    </row>
    <row r="225" spans="1:8" ht="15.75">
      <c r="A225" s="2343" t="s">
        <v>1511</v>
      </c>
      <c r="B225" s="2341"/>
      <c r="C225" s="2341"/>
      <c r="D225" s="2341"/>
      <c r="E225" s="2341"/>
      <c r="F225" s="2341"/>
      <c r="G225" s="2341"/>
      <c r="H225" s="2341"/>
    </row>
    <row r="226" spans="1:8">
      <c r="A226" s="2341"/>
      <c r="B226" s="2341"/>
      <c r="C226" s="2341"/>
      <c r="D226" s="2341"/>
      <c r="E226" s="2341"/>
      <c r="F226" s="2341"/>
      <c r="G226" s="2341"/>
      <c r="H226" s="2341"/>
    </row>
    <row r="227" spans="1:8">
      <c r="A227" s="2342" t="s">
        <v>1666</v>
      </c>
      <c r="B227" s="2341"/>
      <c r="C227" s="2341"/>
      <c r="D227" s="2341"/>
      <c r="E227" s="2341"/>
      <c r="F227" s="2341"/>
      <c r="G227" s="2341"/>
      <c r="H227" s="2341"/>
    </row>
    <row r="228" spans="1:8">
      <c r="A228" s="2342" t="s">
        <v>1667</v>
      </c>
      <c r="B228" s="2341"/>
      <c r="C228" s="2341"/>
      <c r="D228" s="2341"/>
      <c r="E228" s="2341"/>
      <c r="F228" s="2341"/>
      <c r="G228" s="2341"/>
      <c r="H228" s="2341"/>
    </row>
    <row r="229" spans="1:8">
      <c r="A229" s="2341"/>
      <c r="B229" s="2341"/>
      <c r="C229" s="2341"/>
      <c r="D229" s="2341"/>
      <c r="E229" s="2341"/>
      <c r="F229" s="2341"/>
      <c r="G229" s="2341"/>
      <c r="H229" s="2341"/>
    </row>
    <row r="230" spans="1:8">
      <c r="A230" s="2342" t="s">
        <v>1659</v>
      </c>
      <c r="B230" s="2341"/>
      <c r="C230" s="2341"/>
      <c r="D230" s="2341"/>
      <c r="E230" s="2341"/>
      <c r="F230" s="2341"/>
      <c r="G230" s="2341"/>
      <c r="H230" s="2341"/>
    </row>
    <row r="231" spans="1:8">
      <c r="A231" s="2342" t="s">
        <v>1660</v>
      </c>
      <c r="B231" s="2341"/>
      <c r="C231" s="2341"/>
      <c r="D231" s="2341"/>
      <c r="E231" s="2341"/>
      <c r="F231" s="2341"/>
      <c r="G231" s="2341"/>
      <c r="H231" s="2341"/>
    </row>
    <row r="232" spans="1:8">
      <c r="A232" s="2342" t="s">
        <v>1661</v>
      </c>
      <c r="B232" s="2341"/>
      <c r="C232" s="2341"/>
      <c r="D232" s="2341"/>
      <c r="E232" s="2341"/>
      <c r="F232" s="2341"/>
      <c r="G232" s="2341"/>
      <c r="H232" s="2341"/>
    </row>
    <row r="233" spans="1:8">
      <c r="A233" s="2342" t="s">
        <v>1662</v>
      </c>
      <c r="B233" s="2341"/>
      <c r="C233" s="2341"/>
      <c r="D233" s="2341"/>
      <c r="E233" s="2341"/>
      <c r="F233" s="2341"/>
      <c r="G233" s="2341"/>
      <c r="H233" s="2341"/>
    </row>
    <row r="234" spans="1:8">
      <c r="A234" s="2342" t="s">
        <v>1663</v>
      </c>
      <c r="B234" s="2341"/>
      <c r="C234" s="2341"/>
      <c r="D234" s="2341"/>
      <c r="E234" s="2341"/>
      <c r="F234" s="2341"/>
      <c r="G234" s="2341"/>
      <c r="H234" s="2341"/>
    </row>
    <row r="235" spans="1:8">
      <c r="A235" s="2342" t="s">
        <v>1664</v>
      </c>
      <c r="B235" s="2341"/>
      <c r="C235" s="2341"/>
      <c r="D235" s="2341"/>
      <c r="E235" s="2341"/>
      <c r="F235" s="2341"/>
      <c r="G235" s="2341"/>
      <c r="H235" s="2341"/>
    </row>
    <row r="236" spans="1:8">
      <c r="A236" s="2342" t="s">
        <v>1665</v>
      </c>
      <c r="B236" s="2341"/>
      <c r="C236" s="2341"/>
      <c r="D236" s="2341"/>
      <c r="E236" s="2341"/>
      <c r="F236" s="2341"/>
      <c r="G236" s="2341"/>
      <c r="H236" s="2341"/>
    </row>
    <row r="237" spans="1:8">
      <c r="A237" s="2341"/>
      <c r="B237" s="2341"/>
      <c r="C237" s="2341"/>
      <c r="D237" s="2341"/>
      <c r="E237" s="2341"/>
      <c r="F237" s="2341"/>
      <c r="G237" s="2341"/>
      <c r="H237" s="2341"/>
    </row>
    <row r="238" spans="1:8">
      <c r="A238" s="2342" t="s">
        <v>1656</v>
      </c>
      <c r="B238" s="2341"/>
      <c r="C238" s="2341"/>
      <c r="D238" s="2341"/>
      <c r="E238" s="2341"/>
      <c r="F238" s="2341"/>
      <c r="G238" s="2341"/>
      <c r="H238" s="2341"/>
    </row>
    <row r="239" spans="1:8">
      <c r="A239" s="2342" t="s">
        <v>1657</v>
      </c>
      <c r="B239" s="2341"/>
      <c r="C239" s="2341"/>
      <c r="D239" s="2341"/>
      <c r="E239" s="2341"/>
      <c r="F239" s="2341"/>
      <c r="G239" s="2341"/>
      <c r="H239" s="2341"/>
    </row>
    <row r="240" spans="1:8">
      <c r="A240" s="2342" t="s">
        <v>1658</v>
      </c>
      <c r="B240" s="2341"/>
      <c r="C240" s="2341"/>
      <c r="D240" s="2341"/>
      <c r="E240" s="2341"/>
      <c r="F240" s="2341"/>
      <c r="G240" s="2341"/>
      <c r="H240" s="2341"/>
    </row>
    <row r="241" spans="1:8">
      <c r="A241" s="2341"/>
      <c r="B241" s="2341"/>
      <c r="C241" s="2341"/>
      <c r="D241" s="2341"/>
      <c r="E241" s="2341"/>
      <c r="F241" s="2341"/>
      <c r="G241" s="2341"/>
      <c r="H241" s="2341"/>
    </row>
    <row r="242" spans="1:8">
      <c r="A242" s="2342" t="s">
        <v>1651</v>
      </c>
      <c r="B242" s="2341"/>
      <c r="C242" s="2341"/>
      <c r="D242" s="2341"/>
      <c r="E242" s="2341"/>
      <c r="F242" s="2341"/>
      <c r="G242" s="2341"/>
      <c r="H242" s="2341"/>
    </row>
    <row r="243" spans="1:8">
      <c r="A243" s="2342" t="s">
        <v>1652</v>
      </c>
      <c r="B243" s="2341"/>
      <c r="C243" s="2341"/>
      <c r="D243" s="2341"/>
      <c r="E243" s="2341"/>
      <c r="F243" s="2341"/>
      <c r="G243" s="2341"/>
      <c r="H243" s="2341"/>
    </row>
    <row r="244" spans="1:8">
      <c r="A244" s="2342" t="s">
        <v>1653</v>
      </c>
      <c r="B244" s="2341"/>
      <c r="C244" s="2341"/>
      <c r="D244" s="2341"/>
      <c r="E244" s="2341"/>
      <c r="F244" s="2341"/>
      <c r="G244" s="2341"/>
      <c r="H244" s="2341"/>
    </row>
    <row r="245" spans="1:8">
      <c r="A245" s="2342" t="s">
        <v>1654</v>
      </c>
      <c r="B245" s="2341"/>
      <c r="C245" s="2341"/>
      <c r="D245" s="2341"/>
      <c r="E245" s="2341"/>
      <c r="F245" s="2341"/>
      <c r="G245" s="2341"/>
      <c r="H245" s="2341"/>
    </row>
    <row r="246" spans="1:8">
      <c r="A246" s="2342" t="s">
        <v>1655</v>
      </c>
      <c r="B246" s="2341"/>
      <c r="C246" s="2341"/>
      <c r="D246" s="2341"/>
      <c r="E246" s="2341"/>
      <c r="F246" s="2341"/>
      <c r="G246" s="2341"/>
      <c r="H246" s="2341"/>
    </row>
    <row r="247" spans="1:8">
      <c r="A247" s="2341"/>
      <c r="B247" s="2341"/>
      <c r="C247" s="2341"/>
      <c r="D247" s="2341"/>
      <c r="E247" s="2341"/>
      <c r="F247" s="2341"/>
      <c r="G247" s="2341"/>
      <c r="H247" s="2341"/>
    </row>
    <row r="248" spans="1:8">
      <c r="A248" s="2342" t="s">
        <v>1645</v>
      </c>
      <c r="B248" s="2341"/>
      <c r="C248" s="2341"/>
      <c r="D248" s="2341"/>
      <c r="E248" s="2341"/>
      <c r="F248" s="2341"/>
      <c r="G248" s="2341"/>
      <c r="H248" s="2341"/>
    </row>
    <row r="249" spans="1:8">
      <c r="A249" s="2342" t="s">
        <v>1646</v>
      </c>
      <c r="B249" s="2341"/>
      <c r="C249" s="2341"/>
      <c r="D249" s="2341"/>
      <c r="E249" s="2341"/>
      <c r="F249" s="2341"/>
      <c r="G249" s="2341"/>
      <c r="H249" s="2341"/>
    </row>
    <row r="250" spans="1:8">
      <c r="A250" s="2342" t="s">
        <v>1647</v>
      </c>
      <c r="B250" s="2341"/>
      <c r="C250" s="2341"/>
      <c r="D250" s="2341"/>
      <c r="E250" s="2341"/>
      <c r="F250" s="2341"/>
      <c r="G250" s="2341"/>
      <c r="H250" s="2341"/>
    </row>
    <row r="251" spans="1:8">
      <c r="A251" s="2342" t="s">
        <v>1648</v>
      </c>
      <c r="B251" s="2341"/>
      <c r="C251" s="2341"/>
      <c r="D251" s="2341"/>
      <c r="E251" s="2341"/>
      <c r="F251" s="2341"/>
      <c r="G251" s="2341"/>
      <c r="H251" s="2341"/>
    </row>
    <row r="252" spans="1:8">
      <c r="A252" s="2342" t="s">
        <v>1649</v>
      </c>
      <c r="B252" s="2341"/>
      <c r="C252" s="2341"/>
      <c r="D252" s="2341"/>
      <c r="E252" s="2341"/>
      <c r="F252" s="2341"/>
      <c r="G252" s="2341"/>
      <c r="H252" s="2341"/>
    </row>
    <row r="253" spans="1:8">
      <c r="A253" s="2342" t="s">
        <v>1650</v>
      </c>
      <c r="B253" s="2341"/>
      <c r="C253" s="2341"/>
      <c r="D253" s="2341"/>
      <c r="E253" s="2341"/>
      <c r="F253" s="2341"/>
      <c r="G253" s="2341"/>
      <c r="H253" s="2341"/>
    </row>
    <row r="254" spans="1:8">
      <c r="A254" s="2341"/>
      <c r="B254" s="2341"/>
      <c r="C254" s="2341"/>
      <c r="D254" s="2341"/>
      <c r="E254" s="2341"/>
      <c r="F254" s="2341"/>
      <c r="G254" s="2341"/>
      <c r="H254" s="2341"/>
    </row>
    <row r="255" spans="1:8">
      <c r="A255" s="2342" t="s">
        <v>1635</v>
      </c>
      <c r="B255" s="2341"/>
      <c r="C255" s="2341"/>
      <c r="D255" s="2341"/>
      <c r="E255" s="2341"/>
      <c r="F255" s="2341"/>
      <c r="G255" s="2341"/>
      <c r="H255" s="2341"/>
    </row>
    <row r="256" spans="1:8">
      <c r="A256" s="2342" t="s">
        <v>1636</v>
      </c>
      <c r="B256" s="2341"/>
      <c r="C256" s="2341"/>
      <c r="D256" s="2341"/>
      <c r="E256" s="2341"/>
      <c r="F256" s="2341"/>
      <c r="G256" s="2341"/>
      <c r="H256" s="2341"/>
    </row>
    <row r="257" spans="1:8">
      <c r="A257" s="2342" t="s">
        <v>1637</v>
      </c>
      <c r="B257" s="2341"/>
      <c r="C257" s="2341"/>
      <c r="D257" s="2341"/>
      <c r="E257" s="2341"/>
      <c r="F257" s="2341"/>
      <c r="G257" s="2341"/>
      <c r="H257" s="2341"/>
    </row>
    <row r="258" spans="1:8">
      <c r="A258" s="2342" t="s">
        <v>1638</v>
      </c>
      <c r="B258" s="2341"/>
      <c r="C258" s="2341"/>
      <c r="D258" s="2341"/>
      <c r="E258" s="2341"/>
      <c r="F258" s="2341"/>
      <c r="G258" s="2341"/>
      <c r="H258" s="2341"/>
    </row>
    <row r="259" spans="1:8">
      <c r="A259" s="2342" t="s">
        <v>1639</v>
      </c>
      <c r="B259" s="2341"/>
      <c r="C259" s="2341"/>
      <c r="D259" s="2341"/>
      <c r="E259" s="2341"/>
      <c r="F259" s="2341"/>
      <c r="G259" s="2341"/>
      <c r="H259" s="2341"/>
    </row>
    <row r="260" spans="1:8">
      <c r="A260" s="2342" t="s">
        <v>1640</v>
      </c>
      <c r="B260" s="2341"/>
      <c r="C260" s="2341"/>
      <c r="D260" s="2341"/>
      <c r="E260" s="2341"/>
      <c r="F260" s="2341"/>
      <c r="G260" s="2341"/>
      <c r="H260" s="2341"/>
    </row>
    <row r="261" spans="1:8">
      <c r="A261" s="2342" t="s">
        <v>1641</v>
      </c>
      <c r="B261" s="2341"/>
      <c r="C261" s="2341"/>
      <c r="D261" s="2341"/>
      <c r="E261" s="2341"/>
      <c r="F261" s="2341"/>
      <c r="G261" s="2341"/>
      <c r="H261" s="2341"/>
    </row>
    <row r="262" spans="1:8">
      <c r="A262" s="2342" t="s">
        <v>1642</v>
      </c>
      <c r="B262" s="2341"/>
      <c r="C262" s="2341"/>
      <c r="D262" s="2341"/>
      <c r="E262" s="2341"/>
      <c r="F262" s="2341"/>
      <c r="G262" s="2341"/>
      <c r="H262" s="2341"/>
    </row>
    <row r="263" spans="1:8">
      <c r="A263" s="2342" t="s">
        <v>1643</v>
      </c>
      <c r="B263" s="2341"/>
      <c r="C263" s="2341"/>
      <c r="D263" s="2341"/>
      <c r="E263" s="2341"/>
      <c r="F263" s="2341"/>
      <c r="G263" s="2341"/>
      <c r="H263" s="2341"/>
    </row>
    <row r="264" spans="1:8">
      <c r="A264" s="2342" t="s">
        <v>1644</v>
      </c>
      <c r="B264" s="2341"/>
      <c r="C264" s="2341"/>
      <c r="D264" s="2341"/>
      <c r="E264" s="2341"/>
      <c r="F264" s="2341"/>
      <c r="G264" s="2341"/>
      <c r="H264" s="2341"/>
    </row>
    <row r="265" spans="1:8">
      <c r="A265" s="2341"/>
      <c r="B265" s="2341"/>
      <c r="C265" s="2341"/>
      <c r="D265" s="2341"/>
      <c r="E265" s="2341"/>
      <c r="F265" s="2341"/>
      <c r="G265" s="2341"/>
      <c r="H265" s="2341"/>
    </row>
    <row r="266" spans="1:8">
      <c r="A266" s="2342" t="s">
        <v>1633</v>
      </c>
      <c r="B266" s="2341"/>
      <c r="C266" s="2341"/>
      <c r="D266" s="2341"/>
      <c r="E266" s="2341"/>
      <c r="F266" s="2341"/>
      <c r="G266" s="2341"/>
      <c r="H266" s="2341"/>
    </row>
    <row r="267" spans="1:8">
      <c r="A267" s="2342" t="s">
        <v>1634</v>
      </c>
      <c r="B267" s="2341"/>
      <c r="C267" s="2341"/>
      <c r="D267" s="2341"/>
      <c r="E267" s="2341"/>
      <c r="F267" s="2341"/>
      <c r="G267" s="2341"/>
      <c r="H267" s="2341"/>
    </row>
    <row r="268" spans="1:8">
      <c r="A268" s="2341"/>
      <c r="B268" s="2341"/>
      <c r="C268" s="2341"/>
      <c r="D268" s="2341"/>
      <c r="E268" s="2341"/>
      <c r="F268" s="2341"/>
      <c r="G268" s="2341"/>
      <c r="H268" s="2341"/>
    </row>
    <row r="269" spans="1:8">
      <c r="A269" s="2342" t="s">
        <v>1617</v>
      </c>
      <c r="B269" s="2341"/>
      <c r="C269" s="2341"/>
      <c r="D269" s="2341"/>
      <c r="E269" s="2341"/>
      <c r="F269" s="2341"/>
      <c r="G269" s="2341"/>
      <c r="H269" s="2341"/>
    </row>
    <row r="270" spans="1:8">
      <c r="A270" s="2342" t="s">
        <v>1618</v>
      </c>
      <c r="B270" s="2341"/>
      <c r="C270" s="2341"/>
      <c r="D270" s="2341"/>
      <c r="E270" s="2341"/>
      <c r="F270" s="2341"/>
      <c r="G270" s="2341"/>
      <c r="H270" s="2341"/>
    </row>
    <row r="271" spans="1:8">
      <c r="A271" s="2342" t="s">
        <v>1619</v>
      </c>
      <c r="B271" s="2341"/>
      <c r="C271" s="2341"/>
      <c r="D271" s="2341"/>
      <c r="E271" s="2341"/>
      <c r="F271" s="2341"/>
      <c r="G271" s="2341"/>
      <c r="H271" s="2341"/>
    </row>
    <row r="272" spans="1:8">
      <c r="A272" s="2342" t="s">
        <v>1620</v>
      </c>
      <c r="B272" s="2341"/>
      <c r="C272" s="2341"/>
      <c r="D272" s="2341"/>
      <c r="E272" s="2341"/>
      <c r="F272" s="2341"/>
      <c r="G272" s="2341"/>
      <c r="H272" s="2341"/>
    </row>
    <row r="273" spans="1:8">
      <c r="A273" s="2342" t="s">
        <v>1621</v>
      </c>
      <c r="B273" s="2341"/>
      <c r="C273" s="2341"/>
      <c r="D273" s="2341"/>
      <c r="E273" s="2341"/>
      <c r="F273" s="2341"/>
      <c r="G273" s="2341"/>
      <c r="H273" s="2341"/>
    </row>
    <row r="274" spans="1:8">
      <c r="A274" s="2342" t="s">
        <v>1622</v>
      </c>
      <c r="B274" s="2341"/>
      <c r="C274" s="2341"/>
      <c r="D274" s="2341"/>
      <c r="E274" s="2341"/>
      <c r="F274" s="2341"/>
      <c r="G274" s="2341"/>
      <c r="H274" s="2341"/>
    </row>
    <row r="275" spans="1:8">
      <c r="A275" s="2342" t="s">
        <v>1623</v>
      </c>
      <c r="B275" s="2341"/>
      <c r="C275" s="2341"/>
      <c r="D275" s="2341"/>
      <c r="E275" s="2341"/>
      <c r="F275" s="2341"/>
      <c r="G275" s="2341"/>
      <c r="H275" s="2341"/>
    </row>
    <row r="276" spans="1:8">
      <c r="A276" s="2342" t="s">
        <v>1624</v>
      </c>
      <c r="B276" s="2341"/>
      <c r="C276" s="2341"/>
      <c r="D276" s="2341"/>
      <c r="E276" s="2341"/>
      <c r="F276" s="2341"/>
      <c r="G276" s="2341"/>
      <c r="H276" s="2341"/>
    </row>
    <row r="277" spans="1:8">
      <c r="A277" s="2342" t="s">
        <v>1625</v>
      </c>
      <c r="B277" s="2341"/>
      <c r="C277" s="2341"/>
      <c r="D277" s="2341"/>
      <c r="E277" s="2341"/>
      <c r="F277" s="2341"/>
      <c r="G277" s="2341"/>
      <c r="H277" s="2341"/>
    </row>
    <row r="278" spans="1:8">
      <c r="A278" s="2342" t="s">
        <v>1626</v>
      </c>
      <c r="B278" s="2341"/>
      <c r="C278" s="2341"/>
      <c r="D278" s="2341"/>
      <c r="E278" s="2341"/>
      <c r="F278" s="2341"/>
      <c r="G278" s="2341"/>
      <c r="H278" s="2341"/>
    </row>
    <row r="279" spans="1:8">
      <c r="A279" s="2342" t="s">
        <v>1627</v>
      </c>
      <c r="B279" s="2341"/>
      <c r="C279" s="2341"/>
      <c r="D279" s="2341"/>
      <c r="E279" s="2341"/>
      <c r="F279" s="2341"/>
      <c r="G279" s="2341"/>
      <c r="H279" s="2341"/>
    </row>
    <row r="280" spans="1:8">
      <c r="A280" s="2342" t="s">
        <v>1628</v>
      </c>
      <c r="B280" s="2341"/>
      <c r="C280" s="2341"/>
      <c r="D280" s="2341"/>
      <c r="E280" s="2341"/>
      <c r="F280" s="2341"/>
      <c r="G280" s="2341"/>
      <c r="H280" s="2341"/>
    </row>
    <row r="281" spans="1:8">
      <c r="A281" s="2342" t="s">
        <v>1629</v>
      </c>
      <c r="B281" s="2341"/>
      <c r="C281" s="2341"/>
      <c r="D281" s="2341"/>
      <c r="E281" s="2341"/>
      <c r="F281" s="2341"/>
      <c r="G281" s="2341"/>
      <c r="H281" s="2341"/>
    </row>
    <row r="282" spans="1:8">
      <c r="A282" s="2342" t="s">
        <v>1630</v>
      </c>
      <c r="B282" s="2341"/>
      <c r="C282" s="2341"/>
      <c r="D282" s="2341"/>
      <c r="E282" s="2341"/>
      <c r="F282" s="2341"/>
      <c r="G282" s="2341"/>
      <c r="H282" s="2341"/>
    </row>
    <row r="283" spans="1:8">
      <c r="A283" s="2342" t="s">
        <v>1631</v>
      </c>
      <c r="B283" s="2341"/>
      <c r="C283" s="2341"/>
      <c r="D283" s="2341"/>
      <c r="E283" s="2341"/>
      <c r="F283" s="2341"/>
      <c r="G283" s="2341"/>
      <c r="H283" s="2341"/>
    </row>
    <row r="284" spans="1:8">
      <c r="A284" s="2342" t="s">
        <v>1632</v>
      </c>
      <c r="B284" s="2341"/>
      <c r="C284" s="2341"/>
      <c r="D284" s="2341"/>
      <c r="E284" s="2341"/>
      <c r="F284" s="2341"/>
      <c r="G284" s="2341"/>
      <c r="H284" s="2341"/>
    </row>
    <row r="285" spans="1:8">
      <c r="A285" s="2341"/>
      <c r="B285" s="2341"/>
      <c r="C285" s="2341"/>
      <c r="D285" s="2341"/>
      <c r="E285" s="2341"/>
      <c r="F285" s="2341"/>
      <c r="G285" s="2341"/>
      <c r="H285" s="2341"/>
    </row>
    <row r="286" spans="1:8">
      <c r="A286" s="2342" t="s">
        <v>1610</v>
      </c>
      <c r="B286" s="2341"/>
      <c r="C286" s="2341"/>
      <c r="D286" s="2341"/>
      <c r="E286" s="2341"/>
      <c r="F286" s="2341"/>
      <c r="G286" s="2341"/>
      <c r="H286" s="2341"/>
    </row>
    <row r="287" spans="1:8">
      <c r="A287" s="2342" t="s">
        <v>1611</v>
      </c>
      <c r="B287" s="2341"/>
      <c r="C287" s="2341"/>
      <c r="D287" s="2341"/>
      <c r="E287" s="2341"/>
      <c r="F287" s="2341"/>
      <c r="G287" s="2341"/>
      <c r="H287" s="2341"/>
    </row>
    <row r="288" spans="1:8">
      <c r="A288" s="2342" t="s">
        <v>1612</v>
      </c>
      <c r="B288" s="2341"/>
      <c r="C288" s="2341"/>
      <c r="D288" s="2341"/>
      <c r="E288" s="2341"/>
      <c r="F288" s="2341"/>
      <c r="G288" s="2341"/>
      <c r="H288" s="2341"/>
    </row>
    <row r="289" spans="1:8">
      <c r="A289" s="2342" t="s">
        <v>1613</v>
      </c>
      <c r="B289" s="2341"/>
      <c r="C289" s="2341"/>
      <c r="D289" s="2341"/>
      <c r="E289" s="2341"/>
      <c r="F289" s="2341"/>
      <c r="G289" s="2341"/>
      <c r="H289" s="2341"/>
    </row>
    <row r="290" spans="1:8">
      <c r="A290" s="2342" t="s">
        <v>1614</v>
      </c>
      <c r="B290" s="2341"/>
      <c r="C290" s="2341"/>
      <c r="D290" s="2341"/>
      <c r="E290" s="2341"/>
      <c r="F290" s="2341"/>
      <c r="G290" s="2341"/>
      <c r="H290" s="2341"/>
    </row>
    <row r="291" spans="1:8">
      <c r="A291" s="2342" t="s">
        <v>1615</v>
      </c>
      <c r="B291" s="2341"/>
      <c r="C291" s="2341"/>
      <c r="D291" s="2341"/>
      <c r="E291" s="2341"/>
      <c r="F291" s="2341"/>
      <c r="G291" s="2341"/>
      <c r="H291" s="2341"/>
    </row>
    <row r="292" spans="1:8">
      <c r="A292" s="2342" t="s">
        <v>1616</v>
      </c>
      <c r="B292" s="2341"/>
      <c r="C292" s="2341"/>
      <c r="D292" s="2341"/>
      <c r="E292" s="2341"/>
      <c r="F292" s="2341"/>
      <c r="G292" s="2341"/>
      <c r="H292" s="2341"/>
    </row>
    <row r="293" spans="1:8">
      <c r="A293" s="2341"/>
      <c r="B293" s="2341"/>
      <c r="C293" s="2341"/>
      <c r="D293" s="2341"/>
      <c r="E293" s="2341"/>
      <c r="F293" s="2341"/>
      <c r="G293" s="2341"/>
      <c r="H293" s="2341"/>
    </row>
    <row r="294" spans="1:8">
      <c r="A294" s="2342" t="s">
        <v>1601</v>
      </c>
      <c r="B294" s="2341"/>
      <c r="C294" s="2341"/>
      <c r="D294" s="2341"/>
      <c r="E294" s="2341"/>
      <c r="F294" s="2341"/>
      <c r="G294" s="2341"/>
      <c r="H294" s="2341"/>
    </row>
    <row r="295" spans="1:8">
      <c r="A295" s="2342" t="s">
        <v>1602</v>
      </c>
      <c r="B295" s="2341"/>
      <c r="C295" s="2341"/>
      <c r="D295" s="2341"/>
      <c r="E295" s="2341"/>
      <c r="F295" s="2341"/>
      <c r="G295" s="2341"/>
      <c r="H295" s="2341"/>
    </row>
    <row r="296" spans="1:8">
      <c r="A296" s="2342" t="s">
        <v>1603</v>
      </c>
      <c r="B296" s="2341"/>
      <c r="C296" s="2341"/>
      <c r="D296" s="2341"/>
      <c r="E296" s="2341"/>
      <c r="F296" s="2341"/>
      <c r="G296" s="2341"/>
      <c r="H296" s="2341"/>
    </row>
    <row r="297" spans="1:8">
      <c r="A297" s="2342" t="s">
        <v>1604</v>
      </c>
      <c r="B297" s="2341"/>
      <c r="C297" s="2341"/>
      <c r="D297" s="2341"/>
      <c r="E297" s="2341"/>
      <c r="F297" s="2341"/>
      <c r="G297" s="2341"/>
      <c r="H297" s="2341"/>
    </row>
    <row r="298" spans="1:8">
      <c r="A298" s="2342" t="s">
        <v>1605</v>
      </c>
      <c r="B298" s="2341"/>
      <c r="C298" s="2341"/>
      <c r="D298" s="2341"/>
      <c r="E298" s="2341"/>
      <c r="F298" s="2341"/>
      <c r="G298" s="2341"/>
      <c r="H298" s="2341"/>
    </row>
    <row r="299" spans="1:8">
      <c r="A299" s="2342" t="s">
        <v>1606</v>
      </c>
      <c r="B299" s="2341"/>
      <c r="C299" s="2341"/>
      <c r="D299" s="2341"/>
      <c r="E299" s="2341"/>
      <c r="F299" s="2341"/>
      <c r="G299" s="2341"/>
      <c r="H299" s="2341"/>
    </row>
    <row r="300" spans="1:8">
      <c r="A300" s="2342" t="s">
        <v>1607</v>
      </c>
      <c r="B300" s="2341"/>
      <c r="C300" s="2341"/>
      <c r="D300" s="2341"/>
      <c r="E300" s="2341"/>
      <c r="F300" s="2341"/>
      <c r="G300" s="2341"/>
      <c r="H300" s="2341"/>
    </row>
    <row r="301" spans="1:8">
      <c r="A301" s="2342" t="s">
        <v>1608</v>
      </c>
      <c r="B301" s="2341"/>
      <c r="C301" s="2341"/>
      <c r="D301" s="2341"/>
      <c r="E301" s="2341"/>
      <c r="F301" s="2341"/>
      <c r="G301" s="2341"/>
      <c r="H301" s="2341"/>
    </row>
    <row r="302" spans="1:8">
      <c r="A302" s="2342" t="s">
        <v>1609</v>
      </c>
      <c r="B302" s="2341"/>
      <c r="C302" s="2341"/>
      <c r="D302" s="2341"/>
      <c r="E302" s="2341"/>
      <c r="F302" s="2341"/>
      <c r="G302" s="2341"/>
      <c r="H302" s="2341"/>
    </row>
    <row r="303" spans="1:8">
      <c r="A303" s="2341"/>
      <c r="B303" s="2341"/>
      <c r="C303" s="2341"/>
      <c r="D303" s="2341"/>
      <c r="E303" s="2341"/>
      <c r="F303" s="2341"/>
      <c r="G303" s="2341"/>
      <c r="H303" s="2341"/>
    </row>
    <row r="304" spans="1:8">
      <c r="A304" s="2342" t="s">
        <v>1594</v>
      </c>
      <c r="B304" s="2341"/>
      <c r="C304" s="2341"/>
      <c r="D304" s="2341"/>
      <c r="E304" s="2341"/>
      <c r="F304" s="2341"/>
      <c r="G304" s="2341"/>
      <c r="H304" s="2341"/>
    </row>
    <row r="305" spans="1:8">
      <c r="A305" s="2342" t="s">
        <v>1595</v>
      </c>
      <c r="B305" s="2341"/>
      <c r="C305" s="2341"/>
      <c r="D305" s="2341"/>
      <c r="E305" s="2341"/>
      <c r="F305" s="2341"/>
      <c r="G305" s="2341"/>
      <c r="H305" s="2341"/>
    </row>
    <row r="306" spans="1:8">
      <c r="A306" s="2342" t="s">
        <v>1596</v>
      </c>
      <c r="B306" s="2341"/>
      <c r="C306" s="2341"/>
      <c r="D306" s="2341"/>
      <c r="E306" s="2341"/>
      <c r="F306" s="2341"/>
      <c r="G306" s="2341"/>
      <c r="H306" s="2341"/>
    </row>
    <row r="307" spans="1:8">
      <c r="A307" s="2342" t="s">
        <v>1597</v>
      </c>
      <c r="B307" s="2341"/>
      <c r="C307" s="2341"/>
      <c r="D307" s="2341"/>
      <c r="E307" s="2341"/>
      <c r="F307" s="2341"/>
      <c r="G307" s="2341"/>
      <c r="H307" s="2341"/>
    </row>
    <row r="308" spans="1:8">
      <c r="A308" s="2342" t="s">
        <v>1598</v>
      </c>
      <c r="B308" s="2341"/>
      <c r="C308" s="2341"/>
      <c r="D308" s="2341"/>
      <c r="E308" s="2341"/>
      <c r="F308" s="2341"/>
      <c r="G308" s="2341"/>
      <c r="H308" s="2341"/>
    </row>
    <row r="309" spans="1:8">
      <c r="A309" s="2342" t="s">
        <v>1599</v>
      </c>
      <c r="B309" s="2341"/>
      <c r="C309" s="2341"/>
      <c r="D309" s="2341"/>
      <c r="E309" s="2341"/>
      <c r="F309" s="2341"/>
      <c r="G309" s="2341"/>
      <c r="H309" s="2341"/>
    </row>
    <row r="310" spans="1:8">
      <c r="A310" s="2342" t="s">
        <v>1600</v>
      </c>
      <c r="B310" s="2341"/>
      <c r="C310" s="2341"/>
      <c r="D310" s="2341"/>
      <c r="E310" s="2341"/>
      <c r="F310" s="2341"/>
      <c r="G310" s="2341"/>
      <c r="H310" s="2341"/>
    </row>
    <row r="311" spans="1:8">
      <c r="A311" s="2341"/>
      <c r="B311" s="2341"/>
      <c r="C311" s="2341"/>
      <c r="D311" s="2341"/>
      <c r="E311" s="2341"/>
      <c r="F311" s="2341"/>
      <c r="G311" s="2341"/>
      <c r="H311" s="2341"/>
    </row>
    <row r="312" spans="1:8">
      <c r="A312" s="2342" t="s">
        <v>1591</v>
      </c>
      <c r="B312" s="2341"/>
      <c r="C312" s="2341"/>
      <c r="D312" s="2341"/>
      <c r="E312" s="2341"/>
      <c r="F312" s="2341"/>
      <c r="G312" s="2341"/>
      <c r="H312" s="2341"/>
    </row>
    <row r="313" spans="1:8">
      <c r="A313" s="2342" t="s">
        <v>1592</v>
      </c>
      <c r="B313" s="2341"/>
      <c r="C313" s="2341"/>
      <c r="D313" s="2341"/>
      <c r="E313" s="2341"/>
      <c r="F313" s="2341"/>
      <c r="G313" s="2341"/>
      <c r="H313" s="2341"/>
    </row>
    <row r="314" spans="1:8">
      <c r="A314" s="2342" t="s">
        <v>1593</v>
      </c>
      <c r="B314" s="2341"/>
      <c r="C314" s="2341"/>
      <c r="D314" s="2341"/>
      <c r="E314" s="2341"/>
      <c r="F314" s="2341"/>
      <c r="G314" s="2341"/>
      <c r="H314" s="2341"/>
    </row>
    <row r="315" spans="1:8">
      <c r="A315" s="2341"/>
      <c r="B315" s="2341"/>
      <c r="C315" s="2341"/>
      <c r="D315" s="2341"/>
      <c r="E315" s="2341"/>
      <c r="F315" s="2341"/>
      <c r="G315" s="2341"/>
      <c r="H315" s="2341"/>
    </row>
    <row r="316" spans="1:8">
      <c r="A316" s="2342" t="s">
        <v>1589</v>
      </c>
      <c r="B316" s="2341"/>
      <c r="C316" s="2341"/>
      <c r="D316" s="2341"/>
      <c r="E316" s="2341"/>
      <c r="F316" s="2341"/>
      <c r="G316" s="2341"/>
      <c r="H316" s="2341"/>
    </row>
    <row r="317" spans="1:8">
      <c r="A317" s="2342" t="s">
        <v>1590</v>
      </c>
      <c r="B317" s="2341"/>
      <c r="C317" s="2341"/>
      <c r="D317" s="2341"/>
      <c r="E317" s="2341"/>
      <c r="F317" s="2341"/>
      <c r="G317" s="2341"/>
      <c r="H317" s="2341"/>
    </row>
    <row r="318" spans="1:8">
      <c r="A318" s="2341"/>
      <c r="B318" s="2341"/>
      <c r="C318" s="2341"/>
      <c r="D318" s="2341"/>
      <c r="E318" s="2341"/>
      <c r="F318" s="2341"/>
      <c r="G318" s="2341"/>
      <c r="H318" s="2341"/>
    </row>
    <row r="319" spans="1:8">
      <c r="A319" s="2342" t="s">
        <v>1576</v>
      </c>
      <c r="B319" s="2341"/>
      <c r="C319" s="2341"/>
      <c r="D319" s="2341"/>
      <c r="E319" s="2341"/>
      <c r="F319" s="2341"/>
      <c r="G319" s="2341"/>
      <c r="H319" s="2341"/>
    </row>
    <row r="320" spans="1:8">
      <c r="A320" s="2342" t="s">
        <v>1577</v>
      </c>
      <c r="B320" s="2341"/>
      <c r="C320" s="2341"/>
      <c r="D320" s="2341"/>
      <c r="E320" s="2341"/>
      <c r="F320" s="2341"/>
      <c r="G320" s="2341"/>
      <c r="H320" s="2341"/>
    </row>
    <row r="321" spans="1:8">
      <c r="A321" s="2342" t="s">
        <v>1578</v>
      </c>
      <c r="B321" s="2341"/>
      <c r="C321" s="2341"/>
      <c r="D321" s="2341"/>
      <c r="E321" s="2341"/>
      <c r="F321" s="2341"/>
      <c r="G321" s="2341"/>
      <c r="H321" s="2341"/>
    </row>
    <row r="322" spans="1:8">
      <c r="A322" s="2342" t="s">
        <v>1579</v>
      </c>
      <c r="B322" s="2341"/>
      <c r="C322" s="2341"/>
      <c r="D322" s="2341"/>
      <c r="E322" s="2341"/>
      <c r="F322" s="2341"/>
      <c r="G322" s="2341"/>
      <c r="H322" s="2341"/>
    </row>
    <row r="323" spans="1:8">
      <c r="A323" s="2342" t="s">
        <v>1580</v>
      </c>
      <c r="B323" s="2341"/>
      <c r="C323" s="2341"/>
      <c r="D323" s="2341"/>
      <c r="E323" s="2341"/>
      <c r="F323" s="2341"/>
      <c r="G323" s="2341"/>
      <c r="H323" s="2341"/>
    </row>
    <row r="324" spans="1:8">
      <c r="A324" s="2342" t="s">
        <v>1581</v>
      </c>
      <c r="B324" s="2341"/>
      <c r="C324" s="2341"/>
      <c r="D324" s="2341"/>
      <c r="E324" s="2341"/>
      <c r="F324" s="2341"/>
      <c r="G324" s="2341"/>
      <c r="H324" s="2341"/>
    </row>
    <row r="325" spans="1:8">
      <c r="A325" s="2342" t="s">
        <v>1582</v>
      </c>
      <c r="B325" s="2341"/>
      <c r="C325" s="2341"/>
      <c r="D325" s="2341"/>
      <c r="E325" s="2341"/>
      <c r="F325" s="2341"/>
      <c r="G325" s="2341"/>
      <c r="H325" s="2341"/>
    </row>
    <row r="326" spans="1:8">
      <c r="A326" s="2342" t="s">
        <v>1583</v>
      </c>
      <c r="B326" s="2341"/>
      <c r="C326" s="2341"/>
      <c r="D326" s="2341"/>
      <c r="E326" s="2341"/>
      <c r="F326" s="2341"/>
      <c r="G326" s="2341"/>
      <c r="H326" s="2341"/>
    </row>
    <row r="327" spans="1:8">
      <c r="A327" s="2342" t="s">
        <v>1584</v>
      </c>
      <c r="B327" s="2341"/>
      <c r="C327" s="2341"/>
      <c r="D327" s="2341"/>
      <c r="E327" s="2341"/>
      <c r="F327" s="2341"/>
      <c r="G327" s="2341"/>
      <c r="H327" s="2341"/>
    </row>
    <row r="328" spans="1:8">
      <c r="A328" s="2342" t="s">
        <v>1585</v>
      </c>
      <c r="B328" s="2341"/>
      <c r="C328" s="2341"/>
      <c r="D328" s="2341"/>
      <c r="E328" s="2341"/>
      <c r="F328" s="2341"/>
      <c r="G328" s="2341"/>
      <c r="H328" s="2341"/>
    </row>
    <row r="329" spans="1:8">
      <c r="A329" s="2342" t="s">
        <v>1586</v>
      </c>
      <c r="B329" s="2341"/>
      <c r="C329" s="2341"/>
      <c r="D329" s="2341"/>
      <c r="E329" s="2341"/>
      <c r="F329" s="2341"/>
      <c r="G329" s="2341"/>
      <c r="H329" s="2341"/>
    </row>
    <row r="330" spans="1:8">
      <c r="A330" s="2342" t="s">
        <v>1587</v>
      </c>
      <c r="B330" s="2341"/>
      <c r="C330" s="2341"/>
      <c r="D330" s="2341"/>
      <c r="E330" s="2341"/>
      <c r="F330" s="2341"/>
      <c r="G330" s="2341"/>
      <c r="H330" s="2341"/>
    </row>
    <row r="331" spans="1:8">
      <c r="A331" s="2342" t="s">
        <v>1588</v>
      </c>
      <c r="B331" s="2341"/>
      <c r="C331" s="2341"/>
      <c r="D331" s="2341"/>
      <c r="E331" s="2341"/>
      <c r="F331" s="2341"/>
      <c r="G331" s="2341"/>
      <c r="H331" s="2341"/>
    </row>
    <row r="332" spans="1:8">
      <c r="A332" s="2341"/>
      <c r="B332" s="2341"/>
      <c r="C332" s="2341"/>
      <c r="D332" s="2341"/>
      <c r="E332" s="2341"/>
      <c r="F332" s="2341"/>
      <c r="G332" s="2341"/>
      <c r="H332" s="2341"/>
    </row>
    <row r="333" spans="1:8">
      <c r="A333" s="2342" t="s">
        <v>1568</v>
      </c>
      <c r="B333" s="2341"/>
      <c r="C333" s="2341"/>
      <c r="D333" s="2341"/>
      <c r="E333" s="2341"/>
      <c r="F333" s="2341"/>
      <c r="G333" s="2341"/>
      <c r="H333" s="2341"/>
    </row>
    <row r="334" spans="1:8">
      <c r="A334" s="2342" t="s">
        <v>1569</v>
      </c>
      <c r="B334" s="2341"/>
      <c r="C334" s="2341"/>
      <c r="D334" s="2341"/>
      <c r="E334" s="2341"/>
      <c r="F334" s="2341"/>
      <c r="G334" s="2341"/>
      <c r="H334" s="2341"/>
    </row>
    <row r="335" spans="1:8">
      <c r="A335" s="2342" t="s">
        <v>1570</v>
      </c>
      <c r="B335" s="2341"/>
      <c r="C335" s="2341"/>
      <c r="D335" s="2341"/>
      <c r="E335" s="2341"/>
      <c r="F335" s="2341"/>
      <c r="G335" s="2341"/>
      <c r="H335" s="2341"/>
    </row>
    <row r="336" spans="1:8">
      <c r="A336" s="2342" t="s">
        <v>1571</v>
      </c>
      <c r="B336" s="2341"/>
      <c r="C336" s="2341"/>
      <c r="D336" s="2341"/>
      <c r="E336" s="2341"/>
      <c r="F336" s="2341"/>
      <c r="G336" s="2341"/>
      <c r="H336" s="2341"/>
    </row>
    <row r="337" spans="1:8">
      <c r="A337" s="2342" t="s">
        <v>1572</v>
      </c>
      <c r="B337" s="2341"/>
      <c r="C337" s="2341"/>
      <c r="D337" s="2341"/>
      <c r="E337" s="2341"/>
      <c r="F337" s="2341"/>
      <c r="G337" s="2341"/>
      <c r="H337" s="2341"/>
    </row>
    <row r="338" spans="1:8">
      <c r="A338" s="2342" t="s">
        <v>1573</v>
      </c>
      <c r="B338" s="2341"/>
      <c r="C338" s="2341"/>
      <c r="D338" s="2341"/>
      <c r="E338" s="2341"/>
      <c r="F338" s="2341"/>
      <c r="G338" s="2341"/>
      <c r="H338" s="2341"/>
    </row>
    <row r="339" spans="1:8">
      <c r="A339" s="2342" t="s">
        <v>1574</v>
      </c>
      <c r="B339" s="2341"/>
      <c r="C339" s="2341"/>
      <c r="D339" s="2341"/>
      <c r="E339" s="2341"/>
      <c r="F339" s="2341"/>
      <c r="G339" s="2341"/>
      <c r="H339" s="2341"/>
    </row>
    <row r="340" spans="1:8">
      <c r="A340" s="2342" t="s">
        <v>1575</v>
      </c>
      <c r="B340" s="2341"/>
      <c r="C340" s="2341"/>
      <c r="D340" s="2341"/>
      <c r="E340" s="2341"/>
      <c r="F340" s="2341"/>
      <c r="G340" s="2341"/>
      <c r="H340" s="2341"/>
    </row>
    <row r="341" spans="1:8">
      <c r="A341" s="2341"/>
      <c r="B341" s="2341"/>
      <c r="C341" s="2341"/>
      <c r="D341" s="2341"/>
      <c r="E341" s="2341"/>
      <c r="F341" s="2341"/>
      <c r="G341" s="2341"/>
      <c r="H341" s="2341"/>
    </row>
    <row r="342" spans="1:8">
      <c r="A342" s="2342" t="s">
        <v>1533</v>
      </c>
      <c r="B342" s="2341"/>
      <c r="C342" s="2341"/>
      <c r="D342" s="2341"/>
      <c r="E342" s="2341"/>
      <c r="F342" s="2341"/>
      <c r="G342" s="2341"/>
      <c r="H342" s="2341"/>
    </row>
    <row r="343" spans="1:8">
      <c r="A343" s="2342" t="s">
        <v>1534</v>
      </c>
      <c r="B343" s="2341"/>
      <c r="C343" s="2341"/>
      <c r="D343" s="2341"/>
      <c r="E343" s="2341"/>
      <c r="F343" s="2341"/>
      <c r="G343" s="2341"/>
      <c r="H343" s="2341"/>
    </row>
    <row r="344" spans="1:8">
      <c r="A344" s="2342" t="s">
        <v>1535</v>
      </c>
      <c r="B344" s="2341"/>
      <c r="C344" s="2341"/>
      <c r="D344" s="2341"/>
      <c r="E344" s="2341"/>
      <c r="F344" s="2341"/>
      <c r="G344" s="2341"/>
      <c r="H344" s="2341"/>
    </row>
    <row r="345" spans="1:8">
      <c r="A345" s="2342" t="s">
        <v>1536</v>
      </c>
      <c r="B345" s="2341"/>
      <c r="C345" s="2341"/>
      <c r="D345" s="2341"/>
      <c r="E345" s="2341"/>
      <c r="F345" s="2341"/>
      <c r="G345" s="2341"/>
      <c r="H345" s="2341"/>
    </row>
    <row r="346" spans="1:8">
      <c r="A346" s="2342" t="s">
        <v>1537</v>
      </c>
      <c r="B346" s="2341"/>
      <c r="C346" s="2341"/>
      <c r="D346" s="2341"/>
      <c r="E346" s="2341"/>
      <c r="F346" s="2341"/>
      <c r="G346" s="2341"/>
      <c r="H346" s="2341"/>
    </row>
    <row r="347" spans="1:8">
      <c r="A347" s="2342" t="s">
        <v>1538</v>
      </c>
      <c r="B347" s="2341"/>
      <c r="C347" s="2341"/>
      <c r="D347" s="2341"/>
      <c r="E347" s="2341"/>
      <c r="F347" s="2341"/>
      <c r="G347" s="2341"/>
      <c r="H347" s="2341"/>
    </row>
    <row r="348" spans="1:8">
      <c r="A348" s="2342" t="s">
        <v>1539</v>
      </c>
      <c r="B348" s="2341"/>
      <c r="C348" s="2341"/>
      <c r="D348" s="2341"/>
      <c r="E348" s="2341"/>
      <c r="F348" s="2341"/>
      <c r="G348" s="2341"/>
      <c r="H348" s="2341"/>
    </row>
    <row r="349" spans="1:8">
      <c r="A349" s="2342" t="s">
        <v>1540</v>
      </c>
      <c r="B349" s="2341"/>
      <c r="C349" s="2341"/>
      <c r="D349" s="2341"/>
      <c r="E349" s="2341"/>
      <c r="F349" s="2341"/>
      <c r="G349" s="2341"/>
      <c r="H349" s="2341"/>
    </row>
    <row r="350" spans="1:8">
      <c r="A350" s="2342" t="s">
        <v>1541</v>
      </c>
      <c r="B350" s="2341"/>
      <c r="C350" s="2341"/>
      <c r="D350" s="2341"/>
      <c r="E350" s="2341"/>
      <c r="F350" s="2341"/>
      <c r="G350" s="2341"/>
      <c r="H350" s="2341"/>
    </row>
    <row r="351" spans="1:8">
      <c r="A351" s="2342" t="s">
        <v>1542</v>
      </c>
      <c r="B351" s="2341"/>
      <c r="C351" s="2341"/>
      <c r="D351" s="2341"/>
      <c r="E351" s="2341"/>
      <c r="F351" s="2341"/>
      <c r="G351" s="2341"/>
      <c r="H351" s="2341"/>
    </row>
    <row r="352" spans="1:8">
      <c r="A352" s="2342" t="s">
        <v>1543</v>
      </c>
      <c r="B352" s="2341"/>
      <c r="C352" s="2341"/>
      <c r="D352" s="2341"/>
      <c r="E352" s="2341"/>
      <c r="F352" s="2341"/>
      <c r="G352" s="2341"/>
      <c r="H352" s="2341"/>
    </row>
    <row r="353" spans="1:8">
      <c r="A353" s="2342" t="s">
        <v>1544</v>
      </c>
      <c r="B353" s="2341"/>
      <c r="C353" s="2341"/>
      <c r="D353" s="2341"/>
      <c r="E353" s="2341"/>
      <c r="F353" s="2341"/>
      <c r="G353" s="2341"/>
      <c r="H353" s="2341"/>
    </row>
    <row r="354" spans="1:8">
      <c r="A354" s="2342" t="s">
        <v>1545</v>
      </c>
      <c r="B354" s="2341"/>
      <c r="C354" s="2341"/>
      <c r="D354" s="2341"/>
      <c r="E354" s="2341"/>
      <c r="F354" s="2341"/>
      <c r="G354" s="2341"/>
      <c r="H354" s="2341"/>
    </row>
    <row r="355" spans="1:8">
      <c r="A355" s="2342" t="s">
        <v>1546</v>
      </c>
      <c r="B355" s="2341"/>
      <c r="C355" s="2341"/>
      <c r="D355" s="2341"/>
      <c r="E355" s="2341"/>
      <c r="F355" s="2341"/>
      <c r="G355" s="2341"/>
      <c r="H355" s="2341"/>
    </row>
    <row r="356" spans="1:8">
      <c r="A356" s="2342" t="s">
        <v>1547</v>
      </c>
      <c r="B356" s="2341"/>
      <c r="C356" s="2341"/>
      <c r="D356" s="2341"/>
      <c r="E356" s="2341"/>
      <c r="F356" s="2341"/>
      <c r="G356" s="2341"/>
      <c r="H356" s="2341"/>
    </row>
    <row r="357" spans="1:8">
      <c r="A357" s="2342" t="s">
        <v>1548</v>
      </c>
      <c r="B357" s="2341"/>
      <c r="C357" s="2341"/>
      <c r="D357" s="2341"/>
      <c r="E357" s="2341"/>
      <c r="F357" s="2341"/>
      <c r="G357" s="2341"/>
      <c r="H357" s="2341"/>
    </row>
    <row r="358" spans="1:8">
      <c r="A358" s="2342" t="s">
        <v>1549</v>
      </c>
      <c r="B358" s="2341"/>
      <c r="C358" s="2341"/>
      <c r="D358" s="2341"/>
      <c r="E358" s="2341"/>
      <c r="F358" s="2341"/>
      <c r="G358" s="2341"/>
      <c r="H358" s="2341"/>
    </row>
    <row r="359" spans="1:8">
      <c r="A359" s="2342" t="s">
        <v>1550</v>
      </c>
      <c r="B359" s="2341"/>
      <c r="C359" s="2341"/>
      <c r="D359" s="2341"/>
      <c r="E359" s="2341"/>
      <c r="F359" s="2341"/>
      <c r="G359" s="2341"/>
      <c r="H359" s="2341"/>
    </row>
    <row r="360" spans="1:8">
      <c r="A360" s="2342" t="s">
        <v>1551</v>
      </c>
      <c r="B360" s="2341"/>
      <c r="C360" s="2341"/>
      <c r="D360" s="2341"/>
      <c r="E360" s="2341"/>
      <c r="F360" s="2341"/>
      <c r="G360" s="2341"/>
      <c r="H360" s="2341"/>
    </row>
    <row r="361" spans="1:8">
      <c r="A361" s="2342" t="s">
        <v>1552</v>
      </c>
      <c r="B361" s="2341"/>
      <c r="C361" s="2341"/>
      <c r="D361" s="2341"/>
      <c r="E361" s="2341"/>
      <c r="F361" s="2341"/>
      <c r="G361" s="2341"/>
      <c r="H361" s="2341"/>
    </row>
    <row r="362" spans="1:8">
      <c r="A362" s="2342" t="s">
        <v>1553</v>
      </c>
      <c r="B362" s="2341"/>
      <c r="C362" s="2341"/>
      <c r="D362" s="2341"/>
      <c r="E362" s="2341"/>
      <c r="F362" s="2341"/>
      <c r="G362" s="2341"/>
      <c r="H362" s="2341"/>
    </row>
    <row r="363" spans="1:8">
      <c r="A363" s="2342" t="s">
        <v>1554</v>
      </c>
      <c r="B363" s="2341"/>
      <c r="C363" s="2341"/>
      <c r="D363" s="2341"/>
      <c r="E363" s="2341"/>
      <c r="F363" s="2341"/>
      <c r="G363" s="2341"/>
      <c r="H363" s="2341"/>
    </row>
    <row r="364" spans="1:8">
      <c r="A364" s="2342" t="s">
        <v>1555</v>
      </c>
      <c r="B364" s="2341"/>
      <c r="C364" s="2341"/>
      <c r="D364" s="2341"/>
      <c r="E364" s="2341"/>
      <c r="F364" s="2341"/>
      <c r="G364" s="2341"/>
      <c r="H364" s="2341"/>
    </row>
    <row r="365" spans="1:8">
      <c r="A365" s="2342" t="s">
        <v>1556</v>
      </c>
      <c r="B365" s="2341"/>
      <c r="C365" s="2341"/>
      <c r="D365" s="2341"/>
      <c r="E365" s="2341"/>
      <c r="F365" s="2341"/>
      <c r="G365" s="2341"/>
      <c r="H365" s="2341"/>
    </row>
    <row r="366" spans="1:8">
      <c r="A366" s="2342" t="s">
        <v>1557</v>
      </c>
      <c r="B366" s="2341"/>
      <c r="C366" s="2341"/>
      <c r="D366" s="2341"/>
      <c r="E366" s="2341"/>
      <c r="F366" s="2341"/>
      <c r="G366" s="2341"/>
      <c r="H366" s="2341"/>
    </row>
    <row r="367" spans="1:8">
      <c r="A367" s="2342" t="s">
        <v>1558</v>
      </c>
      <c r="B367" s="2341"/>
      <c r="C367" s="2341"/>
      <c r="D367" s="2341"/>
      <c r="E367" s="2341"/>
      <c r="F367" s="2341"/>
      <c r="G367" s="2341"/>
      <c r="H367" s="2341"/>
    </row>
    <row r="368" spans="1:8">
      <c r="A368" s="2342" t="s">
        <v>1559</v>
      </c>
      <c r="B368" s="2341"/>
      <c r="C368" s="2341"/>
      <c r="D368" s="2341"/>
      <c r="E368" s="2341"/>
      <c r="F368" s="2341"/>
      <c r="G368" s="2341"/>
      <c r="H368" s="2341"/>
    </row>
    <row r="369" spans="1:8">
      <c r="A369" s="2342" t="s">
        <v>1560</v>
      </c>
      <c r="B369" s="2341"/>
      <c r="C369" s="2341"/>
      <c r="D369" s="2341"/>
      <c r="E369" s="2341"/>
      <c r="F369" s="2341"/>
      <c r="G369" s="2341"/>
      <c r="H369" s="2341"/>
    </row>
    <row r="370" spans="1:8">
      <c r="A370" s="2342" t="s">
        <v>1561</v>
      </c>
      <c r="B370" s="2341"/>
      <c r="C370" s="2341"/>
      <c r="D370" s="2341"/>
      <c r="E370" s="2341"/>
      <c r="F370" s="2341"/>
      <c r="G370" s="2341"/>
      <c r="H370" s="2341"/>
    </row>
    <row r="371" spans="1:8">
      <c r="A371" s="2342" t="s">
        <v>1562</v>
      </c>
      <c r="B371" s="2341"/>
      <c r="C371" s="2341"/>
      <c r="D371" s="2341"/>
      <c r="E371" s="2341"/>
      <c r="F371" s="2341"/>
      <c r="G371" s="2341"/>
      <c r="H371" s="2341"/>
    </row>
    <row r="372" spans="1:8">
      <c r="A372" s="2342" t="s">
        <v>1563</v>
      </c>
      <c r="B372" s="2341"/>
      <c r="C372" s="2341"/>
      <c r="D372" s="2341"/>
      <c r="E372" s="2341"/>
      <c r="F372" s="2341"/>
      <c r="G372" s="2341"/>
      <c r="H372" s="2341"/>
    </row>
    <row r="373" spans="1:8">
      <c r="A373" s="2342" t="s">
        <v>1564</v>
      </c>
      <c r="B373" s="2341"/>
      <c r="C373" s="2341"/>
      <c r="D373" s="2341"/>
      <c r="E373" s="2341"/>
      <c r="F373" s="2341"/>
      <c r="G373" s="2341"/>
      <c r="H373" s="2341"/>
    </row>
    <row r="374" spans="1:8">
      <c r="A374" s="2342" t="s">
        <v>1565</v>
      </c>
      <c r="B374" s="2341"/>
      <c r="C374" s="2341"/>
      <c r="D374" s="2341"/>
      <c r="E374" s="2341"/>
      <c r="F374" s="2341"/>
      <c r="G374" s="2341"/>
      <c r="H374" s="2341"/>
    </row>
    <row r="375" spans="1:8">
      <c r="A375" s="2342" t="s">
        <v>1566</v>
      </c>
      <c r="B375" s="2341"/>
      <c r="C375" s="2341"/>
      <c r="D375" s="2341"/>
      <c r="E375" s="2341"/>
      <c r="F375" s="2341"/>
      <c r="G375" s="2341"/>
      <c r="H375" s="2341"/>
    </row>
    <row r="376" spans="1:8">
      <c r="A376" s="2342" t="s">
        <v>1567</v>
      </c>
      <c r="B376" s="2341"/>
      <c r="C376" s="2341"/>
      <c r="D376" s="2341"/>
      <c r="E376" s="2341"/>
      <c r="F376" s="2341"/>
      <c r="G376" s="2341"/>
      <c r="H376" s="2341"/>
    </row>
    <row r="377" spans="1:8">
      <c r="A377" s="2341"/>
      <c r="B377" s="2341"/>
      <c r="C377" s="2341"/>
      <c r="D377" s="2341"/>
      <c r="E377" s="2341"/>
      <c r="F377" s="2341"/>
      <c r="G377" s="2341"/>
      <c r="H377" s="2341"/>
    </row>
    <row r="378" spans="1:8">
      <c r="A378" s="2342" t="s">
        <v>1525</v>
      </c>
      <c r="B378" s="2341"/>
      <c r="C378" s="2341"/>
      <c r="D378" s="2341"/>
      <c r="E378" s="2341"/>
      <c r="F378" s="2341"/>
      <c r="G378" s="2341"/>
      <c r="H378" s="2341"/>
    </row>
    <row r="379" spans="1:8">
      <c r="A379" s="2342" t="s">
        <v>1529</v>
      </c>
      <c r="B379" s="2341"/>
      <c r="C379" s="2341"/>
      <c r="D379" s="2341"/>
      <c r="E379" s="2341"/>
      <c r="F379" s="2341"/>
      <c r="G379" s="2341"/>
      <c r="H379" s="2341"/>
    </row>
    <row r="380" spans="1:8">
      <c r="A380" s="2342" t="s">
        <v>1530</v>
      </c>
      <c r="B380" s="2341"/>
      <c r="C380" s="2341"/>
      <c r="D380" s="2341"/>
      <c r="E380" s="2341"/>
      <c r="F380" s="2341"/>
      <c r="G380" s="2341"/>
      <c r="H380" s="2341"/>
    </row>
    <row r="381" spans="1:8">
      <c r="A381" s="2342" t="s">
        <v>1531</v>
      </c>
      <c r="B381" s="2341"/>
      <c r="C381" s="2341"/>
      <c r="D381" s="2341"/>
      <c r="E381" s="2341"/>
      <c r="F381" s="2341"/>
      <c r="G381" s="2341"/>
      <c r="H381" s="2341"/>
    </row>
    <row r="382" spans="1:8">
      <c r="A382" s="2342" t="s">
        <v>1532</v>
      </c>
      <c r="B382" s="2341"/>
      <c r="C382" s="2341"/>
      <c r="D382" s="2341"/>
      <c r="E382" s="2341"/>
      <c r="F382" s="2341"/>
      <c r="G382" s="2341"/>
      <c r="H382" s="2341"/>
    </row>
    <row r="383" spans="1:8">
      <c r="A383" s="2341"/>
      <c r="B383" s="2341"/>
      <c r="C383" s="2341"/>
      <c r="D383" s="2341"/>
      <c r="E383" s="2341"/>
      <c r="F383" s="2341"/>
      <c r="G383" s="2341"/>
      <c r="H383" s="2341"/>
    </row>
    <row r="384" spans="1:8">
      <c r="A384" s="2342" t="s">
        <v>1525</v>
      </c>
      <c r="B384" s="2341"/>
      <c r="C384" s="2341"/>
      <c r="D384" s="2341"/>
      <c r="E384" s="2341"/>
      <c r="F384" s="2341"/>
      <c r="G384" s="2341"/>
      <c r="H384" s="2341"/>
    </row>
    <row r="385" spans="1:8">
      <c r="A385" s="2342" t="s">
        <v>1526</v>
      </c>
      <c r="B385" s="2341"/>
      <c r="C385" s="2341"/>
      <c r="D385" s="2341"/>
      <c r="E385" s="2341"/>
      <c r="F385" s="2341"/>
      <c r="G385" s="2341"/>
      <c r="H385" s="2341"/>
    </row>
    <row r="386" spans="1:8">
      <c r="A386" s="2342" t="s">
        <v>1527</v>
      </c>
      <c r="B386" s="2341"/>
      <c r="C386" s="2341"/>
      <c r="D386" s="2341"/>
      <c r="E386" s="2341"/>
      <c r="F386" s="2341"/>
      <c r="G386" s="2341"/>
      <c r="H386" s="2341"/>
    </row>
    <row r="387" spans="1:8">
      <c r="A387" s="2342" t="s">
        <v>1528</v>
      </c>
      <c r="B387" s="2341"/>
      <c r="C387" s="2341"/>
      <c r="D387" s="2341"/>
      <c r="E387" s="2341"/>
      <c r="F387" s="2341"/>
      <c r="G387" s="2341"/>
      <c r="H387" s="2341"/>
    </row>
    <row r="388" spans="1:8">
      <c r="A388" s="2341"/>
      <c r="B388" s="2341"/>
      <c r="C388" s="2341"/>
      <c r="D388" s="2341"/>
      <c r="E388" s="2341"/>
      <c r="F388" s="2341"/>
      <c r="G388" s="2341"/>
      <c r="H388" s="2341"/>
    </row>
    <row r="389" spans="1:8">
      <c r="A389" s="2342" t="s">
        <v>1519</v>
      </c>
      <c r="B389" s="2341"/>
      <c r="C389" s="2341"/>
      <c r="D389" s="2341"/>
      <c r="E389" s="2341"/>
      <c r="F389" s="2341"/>
      <c r="G389" s="2341"/>
      <c r="H389" s="2341"/>
    </row>
    <row r="390" spans="1:8">
      <c r="A390" s="2342" t="s">
        <v>1520</v>
      </c>
      <c r="B390" s="2341"/>
      <c r="C390" s="2341"/>
      <c r="D390" s="2341"/>
      <c r="E390" s="2341"/>
      <c r="F390" s="2341"/>
      <c r="G390" s="2341"/>
      <c r="H390" s="2341"/>
    </row>
    <row r="391" spans="1:8">
      <c r="A391" s="2342" t="s">
        <v>1521</v>
      </c>
      <c r="B391" s="2341"/>
      <c r="C391" s="2341"/>
      <c r="D391" s="2341"/>
      <c r="E391" s="2341"/>
      <c r="F391" s="2341"/>
      <c r="G391" s="2341"/>
      <c r="H391" s="2341"/>
    </row>
    <row r="392" spans="1:8">
      <c r="A392" s="2342" t="s">
        <v>1522</v>
      </c>
      <c r="B392" s="2341"/>
      <c r="C392" s="2341"/>
      <c r="D392" s="2341"/>
      <c r="E392" s="2341"/>
      <c r="F392" s="2341"/>
      <c r="G392" s="2341"/>
      <c r="H392" s="2341"/>
    </row>
    <row r="393" spans="1:8">
      <c r="A393" s="2342" t="s">
        <v>1523</v>
      </c>
      <c r="B393" s="2341"/>
      <c r="C393" s="2341"/>
      <c r="D393" s="2341"/>
      <c r="E393" s="2341"/>
      <c r="F393" s="2341"/>
      <c r="G393" s="2341"/>
      <c r="H393" s="2341"/>
    </row>
    <row r="394" spans="1:8">
      <c r="A394" s="2342" t="s">
        <v>1524</v>
      </c>
      <c r="B394" s="2341"/>
      <c r="C394" s="2341"/>
      <c r="D394" s="2341"/>
      <c r="E394" s="2341"/>
      <c r="F394" s="2341"/>
      <c r="G394" s="2341"/>
      <c r="H394" s="2341"/>
    </row>
    <row r="395" spans="1:8">
      <c r="A395" s="2341"/>
      <c r="B395" s="2341"/>
      <c r="C395" s="2341"/>
      <c r="D395" s="2341"/>
      <c r="E395" s="2341"/>
      <c r="F395" s="2341"/>
      <c r="G395" s="2341"/>
      <c r="H395" s="2341"/>
    </row>
    <row r="396" spans="1:8">
      <c r="A396" s="2342" t="s">
        <v>1514</v>
      </c>
      <c r="B396" s="2341"/>
      <c r="C396" s="2341"/>
      <c r="D396" s="2341"/>
      <c r="E396" s="2341"/>
      <c r="F396" s="2341"/>
      <c r="G396" s="2341"/>
      <c r="H396" s="2341"/>
    </row>
    <row r="397" spans="1:8">
      <c r="A397" s="2342" t="s">
        <v>1515</v>
      </c>
      <c r="B397" s="2341"/>
      <c r="C397" s="2341"/>
      <c r="D397" s="2341"/>
      <c r="E397" s="2341"/>
      <c r="F397" s="2341"/>
      <c r="G397" s="2341"/>
      <c r="H397" s="2341"/>
    </row>
    <row r="398" spans="1:8">
      <c r="A398" s="2342" t="s">
        <v>1516</v>
      </c>
      <c r="B398" s="2341"/>
      <c r="C398" s="2341"/>
      <c r="D398" s="2341"/>
      <c r="E398" s="2341"/>
      <c r="F398" s="2341"/>
      <c r="G398" s="2341"/>
      <c r="H398" s="2341"/>
    </row>
    <row r="399" spans="1:8">
      <c r="A399" s="2342" t="s">
        <v>1517</v>
      </c>
      <c r="B399" s="2341"/>
      <c r="C399" s="2341"/>
      <c r="D399" s="2341"/>
      <c r="E399" s="2341"/>
      <c r="F399" s="2341"/>
      <c r="G399" s="2341"/>
      <c r="H399" s="2341"/>
    </row>
    <row r="400" spans="1:8">
      <c r="A400" s="2342" t="s">
        <v>1518</v>
      </c>
      <c r="B400" s="2341"/>
      <c r="C400" s="2341"/>
      <c r="D400" s="2341"/>
      <c r="E400" s="2341"/>
      <c r="F400" s="2341"/>
      <c r="G400" s="2341"/>
      <c r="H400" s="2341"/>
    </row>
    <row r="401" spans="1:8">
      <c r="A401" s="2341"/>
      <c r="B401" s="2341"/>
      <c r="C401" s="2341"/>
      <c r="D401" s="2341"/>
      <c r="E401" s="2341"/>
      <c r="F401" s="2341"/>
      <c r="G401" s="2341"/>
      <c r="H401" s="2341"/>
    </row>
    <row r="402" spans="1:8">
      <c r="A402" s="2342" t="s">
        <v>1512</v>
      </c>
      <c r="B402" s="2341"/>
      <c r="C402" s="2341"/>
      <c r="D402" s="2341"/>
      <c r="E402" s="2341"/>
      <c r="F402" s="2341"/>
      <c r="G402" s="2341"/>
      <c r="H402" s="2341"/>
    </row>
    <row r="403" spans="1:8">
      <c r="A403" s="2342" t="s">
        <v>1513</v>
      </c>
      <c r="B403" s="2341"/>
      <c r="C403" s="2341"/>
      <c r="D403" s="2341"/>
      <c r="E403" s="2341"/>
      <c r="F403" s="2341"/>
      <c r="G403" s="2341"/>
      <c r="H403" s="2341"/>
    </row>
    <row r="405" spans="1:8">
      <c r="A405" s="2337" t="s">
        <v>1772</v>
      </c>
    </row>
  </sheetData>
  <mergeCells count="13">
    <mergeCell ref="A128:H128"/>
    <mergeCell ref="A135:H135"/>
    <mergeCell ref="A28:G35"/>
    <mergeCell ref="A122:H122"/>
    <mergeCell ref="A123:H123"/>
    <mergeCell ref="A124:H124"/>
    <mergeCell ref="A125:H125"/>
    <mergeCell ref="A127:H127"/>
    <mergeCell ref="A143:H143"/>
    <mergeCell ref="A144:H144"/>
    <mergeCell ref="B136:C136"/>
    <mergeCell ref="D136:F136"/>
    <mergeCell ref="G136:H136"/>
  </mergeCells>
  <pageMargins left="0.5" right="0.5" top="0.5" bottom="0.5" header="0.5" footer="0.5"/>
  <pageSetup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17"/>
  <sheetViews>
    <sheetView showGridLines="0" zoomScale="85" zoomScaleNormal="85" workbookViewId="0">
      <selection activeCell="M36" sqref="M36"/>
    </sheetView>
  </sheetViews>
  <sheetFormatPr defaultColWidth="10.28515625" defaultRowHeight="12.75"/>
  <cols>
    <col min="1" max="1" width="6" customWidth="1"/>
    <col min="2" max="2" width="20.7109375" customWidth="1"/>
    <col min="3" max="3" width="4" customWidth="1"/>
    <col min="4" max="4" width="20.7109375" customWidth="1"/>
    <col min="5" max="5" width="4.28515625" customWidth="1"/>
    <col min="6" max="6" width="20.42578125" customWidth="1"/>
    <col min="7" max="7" width="4.42578125" customWidth="1"/>
    <col min="8" max="8" width="20.7109375" customWidth="1"/>
    <col min="9" max="9" width="5.140625" customWidth="1"/>
    <col min="10" max="10" width="20.7109375" customWidth="1"/>
    <col min="11" max="11" width="4.42578125" customWidth="1"/>
    <col min="12" max="12" width="20.7109375" customWidth="1"/>
  </cols>
  <sheetData>
    <row r="1" spans="1:12" ht="15.75">
      <c r="A1" s="1"/>
      <c r="B1" s="2"/>
      <c r="C1" s="1"/>
      <c r="D1" s="1"/>
      <c r="E1" s="1"/>
      <c r="F1" s="1"/>
      <c r="G1" s="1"/>
      <c r="H1" s="1"/>
      <c r="I1" s="1"/>
      <c r="J1" s="1"/>
      <c r="K1" s="1"/>
      <c r="L1" s="1"/>
    </row>
    <row r="2" spans="1:12" ht="15.75">
      <c r="A2" s="1"/>
      <c r="B2" s="2"/>
      <c r="C2" s="1"/>
      <c r="D2" s="1"/>
      <c r="E2" s="1"/>
      <c r="F2" s="1"/>
      <c r="G2" s="1"/>
      <c r="H2" s="1"/>
      <c r="I2" s="1"/>
      <c r="J2" s="1"/>
      <c r="K2" s="1"/>
      <c r="L2" s="1"/>
    </row>
    <row r="3" spans="1:12" ht="15.75">
      <c r="A3" s="1"/>
      <c r="B3" s="2"/>
      <c r="C3" s="1"/>
      <c r="D3" s="1"/>
      <c r="E3" s="1"/>
      <c r="F3" s="1"/>
      <c r="G3" s="1"/>
      <c r="H3" s="1"/>
      <c r="I3" s="1"/>
      <c r="J3" s="1"/>
      <c r="K3" s="1"/>
      <c r="L3" s="1"/>
    </row>
    <row r="4" spans="1:12" ht="15.75">
      <c r="A4" s="1"/>
      <c r="B4" s="2"/>
      <c r="C4" s="1"/>
      <c r="D4" s="1"/>
      <c r="E4" s="1"/>
      <c r="F4" s="1"/>
      <c r="G4" s="1"/>
      <c r="H4" s="1"/>
      <c r="I4" s="1"/>
      <c r="J4" s="1"/>
      <c r="K4" s="1"/>
      <c r="L4" s="1"/>
    </row>
    <row r="5" spans="1:12" ht="15.75">
      <c r="A5" s="1"/>
      <c r="B5" s="2"/>
      <c r="C5" s="1"/>
      <c r="D5" s="1"/>
      <c r="E5" s="1"/>
      <c r="F5" s="1"/>
      <c r="G5" s="1"/>
      <c r="H5" s="1"/>
      <c r="I5" s="1"/>
      <c r="J5" s="1"/>
      <c r="K5" s="1"/>
      <c r="L5" s="1"/>
    </row>
    <row r="6" spans="1:12" ht="15.75">
      <c r="A6" s="1"/>
      <c r="B6" s="2"/>
      <c r="C6" s="1"/>
      <c r="D6" s="1"/>
      <c r="E6" s="1"/>
      <c r="F6" s="1"/>
      <c r="G6" s="1"/>
      <c r="H6" s="1"/>
      <c r="I6" s="1"/>
      <c r="J6" s="1"/>
      <c r="K6" s="1"/>
      <c r="L6" s="1"/>
    </row>
    <row r="7" spans="1:12" ht="15.75">
      <c r="A7" s="1"/>
      <c r="B7" s="3"/>
      <c r="C7" s="4"/>
      <c r="D7" s="4"/>
      <c r="E7" s="4"/>
      <c r="F7" s="4"/>
      <c r="G7" s="4"/>
      <c r="H7" s="4"/>
      <c r="I7" s="1"/>
      <c r="J7" s="1"/>
      <c r="K7" s="1"/>
      <c r="L7" s="1"/>
    </row>
    <row r="8" spans="1:12" ht="16.5" thickBot="1">
      <c r="A8" s="5"/>
      <c r="B8" s="6"/>
      <c r="C8" s="6"/>
      <c r="D8" s="6"/>
      <c r="E8" s="6"/>
      <c r="F8" s="6"/>
      <c r="G8" s="6"/>
      <c r="H8" s="6"/>
      <c r="I8" s="6"/>
      <c r="J8" s="6"/>
      <c r="K8" s="6"/>
      <c r="L8" s="7"/>
    </row>
    <row r="9" spans="1:12" ht="30">
      <c r="A9" s="1"/>
      <c r="B9" s="8" t="s">
        <v>0</v>
      </c>
      <c r="C9" s="1"/>
      <c r="D9" s="1"/>
      <c r="E9" s="1"/>
      <c r="F9" s="1"/>
      <c r="G9" s="1"/>
      <c r="H9" s="1"/>
      <c r="I9" s="1"/>
      <c r="J9" s="1"/>
      <c r="K9" s="1"/>
      <c r="L9" s="9" t="s">
        <v>1</v>
      </c>
    </row>
    <row r="10" spans="1:12" ht="23.25" customHeight="1">
      <c r="A10" s="10"/>
      <c r="B10" s="11" t="s">
        <v>2</v>
      </c>
      <c r="C10" s="10"/>
      <c r="D10" s="10"/>
      <c r="E10" s="10"/>
      <c r="F10" s="10"/>
      <c r="G10" s="10"/>
      <c r="H10" s="10"/>
      <c r="I10" s="10"/>
      <c r="J10" s="10"/>
      <c r="K10" s="10"/>
      <c r="L10" s="9" t="s">
        <v>3</v>
      </c>
    </row>
    <row r="11" spans="1:12" ht="21" customHeight="1">
      <c r="A11" s="12"/>
      <c r="B11" s="13" t="s">
        <v>4</v>
      </c>
      <c r="C11" s="12"/>
      <c r="D11" s="12"/>
      <c r="E11" s="12"/>
      <c r="F11" s="12"/>
      <c r="G11" s="12"/>
      <c r="H11" s="12"/>
      <c r="I11" s="12"/>
      <c r="J11" s="12"/>
      <c r="K11" s="12"/>
      <c r="L11" s="14" t="s">
        <v>5</v>
      </c>
    </row>
    <row r="12" spans="1:12" ht="15.75" customHeight="1" thickBot="1">
      <c r="A12" s="15"/>
      <c r="B12" s="16"/>
      <c r="C12" s="17"/>
      <c r="D12" s="17"/>
      <c r="E12" s="17"/>
      <c r="F12" s="17"/>
      <c r="G12" s="17"/>
      <c r="H12" s="17"/>
      <c r="I12" s="17"/>
      <c r="J12" s="17"/>
      <c r="K12" s="17"/>
      <c r="L12" s="18" t="s">
        <v>6</v>
      </c>
    </row>
    <row r="13" spans="1:12" ht="15" customHeight="1"/>
    <row r="14" spans="1:12" ht="15" customHeight="1"/>
    <row r="15" spans="1:12" ht="108.75" customHeight="1"/>
    <row r="16" spans="1:12" ht="15" customHeight="1"/>
    <row r="17" ht="15" customHeight="1"/>
  </sheetData>
  <hyperlinks>
    <hyperlink ref="L12" r:id="rId1"/>
  </hyperlinks>
  <pageMargins left="0.75" right="0.75" top="1" bottom="1" header="0.5" footer="0.5"/>
  <pageSetup scale="8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anchor moveWithCells="1" sizeWithCells="1">
                  <from>
                    <xdr:col>1</xdr:col>
                    <xdr:colOff>9525</xdr:colOff>
                    <xdr:row>14</xdr:row>
                    <xdr:rowOff>904875</xdr:rowOff>
                  </from>
                  <to>
                    <xdr:col>1</xdr:col>
                    <xdr:colOff>1343025</xdr:colOff>
                    <xdr:row>15</xdr:row>
                    <xdr:rowOff>9525</xdr:rowOff>
                  </to>
                </anchor>
              </controlPr>
            </control>
          </mc:Choice>
        </mc:AlternateContent>
        <mc:AlternateContent xmlns:mc="http://schemas.openxmlformats.org/markup-compatibility/2006">
          <mc:Choice Requires="x14">
            <control shapeId="1026" r:id="rId6" name="Button 2">
              <controlPr defaultSize="0" print="0" autoFill="0" autoPict="0">
                <anchor moveWithCells="1" sizeWithCells="1">
                  <from>
                    <xdr:col>3</xdr:col>
                    <xdr:colOff>38100</xdr:colOff>
                    <xdr:row>14</xdr:row>
                    <xdr:rowOff>904875</xdr:rowOff>
                  </from>
                  <to>
                    <xdr:col>4</xdr:col>
                    <xdr:colOff>0</xdr:colOff>
                    <xdr:row>15</xdr:row>
                    <xdr:rowOff>0</xdr:rowOff>
                  </to>
                </anchor>
              </controlPr>
            </control>
          </mc:Choice>
        </mc:AlternateContent>
        <mc:AlternateContent xmlns:mc="http://schemas.openxmlformats.org/markup-compatibility/2006">
          <mc:Choice Requires="x14">
            <control shapeId="1027" r:id="rId7" name="Button 3">
              <controlPr defaultSize="0" print="0" autoFill="0" autoPict="0">
                <anchor moveWithCells="1" sizeWithCells="1">
                  <from>
                    <xdr:col>5</xdr:col>
                    <xdr:colOff>0</xdr:colOff>
                    <xdr:row>14</xdr:row>
                    <xdr:rowOff>904875</xdr:rowOff>
                  </from>
                  <to>
                    <xdr:col>5</xdr:col>
                    <xdr:colOff>1333500</xdr:colOff>
                    <xdr:row>15</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7</xdr:col>
                    <xdr:colOff>0</xdr:colOff>
                    <xdr:row>14</xdr:row>
                    <xdr:rowOff>904875</xdr:rowOff>
                  </from>
                  <to>
                    <xdr:col>7</xdr:col>
                    <xdr:colOff>1343025</xdr:colOff>
                    <xdr:row>15</xdr:row>
                    <xdr:rowOff>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9</xdr:col>
                    <xdr:colOff>0</xdr:colOff>
                    <xdr:row>14</xdr:row>
                    <xdr:rowOff>904875</xdr:rowOff>
                  </from>
                  <to>
                    <xdr:col>9</xdr:col>
                    <xdr:colOff>1343025</xdr:colOff>
                    <xdr:row>15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Y155"/>
  <sheetViews>
    <sheetView showGridLines="0" zoomScale="85" zoomScaleNormal="85" workbookViewId="0">
      <pane xSplit="1" ySplit="5" topLeftCell="B77" activePane="bottomRight" state="frozen"/>
      <selection activeCell="BN5" sqref="BN5"/>
      <selection pane="topRight" activeCell="BN5" sqref="BN5"/>
      <selection pane="bottomLeft" activeCell="BN5" sqref="BN5"/>
      <selection pane="bottomRight" activeCell="B6" sqref="B6"/>
    </sheetView>
  </sheetViews>
  <sheetFormatPr defaultRowHeight="12.75" outlineLevelRow="1" outlineLevelCol="1"/>
  <cols>
    <col min="1" max="1" width="27.42578125" customWidth="1"/>
    <col min="2" max="2" width="10.5703125" customWidth="1"/>
    <col min="3" max="5" width="9.28515625" customWidth="1"/>
    <col min="6" max="9" width="9.28515625" customWidth="1" outlineLevel="1"/>
    <col min="10" max="10" width="9.28515625" customWidth="1"/>
    <col min="11" max="14" width="9.28515625" customWidth="1" outlineLevel="1"/>
    <col min="15" max="15" width="9.28515625" customWidth="1"/>
    <col min="16" max="19" width="9.28515625" customWidth="1" outlineLevel="1"/>
    <col min="20" max="20" width="9.28515625" customWidth="1"/>
    <col min="21" max="24" width="9.28515625" customWidth="1" outlineLevel="1"/>
    <col min="25" max="25" width="9.28515625" customWidth="1"/>
    <col min="26" max="29" width="9.28515625" customWidth="1" outlineLevel="1"/>
    <col min="30" max="30" width="9.28515625" customWidth="1"/>
    <col min="31" max="34" width="9.28515625" customWidth="1" outlineLevel="1"/>
    <col min="35" max="35" width="9.28515625" customWidth="1"/>
    <col min="36" max="39" width="9.28515625" customWidth="1" outlineLevel="1"/>
    <col min="40" max="40" width="9.28515625" customWidth="1"/>
    <col min="41" max="44" width="9.28515625" customWidth="1" outlineLevel="1"/>
    <col min="45" max="45" width="9.28515625" customWidth="1"/>
    <col min="46" max="49" width="9.28515625" customWidth="1" outlineLevel="1"/>
    <col min="50" max="50" width="9.28515625" customWidth="1"/>
    <col min="51" max="54" width="9.28515625" customWidth="1" outlineLevel="1"/>
    <col min="55" max="55" width="10.7109375" bestFit="1" customWidth="1"/>
    <col min="56" max="59" width="9.28515625" customWidth="1" outlineLevel="1"/>
    <col min="60" max="60" width="9.28515625" customWidth="1"/>
    <col min="61" max="64" width="9.28515625" customWidth="1" outlineLevel="1"/>
    <col min="65" max="65" width="9.28515625" customWidth="1"/>
    <col min="66" max="69" width="9.28515625" customWidth="1" outlineLevel="1"/>
    <col min="71" max="74" width="9.28515625" style="2029" customWidth="1" outlineLevel="1"/>
    <col min="77" max="77" width="9.140625" style="2029"/>
  </cols>
  <sheetData>
    <row r="1" spans="1:77" ht="13.5" outlineLevel="1" thickBot="1">
      <c r="A1" s="121"/>
      <c r="B1" s="121"/>
      <c r="C1" s="138"/>
      <c r="D1" s="138"/>
      <c r="E1" s="138"/>
      <c r="F1" s="138"/>
      <c r="G1" s="139"/>
      <c r="H1" s="138"/>
      <c r="I1" s="138"/>
      <c r="J1" s="138"/>
      <c r="K1" s="138"/>
      <c r="L1" s="139"/>
      <c r="M1" s="138"/>
      <c r="N1" s="138"/>
      <c r="O1" s="138"/>
      <c r="P1" s="138"/>
      <c r="Q1" s="139"/>
      <c r="R1" s="138"/>
      <c r="S1" s="138"/>
      <c r="T1" s="138"/>
      <c r="U1" s="138"/>
      <c r="V1" s="138"/>
      <c r="W1" s="138"/>
      <c r="X1" s="138"/>
      <c r="Y1" s="138"/>
      <c r="Z1" s="138"/>
      <c r="AA1" s="138"/>
      <c r="AB1" s="138"/>
      <c r="AC1" s="138"/>
      <c r="AD1" s="138"/>
      <c r="AE1" s="138"/>
      <c r="AF1" s="138"/>
      <c r="AG1" s="138"/>
      <c r="AH1" s="138"/>
      <c r="AI1" s="138"/>
      <c r="AJ1" s="138"/>
      <c r="AK1" s="138"/>
      <c r="AL1" s="138"/>
      <c r="AM1" s="138"/>
      <c r="AN1" s="138"/>
      <c r="AO1" s="139"/>
      <c r="AP1" s="139"/>
      <c r="AQ1" s="139"/>
      <c r="AR1" s="139"/>
      <c r="AS1" s="138"/>
      <c r="AT1" s="138"/>
      <c r="AU1" s="138"/>
      <c r="AV1" s="138"/>
      <c r="AW1" s="138"/>
      <c r="AX1" s="138"/>
      <c r="AY1" s="116"/>
      <c r="AZ1" s="116"/>
      <c r="BA1" s="116"/>
      <c r="BB1" s="116"/>
      <c r="BC1" s="116"/>
      <c r="BD1" s="116"/>
      <c r="BE1" s="116"/>
      <c r="BF1" s="116"/>
      <c r="BG1" s="116"/>
      <c r="BH1" s="116"/>
      <c r="BI1" s="116"/>
      <c r="BJ1" s="116"/>
      <c r="BK1" s="116"/>
      <c r="BL1" s="116"/>
      <c r="BM1" s="116"/>
      <c r="BN1" s="116"/>
      <c r="BO1" s="116"/>
      <c r="BP1" s="116"/>
      <c r="BQ1" s="116"/>
      <c r="BR1" s="116"/>
      <c r="BS1" s="116"/>
      <c r="BT1" s="116"/>
      <c r="BU1" s="116"/>
      <c r="BV1" s="116"/>
      <c r="BW1" s="116"/>
      <c r="BX1" s="116"/>
      <c r="BY1" s="116"/>
    </row>
    <row r="2" spans="1:77" ht="23.25" outlineLevel="1">
      <c r="A2" s="137" t="s">
        <v>0</v>
      </c>
      <c r="B2" s="137"/>
      <c r="C2" s="135"/>
      <c r="D2" s="135"/>
      <c r="E2" s="135"/>
      <c r="F2" s="136"/>
      <c r="G2" s="135"/>
      <c r="H2" s="135"/>
      <c r="I2" s="135"/>
      <c r="J2" s="135"/>
      <c r="K2" s="136"/>
      <c r="L2" s="135"/>
      <c r="M2" s="135"/>
      <c r="N2" s="135"/>
      <c r="O2" s="135"/>
      <c r="P2" s="136"/>
      <c r="Q2" s="135"/>
      <c r="R2" s="135"/>
      <c r="S2" s="135"/>
      <c r="T2" s="135"/>
      <c r="U2" s="135"/>
      <c r="V2" s="135"/>
      <c r="W2" s="135"/>
      <c r="X2" s="135"/>
      <c r="Y2" s="135"/>
      <c r="Z2" s="136"/>
      <c r="AA2" s="136"/>
      <c r="AB2" s="136"/>
      <c r="AC2" s="136"/>
      <c r="AD2" s="135"/>
      <c r="AE2" s="136"/>
      <c r="AF2" s="136"/>
      <c r="AG2" s="136"/>
      <c r="AH2" s="136"/>
      <c r="AI2" s="135"/>
      <c r="AJ2" s="136"/>
      <c r="AK2" s="136"/>
      <c r="AL2" s="136"/>
      <c r="AM2" s="136"/>
      <c r="AN2" s="135"/>
      <c r="AO2" s="136"/>
      <c r="AP2" s="136"/>
      <c r="AQ2" s="136"/>
      <c r="AR2" s="136"/>
      <c r="AS2" s="135"/>
      <c r="AT2" s="136"/>
      <c r="AU2" s="136"/>
      <c r="AV2" s="136"/>
      <c r="AW2" s="136"/>
      <c r="AX2" s="135"/>
      <c r="AY2" s="133"/>
      <c r="AZ2" s="133"/>
      <c r="BA2" s="133"/>
      <c r="BB2" s="133"/>
      <c r="BC2" s="133"/>
      <c r="BD2" s="133"/>
      <c r="BE2" s="133"/>
      <c r="BF2" s="133"/>
      <c r="BG2" s="133"/>
      <c r="BH2" s="133"/>
      <c r="BI2" s="133"/>
      <c r="BJ2" s="133"/>
      <c r="BK2" s="133"/>
      <c r="BL2" s="133"/>
      <c r="BM2" s="132"/>
      <c r="BN2" s="132"/>
      <c r="BO2" s="132"/>
      <c r="BP2" s="132"/>
      <c r="BQ2" s="132"/>
      <c r="BR2" s="132"/>
      <c r="BS2" s="132"/>
      <c r="BT2" s="132"/>
      <c r="BU2" s="132"/>
      <c r="BV2" s="132"/>
      <c r="BW2" s="132"/>
      <c r="BX2" s="132"/>
      <c r="BY2" s="134" t="s">
        <v>123</v>
      </c>
    </row>
    <row r="3" spans="1:77" ht="15.75" outlineLevel="1">
      <c r="A3" s="131" t="s">
        <v>3</v>
      </c>
      <c r="B3" s="131"/>
      <c r="C3" s="130"/>
      <c r="D3" s="130"/>
      <c r="E3" s="128"/>
      <c r="F3" s="129"/>
      <c r="G3" s="128"/>
      <c r="H3" s="128"/>
      <c r="I3" s="128"/>
      <c r="J3" s="128"/>
      <c r="K3" s="129"/>
      <c r="L3" s="128"/>
      <c r="M3" s="128"/>
      <c r="N3" s="128"/>
      <c r="O3" s="128"/>
      <c r="P3" s="129"/>
      <c r="Q3" s="128"/>
      <c r="R3" s="128"/>
      <c r="S3" s="128"/>
      <c r="T3" s="128"/>
      <c r="U3" s="128"/>
      <c r="V3" s="128"/>
      <c r="W3" s="128"/>
      <c r="X3" s="128"/>
      <c r="Y3" s="128"/>
      <c r="Z3" s="129"/>
      <c r="AA3" s="129"/>
      <c r="AB3" s="129"/>
      <c r="AC3" s="129"/>
      <c r="AD3" s="128"/>
      <c r="AE3" s="129"/>
      <c r="AF3" s="129"/>
      <c r="AG3" s="129"/>
      <c r="AH3" s="129"/>
      <c r="AI3" s="128"/>
      <c r="AJ3" s="129"/>
      <c r="AK3" s="129"/>
      <c r="AL3" s="129"/>
      <c r="AM3" s="129"/>
      <c r="AN3" s="128"/>
      <c r="AO3" s="129"/>
      <c r="AP3" s="129"/>
      <c r="AQ3" s="129"/>
      <c r="AR3" s="129"/>
      <c r="AS3" s="128"/>
      <c r="AT3" s="129"/>
      <c r="AU3" s="129"/>
      <c r="AV3" s="129"/>
      <c r="AW3" s="129"/>
      <c r="AX3" s="128"/>
      <c r="AY3" s="126"/>
      <c r="AZ3" s="126"/>
      <c r="BA3" s="126"/>
      <c r="BB3" s="126"/>
      <c r="BC3" s="126"/>
      <c r="BD3" s="126"/>
      <c r="BE3" s="126"/>
      <c r="BF3" s="126"/>
      <c r="BG3" s="126"/>
      <c r="BH3" s="126"/>
      <c r="BI3" s="126"/>
      <c r="BJ3" s="126"/>
      <c r="BK3" s="126"/>
      <c r="BL3" s="126"/>
      <c r="BM3" s="125"/>
      <c r="BN3" s="125"/>
      <c r="BO3" s="125"/>
      <c r="BP3" s="125"/>
      <c r="BQ3" s="125"/>
      <c r="BR3" s="125"/>
      <c r="BS3" s="125"/>
      <c r="BT3" s="125"/>
      <c r="BU3" s="125"/>
      <c r="BV3" s="125"/>
      <c r="BW3" s="125"/>
      <c r="BX3" s="125"/>
      <c r="BY3" s="127" t="s">
        <v>5</v>
      </c>
    </row>
    <row r="4" spans="1:77" outlineLevel="1">
      <c r="A4" s="121"/>
      <c r="B4" s="124"/>
      <c r="C4" s="124"/>
      <c r="D4" s="124"/>
      <c r="E4" s="123"/>
      <c r="F4" s="120"/>
      <c r="G4" s="119"/>
      <c r="H4" s="119"/>
      <c r="I4" s="119"/>
      <c r="J4" s="119"/>
      <c r="K4" s="120"/>
      <c r="L4" s="122"/>
      <c r="M4" s="122"/>
      <c r="N4" s="122"/>
      <c r="O4" s="119"/>
      <c r="P4" s="120"/>
      <c r="Q4" s="122"/>
      <c r="R4" s="122"/>
      <c r="S4" s="122"/>
      <c r="T4" s="119"/>
      <c r="U4" s="122"/>
      <c r="V4" s="122"/>
      <c r="W4" s="122"/>
      <c r="X4" s="122"/>
      <c r="Y4" s="119"/>
      <c r="Z4" s="120"/>
      <c r="AA4" s="120"/>
      <c r="AB4" s="120"/>
      <c r="AC4" s="120"/>
      <c r="AD4" s="119"/>
      <c r="AE4" s="120"/>
      <c r="AF4" s="120"/>
      <c r="AG4" s="120"/>
      <c r="AH4" s="120"/>
      <c r="AI4" s="119"/>
      <c r="AJ4" s="120"/>
      <c r="AK4" s="120"/>
      <c r="AL4" s="120"/>
      <c r="AM4" s="120"/>
      <c r="AN4" s="119"/>
      <c r="AO4" s="121"/>
      <c r="AP4" s="121"/>
      <c r="AQ4" s="121"/>
      <c r="AR4" s="121"/>
      <c r="AS4" s="119"/>
      <c r="AT4" s="120"/>
      <c r="AU4" s="120"/>
      <c r="AV4" s="120"/>
      <c r="AW4" s="120"/>
      <c r="AX4" s="119"/>
      <c r="AY4" s="117"/>
      <c r="AZ4" s="117"/>
      <c r="BA4" s="117"/>
      <c r="BB4" s="117"/>
      <c r="BC4" s="118"/>
      <c r="BD4" s="117"/>
      <c r="BE4" s="117"/>
      <c r="BF4" s="117"/>
      <c r="BG4" s="117"/>
      <c r="BH4" s="118"/>
      <c r="BI4" s="117"/>
      <c r="BJ4" s="117"/>
      <c r="BK4" s="117"/>
      <c r="BL4" s="117"/>
      <c r="BM4" s="116"/>
      <c r="BN4" s="117"/>
      <c r="BO4" s="117"/>
      <c r="BP4" s="117"/>
      <c r="BQ4" s="117"/>
      <c r="BR4" s="116"/>
      <c r="BS4" s="117"/>
      <c r="BT4" s="117"/>
      <c r="BU4" s="117"/>
      <c r="BV4" s="117"/>
      <c r="BW4" s="116"/>
      <c r="BX4" s="116"/>
      <c r="BY4" s="116"/>
    </row>
    <row r="5" spans="1:77">
      <c r="A5" s="115" t="s">
        <v>122</v>
      </c>
      <c r="B5" s="112">
        <v>2000</v>
      </c>
      <c r="C5" s="112">
        <v>2001</v>
      </c>
      <c r="D5" s="112">
        <v>2002</v>
      </c>
      <c r="E5" s="112">
        <v>2003</v>
      </c>
      <c r="F5" s="114" t="s">
        <v>121</v>
      </c>
      <c r="G5" s="114" t="s">
        <v>120</v>
      </c>
      <c r="H5" s="114" t="s">
        <v>119</v>
      </c>
      <c r="I5" s="114" t="s">
        <v>118</v>
      </c>
      <c r="J5" s="112">
        <v>2004</v>
      </c>
      <c r="K5" s="114" t="s">
        <v>117</v>
      </c>
      <c r="L5" s="114" t="s">
        <v>116</v>
      </c>
      <c r="M5" s="114" t="s">
        <v>115</v>
      </c>
      <c r="N5" s="114" t="s">
        <v>114</v>
      </c>
      <c r="O5" s="112">
        <f>+IS!AI9</f>
        <v>2005</v>
      </c>
      <c r="P5" s="114" t="str">
        <f>+IS!AJ9</f>
        <v>1Q06</v>
      </c>
      <c r="Q5" s="114" t="str">
        <f>+IS!AK9</f>
        <v>2Q06</v>
      </c>
      <c r="R5" s="114" t="str">
        <f>+IS!AL9</f>
        <v>3Q06</v>
      </c>
      <c r="S5" s="114" t="str">
        <f>+IS!AM9</f>
        <v>4Q06</v>
      </c>
      <c r="T5" s="112">
        <f>+IS!AN9</f>
        <v>2006</v>
      </c>
      <c r="U5" s="114" t="str">
        <f>+IS!AO9</f>
        <v>1Q07</v>
      </c>
      <c r="V5" s="114" t="str">
        <f>+IS!AP9</f>
        <v>2Q07</v>
      </c>
      <c r="W5" s="114" t="str">
        <f>+IS!AQ9</f>
        <v>3Q07</v>
      </c>
      <c r="X5" s="114" t="str">
        <f>+IS!AR9</f>
        <v>4Q07</v>
      </c>
      <c r="Y5" s="112">
        <f>+IS!AS9</f>
        <v>2007</v>
      </c>
      <c r="Z5" s="114" t="str">
        <f>+IS!AT9</f>
        <v>1Q08</v>
      </c>
      <c r="AA5" s="114" t="str">
        <f>+IS!AU9</f>
        <v>2Q08</v>
      </c>
      <c r="AB5" s="114" t="str">
        <f>+IS!AV9</f>
        <v>3Q08</v>
      </c>
      <c r="AC5" s="114" t="str">
        <f>+IS!AW9</f>
        <v>4Q08</v>
      </c>
      <c r="AD5" s="112">
        <f>+IS!AX9</f>
        <v>2008</v>
      </c>
      <c r="AE5" s="114" t="str">
        <f>+IS!AY9</f>
        <v>1Q09</v>
      </c>
      <c r="AF5" s="114" t="str">
        <f>+IS!AZ9</f>
        <v>2Q09</v>
      </c>
      <c r="AG5" s="114" t="str">
        <f>+IS!BA9</f>
        <v>3Q09</v>
      </c>
      <c r="AH5" s="114" t="str">
        <f>+IS!BB9</f>
        <v>4Q09</v>
      </c>
      <c r="AI5" s="112">
        <f>+IS!BC9</f>
        <v>2009</v>
      </c>
      <c r="AJ5" s="114" t="str">
        <f>+IS!BD9</f>
        <v>1Q10</v>
      </c>
      <c r="AK5" s="114" t="str">
        <f>+IS!BE9</f>
        <v>2Q10</v>
      </c>
      <c r="AL5" s="114" t="str">
        <f>+IS!BF9</f>
        <v>3Q10</v>
      </c>
      <c r="AM5" s="114" t="str">
        <f>+IS!BG9</f>
        <v>4Q10</v>
      </c>
      <c r="AN5" s="112">
        <f>+IS!BH9</f>
        <v>2010</v>
      </c>
      <c r="AO5" s="114" t="str">
        <f>+IS!BI9</f>
        <v>1Q11</v>
      </c>
      <c r="AP5" s="114" t="str">
        <f>+IS!BJ9</f>
        <v>2Q11</v>
      </c>
      <c r="AQ5" s="114" t="str">
        <f>+IS!BK9</f>
        <v>3Q11</v>
      </c>
      <c r="AR5" s="114" t="str">
        <f>+IS!BL9</f>
        <v>4Q11</v>
      </c>
      <c r="AS5" s="112">
        <f>+IS!BM9</f>
        <v>2011</v>
      </c>
      <c r="AT5" s="114" t="str">
        <f>+IS!BN9</f>
        <v>1Q12</v>
      </c>
      <c r="AU5" s="114" t="str">
        <f>+IS!BO9</f>
        <v>2Q12</v>
      </c>
      <c r="AV5" s="114" t="str">
        <f>+IS!BP9</f>
        <v>3Q12</v>
      </c>
      <c r="AW5" s="114" t="str">
        <f>+IS!BQ9</f>
        <v>4Q12</v>
      </c>
      <c r="AX5" s="112">
        <f>+IS!BR9</f>
        <v>2012</v>
      </c>
      <c r="AY5" s="113" t="str">
        <f>+IS!BS9</f>
        <v>1Q13</v>
      </c>
      <c r="AZ5" s="113" t="str">
        <f>+IS!BT9</f>
        <v>2Q13</v>
      </c>
      <c r="BA5" s="113" t="str">
        <f>+IS!BU9</f>
        <v>3Q13</v>
      </c>
      <c r="BB5" s="113" t="str">
        <f>+IS!BV9</f>
        <v>4Q13</v>
      </c>
      <c r="BC5" s="112">
        <f>+IS!BW9</f>
        <v>2013</v>
      </c>
      <c r="BD5" s="113" t="str">
        <f>+IS!BX9</f>
        <v>1Q14</v>
      </c>
      <c r="BE5" s="113" t="str">
        <f>+IS!BY9</f>
        <v>2Q14</v>
      </c>
      <c r="BF5" s="113" t="str">
        <f>+IS!BZ9</f>
        <v>3Q14</v>
      </c>
      <c r="BG5" s="113" t="str">
        <f>+IS!CA9</f>
        <v>4Q14</v>
      </c>
      <c r="BH5" s="112">
        <f>+IS!CB9</f>
        <v>2014</v>
      </c>
      <c r="BI5" s="113" t="str">
        <f>+IS!CC9</f>
        <v>1Q15</v>
      </c>
      <c r="BJ5" s="113" t="str">
        <f>+IS!CD9</f>
        <v>2Q15</v>
      </c>
      <c r="BK5" s="113" t="str">
        <f>+IS!CE9</f>
        <v>3Q15</v>
      </c>
      <c r="BL5" s="113" t="str">
        <f>+IS!CF9</f>
        <v>4Q15</v>
      </c>
      <c r="BM5" s="112">
        <f>+IS!CG9</f>
        <v>2015</v>
      </c>
      <c r="BN5" s="113" t="str">
        <f>+IS!CH9</f>
        <v>1Q16</v>
      </c>
      <c r="BO5" s="113" t="str">
        <f>+IS!CI9</f>
        <v>2Q16</v>
      </c>
      <c r="BP5" s="113" t="str">
        <f>+IS!CJ9</f>
        <v>3Q16</v>
      </c>
      <c r="BQ5" s="113" t="str">
        <f>+IS!CK9</f>
        <v>4Q16</v>
      </c>
      <c r="BR5" s="112">
        <f>+IS!CL9</f>
        <v>2016</v>
      </c>
      <c r="BS5" s="113" t="str">
        <f>+IS!CM9</f>
        <v>1Q17</v>
      </c>
      <c r="BT5" s="113" t="str">
        <f>+IS!CN9</f>
        <v>2Q17</v>
      </c>
      <c r="BU5" s="113" t="str">
        <f>+IS!CO9</f>
        <v>3Q17</v>
      </c>
      <c r="BV5" s="113" t="str">
        <f>+IS!CP9</f>
        <v>4Q17E</v>
      </c>
      <c r="BW5" s="112" t="str">
        <f>+IS!CQ9</f>
        <v>2017E</v>
      </c>
      <c r="BX5" s="112" t="str">
        <f>+IS!CV9</f>
        <v>2018E</v>
      </c>
      <c r="BY5" s="112" t="str">
        <f>+IS!CW9</f>
        <v>2019E</v>
      </c>
    </row>
    <row r="6" spans="1:77">
      <c r="A6" s="41"/>
      <c r="B6" s="95"/>
      <c r="C6" s="95"/>
      <c r="D6" s="95"/>
      <c r="E6" s="95"/>
      <c r="F6" s="41"/>
      <c r="G6" s="41"/>
      <c r="H6" s="41"/>
      <c r="I6" s="41"/>
      <c r="J6" s="95"/>
      <c r="K6" s="111"/>
      <c r="L6" s="111"/>
      <c r="M6" s="111"/>
      <c r="N6" s="111"/>
      <c r="O6" s="95"/>
      <c r="P6" s="111"/>
      <c r="Q6" s="111"/>
      <c r="R6" s="111"/>
      <c r="S6" s="111"/>
      <c r="T6" s="95"/>
      <c r="U6" s="111"/>
      <c r="V6" s="111"/>
      <c r="W6" s="111"/>
      <c r="X6" s="111"/>
      <c r="Y6" s="95"/>
      <c r="Z6" s="111"/>
      <c r="AA6" s="111"/>
      <c r="AB6" s="111"/>
      <c r="AC6" s="111"/>
      <c r="AD6" s="95"/>
      <c r="AE6" s="111"/>
      <c r="AF6" s="111"/>
      <c r="AG6" s="111"/>
      <c r="AH6" s="111"/>
      <c r="AI6" s="95"/>
      <c r="AJ6" s="111"/>
      <c r="AK6" s="111"/>
      <c r="AL6" s="111"/>
      <c r="AM6" s="111"/>
      <c r="AN6" s="95"/>
      <c r="AO6" s="41"/>
      <c r="AP6" s="41"/>
      <c r="AQ6" s="41"/>
      <c r="AR6" s="41"/>
      <c r="AS6" s="95"/>
      <c r="AT6" s="41"/>
      <c r="AU6" s="41"/>
      <c r="AV6" s="41"/>
      <c r="AW6" s="41"/>
      <c r="AX6" s="95"/>
      <c r="AY6" s="70"/>
      <c r="AZ6" s="70"/>
      <c r="BA6" s="70"/>
      <c r="BB6" s="70"/>
      <c r="BC6" s="95"/>
      <c r="BD6" s="70"/>
      <c r="BE6" s="70"/>
      <c r="BF6" s="70"/>
      <c r="BG6" s="70"/>
      <c r="BH6" s="95"/>
      <c r="BI6" s="70"/>
      <c r="BJ6" s="70"/>
      <c r="BK6" s="70"/>
      <c r="BL6" s="70"/>
      <c r="BM6" s="95"/>
      <c r="BN6" s="70"/>
      <c r="BO6" s="70"/>
      <c r="BP6" s="70"/>
      <c r="BQ6" s="70"/>
      <c r="BR6" s="95"/>
      <c r="BS6" s="70"/>
      <c r="BT6" s="70"/>
      <c r="BU6" s="70"/>
      <c r="BV6" s="70"/>
      <c r="BW6" s="95"/>
      <c r="BX6" s="95"/>
      <c r="BY6" s="95"/>
    </row>
    <row r="7" spans="1:77">
      <c r="A7" s="41" t="s">
        <v>113</v>
      </c>
      <c r="B7" s="109">
        <f>IS!J21</f>
        <v>26583</v>
      </c>
      <c r="C7" s="109">
        <f>IS!O21</f>
        <v>27897</v>
      </c>
      <c r="D7" s="109">
        <f>IS!T21</f>
        <v>28212</v>
      </c>
      <c r="E7" s="109">
        <f>IS!Y21</f>
        <v>31034</v>
      </c>
      <c r="F7" s="110">
        <f>IS!Z21</f>
        <v>8646</v>
      </c>
      <c r="G7" s="110">
        <f>IS!AA21</f>
        <v>9622</v>
      </c>
      <c r="H7" s="110">
        <f>IS!AB21</f>
        <v>9339</v>
      </c>
      <c r="I7" s="110">
        <f>IS!AC21</f>
        <v>9838</v>
      </c>
      <c r="J7" s="109">
        <f>IS!AD21</f>
        <v>37445</v>
      </c>
      <c r="K7" s="110">
        <f>IS!AE21</f>
        <v>9407</v>
      </c>
      <c r="L7" s="110">
        <f>IS!AF21</f>
        <v>11152</v>
      </c>
      <c r="M7" s="110">
        <f>IS!AG21</f>
        <v>10905</v>
      </c>
      <c r="N7" s="110">
        <f>IS!AH21</f>
        <v>11261</v>
      </c>
      <c r="O7" s="109">
        <f>IS!AI21</f>
        <v>42725</v>
      </c>
      <c r="P7" s="110">
        <f>IS!AJ21</f>
        <v>10615</v>
      </c>
      <c r="Q7" s="110">
        <f>IS!AK21</f>
        <v>12264</v>
      </c>
      <c r="R7" s="110">
        <f>IS!AL21</f>
        <v>12163</v>
      </c>
      <c r="S7" s="110">
        <f>IS!AM21</f>
        <v>12787</v>
      </c>
      <c r="T7" s="109">
        <f>IS!AN21</f>
        <v>47829</v>
      </c>
      <c r="U7" s="110">
        <f>IS!AO21</f>
        <v>12278</v>
      </c>
      <c r="V7" s="110">
        <f>IS!AP21</f>
        <v>13904</v>
      </c>
      <c r="W7" s="110">
        <f>IS!AQ21</f>
        <v>13863</v>
      </c>
      <c r="X7" s="110">
        <f>IS!AR21</f>
        <v>14714</v>
      </c>
      <c r="Y7" s="109">
        <f>IS!AS21</f>
        <v>54759</v>
      </c>
      <c r="Z7" s="110">
        <f>IS!AT21</f>
        <v>13958</v>
      </c>
      <c r="AA7" s="110">
        <f>IS!AU21</f>
        <v>15944</v>
      </c>
      <c r="AB7" s="110">
        <f>IS!AV21</f>
        <v>15085</v>
      </c>
      <c r="AC7" s="110">
        <f>IS!AW21</f>
        <v>14770</v>
      </c>
      <c r="AD7" s="109">
        <f>IS!AX21</f>
        <v>59757</v>
      </c>
      <c r="AE7" s="110">
        <f>IS!AY21</f>
        <v>12199</v>
      </c>
      <c r="AF7" s="110">
        <f>IS!AZ21</f>
        <v>13060</v>
      </c>
      <c r="AG7" s="110">
        <f>IS!BA21</f>
        <v>13187</v>
      </c>
      <c r="AH7" s="110">
        <f>IS!BB21</f>
        <v>13979</v>
      </c>
      <c r="AI7" s="109">
        <f>IS!BC21</f>
        <v>52425</v>
      </c>
      <c r="AJ7" s="110">
        <f>IS!BD21</f>
        <v>12040</v>
      </c>
      <c r="AK7" s="110">
        <f>IS!BE21</f>
        <v>13802</v>
      </c>
      <c r="AL7" s="110">
        <f>IS!BF21</f>
        <v>13620</v>
      </c>
      <c r="AM7" s="110">
        <f>IS!BG21</f>
        <v>14864</v>
      </c>
      <c r="AN7" s="109">
        <f>IS!BH21</f>
        <v>54326</v>
      </c>
      <c r="AO7" s="110">
        <f>IS!BI21</f>
        <v>12673</v>
      </c>
      <c r="AP7" s="110">
        <f>IS!BJ21</f>
        <v>14469</v>
      </c>
      <c r="AQ7" s="110">
        <f>IS!BK21</f>
        <v>14235</v>
      </c>
      <c r="AR7" s="110">
        <f>IS!BL21</f>
        <v>14377</v>
      </c>
      <c r="AS7" s="109">
        <f>IS!BM21</f>
        <v>55754</v>
      </c>
      <c r="AT7" s="110">
        <f>IS!BN21</f>
        <v>12416</v>
      </c>
      <c r="AU7" s="110">
        <f>IS!BO21</f>
        <v>13807</v>
      </c>
      <c r="AV7" s="110">
        <f>IS!BP21</f>
        <v>15042</v>
      </c>
      <c r="AW7" s="110">
        <f>IS!BQ21</f>
        <v>16443</v>
      </c>
      <c r="AX7" s="109">
        <f>IS!BR21</f>
        <v>57708</v>
      </c>
      <c r="AY7" s="110">
        <f>IS!BS21</f>
        <v>14399</v>
      </c>
      <c r="AZ7" s="110">
        <f>IS!BT21</f>
        <v>16006</v>
      </c>
      <c r="BA7" s="110">
        <f>IS!BU21</f>
        <v>15462</v>
      </c>
      <c r="BB7" s="110">
        <f>IS!BV21</f>
        <v>16759</v>
      </c>
      <c r="BC7" s="109">
        <f>IS!BW21</f>
        <v>62626</v>
      </c>
      <c r="BD7" s="110">
        <f>IS!BX21</f>
        <v>14745</v>
      </c>
      <c r="BE7" s="110">
        <f>IS!BY21</f>
        <v>17191</v>
      </c>
      <c r="BF7" s="110">
        <f>IS!BZ21</f>
        <v>16168</v>
      </c>
      <c r="BG7" s="110">
        <f>IS!CA21</f>
        <v>16996</v>
      </c>
      <c r="BH7" s="109">
        <f>IS!CB21</f>
        <v>65100</v>
      </c>
      <c r="BI7" s="110">
        <f>IS!CC21</f>
        <v>13320</v>
      </c>
      <c r="BJ7" s="110">
        <f>IS!CD21</f>
        <v>14697</v>
      </c>
      <c r="BK7" s="110">
        <f>IS!CE21</f>
        <v>13788</v>
      </c>
      <c r="BL7" s="110">
        <f>IS!CF21</f>
        <v>14300</v>
      </c>
      <c r="BM7" s="109">
        <f>IS!CG21</f>
        <v>56039.611191779026</v>
      </c>
      <c r="BN7" s="110">
        <f>IS!CH21</f>
        <v>13357</v>
      </c>
      <c r="BO7" s="110">
        <f>IS!CI21</f>
        <v>14874</v>
      </c>
      <c r="BP7" s="110">
        <f>IS!CJ21</f>
        <v>14354</v>
      </c>
      <c r="BQ7" s="110">
        <f>IS!CK21</f>
        <v>14659</v>
      </c>
      <c r="BR7" s="109">
        <f>IS!CL21</f>
        <v>57244</v>
      </c>
      <c r="BS7" s="110">
        <f>IS!CM21</f>
        <v>13815</v>
      </c>
      <c r="BT7" s="110">
        <f>IS!CN21</f>
        <v>15280</v>
      </c>
      <c r="BU7" s="110">
        <f>IS!CO21</f>
        <v>15062</v>
      </c>
      <c r="BV7" s="110">
        <f>IS!CP21</f>
        <v>15351.269017269917</v>
      </c>
      <c r="BW7" s="109">
        <f>IS!CQ21</f>
        <v>59508.269017269915</v>
      </c>
      <c r="BX7" s="109">
        <f>IS!CV21</f>
        <v>63039.210827606337</v>
      </c>
      <c r="BY7" s="109">
        <f>IS!CW21</f>
        <v>65770.398626218564</v>
      </c>
    </row>
    <row r="8" spans="1:77">
      <c r="A8" s="30" t="s">
        <v>91</v>
      </c>
      <c r="B8" s="48">
        <f>IS!J28</f>
        <v>7613</v>
      </c>
      <c r="C8" s="48">
        <f>IS!O28</f>
        <v>7810</v>
      </c>
      <c r="D8" s="48">
        <f>IS!T28</f>
        <v>8051</v>
      </c>
      <c r="E8" s="48">
        <f>IS!Y28</f>
        <v>8526</v>
      </c>
      <c r="F8" s="49">
        <f>IS!Z28</f>
        <v>2371</v>
      </c>
      <c r="G8" s="49">
        <f>IS!AA28</f>
        <v>2646</v>
      </c>
      <c r="H8" s="49">
        <f>IS!AB28</f>
        <v>2537</v>
      </c>
      <c r="I8" s="49">
        <f>IS!AC28</f>
        <v>2670</v>
      </c>
      <c r="J8" s="48">
        <f>IS!AD28</f>
        <v>10224</v>
      </c>
      <c r="K8" s="49">
        <f>IS!AE28</f>
        <v>2592</v>
      </c>
      <c r="L8" s="49">
        <f>IS!AF28</f>
        <v>3162</v>
      </c>
      <c r="M8" s="49">
        <f>IS!AG28</f>
        <v>3014</v>
      </c>
      <c r="N8" s="49">
        <f>IS!AH28</f>
        <v>3022</v>
      </c>
      <c r="O8" s="48">
        <f>IS!AI28</f>
        <v>11790</v>
      </c>
      <c r="P8" s="49">
        <f>IS!AJ28</f>
        <v>2965</v>
      </c>
      <c r="Q8" s="49">
        <f>IS!AK28</f>
        <v>3489</v>
      </c>
      <c r="R8" s="49">
        <f>IS!AL28</f>
        <v>3369</v>
      </c>
      <c r="S8" s="49">
        <f>IS!AM28</f>
        <v>3266</v>
      </c>
      <c r="T8" s="48">
        <f>IS!AN28</f>
        <v>13089</v>
      </c>
      <c r="U8" s="49">
        <f>IS!AO28</f>
        <v>3282</v>
      </c>
      <c r="V8" s="49">
        <f>IS!AP28</f>
        <v>3775</v>
      </c>
      <c r="W8" s="49">
        <f>IS!AQ28</f>
        <v>3795</v>
      </c>
      <c r="X8" s="49">
        <f>IS!AR28</f>
        <v>3985</v>
      </c>
      <c r="Y8" s="48">
        <f>IS!AS28</f>
        <v>14837</v>
      </c>
      <c r="Z8" s="49">
        <f>IS!AT28</f>
        <v>3720</v>
      </c>
      <c r="AA8" s="49">
        <f>IS!AU28</f>
        <v>4308</v>
      </c>
      <c r="AB8" s="49">
        <f>IS!AV28</f>
        <v>4150</v>
      </c>
      <c r="AC8" s="49">
        <f>IS!AW28</f>
        <v>3942</v>
      </c>
      <c r="AD8" s="48">
        <f>IS!AX28</f>
        <v>16120</v>
      </c>
      <c r="AE8" s="49">
        <f>IS!AY28</f>
        <v>3092</v>
      </c>
      <c r="AF8" s="49">
        <f>IS!AZ28</f>
        <v>3459</v>
      </c>
      <c r="AG8" s="49">
        <f>IS!BA28</f>
        <v>3351</v>
      </c>
      <c r="AH8" s="49">
        <f>IS!BB28</f>
        <v>3662</v>
      </c>
      <c r="AI8" s="48">
        <f>IS!BC28</f>
        <v>13564</v>
      </c>
      <c r="AJ8" s="49">
        <f>IS!BD28</f>
        <v>3308</v>
      </c>
      <c r="AK8" s="49">
        <f>IS!BE28</f>
        <v>3787</v>
      </c>
      <c r="AL8" s="49">
        <f>IS!BF28</f>
        <v>3953</v>
      </c>
      <c r="AM8" s="49">
        <f>IS!BG28</f>
        <v>3864</v>
      </c>
      <c r="AN8" s="48">
        <f>IS!BH28</f>
        <v>14912</v>
      </c>
      <c r="AO8" s="49">
        <f>IS!BI28</f>
        <v>3521</v>
      </c>
      <c r="AP8" s="49">
        <f>IS!BJ28</f>
        <v>4001</v>
      </c>
      <c r="AQ8" s="49">
        <f>IS!BK28</f>
        <v>3897</v>
      </c>
      <c r="AR8" s="49">
        <f>IS!BL28</f>
        <v>3966</v>
      </c>
      <c r="AS8" s="48">
        <f>IS!BM28</f>
        <v>15385</v>
      </c>
      <c r="AT8" s="49">
        <f>IS!BN28</f>
        <v>3486</v>
      </c>
      <c r="AU8" s="49">
        <f>IS!BO28</f>
        <v>3873</v>
      </c>
      <c r="AV8" s="49">
        <f>IS!BP28</f>
        <v>4039</v>
      </c>
      <c r="AW8" s="49">
        <f>IS!BQ28</f>
        <v>4157</v>
      </c>
      <c r="AX8" s="48">
        <f>IS!BR28</f>
        <v>15555</v>
      </c>
      <c r="AY8" s="49">
        <f>IS!BS28</f>
        <v>3934</v>
      </c>
      <c r="AZ8" s="49">
        <f>IS!BT28</f>
        <v>4454</v>
      </c>
      <c r="BA8" s="49">
        <f>IS!BU28</f>
        <v>4442</v>
      </c>
      <c r="BB8" s="49">
        <f>IS!BV28</f>
        <v>4475</v>
      </c>
      <c r="BC8" s="48">
        <f>IS!BW28</f>
        <v>17305</v>
      </c>
      <c r="BD8" s="49">
        <f>IS!BX28</f>
        <v>4055</v>
      </c>
      <c r="BE8" s="49">
        <f>IS!BY28</f>
        <v>4260</v>
      </c>
      <c r="BF8" s="49">
        <f>IS!BZ28</f>
        <v>4702</v>
      </c>
      <c r="BG8" s="49">
        <f>IS!CA28</f>
        <v>4636</v>
      </c>
      <c r="BH8" s="48">
        <f>IS!CB28</f>
        <v>17653</v>
      </c>
      <c r="BI8" s="49">
        <f>IS!CC28</f>
        <v>3814</v>
      </c>
      <c r="BJ8" s="49">
        <f>IS!CD28</f>
        <v>4225</v>
      </c>
      <c r="BK8" s="49">
        <f>IS!CE28</f>
        <v>3988</v>
      </c>
      <c r="BL8" s="49">
        <f>IS!CF28</f>
        <v>3647</v>
      </c>
      <c r="BM8" s="48">
        <f>IS!CG28</f>
        <v>15674</v>
      </c>
      <c r="BN8" s="49">
        <f>IS!CH28</f>
        <v>3703</v>
      </c>
      <c r="BO8" s="49">
        <f>IS!CI28</f>
        <v>4133</v>
      </c>
      <c r="BP8" s="49">
        <f>IS!CJ28</f>
        <v>4012</v>
      </c>
      <c r="BQ8" s="49">
        <f>IS!CK28</f>
        <v>3936</v>
      </c>
      <c r="BR8" s="48">
        <f>IS!CL28</f>
        <v>15784</v>
      </c>
      <c r="BS8" s="49">
        <f>IS!CM28</f>
        <v>3738</v>
      </c>
      <c r="BT8" s="49">
        <f>IS!CN28</f>
        <v>4180</v>
      </c>
      <c r="BU8" s="49">
        <f>IS!CO28</f>
        <v>4019</v>
      </c>
      <c r="BV8" s="49">
        <f>IS!CP28</f>
        <v>4056.3913328627532</v>
      </c>
      <c r="BW8" s="48">
        <f>IS!CQ28</f>
        <v>15993.391332862753</v>
      </c>
      <c r="BX8" s="48">
        <f>IS!CV28</f>
        <v>16822.210761496288</v>
      </c>
      <c r="BY8" s="48">
        <f>IS!CW28</f>
        <v>17780.107517715667</v>
      </c>
    </row>
    <row r="9" spans="1:77">
      <c r="A9" s="30" t="s">
        <v>90</v>
      </c>
      <c r="B9" s="48">
        <f>IS!J51</f>
        <v>3999</v>
      </c>
      <c r="C9" s="48">
        <f>IS!O51</f>
        <v>4138</v>
      </c>
      <c r="D9" s="48">
        <f>IS!T51</f>
        <v>4384</v>
      </c>
      <c r="E9" s="48">
        <f>IS!Y51</f>
        <v>4776</v>
      </c>
      <c r="F9" s="49">
        <f>IS!Z51</f>
        <v>1191</v>
      </c>
      <c r="G9" s="49">
        <f>IS!AA51</f>
        <v>1500</v>
      </c>
      <c r="H9" s="49">
        <f>IS!AB51</f>
        <v>1418</v>
      </c>
      <c r="I9" s="49">
        <f>IS!AC51</f>
        <v>1327</v>
      </c>
      <c r="J9" s="48">
        <f>IS!AD51</f>
        <v>5605</v>
      </c>
      <c r="K9" s="49">
        <f>IS!AE51</f>
        <v>1334</v>
      </c>
      <c r="L9" s="49">
        <f>IS!AF51</f>
        <v>1676</v>
      </c>
      <c r="M9" s="49">
        <f>IS!AG51</f>
        <v>1699</v>
      </c>
      <c r="N9" s="49">
        <f>IS!AH51</f>
        <v>1574</v>
      </c>
      <c r="O9" s="48">
        <f>IS!AI51</f>
        <v>6283</v>
      </c>
      <c r="P9" s="49">
        <f>IS!AJ51</f>
        <v>1527</v>
      </c>
      <c r="Q9" s="49">
        <f>IS!AK51</f>
        <v>1939</v>
      </c>
      <c r="R9" s="49">
        <f>IS!AL51</f>
        <v>1932</v>
      </c>
      <c r="S9" s="49">
        <f>IS!AM51</f>
        <v>1771</v>
      </c>
      <c r="T9" s="48">
        <f>IS!AN51</f>
        <v>7169</v>
      </c>
      <c r="U9" s="49">
        <f>IS!AO51</f>
        <v>1758</v>
      </c>
      <c r="V9" s="49">
        <f>IS!AP51</f>
        <v>2167</v>
      </c>
      <c r="W9" s="49">
        <f>IS!AQ51</f>
        <v>2211</v>
      </c>
      <c r="X9" s="49">
        <f>IS!AR51</f>
        <v>2119</v>
      </c>
      <c r="Y9" s="48">
        <f>IS!AS51</f>
        <v>8255</v>
      </c>
      <c r="Z9" s="49">
        <f>IS!AT51</f>
        <v>2027</v>
      </c>
      <c r="AA9" s="49">
        <f>IS!AU51</f>
        <v>2519</v>
      </c>
      <c r="AB9" s="49">
        <f>IS!AV51</f>
        <v>2431</v>
      </c>
      <c r="AC9" s="49">
        <f>IS!AW51</f>
        <v>2147</v>
      </c>
      <c r="AD9" s="48">
        <f>IS!AX51</f>
        <v>9124</v>
      </c>
      <c r="AE9" s="49">
        <f>IS!AY51</f>
        <v>1698.5</v>
      </c>
      <c r="AF9" s="49">
        <f>IS!AZ51</f>
        <v>2168.5</v>
      </c>
      <c r="AG9" s="49">
        <f>IS!BA51</f>
        <v>2221.5</v>
      </c>
      <c r="AH9" s="49">
        <f>IS!BB51</f>
        <v>2240.5</v>
      </c>
      <c r="AI9" s="48">
        <f>IS!BC51</f>
        <v>8329</v>
      </c>
      <c r="AJ9" s="49">
        <f>IS!BD51</f>
        <v>1917</v>
      </c>
      <c r="AK9" s="49">
        <f>IS!BE51</f>
        <v>2381</v>
      </c>
      <c r="AL9" s="49">
        <f>IS!BF51</f>
        <v>2463</v>
      </c>
      <c r="AM9" s="49">
        <f>IS!BG51</f>
        <v>2395</v>
      </c>
      <c r="AN9" s="48">
        <f>IS!BH51</f>
        <v>9156</v>
      </c>
      <c r="AO9" s="49">
        <f>IS!BI51</f>
        <v>2046</v>
      </c>
      <c r="AP9" s="49">
        <f>IS!BJ51</f>
        <v>2456</v>
      </c>
      <c r="AQ9" s="49">
        <f>IS!BK51</f>
        <v>2506</v>
      </c>
      <c r="AR9" s="49">
        <f>IS!BL51</f>
        <v>2304</v>
      </c>
      <c r="AS9" s="48">
        <f>IS!BM51</f>
        <v>9312</v>
      </c>
      <c r="AT9" s="49">
        <f>IS!BN51</f>
        <v>2042</v>
      </c>
      <c r="AU9" s="49">
        <f>IS!BO51</f>
        <v>2467</v>
      </c>
      <c r="AV9" s="49">
        <f>IS!BP51</f>
        <v>2557</v>
      </c>
      <c r="AW9" s="49">
        <f>IS!BQ51</f>
        <v>2551</v>
      </c>
      <c r="AX9" s="48">
        <f>IS!BR51</f>
        <v>9617</v>
      </c>
      <c r="AY9" s="49">
        <f>IS!BS51</f>
        <v>2464</v>
      </c>
      <c r="AZ9" s="49">
        <f>IS!BT51</f>
        <v>2943</v>
      </c>
      <c r="BA9" s="49">
        <f>IS!BU51</f>
        <v>2946</v>
      </c>
      <c r="BB9" s="49">
        <f>IS!BV51</f>
        <v>2935</v>
      </c>
      <c r="BC9" s="48">
        <f>IS!BW51</f>
        <v>11288</v>
      </c>
      <c r="BD9" s="49">
        <f>IS!BX51</f>
        <v>2690</v>
      </c>
      <c r="BE9" s="49">
        <f>IS!BY51</f>
        <v>3206</v>
      </c>
      <c r="BF9" s="49">
        <f>IS!BZ51</f>
        <v>3179</v>
      </c>
      <c r="BG9" s="49">
        <f>IS!CA51</f>
        <v>3184</v>
      </c>
      <c r="BH9" s="48">
        <f>IS!CB51</f>
        <v>12259</v>
      </c>
      <c r="BI9" s="49">
        <f>IS!CC51</f>
        <v>2606.1076991007917</v>
      </c>
      <c r="BJ9" s="49">
        <f>IS!CD51</f>
        <v>2946.8923008992083</v>
      </c>
      <c r="BK9" s="49">
        <f>IS!CE51</f>
        <v>2861</v>
      </c>
      <c r="BL9" s="49">
        <f>IS!CF51</f>
        <v>2617</v>
      </c>
      <c r="BM9" s="48">
        <f>IS!CG51</f>
        <v>11031</v>
      </c>
      <c r="BN9" s="49">
        <f>IS!CH51</f>
        <v>2473</v>
      </c>
      <c r="BO9" s="49">
        <f>IS!CI51</f>
        <v>2959</v>
      </c>
      <c r="BP9" s="49">
        <f>IS!CJ51</f>
        <v>2876</v>
      </c>
      <c r="BQ9" s="49">
        <f>IS!CK51</f>
        <v>2666</v>
      </c>
      <c r="BR9" s="48">
        <f>IS!CL51</f>
        <v>10974</v>
      </c>
      <c r="BS9" s="49">
        <f>IS!CM51</f>
        <v>2451</v>
      </c>
      <c r="BT9" s="49">
        <f>IS!CN51</f>
        <v>2877</v>
      </c>
      <c r="BU9" s="49">
        <f>IS!CO51</f>
        <v>2874</v>
      </c>
      <c r="BV9" s="49">
        <f>IS!CP51</f>
        <v>2601.8672907211685</v>
      </c>
      <c r="BW9" s="48">
        <f>IS!CQ51</f>
        <v>10803.867290721169</v>
      </c>
      <c r="BX9" s="48">
        <f>IS!CV51</f>
        <v>11162.836691069228</v>
      </c>
      <c r="BY9" s="48">
        <f>IS!CW51</f>
        <v>12145.436241937223</v>
      </c>
    </row>
    <row r="10" spans="1:77">
      <c r="A10" s="41" t="s">
        <v>89</v>
      </c>
      <c r="B10" s="109">
        <f>IS!J46</f>
        <v>3140</v>
      </c>
      <c r="C10" s="109">
        <f>IS!O46</f>
        <v>3233</v>
      </c>
      <c r="D10" s="109">
        <f>IS!T46</f>
        <v>3657</v>
      </c>
      <c r="E10" s="109">
        <f>IS!Y46</f>
        <v>3977</v>
      </c>
      <c r="F10" s="110">
        <f>IS!Z46</f>
        <v>929</v>
      </c>
      <c r="G10" s="110">
        <f>IS!AA46</f>
        <v>1248</v>
      </c>
      <c r="H10" s="110">
        <f>IS!AB46</f>
        <v>1188</v>
      </c>
      <c r="I10" s="110">
        <f>IS!AC46</f>
        <v>1093</v>
      </c>
      <c r="J10" s="109">
        <f>IS!AD46</f>
        <v>4627</v>
      </c>
      <c r="K10" s="110">
        <f>IS!AE46</f>
        <v>1108</v>
      </c>
      <c r="L10" s="110">
        <f>IS!AF46</f>
        <v>1439</v>
      </c>
      <c r="M10" s="110">
        <f>IS!AG46</f>
        <v>1434</v>
      </c>
      <c r="N10" s="110">
        <f>IS!AH46</f>
        <v>1318</v>
      </c>
      <c r="O10" s="109">
        <f>IS!AI46</f>
        <v>5299</v>
      </c>
      <c r="P10" s="110">
        <f>IS!AJ46</f>
        <v>1263</v>
      </c>
      <c r="Q10" s="110">
        <f>IS!AK46</f>
        <v>1683</v>
      </c>
      <c r="R10" s="110">
        <f>IS!AL46</f>
        <v>1680</v>
      </c>
      <c r="S10" s="110">
        <f>IS!AM46</f>
        <v>1510</v>
      </c>
      <c r="T10" s="109">
        <f>IS!AN46</f>
        <v>6136</v>
      </c>
      <c r="U10" s="110">
        <f>IS!AO46</f>
        <v>1480</v>
      </c>
      <c r="V10" s="110">
        <f>IS!AP46</f>
        <v>1890</v>
      </c>
      <c r="W10" s="110">
        <f>IS!AQ46</f>
        <v>1903</v>
      </c>
      <c r="X10" s="110">
        <f>IS!AR46</f>
        <v>1809</v>
      </c>
      <c r="Y10" s="109">
        <f>IS!AS46</f>
        <v>7082</v>
      </c>
      <c r="Z10" s="110">
        <f>IS!AT46</f>
        <v>1708</v>
      </c>
      <c r="AA10" s="110">
        <f>IS!AU46</f>
        <v>2193</v>
      </c>
      <c r="AB10" s="110">
        <f>IS!AV46</f>
        <v>2105</v>
      </c>
      <c r="AC10" s="110">
        <f>IS!AW46</f>
        <v>1797</v>
      </c>
      <c r="AD10" s="109">
        <f>IS!AX46</f>
        <v>7803</v>
      </c>
      <c r="AE10" s="110">
        <f>IS!AY46</f>
        <v>1392.5</v>
      </c>
      <c r="AF10" s="110">
        <f>IS!AZ46</f>
        <v>1865.5</v>
      </c>
      <c r="AG10" s="110">
        <f>IS!BA46</f>
        <v>1905.5</v>
      </c>
      <c r="AH10" s="110">
        <f>IS!BB46</f>
        <v>1907.5</v>
      </c>
      <c r="AI10" s="109">
        <f>IS!BC46</f>
        <v>7071</v>
      </c>
      <c r="AJ10" s="110">
        <f>IS!BD46</f>
        <v>1590</v>
      </c>
      <c r="AK10" s="110">
        <f>IS!BE46</f>
        <v>2042</v>
      </c>
      <c r="AL10" s="110">
        <f>IS!BF46</f>
        <v>2121</v>
      </c>
      <c r="AM10" s="110">
        <f>IS!BG46</f>
        <v>2047</v>
      </c>
      <c r="AN10" s="109">
        <f>IS!BH46</f>
        <v>7800</v>
      </c>
      <c r="AO10" s="110">
        <f>IS!BI46</f>
        <v>1730</v>
      </c>
      <c r="AP10" s="110">
        <f>IS!BJ46</f>
        <v>2134</v>
      </c>
      <c r="AQ10" s="110">
        <f>IS!BK46</f>
        <v>2182</v>
      </c>
      <c r="AR10" s="110">
        <f>IS!BL46</f>
        <v>2003</v>
      </c>
      <c r="AS10" s="109">
        <f>IS!BM46</f>
        <v>8049</v>
      </c>
      <c r="AT10" s="110">
        <f>IS!BN46</f>
        <v>1722</v>
      </c>
      <c r="AU10" s="110">
        <f>IS!BO46</f>
        <v>2162</v>
      </c>
      <c r="AV10" s="110">
        <f>IS!BP46</f>
        <v>2135</v>
      </c>
      <c r="AW10" s="110">
        <f>IS!BQ46</f>
        <v>2074</v>
      </c>
      <c r="AX10" s="109">
        <f>IS!BR46</f>
        <v>8093</v>
      </c>
      <c r="AY10" s="110">
        <f>IS!BS46</f>
        <v>2020</v>
      </c>
      <c r="AZ10" s="110">
        <f>IS!BT46</f>
        <v>2504</v>
      </c>
      <c r="BA10" s="110">
        <f>IS!BU46</f>
        <v>2494</v>
      </c>
      <c r="BB10" s="110">
        <f>IS!BV46</f>
        <v>2449</v>
      </c>
      <c r="BC10" s="109">
        <f>IS!BW46</f>
        <v>9467</v>
      </c>
      <c r="BD10" s="110">
        <f>IS!BX46</f>
        <v>2223</v>
      </c>
      <c r="BE10" s="110">
        <f>IS!BY46</f>
        <v>2738</v>
      </c>
      <c r="BF10" s="110">
        <f>IS!BZ46</f>
        <v>2696</v>
      </c>
      <c r="BG10" s="110">
        <f>IS!CA46</f>
        <v>2695</v>
      </c>
      <c r="BH10" s="109">
        <f>IS!CB46</f>
        <v>10352</v>
      </c>
      <c r="BI10" s="110">
        <f>IS!CC46</f>
        <v>2149</v>
      </c>
      <c r="BJ10" s="110">
        <f>IS!CD46</f>
        <v>2489</v>
      </c>
      <c r="BK10" s="110">
        <f>IS!CE46</f>
        <v>2375</v>
      </c>
      <c r="BL10" s="110">
        <f>IS!CF46</f>
        <v>2155</v>
      </c>
      <c r="BM10" s="109">
        <f>IS!CG46</f>
        <v>9168</v>
      </c>
      <c r="BN10" s="110">
        <f>IS!CH46</f>
        <v>2007</v>
      </c>
      <c r="BO10" s="110">
        <f>IS!CI46</f>
        <v>2465</v>
      </c>
      <c r="BP10" s="110">
        <f>IS!CJ46</f>
        <v>2380</v>
      </c>
      <c r="BQ10" s="110">
        <f>IS!CK46</f>
        <v>2160</v>
      </c>
      <c r="BR10" s="109">
        <f>IS!CL46</f>
        <v>9012</v>
      </c>
      <c r="BS10" s="110">
        <f>IS!CM46</f>
        <v>1939</v>
      </c>
      <c r="BT10" s="110">
        <f>IS!CN46</f>
        <v>2350</v>
      </c>
      <c r="BU10" s="110">
        <f>IS!CO46</f>
        <v>2331</v>
      </c>
      <c r="BV10" s="110">
        <f>IS!CP46</f>
        <v>2081.7515067427685</v>
      </c>
      <c r="BW10" s="109">
        <f>IS!CQ46</f>
        <v>8701.7515067427685</v>
      </c>
      <c r="BX10" s="109">
        <f>IS!CV46</f>
        <v>9037.7421835159985</v>
      </c>
      <c r="BY10" s="109">
        <f>IS!CW46</f>
        <v>10024.95139728516</v>
      </c>
    </row>
    <row r="11" spans="1:77">
      <c r="A11" s="41" t="s">
        <v>88</v>
      </c>
      <c r="B11" s="109"/>
      <c r="C11" s="109">
        <f>'Divisional Summary'!O86</f>
        <v>3763</v>
      </c>
      <c r="D11" s="109">
        <f>'Divisional Summary'!T86</f>
        <v>4181</v>
      </c>
      <c r="E11" s="109">
        <f>'Divisional Summary'!Y86</f>
        <v>4375</v>
      </c>
      <c r="F11" s="110">
        <f>'Divisional Summary'!Z86</f>
        <v>1031</v>
      </c>
      <c r="G11" s="110">
        <f>'Divisional Summary'!AA86</f>
        <v>1362</v>
      </c>
      <c r="H11" s="110">
        <f>'Divisional Summary'!AB86</f>
        <v>1292</v>
      </c>
      <c r="I11" s="110">
        <f>'Divisional Summary'!AC86</f>
        <v>1171</v>
      </c>
      <c r="J11" s="109">
        <f>'Divisional Summary'!AD86</f>
        <v>4856</v>
      </c>
      <c r="K11" s="110">
        <f>'Divisional Summary'!AE86</f>
        <v>1208</v>
      </c>
      <c r="L11" s="110">
        <f>'Divisional Summary'!AF86</f>
        <v>1535</v>
      </c>
      <c r="M11" s="110">
        <f>'Divisional Summary'!AG86</f>
        <v>1535</v>
      </c>
      <c r="N11" s="110">
        <f>'Divisional Summary'!AH86</f>
        <v>1408</v>
      </c>
      <c r="O11" s="109">
        <f>'Divisional Summary'!AI86</f>
        <v>5686</v>
      </c>
      <c r="P11" s="110">
        <f>'Divisional Summary'!AJ86</f>
        <v>1328</v>
      </c>
      <c r="Q11" s="110">
        <f>'Divisional Summary'!AK86</f>
        <v>1738</v>
      </c>
      <c r="R11" s="110">
        <f>'Divisional Summary'!AL86</f>
        <v>1729</v>
      </c>
      <c r="S11" s="110">
        <f>'Divisional Summary'!AM86</f>
        <v>1576</v>
      </c>
      <c r="T11" s="109">
        <f>'Divisional Summary'!AN86</f>
        <v>6371</v>
      </c>
      <c r="U11" s="110">
        <f>'Divisional Summary'!AO86</f>
        <v>1565</v>
      </c>
      <c r="V11" s="110">
        <f>'Divisional Summary'!AP86</f>
        <v>2002</v>
      </c>
      <c r="W11" s="110">
        <f>'Divisional Summary'!AQ86</f>
        <v>2004</v>
      </c>
      <c r="X11" s="110">
        <f>'Divisional Summary'!AR86</f>
        <v>1920</v>
      </c>
      <c r="Y11" s="109">
        <f>'Divisional Summary'!AS86</f>
        <v>7470</v>
      </c>
      <c r="Z11" s="110">
        <f>'Divisional Summary'!AT86</f>
        <v>1814</v>
      </c>
      <c r="AA11" s="110">
        <f>'Divisional Summary'!AU86</f>
        <v>2315</v>
      </c>
      <c r="AB11" s="110">
        <f>'Divisional Summary'!AV86</f>
        <v>2228</v>
      </c>
      <c r="AC11" s="110">
        <f>'Divisional Summary'!AW86</f>
        <v>1904</v>
      </c>
      <c r="AD11" s="109">
        <f>'Divisional Summary'!AX86</f>
        <v>8169</v>
      </c>
      <c r="AE11" s="110">
        <f>'Divisional Summary'!AY86</f>
        <v>1525</v>
      </c>
      <c r="AF11" s="110">
        <f>'Divisional Summary'!AZ86</f>
        <v>1979</v>
      </c>
      <c r="AG11" s="110">
        <f>'Divisional Summary'!BA86</f>
        <v>2057</v>
      </c>
      <c r="AH11" s="110">
        <f>'Divisional Summary'!BB86</f>
        <v>2048</v>
      </c>
      <c r="AI11" s="109">
        <f>'Divisional Summary'!BC86</f>
        <v>7525</v>
      </c>
      <c r="AJ11" s="110">
        <f>'Divisional Summary'!BD86</f>
        <v>1727</v>
      </c>
      <c r="AK11" s="110">
        <f>'Divisional Summary'!BE86</f>
        <v>2186</v>
      </c>
      <c r="AL11" s="110">
        <f>'Divisional Summary'!BF86</f>
        <v>2243</v>
      </c>
      <c r="AM11" s="110">
        <f>'Divisional Summary'!BG86</f>
        <v>2274</v>
      </c>
      <c r="AN11" s="109">
        <f>'Divisional Summary'!BH86</f>
        <v>8463</v>
      </c>
      <c r="AO11" s="110">
        <f>'Divisional Summary'!BI86</f>
        <v>1872</v>
      </c>
      <c r="AP11" s="110">
        <f>'Divisional Summary'!BJ86</f>
        <v>2278</v>
      </c>
      <c r="AQ11" s="110">
        <f>'Divisional Summary'!BK86</f>
        <v>2292</v>
      </c>
      <c r="AR11" s="110">
        <f>'Divisional Summary'!BL86</f>
        <v>2209</v>
      </c>
      <c r="AS11" s="109">
        <f>'Divisional Summary'!BM86</f>
        <v>8651</v>
      </c>
      <c r="AT11" s="110">
        <f>'Divisional Summary'!BN86</f>
        <v>1826</v>
      </c>
      <c r="AU11" s="110">
        <f>'Divisional Summary'!BO86</f>
        <v>2276</v>
      </c>
      <c r="AV11" s="110">
        <f>'Divisional Summary'!BP86</f>
        <v>2284</v>
      </c>
      <c r="AW11" s="110">
        <f>'Divisional Summary'!BQ86</f>
        <v>2210</v>
      </c>
      <c r="AX11" s="109">
        <f>'Divisional Summary'!BR86</f>
        <v>8596</v>
      </c>
      <c r="AY11" s="110">
        <f>'Divisional Summary'!BS86</f>
        <v>2106</v>
      </c>
      <c r="AZ11" s="110">
        <f>'Divisional Summary'!BT86</f>
        <v>2621</v>
      </c>
      <c r="BA11" s="110">
        <f>'Divisional Summary'!BU86</f>
        <v>2605</v>
      </c>
      <c r="BB11" s="110">
        <f>'Divisional Summary'!BV86</f>
        <v>2594</v>
      </c>
      <c r="BC11" s="109">
        <f>'Divisional Summary'!BW86</f>
        <v>9926</v>
      </c>
      <c r="BD11" s="110">
        <f>'Divisional Summary'!BX86</f>
        <v>2296</v>
      </c>
      <c r="BE11" s="110">
        <f>'Divisional Summary'!BY86</f>
        <v>2828</v>
      </c>
      <c r="BF11" s="110">
        <f>'Divisional Summary'!BZ86</f>
        <v>2820</v>
      </c>
      <c r="BG11" s="110">
        <f>'Divisional Summary'!CA86</f>
        <v>2850</v>
      </c>
      <c r="BH11" s="109">
        <f>'Divisional Summary'!CB86</f>
        <v>10794</v>
      </c>
      <c r="BI11" s="110">
        <f>'Divisional Summary'!CC86</f>
        <v>2211</v>
      </c>
      <c r="BJ11" s="110">
        <f>'Divisional Summary'!CD86</f>
        <v>2555</v>
      </c>
      <c r="BK11" s="110">
        <f>'Divisional Summary'!CE86</f>
        <v>2473</v>
      </c>
      <c r="BL11" s="110">
        <f>'Divisional Summary'!CF86</f>
        <v>2341</v>
      </c>
      <c r="BM11" s="109">
        <f>'Divisional Summary'!CG86</f>
        <v>9580</v>
      </c>
      <c r="BN11" s="110">
        <f>'Divisional Summary'!CH86</f>
        <v>2081</v>
      </c>
      <c r="BO11" s="110">
        <f>'Divisional Summary'!CI86</f>
        <v>2548</v>
      </c>
      <c r="BP11" s="110">
        <f>'Divisional Summary'!CJ86</f>
        <v>2449</v>
      </c>
      <c r="BQ11" s="110">
        <f>'Divisional Summary'!CK86</f>
        <v>2279</v>
      </c>
      <c r="BR11" s="109">
        <f>'Divisional Summary'!CL86</f>
        <v>9387.7982041718551</v>
      </c>
      <c r="BS11" s="110">
        <f>'Divisional Summary'!CM86</f>
        <v>2056</v>
      </c>
      <c r="BT11" s="110">
        <f>'Divisional Summary'!CN86</f>
        <v>2458</v>
      </c>
      <c r="BU11" s="110">
        <f>'Divisional Summary'!CO86</f>
        <v>2488</v>
      </c>
      <c r="BV11" s="110">
        <f>'Divisional Summary'!CP86</f>
        <v>2260.8037645854042</v>
      </c>
      <c r="BW11" s="109">
        <f>'Divisional Summary'!CQ86</f>
        <v>9262.8037645854038</v>
      </c>
      <c r="BX11" s="109">
        <f>'Divisional Summary'!CV86</f>
        <v>9611.294441358632</v>
      </c>
      <c r="BY11" s="109">
        <f>'Divisional Summary'!CW86</f>
        <v>10523.503655127797</v>
      </c>
    </row>
    <row r="12" spans="1:77">
      <c r="A12" s="30" t="s">
        <v>112</v>
      </c>
      <c r="B12" s="48">
        <f>IS!J58</f>
        <v>3140</v>
      </c>
      <c r="C12" s="48">
        <f>IS!O58</f>
        <v>3233</v>
      </c>
      <c r="D12" s="48">
        <f>IS!T58</f>
        <v>3657</v>
      </c>
      <c r="E12" s="48">
        <f>IS!Y58</f>
        <v>3845</v>
      </c>
      <c r="F12" s="49">
        <f>IS!Z58</f>
        <v>920</v>
      </c>
      <c r="G12" s="49">
        <f>IS!AA58</f>
        <v>1217</v>
      </c>
      <c r="H12" s="49">
        <f>IS!AB58</f>
        <v>1130</v>
      </c>
      <c r="I12" s="49">
        <f>IS!AC58</f>
        <v>1034</v>
      </c>
      <c r="J12" s="48">
        <f>IS!AD58</f>
        <v>4470</v>
      </c>
      <c r="K12" s="49">
        <f>IS!AE58</f>
        <v>1088</v>
      </c>
      <c r="L12" s="49">
        <f>IS!AF58</f>
        <v>1489</v>
      </c>
      <c r="M12" s="49">
        <f>IS!AG58</f>
        <v>1384</v>
      </c>
      <c r="N12" s="49">
        <f>IS!AH58</f>
        <v>1221</v>
      </c>
      <c r="O12" s="48">
        <f>IS!AI58</f>
        <v>5182</v>
      </c>
      <c r="P12" s="49">
        <f>IS!AJ58</f>
        <v>1282</v>
      </c>
      <c r="Q12" s="49">
        <f>IS!AK58</f>
        <v>1741</v>
      </c>
      <c r="R12" s="49">
        <f>IS!AL58</f>
        <v>1647</v>
      </c>
      <c r="S12" s="49">
        <f>IS!AM58</f>
        <v>1428</v>
      </c>
      <c r="T12" s="48">
        <f>IS!AN58</f>
        <v>6098</v>
      </c>
      <c r="U12" s="49">
        <f>IS!AO58</f>
        <v>1504</v>
      </c>
      <c r="V12" s="49">
        <f>IS!AP58</f>
        <v>1865</v>
      </c>
      <c r="W12" s="49">
        <f>IS!AQ58</f>
        <v>1888</v>
      </c>
      <c r="X12" s="49">
        <f>IS!AR58</f>
        <v>1793</v>
      </c>
      <c r="Y12" s="48">
        <f>IS!AS58</f>
        <v>7050</v>
      </c>
      <c r="Z12" s="49">
        <f>IS!AT58</f>
        <v>1674</v>
      </c>
      <c r="AA12" s="49">
        <f>IS!AU58</f>
        <v>2099</v>
      </c>
      <c r="AB12" s="49">
        <f>IS!AV58</f>
        <v>2049</v>
      </c>
      <c r="AC12" s="49">
        <f>IS!AW58</f>
        <v>1803</v>
      </c>
      <c r="AD12" s="48">
        <f>IS!AX58</f>
        <v>7625</v>
      </c>
      <c r="AE12" s="49">
        <f>IS!AY58</f>
        <v>1251.135</v>
      </c>
      <c r="AF12" s="49">
        <f>IS!AZ58</f>
        <v>1632.86</v>
      </c>
      <c r="AG12" s="49">
        <f>IS!BA58</f>
        <v>1768.58</v>
      </c>
      <c r="AH12" s="49">
        <f>IS!BB58</f>
        <v>1805.66</v>
      </c>
      <c r="AI12" s="48">
        <f>IS!BC58</f>
        <v>6458.2349999999997</v>
      </c>
      <c r="AJ12" s="49">
        <f>IS!BD58</f>
        <v>1549</v>
      </c>
      <c r="AK12" s="49">
        <f>IS!BE58</f>
        <v>1908</v>
      </c>
      <c r="AL12" s="49">
        <f>IS!BF58</f>
        <v>1954</v>
      </c>
      <c r="AM12" s="49">
        <f>IS!BG58</f>
        <v>1877</v>
      </c>
      <c r="AN12" s="48">
        <f>IS!BH58</f>
        <v>7288</v>
      </c>
      <c r="AO12" s="49">
        <f>IS!BI58</f>
        <v>1717</v>
      </c>
      <c r="AP12" s="49">
        <f>IS!BJ58</f>
        <v>2173</v>
      </c>
      <c r="AQ12" s="49">
        <f>IS!BK58</f>
        <v>2178</v>
      </c>
      <c r="AR12" s="49">
        <f>IS!BL58</f>
        <v>1957</v>
      </c>
      <c r="AS12" s="48">
        <f>IS!BM58</f>
        <v>8025</v>
      </c>
      <c r="AT12" s="49">
        <f>IS!BN58</f>
        <v>1748</v>
      </c>
      <c r="AU12" s="49">
        <f>IS!BO58</f>
        <v>2201</v>
      </c>
      <c r="AV12" s="49">
        <f>IS!BP58</f>
        <v>2085</v>
      </c>
      <c r="AW12" s="49">
        <f>IS!BQ58</f>
        <v>1770</v>
      </c>
      <c r="AX12" s="48">
        <f>IS!BR58</f>
        <v>7804</v>
      </c>
      <c r="AY12" s="49">
        <f>IS!BS58</f>
        <v>2025</v>
      </c>
      <c r="AZ12" s="49">
        <f>IS!BT58</f>
        <v>2562</v>
      </c>
      <c r="BA12" s="49">
        <f>IS!BU58</f>
        <v>2388</v>
      </c>
      <c r="BB12" s="49">
        <f>IS!BV58</f>
        <v>2371</v>
      </c>
      <c r="BC12" s="48">
        <f>IS!BW58</f>
        <v>9346</v>
      </c>
      <c r="BD12" s="49">
        <f>IS!BX58</f>
        <v>2116</v>
      </c>
      <c r="BE12" s="49">
        <f>IS!BY58</f>
        <v>2394</v>
      </c>
      <c r="BF12" s="49">
        <f>IS!BZ58</f>
        <v>2797</v>
      </c>
      <c r="BG12" s="49">
        <f>IS!CA58</f>
        <v>2676</v>
      </c>
      <c r="BH12" s="48">
        <f>IS!CB58</f>
        <v>9983</v>
      </c>
      <c r="BI12" s="49">
        <f>IS!CC58</f>
        <v>2204</v>
      </c>
      <c r="BJ12" s="49">
        <f>IS!CD58</f>
        <v>2450</v>
      </c>
      <c r="BK12" s="49">
        <f>IS!CE58</f>
        <v>2341</v>
      </c>
      <c r="BL12" s="49">
        <f>IS!CF58</f>
        <v>424</v>
      </c>
      <c r="BM12" s="48">
        <f>IS!CG58</f>
        <v>7419</v>
      </c>
      <c r="BN12" s="49">
        <f>IS!CH58</f>
        <v>1963</v>
      </c>
      <c r="BO12" s="49">
        <f>IS!CI58</f>
        <v>2360</v>
      </c>
      <c r="BP12" s="49">
        <f>IS!CJ58</f>
        <v>2278</v>
      </c>
      <c r="BQ12" s="49">
        <f>IS!CK58</f>
        <v>1693</v>
      </c>
      <c r="BR12" s="48">
        <f>IS!CL58</f>
        <v>8294</v>
      </c>
      <c r="BS12" s="49">
        <f>IS!CM58</f>
        <v>2290</v>
      </c>
      <c r="BT12" s="49">
        <f>IS!CN58</f>
        <v>2315</v>
      </c>
      <c r="BU12" s="49">
        <f>IS!CO58</f>
        <v>2195.6474287311348</v>
      </c>
      <c r="BV12" s="49">
        <f>IS!CP58</f>
        <v>1998.5272194314214</v>
      </c>
      <c r="BW12" s="48">
        <f>IS!CQ58</f>
        <v>8799.174648162556</v>
      </c>
      <c r="BX12" s="48">
        <f>IS!CV58</f>
        <v>8908.7217751329845</v>
      </c>
      <c r="BY12" s="48">
        <f>IS!CW58</f>
        <v>9984.4783419907308</v>
      </c>
    </row>
    <row r="13" spans="1:77">
      <c r="A13" s="30" t="s">
        <v>111</v>
      </c>
      <c r="B13" s="48">
        <f>IS!J63</f>
        <v>2758</v>
      </c>
      <c r="C13" s="48">
        <f>IS!O63</f>
        <v>2807</v>
      </c>
      <c r="D13" s="48">
        <f>IS!T63</f>
        <v>3276</v>
      </c>
      <c r="E13" s="48">
        <f>IS!Y63</f>
        <v>3470</v>
      </c>
      <c r="F13" s="49">
        <f>IS!Z63</f>
        <v>833</v>
      </c>
      <c r="G13" s="49">
        <f>IS!AA63</f>
        <v>1126</v>
      </c>
      <c r="H13" s="49">
        <f>IS!AB63</f>
        <v>1041</v>
      </c>
      <c r="I13" s="49">
        <f>IS!AC63</f>
        <v>938</v>
      </c>
      <c r="J13" s="48">
        <f>IS!AD63</f>
        <v>4107</v>
      </c>
      <c r="K13" s="49">
        <f>IS!AE63</f>
        <v>988</v>
      </c>
      <c r="L13" s="49">
        <f>IS!AF63</f>
        <v>1369</v>
      </c>
      <c r="M13" s="49">
        <f>IS!AG63</f>
        <v>1249</v>
      </c>
      <c r="N13" s="49">
        <f>IS!AH63</f>
        <v>1078</v>
      </c>
      <c r="O13" s="48">
        <f>IS!AI63</f>
        <v>4684</v>
      </c>
      <c r="P13" s="49">
        <f>IS!AJ63</f>
        <v>1140</v>
      </c>
      <c r="Q13" s="49">
        <f>IS!AK63</f>
        <v>1586</v>
      </c>
      <c r="R13" s="49">
        <f>IS!AL63</f>
        <v>1491</v>
      </c>
      <c r="S13" s="49">
        <f>IS!AM63</f>
        <v>1275</v>
      </c>
      <c r="T13" s="48">
        <f>IS!AN63</f>
        <v>5492</v>
      </c>
      <c r="U13" s="49">
        <f>IS!AO63</f>
        <v>1354</v>
      </c>
      <c r="V13" s="49">
        <f>IS!AP63</f>
        <v>1702</v>
      </c>
      <c r="W13" s="49">
        <f>IS!AQ63</f>
        <v>1709</v>
      </c>
      <c r="X13" s="49">
        <f>IS!AR63</f>
        <v>1619</v>
      </c>
      <c r="Y13" s="48">
        <f>IS!AS63</f>
        <v>6384</v>
      </c>
      <c r="Z13" s="49">
        <f>IS!AT63</f>
        <v>1509</v>
      </c>
      <c r="AA13" s="49">
        <f>IS!AU63</f>
        <v>1923</v>
      </c>
      <c r="AB13" s="49">
        <f>IS!AV63</f>
        <v>1872</v>
      </c>
      <c r="AC13" s="49">
        <f>IS!AW63</f>
        <v>1632</v>
      </c>
      <c r="AD13" s="48">
        <f>IS!AX63</f>
        <v>6936</v>
      </c>
      <c r="AE13" s="49">
        <f>IS!AY63</f>
        <v>1077.885</v>
      </c>
      <c r="AF13" s="49">
        <f>IS!AZ63</f>
        <v>1457.61</v>
      </c>
      <c r="AG13" s="49">
        <f>IS!BA63</f>
        <v>1600.33</v>
      </c>
      <c r="AH13" s="49">
        <f>IS!BB63</f>
        <v>1624.41</v>
      </c>
      <c r="AI13" s="48">
        <f>IS!BC63</f>
        <v>5760.2349999999997</v>
      </c>
      <c r="AJ13" s="49">
        <f>IS!BD63</f>
        <v>1352</v>
      </c>
      <c r="AK13" s="49">
        <f>IS!BE63</f>
        <v>1733</v>
      </c>
      <c r="AL13" s="49">
        <f>IS!BF63</f>
        <v>1767</v>
      </c>
      <c r="AM13" s="49">
        <f>IS!BG63</f>
        <v>1686</v>
      </c>
      <c r="AN13" s="48">
        <f>IS!BH63</f>
        <v>6538</v>
      </c>
      <c r="AO13" s="49">
        <f>IS!BI63</f>
        <v>1551</v>
      </c>
      <c r="AP13" s="49">
        <f>IS!BJ63</f>
        <v>2009</v>
      </c>
      <c r="AQ13" s="49">
        <f>IS!BK63</f>
        <v>2012</v>
      </c>
      <c r="AR13" s="49">
        <f>IS!BL63</f>
        <v>1778</v>
      </c>
      <c r="AS13" s="48">
        <f>IS!BM63</f>
        <v>7350</v>
      </c>
      <c r="AT13" s="49">
        <f>IS!BN63</f>
        <v>1584</v>
      </c>
      <c r="AU13" s="49">
        <f>IS!BO63</f>
        <v>2011</v>
      </c>
      <c r="AV13" s="49">
        <f>IS!BP63</f>
        <v>1825</v>
      </c>
      <c r="AW13" s="49">
        <f>IS!BQ63</f>
        <v>1491</v>
      </c>
      <c r="AX13" s="48">
        <f>IS!BR63</f>
        <v>6911</v>
      </c>
      <c r="AY13" s="49">
        <f>IS!BS63</f>
        <v>1770</v>
      </c>
      <c r="AZ13" s="49">
        <f>IS!BT63</f>
        <v>2290</v>
      </c>
      <c r="BA13" s="49">
        <f>IS!BU63</f>
        <v>2140</v>
      </c>
      <c r="BB13" s="49">
        <f>IS!BV63</f>
        <v>2112</v>
      </c>
      <c r="BC13" s="48">
        <f>IS!BW63</f>
        <v>8312</v>
      </c>
      <c r="BD13" s="49">
        <f>IS!BX63</f>
        <v>1873</v>
      </c>
      <c r="BE13" s="49">
        <f>IS!BY63</f>
        <v>2149</v>
      </c>
      <c r="BF13" s="49">
        <f>IS!BZ63</f>
        <v>2560</v>
      </c>
      <c r="BG13" s="49">
        <f>IS!CA63</f>
        <v>2305</v>
      </c>
      <c r="BH13" s="48">
        <f>IS!CB63</f>
        <v>8887</v>
      </c>
      <c r="BI13" s="49">
        <f>IS!CC63</f>
        <v>1965</v>
      </c>
      <c r="BJ13" s="49">
        <f>IS!CD63</f>
        <v>2206</v>
      </c>
      <c r="BK13" s="49">
        <f>IS!CE63</f>
        <v>2118</v>
      </c>
      <c r="BL13" s="49">
        <f>IS!CF63</f>
        <v>186</v>
      </c>
      <c r="BM13" s="48">
        <f>IS!CG63</f>
        <v>6475</v>
      </c>
      <c r="BN13" s="49">
        <f>IS!CH63</f>
        <v>1722</v>
      </c>
      <c r="BO13" s="49">
        <f>IS!CI63</f>
        <v>2112</v>
      </c>
      <c r="BP13" s="49">
        <f>IS!CJ63</f>
        <v>2026</v>
      </c>
      <c r="BQ13" s="49">
        <f>IS!CK63</f>
        <v>1273</v>
      </c>
      <c r="BR13" s="48">
        <f>IS!CL63</f>
        <v>7133</v>
      </c>
      <c r="BS13" s="49">
        <f>IS!CM63</f>
        <v>2054</v>
      </c>
      <c r="BT13" s="49">
        <f>IS!CN63</f>
        <v>2064</v>
      </c>
      <c r="BU13" s="49">
        <f>IS!CO63</f>
        <v>1940</v>
      </c>
      <c r="BV13" s="49">
        <f>IS!CP63</f>
        <v>1739.871950633933</v>
      </c>
      <c r="BW13" s="48">
        <f>IS!CQ63</f>
        <v>7797.871950633933</v>
      </c>
      <c r="BX13" s="48">
        <f>IS!CV63</f>
        <v>7826.6584276030653</v>
      </c>
      <c r="BY13" s="48">
        <f>IS!CW63</f>
        <v>8864.125420945953</v>
      </c>
    </row>
    <row r="14" spans="1:77">
      <c r="A14" s="41" t="s">
        <v>110</v>
      </c>
      <c r="B14" s="109">
        <f>IS!J81</f>
        <v>1808</v>
      </c>
      <c r="C14" s="109">
        <f>IS!O81</f>
        <v>2185.7759999999998</v>
      </c>
      <c r="D14" s="109">
        <f>IS!T81</f>
        <v>2467.12</v>
      </c>
      <c r="E14" s="109">
        <f>IS!Y81</f>
        <v>2452.3440000000001</v>
      </c>
      <c r="F14" s="110">
        <f>IS!Z81</f>
        <v>557.56100000000004</v>
      </c>
      <c r="G14" s="110">
        <f>IS!AA81</f>
        <v>746.3</v>
      </c>
      <c r="H14" s="110">
        <f>IS!AB81</f>
        <v>735.28200000000004</v>
      </c>
      <c r="I14" s="110">
        <f>IS!AC81</f>
        <v>652.31999999999994</v>
      </c>
      <c r="J14" s="109">
        <f>IS!AD81</f>
        <v>2806.4630000000002</v>
      </c>
      <c r="K14" s="110">
        <f>IS!AE81</f>
        <v>671.32</v>
      </c>
      <c r="L14" s="110">
        <f>IS!AF81</f>
        <v>879.38</v>
      </c>
      <c r="M14" s="110">
        <f>IS!AG81</f>
        <v>855.95</v>
      </c>
      <c r="N14" s="110">
        <f>IS!AH81</f>
        <v>788.803</v>
      </c>
      <c r="O14" s="109">
        <f>IS!AI81</f>
        <v>3195.453</v>
      </c>
      <c r="P14" s="110">
        <f>IS!AJ81</f>
        <v>768</v>
      </c>
      <c r="Q14" s="110">
        <f>IS!AK81</f>
        <v>1032.3699999999999</v>
      </c>
      <c r="R14" s="110">
        <f>IS!AL81</f>
        <v>1016.12</v>
      </c>
      <c r="S14" s="110">
        <f>IS!AM81</f>
        <v>914.9</v>
      </c>
      <c r="T14" s="109">
        <f>IS!AN81</f>
        <v>3731.39</v>
      </c>
      <c r="U14" s="110">
        <f>IS!AO81</f>
        <v>888.51</v>
      </c>
      <c r="V14" s="110">
        <f>IS!AP81</f>
        <v>1167.8</v>
      </c>
      <c r="W14" s="110">
        <f>IS!AQ81</f>
        <v>1157.44</v>
      </c>
      <c r="X14" s="110">
        <f>IS!AR81</f>
        <v>1099.3599999999999</v>
      </c>
      <c r="Y14" s="109">
        <f>IS!AS81</f>
        <v>4313.1099999999997</v>
      </c>
      <c r="Z14" s="110">
        <f>IS!AT81</f>
        <v>1019.5</v>
      </c>
      <c r="AA14" s="110">
        <f>IS!AU81</f>
        <v>1332.96</v>
      </c>
      <c r="AB14" s="110">
        <f>IS!AV81</f>
        <v>1297.53</v>
      </c>
      <c r="AC14" s="110">
        <f>IS!AW81</f>
        <v>1089.02</v>
      </c>
      <c r="AD14" s="109">
        <f>IS!AX81</f>
        <v>4739.01</v>
      </c>
      <c r="AE14" s="110">
        <f>IS!AY81</f>
        <v>808.22500000000002</v>
      </c>
      <c r="AF14" s="110">
        <f>IS!AZ81</f>
        <v>1122.25</v>
      </c>
      <c r="AG14" s="110">
        <f>IS!BA81</f>
        <v>1178.0999999999999</v>
      </c>
      <c r="AH14" s="110">
        <f>IS!BB81</f>
        <v>1147.8900000000001</v>
      </c>
      <c r="AI14" s="109">
        <f>IS!BC81</f>
        <v>4256.4650000000001</v>
      </c>
      <c r="AJ14" s="110">
        <f>IS!BD81</f>
        <v>911</v>
      </c>
      <c r="AK14" s="110">
        <f>IS!BE81</f>
        <v>1221</v>
      </c>
      <c r="AL14" s="110">
        <f>IS!BF81</f>
        <v>1280</v>
      </c>
      <c r="AM14" s="110">
        <f>IS!BG81</f>
        <v>1228</v>
      </c>
      <c r="AN14" s="109">
        <f>IS!BH81</f>
        <v>4640</v>
      </c>
      <c r="AO14" s="110">
        <f>IS!BI81</f>
        <v>991</v>
      </c>
      <c r="AP14" s="110">
        <f>IS!BJ81</f>
        <v>1277</v>
      </c>
      <c r="AQ14" s="110">
        <f>IS!BK81</f>
        <v>1305</v>
      </c>
      <c r="AR14" s="110">
        <f>IS!BL81</f>
        <v>1267</v>
      </c>
      <c r="AS14" s="109">
        <f>IS!BM81</f>
        <v>4840</v>
      </c>
      <c r="AT14" s="110">
        <f>IS!BN81</f>
        <v>1001</v>
      </c>
      <c r="AU14" s="110">
        <f>IS!BO81</f>
        <v>1428</v>
      </c>
      <c r="AV14" s="110">
        <f>IS!BP81</f>
        <v>1246</v>
      </c>
      <c r="AW14" s="110">
        <f>IS!BQ81</f>
        <v>1175</v>
      </c>
      <c r="AX14" s="109">
        <f>IS!BR81</f>
        <v>4850</v>
      </c>
      <c r="AY14" s="110">
        <f>IS!BS81</f>
        <v>1173</v>
      </c>
      <c r="AZ14" s="110">
        <f>IS!BT81</f>
        <v>1502</v>
      </c>
      <c r="BA14" s="110">
        <f>IS!BU81</f>
        <v>1485</v>
      </c>
      <c r="BB14" s="110">
        <f>IS!BV81</f>
        <v>1528</v>
      </c>
      <c r="BC14" s="109">
        <f>IS!BW81</f>
        <v>5688</v>
      </c>
      <c r="BD14" s="110">
        <f>IS!BX81</f>
        <v>1130</v>
      </c>
      <c r="BE14" s="110">
        <f>IS!BY81</f>
        <v>1679</v>
      </c>
      <c r="BF14" s="110">
        <f>IS!BZ81</f>
        <v>2050</v>
      </c>
      <c r="BG14" s="110">
        <f>IS!CA81</f>
        <v>1710</v>
      </c>
      <c r="BH14" s="109">
        <f>IS!CB81</f>
        <v>6569</v>
      </c>
      <c r="BI14" s="110">
        <f>IS!CC81</f>
        <v>1303.74</v>
      </c>
      <c r="BJ14" s="110">
        <f>IS!CD81</f>
        <v>1511.26</v>
      </c>
      <c r="BK14" s="110">
        <f>IS!CE81</f>
        <v>1478.5958451369215</v>
      </c>
      <c r="BL14" s="110">
        <f>IS!CF81</f>
        <v>1298</v>
      </c>
      <c r="BM14" s="109">
        <f>IS!CG81</f>
        <v>5591.5958451369215</v>
      </c>
      <c r="BN14" s="110">
        <f>IS!CH81</f>
        <v>1221.55</v>
      </c>
      <c r="BO14" s="110">
        <f>IS!CI81</f>
        <v>1511.575</v>
      </c>
      <c r="BP14" s="110">
        <f>IS!CJ81</f>
        <v>1459.62</v>
      </c>
      <c r="BQ14" s="110">
        <f>IS!CK81</f>
        <v>1267</v>
      </c>
      <c r="BR14" s="109">
        <f>IS!CL81</f>
        <v>5459.7449999999999</v>
      </c>
      <c r="BS14" s="110">
        <f>IS!CM81</f>
        <v>1185.5</v>
      </c>
      <c r="BT14" s="110">
        <f>IS!CN81</f>
        <v>1478.9</v>
      </c>
      <c r="BU14" s="110">
        <f>IS!CO81</f>
        <v>1377.82</v>
      </c>
      <c r="BV14" s="110">
        <f>IS!CP81</f>
        <v>1255.6173385718785</v>
      </c>
      <c r="BW14" s="109">
        <f>IS!CQ81</f>
        <v>5297.8373385718787</v>
      </c>
      <c r="BX14" s="109">
        <f>IS!CV81</f>
        <v>5549.3320532696853</v>
      </c>
      <c r="BY14" s="109">
        <f>IS!CW81</f>
        <v>6294.1186860348589</v>
      </c>
    </row>
    <row r="15" spans="1:77">
      <c r="A15" s="41"/>
      <c r="B15" s="109"/>
      <c r="C15" s="109"/>
      <c r="D15" s="109"/>
      <c r="E15" s="109"/>
      <c r="F15" s="110"/>
      <c r="G15" s="110"/>
      <c r="H15" s="110"/>
      <c r="I15" s="110"/>
      <c r="J15" s="109"/>
      <c r="K15" s="110"/>
      <c r="L15" s="110"/>
      <c r="M15" s="110"/>
      <c r="N15" s="110"/>
      <c r="O15" s="109"/>
      <c r="P15" s="110"/>
      <c r="Q15" s="110"/>
      <c r="R15" s="110"/>
      <c r="S15" s="110"/>
      <c r="T15" s="109"/>
      <c r="U15" s="110"/>
      <c r="V15" s="110"/>
      <c r="W15" s="110"/>
      <c r="X15" s="110"/>
      <c r="Y15" s="109"/>
      <c r="Z15" s="110"/>
      <c r="AA15" s="110"/>
      <c r="AB15" s="110"/>
      <c r="AC15" s="110"/>
      <c r="AD15" s="109"/>
      <c r="AE15" s="110"/>
      <c r="AF15" s="110"/>
      <c r="AG15" s="110"/>
      <c r="AH15" s="110"/>
      <c r="AI15" s="109"/>
      <c r="AJ15" s="110"/>
      <c r="AK15" s="110"/>
      <c r="AL15" s="110"/>
      <c r="AM15" s="110"/>
      <c r="AN15" s="109"/>
      <c r="AO15" s="110"/>
      <c r="AP15" s="110"/>
      <c r="AQ15" s="110"/>
      <c r="AR15" s="110"/>
      <c r="AS15" s="109"/>
      <c r="AT15" s="110"/>
      <c r="AU15" s="110"/>
      <c r="AV15" s="110"/>
      <c r="AW15" s="110"/>
      <c r="AX15" s="109"/>
      <c r="AY15" s="110"/>
      <c r="AZ15" s="110"/>
      <c r="BA15" s="110"/>
      <c r="BB15" s="110"/>
      <c r="BC15" s="109"/>
      <c r="BD15" s="110"/>
      <c r="BE15" s="110"/>
      <c r="BF15" s="110"/>
      <c r="BG15" s="110"/>
      <c r="BH15" s="109"/>
      <c r="BI15" s="110"/>
      <c r="BJ15" s="110"/>
      <c r="BK15" s="110"/>
      <c r="BL15" s="110"/>
      <c r="BM15" s="109"/>
      <c r="BN15" s="110"/>
      <c r="BO15" s="110"/>
      <c r="BP15" s="110"/>
      <c r="BQ15" s="110"/>
      <c r="BR15" s="109"/>
      <c r="BS15" s="110"/>
      <c r="BT15" s="110"/>
      <c r="BU15" s="110"/>
      <c r="BV15" s="110"/>
      <c r="BW15" s="109"/>
      <c r="BX15" s="109"/>
      <c r="BY15" s="109"/>
    </row>
    <row r="16" spans="1:77">
      <c r="A16" s="30" t="s">
        <v>109</v>
      </c>
      <c r="B16" s="48">
        <f>BS!I13+BS!I14</f>
        <v>748</v>
      </c>
      <c r="C16" s="48">
        <f>BS!J13+BS!J14</f>
        <v>1558</v>
      </c>
      <c r="D16" s="48">
        <f>BS!K13+BS!K14</f>
        <v>2080</v>
      </c>
      <c r="E16" s="48">
        <f>BS!L13+BS!L14</f>
        <v>1623</v>
      </c>
      <c r="F16" s="49">
        <f>BS!M13+BS!M14</f>
        <v>1731</v>
      </c>
      <c r="G16" s="49">
        <f>BS!N13+BS!N14</f>
        <v>2018</v>
      </c>
      <c r="H16" s="49">
        <f>BS!O13+BS!O14</f>
        <v>2340</v>
      </c>
      <c r="I16" s="49">
        <f>BS!P13+BS!P14</f>
        <v>2265</v>
      </c>
      <c r="J16" s="48">
        <f>BS!Q13+BS!Q14</f>
        <v>2265</v>
      </c>
      <c r="K16" s="49">
        <f>BS!R13+BS!R14</f>
        <v>1963</v>
      </c>
      <c r="L16" s="49">
        <f>BS!S13+BS!S14</f>
        <v>1985</v>
      </c>
      <c r="M16" s="49">
        <f>BS!T13+BS!T14</f>
        <v>2102</v>
      </c>
      <c r="N16" s="49">
        <f>BS!U13+BS!U14</f>
        <v>2247</v>
      </c>
      <c r="O16" s="48">
        <f>BS!V13+BS!V14</f>
        <v>2247</v>
      </c>
      <c r="P16" s="49">
        <f>BS!W13+BS!W14</f>
        <v>2417</v>
      </c>
      <c r="Q16" s="49">
        <f>BS!X13+BS!X14</f>
        <v>2883</v>
      </c>
      <c r="R16" s="49">
        <f>BS!Y13+BS!Y14</f>
        <v>2914</v>
      </c>
      <c r="S16" s="49">
        <f>BS!Z13+BS!Z14</f>
        <v>2546</v>
      </c>
      <c r="T16" s="48">
        <f>BS!AA13+BS!AA14</f>
        <v>2546</v>
      </c>
      <c r="U16" s="49">
        <f>BS!AB13+BS!AB14</f>
        <v>2481</v>
      </c>
      <c r="V16" s="49">
        <f>BS!AC13+BS!AC14</f>
        <v>3292</v>
      </c>
      <c r="W16" s="49">
        <f>BS!AD13+BS!AD14</f>
        <v>2810</v>
      </c>
      <c r="X16" s="49">
        <f>BS!AE13+BS!AE14</f>
        <v>2904</v>
      </c>
      <c r="Y16" s="48">
        <f>BS!AF13+BS!AF14</f>
        <v>2904</v>
      </c>
      <c r="Z16" s="49">
        <f>BS!AG13+BS!AG14</f>
        <v>3139</v>
      </c>
      <c r="AA16" s="49">
        <f>BS!AH13+BS!AH14</f>
        <v>3442</v>
      </c>
      <c r="AB16" s="49">
        <f>BS!AI13+BS!AI14</f>
        <v>3615</v>
      </c>
      <c r="AC16" s="49">
        <f>BS!AJ13+BS!AJ14</f>
        <v>4327</v>
      </c>
      <c r="AD16" s="48">
        <f>BS!AK13+BS!AK14</f>
        <v>4327</v>
      </c>
      <c r="AE16" s="49">
        <f>BS!AL13+BS!AL14</f>
        <v>3272</v>
      </c>
      <c r="AF16" s="49">
        <f>BS!AM13+BS!AM14</f>
        <v>4016</v>
      </c>
      <c r="AG16" s="49">
        <f>BS!AN13+BS!AN14</f>
        <v>4632</v>
      </c>
      <c r="AH16" s="49">
        <f>BS!AO13+BS!AO14</f>
        <v>4449</v>
      </c>
      <c r="AI16" s="48">
        <f>BS!AP13+BS!AP14</f>
        <v>4449</v>
      </c>
      <c r="AJ16" s="49">
        <f>BS!AQ13+BS!AQ14</f>
        <v>4788</v>
      </c>
      <c r="AK16" s="49">
        <f>BS!AR13+BS!AR14</f>
        <v>4997</v>
      </c>
      <c r="AL16" s="49">
        <f>BS!AS13+BS!AS14</f>
        <v>5731</v>
      </c>
      <c r="AM16" s="49">
        <f>BS!AT13+BS!AT14</f>
        <v>4083</v>
      </c>
      <c r="AN16" s="48">
        <f>BS!AU13+BS!AU14</f>
        <v>4083</v>
      </c>
      <c r="AO16" s="49">
        <f>BS!AV13+BS!AV14</f>
        <v>4440</v>
      </c>
      <c r="AP16" s="49">
        <f>BS!AW13+BS!AW14</f>
        <v>5396</v>
      </c>
      <c r="AQ16" s="49">
        <f>BS!AX13+BS!AX14</f>
        <v>5966</v>
      </c>
      <c r="AR16" s="49">
        <f>BS!AY13+BS!AY14</f>
        <v>5960</v>
      </c>
      <c r="AS16" s="48">
        <f>BS!AZ13+BS!AZ14</f>
        <v>5960</v>
      </c>
      <c r="AT16" s="49">
        <f>BS!BA13+BS!BA14</f>
        <v>6285</v>
      </c>
      <c r="AU16" s="49">
        <f>BS!BB13+BS!BB14</f>
        <v>16681</v>
      </c>
      <c r="AV16" s="49">
        <f>BS!BC13+BS!BC14</f>
        <v>6242</v>
      </c>
      <c r="AW16" s="49">
        <f>BS!BD13+BS!BD14</f>
        <v>4819</v>
      </c>
      <c r="AX16" s="48">
        <f>BS!BE13+BS!BE14</f>
        <v>4819</v>
      </c>
      <c r="AY16" s="49">
        <f>BS!BF13+BS!BF14</f>
        <v>4767</v>
      </c>
      <c r="AZ16" s="49">
        <f>BS!BG13+BS!BG14</f>
        <v>4909</v>
      </c>
      <c r="BA16" s="49">
        <f>BS!BH13+BS!BH14</f>
        <v>4621</v>
      </c>
      <c r="BB16" s="49">
        <f>BS!BI13+BS!BI14</f>
        <v>4619</v>
      </c>
      <c r="BC16" s="48">
        <f>BS!BJ13+BS!BJ14</f>
        <v>4619</v>
      </c>
      <c r="BD16" s="49">
        <f>BS!BK13+BS!BK14</f>
        <v>4477</v>
      </c>
      <c r="BE16" s="49">
        <f>BS!BL13+BS!BL14</f>
        <v>4962</v>
      </c>
      <c r="BF16" s="49">
        <f>BS!BM13+BS!BM14</f>
        <v>5035</v>
      </c>
      <c r="BG16" s="49">
        <f>BS!BN13+BS!BN14</f>
        <v>5235</v>
      </c>
      <c r="BH16" s="48">
        <f>BS!BO13+BS!BO14</f>
        <v>5235</v>
      </c>
      <c r="BI16" s="49">
        <f>BS!BP13+BS!BP14</f>
        <v>5281</v>
      </c>
      <c r="BJ16" s="49">
        <f>BS!BQ13+BS!BQ14</f>
        <v>5933</v>
      </c>
      <c r="BK16" s="49">
        <f>BS!BR13+BS!BR14</f>
        <v>5477</v>
      </c>
      <c r="BL16" s="49">
        <f>BS!BS13+BS!BS14</f>
        <v>7075</v>
      </c>
      <c r="BM16" s="48">
        <f>BS!BT13+BS!BT14</f>
        <v>7075</v>
      </c>
      <c r="BN16" s="49">
        <f>BS!BU13+BS!BU14</f>
        <v>7215</v>
      </c>
      <c r="BO16" s="49">
        <f>BS!BV13+BS!BV14</f>
        <v>6785</v>
      </c>
      <c r="BP16" s="49">
        <f>BS!BW13+BS!BW14</f>
        <v>7107</v>
      </c>
      <c r="BQ16" s="49">
        <f>BS!BX13+BS!BX14</f>
        <v>7157</v>
      </c>
      <c r="BR16" s="48">
        <f>BS!BY13+BS!BY14</f>
        <v>7157</v>
      </c>
      <c r="BS16" s="49">
        <f>BS!BZ13+BS!BZ14</f>
        <v>7156</v>
      </c>
      <c r="BT16" s="49">
        <f>BS!CA13+BS!CA14</f>
        <v>9345</v>
      </c>
      <c r="BU16" s="49">
        <f>BS!CB13+BS!CB14</f>
        <v>8523</v>
      </c>
      <c r="BV16" s="49">
        <f>BS!CC13+BS!CC14</f>
        <v>9652.5837213590057</v>
      </c>
      <c r="BW16" s="48">
        <f>BS!CD13+BS!CD14</f>
        <v>9652.5837213590057</v>
      </c>
      <c r="BX16" s="48">
        <f>BS!CI13+BS!CI14</f>
        <v>15001.539697461132</v>
      </c>
      <c r="BY16" s="48">
        <f>BS!CJ13+BS!CJ14</f>
        <v>19520.239770380711</v>
      </c>
    </row>
    <row r="17" spans="1:77">
      <c r="A17" s="30" t="s">
        <v>108</v>
      </c>
      <c r="B17" s="48">
        <f>BS!I33+BS!I34</f>
        <v>1335</v>
      </c>
      <c r="C17" s="48">
        <f>BS!J33+BS!J34</f>
        <v>722</v>
      </c>
      <c r="D17" s="48">
        <f>BS!K33+BS!K34</f>
        <v>241</v>
      </c>
      <c r="E17" s="48">
        <f>BS!L33+BS!L34</f>
        <v>1044</v>
      </c>
      <c r="F17" s="49">
        <f>BS!M33+BS!M34</f>
        <v>744</v>
      </c>
      <c r="G17" s="49">
        <f>BS!N33+BS!N34</f>
        <v>718</v>
      </c>
      <c r="H17" s="49">
        <f>BS!O33+BS!O34</f>
        <v>805</v>
      </c>
      <c r="I17" s="49">
        <f>BS!P33+BS!P34</f>
        <v>1360</v>
      </c>
      <c r="J17" s="48">
        <f>BS!Q33+BS!Q34</f>
        <v>1360</v>
      </c>
      <c r="K17" s="49">
        <f>BS!R33+BS!R34</f>
        <v>622</v>
      </c>
      <c r="L17" s="49">
        <f>BS!S33+BS!S34</f>
        <v>598</v>
      </c>
      <c r="M17" s="49">
        <f>BS!T33+BS!T34</f>
        <v>1446</v>
      </c>
      <c r="N17" s="49">
        <f>BS!U33+BS!U34</f>
        <v>2305</v>
      </c>
      <c r="O17" s="48">
        <f>BS!V33+BS!V34</f>
        <v>2305</v>
      </c>
      <c r="P17" s="49">
        <f>BS!W33+BS!W34</f>
        <v>2319</v>
      </c>
      <c r="Q17" s="49">
        <f>BS!X33+BS!X34</f>
        <v>1698</v>
      </c>
      <c r="R17" s="49">
        <f>BS!Y33+BS!Y34</f>
        <v>1224</v>
      </c>
      <c r="S17" s="49">
        <f>BS!Z33+BS!Z34</f>
        <v>894</v>
      </c>
      <c r="T17" s="48">
        <f>BS!AA33+BS!AA34</f>
        <v>894</v>
      </c>
      <c r="U17" s="49">
        <f>BS!AB33+BS!AB34</f>
        <v>1229</v>
      </c>
      <c r="V17" s="49">
        <f>BS!AC33+BS!AC34</f>
        <v>1548</v>
      </c>
      <c r="W17" s="49">
        <f>BS!AD33+BS!AD34</f>
        <v>2268</v>
      </c>
      <c r="X17" s="49">
        <f>BS!AE33+BS!AE34</f>
        <v>1133</v>
      </c>
      <c r="Y17" s="48">
        <f>BS!AF33+BS!AF34</f>
        <v>1133</v>
      </c>
      <c r="Z17" s="49">
        <f>BS!AG33+BS!AG34</f>
        <v>2003</v>
      </c>
      <c r="AA17" s="49">
        <f>BS!AH33+BS!AH34</f>
        <v>2624</v>
      </c>
      <c r="AB17" s="49">
        <f>BS!AI33+BS!AI34</f>
        <v>2259</v>
      </c>
      <c r="AC17" s="49">
        <f>BS!AJ33+BS!AJ34</f>
        <v>2139</v>
      </c>
      <c r="AD17" s="48">
        <f>BS!AK33+BS!AK34</f>
        <v>2139</v>
      </c>
      <c r="AE17" s="49">
        <f>BS!AL33+BS!AL34</f>
        <v>1512</v>
      </c>
      <c r="AF17" s="49">
        <f>BS!AM33+BS!AM34</f>
        <v>2095</v>
      </c>
      <c r="AG17" s="49">
        <f>BS!AN33+BS!AN34</f>
        <v>1703</v>
      </c>
      <c r="AH17" s="49">
        <f>BS!AO33+BS!AO34</f>
        <v>1487</v>
      </c>
      <c r="AI17" s="48">
        <f>BS!AP33+BS!AP34</f>
        <v>1487</v>
      </c>
      <c r="AJ17" s="49">
        <f>BS!AQ33+BS!AQ34</f>
        <v>1948</v>
      </c>
      <c r="AK17" s="49">
        <f>BS!AR33+BS!AR34</f>
        <v>2026</v>
      </c>
      <c r="AL17" s="49">
        <f>BS!AS33+BS!AS34</f>
        <v>2231</v>
      </c>
      <c r="AM17" s="49">
        <f>BS!AT33+BS!AT34</f>
        <v>279</v>
      </c>
      <c r="AN17" s="48">
        <f>BS!AU33+BS!AU34</f>
        <v>279</v>
      </c>
      <c r="AO17" s="49">
        <f>BS!AV33+BS!AV34</f>
        <v>501</v>
      </c>
      <c r="AP17" s="49">
        <f>BS!AW33+BS!AW34</f>
        <v>1906</v>
      </c>
      <c r="AQ17" s="49">
        <f>BS!AX33+BS!AX34</f>
        <v>1863</v>
      </c>
      <c r="AR17" s="49">
        <f>BS!AY33+BS!AY34</f>
        <v>759</v>
      </c>
      <c r="AS17" s="48">
        <f>BS!AZ33+BS!AZ34</f>
        <v>759</v>
      </c>
      <c r="AT17" s="49">
        <f>BS!BA33+BS!BA34</f>
        <v>300</v>
      </c>
      <c r="AU17" s="49">
        <f>BS!BB33+BS!BB34</f>
        <v>271</v>
      </c>
      <c r="AV17" s="49">
        <f>BS!BC33+BS!BC34</f>
        <v>5291</v>
      </c>
      <c r="AW17" s="49">
        <f>BS!BD33+BS!BD34</f>
        <v>1624</v>
      </c>
      <c r="AX17" s="48">
        <f>BS!BE33+BS!BE34</f>
        <v>1624</v>
      </c>
      <c r="AY17" s="49">
        <f>BS!BF33+BS!BF34</f>
        <v>1252</v>
      </c>
      <c r="AZ17" s="49">
        <f>BS!BG33+BS!BG34</f>
        <v>1281</v>
      </c>
      <c r="BA17" s="49">
        <f>BS!BH33+BS!BH34</f>
        <v>1403</v>
      </c>
      <c r="BB17" s="49">
        <f>BS!BI33+BS!BI34</f>
        <v>500</v>
      </c>
      <c r="BC17" s="48">
        <f>BS!BJ33+BS!BJ34</f>
        <v>500</v>
      </c>
      <c r="BD17" s="49">
        <f>BS!BK33+BS!BK34</f>
        <v>304</v>
      </c>
      <c r="BE17" s="49">
        <f>BS!BL33+BS!BL34</f>
        <v>2235</v>
      </c>
      <c r="BF17" s="49">
        <f>BS!BM33+BS!BM34</f>
        <v>2141</v>
      </c>
      <c r="BG17" s="49">
        <f>BS!BN33+BS!BN34</f>
        <v>1922</v>
      </c>
      <c r="BH17" s="48">
        <f>BS!BO33+BS!BO34</f>
        <v>1922</v>
      </c>
      <c r="BI17" s="49">
        <f>BS!BP33+BS!BP34</f>
        <v>4184</v>
      </c>
      <c r="BJ17" s="49">
        <f>BS!BQ33+BS!BQ34</f>
        <v>2954</v>
      </c>
      <c r="BK17" s="49">
        <f>BS!BR33+BS!BR34</f>
        <v>3239</v>
      </c>
      <c r="BL17" s="49">
        <f>BS!BS33+BS!BS34</f>
        <v>1105</v>
      </c>
      <c r="BM17" s="48">
        <f>BS!BT33+BS!BT34</f>
        <v>1105</v>
      </c>
      <c r="BN17" s="49">
        <f>BS!BU33+BS!BU34</f>
        <v>1363</v>
      </c>
      <c r="BO17" s="49">
        <f>BS!BV33+BS!BV34</f>
        <v>2407</v>
      </c>
      <c r="BP17" s="49">
        <f>BS!BW33+BS!BW34</f>
        <v>2475</v>
      </c>
      <c r="BQ17" s="49">
        <f>BS!BX33+BS!BX34</f>
        <v>2204</v>
      </c>
      <c r="BR17" s="48">
        <f>BS!BY33+BS!BY34</f>
        <v>2204</v>
      </c>
      <c r="BS17" s="49">
        <f>BS!BZ33+BS!BZ34</f>
        <v>3684</v>
      </c>
      <c r="BT17" s="49">
        <f>BS!CA33+BS!CA34</f>
        <v>2743</v>
      </c>
      <c r="BU17" s="49">
        <f>BS!CB33+BS!CB34</f>
        <v>3197</v>
      </c>
      <c r="BV17" s="49">
        <f>BS!CC33+BS!CC34</f>
        <v>3197</v>
      </c>
      <c r="BW17" s="48">
        <f>BS!CD33+BS!CD34</f>
        <v>3197</v>
      </c>
      <c r="BX17" s="48">
        <f>BS!CI33+BS!CI34</f>
        <v>3197</v>
      </c>
      <c r="BY17" s="48">
        <f>BS!CJ33+BS!CJ34</f>
        <v>3197</v>
      </c>
    </row>
    <row r="18" spans="1:77">
      <c r="A18" s="30" t="s">
        <v>107</v>
      </c>
      <c r="B18" s="48">
        <f>BS!I42</f>
        <v>3476</v>
      </c>
      <c r="C18" s="48">
        <f>BS!J42</f>
        <v>4237</v>
      </c>
      <c r="D18" s="48">
        <f>BS!K42</f>
        <v>4632</v>
      </c>
      <c r="E18" s="48">
        <f>BS!L42</f>
        <v>4257</v>
      </c>
      <c r="F18" s="49">
        <f>BS!M42</f>
        <v>4261</v>
      </c>
      <c r="G18" s="49">
        <f>BS!N42</f>
        <v>4247</v>
      </c>
      <c r="H18" s="49">
        <f>BS!O42</f>
        <v>4254</v>
      </c>
      <c r="I18" s="49">
        <f>BS!P42</f>
        <v>4231</v>
      </c>
      <c r="J18" s="48">
        <f>BS!Q42</f>
        <v>4231</v>
      </c>
      <c r="K18" s="49">
        <f>BS!R42</f>
        <v>4223</v>
      </c>
      <c r="L18" s="49">
        <f>BS!S42</f>
        <v>6615</v>
      </c>
      <c r="M18" s="49">
        <f>BS!T42</f>
        <v>6366</v>
      </c>
      <c r="N18" s="49">
        <f>BS!U42</f>
        <v>5935</v>
      </c>
      <c r="O18" s="48">
        <f>BS!V42</f>
        <v>5935</v>
      </c>
      <c r="P18" s="49">
        <f>BS!W42</f>
        <v>5954</v>
      </c>
      <c r="Q18" s="49">
        <f>BS!X42</f>
        <v>7061</v>
      </c>
      <c r="R18" s="49">
        <f>BS!Y42</f>
        <v>7067</v>
      </c>
      <c r="S18" s="49">
        <f>BS!Z42</f>
        <v>7037</v>
      </c>
      <c r="T18" s="48">
        <f>BS!AA42</f>
        <v>7037</v>
      </c>
      <c r="U18" s="49">
        <f>BS!AB42</f>
        <v>7035</v>
      </c>
      <c r="V18" s="49">
        <f>BS!AC42</f>
        <v>7045</v>
      </c>
      <c r="W18" s="49">
        <f>BS!AD42</f>
        <v>7059</v>
      </c>
      <c r="X18" s="49">
        <f>BS!AE42</f>
        <v>8015</v>
      </c>
      <c r="Y18" s="48">
        <f>BS!AF42</f>
        <v>8015</v>
      </c>
      <c r="Z18" s="49">
        <f>BS!AG42</f>
        <v>8014</v>
      </c>
      <c r="AA18" s="49">
        <f>BS!AH42</f>
        <v>8106</v>
      </c>
      <c r="AB18" s="49">
        <f>BS!AI42</f>
        <v>8113</v>
      </c>
      <c r="AC18" s="49">
        <f>BS!AJ42</f>
        <v>9337</v>
      </c>
      <c r="AD18" s="48">
        <f>BS!AK42</f>
        <v>9337</v>
      </c>
      <c r="AE18" s="49">
        <f>BS!AL42</f>
        <v>9315</v>
      </c>
      <c r="AF18" s="49">
        <f>BS!AM42</f>
        <v>8721</v>
      </c>
      <c r="AG18" s="49">
        <f>BS!AN42</f>
        <v>8729</v>
      </c>
      <c r="AH18" s="49">
        <f>BS!AO42</f>
        <v>8257</v>
      </c>
      <c r="AI18" s="48">
        <f>BS!AP42</f>
        <v>8257</v>
      </c>
      <c r="AJ18" s="49">
        <f>BS!AQ42</f>
        <v>10004</v>
      </c>
      <c r="AK18" s="49">
        <f>BS!AR42</f>
        <v>10039</v>
      </c>
      <c r="AL18" s="49">
        <f>BS!AS42</f>
        <v>10071</v>
      </c>
      <c r="AM18" s="49">
        <f>BS!AT42</f>
        <v>10010</v>
      </c>
      <c r="AN18" s="48">
        <f>BS!AU42</f>
        <v>10010</v>
      </c>
      <c r="AO18" s="49">
        <f>BS!AV42</f>
        <v>9986</v>
      </c>
      <c r="AP18" s="49">
        <f>BS!AW42</f>
        <v>9492</v>
      </c>
      <c r="AQ18" s="49">
        <f>BS!AX42</f>
        <v>9501</v>
      </c>
      <c r="AR18" s="49">
        <f>BS!AY42</f>
        <v>9501</v>
      </c>
      <c r="AS18" s="48">
        <f>BS!AZ42</f>
        <v>9501</v>
      </c>
      <c r="AT18" s="49">
        <f>BS!BA42</f>
        <v>9491</v>
      </c>
      <c r="AU18" s="49">
        <f>BS!BB42</f>
        <v>20450</v>
      </c>
      <c r="AV18" s="49">
        <f>BS!BC42</f>
        <v>23409</v>
      </c>
      <c r="AW18" s="49">
        <f>BS!BD42</f>
        <v>21597</v>
      </c>
      <c r="AX18" s="48">
        <f>BS!BE42</f>
        <v>21597</v>
      </c>
      <c r="AY18" s="49">
        <f>BS!BF42</f>
        <v>21572</v>
      </c>
      <c r="AZ18" s="49">
        <f>BS!BG42</f>
        <v>20375</v>
      </c>
      <c r="BA18" s="49">
        <f>BS!BH42</f>
        <v>19785</v>
      </c>
      <c r="BB18" s="49">
        <f>BS!BI42</f>
        <v>19741</v>
      </c>
      <c r="BC18" s="48">
        <f>BS!BJ42</f>
        <v>19741</v>
      </c>
      <c r="BD18" s="49">
        <f>BS!BK42</f>
        <v>19739</v>
      </c>
      <c r="BE18" s="49">
        <f>BS!BL42</f>
        <v>17837</v>
      </c>
      <c r="BF18" s="49">
        <f>BS!BM42</f>
        <v>17857</v>
      </c>
      <c r="BG18" s="49">
        <f>BS!BN42</f>
        <v>17872</v>
      </c>
      <c r="BH18" s="48">
        <f>BS!BO42</f>
        <v>17872</v>
      </c>
      <c r="BI18" s="49">
        <f>BS!BP42</f>
        <v>17809</v>
      </c>
      <c r="BJ18" s="49">
        <f>BS!BQ42</f>
        <v>19489</v>
      </c>
      <c r="BK18" s="49">
        <f>BS!BR42</f>
        <v>19428</v>
      </c>
      <c r="BL18" s="49">
        <f>BS!BS42</f>
        <v>19320</v>
      </c>
      <c r="BM18" s="48">
        <f>BS!BT42</f>
        <v>19320</v>
      </c>
      <c r="BN18" s="49">
        <f>BS!BU42</f>
        <v>21688</v>
      </c>
      <c r="BO18" s="49">
        <f>BS!BV42</f>
        <v>20130</v>
      </c>
      <c r="BP18" s="49">
        <f>BS!BW42</f>
        <v>20190</v>
      </c>
      <c r="BQ18" s="49">
        <f>BS!BX42</f>
        <v>21697</v>
      </c>
      <c r="BR18" s="48">
        <f>BS!BY42</f>
        <v>21697</v>
      </c>
      <c r="BS18" s="49">
        <f>BS!BZ42</f>
        <v>20898</v>
      </c>
      <c r="BT18" s="49">
        <f>BS!CA42</f>
        <v>23883</v>
      </c>
      <c r="BU18" s="49">
        <f>BS!CB42</f>
        <v>24063</v>
      </c>
      <c r="BV18" s="49">
        <f>BS!CC42</f>
        <v>24063</v>
      </c>
      <c r="BW18" s="48">
        <f>BS!CD42</f>
        <v>24063</v>
      </c>
      <c r="BX18" s="48">
        <f>BS!CI42</f>
        <v>26063</v>
      </c>
      <c r="BY18" s="48">
        <f>BS!CJ42</f>
        <v>26063</v>
      </c>
    </row>
    <row r="19" spans="1:77" ht="13.5" customHeight="1">
      <c r="A19" s="41" t="s">
        <v>106</v>
      </c>
      <c r="B19" s="109">
        <f t="shared" ref="B19:AG19" si="0">B17+B18</f>
        <v>4811</v>
      </c>
      <c r="C19" s="109">
        <f t="shared" si="0"/>
        <v>4959</v>
      </c>
      <c r="D19" s="109">
        <f t="shared" si="0"/>
        <v>4873</v>
      </c>
      <c r="E19" s="109">
        <f t="shared" si="0"/>
        <v>5301</v>
      </c>
      <c r="F19" s="110">
        <f t="shared" si="0"/>
        <v>5005</v>
      </c>
      <c r="G19" s="110">
        <f t="shared" si="0"/>
        <v>4965</v>
      </c>
      <c r="H19" s="110">
        <f t="shared" si="0"/>
        <v>5059</v>
      </c>
      <c r="I19" s="110">
        <f t="shared" si="0"/>
        <v>5591</v>
      </c>
      <c r="J19" s="109">
        <f t="shared" si="0"/>
        <v>5591</v>
      </c>
      <c r="K19" s="110">
        <f t="shared" si="0"/>
        <v>4845</v>
      </c>
      <c r="L19" s="110">
        <f t="shared" si="0"/>
        <v>7213</v>
      </c>
      <c r="M19" s="110">
        <f t="shared" si="0"/>
        <v>7812</v>
      </c>
      <c r="N19" s="110">
        <f t="shared" si="0"/>
        <v>8240</v>
      </c>
      <c r="O19" s="109">
        <f t="shared" si="0"/>
        <v>8240</v>
      </c>
      <c r="P19" s="110">
        <f t="shared" si="0"/>
        <v>8273</v>
      </c>
      <c r="Q19" s="110">
        <f t="shared" si="0"/>
        <v>8759</v>
      </c>
      <c r="R19" s="110">
        <f t="shared" si="0"/>
        <v>8291</v>
      </c>
      <c r="S19" s="110">
        <f t="shared" si="0"/>
        <v>7931</v>
      </c>
      <c r="T19" s="109">
        <f t="shared" si="0"/>
        <v>7931</v>
      </c>
      <c r="U19" s="110">
        <f t="shared" si="0"/>
        <v>8264</v>
      </c>
      <c r="V19" s="110">
        <f t="shared" si="0"/>
        <v>8593</v>
      </c>
      <c r="W19" s="110">
        <f t="shared" si="0"/>
        <v>9327</v>
      </c>
      <c r="X19" s="110">
        <f t="shared" si="0"/>
        <v>9148</v>
      </c>
      <c r="Y19" s="109">
        <f t="shared" si="0"/>
        <v>9148</v>
      </c>
      <c r="Z19" s="110">
        <f t="shared" si="0"/>
        <v>10017</v>
      </c>
      <c r="AA19" s="110">
        <f t="shared" si="0"/>
        <v>10730</v>
      </c>
      <c r="AB19" s="110">
        <f t="shared" si="0"/>
        <v>10372</v>
      </c>
      <c r="AC19" s="110">
        <f t="shared" si="0"/>
        <v>11476</v>
      </c>
      <c r="AD19" s="109">
        <f t="shared" si="0"/>
        <v>11476</v>
      </c>
      <c r="AE19" s="110">
        <f t="shared" si="0"/>
        <v>10827</v>
      </c>
      <c r="AF19" s="110">
        <f t="shared" si="0"/>
        <v>10816</v>
      </c>
      <c r="AG19" s="110">
        <f t="shared" si="0"/>
        <v>10432</v>
      </c>
      <c r="AH19" s="110">
        <f t="shared" ref="AH19:BM19" si="1">AH17+AH18</f>
        <v>9744</v>
      </c>
      <c r="AI19" s="109">
        <f t="shared" si="1"/>
        <v>9744</v>
      </c>
      <c r="AJ19" s="110">
        <f t="shared" si="1"/>
        <v>11952</v>
      </c>
      <c r="AK19" s="110">
        <f t="shared" si="1"/>
        <v>12065</v>
      </c>
      <c r="AL19" s="110">
        <f t="shared" si="1"/>
        <v>12302</v>
      </c>
      <c r="AM19" s="110">
        <f t="shared" si="1"/>
        <v>10289</v>
      </c>
      <c r="AN19" s="109">
        <f t="shared" si="1"/>
        <v>10289</v>
      </c>
      <c r="AO19" s="110">
        <f t="shared" si="1"/>
        <v>10487</v>
      </c>
      <c r="AP19" s="110">
        <f t="shared" si="1"/>
        <v>11398</v>
      </c>
      <c r="AQ19" s="110">
        <f t="shared" si="1"/>
        <v>11364</v>
      </c>
      <c r="AR19" s="110">
        <f t="shared" si="1"/>
        <v>10260</v>
      </c>
      <c r="AS19" s="109">
        <f t="shared" si="1"/>
        <v>10260</v>
      </c>
      <c r="AT19" s="110">
        <f t="shared" si="1"/>
        <v>9791</v>
      </c>
      <c r="AU19" s="110">
        <f t="shared" si="1"/>
        <v>20721</v>
      </c>
      <c r="AV19" s="110">
        <f t="shared" si="1"/>
        <v>28700</v>
      </c>
      <c r="AW19" s="110">
        <f t="shared" si="1"/>
        <v>23221</v>
      </c>
      <c r="AX19" s="109">
        <f t="shared" si="1"/>
        <v>23221</v>
      </c>
      <c r="AY19" s="110">
        <f t="shared" si="1"/>
        <v>22824</v>
      </c>
      <c r="AZ19" s="110">
        <f t="shared" si="1"/>
        <v>21656</v>
      </c>
      <c r="BA19" s="110">
        <f t="shared" si="1"/>
        <v>21188</v>
      </c>
      <c r="BB19" s="110">
        <f t="shared" si="1"/>
        <v>20241</v>
      </c>
      <c r="BC19" s="109">
        <f t="shared" si="1"/>
        <v>20241</v>
      </c>
      <c r="BD19" s="110">
        <f t="shared" si="1"/>
        <v>20043</v>
      </c>
      <c r="BE19" s="110">
        <f t="shared" si="1"/>
        <v>20072</v>
      </c>
      <c r="BF19" s="110">
        <f t="shared" si="1"/>
        <v>19998</v>
      </c>
      <c r="BG19" s="110">
        <f t="shared" si="1"/>
        <v>19794</v>
      </c>
      <c r="BH19" s="109">
        <f t="shared" si="1"/>
        <v>19794</v>
      </c>
      <c r="BI19" s="110">
        <f t="shared" si="1"/>
        <v>21993</v>
      </c>
      <c r="BJ19" s="110">
        <f t="shared" si="1"/>
        <v>22443</v>
      </c>
      <c r="BK19" s="110">
        <f t="shared" si="1"/>
        <v>22667</v>
      </c>
      <c r="BL19" s="110">
        <f t="shared" si="1"/>
        <v>20425</v>
      </c>
      <c r="BM19" s="109">
        <f t="shared" si="1"/>
        <v>20425</v>
      </c>
      <c r="BN19" s="110">
        <f t="shared" ref="BN19:BW19" si="2">BN17+BN18</f>
        <v>23051</v>
      </c>
      <c r="BO19" s="110">
        <f t="shared" si="2"/>
        <v>22537</v>
      </c>
      <c r="BP19" s="110">
        <f t="shared" si="2"/>
        <v>22665</v>
      </c>
      <c r="BQ19" s="110">
        <f t="shared" si="2"/>
        <v>23901</v>
      </c>
      <c r="BR19" s="109">
        <f t="shared" si="2"/>
        <v>23901</v>
      </c>
      <c r="BS19" s="110">
        <f>BS17+BS18</f>
        <v>24582</v>
      </c>
      <c r="BT19" s="110">
        <f>BT17+BT18</f>
        <v>26626</v>
      </c>
      <c r="BU19" s="110">
        <f>BU17+BU18</f>
        <v>27260</v>
      </c>
      <c r="BV19" s="110">
        <f>BV17+BV18</f>
        <v>27260</v>
      </c>
      <c r="BW19" s="109">
        <f t="shared" si="2"/>
        <v>27260</v>
      </c>
      <c r="BX19" s="109">
        <f>BX17+BX18</f>
        <v>29260</v>
      </c>
      <c r="BY19" s="109">
        <f>BY17+BY18</f>
        <v>29260</v>
      </c>
    </row>
    <row r="20" spans="1:77">
      <c r="A20" s="41" t="s">
        <v>105</v>
      </c>
      <c r="B20" s="109">
        <f t="shared" ref="B20:AG20" si="3">B19-B16</f>
        <v>4063</v>
      </c>
      <c r="C20" s="109">
        <f t="shared" si="3"/>
        <v>3401</v>
      </c>
      <c r="D20" s="109">
        <f t="shared" si="3"/>
        <v>2793</v>
      </c>
      <c r="E20" s="109">
        <f t="shared" si="3"/>
        <v>3678</v>
      </c>
      <c r="F20" s="110">
        <f t="shared" si="3"/>
        <v>3274</v>
      </c>
      <c r="G20" s="110">
        <f t="shared" si="3"/>
        <v>2947</v>
      </c>
      <c r="H20" s="110">
        <f t="shared" si="3"/>
        <v>2719</v>
      </c>
      <c r="I20" s="110">
        <f t="shared" si="3"/>
        <v>3326</v>
      </c>
      <c r="J20" s="109">
        <f t="shared" si="3"/>
        <v>3326</v>
      </c>
      <c r="K20" s="110">
        <f t="shared" si="3"/>
        <v>2882</v>
      </c>
      <c r="L20" s="110">
        <f t="shared" si="3"/>
        <v>5228</v>
      </c>
      <c r="M20" s="110">
        <f t="shared" si="3"/>
        <v>5710</v>
      </c>
      <c r="N20" s="110">
        <f t="shared" si="3"/>
        <v>5993</v>
      </c>
      <c r="O20" s="109">
        <f t="shared" si="3"/>
        <v>5993</v>
      </c>
      <c r="P20" s="110">
        <f t="shared" si="3"/>
        <v>5856</v>
      </c>
      <c r="Q20" s="110">
        <f t="shared" si="3"/>
        <v>5876</v>
      </c>
      <c r="R20" s="110">
        <f t="shared" si="3"/>
        <v>5377</v>
      </c>
      <c r="S20" s="110">
        <f t="shared" si="3"/>
        <v>5385</v>
      </c>
      <c r="T20" s="109">
        <f t="shared" si="3"/>
        <v>5385</v>
      </c>
      <c r="U20" s="110">
        <f t="shared" si="3"/>
        <v>5783</v>
      </c>
      <c r="V20" s="110">
        <f t="shared" si="3"/>
        <v>5301</v>
      </c>
      <c r="W20" s="110">
        <f t="shared" si="3"/>
        <v>6517</v>
      </c>
      <c r="X20" s="110">
        <f t="shared" si="3"/>
        <v>6244</v>
      </c>
      <c r="Y20" s="109">
        <f t="shared" si="3"/>
        <v>6244</v>
      </c>
      <c r="Z20" s="110">
        <f t="shared" si="3"/>
        <v>6878</v>
      </c>
      <c r="AA20" s="110">
        <f t="shared" si="3"/>
        <v>7288</v>
      </c>
      <c r="AB20" s="110">
        <f t="shared" si="3"/>
        <v>6757</v>
      </c>
      <c r="AC20" s="110">
        <f t="shared" si="3"/>
        <v>7149</v>
      </c>
      <c r="AD20" s="109">
        <f t="shared" si="3"/>
        <v>7149</v>
      </c>
      <c r="AE20" s="110">
        <f t="shared" si="3"/>
        <v>7555</v>
      </c>
      <c r="AF20" s="110">
        <f t="shared" si="3"/>
        <v>6800</v>
      </c>
      <c r="AG20" s="110">
        <f t="shared" si="3"/>
        <v>5800</v>
      </c>
      <c r="AH20" s="110">
        <f t="shared" ref="AH20:BM20" si="4">AH19-AH16</f>
        <v>5295</v>
      </c>
      <c r="AI20" s="109">
        <f t="shared" si="4"/>
        <v>5295</v>
      </c>
      <c r="AJ20" s="110">
        <f t="shared" si="4"/>
        <v>7164</v>
      </c>
      <c r="AK20" s="110">
        <f t="shared" si="4"/>
        <v>7068</v>
      </c>
      <c r="AL20" s="110">
        <f t="shared" si="4"/>
        <v>6571</v>
      </c>
      <c r="AM20" s="110">
        <f t="shared" si="4"/>
        <v>6206</v>
      </c>
      <c r="AN20" s="109">
        <f t="shared" si="4"/>
        <v>6206</v>
      </c>
      <c r="AO20" s="110">
        <f t="shared" si="4"/>
        <v>6047</v>
      </c>
      <c r="AP20" s="110">
        <f t="shared" si="4"/>
        <v>6002</v>
      </c>
      <c r="AQ20" s="110">
        <f t="shared" si="4"/>
        <v>5398</v>
      </c>
      <c r="AR20" s="110">
        <f t="shared" si="4"/>
        <v>4300</v>
      </c>
      <c r="AS20" s="109">
        <f t="shared" si="4"/>
        <v>4300</v>
      </c>
      <c r="AT20" s="110">
        <f t="shared" si="4"/>
        <v>3506</v>
      </c>
      <c r="AU20" s="110">
        <f t="shared" si="4"/>
        <v>4040</v>
      </c>
      <c r="AV20" s="110">
        <f t="shared" si="4"/>
        <v>22458</v>
      </c>
      <c r="AW20" s="110">
        <f t="shared" si="4"/>
        <v>18402</v>
      </c>
      <c r="AX20" s="109">
        <f t="shared" si="4"/>
        <v>18402</v>
      </c>
      <c r="AY20" s="110">
        <f t="shared" si="4"/>
        <v>18057</v>
      </c>
      <c r="AZ20" s="110">
        <f t="shared" si="4"/>
        <v>16747</v>
      </c>
      <c r="BA20" s="110">
        <f t="shared" si="4"/>
        <v>16567</v>
      </c>
      <c r="BB20" s="110">
        <f t="shared" si="4"/>
        <v>15622</v>
      </c>
      <c r="BC20" s="109">
        <f t="shared" si="4"/>
        <v>15622</v>
      </c>
      <c r="BD20" s="110">
        <f t="shared" si="4"/>
        <v>15566</v>
      </c>
      <c r="BE20" s="110">
        <f t="shared" si="4"/>
        <v>15110</v>
      </c>
      <c r="BF20" s="110">
        <f t="shared" si="4"/>
        <v>14963</v>
      </c>
      <c r="BG20" s="110">
        <f t="shared" si="4"/>
        <v>14559</v>
      </c>
      <c r="BH20" s="109">
        <f t="shared" si="4"/>
        <v>14559</v>
      </c>
      <c r="BI20" s="110">
        <f t="shared" si="4"/>
        <v>16712</v>
      </c>
      <c r="BJ20" s="110">
        <f t="shared" si="4"/>
        <v>16510</v>
      </c>
      <c r="BK20" s="110">
        <f t="shared" si="4"/>
        <v>17190</v>
      </c>
      <c r="BL20" s="110">
        <f t="shared" si="4"/>
        <v>13350</v>
      </c>
      <c r="BM20" s="109">
        <f t="shared" si="4"/>
        <v>13350</v>
      </c>
      <c r="BN20" s="110">
        <f t="shared" ref="BN20:BW20" si="5">BN19-BN16</f>
        <v>15836</v>
      </c>
      <c r="BO20" s="110">
        <f t="shared" si="5"/>
        <v>15752</v>
      </c>
      <c r="BP20" s="110">
        <f t="shared" si="5"/>
        <v>15558</v>
      </c>
      <c r="BQ20" s="110">
        <f t="shared" si="5"/>
        <v>16744</v>
      </c>
      <c r="BR20" s="109">
        <f t="shared" si="5"/>
        <v>16744</v>
      </c>
      <c r="BS20" s="110">
        <f>BS19-BS16</f>
        <v>17426</v>
      </c>
      <c r="BT20" s="110">
        <f>BT19-BT16</f>
        <v>17281</v>
      </c>
      <c r="BU20" s="110">
        <f>BU19-BU16</f>
        <v>18737</v>
      </c>
      <c r="BV20" s="110">
        <f>BV19-BV16</f>
        <v>17607.416278640994</v>
      </c>
      <c r="BW20" s="109">
        <f t="shared" si="5"/>
        <v>17607.416278640994</v>
      </c>
      <c r="BX20" s="109">
        <f>BX19-BX16</f>
        <v>14258.460302538868</v>
      </c>
      <c r="BY20" s="109">
        <f>BY19-BY16</f>
        <v>9739.760229619289</v>
      </c>
    </row>
    <row r="21" spans="1:77">
      <c r="A21" s="41"/>
      <c r="B21" s="109"/>
      <c r="C21" s="109"/>
      <c r="D21" s="109"/>
      <c r="E21" s="109"/>
      <c r="F21" s="110"/>
      <c r="G21" s="110"/>
      <c r="H21" s="110"/>
      <c r="I21" s="110"/>
      <c r="J21" s="109"/>
      <c r="K21" s="110"/>
      <c r="L21" s="110"/>
      <c r="M21" s="110"/>
      <c r="N21" s="110"/>
      <c r="O21" s="109"/>
      <c r="P21" s="110"/>
      <c r="Q21" s="110"/>
      <c r="R21" s="110"/>
      <c r="S21" s="110"/>
      <c r="T21" s="109"/>
      <c r="U21" s="110"/>
      <c r="V21" s="110"/>
      <c r="W21" s="110"/>
      <c r="X21" s="110"/>
      <c r="Y21" s="109"/>
      <c r="Z21" s="110"/>
      <c r="AA21" s="110"/>
      <c r="AB21" s="110"/>
      <c r="AC21" s="110"/>
      <c r="AD21" s="109"/>
      <c r="AE21" s="110"/>
      <c r="AF21" s="110"/>
      <c r="AG21" s="110"/>
      <c r="AH21" s="110"/>
      <c r="AI21" s="109"/>
      <c r="AJ21" s="110"/>
      <c r="AK21" s="110"/>
      <c r="AL21" s="110"/>
      <c r="AM21" s="110"/>
      <c r="AN21" s="109"/>
      <c r="AO21" s="110"/>
      <c r="AP21" s="110"/>
      <c r="AQ21" s="110"/>
      <c r="AR21" s="110"/>
      <c r="AS21" s="109"/>
      <c r="AT21" s="110"/>
      <c r="AU21" s="110"/>
      <c r="AV21" s="110"/>
      <c r="AW21" s="110"/>
      <c r="AX21" s="109"/>
      <c r="AY21" s="110"/>
      <c r="AZ21" s="110"/>
      <c r="BA21" s="110"/>
      <c r="BB21" s="110"/>
      <c r="BC21" s="109"/>
      <c r="BD21" s="110"/>
      <c r="BE21" s="110"/>
      <c r="BF21" s="110"/>
      <c r="BG21" s="110"/>
      <c r="BH21" s="109"/>
      <c r="BI21" s="110"/>
      <c r="BJ21" s="110"/>
      <c r="BK21" s="110"/>
      <c r="BL21" s="110"/>
      <c r="BM21" s="109"/>
      <c r="BN21" s="110"/>
      <c r="BO21" s="110"/>
      <c r="BP21" s="110"/>
      <c r="BQ21" s="110"/>
      <c r="BR21" s="109"/>
      <c r="BS21" s="110"/>
      <c r="BT21" s="110"/>
      <c r="BU21" s="110"/>
      <c r="BV21" s="110"/>
      <c r="BW21" s="109"/>
      <c r="BX21" s="109"/>
      <c r="BY21" s="109"/>
    </row>
    <row r="22" spans="1:77">
      <c r="A22" s="30" t="s">
        <v>104</v>
      </c>
      <c r="B22" s="48">
        <f>CF!H21</f>
        <v>2503</v>
      </c>
      <c r="C22" s="48">
        <f>CF!I21</f>
        <v>2885</v>
      </c>
      <c r="D22" s="48">
        <f>CF!J21</f>
        <v>2853</v>
      </c>
      <c r="E22" s="48">
        <f>CF!K21</f>
        <v>2875</v>
      </c>
      <c r="F22" s="49">
        <f>CF!L21</f>
        <v>760</v>
      </c>
      <c r="G22" s="49">
        <f>CF!M21</f>
        <v>1094</v>
      </c>
      <c r="H22" s="49">
        <f>CF!N21</f>
        <v>921</v>
      </c>
      <c r="I22" s="49">
        <f>CF!O21</f>
        <v>895</v>
      </c>
      <c r="J22" s="48">
        <f>CF!P21</f>
        <v>3699</v>
      </c>
      <c r="K22" s="49">
        <f>CF!Q21</f>
        <v>846</v>
      </c>
      <c r="L22" s="49">
        <f>CF!R21</f>
        <v>1188</v>
      </c>
      <c r="M22" s="49">
        <f>CF!S21</f>
        <v>1155</v>
      </c>
      <c r="N22" s="49">
        <f>CF!T21</f>
        <v>1145</v>
      </c>
      <c r="O22" s="48">
        <f>CF!U21</f>
        <v>4334</v>
      </c>
      <c r="P22" s="49">
        <f>CF!V21</f>
        <v>975</v>
      </c>
      <c r="Q22" s="49">
        <f>CF!W21</f>
        <v>812</v>
      </c>
      <c r="R22" s="49">
        <f>CF!X21</f>
        <v>1361</v>
      </c>
      <c r="S22" s="49">
        <f>CF!Y21</f>
        <v>1655</v>
      </c>
      <c r="T22" s="48">
        <f>CF!Z21</f>
        <v>4803</v>
      </c>
      <c r="U22" s="49">
        <f>CF!AA21</f>
        <v>453</v>
      </c>
      <c r="V22" s="49">
        <f>CF!AB21</f>
        <v>1449</v>
      </c>
      <c r="W22" s="49">
        <f>CF!AC21</f>
        <v>1383</v>
      </c>
      <c r="X22" s="49">
        <f>CF!AD21</f>
        <v>2045</v>
      </c>
      <c r="Y22" s="48">
        <f>CF!AE21</f>
        <v>5330</v>
      </c>
      <c r="Z22" s="49">
        <f>CF!AF21</f>
        <v>888</v>
      </c>
      <c r="AA22" s="49">
        <f>CF!AG21</f>
        <v>1418</v>
      </c>
      <c r="AB22" s="49">
        <f>CF!AH21</f>
        <v>1835</v>
      </c>
      <c r="AC22" s="49">
        <f>CF!AI21</f>
        <v>2020</v>
      </c>
      <c r="AD22" s="48">
        <f>CF!AJ21</f>
        <v>6161</v>
      </c>
      <c r="AE22" s="49">
        <f>CF!AK21</f>
        <v>485</v>
      </c>
      <c r="AF22" s="49">
        <f>CF!AL21</f>
        <v>1540</v>
      </c>
      <c r="AG22" s="49">
        <f>CF!AM21</f>
        <v>1853</v>
      </c>
      <c r="AH22" s="49">
        <f>CF!AN21</f>
        <v>1475</v>
      </c>
      <c r="AI22" s="48">
        <f>CF!AO21</f>
        <v>5353</v>
      </c>
      <c r="AJ22" s="49">
        <f>CF!AP21</f>
        <v>1154</v>
      </c>
      <c r="AK22" s="49">
        <f>CF!AQ21</f>
        <v>1400</v>
      </c>
      <c r="AL22" s="49">
        <f>CF!AR21</f>
        <v>1676</v>
      </c>
      <c r="AM22" s="49">
        <f>CF!AS21</f>
        <v>1676</v>
      </c>
      <c r="AN22" s="48">
        <f>CF!AT21</f>
        <v>5906</v>
      </c>
      <c r="AO22" s="49">
        <f>CF!AU21</f>
        <v>1320</v>
      </c>
      <c r="AP22" s="49">
        <f>CF!AV21</f>
        <v>1323</v>
      </c>
      <c r="AQ22" s="49">
        <f>CF!AW21</f>
        <v>1907</v>
      </c>
      <c r="AR22" s="49">
        <f>CF!AX21</f>
        <v>1910</v>
      </c>
      <c r="AS22" s="48">
        <f>CF!AY21</f>
        <v>6460</v>
      </c>
      <c r="AT22" s="49">
        <f>CF!AZ21</f>
        <v>1312</v>
      </c>
      <c r="AU22" s="49">
        <f>CF!BA21</f>
        <v>1714</v>
      </c>
      <c r="AV22" s="49">
        <f>CF!BB21</f>
        <v>1625</v>
      </c>
      <c r="AW22" s="49">
        <f>CF!BC21</f>
        <v>1954</v>
      </c>
      <c r="AX22" s="48">
        <f>CF!BD21</f>
        <v>6605</v>
      </c>
      <c r="AY22" s="49">
        <f>CF!BE21</f>
        <v>1409</v>
      </c>
      <c r="AZ22" s="49">
        <f>CF!BF21</f>
        <v>1939</v>
      </c>
      <c r="BA22" s="49">
        <f>CF!BG21</f>
        <v>1543</v>
      </c>
      <c r="BB22" s="49">
        <f>CF!BH21</f>
        <v>2613</v>
      </c>
      <c r="BC22" s="48">
        <f>CF!BI21</f>
        <v>7504</v>
      </c>
      <c r="BD22" s="49">
        <f>CF!BJ21</f>
        <v>1335</v>
      </c>
      <c r="BE22" s="49">
        <f>CF!BK21</f>
        <v>1742</v>
      </c>
      <c r="BF22" s="49">
        <f>CF!BL21</f>
        <v>1948</v>
      </c>
      <c r="BG22" s="49">
        <f>CF!BM21</f>
        <v>2310</v>
      </c>
      <c r="BH22" s="48">
        <f>CF!BN21</f>
        <v>7335</v>
      </c>
      <c r="BI22" s="49">
        <f>CF!BO21</f>
        <v>1310</v>
      </c>
      <c r="BJ22" s="49">
        <f>CF!BP21</f>
        <v>1536</v>
      </c>
      <c r="BK22" s="49">
        <f>CF!BQ21</f>
        <v>1021</v>
      </c>
      <c r="BL22" s="49">
        <f>CF!BR21</f>
        <v>2654</v>
      </c>
      <c r="BM22" s="48">
        <f>CF!BS21</f>
        <v>6521</v>
      </c>
      <c r="BN22" s="49">
        <f>CF!BT21</f>
        <v>795</v>
      </c>
      <c r="BO22" s="49">
        <f>CF!BU21</f>
        <v>1776</v>
      </c>
      <c r="BP22" s="49">
        <f>CF!BV21</f>
        <v>1951</v>
      </c>
      <c r="BQ22" s="49">
        <f>CF!BW21</f>
        <v>1845</v>
      </c>
      <c r="BR22" s="48">
        <f>CF!BX21</f>
        <v>6412</v>
      </c>
      <c r="BS22" s="49">
        <f>CF!BY21</f>
        <v>993</v>
      </c>
      <c r="BT22" s="49">
        <f>CF!BZ21</f>
        <v>2146</v>
      </c>
      <c r="BU22" s="49">
        <f>CF!CA21</f>
        <v>-29</v>
      </c>
      <c r="BV22" s="49">
        <f>CF!CB21</f>
        <v>2225.7575258687834</v>
      </c>
      <c r="BW22" s="48">
        <f>CF!CC21</f>
        <v>5335.757525868783</v>
      </c>
      <c r="BX22" s="48">
        <f>CF!CH21</f>
        <v>7191.0786578002817</v>
      </c>
      <c r="BY22" s="48">
        <f>CF!CI21</f>
        <v>8390.1519296867973</v>
      </c>
    </row>
    <row r="23" spans="1:77">
      <c r="A23" s="30" t="s">
        <v>103</v>
      </c>
      <c r="B23" s="48">
        <f>-CF!H23</f>
        <v>937</v>
      </c>
      <c r="C23" s="48">
        <f>-CF!I23</f>
        <v>793</v>
      </c>
      <c r="D23" s="48">
        <f>-CF!J23</f>
        <v>586</v>
      </c>
      <c r="E23" s="48">
        <f>-CF!K23</f>
        <v>530</v>
      </c>
      <c r="F23" s="49">
        <f>-CF!L23</f>
        <v>123</v>
      </c>
      <c r="G23" s="49">
        <f>-CF!M23</f>
        <v>148</v>
      </c>
      <c r="H23" s="49">
        <f>-CF!N23</f>
        <v>180</v>
      </c>
      <c r="I23" s="49">
        <f>-CF!O23</f>
        <v>344</v>
      </c>
      <c r="J23" s="48">
        <f>-CF!P23</f>
        <v>795</v>
      </c>
      <c r="K23" s="49">
        <f>-CF!Q23</f>
        <v>152</v>
      </c>
      <c r="L23" s="49">
        <f>-CF!R23</f>
        <v>183</v>
      </c>
      <c r="M23" s="49">
        <f>-CF!S23</f>
        <v>249</v>
      </c>
      <c r="N23" s="49">
        <f>-CF!T23</f>
        <v>345</v>
      </c>
      <c r="O23" s="48">
        <f>-CF!U23</f>
        <v>929</v>
      </c>
      <c r="P23" s="49">
        <f>-CF!V23</f>
        <v>201</v>
      </c>
      <c r="Q23" s="49">
        <f>-CF!W23</f>
        <v>218</v>
      </c>
      <c r="R23" s="49">
        <f>-CF!X23</f>
        <v>184</v>
      </c>
      <c r="S23" s="49">
        <f>-CF!Y23</f>
        <v>351</v>
      </c>
      <c r="T23" s="48">
        <f>-CF!Z23</f>
        <v>954</v>
      </c>
      <c r="U23" s="49">
        <f>-CF!AA23</f>
        <v>208</v>
      </c>
      <c r="V23" s="49">
        <f>-CF!AB23</f>
        <v>251</v>
      </c>
      <c r="W23" s="49">
        <f>-CF!AC23</f>
        <v>238</v>
      </c>
      <c r="X23" s="49">
        <f>-CF!AD23</f>
        <v>456</v>
      </c>
      <c r="Y23" s="48">
        <f>-CF!AE23</f>
        <v>1153</v>
      </c>
      <c r="Z23" s="49">
        <f>-CF!AF23</f>
        <v>237</v>
      </c>
      <c r="AA23" s="49">
        <f>-CF!AG23</f>
        <v>305</v>
      </c>
      <c r="AB23" s="49">
        <f>-CF!AH23</f>
        <v>268</v>
      </c>
      <c r="AC23" s="49">
        <f>-CF!AI23</f>
        <v>406</v>
      </c>
      <c r="AD23" s="48">
        <f>-CF!AJ23</f>
        <v>1216</v>
      </c>
      <c r="AE23" s="49">
        <f>-CF!AK23</f>
        <v>167</v>
      </c>
      <c r="AF23" s="49">
        <f>-CF!AL23</f>
        <v>173</v>
      </c>
      <c r="AG23" s="49">
        <f>-CF!AM23</f>
        <v>161</v>
      </c>
      <c r="AH23" s="49">
        <f>-CF!AN23</f>
        <v>325</v>
      </c>
      <c r="AI23" s="48">
        <f>-CF!AO23</f>
        <v>826</v>
      </c>
      <c r="AJ23" s="49">
        <f>-CF!AP23</f>
        <v>147</v>
      </c>
      <c r="AK23" s="49">
        <f>-CF!AQ23</f>
        <v>155</v>
      </c>
      <c r="AL23" s="49">
        <f>-CF!AR23</f>
        <v>177</v>
      </c>
      <c r="AM23" s="49">
        <f>-CF!AS23</f>
        <v>386</v>
      </c>
      <c r="AN23" s="48">
        <f>-CF!AT23</f>
        <v>865</v>
      </c>
      <c r="AO23" s="49">
        <f>-CF!AU23</f>
        <v>171</v>
      </c>
      <c r="AP23" s="49">
        <f>-CF!AV23</f>
        <v>200</v>
      </c>
      <c r="AQ23" s="49">
        <f>-CF!AW23</f>
        <v>199</v>
      </c>
      <c r="AR23" s="49">
        <f>-CF!AX23</f>
        <v>359</v>
      </c>
      <c r="AS23" s="48">
        <f>-CF!AY23</f>
        <v>929</v>
      </c>
      <c r="AT23" s="49">
        <f>-CF!AZ23</f>
        <v>188</v>
      </c>
      <c r="AU23" s="49">
        <f>-CF!BA23</f>
        <v>243</v>
      </c>
      <c r="AV23" s="49">
        <f>-CF!BB23</f>
        <v>317</v>
      </c>
      <c r="AW23" s="49">
        <f>-CF!BC23</f>
        <v>641</v>
      </c>
      <c r="AX23" s="48">
        <f>-CF!BD23</f>
        <v>1389</v>
      </c>
      <c r="AY23" s="49">
        <f>-CF!BE23</f>
        <v>295</v>
      </c>
      <c r="AZ23" s="49">
        <f>-CF!BF23</f>
        <v>369</v>
      </c>
      <c r="BA23" s="49">
        <f>-CF!BG23</f>
        <v>383</v>
      </c>
      <c r="BB23" s="49">
        <f>-CF!BH23</f>
        <v>641</v>
      </c>
      <c r="BC23" s="48">
        <f>-CF!BI23</f>
        <v>1688</v>
      </c>
      <c r="BD23" s="49">
        <f>-CF!BJ23</f>
        <v>333</v>
      </c>
      <c r="BE23" s="49">
        <f>-CF!BK23</f>
        <v>406</v>
      </c>
      <c r="BF23" s="49">
        <f>-CF!BL23</f>
        <v>415</v>
      </c>
      <c r="BG23" s="49">
        <f>-CF!BM23</f>
        <v>557</v>
      </c>
      <c r="BH23" s="48">
        <f>-CF!BN23</f>
        <v>1711</v>
      </c>
      <c r="BI23" s="49">
        <f>-CF!BO23</f>
        <v>348</v>
      </c>
      <c r="BJ23" s="49">
        <f>-CF!BP23</f>
        <v>358</v>
      </c>
      <c r="BK23" s="49">
        <f>-CF!BQ23</f>
        <v>390</v>
      </c>
      <c r="BL23" s="49">
        <f>-CF!BR23</f>
        <v>608</v>
      </c>
      <c r="BM23" s="48">
        <f>-CF!BS23</f>
        <v>1704</v>
      </c>
      <c r="BN23" s="49">
        <f>-CF!BT23</f>
        <v>286</v>
      </c>
      <c r="BO23" s="49">
        <f>-CF!BU23</f>
        <v>363</v>
      </c>
      <c r="BP23" s="49">
        <f>-CF!BV23</f>
        <v>394</v>
      </c>
      <c r="BQ23" s="49">
        <f>-CF!BW23</f>
        <v>656</v>
      </c>
      <c r="BR23" s="48">
        <f>-CF!BX23</f>
        <v>1699</v>
      </c>
      <c r="BS23" s="49">
        <f>-CF!BY23</f>
        <v>325</v>
      </c>
      <c r="BT23" s="49">
        <f>-CF!BZ23</f>
        <v>446</v>
      </c>
      <c r="BU23" s="49">
        <f>-CF!CA23</f>
        <v>443</v>
      </c>
      <c r="BV23" s="49">
        <f>-CF!CB23</f>
        <v>459.7893642859608</v>
      </c>
      <c r="BW23" s="48">
        <f>-CF!CC23</f>
        <v>1673.7893642859606</v>
      </c>
      <c r="BX23" s="48">
        <f>-CF!CH23</f>
        <v>1732.1007618840636</v>
      </c>
      <c r="BY23" s="48">
        <f>-CF!CI23</f>
        <v>1679.3050242212528</v>
      </c>
    </row>
    <row r="24" spans="1:77">
      <c r="A24" s="30" t="s">
        <v>102</v>
      </c>
      <c r="B24" s="48">
        <f>CF!H24</f>
        <v>0</v>
      </c>
      <c r="C24" s="48">
        <f>CF!I24</f>
        <v>0</v>
      </c>
      <c r="D24" s="48">
        <f>CF!J24</f>
        <v>0</v>
      </c>
      <c r="E24" s="48">
        <f>CF!K24</f>
        <v>0</v>
      </c>
      <c r="F24" s="49">
        <f>CF!L24</f>
        <v>0</v>
      </c>
      <c r="G24" s="49">
        <f>CF!M24</f>
        <v>0</v>
      </c>
      <c r="H24" s="49">
        <f>CF!N24</f>
        <v>0</v>
      </c>
      <c r="I24" s="49">
        <f>CF!O24</f>
        <v>0</v>
      </c>
      <c r="J24" s="48">
        <f>CF!P24</f>
        <v>0</v>
      </c>
      <c r="K24" s="49">
        <f>CF!Q24</f>
        <v>0</v>
      </c>
      <c r="L24" s="49">
        <f>CF!R24</f>
        <v>0</v>
      </c>
      <c r="M24" s="49">
        <f>CF!S24</f>
        <v>0</v>
      </c>
      <c r="N24" s="49">
        <f>CF!T24</f>
        <v>0</v>
      </c>
      <c r="O24" s="48">
        <f>CF!U24</f>
        <v>0</v>
      </c>
      <c r="P24" s="49">
        <f>CF!V24</f>
        <v>0</v>
      </c>
      <c r="Q24" s="49">
        <f>CF!W24</f>
        <v>0</v>
      </c>
      <c r="R24" s="49">
        <f>CF!X24</f>
        <v>0</v>
      </c>
      <c r="S24" s="49">
        <f>CF!Y24</f>
        <v>0</v>
      </c>
      <c r="T24" s="48">
        <f>CF!Z24</f>
        <v>0</v>
      </c>
      <c r="U24" s="49">
        <f>CF!AA24</f>
        <v>0</v>
      </c>
      <c r="V24" s="49">
        <f>CF!AB24</f>
        <v>0</v>
      </c>
      <c r="W24" s="49">
        <f>CF!AC24</f>
        <v>0</v>
      </c>
      <c r="X24" s="49">
        <f>CF!AD24</f>
        <v>0</v>
      </c>
      <c r="Y24" s="48">
        <f>CF!AE24</f>
        <v>0</v>
      </c>
      <c r="Z24" s="49">
        <f>CF!AF24</f>
        <v>0</v>
      </c>
      <c r="AA24" s="49">
        <f>CF!AG24</f>
        <v>0</v>
      </c>
      <c r="AB24" s="49">
        <f>CF!AH24</f>
        <v>0</v>
      </c>
      <c r="AC24" s="49">
        <f>CF!AI24</f>
        <v>0</v>
      </c>
      <c r="AD24" s="48">
        <f>CF!AJ24</f>
        <v>0</v>
      </c>
      <c r="AE24" s="49">
        <f>CF!AK24</f>
        <v>0</v>
      </c>
      <c r="AF24" s="49">
        <f>CF!AL24</f>
        <v>0</v>
      </c>
      <c r="AG24" s="49">
        <f>CF!AM24</f>
        <v>0</v>
      </c>
      <c r="AH24" s="49">
        <f>CF!AN24</f>
        <v>0</v>
      </c>
      <c r="AI24" s="48">
        <f>CF!AO24</f>
        <v>0</v>
      </c>
      <c r="AJ24" s="49">
        <f>CF!AP24</f>
        <v>0</v>
      </c>
      <c r="AK24" s="49">
        <f>CF!AQ24</f>
        <v>0</v>
      </c>
      <c r="AL24" s="49">
        <f>CF!AR24</f>
        <v>0</v>
      </c>
      <c r="AM24" s="49">
        <f>CF!AS24</f>
        <v>0</v>
      </c>
      <c r="AN24" s="48">
        <f>CF!AT24</f>
        <v>0</v>
      </c>
      <c r="AO24" s="49">
        <f>CF!AU24</f>
        <v>0</v>
      </c>
      <c r="AP24" s="49">
        <f>CF!AV24</f>
        <v>0</v>
      </c>
      <c r="AQ24" s="49">
        <f>CF!AW24</f>
        <v>0</v>
      </c>
      <c r="AR24" s="49">
        <f>CF!AX24</f>
        <v>0</v>
      </c>
      <c r="AS24" s="48">
        <f>CF!AY24</f>
        <v>0</v>
      </c>
      <c r="AT24" s="49">
        <f>CF!AZ24</f>
        <v>0</v>
      </c>
      <c r="AU24" s="49">
        <f>CF!BA24</f>
        <v>0</v>
      </c>
      <c r="AV24" s="49">
        <f>CF!BB24</f>
        <v>0</v>
      </c>
      <c r="AW24" s="49">
        <f>CF!BC24</f>
        <v>0</v>
      </c>
      <c r="AX24" s="48">
        <f>CF!BD24</f>
        <v>0</v>
      </c>
      <c r="AY24" s="49">
        <f>CF!BE24</f>
        <v>0</v>
      </c>
      <c r="AZ24" s="49">
        <f>CF!BF24</f>
        <v>0</v>
      </c>
      <c r="BA24" s="49">
        <f>CF!BG24</f>
        <v>0</v>
      </c>
      <c r="BB24" s="49">
        <f>CF!BH24</f>
        <v>0</v>
      </c>
      <c r="BC24" s="48">
        <f>CF!BI24</f>
        <v>0</v>
      </c>
      <c r="BD24" s="49">
        <f>CF!BJ24</f>
        <v>0</v>
      </c>
      <c r="BE24" s="49">
        <f>CF!BK24</f>
        <v>0</v>
      </c>
      <c r="BF24" s="49">
        <f>CF!BL24</f>
        <v>0</v>
      </c>
      <c r="BG24" s="49">
        <f>CF!BM24</f>
        <v>0</v>
      </c>
      <c r="BH24" s="48">
        <f>CF!BN24</f>
        <v>0</v>
      </c>
      <c r="BI24" s="49">
        <f>CF!BO24</f>
        <v>0</v>
      </c>
      <c r="BJ24" s="49">
        <f>CF!BP24</f>
        <v>0</v>
      </c>
      <c r="BK24" s="49">
        <f>CF!BQ24</f>
        <v>0</v>
      </c>
      <c r="BL24" s="49">
        <f>CF!BR24</f>
        <v>0</v>
      </c>
      <c r="BM24" s="48">
        <f>CF!BS24</f>
        <v>0</v>
      </c>
      <c r="BN24" s="49">
        <f>CF!BT24</f>
        <v>0</v>
      </c>
      <c r="BO24" s="49">
        <f>CF!BU24</f>
        <v>0</v>
      </c>
      <c r="BP24" s="49">
        <f>CF!BV24</f>
        <v>0</v>
      </c>
      <c r="BQ24" s="49">
        <f>CF!BW24</f>
        <v>0</v>
      </c>
      <c r="BR24" s="48">
        <f>CF!BX24</f>
        <v>0</v>
      </c>
      <c r="BS24" s="49">
        <f>CF!BY24</f>
        <v>0</v>
      </c>
      <c r="BT24" s="49">
        <f>CF!BZ24</f>
        <v>0</v>
      </c>
      <c r="BU24" s="49">
        <f>CF!CA24</f>
        <v>0</v>
      </c>
      <c r="BV24" s="49">
        <f>CF!CB24</f>
        <v>0</v>
      </c>
      <c r="BW24" s="48">
        <f>CF!CC24</f>
        <v>0</v>
      </c>
      <c r="BX24" s="48">
        <f>CF!CH24</f>
        <v>0</v>
      </c>
      <c r="BY24" s="48">
        <f>CF!CI24</f>
        <v>0</v>
      </c>
    </row>
    <row r="25" spans="1:77">
      <c r="A25" s="41" t="s">
        <v>101</v>
      </c>
      <c r="B25" s="109">
        <f t="shared" ref="B25:AG25" si="6">B22-B23+B24</f>
        <v>1566</v>
      </c>
      <c r="C25" s="109">
        <f t="shared" si="6"/>
        <v>2092</v>
      </c>
      <c r="D25" s="109">
        <f t="shared" si="6"/>
        <v>2267</v>
      </c>
      <c r="E25" s="109">
        <f t="shared" si="6"/>
        <v>2345</v>
      </c>
      <c r="F25" s="110">
        <f t="shared" si="6"/>
        <v>637</v>
      </c>
      <c r="G25" s="110">
        <f t="shared" si="6"/>
        <v>946</v>
      </c>
      <c r="H25" s="110">
        <f t="shared" si="6"/>
        <v>741</v>
      </c>
      <c r="I25" s="110">
        <f t="shared" si="6"/>
        <v>551</v>
      </c>
      <c r="J25" s="109">
        <f t="shared" si="6"/>
        <v>2904</v>
      </c>
      <c r="K25" s="110">
        <f t="shared" si="6"/>
        <v>694</v>
      </c>
      <c r="L25" s="110">
        <f t="shared" si="6"/>
        <v>1005</v>
      </c>
      <c r="M25" s="110">
        <f t="shared" si="6"/>
        <v>906</v>
      </c>
      <c r="N25" s="110">
        <f t="shared" si="6"/>
        <v>800</v>
      </c>
      <c r="O25" s="109">
        <f t="shared" si="6"/>
        <v>3405</v>
      </c>
      <c r="P25" s="110">
        <f t="shared" si="6"/>
        <v>774</v>
      </c>
      <c r="Q25" s="110">
        <f t="shared" si="6"/>
        <v>594</v>
      </c>
      <c r="R25" s="110">
        <f t="shared" si="6"/>
        <v>1177</v>
      </c>
      <c r="S25" s="110">
        <f t="shared" si="6"/>
        <v>1304</v>
      </c>
      <c r="T25" s="109">
        <f t="shared" si="6"/>
        <v>3849</v>
      </c>
      <c r="U25" s="110">
        <f t="shared" si="6"/>
        <v>245</v>
      </c>
      <c r="V25" s="110">
        <f t="shared" si="6"/>
        <v>1198</v>
      </c>
      <c r="W25" s="110">
        <f t="shared" si="6"/>
        <v>1145</v>
      </c>
      <c r="X25" s="110">
        <f t="shared" si="6"/>
        <v>1589</v>
      </c>
      <c r="Y25" s="109">
        <f t="shared" si="6"/>
        <v>4177</v>
      </c>
      <c r="Z25" s="110">
        <f t="shared" si="6"/>
        <v>651</v>
      </c>
      <c r="AA25" s="110">
        <f t="shared" si="6"/>
        <v>1113</v>
      </c>
      <c r="AB25" s="110">
        <f t="shared" si="6"/>
        <v>1567</v>
      </c>
      <c r="AC25" s="110">
        <f t="shared" si="6"/>
        <v>1614</v>
      </c>
      <c r="AD25" s="109">
        <f t="shared" si="6"/>
        <v>4945</v>
      </c>
      <c r="AE25" s="110">
        <f t="shared" si="6"/>
        <v>318</v>
      </c>
      <c r="AF25" s="110">
        <f t="shared" si="6"/>
        <v>1367</v>
      </c>
      <c r="AG25" s="110">
        <f t="shared" si="6"/>
        <v>1692</v>
      </c>
      <c r="AH25" s="110">
        <f t="shared" ref="AH25:BM25" si="7">AH22-AH23+AH24</f>
        <v>1150</v>
      </c>
      <c r="AI25" s="109">
        <f t="shared" si="7"/>
        <v>4527</v>
      </c>
      <c r="AJ25" s="110">
        <f t="shared" si="7"/>
        <v>1007</v>
      </c>
      <c r="AK25" s="110">
        <f t="shared" si="7"/>
        <v>1245</v>
      </c>
      <c r="AL25" s="110">
        <f t="shared" si="7"/>
        <v>1499</v>
      </c>
      <c r="AM25" s="110">
        <f t="shared" si="7"/>
        <v>1290</v>
      </c>
      <c r="AN25" s="109">
        <f t="shared" si="7"/>
        <v>5041</v>
      </c>
      <c r="AO25" s="110">
        <f t="shared" si="7"/>
        <v>1149</v>
      </c>
      <c r="AP25" s="110">
        <f t="shared" si="7"/>
        <v>1123</v>
      </c>
      <c r="AQ25" s="110">
        <f t="shared" si="7"/>
        <v>1708</v>
      </c>
      <c r="AR25" s="110">
        <f t="shared" si="7"/>
        <v>1551</v>
      </c>
      <c r="AS25" s="109">
        <f t="shared" si="7"/>
        <v>5531</v>
      </c>
      <c r="AT25" s="110">
        <f t="shared" si="7"/>
        <v>1124</v>
      </c>
      <c r="AU25" s="110">
        <f t="shared" si="7"/>
        <v>1471</v>
      </c>
      <c r="AV25" s="110">
        <f t="shared" si="7"/>
        <v>1308</v>
      </c>
      <c r="AW25" s="110">
        <f t="shared" si="7"/>
        <v>1313</v>
      </c>
      <c r="AX25" s="109">
        <f t="shared" si="7"/>
        <v>5216</v>
      </c>
      <c r="AY25" s="110">
        <f t="shared" si="7"/>
        <v>1114</v>
      </c>
      <c r="AZ25" s="110">
        <f t="shared" si="7"/>
        <v>1570</v>
      </c>
      <c r="BA25" s="110">
        <f t="shared" si="7"/>
        <v>1160</v>
      </c>
      <c r="BB25" s="110">
        <f t="shared" si="7"/>
        <v>1972</v>
      </c>
      <c r="BC25" s="109">
        <f t="shared" si="7"/>
        <v>5816</v>
      </c>
      <c r="BD25" s="110">
        <f t="shared" si="7"/>
        <v>1002</v>
      </c>
      <c r="BE25" s="110">
        <f t="shared" si="7"/>
        <v>1336</v>
      </c>
      <c r="BF25" s="110">
        <f t="shared" si="7"/>
        <v>1533</v>
      </c>
      <c r="BG25" s="110">
        <f t="shared" si="7"/>
        <v>1753</v>
      </c>
      <c r="BH25" s="109">
        <f t="shared" si="7"/>
        <v>5624</v>
      </c>
      <c r="BI25" s="110">
        <f t="shared" si="7"/>
        <v>962</v>
      </c>
      <c r="BJ25" s="110">
        <f t="shared" si="7"/>
        <v>1178</v>
      </c>
      <c r="BK25" s="110">
        <f t="shared" si="7"/>
        <v>631</v>
      </c>
      <c r="BL25" s="110">
        <f t="shared" si="7"/>
        <v>2046</v>
      </c>
      <c r="BM25" s="109">
        <f t="shared" si="7"/>
        <v>4817</v>
      </c>
      <c r="BN25" s="110">
        <f t="shared" ref="BN25:BW25" si="8">BN22-BN23+BN24</f>
        <v>509</v>
      </c>
      <c r="BO25" s="110">
        <f t="shared" si="8"/>
        <v>1413</v>
      </c>
      <c r="BP25" s="110">
        <f t="shared" si="8"/>
        <v>1557</v>
      </c>
      <c r="BQ25" s="110">
        <f t="shared" si="8"/>
        <v>1189</v>
      </c>
      <c r="BR25" s="109">
        <f t="shared" si="8"/>
        <v>4713</v>
      </c>
      <c r="BS25" s="110">
        <f>BS22-BS23+BS24</f>
        <v>668</v>
      </c>
      <c r="BT25" s="110">
        <f>BT22-BT23+BT24</f>
        <v>1700</v>
      </c>
      <c r="BU25" s="110">
        <f>BU22-BU23+BU24</f>
        <v>-472</v>
      </c>
      <c r="BV25" s="110">
        <f>BV22-BV23+BV24</f>
        <v>1765.9681615828226</v>
      </c>
      <c r="BW25" s="109">
        <f t="shared" si="8"/>
        <v>3661.9681615828222</v>
      </c>
      <c r="BX25" s="109">
        <f>BX22-BX23+BX24</f>
        <v>5458.9778959162177</v>
      </c>
      <c r="BY25" s="109">
        <f>BY22-BY23+BY24</f>
        <v>6710.8469054655443</v>
      </c>
    </row>
    <row r="26" spans="1:77">
      <c r="A26" s="30"/>
      <c r="B26" s="108"/>
      <c r="C26" s="108"/>
      <c r="D26" s="108"/>
      <c r="E26" s="108"/>
      <c r="F26" s="107"/>
      <c r="G26" s="107"/>
      <c r="H26" s="107"/>
      <c r="I26" s="107"/>
      <c r="J26" s="108"/>
      <c r="K26" s="107"/>
      <c r="L26" s="107"/>
      <c r="M26" s="107"/>
      <c r="N26" s="107"/>
      <c r="O26" s="108"/>
      <c r="P26" s="107"/>
      <c r="Q26" s="107"/>
      <c r="R26" s="107"/>
      <c r="S26" s="107"/>
      <c r="T26" s="108"/>
      <c r="U26" s="107"/>
      <c r="V26" s="107"/>
      <c r="W26" s="107"/>
      <c r="X26" s="107"/>
      <c r="Y26" s="108"/>
      <c r="Z26" s="107"/>
      <c r="AA26" s="107"/>
      <c r="AB26" s="107"/>
      <c r="AC26" s="107"/>
      <c r="AD26" s="108"/>
      <c r="AE26" s="107"/>
      <c r="AF26" s="107"/>
      <c r="AG26" s="107"/>
      <c r="AH26" s="107"/>
      <c r="AI26" s="108"/>
      <c r="AJ26" s="107"/>
      <c r="AK26" s="107"/>
      <c r="AL26" s="107"/>
      <c r="AM26" s="107"/>
      <c r="AN26" s="108"/>
      <c r="AO26" s="107"/>
      <c r="AP26" s="107"/>
      <c r="AQ26" s="107"/>
      <c r="AR26" s="107"/>
      <c r="AS26" s="108"/>
      <c r="AT26" s="107"/>
      <c r="AU26" s="107"/>
      <c r="AV26" s="107"/>
      <c r="AW26" s="107"/>
      <c r="AX26" s="108"/>
      <c r="AY26" s="107"/>
      <c r="AZ26" s="107"/>
      <c r="BA26" s="107"/>
      <c r="BB26" s="107"/>
      <c r="BC26" s="108"/>
      <c r="BD26" s="107"/>
      <c r="BE26" s="107"/>
      <c r="BF26" s="107"/>
      <c r="BG26" s="107"/>
      <c r="BH26" s="108"/>
      <c r="BI26" s="107"/>
      <c r="BJ26" s="107"/>
      <c r="BK26" s="107"/>
      <c r="BL26" s="107"/>
      <c r="BM26" s="32"/>
      <c r="BN26" s="107"/>
      <c r="BO26" s="107"/>
      <c r="BP26" s="107"/>
      <c r="BQ26" s="107"/>
      <c r="BR26" s="32"/>
      <c r="BS26" s="107"/>
      <c r="BT26" s="107"/>
      <c r="BU26" s="107"/>
      <c r="BV26" s="107"/>
      <c r="BW26" s="32"/>
      <c r="BX26" s="32"/>
      <c r="BY26" s="32"/>
    </row>
    <row r="27" spans="1:77">
      <c r="A27" s="30" t="s">
        <v>100</v>
      </c>
      <c r="B27" s="48">
        <f>IS!J99</f>
        <v>1016.02</v>
      </c>
      <c r="C27" s="48">
        <f>IS!O99</f>
        <v>1010.772</v>
      </c>
      <c r="D27" s="48">
        <f>IS!T99</f>
        <v>1011.158</v>
      </c>
      <c r="E27" s="48">
        <f>IS!Y99</f>
        <v>1005.814</v>
      </c>
      <c r="F27" s="49">
        <f>IS!Z99</f>
        <v>1016</v>
      </c>
      <c r="G27" s="49">
        <f>IS!AA99</f>
        <v>1010</v>
      </c>
      <c r="H27" s="49">
        <f>IS!AB99</f>
        <v>1010</v>
      </c>
      <c r="I27" s="49">
        <f>IS!AC99</f>
        <v>1008</v>
      </c>
      <c r="J27" s="48">
        <f>IS!AD99</f>
        <v>1011</v>
      </c>
      <c r="K27" s="49">
        <f>IS!AE99</f>
        <v>1016</v>
      </c>
      <c r="L27" s="49">
        <f>IS!AF99</f>
        <v>1018</v>
      </c>
      <c r="M27" s="49">
        <f>IS!AG99</f>
        <v>1015</v>
      </c>
      <c r="N27" s="49">
        <f>IS!AH99</f>
        <v>1010</v>
      </c>
      <c r="O27" s="48">
        <f>IS!AI99</f>
        <v>1014</v>
      </c>
      <c r="P27" s="49">
        <f>IS!AJ99</f>
        <v>1009</v>
      </c>
      <c r="Q27" s="49">
        <f>IS!AK99</f>
        <v>1009</v>
      </c>
      <c r="R27" s="49">
        <f>IS!AL99</f>
        <v>1006</v>
      </c>
      <c r="S27" s="49">
        <f>IS!AM99</f>
        <v>998</v>
      </c>
      <c r="T27" s="48">
        <f>IS!AN99</f>
        <v>1006</v>
      </c>
      <c r="U27" s="49">
        <f>IS!AO99</f>
        <v>993</v>
      </c>
      <c r="V27" s="49">
        <f>IS!AP99</f>
        <v>990</v>
      </c>
      <c r="W27" s="49">
        <f>IS!AQ99</f>
        <v>989</v>
      </c>
      <c r="X27" s="49">
        <f>IS!AR99</f>
        <v>984</v>
      </c>
      <c r="Y27" s="48">
        <f>IS!AS99</f>
        <v>989</v>
      </c>
      <c r="Z27" s="49">
        <f>IS!AT99</f>
        <v>975</v>
      </c>
      <c r="AA27" s="49">
        <f>IS!AU99</f>
        <v>966</v>
      </c>
      <c r="AB27" s="49">
        <f>IS!AV99</f>
        <v>951</v>
      </c>
      <c r="AC27" s="49">
        <f>IS!AW99</f>
        <v>933</v>
      </c>
      <c r="AD27" s="48">
        <f>IS!AX99</f>
        <v>956</v>
      </c>
      <c r="AE27" s="49">
        <f>IS!AY99</f>
        <v>926</v>
      </c>
      <c r="AF27" s="49">
        <f>IS!AZ99</f>
        <v>929</v>
      </c>
      <c r="AG27" s="49">
        <f>IS!BA99</f>
        <v>929</v>
      </c>
      <c r="AH27" s="49">
        <f>IS!BB99</f>
        <v>931</v>
      </c>
      <c r="AI27" s="48">
        <f>IS!BC99</f>
        <v>929</v>
      </c>
      <c r="AJ27" s="49">
        <f>IS!BD99</f>
        <v>929</v>
      </c>
      <c r="AK27" s="49">
        <f>IS!BE99</f>
        <v>925</v>
      </c>
      <c r="AL27" s="49">
        <f>IS!BF99</f>
        <v>919</v>
      </c>
      <c r="AM27" s="49">
        <f>IS!BG99</f>
        <v>916</v>
      </c>
      <c r="AN27" s="48">
        <f>IS!BH99</f>
        <v>922.7</v>
      </c>
      <c r="AO27" s="49">
        <f>IS!BI99</f>
        <v>914.9</v>
      </c>
      <c r="AP27" s="49">
        <f>IS!BJ99</f>
        <v>909.8</v>
      </c>
      <c r="AQ27" s="49">
        <f>IS!BK99</f>
        <v>901.9</v>
      </c>
      <c r="AR27" s="49">
        <f>IS!BL99</f>
        <v>899</v>
      </c>
      <c r="AS27" s="48">
        <f>IS!BM99</f>
        <v>906.8</v>
      </c>
      <c r="AT27" s="49">
        <f>IS!BN99</f>
        <v>903.9</v>
      </c>
      <c r="AU27" s="49">
        <f>IS!BO99</f>
        <v>904.8</v>
      </c>
      <c r="AV27" s="49">
        <f>IS!BP99</f>
        <v>907.2</v>
      </c>
      <c r="AW27" s="49">
        <f>IS!BQ99</f>
        <v>911</v>
      </c>
      <c r="AX27" s="48">
        <f>IS!BR99</f>
        <v>906.6</v>
      </c>
      <c r="AY27" s="49">
        <f>IS!BS99</f>
        <v>914</v>
      </c>
      <c r="AZ27" s="49">
        <f>IS!BT99</f>
        <v>914</v>
      </c>
      <c r="BA27" s="49">
        <f>IS!BU99</f>
        <v>915.5</v>
      </c>
      <c r="BB27" s="49">
        <f>IS!BV99</f>
        <v>917</v>
      </c>
      <c r="BC27" s="48">
        <f>IS!BW99</f>
        <v>915.125</v>
      </c>
      <c r="BD27" s="49">
        <f>IS!BX99</f>
        <v>917</v>
      </c>
      <c r="BE27" s="49">
        <f>IS!BY99</f>
        <v>915</v>
      </c>
      <c r="BF27" s="49">
        <f>IS!BZ99</f>
        <v>910</v>
      </c>
      <c r="BG27" s="49">
        <f>IS!CA99</f>
        <v>907</v>
      </c>
      <c r="BH27" s="48">
        <f>IS!CB99</f>
        <v>912.25</v>
      </c>
      <c r="BI27" s="49">
        <f>IS!CC99</f>
        <v>904</v>
      </c>
      <c r="BJ27" s="49">
        <f>IS!CD99</f>
        <v>889</v>
      </c>
      <c r="BK27" s="49">
        <f>IS!CE99</f>
        <v>885</v>
      </c>
      <c r="BL27" s="49">
        <f>IS!CF99</f>
        <v>850</v>
      </c>
      <c r="BM27" s="48">
        <f>IS!CG99</f>
        <v>882</v>
      </c>
      <c r="BN27" s="49">
        <f>IS!CH99</f>
        <v>831</v>
      </c>
      <c r="BO27" s="49">
        <f>IS!CI99</f>
        <v>832.5</v>
      </c>
      <c r="BP27" s="49">
        <f>IS!CJ99</f>
        <v>831</v>
      </c>
      <c r="BQ27" s="49">
        <f>IS!CK99</f>
        <v>810</v>
      </c>
      <c r="BR27" s="48">
        <f>IS!CL99</f>
        <v>826.125</v>
      </c>
      <c r="BS27" s="49">
        <f>IS!CM99</f>
        <v>802</v>
      </c>
      <c r="BT27" s="49">
        <f>IS!CN99</f>
        <v>798</v>
      </c>
      <c r="BU27" s="49">
        <f>IS!CO99</f>
        <v>797</v>
      </c>
      <c r="BV27" s="49">
        <f>IS!CP99</f>
        <v>798.12062889116487</v>
      </c>
      <c r="BW27" s="48">
        <f>IS!CQ99</f>
        <v>798.78015722279122</v>
      </c>
      <c r="BX27" s="48">
        <f>IS!CV99</f>
        <v>802.50306889116473</v>
      </c>
      <c r="BY27" s="48">
        <f>IS!CW99</f>
        <v>810.39066989116463</v>
      </c>
    </row>
    <row r="28" spans="1:77">
      <c r="A28" s="30"/>
      <c r="B28" s="32"/>
      <c r="C28" s="32"/>
      <c r="D28" s="32"/>
      <c r="E28" s="32"/>
      <c r="F28" s="33"/>
      <c r="G28" s="33"/>
      <c r="H28" s="33"/>
      <c r="I28" s="33"/>
      <c r="J28" s="32"/>
      <c r="K28" s="33"/>
      <c r="L28" s="33"/>
      <c r="M28" s="33"/>
      <c r="N28" s="33"/>
      <c r="O28" s="32"/>
      <c r="P28" s="33"/>
      <c r="Q28" s="33"/>
      <c r="R28" s="33"/>
      <c r="S28" s="33"/>
      <c r="T28" s="32"/>
      <c r="U28" s="33"/>
      <c r="V28" s="33"/>
      <c r="W28" s="33"/>
      <c r="X28" s="33"/>
      <c r="Y28" s="32"/>
      <c r="Z28" s="33"/>
      <c r="AA28" s="33"/>
      <c r="AB28" s="33"/>
      <c r="AC28" s="33"/>
      <c r="AD28" s="32"/>
      <c r="AE28" s="33"/>
      <c r="AF28" s="33"/>
      <c r="AG28" s="33"/>
      <c r="AH28" s="33"/>
      <c r="AI28" s="32"/>
      <c r="AJ28" s="33"/>
      <c r="AK28" s="33"/>
      <c r="AL28" s="33"/>
      <c r="AM28" s="33"/>
      <c r="AN28" s="32"/>
      <c r="AO28" s="33"/>
      <c r="AP28" s="33"/>
      <c r="AQ28" s="33"/>
      <c r="AR28" s="33"/>
      <c r="AS28" s="32"/>
      <c r="AT28" s="33"/>
      <c r="AU28" s="33"/>
      <c r="AV28" s="33"/>
      <c r="AW28" s="33"/>
      <c r="AX28" s="32"/>
      <c r="AY28" s="33"/>
      <c r="AZ28" s="33"/>
      <c r="BA28" s="33"/>
      <c r="BB28" s="33"/>
      <c r="BC28" s="32"/>
      <c r="BD28" s="33"/>
      <c r="BE28" s="33"/>
      <c r="BF28" s="33"/>
      <c r="BG28" s="33"/>
      <c r="BH28" s="32"/>
      <c r="BI28" s="33"/>
      <c r="BJ28" s="33"/>
      <c r="BK28" s="33"/>
      <c r="BL28" s="33"/>
      <c r="BM28" s="32"/>
      <c r="BN28" s="33"/>
      <c r="BO28" s="33"/>
      <c r="BP28" s="33"/>
      <c r="BQ28" s="33"/>
      <c r="BR28" s="32"/>
      <c r="BS28" s="33"/>
      <c r="BT28" s="33"/>
      <c r="BU28" s="33"/>
      <c r="BV28" s="33"/>
      <c r="BW28" s="32"/>
      <c r="BX28" s="32"/>
      <c r="BY28" s="32"/>
    </row>
    <row r="29" spans="1:77">
      <c r="A29" s="41" t="s">
        <v>87</v>
      </c>
      <c r="B29" s="105">
        <f>IS!J83</f>
        <v>1.7794925296746127</v>
      </c>
      <c r="C29" s="105">
        <f>IS!O83</f>
        <v>1.9173463451698305</v>
      </c>
      <c r="D29" s="105">
        <f>IS!T83</f>
        <v>2.2113260242217341</v>
      </c>
      <c r="E29" s="105">
        <f>IS!Y83</f>
        <v>2.3473524926079774</v>
      </c>
      <c r="F29" s="106">
        <f>IS!Z83</f>
        <v>0.54232283464566933</v>
      </c>
      <c r="G29" s="106">
        <f>IS!AA83</f>
        <v>0.80891089108910896</v>
      </c>
      <c r="H29" s="106">
        <f>IS!AB83</f>
        <v>0.68613861386138619</v>
      </c>
      <c r="I29" s="106">
        <f>IS!AC83</f>
        <v>0.6071428571428571</v>
      </c>
      <c r="J29" s="105">
        <f>IS!AD83</f>
        <v>2.7576656775469832</v>
      </c>
      <c r="K29" s="106">
        <f>IS!AE83</f>
        <v>0.64074803149606296</v>
      </c>
      <c r="L29" s="106">
        <f>IS!AF83</f>
        <v>0.9538310412573674</v>
      </c>
      <c r="M29" s="106">
        <f>IS!AG83</f>
        <v>0.80886699507389159</v>
      </c>
      <c r="N29" s="106">
        <f>IS!AH83</f>
        <v>0.71386138613861383</v>
      </c>
      <c r="O29" s="105">
        <f>IS!AI83</f>
        <v>3.1203155818540433</v>
      </c>
      <c r="P29" s="106">
        <f>IS!AJ83</f>
        <v>0.76114965312190286</v>
      </c>
      <c r="Q29" s="106">
        <f>IS!AK83</f>
        <v>1.0931615460852329</v>
      </c>
      <c r="R29" s="106">
        <f>IS!AL83</f>
        <v>0.99005964214711728</v>
      </c>
      <c r="S29" s="106">
        <f>IS!AM83</f>
        <v>0.86673346693386777</v>
      </c>
      <c r="T29" s="105">
        <f>IS!AN83</f>
        <v>3.7097415506958251</v>
      </c>
      <c r="U29" s="106">
        <f>IS!AO83</f>
        <v>0.82477341389728098</v>
      </c>
      <c r="V29" s="106">
        <f>IS!AP83</f>
        <v>1.1595959595959595</v>
      </c>
      <c r="W29" s="106">
        <f>IS!AQ83</f>
        <v>1.2103134479271991</v>
      </c>
      <c r="X29" s="106">
        <f>IS!AR83</f>
        <v>1.0772357723577235</v>
      </c>
      <c r="Y29" s="105">
        <f>IS!AS83</f>
        <v>4.2709807886754296</v>
      </c>
      <c r="Z29" s="106">
        <f>IS!AT83</f>
        <v>1.0256410256410255</v>
      </c>
      <c r="AA29" s="106">
        <f>IS!AU83</f>
        <v>1.3198757763975155</v>
      </c>
      <c r="AB29" s="106">
        <f>IS!AV83</f>
        <v>1.334384858044164</v>
      </c>
      <c r="AC29" s="106">
        <f>IS!AW83</f>
        <v>1.227224008574491</v>
      </c>
      <c r="AD29" s="105">
        <f>IS!AX83</f>
        <v>4.9048117154811717</v>
      </c>
      <c r="AE29" s="106">
        <f>IS!AY83</f>
        <v>0.78281317494600433</v>
      </c>
      <c r="AF29" s="106">
        <f>IS!AZ83</f>
        <v>1.0480193756727663</v>
      </c>
      <c r="AG29" s="106">
        <f>IS!BA83</f>
        <v>1.1381377825618944</v>
      </c>
      <c r="AH29" s="106">
        <f>IS!BB83</f>
        <v>1.1529645542427498</v>
      </c>
      <c r="AI29" s="105">
        <f>IS!BC83</f>
        <v>4.1218891280947254</v>
      </c>
      <c r="AJ29" s="106">
        <f>IS!BD83</f>
        <v>0.9321851453175457</v>
      </c>
      <c r="AK29" s="106">
        <f>IS!BE83</f>
        <v>1.2</v>
      </c>
      <c r="AL29" s="106">
        <f>IS!BF83</f>
        <v>1.3035908596300327</v>
      </c>
      <c r="AM29" s="106">
        <f>IS!BG83</f>
        <v>1.3089519650655022</v>
      </c>
      <c r="AN29" s="105">
        <f>IS!BH83</f>
        <v>4.7393519020266606</v>
      </c>
      <c r="AO29" s="106">
        <f>IS!BI83</f>
        <v>1.0613181768499289</v>
      </c>
      <c r="AP29" s="106">
        <f>IS!BJ83</f>
        <v>1.4123983293031437</v>
      </c>
      <c r="AQ29" s="106">
        <f>IS!BK83</f>
        <v>1.4269874708947776</v>
      </c>
      <c r="AR29" s="106">
        <f>IS!BL83</f>
        <v>1.421579532814238</v>
      </c>
      <c r="AS29" s="105">
        <f>IS!BM83</f>
        <v>5.3164975738861937</v>
      </c>
      <c r="AT29" s="106">
        <f>IS!BN83</f>
        <v>1.3131983626507358</v>
      </c>
      <c r="AU29" s="106">
        <f>IS!BO83</f>
        <v>1.6180371352785146</v>
      </c>
      <c r="AV29" s="106">
        <f>IS!BP83</f>
        <v>1.3723544973544972</v>
      </c>
      <c r="AW29" s="106">
        <f>IS!BQ83</f>
        <v>1.0362239297475302</v>
      </c>
      <c r="AX29" s="105">
        <f>IS!BR83</f>
        <v>5.3386278402823732</v>
      </c>
      <c r="AY29" s="106">
        <f>IS!BS83</f>
        <v>1.3894967177242887</v>
      </c>
      <c r="AZ29" s="106">
        <f>IS!BT83</f>
        <v>1.6980306345733041</v>
      </c>
      <c r="BA29" s="106">
        <f>IS!BU83</f>
        <v>1.545603495357728</v>
      </c>
      <c r="BB29" s="106">
        <f>IS!BV83</f>
        <v>1.5801526717557253</v>
      </c>
      <c r="BC29" s="105">
        <f>IS!BW83</f>
        <v>6.213358830760825</v>
      </c>
      <c r="BD29" s="106">
        <f>IS!BX83</f>
        <v>1.3227917121046893</v>
      </c>
      <c r="BE29" s="106">
        <f>IS!BY83</f>
        <v>1.8360655737704918</v>
      </c>
      <c r="BF29" s="106">
        <f>IS!BZ83</f>
        <v>2.0373626373626372</v>
      </c>
      <c r="BG29" s="106">
        <f>IS!CA83</f>
        <v>1.6240352811466372</v>
      </c>
      <c r="BH29" s="105">
        <f>IS!CB83</f>
        <v>6.8183063853110442</v>
      </c>
      <c r="BI29" s="106">
        <f>IS!CC83</f>
        <v>1.4421902654867256</v>
      </c>
      <c r="BJ29" s="106">
        <f>IS!CD83</f>
        <v>1.6999550056242969</v>
      </c>
      <c r="BK29" s="106">
        <f>IS!CE83</f>
        <v>1.6707297685162954</v>
      </c>
      <c r="BL29" s="106">
        <f>IS!CF83</f>
        <v>1.5270588235294118</v>
      </c>
      <c r="BM29" s="105">
        <f>IS!CG83</f>
        <v>6.3396778289534259</v>
      </c>
      <c r="BN29" s="106">
        <f>IS!CH83</f>
        <v>1.4699759326113115</v>
      </c>
      <c r="BO29" s="106">
        <f>IS!CI83</f>
        <v>1.8157057057057058</v>
      </c>
      <c r="BP29" s="106">
        <f>IS!CJ83</f>
        <v>1.7564620938628157</v>
      </c>
      <c r="BQ29" s="106">
        <f>IS!CK83</f>
        <v>1.5641975308641975</v>
      </c>
      <c r="BR29" s="105">
        <f>IS!CL83</f>
        <v>6.6088606445755786</v>
      </c>
      <c r="BS29" s="106">
        <f>IS!CM83</f>
        <v>1.4781795511221945</v>
      </c>
      <c r="BT29" s="106">
        <f>IS!CN83</f>
        <v>1.8532581453634087</v>
      </c>
      <c r="BU29" s="106">
        <f>IS!CO83</f>
        <v>1.7287578419071516</v>
      </c>
      <c r="BV29" s="106">
        <f>IS!CP83</f>
        <v>1.5732174976059914</v>
      </c>
      <c r="BW29" s="105">
        <f>IS!CQ83</f>
        <v>6.6324097946942819</v>
      </c>
      <c r="BX29" s="105">
        <f>IS!CV83</f>
        <v>6.9150290738916596</v>
      </c>
      <c r="BY29" s="105">
        <f>IS!CW83</f>
        <v>7.7667709166495689</v>
      </c>
    </row>
    <row r="30" spans="1:77">
      <c r="A30" s="30" t="s">
        <v>99</v>
      </c>
      <c r="B30" s="81">
        <f>IS!J89</f>
        <v>1.7794925296746127</v>
      </c>
      <c r="C30" s="81">
        <f>IS!O89</f>
        <v>1.9173463451698305</v>
      </c>
      <c r="D30" s="81">
        <f>IS!T89</f>
        <v>2.2113260242217341</v>
      </c>
      <c r="E30" s="81">
        <f>IS!Y89</f>
        <v>2.3473524926079774</v>
      </c>
      <c r="F30" s="82">
        <f>IS!Z89</f>
        <v>0.54232283464566933</v>
      </c>
      <c r="G30" s="82">
        <f>IS!AA89</f>
        <v>0.80891089108910896</v>
      </c>
      <c r="H30" s="82">
        <f>IS!AB89</f>
        <v>0.68613861386138619</v>
      </c>
      <c r="I30" s="82">
        <f>IS!AC89</f>
        <v>0.6071428571428571</v>
      </c>
      <c r="J30" s="81">
        <f>IS!AD89</f>
        <v>2.7576656775469832</v>
      </c>
      <c r="K30" s="82">
        <f>IS!AE89</f>
        <v>0.64074803149606296</v>
      </c>
      <c r="L30" s="82">
        <f>IS!AF89</f>
        <v>0.9538310412573674</v>
      </c>
      <c r="M30" s="82">
        <f>IS!AG89</f>
        <v>0.80886699507389159</v>
      </c>
      <c r="N30" s="82">
        <f>IS!AH89</f>
        <v>0.6198019801980198</v>
      </c>
      <c r="O30" s="81">
        <f>IS!AI89</f>
        <v>3.026627218934911</v>
      </c>
      <c r="P30" s="82">
        <f>IS!AJ89</f>
        <v>0.76114965312190286</v>
      </c>
      <c r="Q30" s="82">
        <f>IS!AK89</f>
        <v>1.0931615460852329</v>
      </c>
      <c r="R30" s="82">
        <f>IS!AL89</f>
        <v>0.99005964214711728</v>
      </c>
      <c r="S30" s="82">
        <f>IS!AM89</f>
        <v>0.86673346693386777</v>
      </c>
      <c r="T30" s="81">
        <f>IS!AN89</f>
        <v>3.7097415506958251</v>
      </c>
      <c r="U30" s="82">
        <f>IS!AO89</f>
        <v>0.82477341389728098</v>
      </c>
      <c r="V30" s="82">
        <f>IS!AP89</f>
        <v>1.1595959595959595</v>
      </c>
      <c r="W30" s="82">
        <f>IS!AQ89</f>
        <v>1.2103134479271991</v>
      </c>
      <c r="X30" s="82">
        <f>IS!AR89</f>
        <v>1.0772357723577235</v>
      </c>
      <c r="Y30" s="81">
        <f>IS!AS89</f>
        <v>4.2709807886754296</v>
      </c>
      <c r="Z30" s="82">
        <f>IS!AT89</f>
        <v>1.0256410256410255</v>
      </c>
      <c r="AA30" s="82">
        <f>IS!AU89</f>
        <v>1.3198757763975155</v>
      </c>
      <c r="AB30" s="82">
        <f>IS!AV89</f>
        <v>1.334384858044164</v>
      </c>
      <c r="AC30" s="82">
        <f>IS!AW89</f>
        <v>1.227224008574491</v>
      </c>
      <c r="AD30" s="81">
        <f>IS!AX89</f>
        <v>4.9048117154811717</v>
      </c>
      <c r="AE30" s="82">
        <f>IS!AY89</f>
        <v>0.78281317494600433</v>
      </c>
      <c r="AF30" s="82">
        <f>IS!AZ89</f>
        <v>1.0480193756727663</v>
      </c>
      <c r="AG30" s="82">
        <f>IS!BA89</f>
        <v>1.1381377825618944</v>
      </c>
      <c r="AH30" s="82">
        <f>IS!BB89</f>
        <v>1.1529645542427498</v>
      </c>
      <c r="AI30" s="81">
        <f>IS!BC89</f>
        <v>4.1218891280947254</v>
      </c>
      <c r="AJ30" s="82">
        <f>IS!BD89</f>
        <v>0.9321851453175457</v>
      </c>
      <c r="AK30" s="82">
        <f>IS!BE89</f>
        <v>1.2</v>
      </c>
      <c r="AL30" s="82">
        <f>IS!BF89</f>
        <v>1.3035908596300327</v>
      </c>
      <c r="AM30" s="82">
        <f>IS!BG89</f>
        <v>1.3089519650655022</v>
      </c>
      <c r="AN30" s="81">
        <f>IS!BH89</f>
        <v>4.7393519020266606</v>
      </c>
      <c r="AO30" s="82">
        <f>IS!BI89</f>
        <v>1.106131817684993</v>
      </c>
      <c r="AP30" s="82">
        <f>IS!BJ89</f>
        <v>1.4486700373708508</v>
      </c>
      <c r="AQ30" s="82">
        <f>IS!BK89</f>
        <v>1.4680119747200355</v>
      </c>
      <c r="AR30" s="82">
        <f>IS!BL89</f>
        <v>1.4738598442714126</v>
      </c>
      <c r="AS30" s="81">
        <f>IS!BM89</f>
        <v>5.4907366563740627</v>
      </c>
      <c r="AT30" s="82">
        <f>IS!BN89</f>
        <v>0.36508463325589113</v>
      </c>
      <c r="AU30" s="82">
        <f>IS!BO89</f>
        <v>1.4677276746242265</v>
      </c>
      <c r="AV30" s="82">
        <f>IS!BP89</f>
        <v>1.5597442680776012</v>
      </c>
      <c r="AW30" s="82">
        <f>IS!BQ89</f>
        <v>2.2579582875960482</v>
      </c>
      <c r="AX30" s="81">
        <f>IS!BR89</f>
        <v>5.6585043017868957</v>
      </c>
      <c r="AY30" s="82">
        <f>IS!BS89</f>
        <v>1.3894967177242887</v>
      </c>
      <c r="AZ30" s="82">
        <f>IS!BT89</f>
        <v>1.6980306345733041</v>
      </c>
      <c r="BA30" s="82">
        <f>IS!BU89</f>
        <v>1.545603495357728</v>
      </c>
      <c r="BB30" s="82">
        <f>IS!BV89</f>
        <v>1.5801526717557253</v>
      </c>
      <c r="BC30" s="81">
        <f>IS!BW89</f>
        <v>6.213358830760825</v>
      </c>
      <c r="BD30" s="82">
        <f>IS!BX89</f>
        <v>1.3227917121046893</v>
      </c>
      <c r="BE30" s="82">
        <f>IS!BY89</f>
        <v>1.8360655737704918</v>
      </c>
      <c r="BF30" s="82">
        <f>IS!BZ89</f>
        <v>2.0373626373626372</v>
      </c>
      <c r="BG30" s="82">
        <f>IS!CA89</f>
        <v>1.6240352811466372</v>
      </c>
      <c r="BH30" s="81">
        <f>IS!CB89</f>
        <v>6.8183063853110442</v>
      </c>
      <c r="BI30" s="82">
        <f>IS!CC89</f>
        <v>1.5774336283185841</v>
      </c>
      <c r="BJ30" s="82">
        <f>IS!CD89</f>
        <v>1.734533183352081</v>
      </c>
      <c r="BK30" s="82">
        <f>IS!CE89</f>
        <v>1.5389830508474576</v>
      </c>
      <c r="BL30" s="82">
        <f>IS!CF89</f>
        <v>3.8564705882352941</v>
      </c>
      <c r="BM30" s="81">
        <f>IS!CG89</f>
        <v>8.6258503401360542</v>
      </c>
      <c r="BN30" s="82">
        <f>IS!CH89</f>
        <v>1.4199759326113117</v>
      </c>
      <c r="BO30" s="82">
        <f>IS!CI89</f>
        <v>1.6492492492492492</v>
      </c>
      <c r="BP30" s="82">
        <f>IS!CJ89</f>
        <v>1.7809867629362215</v>
      </c>
      <c r="BQ30" s="82">
        <f>IS!CK89</f>
        <v>1.2506172839506173</v>
      </c>
      <c r="BR30" s="81">
        <f>IS!CL89</f>
        <v>6.1080344984112571</v>
      </c>
      <c r="BS30" s="82">
        <f>IS!CM89</f>
        <v>1.7281795511221945</v>
      </c>
      <c r="BT30" s="82">
        <f>IS!CN89</f>
        <v>1.8032581453634084</v>
      </c>
      <c r="BU30" s="82">
        <f>IS!CO89</f>
        <v>1.6687578419071518</v>
      </c>
      <c r="BV30" s="82">
        <f>IS!CP89</f>
        <v>1.4698621938913086</v>
      </c>
      <c r="BW30" s="81">
        <f>IS!CQ89</f>
        <v>6.6703301157314403</v>
      </c>
      <c r="BX30" s="81">
        <f>IS!CV89</f>
        <v>6.6394039597028467</v>
      </c>
      <c r="BY30" s="81">
        <f>IS!CW89</f>
        <v>7.4938284850323509</v>
      </c>
    </row>
    <row r="31" spans="1:77">
      <c r="A31" s="104" t="s">
        <v>98</v>
      </c>
      <c r="B31" s="102">
        <f>CF!H93</f>
        <v>0.61685853094077303</v>
      </c>
      <c r="C31" s="102">
        <f>CF!I93</f>
        <v>0.60605802846133561</v>
      </c>
      <c r="D31" s="102">
        <f>CF!J93</f>
        <v>0.68368325357028714</v>
      </c>
      <c r="E31" s="102">
        <f>CF!K93</f>
        <v>0.86538968919845927</v>
      </c>
      <c r="F31" s="103">
        <f>CF!L93</f>
        <v>0.16182365510894828</v>
      </c>
      <c r="G31" s="103">
        <f>CF!M93</f>
        <v>0.16084881381311122</v>
      </c>
      <c r="H31" s="103">
        <f>CF!N93</f>
        <v>0.16084881381311122</v>
      </c>
      <c r="I31" s="103">
        <f>CF!O93</f>
        <v>0.37815126050420167</v>
      </c>
      <c r="J31" s="102">
        <f>CF!P93</f>
        <v>0.88922457200402816</v>
      </c>
      <c r="K31" s="103">
        <f>CF!Q93</f>
        <v>0.20319643624711814</v>
      </c>
      <c r="L31" s="103">
        <f>CF!R93</f>
        <v>0.20395019321597252</v>
      </c>
      <c r="M31" s="103">
        <f>CF!S93</f>
        <v>0.22</v>
      </c>
      <c r="N31" s="103">
        <f>CF!T93</f>
        <v>0.20417161067728753</v>
      </c>
      <c r="O31" s="102">
        <f>CF!U93</f>
        <v>0.82063178784301083</v>
      </c>
      <c r="P31" s="103">
        <f>CF!V93</f>
        <v>0.20477444397211894</v>
      </c>
      <c r="Q31" s="103">
        <f>CF!W93</f>
        <v>0.24618616062382237</v>
      </c>
      <c r="R31" s="103">
        <f>CF!X93</f>
        <v>0.2480942401813491</v>
      </c>
      <c r="S31" s="103">
        <f>CF!Y93</f>
        <v>0.24706236818318769</v>
      </c>
      <c r="T31" s="102">
        <f>CF!Z93</f>
        <v>0.95510695992768901</v>
      </c>
      <c r="U31" s="103">
        <f>CF!AA93</f>
        <v>0.24637220275072311</v>
      </c>
      <c r="V31" s="103">
        <f>CF!AB93</f>
        <v>0.24702966165709436</v>
      </c>
      <c r="W31" s="103">
        <f>CF!AC93</f>
        <v>0.2994411471197026</v>
      </c>
      <c r="X31" s="103">
        <f>CF!AD93</f>
        <v>0.29891809949092418</v>
      </c>
      <c r="Y31" s="102">
        <f>CF!AE93</f>
        <v>1.0980664879258439</v>
      </c>
      <c r="Z31" s="103">
        <f>CF!AF93</f>
        <v>0.3010675122379628</v>
      </c>
      <c r="AA31" s="103">
        <f>CF!AG93</f>
        <v>0.30071857034210636</v>
      </c>
      <c r="AB31" s="103">
        <f>CF!AH93</f>
        <v>0.30085753370233709</v>
      </c>
      <c r="AC31" s="103">
        <f>CF!AI93</f>
        <v>0.36125139177130772</v>
      </c>
      <c r="AD31" s="102">
        <f>CF!AJ93</f>
        <v>1.2818597772530274</v>
      </c>
      <c r="AE31" s="103">
        <f>CF!AK93</f>
        <v>0.35985898572154701</v>
      </c>
      <c r="AF31" s="103">
        <f>CF!AL93</f>
        <v>0.36121279921305244</v>
      </c>
      <c r="AG31" s="103">
        <f>CF!AM93</f>
        <v>0.36158479723951703</v>
      </c>
      <c r="AH31" s="103">
        <f>CF!AN93</f>
        <v>0.36082507243189693</v>
      </c>
      <c r="AI31" s="102">
        <f>CF!AO93</f>
        <v>1.4475704089279653</v>
      </c>
      <c r="AJ31" s="103">
        <f>CF!AP93</f>
        <v>0.39975134051950062</v>
      </c>
      <c r="AK31" s="103">
        <f>CF!AQ93</f>
        <v>0.39932417730425734</v>
      </c>
      <c r="AL31" s="103">
        <f>CF!AR93</f>
        <v>0.40069001245944508</v>
      </c>
      <c r="AM31" s="103">
        <f>CF!AS93</f>
        <v>0.39947503769502901</v>
      </c>
      <c r="AN31" s="102">
        <f>CF!AT93</f>
        <v>1.6087554507174811</v>
      </c>
      <c r="AO31" s="103">
        <f>CF!AU93</f>
        <v>0.42499999999999999</v>
      </c>
      <c r="AP31" s="103">
        <f>CF!AV93</f>
        <v>0.48</v>
      </c>
      <c r="AQ31" s="103">
        <f>CF!AW93</f>
        <v>0.48</v>
      </c>
      <c r="AR31" s="103">
        <f>CF!AX93</f>
        <v>0.48</v>
      </c>
      <c r="AS31" s="102">
        <f>CF!AY93</f>
        <v>1.7658301937122336</v>
      </c>
      <c r="AT31" s="103">
        <f>CF!AZ93</f>
        <v>0.46245369850712764</v>
      </c>
      <c r="AU31" s="103">
        <f>CF!BA93</f>
        <v>0.46227893440788004</v>
      </c>
      <c r="AV31" s="103">
        <f>CF!BB93</f>
        <v>0.53500000000000003</v>
      </c>
      <c r="AW31" s="103">
        <f>CF!BC93</f>
        <v>0.53500000000000003</v>
      </c>
      <c r="AX31" s="102">
        <f>CF!BD93</f>
        <v>1.9947326329150079</v>
      </c>
      <c r="AY31" s="103">
        <f>CF!BE93</f>
        <v>0.53500000000000003</v>
      </c>
      <c r="AZ31" s="103">
        <f>CF!BF93</f>
        <v>0.53500000000000003</v>
      </c>
      <c r="BA31" s="103">
        <f>CF!BG93</f>
        <v>0.53500000000000003</v>
      </c>
      <c r="BB31" s="103">
        <f>CF!BH93</f>
        <v>0.55834242093784081</v>
      </c>
      <c r="BC31" s="102">
        <f>CF!BI93</f>
        <v>2.1633424209378407</v>
      </c>
      <c r="BD31" s="103">
        <f>CF!BJ93</f>
        <v>0.56052344601962922</v>
      </c>
      <c r="BE31" s="103">
        <f>CF!BK93</f>
        <v>0.56065573770491806</v>
      </c>
      <c r="BF31" s="103">
        <f>CF!BL93</f>
        <v>0.56153846153846154</v>
      </c>
      <c r="BG31" s="103">
        <f>CF!BM93</f>
        <v>0.5622932745314223</v>
      </c>
      <c r="BH31" s="102">
        <f>CF!BN93</f>
        <v>2.245010919794431</v>
      </c>
      <c r="BI31" s="103">
        <f>CF!BO93</f>
        <v>0.61172566371681414</v>
      </c>
      <c r="BJ31" s="103">
        <f>CF!BP93</f>
        <v>0.61079865016872892</v>
      </c>
      <c r="BK31" s="103">
        <f>CF!BQ93</f>
        <v>0.61807909604519773</v>
      </c>
      <c r="BL31" s="103">
        <f>CF!BR93</f>
        <v>0.63647058823529412</v>
      </c>
      <c r="BM31" s="102">
        <f>CF!BS93</f>
        <v>2.477073998166035</v>
      </c>
      <c r="BN31" s="103">
        <f>CF!BT93</f>
        <v>0.61251504211793018</v>
      </c>
      <c r="BO31" s="103">
        <f>CF!BU93</f>
        <v>0.63183183183183178</v>
      </c>
      <c r="BP31" s="103">
        <f>CF!BV93</f>
        <v>0.63297232250300839</v>
      </c>
      <c r="BQ31" s="103">
        <f>CF!BW93</f>
        <v>0.62716049382716055</v>
      </c>
      <c r="BR31" s="102">
        <f>CF!BX93</f>
        <v>2.5044796902799309</v>
      </c>
      <c r="BS31" s="103">
        <f>CF!BY93</f>
        <v>0.62967581047381549</v>
      </c>
      <c r="BT31" s="103">
        <f>CF!BZ93</f>
        <v>0.63032581453634084</v>
      </c>
      <c r="BU31" s="103">
        <f>CF!CA93</f>
        <v>0.66875784190715182</v>
      </c>
      <c r="BV31" s="103">
        <f>CF!CB93</f>
        <v>0.7</v>
      </c>
      <c r="BW31" s="102">
        <f>CF!CC93</f>
        <v>2.628759466917308</v>
      </c>
      <c r="BX31" s="102">
        <f>CF!CH93</f>
        <v>2.8699999999999997</v>
      </c>
      <c r="BY31" s="102">
        <f>CF!CI93</f>
        <v>3.0134999999999996</v>
      </c>
    </row>
    <row r="32" spans="1:77">
      <c r="A32" s="23" t="s">
        <v>97</v>
      </c>
      <c r="B32" s="100">
        <f>B25/IS!J99</f>
        <v>1.5413082419637409</v>
      </c>
      <c r="C32" s="100">
        <f>C25/IS!O99</f>
        <v>2.0697051362720771</v>
      </c>
      <c r="D32" s="100">
        <f>D25/IS!T99</f>
        <v>2.2419839431621962</v>
      </c>
      <c r="E32" s="100">
        <f>E25/IS!Y99</f>
        <v>2.3314449788927178</v>
      </c>
      <c r="F32" s="101">
        <f>F25/IS!Z99</f>
        <v>0.62696850393700787</v>
      </c>
      <c r="G32" s="101">
        <f>G25/IS!AA99</f>
        <v>0.93663366336633669</v>
      </c>
      <c r="H32" s="101">
        <f>H25/IS!AB99</f>
        <v>0.73366336633663365</v>
      </c>
      <c r="I32" s="101">
        <f>I25/IS!AC99</f>
        <v>0.54662698412698407</v>
      </c>
      <c r="J32" s="100">
        <f>J25/IS!AD99</f>
        <v>2.8724035608308607</v>
      </c>
      <c r="K32" s="101">
        <f>K25/IS!AE99</f>
        <v>0.68307086614173229</v>
      </c>
      <c r="L32" s="101">
        <f>L25/IS!AF99</f>
        <v>0.98722986247544209</v>
      </c>
      <c r="M32" s="101">
        <f>M25/IS!AG99</f>
        <v>0.89261083743842362</v>
      </c>
      <c r="N32" s="101">
        <f>N25/IS!AH99</f>
        <v>0.79207920792079212</v>
      </c>
      <c r="O32" s="100">
        <f>O25/IS!AI99</f>
        <v>3.3579881656804735</v>
      </c>
      <c r="P32" s="101">
        <f>P25/IS!AJ99</f>
        <v>0.76709613478691774</v>
      </c>
      <c r="Q32" s="101">
        <f>Q25/IS!AK99</f>
        <v>0.58870168483647178</v>
      </c>
      <c r="R32" s="101">
        <f>R25/IS!AL99</f>
        <v>1.1699801192842942</v>
      </c>
      <c r="S32" s="101">
        <f>S25/IS!AM99</f>
        <v>1.3066132264529058</v>
      </c>
      <c r="T32" s="100">
        <f>T25/IS!AN99</f>
        <v>3.8260437375745528</v>
      </c>
      <c r="U32" s="101">
        <f>U25/IS!AO99</f>
        <v>0.24672708962739173</v>
      </c>
      <c r="V32" s="101">
        <f>V25/IS!AP99</f>
        <v>1.2101010101010101</v>
      </c>
      <c r="W32" s="101">
        <f>W25/IS!AQ99</f>
        <v>1.1577350859453994</v>
      </c>
      <c r="X32" s="101">
        <f>X25/IS!AR99</f>
        <v>1.6148373983739837</v>
      </c>
      <c r="Y32" s="100">
        <f>Y25/IS!AS99</f>
        <v>4.223458038422649</v>
      </c>
      <c r="Z32" s="101">
        <f>Z25/IS!AT99</f>
        <v>0.6676923076923077</v>
      </c>
      <c r="AA32" s="101">
        <f>AA25/IS!AU99</f>
        <v>1.1521739130434783</v>
      </c>
      <c r="AB32" s="101">
        <f>AB25/IS!AV99</f>
        <v>1.647739221871714</v>
      </c>
      <c r="AC32" s="101">
        <f>AC25/IS!AW99</f>
        <v>1.729903536977492</v>
      </c>
      <c r="AD32" s="100">
        <f>AD25/IS!AX99</f>
        <v>5.1725941422594142</v>
      </c>
      <c r="AE32" s="101">
        <f>AE25/IS!AY99</f>
        <v>0.3434125269978402</v>
      </c>
      <c r="AF32" s="101">
        <f>AF25/IS!AZ99</f>
        <v>1.4714747039827771</v>
      </c>
      <c r="AG32" s="101">
        <f>AG25/IS!BA99</f>
        <v>1.8213132400430569</v>
      </c>
      <c r="AH32" s="101">
        <f>AH25/IS!BB99</f>
        <v>1.2352309344790549</v>
      </c>
      <c r="AI32" s="100">
        <f>AI25/IS!BC99</f>
        <v>4.8729817007534981</v>
      </c>
      <c r="AJ32" s="101">
        <f>AJ25/IS!BD99</f>
        <v>1.0839612486544672</v>
      </c>
      <c r="AK32" s="101">
        <f>AK25/IS!BE99</f>
        <v>1.345945945945946</v>
      </c>
      <c r="AL32" s="101">
        <f>AL25/IS!BF99</f>
        <v>1.631120783460283</v>
      </c>
      <c r="AM32" s="101">
        <f>AM25/IS!BG99</f>
        <v>1.4082969432314409</v>
      </c>
      <c r="AN32" s="100">
        <f>AN25/IS!BH99</f>
        <v>5.4633141866262056</v>
      </c>
      <c r="AO32" s="101">
        <f>AO25/IS!BI99</f>
        <v>1.2558749590119138</v>
      </c>
      <c r="AP32" s="101">
        <f>AP25/IS!BJ99</f>
        <v>1.2343372169707629</v>
      </c>
      <c r="AQ32" s="101">
        <f>AQ25/IS!BK99</f>
        <v>1.8937797982037921</v>
      </c>
      <c r="AR32" s="101">
        <f>AR25/IS!BL99</f>
        <v>1.7252502780867631</v>
      </c>
      <c r="AS32" s="100">
        <f>AS25/IS!BM99</f>
        <v>6.0994706660785178</v>
      </c>
      <c r="AT32" s="101">
        <f>AT25/IS!BN99</f>
        <v>1.2435003872109747</v>
      </c>
      <c r="AU32" s="101">
        <f>AU25/IS!BO99</f>
        <v>1.6257736516357206</v>
      </c>
      <c r="AV32" s="101">
        <f>AV25/IS!BP99</f>
        <v>1.4417989417989416</v>
      </c>
      <c r="AW32" s="101">
        <f>AW25/IS!BQ99</f>
        <v>1.4412733260153676</v>
      </c>
      <c r="AX32" s="100">
        <f>AX25/IS!BR99</f>
        <v>5.7533642179572029</v>
      </c>
      <c r="AY32" s="101">
        <f>AY25/IS!BS99</f>
        <v>1.2188183807439825</v>
      </c>
      <c r="AZ32" s="101">
        <f>AZ25/IS!BT99</f>
        <v>1.7177242888402626</v>
      </c>
      <c r="BA32" s="101">
        <f>BA25/IS!BU99</f>
        <v>1.2670671764063353</v>
      </c>
      <c r="BB32" s="101">
        <f>BB25/IS!BV99</f>
        <v>2.1504907306434022</v>
      </c>
      <c r="BC32" s="100">
        <f>BC25/IS!BW99</f>
        <v>6.355415926785958</v>
      </c>
      <c r="BD32" s="101">
        <f>BD25/IS!BX99</f>
        <v>1.0926935659760086</v>
      </c>
      <c r="BE32" s="101">
        <f>BE25/IS!BY99</f>
        <v>1.4601092896174863</v>
      </c>
      <c r="BF32" s="101">
        <f>BF25/IS!BZ99</f>
        <v>1.6846153846153846</v>
      </c>
      <c r="BG32" s="101">
        <f>BG25/IS!CA99</f>
        <v>1.9327453142227122</v>
      </c>
      <c r="BH32" s="100">
        <f>BH25/IS!CB99</f>
        <v>6.1649767059468346</v>
      </c>
      <c r="BI32" s="101">
        <f>BI25/IS!CC99</f>
        <v>1.0641592920353982</v>
      </c>
      <c r="BJ32" s="101">
        <f>BJ25/IS!CD99</f>
        <v>1.3250843644544432</v>
      </c>
      <c r="BK32" s="101">
        <f>BK25/IS!CE99</f>
        <v>0.71299435028248592</v>
      </c>
      <c r="BL32" s="101">
        <f>BL25/IS!CF99</f>
        <v>2.4070588235294119</v>
      </c>
      <c r="BM32" s="100">
        <f>BM25/IS!CG99</f>
        <v>5.4614512471655328</v>
      </c>
      <c r="BN32" s="101">
        <f>BN25/IS!CH99</f>
        <v>0.61251504211793018</v>
      </c>
      <c r="BO32" s="101">
        <f>BO25/IS!CI99</f>
        <v>1.6972972972972973</v>
      </c>
      <c r="BP32" s="101">
        <f>BP25/IS!CJ99</f>
        <v>1.8736462093862816</v>
      </c>
      <c r="BQ32" s="101">
        <f>BQ25/IS!CK99</f>
        <v>1.4679012345679012</v>
      </c>
      <c r="BR32" s="100">
        <f>BR25/IS!CL99</f>
        <v>5.7049477984566499</v>
      </c>
      <c r="BS32" s="101">
        <f>BS25/IS!CM99</f>
        <v>0.83291770573566082</v>
      </c>
      <c r="BT32" s="101">
        <f>BT25/IS!CN99</f>
        <v>2.1303258145363411</v>
      </c>
      <c r="BU32" s="101">
        <f>BU25/IS!CO99</f>
        <v>-0.59222082810539523</v>
      </c>
      <c r="BV32" s="101">
        <f>BV25/IS!CP99</f>
        <v>2.2126582093690472</v>
      </c>
      <c r="BW32" s="100">
        <f>BW25/IS!CQ99</f>
        <v>4.5844505881503101</v>
      </c>
      <c r="BX32" s="100">
        <f>BX25/IS!CV99</f>
        <v>6.8024386541711319</v>
      </c>
      <c r="BY32" s="100">
        <f>BY25/IS!CW99</f>
        <v>8.2810021817832755</v>
      </c>
    </row>
    <row r="33" spans="1:77">
      <c r="A33" s="30"/>
      <c r="B33" s="32"/>
      <c r="C33" s="32"/>
      <c r="D33" s="32"/>
      <c r="E33" s="32"/>
      <c r="F33" s="30"/>
      <c r="G33" s="30"/>
      <c r="H33" s="30"/>
      <c r="I33" s="30"/>
      <c r="J33" s="32"/>
      <c r="K33" s="30"/>
      <c r="L33" s="30"/>
      <c r="M33" s="30"/>
      <c r="N33" s="30"/>
      <c r="O33" s="32"/>
      <c r="P33" s="30"/>
      <c r="Q33" s="30"/>
      <c r="R33" s="30"/>
      <c r="S33" s="30"/>
      <c r="T33" s="32"/>
      <c r="U33" s="30"/>
      <c r="V33" s="30"/>
      <c r="W33" s="30"/>
      <c r="X33" s="30"/>
      <c r="Y33" s="32"/>
      <c r="Z33" s="30"/>
      <c r="AA33" s="30"/>
      <c r="AB33" s="30"/>
      <c r="AC33" s="30"/>
      <c r="AD33" s="32"/>
      <c r="AE33" s="30"/>
      <c r="AF33" s="30"/>
      <c r="AG33" s="30"/>
      <c r="AH33" s="30"/>
      <c r="AI33" s="32"/>
      <c r="AJ33" s="30"/>
      <c r="AK33" s="30"/>
      <c r="AL33" s="30"/>
      <c r="AM33" s="30"/>
      <c r="AN33" s="32"/>
      <c r="AO33" s="30"/>
      <c r="AP33" s="30"/>
      <c r="AQ33" s="30"/>
      <c r="AR33" s="30"/>
      <c r="AS33" s="32"/>
      <c r="AT33" s="30"/>
      <c r="AU33" s="30"/>
      <c r="AV33" s="30"/>
      <c r="AW33" s="30"/>
      <c r="AX33" s="32"/>
      <c r="AY33" s="33"/>
      <c r="AZ33" s="33"/>
      <c r="BA33" s="33"/>
      <c r="BB33" s="33"/>
      <c r="BC33" s="32"/>
      <c r="BD33" s="33"/>
      <c r="BE33" s="33"/>
      <c r="BF33" s="33"/>
      <c r="BG33" s="33"/>
      <c r="BH33" s="32"/>
      <c r="BI33" s="33"/>
      <c r="BJ33" s="33"/>
      <c r="BK33" s="33"/>
      <c r="BL33" s="33"/>
      <c r="BM33" s="32"/>
      <c r="BN33" s="33"/>
      <c r="BO33" s="33"/>
      <c r="BP33" s="33"/>
      <c r="BQ33" s="33"/>
      <c r="BR33" s="32"/>
      <c r="BS33" s="33"/>
      <c r="BT33" s="33"/>
      <c r="BU33" s="33"/>
      <c r="BV33" s="33"/>
      <c r="BW33" s="32"/>
      <c r="BX33" s="32"/>
      <c r="BY33" s="32"/>
    </row>
    <row r="34" spans="1:77" ht="14.25" customHeight="1">
      <c r="A34" s="50" t="s">
        <v>96</v>
      </c>
      <c r="B34" s="32"/>
      <c r="C34" s="32"/>
      <c r="D34" s="32"/>
      <c r="E34" s="32"/>
      <c r="F34" s="30"/>
      <c r="G34" s="30"/>
      <c r="H34" s="30"/>
      <c r="I34" s="30"/>
      <c r="J34" s="32"/>
      <c r="K34" s="30"/>
      <c r="L34" s="30"/>
      <c r="M34" s="30"/>
      <c r="N34" s="30"/>
      <c r="O34" s="32"/>
      <c r="P34" s="30"/>
      <c r="Q34" s="30"/>
      <c r="R34" s="30"/>
      <c r="S34" s="30"/>
      <c r="T34" s="32"/>
      <c r="U34" s="30"/>
      <c r="V34" s="30"/>
      <c r="W34" s="30"/>
      <c r="X34" s="30"/>
      <c r="Y34" s="32"/>
      <c r="Z34" s="30"/>
      <c r="AA34" s="30"/>
      <c r="AB34" s="30"/>
      <c r="AC34" s="30"/>
      <c r="AD34" s="32"/>
      <c r="AE34" s="30"/>
      <c r="AF34" s="30"/>
      <c r="AG34" s="30"/>
      <c r="AH34" s="30"/>
      <c r="AI34" s="32"/>
      <c r="AJ34" s="30"/>
      <c r="AK34" s="30"/>
      <c r="AL34" s="30"/>
      <c r="AM34" s="30"/>
      <c r="AN34" s="32"/>
      <c r="AO34" s="30"/>
      <c r="AP34" s="30"/>
      <c r="AQ34" s="30"/>
      <c r="AR34" s="30"/>
      <c r="AS34" s="32"/>
      <c r="AT34" s="30"/>
      <c r="AU34" s="30"/>
      <c r="AV34" s="30"/>
      <c r="AW34" s="30"/>
      <c r="AX34" s="32"/>
      <c r="AY34" s="33"/>
      <c r="AZ34" s="33"/>
      <c r="BA34" s="33"/>
      <c r="BB34" s="33"/>
      <c r="BC34" s="32"/>
      <c r="BD34" s="33"/>
      <c r="BE34" s="33"/>
      <c r="BF34" s="33"/>
      <c r="BG34" s="33"/>
      <c r="BH34" s="32"/>
      <c r="BI34" s="33"/>
      <c r="BJ34" s="33"/>
      <c r="BK34" s="33"/>
      <c r="BL34" s="33"/>
      <c r="BM34" s="32"/>
      <c r="BN34" s="33"/>
      <c r="BO34" s="33"/>
      <c r="BP34" s="33"/>
      <c r="BQ34" s="33"/>
      <c r="BR34" s="32"/>
      <c r="BS34" s="33"/>
      <c r="BT34" s="33"/>
      <c r="BU34" s="33"/>
      <c r="BV34" s="33"/>
      <c r="BW34" s="32"/>
      <c r="BX34" s="32"/>
      <c r="BY34" s="32"/>
    </row>
    <row r="35" spans="1:77">
      <c r="A35" s="30"/>
      <c r="B35" s="32"/>
      <c r="C35" s="32"/>
      <c r="D35" s="32"/>
      <c r="E35" s="32"/>
      <c r="F35" s="30"/>
      <c r="G35" s="30"/>
      <c r="H35" s="30"/>
      <c r="I35" s="30"/>
      <c r="J35" s="32"/>
      <c r="K35" s="30"/>
      <c r="L35" s="30"/>
      <c r="M35" s="30"/>
      <c r="N35" s="30"/>
      <c r="O35" s="32"/>
      <c r="P35" s="30"/>
      <c r="Q35" s="30"/>
      <c r="R35" s="30"/>
      <c r="S35" s="30"/>
      <c r="T35" s="32"/>
      <c r="U35" s="30"/>
      <c r="V35" s="30"/>
      <c r="W35" s="30"/>
      <c r="X35" s="30"/>
      <c r="Y35" s="32"/>
      <c r="Z35" s="30"/>
      <c r="AA35" s="30"/>
      <c r="AB35" s="30"/>
      <c r="AC35" s="30"/>
      <c r="AD35" s="32"/>
      <c r="AE35" s="30"/>
      <c r="AF35" s="30"/>
      <c r="AG35" s="30"/>
      <c r="AH35" s="30"/>
      <c r="AI35" s="32"/>
      <c r="AJ35" s="30"/>
      <c r="AK35" s="30"/>
      <c r="AL35" s="30"/>
      <c r="AM35" s="30"/>
      <c r="AN35" s="32"/>
      <c r="AO35" s="99"/>
      <c r="AP35" s="99"/>
      <c r="AQ35" s="99"/>
      <c r="AR35" s="99"/>
      <c r="AS35" s="32"/>
      <c r="AT35" s="99"/>
      <c r="AU35" s="99"/>
      <c r="AV35" s="99"/>
      <c r="AW35" s="99"/>
      <c r="AX35" s="32"/>
      <c r="AY35" s="33"/>
      <c r="AZ35" s="33"/>
      <c r="BA35" s="33"/>
      <c r="BB35" s="33"/>
      <c r="BC35" s="32"/>
      <c r="BD35" s="33"/>
      <c r="BE35" s="33"/>
      <c r="BF35" s="33"/>
      <c r="BG35" s="33"/>
      <c r="BH35" s="32"/>
      <c r="BI35" s="33"/>
      <c r="BJ35" s="33"/>
      <c r="BK35" s="33"/>
      <c r="BL35" s="33"/>
      <c r="BM35" s="32"/>
      <c r="BN35" s="33"/>
      <c r="BO35" s="33"/>
      <c r="BP35" s="33"/>
      <c r="BQ35" s="33"/>
      <c r="BR35" s="32"/>
      <c r="BS35" s="33"/>
      <c r="BT35" s="33"/>
      <c r="BU35" s="33"/>
      <c r="BV35" s="33"/>
      <c r="BW35" s="32"/>
      <c r="BX35" s="32"/>
      <c r="BY35" s="32"/>
    </row>
    <row r="36" spans="1:77">
      <c r="A36" s="30" t="s">
        <v>95</v>
      </c>
      <c r="B36" s="37"/>
      <c r="C36" s="37">
        <f>'Divisional Summary'!O23</f>
        <v>4.943008689764139E-2</v>
      </c>
      <c r="D36" s="37">
        <f>'Divisional Summary'!T23</f>
        <v>1.1291536724378881E-2</v>
      </c>
      <c r="E36" s="37">
        <f>'Divisional Summary'!Y23</f>
        <v>0.10002835672763366</v>
      </c>
      <c r="F36" s="45">
        <f>'Divisional Summary'!Z23</f>
        <v>0.29006266786034018</v>
      </c>
      <c r="G36" s="45">
        <f>'Divisional Summary'!AA23</f>
        <v>0.23517329910141216</v>
      </c>
      <c r="H36" s="45">
        <f>'Divisional Summary'!AB23</f>
        <v>0.17412622579834047</v>
      </c>
      <c r="I36" s="45">
        <f>'Divisional Summary'!AC23</f>
        <v>0.14555193292966928</v>
      </c>
      <c r="J36" s="37">
        <f>'Divisional Summary'!AD23</f>
        <v>0.20657988013146866</v>
      </c>
      <c r="K36" s="45">
        <f>'Divisional Summary'!AE23</f>
        <v>8.8017580383992655E-2</v>
      </c>
      <c r="L36" s="45">
        <f>'Divisional Summary'!AF23</f>
        <v>0.1590106007067138</v>
      </c>
      <c r="M36" s="45">
        <f>'Divisional Summary'!AG23</f>
        <v>0.16768390619980722</v>
      </c>
      <c r="N36" s="45">
        <f>'Divisional Summary'!AH23</f>
        <v>0.1446432201667005</v>
      </c>
      <c r="O36" s="37">
        <f>'Divisional Summary'!AI23</f>
        <v>0.14100680998798243</v>
      </c>
      <c r="P36" s="45">
        <f>'Divisional Summary'!AJ23</f>
        <v>0.12841501009886258</v>
      </c>
      <c r="Q36" s="45">
        <f>'Divisional Summary'!AK23</f>
        <v>9.9713055954088858E-2</v>
      </c>
      <c r="R36" s="45">
        <f>'Divisional Summary'!AL23</f>
        <v>0.11535992663915628</v>
      </c>
      <c r="S36" s="45">
        <f>'Divisional Summary'!AM23</f>
        <v>0.13551194387709797</v>
      </c>
      <c r="T36" s="37">
        <f>'Divisional Summary'!AN23</f>
        <v>0.11946167349327097</v>
      </c>
      <c r="U36" s="45">
        <f>'Divisional Summary'!AO23</f>
        <v>0.15666509656146954</v>
      </c>
      <c r="V36" s="45">
        <f>'Divisional Summary'!AP23</f>
        <v>0.1337247227658187</v>
      </c>
      <c r="W36" s="45">
        <f>'Divisional Summary'!AQ23</f>
        <v>0.13976814930527004</v>
      </c>
      <c r="X36" s="45">
        <f>'Divisional Summary'!AR23</f>
        <v>0.1506999296160163</v>
      </c>
      <c r="Y36" s="37">
        <f>'Divisional Summary'!AS23</f>
        <v>0.14489117481026148</v>
      </c>
      <c r="Z36" s="45">
        <f>'Divisional Summary'!AT23</f>
        <v>0.13683010262257689</v>
      </c>
      <c r="AA36" s="45">
        <f>'Divisional Summary'!AU23</f>
        <v>0.14672036823935564</v>
      </c>
      <c r="AB36" s="45">
        <f>'Divisional Summary'!AV23</f>
        <v>8.8148308446945212E-2</v>
      </c>
      <c r="AC36" s="45">
        <f>'Divisional Summary'!AW23</f>
        <v>3.8058991436726863E-3</v>
      </c>
      <c r="AD36" s="37">
        <f>'Divisional Summary'!AX23</f>
        <v>9.1272667506711258E-2</v>
      </c>
      <c r="AE36" s="45">
        <f>'Divisional Summary'!AY23</f>
        <v>-0.12602091990256481</v>
      </c>
      <c r="AF36" s="45">
        <f>'Divisional Summary'!AZ23</f>
        <v>-0.18088309081786247</v>
      </c>
      <c r="AG36" s="45">
        <f>'Divisional Summary'!BA23</f>
        <v>-0.12582035134239311</v>
      </c>
      <c r="AH36" s="45">
        <f>'Divisional Summary'!BB23</f>
        <v>-5.35545023696683E-2</v>
      </c>
      <c r="AI36" s="37">
        <f>'Divisional Summary'!BC23</f>
        <v>-0.12269692253627185</v>
      </c>
      <c r="AJ36" s="45">
        <f>'Divisional Summary'!BD23</f>
        <v>-1.3033855234035552E-2</v>
      </c>
      <c r="AK36" s="45">
        <f>'Divisional Summary'!BE23</f>
        <v>5.6814701378254284E-2</v>
      </c>
      <c r="AL36" s="45">
        <f>'Divisional Summary'!BF23</f>
        <v>3.2835368165617718E-2</v>
      </c>
      <c r="AM36" s="45">
        <f>'Divisional Summary'!BG23</f>
        <v>6.3309249588668681E-2</v>
      </c>
      <c r="AN36" s="37">
        <f>'Divisional Summary'!BH23</f>
        <v>3.6261325703385694E-2</v>
      </c>
      <c r="AO36" s="45">
        <f>'Divisional Summary'!BI23</f>
        <v>5.2574750830564732E-2</v>
      </c>
      <c r="AP36" s="45">
        <f>'Divisional Summary'!BJ23</f>
        <v>4.8326329517461186E-2</v>
      </c>
      <c r="AQ36" s="45">
        <f>'Divisional Summary'!BK23</f>
        <v>4.5154185022026505E-2</v>
      </c>
      <c r="AR36" s="45">
        <f>'Divisional Summary'!BL23</f>
        <v>-3.2763724434876185E-2</v>
      </c>
      <c r="AS36" s="37">
        <f>'Divisional Summary'!BM23</f>
        <v>2.6285756359754053E-2</v>
      </c>
      <c r="AT36" s="45">
        <f>'Divisional Summary'!BN23</f>
        <v>-2.0279334017201944E-2</v>
      </c>
      <c r="AU36" s="45">
        <f>'Divisional Summary'!BO23</f>
        <v>-4.575298914921555E-2</v>
      </c>
      <c r="AV36" s="45">
        <f>'Divisional Summary'!BP23</f>
        <v>5.6691253951527854E-2</v>
      </c>
      <c r="AW36" s="45">
        <f>'Divisional Summary'!BQ23</f>
        <v>0.14370174584405637</v>
      </c>
      <c r="AX36" s="37">
        <f>'Divisional Summary'!BR23</f>
        <v>3.5046812784732984E-2</v>
      </c>
      <c r="AY36" s="45">
        <f>'Divisional Summary'!BS23</f>
        <v>0.15971327319587636</v>
      </c>
      <c r="AZ36" s="45">
        <f>'Divisional Summary'!BT23</f>
        <v>0.1592670384587529</v>
      </c>
      <c r="BA36" s="45">
        <f>'Divisional Summary'!BU23</f>
        <v>2.7921818907060247E-2</v>
      </c>
      <c r="BB36" s="45">
        <f>'Divisional Summary'!BV23</f>
        <v>1.9217904275375508E-2</v>
      </c>
      <c r="BC36" s="37">
        <f>'Divisional Summary'!BW23</f>
        <v>8.5222152907742377E-2</v>
      </c>
      <c r="BD36" s="45">
        <f>'Divisional Summary'!BX23</f>
        <v>2.4029446489339579E-2</v>
      </c>
      <c r="BE36" s="45">
        <f>'Divisional Summary'!BY23</f>
        <v>7.403473697363494E-2</v>
      </c>
      <c r="BF36" s="45">
        <f>'Divisional Summary'!BZ23</f>
        <v>4.5660328547406648E-2</v>
      </c>
      <c r="BG36" s="45">
        <f>'Divisional Summary'!CA23</f>
        <v>1.4141655230025751E-2</v>
      </c>
      <c r="BH36" s="37">
        <f>'Divisional Summary'!CB23</f>
        <v>3.9504359211828932E-2</v>
      </c>
      <c r="BI36" s="45">
        <f>'Divisional Summary'!CC23</f>
        <v>-9.6642929806714184E-2</v>
      </c>
      <c r="BJ36" s="45">
        <f>'Divisional Summary'!CD23</f>
        <v>-0.14507591181432145</v>
      </c>
      <c r="BK36" s="45">
        <f>'Divisional Summary'!CE23</f>
        <v>-0.1472043542800594</v>
      </c>
      <c r="BL36" s="45">
        <f>'Divisional Summary'!CF23</f>
        <v>-0.15862555895504826</v>
      </c>
      <c r="BM36" s="37">
        <f>'Divisional Summary'!CG23</f>
        <v>-0.13917647938895505</v>
      </c>
      <c r="BN36" s="45">
        <f>'Divisional Summary'!CH23</f>
        <v>2.7777777777777679E-3</v>
      </c>
      <c r="BO36" s="45">
        <f>'Divisional Summary'!CI23</f>
        <v>1.2043274137579107E-2</v>
      </c>
      <c r="BP36" s="45">
        <f>'Divisional Summary'!CJ23</f>
        <v>4.1050188569770718E-2</v>
      </c>
      <c r="BQ36" s="45">
        <f>'Divisional Summary'!CK23</f>
        <v>2.5104895104895109E-2</v>
      </c>
      <c r="BR36" s="37">
        <f>'Divisional Summary'!CL23</f>
        <v>2.1491740977632956E-2</v>
      </c>
      <c r="BS36" s="45">
        <f>'Divisional Summary'!CM23</f>
        <v>3.4289136782211571E-2</v>
      </c>
      <c r="BT36" s="45">
        <f>'Divisional Summary'!CN23</f>
        <v>2.729595266908702E-2</v>
      </c>
      <c r="BU36" s="45">
        <f>'Divisional Summary'!CO23</f>
        <v>4.9324230179740747E-2</v>
      </c>
      <c r="BV36" s="45">
        <f>'Divisional Summary'!CP23</f>
        <v>4.7224845983349306E-2</v>
      </c>
      <c r="BW36" s="37">
        <f>'Divisional Summary'!CQ23</f>
        <v>3.9554695990320576E-2</v>
      </c>
      <c r="BX36" s="37">
        <f>'Divisional Summary'!CV23</f>
        <v>5.9335313707607806E-2</v>
      </c>
      <c r="BY36" s="37">
        <f>'Divisional Summary'!CW23</f>
        <v>4.3325221917533518E-2</v>
      </c>
    </row>
    <row r="37" spans="1:77" outlineLevel="1">
      <c r="A37" s="30" t="s">
        <v>94</v>
      </c>
      <c r="B37" s="60"/>
      <c r="C37" s="60"/>
      <c r="D37" s="60">
        <f>'Divisional Summary'!T24</f>
        <v>0</v>
      </c>
      <c r="E37" s="60">
        <f>'Divisional Summary'!Y24</f>
        <v>0.04</v>
      </c>
      <c r="F37" s="61">
        <f>'Divisional Summary'!Z24</f>
        <v>0.12</v>
      </c>
      <c r="G37" s="61">
        <f>'Divisional Summary'!AA24</f>
        <v>0.11</v>
      </c>
      <c r="H37" s="61">
        <f>'Divisional Summary'!AB24</f>
        <v>0.05</v>
      </c>
      <c r="I37" s="61">
        <f>'Divisional Summary'!AC24</f>
        <v>0.04</v>
      </c>
      <c r="J37" s="60">
        <f>'Divisional Summary'!AD24</f>
        <v>0.08</v>
      </c>
      <c r="K37" s="61">
        <f>'Divisional Summary'!AE24</f>
        <v>0.04</v>
      </c>
      <c r="L37" s="61">
        <f>'Divisional Summary'!AF24</f>
        <v>0.08</v>
      </c>
      <c r="M37" s="61">
        <f>'Divisional Summary'!AG24</f>
        <v>0.06</v>
      </c>
      <c r="N37" s="61">
        <f>'Divisional Summary'!AH24</f>
        <v>7.5111811343769069E-2</v>
      </c>
      <c r="O37" s="60">
        <f>'Divisional Summary'!AI24</f>
        <v>7.0000000000000007E-2</v>
      </c>
      <c r="P37" s="61">
        <f>'Divisional Summary'!AJ24</f>
        <v>0.06</v>
      </c>
      <c r="Q37" s="61">
        <f>'Divisional Summary'!AK24</f>
        <v>0.02</v>
      </c>
      <c r="R37" s="61">
        <f>'Divisional Summary'!AL24</f>
        <v>0.02</v>
      </c>
      <c r="S37" s="61">
        <f>'Divisional Summary'!AM24</f>
        <v>0</v>
      </c>
      <c r="T37" s="60">
        <f>'Divisional Summary'!AN24</f>
        <v>0.02</v>
      </c>
      <c r="U37" s="61">
        <f>'Divisional Summary'!AO24</f>
        <v>2.6665096561469537E-2</v>
      </c>
      <c r="V37" s="61">
        <f>'Divisional Summary'!AP24</f>
        <v>3.7247227658186999E-3</v>
      </c>
      <c r="W37" s="61">
        <f>'Divisional Summary'!AQ24</f>
        <v>1.9768149305270044E-2</v>
      </c>
      <c r="X37" s="61">
        <f>'Divisional Summary'!AR24</f>
        <v>2.0699929616016299E-2</v>
      </c>
      <c r="Y37" s="60">
        <f>'Divisional Summary'!AS24</f>
        <v>2.4891174810261485E-2</v>
      </c>
      <c r="Z37" s="61">
        <f>'Divisional Summary'!AT24</f>
        <v>2.6830102622576874E-2</v>
      </c>
      <c r="AA37" s="61">
        <f>'Divisional Summary'!AU24</f>
        <v>3.6720368239355636E-2</v>
      </c>
      <c r="AB37" s="61">
        <f>'Divisional Summary'!AV24</f>
        <v>1.8148308446945212E-2</v>
      </c>
      <c r="AC37" s="61">
        <f>'Divisional Summary'!AW24</f>
        <v>2.380589914367269E-2</v>
      </c>
      <c r="AD37" s="60">
        <f>'Divisional Summary'!AX24</f>
        <v>3.127266750671126E-2</v>
      </c>
      <c r="AE37" s="61">
        <f>'Divisional Summary'!AY24</f>
        <v>-0.01</v>
      </c>
      <c r="AF37" s="61">
        <f>'Divisional Summary'!AZ24</f>
        <v>-0.01</v>
      </c>
      <c r="AG37" s="61">
        <f>'Divisional Summary'!BA24</f>
        <v>-2.5820351342393105E-2</v>
      </c>
      <c r="AH37" s="61">
        <f>'Divisional Summary'!BB24</f>
        <v>0</v>
      </c>
      <c r="AI37" s="60">
        <f>'Divisional Summary'!BC24</f>
        <v>-2.2696922536271841E-2</v>
      </c>
      <c r="AJ37" s="61">
        <f>'Divisional Summary'!BD24</f>
        <v>0</v>
      </c>
      <c r="AK37" s="61">
        <f>'Divisional Summary'!BE24</f>
        <v>0.01</v>
      </c>
      <c r="AL37" s="61">
        <f>'Divisional Summary'!BF24</f>
        <v>0.01</v>
      </c>
      <c r="AM37" s="61">
        <f>'Divisional Summary'!BG24</f>
        <v>0.01</v>
      </c>
      <c r="AN37" s="60">
        <f>'Divisional Summary'!BH24</f>
        <v>6.2613257033856933E-3</v>
      </c>
      <c r="AO37" s="61">
        <f>'Divisional Summary'!BI24</f>
        <v>-4.7425249169435267E-2</v>
      </c>
      <c r="AP37" s="61">
        <f>'Divisional Summary'!BJ24</f>
        <v>-5.1673670482538812E-2</v>
      </c>
      <c r="AQ37" s="61">
        <f>'Divisional Summary'!BK24</f>
        <v>-5.4845814977973494E-2</v>
      </c>
      <c r="AR37" s="61">
        <f>'Divisional Summary'!BL24</f>
        <v>-5.2763724434876189E-2</v>
      </c>
      <c r="AS37" s="60">
        <f>'Divisional Summary'!BM24</f>
        <v>-5.3714243640245948E-2</v>
      </c>
      <c r="AT37" s="61">
        <f>'Divisional Summary'!BN24</f>
        <v>-2.5000000000000001E-2</v>
      </c>
      <c r="AU37" s="61">
        <f>'Divisional Summary'!BO24</f>
        <v>-0.03</v>
      </c>
      <c r="AV37" s="61">
        <f>'Divisional Summary'!BP24</f>
        <v>0.11</v>
      </c>
      <c r="AW37" s="61">
        <f>'Divisional Summary'!BQ24</f>
        <v>0.15</v>
      </c>
      <c r="AX37" s="60">
        <f>'Divisional Summary'!BR24</f>
        <v>0.06</v>
      </c>
      <c r="AY37" s="61">
        <f>'Divisional Summary'!BS24</f>
        <v>0.18</v>
      </c>
      <c r="AZ37" s="61">
        <f>'Divisional Summary'!BT24</f>
        <v>0.16450278844064609</v>
      </c>
      <c r="BA37" s="61">
        <f>'Divisional Summary'!BU24</f>
        <v>1.5531844169658306E-2</v>
      </c>
      <c r="BB37" s="61">
        <f>'Divisional Summary'!BV24</f>
        <v>-0.02</v>
      </c>
      <c r="BC37" s="60">
        <f>'Divisional Summary'!BW24</f>
        <v>7.2755077285644884E-2</v>
      </c>
      <c r="BD37" s="61">
        <f>'Divisional Summary'!BX24</f>
        <v>-2.2636294187096277E-2</v>
      </c>
      <c r="BE37" s="61">
        <f>'Divisional Summary'!BY24</f>
        <v>4.3456828689241597E-2</v>
      </c>
      <c r="BF37" s="61">
        <f>'Divisional Summary'!BZ24</f>
        <v>-2.2319234251713393E-3</v>
      </c>
      <c r="BG37" s="61">
        <f>'Divisional Summary'!CA24</f>
        <v>-3.8158601348528345E-3</v>
      </c>
      <c r="BH37" s="60">
        <f>'Divisional Summary'!CB24</f>
        <v>4.3275955673362856E-3</v>
      </c>
      <c r="BI37" s="61">
        <f>'Divisional Summary'!CC24</f>
        <v>-8.0413699559172658E-2</v>
      </c>
      <c r="BJ37" s="61">
        <f>'Divisional Summary'!CD24</f>
        <v>-0.13386132278517829</v>
      </c>
      <c r="BK37" s="61">
        <f>'Divisional Summary'!CE24</f>
        <v>-9.3810613557644751E-2</v>
      </c>
      <c r="BL37" s="61">
        <f>'Divisional Summary'!CF24</f>
        <v>-0.13469286891033186</v>
      </c>
      <c r="BM37" s="60">
        <f>'Divisional Summary'!CG24</f>
        <v>-0.11236290168022671</v>
      </c>
      <c r="BN37" s="61">
        <f>'Divisional Summary'!CH24</f>
        <v>3.3010510510510412E-3</v>
      </c>
      <c r="BO37" s="61">
        <f>'Divisional Summary'!CI24</f>
        <v>2.8631693542900336E-3</v>
      </c>
      <c r="BP37" s="61">
        <f>'Divisional Summary'!CJ24</f>
        <v>-1.0037713954163252E-3</v>
      </c>
      <c r="BQ37" s="61">
        <f>'Divisional Summary'!CK24</f>
        <v>3.6114685314685292E-2</v>
      </c>
      <c r="BR37" s="60">
        <f>'Divisional Summary'!CL24</f>
        <v>1.1708572930166267E-2</v>
      </c>
      <c r="BS37" s="61">
        <f>'Divisional Summary'!CM24</f>
        <v>5.7272208186851178E-3</v>
      </c>
      <c r="BT37" s="61">
        <f>'Divisional Summary'!CN24</f>
        <v>3.9123267643543444E-3</v>
      </c>
      <c r="BU37" s="61">
        <f>'Divisional Summary'!CO24</f>
        <v>-2.284659328410206E-2</v>
      </c>
      <c r="BV37" s="61">
        <f>'Divisional Summary'!CP24</f>
        <v>4.0400165975069957E-5</v>
      </c>
      <c r="BW37" s="60">
        <f>'Divisional Summary'!CQ24</f>
        <v>-1.8523823277020596E-3</v>
      </c>
      <c r="BX37" s="60">
        <f>'Divisional Summary'!CV24</f>
        <v>0</v>
      </c>
      <c r="BY37" s="60">
        <f>'Divisional Summary'!CW24</f>
        <v>0</v>
      </c>
    </row>
    <row r="38" spans="1:77" outlineLevel="1">
      <c r="A38" s="30" t="s">
        <v>93</v>
      </c>
      <c r="B38" s="60"/>
      <c r="C38" s="60"/>
      <c r="D38" s="60">
        <f>'Divisional Summary'!T25</f>
        <v>0</v>
      </c>
      <c r="E38" s="60">
        <f>'Divisional Summary'!Y25</f>
        <v>0.04</v>
      </c>
      <c r="F38" s="61">
        <f>'Divisional Summary'!Z25</f>
        <v>0.05</v>
      </c>
      <c r="G38" s="61">
        <f>'Divisional Summary'!AA25</f>
        <v>0.02</v>
      </c>
      <c r="H38" s="61">
        <f>'Divisional Summary'!AB25</f>
        <v>0.03</v>
      </c>
      <c r="I38" s="61">
        <f>'Divisional Summary'!AC25</f>
        <v>0.02</v>
      </c>
      <c r="J38" s="60">
        <f>'Divisional Summary'!AD25</f>
        <v>0.03</v>
      </c>
      <c r="K38" s="61">
        <f>'Divisional Summary'!AE25</f>
        <v>-1.1982419616007343E-2</v>
      </c>
      <c r="L38" s="61">
        <f>'Divisional Summary'!AF25</f>
        <v>1.9010600706713801E-2</v>
      </c>
      <c r="M38" s="61">
        <f>'Divisional Summary'!AG25</f>
        <v>1.7683906199807226E-2</v>
      </c>
      <c r="N38" s="61">
        <f>'Divisional Summary'!AH25</f>
        <v>-1.421242179067668E-2</v>
      </c>
      <c r="O38" s="60">
        <f>'Divisional Summary'!AI25</f>
        <v>0</v>
      </c>
      <c r="P38" s="61">
        <f>'Divisional Summary'!AJ25</f>
        <v>-2.1584989901137414E-2</v>
      </c>
      <c r="Q38" s="61">
        <f>'Divisional Summary'!AK25</f>
        <v>-2.8694404591114719E-4</v>
      </c>
      <c r="R38" s="61">
        <f>'Divisional Summary'!AL25</f>
        <v>1.5359926639156279E-2</v>
      </c>
      <c r="S38" s="61">
        <f>'Divisional Summary'!AM25</f>
        <v>2.5735512630014858E-2</v>
      </c>
      <c r="T38" s="60">
        <f>'Divisional Summary'!AN25</f>
        <v>0.01</v>
      </c>
      <c r="U38" s="61">
        <f>'Divisional Summary'!AO25</f>
        <v>0.03</v>
      </c>
      <c r="V38" s="61">
        <f>'Divisional Summary'!AP25</f>
        <v>0.03</v>
      </c>
      <c r="W38" s="61">
        <f>'Divisional Summary'!AQ25</f>
        <v>0.03</v>
      </c>
      <c r="X38" s="61">
        <f>'Divisional Summary'!AR25</f>
        <v>0.05</v>
      </c>
      <c r="Y38" s="60">
        <f>'Divisional Summary'!AS25</f>
        <v>0.03</v>
      </c>
      <c r="Z38" s="61">
        <f>'Divisional Summary'!AT25</f>
        <v>0.04</v>
      </c>
      <c r="AA38" s="61">
        <f>'Divisional Summary'!AU25</f>
        <v>0.05</v>
      </c>
      <c r="AB38" s="61">
        <f>'Divisional Summary'!AV25</f>
        <v>0.03</v>
      </c>
      <c r="AC38" s="61">
        <f>'Divisional Summary'!AW25</f>
        <v>-0.05</v>
      </c>
      <c r="AD38" s="60">
        <f>'Divisional Summary'!AX25</f>
        <v>0.01</v>
      </c>
      <c r="AE38" s="61">
        <f>'Divisional Summary'!AY25</f>
        <v>-0.06</v>
      </c>
      <c r="AF38" s="61">
        <f>'Divisional Summary'!AZ25</f>
        <v>-0.05</v>
      </c>
      <c r="AG38" s="61">
        <f>'Divisional Summary'!BA25</f>
        <v>-0.03</v>
      </c>
      <c r="AH38" s="61">
        <f>'Divisional Summary'!BB25</f>
        <v>3.0416461571724961E-2</v>
      </c>
      <c r="AI38" s="60">
        <f>'Divisional Summary'!BC25</f>
        <v>-0.03</v>
      </c>
      <c r="AJ38" s="61">
        <f>'Divisional Summary'!BD25</f>
        <v>0.03</v>
      </c>
      <c r="AK38" s="61">
        <f>'Divisional Summary'!BE25</f>
        <v>0</v>
      </c>
      <c r="AL38" s="61">
        <f>'Divisional Summary'!BF25</f>
        <v>-0.01</v>
      </c>
      <c r="AM38" s="61">
        <f>'Divisional Summary'!BG25</f>
        <v>-0.01</v>
      </c>
      <c r="AN38" s="60">
        <f>'Divisional Summary'!BH25</f>
        <v>0.01</v>
      </c>
      <c r="AO38" s="61">
        <f>'Divisional Summary'!BI25</f>
        <v>0.01</v>
      </c>
      <c r="AP38" s="61">
        <f>'Divisional Summary'!BJ25</f>
        <v>0.04</v>
      </c>
      <c r="AQ38" s="61">
        <f>'Divisional Summary'!BK25</f>
        <v>0.04</v>
      </c>
      <c r="AR38" s="61">
        <f>'Divisional Summary'!BL25</f>
        <v>0</v>
      </c>
      <c r="AS38" s="60">
        <f>'Divisional Summary'!BM25</f>
        <v>0.02</v>
      </c>
      <c r="AT38" s="61">
        <f>'Divisional Summary'!BN25</f>
        <v>-0.01</v>
      </c>
      <c r="AU38" s="61">
        <f>'Divisional Summary'!BO25</f>
        <v>-0.03</v>
      </c>
      <c r="AV38" s="61">
        <f>'Divisional Summary'!BP25</f>
        <v>-0.03</v>
      </c>
      <c r="AW38" s="61">
        <f>'Divisional Summary'!BQ25</f>
        <v>-0.01</v>
      </c>
      <c r="AX38" s="60">
        <f>'Divisional Summary'!BR25</f>
        <v>-0.02</v>
      </c>
      <c r="AY38" s="61">
        <f>'Divisional Summary'!BS25</f>
        <v>0</v>
      </c>
      <c r="AZ38" s="61">
        <f>'Divisional Summary'!BT25</f>
        <v>0</v>
      </c>
      <c r="BA38" s="61">
        <f>'Divisional Summary'!BU25</f>
        <v>0</v>
      </c>
      <c r="BB38" s="61">
        <f>'Divisional Summary'!BV25</f>
        <v>0</v>
      </c>
      <c r="BC38" s="60">
        <f>'Divisional Summary'!BW25</f>
        <v>0</v>
      </c>
      <c r="BD38" s="61">
        <f>'Divisional Summary'!BX25</f>
        <v>-3.9086047642197374E-3</v>
      </c>
      <c r="BE38" s="61">
        <f>'Divisional Summary'!BY25</f>
        <v>-4.9543921029614288E-4</v>
      </c>
      <c r="BF38" s="61">
        <f>'Divisional Summary'!BZ25</f>
        <v>-2.1627215108006225E-3</v>
      </c>
      <c r="BG38" s="61">
        <f>'Divisional Summary'!CA25</f>
        <v>-2.1261411778745739E-2</v>
      </c>
      <c r="BH38" s="60">
        <f>'Divisional Summary'!CB25</f>
        <v>-7.2240426277878E-3</v>
      </c>
      <c r="BI38" s="61">
        <f>'Divisional Summary'!CC25</f>
        <v>-4.5825025432349939E-2</v>
      </c>
      <c r="BJ38" s="61">
        <f>'Divisional Summary'!CD25</f>
        <v>-4.2783433191786409E-2</v>
      </c>
      <c r="BK38" s="61">
        <f>'Divisional Summary'!CE25</f>
        <v>-4.4940623453735777E-2</v>
      </c>
      <c r="BL38" s="61">
        <f>'Divisional Summary'!CF25</f>
        <v>-3.4353965638973881E-2</v>
      </c>
      <c r="BM38" s="60">
        <f>'Divisional Summary'!CG25</f>
        <v>-4.2474714421477967E-2</v>
      </c>
      <c r="BN38" s="61">
        <f>'Divisional Summary'!CH25</f>
        <v>-2.116216216216216E-2</v>
      </c>
      <c r="BO38" s="61">
        <f>'Divisional Summary'!CI25</f>
        <v>-6.9551609171940171E-3</v>
      </c>
      <c r="BP38" s="61">
        <f>'Divisional Summary'!CJ25</f>
        <v>-3.4812880765884135E-3</v>
      </c>
      <c r="BQ38" s="61">
        <f>'Divisional Summary'!CK25</f>
        <v>-1.1009790209790184E-2</v>
      </c>
      <c r="BR38" s="60">
        <f>'Divisional Summary'!CL25</f>
        <v>-1.0520058713156925E-2</v>
      </c>
      <c r="BS38" s="61">
        <f>'Divisional Summary'!CM25</f>
        <v>-6.5134386464026249E-3</v>
      </c>
      <c r="BT38" s="61">
        <f>'Divisional Summary'!CN25</f>
        <v>-6.1516740621218183E-3</v>
      </c>
      <c r="BU38" s="61">
        <f>'Divisional Summary'!CO25</f>
        <v>1.2170823463842812E-2</v>
      </c>
      <c r="BV38" s="61">
        <f>'Divisional Summary'!CP25</f>
        <v>1.3220457589713599E-2</v>
      </c>
      <c r="BW38" s="60">
        <f>'Divisional Summary'!CQ25</f>
        <v>3.319102225693725E-3</v>
      </c>
      <c r="BX38" s="60">
        <f>'Divisional Summary'!CV25</f>
        <v>1.3129353080329595E-2</v>
      </c>
      <c r="BY38" s="60">
        <f>'Divisional Summary'!CW25</f>
        <v>0</v>
      </c>
    </row>
    <row r="39" spans="1:77">
      <c r="A39" s="41" t="s">
        <v>92</v>
      </c>
      <c r="B39" s="68"/>
      <c r="C39" s="68"/>
      <c r="D39" s="68">
        <f>'Divisional Summary'!T26</f>
        <v>8.1787706735309829E-2</v>
      </c>
      <c r="E39" s="68">
        <f>'Divisional Summary'!Y26</f>
        <v>2.0028356727633659E-2</v>
      </c>
      <c r="F39" s="67">
        <f>'Divisional Summary'!Z26</f>
        <v>0.12006266786034019</v>
      </c>
      <c r="G39" s="67">
        <f>'Divisional Summary'!AA26</f>
        <v>0.10517329910141217</v>
      </c>
      <c r="H39" s="67">
        <f>'Divisional Summary'!AB26</f>
        <v>9.4126225798340471E-2</v>
      </c>
      <c r="I39" s="67">
        <f>'Divisional Summary'!AC26</f>
        <v>8.5551932929669255E-2</v>
      </c>
      <c r="J39" s="68">
        <f>'Divisional Summary'!AD26</f>
        <v>9.6579880131468648E-2</v>
      </c>
      <c r="K39" s="67">
        <f>'Divisional Summary'!AE26</f>
        <v>0.06</v>
      </c>
      <c r="L39" s="67">
        <f>'Divisional Summary'!AF26</f>
        <v>0.06</v>
      </c>
      <c r="M39" s="67">
        <f>'Divisional Summary'!AG26</f>
        <v>0.09</v>
      </c>
      <c r="N39" s="67">
        <f>'Divisional Summary'!AH26</f>
        <v>8.3743830613608114E-2</v>
      </c>
      <c r="O39" s="68">
        <f>'Divisional Summary'!AI26</f>
        <v>7.0000000000000007E-2</v>
      </c>
      <c r="P39" s="67">
        <f>'Divisional Summary'!AJ26</f>
        <v>0.09</v>
      </c>
      <c r="Q39" s="67">
        <f>'Divisional Summary'!AK26</f>
        <v>0.08</v>
      </c>
      <c r="R39" s="67">
        <f>'Divisional Summary'!AL26</f>
        <v>0.08</v>
      </c>
      <c r="S39" s="67">
        <f>'Divisional Summary'!AM26</f>
        <v>0.10977643124708311</v>
      </c>
      <c r="T39" s="68">
        <f>'Divisional Summary'!AN26</f>
        <v>8.9461673493270971E-2</v>
      </c>
      <c r="U39" s="67">
        <f>'Divisional Summary'!AO26</f>
        <v>0.1</v>
      </c>
      <c r="V39" s="67">
        <f>'Divisional Summary'!AP26</f>
        <v>0.1</v>
      </c>
      <c r="W39" s="67">
        <f>'Divisional Summary'!AQ26</f>
        <v>0.09</v>
      </c>
      <c r="X39" s="67">
        <f>'Divisional Summary'!AR26</f>
        <v>0.08</v>
      </c>
      <c r="Y39" s="68">
        <f>'Divisional Summary'!AS26</f>
        <v>0.09</v>
      </c>
      <c r="Z39" s="67">
        <f>'Divisional Summary'!AT26</f>
        <v>7.0000000000000007E-2</v>
      </c>
      <c r="AA39" s="67">
        <f>'Divisional Summary'!AU26</f>
        <v>0.06</v>
      </c>
      <c r="AB39" s="67">
        <f>'Divisional Summary'!AV26</f>
        <v>0.04</v>
      </c>
      <c r="AC39" s="67">
        <f>'Divisional Summary'!AW26</f>
        <v>0.03</v>
      </c>
      <c r="AD39" s="68">
        <f>'Divisional Summary'!AX26</f>
        <v>0.05</v>
      </c>
      <c r="AE39" s="67">
        <f>'Divisional Summary'!AY26</f>
        <v>-5.6020919902564817E-2</v>
      </c>
      <c r="AF39" s="67">
        <f>'Divisional Summary'!AZ26</f>
        <v>-0.12088309081786246</v>
      </c>
      <c r="AG39" s="67">
        <f>'Divisional Summary'!BA26</f>
        <v>-7.0000000000000007E-2</v>
      </c>
      <c r="AH39" s="67">
        <f>'Divisional Summary'!BB26</f>
        <v>-8.3970963941393265E-2</v>
      </c>
      <c r="AI39" s="68">
        <f>'Divisional Summary'!BC26</f>
        <v>-7.0000000000000007E-2</v>
      </c>
      <c r="AJ39" s="67">
        <f>'Divisional Summary'!BD26</f>
        <v>-4.3033855234035551E-2</v>
      </c>
      <c r="AK39" s="67">
        <f>'Divisional Summary'!BE26</f>
        <v>4.6814701378254282E-2</v>
      </c>
      <c r="AL39" s="67">
        <f>'Divisional Summary'!BF26</f>
        <v>3.2835368165617718E-2</v>
      </c>
      <c r="AM39" s="67">
        <f>'Divisional Summary'!BG26</f>
        <v>6.3309249588668681E-2</v>
      </c>
      <c r="AN39" s="68">
        <f>'Divisional Summary'!BH26</f>
        <v>0.02</v>
      </c>
      <c r="AO39" s="67">
        <f>'Divisional Summary'!BI26</f>
        <v>0.09</v>
      </c>
      <c r="AP39" s="67">
        <f>'Divisional Summary'!BJ26</f>
        <v>0.06</v>
      </c>
      <c r="AQ39" s="67">
        <f>'Divisional Summary'!BK26</f>
        <v>0.06</v>
      </c>
      <c r="AR39" s="67">
        <f>'Divisional Summary'!BL26</f>
        <v>0.02</v>
      </c>
      <c r="AS39" s="68">
        <f>'Divisional Summary'!BM26</f>
        <v>0.06</v>
      </c>
      <c r="AT39" s="67">
        <f>'Divisional Summary'!BN26</f>
        <v>1.4720665982798057E-2</v>
      </c>
      <c r="AU39" s="67">
        <f>'Divisional Summary'!BO26</f>
        <v>1.4247010850784447E-2</v>
      </c>
      <c r="AV39" s="67">
        <f>'Divisional Summary'!BP26</f>
        <v>-2.3308746048472148E-2</v>
      </c>
      <c r="AW39" s="67">
        <f>'Divisional Summary'!BQ26</f>
        <v>3.701745844056378E-3</v>
      </c>
      <c r="AX39" s="68">
        <f>'Divisional Summary'!BR26</f>
        <v>-4.9531872152670138E-3</v>
      </c>
      <c r="AY39" s="67">
        <f>'Divisional Summary'!BS26</f>
        <v>-2.0286726804123634E-2</v>
      </c>
      <c r="AZ39" s="67">
        <f>'Divisional Summary'!BT26</f>
        <v>-5.2357499818931974E-3</v>
      </c>
      <c r="BA39" s="67">
        <f>'Divisional Summary'!BU26</f>
        <v>1.2389974737401941E-2</v>
      </c>
      <c r="BB39" s="67">
        <f>'Divisional Summary'!BV26</f>
        <v>3.9217904275375512E-2</v>
      </c>
      <c r="BC39" s="68">
        <f>'Divisional Summary'!BW26</f>
        <v>1.2467075622097494E-2</v>
      </c>
      <c r="BD39" s="67">
        <f>'Divisional Summary'!BX26</f>
        <v>5.0574345440655595E-2</v>
      </c>
      <c r="BE39" s="67">
        <f>'Divisional Summary'!BY26</f>
        <v>3.1073347494689485E-2</v>
      </c>
      <c r="BF39" s="67">
        <f>'Divisional Summary'!BZ26</f>
        <v>5.0054973483378611E-2</v>
      </c>
      <c r="BG39" s="67">
        <f>'Divisional Summary'!CA26</f>
        <v>3.9218927143624328E-2</v>
      </c>
      <c r="BH39" s="68">
        <f>'Divisional Summary'!CB26</f>
        <v>4.2400806272280447E-2</v>
      </c>
      <c r="BI39" s="67">
        <f>'Divisional Summary'!CC26</f>
        <v>2.9595795184808416E-2</v>
      </c>
      <c r="BJ39" s="67">
        <f>'Divisional Summary'!CD26</f>
        <v>3.1568844162643245E-2</v>
      </c>
      <c r="BK39" s="67">
        <f>'Divisional Summary'!CE26</f>
        <v>-8.4531172686788704E-3</v>
      </c>
      <c r="BL39" s="67">
        <f>'Divisional Summary'!CF26</f>
        <v>1.0421275594257472E-2</v>
      </c>
      <c r="BM39" s="68">
        <f>'Divisional Summary'!CG26</f>
        <v>1.5661136712749619E-2</v>
      </c>
      <c r="BN39" s="67">
        <f>'Divisional Summary'!CH26</f>
        <v>2.0638888888888887E-2</v>
      </c>
      <c r="BO39" s="67">
        <f>'Divisional Summary'!CI26</f>
        <v>1.6135265700483091E-2</v>
      </c>
      <c r="BP39" s="67">
        <f>'Divisional Summary'!CJ26</f>
        <v>4.5535248041775458E-2</v>
      </c>
      <c r="BQ39" s="67">
        <f>'Divisional Summary'!CK26</f>
        <v>0</v>
      </c>
      <c r="BR39" s="68">
        <f>'Divisional Summary'!CL26</f>
        <v>2.030322676062361E-2</v>
      </c>
      <c r="BS39" s="67">
        <f>'Divisional Summary'!CM26</f>
        <v>3.5075354609929076E-2</v>
      </c>
      <c r="BT39" s="67">
        <f>'Divisional Summary'!CN26</f>
        <v>2.9535299966854493E-2</v>
      </c>
      <c r="BU39" s="67">
        <f>'Divisional Summary'!CO26</f>
        <v>0.06</v>
      </c>
      <c r="BV39" s="67">
        <f>'Divisional Summary'!CP26</f>
        <v>3.3963988227660634E-2</v>
      </c>
      <c r="BW39" s="68">
        <f>'Divisional Summary'!CQ26</f>
        <v>3.8087976092328911E-2</v>
      </c>
      <c r="BX39" s="68">
        <f>'Divisional Summary'!CV26</f>
        <v>4.6205960627278213E-2</v>
      </c>
      <c r="BY39" s="68">
        <f>'Divisional Summary'!CW26</f>
        <v>4.3325221917533518E-2</v>
      </c>
    </row>
    <row r="40" spans="1:77">
      <c r="A40" s="30"/>
      <c r="B40" s="60"/>
      <c r="C40" s="60"/>
      <c r="D40" s="60"/>
      <c r="E40" s="60"/>
      <c r="F40" s="61"/>
      <c r="G40" s="61"/>
      <c r="H40" s="61"/>
      <c r="I40" s="61"/>
      <c r="J40" s="60"/>
      <c r="K40" s="61"/>
      <c r="L40" s="61"/>
      <c r="M40" s="61"/>
      <c r="N40" s="61"/>
      <c r="O40" s="60"/>
      <c r="P40" s="61"/>
      <c r="Q40" s="61"/>
      <c r="R40" s="61"/>
      <c r="S40" s="61"/>
      <c r="T40" s="60"/>
      <c r="U40" s="61"/>
      <c r="V40" s="61"/>
      <c r="W40" s="61"/>
      <c r="X40" s="61"/>
      <c r="Y40" s="60"/>
      <c r="Z40" s="61"/>
      <c r="AA40" s="61"/>
      <c r="AB40" s="61"/>
      <c r="AC40" s="61"/>
      <c r="AD40" s="60"/>
      <c r="AE40" s="61"/>
      <c r="AF40" s="61"/>
      <c r="AG40" s="61"/>
      <c r="AH40" s="61"/>
      <c r="AI40" s="60"/>
      <c r="AJ40" s="61"/>
      <c r="AK40" s="61"/>
      <c r="AL40" s="61"/>
      <c r="AM40" s="61"/>
      <c r="AN40" s="60"/>
      <c r="AO40" s="61"/>
      <c r="AP40" s="61"/>
      <c r="AQ40" s="61"/>
      <c r="AR40" s="61"/>
      <c r="AS40" s="60"/>
      <c r="AT40" s="61"/>
      <c r="AU40" s="61"/>
      <c r="AV40" s="61"/>
      <c r="AW40" s="61"/>
      <c r="AX40" s="60"/>
      <c r="AY40" s="61"/>
      <c r="AZ40" s="61"/>
      <c r="BA40" s="61"/>
      <c r="BB40" s="61"/>
      <c r="BC40" s="60"/>
      <c r="BD40" s="61"/>
      <c r="BE40" s="61"/>
      <c r="BF40" s="61"/>
      <c r="BG40" s="61"/>
      <c r="BH40" s="60"/>
      <c r="BI40" s="61"/>
      <c r="BJ40" s="61"/>
      <c r="BK40" s="61"/>
      <c r="BL40" s="61"/>
      <c r="BM40" s="60"/>
      <c r="BN40" s="61"/>
      <c r="BO40" s="61"/>
      <c r="BP40" s="61"/>
      <c r="BQ40" s="61"/>
      <c r="BR40" s="60"/>
      <c r="BS40" s="61"/>
      <c r="BT40" s="61"/>
      <c r="BU40" s="61"/>
      <c r="BV40" s="61"/>
      <c r="BW40" s="60"/>
      <c r="BX40" s="60"/>
      <c r="BY40" s="60"/>
    </row>
    <row r="41" spans="1:77">
      <c r="A41" s="30" t="s">
        <v>91</v>
      </c>
      <c r="B41" s="37"/>
      <c r="C41" s="37">
        <f>IS!O28/IS!J28-1</f>
        <v>2.587678970182572E-2</v>
      </c>
      <c r="D41" s="37">
        <f>IS!T28/IS!O28-1</f>
        <v>3.0857874519846451E-2</v>
      </c>
      <c r="E41" s="37">
        <f>IS!Y28/IS!T28-1</f>
        <v>5.8998882126443997E-2</v>
      </c>
      <c r="F41" s="45">
        <f>IS!Z28/IS!U28-1</f>
        <v>0.29139433551198257</v>
      </c>
      <c r="G41" s="45">
        <f>IS!AA28/IS!V28-1</f>
        <v>0.21879318286503913</v>
      </c>
      <c r="H41" s="45">
        <f>IS!AB28/IS!W28-1</f>
        <v>0.13208389112003571</v>
      </c>
      <c r="I41" s="45">
        <f>IS!AC28/IS!X28-1</f>
        <v>0.17208077260755039</v>
      </c>
      <c r="J41" s="37">
        <f>IS!AD28/IS!Y28-1</f>
        <v>0.19915552427867689</v>
      </c>
      <c r="K41" s="45">
        <f>IS!AE28/IS!Z28-1</f>
        <v>9.320961619569812E-2</v>
      </c>
      <c r="L41" s="45">
        <f>IS!AF28/IS!AA28-1</f>
        <v>0.19501133786848079</v>
      </c>
      <c r="M41" s="45">
        <f>IS!AG28/IS!AB28-1</f>
        <v>0.18801734331888054</v>
      </c>
      <c r="N41" s="45">
        <f>IS!AH28/IS!AC28-1</f>
        <v>0.13183520599250942</v>
      </c>
      <c r="O41" s="37">
        <f>IS!AI28/IS!AD28-1</f>
        <v>0.153169014084507</v>
      </c>
      <c r="P41" s="45">
        <f>IS!AJ28/IS!AE28-1</f>
        <v>0.14390432098765427</v>
      </c>
      <c r="Q41" s="45">
        <f>IS!AK28/IS!AF28-1</f>
        <v>0.10341555977229611</v>
      </c>
      <c r="R41" s="45">
        <f>IS!AL28/IS!AG28-1</f>
        <v>0.1177836761778368</v>
      </c>
      <c r="S41" s="45">
        <f>IS!AM28/IS!AH28-1</f>
        <v>8.0741230972865674E-2</v>
      </c>
      <c r="T41" s="37">
        <f>IS!AN28/IS!AI28-1</f>
        <v>0.11017811704834601</v>
      </c>
      <c r="U41" s="45">
        <f>IS!AO28/IS!AJ28-1</f>
        <v>0.10691399662731871</v>
      </c>
      <c r="V41" s="45">
        <f>IS!AP28/IS!AK28-1</f>
        <v>8.1971911722556579E-2</v>
      </c>
      <c r="W41" s="45">
        <f>IS!AQ28/IS!AL28-1</f>
        <v>0.12644701691896709</v>
      </c>
      <c r="X41" s="45">
        <f>IS!AR28/IS!AM28-1</f>
        <v>0.22014696876913664</v>
      </c>
      <c r="Y41" s="37">
        <f>IS!AS28/IS!AN28-1</f>
        <v>0.13354725341890128</v>
      </c>
      <c r="Z41" s="45">
        <f>IS!AT28/IS!AO28-1</f>
        <v>0.13345521023766005</v>
      </c>
      <c r="AA41" s="45">
        <f>IS!AU28/IS!AP28-1</f>
        <v>0.14119205298013249</v>
      </c>
      <c r="AB41" s="45">
        <f>IS!AV28/IS!AQ28-1</f>
        <v>9.3544137022397944E-2</v>
      </c>
      <c r="AC41" s="45">
        <f>IS!AW28/IS!AR28-1</f>
        <v>-1.0790464240903352E-2</v>
      </c>
      <c r="AD41" s="37">
        <f>IS!AX28/IS!AS28-1</f>
        <v>8.6473006672507902E-2</v>
      </c>
      <c r="AE41" s="45">
        <f>IS!AY28/IS!AT28-1</f>
        <v>-0.16881720430107527</v>
      </c>
      <c r="AF41" s="45">
        <f>IS!AZ28/IS!AU28-1</f>
        <v>-0.19707520891364905</v>
      </c>
      <c r="AG41" s="45">
        <f>IS!BA28/IS!AV28-1</f>
        <v>-0.19253012048192775</v>
      </c>
      <c r="AH41" s="45">
        <f>IS!BB28/IS!AW28-1</f>
        <v>-7.102993404363267E-2</v>
      </c>
      <c r="AI41" s="37">
        <f>IS!BC28/IS!AX28-1</f>
        <v>-0.15856079404466505</v>
      </c>
      <c r="AJ41" s="45">
        <f>IS!BD28/IS!AY28-1</f>
        <v>6.9857697283311815E-2</v>
      </c>
      <c r="AK41" s="45">
        <f>IS!BE28/IS!AZ28-1</f>
        <v>9.4825093957791262E-2</v>
      </c>
      <c r="AL41" s="45">
        <f>IS!BF28/IS!BA28-1</f>
        <v>0.17964786630856455</v>
      </c>
      <c r="AM41" s="45">
        <f>IS!BG28/IS!BB28-1</f>
        <v>5.5161114145275914E-2</v>
      </c>
      <c r="AN41" s="37">
        <f>IS!BH28/IS!BC28-1</f>
        <v>9.9380713653789421E-2</v>
      </c>
      <c r="AO41" s="45">
        <f>IS!BI28/IS!BD28-1</f>
        <v>6.4389359129383372E-2</v>
      </c>
      <c r="AP41" s="45">
        <f>IS!BJ28/IS!BE28-1</f>
        <v>5.6509110113546424E-2</v>
      </c>
      <c r="AQ41" s="45">
        <f>IS!BK28/IS!BF28-1</f>
        <v>-1.416645585631171E-2</v>
      </c>
      <c r="AR41" s="45">
        <f>IS!BL28/IS!BG28-1</f>
        <v>2.6397515527950333E-2</v>
      </c>
      <c r="AS41" s="37">
        <f>IS!BM28/IS!BH28-1</f>
        <v>3.1719420600858417E-2</v>
      </c>
      <c r="AT41" s="45">
        <f>IS!BN28/IS!BI28-1</f>
        <v>-9.9403578528827197E-3</v>
      </c>
      <c r="AU41" s="45">
        <f>IS!BO28/IS!BJ28-1</f>
        <v>-3.1992001999500141E-2</v>
      </c>
      <c r="AV41" s="45">
        <f>IS!BP28/IS!BK28-1</f>
        <v>3.6438285860918684E-2</v>
      </c>
      <c r="AW41" s="45">
        <f>IS!BQ28/IS!BL28-1</f>
        <v>4.8159354513363617E-2</v>
      </c>
      <c r="AX41" s="37">
        <f>IS!BR28/IS!BM28-1</f>
        <v>1.1049723756906049E-2</v>
      </c>
      <c r="AY41" s="45">
        <f>IS!BS28/IS!BN28-1</f>
        <v>0.12851405622489964</v>
      </c>
      <c r="AZ41" s="45">
        <f>IS!BT28/IS!BO28-1</f>
        <v>0.15001290988897487</v>
      </c>
      <c r="BA41" s="45">
        <f>IS!BU28/IS!BP28-1</f>
        <v>9.9777172567467209E-2</v>
      </c>
      <c r="BB41" s="45">
        <f>IS!BV28/IS!BQ28-1</f>
        <v>7.6497474140004851E-2</v>
      </c>
      <c r="BC41" s="37">
        <f>IS!BW28/IS!BR28-1</f>
        <v>0.11250401800064291</v>
      </c>
      <c r="BD41" s="45">
        <f>IS!BX28/IS!BS28-1</f>
        <v>3.0757498729028887E-2</v>
      </c>
      <c r="BE41" s="45">
        <f>IS!BY28/IS!BT28-1</f>
        <v>-4.355635383924561E-2</v>
      </c>
      <c r="BF41" s="45">
        <f>IS!BZ28/IS!BU28-1</f>
        <v>5.8532192705988306E-2</v>
      </c>
      <c r="BG41" s="45">
        <f>IS!CA28/IS!BV28-1</f>
        <v>3.5977653631285023E-2</v>
      </c>
      <c r="BH41" s="37">
        <f>IS!CB28/IS!BW28-1</f>
        <v>2.0109794856977725E-2</v>
      </c>
      <c r="BI41" s="45">
        <f>IS!CC28/IS!BX28-1</f>
        <v>-5.9432799013563464E-2</v>
      </c>
      <c r="BJ41" s="45">
        <f>IS!CD28/IS!BY28-1</f>
        <v>-8.215962441314506E-3</v>
      </c>
      <c r="BK41" s="45">
        <f>IS!CE28/IS!BZ28-1</f>
        <v>-0.15185027647809446</v>
      </c>
      <c r="BL41" s="45">
        <f>IS!CF28/IS!CA28-1</f>
        <v>-0.21333045729076794</v>
      </c>
      <c r="BM41" s="37">
        <f>IS!CG28/IS!CB28-1</f>
        <v>-0.11210559111765706</v>
      </c>
      <c r="BN41" s="45">
        <f>IS!CH28/IS!CC28-1</f>
        <v>-2.9103303618248533E-2</v>
      </c>
      <c r="BO41" s="45">
        <f>IS!CI28/IS!CD28-1</f>
        <v>-2.1775147928994043E-2</v>
      </c>
      <c r="BP41" s="45">
        <f>IS!CJ28/IS!CE28-1</f>
        <v>6.0180541624874628E-3</v>
      </c>
      <c r="BQ41" s="45">
        <f>IS!CK28/IS!CF28-1</f>
        <v>7.9243213600219464E-2</v>
      </c>
      <c r="BR41" s="37">
        <f>IS!CL28/IS!CG28-1</f>
        <v>7.0179915784100988E-3</v>
      </c>
      <c r="BS41" s="45">
        <f>IS!CM28/IS!CH28-1</f>
        <v>9.4517958412099201E-3</v>
      </c>
      <c r="BT41" s="45">
        <f>IS!CN28/IS!CI28-1</f>
        <v>1.1371884829421752E-2</v>
      </c>
      <c r="BU41" s="45">
        <f>IS!CO28/IS!CJ28-1</f>
        <v>1.7447657028912822E-3</v>
      </c>
      <c r="BV41" s="45">
        <f>IS!CP28/IS!CK28-1</f>
        <v>3.058722887773202E-2</v>
      </c>
      <c r="BW41" s="37">
        <f>IS!CQ28/IS!CL28-1</f>
        <v>1.3266049978633676E-2</v>
      </c>
      <c r="BX41" s="37">
        <f>IS!CV28/IS!CQ28-1</f>
        <v>5.1822619192122277E-2</v>
      </c>
      <c r="BY41" s="37">
        <f>IS!CW28/IS!CV28-1</f>
        <v>5.6942382294476568E-2</v>
      </c>
    </row>
    <row r="42" spans="1:77" hidden="1" outlineLevel="1">
      <c r="A42" s="98" t="s">
        <v>90</v>
      </c>
      <c r="B42" s="37"/>
      <c r="C42" s="37">
        <f>IS!O51/IS!J51-1</f>
        <v>3.475868967241813E-2</v>
      </c>
      <c r="D42" s="37">
        <f>IS!T51/IS!O51-1</f>
        <v>5.9449009183180301E-2</v>
      </c>
      <c r="E42" s="37">
        <f>IS!Y51/IS!T51-1</f>
        <v>8.9416058394160558E-2</v>
      </c>
      <c r="F42" s="45">
        <f>IS!Z51/IS!U51-1</f>
        <v>0.17109144542772858</v>
      </c>
      <c r="G42" s="45">
        <f>IS!AA51/IS!V51-1</f>
        <v>0.22950819672131151</v>
      </c>
      <c r="H42" s="45">
        <f>IS!AB51/IS!W51-1</f>
        <v>0.13349320543565146</v>
      </c>
      <c r="I42" s="45">
        <f>IS!AC51/IS!X51-1</f>
        <v>0.19981916817359857</v>
      </c>
      <c r="J42" s="37">
        <f>IS!AD51/IS!Y51-1</f>
        <v>0.17357621440536009</v>
      </c>
      <c r="K42" s="45">
        <f>IS!AE51/IS!Z51-1</f>
        <v>0.12006717044500426</v>
      </c>
      <c r="L42" s="45">
        <f>IS!AF51/IS!AA51-1</f>
        <v>0.11733333333333329</v>
      </c>
      <c r="M42" s="45">
        <f>IS!AG51/IS!AB51-1</f>
        <v>0.1981664315937941</v>
      </c>
      <c r="N42" s="45">
        <f>IS!AH51/IS!AC51-1</f>
        <v>0.18613413715146954</v>
      </c>
      <c r="O42" s="37">
        <f>IS!AI51/IS!AD51-1</f>
        <v>0.12096342551293482</v>
      </c>
      <c r="P42" s="45">
        <f>IS!AJ51/IS!AE51-1</f>
        <v>0.14467766116941538</v>
      </c>
      <c r="Q42" s="45">
        <f>IS!AK51/IS!AF51-1</f>
        <v>0.15692124105011929</v>
      </c>
      <c r="R42" s="45">
        <f>IS!AL51/IS!AG51-1</f>
        <v>0.13713949381989399</v>
      </c>
      <c r="S42" s="45">
        <f>IS!AM51/IS!AH51-1</f>
        <v>0.12515883100381187</v>
      </c>
      <c r="T42" s="37">
        <f>IS!AN51/IS!AI51-1</f>
        <v>0.14101543848480036</v>
      </c>
      <c r="U42" s="45">
        <f>IS!AO51/IS!AJ51-1</f>
        <v>0.15127701375245572</v>
      </c>
      <c r="V42" s="45">
        <f>IS!AP51/IS!AK51-1</f>
        <v>0.1175863847343992</v>
      </c>
      <c r="W42" s="45">
        <f>IS!AQ51/IS!AL51-1</f>
        <v>0.14440993788819867</v>
      </c>
      <c r="X42" s="45">
        <f>IS!AR51/IS!AM51-1</f>
        <v>0.19649915302089216</v>
      </c>
      <c r="Y42" s="37">
        <f>IS!AS51/IS!AN51-1</f>
        <v>0.15148556284000558</v>
      </c>
      <c r="Z42" s="45">
        <f>IS!AT51/IS!AO51-1</f>
        <v>0.15301478953356096</v>
      </c>
      <c r="AA42" s="45">
        <f>IS!AU51/IS!AP51-1</f>
        <v>0.1624365482233503</v>
      </c>
      <c r="AB42" s="45">
        <f>IS!AV51/IS!AQ51-1</f>
        <v>9.9502487562189046E-2</v>
      </c>
      <c r="AC42" s="45">
        <f>IS!AW51/IS!AR51-1</f>
        <v>1.321378008494567E-2</v>
      </c>
      <c r="AD42" s="37">
        <f>IS!AX51/IS!AS51-1</f>
        <v>0.10526953361599034</v>
      </c>
      <c r="AE42" s="45">
        <f>IS!AY51/IS!AT51-1</f>
        <v>-0.16206216082881109</v>
      </c>
      <c r="AF42" s="45">
        <f>IS!AZ51/IS!AU51-1</f>
        <v>-0.13914251687177448</v>
      </c>
      <c r="AG42" s="45">
        <f>IS!BA51/IS!AV51-1</f>
        <v>-8.617852735499798E-2</v>
      </c>
      <c r="AH42" s="45">
        <f>IS!BB51/IS!AW51-1</f>
        <v>4.3549138332557025E-2</v>
      </c>
      <c r="AI42" s="37">
        <f>IS!BC51/IS!AX51-1</f>
        <v>-8.713283647523018E-2</v>
      </c>
      <c r="AJ42" s="45">
        <f>IS!BD51/IS!AY51-1</f>
        <v>0.12864292022372692</v>
      </c>
      <c r="AK42" s="45">
        <f>IS!BE51/IS!AZ51-1</f>
        <v>9.7994005072630896E-2</v>
      </c>
      <c r="AL42" s="45">
        <f>IS!BF51/IS!BA51-1</f>
        <v>0.10871033085752879</v>
      </c>
      <c r="AM42" s="45">
        <f>IS!BG51/IS!BB51-1</f>
        <v>6.8957821914751083E-2</v>
      </c>
      <c r="AN42" s="37">
        <f>IS!BH51/IS!BC51-1</f>
        <v>9.9291631648457113E-2</v>
      </c>
      <c r="AO42" s="45">
        <f>IS!BI51/IS!BD51-1</f>
        <v>6.7292644757433573E-2</v>
      </c>
      <c r="AP42" s="45">
        <f>IS!BJ51/IS!BE51-1</f>
        <v>3.1499370012599837E-2</v>
      </c>
      <c r="AQ42" s="45">
        <f>IS!BK51/IS!BF51-1</f>
        <v>1.7458384084449774E-2</v>
      </c>
      <c r="AR42" s="45">
        <f>IS!BL51/IS!BG51-1</f>
        <v>-3.7995824634655562E-2</v>
      </c>
      <c r="AS42" s="37">
        <f>IS!BM51/IS!BH51-1</f>
        <v>1.7038007863696025E-2</v>
      </c>
      <c r="AT42" s="45">
        <f>IS!BN51/IS!BI51-1</f>
        <v>-1.9550342130987275E-3</v>
      </c>
      <c r="AU42" s="45">
        <f>IS!BO51/IS!BJ51-1</f>
        <v>4.4788273615634644E-3</v>
      </c>
      <c r="AV42" s="45">
        <f>IS!BP51/IS!BK51-1</f>
        <v>2.0351157222665561E-2</v>
      </c>
      <c r="AW42" s="45">
        <f>IS!BQ51/IS!BL51-1</f>
        <v>0.10720486111111116</v>
      </c>
      <c r="AX42" s="37">
        <f>IS!BR51/IS!BM51-1</f>
        <v>3.2753436426116833E-2</v>
      </c>
      <c r="AY42" s="45">
        <f>IS!BS51/IS!BN51-1</f>
        <v>0.20666013712047016</v>
      </c>
      <c r="AZ42" s="45">
        <f>IS!BT51/IS!BO51-1</f>
        <v>0.19294689906769347</v>
      </c>
      <c r="BA42" s="45">
        <f>IS!BU51/IS!BP51-1</f>
        <v>0.15213140398904956</v>
      </c>
      <c r="BB42" s="45">
        <f>IS!BV51/IS!BQ51-1</f>
        <v>0.15052920423363392</v>
      </c>
      <c r="BC42" s="37">
        <f>IS!BW51/IS!BR51-1</f>
        <v>0.17375480919205577</v>
      </c>
      <c r="BD42" s="45">
        <f>IS!BX51/IS!BS51-1</f>
        <v>9.1720779220779258E-2</v>
      </c>
      <c r="BE42" s="45">
        <f>IS!BY51/IS!BT51-1</f>
        <v>8.9364593951750004E-2</v>
      </c>
      <c r="BF42" s="45">
        <f>IS!BZ51/IS!BU51-1</f>
        <v>7.9090291921249056E-2</v>
      </c>
      <c r="BG42" s="45">
        <f>IS!CA51/IS!BV51-1</f>
        <v>8.48381601362862E-2</v>
      </c>
      <c r="BH42" s="37">
        <f>IS!CB51/IS!BW51-1</f>
        <v>8.6020552799433103E-2</v>
      </c>
      <c r="BI42" s="45">
        <f>IS!CC51/IS!BX51-1</f>
        <v>-3.118672895881347E-2</v>
      </c>
      <c r="BJ42" s="45">
        <f>IS!CD51/IS!BY51-1</f>
        <v>-8.0819619183029268E-2</v>
      </c>
      <c r="BK42" s="45">
        <f>IS!CE51/IS!BZ51-1</f>
        <v>-0.1000314564328405</v>
      </c>
      <c r="BL42" s="45">
        <f>IS!CF51/IS!CA51-1</f>
        <v>-0.17807788944723613</v>
      </c>
      <c r="BM42" s="37">
        <f>IS!CG51/IS!CB51-1</f>
        <v>-0.10017130271637165</v>
      </c>
      <c r="BN42" s="45">
        <f>IS!CH51/IS!CC51-1</f>
        <v>-5.1075287159743632E-2</v>
      </c>
      <c r="BO42" s="45">
        <f>IS!CI51/IS!CD51-1</f>
        <v>4.1086330494999324E-3</v>
      </c>
      <c r="BP42" s="45">
        <f>IS!CJ51/IS!CE51-1</f>
        <v>5.2429220552254741E-3</v>
      </c>
      <c r="BQ42" s="45">
        <f>IS!CK51/IS!CF51-1</f>
        <v>1.8723729461215033E-2</v>
      </c>
      <c r="BR42" s="37">
        <f>IS!CL51/IS!CG51-1</f>
        <v>-5.1672559151482167E-3</v>
      </c>
      <c r="BS42" s="45">
        <f>IS!CM51/IS!CH51-1</f>
        <v>-8.8960776384957585E-3</v>
      </c>
      <c r="BT42" s="45">
        <f>IS!CN51/IS!CI51-1</f>
        <v>-2.7712064886786125E-2</v>
      </c>
      <c r="BU42" s="45">
        <f>IS!CO51/IS!CJ51-1</f>
        <v>-6.9541029207231819E-4</v>
      </c>
      <c r="BV42" s="45">
        <f>IS!CP51/IS!CK51-1</f>
        <v>-2.4055779924542997E-2</v>
      </c>
      <c r="BW42" s="37">
        <f>IS!CQ51/IS!CL51-1</f>
        <v>-1.5503253989322952E-2</v>
      </c>
      <c r="BX42" s="37">
        <f>IS!CV51/IS!CQ51-1</f>
        <v>3.3226009787842958E-2</v>
      </c>
      <c r="BY42" s="37">
        <f>IS!CW51/IS!CV51-1</f>
        <v>8.8024180417699771E-2</v>
      </c>
    </row>
    <row r="43" spans="1:77" hidden="1" outlineLevel="1">
      <c r="A43" s="98" t="s">
        <v>89</v>
      </c>
      <c r="B43" s="37"/>
      <c r="C43" s="37">
        <f>IS!O46/IS!J46-1</f>
        <v>2.9617834394904508E-2</v>
      </c>
      <c r="D43" s="37">
        <f>IS!T46/IS!O46-1</f>
        <v>0.13114754098360648</v>
      </c>
      <c r="E43" s="37">
        <f>IS!Y46/IS!T46-1</f>
        <v>8.7503418102269581E-2</v>
      </c>
      <c r="F43" s="45">
        <f>IS!Z46/IS!U46-1</f>
        <v>0.10991636798088411</v>
      </c>
      <c r="G43" s="45">
        <f>IS!AA46/IS!V46-1</f>
        <v>0.20813165537270084</v>
      </c>
      <c r="H43" s="45">
        <f>IS!AB46/IS!W46-1</f>
        <v>0.13358778625954204</v>
      </c>
      <c r="I43" s="45">
        <f>IS!AC46/IS!X46-1</f>
        <v>0.24629418472063858</v>
      </c>
      <c r="J43" s="37">
        <f>IS!AD46/IS!Y46-1</f>
        <v>0.16343977872768423</v>
      </c>
      <c r="K43" s="45">
        <f>IS!AE46/IS!Z46-1</f>
        <v>0.1926803013993541</v>
      </c>
      <c r="L43" s="45">
        <f>IS!AF46/IS!AA46-1</f>
        <v>0.15304487179487181</v>
      </c>
      <c r="M43" s="45">
        <f>IS!AG46/IS!AB46-1</f>
        <v>0.20707070707070696</v>
      </c>
      <c r="N43" s="45">
        <f>IS!AH46/IS!AC46-1</f>
        <v>0.20585544373284548</v>
      </c>
      <c r="O43" s="37">
        <f>IS!AI46/IS!AD46-1</f>
        <v>0.14523449319213322</v>
      </c>
      <c r="P43" s="45">
        <f>IS!AJ46/IS!AE46-1</f>
        <v>0.13989169675090252</v>
      </c>
      <c r="Q43" s="45">
        <f>IS!AK46/IS!AF46-1</f>
        <v>0.16956219596942312</v>
      </c>
      <c r="R43" s="45">
        <f>IS!AL46/IS!AG46-1</f>
        <v>0.17154811715481166</v>
      </c>
      <c r="S43" s="45">
        <f>IS!AM46/IS!AH46-1</f>
        <v>0.14567526555386956</v>
      </c>
      <c r="T43" s="37">
        <f>IS!AN46/IS!AI46-1</f>
        <v>0.15795433100585021</v>
      </c>
      <c r="U43" s="45">
        <f>IS!AO46/IS!AJ46-1</f>
        <v>0.17181314330958042</v>
      </c>
      <c r="V43" s="45">
        <f>IS!AP46/IS!AK46-1</f>
        <v>0.12299465240641716</v>
      </c>
      <c r="W43" s="45">
        <f>IS!AQ46/IS!AL46-1</f>
        <v>0.13273809523809521</v>
      </c>
      <c r="X43" s="45">
        <f>IS!AR46/IS!AM46-1</f>
        <v>0.19801324503311268</v>
      </c>
      <c r="Y43" s="37">
        <f>IS!AS46/IS!AN46-1</f>
        <v>0.15417209908735341</v>
      </c>
      <c r="Z43" s="45">
        <f>IS!AT46/IS!AO46-1</f>
        <v>0.15405405405405403</v>
      </c>
      <c r="AA43" s="45">
        <f>IS!AU46/IS!AP46-1</f>
        <v>0.16031746031746041</v>
      </c>
      <c r="AB43" s="45">
        <f>IS!AV46/IS!AQ46-1</f>
        <v>0.10614818707304252</v>
      </c>
      <c r="AC43" s="45">
        <f>IS!AW46/IS!AR46-1</f>
        <v>-6.6334991708125735E-3</v>
      </c>
      <c r="AD43" s="37">
        <f>IS!AX46/IS!AS46-1</f>
        <v>0.10180739903981917</v>
      </c>
      <c r="AE43" s="45">
        <f>IS!AY46/IS!AT46-1</f>
        <v>-0.18471896955503508</v>
      </c>
      <c r="AF43" s="45">
        <f>IS!AZ46/IS!AU46-1</f>
        <v>-0.14933880528955767</v>
      </c>
      <c r="AG43" s="45">
        <f>IS!BA46/IS!AV46-1</f>
        <v>-9.4774346793349173E-2</v>
      </c>
      <c r="AH43" s="45">
        <f>IS!BB46/IS!AW46-1</f>
        <v>6.1491374513077401E-2</v>
      </c>
      <c r="AI43" s="37">
        <f>IS!BC46/IS!AX46-1</f>
        <v>-9.381007304882738E-2</v>
      </c>
      <c r="AJ43" s="45">
        <f>IS!BD46/IS!AY46-1</f>
        <v>0.14183123877917425</v>
      </c>
      <c r="AK43" s="45">
        <f>IS!BE46/IS!AZ46-1</f>
        <v>9.461270436880187E-2</v>
      </c>
      <c r="AL43" s="45">
        <f>IS!BF46/IS!BA46-1</f>
        <v>0.11309367620047239</v>
      </c>
      <c r="AM43" s="45">
        <f>IS!BG46/IS!BB46-1</f>
        <v>7.3132372214941066E-2</v>
      </c>
      <c r="AN43" s="37">
        <f>IS!BH46/IS!BC46-1</f>
        <v>0.10309715740347891</v>
      </c>
      <c r="AO43" s="45">
        <f>IS!BI46/IS!BD46-1</f>
        <v>8.8050314465408785E-2</v>
      </c>
      <c r="AP43" s="45">
        <f>IS!BJ46/IS!BE46-1</f>
        <v>4.5053868756121496E-2</v>
      </c>
      <c r="AQ43" s="45">
        <f>IS!BK46/IS!BF46-1</f>
        <v>2.876001885902868E-2</v>
      </c>
      <c r="AR43" s="45">
        <f>IS!BL46/IS!BG46-1</f>
        <v>-2.1494870542256961E-2</v>
      </c>
      <c r="AS43" s="37">
        <f>IS!BM46/IS!BH46-1</f>
        <v>3.1923076923076943E-2</v>
      </c>
      <c r="AT43" s="45">
        <f>IS!BN46/IS!BI46-1</f>
        <v>-4.6242774566473965E-3</v>
      </c>
      <c r="AU43" s="45">
        <f>IS!BO46/IS!BJ46-1</f>
        <v>1.3120899718837897E-2</v>
      </c>
      <c r="AV43" s="45">
        <f>IS!BP46/IS!BK46-1</f>
        <v>-2.1539871677360267E-2</v>
      </c>
      <c r="AW43" s="45">
        <f>IS!BQ46/IS!BL46-1</f>
        <v>3.5446829755366949E-2</v>
      </c>
      <c r="AX43" s="37">
        <f>IS!BR46/IS!BM46-1</f>
        <v>5.4665175798236376E-3</v>
      </c>
      <c r="AY43" s="45">
        <f>IS!BS46/IS!BN46-1</f>
        <v>0.17305458768873394</v>
      </c>
      <c r="AZ43" s="45">
        <f>IS!BT46/IS!BO46-1</f>
        <v>0.1581868640148012</v>
      </c>
      <c r="BA43" s="45">
        <f>IS!BU46/IS!BP46-1</f>
        <v>0.16814988290398136</v>
      </c>
      <c r="BB43" s="45">
        <f>IS!BV46/IS!BQ46-1</f>
        <v>0.18081002892960463</v>
      </c>
      <c r="BC43" s="37">
        <f>IS!BW46/IS!BR46-1</f>
        <v>0.16977634993203994</v>
      </c>
      <c r="BD43" s="45">
        <f>IS!BX46/IS!BS46-1</f>
        <v>0.10049504950495058</v>
      </c>
      <c r="BE43" s="45">
        <f>IS!BY46/IS!BT46-1</f>
        <v>9.3450479233226913E-2</v>
      </c>
      <c r="BF43" s="45">
        <f>IS!BZ46/IS!BU46-1</f>
        <v>8.0994386527666329E-2</v>
      </c>
      <c r="BG43" s="45">
        <f>IS!CA46/IS!BV46-1</f>
        <v>0.10044916292364237</v>
      </c>
      <c r="BH43" s="37">
        <f>IS!CB46/IS!BW46-1</f>
        <v>9.3482623851272928E-2</v>
      </c>
      <c r="BI43" s="45">
        <f>IS!CC46/IS!BX46-1</f>
        <v>-3.3288349077822743E-2</v>
      </c>
      <c r="BJ43" s="45">
        <f>IS!CD46/IS!BY46-1</f>
        <v>-9.0942293644996397E-2</v>
      </c>
      <c r="BK43" s="45">
        <f>IS!CE46/IS!BZ46-1</f>
        <v>-0.11906528189910981</v>
      </c>
      <c r="BL43" s="45">
        <f>IS!CF46/IS!CA46-1</f>
        <v>-0.20037105751391471</v>
      </c>
      <c r="BM43" s="37">
        <f>IS!CG46/IS!CB46-1</f>
        <v>-0.11437403400309121</v>
      </c>
      <c r="BN43" s="45">
        <f>IS!CH46/IS!CC46-1</f>
        <v>-6.6077245230339643E-2</v>
      </c>
      <c r="BO43" s="45">
        <f>IS!CI46/IS!CD46-1</f>
        <v>-9.6424266773804668E-3</v>
      </c>
      <c r="BP43" s="45">
        <f>IS!CJ46/IS!CE46-1</f>
        <v>2.1052631578948322E-3</v>
      </c>
      <c r="BQ43" s="45">
        <f>IS!CK46/IS!CF46-1</f>
        <v>2.3201856148491462E-3</v>
      </c>
      <c r="BR43" s="37">
        <f>IS!CL46/IS!CG46-1</f>
        <v>-1.7015706806282727E-2</v>
      </c>
      <c r="BS43" s="45">
        <f>IS!CM46/IS!CH46-1</f>
        <v>-3.3881415047334329E-2</v>
      </c>
      <c r="BT43" s="45">
        <f>IS!CN46/IS!CI46-1</f>
        <v>-4.6653144016227222E-2</v>
      </c>
      <c r="BU43" s="45">
        <f>IS!CO46/IS!CJ46-1</f>
        <v>-2.0588235294117685E-2</v>
      </c>
      <c r="BV43" s="45">
        <f>IS!CP46/IS!CK46-1</f>
        <v>-3.6226154285755374E-2</v>
      </c>
      <c r="BW43" s="37">
        <f>IS!CQ46/IS!CL46-1</f>
        <v>-3.4426153268667492E-2</v>
      </c>
      <c r="BX43" s="37">
        <f>IS!CV46/IS!CQ46-1</f>
        <v>3.8611844582424393E-2</v>
      </c>
      <c r="BY43" s="37">
        <f>IS!CW46/IS!CV46-1</f>
        <v>0.1092318406216255</v>
      </c>
    </row>
    <row r="44" spans="1:77" collapsed="1">
      <c r="A44" s="98" t="s">
        <v>88</v>
      </c>
      <c r="B44" s="37"/>
      <c r="C44" s="37"/>
      <c r="D44" s="37">
        <f>'Divisional Summary'!T86/'Divisional Summary'!O86-1</f>
        <v>0.11108158384267863</v>
      </c>
      <c r="E44" s="37">
        <f>'Divisional Summary'!Y86/'Divisional Summary'!T86-1</f>
        <v>4.6400382683568608E-2</v>
      </c>
      <c r="F44" s="45">
        <f>'Divisional Summary'!Z86/'Divisional Summary'!U86-1</f>
        <v>9.7976570820021314E-2</v>
      </c>
      <c r="G44" s="45">
        <f>'Divisional Summary'!AA86/'Divisional Summary'!V86-1</f>
        <v>0.18229166666666674</v>
      </c>
      <c r="H44" s="45">
        <f>'Divisional Summary'!AB86/'Divisional Summary'!W86-1</f>
        <v>0.10521813515825484</v>
      </c>
      <c r="I44" s="45">
        <f>'Divisional Summary'!AC86/'Divisional Summary'!X86-1</f>
        <v>5.0224215246636783E-2</v>
      </c>
      <c r="J44" s="37">
        <f>'Divisional Summary'!AD86/'Divisional Summary'!Y86-1</f>
        <v>0.10994285714285712</v>
      </c>
      <c r="K44" s="45">
        <f>'Divisional Summary'!AE86/'Divisional Summary'!Z86-1</f>
        <v>0.17167798254122202</v>
      </c>
      <c r="L44" s="45">
        <f>'Divisional Summary'!AF86/'Divisional Summary'!AA86-1</f>
        <v>0.12701908957415564</v>
      </c>
      <c r="M44" s="45">
        <f>'Divisional Summary'!AG86/'Divisional Summary'!AB86-1</f>
        <v>0.1880804953560371</v>
      </c>
      <c r="N44" s="45">
        <f>'Divisional Summary'!AH86/'Divisional Summary'!AC86-1</f>
        <v>0.20239111870196402</v>
      </c>
      <c r="O44" s="37">
        <f>'Divisional Summary'!AI86/'Divisional Summary'!AD86-1</f>
        <v>0.17092257001647448</v>
      </c>
      <c r="P44" s="45">
        <f>'Divisional Summary'!AJ86/'Divisional Summary'!AE86-1</f>
        <v>9.9337748344370924E-2</v>
      </c>
      <c r="Q44" s="45">
        <f>'Divisional Summary'!AK86/'Divisional Summary'!AF86-1</f>
        <v>0.1322475570032573</v>
      </c>
      <c r="R44" s="45">
        <f>'Divisional Summary'!AL86/'Divisional Summary'!AG86-1</f>
        <v>0.12638436482084692</v>
      </c>
      <c r="S44" s="45">
        <f>'Divisional Summary'!AM86/'Divisional Summary'!AH86-1</f>
        <v>0.11931818181818188</v>
      </c>
      <c r="T44" s="37">
        <f>'Divisional Summary'!AN86/'Divisional Summary'!AI86-1</f>
        <v>0.12047133309883917</v>
      </c>
      <c r="U44" s="45">
        <f>'Divisional Summary'!AO86/'Divisional Summary'!AJ86-1</f>
        <v>0.17846385542168686</v>
      </c>
      <c r="V44" s="45">
        <f>'Divisional Summary'!AP86/'Divisional Summary'!AK86-1</f>
        <v>0.15189873417721511</v>
      </c>
      <c r="W44" s="45">
        <f>'Divisional Summary'!AQ86/'Divisional Summary'!AL86-1</f>
        <v>0.15905147484094861</v>
      </c>
      <c r="X44" s="45">
        <f>'Divisional Summary'!AR86/'Divisional Summary'!AM86-1</f>
        <v>0.218274111675127</v>
      </c>
      <c r="Y44" s="37">
        <f>'Divisional Summary'!AS86/'Divisional Summary'!AN86-1</f>
        <v>0.17250039240307635</v>
      </c>
      <c r="Z44" s="45">
        <f>'Divisional Summary'!AT86/'Divisional Summary'!AO86-1</f>
        <v>0.15910543130990407</v>
      </c>
      <c r="AA44" s="45">
        <f>'Divisional Summary'!AU86/'Divisional Summary'!AP86-1</f>
        <v>0.15634365634365643</v>
      </c>
      <c r="AB44" s="45">
        <f>'Divisional Summary'!AV86/'Divisional Summary'!AQ86-1</f>
        <v>0.11177644710578849</v>
      </c>
      <c r="AC44" s="45">
        <f>'Divisional Summary'!AW86/'Divisional Summary'!AR86-1</f>
        <v>-8.3333333333333037E-3</v>
      </c>
      <c r="AD44" s="37">
        <f>'Divisional Summary'!AX86/'Divisional Summary'!AS86-1</f>
        <v>9.3574297188754985E-2</v>
      </c>
      <c r="AE44" s="45">
        <f>'Divisional Summary'!AY86/'Divisional Summary'!AT86-1</f>
        <v>-0.15931642778390298</v>
      </c>
      <c r="AF44" s="45">
        <f>'Divisional Summary'!AZ86/'Divisional Summary'!AU86-1</f>
        <v>-0.14514038876889845</v>
      </c>
      <c r="AG44" s="45">
        <f>'Divisional Summary'!BA86/'Divisional Summary'!AV86-1</f>
        <v>-7.6750448833034057E-2</v>
      </c>
      <c r="AH44" s="45">
        <f>'Divisional Summary'!BB86/'Divisional Summary'!AW86-1</f>
        <v>7.5630252100840289E-2</v>
      </c>
      <c r="AI44" s="37">
        <f>'Divisional Summary'!BC86/'Divisional Summary'!AX86-1</f>
        <v>-7.8834618680377E-2</v>
      </c>
      <c r="AJ44" s="45">
        <f>'Divisional Summary'!BD86/'Divisional Summary'!AY86-1</f>
        <v>0.13245901639344271</v>
      </c>
      <c r="AK44" s="45">
        <f>'Divisional Summary'!BE86/'Divisional Summary'!AZ86-1</f>
        <v>0.10459828196058618</v>
      </c>
      <c r="AL44" s="45">
        <f>'Divisional Summary'!BF86/'Divisional Summary'!BA86-1</f>
        <v>9.0422946037919338E-2</v>
      </c>
      <c r="AM44" s="45">
        <f>'Divisional Summary'!BG86/'Divisional Summary'!BB86-1</f>
        <v>0.1103515625</v>
      </c>
      <c r="AN44" s="37">
        <f>'Divisional Summary'!BH86/'Divisional Summary'!BC86-1</f>
        <v>0.12465116279069766</v>
      </c>
      <c r="AO44" s="45">
        <f>'Divisional Summary'!BI86/'Divisional Summary'!BD86-1</f>
        <v>8.3960625361899188E-2</v>
      </c>
      <c r="AP44" s="45">
        <f>'Divisional Summary'!BJ86/'Divisional Summary'!BE86-1</f>
        <v>4.2086001829826136E-2</v>
      </c>
      <c r="AQ44" s="45">
        <f>'Divisional Summary'!BK86/'Divisional Summary'!BF86-1</f>
        <v>2.1845742309406946E-2</v>
      </c>
      <c r="AR44" s="45">
        <f>'Divisional Summary'!BL86/'Divisional Summary'!BG86-1</f>
        <v>-2.8583992963940208E-2</v>
      </c>
      <c r="AS44" s="37">
        <f>'Divisional Summary'!BM86/'Divisional Summary'!BH86-1</f>
        <v>2.2214344794989849E-2</v>
      </c>
      <c r="AT44" s="45">
        <f>'Divisional Summary'!BN86/'Divisional Summary'!BI86-1</f>
        <v>-2.4572649572649596E-2</v>
      </c>
      <c r="AU44" s="45">
        <f>'Divisional Summary'!BO86/'Divisional Summary'!BJ86-1</f>
        <v>-8.779631255487752E-4</v>
      </c>
      <c r="AV44" s="45">
        <f>'Divisional Summary'!BP86/'Divisional Summary'!BK86-1</f>
        <v>-3.4904013961605251E-3</v>
      </c>
      <c r="AW44" s="45">
        <f>'Divisional Summary'!BQ86/'Divisional Summary'!BL86-1</f>
        <v>4.5269352648258376E-4</v>
      </c>
      <c r="AX44" s="37">
        <f>'Divisional Summary'!BR86/'Divisional Summary'!BM86-1</f>
        <v>-6.3576465148538208E-3</v>
      </c>
      <c r="AY44" s="45">
        <f>'Divisional Summary'!BS86/'Divisional Summary'!BN86-1</f>
        <v>0.15334063526834618</v>
      </c>
      <c r="AZ44" s="45">
        <f>'Divisional Summary'!BT86/'Divisional Summary'!BO86-1</f>
        <v>0.15158172231985945</v>
      </c>
      <c r="BA44" s="45">
        <f>'Divisional Summary'!BU86/'Divisional Summary'!BP86-1</f>
        <v>0.1405429071803852</v>
      </c>
      <c r="BB44" s="45">
        <f>'Divisional Summary'!BV86/'Divisional Summary'!BQ86-1</f>
        <v>0.17375565610859733</v>
      </c>
      <c r="BC44" s="37">
        <f>'Divisional Summary'!BW86/'Divisional Summary'!BR86-1</f>
        <v>0.15472312703583069</v>
      </c>
      <c r="BD44" s="45">
        <f>'Divisional Summary'!BX86/'Divisional Summary'!BS86-1</f>
        <v>9.021842355175691E-2</v>
      </c>
      <c r="BE44" s="45">
        <f>'Divisional Summary'!BY86/'Divisional Summary'!BT86-1</f>
        <v>7.8977489507821463E-2</v>
      </c>
      <c r="BF44" s="45">
        <f>'Divisional Summary'!BZ86/'Divisional Summary'!BU86-1</f>
        <v>8.253358925143961E-2</v>
      </c>
      <c r="BG44" s="45">
        <f>'Divisional Summary'!CA86/'Divisional Summary'!BV86-1</f>
        <v>9.8689282960678471E-2</v>
      </c>
      <c r="BH44" s="37">
        <f>'Divisional Summary'!CB86/'Divisional Summary'!BW86-1</f>
        <v>8.7447108603667223E-2</v>
      </c>
      <c r="BI44" s="45">
        <f>'Divisional Summary'!CC86/'Divisional Summary'!BX86-1</f>
        <v>-3.7020905923344949E-2</v>
      </c>
      <c r="BJ44" s="45">
        <f>'Divisional Summary'!CD86/'Divisional Summary'!BY86-1</f>
        <v>-9.6534653465346509E-2</v>
      </c>
      <c r="BK44" s="45">
        <f>'Divisional Summary'!CE86/'Divisional Summary'!BZ86-1</f>
        <v>-0.12304964539007091</v>
      </c>
      <c r="BL44" s="45">
        <f>'Divisional Summary'!CF86/'Divisional Summary'!CA86-1</f>
        <v>-0.1785964912280702</v>
      </c>
      <c r="BM44" s="37">
        <f>'Divisional Summary'!CG86/'Divisional Summary'!CB86-1</f>
        <v>-0.11246989068000746</v>
      </c>
      <c r="BN44" s="45">
        <f>'Divisional Summary'!CH86/'Divisional Summary'!CC86-1</f>
        <v>-5.8796924468566214E-2</v>
      </c>
      <c r="BO44" s="45">
        <f>'Divisional Summary'!CI86/'Divisional Summary'!CD86-1</f>
        <v>-2.739726027397249E-3</v>
      </c>
      <c r="BP44" s="45">
        <f>'Divisional Summary'!CJ86/'Divisional Summary'!CE86-1</f>
        <v>-9.7048119692680901E-3</v>
      </c>
      <c r="BQ44" s="45">
        <f>'Divisional Summary'!CK86/'Divisional Summary'!CF86-1</f>
        <v>-2.6484408372490442E-2</v>
      </c>
      <c r="BR44" s="37">
        <f>'Divisional Summary'!CL86/'Divisional Summary'!CG86-1</f>
        <v>-2.0062817936132071E-2</v>
      </c>
      <c r="BS44" s="45">
        <f>'Divisional Summary'!CM86/'Divisional Summary'!CH86-1</f>
        <v>-1.2013455069677992E-2</v>
      </c>
      <c r="BT44" s="45">
        <f>'Divisional Summary'!CN86/'Divisional Summary'!CI86-1</f>
        <v>-3.5321821036106704E-2</v>
      </c>
      <c r="BU44" s="45">
        <f>'Divisional Summary'!CO86/'Divisional Summary'!CJ86-1</f>
        <v>1.5924867292772538E-2</v>
      </c>
      <c r="BV44" s="45">
        <f>'Divisional Summary'!CP86/'Divisional Summary'!CK86-1</f>
        <v>-7.9843068953908691E-3</v>
      </c>
      <c r="BW44" s="37">
        <f>'Divisional Summary'!CQ86/'Divisional Summary'!CL86-1</f>
        <v>-1.3314563955039493E-2</v>
      </c>
      <c r="BX44" s="37">
        <f>'Divisional Summary'!CV86/'Divisional Summary'!CQ86-1</f>
        <v>3.7622590916329024E-2</v>
      </c>
      <c r="BY44" s="37">
        <f>'Divisional Summary'!CW86/'Divisional Summary'!CV86-1</f>
        <v>9.4910130923032909E-2</v>
      </c>
    </row>
    <row r="45" spans="1:77">
      <c r="A45" s="30"/>
      <c r="B45" s="32"/>
      <c r="C45" s="32"/>
      <c r="D45" s="32"/>
      <c r="E45" s="32"/>
      <c r="F45" s="33"/>
      <c r="G45" s="33"/>
      <c r="H45" s="33"/>
      <c r="I45" s="33"/>
      <c r="J45" s="32"/>
      <c r="K45" s="33"/>
      <c r="L45" s="33"/>
      <c r="M45" s="33"/>
      <c r="N45" s="33"/>
      <c r="O45" s="32"/>
      <c r="P45" s="33"/>
      <c r="Q45" s="33"/>
      <c r="R45" s="33"/>
      <c r="S45" s="33"/>
      <c r="T45" s="32"/>
      <c r="U45" s="33"/>
      <c r="V45" s="33"/>
      <c r="W45" s="33"/>
      <c r="X45" s="33"/>
      <c r="Y45" s="32"/>
      <c r="Z45" s="33"/>
      <c r="AA45" s="33"/>
      <c r="AB45" s="33"/>
      <c r="AC45" s="33"/>
      <c r="AD45" s="32"/>
      <c r="AE45" s="33"/>
      <c r="AF45" s="33"/>
      <c r="AG45" s="33"/>
      <c r="AH45" s="33"/>
      <c r="AI45" s="32"/>
      <c r="AJ45" s="33"/>
      <c r="AK45" s="33"/>
      <c r="AL45" s="33"/>
      <c r="AM45" s="33"/>
      <c r="AN45" s="32"/>
      <c r="AO45" s="33"/>
      <c r="AP45" s="33"/>
      <c r="AQ45" s="33"/>
      <c r="AR45" s="33"/>
      <c r="AS45" s="32"/>
      <c r="AT45" s="33"/>
      <c r="AU45" s="33"/>
      <c r="AV45" s="33"/>
      <c r="AW45" s="33"/>
      <c r="AX45" s="32"/>
      <c r="AY45" s="33"/>
      <c r="AZ45" s="33"/>
      <c r="BA45" s="33"/>
      <c r="BB45" s="33"/>
      <c r="BC45" s="32"/>
      <c r="BD45" s="33"/>
      <c r="BE45" s="33"/>
      <c r="BF45" s="33"/>
      <c r="BG45" s="33"/>
      <c r="BH45" s="32"/>
      <c r="BI45" s="33"/>
      <c r="BJ45" s="33"/>
      <c r="BK45" s="33"/>
      <c r="BL45" s="33"/>
      <c r="BM45" s="32"/>
      <c r="BN45" s="33"/>
      <c r="BO45" s="33"/>
      <c r="BP45" s="33"/>
      <c r="BQ45" s="33"/>
      <c r="BR45" s="32"/>
      <c r="BS45" s="33"/>
      <c r="BT45" s="33"/>
      <c r="BU45" s="33"/>
      <c r="BV45" s="33"/>
      <c r="BW45" s="32"/>
      <c r="BX45" s="32"/>
      <c r="BY45" s="32"/>
    </row>
    <row r="46" spans="1:77">
      <c r="A46" s="25" t="s">
        <v>87</v>
      </c>
      <c r="B46" s="96"/>
      <c r="C46" s="96">
        <f>IS!O84</f>
        <v>7.7468049568280462E-2</v>
      </c>
      <c r="D46" s="96">
        <f>IS!T84</f>
        <v>0.15332633031715726</v>
      </c>
      <c r="E46" s="96">
        <f>IS!Y84</f>
        <v>6.1513529391993282E-2</v>
      </c>
      <c r="F46" s="97">
        <f>IS!Z84</f>
        <v>8.2485020547730326E-2</v>
      </c>
      <c r="G46" s="97">
        <f>IS!AA84</f>
        <v>0.27992229602707108</v>
      </c>
      <c r="H46" s="97">
        <f>IS!AB84</f>
        <v>8.2359503555989644E-2</v>
      </c>
      <c r="I46" s="97">
        <f>IS!AC84</f>
        <v>3.8559159378036778E-2</v>
      </c>
      <c r="J46" s="96">
        <f>IS!AD84</f>
        <v>0.17479828284465948</v>
      </c>
      <c r="K46" s="97">
        <f>IS!AE84</f>
        <v>0.1814882032667875</v>
      </c>
      <c r="L46" s="97">
        <f>IS!AF84</f>
        <v>0.17915465320678203</v>
      </c>
      <c r="M46" s="97">
        <f>IS!AG84</f>
        <v>0.17886820349874522</v>
      </c>
      <c r="N46" s="97">
        <f>IS!AH84</f>
        <v>0.17577169481654042</v>
      </c>
      <c r="O46" s="96">
        <f>IS!AI84</f>
        <v>0.1315061166622804</v>
      </c>
      <c r="P46" s="97">
        <f>IS!AJ84</f>
        <v>0.18790790717642603</v>
      </c>
      <c r="Q46" s="97">
        <f>IS!AK84</f>
        <v>0.14607461783189191</v>
      </c>
      <c r="R46" s="97">
        <f>IS!AL84</f>
        <v>0.22400796197238004</v>
      </c>
      <c r="S46" s="97">
        <f>IS!AM84</f>
        <v>0.21414812982414211</v>
      </c>
      <c r="T46" s="96">
        <f>IS!AN84</f>
        <v>0.18889947294739784</v>
      </c>
      <c r="U46" s="97">
        <f>IS!AO84</f>
        <v>8.3589029456193398E-2</v>
      </c>
      <c r="V46" s="97">
        <f>IS!AP84</f>
        <v>6.0772731851607587E-2</v>
      </c>
      <c r="W46" s="97">
        <f>IS!AQ84</f>
        <v>0.22246518937225135</v>
      </c>
      <c r="X46" s="97">
        <f>IS!AR84</f>
        <v>0.24286855585318845</v>
      </c>
      <c r="Y46" s="96">
        <f>IS!AS84</f>
        <v>0.15128796179192983</v>
      </c>
      <c r="Z46" s="97">
        <f>IS!AT84</f>
        <v>0.24354278200432034</v>
      </c>
      <c r="AA46" s="97">
        <f>IS!AU84</f>
        <v>0.13822039950656828</v>
      </c>
      <c r="AB46" s="97">
        <f>IS!AV84</f>
        <v>0.1025118000047438</v>
      </c>
      <c r="AC46" s="97">
        <f>IS!AW84</f>
        <v>0.13923436267669742</v>
      </c>
      <c r="AD46" s="96">
        <f>IS!AX84</f>
        <v>0.14840406879992396</v>
      </c>
      <c r="AE46" s="97">
        <f>IS!AY84</f>
        <v>-0.23675715442764567</v>
      </c>
      <c r="AF46" s="97">
        <f>IS!AZ84</f>
        <v>-0.20597120243145706</v>
      </c>
      <c r="AG46" s="97">
        <f>IS!BA84</f>
        <v>-0.14706932134250461</v>
      </c>
      <c r="AH46" s="97">
        <f>IS!BB84</f>
        <v>-6.0510105582108786E-2</v>
      </c>
      <c r="AI46" s="96">
        <f>IS!BC84</f>
        <v>-0.15962337247631531</v>
      </c>
      <c r="AJ46" s="97">
        <f>IS!BD84</f>
        <v>0.19081432856804503</v>
      </c>
      <c r="AK46" s="97">
        <f>IS!BE84</f>
        <v>0.14501699859286576</v>
      </c>
      <c r="AL46" s="97">
        <f>IS!BF84</f>
        <v>0.14537174637653383</v>
      </c>
      <c r="AM46" s="97">
        <f>IS!BG84</f>
        <v>0.13529245998824524</v>
      </c>
      <c r="AN46" s="96">
        <f>IS!BH84</f>
        <v>0.14980091767226811</v>
      </c>
      <c r="AO46" s="97">
        <f>IS!BI84</f>
        <v>0.13852723590483151</v>
      </c>
      <c r="AP46" s="97">
        <f>IS!BJ84</f>
        <v>0.17699860775261977</v>
      </c>
      <c r="AQ46" s="97">
        <f>IS!BK84</f>
        <v>9.4659003132137265E-2</v>
      </c>
      <c r="AR46" s="97">
        <f>IS!BL84</f>
        <v>8.6044080114964228E-2</v>
      </c>
      <c r="AS46" s="96">
        <f>IS!BM84</f>
        <v>0.12177734082432923</v>
      </c>
      <c r="AT46" s="97">
        <f>IS!BN84</f>
        <v>0.23732768484980249</v>
      </c>
      <c r="AU46" s="97">
        <f>IS!BO84</f>
        <v>0.14559547523454652</v>
      </c>
      <c r="AV46" s="97">
        <f>IS!BP84</f>
        <v>-3.828553134108692E-2</v>
      </c>
      <c r="AW46" s="97">
        <f>IS!BQ84</f>
        <v>-0.2710756550524025</v>
      </c>
      <c r="AX46" s="96">
        <f>IS!BR84</f>
        <v>4.1625649384060548E-3</v>
      </c>
      <c r="AY46" s="97">
        <f>IS!BS84</f>
        <v>5.8101165249355047E-2</v>
      </c>
      <c r="AZ46" s="97">
        <f>IS!BT84</f>
        <v>4.9438605301861616E-2</v>
      </c>
      <c r="BA46" s="97">
        <f>IS!BU84</f>
        <v>0.12624216143657119</v>
      </c>
      <c r="BB46" s="97">
        <f>IS!BV84</f>
        <v>0.52491428386595951</v>
      </c>
      <c r="BC46" s="96">
        <f>IS!BW84</f>
        <v>0.16384940412557114</v>
      </c>
      <c r="BD46" s="97">
        <f>IS!BX84</f>
        <v>-4.8006594595522811E-2</v>
      </c>
      <c r="BE46" s="97">
        <f>IS!BY84</f>
        <v>8.129119486226144E-2</v>
      </c>
      <c r="BF46" s="97">
        <f>IS!BZ84</f>
        <v>0.31816642721236343</v>
      </c>
      <c r="BG46" s="97">
        <f>IS!CA84</f>
        <v>2.777111995270265E-2</v>
      </c>
      <c r="BH46" s="96">
        <f>IS!CB84</f>
        <v>9.7362404301401639E-2</v>
      </c>
      <c r="BI46" s="97">
        <f>IS!CC84</f>
        <v>9.0262550248414897E-2</v>
      </c>
      <c r="BJ46" s="97">
        <f>IS!CD84</f>
        <v>-7.4131648722481125E-2</v>
      </c>
      <c r="BK46" s="97">
        <f>IS!CE84</f>
        <v>-0.17995464436363062</v>
      </c>
      <c r="BL46" s="97">
        <f>IS!CF84</f>
        <v>-5.9713270236811611E-2</v>
      </c>
      <c r="BM46" s="96">
        <f>IS!CG84</f>
        <v>-7.0197572433639444E-2</v>
      </c>
      <c r="BN46" s="97">
        <f>IS!CH84</f>
        <v>1.9266297789916509E-2</v>
      </c>
      <c r="BO46" s="97">
        <f>IS!CI84</f>
        <v>6.8090449275685527E-2</v>
      </c>
      <c r="BP46" s="97">
        <f>IS!CJ84</f>
        <v>5.1314298076256648E-2</v>
      </c>
      <c r="BQ46" s="97">
        <f>IS!CK84</f>
        <v>2.4320416975784243E-2</v>
      </c>
      <c r="BR46" s="96">
        <f>IS!CL84</f>
        <v>4.2460014985744143E-2</v>
      </c>
      <c r="BS46" s="97">
        <f>IS!CM84</f>
        <v>5.5807842352286752E-3</v>
      </c>
      <c r="BT46" s="97">
        <f>IS!CN84</f>
        <v>2.0682007849453621E-2</v>
      </c>
      <c r="BU46" s="97">
        <f>IS!CO84</f>
        <v>-1.5772758235127471E-2</v>
      </c>
      <c r="BV46" s="97">
        <f>IS!CP84</f>
        <v>5.7665138601838972E-3</v>
      </c>
      <c r="BW46" s="96">
        <f>IS!CQ84</f>
        <v>3.5632692812235245E-3</v>
      </c>
      <c r="BX46" s="96">
        <f>IS!CV84</f>
        <v>4.2611854204706034E-2</v>
      </c>
      <c r="BY46" s="96">
        <f>IS!CW84</f>
        <v>0.12317256133799059</v>
      </c>
    </row>
    <row r="47" spans="1:77">
      <c r="A47" s="30"/>
      <c r="B47" s="32"/>
      <c r="C47" s="32"/>
      <c r="D47" s="32"/>
      <c r="E47" s="32"/>
      <c r="F47" s="30"/>
      <c r="G47" s="30"/>
      <c r="H47" s="30"/>
      <c r="I47" s="30"/>
      <c r="J47" s="32"/>
      <c r="K47" s="30"/>
      <c r="L47" s="30"/>
      <c r="M47" s="30"/>
      <c r="N47" s="30"/>
      <c r="O47" s="32"/>
      <c r="P47" s="30"/>
      <c r="Q47" s="30"/>
      <c r="R47" s="30"/>
      <c r="S47" s="30"/>
      <c r="T47" s="32"/>
      <c r="U47" s="30"/>
      <c r="V47" s="30"/>
      <c r="W47" s="30"/>
      <c r="X47" s="30"/>
      <c r="Y47" s="32"/>
      <c r="Z47" s="30"/>
      <c r="AA47" s="30"/>
      <c r="AB47" s="30"/>
      <c r="AC47" s="30"/>
      <c r="AD47" s="32"/>
      <c r="AE47" s="30"/>
      <c r="AF47" s="30"/>
      <c r="AG47" s="30"/>
      <c r="AH47" s="30"/>
      <c r="AI47" s="32"/>
      <c r="AJ47" s="30"/>
      <c r="AK47" s="30"/>
      <c r="AL47" s="30"/>
      <c r="AM47" s="30"/>
      <c r="AN47" s="32"/>
      <c r="AO47" s="30"/>
      <c r="AP47" s="30"/>
      <c r="AQ47" s="30"/>
      <c r="AR47" s="30"/>
      <c r="AS47" s="32"/>
      <c r="AT47" s="30"/>
      <c r="AU47" s="30"/>
      <c r="AV47" s="30"/>
      <c r="AW47" s="30"/>
      <c r="AX47" s="32"/>
      <c r="AY47" s="33"/>
      <c r="AZ47" s="33"/>
      <c r="BA47" s="33"/>
      <c r="BB47" s="33"/>
      <c r="BC47" s="32"/>
      <c r="BD47" s="33"/>
      <c r="BE47" s="33"/>
      <c r="BF47" s="33"/>
      <c r="BG47" s="33"/>
      <c r="BH47" s="32"/>
      <c r="BI47" s="33"/>
      <c r="BJ47" s="33"/>
      <c r="BK47" s="33"/>
      <c r="BL47" s="33"/>
      <c r="BM47" s="32"/>
      <c r="BN47" s="33"/>
      <c r="BO47" s="33"/>
      <c r="BP47" s="33"/>
      <c r="BQ47" s="33"/>
      <c r="BR47" s="32"/>
      <c r="BS47" s="33"/>
      <c r="BT47" s="33"/>
      <c r="BU47" s="33"/>
      <c r="BV47" s="33"/>
      <c r="BW47" s="32"/>
      <c r="BX47" s="32"/>
      <c r="BY47" s="32"/>
    </row>
    <row r="48" spans="1:77">
      <c r="A48" s="50" t="s">
        <v>86</v>
      </c>
      <c r="B48" s="95"/>
      <c r="C48" s="95"/>
      <c r="D48" s="95"/>
      <c r="E48" s="95"/>
      <c r="F48" s="41"/>
      <c r="G48" s="41"/>
      <c r="H48" s="41"/>
      <c r="I48" s="41"/>
      <c r="J48" s="95"/>
      <c r="K48" s="41"/>
      <c r="L48" s="41"/>
      <c r="M48" s="41"/>
      <c r="N48" s="41"/>
      <c r="O48" s="95"/>
      <c r="P48" s="41"/>
      <c r="Q48" s="41"/>
      <c r="R48" s="41"/>
      <c r="S48" s="41"/>
      <c r="T48" s="95"/>
      <c r="U48" s="41"/>
      <c r="V48" s="41"/>
      <c r="W48" s="41"/>
      <c r="X48" s="41"/>
      <c r="Y48" s="95"/>
      <c r="Z48" s="41"/>
      <c r="AA48" s="41"/>
      <c r="AB48" s="41"/>
      <c r="AC48" s="41"/>
      <c r="AD48" s="95"/>
      <c r="AE48" s="41"/>
      <c r="AF48" s="41"/>
      <c r="AG48" s="41"/>
      <c r="AH48" s="41"/>
      <c r="AI48" s="95"/>
      <c r="AJ48" s="41"/>
      <c r="AK48" s="41"/>
      <c r="AL48" s="41"/>
      <c r="AM48" s="41"/>
      <c r="AN48" s="95"/>
      <c r="AO48" s="41"/>
      <c r="AP48" s="41"/>
      <c r="AQ48" s="41"/>
      <c r="AR48" s="41"/>
      <c r="AS48" s="95"/>
      <c r="AT48" s="41"/>
      <c r="AU48" s="41"/>
      <c r="AV48" s="41"/>
      <c r="AW48" s="41"/>
      <c r="AX48" s="95"/>
      <c r="AY48" s="70"/>
      <c r="AZ48" s="70"/>
      <c r="BA48" s="70"/>
      <c r="BB48" s="70"/>
      <c r="BC48" s="95"/>
      <c r="BD48" s="70"/>
      <c r="BE48" s="70"/>
      <c r="BF48" s="70"/>
      <c r="BG48" s="70"/>
      <c r="BH48" s="95"/>
      <c r="BI48" s="70"/>
      <c r="BJ48" s="70"/>
      <c r="BK48" s="70"/>
      <c r="BL48" s="70"/>
      <c r="BM48" s="95"/>
      <c r="BN48" s="70"/>
      <c r="BO48" s="70"/>
      <c r="BP48" s="70"/>
      <c r="BQ48" s="70"/>
      <c r="BR48" s="95"/>
      <c r="BS48" s="70"/>
      <c r="BT48" s="70"/>
      <c r="BU48" s="70"/>
      <c r="BV48" s="70"/>
      <c r="BW48" s="95"/>
      <c r="BX48" s="95"/>
      <c r="BY48" s="95"/>
    </row>
    <row r="49" spans="1:77">
      <c r="A49" s="30"/>
      <c r="B49" s="32"/>
      <c r="C49" s="32"/>
      <c r="D49" s="32"/>
      <c r="E49" s="32"/>
      <c r="F49" s="30"/>
      <c r="G49" s="30"/>
      <c r="H49" s="30"/>
      <c r="I49" s="30"/>
      <c r="J49" s="32"/>
      <c r="K49" s="30"/>
      <c r="L49" s="30"/>
      <c r="M49" s="30"/>
      <c r="N49" s="30"/>
      <c r="O49" s="32"/>
      <c r="P49" s="66"/>
      <c r="Q49" s="66"/>
      <c r="R49" s="66"/>
      <c r="S49" s="66"/>
      <c r="T49" s="32"/>
      <c r="U49" s="66"/>
      <c r="V49" s="66"/>
      <c r="W49" s="66"/>
      <c r="X49" s="66"/>
      <c r="Y49" s="32"/>
      <c r="Z49" s="66"/>
      <c r="AA49" s="66"/>
      <c r="AB49" s="66"/>
      <c r="AC49" s="66"/>
      <c r="AD49" s="32"/>
      <c r="AE49" s="66"/>
      <c r="AF49" s="66"/>
      <c r="AG49" s="66"/>
      <c r="AH49" s="66"/>
      <c r="AI49" s="32"/>
      <c r="AJ49" s="66"/>
      <c r="AK49" s="66"/>
      <c r="AL49" s="66"/>
      <c r="AM49" s="66"/>
      <c r="AN49" s="32"/>
      <c r="AO49" s="66"/>
      <c r="AP49" s="66"/>
      <c r="AQ49" s="66"/>
      <c r="AR49" s="66"/>
      <c r="AS49" s="32"/>
      <c r="AT49" s="66"/>
      <c r="AU49" s="66"/>
      <c r="AV49" s="66"/>
      <c r="AW49" s="66"/>
      <c r="AX49" s="32"/>
      <c r="AY49" s="33"/>
      <c r="AZ49" s="33"/>
      <c r="BA49" s="33"/>
      <c r="BB49" s="33"/>
      <c r="BC49" s="62"/>
      <c r="BD49" s="33"/>
      <c r="BE49" s="33"/>
      <c r="BF49" s="33"/>
      <c r="BG49" s="33"/>
      <c r="BH49" s="62"/>
      <c r="BI49" s="33"/>
      <c r="BJ49" s="33"/>
      <c r="BK49" s="33"/>
      <c r="BL49" s="33"/>
      <c r="BM49" s="62"/>
      <c r="BN49" s="33"/>
      <c r="BO49" s="33"/>
      <c r="BP49" s="33"/>
      <c r="BQ49" s="33"/>
      <c r="BR49" s="62"/>
      <c r="BS49" s="33"/>
      <c r="BT49" s="33"/>
      <c r="BU49" s="33"/>
      <c r="BV49" s="33"/>
      <c r="BW49" s="62"/>
      <c r="BX49" s="62"/>
      <c r="BY49" s="62"/>
    </row>
    <row r="50" spans="1:77">
      <c r="A50" s="30" t="s">
        <v>85</v>
      </c>
      <c r="B50" s="37">
        <f>IS!J29</f>
        <v>0.28638603618854153</v>
      </c>
      <c r="C50" s="37">
        <f>IS!O29</f>
        <v>0.27995841846793562</v>
      </c>
      <c r="D50" s="37">
        <f>IS!T29</f>
        <v>0.28537501772295476</v>
      </c>
      <c r="E50" s="37">
        <f>IS!Y29</f>
        <v>0.27473094025907069</v>
      </c>
      <c r="F50" s="45">
        <f>IS!Z29</f>
        <v>0.27423085820032383</v>
      </c>
      <c r="G50" s="45">
        <f>IS!AA29</f>
        <v>0.27499480357514028</v>
      </c>
      <c r="H50" s="45">
        <f>IS!AB29</f>
        <v>0.27165649427133526</v>
      </c>
      <c r="I50" s="45">
        <f>IS!AC29</f>
        <v>0.27139662533035169</v>
      </c>
      <c r="J50" s="37">
        <f>IS!AD29</f>
        <v>0.27304045934036586</v>
      </c>
      <c r="K50" s="45">
        <f>IS!AE29</f>
        <v>0.27553949186775806</v>
      </c>
      <c r="L50" s="45">
        <f>IS!AF29</f>
        <v>0.28353658536585363</v>
      </c>
      <c r="M50" s="45">
        <f>IS!AG29</f>
        <v>0.27638697845025217</v>
      </c>
      <c r="N50" s="45">
        <f>IS!AH29</f>
        <v>0.26835982594796198</v>
      </c>
      <c r="O50" s="37">
        <f>IS!AI29</f>
        <v>0.27595084844938561</v>
      </c>
      <c r="P50" s="45">
        <f>IS!AJ29</f>
        <v>0.2793217145548752</v>
      </c>
      <c r="Q50" s="45">
        <f>IS!AK29</f>
        <v>0.2844911937377691</v>
      </c>
      <c r="R50" s="45">
        <f>IS!AL29</f>
        <v>0.27698758529967937</v>
      </c>
      <c r="S50" s="45">
        <f>IS!AM29</f>
        <v>0.25541565652615938</v>
      </c>
      <c r="T50" s="37">
        <f>IS!AN29</f>
        <v>0.27366242237972777</v>
      </c>
      <c r="U50" s="45">
        <f>IS!AO29</f>
        <v>0.26730737905196283</v>
      </c>
      <c r="V50" s="45">
        <f>IS!AP29</f>
        <v>0.27150460299194479</v>
      </c>
      <c r="W50" s="45">
        <f>IS!AQ29</f>
        <v>0.27375027050421985</v>
      </c>
      <c r="X50" s="45">
        <f>IS!AR29</f>
        <v>0.27083050156313715</v>
      </c>
      <c r="Y50" s="37">
        <f>IS!AS29</f>
        <v>0.27095089391698168</v>
      </c>
      <c r="Z50" s="45">
        <f>IS!AT29</f>
        <v>0.26651382719587335</v>
      </c>
      <c r="AA50" s="45">
        <f>IS!AU29</f>
        <v>0.27019568489713996</v>
      </c>
      <c r="AB50" s="45">
        <f>IS!AV29</f>
        <v>0.27510772290354657</v>
      </c>
      <c r="AC50" s="45">
        <f>IS!AW29</f>
        <v>0.26689234935680434</v>
      </c>
      <c r="AD50" s="37">
        <f>IS!AX29</f>
        <v>0.26975919139180349</v>
      </c>
      <c r="AE50" s="45">
        <f>IS!AY29</f>
        <v>0.25346339863923273</v>
      </c>
      <c r="AF50" s="45">
        <f>IS!AZ29</f>
        <v>0.26485451761102602</v>
      </c>
      <c r="AG50" s="45">
        <f>IS!BA29</f>
        <v>0.2541139000530826</v>
      </c>
      <c r="AH50" s="45">
        <f>IS!BB29</f>
        <v>0.26196437513412979</v>
      </c>
      <c r="AI50" s="37">
        <f>IS!BC29</f>
        <v>0.25873152122079163</v>
      </c>
      <c r="AJ50" s="45">
        <f>IS!BD29</f>
        <v>0.27475083056478405</v>
      </c>
      <c r="AK50" s="45">
        <f>IS!BE29</f>
        <v>0.27438052456165773</v>
      </c>
      <c r="AL50" s="45">
        <f>IS!BF29</f>
        <v>0.29023494860499266</v>
      </c>
      <c r="AM50" s="45">
        <f>IS!BG29</f>
        <v>0.25995694294940797</v>
      </c>
      <c r="AN50" s="37">
        <f>IS!BH29</f>
        <v>0.2744910355998969</v>
      </c>
      <c r="AO50" s="45">
        <f>IS!BI29</f>
        <v>0.27783476682711278</v>
      </c>
      <c r="AP50" s="45">
        <f>IS!BJ29</f>
        <v>0.27652221991844633</v>
      </c>
      <c r="AQ50" s="45">
        <f>IS!BK29</f>
        <v>0.27376185458377239</v>
      </c>
      <c r="AR50" s="45">
        <f>IS!BL29</f>
        <v>0.27585727203171734</v>
      </c>
      <c r="AS50" s="37">
        <f>IS!BM29</f>
        <v>0.2759443268644402</v>
      </c>
      <c r="AT50" s="45">
        <f>IS!BN29</f>
        <v>0.28076675257731959</v>
      </c>
      <c r="AU50" s="45">
        <f>IS!BO29</f>
        <v>0.28050988628956325</v>
      </c>
      <c r="AV50" s="45">
        <f>IS!BP29</f>
        <v>0.26851482515622921</v>
      </c>
      <c r="AW50" s="45">
        <f>IS!BQ29</f>
        <v>0.25281274706562062</v>
      </c>
      <c r="AX50" s="37">
        <f>IS!BR29</f>
        <v>0.26954668330214182</v>
      </c>
      <c r="AY50" s="45">
        <f>IS!BS29</f>
        <v>0.27321341759844436</v>
      </c>
      <c r="AZ50" s="45">
        <f>IS!BT29</f>
        <v>0.27827064850680994</v>
      </c>
      <c r="BA50" s="45">
        <f>IS!BU29</f>
        <v>0.28728495666796017</v>
      </c>
      <c r="BB50" s="45">
        <f>IS!BV29</f>
        <v>0.26702070529267857</v>
      </c>
      <c r="BC50" s="37">
        <f>IS!BW29</f>
        <v>0.27632293296713822</v>
      </c>
      <c r="BD50" s="45">
        <f>IS!BX29</f>
        <v>0.27500847744998302</v>
      </c>
      <c r="BE50" s="45">
        <f>IS!BY29</f>
        <v>0.24780408353208075</v>
      </c>
      <c r="BF50" s="45">
        <f>IS!BZ29</f>
        <v>0.2908213755566551</v>
      </c>
      <c r="BG50" s="45">
        <f>IS!CA29</f>
        <v>0.27277006354436339</v>
      </c>
      <c r="BH50" s="37">
        <f>IS!CB29</f>
        <v>0.27116743471582183</v>
      </c>
      <c r="BI50" s="45">
        <f>IS!CC29</f>
        <v>0.28633633633633632</v>
      </c>
      <c r="BJ50" s="45">
        <f>IS!CD29</f>
        <v>0.28747363407498128</v>
      </c>
      <c r="BK50" s="45">
        <f>IS!CE29</f>
        <v>0.28923701769654775</v>
      </c>
      <c r="BL50" s="45">
        <f>IS!CF29</f>
        <v>0.25503496503496503</v>
      </c>
      <c r="BM50" s="37">
        <f>IS!CG29</f>
        <v>0.27969501691152643</v>
      </c>
      <c r="BN50" s="45">
        <f>IS!CH29</f>
        <v>0.27723291158194208</v>
      </c>
      <c r="BO50" s="45">
        <f>IS!CI29</f>
        <v>0.27786741965846445</v>
      </c>
      <c r="BP50" s="45">
        <f>IS!CJ29</f>
        <v>0.27950397101853142</v>
      </c>
      <c r="BQ50" s="45">
        <f>IS!CK29</f>
        <v>0.26850399072242309</v>
      </c>
      <c r="BR50" s="37">
        <f>IS!CL29</f>
        <v>0.27573195444064008</v>
      </c>
      <c r="BS50" s="45">
        <f>IS!CM29</f>
        <v>0.27057546145494027</v>
      </c>
      <c r="BT50" s="45">
        <f>IS!CN29</f>
        <v>0.27356020942408377</v>
      </c>
      <c r="BU50" s="45">
        <f>IS!CO29</f>
        <v>0.26683043420528485</v>
      </c>
      <c r="BV50" s="45">
        <f>IS!CP29</f>
        <v>0.26423817655070614</v>
      </c>
      <c r="BW50" s="37">
        <f>IS!CQ29</f>
        <v>0.26875914216596192</v>
      </c>
      <c r="BX50" s="37">
        <f>IS!CV29</f>
        <v>0.26685313062531946</v>
      </c>
      <c r="BY50" s="37">
        <f>IS!CW29</f>
        <v>0.27033601573197469</v>
      </c>
    </row>
    <row r="51" spans="1:77">
      <c r="A51" s="30" t="s">
        <v>84</v>
      </c>
      <c r="B51" s="37">
        <f>IS!J52</f>
        <v>0.15043448820674868</v>
      </c>
      <c r="C51" s="37">
        <f>IS!O52</f>
        <v>0.14833136179517512</v>
      </c>
      <c r="D51" s="37">
        <f>IS!T52</f>
        <v>0.1553948674322983</v>
      </c>
      <c r="E51" s="37">
        <f>IS!Y52</f>
        <v>0.15389572726686859</v>
      </c>
      <c r="F51" s="45">
        <f>IS!Z52</f>
        <v>0.13775156141568357</v>
      </c>
      <c r="G51" s="45">
        <f>IS!AA52</f>
        <v>0.15589274579089588</v>
      </c>
      <c r="H51" s="45">
        <f>IS!AB52</f>
        <v>0.15183638505193275</v>
      </c>
      <c r="I51" s="45">
        <f>IS!AC52</f>
        <v>0.13488513925594633</v>
      </c>
      <c r="J51" s="37">
        <f>IS!AD52</f>
        <v>0.14968620643610628</v>
      </c>
      <c r="K51" s="45">
        <f>IS!AE52</f>
        <v>0.14180929095354522</v>
      </c>
      <c r="L51" s="45">
        <f>IS!AF52</f>
        <v>0.15028694404591106</v>
      </c>
      <c r="M51" s="45">
        <f>IS!AG52</f>
        <v>0.15580009170105455</v>
      </c>
      <c r="N51" s="45">
        <f>IS!AH52</f>
        <v>0.13977444276707218</v>
      </c>
      <c r="O51" s="37">
        <f>IS!AI52</f>
        <v>0.14705675833820947</v>
      </c>
      <c r="P51" s="45">
        <f>IS!AJ52</f>
        <v>0.1438530381535563</v>
      </c>
      <c r="Q51" s="45">
        <f>IS!AK52</f>
        <v>0.15810502283105024</v>
      </c>
      <c r="R51" s="45">
        <f>IS!AL52</f>
        <v>0.15884239085751869</v>
      </c>
      <c r="S51" s="45">
        <f>IS!AM52</f>
        <v>0.13850003910221317</v>
      </c>
      <c r="T51" s="37">
        <f>IS!AN52</f>
        <v>0.14988814317673377</v>
      </c>
      <c r="U51" s="45">
        <f>IS!AO52</f>
        <v>0.14318292881576805</v>
      </c>
      <c r="V51" s="45">
        <f>IS!AP52</f>
        <v>0.15585443037974683</v>
      </c>
      <c r="W51" s="45">
        <f>IS!AQ52</f>
        <v>0.15948928803289331</v>
      </c>
      <c r="X51" s="45">
        <f>IS!AR52</f>
        <v>0.14401250509718636</v>
      </c>
      <c r="Y51" s="37">
        <f>IS!AS52</f>
        <v>0.15075147464343761</v>
      </c>
      <c r="Z51" s="45">
        <f>IS!AT52</f>
        <v>0.14522137842097721</v>
      </c>
      <c r="AA51" s="45">
        <f>IS!AU52</f>
        <v>0.15799046663321625</v>
      </c>
      <c r="AB51" s="45">
        <f>IS!AV52</f>
        <v>0.16115346370566788</v>
      </c>
      <c r="AC51" s="45">
        <f>IS!AW52</f>
        <v>0.14536222071767096</v>
      </c>
      <c r="AD51" s="37">
        <f>IS!AX52</f>
        <v>0.15268504108305303</v>
      </c>
      <c r="AE51" s="45">
        <f>IS!AY52</f>
        <v>0.13923272399376999</v>
      </c>
      <c r="AF51" s="45">
        <f>IS!AZ52</f>
        <v>0.16604134762633996</v>
      </c>
      <c r="AG51" s="45">
        <f>IS!BA52</f>
        <v>0.1684613634640176</v>
      </c>
      <c r="AH51" s="45">
        <f>IS!BB52</f>
        <v>0.16027612847843192</v>
      </c>
      <c r="AI51" s="37">
        <f>IS!BC52</f>
        <v>0.15887458273724367</v>
      </c>
      <c r="AJ51" s="45">
        <f>IS!BD52</f>
        <v>0.15921926910299003</v>
      </c>
      <c r="AK51" s="45">
        <f>IS!BE52</f>
        <v>0.17251123025648457</v>
      </c>
      <c r="AL51" s="45">
        <f>IS!BF52</f>
        <v>0.18083700440528636</v>
      </c>
      <c r="AM51" s="45">
        <f>IS!BG52</f>
        <v>0.16112755651237889</v>
      </c>
      <c r="AN51" s="37">
        <f>IS!BH52</f>
        <v>0.1685380848948938</v>
      </c>
      <c r="AO51" s="45">
        <f>IS!BI52</f>
        <v>0.1614455929929772</v>
      </c>
      <c r="AP51" s="45">
        <f>IS!BJ52</f>
        <v>0.16974220747805654</v>
      </c>
      <c r="AQ51" s="45">
        <f>IS!BK52</f>
        <v>0.17604495960660344</v>
      </c>
      <c r="AR51" s="45">
        <f>IS!BL52</f>
        <v>0.16025596438756348</v>
      </c>
      <c r="AS51" s="37">
        <f>IS!BM52</f>
        <v>0.1670194066793414</v>
      </c>
      <c r="AT51" s="45">
        <f>IS!BN52</f>
        <v>0.16446520618556701</v>
      </c>
      <c r="AU51" s="45">
        <f>IS!BO52</f>
        <v>0.1786774824364453</v>
      </c>
      <c r="AV51" s="45">
        <f>IS!BP52</f>
        <v>0.16999069272703099</v>
      </c>
      <c r="AW51" s="45">
        <f>IS!BQ52</f>
        <v>0.15514200571671835</v>
      </c>
      <c r="AX51" s="37">
        <f>IS!BR52</f>
        <v>0.16664933804671797</v>
      </c>
      <c r="AY51" s="45">
        <f>IS!BS52</f>
        <v>0.17112299465240641</v>
      </c>
      <c r="AZ51" s="45">
        <f>IS!BT52</f>
        <v>0.18386854929401475</v>
      </c>
      <c r="BA51" s="45">
        <f>IS!BU52</f>
        <v>0.19053162592161427</v>
      </c>
      <c r="BB51" s="45">
        <f>IS!BV52</f>
        <v>0.17512978101318694</v>
      </c>
      <c r="BC51" s="37">
        <f>IS!BW52</f>
        <v>0.18024462683230608</v>
      </c>
      <c r="BD51" s="45">
        <f>IS!BX52</f>
        <v>0.18243472363513055</v>
      </c>
      <c r="BE51" s="45">
        <f>IS!BY52</f>
        <v>0.18649293234832179</v>
      </c>
      <c r="BF51" s="45">
        <f>IS!BZ52</f>
        <v>0.19662295893122217</v>
      </c>
      <c r="BG51" s="45">
        <f>IS!CA52</f>
        <v>0.18733819722287598</v>
      </c>
      <c r="BH51" s="37">
        <f>IS!CB52</f>
        <v>0.18831029185867895</v>
      </c>
      <c r="BI51" s="45">
        <f>IS!CC52</f>
        <v>0.19565373116372309</v>
      </c>
      <c r="BJ51" s="45">
        <f>IS!CD52</f>
        <v>0.20050978437090619</v>
      </c>
      <c r="BK51" s="45">
        <f>IS!CE52</f>
        <v>0.20749927473165072</v>
      </c>
      <c r="BL51" s="45">
        <f>IS!CF52</f>
        <v>0.183006993006993</v>
      </c>
      <c r="BM51" s="37">
        <f>IS!CG52</f>
        <v>0.1968429074614679</v>
      </c>
      <c r="BN51" s="45">
        <f>IS!CH52</f>
        <v>0.18514636520176686</v>
      </c>
      <c r="BO51" s="45">
        <f>IS!CI52</f>
        <v>0.19893774371386311</v>
      </c>
      <c r="BP51" s="45">
        <f>IS!CJ52</f>
        <v>0.20036226835725232</v>
      </c>
      <c r="BQ51" s="45">
        <f>IS!CK52</f>
        <v>0.18186779452895832</v>
      </c>
      <c r="BR51" s="37">
        <f>IS!CL52</f>
        <v>0.19170568094472784</v>
      </c>
      <c r="BS51" s="45">
        <f>IS!CM52</f>
        <v>0.17741585233441912</v>
      </c>
      <c r="BT51" s="45">
        <f>IS!CN52</f>
        <v>0.18828534031413613</v>
      </c>
      <c r="BU51" s="45">
        <f>IS!CO52</f>
        <v>0.19081131323861372</v>
      </c>
      <c r="BV51" s="45">
        <f>IS!CP52</f>
        <v>0.16948874309961684</v>
      </c>
      <c r="BW51" s="37">
        <f>IS!CQ52</f>
        <v>0.18155237026951287</v>
      </c>
      <c r="BX51" s="37">
        <f>IS!CV52</f>
        <v>0.17707767188895013</v>
      </c>
      <c r="BY51" s="37">
        <f>IS!CW52</f>
        <v>0.18466417257041823</v>
      </c>
    </row>
    <row r="52" spans="1:77">
      <c r="A52" s="30" t="s">
        <v>83</v>
      </c>
      <c r="B52" s="37">
        <f>IS!J47</f>
        <v>0.11812060339314599</v>
      </c>
      <c r="C52" s="37">
        <f>IS!O47</f>
        <v>0.11589059755529268</v>
      </c>
      <c r="D52" s="37">
        <f>IS!T47</f>
        <v>0.12962569119523606</v>
      </c>
      <c r="E52" s="37">
        <f>IS!Y47</f>
        <v>0.12814977121866339</v>
      </c>
      <c r="F52" s="45">
        <f>IS!Z47</f>
        <v>0.10744853111265325</v>
      </c>
      <c r="G52" s="45">
        <f>IS!AA47</f>
        <v>0.12970276449802537</v>
      </c>
      <c r="H52" s="45">
        <f>IS!AB47</f>
        <v>0.12720848056537101</v>
      </c>
      <c r="I52" s="45">
        <f>IS!AC47</f>
        <v>0.11109981703598293</v>
      </c>
      <c r="J52" s="37">
        <f>IS!AD47</f>
        <v>0.12356789958605956</v>
      </c>
      <c r="K52" s="45">
        <f>IS!AE47</f>
        <v>0.11778462846816201</v>
      </c>
      <c r="L52" s="45">
        <f>IS!AF47</f>
        <v>0.1290351506456241</v>
      </c>
      <c r="M52" s="45">
        <f>IS!AG47</f>
        <v>0.13149931224209077</v>
      </c>
      <c r="N52" s="45">
        <f>IS!AH47</f>
        <v>0.11704111535387621</v>
      </c>
      <c r="O52" s="37">
        <f>IS!AI47</f>
        <v>0.12402574605032182</v>
      </c>
      <c r="P52" s="45">
        <f>IS!AJ47</f>
        <v>0.11898257183231277</v>
      </c>
      <c r="Q52" s="45">
        <f>IS!AK47</f>
        <v>0.13723091976516635</v>
      </c>
      <c r="R52" s="45">
        <f>IS!AL47</f>
        <v>0.13812381813697278</v>
      </c>
      <c r="S52" s="45">
        <f>IS!AM47</f>
        <v>0.11808868381950419</v>
      </c>
      <c r="T52" s="37">
        <f>IS!AN47</f>
        <v>0.12829036776850863</v>
      </c>
      <c r="U52" s="45">
        <f>IS!AO47</f>
        <v>0.12054080469131781</v>
      </c>
      <c r="V52" s="45">
        <f>IS!AP47</f>
        <v>0.13593210586881474</v>
      </c>
      <c r="W52" s="45">
        <f>IS!AQ47</f>
        <v>0.13727187477457981</v>
      </c>
      <c r="X52" s="45">
        <f>IS!AR47</f>
        <v>0.12294413483756966</v>
      </c>
      <c r="Y52" s="37">
        <f>IS!AS47</f>
        <v>0.12933033839186253</v>
      </c>
      <c r="Z52" s="45">
        <f>IS!AT47</f>
        <v>0.12236710130391174</v>
      </c>
      <c r="AA52" s="45">
        <f>IS!AU47</f>
        <v>0.13754390366281988</v>
      </c>
      <c r="AB52" s="45">
        <f>IS!AV47</f>
        <v>0.13954259197878688</v>
      </c>
      <c r="AC52" s="45">
        <f>IS!AW47</f>
        <v>0.12166553825321598</v>
      </c>
      <c r="AD52" s="37">
        <f>IS!AX47</f>
        <v>0.13057884431949396</v>
      </c>
      <c r="AE52" s="45">
        <f>IS!AY47</f>
        <v>0.11414870071317321</v>
      </c>
      <c r="AF52" s="45">
        <f>IS!AZ47</f>
        <v>0.14284073506891271</v>
      </c>
      <c r="AG52" s="45">
        <f>IS!BA47</f>
        <v>0.14449836960643059</v>
      </c>
      <c r="AH52" s="45">
        <f>IS!BB47</f>
        <v>0.13645468202303454</v>
      </c>
      <c r="AI52" s="37">
        <f>IS!BC47</f>
        <v>0.13487839771101573</v>
      </c>
      <c r="AJ52" s="45">
        <f>IS!BD47</f>
        <v>0.13205980066445183</v>
      </c>
      <c r="AK52" s="45">
        <f>IS!BE47</f>
        <v>0.14794957252572091</v>
      </c>
      <c r="AL52" s="45">
        <f>IS!BF47</f>
        <v>0.15572687224669604</v>
      </c>
      <c r="AM52" s="45">
        <f>IS!BG47</f>
        <v>0.13771528525296017</v>
      </c>
      <c r="AN52" s="37">
        <f>IS!BH47</f>
        <v>0.1435776607885727</v>
      </c>
      <c r="AO52" s="45">
        <f>IS!BI47</f>
        <v>0.13651069202240984</v>
      </c>
      <c r="AP52" s="45">
        <f>IS!BJ47</f>
        <v>0.14748773239339277</v>
      </c>
      <c r="AQ52" s="45">
        <f>IS!BK47</f>
        <v>0.15328415876361082</v>
      </c>
      <c r="AR52" s="45">
        <f>IS!BL47</f>
        <v>0.13931974681783404</v>
      </c>
      <c r="AS52" s="37">
        <f>IS!BM47</f>
        <v>0.14436632349248485</v>
      </c>
      <c r="AT52" s="45">
        <f>IS!BN47</f>
        <v>0.13869201030927836</v>
      </c>
      <c r="AU52" s="45">
        <f>IS!BO47</f>
        <v>0.15658723835735497</v>
      </c>
      <c r="AV52" s="45">
        <f>IS!BP47</f>
        <v>0.14193591277755618</v>
      </c>
      <c r="AW52" s="45">
        <f>IS!BQ47</f>
        <v>0.12613270084534453</v>
      </c>
      <c r="AX52" s="37">
        <f>IS!BR47</f>
        <v>0.14024052124488806</v>
      </c>
      <c r="AY52" s="45">
        <f>IS!BS47</f>
        <v>0.14028751996666436</v>
      </c>
      <c r="AZ52" s="45">
        <f>IS!BT47</f>
        <v>0.15644133449956266</v>
      </c>
      <c r="BA52" s="45">
        <f>IS!BU47</f>
        <v>0.16129866770146165</v>
      </c>
      <c r="BB52" s="45">
        <f>IS!BV47</f>
        <v>0.14613043737693179</v>
      </c>
      <c r="BC52" s="37">
        <f>IS!BW47</f>
        <v>0.15116724683038993</v>
      </c>
      <c r="BD52" s="45">
        <f>IS!BX47</f>
        <v>0.15076297049847406</v>
      </c>
      <c r="BE52" s="45">
        <f>IS!BY47</f>
        <v>0.15926938514338898</v>
      </c>
      <c r="BF52" s="45">
        <f>IS!BZ47</f>
        <v>0.16674913409203365</v>
      </c>
      <c r="BG52" s="45">
        <f>IS!CA47</f>
        <v>0.15856672158154861</v>
      </c>
      <c r="BH52" s="37">
        <f>IS!CB47</f>
        <v>0.1590168970814132</v>
      </c>
      <c r="BI52" s="45">
        <f>IS!CC47</f>
        <v>0.16133633633633634</v>
      </c>
      <c r="BJ52" s="45">
        <f>IS!CD47</f>
        <v>0.16935428999115465</v>
      </c>
      <c r="BK52" s="45">
        <f>IS!CE47</f>
        <v>0.17225123295619379</v>
      </c>
      <c r="BL52" s="45">
        <f>IS!CF47</f>
        <v>0.15069930069930071</v>
      </c>
      <c r="BM52" s="37">
        <f>IS!CG47</f>
        <v>0.16359856546158441</v>
      </c>
      <c r="BN52" s="45">
        <f>IS!CH47</f>
        <v>0.15025829153252976</v>
      </c>
      <c r="BO52" s="45">
        <f>IS!CI47</f>
        <v>0.16572542691945677</v>
      </c>
      <c r="BP52" s="45">
        <f>IS!CJ47</f>
        <v>0.16580744043472204</v>
      </c>
      <c r="BQ52" s="45">
        <f>IS!CK47</f>
        <v>0.14734975100620779</v>
      </c>
      <c r="BR52" s="37">
        <f>IS!CL47</f>
        <v>0.15743134651666552</v>
      </c>
      <c r="BS52" s="45">
        <f>IS!CM47</f>
        <v>0.14035468693449149</v>
      </c>
      <c r="BT52" s="45">
        <f>IS!CN47</f>
        <v>0.15379581151832461</v>
      </c>
      <c r="BU52" s="45">
        <f>IS!CO47</f>
        <v>0.15476032399415748</v>
      </c>
      <c r="BV52" s="45">
        <f>IS!CP47</f>
        <v>0.13560777968263296</v>
      </c>
      <c r="BW52" s="37">
        <f>IS!CQ47</f>
        <v>0.14622760249029307</v>
      </c>
      <c r="BX52" s="37">
        <f>IS!CV47</f>
        <v>0.14336699436532541</v>
      </c>
      <c r="BY52" s="37">
        <f>IS!CW47</f>
        <v>0.15242345502964363</v>
      </c>
    </row>
    <row r="53" spans="1:77">
      <c r="A53" s="30" t="s">
        <v>82</v>
      </c>
      <c r="B53" s="37">
        <f t="shared" ref="B53:AG53" si="9">B11/B7</f>
        <v>0</v>
      </c>
      <c r="C53" s="37">
        <f t="shared" si="9"/>
        <v>0.13488905617091443</v>
      </c>
      <c r="D53" s="37">
        <f t="shared" si="9"/>
        <v>0.14819934779526442</v>
      </c>
      <c r="E53" s="37">
        <f t="shared" si="9"/>
        <v>0.14097441515756912</v>
      </c>
      <c r="F53" s="45">
        <f t="shared" si="9"/>
        <v>0.11924589405505436</v>
      </c>
      <c r="G53" s="45">
        <f t="shared" si="9"/>
        <v>0.14155061317813344</v>
      </c>
      <c r="H53" s="45">
        <f t="shared" si="9"/>
        <v>0.13834457650712068</v>
      </c>
      <c r="I53" s="45">
        <f t="shared" si="9"/>
        <v>0.11902825777597073</v>
      </c>
      <c r="J53" s="37">
        <f t="shared" si="9"/>
        <v>0.1296835358525838</v>
      </c>
      <c r="K53" s="45">
        <f t="shared" si="9"/>
        <v>0.12841501009886255</v>
      </c>
      <c r="L53" s="45">
        <f t="shared" si="9"/>
        <v>0.13764347202295552</v>
      </c>
      <c r="M53" s="45">
        <f t="shared" si="9"/>
        <v>0.14076111875286565</v>
      </c>
      <c r="N53" s="45">
        <f t="shared" si="9"/>
        <v>0.12503330077257793</v>
      </c>
      <c r="O53" s="37">
        <f t="shared" si="9"/>
        <v>0.13308367466354593</v>
      </c>
      <c r="P53" s="45">
        <f t="shared" si="9"/>
        <v>0.12510598210080076</v>
      </c>
      <c r="Q53" s="45">
        <f t="shared" si="9"/>
        <v>0.14171559034572734</v>
      </c>
      <c r="R53" s="45">
        <f t="shared" si="9"/>
        <v>0.14215242949930115</v>
      </c>
      <c r="S53" s="45">
        <f t="shared" si="9"/>
        <v>0.12325017595995934</v>
      </c>
      <c r="T53" s="37">
        <f t="shared" si="9"/>
        <v>0.13320370486524913</v>
      </c>
      <c r="U53" s="45">
        <f t="shared" si="9"/>
        <v>0.12746375631210294</v>
      </c>
      <c r="V53" s="45">
        <f t="shared" si="9"/>
        <v>0.14398734177215189</v>
      </c>
      <c r="W53" s="45">
        <f t="shared" si="9"/>
        <v>0.1445574550962995</v>
      </c>
      <c r="X53" s="45">
        <f t="shared" si="9"/>
        <v>0.13048797064020662</v>
      </c>
      <c r="Y53" s="37">
        <f t="shared" si="9"/>
        <v>0.13641593162767765</v>
      </c>
      <c r="Z53" s="45">
        <f t="shared" si="9"/>
        <v>0.12996131250895543</v>
      </c>
      <c r="AA53" s="45">
        <f t="shared" si="9"/>
        <v>0.14519568489713999</v>
      </c>
      <c r="AB53" s="45">
        <f t="shared" si="9"/>
        <v>0.14769638713954258</v>
      </c>
      <c r="AC53" s="45">
        <f t="shared" si="9"/>
        <v>0.12890995260663507</v>
      </c>
      <c r="AD53" s="37">
        <f t="shared" si="9"/>
        <v>0.13670364978161553</v>
      </c>
      <c r="AE53" s="45">
        <f t="shared" si="9"/>
        <v>0.12501024674153619</v>
      </c>
      <c r="AF53" s="45">
        <f t="shared" si="9"/>
        <v>0.15153139356814702</v>
      </c>
      <c r="AG53" s="45">
        <f t="shared" si="9"/>
        <v>0.15598695685144459</v>
      </c>
      <c r="AH53" s="45">
        <f t="shared" ref="AH53:BM53" si="10">AH11/AH7</f>
        <v>0.14650547249445597</v>
      </c>
      <c r="AI53" s="37">
        <f t="shared" si="10"/>
        <v>0.1435383881735813</v>
      </c>
      <c r="AJ53" s="45">
        <f t="shared" si="10"/>
        <v>0.14343853820598007</v>
      </c>
      <c r="AK53" s="45">
        <f t="shared" si="10"/>
        <v>0.15838284306622227</v>
      </c>
      <c r="AL53" s="45">
        <f t="shared" si="10"/>
        <v>0.16468428781204111</v>
      </c>
      <c r="AM53" s="45">
        <f t="shared" si="10"/>
        <v>0.15298708288482238</v>
      </c>
      <c r="AN53" s="37">
        <f t="shared" si="10"/>
        <v>0.15578176195560137</v>
      </c>
      <c r="AO53" s="45">
        <f t="shared" si="10"/>
        <v>0.14771561587627238</v>
      </c>
      <c r="AP53" s="45">
        <f t="shared" si="10"/>
        <v>0.15744004423249705</v>
      </c>
      <c r="AQ53" s="45">
        <f t="shared" si="10"/>
        <v>0.16101159114857744</v>
      </c>
      <c r="AR53" s="45">
        <f t="shared" si="10"/>
        <v>0.15364818807818043</v>
      </c>
      <c r="AS53" s="37">
        <f t="shared" si="10"/>
        <v>0.15516375506690103</v>
      </c>
      <c r="AT53" s="45">
        <f t="shared" si="10"/>
        <v>0.14706829896907217</v>
      </c>
      <c r="AU53" s="45">
        <f t="shared" si="10"/>
        <v>0.16484391975085103</v>
      </c>
      <c r="AV53" s="45">
        <f t="shared" si="10"/>
        <v>0.15184151043744182</v>
      </c>
      <c r="AW53" s="45">
        <f t="shared" si="10"/>
        <v>0.13440369762208842</v>
      </c>
      <c r="AX53" s="37">
        <f t="shared" si="10"/>
        <v>0.14895681707908781</v>
      </c>
      <c r="AY53" s="45">
        <f t="shared" si="10"/>
        <v>0.14626015695534411</v>
      </c>
      <c r="AZ53" s="45">
        <f t="shared" si="10"/>
        <v>0.16375109333999749</v>
      </c>
      <c r="BA53" s="45">
        <f t="shared" si="10"/>
        <v>0.16847755788384428</v>
      </c>
      <c r="BB53" s="45">
        <f t="shared" si="10"/>
        <v>0.15478250492272808</v>
      </c>
      <c r="BC53" s="37">
        <f t="shared" si="10"/>
        <v>0.15849647111423371</v>
      </c>
      <c r="BD53" s="45">
        <f t="shared" si="10"/>
        <v>0.1557138012885724</v>
      </c>
      <c r="BE53" s="45">
        <f t="shared" si="10"/>
        <v>0.16450468268279914</v>
      </c>
      <c r="BF53" s="45">
        <f t="shared" si="10"/>
        <v>0.1744186046511628</v>
      </c>
      <c r="BG53" s="45">
        <f t="shared" si="10"/>
        <v>0.16768651447399388</v>
      </c>
      <c r="BH53" s="37">
        <f t="shared" si="10"/>
        <v>0.16580645161290322</v>
      </c>
      <c r="BI53" s="45">
        <f t="shared" si="10"/>
        <v>0.16599099099099099</v>
      </c>
      <c r="BJ53" s="45">
        <f t="shared" si="10"/>
        <v>0.17384500238143838</v>
      </c>
      <c r="BK53" s="45">
        <f t="shared" si="10"/>
        <v>0.1793588627792283</v>
      </c>
      <c r="BL53" s="45">
        <f t="shared" si="10"/>
        <v>0.16370629370629369</v>
      </c>
      <c r="BM53" s="37">
        <f t="shared" si="10"/>
        <v>0.17095050797578301</v>
      </c>
      <c r="BN53" s="45">
        <f t="shared" ref="BN53:BW53" si="11">BN11/BN7</f>
        <v>0.15579845773751591</v>
      </c>
      <c r="BO53" s="45">
        <f t="shared" si="11"/>
        <v>0.17130563399220117</v>
      </c>
      <c r="BP53" s="45">
        <f t="shared" si="11"/>
        <v>0.17061446286749338</v>
      </c>
      <c r="BQ53" s="45">
        <f t="shared" si="11"/>
        <v>0.15546763080701276</v>
      </c>
      <c r="BR53" s="37">
        <f t="shared" si="11"/>
        <v>0.16399619530731352</v>
      </c>
      <c r="BS53" s="45">
        <f>BS11/BS7</f>
        <v>0.14882374230908432</v>
      </c>
      <c r="BT53" s="45">
        <f>BT11/BT7</f>
        <v>0.16086387434554975</v>
      </c>
      <c r="BU53" s="45">
        <f>BU11/BU7</f>
        <v>0.16518390651971851</v>
      </c>
      <c r="BV53" s="45">
        <f>BV11/BV7</f>
        <v>0.14727145762620916</v>
      </c>
      <c r="BW53" s="37">
        <f t="shared" si="11"/>
        <v>0.15565574192550016</v>
      </c>
      <c r="BX53" s="37">
        <f>BX11/BX7</f>
        <v>0.15246533570419671</v>
      </c>
      <c r="BY53" s="37">
        <f>BY11/BY7</f>
        <v>0.16000364715643872</v>
      </c>
    </row>
    <row r="54" spans="1:77">
      <c r="A54" s="30" t="s">
        <v>81</v>
      </c>
      <c r="B54" s="37">
        <f>IS!J59</f>
        <v>0.11812060339314599</v>
      </c>
      <c r="C54" s="37">
        <f>IS!O59</f>
        <v>0.11589059755529268</v>
      </c>
      <c r="D54" s="37">
        <f>IS!T59</f>
        <v>0.12962569119523606</v>
      </c>
      <c r="E54" s="37">
        <f>IS!Y59</f>
        <v>0.12389637172133788</v>
      </c>
      <c r="F54" s="45">
        <f>IS!Z59</f>
        <v>0.10640758732361785</v>
      </c>
      <c r="G54" s="45">
        <f>IS!AA59</f>
        <v>0.12648098108501352</v>
      </c>
      <c r="H54" s="45">
        <f>IS!AB59</f>
        <v>0.12099796552093373</v>
      </c>
      <c r="I54" s="45">
        <f>IS!AC59</f>
        <v>0.10510266314291522</v>
      </c>
      <c r="J54" s="37">
        <f>IS!AD59</f>
        <v>0.11937508345573508</v>
      </c>
      <c r="K54" s="45">
        <f>IS!AE59</f>
        <v>0.11565855214202189</v>
      </c>
      <c r="L54" s="45">
        <f>IS!AF59</f>
        <v>0.13351865136298421</v>
      </c>
      <c r="M54" s="45">
        <f>IS!AG59</f>
        <v>0.12691425951398441</v>
      </c>
      <c r="N54" s="45">
        <f>IS!AH59</f>
        <v>0.10842731551371992</v>
      </c>
      <c r="O54" s="37">
        <f>IS!AI59</f>
        <v>0.12128730251609128</v>
      </c>
      <c r="P54" s="45">
        <f>IS!AJ59</f>
        <v>0.12077249175694772</v>
      </c>
      <c r="Q54" s="45">
        <f>IS!AK59</f>
        <v>0.14196020874103066</v>
      </c>
      <c r="R54" s="45">
        <f>IS!AL59</f>
        <v>0.13541067170928225</v>
      </c>
      <c r="S54" s="45">
        <f>IS!AM59</f>
        <v>0.11167592085712051</v>
      </c>
      <c r="T54" s="37">
        <f>IS!AN59</f>
        <v>0.127495870706057</v>
      </c>
      <c r="U54" s="45">
        <f>IS!AO59</f>
        <v>0.1224955204430689</v>
      </c>
      <c r="V54" s="45">
        <f>IS!AP59</f>
        <v>0.13413406214039125</v>
      </c>
      <c r="W54" s="45">
        <f>IS!AQ59</f>
        <v>0.13618985789511651</v>
      </c>
      <c r="X54" s="45">
        <f>IS!AR59</f>
        <v>0.1218567350822346</v>
      </c>
      <c r="Y54" s="37">
        <f>IS!AS59</f>
        <v>0.12874595956829013</v>
      </c>
      <c r="Z54" s="45">
        <f>IS!AT59</f>
        <v>0.119931222238143</v>
      </c>
      <c r="AA54" s="45">
        <f>IS!AU59</f>
        <v>0.13164826894129453</v>
      </c>
      <c r="AB54" s="45">
        <f>IS!AV59</f>
        <v>0.13583029499502816</v>
      </c>
      <c r="AC54" s="45">
        <f>IS!AW59</f>
        <v>0.12207176709546377</v>
      </c>
      <c r="AD54" s="37">
        <f>IS!AX59</f>
        <v>0.12760011379419983</v>
      </c>
      <c r="AE54" s="45">
        <f>IS!AY59</f>
        <v>0.10256045577506354</v>
      </c>
      <c r="AF54" s="45">
        <f>IS!AZ59</f>
        <v>0.12502756508422663</v>
      </c>
      <c r="AG54" s="45">
        <f>IS!BA59</f>
        <v>0.13411541669826343</v>
      </c>
      <c r="AH54" s="45">
        <f>IS!BB59</f>
        <v>0.12916946848844696</v>
      </c>
      <c r="AI54" s="37">
        <f>IS!BC59</f>
        <v>0.12318998569384834</v>
      </c>
      <c r="AJ54" s="45">
        <f>IS!BD59</f>
        <v>0.1286544850498339</v>
      </c>
      <c r="AK54" s="45">
        <f>IS!BE59</f>
        <v>0.13824083466164325</v>
      </c>
      <c r="AL54" s="45">
        <f>IS!BF59</f>
        <v>0.14346549192364169</v>
      </c>
      <c r="AM54" s="45">
        <f>IS!BG59</f>
        <v>0.12627825618945102</v>
      </c>
      <c r="AN54" s="37">
        <f>IS!BH59</f>
        <v>0.1341530758752715</v>
      </c>
      <c r="AO54" s="45">
        <f>IS!BI59</f>
        <v>0.13548488913438017</v>
      </c>
      <c r="AP54" s="45">
        <f>IS!BJ59</f>
        <v>0.15018315018315018</v>
      </c>
      <c r="AQ54" s="45">
        <f>IS!BK59</f>
        <v>0.15300316122233931</v>
      </c>
      <c r="AR54" s="45">
        <f>IS!BL59</f>
        <v>0.13612019197329067</v>
      </c>
      <c r="AS54" s="37">
        <f>IS!BM59</f>
        <v>0.14393586110413603</v>
      </c>
      <c r="AT54" s="45">
        <f>IS!BN59</f>
        <v>0.1407860824742268</v>
      </c>
      <c r="AU54" s="45">
        <f>IS!BO59</f>
        <v>0.15941189251828783</v>
      </c>
      <c r="AV54" s="45">
        <f>IS!BP59</f>
        <v>0.13861188671719185</v>
      </c>
      <c r="AW54" s="45">
        <f>IS!BQ59</f>
        <v>0.10764459040321109</v>
      </c>
      <c r="AX54" s="37">
        <f>IS!BR59</f>
        <v>0.13523255007971166</v>
      </c>
      <c r="AY54" s="45">
        <f>IS!BS59</f>
        <v>0.1406347663032155</v>
      </c>
      <c r="AZ54" s="45">
        <f>IS!BT59</f>
        <v>0.16006497563413719</v>
      </c>
      <c r="BA54" s="45">
        <f>IS!BU59</f>
        <v>0.15444315095071789</v>
      </c>
      <c r="BB54" s="45">
        <f>IS!BV59</f>
        <v>0.1414762217316069</v>
      </c>
      <c r="BC54" s="37">
        <f>IS!BW59</f>
        <v>0.14923514195382109</v>
      </c>
      <c r="BD54" s="45">
        <f>IS!BX59</f>
        <v>0.14350627331298746</v>
      </c>
      <c r="BE54" s="45">
        <f>IS!BY59</f>
        <v>0.13925891454831016</v>
      </c>
      <c r="BF54" s="45">
        <f>IS!BZ59</f>
        <v>0.17299604156358239</v>
      </c>
      <c r="BG54" s="45">
        <f>IS!CA59</f>
        <v>0.1574488114850553</v>
      </c>
      <c r="BH54" s="37">
        <f>IS!CB59</f>
        <v>0.15334869431643625</v>
      </c>
      <c r="BI54" s="45">
        <f>IS!CC59</f>
        <v>0.16546546546546548</v>
      </c>
      <c r="BJ54" s="45">
        <f>IS!CD59</f>
        <v>0.16670068721507791</v>
      </c>
      <c r="BK54" s="45">
        <f>IS!CE59</f>
        <v>0.1697853205686104</v>
      </c>
      <c r="BL54" s="45">
        <f>IS!CF59</f>
        <v>2.9650349650349652E-2</v>
      </c>
      <c r="BM54" s="37">
        <f>IS!CG59</f>
        <v>0.13238849881757142</v>
      </c>
      <c r="BN54" s="45">
        <f>IS!CH59</f>
        <v>0.14696413865388935</v>
      </c>
      <c r="BO54" s="45">
        <f>IS!CI59</f>
        <v>0.15866612881538256</v>
      </c>
      <c r="BP54" s="45">
        <f>IS!CJ59</f>
        <v>0.15870140727323395</v>
      </c>
      <c r="BQ54" s="45">
        <f>IS!CK59</f>
        <v>0.11549218909884712</v>
      </c>
      <c r="BR54" s="37">
        <f>IS!CL59</f>
        <v>0.14488854727132974</v>
      </c>
      <c r="BS54" s="45">
        <f>IS!CM59</f>
        <v>0.16576185305826999</v>
      </c>
      <c r="BT54" s="45">
        <f>IS!CN59</f>
        <v>0.15150523560209425</v>
      </c>
      <c r="BU54" s="45">
        <f>IS!CO59</f>
        <v>0.14577396286888428</v>
      </c>
      <c r="BV54" s="45">
        <f>IS!CP59</f>
        <v>0.13018645020050865</v>
      </c>
      <c r="BW54" s="37">
        <f>IS!CQ59</f>
        <v>0.14786473869049938</v>
      </c>
      <c r="BX54" s="37">
        <f>IS!CV59</f>
        <v>0.14132032520990329</v>
      </c>
      <c r="BY54" s="37">
        <f>IS!CW59</f>
        <v>0.1518080861685783</v>
      </c>
    </row>
    <row r="55" spans="1:77">
      <c r="A55" s="30" t="s">
        <v>80</v>
      </c>
      <c r="B55" s="37">
        <f>IS!J63/IS!J21</f>
        <v>0.10375051724786517</v>
      </c>
      <c r="C55" s="37">
        <f>IS!O63/IS!O21</f>
        <v>0.10062013836613255</v>
      </c>
      <c r="D55" s="37">
        <f>IS!T63/IS!T21</f>
        <v>0.11612079965971926</v>
      </c>
      <c r="E55" s="37">
        <f>IS!Y63/IS!Y21</f>
        <v>0.11181285042211768</v>
      </c>
      <c r="F55" s="45">
        <f>IS!Z63/IS!Z21</f>
        <v>9.6345130696275733E-2</v>
      </c>
      <c r="G55" s="45">
        <f>IS!AA63/IS!AA21</f>
        <v>0.11702348784036583</v>
      </c>
      <c r="H55" s="45">
        <f>IS!AB63/IS!AB21</f>
        <v>0.11146803726309026</v>
      </c>
      <c r="I55" s="45">
        <f>IS!AC63/IS!AC21</f>
        <v>9.534458223216101E-2</v>
      </c>
      <c r="J55" s="37">
        <f>IS!AD63/IS!AD21</f>
        <v>0.10968086526906129</v>
      </c>
      <c r="K55" s="45">
        <f>IS!AE63/IS!AE21</f>
        <v>0.10502817051132135</v>
      </c>
      <c r="L55" s="45">
        <f>IS!AF63/IS!AF21</f>
        <v>0.12275824964131994</v>
      </c>
      <c r="M55" s="45">
        <f>IS!AG63/IS!AG21</f>
        <v>0.11453461714809721</v>
      </c>
      <c r="N55" s="45">
        <f>IS!AH63/IS!AH21</f>
        <v>9.5728620904004968E-2</v>
      </c>
      <c r="O55" s="37">
        <f>IS!AI63/IS!AI21</f>
        <v>0.10963136337039205</v>
      </c>
      <c r="P55" s="45">
        <f>IS!AJ63/IS!AJ21</f>
        <v>0.10739519547809703</v>
      </c>
      <c r="Q55" s="45">
        <f>IS!AK63/IS!AK21</f>
        <v>0.12932159165035878</v>
      </c>
      <c r="R55" s="45">
        <f>IS!AL63/IS!AL21</f>
        <v>0.12258488859656334</v>
      </c>
      <c r="S55" s="45">
        <f>IS!AM63/IS!AM21</f>
        <v>9.9710643622429027E-2</v>
      </c>
      <c r="T55" s="37">
        <f>IS!AN63/IS!AN21</f>
        <v>0.11482573334169646</v>
      </c>
      <c r="U55" s="45">
        <f>IS!AO63/IS!AO21</f>
        <v>0.11027854699462453</v>
      </c>
      <c r="V55" s="45">
        <f>IS!AP63/IS!AP21</f>
        <v>0.12241081703107019</v>
      </c>
      <c r="W55" s="45">
        <f>IS!AQ63/IS!AQ21</f>
        <v>0.12327778980018755</v>
      </c>
      <c r="X55" s="45">
        <f>IS!AR63/IS!AR21</f>
        <v>0.11003126274296589</v>
      </c>
      <c r="Y55" s="37">
        <f>IS!AS63/IS!AS21</f>
        <v>0.11658357530268997</v>
      </c>
      <c r="Z55" s="45">
        <f>IS!AT63/IS!AT21</f>
        <v>0.10811004441897119</v>
      </c>
      <c r="AA55" s="45">
        <f>IS!AU63/IS!AU21</f>
        <v>0.12060963371801305</v>
      </c>
      <c r="AB55" s="45">
        <f>IS!AV63/IS!AV21</f>
        <v>0.124096784885648</v>
      </c>
      <c r="AC55" s="45">
        <f>IS!AW63/IS!AW21</f>
        <v>0.11049424509140149</v>
      </c>
      <c r="AD55" s="37">
        <f>IS!AX63/IS!AX21</f>
        <v>0.11607008383955018</v>
      </c>
      <c r="AE55" s="45">
        <f>IS!AY63/IS!AY21</f>
        <v>8.8358472005902119E-2</v>
      </c>
      <c r="AF55" s="45">
        <f>IS!AZ63/IS!AZ21</f>
        <v>0.11160872894333843</v>
      </c>
      <c r="AG55" s="45">
        <f>IS!BA63/IS!BA21</f>
        <v>0.12135663911427921</v>
      </c>
      <c r="AH55" s="45">
        <f>IS!BB63/IS!BB21</f>
        <v>0.11620359110093713</v>
      </c>
      <c r="AI55" s="37">
        <f>IS!BC63/IS!BC21</f>
        <v>0.10987572722937529</v>
      </c>
      <c r="AJ55" s="45">
        <f>IS!BD63/IS!BD21</f>
        <v>0.11229235880398671</v>
      </c>
      <c r="AK55" s="45">
        <f>IS!BE63/IS!BE21</f>
        <v>0.12556151282422837</v>
      </c>
      <c r="AL55" s="45">
        <f>IS!BF63/IS!BF21</f>
        <v>0.12973568281938325</v>
      </c>
      <c r="AM55" s="45">
        <f>IS!BG63/IS!BG21</f>
        <v>0.11342841765339075</v>
      </c>
      <c r="AN55" s="37">
        <f>IS!BH63/IS!BH21</f>
        <v>0.12034753156867799</v>
      </c>
      <c r="AO55" s="45">
        <f>IS!BI63/IS!BI21</f>
        <v>0.12238617533338594</v>
      </c>
      <c r="AP55" s="45">
        <f>IS!BJ63/IS!BJ21</f>
        <v>0.13884857281083696</v>
      </c>
      <c r="AQ55" s="45">
        <f>IS!BK63/IS!BK21</f>
        <v>0.14134176325957148</v>
      </c>
      <c r="AR55" s="45">
        <f>IS!BL63/IS!BL21</f>
        <v>0.12366975029561104</v>
      </c>
      <c r="AS55" s="37">
        <f>IS!BM63/IS!BM21</f>
        <v>0.13182910643182552</v>
      </c>
      <c r="AT55" s="45">
        <f>IS!BN63/IS!BN21</f>
        <v>0.12757731958762886</v>
      </c>
      <c r="AU55" s="45">
        <f>IS!BO63/IS!BO21</f>
        <v>0.14565075686246107</v>
      </c>
      <c r="AV55" s="45">
        <f>IS!BP63/IS!BP21</f>
        <v>0.12132695120329744</v>
      </c>
      <c r="AW55" s="45">
        <f>IS!BQ63/IS!BQ21</f>
        <v>9.0676883780332063E-2</v>
      </c>
      <c r="AX55" s="37">
        <f>IS!BR63/IS!BR21</f>
        <v>0.11975809246551605</v>
      </c>
      <c r="AY55" s="45">
        <f>IS!BS63/IS!BS21</f>
        <v>0.12292520313910688</v>
      </c>
      <c r="AZ55" s="45">
        <f>IS!BT63/IS!BT21</f>
        <v>0.14307134824440834</v>
      </c>
      <c r="BA55" s="45">
        <f>IS!BU63/IS!BU21</f>
        <v>0.13840382874143062</v>
      </c>
      <c r="BB55" s="45">
        <f>IS!BV63/IS!BV21</f>
        <v>0.12602183901187422</v>
      </c>
      <c r="BC55" s="37">
        <f>IS!BW63/IS!BW21</f>
        <v>0.13272442755405103</v>
      </c>
      <c r="BD55" s="45">
        <f>IS!BX63/IS!BX21</f>
        <v>0.12702611054594778</v>
      </c>
      <c r="BE55" s="45">
        <f>IS!BY63/IS!BY21</f>
        <v>0.12500727124658251</v>
      </c>
      <c r="BF55" s="45">
        <f>IS!BZ63/IS!BZ21</f>
        <v>0.15833745670460167</v>
      </c>
      <c r="BG55" s="45">
        <f>IS!CA63/IS!CA21</f>
        <v>0.13562014591668628</v>
      </c>
      <c r="BH55" s="37">
        <f>IS!CB63/IS!CB21</f>
        <v>0.13651305683563747</v>
      </c>
      <c r="BI55" s="45">
        <f>IS!CC63/IS!CC21</f>
        <v>0.14752252252252251</v>
      </c>
      <c r="BJ55" s="45">
        <f>IS!CD63/IS!CD21</f>
        <v>0.15009865959039259</v>
      </c>
      <c r="BK55" s="45">
        <f>IS!CE63/IS!CE21</f>
        <v>0.15361183637946041</v>
      </c>
      <c r="BL55" s="45">
        <f>IS!CF63/IS!CF21</f>
        <v>1.3006993006993007E-2</v>
      </c>
      <c r="BM55" s="37">
        <f>IS!CG63/IS!CG21</f>
        <v>0.11554327130931055</v>
      </c>
      <c r="BN55" s="45">
        <f>IS!CH63/IS!CH21</f>
        <v>0.12892116493224526</v>
      </c>
      <c r="BO55" s="45">
        <f>IS!CI63/IS!CI21</f>
        <v>0.14199273900766438</v>
      </c>
      <c r="BP55" s="45">
        <f>IS!CJ63/IS!CJ21</f>
        <v>0.14114532534485161</v>
      </c>
      <c r="BQ55" s="45">
        <f>IS!CK63/IS!CK21</f>
        <v>8.6840848625417827E-2</v>
      </c>
      <c r="BR55" s="37">
        <f>IS!CL63/IS!CL21</f>
        <v>0.1246069457061002</v>
      </c>
      <c r="BS55" s="45">
        <f>IS!CM63/IS!CM21</f>
        <v>0.14867897213174086</v>
      </c>
      <c r="BT55" s="45">
        <f>IS!CN63/IS!CN21</f>
        <v>0.13507853403141362</v>
      </c>
      <c r="BU55" s="45">
        <f>IS!CO63/IS!CO21</f>
        <v>0.12880095604833355</v>
      </c>
      <c r="BV55" s="45">
        <f>IS!CP63/IS!CP21</f>
        <v>0.1133373370420782</v>
      </c>
      <c r="BW55" s="37">
        <f>IS!CQ63/IS!CQ21</f>
        <v>0.13103846035869252</v>
      </c>
      <c r="BX55" s="37">
        <f>IS!CV63/IS!CV21</f>
        <v>0.12415539986702355</v>
      </c>
      <c r="BY55" s="37">
        <f>IS!CW63/IS!CW21</f>
        <v>0.13477378282777167</v>
      </c>
    </row>
    <row r="56" spans="1:77">
      <c r="A56" s="30" t="s">
        <v>79</v>
      </c>
      <c r="B56" s="37">
        <f>IS!J81/IS!J21</f>
        <v>6.8013392017454766E-2</v>
      </c>
      <c r="C56" s="37">
        <f>IS!O81/IS!O21</f>
        <v>7.8351650715130658E-2</v>
      </c>
      <c r="D56" s="37">
        <f>IS!T81/IS!T21</f>
        <v>8.744931234935488E-2</v>
      </c>
      <c r="E56" s="37">
        <f>IS!Y81/IS!Y21</f>
        <v>7.9021202552039704E-2</v>
      </c>
      <c r="F56" s="45">
        <f>IS!Z81/IS!Z21</f>
        <v>6.4487739995373591E-2</v>
      </c>
      <c r="G56" s="45">
        <f>IS!AA81/IS!AA21</f>
        <v>7.7561837455830382E-2</v>
      </c>
      <c r="H56" s="45">
        <f>IS!AB81/IS!AB21</f>
        <v>7.8732412463861229E-2</v>
      </c>
      <c r="I56" s="45">
        <f>IS!AC81/IS!AC21</f>
        <v>6.6306159788574903E-2</v>
      </c>
      <c r="J56" s="37">
        <f>IS!AD81/IS!AD21</f>
        <v>7.4948938443049812E-2</v>
      </c>
      <c r="K56" s="45">
        <f>IS!AE81/IS!AE21</f>
        <v>7.1363877963218886E-2</v>
      </c>
      <c r="L56" s="45">
        <f>IS!AF81/IS!AF21</f>
        <v>7.8854017216642758E-2</v>
      </c>
      <c r="M56" s="45">
        <f>IS!AG81/IS!AG21</f>
        <v>7.8491517652453005E-2</v>
      </c>
      <c r="N56" s="45">
        <f>IS!AH81/IS!AH21</f>
        <v>7.0047331498090754E-2</v>
      </c>
      <c r="O56" s="37">
        <f>IS!AI81/IS!AI21</f>
        <v>7.4791176126389705E-2</v>
      </c>
      <c r="P56" s="45">
        <f>IS!AJ81/IS!AJ21</f>
        <v>7.2350447479981164E-2</v>
      </c>
      <c r="Q56" s="45">
        <f>IS!AK81/IS!AK21</f>
        <v>8.4178897586431822E-2</v>
      </c>
      <c r="R56" s="45">
        <f>IS!AL81/IS!AL21</f>
        <v>8.3541889336512368E-2</v>
      </c>
      <c r="S56" s="45">
        <f>IS!AM81/IS!AM21</f>
        <v>7.1549229686400248E-2</v>
      </c>
      <c r="T56" s="37">
        <f>IS!AN81/IS!AN21</f>
        <v>7.8015220891091183E-2</v>
      </c>
      <c r="U56" s="45">
        <f>IS!AO81/IS!AO21</f>
        <v>7.2366020524515393E-2</v>
      </c>
      <c r="V56" s="45">
        <f>IS!AP81/IS!AP21</f>
        <v>8.3990218642117379E-2</v>
      </c>
      <c r="W56" s="45">
        <f>IS!AQ81/IS!AQ21</f>
        <v>8.3491307797734976E-2</v>
      </c>
      <c r="X56" s="45">
        <f>IS!AR81/IS!AR21</f>
        <v>7.4715237189071623E-2</v>
      </c>
      <c r="Y56" s="37">
        <f>IS!AS81/IS!AS21</f>
        <v>7.8765317116820971E-2</v>
      </c>
      <c r="Z56" s="45">
        <f>IS!AT81/IS!AT21</f>
        <v>7.3040550222094852E-2</v>
      </c>
      <c r="AA56" s="45">
        <f>IS!AU81/IS!AU21</f>
        <v>8.3602609131961866E-2</v>
      </c>
      <c r="AB56" s="45">
        <f>IS!AV81/IS!AV21</f>
        <v>8.6014584023864762E-2</v>
      </c>
      <c r="AC56" s="45">
        <f>IS!AW81/IS!AW21</f>
        <v>7.3731888964116449E-2</v>
      </c>
      <c r="AD56" s="37">
        <f>IS!AX81/IS!AX21</f>
        <v>7.9304683970078824E-2</v>
      </c>
      <c r="AE56" s="45">
        <f>IS!AY81/IS!AY21</f>
        <v>6.625338142470695E-2</v>
      </c>
      <c r="AF56" s="45">
        <f>IS!AZ81/IS!AZ21</f>
        <v>8.5930321592649309E-2</v>
      </c>
      <c r="AG56" s="45">
        <f>IS!BA81/IS!BA21</f>
        <v>8.9337984378554627E-2</v>
      </c>
      <c r="AH56" s="45">
        <f>IS!BB81/IS!BB21</f>
        <v>8.2115315830889199E-2</v>
      </c>
      <c r="AI56" s="37">
        <f>IS!BC81/IS!BC21</f>
        <v>8.1191511683357184E-2</v>
      </c>
      <c r="AJ56" s="45">
        <f>IS!BD81/IS!BD21</f>
        <v>7.5664451827242518E-2</v>
      </c>
      <c r="AK56" s="45">
        <f>IS!BE81/IS!BE21</f>
        <v>8.8465439791334588E-2</v>
      </c>
      <c r="AL56" s="45">
        <f>IS!BF81/IS!BF21</f>
        <v>9.3979441997063137E-2</v>
      </c>
      <c r="AM56" s="45">
        <f>IS!BG81/IS!BG21</f>
        <v>8.2615715823466093E-2</v>
      </c>
      <c r="AN56" s="37">
        <f>IS!BH81/IS!BH21</f>
        <v>8.5410300776791959E-2</v>
      </c>
      <c r="AO56" s="45">
        <f>IS!BI81/IS!BI21</f>
        <v>7.8197743233646339E-2</v>
      </c>
      <c r="AP56" s="45">
        <f>IS!BJ81/IS!BJ21</f>
        <v>8.8257654295390148E-2</v>
      </c>
      <c r="AQ56" s="45">
        <f>IS!BK81/IS!BK21</f>
        <v>9.1675447839831406E-2</v>
      </c>
      <c r="AR56" s="45">
        <f>IS!BL81/IS!BL21</f>
        <v>8.812686930514016E-2</v>
      </c>
      <c r="AS56" s="37">
        <f>IS!BM81/IS!BM21</f>
        <v>8.6809914983678307E-2</v>
      </c>
      <c r="AT56" s="45">
        <f>IS!BN81/IS!BN21</f>
        <v>8.0621778350515469E-2</v>
      </c>
      <c r="AU56" s="45">
        <f>IS!BO81/IS!BO21</f>
        <v>0.10342579850800318</v>
      </c>
      <c r="AV56" s="45">
        <f>IS!BP81/IS!BP21</f>
        <v>8.2834729424278691E-2</v>
      </c>
      <c r="AW56" s="45">
        <f>IS!BQ81/IS!BQ21</f>
        <v>7.1458979504956513E-2</v>
      </c>
      <c r="AX56" s="37">
        <f>IS!BR81/IS!BR21</f>
        <v>8.4043806751230327E-2</v>
      </c>
      <c r="AY56" s="45">
        <f>IS!BS81/IS!BS21</f>
        <v>8.146399055489964E-2</v>
      </c>
      <c r="AZ56" s="45">
        <f>IS!BT81/IS!BT21</f>
        <v>9.3839810071223287E-2</v>
      </c>
      <c r="BA56" s="45">
        <f>IS!BU81/IS!BU21</f>
        <v>9.6041909196740397E-2</v>
      </c>
      <c r="BB56" s="45">
        <f>IS!BV81/IS!BV21</f>
        <v>9.1174891103287789E-2</v>
      </c>
      <c r="BC56" s="37">
        <f>IS!BW81/IS!BW21</f>
        <v>9.0824897007632618E-2</v>
      </c>
      <c r="BD56" s="45">
        <f>IS!BX81/IS!BX21</f>
        <v>7.6636147846727704E-2</v>
      </c>
      <c r="BE56" s="45">
        <f>IS!BY81/IS!BY21</f>
        <v>9.7667384096329468E-2</v>
      </c>
      <c r="BF56" s="45">
        <f>IS!BZ81/IS!BZ21</f>
        <v>0.12679366650173182</v>
      </c>
      <c r="BG56" s="45">
        <f>IS!CA81/IS!CA21</f>
        <v>0.10061190868439633</v>
      </c>
      <c r="BH56" s="37">
        <f>IS!CB81/IS!CB21</f>
        <v>0.1009062980030722</v>
      </c>
      <c r="BI56" s="45">
        <f>IS!CC81/IS!CC21</f>
        <v>9.7878378378378372E-2</v>
      </c>
      <c r="BJ56" s="45">
        <f>IS!CD81/IS!CD21</f>
        <v>0.10282778798394231</v>
      </c>
      <c r="BK56" s="45">
        <f>IS!CE81/IS!CE21</f>
        <v>0.10723787678683794</v>
      </c>
      <c r="BL56" s="45">
        <f>IS!CF81/IS!CF21</f>
        <v>9.0769230769230769E-2</v>
      </c>
      <c r="BM56" s="37">
        <f>IS!CG81/IS!CG21</f>
        <v>9.9779347611840763E-2</v>
      </c>
      <c r="BN56" s="45">
        <f>IS!CH81/IS!CH21</f>
        <v>9.1453919293254471E-2</v>
      </c>
      <c r="BO56" s="45">
        <f>IS!CI81/IS!CI21</f>
        <v>0.10162531934919995</v>
      </c>
      <c r="BP56" s="45">
        <f>IS!CJ81/IS!CJ21</f>
        <v>0.10168733454089451</v>
      </c>
      <c r="BQ56" s="45">
        <f>IS!CK81/IS!CK21</f>
        <v>8.64315437615117E-2</v>
      </c>
      <c r="BR56" s="37">
        <f>IS!CL81/IS!CL21</f>
        <v>9.5376720704353296E-2</v>
      </c>
      <c r="BS56" s="45">
        <f>IS!CM81/IS!CM21</f>
        <v>8.5812522620340212E-2</v>
      </c>
      <c r="BT56" s="45">
        <f>IS!CN81/IS!CN21</f>
        <v>9.6786649214659695E-2</v>
      </c>
      <c r="BU56" s="45">
        <f>IS!CO81/IS!CO21</f>
        <v>9.1476563537378833E-2</v>
      </c>
      <c r="BV56" s="45">
        <f>IS!CP81/IS!CP21</f>
        <v>8.1792413197849009E-2</v>
      </c>
      <c r="BW56" s="37">
        <f>IS!CQ81/IS!CQ21</f>
        <v>8.9026910479187218E-2</v>
      </c>
      <c r="BX56" s="37">
        <f>IS!CV81/IS!CV21</f>
        <v>8.8029846510062973E-2</v>
      </c>
      <c r="BY56" s="37">
        <f>IS!CW81/IS!CW21</f>
        <v>9.5698350891943437E-2</v>
      </c>
    </row>
    <row r="57" spans="1:77">
      <c r="A57" s="30"/>
      <c r="B57" s="28"/>
      <c r="C57" s="28"/>
      <c r="D57" s="28"/>
      <c r="E57" s="28"/>
      <c r="F57" s="27"/>
      <c r="G57" s="27"/>
      <c r="H57" s="27"/>
      <c r="I57" s="27"/>
      <c r="J57" s="28"/>
      <c r="K57" s="27"/>
      <c r="L57" s="27"/>
      <c r="M57" s="27"/>
      <c r="N57" s="27"/>
      <c r="O57" s="28"/>
      <c r="P57" s="27"/>
      <c r="Q57" s="27"/>
      <c r="R57" s="27"/>
      <c r="S57" s="27"/>
      <c r="T57" s="28"/>
      <c r="U57" s="27"/>
      <c r="V57" s="27"/>
      <c r="W57" s="27"/>
      <c r="X57" s="27"/>
      <c r="Y57" s="28"/>
      <c r="Z57" s="27"/>
      <c r="AA57" s="27"/>
      <c r="AB57" s="27"/>
      <c r="AC57" s="27"/>
      <c r="AD57" s="28"/>
      <c r="AE57" s="27"/>
      <c r="AF57" s="27"/>
      <c r="AG57" s="27"/>
      <c r="AH57" s="27"/>
      <c r="AI57" s="28"/>
      <c r="AJ57" s="27"/>
      <c r="AK57" s="27"/>
      <c r="AL57" s="27"/>
      <c r="AM57" s="27"/>
      <c r="AN57" s="28"/>
      <c r="AO57" s="27"/>
      <c r="AP57" s="27"/>
      <c r="AQ57" s="27"/>
      <c r="AR57" s="27"/>
      <c r="AS57" s="28"/>
      <c r="AT57" s="27"/>
      <c r="AU57" s="27"/>
      <c r="AV57" s="27"/>
      <c r="AW57" s="27"/>
      <c r="AX57" s="28"/>
      <c r="AY57" s="27"/>
      <c r="AZ57" s="27"/>
      <c r="BA57" s="27"/>
      <c r="BB57" s="27"/>
      <c r="BC57" s="28"/>
      <c r="BD57" s="27"/>
      <c r="BE57" s="27"/>
      <c r="BF57" s="27"/>
      <c r="BG57" s="27"/>
      <c r="BH57" s="28"/>
      <c r="BI57" s="27"/>
      <c r="BJ57" s="27"/>
      <c r="BK57" s="27"/>
      <c r="BL57" s="27"/>
      <c r="BM57" s="28"/>
      <c r="BN57" s="27"/>
      <c r="BO57" s="27"/>
      <c r="BP57" s="27"/>
      <c r="BQ57" s="27"/>
      <c r="BR57" s="28"/>
      <c r="BS57" s="27"/>
      <c r="BT57" s="27"/>
      <c r="BU57" s="27"/>
      <c r="BV57" s="27"/>
      <c r="BW57" s="28"/>
      <c r="BX57" s="28"/>
      <c r="BY57" s="28"/>
    </row>
    <row r="58" spans="1:77">
      <c r="A58" s="30" t="s">
        <v>78</v>
      </c>
      <c r="B58" s="37">
        <f>IS!J32</f>
        <v>0.11928676221645412</v>
      </c>
      <c r="C58" s="37">
        <f>IS!O32</f>
        <v>0.11911675090511524</v>
      </c>
      <c r="D58" s="37">
        <f>IS!T32</f>
        <v>0.11353324826315044</v>
      </c>
      <c r="E58" s="37">
        <f>IS!Y32</f>
        <v>0.11774183153960173</v>
      </c>
      <c r="F58" s="45">
        <f>IS!Z32</f>
        <v>0.131852879944483</v>
      </c>
      <c r="G58" s="45">
        <f>IS!AA32</f>
        <v>0.11577634587403866</v>
      </c>
      <c r="H58" s="45">
        <f>IS!AB32</f>
        <v>0.1186422529178713</v>
      </c>
      <c r="I58" s="45">
        <f>IS!AC32</f>
        <v>0.13264891238056514</v>
      </c>
      <c r="J58" s="37">
        <f>IS!AD32</f>
        <v>0.12012284684203499</v>
      </c>
      <c r="K58" s="45">
        <f>IS!AE32</f>
        <v>0.12894652918039759</v>
      </c>
      <c r="L58" s="45">
        <f>IS!AF32</f>
        <v>0.12150286944045911</v>
      </c>
      <c r="M58" s="45">
        <f>IS!AG32</f>
        <v>0.11875286565795506</v>
      </c>
      <c r="N58" s="45">
        <f>IS!AH32</f>
        <v>0.12236923896634402</v>
      </c>
      <c r="O58" s="37">
        <f>IS!AI32</f>
        <v>0.12266822703335284</v>
      </c>
      <c r="P58" s="45">
        <f>IS!AJ32</f>
        <v>0.12378709373528027</v>
      </c>
      <c r="Q58" s="45">
        <f>IS!AK32</f>
        <v>0.11236138290932811</v>
      </c>
      <c r="R58" s="45">
        <f>IS!AL32</f>
        <v>0.11000575515908904</v>
      </c>
      <c r="S58" s="45">
        <f>IS!AM32</f>
        <v>0.11198873856260265</v>
      </c>
      <c r="T58" s="37">
        <f>IS!AN32</f>
        <v>0.11419849881870832</v>
      </c>
      <c r="U58" s="45">
        <f>IS!AO32</f>
        <v>0.11369929956018895</v>
      </c>
      <c r="V58" s="45">
        <f>IS!AP32</f>
        <v>0.10745109321058688</v>
      </c>
      <c r="W58" s="45">
        <f>IS!AQ32</f>
        <v>0.10877876361537907</v>
      </c>
      <c r="X58" s="45">
        <f>IS!AR32</f>
        <v>0.11628381133614245</v>
      </c>
      <c r="Y58" s="37">
        <f>IS!AS32</f>
        <v>0.11156156978761482</v>
      </c>
      <c r="Z58" s="45">
        <f>IS!AT32</f>
        <v>0.11713712566270239</v>
      </c>
      <c r="AA58" s="45">
        <f>IS!AU32</f>
        <v>0.11132714500752634</v>
      </c>
      <c r="AB58" s="45">
        <f>IS!AV32</f>
        <v>0.11037454424925422</v>
      </c>
      <c r="AC58" s="45">
        <f>IS!AW32</f>
        <v>0.11164522681110359</v>
      </c>
      <c r="AD58" s="37">
        <f>IS!AX32</f>
        <v>0.11252238231504259</v>
      </c>
      <c r="AE58" s="45">
        <f>IS!AY32</f>
        <v>0.12156734158537585</v>
      </c>
      <c r="AF58" s="45">
        <f>IS!AZ32</f>
        <v>0.12052067381316998</v>
      </c>
      <c r="AG58" s="45">
        <f>IS!BA32</f>
        <v>0.10798513687722758</v>
      </c>
      <c r="AH58" s="45">
        <f>IS!BB32</f>
        <v>0.11123828600042922</v>
      </c>
      <c r="AI58" s="37">
        <f>IS!BC32</f>
        <v>0.11513590844062947</v>
      </c>
      <c r="AJ58" s="45">
        <f>IS!BD32</f>
        <v>0.11827242524916944</v>
      </c>
      <c r="AK58" s="45">
        <f>IS!BE32</f>
        <v>0.10802782205477467</v>
      </c>
      <c r="AL58" s="45">
        <f>IS!BF32</f>
        <v>0.10851688693098385</v>
      </c>
      <c r="AM58" s="45">
        <f>IS!BG32</f>
        <v>0.10972820236813778</v>
      </c>
      <c r="AN58" s="37">
        <f>IS!BH32</f>
        <v>0.11088613187055922</v>
      </c>
      <c r="AO58" s="45">
        <f>IS!BI32</f>
        <v>0.11441647597254005</v>
      </c>
      <c r="AP58" s="45">
        <f>IS!BJ32</f>
        <v>0.10892252401686364</v>
      </c>
      <c r="AQ58" s="45">
        <f>IS!BK32</f>
        <v>0.10621707060063225</v>
      </c>
      <c r="AR58" s="45">
        <f>IS!BL32</f>
        <v>0.11288864158030187</v>
      </c>
      <c r="AS58" s="37">
        <f>IS!BM32</f>
        <v>0.11050328227571116</v>
      </c>
      <c r="AT58" s="45">
        <f>IS!BN32</f>
        <v>0.12314755154639176</v>
      </c>
      <c r="AU58" s="45">
        <f>IS!BO32</f>
        <v>0.10929238791917144</v>
      </c>
      <c r="AV58" s="45">
        <f>IS!BP32</f>
        <v>0.10763196383459646</v>
      </c>
      <c r="AW58" s="45">
        <f>IS!BQ32</f>
        <v>0.10916499422246549</v>
      </c>
      <c r="AX58" s="37">
        <f>IS!BR32</f>
        <v>0.1118042559090594</v>
      </c>
      <c r="AY58" s="45">
        <f>IS!BS32</f>
        <v>0.112993957913744</v>
      </c>
      <c r="AZ58" s="45">
        <f>IS!BT32</f>
        <v>0.10852180432337873</v>
      </c>
      <c r="BA58" s="45">
        <f>IS!BU32</f>
        <v>0.10561376277325055</v>
      </c>
      <c r="BB58" s="45">
        <f>IS!BV32</f>
        <v>0.10269109135389939</v>
      </c>
      <c r="BC58" s="37">
        <f>IS!BW32</f>
        <v>0.10727174017181362</v>
      </c>
      <c r="BD58" s="45">
        <f>IS!BX32</f>
        <v>0.10824008138351984</v>
      </c>
      <c r="BE58" s="45">
        <f>IS!BY32</f>
        <v>9.4409865627363157E-2</v>
      </c>
      <c r="BF58" s="45">
        <f>IS!BZ32</f>
        <v>9.7723899059871347E-2</v>
      </c>
      <c r="BG58" s="45">
        <f>IS!CA32</f>
        <v>0.1000823723228995</v>
      </c>
      <c r="BH58" s="37">
        <f>IS!CB32</f>
        <v>9.9846390168970817E-2</v>
      </c>
      <c r="BI58" s="45">
        <f>IS!CC32</f>
        <v>0.11081081081081082</v>
      </c>
      <c r="BJ58" s="45">
        <f>IS!CD32</f>
        <v>9.7026604068857589E-2</v>
      </c>
      <c r="BK58" s="45">
        <f>IS!CE32</f>
        <v>9.8563968668407317E-2</v>
      </c>
      <c r="BL58" s="45">
        <f>IS!CF32</f>
        <v>0.11363636363636363</v>
      </c>
      <c r="BM58" s="37">
        <f>IS!CG32</f>
        <v>0.10503284863731303</v>
      </c>
      <c r="BN58" s="45">
        <f>IS!CH32</f>
        <v>0.10204387212697462</v>
      </c>
      <c r="BO58" s="45">
        <f>IS!CI32</f>
        <v>9.7552776657254273E-2</v>
      </c>
      <c r="BP58" s="45">
        <f>IS!CJ32</f>
        <v>9.6837118573220013E-2</v>
      </c>
      <c r="BQ58" s="45">
        <f>IS!CK32</f>
        <v>0.12661163790163041</v>
      </c>
      <c r="BR58" s="37">
        <f>IS!CL32</f>
        <v>0.10586262315701209</v>
      </c>
      <c r="BS58" s="45">
        <f>IS!CM32</f>
        <v>0.10727470141150923</v>
      </c>
      <c r="BT58" s="45">
        <f>IS!CN32</f>
        <v>0.1006544502617801</v>
      </c>
      <c r="BU58" s="45">
        <f>IS!CO32</f>
        <v>0.10118178196786615</v>
      </c>
      <c r="BV58" s="45">
        <f>IS!CP32</f>
        <v>0.11363636363636363</v>
      </c>
      <c r="BW58" s="37">
        <f>IS!CQ32</f>
        <v>0.10567375748236181</v>
      </c>
      <c r="BX58" s="37">
        <f>IS!CV32</f>
        <v>0.10677317207091541</v>
      </c>
      <c r="BY58" s="37">
        <f>IS!CW32</f>
        <v>0.105</v>
      </c>
    </row>
    <row r="59" spans="1:77">
      <c r="A59" s="30" t="s">
        <v>77</v>
      </c>
      <c r="B59" s="37">
        <f>IS!J35</f>
        <v>4.8978670578941431E-2</v>
      </c>
      <c r="C59" s="37">
        <f>IS!O35</f>
        <v>4.4951070007527689E-2</v>
      </c>
      <c r="D59" s="37">
        <f>IS!T35</f>
        <v>4.2216078264568267E-2</v>
      </c>
      <c r="E59" s="37">
        <f>IS!Y35</f>
        <v>3.3092736998131082E-2</v>
      </c>
      <c r="F59" s="45">
        <f>IS!Z35</f>
        <v>3.5970390932222991E-2</v>
      </c>
      <c r="G59" s="45">
        <f>IS!AA35</f>
        <v>3.2737476616088133E-2</v>
      </c>
      <c r="H59" s="45">
        <f>IS!AB35</f>
        <v>3.201627583253025E-2</v>
      </c>
      <c r="I59" s="45">
        <f>IS!AC35</f>
        <v>3.3645049806871316E-2</v>
      </c>
      <c r="J59" s="37">
        <f>IS!AD35</f>
        <v>3.354252904259581E-2</v>
      </c>
      <c r="K59" s="45">
        <f>IS!AE35</f>
        <v>3.0934410545338579E-2</v>
      </c>
      <c r="L59" s="45">
        <f>IS!AF35</f>
        <v>2.851506456241033E-2</v>
      </c>
      <c r="M59" s="45">
        <f>IS!AG35</f>
        <v>3.0719853278312701E-2</v>
      </c>
      <c r="N59" s="45">
        <f>IS!AH35</f>
        <v>3.7563271467898056E-2</v>
      </c>
      <c r="O59" s="37">
        <f>IS!AI35</f>
        <v>3.1995318899941484E-2</v>
      </c>
      <c r="P59" s="45">
        <f>IS!AJ35</f>
        <v>3.4762129062647196E-2</v>
      </c>
      <c r="Q59" s="45">
        <f>IS!AK35</f>
        <v>3.0169602087410305E-2</v>
      </c>
      <c r="R59" s="45">
        <f>IS!AL35</f>
        <v>3.1571158431308068E-2</v>
      </c>
      <c r="S59" s="45">
        <f>IS!AM35</f>
        <v>3.1750997106436224E-2</v>
      </c>
      <c r="T59" s="37">
        <f>IS!AN35</f>
        <v>3.1968052854962473E-2</v>
      </c>
      <c r="U59" s="45">
        <f>IS!AO35</f>
        <v>3.1112559048705E-2</v>
      </c>
      <c r="V59" s="45">
        <f>IS!AP35</f>
        <v>2.9919447640966629E-2</v>
      </c>
      <c r="W59" s="45">
        <f>IS!AQ35</f>
        <v>2.8781648993724301E-2</v>
      </c>
      <c r="X59" s="45">
        <f>IS!AR35</f>
        <v>3.2689955144760093E-2</v>
      </c>
      <c r="Y59" s="37">
        <f>IS!AS35</f>
        <v>3.0643364561076719E-2</v>
      </c>
      <c r="Z59" s="45">
        <f>IS!AT35</f>
        <v>2.944547929502794E-2</v>
      </c>
      <c r="AA59" s="45">
        <f>IS!AU35</f>
        <v>2.7220270948319115E-2</v>
      </c>
      <c r="AB59" s="45">
        <f>IS!AV35</f>
        <v>2.8902883659264168E-2</v>
      </c>
      <c r="AC59" s="45">
        <f>IS!AW35</f>
        <v>3.3175355450236969E-2</v>
      </c>
      <c r="AD59" s="37">
        <f>IS!AX35</f>
        <v>2.9636695282561038E-2</v>
      </c>
      <c r="AE59" s="45">
        <f>IS!AY35</f>
        <v>3.3527338306418561E-2</v>
      </c>
      <c r="AF59" s="45">
        <f>IS!AZ35</f>
        <v>2.9402756508422664E-2</v>
      </c>
      <c r="AG59" s="45">
        <f>IS!BA35</f>
        <v>2.608629711079093E-2</v>
      </c>
      <c r="AH59" s="45">
        <f>IS!BB35</f>
        <v>3.0116603476643536E-2</v>
      </c>
      <c r="AI59" s="37">
        <f>IS!BC35</f>
        <v>2.9718645684310919E-2</v>
      </c>
      <c r="AJ59" s="45">
        <f>IS!BD35</f>
        <v>3.2973421926910301E-2</v>
      </c>
      <c r="AK59" s="45">
        <f>IS!BE35</f>
        <v>3.3256049847848135E-2</v>
      </c>
      <c r="AL59" s="45">
        <f>IS!BF35</f>
        <v>3.1791483113069015E-2</v>
      </c>
      <c r="AM59" s="45">
        <f>IS!BG35</f>
        <v>3.0745425188374597E-2</v>
      </c>
      <c r="AN59" s="37">
        <f>IS!BH35</f>
        <v>3.2139307145749731E-2</v>
      </c>
      <c r="AO59" s="45">
        <f>IS!BI35</f>
        <v>3.6928903969068096E-2</v>
      </c>
      <c r="AP59" s="45">
        <f>IS!BJ35</f>
        <v>3.4141958670260555E-2</v>
      </c>
      <c r="AQ59" s="45">
        <f>IS!BK35</f>
        <v>3.2665964172813484E-2</v>
      </c>
      <c r="AR59" s="45">
        <f>IS!BL35</f>
        <v>3.6447103011754883E-2</v>
      </c>
      <c r="AS59" s="37">
        <f>IS!BM35</f>
        <v>3.4993004986189333E-2</v>
      </c>
      <c r="AT59" s="45">
        <f>IS!BN35</f>
        <v>4.3814432989690719E-2</v>
      </c>
      <c r="AU59" s="45">
        <f>IS!BO35</f>
        <v>3.802419062794235E-2</v>
      </c>
      <c r="AV59" s="45">
        <f>IS!BP35</f>
        <v>3.9223507512298895E-2</v>
      </c>
      <c r="AW59" s="45">
        <f>IS!BQ35</f>
        <v>4.3301100772365139E-2</v>
      </c>
      <c r="AX59" s="37">
        <f>IS!BR35</f>
        <v>4.1086157898384976E-2</v>
      </c>
      <c r="AY59" s="45">
        <f>IS!BS35</f>
        <v>4.2364053059240223E-2</v>
      </c>
      <c r="AZ59" s="45">
        <f>IS!BT35</f>
        <v>3.9422716481319509E-2</v>
      </c>
      <c r="BA59" s="45">
        <f>IS!BU35</f>
        <v>4.0745052386495922E-2</v>
      </c>
      <c r="BB59" s="45">
        <f>IS!BV35</f>
        <v>3.9262485828510052E-2</v>
      </c>
      <c r="BC59" s="37">
        <f>IS!BW35</f>
        <v>4.0382588701178425E-2</v>
      </c>
      <c r="BD59" s="45">
        <f>IS!BX35</f>
        <v>4.2319430315361138E-2</v>
      </c>
      <c r="BE59" s="45">
        <f>IS!BY35</f>
        <v>3.8741201791635156E-2</v>
      </c>
      <c r="BF59" s="45">
        <f>IS!BZ35</f>
        <v>4.1872835230084116E-2</v>
      </c>
      <c r="BG59" s="45">
        <f>IS!CA35</f>
        <v>3.9303365497764177E-2</v>
      </c>
      <c r="BH59" s="37">
        <f>IS!CB35</f>
        <v>4.0476190476190478E-2</v>
      </c>
      <c r="BI59" s="45">
        <f>IS!CC35</f>
        <v>4.234234234234234E-2</v>
      </c>
      <c r="BJ59" s="45">
        <f>IS!CD35</f>
        <v>3.7966932026944275E-2</v>
      </c>
      <c r="BK59" s="45">
        <f>IS!CE35</f>
        <v>3.959965187119234E-2</v>
      </c>
      <c r="BL59" s="45">
        <f>IS!CF35</f>
        <v>4.2727272727272725E-2</v>
      </c>
      <c r="BM59" s="37">
        <f>IS!CG35</f>
        <v>4.066766259674421E-2</v>
      </c>
      <c r="BN59" s="45">
        <f>IS!CH35</f>
        <v>4.0503106985101442E-2</v>
      </c>
      <c r="BO59" s="45">
        <f>IS!CI35</f>
        <v>3.953206938281565E-2</v>
      </c>
      <c r="BP59" s="45">
        <f>IS!CJ35</f>
        <v>4.0546189215549672E-2</v>
      </c>
      <c r="BQ59" s="45">
        <f>IS!CK35</f>
        <v>4.2704140800873182E-2</v>
      </c>
      <c r="BR59" s="37">
        <f>IS!CL35</f>
        <v>4.0825239326392287E-2</v>
      </c>
      <c r="BS59" s="45">
        <f>IS!CM35</f>
        <v>4.17661961635903E-2</v>
      </c>
      <c r="BT59" s="45">
        <f>IS!CN35</f>
        <v>3.9856020942408379E-2</v>
      </c>
      <c r="BU59" s="45">
        <f>IS!CO35</f>
        <v>3.8640286814500067E-2</v>
      </c>
      <c r="BV59" s="45">
        <f>IS!CP35</f>
        <v>3.8640286814500067E-2</v>
      </c>
      <c r="BW59" s="37">
        <f>IS!CQ35</f>
        <v>3.9678140143996121E-2</v>
      </c>
      <c r="BX59" s="37">
        <f>IS!CV35</f>
        <v>3.7826807184986287E-2</v>
      </c>
      <c r="BY59" s="37">
        <f>IS!CW35</f>
        <v>3.3826807184986291E-2</v>
      </c>
    </row>
    <row r="60" spans="1:77">
      <c r="A60" s="30" t="s">
        <v>76</v>
      </c>
      <c r="B60" s="37">
        <f>IS!J49/IS!J21</f>
        <v>3.2313884813602679E-2</v>
      </c>
      <c r="C60" s="37">
        <f>IS!O49/IS!O21</f>
        <v>3.2440764239882423E-2</v>
      </c>
      <c r="D60" s="37">
        <f>IS!T49/IS!T21</f>
        <v>2.5769176237062243E-2</v>
      </c>
      <c r="E60" s="37">
        <f>IS!Y49/IS!Y21</f>
        <v>2.5745956048205194E-2</v>
      </c>
      <c r="F60" s="45">
        <f>IS!Z49/IS!Z21</f>
        <v>3.0303030303030304E-2</v>
      </c>
      <c r="G60" s="45">
        <f>IS!AA49/IS!AA21</f>
        <v>2.6189981292870507E-2</v>
      </c>
      <c r="H60" s="45">
        <f>IS!AB49/IS!AB21</f>
        <v>2.4627904486561731E-2</v>
      </c>
      <c r="I60" s="45">
        <f>IS!AC49/IS!AC21</f>
        <v>2.3785322219963406E-2</v>
      </c>
      <c r="J60" s="37">
        <f>IS!AD49/IS!AD21</f>
        <v>2.6118306850046735E-2</v>
      </c>
      <c r="K60" s="45">
        <f>IS!AE49/IS!AE21</f>
        <v>2.4024662485383225E-2</v>
      </c>
      <c r="L60" s="45">
        <f>IS!AF49/IS!AF21</f>
        <v>2.1251793400286944E-2</v>
      </c>
      <c r="M60" s="45">
        <f>IS!AG49/IS!AG21</f>
        <v>2.4300779458963778E-2</v>
      </c>
      <c r="N60" s="45">
        <f>IS!AH49/IS!AH21</f>
        <v>2.2733327413195985E-2</v>
      </c>
      <c r="O60" s="37">
        <f>IS!AI49/IS!AI21</f>
        <v>2.3031012287887655E-2</v>
      </c>
      <c r="P60" s="45">
        <f>IS!AJ49/IS!AJ21</f>
        <v>2.4870466321243522E-2</v>
      </c>
      <c r="Q60" s="45">
        <f>IS!AK49/IS!AK21</f>
        <v>2.0874103065883887E-2</v>
      </c>
      <c r="R60" s="45">
        <f>IS!AL49/IS!AL21</f>
        <v>2.0718572720545919E-2</v>
      </c>
      <c r="S60" s="45">
        <f>IS!AM49/IS!AM21</f>
        <v>2.0411355282709001E-2</v>
      </c>
      <c r="T60" s="37">
        <f>IS!AN49/IS!AN21</f>
        <v>2.1597775408225134E-2</v>
      </c>
      <c r="U60" s="45">
        <f>IS!AO49/IS!AO21</f>
        <v>2.2642124124450238E-2</v>
      </c>
      <c r="V60" s="45">
        <f>IS!AP49/IS!AP21</f>
        <v>1.9922324510932107E-2</v>
      </c>
      <c r="W60" s="45">
        <f>IS!AQ49/IS!AQ21</f>
        <v>2.2217413258313497E-2</v>
      </c>
      <c r="X60" s="45">
        <f>IS!AR49/IS!AR21</f>
        <v>2.1068370259616692E-2</v>
      </c>
      <c r="Y60" s="37">
        <f>IS!AS49/IS!AS21</f>
        <v>2.1421136251575084E-2</v>
      </c>
      <c r="Z60" s="45">
        <f>IS!AT49/IS!AT21</f>
        <v>2.2854277117065482E-2</v>
      </c>
      <c r="AA60" s="45">
        <f>IS!AU49/IS!AU21</f>
        <v>2.0446562970396386E-2</v>
      </c>
      <c r="AB60" s="45">
        <f>IS!AV49/IS!AV21</f>
        <v>2.1610871726881007E-2</v>
      </c>
      <c r="AC60" s="45">
        <f>IS!AW49/IS!AW21</f>
        <v>2.3696682464454975E-2</v>
      </c>
      <c r="AD60" s="37">
        <f>IS!AX49/IS!AX21</f>
        <v>2.2106196763559082E-2</v>
      </c>
      <c r="AE60" s="45">
        <f>IS!AY49/IS!AY21</f>
        <v>2.5084023280596772E-2</v>
      </c>
      <c r="AF60" s="45">
        <f>IS!AZ49/IS!AZ21</f>
        <v>2.320061255742726E-2</v>
      </c>
      <c r="AG60" s="45">
        <f>IS!BA49/IS!BA21</f>
        <v>2.3962993857587017E-2</v>
      </c>
      <c r="AH60" s="45">
        <f>IS!BB49/IS!BB21</f>
        <v>2.3821446455397383E-2</v>
      </c>
      <c r="AI60" s="37">
        <f>IS!BC49/IS!BC21</f>
        <v>2.3996185026227943E-2</v>
      </c>
      <c r="AJ60" s="45">
        <f>IS!BD49/IS!BD21</f>
        <v>2.7159468438538205E-2</v>
      </c>
      <c r="AK60" s="45">
        <f>IS!BE49/IS!BE21</f>
        <v>2.4561657730763659E-2</v>
      </c>
      <c r="AL60" s="45">
        <f>IS!BF49/IS!BF21</f>
        <v>2.5110132158590308E-2</v>
      </c>
      <c r="AM60" s="45">
        <f>IS!BG49/IS!BG21</f>
        <v>2.3412271259418731E-2</v>
      </c>
      <c r="AN60" s="37">
        <f>IS!BH49/IS!BH21</f>
        <v>2.49604241063211E-2</v>
      </c>
      <c r="AO60" s="45">
        <f>IS!BI49/IS!BI21</f>
        <v>2.4934900970567348E-2</v>
      </c>
      <c r="AP60" s="45">
        <f>IS!BJ49/IS!BJ21</f>
        <v>2.2254475084663765E-2</v>
      </c>
      <c r="AQ60" s="45">
        <f>IS!BK49/IS!BK21</f>
        <v>2.2760800842992625E-2</v>
      </c>
      <c r="AR60" s="45">
        <f>IS!BL49/IS!BL21</f>
        <v>2.093621756972943E-2</v>
      </c>
      <c r="AS60" s="37">
        <f>IS!BM49/IS!BM21</f>
        <v>2.2653083186856549E-2</v>
      </c>
      <c r="AT60" s="45">
        <f>IS!BN49/IS!BN21</f>
        <v>2.5773195876288658E-2</v>
      </c>
      <c r="AU60" s="45">
        <f>IS!BO49/IS!BO21</f>
        <v>2.2090244079090316E-2</v>
      </c>
      <c r="AV60" s="45">
        <f>IS!BP49/IS!BP21</f>
        <v>2.8054779949474803E-2</v>
      </c>
      <c r="AW60" s="45">
        <f>IS!BQ49/IS!BQ21</f>
        <v>2.9009304871373837E-2</v>
      </c>
      <c r="AX60" s="37">
        <f>IS!BR49/IS!BR21</f>
        <v>2.6408816801829903E-2</v>
      </c>
      <c r="AY60" s="45">
        <f>IS!BS49/IS!BS21</f>
        <v>3.0835474685742065E-2</v>
      </c>
      <c r="AZ60" s="45">
        <f>IS!BT49/IS!BT21</f>
        <v>2.7427214794452079E-2</v>
      </c>
      <c r="BA60" s="45">
        <f>IS!BU49/IS!BU21</f>
        <v>2.9232958220152632E-2</v>
      </c>
      <c r="BB60" s="45">
        <f>IS!BV49/IS!BV21</f>
        <v>2.8999343636255146E-2</v>
      </c>
      <c r="BC60" s="37">
        <f>IS!BW49/IS!BW21</f>
        <v>2.9077380001916137E-2</v>
      </c>
      <c r="BD60" s="45">
        <f>IS!BX49/IS!BX21</f>
        <v>3.1671753136656496E-2</v>
      </c>
      <c r="BE60" s="45">
        <f>IS!BY49/IS!BY21</f>
        <v>2.7223547204932814E-2</v>
      </c>
      <c r="BF60" s="45">
        <f>IS!BZ49/IS!BZ21</f>
        <v>2.9873824839188521E-2</v>
      </c>
      <c r="BG60" s="45">
        <f>IS!CA49/IS!CA21</f>
        <v>2.8771475641327371E-2</v>
      </c>
      <c r="BH60" s="37">
        <f>IS!CB49/IS!CB21</f>
        <v>2.9293394777265745E-2</v>
      </c>
      <c r="BI60" s="45">
        <f>IS!CC49/IS!CC21</f>
        <v>3.4317394827386771E-2</v>
      </c>
      <c r="BJ60" s="45">
        <f>IS!CD49/IS!CD21</f>
        <v>3.1155494379751528E-2</v>
      </c>
      <c r="BK60" s="45">
        <f>IS!CE49/IS!CE21</f>
        <v>3.5248041775456922E-2</v>
      </c>
      <c r="BL60" s="45">
        <f>IS!CF49/IS!CF21</f>
        <v>3.2307692307692308E-2</v>
      </c>
      <c r="BM60" s="37">
        <f>IS!CG49/IS!CG21</f>
        <v>3.3244341999883485E-2</v>
      </c>
      <c r="BN60" s="45">
        <f>IS!CH49/IS!CH21</f>
        <v>3.4888073669237102E-2</v>
      </c>
      <c r="BO60" s="45">
        <f>IS!CI49/IS!CI21</f>
        <v>3.3212316794406345E-2</v>
      </c>
      <c r="BP60" s="45">
        <f>IS!CJ49/IS!CJ21</f>
        <v>3.4554827922530305E-2</v>
      </c>
      <c r="BQ60" s="45">
        <f>IS!CK49/IS!CK21</f>
        <v>3.4518043522750529E-2</v>
      </c>
      <c r="BR60" s="37">
        <f>IS!CL49/IS!CL21</f>
        <v>3.4274334428062332E-2</v>
      </c>
      <c r="BS60" s="45">
        <f>IS!CM49/IS!CM21</f>
        <v>3.7061165399927612E-2</v>
      </c>
      <c r="BT60" s="45">
        <f>IS!CN49/IS!CN21</f>
        <v>3.4489528795811519E-2</v>
      </c>
      <c r="BU60" s="45">
        <f>IS!CO49/IS!CO21</f>
        <v>3.6050989244456245E-2</v>
      </c>
      <c r="BV60" s="45">
        <f>IS!CP49/IS!CP21</f>
        <v>3.3880963416983871E-2</v>
      </c>
      <c r="BW60" s="37">
        <f>IS!CQ49/IS!CQ21</f>
        <v>3.53247677792198E-2</v>
      </c>
      <c r="BX60" s="37">
        <f>IS!CV49/IS!CV21</f>
        <v>3.3710677523624735E-2</v>
      </c>
      <c r="BY60" s="37">
        <f>IS!CW49/IS!CW21</f>
        <v>3.2240717540774601E-2</v>
      </c>
    </row>
    <row r="61" spans="1:77">
      <c r="A61" s="30"/>
      <c r="B61" s="28"/>
      <c r="C61" s="28"/>
      <c r="D61" s="28"/>
      <c r="E61" s="28"/>
      <c r="F61" s="27"/>
      <c r="G61" s="27"/>
      <c r="H61" s="27"/>
      <c r="I61" s="27"/>
      <c r="J61" s="28"/>
      <c r="K61" s="27"/>
      <c r="L61" s="27"/>
      <c r="M61" s="27"/>
      <c r="N61" s="27"/>
      <c r="O61" s="28"/>
      <c r="P61" s="27"/>
      <c r="Q61" s="27"/>
      <c r="R61" s="27"/>
      <c r="S61" s="27"/>
      <c r="T61" s="28"/>
      <c r="U61" s="27"/>
      <c r="V61" s="27"/>
      <c r="W61" s="27"/>
      <c r="X61" s="27"/>
      <c r="Y61" s="28"/>
      <c r="Z61" s="27"/>
      <c r="AA61" s="27"/>
      <c r="AB61" s="27"/>
      <c r="AC61" s="27"/>
      <c r="AD61" s="28"/>
      <c r="AE61" s="27"/>
      <c r="AF61" s="27"/>
      <c r="AG61" s="27"/>
      <c r="AH61" s="27"/>
      <c r="AI61" s="28"/>
      <c r="AJ61" s="27"/>
      <c r="AK61" s="27"/>
      <c r="AL61" s="27"/>
      <c r="AM61" s="27"/>
      <c r="AN61" s="28"/>
      <c r="AO61" s="27"/>
      <c r="AP61" s="27"/>
      <c r="AQ61" s="27"/>
      <c r="AR61" s="27"/>
      <c r="AS61" s="28"/>
      <c r="AT61" s="27"/>
      <c r="AU61" s="27"/>
      <c r="AV61" s="27"/>
      <c r="AW61" s="27"/>
      <c r="AX61" s="28"/>
      <c r="AY61" s="27"/>
      <c r="AZ61" s="27"/>
      <c r="BA61" s="27"/>
      <c r="BB61" s="27"/>
      <c r="BC61" s="28"/>
      <c r="BD61" s="27"/>
      <c r="BE61" s="27"/>
      <c r="BF61" s="27"/>
      <c r="BG61" s="27"/>
      <c r="BH61" s="28"/>
      <c r="BI61" s="27"/>
      <c r="BJ61" s="27"/>
      <c r="BK61" s="27"/>
      <c r="BL61" s="27"/>
      <c r="BM61" s="28"/>
      <c r="BN61" s="27"/>
      <c r="BO61" s="27"/>
      <c r="BP61" s="27"/>
      <c r="BQ61" s="27"/>
      <c r="BR61" s="28"/>
      <c r="BS61" s="27"/>
      <c r="BT61" s="27"/>
      <c r="BU61" s="27"/>
      <c r="BV61" s="27"/>
      <c r="BW61" s="28"/>
      <c r="BX61" s="28"/>
      <c r="BY61" s="28"/>
    </row>
    <row r="62" spans="1:77">
      <c r="A62" s="30" t="s">
        <v>75</v>
      </c>
      <c r="B62" s="37"/>
      <c r="C62" s="37">
        <f>(C8-B8)/(C7-B7)</f>
        <v>0.14992389649923896</v>
      </c>
      <c r="D62" s="37">
        <f>(D8-C8)/(D7-C7)</f>
        <v>0.76507936507936503</v>
      </c>
      <c r="E62" s="37">
        <f>(E8-D8)/(E7-D7)</f>
        <v>0.16832034018426648</v>
      </c>
      <c r="F62" s="45"/>
      <c r="G62" s="45"/>
      <c r="H62" s="45"/>
      <c r="I62" s="45"/>
      <c r="J62" s="37">
        <f t="shared" ref="J62:AO62" si="12">(J8-E8)/(J7-E7)</f>
        <v>0.26485727655591951</v>
      </c>
      <c r="K62" s="45">
        <f t="shared" si="12"/>
        <v>0.29040735873850199</v>
      </c>
      <c r="L62" s="45">
        <f t="shared" si="12"/>
        <v>0.33725490196078434</v>
      </c>
      <c r="M62" s="45">
        <f t="shared" si="12"/>
        <v>0.3045977011494253</v>
      </c>
      <c r="N62" s="45">
        <f t="shared" si="12"/>
        <v>0.24736472241742796</v>
      </c>
      <c r="O62" s="37">
        <f t="shared" si="12"/>
        <v>0.29659090909090907</v>
      </c>
      <c r="P62" s="45">
        <f t="shared" si="12"/>
        <v>0.30877483443708609</v>
      </c>
      <c r="Q62" s="45">
        <f t="shared" si="12"/>
        <v>0.29406474820143885</v>
      </c>
      <c r="R62" s="45">
        <f t="shared" si="12"/>
        <v>0.28219395866454688</v>
      </c>
      <c r="S62" s="45">
        <f t="shared" si="12"/>
        <v>0.15989515072083879</v>
      </c>
      <c r="T62" s="37">
        <f t="shared" si="12"/>
        <v>0.25450626959247646</v>
      </c>
      <c r="U62" s="45">
        <f t="shared" si="12"/>
        <v>0.19061936259771498</v>
      </c>
      <c r="V62" s="45">
        <f t="shared" si="12"/>
        <v>0.17439024390243901</v>
      </c>
      <c r="W62" s="45">
        <f t="shared" si="12"/>
        <v>0.25058823529411767</v>
      </c>
      <c r="X62" s="45">
        <f t="shared" si="12"/>
        <v>0.37311883757135444</v>
      </c>
      <c r="Y62" s="37">
        <f t="shared" si="12"/>
        <v>0.25223665223665226</v>
      </c>
      <c r="Z62" s="45">
        <f t="shared" si="12"/>
        <v>0.26071428571428573</v>
      </c>
      <c r="AA62" s="45">
        <f t="shared" si="12"/>
        <v>0.26127450980392158</v>
      </c>
      <c r="AB62" s="45">
        <f t="shared" si="12"/>
        <v>0.2905073649754501</v>
      </c>
      <c r="AC62" s="45">
        <f t="shared" si="12"/>
        <v>-0.7678571428571429</v>
      </c>
      <c r="AD62" s="37">
        <f t="shared" si="12"/>
        <v>0.256702681072429</v>
      </c>
      <c r="AE62" s="45">
        <f t="shared" si="12"/>
        <v>0.35702103467879476</v>
      </c>
      <c r="AF62" s="45">
        <f t="shared" si="12"/>
        <v>0.29438280166435504</v>
      </c>
      <c r="AG62" s="45">
        <f t="shared" si="12"/>
        <v>0.42096944151738674</v>
      </c>
      <c r="AH62" s="45">
        <f t="shared" si="12"/>
        <v>0.35398230088495575</v>
      </c>
      <c r="AI62" s="37">
        <f t="shared" si="12"/>
        <v>0.3486088379705401</v>
      </c>
      <c r="AJ62" s="45">
        <f t="shared" si="12"/>
        <v>-1.3584905660377358</v>
      </c>
      <c r="AK62" s="45">
        <f t="shared" si="12"/>
        <v>0.44204851752021562</v>
      </c>
      <c r="AL62" s="45">
        <f t="shared" si="12"/>
        <v>1.3903002309468822</v>
      </c>
      <c r="AM62" s="45">
        <f t="shared" si="12"/>
        <v>0.22824858757062147</v>
      </c>
      <c r="AN62" s="37">
        <f t="shared" si="12"/>
        <v>0.70910047343503424</v>
      </c>
      <c r="AO62" s="45">
        <f t="shared" si="12"/>
        <v>0.33649289099526064</v>
      </c>
      <c r="AP62" s="45">
        <f t="shared" ref="AP62:BR62" si="13">(AP8-AK8)/(AP7-AK7)</f>
        <v>0.32083958020989506</v>
      </c>
      <c r="AQ62" s="45">
        <f t="shared" si="13"/>
        <v>-9.1056910569105698E-2</v>
      </c>
      <c r="AR62" s="45">
        <f t="shared" si="13"/>
        <v>-0.20944558521560575</v>
      </c>
      <c r="AS62" s="37">
        <f t="shared" si="13"/>
        <v>0.33123249299719887</v>
      </c>
      <c r="AT62" s="45">
        <f t="shared" si="13"/>
        <v>0.13618677042801555</v>
      </c>
      <c r="AU62" s="45">
        <f t="shared" si="13"/>
        <v>0.19335347432024169</v>
      </c>
      <c r="AV62" s="45">
        <f t="shared" si="13"/>
        <v>0.17596034696406443</v>
      </c>
      <c r="AW62" s="45">
        <f t="shared" si="13"/>
        <v>9.244917715392062E-2</v>
      </c>
      <c r="AX62" s="37">
        <f t="shared" si="13"/>
        <v>8.7001023541453434E-2</v>
      </c>
      <c r="AY62" s="45">
        <f t="shared" si="13"/>
        <v>0.22592032274331819</v>
      </c>
      <c r="AZ62" s="45">
        <f t="shared" si="13"/>
        <v>0.26421100500227374</v>
      </c>
      <c r="BA62" s="45">
        <f t="shared" si="13"/>
        <v>0.95952380952380956</v>
      </c>
      <c r="BB62" s="45">
        <f t="shared" si="13"/>
        <v>1.0063291139240507</v>
      </c>
      <c r="BC62" s="37">
        <f t="shared" si="13"/>
        <v>0.35583570557137045</v>
      </c>
      <c r="BD62" s="45">
        <f t="shared" si="13"/>
        <v>0.34971098265895956</v>
      </c>
      <c r="BE62" s="45">
        <f t="shared" si="13"/>
        <v>-0.16371308016877636</v>
      </c>
      <c r="BF62" s="45">
        <f t="shared" si="13"/>
        <v>0.36827195467422097</v>
      </c>
      <c r="BG62" s="45">
        <f t="shared" si="13"/>
        <v>0.67932489451476796</v>
      </c>
      <c r="BH62" s="37">
        <f t="shared" si="13"/>
        <v>0.1406628940986257</v>
      </c>
      <c r="BI62" s="45">
        <f t="shared" si="13"/>
        <v>0.16912280701754387</v>
      </c>
      <c r="BJ62" s="45">
        <f t="shared" si="13"/>
        <v>1.4033680834001604E-2</v>
      </c>
      <c r="BK62" s="45">
        <f t="shared" si="13"/>
        <v>0.3</v>
      </c>
      <c r="BL62" s="45">
        <f t="shared" si="13"/>
        <v>0.36683976261127599</v>
      </c>
      <c r="BM62" s="37">
        <f t="shared" si="13"/>
        <v>0.21842329748634493</v>
      </c>
      <c r="BN62" s="45">
        <f t="shared" si="13"/>
        <v>-3</v>
      </c>
      <c r="BO62" s="45">
        <f t="shared" si="13"/>
        <v>-0.51977401129943501</v>
      </c>
      <c r="BP62" s="45">
        <f t="shared" si="13"/>
        <v>4.2402826855123678E-2</v>
      </c>
      <c r="BQ62" s="45">
        <f t="shared" si="13"/>
        <v>0.80501392757660162</v>
      </c>
      <c r="BR62" s="37">
        <f t="shared" si="13"/>
        <v>9.1332632160940716E-2</v>
      </c>
      <c r="BS62" s="45">
        <f>(BS8-BN8)/(BS7-BN7)</f>
        <v>7.6419213973799124E-2</v>
      </c>
      <c r="BT62" s="45">
        <f>(BT8-BO8)/(BT7-BO7)</f>
        <v>0.11576354679802955</v>
      </c>
      <c r="BU62" s="45">
        <f>(BU8-BP8)/(BU7-BP7)</f>
        <v>9.887005649717515E-3</v>
      </c>
      <c r="BV62" s="45">
        <f>(BV8-BQ8)/(BV7-BQ7)</f>
        <v>0.17390830711670061</v>
      </c>
      <c r="BW62" s="37">
        <f>(BW8-BR8)/(BW7-BR7)</f>
        <v>9.2476349438028127E-2</v>
      </c>
      <c r="BX62" s="37">
        <f>(BX8-BW8)/(BX7-BW7)</f>
        <v>0.23473041277748108</v>
      </c>
      <c r="BY62" s="37">
        <f>(BY8-BX8)/(BY7-BX7)</f>
        <v>0.35072533522085386</v>
      </c>
    </row>
    <row r="63" spans="1:77">
      <c r="A63" s="30" t="s">
        <v>74</v>
      </c>
      <c r="B63" s="37"/>
      <c r="C63" s="37">
        <f>(IS!O31-IS!J31)/(IS!O21-IS!J21)</f>
        <v>0.11567732115677321</v>
      </c>
      <c r="D63" s="37">
        <f>(IS!T31-IS!O31)/(IS!T21-IS!O21)</f>
        <v>-0.38095238095238093</v>
      </c>
      <c r="E63" s="37">
        <f>(IS!Y31-IS!T31)/(IS!Y21-IS!T21)</f>
        <v>0.15981573352232459</v>
      </c>
      <c r="F63" s="45">
        <f>(IS!Z31-IS!U31)/(IS!Z21-IS!U21)</f>
        <v>0.19341563786008231</v>
      </c>
      <c r="G63" s="45">
        <f>(IS!AA31-IS!V31)/(IS!AA21-IS!V21)</f>
        <v>0.14028384279475983</v>
      </c>
      <c r="H63" s="45">
        <f>(IS!AB31-IS!W31)/(IS!AB21-IS!W21)</f>
        <v>0.1263537906137184</v>
      </c>
      <c r="I63" s="45">
        <f>(IS!AC31-IS!X31)/(IS!AC21-IS!X21)</f>
        <v>0.16400000000000001</v>
      </c>
      <c r="J63" s="37">
        <f>(IS!AD31-IS!Y31)/(IS!AD21-IS!Y21)</f>
        <v>0.1316487287474653</v>
      </c>
      <c r="K63" s="45">
        <f>(IS!AE31-IS!Z31)/(IS!AE21-IS!Z21)</f>
        <v>9.5926412614980291E-2</v>
      </c>
      <c r="L63" s="45">
        <f>(IS!AF31-IS!AA31)/(IS!AF21-IS!AA21)</f>
        <v>0.15751633986928104</v>
      </c>
      <c r="M63" s="45">
        <f>(IS!AG31-IS!AB31)/(IS!AG21-IS!AB21)</f>
        <v>0.1194125159642401</v>
      </c>
      <c r="N63" s="45">
        <f>(IS!AH31-IS!AC31)/(IS!AH21-IS!AC21)</f>
        <v>5.1300070274068868E-2</v>
      </c>
      <c r="O63" s="37">
        <f>(IS!AI31-IS!AD31)/(IS!AI21-IS!AD21)</f>
        <v>0.14071969696969697</v>
      </c>
      <c r="P63" s="45">
        <f>(IS!AJ31-IS!AE31)/(IS!AJ21-IS!AE21)</f>
        <v>8.3609271523178805E-2</v>
      </c>
      <c r="Q63" s="45">
        <f>(IS!AK31-IS!AF31)/(IS!AK21-IS!AF21)</f>
        <v>2.0683453237410072E-2</v>
      </c>
      <c r="R63" s="45">
        <f>(IS!AL31-IS!AG31)/(IS!AL21-IS!AG21)</f>
        <v>3.4181240063593007E-2</v>
      </c>
      <c r="S63" s="45">
        <f>(IS!AM31-IS!AH31)/(IS!AM21-IS!AH21)</f>
        <v>3.5386631716906945E-2</v>
      </c>
      <c r="T63" s="37">
        <f>(IS!AN31-IS!AI31)/(IS!AN21-IS!AI21)</f>
        <v>4.3299373040752348E-2</v>
      </c>
      <c r="U63" s="45">
        <f>(IS!AO31-IS!AJ31)/(IS!AO21-IS!AJ21)</f>
        <v>4.9308478653036683E-2</v>
      </c>
      <c r="V63" s="45">
        <f>(IS!AP31-IS!AK31)/(IS!AP21-IS!AK21)</f>
        <v>7.0731707317073164E-2</v>
      </c>
      <c r="W63" s="45">
        <f>(IS!AQ31-IS!AL31)/(IS!AQ21-IS!AL21)</f>
        <v>0.1</v>
      </c>
      <c r="X63" s="45">
        <f>(IS!AR31-IS!AM31)/(IS!AR21-IS!AM21)</f>
        <v>0.14478463933575506</v>
      </c>
      <c r="Y63" s="37">
        <f>(IS!AS31-IS!AN31)/(IS!AS21-IS!AN21)</f>
        <v>9.3362193362193369E-2</v>
      </c>
      <c r="Z63" s="45">
        <f>(IS!AT31-IS!AO31)/(IS!AT21-IS!AO21)</f>
        <v>0.14226190476190476</v>
      </c>
      <c r="AA63" s="45">
        <f>(IS!AU31-IS!AP31)/(IS!AU21-IS!AP21)</f>
        <v>0.1377450980392157</v>
      </c>
      <c r="AB63" s="45">
        <f>(IS!AV31-IS!AQ31)/(IS!AV21-IS!AQ21)</f>
        <v>0.12847790507364976</v>
      </c>
      <c r="AC63" s="45">
        <f>(IS!AW31-IS!AR31)/(IS!AW21-IS!AR21)</f>
        <v>-1.1071428571428572</v>
      </c>
      <c r="AD63" s="37">
        <f>(IS!AX31-IS!AS31)/(IS!AX21-IS!AS21)</f>
        <v>0.12304921968787515</v>
      </c>
      <c r="AE63" s="45">
        <f>(IS!AY31-IS!AT31)/(IS!AY21-IS!AT21)</f>
        <v>8.6412734508243313E-2</v>
      </c>
      <c r="AF63" s="45">
        <f>(IS!AZ31-IS!AU31)/(IS!AZ21-IS!AU21)</f>
        <v>6.9694868238557556E-2</v>
      </c>
      <c r="AG63" s="45">
        <f>(IS!BA31-IS!AV31)/(IS!BA21-IS!AV21)</f>
        <v>0.12697576396206534</v>
      </c>
      <c r="AH63" s="45">
        <f>(IS!BB31-IS!AW31)/(IS!BB21-IS!AW21)</f>
        <v>0.11883691529709228</v>
      </c>
      <c r="AI63" s="37">
        <f>(IS!BC31-IS!AX31)/(IS!BC21-IS!AX21)</f>
        <v>9.3835242771412988E-2</v>
      </c>
      <c r="AJ63" s="45">
        <f>(IS!BD31-IS!AY31)/(IS!BD21-IS!AY21)</f>
        <v>0.37106918238993708</v>
      </c>
      <c r="AK63" s="45">
        <f>(IS!BE31-IS!AZ31)/(IS!BE21-IS!AZ21)</f>
        <v>-0.11185983827493262</v>
      </c>
      <c r="AL63" s="45">
        <f>(IS!BF31-IS!BA31)/(IS!BF21-IS!BA21)</f>
        <v>0.12471131639722864</v>
      </c>
      <c r="AM63" s="45">
        <f>(IS!BG31-IS!BB31)/(IS!BG21-IS!BB21)</f>
        <v>8.5875706214689262E-2</v>
      </c>
      <c r="AN63" s="37">
        <f>(IS!BH31-IS!BC31)/(IS!BH21-IS!BC21)</f>
        <v>-6.3124671225670698E-3</v>
      </c>
      <c r="AO63" s="45">
        <f>(IS!BI31-IS!BD31)/(IS!BI21-IS!BD21)</f>
        <v>4.1074249605055291E-2</v>
      </c>
      <c r="AP63" s="45">
        <f>(IS!BJ31-IS!BE31)/(IS!BJ21-IS!BE21)</f>
        <v>0.12743628185907047</v>
      </c>
      <c r="AQ63" s="45">
        <f>(IS!BK31-IS!BF31)/(IS!BK21-IS!BF21)</f>
        <v>5.5284552845528454E-2</v>
      </c>
      <c r="AR63" s="45">
        <f>(IS!BL31-IS!BG31)/(IS!BL21-IS!BG21)</f>
        <v>1.6427104722792608E-2</v>
      </c>
      <c r="AS63" s="37">
        <f>(IS!BM31-IS!BH31)/(IS!BM21-IS!BH21)</f>
        <v>9.5938375350140062E-2</v>
      </c>
      <c r="AT63" s="45">
        <f>(IS!BN31-IS!BI31)/(IS!BN21-IS!BI21)</f>
        <v>-0.30739299610894943</v>
      </c>
      <c r="AU63" s="45">
        <f>(IS!BO31-IS!BJ31)/(IS!BO21-IS!BJ21)</f>
        <v>0.10120845921450151</v>
      </c>
      <c r="AV63" s="45">
        <f>(IS!BP31-IS!BK31)/(IS!BP21-IS!BK21)</f>
        <v>0.13258983890954151</v>
      </c>
      <c r="AW63" s="45">
        <f>(IS!BQ31-IS!BL31)/(IS!BQ21-IS!BL21)</f>
        <v>8.325266214908035E-2</v>
      </c>
      <c r="AX63" s="37">
        <f>(IS!BR31-IS!BM31)/(IS!BR21-IS!BM21)</f>
        <v>0.14892528147389969</v>
      </c>
      <c r="AY63" s="45">
        <f>(IS!BS31-IS!BN31)/(IS!BS21-IS!BN21)</f>
        <v>4.9420070600100854E-2</v>
      </c>
      <c r="AZ63" s="45">
        <f>(IS!BT31-IS!BO31)/(IS!BT21-IS!BO21)</f>
        <v>0.10368349249658936</v>
      </c>
      <c r="BA63" s="45">
        <f>(IS!BU31-IS!BP31)/(IS!BU21-IS!BP21)</f>
        <v>3.3333333333333333E-2</v>
      </c>
      <c r="BB63" s="45">
        <f>(IS!BV31-IS!BQ31)/(IS!BV21-IS!BQ21)</f>
        <v>-0.23417721518987342</v>
      </c>
      <c r="BC63" s="37">
        <f>(IS!BW31-IS!BR31)/(IS!BW21-IS!BR21)</f>
        <v>5.4087027246848315E-2</v>
      </c>
      <c r="BD63" s="45">
        <f>(IS!BX31-IS!BS31)/(IS!BX21-IS!BS21)</f>
        <v>-8.9595375722543349E-2</v>
      </c>
      <c r="BE63" s="45">
        <f>(IS!BY31-IS!BT31)/(IS!BY21-IS!BT21)</f>
        <v>-9.6202531645569619E-2</v>
      </c>
      <c r="BF63" s="45">
        <f>(IS!BZ31-IS!BU31)/(IS!BZ21-IS!BU21)</f>
        <v>-7.5070821529745049E-2</v>
      </c>
      <c r="BG63" s="45">
        <f>(IS!CA31-IS!BV31)/(IS!CA21-IS!BV21)</f>
        <v>-8.4388185654008435E-2</v>
      </c>
      <c r="BH63" s="37">
        <f>(IS!CB31-IS!BW31)/(IS!CB21-IS!BW21)</f>
        <v>-8.8116410670978168E-2</v>
      </c>
      <c r="BI63" s="45">
        <f>(IS!CC31-IS!BX31)/(IS!CC21-IS!BX21)</f>
        <v>8.4210526315789472E-2</v>
      </c>
      <c r="BJ63" s="45">
        <f>(IS!CD31-IS!BY31)/(IS!CD21-IS!BY21)</f>
        <v>7.898957497995189E-2</v>
      </c>
      <c r="BK63" s="45">
        <f>(IS!CE31-IS!BZ31)/(IS!CE21-IS!BZ21)</f>
        <v>9.285714285714286E-2</v>
      </c>
      <c r="BL63" s="45">
        <f>(IS!CF31-IS!CA31)/(IS!CF21-IS!CA21)</f>
        <v>2.8189910979228485E-2</v>
      </c>
      <c r="BM63" s="37">
        <f>(IS!CG31-IS!CB31)/(IS!CG21-IS!CB21)</f>
        <v>6.7767511195864466E-2</v>
      </c>
      <c r="BN63" s="45">
        <f>(IS!CH31-IS!CC31)/(IS!CH21-IS!CC21)</f>
        <v>-3.0540540540540539</v>
      </c>
      <c r="BO63" s="45">
        <f>(IS!CI31-IS!CD31)/(IS!CI21-IS!CD21)</f>
        <v>0.14124293785310735</v>
      </c>
      <c r="BP63" s="45">
        <f>(IS!CJ31-IS!CE31)/(IS!CJ21-IS!CE21)</f>
        <v>5.4770318021201414E-2</v>
      </c>
      <c r="BQ63" s="45">
        <f>(IS!CK31-IS!CF31)/(IS!CK21-IS!CF21)</f>
        <v>0.64345403899721454</v>
      </c>
      <c r="BR63" s="37">
        <f>(IS!CL31-IS!CG31)/(IS!CL21-IS!CG21)</f>
        <v>0.14447161814548803</v>
      </c>
      <c r="BS63" s="45">
        <f>(IS!CM31-IS!CH31)/(IS!CM21-IS!CH21)</f>
        <v>0.25982532751091703</v>
      </c>
      <c r="BT63" s="45">
        <f>(IS!CN31-IS!CI31)/(IS!CN21-IS!CI21)</f>
        <v>0.21428571428571427</v>
      </c>
      <c r="BU63" s="45">
        <f>(IS!CO31-IS!CJ31)/(IS!CO21-IS!CJ21)</f>
        <v>0.18926553672316385</v>
      </c>
      <c r="BV63" s="45">
        <f>(IS!CP31-IS!CK31)/(IS!CP21-IS!CK21)</f>
        <v>-0.16111888426516791</v>
      </c>
      <c r="BW63" s="37">
        <f>(IS!CQ31-IS!CL31)/(IS!CQ21-IS!CL21)</f>
        <v>0.1008989597011707</v>
      </c>
      <c r="BX63" s="37">
        <f>(IS!CV31-IS!CQ31)/(IS!CV21-IS!CQ21)</f>
        <v>0.12530201298968577</v>
      </c>
      <c r="BY63" s="37">
        <f>(IS!CW31-IS!CV31)/(IS!CW21-IS!CV21)</f>
        <v>6.4072983531612837E-2</v>
      </c>
    </row>
    <row r="64" spans="1:77">
      <c r="A64" s="30" t="s">
        <v>73</v>
      </c>
      <c r="B64" s="37"/>
      <c r="C64" s="37">
        <f>(C9-B9)/(C7-B7)</f>
        <v>0.10578386605783865</v>
      </c>
      <c r="D64" s="37">
        <f>(D9-C9)/(D7-C7)</f>
        <v>0.78095238095238095</v>
      </c>
      <c r="E64" s="37">
        <f>(E9-D9)/(E7-D7)</f>
        <v>0.13890857547838412</v>
      </c>
      <c r="F64" s="45"/>
      <c r="G64" s="45"/>
      <c r="H64" s="45"/>
      <c r="I64" s="45"/>
      <c r="J64" s="37">
        <f t="shared" ref="J64:AO64" si="14">(J9-E9)/(J7-E7)</f>
        <v>0.1293090001559819</v>
      </c>
      <c r="K64" s="45">
        <f t="shared" si="14"/>
        <v>0.18791064388961892</v>
      </c>
      <c r="L64" s="45">
        <f t="shared" si="14"/>
        <v>0.11503267973856209</v>
      </c>
      <c r="M64" s="45">
        <f t="shared" si="14"/>
        <v>0.17943805874840357</v>
      </c>
      <c r="N64" s="45">
        <f t="shared" si="14"/>
        <v>0.1735769501054111</v>
      </c>
      <c r="O64" s="37">
        <f t="shared" si="14"/>
        <v>0.12840909090909092</v>
      </c>
      <c r="P64" s="45">
        <f t="shared" si="14"/>
        <v>0.15976821192052981</v>
      </c>
      <c r="Q64" s="45">
        <f t="shared" si="14"/>
        <v>0.23651079136690648</v>
      </c>
      <c r="R64" s="45">
        <f t="shared" si="14"/>
        <v>0.18521462639109698</v>
      </c>
      <c r="S64" s="45">
        <f t="shared" si="14"/>
        <v>0.12909567496723459</v>
      </c>
      <c r="T64" s="37">
        <f t="shared" si="14"/>
        <v>0.17358934169278997</v>
      </c>
      <c r="U64" s="45">
        <f t="shared" si="14"/>
        <v>0.13890559230306676</v>
      </c>
      <c r="V64" s="45">
        <f t="shared" si="14"/>
        <v>0.13902439024390245</v>
      </c>
      <c r="W64" s="45">
        <f t="shared" si="14"/>
        <v>0.16411764705882353</v>
      </c>
      <c r="X64" s="45">
        <f t="shared" si="14"/>
        <v>0.18059159314997406</v>
      </c>
      <c r="Y64" s="37">
        <f t="shared" si="14"/>
        <v>0.15670995670995672</v>
      </c>
      <c r="Z64" s="45">
        <f t="shared" si="14"/>
        <v>0.16011904761904761</v>
      </c>
      <c r="AA64" s="45">
        <f t="shared" si="14"/>
        <v>0.17254901960784313</v>
      </c>
      <c r="AB64" s="45">
        <f t="shared" si="14"/>
        <v>0.18003273322422259</v>
      </c>
      <c r="AC64" s="45">
        <f t="shared" si="14"/>
        <v>0.5</v>
      </c>
      <c r="AD64" s="37">
        <f t="shared" si="14"/>
        <v>0.17386954781912764</v>
      </c>
      <c r="AE64" s="45">
        <f t="shared" si="14"/>
        <v>0.18675383740761797</v>
      </c>
      <c r="AF64" s="45">
        <f t="shared" si="14"/>
        <v>0.12153259361997226</v>
      </c>
      <c r="AG64" s="45">
        <f t="shared" si="14"/>
        <v>0.11037934668071654</v>
      </c>
      <c r="AH64" s="45">
        <f t="shared" si="14"/>
        <v>-0.11820480404551201</v>
      </c>
      <c r="AI64" s="37">
        <f t="shared" si="14"/>
        <v>0.10842880523731588</v>
      </c>
      <c r="AJ64" s="45">
        <f t="shared" si="14"/>
        <v>-1.3742138364779874</v>
      </c>
      <c r="AK64" s="45">
        <f t="shared" si="14"/>
        <v>0.28638814016172509</v>
      </c>
      <c r="AL64" s="45">
        <f t="shared" si="14"/>
        <v>0.55773672055427248</v>
      </c>
      <c r="AM64" s="45">
        <f t="shared" si="14"/>
        <v>0.17457627118644067</v>
      </c>
      <c r="AN64" s="37">
        <f t="shared" si="14"/>
        <v>0.43503419253024722</v>
      </c>
      <c r="AO64" s="45">
        <f t="shared" si="14"/>
        <v>0.20379146919431279</v>
      </c>
      <c r="AP64" s="45">
        <f t="shared" ref="AP64:BR64" si="15">(AP9-AK9)/(AP7-AK7)</f>
        <v>0.11244377811094453</v>
      </c>
      <c r="AQ64" s="45">
        <f t="shared" si="15"/>
        <v>6.9918699186991867E-2</v>
      </c>
      <c r="AR64" s="45">
        <f t="shared" si="15"/>
        <v>0.18685831622176591</v>
      </c>
      <c r="AS64" s="37">
        <f t="shared" si="15"/>
        <v>0.1092436974789916</v>
      </c>
      <c r="AT64" s="45">
        <f t="shared" si="15"/>
        <v>1.556420233463035E-2</v>
      </c>
      <c r="AU64" s="45">
        <f t="shared" si="15"/>
        <v>-1.6616314199395771E-2</v>
      </c>
      <c r="AV64" s="45">
        <f t="shared" si="15"/>
        <v>6.3197026022304828E-2</v>
      </c>
      <c r="AW64" s="45">
        <f t="shared" si="15"/>
        <v>0.11955469506292353</v>
      </c>
      <c r="AX64" s="37">
        <f t="shared" si="15"/>
        <v>0.15609007164790173</v>
      </c>
      <c r="AY64" s="45">
        <f t="shared" si="15"/>
        <v>0.21280887544125063</v>
      </c>
      <c r="AZ64" s="45">
        <f t="shared" si="15"/>
        <v>0.21646202819463392</v>
      </c>
      <c r="BA64" s="45">
        <f t="shared" si="15"/>
        <v>0.92619047619047623</v>
      </c>
      <c r="BB64" s="45">
        <f t="shared" si="15"/>
        <v>1.2151898734177216</v>
      </c>
      <c r="BC64" s="37">
        <f t="shared" si="15"/>
        <v>0.33977226514843434</v>
      </c>
      <c r="BD64" s="45">
        <f t="shared" si="15"/>
        <v>0.65317919075144504</v>
      </c>
      <c r="BE64" s="45">
        <f t="shared" si="15"/>
        <v>0.22194092827004219</v>
      </c>
      <c r="BF64" s="45">
        <f t="shared" si="15"/>
        <v>0.33002832861189801</v>
      </c>
      <c r="BG64" s="45">
        <f t="shared" si="15"/>
        <v>1.0506329113924051</v>
      </c>
      <c r="BH64" s="37">
        <f t="shared" si="15"/>
        <v>0.39248181083265965</v>
      </c>
      <c r="BI64" s="45">
        <f t="shared" si="15"/>
        <v>5.8871790104707576E-2</v>
      </c>
      <c r="BJ64" s="45">
        <f t="shared" si="15"/>
        <v>0.103892421451801</v>
      </c>
      <c r="BK64" s="45">
        <f t="shared" si="15"/>
        <v>0.13361344537815126</v>
      </c>
      <c r="BL64" s="45">
        <f t="shared" si="15"/>
        <v>0.21031157270029674</v>
      </c>
      <c r="BM64" s="37">
        <f t="shared" si="15"/>
        <v>0.13553502239172893</v>
      </c>
      <c r="BN64" s="45">
        <f t="shared" si="15"/>
        <v>-3.5975053811024784</v>
      </c>
      <c r="BO64" s="45">
        <f t="shared" si="15"/>
        <v>6.8405079665489865E-2</v>
      </c>
      <c r="BP64" s="45">
        <f t="shared" si="15"/>
        <v>2.6501766784452298E-2</v>
      </c>
      <c r="BQ64" s="45">
        <f t="shared" si="15"/>
        <v>0.13649025069637882</v>
      </c>
      <c r="BR64" s="37">
        <f t="shared" si="15"/>
        <v>-4.732690939248746E-2</v>
      </c>
      <c r="BS64" s="45">
        <f>(BS9-BN9)/(BS7-BN7)</f>
        <v>-4.8034934497816595E-2</v>
      </c>
      <c r="BT64" s="45">
        <f>(BT9-BO9)/(BT7-BO7)</f>
        <v>-0.2019704433497537</v>
      </c>
      <c r="BU64" s="45">
        <f>(BU9-BP9)/(BU7-BP7)</f>
        <v>-2.8248587570621469E-3</v>
      </c>
      <c r="BV64" s="45">
        <f>(BV9-BQ9)/(BV7-BQ7)</f>
        <v>-9.2641310933934309E-2</v>
      </c>
      <c r="BW64" s="37">
        <f>(BW9-BR9)/(BW7-BR7)</f>
        <v>-7.5138028203010881E-2</v>
      </c>
      <c r="BX64" s="37">
        <f>(BX9-BW9)/(BX7-BW7)</f>
        <v>0.10166392413979093</v>
      </c>
      <c r="BY64" s="37">
        <f>(BY9-BX9)/(BY7-BX7)</f>
        <v>0.35977004267786872</v>
      </c>
    </row>
    <row r="65" spans="1:77">
      <c r="A65" s="30" t="s">
        <v>72</v>
      </c>
      <c r="B65" s="37"/>
      <c r="C65" s="37">
        <f>(C10-B10)/(C7-B7)</f>
        <v>7.0776255707762553E-2</v>
      </c>
      <c r="D65" s="37">
        <f>(D10-C10)/(D7-C7)</f>
        <v>1.3460317460317461</v>
      </c>
      <c r="E65" s="37">
        <f>(E10-D10)/(E7-D7)</f>
        <v>0.11339475549255847</v>
      </c>
      <c r="F65" s="45"/>
      <c r="G65" s="45"/>
      <c r="H65" s="45"/>
      <c r="I65" s="45"/>
      <c r="J65" s="37">
        <f t="shared" ref="J65:AO65" si="16">(J10-E10)/(J7-E7)</f>
        <v>0.10138823896428015</v>
      </c>
      <c r="K65" s="45">
        <f t="shared" si="16"/>
        <v>0.23521681997371879</v>
      </c>
      <c r="L65" s="45">
        <f t="shared" si="16"/>
        <v>0.12483660130718954</v>
      </c>
      <c r="M65" s="45">
        <f t="shared" si="16"/>
        <v>0.15708812260536398</v>
      </c>
      <c r="N65" s="45">
        <f t="shared" si="16"/>
        <v>0.15811665495432187</v>
      </c>
      <c r="O65" s="37">
        <f t="shared" si="16"/>
        <v>0.12727272727272726</v>
      </c>
      <c r="P65" s="45">
        <f t="shared" si="16"/>
        <v>0.12831125827814568</v>
      </c>
      <c r="Q65" s="45">
        <f t="shared" si="16"/>
        <v>0.21942446043165467</v>
      </c>
      <c r="R65" s="45">
        <f t="shared" si="16"/>
        <v>0.19554848966613672</v>
      </c>
      <c r="S65" s="45">
        <f t="shared" si="16"/>
        <v>0.12581913499344691</v>
      </c>
      <c r="T65" s="37">
        <f t="shared" si="16"/>
        <v>0.16398902821316613</v>
      </c>
      <c r="U65" s="45">
        <f t="shared" si="16"/>
        <v>0.13048707155742634</v>
      </c>
      <c r="V65" s="45">
        <f t="shared" si="16"/>
        <v>0.12621951219512195</v>
      </c>
      <c r="W65" s="45">
        <f t="shared" si="16"/>
        <v>0.13117647058823528</v>
      </c>
      <c r="X65" s="45">
        <f t="shared" si="16"/>
        <v>0.15516346652828231</v>
      </c>
      <c r="Y65" s="37">
        <f t="shared" si="16"/>
        <v>0.13650793650793649</v>
      </c>
      <c r="Z65" s="45">
        <f t="shared" si="16"/>
        <v>0.1357142857142857</v>
      </c>
      <c r="AA65" s="45">
        <f t="shared" si="16"/>
        <v>0.14852941176470588</v>
      </c>
      <c r="AB65" s="45">
        <f t="shared" si="16"/>
        <v>0.16530278232405893</v>
      </c>
      <c r="AC65" s="45">
        <f t="shared" si="16"/>
        <v>-0.21428571428571427</v>
      </c>
      <c r="AD65" s="37">
        <f t="shared" si="16"/>
        <v>0.14425770308123248</v>
      </c>
      <c r="AE65" s="45">
        <f t="shared" si="16"/>
        <v>0.17936327458783399</v>
      </c>
      <c r="AF65" s="45">
        <f t="shared" si="16"/>
        <v>0.11355755894590847</v>
      </c>
      <c r="AG65" s="45">
        <f t="shared" si="16"/>
        <v>0.10511064278187565</v>
      </c>
      <c r="AH65" s="45">
        <f t="shared" si="16"/>
        <v>-0.13969658659924147</v>
      </c>
      <c r="AI65" s="37">
        <f t="shared" si="16"/>
        <v>9.9836333878887074E-2</v>
      </c>
      <c r="AJ65" s="45">
        <f t="shared" si="16"/>
        <v>-1.2421383647798743</v>
      </c>
      <c r="AK65" s="45">
        <f t="shared" si="16"/>
        <v>0.23787061994609165</v>
      </c>
      <c r="AL65" s="45">
        <f t="shared" si="16"/>
        <v>0.49769053117782908</v>
      </c>
      <c r="AM65" s="45">
        <f t="shared" si="16"/>
        <v>0.15762711864406781</v>
      </c>
      <c r="AN65" s="37">
        <f t="shared" si="16"/>
        <v>0.38348237769594951</v>
      </c>
      <c r="AO65" s="45">
        <f t="shared" si="16"/>
        <v>0.22116903633491311</v>
      </c>
      <c r="AP65" s="45">
        <f t="shared" ref="AP65:BR65" si="17">(AP10-AK10)/(AP7-AK7)</f>
        <v>0.13793103448275862</v>
      </c>
      <c r="AQ65" s="45">
        <f t="shared" si="17"/>
        <v>9.9186991869918695E-2</v>
      </c>
      <c r="AR65" s="45">
        <f t="shared" si="17"/>
        <v>9.034907597535935E-2</v>
      </c>
      <c r="AS65" s="37">
        <f t="shared" si="17"/>
        <v>0.17436974789915966</v>
      </c>
      <c r="AT65" s="45">
        <f t="shared" si="17"/>
        <v>3.1128404669260701E-2</v>
      </c>
      <c r="AU65" s="45">
        <f t="shared" si="17"/>
        <v>-4.2296072507552872E-2</v>
      </c>
      <c r="AV65" s="45">
        <f t="shared" si="17"/>
        <v>-5.8240396530359353E-2</v>
      </c>
      <c r="AW65" s="45">
        <f t="shared" si="17"/>
        <v>3.4365924491771539E-2</v>
      </c>
      <c r="AX65" s="37">
        <f t="shared" si="17"/>
        <v>2.2517911975435005E-2</v>
      </c>
      <c r="AY65" s="45">
        <f t="shared" si="17"/>
        <v>0.1502773575390822</v>
      </c>
      <c r="AZ65" s="45">
        <f t="shared" si="17"/>
        <v>0.15552523874488403</v>
      </c>
      <c r="BA65" s="45">
        <f t="shared" si="17"/>
        <v>0.85476190476190472</v>
      </c>
      <c r="BB65" s="45">
        <f t="shared" si="17"/>
        <v>1.1867088607594938</v>
      </c>
      <c r="BC65" s="37">
        <f t="shared" si="17"/>
        <v>0.27938186254575031</v>
      </c>
      <c r="BD65" s="45">
        <f t="shared" si="17"/>
        <v>0.58670520231213874</v>
      </c>
      <c r="BE65" s="45">
        <f t="shared" si="17"/>
        <v>0.19746835443037974</v>
      </c>
      <c r="BF65" s="45">
        <f t="shared" si="17"/>
        <v>0.28611898016997167</v>
      </c>
      <c r="BG65" s="45">
        <f t="shared" si="17"/>
        <v>1.0379746835443038</v>
      </c>
      <c r="BH65" s="37">
        <f t="shared" si="17"/>
        <v>0.35772029102667746</v>
      </c>
      <c r="BI65" s="45">
        <f t="shared" si="17"/>
        <v>5.1929824561403506E-2</v>
      </c>
      <c r="BJ65" s="45">
        <f t="shared" si="17"/>
        <v>9.9839615076182844E-2</v>
      </c>
      <c r="BK65" s="45">
        <f t="shared" si="17"/>
        <v>0.13487394957983193</v>
      </c>
      <c r="BL65" s="45">
        <f t="shared" si="17"/>
        <v>0.20029673590504452</v>
      </c>
      <c r="BM65" s="37">
        <f t="shared" si="17"/>
        <v>0.13067871865782335</v>
      </c>
      <c r="BN65" s="45">
        <f t="shared" si="17"/>
        <v>-3.8378378378378377</v>
      </c>
      <c r="BO65" s="45">
        <f t="shared" si="17"/>
        <v>-0.13559322033898305</v>
      </c>
      <c r="BP65" s="45">
        <f t="shared" si="17"/>
        <v>8.8339222614840993E-3</v>
      </c>
      <c r="BQ65" s="45">
        <f t="shared" si="17"/>
        <v>1.3927576601671309E-2</v>
      </c>
      <c r="BR65" s="37">
        <f t="shared" si="17"/>
        <v>-0.1295262783373341</v>
      </c>
      <c r="BS65" s="45">
        <f>(BS10-BN10)/(BS7-BN7)</f>
        <v>-0.14847161572052403</v>
      </c>
      <c r="BT65" s="45">
        <f>(BT10-BO10)/(BT7-BO7)</f>
        <v>-0.28325123152709358</v>
      </c>
      <c r="BU65" s="45">
        <f>(BU10-BP10)/(BU7-BP7)</f>
        <v>-6.9209039548022599E-2</v>
      </c>
      <c r="BV65" s="45">
        <f>(BV10-BQ10)/(BV7-BQ7)</f>
        <v>-0.11303191578010825</v>
      </c>
      <c r="BW65" s="37">
        <f>(BW10-BR10)/(BW7-BR7)</f>
        <v>-0.13701927239692827</v>
      </c>
      <c r="BX65" s="37">
        <f>(BX10-BW10)/(BX7-BW7)</f>
        <v>9.5156107016449915E-2</v>
      </c>
      <c r="BY65" s="37">
        <f>(BY10-BX10)/(BY7-BX7)</f>
        <v>0.36145782954609817</v>
      </c>
    </row>
    <row r="66" spans="1:77">
      <c r="A66" s="30" t="s">
        <v>71</v>
      </c>
      <c r="B66" s="37"/>
      <c r="C66" s="37">
        <f>(C11-B11)/(C7-B7)</f>
        <v>2.8637747336377473</v>
      </c>
      <c r="D66" s="37">
        <f>(D11-C11)/(D7-C7)</f>
        <v>1.3269841269841269</v>
      </c>
      <c r="E66" s="37">
        <f>(E11-D11)/(E7-D7)</f>
        <v>6.8745570517363574E-2</v>
      </c>
      <c r="F66" s="45"/>
      <c r="G66" s="45"/>
      <c r="H66" s="45"/>
      <c r="I66" s="45"/>
      <c r="J66" s="37">
        <f t="shared" ref="J66:AO66" si="18">(J11-E11)/(J7-E7)</f>
        <v>7.5027296833567306E-2</v>
      </c>
      <c r="K66" s="45">
        <f t="shared" si="18"/>
        <v>0.2325886990801577</v>
      </c>
      <c r="L66" s="45">
        <f t="shared" si="18"/>
        <v>0.1130718954248366</v>
      </c>
      <c r="M66" s="45">
        <f t="shared" si="18"/>
        <v>0.15517241379310345</v>
      </c>
      <c r="N66" s="45">
        <f t="shared" si="18"/>
        <v>0.16654954321855236</v>
      </c>
      <c r="O66" s="37">
        <f t="shared" si="18"/>
        <v>0.1571969696969697</v>
      </c>
      <c r="P66" s="45">
        <f t="shared" si="18"/>
        <v>9.9337748344370855E-2</v>
      </c>
      <c r="Q66" s="45">
        <f t="shared" si="18"/>
        <v>0.18255395683453238</v>
      </c>
      <c r="R66" s="45">
        <f t="shared" si="18"/>
        <v>0.15421303656597773</v>
      </c>
      <c r="S66" s="45">
        <f t="shared" si="18"/>
        <v>0.11009174311926606</v>
      </c>
      <c r="T66" s="37">
        <f t="shared" si="18"/>
        <v>0.13420846394984326</v>
      </c>
      <c r="U66" s="45">
        <f t="shared" si="18"/>
        <v>0.14251352976548406</v>
      </c>
      <c r="V66" s="45">
        <f t="shared" si="18"/>
        <v>0.16097560975609757</v>
      </c>
      <c r="W66" s="45">
        <f t="shared" si="18"/>
        <v>0.16176470588235295</v>
      </c>
      <c r="X66" s="45">
        <f t="shared" si="18"/>
        <v>0.17851582771146859</v>
      </c>
      <c r="Y66" s="37">
        <f t="shared" si="18"/>
        <v>0.15858585858585858</v>
      </c>
      <c r="Z66" s="45">
        <f t="shared" si="18"/>
        <v>0.14821428571428572</v>
      </c>
      <c r="AA66" s="45">
        <f t="shared" si="18"/>
        <v>0.15343137254901962</v>
      </c>
      <c r="AB66" s="45">
        <f t="shared" si="18"/>
        <v>0.18330605564648117</v>
      </c>
      <c r="AC66" s="45">
        <f t="shared" si="18"/>
        <v>-0.2857142857142857</v>
      </c>
      <c r="AD66" s="37">
        <f t="shared" si="18"/>
        <v>0.13985594237695079</v>
      </c>
      <c r="AE66" s="45">
        <f t="shared" si="18"/>
        <v>0.16429789653212051</v>
      </c>
      <c r="AF66" s="45">
        <f t="shared" si="18"/>
        <v>0.11650485436893204</v>
      </c>
      <c r="AG66" s="45">
        <f t="shared" si="18"/>
        <v>9.0094836670179132E-2</v>
      </c>
      <c r="AH66" s="45">
        <f t="shared" si="18"/>
        <v>-0.1820480404551201</v>
      </c>
      <c r="AI66" s="37">
        <f t="shared" si="18"/>
        <v>8.7834151663938903E-2</v>
      </c>
      <c r="AJ66" s="45">
        <f t="shared" si="18"/>
        <v>-1.270440251572327</v>
      </c>
      <c r="AK66" s="45">
        <f t="shared" si="18"/>
        <v>0.27897574123989216</v>
      </c>
      <c r="AL66" s="45">
        <f t="shared" si="18"/>
        <v>0.42956120092378752</v>
      </c>
      <c r="AM66" s="45">
        <f t="shared" si="18"/>
        <v>0.25536723163841807</v>
      </c>
      <c r="AN66" s="37">
        <f t="shared" si="18"/>
        <v>0.49342451341399263</v>
      </c>
      <c r="AO66" s="45">
        <f t="shared" si="18"/>
        <v>0.22906793048973143</v>
      </c>
      <c r="AP66" s="45">
        <f t="shared" ref="AP66:BR66" si="19">(AP11-AK11)/(AP7-AK7)</f>
        <v>0.13793103448275862</v>
      </c>
      <c r="AQ66" s="45">
        <f t="shared" si="19"/>
        <v>7.9674796747967486E-2</v>
      </c>
      <c r="AR66" s="45">
        <f t="shared" si="19"/>
        <v>0.13347022587268995</v>
      </c>
      <c r="AS66" s="37">
        <f t="shared" si="19"/>
        <v>0.13165266106442577</v>
      </c>
      <c r="AT66" s="45">
        <f t="shared" si="19"/>
        <v>0.17898832684824903</v>
      </c>
      <c r="AU66" s="45">
        <f t="shared" si="19"/>
        <v>3.0211480362537764E-3</v>
      </c>
      <c r="AV66" s="45">
        <f t="shared" si="19"/>
        <v>-9.9132589838909543E-3</v>
      </c>
      <c r="AW66" s="45">
        <f t="shared" si="19"/>
        <v>4.8402710551790902E-4</v>
      </c>
      <c r="AX66" s="37">
        <f t="shared" si="19"/>
        <v>-2.8147389969293755E-2</v>
      </c>
      <c r="AY66" s="45">
        <f t="shared" si="19"/>
        <v>0.14120020171457387</v>
      </c>
      <c r="AZ66" s="45">
        <f t="shared" si="19"/>
        <v>0.15688949522510232</v>
      </c>
      <c r="BA66" s="45">
        <f t="shared" si="19"/>
        <v>0.76428571428571423</v>
      </c>
      <c r="BB66" s="45">
        <f t="shared" si="19"/>
        <v>1.2151898734177216</v>
      </c>
      <c r="BC66" s="37">
        <f t="shared" si="19"/>
        <v>0.27043513623424154</v>
      </c>
      <c r="BD66" s="45">
        <f t="shared" si="19"/>
        <v>0.54913294797687862</v>
      </c>
      <c r="BE66" s="45">
        <f t="shared" si="19"/>
        <v>0.17468354430379746</v>
      </c>
      <c r="BF66" s="45">
        <f t="shared" si="19"/>
        <v>0.30453257790368271</v>
      </c>
      <c r="BG66" s="45">
        <f t="shared" si="19"/>
        <v>1.0801687763713079</v>
      </c>
      <c r="BH66" s="37">
        <f t="shared" si="19"/>
        <v>0.35084882780921584</v>
      </c>
      <c r="BI66" s="45">
        <f t="shared" si="19"/>
        <v>5.9649122807017542E-2</v>
      </c>
      <c r="BJ66" s="45">
        <f t="shared" si="19"/>
        <v>0.10946271050521252</v>
      </c>
      <c r="BK66" s="45">
        <f t="shared" si="19"/>
        <v>0.1457983193277311</v>
      </c>
      <c r="BL66" s="45">
        <f t="shared" si="19"/>
        <v>0.18879821958456974</v>
      </c>
      <c r="BM66" s="37">
        <f t="shared" si="19"/>
        <v>0.13398983484003171</v>
      </c>
      <c r="BN66" s="45">
        <f t="shared" si="19"/>
        <v>-3.5135135135135136</v>
      </c>
      <c r="BO66" s="45">
        <f t="shared" si="19"/>
        <v>-3.954802259887006E-2</v>
      </c>
      <c r="BP66" s="45">
        <f t="shared" si="19"/>
        <v>-4.2402826855123678E-2</v>
      </c>
      <c r="BQ66" s="45">
        <f t="shared" si="19"/>
        <v>-0.17270194986072424</v>
      </c>
      <c r="BR66" s="37">
        <f t="shared" si="19"/>
        <v>-0.15958450835494714</v>
      </c>
      <c r="BS66" s="45">
        <f>(BS11-BN11)/(BS7-BN7)</f>
        <v>-5.458515283842795E-2</v>
      </c>
      <c r="BT66" s="45">
        <f>(BT11-BO11)/(BT7-BO7)</f>
        <v>-0.22167487684729065</v>
      </c>
      <c r="BU66" s="45">
        <f>(BU11-BP11)/(BU7-BP7)</f>
        <v>5.5084745762711863E-2</v>
      </c>
      <c r="BV66" s="45">
        <f>(BV11-BQ11)/(BV7-BQ7)</f>
        <v>-2.6284919533674633E-2</v>
      </c>
      <c r="BW66" s="37">
        <f>(BW11-BR11)/(BW7-BR7)</f>
        <v>-5.5202998686596089E-2</v>
      </c>
      <c r="BX66" s="37">
        <f>(BX11-BW11)/(BX7-BW7)</f>
        <v>9.869623899013634E-2</v>
      </c>
      <c r="BY66" s="37">
        <f>(BY11-BX11)/(BY7-BX7)</f>
        <v>0.33399724992645236</v>
      </c>
    </row>
    <row r="67" spans="1:77">
      <c r="A67" s="30"/>
      <c r="B67" s="28"/>
      <c r="C67" s="28"/>
      <c r="D67" s="28"/>
      <c r="E67" s="28"/>
      <c r="F67" s="27"/>
      <c r="G67" s="27"/>
      <c r="H67" s="27"/>
      <c r="I67" s="27"/>
      <c r="J67" s="28"/>
      <c r="K67" s="27"/>
      <c r="L67" s="27"/>
      <c r="M67" s="27"/>
      <c r="N67" s="27"/>
      <c r="O67" s="28"/>
      <c r="P67" s="27"/>
      <c r="Q67" s="27"/>
      <c r="R67" s="27"/>
      <c r="S67" s="27"/>
      <c r="T67" s="28"/>
      <c r="U67" s="27"/>
      <c r="V67" s="27"/>
      <c r="W67" s="27"/>
      <c r="X67" s="27"/>
      <c r="Y67" s="28"/>
      <c r="Z67" s="27"/>
      <c r="AA67" s="27"/>
      <c r="AB67" s="27"/>
      <c r="AC67" s="27"/>
      <c r="AD67" s="28"/>
      <c r="AE67" s="27"/>
      <c r="AF67" s="27"/>
      <c r="AG67" s="27"/>
      <c r="AH67" s="27"/>
      <c r="AI67" s="28"/>
      <c r="AJ67" s="27"/>
      <c r="AK67" s="27"/>
      <c r="AL67" s="27"/>
      <c r="AM67" s="27"/>
      <c r="AN67" s="28"/>
      <c r="AO67" s="27"/>
      <c r="AP67" s="27"/>
      <c r="AQ67" s="27"/>
      <c r="AR67" s="27"/>
      <c r="AS67" s="28"/>
      <c r="AT67" s="27"/>
      <c r="AU67" s="27"/>
      <c r="AV67" s="27"/>
      <c r="AW67" s="27"/>
      <c r="AX67" s="28"/>
      <c r="AY67" s="27"/>
      <c r="AZ67" s="27"/>
      <c r="BA67" s="27"/>
      <c r="BB67" s="27"/>
      <c r="BC67" s="28"/>
      <c r="BD67" s="27"/>
      <c r="BE67" s="27"/>
      <c r="BF67" s="27"/>
      <c r="BG67" s="27"/>
      <c r="BH67" s="28"/>
      <c r="BI67" s="27"/>
      <c r="BJ67" s="27"/>
      <c r="BK67" s="27"/>
      <c r="BL67" s="27"/>
      <c r="BM67" s="28"/>
      <c r="BN67" s="27"/>
      <c r="BO67" s="27"/>
      <c r="BP67" s="27"/>
      <c r="BQ67" s="27"/>
      <c r="BR67" s="28"/>
      <c r="BS67" s="27"/>
      <c r="BT67" s="27"/>
      <c r="BU67" s="27"/>
      <c r="BV67" s="27"/>
      <c r="BW67" s="28"/>
      <c r="BX67" s="28"/>
      <c r="BY67" s="28"/>
    </row>
    <row r="68" spans="1:77">
      <c r="A68" s="41" t="s">
        <v>70</v>
      </c>
      <c r="B68" s="46"/>
      <c r="C68" s="46">
        <f>IS!O81/AVERAGE(BS!I62,BS!J62)</f>
        <v>0.27269365604141971</v>
      </c>
      <c r="D68" s="46">
        <f>IS!T81/AVERAGE(BS!J62,BS!K62)</f>
        <v>0.29503946424300403</v>
      </c>
      <c r="E68" s="46">
        <f>IS!Y81/AVERAGE(BS!K62,BS!L62)</f>
        <v>0.24447652277938392</v>
      </c>
      <c r="F68" s="47">
        <f>IS!Z81/AVERAGE(BS!L62,BS!M62)*4</f>
        <v>0.18747848016139881</v>
      </c>
      <c r="G68" s="47">
        <f>IS!AA81/AVERAGE(BS!M62,BS!N62)*4</f>
        <v>0.24304498269896194</v>
      </c>
      <c r="H68" s="47">
        <f>IS!AB81/AVERAGE(BS!N62,BS!O62)*4</f>
        <v>0.23051399012461793</v>
      </c>
      <c r="I68" s="47">
        <f>IS!AC81/AVERAGE(BS!O62,BS!P62)*4</f>
        <v>0.19112803984764135</v>
      </c>
      <c r="J68" s="46">
        <f>IS!AD81/AVERAGE(BS!L62,BS!Q62)</f>
        <v>0.2161061871943942</v>
      </c>
      <c r="K68" s="47">
        <f>IS!AE81/AVERAGE(BS!Q62,BS!R62)*4</f>
        <v>0.18540910032451841</v>
      </c>
      <c r="L68" s="47">
        <f>IS!AF81/AVERAGE(BS!R62,BS!S62)*4</f>
        <v>0.23470474411156336</v>
      </c>
      <c r="M68" s="47">
        <f>IS!AG81/AVERAGE(BS!S62,BS!T62)*4</f>
        <v>0.22076213811335355</v>
      </c>
      <c r="N68" s="47">
        <f>IS!AH81/AVERAGE(BS!T62,BS!U62)*4</f>
        <v>0.19277299526500688</v>
      </c>
      <c r="O68" s="46">
        <f>IS!AI81/AVERAGE(BS!Q62,BS!V62)</f>
        <v>0.20446319224493714</v>
      </c>
      <c r="P68" s="47">
        <f>IS!AJ81/AVERAGE(BS!V62,BS!W62)*4</f>
        <v>0.17887504367066495</v>
      </c>
      <c r="Q68" s="47">
        <f>IS!AK81/AVERAGE(BS!W62,BS!X62)*4</f>
        <v>0.23066499092305542</v>
      </c>
      <c r="R68" s="47">
        <f>IS!AL81/AVERAGE(BS!X62,BS!Y62)*4</f>
        <v>0.21745652988069125</v>
      </c>
      <c r="S68" s="47">
        <f>IS!AM81/AVERAGE(BS!Y62,BS!Z62)*4</f>
        <v>0.20201484916231954</v>
      </c>
      <c r="T68" s="46">
        <f>IS!AN81/AVERAGE(BS!V62,BS!AA62)</f>
        <v>0.21764990667288847</v>
      </c>
      <c r="U68" s="47">
        <f>IS!AO81/AVERAGE(BS!AA62,BS!AB62)*4</f>
        <v>0.20077620540632149</v>
      </c>
      <c r="V68" s="47">
        <f>IS!AP81/AVERAGE(BS!AB62,BS!AC62)*4</f>
        <v>0.25045977319642904</v>
      </c>
      <c r="W68" s="47">
        <f>IS!AQ81/AVERAGE(BS!AC62,BS!AD62)*4</f>
        <v>0.23457857269526006</v>
      </c>
      <c r="X68" s="47">
        <f>IS!AR81/AVERAGE(BS!AD62,BS!AE62)*4</f>
        <v>0.21124780822904904</v>
      </c>
      <c r="Y68" s="46">
        <f>IS!AS81/AVERAGE(BS!AA62,BS!AF62)</f>
        <v>0.22317654972575804</v>
      </c>
      <c r="Z68" s="47">
        <f>IS!AT81/AVERAGE(BS!AF62,BS!AG62)*4</f>
        <v>0.18993502713024848</v>
      </c>
      <c r="AA68" s="47">
        <f>IS!AU81/AVERAGE(BS!AG62,BS!AH62)*4</f>
        <v>0.24515334038346592</v>
      </c>
      <c r="AB68" s="47">
        <f>IS!AV81/AVERAGE(BS!AH62,BS!AI62)*4</f>
        <v>0.24142900337248516</v>
      </c>
      <c r="AC68" s="47">
        <f>IS!AW81/AVERAGE(BS!AI62,BS!AJ62)*4</f>
        <v>0.23546378378378377</v>
      </c>
      <c r="AD68" s="46">
        <f>IS!AX81/AVERAGE(BS!AF62,BS!AK62)</f>
        <v>0.25429330328396654</v>
      </c>
      <c r="AE68" s="47">
        <f>IS!AY81/AVERAGE(BS!AK62,BS!AL62)*4</f>
        <v>0.20377560668137409</v>
      </c>
      <c r="AF68" s="47">
        <f>IS!AZ81/AVERAGE(BS!AL62,BS!AM62)*4</f>
        <v>0.27048686430465174</v>
      </c>
      <c r="AG68" s="47">
        <f>IS!BA81/AVERAGE(BS!AM62,BS!AN62)*4</f>
        <v>0.26276346604215456</v>
      </c>
      <c r="AH68" s="47">
        <f>IS!BB81/AVERAGE(BS!AN62,BS!AO62)*4</f>
        <v>0.2381823369212813</v>
      </c>
      <c r="AI68" s="46">
        <f>IS!BC81/AVERAGE(BS!AK62,BS!AP62)</f>
        <v>0.23658199705416447</v>
      </c>
      <c r="AJ68" s="47">
        <f>IS!BD81/AVERAGE(BS!AP62,BS!AQ62)*4</f>
        <v>0.18206345241069197</v>
      </c>
      <c r="AK68" s="47">
        <f>IS!BE81/AVERAGE(BS!AQ62,BS!AR62)*4</f>
        <v>0.24483043837882548</v>
      </c>
      <c r="AL68" s="47">
        <f>IS!BF81/AVERAGE(BS!AR62,BS!AS62)*4</f>
        <v>0.24862213805326924</v>
      </c>
      <c r="AM68" s="47">
        <f>IS!BG81/AVERAGE(BS!AS62,BS!AT62)*4</f>
        <v>0.23039939961068506</v>
      </c>
      <c r="AN68" s="46">
        <f>IS!BH81/AVERAGE(BS!AP62,BS!AU62)</f>
        <v>0.22387879665146801</v>
      </c>
      <c r="AO68" s="47">
        <f>IS!BI81/AVERAGE(BS!AU62,BS!AV62)*4</f>
        <v>0.18220679828089448</v>
      </c>
      <c r="AP68" s="47">
        <f>IS!BJ81/AVERAGE(BS!AV62,BS!AW62)*4</f>
        <v>0.22778657272179981</v>
      </c>
      <c r="AQ68" s="47">
        <f>IS!BK81/AVERAGE(BS!AW62,BS!AX62)*4</f>
        <v>0.23039745768322556</v>
      </c>
      <c r="AR68" s="47">
        <f>IS!BL81/AVERAGE(BS!AX62,BS!AY62)*4</f>
        <v>0.22792894085900609</v>
      </c>
      <c r="AS68" s="46">
        <f>IS!BM81/AVERAGE(BS!AU62,BS!AZ62)</f>
        <v>0.22373743210447244</v>
      </c>
      <c r="AT68" s="47">
        <f>IS!BN81/AVERAGE(BS!AZ62,BS!BA62)*4</f>
        <v>0.18047417290182999</v>
      </c>
      <c r="AU68" s="47">
        <f>IS!BO81/AVERAGE(BS!BA62,BS!BB62)*4</f>
        <v>0.25332623736029802</v>
      </c>
      <c r="AV68" s="47">
        <f>IS!BP81/AVERAGE(BS!BB62,BS!BC62)*4</f>
        <v>0.20959229588511114</v>
      </c>
      <c r="AW68" s="47">
        <f>IS!BQ81/AVERAGE(BS!BC62,BS!BD62)*4</f>
        <v>0.18478837799052469</v>
      </c>
      <c r="AX68" s="46">
        <f>IS!BR81/AVERAGE(BS!AZ62,BS!BE62)</f>
        <v>0.20295434573377411</v>
      </c>
      <c r="AY68" s="47">
        <f>IS!BS81/AVERAGE(BS!BE62,BS!BF62)*4</f>
        <v>0.18008751055500116</v>
      </c>
      <c r="AZ68" s="47">
        <f>IS!BT81/AVERAGE(BS!BF62,BS!BG62)*4</f>
        <v>0.22594535642428687</v>
      </c>
      <c r="BA68" s="47">
        <f>IS!BU81/AVERAGE(BS!BG62,BS!BH62)*4</f>
        <v>0.21380750125980852</v>
      </c>
      <c r="BB68" s="47">
        <f>IS!BV81/AVERAGE(BS!BH62,BS!BI62)*4</f>
        <v>0.20224012706185993</v>
      </c>
      <c r="BC68" s="46">
        <f>IS!BW81/AVERAGE(BS!BE62,BS!BJ62)</f>
        <v>0.19688473520249222</v>
      </c>
      <c r="BD68" s="47">
        <f>IS!BX81/AVERAGE(BS!BJ62,BS!BK62)*4</f>
        <v>0.14084726485206364</v>
      </c>
      <c r="BE68" s="47">
        <f>IS!BY81/AVERAGE(BS!BK62,BS!BL62)*4</f>
        <v>0.20320111343075853</v>
      </c>
      <c r="BF68" s="47">
        <f>IS!BZ81/AVERAGE(BS!BL62,BS!BM62)*4</f>
        <v>0.24176666568387534</v>
      </c>
      <c r="BG68" s="47">
        <f>IS!CA81/AVERAGE(BS!BM62,BS!BN62)*4</f>
        <v>0.2096166222303944</v>
      </c>
      <c r="BH68" s="46">
        <f>IS!CB81/AVERAGE(BS!BJ62,BS!BO62)</f>
        <v>0.20827850790278857</v>
      </c>
      <c r="BI68" s="47">
        <f>IS!CC81/AVERAGE(BS!BO62,BS!BP62)*4</f>
        <v>0.1742298247665503</v>
      </c>
      <c r="BJ68" s="47">
        <f>IS!CD81/AVERAGE(BS!BP62,BS!BQ62)*4</f>
        <v>0.20482287766615279</v>
      </c>
      <c r="BK68" s="47">
        <f>IS!CE81/AVERAGE(BS!BQ62,BS!BR62)*4</f>
        <v>0.19422624480469233</v>
      </c>
      <c r="BL68" s="47">
        <f>IS!CF81/AVERAGE(BS!BR62,BS!BS62)*4</f>
        <v>0.1793963685365306</v>
      </c>
      <c r="BM68" s="46">
        <f>IS!CG81/AVERAGE(BS!BO62,BS!BT62)</f>
        <v>0.19093393813105194</v>
      </c>
      <c r="BN68" s="47">
        <f>IS!CH81/AVERAGE(BS!BT62,BS!BU62)*4</f>
        <v>0.17541239611566836</v>
      </c>
      <c r="BO68" s="47">
        <f>IS!CI81/AVERAGE(BS!BU62,BS!BV62)*4</f>
        <v>0.21051477116445869</v>
      </c>
      <c r="BP68" s="47">
        <f>IS!CJ81/AVERAGE(BS!BV62,BS!BW62)*4</f>
        <v>0.20036995727302365</v>
      </c>
      <c r="BQ68" s="47">
        <f>IS!CK81/AVERAGE(BS!BW62,BS!BX62)*4</f>
        <v>0.17855758728816545</v>
      </c>
      <c r="BR68" s="46">
        <f>IS!CL81/AVERAGE(BS!BT62,BS!BY62)</f>
        <v>0.19876385678140415</v>
      </c>
      <c r="BS68" s="47">
        <f>IS!CM81/AVERAGE(BS!BY62,BS!BZ62)*4</f>
        <v>0.17189567360846791</v>
      </c>
      <c r="BT68" s="47">
        <f>IS!CN81/AVERAGE(BS!BZ62,BS!CA62)*4</f>
        <v>0.21113569847954888</v>
      </c>
      <c r="BU68" s="47">
        <f>IS!CO81/AVERAGE(BS!CA62,BS!CB62)*4</f>
        <v>0.18899164994941961</v>
      </c>
      <c r="BV68" s="47">
        <f>IS!CP81/AVERAGE(BS!CB62,BS!CC62)*4</f>
        <v>0.16632416251269938</v>
      </c>
      <c r="BW68" s="46">
        <f>IS!CQ81/AVERAGE(BS!BY62,BS!CD62)</f>
        <v>0.18239553761856683</v>
      </c>
      <c r="BX68" s="46">
        <f>IS!CV81/AVERAGE(BS!CD62,BS!CI62)</f>
        <v>0.17172727654405046</v>
      </c>
      <c r="BY68" s="46">
        <f>IS!CW81/AVERAGE(BS!CI62,BS!CJ62)</f>
        <v>0.17362991421258131</v>
      </c>
    </row>
    <row r="69" spans="1:77">
      <c r="A69" s="41" t="s">
        <v>69</v>
      </c>
      <c r="B69" s="46"/>
      <c r="C69" s="46">
        <f>IS!O58/AVERAGE(BS!J62+BS!J42,BS!I62+BS!I42)</f>
        <v>0.27232142857142855</v>
      </c>
      <c r="D69" s="46">
        <f>IS!T58/AVERAGE(BS!K62+BS!K42,BS!J62+BS!J42)</f>
        <v>0.28578126831555506</v>
      </c>
      <c r="E69" s="46">
        <f>IS!Y58/AVERAGE(BS!L62+BS!L42,BS!K62+BS!K42)</f>
        <v>0.26562122206486821</v>
      </c>
      <c r="F69" s="47">
        <f>IS!Z58/AVERAGE(BS!M62+BS!M42,BS!L62+BS!L42)*4</f>
        <v>0.22779325286289073</v>
      </c>
      <c r="G69" s="47">
        <f>IS!AA58/AVERAGE(BS!N62+BS!N42,BS!M62+BS!M42)*4</f>
        <v>0.29437910077706891</v>
      </c>
      <c r="H69" s="47">
        <f>IS!AB58/AVERAGE(BS!O62+BS!O42,BS!N62+BS!N42)*4</f>
        <v>0.26573385461065874</v>
      </c>
      <c r="I69" s="47">
        <f>IS!AC58/AVERAGE(BS!P62+BS!P42,BS!O62+BS!O42)*4</f>
        <v>0.23113247087093799</v>
      </c>
      <c r="J69" s="46">
        <f>IS!AD58/AVERAGE(BS!Q62+BS!Q42,BS!L62+BS!L42)</f>
        <v>0.25942369635239837</v>
      </c>
      <c r="K69" s="47">
        <f>IS!AE58/AVERAGE(BS!R62+BS!R42,BS!Q62+BS!Q42)*4</f>
        <v>0.23260288615713523</v>
      </c>
      <c r="L69" s="47">
        <f>IS!AF58/AVERAGE(BS!S62+BS!S42,BS!R62+BS!R42)*4</f>
        <v>0.29187493874350678</v>
      </c>
      <c r="M69" s="47">
        <f>IS!AG58/AVERAGE(BS!T62+BS!T42,BS!S62+BS!S42)*4</f>
        <v>0.25164208277460853</v>
      </c>
      <c r="N69" s="47">
        <f>IS!AH58/AVERAGE(BS!U62+BS!U42,BS!T62+BS!T42)*4</f>
        <v>0.2168931521449507</v>
      </c>
      <c r="O69" s="46">
        <f>IS!AI58/AVERAGE(BS!V62+BS!V42,BS!Q62+BS!Q42)</f>
        <v>0.25019916471525483</v>
      </c>
      <c r="P69" s="47">
        <f>IS!AJ58/AVERAGE(BS!W62+BS!W42,BS!V62+BS!V42)*4</f>
        <v>0.22181369898566083</v>
      </c>
      <c r="Q69" s="47">
        <f>IS!AK58/AVERAGE(BS!X62+BS!X42,BS!W62+BS!W42)*4</f>
        <v>0.28529291274068003</v>
      </c>
      <c r="R69" s="47">
        <f>IS!AL58/AVERAGE(BS!Y62+BS!Y42,BS!X62+BS!X42)*4</f>
        <v>0.25579499126383226</v>
      </c>
      <c r="S69" s="47">
        <f>IS!AM58/AVERAGE(BS!Z62+BS!Z42,BS!Y62+BS!Y42)*4</f>
        <v>0.22695937220621834</v>
      </c>
      <c r="T69" s="46">
        <f>IS!AN58/AVERAGE(BS!AA62+BS!AA42,BS!V62+BS!V42)</f>
        <v>0.25806178586542533</v>
      </c>
      <c r="U69" s="47">
        <f>IS!AO58/AVERAGE(BS!AB62+BS!AB42,BS!AA62+BS!AA42)*4</f>
        <v>0.24319353208691258</v>
      </c>
      <c r="V69" s="47">
        <f>IS!AP58/AVERAGE(BS!AC62+BS!AC42,BS!AB62+BS!AB42)*4</f>
        <v>0.29037971234503024</v>
      </c>
      <c r="W69" s="47">
        <f>IS!AQ58/AVERAGE(BS!AD62+BS!AD42,BS!AC62+BS!AC42)*4</f>
        <v>0.28191201448382702</v>
      </c>
      <c r="X69" s="47">
        <f>IS!AR58/AVERAGE(BS!AE62+BS!AE42,BS!AD62+BS!AD42)*4</f>
        <v>0.25294937132981821</v>
      </c>
      <c r="Y69" s="46">
        <f>IS!AS58/AVERAGE(BS!AF62+BS!AF42,BS!AA62+BS!AA42)</f>
        <v>0.26255027558468641</v>
      </c>
      <c r="Z69" s="47">
        <f>IS!AT58/AVERAGE(BS!AG62+BS!AG42,BS!AF62+BS!AF42)*4</f>
        <v>0.22709852467356284</v>
      </c>
      <c r="AA69" s="47">
        <f>IS!AU58/AVERAGE(BS!AH62+BS!AH42,BS!AG62+BS!AG42)*4</f>
        <v>0.28165990137206887</v>
      </c>
      <c r="AB69" s="47">
        <f>IS!AV58/AVERAGE(BS!AI62+BS!AI42,BS!AH62+BS!AH42)*4</f>
        <v>0.27682642618299724</v>
      </c>
      <c r="AC69" s="47">
        <f>IS!AW58/AVERAGE(BS!AJ62+BS!AJ42,BS!AI62+BS!AI42)*4</f>
        <v>0.26490358126721764</v>
      </c>
      <c r="AD69" s="46">
        <f>IS!AX58/AVERAGE(BS!AK62+BS!AK42,BS!AF62+BS!AF42)</f>
        <v>0.27918131224370241</v>
      </c>
      <c r="AE69" s="47">
        <f>IS!AY58/AVERAGE(BS!AL62+BS!AL42,BS!AK62+BS!AK42)*4</f>
        <v>0.1986638085030368</v>
      </c>
      <c r="AF69" s="47">
        <f>IS!AZ58/AVERAGE(BS!AM62+BS!AM42,BS!AL62+BS!AL42)*4</f>
        <v>0.25499492465058171</v>
      </c>
      <c r="AG69" s="47">
        <f>IS!BA58/AVERAGE(BS!AN62+BS!AN42,BS!AM62+BS!AM42)*4</f>
        <v>0.2653632919464346</v>
      </c>
      <c r="AH69" s="47">
        <f>IS!BB58/AVERAGE(BS!AO62+BS!AO42,BS!AN62+BS!AN42)*4</f>
        <v>0.26008318179362994</v>
      </c>
      <c r="AI69" s="46">
        <f>IS!BC58/AVERAGE(BS!AP62+BS!AP42,BS!AK62+BS!AK42)</f>
        <v>0.24108236743378689</v>
      </c>
      <c r="AJ69" s="47">
        <f>IS!BD58/AVERAGE(BS!AQ62+BS!AQ42,BS!AP62+BS!AP42)*4</f>
        <v>0.21258856427235764</v>
      </c>
      <c r="AK69" s="47">
        <f>IS!BE58/AVERAGE(BS!AR62+BS!AR42,BS!AQ62+BS!AQ42)*4</f>
        <v>0.25465465465465464</v>
      </c>
      <c r="AL69" s="47">
        <f>IS!BF58/AVERAGE(BS!AS62+BS!AS42,BS!AR62+BS!AR42)*4</f>
        <v>0.25502063722531282</v>
      </c>
      <c r="AM69" s="47">
        <f>IS!BG58/AVERAGE(BS!AT62+BS!AT42,BS!AS62+BS!AS42)*4</f>
        <v>0.23941326530612245</v>
      </c>
      <c r="AN69" s="46">
        <f>IS!BH58/AVERAGE(BS!AU62+BS!AU42,BS!AP62+BS!AP42)</f>
        <v>0.24408051173850431</v>
      </c>
      <c r="AO69" s="47">
        <f>IS!BI58/AVERAGE(BS!AV62+BS!AV42,BS!AU62+BS!AU42)*4</f>
        <v>0.2162911175146047</v>
      </c>
      <c r="AP69" s="47">
        <f>IS!BJ58/AVERAGE(BS!AW62+BS!AW42,BS!AV62+BS!AV42)*4</f>
        <v>0.27024422093366707</v>
      </c>
      <c r="AQ69" s="47">
        <f>IS!BK58/AVERAGE(BS!AX62+BS!AX42,BS!AW62+BS!AW42)*4</f>
        <v>0.27095449880260009</v>
      </c>
      <c r="AR69" s="47">
        <f>IS!BL58/AVERAGE(BS!AY62+BS!AY42,BS!AX62+BS!AX42)*4</f>
        <v>0.24665994454247542</v>
      </c>
      <c r="AS69" s="46">
        <f>IS!BM58/AVERAGE(BS!AZ62+BS!AZ42,BS!AU62+BS!AU42)</f>
        <v>0.25567095705365106</v>
      </c>
      <c r="AT69" s="47">
        <f>IS!BN58/AVERAGE(BS!BA62+BS!BA42,BS!AZ62+BS!AZ42)*4</f>
        <v>0.22069313805946594</v>
      </c>
      <c r="AU69" s="47">
        <f>IS!BO58/AVERAGE(BS!BB62+BS!BB42,BS!BA62+BS!BA42)*4</f>
        <v>0.23465756893265988</v>
      </c>
      <c r="AV69" s="47">
        <f>IS!BP58/AVERAGE(BS!BC62+BS!BC42,BS!BB62+BS!BB42)*4</f>
        <v>0.18245859677525214</v>
      </c>
      <c r="AW69" s="47">
        <f>IS!BQ58/AVERAGE(BS!BD62+BS!BD42,BS!BC62+BS!BC42)*4</f>
        <v>0.14769230769230771</v>
      </c>
      <c r="AX69" s="46">
        <f>IS!BR58/AVERAGE(BS!BE62+BS!BE42,BS!AZ62+BS!AZ42)</f>
        <v>0.19784008517973939</v>
      </c>
      <c r="AY69" s="47">
        <f>IS!BS58/AVERAGE(BS!BF62+BS!BF42,BS!BE62+BS!BE42)*4</f>
        <v>0.17003054252337921</v>
      </c>
      <c r="AZ69" s="47">
        <f>IS!BT58/AVERAGE(BS!BG62+BS!BG42,BS!BF62+BS!BF42)*4</f>
        <v>0.21545706837103692</v>
      </c>
      <c r="BA69" s="47">
        <f>IS!BU58/AVERAGE(BS!BH62+BS!BH42,BS!BG62+BS!BG42)*4</f>
        <v>0.1995737746019807</v>
      </c>
      <c r="BB69" s="47">
        <f>IS!BV58/AVERAGE(BS!BI62+BS!BI42,BS!BH62+BS!BH42)*4</f>
        <v>0.1897388190339005</v>
      </c>
      <c r="BC69" s="46">
        <f>IS!BW58/AVERAGE(BS!BJ62+BS!BJ42,BS!BE62+BS!BE42)</f>
        <v>0.18858330474787627</v>
      </c>
      <c r="BD69" s="47">
        <f>IS!BX58/AVERAGE(BS!BK62+BS!BK42,BS!BJ62+BS!BJ42)*4</f>
        <v>0.16329838032856467</v>
      </c>
      <c r="BE69" s="47">
        <f>IS!BY58/AVERAGE(BS!BL62+BS!BL42,BS!BK62+BS!BK42)*4</f>
        <v>0.18472578560543221</v>
      </c>
      <c r="BF69" s="47">
        <f>IS!BZ58/AVERAGE(BS!BM62+BS!BM42,BS!BL62+BS!BL42)*4</f>
        <v>0.21613476547407465</v>
      </c>
      <c r="BG69" s="47">
        <f>IS!CA58/AVERAGE(BS!BN62+BS!BN42,BS!BM62+BS!BM42)*4</f>
        <v>0.21197928528284699</v>
      </c>
      <c r="BH69" s="46">
        <f>IS!CB58/AVERAGE(BS!BO62+BS!BO42,BS!BJ62+BS!BJ42)</f>
        <v>0.19828784809120883</v>
      </c>
      <c r="BI69" s="47">
        <f>IS!CC58/AVERAGE(BS!BP62+BS!BP42,BS!BO62+BS!BO42)*4</f>
        <v>0.18454324709034581</v>
      </c>
      <c r="BJ69" s="47">
        <f>IS!CD58/AVERAGE(BS!BQ62+BS!BQ42,BS!BP62+BS!BP42)*4</f>
        <v>0.20347780949909161</v>
      </c>
      <c r="BK69" s="47">
        <f>IS!CE58/AVERAGE(BS!BR62+BS!BR42,BS!BQ62+BS!BQ42)*4</f>
        <v>0.18761959146054358</v>
      </c>
      <c r="BL69" s="47">
        <f>IS!CF58/AVERAGE(BS!BS62+BS!BS42,BS!BR62+BS!BR42)*4</f>
        <v>3.5102606823897091E-2</v>
      </c>
      <c r="BM69" s="46">
        <f>IS!CG58/AVERAGE(BS!BT62+BS!BT42,BS!BO62+BS!BO42)</f>
        <v>0.15494502051940728</v>
      </c>
      <c r="BN69" s="47">
        <f>IS!CH58/AVERAGE(BS!BU62+BS!BU42,BS!BT62+BS!BT42)*4</f>
        <v>0.1623672701330659</v>
      </c>
      <c r="BO69" s="47">
        <f>IS!CI58/AVERAGE(BS!BV62+BS!BV42,BS!BU62+BS!BU42)*4</f>
        <v>0.19020561952831425</v>
      </c>
      <c r="BP69" s="47">
        <f>IS!CJ58/AVERAGE(BS!BW62+BS!BW42,BS!BV62+BS!BV42)*4</f>
        <v>0.18483320993539357</v>
      </c>
      <c r="BQ69" s="47">
        <f>IS!CK58/AVERAGE(BS!BX62+BS!BX42,BS!BW62+BS!BW42)*4</f>
        <v>0.13728928669173771</v>
      </c>
      <c r="BR69" s="46">
        <f>IS!CL58/AVERAGE(BS!BY62+BS!BY42,BS!BT62+BS!BT42)</f>
        <v>0.17287450236571691</v>
      </c>
      <c r="BS69" s="47">
        <f>IS!CM58/AVERAGE(BS!BZ62+BS!BZ42,BS!BY62+BS!BY42)*4</f>
        <v>0.18738237460109647</v>
      </c>
      <c r="BT69" s="47">
        <f>IS!CN58/AVERAGE(BS!CA62+BS!CA42,BS!BZ62+BS!BZ42)*4</f>
        <v>0.18369917771804359</v>
      </c>
      <c r="BU69" s="47">
        <f>IS!CO58/AVERAGE(BS!CB62+BS!CB42,BS!CA62+BS!CA42)*4</f>
        <v>0.16528977810884715</v>
      </c>
      <c r="BV69" s="47">
        <f>IS!CP58/AVERAGE(BS!CC62+BS!CC42,BS!CB62+BS!CB42)*4</f>
        <v>0.14733003717515028</v>
      </c>
      <c r="BW69" s="46">
        <f>IS!CQ58/AVERAGE(BS!CD62+BS!CD42,BS!BY62+BS!BY42)</f>
        <v>0.16945646558431562</v>
      </c>
      <c r="BX69" s="46">
        <f>IS!CV58/AVERAGE(BS!CI62+BS!CI42,BS!CD62+BS!CD42)</f>
        <v>0.15526427060453121</v>
      </c>
      <c r="BY69" s="46">
        <f>IS!CW58/AVERAGE(BS!CJ62+BS!CJ42,BS!CI62+BS!CI42)</f>
        <v>0.16023055691168106</v>
      </c>
    </row>
    <row r="70" spans="1:77">
      <c r="A70" s="30"/>
      <c r="B70" s="37"/>
      <c r="C70" s="37"/>
      <c r="D70" s="37"/>
      <c r="E70" s="37"/>
      <c r="F70" s="38"/>
      <c r="G70" s="38"/>
      <c r="H70" s="38"/>
      <c r="I70" s="38"/>
      <c r="J70" s="37"/>
      <c r="K70" s="38"/>
      <c r="L70" s="38"/>
      <c r="M70" s="38"/>
      <c r="N70" s="38"/>
      <c r="O70" s="37"/>
      <c r="P70" s="38"/>
      <c r="Q70" s="38"/>
      <c r="R70" s="38"/>
      <c r="S70" s="38"/>
      <c r="T70" s="37"/>
      <c r="U70" s="38"/>
      <c r="V70" s="38"/>
      <c r="W70" s="38"/>
      <c r="X70" s="38"/>
      <c r="Y70" s="37"/>
      <c r="Z70" s="38"/>
      <c r="AA70" s="38"/>
      <c r="AB70" s="38"/>
      <c r="AC70" s="38"/>
      <c r="AD70" s="37"/>
      <c r="AE70" s="38"/>
      <c r="AF70" s="38"/>
      <c r="AG70" s="38"/>
      <c r="AH70" s="38"/>
      <c r="AI70" s="37"/>
      <c r="AJ70" s="38"/>
      <c r="AK70" s="38"/>
      <c r="AL70" s="38"/>
      <c r="AM70" s="38"/>
      <c r="AN70" s="37"/>
      <c r="AO70" s="38"/>
      <c r="AP70" s="38"/>
      <c r="AQ70" s="38"/>
      <c r="AR70" s="38"/>
      <c r="AS70" s="37"/>
      <c r="AT70" s="38"/>
      <c r="AU70" s="38"/>
      <c r="AV70" s="38"/>
      <c r="AW70" s="38"/>
      <c r="AX70" s="37"/>
      <c r="AY70" s="45"/>
      <c r="AZ70" s="45"/>
      <c r="BA70" s="45"/>
      <c r="BB70" s="45"/>
      <c r="BC70" s="37"/>
      <c r="BD70" s="45"/>
      <c r="BE70" s="45"/>
      <c r="BF70" s="45"/>
      <c r="BG70" s="45"/>
      <c r="BH70" s="37"/>
      <c r="BI70" s="45"/>
      <c r="BJ70" s="45"/>
      <c r="BK70" s="45"/>
      <c r="BL70" s="45"/>
      <c r="BM70" s="37"/>
      <c r="BN70" s="45"/>
      <c r="BO70" s="45"/>
      <c r="BP70" s="45"/>
      <c r="BQ70" s="45"/>
      <c r="BR70" s="37"/>
      <c r="BS70" s="45"/>
      <c r="BT70" s="45"/>
      <c r="BU70" s="45"/>
      <c r="BV70" s="45"/>
      <c r="BW70" s="37"/>
      <c r="BX70" s="37"/>
      <c r="BY70" s="37"/>
    </row>
    <row r="71" spans="1:77">
      <c r="A71" s="33" t="s">
        <v>68</v>
      </c>
      <c r="B71" s="42">
        <v>153800</v>
      </c>
      <c r="C71" s="42">
        <v>152000</v>
      </c>
      <c r="D71" s="42">
        <v>155000</v>
      </c>
      <c r="E71" s="42">
        <v>203300</v>
      </c>
      <c r="F71" s="38"/>
      <c r="G71" s="38"/>
      <c r="H71" s="38"/>
      <c r="I71" s="38"/>
      <c r="J71" s="42">
        <v>210000</v>
      </c>
      <c r="K71" s="38"/>
      <c r="L71" s="38"/>
      <c r="M71" s="38"/>
      <c r="N71" s="38"/>
      <c r="O71" s="42">
        <v>222200</v>
      </c>
      <c r="P71" s="38"/>
      <c r="Q71" s="38"/>
      <c r="R71" s="38"/>
      <c r="S71" s="38"/>
      <c r="T71" s="42">
        <v>214500</v>
      </c>
      <c r="U71" s="38"/>
      <c r="V71" s="38"/>
      <c r="W71" s="38"/>
      <c r="X71" s="38"/>
      <c r="Y71" s="42">
        <v>225600</v>
      </c>
      <c r="Z71" s="38"/>
      <c r="AA71" s="38"/>
      <c r="AB71" s="38"/>
      <c r="AC71" s="38"/>
      <c r="AD71" s="42">
        <v>223100</v>
      </c>
      <c r="AE71" s="38"/>
      <c r="AF71" s="38"/>
      <c r="AG71" s="38"/>
      <c r="AH71" s="38"/>
      <c r="AI71" s="42">
        <v>206700</v>
      </c>
      <c r="AJ71" s="38"/>
      <c r="AK71" s="38"/>
      <c r="AL71" s="38"/>
      <c r="AM71" s="38"/>
      <c r="AN71" s="42">
        <v>208200</v>
      </c>
      <c r="AO71" s="38"/>
      <c r="AP71" s="38"/>
      <c r="AQ71" s="38"/>
      <c r="AR71" s="38"/>
      <c r="AS71" s="42">
        <v>199900</v>
      </c>
      <c r="AT71" s="45"/>
      <c r="AU71" s="38"/>
      <c r="AV71" s="38"/>
      <c r="AW71" s="38"/>
      <c r="AX71" s="42">
        <v>218000</v>
      </c>
      <c r="AY71" s="45"/>
      <c r="AZ71" s="45"/>
      <c r="BA71" s="45"/>
      <c r="BB71" s="45"/>
      <c r="BC71" s="48">
        <v>212000</v>
      </c>
      <c r="BD71" s="45"/>
      <c r="BE71" s="45"/>
      <c r="BF71" s="45"/>
      <c r="BG71" s="45"/>
      <c r="BH71" s="48">
        <v>211000</v>
      </c>
      <c r="BI71" s="45"/>
      <c r="BJ71" s="45"/>
      <c r="BK71" s="45"/>
      <c r="BL71" s="45"/>
      <c r="BM71" s="48">
        <v>197000</v>
      </c>
      <c r="BN71" s="45"/>
      <c r="BO71" s="45"/>
      <c r="BP71" s="45"/>
      <c r="BQ71" s="45"/>
      <c r="BR71" s="37"/>
      <c r="BS71" s="45"/>
      <c r="BT71" s="45"/>
      <c r="BU71" s="45"/>
      <c r="BV71" s="45"/>
      <c r="BW71" s="37"/>
      <c r="BX71" s="37"/>
      <c r="BY71" s="37"/>
    </row>
    <row r="72" spans="1:77">
      <c r="A72" s="33" t="s">
        <v>67</v>
      </c>
      <c r="B72" s="73"/>
      <c r="C72" s="92">
        <f>(C7*1000)/( AVERAGE(C71,B71))</f>
        <v>182.45258338783518</v>
      </c>
      <c r="D72" s="92">
        <f>(D7*1000)/( AVERAGE(D71,C71))</f>
        <v>183.79153094462541</v>
      </c>
      <c r="E72" s="92">
        <f>(E7*1000)/( AVERAGE(E71,D71))</f>
        <v>173.22913759419481</v>
      </c>
      <c r="F72" s="80"/>
      <c r="G72" s="80"/>
      <c r="H72" s="80"/>
      <c r="I72" s="80"/>
      <c r="J72" s="92">
        <f>(J7*1000)/(AVERAGE(J71, E71))</f>
        <v>181.20009678199855</v>
      </c>
      <c r="K72" s="94"/>
      <c r="L72" s="94"/>
      <c r="M72" s="94"/>
      <c r="N72" s="94"/>
      <c r="O72" s="92">
        <f>(O7*1000)/(AVERAGE(O71, J71))</f>
        <v>197.70939379916706</v>
      </c>
      <c r="P72" s="94"/>
      <c r="Q72" s="94"/>
      <c r="R72" s="94"/>
      <c r="S72" s="94"/>
      <c r="T72" s="92">
        <f>(T7*1000)/(AVERAGE(T71, O71))</f>
        <v>219.04740096175865</v>
      </c>
      <c r="U72" s="94"/>
      <c r="V72" s="94"/>
      <c r="W72" s="94"/>
      <c r="X72" s="94"/>
      <c r="Y72" s="92">
        <f>(Y7*1000)/(AVERAGE(Y71, T71))</f>
        <v>248.84798909338787</v>
      </c>
      <c r="Z72" s="94"/>
      <c r="AA72" s="94"/>
      <c r="AB72" s="94"/>
      <c r="AC72" s="94"/>
      <c r="AD72" s="92">
        <f>(AD7*1000)/(AVERAGE(AD71, Y71))</f>
        <v>266.3561399598841</v>
      </c>
      <c r="AE72" s="94"/>
      <c r="AF72" s="94"/>
      <c r="AG72" s="94"/>
      <c r="AH72" s="94"/>
      <c r="AI72" s="92">
        <f>(AI7*1000)/(AVERAGE(AI71, AD71))</f>
        <v>243.9506747324337</v>
      </c>
      <c r="AJ72" s="94"/>
      <c r="AK72" s="94"/>
      <c r="AL72" s="94"/>
      <c r="AM72" s="94"/>
      <c r="AN72" s="92">
        <f>(AN7*1000)/(AVERAGE(AN71, AI71))</f>
        <v>261.87515063870813</v>
      </c>
      <c r="AO72" s="94"/>
      <c r="AP72" s="94"/>
      <c r="AQ72" s="94"/>
      <c r="AR72" s="94"/>
      <c r="AS72" s="92">
        <f>(AS7*1000)/(AVERAGE(AS71, AN71))</f>
        <v>273.23695172751775</v>
      </c>
      <c r="AT72" s="93"/>
      <c r="AU72" s="29"/>
      <c r="AV72" s="29"/>
      <c r="AW72" s="29"/>
      <c r="AX72" s="92">
        <f>(AX7*1000)/(AVERAGE(AX71, AS71))</f>
        <v>276.18090452261305</v>
      </c>
      <c r="AY72" s="74"/>
      <c r="AZ72" s="74"/>
      <c r="BA72" s="74"/>
      <c r="BB72" s="74"/>
      <c r="BC72" s="92">
        <f>(BC7*1000)/(AVERAGE(BC71, AX71))</f>
        <v>291.28372093023256</v>
      </c>
      <c r="BD72" s="74"/>
      <c r="BE72" s="74"/>
      <c r="BF72" s="74"/>
      <c r="BG72" s="74"/>
      <c r="BH72" s="92">
        <f>(BH7*1000)/(AVERAGE(BH71, BC71))</f>
        <v>307.80141843971631</v>
      </c>
      <c r="BI72" s="74"/>
      <c r="BJ72" s="74"/>
      <c r="BK72" s="74"/>
      <c r="BL72" s="74"/>
      <c r="BM72" s="92">
        <f>(BM7*1000)/(AVERAGE(BM71, BH71))</f>
        <v>274.70397643028934</v>
      </c>
      <c r="BN72" s="74"/>
      <c r="BO72" s="74"/>
      <c r="BP72" s="74"/>
      <c r="BQ72" s="74"/>
      <c r="BR72" s="26"/>
      <c r="BS72" s="74"/>
      <c r="BT72" s="74"/>
      <c r="BU72" s="74"/>
      <c r="BV72" s="74"/>
      <c r="BW72" s="26"/>
      <c r="BX72" s="26"/>
      <c r="BY72" s="26"/>
    </row>
    <row r="73" spans="1:77">
      <c r="A73" s="91" t="s">
        <v>66</v>
      </c>
      <c r="B73" s="90"/>
      <c r="C73" s="90"/>
      <c r="D73" s="90"/>
      <c r="E73" s="86">
        <f>(E9*1000)/E71</f>
        <v>23.492375799311361</v>
      </c>
      <c r="F73" s="89"/>
      <c r="G73" s="89"/>
      <c r="H73" s="89"/>
      <c r="I73" s="89"/>
      <c r="J73" s="86">
        <f>(J9*1000)/J71</f>
        <v>26.69047619047619</v>
      </c>
      <c r="K73" s="88"/>
      <c r="L73" s="88"/>
      <c r="M73" s="88"/>
      <c r="N73" s="88"/>
      <c r="O73" s="86">
        <f>(O9*1000)/O71</f>
        <v>28.276327632763277</v>
      </c>
      <c r="P73" s="88"/>
      <c r="Q73" s="88"/>
      <c r="R73" s="88"/>
      <c r="S73" s="88"/>
      <c r="T73" s="86">
        <f>(T9*1000)/T71</f>
        <v>33.421911421911425</v>
      </c>
      <c r="U73" s="88"/>
      <c r="V73" s="88"/>
      <c r="W73" s="88"/>
      <c r="X73" s="88"/>
      <c r="Y73" s="86">
        <f>(Y9*1000)/Y71</f>
        <v>36.591312056737586</v>
      </c>
      <c r="Z73" s="88"/>
      <c r="AA73" s="88"/>
      <c r="AB73" s="88"/>
      <c r="AC73" s="88"/>
      <c r="AD73" s="86">
        <f>(AD9*1000)/AD71</f>
        <v>40.896458987001346</v>
      </c>
      <c r="AE73" s="88"/>
      <c r="AF73" s="88"/>
      <c r="AG73" s="88"/>
      <c r="AH73" s="88"/>
      <c r="AI73" s="86">
        <f>(AI9*1000)/AI71</f>
        <v>40.295113691340106</v>
      </c>
      <c r="AJ73" s="88"/>
      <c r="AK73" s="88"/>
      <c r="AL73" s="88"/>
      <c r="AM73" s="88"/>
      <c r="AN73" s="86">
        <f>(AN9*1000)/AN71</f>
        <v>43.976945244956774</v>
      </c>
      <c r="AO73" s="88"/>
      <c r="AP73" s="88"/>
      <c r="AQ73" s="88"/>
      <c r="AR73" s="88"/>
      <c r="AS73" s="86">
        <f>(AS9*1000)/AS71</f>
        <v>46.583291645822911</v>
      </c>
      <c r="AT73" s="87"/>
      <c r="AU73" s="22"/>
      <c r="AV73" s="22"/>
      <c r="AW73" s="22"/>
      <c r="AX73" s="86">
        <f>(AX9*1000)/AX71</f>
        <v>44.11467889908257</v>
      </c>
      <c r="AY73" s="85"/>
      <c r="AZ73" s="85"/>
      <c r="BA73" s="85"/>
      <c r="BB73" s="85"/>
      <c r="BC73" s="86">
        <f>(BC9*1000)/BC71</f>
        <v>53.245283018867923</v>
      </c>
      <c r="BD73" s="85"/>
      <c r="BE73" s="85"/>
      <c r="BF73" s="85"/>
      <c r="BG73" s="85"/>
      <c r="BH73" s="86">
        <f>(BH9*1000)/BH71</f>
        <v>58.099526066350712</v>
      </c>
      <c r="BI73" s="85"/>
      <c r="BJ73" s="85"/>
      <c r="BK73" s="85"/>
      <c r="BL73" s="85"/>
      <c r="BM73" s="86">
        <f>(BM9*1000)/BM71</f>
        <v>55.994923857868024</v>
      </c>
      <c r="BN73" s="85"/>
      <c r="BO73" s="85"/>
      <c r="BP73" s="85"/>
      <c r="BQ73" s="85"/>
      <c r="BR73" s="19"/>
      <c r="BS73" s="85"/>
      <c r="BT73" s="85"/>
      <c r="BU73" s="85"/>
      <c r="BV73" s="85"/>
      <c r="BW73" s="19"/>
      <c r="BX73" s="19"/>
      <c r="BY73" s="19"/>
    </row>
    <row r="74" spans="1:77">
      <c r="A74" s="30"/>
      <c r="B74" s="32"/>
      <c r="C74" s="32"/>
      <c r="D74" s="32"/>
      <c r="E74" s="32"/>
      <c r="F74" s="30"/>
      <c r="G74" s="30"/>
      <c r="H74" s="30"/>
      <c r="I74" s="30"/>
      <c r="J74" s="32"/>
      <c r="K74" s="30"/>
      <c r="L74" s="30"/>
      <c r="M74" s="30"/>
      <c r="N74" s="30"/>
      <c r="O74" s="32"/>
      <c r="P74" s="66"/>
      <c r="Q74" s="66"/>
      <c r="R74" s="66"/>
      <c r="S74" s="66"/>
      <c r="T74" s="32"/>
      <c r="U74" s="66"/>
      <c r="V74" s="66"/>
      <c r="W74" s="66"/>
      <c r="X74" s="66"/>
      <c r="Y74" s="32"/>
      <c r="Z74" s="66"/>
      <c r="AA74" s="66"/>
      <c r="AB74" s="66"/>
      <c r="AC74" s="66"/>
      <c r="AD74" s="32"/>
      <c r="AE74" s="66"/>
      <c r="AF74" s="66"/>
      <c r="AG74" s="66"/>
      <c r="AH74" s="66"/>
      <c r="AI74" s="32"/>
      <c r="AJ74" s="66"/>
      <c r="AK74" s="66"/>
      <c r="AL74" s="66"/>
      <c r="AM74" s="66"/>
      <c r="AN74" s="32"/>
      <c r="AO74" s="66"/>
      <c r="AP74" s="66"/>
      <c r="AQ74" s="66"/>
      <c r="AR74" s="66"/>
      <c r="AS74" s="32"/>
      <c r="AT74" s="66"/>
      <c r="AU74" s="66"/>
      <c r="AV74" s="66"/>
      <c r="AW74" s="66"/>
      <c r="AX74" s="32"/>
      <c r="AY74" s="33"/>
      <c r="AZ74" s="33"/>
      <c r="BA74" s="33"/>
      <c r="BB74" s="33"/>
      <c r="BC74" s="62"/>
      <c r="BD74" s="33"/>
      <c r="BE74" s="33"/>
      <c r="BF74" s="33"/>
      <c r="BG74" s="33"/>
      <c r="BH74" s="62"/>
      <c r="BI74" s="33"/>
      <c r="BJ74" s="33"/>
      <c r="BK74" s="33"/>
      <c r="BL74" s="33"/>
      <c r="BM74" s="62"/>
      <c r="BN74" s="33"/>
      <c r="BO74" s="33"/>
      <c r="BP74" s="33"/>
      <c r="BQ74" s="33"/>
      <c r="BR74" s="62"/>
      <c r="BS74" s="33"/>
      <c r="BT74" s="33"/>
      <c r="BU74" s="33"/>
      <c r="BV74" s="33"/>
      <c r="BW74" s="62"/>
      <c r="BX74" s="62"/>
      <c r="BY74" s="62"/>
    </row>
    <row r="75" spans="1:77">
      <c r="A75" s="50" t="s">
        <v>65</v>
      </c>
      <c r="B75" s="32"/>
      <c r="C75" s="32"/>
      <c r="D75" s="32"/>
      <c r="E75" s="32"/>
      <c r="F75" s="30"/>
      <c r="G75" s="30"/>
      <c r="H75" s="30"/>
      <c r="I75" s="30"/>
      <c r="J75" s="32"/>
      <c r="K75" s="30"/>
      <c r="L75" s="30"/>
      <c r="M75" s="30"/>
      <c r="N75" s="30"/>
      <c r="O75" s="32"/>
      <c r="P75" s="66"/>
      <c r="Q75" s="66"/>
      <c r="R75" s="66"/>
      <c r="S75" s="66"/>
      <c r="T75" s="32"/>
      <c r="U75" s="66"/>
      <c r="V75" s="66"/>
      <c r="W75" s="66"/>
      <c r="X75" s="66"/>
      <c r="Y75" s="32"/>
      <c r="Z75" s="66"/>
      <c r="AA75" s="66"/>
      <c r="AB75" s="66"/>
      <c r="AC75" s="66"/>
      <c r="AD75" s="32"/>
      <c r="AE75" s="66"/>
      <c r="AF75" s="66"/>
      <c r="AG75" s="66"/>
      <c r="AH75" s="66"/>
      <c r="AI75" s="32"/>
      <c r="AJ75" s="66"/>
      <c r="AK75" s="66"/>
      <c r="AL75" s="66"/>
      <c r="AM75" s="66"/>
      <c r="AN75" s="32"/>
      <c r="AO75" s="66"/>
      <c r="AP75" s="66"/>
      <c r="AQ75" s="66"/>
      <c r="AR75" s="66"/>
      <c r="AS75" s="32"/>
      <c r="AT75" s="66"/>
      <c r="AU75" s="66"/>
      <c r="AV75" s="66"/>
      <c r="AW75" s="66"/>
      <c r="AX75" s="32"/>
      <c r="AY75" s="33"/>
      <c r="AZ75" s="33"/>
      <c r="BA75" s="33"/>
      <c r="BB75" s="33"/>
      <c r="BC75" s="62"/>
      <c r="BD75" s="33"/>
      <c r="BE75" s="33"/>
      <c r="BF75" s="33"/>
      <c r="BG75" s="33"/>
      <c r="BH75" s="62"/>
      <c r="BI75" s="33"/>
      <c r="BJ75" s="33"/>
      <c r="BK75" s="33"/>
      <c r="BL75" s="33"/>
      <c r="BM75" s="62"/>
      <c r="BN75" s="33"/>
      <c r="BO75" s="33"/>
      <c r="BP75" s="33"/>
      <c r="BQ75" s="33"/>
      <c r="BR75" s="62"/>
      <c r="BS75" s="33"/>
      <c r="BT75" s="33"/>
      <c r="BU75" s="33"/>
      <c r="BV75" s="33"/>
      <c r="BW75" s="62"/>
      <c r="BX75" s="62"/>
      <c r="BY75" s="62"/>
    </row>
    <row r="76" spans="1:77">
      <c r="A76" s="30"/>
      <c r="B76" s="32"/>
      <c r="C76" s="32"/>
      <c r="D76" s="32"/>
      <c r="E76" s="32"/>
      <c r="F76" s="30"/>
      <c r="G76" s="30"/>
      <c r="H76" s="30"/>
      <c r="I76" s="30"/>
      <c r="J76" s="32"/>
      <c r="K76" s="30"/>
      <c r="L76" s="30"/>
      <c r="M76" s="30"/>
      <c r="N76" s="30"/>
      <c r="O76" s="32"/>
      <c r="P76" s="66"/>
      <c r="Q76" s="66"/>
      <c r="R76" s="66"/>
      <c r="S76" s="66"/>
      <c r="T76" s="32"/>
      <c r="U76" s="66"/>
      <c r="V76" s="66"/>
      <c r="W76" s="66"/>
      <c r="X76" s="66"/>
      <c r="Y76" s="32"/>
      <c r="Z76" s="66"/>
      <c r="AA76" s="66"/>
      <c r="AB76" s="66"/>
      <c r="AC76" s="66"/>
      <c r="AD76" s="32"/>
      <c r="AE76" s="66"/>
      <c r="AF76" s="66"/>
      <c r="AG76" s="66"/>
      <c r="AH76" s="66"/>
      <c r="AI76" s="32"/>
      <c r="AJ76" s="66"/>
      <c r="AK76" s="66"/>
      <c r="AL76" s="66"/>
      <c r="AM76" s="66"/>
      <c r="AN76" s="32"/>
      <c r="AO76" s="66"/>
      <c r="AP76" s="66"/>
      <c r="AQ76" s="66"/>
      <c r="AR76" s="66"/>
      <c r="AS76" s="32"/>
      <c r="AT76" s="66"/>
      <c r="AU76" s="66"/>
      <c r="AV76" s="66"/>
      <c r="AW76" s="66"/>
      <c r="AX76" s="32"/>
      <c r="AY76" s="33"/>
      <c r="AZ76" s="33"/>
      <c r="BA76" s="33"/>
      <c r="BB76" s="33"/>
      <c r="BC76" s="62"/>
      <c r="BD76" s="33"/>
      <c r="BE76" s="33"/>
      <c r="BF76" s="33"/>
      <c r="BG76" s="33"/>
      <c r="BH76" s="62"/>
      <c r="BI76" s="33"/>
      <c r="BJ76" s="33"/>
      <c r="BK76" s="33"/>
      <c r="BL76" s="33"/>
      <c r="BM76" s="62"/>
      <c r="BN76" s="33"/>
      <c r="BO76" s="33"/>
      <c r="BP76" s="33"/>
      <c r="BQ76" s="33"/>
      <c r="BR76" s="62"/>
      <c r="BS76" s="33"/>
      <c r="BT76" s="33"/>
      <c r="BU76" s="33"/>
      <c r="BV76" s="33"/>
      <c r="BW76" s="62"/>
      <c r="BX76" s="62"/>
      <c r="BY76" s="62"/>
    </row>
    <row r="77" spans="1:77">
      <c r="A77" s="41" t="s">
        <v>64</v>
      </c>
      <c r="B77" s="83">
        <f>B20/B9</f>
        <v>1.01600400100025</v>
      </c>
      <c r="C77" s="83">
        <f>C20/C9</f>
        <v>0.82189463508941518</v>
      </c>
      <c r="D77" s="83">
        <f>D20/D9</f>
        <v>0.6370894160583942</v>
      </c>
      <c r="E77" s="83">
        <f>E20/E9</f>
        <v>0.77010050251256279</v>
      </c>
      <c r="F77" s="84">
        <f>F20/F9/4</f>
        <v>0.68723761544920237</v>
      </c>
      <c r="G77" s="84">
        <f>G20/G9/4</f>
        <v>0.49116666666666664</v>
      </c>
      <c r="H77" s="84">
        <f>H20/H9/4</f>
        <v>0.47937235543018336</v>
      </c>
      <c r="I77" s="84">
        <f>I20/I9/4</f>
        <v>0.62660135644310477</v>
      </c>
      <c r="J77" s="83">
        <f>J20/J9</f>
        <v>0.59339875111507578</v>
      </c>
      <c r="K77" s="84">
        <f>K20/SUM(G9:I9,K9)</f>
        <v>0.51658003226384652</v>
      </c>
      <c r="L77" s="84">
        <f>L20/SUM(H9:I9,K9:L9)</f>
        <v>0.90842745438748917</v>
      </c>
      <c r="M77" s="84">
        <f>M20/SUM(I9,K9:M9)</f>
        <v>0.94599072233267067</v>
      </c>
      <c r="N77" s="84">
        <f>N20/SUM(K9,L9:N9)</f>
        <v>0.95384370523635209</v>
      </c>
      <c r="O77" s="83">
        <f>O20/O9</f>
        <v>0.95384370523635209</v>
      </c>
      <c r="P77" s="84">
        <f>P20/SUM(L9:N9,P9)</f>
        <v>0.90426189005558988</v>
      </c>
      <c r="Q77" s="84">
        <f>Q20/SUM(M9:N9,P9:Q9)</f>
        <v>0.87193945689271402</v>
      </c>
      <c r="R77" s="84">
        <f>R20/SUM(N9,P9:R9)</f>
        <v>0.77122776821572003</v>
      </c>
      <c r="S77" s="84">
        <f>S20/SUM(P9,Q9:S9)</f>
        <v>0.75115078811549729</v>
      </c>
      <c r="T77" s="83">
        <f>T20/T9</f>
        <v>0.75115078811549729</v>
      </c>
      <c r="U77" s="84">
        <f>U20/SUM(Q9:S9,U9)</f>
        <v>0.78148648648648644</v>
      </c>
      <c r="V77" s="84">
        <f>V20/SUM(R9:S9,U9:V9)</f>
        <v>0.69493969585736759</v>
      </c>
      <c r="W77" s="84">
        <f>W20/SUM(S9,U9:W9)</f>
        <v>0.82420639939294293</v>
      </c>
      <c r="X77" s="84">
        <f>X20/SUM(U9,V9:X9)</f>
        <v>0.75639006662628705</v>
      </c>
      <c r="Y77" s="83">
        <f>Y20/Y9</f>
        <v>0.75639006662628705</v>
      </c>
      <c r="Z77" s="84">
        <f>Z20/SUM(V9:X9,Z9)</f>
        <v>0.80689816987329888</v>
      </c>
      <c r="AA77" s="84">
        <f>AA20/SUM(W9:X9,Z9:AA9)</f>
        <v>0.82109058134294732</v>
      </c>
      <c r="AB77" s="84">
        <f>AB20/SUM(X9,Z9:AB9)</f>
        <v>0.74285400175901495</v>
      </c>
      <c r="AC77" s="84">
        <f>AC20/SUM(Z9,AA9:AC9)</f>
        <v>0.78353792196405081</v>
      </c>
      <c r="AD77" s="83">
        <f>AD20/AD9</f>
        <v>0.78353792196405081</v>
      </c>
      <c r="AE77" s="84">
        <f>AE20/SUM(AA9:AC9,AE9)</f>
        <v>0.85896196918878975</v>
      </c>
      <c r="AF77" s="84">
        <f>AF20/SUM(AB9:AC9,AE9:AF9)</f>
        <v>0.80521018354055651</v>
      </c>
      <c r="AG77" s="84">
        <f>AG20/SUM(AC9,AE9:AG9)</f>
        <v>0.70426810758302472</v>
      </c>
      <c r="AH77" s="84">
        <f>AH20/SUM(AE9,AF9:AH9)</f>
        <v>0.6357305799015488</v>
      </c>
      <c r="AI77" s="83">
        <f>AI20/AI9</f>
        <v>0.6357305799015488</v>
      </c>
      <c r="AJ77" s="84">
        <f>AJ20/SUM(AF9:AH9,AJ9)</f>
        <v>0.83813980696109969</v>
      </c>
      <c r="AK77" s="84">
        <f>AK20/SUM(AG9:AH9,AJ9:AK9)</f>
        <v>0.80684931506849311</v>
      </c>
      <c r="AL77" s="84">
        <f>AL20/SUM(AH9,AJ9:AL9)</f>
        <v>0.72998944620341055</v>
      </c>
      <c r="AM77" s="84">
        <f>AM20/SUM(AJ9,AK9:AM9)</f>
        <v>0.67780690257754483</v>
      </c>
      <c r="AN77" s="83">
        <f>AN20/AN9</f>
        <v>0.67780690257754483</v>
      </c>
      <c r="AO77" s="84">
        <f>AO20/SUM(AK9:AM9,AO9)</f>
        <v>0.65126548196015077</v>
      </c>
      <c r="AP77" s="84">
        <f>AP20/SUM(AL9:AM9,AO9:AP9)</f>
        <v>0.64123931623931629</v>
      </c>
      <c r="AQ77" s="84">
        <f>AQ20/SUM(AM9,AO9:AQ9)</f>
        <v>0.57407210464745295</v>
      </c>
      <c r="AR77" s="84">
        <f>AR20/SUM(AO9,AP9:AR9)</f>
        <v>0.46176975945017185</v>
      </c>
      <c r="AS77" s="83">
        <f>AS20/AS9</f>
        <v>0.46176975945017185</v>
      </c>
      <c r="AT77" s="84">
        <f>AT20/SUM(AP9:AR9,AT9)</f>
        <v>0.37666523420713366</v>
      </c>
      <c r="AU77" s="84">
        <f>AU20/SUM(AQ9:AR9,AT9:AU9)</f>
        <v>0.43352291018349609</v>
      </c>
      <c r="AV77" s="84">
        <f>AV20/SUM(AR9,AT9:AV9)</f>
        <v>2.3967982924226252</v>
      </c>
      <c r="AW77" s="84">
        <f>AW20/SUM(AT9,AU9:AW9)</f>
        <v>1.913486534262244</v>
      </c>
      <c r="AX77" s="83">
        <f>AX20/AX9</f>
        <v>1.913486534262244</v>
      </c>
      <c r="AY77" s="84">
        <f>AY20/SUM(AU9:AW9,AY9)</f>
        <v>1.7986851280007969</v>
      </c>
      <c r="AZ77" s="84">
        <f>AZ20/SUM(AV9:AW9,AY9:AZ9)</f>
        <v>1.592677127912506</v>
      </c>
      <c r="BA77" s="84">
        <f>BA20/SUM(AW9,AY9:BA9)</f>
        <v>1.5193506969919295</v>
      </c>
      <c r="BB77" s="84">
        <f>BB20/SUM(AY9,AZ9:BB9)</f>
        <v>1.3839475549255846</v>
      </c>
      <c r="BC77" s="83">
        <f>BC20/BC9</f>
        <v>1.3839475549255846</v>
      </c>
      <c r="BD77" s="84">
        <f>BD20/SUM(AZ9:BB9,BD9)</f>
        <v>1.3519194024665624</v>
      </c>
      <c r="BE77" s="84">
        <f>BE20/SUM(BA9:BB9,BD9:BE9)</f>
        <v>1.283009255328182</v>
      </c>
      <c r="BF77" s="84">
        <f>BF20/SUM(BB9,BD9:BF9)</f>
        <v>1.2458784346378018</v>
      </c>
      <c r="BG77" s="84">
        <f>BG20/SUM(BD9,BE9:BG9)</f>
        <v>1.1876172607879925</v>
      </c>
      <c r="BH77" s="83">
        <f>BH20/BH9</f>
        <v>1.1876172607879925</v>
      </c>
      <c r="BI77" s="84">
        <f>BI20/SUM(BE9:BG9,BI9)</f>
        <v>1.3726367283990668</v>
      </c>
      <c r="BJ77" s="84">
        <f>BJ20/SUM(BF9:BG9,BI9:BJ9)</f>
        <v>1.3855320577374959</v>
      </c>
      <c r="BK77" s="84">
        <f>BK20/SUM(BG9,BI9:BK9)</f>
        <v>1.4821520951888256</v>
      </c>
      <c r="BL77" s="84">
        <f>BL20/SUM(BI9,BJ9:BL9)</f>
        <v>1.2102257274952406</v>
      </c>
      <c r="BM77" s="83">
        <f>BM20/BM9</f>
        <v>1.2102257274952406</v>
      </c>
      <c r="BN77" s="84">
        <f>BN20/SUM(BJ9:BL9,BN9)</f>
        <v>1.4531250229636916</v>
      </c>
      <c r="BO77" s="84">
        <f>BO20/SUM(BK9:BL9,BN9:BO9)</f>
        <v>1.4438130155820348</v>
      </c>
      <c r="BP77" s="84">
        <f>BP20/SUM(BL9,BN9:BP9)</f>
        <v>1.4240732265446223</v>
      </c>
      <c r="BQ77" s="84">
        <f>BQ20/SUM(BN9,BO9:BQ9)</f>
        <v>1.5257882267176963</v>
      </c>
      <c r="BR77" s="83">
        <f>BR20/BR9</f>
        <v>1.5257882267176963</v>
      </c>
      <c r="BS77" s="84">
        <f>BS20/SUM(BO9:BQ9,BS9)</f>
        <v>1.5911249086924764</v>
      </c>
      <c r="BT77" s="84">
        <f>BT20/SUM(BP9:BQ9,BS9:BT9)</f>
        <v>1.5897884084636615</v>
      </c>
      <c r="BU77" s="84">
        <f>BU20/SUM(BQ9,BS9:BU9)</f>
        <v>1.7240522635259476</v>
      </c>
      <c r="BV77" s="84">
        <f>BV20/SUM(BS9,BT9:BV9)</f>
        <v>1.6297327433633888</v>
      </c>
      <c r="BW77" s="83">
        <f>BW20/BW9</f>
        <v>1.6297327433633888</v>
      </c>
      <c r="BX77" s="83">
        <f>BX20/BX9</f>
        <v>1.2773151392554438</v>
      </c>
      <c r="BY77" s="83">
        <f>BY20/BY9</f>
        <v>0.80192757473697596</v>
      </c>
    </row>
    <row r="78" spans="1:77">
      <c r="A78" s="30" t="s">
        <v>63</v>
      </c>
      <c r="B78" s="81">
        <f>B19/B9</f>
        <v>1.2030507626906726</v>
      </c>
      <c r="C78" s="81">
        <f>C19/C9</f>
        <v>1.1984050265828903</v>
      </c>
      <c r="D78" s="81">
        <f>D19/D9</f>
        <v>1.1115419708029197</v>
      </c>
      <c r="E78" s="81">
        <f>E19/E9</f>
        <v>1.1099246231155779</v>
      </c>
      <c r="F78" s="82">
        <f>F19/F9/4</f>
        <v>1.0505877413937867</v>
      </c>
      <c r="G78" s="82">
        <f>G19/G9/4</f>
        <v>0.82750000000000001</v>
      </c>
      <c r="H78" s="82">
        <f>H19/H9/4</f>
        <v>0.89192524682651619</v>
      </c>
      <c r="I78" s="82">
        <f>I19/I9/4</f>
        <v>1.053315749811605</v>
      </c>
      <c r="J78" s="81">
        <f>J19/J9</f>
        <v>0.99750223015165029</v>
      </c>
      <c r="K78" s="82">
        <f>K19/SUM(G9:I9,K9)</f>
        <v>0.86843520344147695</v>
      </c>
      <c r="L78" s="82">
        <f>L19/SUM(H9:I9,K9:L9)</f>
        <v>1.2533449174630755</v>
      </c>
      <c r="M78" s="82">
        <f>M19/SUM(I9,K9:M9)</f>
        <v>1.294234592445328</v>
      </c>
      <c r="N78" s="82">
        <f>N19/SUM(K9,L9:N9)</f>
        <v>1.3114754098360655</v>
      </c>
      <c r="O78" s="81">
        <f>O19/O9</f>
        <v>1.3114754098360655</v>
      </c>
      <c r="P78" s="82">
        <f>P19/SUM(L9:N9,P9)</f>
        <v>1.2774861025324273</v>
      </c>
      <c r="Q78" s="82">
        <f>Q19/SUM(M9:N9,P9:Q9)</f>
        <v>1.2997477370529753</v>
      </c>
      <c r="R78" s="82">
        <f>R19/SUM(N9,P9:R9)</f>
        <v>1.1891853126792886</v>
      </c>
      <c r="S78" s="82">
        <f>S19/SUM(P9,Q9:S9)</f>
        <v>1.1062909750313852</v>
      </c>
      <c r="T78" s="81">
        <f>T19/T9</f>
        <v>1.1062909750313852</v>
      </c>
      <c r="U78" s="82">
        <f>U19/SUM(Q9:S9,U9)</f>
        <v>1.1167567567567567</v>
      </c>
      <c r="V78" s="82">
        <f>V19/SUM(R9:S9,U9:V9)</f>
        <v>1.1265076035658101</v>
      </c>
      <c r="W78" s="82">
        <f>W19/SUM(S9,U9:W9)</f>
        <v>1.1795877070949792</v>
      </c>
      <c r="X78" s="82">
        <f>X19/SUM(U9,V9:X9)</f>
        <v>1.1081768625075712</v>
      </c>
      <c r="Y78" s="81">
        <f>Y19/Y9</f>
        <v>1.1081768625075712</v>
      </c>
      <c r="Z78" s="82">
        <f>Z19/SUM(V9:X9,Z9)</f>
        <v>1.1751525105584233</v>
      </c>
      <c r="AA78" s="82">
        <f>AA19/SUM(W9:X9,Z9:AA9)</f>
        <v>1.2088778729157279</v>
      </c>
      <c r="AB78" s="82">
        <f>AB19/SUM(X9,Z9:AB9)</f>
        <v>1.1402814423922603</v>
      </c>
      <c r="AC78" s="82">
        <f>AC19/SUM(Z9,AA9:AC9)</f>
        <v>1.2577816747040771</v>
      </c>
      <c r="AD78" s="81">
        <f>AD19/AD9</f>
        <v>1.2577816747040771</v>
      </c>
      <c r="AE78" s="82">
        <f>AE19/SUM(AA9:AC9,AE9)</f>
        <v>1.2309703825820022</v>
      </c>
      <c r="AF78" s="82">
        <f>AF19/SUM(AB9:AC9,AE9:AF9)</f>
        <v>1.2807578448786263</v>
      </c>
      <c r="AG78" s="82">
        <f>AG19/SUM(AC9,AE9:AG9)</f>
        <v>1.2667111893631231</v>
      </c>
      <c r="AH78" s="82">
        <f>AH19/SUM(AE9,AF9:AH9)</f>
        <v>1.1698883419378077</v>
      </c>
      <c r="AI78" s="81">
        <f>AI19/AI9</f>
        <v>1.1698883419378077</v>
      </c>
      <c r="AJ78" s="82">
        <f>AJ19/SUM(AF9:AH9,AJ9)</f>
        <v>1.3983035975431413</v>
      </c>
      <c r="AK78" s="82">
        <f>AK19/SUM(AG9:AH9,AJ9:AK9)</f>
        <v>1.3772831050228311</v>
      </c>
      <c r="AL78" s="82">
        <f>AL19/SUM(AH9,AJ9:AL9)</f>
        <v>1.3666611120368828</v>
      </c>
      <c r="AM78" s="82">
        <f>AM19/SUM(AJ9,AK9:AM9)</f>
        <v>1.1237439930100481</v>
      </c>
      <c r="AN78" s="81">
        <f>AN19/AN9</f>
        <v>1.1237439930100481</v>
      </c>
      <c r="AO78" s="82">
        <f>AO19/SUM(AK9:AM9,AO9)</f>
        <v>1.129456112008616</v>
      </c>
      <c r="AP78" s="82">
        <f>AP19/SUM(AL9:AM9,AO9:AP9)</f>
        <v>1.2177350427350426</v>
      </c>
      <c r="AQ78" s="82">
        <f>AQ19/SUM(AM9,AO9:AQ9)</f>
        <v>1.2085504626183132</v>
      </c>
      <c r="AR78" s="82">
        <f>AR19/SUM(AO9,AP9:AR9)</f>
        <v>1.1018041237113403</v>
      </c>
      <c r="AS78" s="81">
        <f>AS19/AS9</f>
        <v>1.1018041237113403</v>
      </c>
      <c r="AT78" s="82">
        <f>AT19/SUM(AP9:AR9,AT9)</f>
        <v>1.0518908465835841</v>
      </c>
      <c r="AU78" s="82">
        <f>AU19/SUM(AQ9:AR9,AT9:AU9)</f>
        <v>2.2235218371069858</v>
      </c>
      <c r="AV78" s="82">
        <f>AV19/SUM(AR9,AT9:AV9)</f>
        <v>3.0629669156883672</v>
      </c>
      <c r="AW78" s="82">
        <f>AW19/SUM(AT9,AU9:AW9)</f>
        <v>2.4145783508370595</v>
      </c>
      <c r="AX78" s="81">
        <f>AX19/AX9</f>
        <v>2.4145783508370595</v>
      </c>
      <c r="AY78" s="82">
        <f>AY19/SUM(AU9:AW9,AY9)</f>
        <v>2.2735332204402829</v>
      </c>
      <c r="AZ78" s="82">
        <f>AZ19/SUM(AV9:AW9,AY9:AZ9)</f>
        <v>2.0595339990489778</v>
      </c>
      <c r="BA78" s="82">
        <f>BA19/SUM(AW9,AY9:BA9)</f>
        <v>1.9431401320616288</v>
      </c>
      <c r="BB78" s="82">
        <f>BB19/SUM(AY9,AZ9:BB9)</f>
        <v>1.7931431608788093</v>
      </c>
      <c r="BC78" s="81">
        <f>BC19/BC9</f>
        <v>1.7931431608788093</v>
      </c>
      <c r="BD78" s="82">
        <f>BD19/SUM(AZ9:BB9,BD9)</f>
        <v>1.7407503908285566</v>
      </c>
      <c r="BE78" s="82">
        <f>BE19/SUM(BA9:BB9,BD9:BE9)</f>
        <v>1.7043389657807591</v>
      </c>
      <c r="BF78" s="82">
        <f>BF19/SUM(BB9,BD9:BF9)</f>
        <v>1.66511240632806</v>
      </c>
      <c r="BG78" s="82">
        <f>BG19/SUM(BD9,BE9:BG9)</f>
        <v>1.6146504608858798</v>
      </c>
      <c r="BH78" s="81">
        <f>BH19/BH9</f>
        <v>1.6146504608858798</v>
      </c>
      <c r="BI78" s="82">
        <f>BI19/SUM(BE9:BG9,BI9)</f>
        <v>1.8063905916515481</v>
      </c>
      <c r="BJ78" s="82">
        <f>BJ19/SUM(BF9:BG9,BI9:BJ9)</f>
        <v>1.8834340382678751</v>
      </c>
      <c r="BK78" s="82">
        <f>BK19/SUM(BG9,BI9:BK9)</f>
        <v>1.9543886877047767</v>
      </c>
      <c r="BL78" s="82">
        <f>BL19/SUM(BI9,BJ9:BL9)</f>
        <v>1.8516000362614451</v>
      </c>
      <c r="BM78" s="81">
        <f>BM19/BM9</f>
        <v>1.8516000362614451</v>
      </c>
      <c r="BN78" s="82">
        <f>BN19/SUM(BJ9:BL9,BN9)</f>
        <v>2.1151796479121026</v>
      </c>
      <c r="BO78" s="82">
        <f>BO19/SUM(BK9:BL9,BN9:BO9)</f>
        <v>2.0657195233730521</v>
      </c>
      <c r="BP78" s="82">
        <f>BP19/SUM(BL9,BN9:BP9)</f>
        <v>2.0745995423340959</v>
      </c>
      <c r="BQ78" s="82">
        <f>BQ19/SUM(BN9,BO9:BQ9)</f>
        <v>2.1779661016949152</v>
      </c>
      <c r="BR78" s="81">
        <f>BR19/BR9</f>
        <v>2.1779661016949152</v>
      </c>
      <c r="BS78" s="82">
        <f>BS19/SUM(BO9:BQ9,BS9)</f>
        <v>2.2445215485756025</v>
      </c>
      <c r="BT78" s="82">
        <f>BT19/SUM(BP9:BQ9,BS9:BT9)</f>
        <v>2.4494940202391904</v>
      </c>
      <c r="BU78" s="82">
        <f>BU19/SUM(BQ9,BS9:BU9)</f>
        <v>2.5082811924917188</v>
      </c>
      <c r="BV78" s="82">
        <f>BV19/SUM(BS9,BT9:BV9)</f>
        <v>2.5231705709132575</v>
      </c>
      <c r="BW78" s="81">
        <f>BW19/BW9</f>
        <v>2.5231705709132575</v>
      </c>
      <c r="BX78" s="81">
        <f>BX19/BX9</f>
        <v>2.6211975333661668</v>
      </c>
      <c r="BY78" s="81">
        <f>BY19/BY9</f>
        <v>2.4091353671568876</v>
      </c>
    </row>
    <row r="79" spans="1:77">
      <c r="A79" s="30" t="s">
        <v>62</v>
      </c>
      <c r="B79" s="81">
        <f t="shared" ref="B79:AG79" si="20">B16/B17</f>
        <v>0.56029962546816481</v>
      </c>
      <c r="C79" s="81">
        <f t="shared" si="20"/>
        <v>2.1578947368421053</v>
      </c>
      <c r="D79" s="81">
        <f t="shared" si="20"/>
        <v>8.6307053941908709</v>
      </c>
      <c r="E79" s="81">
        <f t="shared" si="20"/>
        <v>1.5545977011494252</v>
      </c>
      <c r="F79" s="82">
        <f t="shared" si="20"/>
        <v>2.3266129032258065</v>
      </c>
      <c r="G79" s="82">
        <f t="shared" si="20"/>
        <v>2.8105849582172704</v>
      </c>
      <c r="H79" s="82">
        <f t="shared" si="20"/>
        <v>2.9068322981366461</v>
      </c>
      <c r="I79" s="82">
        <f t="shared" si="20"/>
        <v>1.6654411764705883</v>
      </c>
      <c r="J79" s="81">
        <f t="shared" si="20"/>
        <v>1.6654411764705883</v>
      </c>
      <c r="K79" s="82">
        <f t="shared" si="20"/>
        <v>3.1559485530546625</v>
      </c>
      <c r="L79" s="82">
        <f t="shared" si="20"/>
        <v>3.3193979933110369</v>
      </c>
      <c r="M79" s="82">
        <f t="shared" si="20"/>
        <v>1.4536652835408022</v>
      </c>
      <c r="N79" s="82">
        <f t="shared" si="20"/>
        <v>0.97483731019522779</v>
      </c>
      <c r="O79" s="81">
        <f t="shared" si="20"/>
        <v>0.97483731019522779</v>
      </c>
      <c r="P79" s="82">
        <f t="shared" si="20"/>
        <v>1.0422595946528677</v>
      </c>
      <c r="Q79" s="82">
        <f t="shared" si="20"/>
        <v>1.6978798586572439</v>
      </c>
      <c r="R79" s="82">
        <f t="shared" si="20"/>
        <v>2.380718954248366</v>
      </c>
      <c r="S79" s="82">
        <f t="shared" si="20"/>
        <v>2.8478747203579418</v>
      </c>
      <c r="T79" s="81">
        <f t="shared" si="20"/>
        <v>2.8478747203579418</v>
      </c>
      <c r="U79" s="82">
        <f t="shared" si="20"/>
        <v>2.0187144019528072</v>
      </c>
      <c r="V79" s="82">
        <f t="shared" si="20"/>
        <v>2.1266149870801034</v>
      </c>
      <c r="W79" s="82">
        <f t="shared" si="20"/>
        <v>1.2389770723104057</v>
      </c>
      <c r="X79" s="82">
        <f t="shared" si="20"/>
        <v>2.563106796116505</v>
      </c>
      <c r="Y79" s="81">
        <f t="shared" si="20"/>
        <v>2.563106796116505</v>
      </c>
      <c r="Z79" s="82">
        <f t="shared" si="20"/>
        <v>1.5671492760858712</v>
      </c>
      <c r="AA79" s="82">
        <f t="shared" si="20"/>
        <v>1.3117378048780488</v>
      </c>
      <c r="AB79" s="82">
        <f t="shared" si="20"/>
        <v>1.6002656042496679</v>
      </c>
      <c r="AC79" s="82">
        <f t="shared" si="20"/>
        <v>2.0229079008882653</v>
      </c>
      <c r="AD79" s="81">
        <f t="shared" si="20"/>
        <v>2.0229079008882653</v>
      </c>
      <c r="AE79" s="82">
        <f t="shared" si="20"/>
        <v>2.1640211640211642</v>
      </c>
      <c r="AF79" s="82">
        <f t="shared" si="20"/>
        <v>1.9169451073985679</v>
      </c>
      <c r="AG79" s="82">
        <f t="shared" si="20"/>
        <v>2.7199060481503228</v>
      </c>
      <c r="AH79" s="82">
        <f t="shared" ref="AH79:BM79" si="21">AH16/AH17</f>
        <v>2.9919300605245462</v>
      </c>
      <c r="AI79" s="81">
        <f t="shared" si="21"/>
        <v>2.9919300605245462</v>
      </c>
      <c r="AJ79" s="82">
        <f t="shared" si="21"/>
        <v>2.4579055441478439</v>
      </c>
      <c r="AK79" s="82">
        <f t="shared" si="21"/>
        <v>2.4664363277393879</v>
      </c>
      <c r="AL79" s="82">
        <f t="shared" si="21"/>
        <v>2.5688032272523533</v>
      </c>
      <c r="AM79" s="82">
        <f t="shared" si="21"/>
        <v>14.634408602150538</v>
      </c>
      <c r="AN79" s="81">
        <f t="shared" si="21"/>
        <v>14.634408602150538</v>
      </c>
      <c r="AO79" s="82">
        <f t="shared" si="21"/>
        <v>8.8622754491017961</v>
      </c>
      <c r="AP79" s="82">
        <f t="shared" si="21"/>
        <v>2.8310598111227701</v>
      </c>
      <c r="AQ79" s="82">
        <f t="shared" si="21"/>
        <v>3.202361782071927</v>
      </c>
      <c r="AR79" s="82">
        <f t="shared" si="21"/>
        <v>7.8524374176548086</v>
      </c>
      <c r="AS79" s="81">
        <f t="shared" si="21"/>
        <v>7.8524374176548086</v>
      </c>
      <c r="AT79" s="82">
        <f t="shared" si="21"/>
        <v>20.95</v>
      </c>
      <c r="AU79" s="82">
        <f t="shared" si="21"/>
        <v>61.553505535055351</v>
      </c>
      <c r="AV79" s="82">
        <f t="shared" si="21"/>
        <v>1.1797391797391796</v>
      </c>
      <c r="AW79" s="82">
        <f t="shared" si="21"/>
        <v>2.9673645320197046</v>
      </c>
      <c r="AX79" s="81">
        <f t="shared" si="21"/>
        <v>2.9673645320197046</v>
      </c>
      <c r="AY79" s="82">
        <f t="shared" si="21"/>
        <v>3.8075079872204474</v>
      </c>
      <c r="AZ79" s="82">
        <f t="shared" si="21"/>
        <v>3.8321623731459797</v>
      </c>
      <c r="BA79" s="82">
        <f t="shared" si="21"/>
        <v>3.2936564504632928</v>
      </c>
      <c r="BB79" s="82">
        <f t="shared" si="21"/>
        <v>9.2379999999999995</v>
      </c>
      <c r="BC79" s="81">
        <f t="shared" si="21"/>
        <v>9.2379999999999995</v>
      </c>
      <c r="BD79" s="82">
        <f t="shared" si="21"/>
        <v>14.726973684210526</v>
      </c>
      <c r="BE79" s="82">
        <f t="shared" si="21"/>
        <v>2.2201342281879195</v>
      </c>
      <c r="BF79" s="82">
        <f t="shared" si="21"/>
        <v>2.3517048108360581</v>
      </c>
      <c r="BG79" s="82">
        <f t="shared" si="21"/>
        <v>2.7237252861602497</v>
      </c>
      <c r="BH79" s="81">
        <f t="shared" si="21"/>
        <v>2.7237252861602497</v>
      </c>
      <c r="BI79" s="82">
        <f t="shared" si="21"/>
        <v>1.2621892925430209</v>
      </c>
      <c r="BJ79" s="82">
        <f t="shared" si="21"/>
        <v>2.0084631008801623</v>
      </c>
      <c r="BK79" s="82">
        <f t="shared" si="21"/>
        <v>1.6909539981475765</v>
      </c>
      <c r="BL79" s="82">
        <f t="shared" si="21"/>
        <v>6.4027149321266972</v>
      </c>
      <c r="BM79" s="81">
        <f t="shared" si="21"/>
        <v>6.4027149321266972</v>
      </c>
      <c r="BN79" s="82">
        <f t="shared" ref="BN79:BW79" si="22">BN16/BN17</f>
        <v>5.2934702861335285</v>
      </c>
      <c r="BO79" s="82">
        <f t="shared" si="22"/>
        <v>2.8188616535105941</v>
      </c>
      <c r="BP79" s="82">
        <f t="shared" si="22"/>
        <v>2.8715151515151516</v>
      </c>
      <c r="BQ79" s="82">
        <f t="shared" si="22"/>
        <v>3.2472776769509983</v>
      </c>
      <c r="BR79" s="81">
        <f t="shared" si="22"/>
        <v>3.2472776769509983</v>
      </c>
      <c r="BS79" s="82">
        <f>BS16/BS17</f>
        <v>1.9424538545059717</v>
      </c>
      <c r="BT79" s="82">
        <f>BT16/BT17</f>
        <v>3.4068538096974117</v>
      </c>
      <c r="BU79" s="82">
        <f>BU16/BU17</f>
        <v>2.6659368157647796</v>
      </c>
      <c r="BV79" s="82">
        <f>BV16/BV17</f>
        <v>3.0192629719609028</v>
      </c>
      <c r="BW79" s="81">
        <f t="shared" si="22"/>
        <v>3.0192629719609028</v>
      </c>
      <c r="BX79" s="81">
        <f>BX16/BX17</f>
        <v>4.6923802619521844</v>
      </c>
      <c r="BY79" s="81">
        <f>BY16/BY17</f>
        <v>6.1057991149142046</v>
      </c>
    </row>
    <row r="80" spans="1:77">
      <c r="A80" s="30" t="s">
        <v>61</v>
      </c>
      <c r="B80" s="81">
        <f t="shared" ref="B80:AG80" si="23">B16/B18</f>
        <v>0.21518987341772153</v>
      </c>
      <c r="C80" s="81">
        <f t="shared" si="23"/>
        <v>0.36771300448430494</v>
      </c>
      <c r="D80" s="81">
        <f t="shared" si="23"/>
        <v>0.44905008635578586</v>
      </c>
      <c r="E80" s="81">
        <f t="shared" si="23"/>
        <v>0.38125440451021847</v>
      </c>
      <c r="F80" s="82">
        <f t="shared" si="23"/>
        <v>0.40624266604083548</v>
      </c>
      <c r="G80" s="82">
        <f t="shared" si="23"/>
        <v>0.47515893571933127</v>
      </c>
      <c r="H80" s="82">
        <f t="shared" si="23"/>
        <v>0.55007052186177718</v>
      </c>
      <c r="I80" s="82">
        <f t="shared" si="23"/>
        <v>0.53533443630347433</v>
      </c>
      <c r="J80" s="81">
        <f t="shared" si="23"/>
        <v>0.53533443630347433</v>
      </c>
      <c r="K80" s="82">
        <f t="shared" si="23"/>
        <v>0.46483542505327968</v>
      </c>
      <c r="L80" s="82">
        <f t="shared" si="23"/>
        <v>0.30007558578987148</v>
      </c>
      <c r="M80" s="82">
        <f t="shared" si="23"/>
        <v>0.33019164310398996</v>
      </c>
      <c r="N80" s="82">
        <f t="shared" si="23"/>
        <v>0.37860151642796969</v>
      </c>
      <c r="O80" s="81">
        <f t="shared" si="23"/>
        <v>0.37860151642796969</v>
      </c>
      <c r="P80" s="82">
        <f t="shared" si="23"/>
        <v>0.40594558280147802</v>
      </c>
      <c r="Q80" s="82">
        <f t="shared" si="23"/>
        <v>0.4082991077751027</v>
      </c>
      <c r="R80" s="82">
        <f t="shared" si="23"/>
        <v>0.4123390406112919</v>
      </c>
      <c r="S80" s="82">
        <f t="shared" si="23"/>
        <v>0.36180190422054853</v>
      </c>
      <c r="T80" s="81">
        <f t="shared" si="23"/>
        <v>0.36180190422054853</v>
      </c>
      <c r="U80" s="82">
        <f t="shared" si="23"/>
        <v>0.35266524520255865</v>
      </c>
      <c r="V80" s="82">
        <f t="shared" si="23"/>
        <v>0.46728176011355571</v>
      </c>
      <c r="W80" s="82">
        <f t="shared" si="23"/>
        <v>0.39807338149879584</v>
      </c>
      <c r="X80" s="82">
        <f t="shared" si="23"/>
        <v>0.36232064878353087</v>
      </c>
      <c r="Y80" s="81">
        <f t="shared" si="23"/>
        <v>0.36232064878353087</v>
      </c>
      <c r="Z80" s="82">
        <f t="shared" si="23"/>
        <v>0.39168954329922634</v>
      </c>
      <c r="AA80" s="82">
        <f t="shared" si="23"/>
        <v>0.4246237355045645</v>
      </c>
      <c r="AB80" s="82">
        <f t="shared" si="23"/>
        <v>0.44558116602982867</v>
      </c>
      <c r="AC80" s="82">
        <f t="shared" si="23"/>
        <v>0.46342508300310592</v>
      </c>
      <c r="AD80" s="81">
        <f t="shared" si="23"/>
        <v>0.46342508300310592</v>
      </c>
      <c r="AE80" s="82">
        <f t="shared" si="23"/>
        <v>0.3512614063338701</v>
      </c>
      <c r="AF80" s="82">
        <f t="shared" si="23"/>
        <v>0.46049764935213849</v>
      </c>
      <c r="AG80" s="82">
        <f t="shared" si="23"/>
        <v>0.5306449765150647</v>
      </c>
      <c r="AH80" s="82">
        <f t="shared" ref="AH80:BM80" si="24">AH16/AH18</f>
        <v>0.53881555044204921</v>
      </c>
      <c r="AI80" s="81">
        <f t="shared" si="24"/>
        <v>0.53881555044204921</v>
      </c>
      <c r="AJ80" s="82">
        <f t="shared" si="24"/>
        <v>0.47860855657736906</v>
      </c>
      <c r="AK80" s="82">
        <f t="shared" si="24"/>
        <v>0.49775874091044925</v>
      </c>
      <c r="AL80" s="82">
        <f t="shared" si="24"/>
        <v>0.56905967629828225</v>
      </c>
      <c r="AM80" s="82">
        <f t="shared" si="24"/>
        <v>0.40789210789210789</v>
      </c>
      <c r="AN80" s="81">
        <f t="shared" si="24"/>
        <v>0.40789210789210789</v>
      </c>
      <c r="AO80" s="82">
        <f t="shared" si="24"/>
        <v>0.44462247146004408</v>
      </c>
      <c r="AP80" s="82">
        <f t="shared" si="24"/>
        <v>0.56847871892119684</v>
      </c>
      <c r="AQ80" s="82">
        <f t="shared" si="24"/>
        <v>0.62793390169455843</v>
      </c>
      <c r="AR80" s="82">
        <f t="shared" si="24"/>
        <v>0.62730238922218717</v>
      </c>
      <c r="AS80" s="81">
        <f t="shared" si="24"/>
        <v>0.62730238922218717</v>
      </c>
      <c r="AT80" s="82">
        <f t="shared" si="24"/>
        <v>0.66220630070593189</v>
      </c>
      <c r="AU80" s="82">
        <f t="shared" si="24"/>
        <v>0.8156968215158924</v>
      </c>
      <c r="AV80" s="82">
        <f t="shared" si="24"/>
        <v>0.26664957922166688</v>
      </c>
      <c r="AW80" s="82">
        <f t="shared" si="24"/>
        <v>0.2231328425244247</v>
      </c>
      <c r="AX80" s="81">
        <f t="shared" si="24"/>
        <v>0.2231328425244247</v>
      </c>
      <c r="AY80" s="82">
        <f t="shared" si="24"/>
        <v>0.22098090116818098</v>
      </c>
      <c r="AZ80" s="82">
        <f t="shared" si="24"/>
        <v>0.24093251533742333</v>
      </c>
      <c r="BA80" s="82">
        <f t="shared" si="24"/>
        <v>0.23356077836745009</v>
      </c>
      <c r="BB80" s="82">
        <f t="shared" si="24"/>
        <v>0.23398004153791602</v>
      </c>
      <c r="BC80" s="81">
        <f t="shared" si="24"/>
        <v>0.23398004153791602</v>
      </c>
      <c r="BD80" s="82">
        <f t="shared" si="24"/>
        <v>0.22680986878767923</v>
      </c>
      <c r="BE80" s="82">
        <f t="shared" si="24"/>
        <v>0.27818579357515277</v>
      </c>
      <c r="BF80" s="82">
        <f t="shared" si="24"/>
        <v>0.28196225569804556</v>
      </c>
      <c r="BG80" s="82">
        <f t="shared" si="24"/>
        <v>0.29291629364368843</v>
      </c>
      <c r="BH80" s="81">
        <f t="shared" si="24"/>
        <v>0.29291629364368843</v>
      </c>
      <c r="BI80" s="82">
        <f t="shared" si="24"/>
        <v>0.29653545959907912</v>
      </c>
      <c r="BJ80" s="82">
        <f t="shared" si="24"/>
        <v>0.30442813895017701</v>
      </c>
      <c r="BK80" s="82">
        <f t="shared" si="24"/>
        <v>0.28191270331480339</v>
      </c>
      <c r="BL80" s="82">
        <f t="shared" si="24"/>
        <v>0.36620082815734989</v>
      </c>
      <c r="BM80" s="81">
        <f t="shared" si="24"/>
        <v>0.36620082815734989</v>
      </c>
      <c r="BN80" s="82">
        <f t="shared" ref="BN80:BW80" si="25">BN16/BN18</f>
        <v>0.33267244559203246</v>
      </c>
      <c r="BO80" s="82">
        <f t="shared" si="25"/>
        <v>0.33705911574764036</v>
      </c>
      <c r="BP80" s="82">
        <f t="shared" si="25"/>
        <v>0.35200594353640419</v>
      </c>
      <c r="BQ80" s="82">
        <f t="shared" si="25"/>
        <v>0.32986127114347608</v>
      </c>
      <c r="BR80" s="81">
        <f t="shared" si="25"/>
        <v>0.32986127114347608</v>
      </c>
      <c r="BS80" s="82">
        <f>BS16/BS18</f>
        <v>0.34242511245095225</v>
      </c>
      <c r="BT80" s="82">
        <f>BT16/BT18</f>
        <v>0.39128250219821631</v>
      </c>
      <c r="BU80" s="82">
        <f>BU16/BU18</f>
        <v>0.3541952375015584</v>
      </c>
      <c r="BV80" s="82">
        <f>BV16/BV18</f>
        <v>0.40113800113697401</v>
      </c>
      <c r="BW80" s="81">
        <f t="shared" si="25"/>
        <v>0.40113800113697401</v>
      </c>
      <c r="BX80" s="81">
        <f>BX16/BX18</f>
        <v>0.57558760301811507</v>
      </c>
      <c r="BY80" s="81">
        <f>BY16/BY18</f>
        <v>0.74896365615549676</v>
      </c>
    </row>
    <row r="81" spans="1:77">
      <c r="A81" s="30" t="s">
        <v>60</v>
      </c>
      <c r="B81" s="81">
        <f t="shared" ref="B81:AG81" si="26">B17/B18</f>
        <v>0.3840621403912543</v>
      </c>
      <c r="C81" s="81">
        <f t="shared" si="26"/>
        <v>0.17040358744394618</v>
      </c>
      <c r="D81" s="81">
        <f t="shared" si="26"/>
        <v>5.2029360967184801E-2</v>
      </c>
      <c r="E81" s="81">
        <f t="shared" si="26"/>
        <v>0.2452431289640592</v>
      </c>
      <c r="F81" s="82">
        <f t="shared" si="26"/>
        <v>0.17460689978878197</v>
      </c>
      <c r="G81" s="82">
        <f t="shared" si="26"/>
        <v>0.16906051330350835</v>
      </c>
      <c r="H81" s="82">
        <f t="shared" si="26"/>
        <v>0.18923366243535497</v>
      </c>
      <c r="I81" s="82">
        <f t="shared" si="26"/>
        <v>0.32143701252658946</v>
      </c>
      <c r="J81" s="81">
        <f t="shared" si="26"/>
        <v>0.32143701252658946</v>
      </c>
      <c r="K81" s="82">
        <f t="shared" si="26"/>
        <v>0.14728865735259294</v>
      </c>
      <c r="L81" s="82">
        <f t="shared" si="26"/>
        <v>9.0400604686318969E-2</v>
      </c>
      <c r="M81" s="82">
        <f t="shared" si="26"/>
        <v>0.22714420358152687</v>
      </c>
      <c r="N81" s="82">
        <f t="shared" si="26"/>
        <v>0.38837405223251897</v>
      </c>
      <c r="O81" s="81">
        <f t="shared" si="26"/>
        <v>0.38837405223251897</v>
      </c>
      <c r="P81" s="82">
        <f t="shared" si="26"/>
        <v>0.38948605979173667</v>
      </c>
      <c r="Q81" s="82">
        <f t="shared" si="26"/>
        <v>0.24047585327857243</v>
      </c>
      <c r="R81" s="82">
        <f t="shared" si="26"/>
        <v>0.17319937738785907</v>
      </c>
      <c r="S81" s="82">
        <f t="shared" si="26"/>
        <v>0.12704277390933635</v>
      </c>
      <c r="T81" s="81">
        <f t="shared" si="26"/>
        <v>0.12704277390933635</v>
      </c>
      <c r="U81" s="82">
        <f t="shared" si="26"/>
        <v>0.17469793887704335</v>
      </c>
      <c r="V81" s="82">
        <f t="shared" si="26"/>
        <v>0.21973030518097941</v>
      </c>
      <c r="W81" s="82">
        <f t="shared" si="26"/>
        <v>0.32129196770080748</v>
      </c>
      <c r="X81" s="82">
        <f t="shared" si="26"/>
        <v>0.14135995009357455</v>
      </c>
      <c r="Y81" s="81">
        <f t="shared" si="26"/>
        <v>0.14135995009357455</v>
      </c>
      <c r="Z81" s="82">
        <f t="shared" si="26"/>
        <v>0.24993760918392813</v>
      </c>
      <c r="AA81" s="82">
        <f t="shared" si="26"/>
        <v>0.32371083148285223</v>
      </c>
      <c r="AB81" s="82">
        <f t="shared" si="26"/>
        <v>0.27844200665598423</v>
      </c>
      <c r="AC81" s="82">
        <f t="shared" si="26"/>
        <v>0.22908857234657812</v>
      </c>
      <c r="AD81" s="81">
        <f t="shared" si="26"/>
        <v>0.22908857234657812</v>
      </c>
      <c r="AE81" s="82">
        <f t="shared" si="26"/>
        <v>0.16231884057971013</v>
      </c>
      <c r="AF81" s="82">
        <f t="shared" si="26"/>
        <v>0.24022474486870771</v>
      </c>
      <c r="AG81" s="82">
        <f t="shared" si="26"/>
        <v>0.19509680375758964</v>
      </c>
      <c r="AH81" s="82">
        <f t="shared" ref="AH81:BM81" si="27">AH17/AH18</f>
        <v>0.1800896209276977</v>
      </c>
      <c r="AI81" s="81">
        <f t="shared" si="27"/>
        <v>0.1800896209276977</v>
      </c>
      <c r="AJ81" s="82">
        <f t="shared" si="27"/>
        <v>0.19472211115553778</v>
      </c>
      <c r="AK81" s="82">
        <f t="shared" si="27"/>
        <v>0.20181292957465882</v>
      </c>
      <c r="AL81" s="82">
        <f t="shared" si="27"/>
        <v>0.22152715718399366</v>
      </c>
      <c r="AM81" s="82">
        <f t="shared" si="27"/>
        <v>2.7872127872127873E-2</v>
      </c>
      <c r="AN81" s="81">
        <f t="shared" si="27"/>
        <v>2.7872127872127873E-2</v>
      </c>
      <c r="AO81" s="82">
        <f t="shared" si="27"/>
        <v>5.0170238333667135E-2</v>
      </c>
      <c r="AP81" s="82">
        <f t="shared" si="27"/>
        <v>0.20080067425200168</v>
      </c>
      <c r="AQ81" s="82">
        <f t="shared" si="27"/>
        <v>0.19608462267129775</v>
      </c>
      <c r="AR81" s="82">
        <f t="shared" si="27"/>
        <v>7.988632775497316E-2</v>
      </c>
      <c r="AS81" s="81">
        <f t="shared" si="27"/>
        <v>7.988632775497316E-2</v>
      </c>
      <c r="AT81" s="82">
        <f t="shared" si="27"/>
        <v>3.1608892635128019E-2</v>
      </c>
      <c r="AU81" s="82">
        <f t="shared" si="27"/>
        <v>1.3251833740831297E-2</v>
      </c>
      <c r="AV81" s="82">
        <f t="shared" si="27"/>
        <v>0.2260241787346747</v>
      </c>
      <c r="AW81" s="82">
        <f t="shared" si="27"/>
        <v>7.5195629022549434E-2</v>
      </c>
      <c r="AX81" s="81">
        <f t="shared" si="27"/>
        <v>7.5195629022549434E-2</v>
      </c>
      <c r="AY81" s="82">
        <f t="shared" si="27"/>
        <v>5.8038197663638047E-2</v>
      </c>
      <c r="AZ81" s="82">
        <f t="shared" si="27"/>
        <v>6.2871165644171778E-2</v>
      </c>
      <c r="BA81" s="82">
        <f t="shared" si="27"/>
        <v>7.0912307303512764E-2</v>
      </c>
      <c r="BB81" s="82">
        <f t="shared" si="27"/>
        <v>2.5327997568512232E-2</v>
      </c>
      <c r="BC81" s="81">
        <f t="shared" si="27"/>
        <v>2.5327997568512232E-2</v>
      </c>
      <c r="BD81" s="82">
        <f t="shared" si="27"/>
        <v>1.5400982825877704E-2</v>
      </c>
      <c r="BE81" s="82">
        <f t="shared" si="27"/>
        <v>0.12530133991142009</v>
      </c>
      <c r="BF81" s="82">
        <f t="shared" si="27"/>
        <v>0.1198969591756734</v>
      </c>
      <c r="BG81" s="82">
        <f t="shared" si="27"/>
        <v>0.10754252461951656</v>
      </c>
      <c r="BH81" s="81">
        <f t="shared" si="27"/>
        <v>0.10754252461951656</v>
      </c>
      <c r="BI81" s="82">
        <f t="shared" si="27"/>
        <v>0.23493739120669324</v>
      </c>
      <c r="BJ81" s="82">
        <f t="shared" si="27"/>
        <v>0.15157268202575813</v>
      </c>
      <c r="BK81" s="82">
        <f t="shared" si="27"/>
        <v>0.16671813876878733</v>
      </c>
      <c r="BL81" s="82">
        <f t="shared" si="27"/>
        <v>5.7194616977225672E-2</v>
      </c>
      <c r="BM81" s="81">
        <f t="shared" si="27"/>
        <v>5.7194616977225672E-2</v>
      </c>
      <c r="BN81" s="82">
        <f t="shared" ref="BN81:BW81" si="28">BN17/BN18</f>
        <v>6.2845813353006277E-2</v>
      </c>
      <c r="BO81" s="82">
        <f t="shared" si="28"/>
        <v>0.11957277694982613</v>
      </c>
      <c r="BP81" s="82">
        <f t="shared" si="28"/>
        <v>0.1225854383358098</v>
      </c>
      <c r="BQ81" s="82">
        <f t="shared" si="28"/>
        <v>0.10158086371387749</v>
      </c>
      <c r="BR81" s="81">
        <f t="shared" si="28"/>
        <v>0.10158086371387749</v>
      </c>
      <c r="BS81" s="82">
        <f>BS17/BS18</f>
        <v>0.17628481194372667</v>
      </c>
      <c r="BT81" s="82">
        <f>BT17/BT18</f>
        <v>0.11485156806096386</v>
      </c>
      <c r="BU81" s="82">
        <f>BU17/BU18</f>
        <v>0.13285957694385572</v>
      </c>
      <c r="BV81" s="82">
        <f>BV17/BV18</f>
        <v>0.13285957694385572</v>
      </c>
      <c r="BW81" s="81">
        <f t="shared" si="28"/>
        <v>0.13285957694385572</v>
      </c>
      <c r="BX81" s="81">
        <f>BX17/BX18</f>
        <v>0.12266431339446725</v>
      </c>
      <c r="BY81" s="81">
        <f>BY17/BY18</f>
        <v>0.12266431339446725</v>
      </c>
    </row>
    <row r="82" spans="1:77">
      <c r="A82" s="30"/>
      <c r="B82" s="81"/>
      <c r="C82" s="81"/>
      <c r="D82" s="81"/>
      <c r="E82" s="81"/>
      <c r="F82" s="82"/>
      <c r="G82" s="82"/>
      <c r="H82" s="82"/>
      <c r="I82" s="82"/>
      <c r="J82" s="81"/>
      <c r="K82" s="82"/>
      <c r="L82" s="82"/>
      <c r="M82" s="82"/>
      <c r="N82" s="82"/>
      <c r="O82" s="81"/>
      <c r="P82" s="82"/>
      <c r="Q82" s="82"/>
      <c r="R82" s="82"/>
      <c r="S82" s="82"/>
      <c r="T82" s="81"/>
      <c r="U82" s="82"/>
      <c r="V82" s="82"/>
      <c r="W82" s="82"/>
      <c r="X82" s="82"/>
      <c r="Y82" s="81"/>
      <c r="Z82" s="82"/>
      <c r="AA82" s="82"/>
      <c r="AB82" s="82"/>
      <c r="AC82" s="82"/>
      <c r="AD82" s="81"/>
      <c r="AE82" s="82"/>
      <c r="AF82" s="82"/>
      <c r="AG82" s="82"/>
      <c r="AH82" s="82"/>
      <c r="AI82" s="81"/>
      <c r="AJ82" s="82"/>
      <c r="AK82" s="82"/>
      <c r="AL82" s="82"/>
      <c r="AM82" s="82"/>
      <c r="AN82" s="81"/>
      <c r="AO82" s="82"/>
      <c r="AP82" s="82"/>
      <c r="AQ82" s="82"/>
      <c r="AR82" s="82"/>
      <c r="AS82" s="81"/>
      <c r="AT82" s="82"/>
      <c r="AU82" s="82"/>
      <c r="AV82" s="82"/>
      <c r="AW82" s="82"/>
      <c r="AX82" s="81"/>
      <c r="AY82" s="82"/>
      <c r="AZ82" s="82"/>
      <c r="BA82" s="82"/>
      <c r="BB82" s="82"/>
      <c r="BC82" s="81"/>
      <c r="BD82" s="82"/>
      <c r="BE82" s="82"/>
      <c r="BF82" s="82"/>
      <c r="BG82" s="82"/>
      <c r="BH82" s="81"/>
      <c r="BI82" s="82"/>
      <c r="BJ82" s="82"/>
      <c r="BK82" s="82"/>
      <c r="BL82" s="82"/>
      <c r="BM82" s="81"/>
      <c r="BN82" s="82"/>
      <c r="BO82" s="82"/>
      <c r="BP82" s="82"/>
      <c r="BQ82" s="82"/>
      <c r="BR82" s="81"/>
      <c r="BS82" s="82"/>
      <c r="BT82" s="82"/>
      <c r="BU82" s="82"/>
      <c r="BV82" s="82"/>
      <c r="BW82" s="81"/>
      <c r="BX82" s="81"/>
      <c r="BY82" s="81"/>
    </row>
    <row r="83" spans="1:77">
      <c r="A83" s="30" t="s">
        <v>59</v>
      </c>
      <c r="B83" s="37">
        <f>BS!I30/BS!I62</f>
        <v>3.3103628295484206</v>
      </c>
      <c r="C83" s="37">
        <f>BS!J30/BS!J62</f>
        <v>3.222487752419644</v>
      </c>
      <c r="D83" s="37">
        <f>BS!K30/BS!K62</f>
        <v>3.4817474566128066</v>
      </c>
      <c r="E83" s="37">
        <f>BS!L30/BS!L62</f>
        <v>3.0130691039548987</v>
      </c>
      <c r="F83" s="45">
        <f>BS!M30/BS!M62</f>
        <v>2.9729416632188665</v>
      </c>
      <c r="G83" s="45">
        <f>BS!N30/BS!N62</f>
        <v>2.9400641025641026</v>
      </c>
      <c r="H83" s="45">
        <f>BS!O30/BS!O62</f>
        <v>2.8862555606688143</v>
      </c>
      <c r="I83" s="45">
        <f>BS!P30/BS!P62</f>
        <v>2.8347819991588392</v>
      </c>
      <c r="J83" s="37">
        <f>BS!Q30/BS!Q62</f>
        <v>2.8347819991588392</v>
      </c>
      <c r="K83" s="45">
        <f>BS!R30/BS!R62</f>
        <v>2.7574829931972791</v>
      </c>
      <c r="L83" s="45">
        <f>BS!S30/BS!S62</f>
        <v>2.932499672646327</v>
      </c>
      <c r="M83" s="45">
        <f>BS!T30/BS!T62</f>
        <v>2.9260670731707319</v>
      </c>
      <c r="N83" s="45">
        <f>BS!U30/BS!U62</f>
        <v>2.7029015361073507</v>
      </c>
      <c r="O83" s="37">
        <f>BS!V30/BS!V62</f>
        <v>2.7029015361073507</v>
      </c>
      <c r="P83" s="45">
        <f>BS!W30/BS!W62</f>
        <v>2.7096272397303682</v>
      </c>
      <c r="Q83" s="45">
        <f>BS!X30/BS!X62</f>
        <v>2.665112749349523</v>
      </c>
      <c r="R83" s="45">
        <f>BS!Y30/BS!Y62</f>
        <v>2.6194148093376994</v>
      </c>
      <c r="S83" s="45">
        <f>BS!Z30/BS!Z62</f>
        <v>2.7253859050702434</v>
      </c>
      <c r="T83" s="37">
        <f>BS!AA30/BS!AA62</f>
        <v>2.7253859050702434</v>
      </c>
      <c r="U83" s="45">
        <f>BS!AB30/BS!AB62</f>
        <v>2.6832541698884347</v>
      </c>
      <c r="V83" s="45">
        <f>BS!AC30/BS!AC62</f>
        <v>2.6338629851523834</v>
      </c>
      <c r="W83" s="45">
        <f>BS!AD30/BS!AD62</f>
        <v>2.6381793076240259</v>
      </c>
      <c r="X83" s="45">
        <f>BS!AE30/BS!AE62</f>
        <v>2.5556075860454226</v>
      </c>
      <c r="Y83" s="37">
        <f>BS!AF30/BS!AF62</f>
        <v>2.5556075860454226</v>
      </c>
      <c r="Z83" s="45">
        <f>BS!AG30/BS!AG62</f>
        <v>2.6430556842397852</v>
      </c>
      <c r="AA83" s="45">
        <f>BS!AH30/BS!AH62</f>
        <v>2.6691310697334796</v>
      </c>
      <c r="AB83" s="45">
        <f>BS!AI30/BS!AI62</f>
        <v>2.6945880567281697</v>
      </c>
      <c r="AC83" s="45">
        <f>BS!AJ30/BS!AJ62</f>
        <v>3.5477162781931266</v>
      </c>
      <c r="AD83" s="37">
        <f>BS!AK30/BS!AK62</f>
        <v>3.5477162781931266</v>
      </c>
      <c r="AE83" s="45">
        <f>BS!AL30/BS!AL62</f>
        <v>3.4653765888825649</v>
      </c>
      <c r="AF83" s="45">
        <f>BS!AM30/BS!AM62</f>
        <v>3.2536394499108119</v>
      </c>
      <c r="AG83" s="45">
        <f>BS!AN30/BS!AN62</f>
        <v>3.1141219103250584</v>
      </c>
      <c r="AH83" s="45">
        <f>BS!AO30/BS!AO62</f>
        <v>2.7789295325426093</v>
      </c>
      <c r="AI83" s="37">
        <f>BS!AP30/BS!AP62</f>
        <v>2.7789295325426093</v>
      </c>
      <c r="AJ83" s="45">
        <f>BS!AQ30/BS!AQ62</f>
        <v>2.9246643959126426</v>
      </c>
      <c r="AK83" s="45">
        <f>BS!AR30/BS!AR62</f>
        <v>2.926955300255857</v>
      </c>
      <c r="AL83" s="45">
        <f>BS!AS30/BS!AS62</f>
        <v>2.8535334525265834</v>
      </c>
      <c r="AM83" s="45">
        <f>BS!AT30/BS!AT62</f>
        <v>2.7352349777881693</v>
      </c>
      <c r="AN83" s="37">
        <f>BS!AU30/BS!AU62</f>
        <v>2.7352349777881693</v>
      </c>
      <c r="AO83" s="45">
        <f>BS!AV30/BS!AV62</f>
        <v>2.7417517852300461</v>
      </c>
      <c r="AP83" s="45">
        <f>BS!AW30/BS!AW62</f>
        <v>2.73498217664921</v>
      </c>
      <c r="AQ83" s="45">
        <f>BS!AX30/BS!AX62</f>
        <v>2.7422753430721558</v>
      </c>
      <c r="AR83" s="45">
        <f>BS!AY30/BS!AY62</f>
        <v>2.8085923217550275</v>
      </c>
      <c r="AS83" s="37">
        <f>BS!AZ30/BS!AZ62</f>
        <v>2.8085923217550275</v>
      </c>
      <c r="AT83" s="45">
        <f>BS!BA30/BS!BA62</f>
        <v>2.744264627423084</v>
      </c>
      <c r="AU83" s="45">
        <f>BS!BB30/BS!BB62</f>
        <v>3.3026455494602724</v>
      </c>
      <c r="AV83" s="45">
        <f>BS!BC30/BS!BC62</f>
        <v>3.684472049689441</v>
      </c>
      <c r="AW83" s="45">
        <f>BS!BD30/BS!BD62</f>
        <v>3.4502199583236859</v>
      </c>
      <c r="AX83" s="37">
        <f>BS!BE30/BS!BE62</f>
        <v>3.4502199583236859</v>
      </c>
      <c r="AY83" s="45">
        <f>BS!BF30/BS!BF62</f>
        <v>3.3791326257921663</v>
      </c>
      <c r="AZ83" s="45">
        <f>BS!BG30/BS!BG62</f>
        <v>3.2883981176121835</v>
      </c>
      <c r="BA83" s="45">
        <f>BS!BH30/BS!BH62</f>
        <v>3.1607936452391785</v>
      </c>
      <c r="BB83" s="45">
        <f>BS!BI30/BS!BI62</f>
        <v>2.8429674260967803</v>
      </c>
      <c r="BC83" s="37">
        <f>BS!BJ30/BS!BJ62</f>
        <v>2.8429674260967803</v>
      </c>
      <c r="BD83" s="45">
        <f>BS!BK30/BS!BK62</f>
        <v>2.8229414859052513</v>
      </c>
      <c r="BE83" s="45">
        <f>BS!BL30/BS!BL62</f>
        <v>2.7273050170193871</v>
      </c>
      <c r="BF83" s="45">
        <f>BS!BM30/BS!BM62</f>
        <v>2.695350817938853</v>
      </c>
      <c r="BG83" s="45">
        <f>BS!BN30/BS!BN62</f>
        <v>2.9247108576554641</v>
      </c>
      <c r="BH83" s="37">
        <f>BS!BO30/BS!BO62</f>
        <v>2.9247108576554641</v>
      </c>
      <c r="BI83" s="45">
        <f>BS!BP30/BS!BP62</f>
        <v>3.1876788830715532</v>
      </c>
      <c r="BJ83" s="45">
        <f>BS!BQ30/BS!BQ62</f>
        <v>3.0540540540540539</v>
      </c>
      <c r="BK83" s="45">
        <f>BS!BR30/BS!BR62</f>
        <v>3.0183456183456183</v>
      </c>
      <c r="BL83" s="45">
        <f>BS!BS30/BS!BS62</f>
        <v>3.1977483734191097</v>
      </c>
      <c r="BM83" s="37">
        <f>BS!BT30/BS!BT62</f>
        <v>3.1977483734191097</v>
      </c>
      <c r="BN83" s="45">
        <f>BS!BU30/BS!BU62</f>
        <v>3.1238669629316123</v>
      </c>
      <c r="BO83" s="45">
        <f>BS!BV30/BS!BV62</f>
        <v>3.0759711240976282</v>
      </c>
      <c r="BP83" s="45">
        <f>BS!BW30/BS!BW62</f>
        <v>3.0856888340699626</v>
      </c>
      <c r="BQ83" s="45">
        <f>BS!BX30/BS!BX62</f>
        <v>3.2526922658544546</v>
      </c>
      <c r="BR83" s="37">
        <f>BS!BY30/BS!BY62</f>
        <v>3.2526922658544546</v>
      </c>
      <c r="BS83" s="45">
        <f>BS!BZ30/BS!BZ62</f>
        <v>3.2750960353700078</v>
      </c>
      <c r="BT83" s="45">
        <f>BS!CA30/BS!CA62</f>
        <v>3.3328528232895014</v>
      </c>
      <c r="BU83" s="45">
        <f>BS!CB30/BS!CB62</f>
        <v>3.2245239449817609</v>
      </c>
      <c r="BV83" s="45">
        <f>BS!CC30/BS!CC62</f>
        <v>3.1477699552068037</v>
      </c>
      <c r="BW83" s="37">
        <f>BS!CD30/BS!CD62</f>
        <v>3.1477699552068037</v>
      </c>
      <c r="BX83" s="37">
        <f>BS!CI30/BS!CI62</f>
        <v>2.9765770664220135</v>
      </c>
      <c r="BY83" s="37">
        <f>BS!CJ30/BS!CJ62</f>
        <v>2.7497931283174464</v>
      </c>
    </row>
    <row r="84" spans="1:77">
      <c r="A84" s="41" t="s">
        <v>58</v>
      </c>
      <c r="B84" s="46">
        <f>B20/(BS!I62+BS!I42)</f>
        <v>0.36478721493984556</v>
      </c>
      <c r="C84" s="46">
        <f>C20/(BS!J62+BS!J42)</f>
        <v>0.26979216246231952</v>
      </c>
      <c r="D84" s="46">
        <f>D20/(BS!K62+BS!K42)</f>
        <v>0.21506121506121506</v>
      </c>
      <c r="E84" s="46">
        <f>E20/(BS!L62+BS!L42)</f>
        <v>0.23039338511651214</v>
      </c>
      <c r="F84" s="47">
        <f>F20/(BS!M62+BS!M42)</f>
        <v>0.20029364982258657</v>
      </c>
      <c r="G84" s="47">
        <f>G20/(BS!N62+BS!N42)</f>
        <v>0.17618222036228851</v>
      </c>
      <c r="H84" s="47">
        <f>H20/(BS!O62+BS!O42)</f>
        <v>0.15724034235484619</v>
      </c>
      <c r="I84" s="47">
        <f>I20/(BS!P62+BS!P42)</f>
        <v>0.17981294263934691</v>
      </c>
      <c r="J84" s="46">
        <f>J20/(BS!Q62+BS!Q42)</f>
        <v>0.17981294263934691</v>
      </c>
      <c r="K84" s="47">
        <f>K20/(BS!R62+BS!R42)</f>
        <v>0.15230143211964275</v>
      </c>
      <c r="L84" s="47">
        <f>L20/(BS!S62+BS!S42)</f>
        <v>0.23884142720087714</v>
      </c>
      <c r="M84" s="47">
        <f>M20/(BS!T62+BS!T42)</f>
        <v>0.25825418362731795</v>
      </c>
      <c r="N84" s="47">
        <f>N20/(BS!U62+BS!U42)</f>
        <v>0.26140626363081215</v>
      </c>
      <c r="O84" s="46">
        <f>O20/(BS!V62+BS!V42)</f>
        <v>0.26140626363081215</v>
      </c>
      <c r="P84" s="47">
        <f>P20/(BS!W62+BS!W42)</f>
        <v>0.2512118742224701</v>
      </c>
      <c r="Q84" s="47">
        <f>Q20/(BS!X62+BS!X42)</f>
        <v>0.2303500725234231</v>
      </c>
      <c r="R84" s="47">
        <f>R20/(BS!Y62+BS!Y42)</f>
        <v>0.20679973847159724</v>
      </c>
      <c r="S84" s="47">
        <f>S20/(BS!Z62+BS!Z42)</f>
        <v>0.22129530697789102</v>
      </c>
      <c r="T84" s="46">
        <f>T20/(BS!AA62+BS!AA42)</f>
        <v>0.22129530697789102</v>
      </c>
      <c r="U84" s="47">
        <f>U20/(BS!AB62+BS!AB42)</f>
        <v>0.23002267212919136</v>
      </c>
      <c r="V84" s="47">
        <f>V20/(BS!AC62+BS!AC42)</f>
        <v>0.20201981707317074</v>
      </c>
      <c r="W84" s="47">
        <f>W20/(BS!AD62+BS!AD42)</f>
        <v>0.23839484947141237</v>
      </c>
      <c r="X84" s="47">
        <f>X20/(BS!AE62+BS!AE42)</f>
        <v>0.21259788900238338</v>
      </c>
      <c r="Y84" s="46">
        <f>Y20/(BS!AF62+BS!AF42)</f>
        <v>0.21259788900238338</v>
      </c>
      <c r="Z84" s="47">
        <f>Z20/(BS!AG62+BS!AG42)</f>
        <v>0.23236486486486488</v>
      </c>
      <c r="AA84" s="47">
        <f>AA20/(BS!AH62+BS!AH42)</f>
        <v>0.2427876607368912</v>
      </c>
      <c r="AB84" s="47">
        <f>AB20/(BS!AI62+BS!AI42)</f>
        <v>0.23143581312508563</v>
      </c>
      <c r="AC84" s="47">
        <f>AC20/(BS!AJ62+BS!AJ42)</f>
        <v>0.28308386790211454</v>
      </c>
      <c r="AD84" s="46">
        <f>AD20/(BS!AK62+BS!AK42)</f>
        <v>0.28308386790211454</v>
      </c>
      <c r="AE84" s="47">
        <f>AE20/(BS!AL62+BS!AL42)</f>
        <v>0.30066061763769503</v>
      </c>
      <c r="AF84" s="47">
        <f>AF20/(BS!AM62+BS!AM42)</f>
        <v>0.26053639846743293</v>
      </c>
      <c r="AG84" s="47">
        <f>AG20/(BS!AN62+BS!AN42)</f>
        <v>0.21309427584686605</v>
      </c>
      <c r="AH84" s="47">
        <f>AH20/(BS!AO62+BS!AO42)</f>
        <v>0.18695053490096389</v>
      </c>
      <c r="AI84" s="46">
        <f>AI20/(BS!AP62+BS!AP42)</f>
        <v>0.18695053490096389</v>
      </c>
      <c r="AJ84" s="47">
        <f>AJ20/(BS!AQ62+BS!AQ42)</f>
        <v>0.23905499199145755</v>
      </c>
      <c r="AK84" s="47">
        <f>AK20/(BS!AR62+BS!AR42)</f>
        <v>0.23582009875884158</v>
      </c>
      <c r="AL84" s="47">
        <f>AL20/(BS!AS62+BS!AS42)</f>
        <v>0.2097685554668795</v>
      </c>
      <c r="AM84" s="47">
        <f>AM20/(BS!AT62+BS!AT42)</f>
        <v>0.19767478897913682</v>
      </c>
      <c r="AN84" s="46">
        <f>AN20/(BS!AU62+BS!AU42)</f>
        <v>0.19767478897913682</v>
      </c>
      <c r="AO84" s="47">
        <f>AO20/(BS!AV62+BS!AV42)</f>
        <v>0.18830966616841055</v>
      </c>
      <c r="AP84" s="47">
        <f>AP20/(BS!AW62+BS!AW42)</f>
        <v>0.18631072481763153</v>
      </c>
      <c r="AQ84" s="47">
        <f>AQ20/(BS!AX62+BS!AX42)</f>
        <v>0.16820915521485774</v>
      </c>
      <c r="AR84" s="47">
        <f>AR20/(BS!AY62+BS!AY42)</f>
        <v>0.1370255887320353</v>
      </c>
      <c r="AS84" s="46">
        <f>AS20/(BS!AZ62+BS!AZ42)</f>
        <v>0.1370255887320353</v>
      </c>
      <c r="AT84" s="47">
        <f>AT20/(BS!BA62+BS!BA42)</f>
        <v>0.10962073601600851</v>
      </c>
      <c r="AU84" s="47">
        <f>AU20/(BS!BB62+BS!BB42)</f>
        <v>9.3835648255678916E-2</v>
      </c>
      <c r="AV84" s="47">
        <f>AV20/(BS!BC62+BS!BC42)</f>
        <v>0.4643536514763047</v>
      </c>
      <c r="AW84" s="47">
        <f>AW20/(BS!BD62+BS!BD42)</f>
        <v>0.38732083096546061</v>
      </c>
      <c r="AX84" s="46">
        <f>AX20/(BS!BE62+BS!BE42)</f>
        <v>0.38732083096546061</v>
      </c>
      <c r="AY84" s="47">
        <f>AY20/(BS!BF62+BS!BF42)</f>
        <v>0.378030398191182</v>
      </c>
      <c r="AZ84" s="47">
        <f>AZ20/(BS!BG62+BS!BG42)</f>
        <v>0.35359570964064019</v>
      </c>
      <c r="BA84" s="47">
        <f>BA20/(BS!BH62+BS!BH42)</f>
        <v>0.34256234233489102</v>
      </c>
      <c r="BB84" s="47">
        <f>BB20/(BS!BI62+BS!BI42)</f>
        <v>0.30271087255604862</v>
      </c>
      <c r="BC84" s="46">
        <f>BC20/(BS!BJ62+BS!BJ42)</f>
        <v>0.30271087255604862</v>
      </c>
      <c r="BD84" s="47">
        <f>BD20/(BS!BK62+BS!BK42)</f>
        <v>0.29902412786230215</v>
      </c>
      <c r="BE84" s="47">
        <f>BE20/(BS!BL62+BS!BL42)</f>
        <v>0.29270466080353336</v>
      </c>
      <c r="BF84" s="47">
        <f>BF20/(BS!BM62+BS!BM42)</f>
        <v>0.28827110545986978</v>
      </c>
      <c r="BG84" s="47">
        <f>BG20/(BS!BN62+BS!BN42)</f>
        <v>0.29660792502801264</v>
      </c>
      <c r="BH84" s="46">
        <f>BH20/(BS!BO62+BS!BO42)</f>
        <v>0.29660792502801264</v>
      </c>
      <c r="BI84" s="47">
        <f>BI20/(BS!BP62+BS!BP42)</f>
        <v>0.35971501754234919</v>
      </c>
      <c r="BJ84" s="47">
        <f>BJ20/(BS!BQ62+BS!BQ42)</f>
        <v>0.33108731400152408</v>
      </c>
      <c r="BK84" s="47">
        <f>BK20/(BS!BR62+BS!BR42)</f>
        <v>0.34412347606750343</v>
      </c>
      <c r="BL84" s="47">
        <f>BL20/(BS!BS62+BS!BS42)</f>
        <v>0.28600197094991214</v>
      </c>
      <c r="BM84" s="46">
        <f>BM20/(BS!BT62+BS!BT42)</f>
        <v>0.28600197094991214</v>
      </c>
      <c r="BN84" s="47">
        <f>BN20/(BS!BU62+BS!BU42)</f>
        <v>0.3164605023880418</v>
      </c>
      <c r="BO84" s="47">
        <f>BO20/(BS!BV62+BS!BV42)</f>
        <v>0.32003250711093051</v>
      </c>
      <c r="BP84" s="47">
        <f>BP20/(BS!BW62+BS!BW42)</f>
        <v>0.31508597120116655</v>
      </c>
      <c r="BQ84" s="47">
        <f>BQ20/(BS!BX62+BS!BX42)</f>
        <v>0.33980030846659631</v>
      </c>
      <c r="BR84" s="46">
        <f>BR20/(BS!BY62+BS!BY42)</f>
        <v>0.33980030846659631</v>
      </c>
      <c r="BS84" s="47">
        <f>BS20/(BS!BZ62+BS!BZ42)</f>
        <v>0.35935824465891281</v>
      </c>
      <c r="BT84" s="47">
        <f>BT20/(BS!CA62+BS!CA42)</f>
        <v>0.33026278069756332</v>
      </c>
      <c r="BU84" s="47">
        <f>BU20/(BS!CB62+BS!CB42)</f>
        <v>0.34734168767610857</v>
      </c>
      <c r="BV84" s="47">
        <f>BV20/(BS!CC62+BS!CC42)</f>
        <v>0.32262348331998514</v>
      </c>
      <c r="BW84" s="46">
        <f>BW20/(BS!CD62+BS!CD42)</f>
        <v>0.32262348331998514</v>
      </c>
      <c r="BX84" s="46">
        <f>BX20/(BS!CI62+BS!CI42)</f>
        <v>0.23693080188338284</v>
      </c>
      <c r="BY84" s="46">
        <f>BY20/(BS!CJ62+BS!CJ42)</f>
        <v>0.15112928614997054</v>
      </c>
    </row>
    <row r="85" spans="1:77">
      <c r="A85" s="41" t="s">
        <v>57</v>
      </c>
      <c r="B85" s="46">
        <f>B19/(BS!I62+BS!I42)</f>
        <v>0.431944693840905</v>
      </c>
      <c r="C85" s="46">
        <f>C19/(BS!J62+BS!J42)</f>
        <v>0.39338410280818659</v>
      </c>
      <c r="D85" s="46">
        <f>D19/(BS!K62+BS!K42)</f>
        <v>0.37522137522137522</v>
      </c>
      <c r="E85" s="46">
        <f>E19/(BS!L62+BS!L42)</f>
        <v>0.33205963417689804</v>
      </c>
      <c r="F85" s="47">
        <f>F19/(BS!M62+BS!M42)</f>
        <v>0.30619111709286678</v>
      </c>
      <c r="G85" s="47">
        <f>G19/(BS!N62+BS!N42)</f>
        <v>0.29682549171997369</v>
      </c>
      <c r="H85" s="47">
        <f>H19/(BS!O62+BS!O42)</f>
        <v>0.29256303492944713</v>
      </c>
      <c r="I85" s="47">
        <f>I19/(BS!P62+BS!P42)</f>
        <v>0.30226523219981621</v>
      </c>
      <c r="J85" s="46">
        <f>J19/(BS!Q62+BS!Q42)</f>
        <v>0.30226523219981621</v>
      </c>
      <c r="K85" s="47">
        <f>K19/(BS!R62+BS!R42)</f>
        <v>0.25603762616921205</v>
      </c>
      <c r="L85" s="47">
        <f>L19/(BS!S62+BS!S42)</f>
        <v>0.32952624605966468</v>
      </c>
      <c r="M85" s="47">
        <f>M19/(BS!T62+BS!T42)</f>
        <v>0.35332428765264584</v>
      </c>
      <c r="N85" s="47">
        <f>N19/(BS!U62+BS!U42)</f>
        <v>0.35941725551775278</v>
      </c>
      <c r="O85" s="46">
        <f>O19/(BS!V62+BS!V42)</f>
        <v>0.35941725551775278</v>
      </c>
      <c r="P85" s="47">
        <f>P19/(BS!W62+BS!W42)</f>
        <v>0.35489682982283044</v>
      </c>
      <c r="Q85" s="47">
        <f>Q19/(BS!X62+BS!X42)</f>
        <v>0.34336900701713119</v>
      </c>
      <c r="R85" s="47">
        <f>R19/(BS!Y62+BS!Y42)</f>
        <v>0.31887235106342066</v>
      </c>
      <c r="S85" s="47">
        <f>S19/(BS!Z62+BS!Z42)</f>
        <v>0.32592257746363112</v>
      </c>
      <c r="T85" s="46">
        <f>T19/(BS!AA62+BS!AA42)</f>
        <v>0.32592257746363112</v>
      </c>
      <c r="U85" s="47">
        <f>U19/(BS!AB62+BS!AB42)</f>
        <v>0.32870609760948249</v>
      </c>
      <c r="V85" s="47">
        <f>V19/(BS!AC62+BS!AC42)</f>
        <v>0.32747713414634144</v>
      </c>
      <c r="W85" s="47">
        <f>W19/(BS!AD62+BS!AD42)</f>
        <v>0.34118593847166845</v>
      </c>
      <c r="X85" s="47">
        <f>X19/(BS!AE62+BS!AE42)</f>
        <v>0.31147429349676542</v>
      </c>
      <c r="Y85" s="46">
        <f>Y19/(BS!AF62+BS!AF42)</f>
        <v>0.31147429349676542</v>
      </c>
      <c r="Z85" s="47">
        <f>Z19/(BS!AG62+BS!AG42)</f>
        <v>0.33841216216216219</v>
      </c>
      <c r="AA85" s="47">
        <f>AA19/(BS!AH62+BS!AH42)</f>
        <v>0.35745219534945699</v>
      </c>
      <c r="AB85" s="47">
        <f>AB19/(BS!AI62+BS!AI42)</f>
        <v>0.35525414440334291</v>
      </c>
      <c r="AC85" s="47">
        <f>AC19/(BS!AJ62+BS!AJ42)</f>
        <v>0.45442306169319713</v>
      </c>
      <c r="AD85" s="46">
        <f>AD19/(BS!AK62+BS!AK42)</f>
        <v>0.45442306169319713</v>
      </c>
      <c r="AE85" s="47">
        <f>AE19/(BS!AL62+BS!AL42)</f>
        <v>0.43087392550143266</v>
      </c>
      <c r="AF85" s="47">
        <f>AF19/(BS!AM62+BS!AM42)</f>
        <v>0.41440613026819922</v>
      </c>
      <c r="AG85" s="47">
        <f>AG19/(BS!AN62+BS!AN42)</f>
        <v>0.38327577338525975</v>
      </c>
      <c r="AH85" s="47">
        <f>AH19/(BS!AO62+BS!AO42)</f>
        <v>0.34403135261095225</v>
      </c>
      <c r="AI85" s="46">
        <f>AI19/(BS!AP62+BS!AP42)</f>
        <v>0.34403135261095225</v>
      </c>
      <c r="AJ85" s="47">
        <f>AJ19/(BS!AQ62+BS!AQ42)</f>
        <v>0.39882541377469299</v>
      </c>
      <c r="AK85" s="47">
        <f>AK19/(BS!AR62+BS!AR42)</f>
        <v>0.40254237288135591</v>
      </c>
      <c r="AL85" s="47">
        <f>AL19/(BS!AS62+BS!AS42)</f>
        <v>0.39272146847565842</v>
      </c>
      <c r="AM85" s="47">
        <f>AM19/(BS!AT62+BS!AT42)</f>
        <v>0.32772734511864948</v>
      </c>
      <c r="AN85" s="46">
        <f>AN19/(BS!AU62+BS!AU42)</f>
        <v>0.32772734511864948</v>
      </c>
      <c r="AO85" s="47">
        <f>AO19/(BS!AV62+BS!AV42)</f>
        <v>0.32657573492775288</v>
      </c>
      <c r="AP85" s="47">
        <f>AP19/(BS!AW62+BS!AW42)</f>
        <v>0.35381033679962748</v>
      </c>
      <c r="AQ85" s="47">
        <f>AQ19/(BS!AX62+BS!AX42)</f>
        <v>0.35411797700289799</v>
      </c>
      <c r="AR85" s="47">
        <f>AR19/(BS!AY62+BS!AY42)</f>
        <v>0.32694942799783311</v>
      </c>
      <c r="AS85" s="46">
        <f>AS19/(BS!AZ62+BS!AZ42)</f>
        <v>0.32694942799783311</v>
      </c>
      <c r="AT85" s="47">
        <f>AT19/(BS!BA62+BS!BA42)</f>
        <v>0.30613138229684522</v>
      </c>
      <c r="AU85" s="47">
        <f>AU19/(BS!BB62+BS!BB42)</f>
        <v>0.48127932364007991</v>
      </c>
      <c r="AV85" s="47">
        <f>AV19/(BS!BC62+BS!BC42)</f>
        <v>0.59341659085270038</v>
      </c>
      <c r="AW85" s="47">
        <f>AW19/(BS!BD62+BS!BD42)</f>
        <v>0.48874997369030332</v>
      </c>
      <c r="AX85" s="46">
        <f>AX19/(BS!BE62+BS!BE42)</f>
        <v>0.48874997369030332</v>
      </c>
      <c r="AY85" s="47">
        <f>AY19/(BS!BF62+BS!BF42)</f>
        <v>0.477829418414772</v>
      </c>
      <c r="AZ85" s="47">
        <f>AZ19/(BS!BG62+BS!BG42)</f>
        <v>0.45724420421434908</v>
      </c>
      <c r="BA85" s="47">
        <f>BA19/(BS!BH62+BS!BH42)</f>
        <v>0.43811256771845664</v>
      </c>
      <c r="BB85" s="47">
        <f>BB19/(BS!BI62+BS!BI42)</f>
        <v>0.3922142345030713</v>
      </c>
      <c r="BC85" s="46">
        <f>BC19/(BS!BJ62+BS!BJ42)</f>
        <v>0.3922142345030713</v>
      </c>
      <c r="BD85" s="47">
        <f>BD19/(BS!BK62+BS!BK42)</f>
        <v>0.38502766251728909</v>
      </c>
      <c r="BE85" s="47">
        <f>BE19/(BS!BL62+BS!BL42)</f>
        <v>0.38882646933477977</v>
      </c>
      <c r="BF85" s="47">
        <f>BF19/(BS!BM62+BS!BM42)</f>
        <v>0.38527337880013873</v>
      </c>
      <c r="BG85" s="47">
        <f>BG19/(BS!BN62+BS!BN42)</f>
        <v>0.4032596516247326</v>
      </c>
      <c r="BH85" s="46">
        <f>BH19/(BS!BO62+BS!BO42)</f>
        <v>0.4032596516247326</v>
      </c>
      <c r="BI85" s="47">
        <f>BI19/(BS!BP62+BS!BP42)</f>
        <v>0.47338513528056997</v>
      </c>
      <c r="BJ85" s="47">
        <f>BJ19/(BS!BQ62+BS!BQ42)</f>
        <v>0.45006617735531224</v>
      </c>
      <c r="BK85" s="47">
        <f>BK19/(BS!BR62+BS!BR42)</f>
        <v>0.45376654054811522</v>
      </c>
      <c r="BL85" s="47">
        <f>BL19/(BS!BS62+BS!BS42)</f>
        <v>0.43757230386906038</v>
      </c>
      <c r="BM85" s="46">
        <f>BM19/(BS!BT62+BS!BT42)</f>
        <v>0.43757230386906038</v>
      </c>
      <c r="BN85" s="47">
        <f>BN19/(BS!BU62+BS!BU42)</f>
        <v>0.4606422733358646</v>
      </c>
      <c r="BO85" s="47">
        <f>BO19/(BS!BV62+BS!BV42)</f>
        <v>0.45788297440065012</v>
      </c>
      <c r="BP85" s="47">
        <f>BP19/(BS!BW62+BS!BW42)</f>
        <v>0.45901938149340787</v>
      </c>
      <c r="BQ85" s="47">
        <f>BQ19/(BS!BX62+BS!BX42)</f>
        <v>0.48504342884974427</v>
      </c>
      <c r="BR85" s="46">
        <f>BR19/(BS!BY62+BS!BY42)</f>
        <v>0.48504342884974427</v>
      </c>
      <c r="BS85" s="47">
        <f>BS19/(BS!BZ62+BS!BZ42)</f>
        <v>0.50692897797574854</v>
      </c>
      <c r="BT85" s="47">
        <f>BT19/(BS!CA62+BS!CA42)</f>
        <v>0.50885809842331586</v>
      </c>
      <c r="BU85" s="47">
        <f>BU19/(BS!CB62+BS!CB42)</f>
        <v>0.50533886993919619</v>
      </c>
      <c r="BV85" s="47">
        <f>BV19/(BS!CC62+BS!CC42)</f>
        <v>0.49948930701271543</v>
      </c>
      <c r="BW85" s="46">
        <f>BW19/(BS!CD62+BS!CD42)</f>
        <v>0.49948930701271543</v>
      </c>
      <c r="BX85" s="46">
        <f>BX19/(BS!CI62+BS!CI42)</f>
        <v>0.48620924812431265</v>
      </c>
      <c r="BY85" s="46">
        <f>BY19/(BS!CJ62+BS!CJ42)</f>
        <v>0.45401968924249259</v>
      </c>
    </row>
    <row r="86" spans="1:77">
      <c r="A86" s="41"/>
      <c r="B86" s="46"/>
      <c r="C86" s="46"/>
      <c r="D86" s="46"/>
      <c r="E86" s="46"/>
      <c r="F86" s="47"/>
      <c r="G86" s="47"/>
      <c r="H86" s="47"/>
      <c r="I86" s="47"/>
      <c r="J86" s="46"/>
      <c r="K86" s="47"/>
      <c r="L86" s="47"/>
      <c r="M86" s="47"/>
      <c r="N86" s="47"/>
      <c r="O86" s="46"/>
      <c r="P86" s="47"/>
      <c r="Q86" s="47"/>
      <c r="R86" s="47"/>
      <c r="S86" s="47"/>
      <c r="T86" s="46"/>
      <c r="U86" s="47"/>
      <c r="V86" s="47"/>
      <c r="W86" s="47"/>
      <c r="X86" s="47"/>
      <c r="Y86" s="46"/>
      <c r="Z86" s="47"/>
      <c r="AA86" s="47"/>
      <c r="AB86" s="47"/>
      <c r="AC86" s="47"/>
      <c r="AD86" s="46"/>
      <c r="AE86" s="47"/>
      <c r="AF86" s="47"/>
      <c r="AG86" s="47"/>
      <c r="AH86" s="47"/>
      <c r="AI86" s="46"/>
      <c r="AJ86" s="47"/>
      <c r="AK86" s="47"/>
      <c r="AL86" s="47"/>
      <c r="AM86" s="47"/>
      <c r="AN86" s="46"/>
      <c r="AO86" s="47"/>
      <c r="AP86" s="47"/>
      <c r="AQ86" s="47"/>
      <c r="AR86" s="47"/>
      <c r="AS86" s="46"/>
      <c r="AT86" s="47"/>
      <c r="AU86" s="47"/>
      <c r="AV86" s="47"/>
      <c r="AW86" s="47"/>
      <c r="AX86" s="46"/>
      <c r="AY86" s="47"/>
      <c r="AZ86" s="47"/>
      <c r="BA86" s="47"/>
      <c r="BB86" s="47"/>
      <c r="BC86" s="46"/>
      <c r="BD86" s="47"/>
      <c r="BE86" s="47"/>
      <c r="BF86" s="47"/>
      <c r="BG86" s="47"/>
      <c r="BH86" s="46"/>
      <c r="BI86" s="47"/>
      <c r="BJ86" s="47"/>
      <c r="BK86" s="47"/>
      <c r="BL86" s="47"/>
      <c r="BM86" s="46"/>
      <c r="BN86" s="47"/>
      <c r="BO86" s="47"/>
      <c r="BP86" s="47"/>
      <c r="BQ86" s="47"/>
      <c r="BR86" s="46"/>
      <c r="BS86" s="47"/>
      <c r="BT86" s="47"/>
      <c r="BU86" s="47"/>
      <c r="BV86" s="47"/>
      <c r="BW86" s="46"/>
      <c r="BX86" s="46"/>
      <c r="BY86" s="46"/>
    </row>
    <row r="87" spans="1:77">
      <c r="A87" s="41" t="s">
        <v>56</v>
      </c>
      <c r="B87" s="75">
        <f>-B9/IS!J61</f>
        <v>10.468586387434556</v>
      </c>
      <c r="C87" s="75">
        <f>-C9/IS!O61</f>
        <v>9.713615023474178</v>
      </c>
      <c r="D87" s="75">
        <f>-D9/IS!T61</f>
        <v>11.506561679790027</v>
      </c>
      <c r="E87" s="75">
        <f>-E9/IS!Y61</f>
        <v>12.736000000000001</v>
      </c>
      <c r="F87" s="76">
        <f>-F9/IS!Z61</f>
        <v>13.689655172413794</v>
      </c>
      <c r="G87" s="76">
        <f>-G9/IS!AA61</f>
        <v>16.483516483516482</v>
      </c>
      <c r="H87" s="76">
        <f>-H9/IS!AB61</f>
        <v>15.932584269662922</v>
      </c>
      <c r="I87" s="76">
        <f>-I9/IS!AC61</f>
        <v>13.822916666666666</v>
      </c>
      <c r="J87" s="75">
        <f>-J9/IS!AD61</f>
        <v>15.440771349862258</v>
      </c>
      <c r="K87" s="76">
        <f>-K9/IS!AE61</f>
        <v>13.34</v>
      </c>
      <c r="L87" s="76">
        <f>-L9/IS!AF61</f>
        <v>13.966666666666667</v>
      </c>
      <c r="M87" s="76">
        <f>-M9/IS!AG61</f>
        <v>12.585185185185185</v>
      </c>
      <c r="N87" s="76">
        <f>-N9/IS!AH61</f>
        <v>11.006993006993007</v>
      </c>
      <c r="O87" s="75">
        <f>-O9/IS!AI61</f>
        <v>12.616465863453815</v>
      </c>
      <c r="P87" s="76">
        <f>-P9/IS!AJ61</f>
        <v>10.753521126760564</v>
      </c>
      <c r="Q87" s="76">
        <f>-Q9/IS!AK61</f>
        <v>12.509677419354839</v>
      </c>
      <c r="R87" s="76">
        <f>-R9/IS!AL61</f>
        <v>12.384615384615385</v>
      </c>
      <c r="S87" s="76">
        <f>-S9/IS!AM61</f>
        <v>11.57516339869281</v>
      </c>
      <c r="T87" s="75">
        <f>-T9/IS!AN61</f>
        <v>11.830033003300331</v>
      </c>
      <c r="U87" s="76">
        <f>-U9/IS!AO61</f>
        <v>11.72</v>
      </c>
      <c r="V87" s="76">
        <f>-V9/IS!AP61</f>
        <v>13.294478527607362</v>
      </c>
      <c r="W87" s="76">
        <f>-W9/IS!AQ61</f>
        <v>12.351955307262569</v>
      </c>
      <c r="X87" s="76">
        <f>-X9/IS!AR61</f>
        <v>12.178160919540231</v>
      </c>
      <c r="Y87" s="75">
        <f>-Y9/IS!AS61</f>
        <v>12.394894894894895</v>
      </c>
      <c r="Z87" s="76">
        <f>-Z9/IS!AT61</f>
        <v>12.284848484848485</v>
      </c>
      <c r="AA87" s="76">
        <f>-AA9/IS!AU61</f>
        <v>14.3125</v>
      </c>
      <c r="AB87" s="76">
        <f>-AB9/IS!AV61</f>
        <v>13.734463276836157</v>
      </c>
      <c r="AC87" s="76">
        <f>-AC9/IS!AW61</f>
        <v>12.555555555555555</v>
      </c>
      <c r="AD87" s="75">
        <f>-AD9/IS!AX61</f>
        <v>13.242380261248186</v>
      </c>
      <c r="AE87" s="76">
        <f>-AE9/IS!AY61</f>
        <v>9.803751803751803</v>
      </c>
      <c r="AF87" s="76">
        <f>-AF9/IS!AZ61</f>
        <v>12.373751783166904</v>
      </c>
      <c r="AG87" s="76">
        <f>-AG9/IS!BA61</f>
        <v>13.203566121842496</v>
      </c>
      <c r="AH87" s="76">
        <f>-AH9/IS!BB61</f>
        <v>12.361379310344828</v>
      </c>
      <c r="AI87" s="75">
        <f>-AI9/IS!BC61</f>
        <v>11.932664756446991</v>
      </c>
      <c r="AJ87" s="76">
        <f>-AJ9/IS!BD61</f>
        <v>9.7309644670050766</v>
      </c>
      <c r="AK87" s="76">
        <f>-AK9/IS!BE61</f>
        <v>13.605714285714285</v>
      </c>
      <c r="AL87" s="76">
        <f>-AL9/IS!BF61</f>
        <v>13.171122994652407</v>
      </c>
      <c r="AM87" s="76">
        <f>-AM9/IS!BG61</f>
        <v>12.539267015706807</v>
      </c>
      <c r="AN87" s="75">
        <f>-AN9/IS!BH61</f>
        <v>12.208</v>
      </c>
      <c r="AO87" s="76">
        <f>-AO9/IS!BI61</f>
        <v>12.325301204819278</v>
      </c>
      <c r="AP87" s="76">
        <f>-AP9/IS!BJ61</f>
        <v>14.975609756097562</v>
      </c>
      <c r="AQ87" s="76">
        <f>-AQ9/IS!BK61</f>
        <v>15.096385542168674</v>
      </c>
      <c r="AR87" s="76">
        <f>-AR9/IS!BL61</f>
        <v>12.871508379888269</v>
      </c>
      <c r="AS87" s="75">
        <f>-AS9/IS!BM61</f>
        <v>13.795555555555556</v>
      </c>
      <c r="AT87" s="76">
        <f>-AT9/IS!BN61</f>
        <v>12.451219512195122</v>
      </c>
      <c r="AU87" s="76">
        <f>-AU9/IS!BO61</f>
        <v>12.98421052631579</v>
      </c>
      <c r="AV87" s="76">
        <f>-AV9/IS!BP61</f>
        <v>9.8346153846153843</v>
      </c>
      <c r="AW87" s="76">
        <f>-AW9/IS!BQ61</f>
        <v>9.1433691756272406</v>
      </c>
      <c r="AX87" s="75">
        <f>-AX9/IS!BR61</f>
        <v>10.769316909294513</v>
      </c>
      <c r="AY87" s="76">
        <f>-AY9/IS!BS61</f>
        <v>9.6627450980392151</v>
      </c>
      <c r="AZ87" s="76">
        <f>-AZ9/IS!BT61</f>
        <v>10.819852941176471</v>
      </c>
      <c r="BA87" s="76">
        <f>-BA9/IS!BU61</f>
        <v>11.879032258064516</v>
      </c>
      <c r="BB87" s="76">
        <f>-BB9/IS!BV61</f>
        <v>11.332046332046332</v>
      </c>
      <c r="BC87" s="75">
        <f>-BC9/IS!BW61</f>
        <v>10.916827852998066</v>
      </c>
      <c r="BD87" s="76">
        <f>-BD9/IS!BX61</f>
        <v>11.069958847736626</v>
      </c>
      <c r="BE87" s="76">
        <f>-BE9/IS!BY61</f>
        <v>13.085714285714285</v>
      </c>
      <c r="BF87" s="76">
        <f>-BF9/IS!BZ61</f>
        <v>13.413502109704641</v>
      </c>
      <c r="BG87" s="76">
        <f>-BG9/IS!CA61</f>
        <v>8.5822102425876015</v>
      </c>
      <c r="BH87" s="75">
        <f>-BH9/IS!CB61</f>
        <v>11.18521897810219</v>
      </c>
      <c r="BI87" s="76">
        <f>-BI9/IS!CC61</f>
        <v>10.904216314229254</v>
      </c>
      <c r="BJ87" s="76">
        <f>-BJ9/IS!CD61</f>
        <v>12.077427462701673</v>
      </c>
      <c r="BK87" s="76">
        <f>-BK9/IS!CE61</f>
        <v>12.829596412556054</v>
      </c>
      <c r="BL87" s="76">
        <f>-BL9/IS!CF61</f>
        <v>10.995798319327731</v>
      </c>
      <c r="BM87" s="75">
        <f>-BM9/IS!CG61</f>
        <v>11.685381355932204</v>
      </c>
      <c r="BN87" s="76">
        <f>-BN9/IS!CH61</f>
        <v>10.261410788381744</v>
      </c>
      <c r="BO87" s="76">
        <f>-BO9/IS!CI61</f>
        <v>11.931451612903226</v>
      </c>
      <c r="BP87" s="76">
        <f>-BP9/IS!CJ61</f>
        <v>11.412698412698413</v>
      </c>
      <c r="BQ87" s="76">
        <f>-BQ9/IS!CK61</f>
        <v>6.3476190476190473</v>
      </c>
      <c r="BR87" s="75">
        <f>-BR9/IS!CL61</f>
        <v>9.4521963824289408</v>
      </c>
      <c r="BS87" s="76">
        <f>-BS9/IS!CM61</f>
        <v>10.385593220338983</v>
      </c>
      <c r="BT87" s="76">
        <f>-BT9/IS!CN61</f>
        <v>11.46215139442231</v>
      </c>
      <c r="BU87" s="76">
        <f>-BU9/IS!CO61</f>
        <v>11.242045399261949</v>
      </c>
      <c r="BV87" s="76">
        <f>-BV9/IS!CP61</f>
        <v>10.059208547413252</v>
      </c>
      <c r="BW87" s="75">
        <f>-BW9/IS!CQ61</f>
        <v>10.78981143003695</v>
      </c>
      <c r="BX87" s="75">
        <f>-BX9/IS!CV61</f>
        <v>10.316250630382411</v>
      </c>
      <c r="BY87" s="75">
        <f>-BY9/IS!CW61</f>
        <v>10.840723502207744</v>
      </c>
    </row>
    <row r="88" spans="1:77">
      <c r="A88" s="30" t="s">
        <v>55</v>
      </c>
      <c r="B88" s="73">
        <f>-B12/IS!J61</f>
        <v>8.2198952879581153</v>
      </c>
      <c r="C88" s="73">
        <f>-C12/IS!O61</f>
        <v>7.589201877934272</v>
      </c>
      <c r="D88" s="73">
        <f>-D12/IS!T61</f>
        <v>9.5984251968503944</v>
      </c>
      <c r="E88" s="73">
        <f>-E12/IS!Y61</f>
        <v>10.253333333333334</v>
      </c>
      <c r="F88" s="74">
        <f>-F12/IS!Z61</f>
        <v>10.574712643678161</v>
      </c>
      <c r="G88" s="74">
        <f>-G12/IS!AA61</f>
        <v>13.373626373626374</v>
      </c>
      <c r="H88" s="74">
        <f>-H12/IS!AB61</f>
        <v>12.696629213483146</v>
      </c>
      <c r="I88" s="74">
        <f>-I12/IS!AC61</f>
        <v>10.770833333333334</v>
      </c>
      <c r="J88" s="73">
        <f>-J12/IS!AD61</f>
        <v>12.314049586776859</v>
      </c>
      <c r="K88" s="74">
        <f>-K12/IS!AE61</f>
        <v>10.88</v>
      </c>
      <c r="L88" s="74">
        <f>-L12/IS!AF61</f>
        <v>12.408333333333333</v>
      </c>
      <c r="M88" s="74">
        <f>-M12/IS!AG61</f>
        <v>10.251851851851852</v>
      </c>
      <c r="N88" s="74">
        <f>-N12/IS!AH61</f>
        <v>8.5384615384615383</v>
      </c>
      <c r="O88" s="73">
        <f>-O12/IS!AI61</f>
        <v>10.405622489959839</v>
      </c>
      <c r="P88" s="74">
        <f>-P12/IS!AJ61</f>
        <v>9.0281690140845079</v>
      </c>
      <c r="Q88" s="74">
        <f>-Q12/IS!AK61</f>
        <v>11.232258064516129</v>
      </c>
      <c r="R88" s="74">
        <f>-R12/IS!AL61</f>
        <v>10.557692307692308</v>
      </c>
      <c r="S88" s="74">
        <f>-S12/IS!AM61</f>
        <v>9.3333333333333339</v>
      </c>
      <c r="T88" s="73">
        <f>-T12/IS!AN61</f>
        <v>10.062706270627062</v>
      </c>
      <c r="U88" s="74">
        <f>-U12/IS!AO61</f>
        <v>10.026666666666667</v>
      </c>
      <c r="V88" s="74">
        <f>-V12/IS!AP61</f>
        <v>11.441717791411042</v>
      </c>
      <c r="W88" s="74">
        <f>-W12/IS!AQ61</f>
        <v>10.547486033519553</v>
      </c>
      <c r="X88" s="74">
        <f>-X12/IS!AR61</f>
        <v>10.304597701149426</v>
      </c>
      <c r="Y88" s="73">
        <f>-Y12/IS!AS61</f>
        <v>10.585585585585585</v>
      </c>
      <c r="Z88" s="74">
        <f>-Z12/IS!AT61</f>
        <v>10.145454545454545</v>
      </c>
      <c r="AA88" s="74">
        <f>-AA12/IS!AU61</f>
        <v>11.926136363636363</v>
      </c>
      <c r="AB88" s="74">
        <f>-AB12/IS!AV61</f>
        <v>11.576271186440678</v>
      </c>
      <c r="AC88" s="74">
        <f>-AC12/IS!AW61</f>
        <v>10.543859649122806</v>
      </c>
      <c r="AD88" s="73">
        <f>-AD12/IS!AX61</f>
        <v>11.066763425253992</v>
      </c>
      <c r="AE88" s="74">
        <f>-AE12/IS!AY61</f>
        <v>7.2215584415584413</v>
      </c>
      <c r="AF88" s="74">
        <f>-AF12/IS!AZ61</f>
        <v>9.3173181169757484</v>
      </c>
      <c r="AG88" s="74">
        <f>-AG12/IS!BA61</f>
        <v>10.511619613670133</v>
      </c>
      <c r="AH88" s="74">
        <f>-AH12/IS!BB61</f>
        <v>9.9622620689655186</v>
      </c>
      <c r="AI88" s="73">
        <f>-AI12/IS!BC61</f>
        <v>9.2524856733524352</v>
      </c>
      <c r="AJ88" s="74">
        <f>-AJ12/IS!BD61</f>
        <v>7.8629441624365484</v>
      </c>
      <c r="AK88" s="74">
        <f>-AK12/IS!BE61</f>
        <v>10.902857142857142</v>
      </c>
      <c r="AL88" s="74">
        <f>-AL12/IS!BF61</f>
        <v>10.449197860962567</v>
      </c>
      <c r="AM88" s="74">
        <f>-AM12/IS!BG61</f>
        <v>9.8272251308900529</v>
      </c>
      <c r="AN88" s="73">
        <f>-AN12/IS!BH61</f>
        <v>9.7173333333333325</v>
      </c>
      <c r="AO88" s="74">
        <f>-AO12/IS!BI61</f>
        <v>10.343373493975903</v>
      </c>
      <c r="AP88" s="74">
        <f>-AP12/IS!BJ61</f>
        <v>13.25</v>
      </c>
      <c r="AQ88" s="74">
        <f>-AQ12/IS!BK61</f>
        <v>13.120481927710843</v>
      </c>
      <c r="AR88" s="74">
        <f>-AR12/IS!BL61</f>
        <v>10.932960893854748</v>
      </c>
      <c r="AS88" s="73">
        <f>-AS12/IS!BM61</f>
        <v>11.888888888888889</v>
      </c>
      <c r="AT88" s="74">
        <f>-AT12/IS!BN61</f>
        <v>10.658536585365853</v>
      </c>
      <c r="AU88" s="74">
        <f>-AU12/IS!BO61</f>
        <v>11.58421052631579</v>
      </c>
      <c r="AV88" s="74">
        <f>-AV12/IS!BP61</f>
        <v>8.0192307692307701</v>
      </c>
      <c r="AW88" s="74">
        <f>-AW12/IS!BQ61</f>
        <v>6.344086021505376</v>
      </c>
      <c r="AX88" s="73">
        <f>-AX12/IS!BR61</f>
        <v>8.7390817469204922</v>
      </c>
      <c r="AY88" s="74">
        <f>-AY12/IS!BS61</f>
        <v>7.9411764705882355</v>
      </c>
      <c r="AZ88" s="74">
        <f>-AZ12/IS!BT61</f>
        <v>9.4191176470588243</v>
      </c>
      <c r="BA88" s="74">
        <f>-BA12/IS!BU61</f>
        <v>9.629032258064516</v>
      </c>
      <c r="BB88" s="74">
        <f>-BB12/IS!BV61</f>
        <v>9.1544401544401541</v>
      </c>
      <c r="BC88" s="73">
        <f>-BC12/IS!BW61</f>
        <v>9.0386847195357838</v>
      </c>
      <c r="BD88" s="74">
        <f>-BD12/IS!BX61</f>
        <v>8.707818930041153</v>
      </c>
      <c r="BE88" s="74">
        <f>-BE12/IS!BY61</f>
        <v>9.7714285714285722</v>
      </c>
      <c r="BF88" s="74">
        <f>-BF12/IS!BZ61</f>
        <v>11.80168776371308</v>
      </c>
      <c r="BG88" s="74">
        <f>-BG12/IS!CA61</f>
        <v>7.2129380053908356</v>
      </c>
      <c r="BH88" s="73">
        <f>-BH12/IS!CB61</f>
        <v>9.1085766423357661</v>
      </c>
      <c r="BI88" s="74">
        <f>-BI12/IS!CC61</f>
        <v>9.2217573221757316</v>
      </c>
      <c r="BJ88" s="74">
        <f>-BJ12/IS!CD61</f>
        <v>10.040983606557377</v>
      </c>
      <c r="BK88" s="74">
        <f>-BK12/IS!CE61</f>
        <v>10.497757847533633</v>
      </c>
      <c r="BL88" s="74">
        <f>-BL12/IS!CF61</f>
        <v>1.7815126050420169</v>
      </c>
      <c r="BM88" s="73">
        <f>-BM12/IS!CG61</f>
        <v>7.8591101694915251</v>
      </c>
      <c r="BN88" s="74">
        <f>-BN12/IS!CH61</f>
        <v>8.1452282157676343</v>
      </c>
      <c r="BO88" s="74">
        <f>-BO12/IS!CI61</f>
        <v>9.5161290322580641</v>
      </c>
      <c r="BP88" s="74">
        <f>-BP12/IS!CJ61</f>
        <v>9.0396825396825395</v>
      </c>
      <c r="BQ88" s="74">
        <f>-BQ12/IS!CK61</f>
        <v>4.0309523809523808</v>
      </c>
      <c r="BR88" s="73">
        <f>-BR12/IS!CL61</f>
        <v>7.1438415159345388</v>
      </c>
      <c r="BS88" s="74">
        <f>-BS12/IS!CM61</f>
        <v>9.703389830508474</v>
      </c>
      <c r="BT88" s="74">
        <f>-BT12/IS!CN61</f>
        <v>9.2231075697211153</v>
      </c>
      <c r="BU88" s="74">
        <f>-BU12/IS!CO61</f>
        <v>8.5885762263633207</v>
      </c>
      <c r="BV88" s="74">
        <f>-BV12/IS!CP61</f>
        <v>7.7266054881570883</v>
      </c>
      <c r="BW88" s="73">
        <f>-BW12/IS!CQ61</f>
        <v>8.7877268980502503</v>
      </c>
      <c r="BX88" s="73">
        <f>-BX12/IS!CV61</f>
        <v>8.2330870881722191</v>
      </c>
      <c r="BY88" s="73">
        <f>-BY12/IS!CW61</f>
        <v>8.9119045922420312</v>
      </c>
    </row>
    <row r="89" spans="1:77">
      <c r="A89" s="30" t="s">
        <v>54</v>
      </c>
      <c r="B89" s="73">
        <f>-B25/IS!J61</f>
        <v>4.0994764397905756</v>
      </c>
      <c r="C89" s="73">
        <f>-C25/IS!O61</f>
        <v>4.910798122065728</v>
      </c>
      <c r="D89" s="73">
        <f>-D25/IS!T61</f>
        <v>5.9501312335958003</v>
      </c>
      <c r="E89" s="73">
        <f>-E25/IS!Y61</f>
        <v>6.253333333333333</v>
      </c>
      <c r="F89" s="74">
        <f>-F25/IS!Z61</f>
        <v>7.3218390804597702</v>
      </c>
      <c r="G89" s="74">
        <f>-G25/IS!AA61</f>
        <v>10.395604395604396</v>
      </c>
      <c r="H89" s="74">
        <f>-H25/IS!AB61</f>
        <v>8.3258426966292127</v>
      </c>
      <c r="I89" s="74">
        <f>-I25/IS!AC61</f>
        <v>5.739583333333333</v>
      </c>
      <c r="J89" s="73">
        <f>-J25/IS!AD61</f>
        <v>8</v>
      </c>
      <c r="K89" s="74">
        <f>-K25/IS!AE61</f>
        <v>6.94</v>
      </c>
      <c r="L89" s="74">
        <f>-L25/IS!AF61</f>
        <v>8.375</v>
      </c>
      <c r="M89" s="74">
        <f>-M25/IS!AG61</f>
        <v>6.7111111111111112</v>
      </c>
      <c r="N89" s="74">
        <f>-N25/IS!AH61</f>
        <v>5.5944055944055942</v>
      </c>
      <c r="O89" s="73">
        <f>-O25/IS!AI61</f>
        <v>6.8373493975903612</v>
      </c>
      <c r="P89" s="74">
        <f>-P25/IS!AJ61</f>
        <v>5.450704225352113</v>
      </c>
      <c r="Q89" s="74">
        <f>-Q25/IS!AK61</f>
        <v>3.8322580645161288</v>
      </c>
      <c r="R89" s="74">
        <f>-R25/IS!AL61</f>
        <v>7.5448717948717947</v>
      </c>
      <c r="S89" s="74">
        <f>-S25/IS!AM61</f>
        <v>8.522875816993464</v>
      </c>
      <c r="T89" s="73">
        <f>-T25/IS!AN61</f>
        <v>6.3514851485148514</v>
      </c>
      <c r="U89" s="74">
        <f>-U25/IS!AO61</f>
        <v>1.6333333333333333</v>
      </c>
      <c r="V89" s="74">
        <f>-V25/IS!AP61</f>
        <v>7.3496932515337425</v>
      </c>
      <c r="W89" s="74">
        <f>-W25/IS!AQ61</f>
        <v>6.3966480446927374</v>
      </c>
      <c r="X89" s="74">
        <f>-X25/IS!AR61</f>
        <v>9.1321839080459775</v>
      </c>
      <c r="Y89" s="73">
        <f>-Y25/IS!AS61</f>
        <v>6.271771771771772</v>
      </c>
      <c r="Z89" s="74">
        <f>-Z25/IS!AT61</f>
        <v>3.9454545454545453</v>
      </c>
      <c r="AA89" s="74">
        <f>-AA25/IS!AU61</f>
        <v>6.3238636363636367</v>
      </c>
      <c r="AB89" s="74">
        <f>-AB25/IS!AV61</f>
        <v>8.8531073446327682</v>
      </c>
      <c r="AC89" s="74">
        <f>-AC25/IS!AW61</f>
        <v>9.4385964912280702</v>
      </c>
      <c r="AD89" s="73">
        <f>-AD25/IS!AX61</f>
        <v>7.1770682148040637</v>
      </c>
      <c r="AE89" s="74">
        <f>-AE25/IS!AY61</f>
        <v>1.8354978354978355</v>
      </c>
      <c r="AF89" s="74">
        <f>-AF25/IS!AZ61</f>
        <v>7.8002853067047075</v>
      </c>
      <c r="AG89" s="74">
        <f>-AG25/IS!BA61</f>
        <v>10.056463595839524</v>
      </c>
      <c r="AH89" s="74">
        <f>-AH25/IS!BB61</f>
        <v>6.3448275862068968</v>
      </c>
      <c r="AI89" s="73">
        <f>-AI25/IS!BC61</f>
        <v>6.4856733524355299</v>
      </c>
      <c r="AJ89" s="74">
        <f>-AJ25/IS!BD61</f>
        <v>5.1116751269035534</v>
      </c>
      <c r="AK89" s="74">
        <f>-AK25/IS!BE61</f>
        <v>7.1142857142857139</v>
      </c>
      <c r="AL89" s="74">
        <f>-AL25/IS!BF61</f>
        <v>8.0160427807486627</v>
      </c>
      <c r="AM89" s="74">
        <f>-AM25/IS!BG61</f>
        <v>6.7539267015706805</v>
      </c>
      <c r="AN89" s="73">
        <f>-AN25/IS!BH61</f>
        <v>6.7213333333333329</v>
      </c>
      <c r="AO89" s="74">
        <f>-AO25/IS!BI61</f>
        <v>6.9216867469879517</v>
      </c>
      <c r="AP89" s="74">
        <f>-AP25/IS!BJ61</f>
        <v>6.8475609756097562</v>
      </c>
      <c r="AQ89" s="74">
        <f>-AQ25/IS!BK61</f>
        <v>10.289156626506024</v>
      </c>
      <c r="AR89" s="74">
        <f>-AR25/IS!BL61</f>
        <v>8.6648044692737436</v>
      </c>
      <c r="AS89" s="73">
        <f>-AS25/IS!BM61</f>
        <v>8.1940740740740736</v>
      </c>
      <c r="AT89" s="74">
        <f>-AT25/IS!BN61</f>
        <v>6.8536585365853657</v>
      </c>
      <c r="AU89" s="74">
        <f>-AU25/IS!BO61</f>
        <v>7.742105263157895</v>
      </c>
      <c r="AV89" s="74">
        <f>-AV25/IS!BP61</f>
        <v>5.0307692307692307</v>
      </c>
      <c r="AW89" s="74">
        <f>-AW25/IS!BQ61</f>
        <v>4.7060931899641574</v>
      </c>
      <c r="AX89" s="73">
        <f>-AX25/IS!BR61</f>
        <v>5.8409854423292273</v>
      </c>
      <c r="AY89" s="74">
        <f>-AY25/IS!BS61</f>
        <v>4.3686274509803917</v>
      </c>
      <c r="AZ89" s="74">
        <f>-AZ25/IS!BT61</f>
        <v>5.7720588235294121</v>
      </c>
      <c r="BA89" s="74">
        <f>-BA25/IS!BU61</f>
        <v>4.67741935483871</v>
      </c>
      <c r="BB89" s="74">
        <f>-BB25/IS!BV61</f>
        <v>7.6138996138996138</v>
      </c>
      <c r="BC89" s="73">
        <f>-BC25/IS!BW61</f>
        <v>5.6247582205029012</v>
      </c>
      <c r="BD89" s="74">
        <f>-BD25/IS!BX61</f>
        <v>4.1234567901234565</v>
      </c>
      <c r="BE89" s="74">
        <f>-BE25/IS!BY61</f>
        <v>5.4530612244897956</v>
      </c>
      <c r="BF89" s="74">
        <f>-BF25/IS!BZ61</f>
        <v>6.4683544303797467</v>
      </c>
      <c r="BG89" s="74">
        <f>-BG25/IS!CA61</f>
        <v>4.7250673854447438</v>
      </c>
      <c r="BH89" s="73">
        <f>-BH25/IS!CB61</f>
        <v>5.1313868613138682</v>
      </c>
      <c r="BI89" s="74">
        <f>-BI25/IS!CC61</f>
        <v>4.02510460251046</v>
      </c>
      <c r="BJ89" s="74">
        <f>-BJ25/IS!CD61</f>
        <v>4.8278688524590168</v>
      </c>
      <c r="BK89" s="74">
        <f>-BK25/IS!CE61</f>
        <v>2.8295964125560538</v>
      </c>
      <c r="BL89" s="74">
        <f>-BL25/IS!CF61</f>
        <v>8.5966386554621845</v>
      </c>
      <c r="BM89" s="73">
        <f>-BM25/IS!CG61</f>
        <v>5.1027542372881358</v>
      </c>
      <c r="BN89" s="74">
        <f>-BN25/IS!CH61</f>
        <v>2.1120331950207469</v>
      </c>
      <c r="BO89" s="74">
        <f>-BO25/IS!CI61</f>
        <v>5.69758064516129</v>
      </c>
      <c r="BP89" s="74">
        <f>-BP25/IS!CJ61</f>
        <v>6.1785714285714288</v>
      </c>
      <c r="BQ89" s="74">
        <f>-BQ25/IS!CK61</f>
        <v>2.8309523809523811</v>
      </c>
      <c r="BR89" s="73">
        <f>-BR25/IS!CL61</f>
        <v>4.0594315245478034</v>
      </c>
      <c r="BS89" s="74">
        <f>-BS25/IS!CM61</f>
        <v>2.8305084745762712</v>
      </c>
      <c r="BT89" s="74">
        <f>-BT25/IS!CN61</f>
        <v>6.7729083665338647</v>
      </c>
      <c r="BU89" s="74">
        <f>-BU25/IS!CO61</f>
        <v>-1.8462927725997356</v>
      </c>
      <c r="BV89" s="74">
        <f>-BV25/IS!CP61</f>
        <v>6.8274973473108318</v>
      </c>
      <c r="BW89" s="73">
        <f>-BW25/IS!CQ61</f>
        <v>3.6572039310601592</v>
      </c>
      <c r="BX89" s="73">
        <f>-BX25/IS!CV61</f>
        <v>5.0449707111674229</v>
      </c>
      <c r="BY89" s="73">
        <f>-BY25/IS!CW61</f>
        <v>5.989940115662292</v>
      </c>
    </row>
    <row r="90" spans="1:77">
      <c r="A90" s="30"/>
      <c r="B90" s="73"/>
      <c r="C90" s="73"/>
      <c r="D90" s="73"/>
      <c r="E90" s="73"/>
      <c r="F90" s="74"/>
      <c r="G90" s="74"/>
      <c r="H90" s="74"/>
      <c r="I90" s="74"/>
      <c r="J90" s="73"/>
      <c r="K90" s="74"/>
      <c r="L90" s="74"/>
      <c r="M90" s="74"/>
      <c r="N90" s="74"/>
      <c r="O90" s="73"/>
      <c r="P90" s="74"/>
      <c r="Q90" s="74"/>
      <c r="R90" s="74"/>
      <c r="S90" s="74"/>
      <c r="T90" s="73"/>
      <c r="U90" s="74"/>
      <c r="V90" s="74"/>
      <c r="W90" s="74"/>
      <c r="X90" s="74"/>
      <c r="Y90" s="73"/>
      <c r="Z90" s="74"/>
      <c r="AA90" s="74"/>
      <c r="AB90" s="74"/>
      <c r="AC90" s="74"/>
      <c r="AD90" s="73"/>
      <c r="AE90" s="74"/>
      <c r="AF90" s="74"/>
      <c r="AG90" s="74"/>
      <c r="AH90" s="74"/>
      <c r="AI90" s="73"/>
      <c r="AJ90" s="74"/>
      <c r="AK90" s="74"/>
      <c r="AL90" s="74"/>
      <c r="AM90" s="74"/>
      <c r="AN90" s="73"/>
      <c r="AO90" s="74"/>
      <c r="AP90" s="74"/>
      <c r="AQ90" s="74"/>
      <c r="AR90" s="74"/>
      <c r="AS90" s="73"/>
      <c r="AT90" s="74"/>
      <c r="AU90" s="74"/>
      <c r="AV90" s="74"/>
      <c r="AW90" s="74"/>
      <c r="AX90" s="73"/>
      <c r="AY90" s="74"/>
      <c r="AZ90" s="74"/>
      <c r="BA90" s="74"/>
      <c r="BB90" s="74"/>
      <c r="BC90" s="73"/>
      <c r="BD90" s="74"/>
      <c r="BE90" s="74"/>
      <c r="BF90" s="74"/>
      <c r="BG90" s="74"/>
      <c r="BH90" s="73"/>
      <c r="BI90" s="74"/>
      <c r="BJ90" s="74"/>
      <c r="BK90" s="74"/>
      <c r="BL90" s="74"/>
      <c r="BM90" s="73"/>
      <c r="BN90" s="74"/>
      <c r="BO90" s="74"/>
      <c r="BP90" s="74"/>
      <c r="BQ90" s="74"/>
      <c r="BR90" s="73"/>
      <c r="BS90" s="74"/>
      <c r="BT90" s="74"/>
      <c r="BU90" s="74"/>
      <c r="BV90" s="74"/>
      <c r="BW90" s="73"/>
      <c r="BX90" s="73"/>
      <c r="BY90" s="73"/>
    </row>
    <row r="91" spans="1:77">
      <c r="A91" s="30" t="s">
        <v>53</v>
      </c>
      <c r="B91" s="73">
        <f>BS!I19/BS!I39</f>
        <v>1.1410530821917808</v>
      </c>
      <c r="C91" s="73">
        <f>BS!J19/BS!J39</f>
        <v>1.3454784374626687</v>
      </c>
      <c r="D91" s="73">
        <f>BS!K19/BS!K39</f>
        <v>1.4869037074528659</v>
      </c>
      <c r="E91" s="73">
        <f>BS!L19/BS!L39</f>
        <v>1.18945151542899</v>
      </c>
      <c r="F91" s="74">
        <f>BS!M19/BS!M39</f>
        <v>1.192225392296719</v>
      </c>
      <c r="G91" s="74">
        <f>BS!N19/BS!N39</f>
        <v>1.2422594509253575</v>
      </c>
      <c r="H91" s="74">
        <f>BS!O19/BS!O39</f>
        <v>1.2576692373607541</v>
      </c>
      <c r="I91" s="74">
        <f>BS!P19/BS!P39</f>
        <v>1.19663993890798</v>
      </c>
      <c r="J91" s="73">
        <f>BS!Q19/BS!Q39</f>
        <v>1.19663993890798</v>
      </c>
      <c r="K91" s="74">
        <f>BS!R19/BS!R39</f>
        <v>1.2346898768917118</v>
      </c>
      <c r="L91" s="74">
        <f>BS!S19/BS!S39</f>
        <v>1.2190737999577077</v>
      </c>
      <c r="M91" s="74">
        <f>BS!T19/BS!T39</f>
        <v>1.1810211101369124</v>
      </c>
      <c r="N91" s="74">
        <f>BS!U19/BS!U39</f>
        <v>1.1212772890192244</v>
      </c>
      <c r="O91" s="73">
        <f>BS!V19/BS!V39</f>
        <v>1.1212772890192244</v>
      </c>
      <c r="P91" s="74">
        <f>BS!W19/BS!W39</f>
        <v>1.1330582129681737</v>
      </c>
      <c r="Q91" s="74">
        <f>BS!X19/BS!X39</f>
        <v>1.2468068882252017</v>
      </c>
      <c r="R91" s="74">
        <f>BS!Y19/BS!Y39</f>
        <v>1.2907534690701594</v>
      </c>
      <c r="S91" s="74">
        <f>BS!Z19/BS!Z39</f>
        <v>1.2390846922672278</v>
      </c>
      <c r="T91" s="73">
        <f>BS!AA19/BS!AA39</f>
        <v>1.2390846922672278</v>
      </c>
      <c r="U91" s="74">
        <f>BS!AB19/BS!AB39</f>
        <v>1.2532282095852991</v>
      </c>
      <c r="V91" s="74">
        <f>BS!AC19/BS!AC39</f>
        <v>1.2793589063696895</v>
      </c>
      <c r="W91" s="74">
        <f>BS!AD19/BS!AD39</f>
        <v>1.2107438016528926</v>
      </c>
      <c r="X91" s="74">
        <f>BS!AE19/BS!AE39</f>
        <v>1.2634380903314442</v>
      </c>
      <c r="Y91" s="73">
        <f>BS!AF19/BS!AF39</f>
        <v>1.2634380903314442</v>
      </c>
      <c r="Z91" s="74">
        <f>BS!AG19/BS!AG39</f>
        <v>1.219892884468248</v>
      </c>
      <c r="AA91" s="74">
        <f>BS!AH19/BS!AH39</f>
        <v>1.2084369665935137</v>
      </c>
      <c r="AB91" s="74">
        <f>BS!AI19/BS!AI39</f>
        <v>1.2177569622803042</v>
      </c>
      <c r="AC91" s="74">
        <f>BS!AJ19/BS!AJ39</f>
        <v>1.2400432232170422</v>
      </c>
      <c r="AD91" s="73">
        <f>BS!AK19/BS!AK39</f>
        <v>1.2400432232170422</v>
      </c>
      <c r="AE91" s="74">
        <f>BS!AL19/BS!AL39</f>
        <v>1.2944980210714088</v>
      </c>
      <c r="AF91" s="74">
        <f>BS!AM19/BS!AM39</f>
        <v>1.2727370631629962</v>
      </c>
      <c r="AG91" s="74">
        <f>BS!AN19/BS!AN39</f>
        <v>1.3037912087912087</v>
      </c>
      <c r="AH91" s="74">
        <f>BS!AO19/BS!AO39</f>
        <v>1.2948138223636465</v>
      </c>
      <c r="AI91" s="73">
        <f>BS!AP19/BS!AP39</f>
        <v>1.2948138223636465</v>
      </c>
      <c r="AJ91" s="74">
        <f>BS!AQ19/BS!AQ39</f>
        <v>1.3026780931976434</v>
      </c>
      <c r="AK91" s="74">
        <f>BS!AR19/BS!AR39</f>
        <v>1.3005543119070462</v>
      </c>
      <c r="AL91" s="74">
        <f>BS!AS19/BS!AS39</f>
        <v>1.2913863404689092</v>
      </c>
      <c r="AM91" s="74">
        <f>BS!AT19/BS!AT39</f>
        <v>1.3258515677870517</v>
      </c>
      <c r="AN91" s="73">
        <f>BS!AU19/BS!AU39</f>
        <v>1.3258515677870517</v>
      </c>
      <c r="AO91" s="74">
        <f>BS!AV19/BS!AV39</f>
        <v>1.3218968069359271</v>
      </c>
      <c r="AP91" s="74">
        <f>BS!AW19/BS!AW39</f>
        <v>1.3074601761155635</v>
      </c>
      <c r="AQ91" s="74">
        <f>BS!AX19/BS!AX39</f>
        <v>1.3169856459330143</v>
      </c>
      <c r="AR91" s="74">
        <f>BS!AY19/BS!AY39</f>
        <v>1.3836484744305972</v>
      </c>
      <c r="AS91" s="73">
        <f>BS!AZ19/BS!AZ39</f>
        <v>1.3836484744305972</v>
      </c>
      <c r="AT91" s="74">
        <f>BS!BA19/BS!BA39</f>
        <v>1.519203491543917</v>
      </c>
      <c r="AU91" s="74">
        <f>BS!BB19/BS!BB39</f>
        <v>1.9775678270095489</v>
      </c>
      <c r="AV91" s="74">
        <f>BS!BC19/BS!BC39</f>
        <v>1.1978300317556327</v>
      </c>
      <c r="AW91" s="74">
        <f>BS!BD19/BS!BD39</f>
        <v>1.2448499117127723</v>
      </c>
      <c r="AX91" s="73">
        <f>BS!BE19/BS!BE39</f>
        <v>1.2448499117127723</v>
      </c>
      <c r="AY91" s="74">
        <f>BS!BF19/BS!BF39</f>
        <v>1.2926548162595859</v>
      </c>
      <c r="AZ91" s="74">
        <f>BS!BG19/BS!BG39</f>
        <v>1.2428768779140045</v>
      </c>
      <c r="BA91" s="74">
        <f>BS!BH19/BS!BH39</f>
        <v>1.2479697266040224</v>
      </c>
      <c r="BB91" s="74">
        <f>BS!BI19/BS!BI39</f>
        <v>1.2913157894736842</v>
      </c>
      <c r="BC91" s="73">
        <f>BS!BJ19/BS!BJ39</f>
        <v>1.2913157894736842</v>
      </c>
      <c r="BD91" s="74">
        <f>BS!BK19/BS!BK39</f>
        <v>1.3004230081548995</v>
      </c>
      <c r="BE91" s="74">
        <f>BS!BL19/BS!BL39</f>
        <v>1.2182901767365393</v>
      </c>
      <c r="BF91" s="74">
        <f>BS!BM19/BS!BM39</f>
        <v>1.230174000334616</v>
      </c>
      <c r="BG91" s="74">
        <f>BS!BN19/BS!BN39</f>
        <v>1.2997597728761738</v>
      </c>
      <c r="BH91" s="73">
        <f>BS!BO19/BS!BO39</f>
        <v>1.2997597728761738</v>
      </c>
      <c r="BI91" s="74">
        <f>BS!BP19/BS!BP39</f>
        <v>1.164367056628707</v>
      </c>
      <c r="BJ91" s="74">
        <f>BS!BQ19/BS!BQ39</f>
        <v>1.292469130599688</v>
      </c>
      <c r="BK91" s="74">
        <f>BS!BR19/BS!BR39</f>
        <v>1.3659926548186923</v>
      </c>
      <c r="BL91" s="74">
        <f>BS!BS19/BS!BS39</f>
        <v>1.1807410027411795</v>
      </c>
      <c r="BM91" s="73">
        <f>BS!BT19/BS!BT39</f>
        <v>1.1807410027411795</v>
      </c>
      <c r="BN91" s="74">
        <f>BS!BU19/BS!BU39</f>
        <v>1.3412756419626761</v>
      </c>
      <c r="BO91" s="74">
        <f>BS!BV19/BS!BV39</f>
        <v>1.2608754451607087</v>
      </c>
      <c r="BP91" s="74">
        <f>BS!BW19/BS!BW39</f>
        <v>1.2664921698238765</v>
      </c>
      <c r="BQ91" s="74">
        <f>BS!BX19/BS!BX39</f>
        <v>1.3032959006664842</v>
      </c>
      <c r="BR91" s="73">
        <f>BS!BY19/BS!BY39</f>
        <v>1.3032959006664842</v>
      </c>
      <c r="BS91" s="74">
        <f>BS!BZ19/BS!BZ39</f>
        <v>1.2351428812273455</v>
      </c>
      <c r="BT91" s="74">
        <f>BS!CA19/BS!CA39</f>
        <v>1.3725072118399599</v>
      </c>
      <c r="BU91" s="74">
        <f>BS!CB19/BS!CB39</f>
        <v>1.3055170501802051</v>
      </c>
      <c r="BV91" s="74">
        <f>BS!CC19/BS!CC39</f>
        <v>1.3411100547955932</v>
      </c>
      <c r="BW91" s="73">
        <f>BS!CD19/BS!CD39</f>
        <v>1.3411100547955932</v>
      </c>
      <c r="BX91" s="73">
        <f>BS!CI19/BS!CI39</f>
        <v>1.5705032901353932</v>
      </c>
      <c r="BY91" s="73">
        <f>BS!CJ19/BS!CJ39</f>
        <v>1.7537846375982038</v>
      </c>
    </row>
    <row r="92" spans="1:77">
      <c r="A92" s="30" t="s">
        <v>52</v>
      </c>
      <c r="B92" s="73">
        <f>(BS!I19-BS!I16)/BS!I39</f>
        <v>0.73908390410958902</v>
      </c>
      <c r="C92" s="73">
        <f>(BS!J19-BS!J16)/BS!J39</f>
        <v>0.87086369609365666</v>
      </c>
      <c r="D92" s="73">
        <f>(BS!K19-BS!K16)/BS!K39</f>
        <v>1.0163229153486018</v>
      </c>
      <c r="E92" s="73">
        <f>(BS!L19-BS!L16)/BS!L39</f>
        <v>0.78472667338155844</v>
      </c>
      <c r="F92" s="74">
        <f>(BS!M19-BS!M16)/BS!M39</f>
        <v>0.7914586305278174</v>
      </c>
      <c r="G92" s="74">
        <f>(BS!N19-BS!N16)/BS!N39</f>
        <v>0.85264450486799404</v>
      </c>
      <c r="H92" s="74">
        <f>(BS!O19-BS!O16)/BS!O39</f>
        <v>0.86161096829477291</v>
      </c>
      <c r="I92" s="74">
        <f>(BS!P19-BS!P16)/BS!P39</f>
        <v>0.80885834287896141</v>
      </c>
      <c r="J92" s="73">
        <f>(BS!Q19-BS!Q16)/BS!Q39</f>
        <v>0.80885834287896141</v>
      </c>
      <c r="K92" s="74">
        <f>(BS!R19-BS!R16)/BS!R39</f>
        <v>0.81925821375362662</v>
      </c>
      <c r="L92" s="74">
        <f>(BS!S19-BS!S16)/BS!S39</f>
        <v>0.80503277648551486</v>
      </c>
      <c r="M92" s="74">
        <f>(BS!T19-BS!T16)/BS!T39</f>
        <v>0.77878195184460786</v>
      </c>
      <c r="N92" s="74">
        <f>(BS!U19-BS!U16)/BS!U39</f>
        <v>0.75249266862170083</v>
      </c>
      <c r="O92" s="73">
        <f>(BS!V19-BS!V16)/BS!V39</f>
        <v>0.75249266862170083</v>
      </c>
      <c r="P92" s="74">
        <f>(BS!W19-BS!W16)/BS!W39</f>
        <v>0.72838116676045772</v>
      </c>
      <c r="Q92" s="74">
        <f>(BS!X19-BS!X16)/BS!X39</f>
        <v>0.81114570756815152</v>
      </c>
      <c r="R92" s="74">
        <f>(BS!Y19-BS!Y16)/BS!Y39</f>
        <v>0.82408247957463365</v>
      </c>
      <c r="S92" s="74">
        <f>(BS!Z19-BS!Z16)/BS!Z39</f>
        <v>0.80135455023671753</v>
      </c>
      <c r="T92" s="73">
        <f>(BS!AA19-BS!AA16)/BS!AA39</f>
        <v>0.80135455023671753</v>
      </c>
      <c r="U92" s="74">
        <f>(BS!AB19-BS!AB16)/BS!AB39</f>
        <v>0.78712441023094115</v>
      </c>
      <c r="V92" s="74">
        <f>(BS!AC19-BS!AC16)/BS!AC39</f>
        <v>0.80949855636085088</v>
      </c>
      <c r="W92" s="74">
        <f>(BS!AD19-BS!AD16)/BS!AD39</f>
        <v>0.75190511967371476</v>
      </c>
      <c r="X92" s="74">
        <f>(BS!AE19-BS!AE16)/BS!AE39</f>
        <v>0.79970232984143341</v>
      </c>
      <c r="Y92" s="73">
        <f>(BS!AF19-BS!AF16)/BS!AF39</f>
        <v>0.79970232984143341</v>
      </c>
      <c r="Z92" s="74">
        <f>(BS!AG19-BS!AG16)/BS!AG39</f>
        <v>0.75700076511094105</v>
      </c>
      <c r="AA92" s="74">
        <f>(BS!AH19-BS!AH16)/BS!AH39</f>
        <v>0.7655206047305535</v>
      </c>
      <c r="AB92" s="74">
        <f>(BS!AI19-BS!AI16)/BS!AI39</f>
        <v>0.76396233066424934</v>
      </c>
      <c r="AC92" s="74">
        <f>(BS!AJ19-BS!AJ16)/BS!AJ39</f>
        <v>0.81089842543995061</v>
      </c>
      <c r="AD92" s="73">
        <f>(BS!AK19-BS!AK16)/BS!AK39</f>
        <v>0.81089842543995061</v>
      </c>
      <c r="AE92" s="74">
        <f>(BS!AL19-BS!AL16)/BS!AL39</f>
        <v>0.81503985729416351</v>
      </c>
      <c r="AF92" s="74">
        <f>(BS!AM19-BS!AM16)/BS!AM39</f>
        <v>0.81293414463410696</v>
      </c>
      <c r="AG92" s="74">
        <f>(BS!AN19-BS!AN16)/BS!AN39</f>
        <v>0.85950549450549452</v>
      </c>
      <c r="AH92" s="74">
        <f>(BS!AO19-BS!AO16)/BS!AO39</f>
        <v>0.87562105733266338</v>
      </c>
      <c r="AI92" s="73">
        <f>(BS!AP19-BS!AP16)/BS!AP39</f>
        <v>0.87562105733266338</v>
      </c>
      <c r="AJ92" s="74">
        <f>(BS!AQ19-BS!AQ16)/BS!AQ39</f>
        <v>0.86497054097482595</v>
      </c>
      <c r="AK92" s="74">
        <f>(BS!AR19-BS!AR16)/BS!AR39</f>
        <v>0.86973670184415308</v>
      </c>
      <c r="AL92" s="74">
        <f>(BS!AS19-BS!AS16)/BS!AS39</f>
        <v>0.86172273190621818</v>
      </c>
      <c r="AM92" s="74">
        <f>(BS!AT19-BS!AT16)/BS!AT39</f>
        <v>0.88788630724114592</v>
      </c>
      <c r="AN92" s="73">
        <f>(BS!AU19-BS!AU16)/BS!AU39</f>
        <v>0.88788630724114592</v>
      </c>
      <c r="AO92" s="74">
        <f>(BS!AV19-BS!AV16)/BS!AV39</f>
        <v>0.85525481074222875</v>
      </c>
      <c r="AP92" s="74">
        <f>(BS!AW19-BS!AW16)/BS!AW39</f>
        <v>0.8723656871475215</v>
      </c>
      <c r="AQ92" s="74">
        <f>(BS!AX19-BS!AX16)/BS!AX39</f>
        <v>0.88750996810207339</v>
      </c>
      <c r="AR92" s="74">
        <f>(BS!AY19-BS!AY16)/BS!AY39</f>
        <v>0.96481521272024062</v>
      </c>
      <c r="AS92" s="73">
        <f>(BS!AZ19-BS!AZ16)/BS!AZ39</f>
        <v>0.96481521272024062</v>
      </c>
      <c r="AT92" s="74">
        <f>(BS!BA19-BS!BA16)/BS!BA39</f>
        <v>1.0627932351336606</v>
      </c>
      <c r="AU92" s="74">
        <f>(BS!BB19-BS!BB16)/BS!BB39</f>
        <v>1.5480220279896932</v>
      </c>
      <c r="AV92" s="74">
        <f>(BS!BC19-BS!BC16)/BS!BC39</f>
        <v>0.80213216391955244</v>
      </c>
      <c r="AW92" s="74">
        <f>(BS!BD19-BS!BD16)/BS!BD39</f>
        <v>0.84389977297569996</v>
      </c>
      <c r="AX92" s="73">
        <f>(BS!BE19-BS!BE16)/BS!BE39</f>
        <v>0.84389977297569996</v>
      </c>
      <c r="AY92" s="74">
        <f>(BS!BF19-BS!BF16)/BS!BF39</f>
        <v>0.84223591471253156</v>
      </c>
      <c r="AZ92" s="74">
        <f>(BS!BG19-BS!BG16)/BS!BG39</f>
        <v>0.80115696770851319</v>
      </c>
      <c r="BA92" s="74">
        <f>(BS!BH19-BS!BH16)/BS!BH39</f>
        <v>0.79025468769930696</v>
      </c>
      <c r="BB92" s="74">
        <f>(BS!BI19-BS!BI16)/BS!BI39</f>
        <v>0.83824561403508768</v>
      </c>
      <c r="BC92" s="73">
        <f>(BS!BJ19-BS!BJ16)/BS!BJ39</f>
        <v>0.83824561403508768</v>
      </c>
      <c r="BD92" s="74">
        <f>(BS!BK19-BS!BK16)/BS!BK39</f>
        <v>0.82107191138633295</v>
      </c>
      <c r="BE92" s="74">
        <f>(BS!BL19-BS!BL16)/BS!BL39</f>
        <v>0.81154952733251129</v>
      </c>
      <c r="BF92" s="74">
        <f>(BS!BM19-BS!BM16)/BS!BM39</f>
        <v>0.79764095700184034</v>
      </c>
      <c r="BG92" s="74">
        <f>(BS!BN19-BS!BN16)/BS!BN39</f>
        <v>0.86887966804979255</v>
      </c>
      <c r="BH92" s="73">
        <f>(BS!BO19-BS!BO16)/BS!BO39</f>
        <v>0.86887966804979255</v>
      </c>
      <c r="BI92" s="74">
        <f>(BS!BP19-BS!BP16)/BS!BP39</f>
        <v>0.76264137743402383</v>
      </c>
      <c r="BJ92" s="74">
        <f>(BS!BQ19-BS!BQ16)/BS!BQ39</f>
        <v>0.8586118251928021</v>
      </c>
      <c r="BK92" s="74">
        <f>(BS!BR19-BS!BR16)/BS!BR39</f>
        <v>1.0091603697918865</v>
      </c>
      <c r="BL92" s="74">
        <f>(BS!BS19-BS!BS16)/BS!BS39</f>
        <v>0.82107171279511892</v>
      </c>
      <c r="BM92" s="73">
        <f>(BS!BT19-BS!BT16)/BS!BT39</f>
        <v>0.82107171279511892</v>
      </c>
      <c r="BN92" s="74">
        <f>(BS!BU19-BS!BU16)/BS!BU39</f>
        <v>0.92676509282268671</v>
      </c>
      <c r="BO92" s="74">
        <f>(BS!BV19-BS!BV16)/BS!BV39</f>
        <v>0.86656448631835192</v>
      </c>
      <c r="BP92" s="74">
        <f>(BS!BW19-BS!BW16)/BS!BW39</f>
        <v>0.86362628099906835</v>
      </c>
      <c r="BQ92" s="74">
        <f>(BS!BX19-BS!BX16)/BS!BX39</f>
        <v>0.90596183693965127</v>
      </c>
      <c r="BR92" s="73">
        <f>(BS!BY19-BS!BY16)/BS!BY39</f>
        <v>0.90596183693965127</v>
      </c>
      <c r="BS92" s="74">
        <f>(BS!BZ19-BS!BZ16)/BS!BZ39</f>
        <v>0.83954311725533171</v>
      </c>
      <c r="BT92" s="74">
        <f>(BS!CA19-BS!CA16)/BS!CA39</f>
        <v>0.96028262051089097</v>
      </c>
      <c r="BU92" s="74">
        <f>(BS!CB19-BS!CB16)/BS!CB39</f>
        <v>0.90617450196047367</v>
      </c>
      <c r="BV92" s="74">
        <f>(BS!CC19-BS!CC16)/BS!CC39</f>
        <v>0.93348087021460435</v>
      </c>
      <c r="BW92" s="73">
        <f>(BS!CD19-BS!CD16)/BS!CD39</f>
        <v>0.93348087021460435</v>
      </c>
      <c r="BX92" s="73">
        <f>(BS!CI19-BS!CI16)/BS!CI39</f>
        <v>1.1769436792982038</v>
      </c>
      <c r="BY92" s="73">
        <f>(BS!CJ19-BS!CJ16)/BS!CJ39</f>
        <v>1.3732265937943835</v>
      </c>
    </row>
    <row r="93" spans="1:77">
      <c r="A93" s="30"/>
      <c r="B93" s="73"/>
      <c r="C93" s="73"/>
      <c r="D93" s="73"/>
      <c r="E93" s="73"/>
      <c r="F93" s="80"/>
      <c r="G93" s="80"/>
      <c r="H93" s="80"/>
      <c r="I93" s="80"/>
      <c r="J93" s="73"/>
      <c r="K93" s="80"/>
      <c r="L93" s="80"/>
      <c r="M93" s="80"/>
      <c r="N93" s="80"/>
      <c r="O93" s="73"/>
      <c r="P93" s="80"/>
      <c r="Q93" s="80"/>
      <c r="R93" s="80"/>
      <c r="S93" s="80"/>
      <c r="T93" s="73"/>
      <c r="U93" s="80"/>
      <c r="V93" s="80"/>
      <c r="W93" s="80"/>
      <c r="X93" s="80"/>
      <c r="Y93" s="73"/>
      <c r="Z93" s="80"/>
      <c r="AA93" s="80"/>
      <c r="AB93" s="80"/>
      <c r="AC93" s="80"/>
      <c r="AD93" s="73"/>
      <c r="AE93" s="80"/>
      <c r="AF93" s="80"/>
      <c r="AG93" s="80"/>
      <c r="AH93" s="80"/>
      <c r="AI93" s="73"/>
      <c r="AJ93" s="80"/>
      <c r="AK93" s="80"/>
      <c r="AL93" s="80"/>
      <c r="AM93" s="80"/>
      <c r="AN93" s="73"/>
      <c r="AO93" s="80"/>
      <c r="AP93" s="80"/>
      <c r="AQ93" s="80"/>
      <c r="AR93" s="80"/>
      <c r="AS93" s="73"/>
      <c r="AT93" s="80"/>
      <c r="AU93" s="80"/>
      <c r="AV93" s="80"/>
      <c r="AW93" s="80"/>
      <c r="AX93" s="73"/>
      <c r="AY93" s="74"/>
      <c r="AZ93" s="74"/>
      <c r="BA93" s="74"/>
      <c r="BB93" s="74"/>
      <c r="BC93" s="73"/>
      <c r="BD93" s="74"/>
      <c r="BE93" s="74"/>
      <c r="BF93" s="74"/>
      <c r="BG93" s="74"/>
      <c r="BH93" s="73"/>
      <c r="BI93" s="74"/>
      <c r="BJ93" s="74"/>
      <c r="BK93" s="74"/>
      <c r="BL93" s="74"/>
      <c r="BM93" s="73"/>
      <c r="BN93" s="74"/>
      <c r="BO93" s="74"/>
      <c r="BP93" s="74"/>
      <c r="BQ93" s="74"/>
      <c r="BR93" s="73"/>
      <c r="BS93" s="74"/>
      <c r="BT93" s="74"/>
      <c r="BU93" s="74"/>
      <c r="BV93" s="74"/>
      <c r="BW93" s="73"/>
      <c r="BX93" s="73"/>
      <c r="BY93" s="73"/>
    </row>
    <row r="94" spans="1:77">
      <c r="A94" s="30" t="s">
        <v>51</v>
      </c>
      <c r="B94" s="37"/>
      <c r="C94" s="37"/>
      <c r="D94" s="37"/>
      <c r="E94" s="37"/>
      <c r="F94" s="38"/>
      <c r="G94" s="38"/>
      <c r="H94" s="38"/>
      <c r="I94" s="38"/>
      <c r="J94" s="37"/>
      <c r="K94" s="38"/>
      <c r="L94" s="38"/>
      <c r="M94" s="38"/>
      <c r="N94" s="38"/>
      <c r="O94" s="37"/>
      <c r="P94" s="29"/>
      <c r="Q94" s="29"/>
      <c r="R94" s="29"/>
      <c r="S94" s="29"/>
      <c r="T94" s="37"/>
      <c r="U94" s="29"/>
      <c r="V94" s="29"/>
      <c r="W94" s="29"/>
      <c r="X94" s="29"/>
      <c r="Y94" s="37"/>
      <c r="Z94" s="29"/>
      <c r="AA94" s="29"/>
      <c r="AB94" s="29"/>
      <c r="AC94" s="29"/>
      <c r="AD94" s="37"/>
      <c r="AE94" s="79"/>
      <c r="AF94" s="79"/>
      <c r="AG94" s="79"/>
      <c r="AH94" s="79"/>
      <c r="AI94" s="37"/>
      <c r="AJ94" s="79"/>
      <c r="AK94" s="79"/>
      <c r="AL94" s="29"/>
      <c r="AM94" s="29"/>
      <c r="AN94" s="37"/>
      <c r="AO94" s="29"/>
      <c r="AP94" s="29"/>
      <c r="AQ94" s="29"/>
      <c r="AR94" s="29"/>
      <c r="AS94" s="37"/>
      <c r="AT94" s="29"/>
      <c r="AU94" s="29"/>
      <c r="AV94" s="29"/>
      <c r="AW94" s="29"/>
      <c r="AX94" s="37"/>
      <c r="AY94" s="45"/>
      <c r="AZ94" s="45"/>
      <c r="BA94" s="45"/>
      <c r="BB94" s="45"/>
      <c r="BC94" s="26"/>
      <c r="BD94" s="45"/>
      <c r="BE94" s="45"/>
      <c r="BF94" s="45"/>
      <c r="BG94" s="45"/>
      <c r="BH94" s="26"/>
      <c r="BI94" s="45"/>
      <c r="BJ94" s="45"/>
      <c r="BK94" s="45"/>
      <c r="BL94" s="45"/>
      <c r="BM94" s="26"/>
      <c r="BN94" s="45"/>
      <c r="BO94" s="45"/>
      <c r="BP94" s="45"/>
      <c r="BQ94" s="45"/>
      <c r="BR94" s="26"/>
      <c r="BS94" s="45"/>
      <c r="BT94" s="45"/>
      <c r="BU94" s="45"/>
      <c r="BV94" s="45"/>
      <c r="BW94" s="26"/>
      <c r="BX94" s="26"/>
      <c r="BY94" s="26"/>
    </row>
    <row r="95" spans="1:77">
      <c r="A95" s="41" t="s">
        <v>50</v>
      </c>
      <c r="B95" s="46"/>
      <c r="C95" s="46"/>
      <c r="D95" s="46"/>
      <c r="E95" s="46"/>
      <c r="F95" s="56"/>
      <c r="G95" s="56"/>
      <c r="H95" s="56"/>
      <c r="I95" s="56"/>
      <c r="J95" s="46"/>
      <c r="K95" s="56"/>
      <c r="L95" s="56"/>
      <c r="M95" s="56"/>
      <c r="N95" s="56"/>
      <c r="O95" s="46"/>
      <c r="P95" s="58"/>
      <c r="Q95" s="58"/>
      <c r="R95" s="58"/>
      <c r="S95" s="58"/>
      <c r="T95" s="46"/>
      <c r="U95" s="58"/>
      <c r="V95" s="58"/>
      <c r="W95" s="58"/>
      <c r="X95" s="58"/>
      <c r="Y95" s="46"/>
      <c r="Z95" s="58"/>
      <c r="AA95" s="58"/>
      <c r="AB95" s="58"/>
      <c r="AC95" s="58"/>
      <c r="AD95" s="46"/>
      <c r="AE95" s="78"/>
      <c r="AF95" s="78"/>
      <c r="AG95" s="78"/>
      <c r="AH95" s="78"/>
      <c r="AI95" s="46"/>
      <c r="AJ95" s="78"/>
      <c r="AK95" s="78"/>
      <c r="AL95" s="58"/>
      <c r="AM95" s="58"/>
      <c r="AN95" s="46"/>
      <c r="AO95" s="58"/>
      <c r="AP95" s="58"/>
      <c r="AQ95" s="58"/>
      <c r="AR95" s="58"/>
      <c r="AS95" s="46"/>
      <c r="AT95" s="58"/>
      <c r="AU95" s="58"/>
      <c r="AV95" s="58"/>
      <c r="AW95" s="58"/>
      <c r="AX95" s="46"/>
      <c r="AY95" s="47"/>
      <c r="AZ95" s="47"/>
      <c r="BA95" s="47"/>
      <c r="BB95" s="47"/>
      <c r="BC95" s="55"/>
      <c r="BD95" s="47"/>
      <c r="BE95" s="47"/>
      <c r="BF95" s="47"/>
      <c r="BG95" s="47"/>
      <c r="BH95" s="55"/>
      <c r="BI95" s="47"/>
      <c r="BJ95" s="47"/>
      <c r="BK95" s="47"/>
      <c r="BL95" s="47"/>
      <c r="BM95" s="55"/>
      <c r="BN95" s="47"/>
      <c r="BO95" s="47"/>
      <c r="BP95" s="47"/>
      <c r="BQ95" s="47"/>
      <c r="BR95" s="55"/>
      <c r="BS95" s="47"/>
      <c r="BT95" s="47"/>
      <c r="BU95" s="47"/>
      <c r="BV95" s="47"/>
      <c r="BW95" s="55"/>
      <c r="BX95" s="55"/>
      <c r="BY95" s="55"/>
    </row>
    <row r="96" spans="1:77">
      <c r="A96" s="23" t="s">
        <v>49</v>
      </c>
      <c r="B96" s="52"/>
      <c r="C96" s="52"/>
      <c r="D96" s="52"/>
      <c r="E96" s="52"/>
      <c r="F96" s="53"/>
      <c r="G96" s="53"/>
      <c r="H96" s="53"/>
      <c r="I96" s="53"/>
      <c r="J96" s="52"/>
      <c r="K96" s="53"/>
      <c r="L96" s="53"/>
      <c r="M96" s="53"/>
      <c r="N96" s="53"/>
      <c r="O96" s="52"/>
      <c r="P96" s="22"/>
      <c r="Q96" s="22"/>
      <c r="R96" s="22"/>
      <c r="S96" s="22"/>
      <c r="T96" s="52"/>
      <c r="U96" s="22"/>
      <c r="V96" s="22"/>
      <c r="W96" s="22"/>
      <c r="X96" s="22"/>
      <c r="Y96" s="52"/>
      <c r="Z96" s="22"/>
      <c r="AA96" s="22"/>
      <c r="AB96" s="22"/>
      <c r="AC96" s="22"/>
      <c r="AD96" s="52"/>
      <c r="AE96" s="77"/>
      <c r="AF96" s="77"/>
      <c r="AG96" s="77"/>
      <c r="AH96" s="77"/>
      <c r="AI96" s="52"/>
      <c r="AJ96" s="77"/>
      <c r="AK96" s="77"/>
      <c r="AL96" s="22"/>
      <c r="AM96" s="22"/>
      <c r="AN96" s="52"/>
      <c r="AO96" s="22"/>
      <c r="AP96" s="22"/>
      <c r="AQ96" s="22"/>
      <c r="AR96" s="22"/>
      <c r="AS96" s="52"/>
      <c r="AT96" s="22"/>
      <c r="AU96" s="22"/>
      <c r="AV96" s="22"/>
      <c r="AW96" s="22"/>
      <c r="AX96" s="52"/>
      <c r="AY96" s="51"/>
      <c r="AZ96" s="51"/>
      <c r="BA96" s="51"/>
      <c r="BB96" s="51"/>
      <c r="BC96" s="19"/>
      <c r="BD96" s="51"/>
      <c r="BE96" s="51"/>
      <c r="BF96" s="51"/>
      <c r="BG96" s="51"/>
      <c r="BH96" s="19"/>
      <c r="BI96" s="51"/>
      <c r="BJ96" s="51"/>
      <c r="BK96" s="51"/>
      <c r="BL96" s="51"/>
      <c r="BM96" s="19"/>
      <c r="BN96" s="51"/>
      <c r="BO96" s="51"/>
      <c r="BP96" s="51"/>
      <c r="BQ96" s="51"/>
      <c r="BR96" s="19"/>
      <c r="BS96" s="51"/>
      <c r="BT96" s="51"/>
      <c r="BU96" s="51"/>
      <c r="BV96" s="51"/>
      <c r="BW96" s="19"/>
      <c r="BX96" s="19"/>
      <c r="BY96" s="19"/>
    </row>
    <row r="97" spans="1:77">
      <c r="A97" s="30"/>
      <c r="B97" s="32"/>
      <c r="C97" s="32"/>
      <c r="D97" s="32"/>
      <c r="E97" s="32"/>
      <c r="F97" s="30"/>
      <c r="G97" s="30"/>
      <c r="H97" s="30"/>
      <c r="I97" s="30"/>
      <c r="J97" s="32"/>
      <c r="K97" s="30"/>
      <c r="L97" s="30"/>
      <c r="M97" s="30"/>
      <c r="N97" s="30"/>
      <c r="O97" s="32"/>
      <c r="P97" s="66"/>
      <c r="Q97" s="66"/>
      <c r="R97" s="66"/>
      <c r="S97" s="66"/>
      <c r="T97" s="32"/>
      <c r="U97" s="66"/>
      <c r="V97" s="66"/>
      <c r="W97" s="66"/>
      <c r="X97" s="66"/>
      <c r="Y97" s="32"/>
      <c r="Z97" s="66"/>
      <c r="AA97" s="66"/>
      <c r="AB97" s="66"/>
      <c r="AC97" s="66"/>
      <c r="AD97" s="32"/>
      <c r="AE97" s="66"/>
      <c r="AF97" s="66"/>
      <c r="AG97" s="66"/>
      <c r="AH97" s="66"/>
      <c r="AI97" s="32"/>
      <c r="AJ97" s="66"/>
      <c r="AK97" s="66"/>
      <c r="AL97" s="66"/>
      <c r="AM97" s="66"/>
      <c r="AN97" s="32"/>
      <c r="AO97" s="66"/>
      <c r="AP97" s="66"/>
      <c r="AQ97" s="66"/>
      <c r="AR97" s="66"/>
      <c r="AS97" s="32"/>
      <c r="AT97" s="66"/>
      <c r="AU97" s="66"/>
      <c r="AV97" s="66"/>
      <c r="AW97" s="66"/>
      <c r="AX97" s="32"/>
      <c r="AY97" s="33"/>
      <c r="AZ97" s="33"/>
      <c r="BA97" s="33"/>
      <c r="BB97" s="33"/>
      <c r="BC97" s="62"/>
      <c r="BD97" s="33"/>
      <c r="BE97" s="33"/>
      <c r="BF97" s="33"/>
      <c r="BG97" s="33"/>
      <c r="BH97" s="62"/>
      <c r="BI97" s="33"/>
      <c r="BJ97" s="33"/>
      <c r="BK97" s="33"/>
      <c r="BL97" s="33"/>
      <c r="BM97" s="62"/>
      <c r="BN97" s="33"/>
      <c r="BO97" s="33"/>
      <c r="BP97" s="33"/>
      <c r="BQ97" s="33"/>
      <c r="BR97" s="62"/>
      <c r="BS97" s="33"/>
      <c r="BT97" s="33"/>
      <c r="BU97" s="33"/>
      <c r="BV97" s="33"/>
      <c r="BW97" s="62"/>
      <c r="BX97" s="62"/>
      <c r="BY97" s="62"/>
    </row>
    <row r="98" spans="1:77">
      <c r="A98" s="50" t="s">
        <v>48</v>
      </c>
      <c r="B98" s="32"/>
      <c r="C98" s="32"/>
      <c r="D98" s="32"/>
      <c r="E98" s="32"/>
      <c r="F98" s="30"/>
      <c r="G98" s="30"/>
      <c r="H98" s="30"/>
      <c r="I98" s="30"/>
      <c r="J98" s="32"/>
      <c r="K98" s="30"/>
      <c r="L98" s="30"/>
      <c r="M98" s="30"/>
      <c r="N98" s="30"/>
      <c r="O98" s="32"/>
      <c r="P98" s="66"/>
      <c r="Q98" s="66"/>
      <c r="R98" s="66"/>
      <c r="S98" s="66"/>
      <c r="T98" s="32"/>
      <c r="U98" s="66"/>
      <c r="V98" s="66"/>
      <c r="W98" s="66"/>
      <c r="X98" s="66"/>
      <c r="Y98" s="32"/>
      <c r="Z98" s="66"/>
      <c r="AA98" s="66"/>
      <c r="AB98" s="66"/>
      <c r="AC98" s="66"/>
      <c r="AD98" s="32"/>
      <c r="AE98" s="66"/>
      <c r="AF98" s="66"/>
      <c r="AG98" s="66"/>
      <c r="AH98" s="66"/>
      <c r="AI98" s="32"/>
      <c r="AJ98" s="66"/>
      <c r="AK98" s="66"/>
      <c r="AL98" s="66"/>
      <c r="AM98" s="66"/>
      <c r="AN98" s="32"/>
      <c r="AO98" s="66"/>
      <c r="AP98" s="66"/>
      <c r="AQ98" s="66"/>
      <c r="AR98" s="66"/>
      <c r="AS98" s="32"/>
      <c r="AT98" s="66"/>
      <c r="AU98" s="66"/>
      <c r="AV98" s="66"/>
      <c r="AW98" s="66"/>
      <c r="AX98" s="32"/>
      <c r="AY98" s="33"/>
      <c r="AZ98" s="33"/>
      <c r="BA98" s="33"/>
      <c r="BB98" s="33"/>
      <c r="BC98" s="62"/>
      <c r="BD98" s="33"/>
      <c r="BE98" s="33"/>
      <c r="BF98" s="33"/>
      <c r="BG98" s="33"/>
      <c r="BH98" s="62"/>
      <c r="BI98" s="33"/>
      <c r="BJ98" s="33"/>
      <c r="BK98" s="33"/>
      <c r="BL98" s="33"/>
      <c r="BM98" s="62"/>
      <c r="BN98" s="33"/>
      <c r="BO98" s="33"/>
      <c r="BP98" s="33"/>
      <c r="BQ98" s="33"/>
      <c r="BR98" s="62"/>
      <c r="BS98" s="33"/>
      <c r="BT98" s="33"/>
      <c r="BU98" s="33"/>
      <c r="BV98" s="33"/>
      <c r="BW98" s="62"/>
      <c r="BX98" s="62"/>
      <c r="BY98" s="62"/>
    </row>
    <row r="99" spans="1:77">
      <c r="A99" s="30"/>
      <c r="B99" s="32"/>
      <c r="C99" s="32"/>
      <c r="D99" s="32"/>
      <c r="E99" s="32"/>
      <c r="F99" s="30"/>
      <c r="G99" s="30"/>
      <c r="H99" s="30"/>
      <c r="I99" s="30"/>
      <c r="J99" s="32"/>
      <c r="K99" s="30"/>
      <c r="L99" s="30"/>
      <c r="M99" s="30"/>
      <c r="N99" s="30"/>
      <c r="O99" s="32"/>
      <c r="P99" s="66"/>
      <c r="Q99" s="66"/>
      <c r="R99" s="66"/>
      <c r="S99" s="66"/>
      <c r="T99" s="32"/>
      <c r="U99" s="66"/>
      <c r="V99" s="66"/>
      <c r="W99" s="66"/>
      <c r="X99" s="66"/>
      <c r="Y99" s="32"/>
      <c r="Z99" s="66"/>
      <c r="AA99" s="66"/>
      <c r="AB99" s="66"/>
      <c r="AC99" s="66"/>
      <c r="AD99" s="32"/>
      <c r="AE99" s="66"/>
      <c r="AF99" s="66"/>
      <c r="AG99" s="66"/>
      <c r="AH99" s="66"/>
      <c r="AI99" s="32"/>
      <c r="AJ99" s="66"/>
      <c r="AK99" s="66"/>
      <c r="AL99" s="66"/>
      <c r="AM99" s="66"/>
      <c r="AN99" s="32"/>
      <c r="AO99" s="66"/>
      <c r="AP99" s="66"/>
      <c r="AQ99" s="66"/>
      <c r="AR99" s="66"/>
      <c r="AS99" s="32"/>
      <c r="AT99" s="66"/>
      <c r="AU99" s="66"/>
      <c r="AV99" s="66"/>
      <c r="AW99" s="66"/>
      <c r="AX99" s="32"/>
      <c r="AY99" s="33"/>
      <c r="AZ99" s="33"/>
      <c r="BA99" s="33"/>
      <c r="BB99" s="33"/>
      <c r="BC99" s="62"/>
      <c r="BD99" s="33"/>
      <c r="BE99" s="33"/>
      <c r="BF99" s="33"/>
      <c r="BG99" s="33"/>
      <c r="BH99" s="62"/>
      <c r="BI99" s="33"/>
      <c r="BJ99" s="33"/>
      <c r="BK99" s="33"/>
      <c r="BL99" s="33"/>
      <c r="BM99" s="62"/>
      <c r="BN99" s="33"/>
      <c r="BO99" s="33"/>
      <c r="BP99" s="33"/>
      <c r="BQ99" s="33"/>
      <c r="BR99" s="62"/>
      <c r="BS99" s="33"/>
      <c r="BT99" s="33"/>
      <c r="BU99" s="33"/>
      <c r="BV99" s="33"/>
      <c r="BW99" s="62"/>
      <c r="BX99" s="62"/>
      <c r="BY99" s="62"/>
    </row>
    <row r="100" spans="1:77">
      <c r="A100" s="41" t="s">
        <v>47</v>
      </c>
      <c r="B100" s="46">
        <f t="shared" ref="B100:AG100" si="29">B23/B7</f>
        <v>3.5248090885152163E-2</v>
      </c>
      <c r="C100" s="46">
        <f t="shared" si="29"/>
        <v>2.8425995626769902E-2</v>
      </c>
      <c r="D100" s="46">
        <f t="shared" si="29"/>
        <v>2.0771302991634766E-2</v>
      </c>
      <c r="E100" s="46">
        <f t="shared" si="29"/>
        <v>1.7078043436231229E-2</v>
      </c>
      <c r="F100" s="47">
        <f t="shared" si="29"/>
        <v>1.4226231783483692E-2</v>
      </c>
      <c r="G100" s="47">
        <f t="shared" si="29"/>
        <v>1.5381417584701726E-2</v>
      </c>
      <c r="H100" s="47">
        <f t="shared" si="29"/>
        <v>1.9274012206874396E-2</v>
      </c>
      <c r="I100" s="47">
        <f t="shared" si="29"/>
        <v>3.4966456596869283E-2</v>
      </c>
      <c r="J100" s="46">
        <f t="shared" si="29"/>
        <v>2.1231139003872346E-2</v>
      </c>
      <c r="K100" s="47">
        <f t="shared" si="29"/>
        <v>1.6158180078664822E-2</v>
      </c>
      <c r="L100" s="47">
        <f t="shared" si="29"/>
        <v>1.6409612625538021E-2</v>
      </c>
      <c r="M100" s="47">
        <f t="shared" si="29"/>
        <v>2.283356258596974E-2</v>
      </c>
      <c r="N100" s="47">
        <f t="shared" si="29"/>
        <v>3.0636710771689904E-2</v>
      </c>
      <c r="O100" s="46">
        <f t="shared" si="29"/>
        <v>2.1743709771796373E-2</v>
      </c>
      <c r="P100" s="47">
        <f t="shared" si="29"/>
        <v>1.8935468676401317E-2</v>
      </c>
      <c r="Q100" s="47">
        <f t="shared" si="29"/>
        <v>1.7775603392041747E-2</v>
      </c>
      <c r="R100" s="47">
        <f t="shared" si="29"/>
        <v>1.5127846748335115E-2</v>
      </c>
      <c r="S100" s="47">
        <f t="shared" si="29"/>
        <v>2.7449753656056931E-2</v>
      </c>
      <c r="T100" s="46">
        <f t="shared" si="29"/>
        <v>1.9946057831023021E-2</v>
      </c>
      <c r="U100" s="47">
        <f t="shared" si="29"/>
        <v>1.6940869848509531E-2</v>
      </c>
      <c r="V100" s="47">
        <f t="shared" si="29"/>
        <v>1.8052359033371691E-2</v>
      </c>
      <c r="W100" s="47">
        <f t="shared" si="29"/>
        <v>1.716800115415134E-2</v>
      </c>
      <c r="X100" s="47">
        <f t="shared" si="29"/>
        <v>3.099089302704907E-2</v>
      </c>
      <c r="Y100" s="46">
        <f t="shared" si="29"/>
        <v>2.1055899486842347E-2</v>
      </c>
      <c r="Z100" s="47">
        <f t="shared" si="29"/>
        <v>1.697950995844677E-2</v>
      </c>
      <c r="AA100" s="47">
        <f t="shared" si="29"/>
        <v>1.9129453085800302E-2</v>
      </c>
      <c r="AB100" s="47">
        <f t="shared" si="29"/>
        <v>1.7765992707988069E-2</v>
      </c>
      <c r="AC100" s="47">
        <f t="shared" si="29"/>
        <v>2.7488151658767772E-2</v>
      </c>
      <c r="AD100" s="46">
        <f t="shared" si="29"/>
        <v>2.0349080442458624E-2</v>
      </c>
      <c r="AE100" s="47">
        <f t="shared" si="29"/>
        <v>1.3689646692351832E-2</v>
      </c>
      <c r="AF100" s="47">
        <f t="shared" si="29"/>
        <v>1.3246554364471669E-2</v>
      </c>
      <c r="AG100" s="47">
        <f t="shared" si="29"/>
        <v>1.2208993705922499E-2</v>
      </c>
      <c r="AH100" s="47">
        <f t="shared" ref="AH100:BM100" si="30">AH23/AH7</f>
        <v>2.3249159453465913E-2</v>
      </c>
      <c r="AI100" s="46">
        <f t="shared" si="30"/>
        <v>1.5755841678588459E-2</v>
      </c>
      <c r="AJ100" s="47">
        <f t="shared" si="30"/>
        <v>1.2209302325581395E-2</v>
      </c>
      <c r="AK100" s="47">
        <f t="shared" si="30"/>
        <v>1.1230256484567455E-2</v>
      </c>
      <c r="AL100" s="47">
        <f t="shared" si="30"/>
        <v>1.2995594713656388E-2</v>
      </c>
      <c r="AM100" s="47">
        <f t="shared" si="30"/>
        <v>2.5968783638320773E-2</v>
      </c>
      <c r="AN100" s="46">
        <f t="shared" si="30"/>
        <v>1.5922394433604537E-2</v>
      </c>
      <c r="AO100" s="47">
        <f t="shared" si="30"/>
        <v>1.3493253373313344E-2</v>
      </c>
      <c r="AP100" s="47">
        <f t="shared" si="30"/>
        <v>1.3822655332089295E-2</v>
      </c>
      <c r="AQ100" s="47">
        <f t="shared" si="30"/>
        <v>1.3979627678257816E-2</v>
      </c>
      <c r="AR100" s="47">
        <f t="shared" si="30"/>
        <v>2.4970438895458025E-2</v>
      </c>
      <c r="AS100" s="46">
        <f t="shared" si="30"/>
        <v>1.6662481615668832E-2</v>
      </c>
      <c r="AT100" s="47">
        <f t="shared" si="30"/>
        <v>1.5141752577319588E-2</v>
      </c>
      <c r="AU100" s="47">
        <f t="shared" si="30"/>
        <v>1.7599768233504745E-2</v>
      </c>
      <c r="AV100" s="47">
        <f t="shared" si="30"/>
        <v>2.1074325222709744E-2</v>
      </c>
      <c r="AW100" s="47">
        <f t="shared" si="30"/>
        <v>3.8983153925682662E-2</v>
      </c>
      <c r="AX100" s="46">
        <f t="shared" si="30"/>
        <v>2.406945310875442E-2</v>
      </c>
      <c r="AY100" s="47">
        <f t="shared" si="30"/>
        <v>2.0487533856517814E-2</v>
      </c>
      <c r="AZ100" s="47">
        <f t="shared" si="30"/>
        <v>2.3053854804448333E-2</v>
      </c>
      <c r="BA100" s="47">
        <f t="shared" si="30"/>
        <v>2.4770404863536412E-2</v>
      </c>
      <c r="BB100" s="47">
        <f t="shared" si="30"/>
        <v>3.824810549555463E-2</v>
      </c>
      <c r="BC100" s="46">
        <f t="shared" si="30"/>
        <v>2.6953661418580143E-2</v>
      </c>
      <c r="BD100" s="47">
        <f t="shared" si="30"/>
        <v>2.2583926754832145E-2</v>
      </c>
      <c r="BE100" s="47">
        <f t="shared" si="30"/>
        <v>2.3617008900005818E-2</v>
      </c>
      <c r="BF100" s="47">
        <f t="shared" si="30"/>
        <v>2.5667986145472537E-2</v>
      </c>
      <c r="BG100" s="47">
        <f t="shared" si="30"/>
        <v>3.2772417039303364E-2</v>
      </c>
      <c r="BH100" s="46">
        <f t="shared" si="30"/>
        <v>2.6282642089093703E-2</v>
      </c>
      <c r="BI100" s="47">
        <f t="shared" si="30"/>
        <v>2.6126126126126126E-2</v>
      </c>
      <c r="BJ100" s="47">
        <f t="shared" si="30"/>
        <v>2.4358712662448118E-2</v>
      </c>
      <c r="BK100" s="47">
        <f t="shared" si="30"/>
        <v>2.8285465622280244E-2</v>
      </c>
      <c r="BL100" s="47">
        <f t="shared" si="30"/>
        <v>4.2517482517482517E-2</v>
      </c>
      <c r="BM100" s="46">
        <f t="shared" si="30"/>
        <v>3.0407063214064122E-2</v>
      </c>
      <c r="BN100" s="47">
        <f t="shared" ref="BN100:BW100" si="31">BN23/BN7</f>
        <v>2.1411993711162685E-2</v>
      </c>
      <c r="BO100" s="47">
        <f t="shared" si="31"/>
        <v>2.4405002016942314E-2</v>
      </c>
      <c r="BP100" s="47">
        <f t="shared" si="31"/>
        <v>2.7448794761042217E-2</v>
      </c>
      <c r="BQ100" s="47">
        <f t="shared" si="31"/>
        <v>4.4750665120403849E-2</v>
      </c>
      <c r="BR100" s="46">
        <f t="shared" si="31"/>
        <v>2.9679966459366922E-2</v>
      </c>
      <c r="BS100" s="47">
        <f>BS23/BS7</f>
        <v>2.3525153818313427E-2</v>
      </c>
      <c r="BT100" s="47">
        <f>BT23/BT7</f>
        <v>2.9188481675392671E-2</v>
      </c>
      <c r="BU100" s="47">
        <f>BU23/BU7</f>
        <v>2.9411764705882353E-2</v>
      </c>
      <c r="BV100" s="47">
        <f>BV23/BV7</f>
        <v>2.9951228381751734E-2</v>
      </c>
      <c r="BW100" s="46">
        <f t="shared" si="31"/>
        <v>2.8127004732740751E-2</v>
      </c>
      <c r="BX100" s="46">
        <f>BX23/BX7</f>
        <v>2.7476561637499692E-2</v>
      </c>
      <c r="BY100" s="46">
        <f>BY23/BY7</f>
        <v>2.5532839382120125E-2</v>
      </c>
    </row>
    <row r="101" spans="1:77">
      <c r="A101" s="30" t="s">
        <v>46</v>
      </c>
      <c r="B101" s="37">
        <f>B23/CF!H13</f>
        <v>1.090803259604191</v>
      </c>
      <c r="C101" s="37">
        <f>C23/CF!I13</f>
        <v>0.87624309392265198</v>
      </c>
      <c r="D101" s="37">
        <f>D23/CF!J13</f>
        <v>0.80605226960110044</v>
      </c>
      <c r="E101" s="37">
        <f>E23/CF!K13</f>
        <v>0.66332916145181475</v>
      </c>
      <c r="F101" s="45">
        <f>F23/CF!L13</f>
        <v>0.46946564885496184</v>
      </c>
      <c r="G101" s="45">
        <f>G23/CF!M13</f>
        <v>0.58730158730158732</v>
      </c>
      <c r="H101" s="45">
        <f>H23/CF!N13</f>
        <v>0.78260869565217395</v>
      </c>
      <c r="I101" s="45">
        <f>I23/CF!O13</f>
        <v>1.4700854700854702</v>
      </c>
      <c r="J101" s="37">
        <f>J23/CF!P13</f>
        <v>0.81288343558282206</v>
      </c>
      <c r="K101" s="45">
        <f>K23/CF!Q13</f>
        <v>0.67256637168141598</v>
      </c>
      <c r="L101" s="45">
        <f>L23/CF!R13</f>
        <v>0.77215189873417722</v>
      </c>
      <c r="M101" s="45">
        <f>M23/CF!S13</f>
        <v>0.93962264150943398</v>
      </c>
      <c r="N101" s="45">
        <f>N23/CF!T13</f>
        <v>1.34765625</v>
      </c>
      <c r="O101" s="37">
        <f>O23/CF!U13</f>
        <v>0.94410569105691056</v>
      </c>
      <c r="P101" s="45">
        <f>P23/CF!V13</f>
        <v>0.76136363636363635</v>
      </c>
      <c r="Q101" s="45">
        <f>Q23/CF!W13</f>
        <v>0.8515625</v>
      </c>
      <c r="R101" s="45">
        <f>R23/CF!X13</f>
        <v>0.73015873015873012</v>
      </c>
      <c r="S101" s="45">
        <f>S23/CF!Y13</f>
        <v>1.3448275862068966</v>
      </c>
      <c r="T101" s="37">
        <f>T23/CF!Z13</f>
        <v>0.9235237173281704</v>
      </c>
      <c r="U101" s="45">
        <f>U23/CF!AA13</f>
        <v>0.74820143884892087</v>
      </c>
      <c r="V101" s="45">
        <f>V23/CF!AB13</f>
        <v>0.90613718411552346</v>
      </c>
      <c r="W101" s="45">
        <f>W23/CF!AC13</f>
        <v>0.77272727272727271</v>
      </c>
      <c r="X101" s="45">
        <f>X23/CF!AD13</f>
        <v>1.4709677419354839</v>
      </c>
      <c r="Y101" s="37">
        <f>Y23/CF!AE13</f>
        <v>0.98294970161977835</v>
      </c>
      <c r="Z101" s="45">
        <f>Z23/CF!AF13</f>
        <v>0.74294670846394983</v>
      </c>
      <c r="AA101" s="45">
        <f>AA23/CF!AG13</f>
        <v>0.93558282208588961</v>
      </c>
      <c r="AB101" s="45">
        <f>AB23/CF!AH13</f>
        <v>0.82208588957055218</v>
      </c>
      <c r="AC101" s="45">
        <f>AC23/CF!AI13</f>
        <v>1.1599999999999999</v>
      </c>
      <c r="AD101" s="37">
        <f>AD23/CF!AJ13</f>
        <v>0.92051476154428469</v>
      </c>
      <c r="AE101" s="45">
        <f>AE23/CF!AK13</f>
        <v>0.54575163398692805</v>
      </c>
      <c r="AF101" s="45">
        <f>AF23/CF!AL13</f>
        <v>0.57095709570957098</v>
      </c>
      <c r="AG101" s="45">
        <f>AG23/CF!AM13</f>
        <v>0.509493670886076</v>
      </c>
      <c r="AH101" s="45">
        <f>AH23/CF!AN13</f>
        <v>0.97597597597597596</v>
      </c>
      <c r="AI101" s="37">
        <f>AI23/CF!AO13</f>
        <v>0.65659777424483312</v>
      </c>
      <c r="AJ101" s="45">
        <f>AJ23/CF!AP13</f>
        <v>0.44954128440366975</v>
      </c>
      <c r="AK101" s="45">
        <f>AK23/CF!AQ13</f>
        <v>0.45722713864306785</v>
      </c>
      <c r="AL101" s="45">
        <f>AL23/CF!AR13</f>
        <v>0.51754385964912286</v>
      </c>
      <c r="AM101" s="45">
        <f>AM23/CF!AS13</f>
        <v>1.1091954022988506</v>
      </c>
      <c r="AN101" s="37">
        <f>AN23/CF!AT13</f>
        <v>0.63790560471976399</v>
      </c>
      <c r="AO101" s="45">
        <f>AO23/CF!AU13</f>
        <v>0.54113924050632911</v>
      </c>
      <c r="AP101" s="45">
        <f>AP23/CF!AV13</f>
        <v>0.6211180124223602</v>
      </c>
      <c r="AQ101" s="45">
        <f>AQ23/CF!AW13</f>
        <v>0.61419753086419748</v>
      </c>
      <c r="AR101" s="45">
        <f>AR23/CF!AX13</f>
        <v>1.1926910299003322</v>
      </c>
      <c r="AS101" s="37">
        <f>AS23/CF!AY13</f>
        <v>0.73555027711797305</v>
      </c>
      <c r="AT101" s="45">
        <f>AT23/CF!AZ13</f>
        <v>0.58750000000000002</v>
      </c>
      <c r="AU101" s="45">
        <f>AU23/CF!BA13</f>
        <v>0.79672131147540981</v>
      </c>
      <c r="AV101" s="45">
        <f>AV23/CF!BB13</f>
        <v>0.75118483412322279</v>
      </c>
      <c r="AW101" s="45">
        <f>AW23/CF!BC13</f>
        <v>1.3438155136268344</v>
      </c>
      <c r="AX101" s="37">
        <f>AX23/CF!BD13</f>
        <v>0.91141732283464572</v>
      </c>
      <c r="AY101" s="45">
        <f>AY23/CF!BE13</f>
        <v>0.6644144144144144</v>
      </c>
      <c r="AZ101" s="45">
        <f>AZ23/CF!BF13</f>
        <v>0.84054669703872442</v>
      </c>
      <c r="BA101" s="45">
        <f>BA23/CF!BG13</f>
        <v>0.84734513274336287</v>
      </c>
      <c r="BB101" s="45">
        <f>BB23/CF!BH13</f>
        <v>1.3189300411522633</v>
      </c>
      <c r="BC101" s="37">
        <f>BC23/CF!BI13</f>
        <v>0.92696320702910484</v>
      </c>
      <c r="BD101" s="45">
        <f>BD23/CF!BJ13</f>
        <v>0.71306209850107072</v>
      </c>
      <c r="BE101" s="45">
        <f>BE23/CF!BK13</f>
        <v>0.86752136752136755</v>
      </c>
      <c r="BF101" s="45">
        <f>BF23/CF!BL13</f>
        <v>0.85921325051759834</v>
      </c>
      <c r="BG101" s="45">
        <f>BG23/CF!BM13</f>
        <v>1.1390593047034765</v>
      </c>
      <c r="BH101" s="37">
        <f>BH23/CF!BN13</f>
        <v>0.89722076560041952</v>
      </c>
      <c r="BI101" s="45">
        <f>BI23/CF!BO13</f>
        <v>0.76130855088324889</v>
      </c>
      <c r="BJ101" s="45">
        <f>BJ23/CF!BP13</f>
        <v>0.78184323976830394</v>
      </c>
      <c r="BK101" s="45">
        <f>BK23/CF!BQ13</f>
        <v>0.80246913580246915</v>
      </c>
      <c r="BL101" s="45">
        <f>BL23/CF!BR13</f>
        <v>1.3160173160173161</v>
      </c>
      <c r="BM101" s="37">
        <f>BM23/CF!BS13</f>
        <v>0.91465378421900156</v>
      </c>
      <c r="BN101" s="45">
        <f>BN23/CF!BT13</f>
        <v>0.61373390557939911</v>
      </c>
      <c r="BO101" s="45">
        <f>BO23/CF!BU13</f>
        <v>0.73481781376518218</v>
      </c>
      <c r="BP101" s="45">
        <f>BP23/CF!BV13</f>
        <v>0.79435483870967738</v>
      </c>
      <c r="BQ101" s="45">
        <f>BQ23/CF!BW13</f>
        <v>1.2964426877470356</v>
      </c>
      <c r="BR101" s="37">
        <f>BR23/CF!BX13</f>
        <v>0.8659531090723751</v>
      </c>
      <c r="BS101" s="45">
        <f>BS23/CF!BY13</f>
        <v>0.634765625</v>
      </c>
      <c r="BT101" s="45">
        <f>BT23/CF!BZ13</f>
        <v>0.84629981024667933</v>
      </c>
      <c r="BU101" s="45">
        <f>BU23/CF!CA13</f>
        <v>0.81583793738489874</v>
      </c>
      <c r="BV101" s="45">
        <f>BV23/CF!CB13</f>
        <v>0.88401348016974513</v>
      </c>
      <c r="BW101" s="37">
        <f>BW23/CF!CC13</f>
        <v>0.79624032940668854</v>
      </c>
      <c r="BX101" s="37">
        <f>BX23/CF!CH13</f>
        <v>0.81506999134751534</v>
      </c>
      <c r="BY101" s="37">
        <f>BY23/CF!CI13</f>
        <v>0.79194389361306639</v>
      </c>
    </row>
    <row r="102" spans="1:77">
      <c r="A102" s="30"/>
      <c r="B102" s="62"/>
      <c r="C102" s="62"/>
      <c r="D102" s="62"/>
      <c r="E102" s="62"/>
      <c r="F102" s="63"/>
      <c r="G102" s="63"/>
      <c r="H102" s="63"/>
      <c r="I102" s="63"/>
      <c r="J102" s="62"/>
      <c r="K102" s="63"/>
      <c r="L102" s="63"/>
      <c r="M102" s="63"/>
      <c r="N102" s="63"/>
      <c r="O102" s="62"/>
      <c r="P102" s="63"/>
      <c r="Q102" s="63"/>
      <c r="R102" s="63"/>
      <c r="S102" s="63"/>
      <c r="T102" s="62"/>
      <c r="U102" s="63"/>
      <c r="V102" s="63"/>
      <c r="W102" s="63"/>
      <c r="X102" s="63"/>
      <c r="Y102" s="62"/>
      <c r="Z102" s="63"/>
      <c r="AA102" s="63"/>
      <c r="AB102" s="63"/>
      <c r="AC102" s="63"/>
      <c r="AD102" s="62"/>
      <c r="AE102" s="63"/>
      <c r="AF102" s="63"/>
      <c r="AG102" s="63"/>
      <c r="AH102" s="63"/>
      <c r="AI102" s="62"/>
      <c r="AJ102" s="63"/>
      <c r="AK102" s="63"/>
      <c r="AL102" s="63"/>
      <c r="AM102" s="63"/>
      <c r="AN102" s="62"/>
      <c r="AO102" s="63"/>
      <c r="AP102" s="63"/>
      <c r="AQ102" s="63"/>
      <c r="AR102" s="63"/>
      <c r="AS102" s="62"/>
      <c r="AT102" s="63"/>
      <c r="AU102" s="63"/>
      <c r="AV102" s="63"/>
      <c r="AW102" s="63"/>
      <c r="AX102" s="62"/>
      <c r="AY102" s="63"/>
      <c r="AZ102" s="63"/>
      <c r="BA102" s="63"/>
      <c r="BB102" s="63"/>
      <c r="BC102" s="62"/>
      <c r="BD102" s="63"/>
      <c r="BE102" s="63"/>
      <c r="BF102" s="63"/>
      <c r="BG102" s="63"/>
      <c r="BH102" s="62"/>
      <c r="BI102" s="63"/>
      <c r="BJ102" s="63"/>
      <c r="BK102" s="63"/>
      <c r="BL102" s="63"/>
      <c r="BM102" s="62"/>
      <c r="BN102" s="63"/>
      <c r="BO102" s="63"/>
      <c r="BP102" s="63"/>
      <c r="BQ102" s="63"/>
      <c r="BR102" s="62"/>
      <c r="BS102" s="63"/>
      <c r="BT102" s="63"/>
      <c r="BU102" s="63"/>
      <c r="BV102" s="63"/>
      <c r="BW102" s="62"/>
      <c r="BX102" s="62"/>
      <c r="BY102" s="62"/>
    </row>
    <row r="103" spans="1:77">
      <c r="A103" s="41" t="s">
        <v>45</v>
      </c>
      <c r="B103" s="75">
        <f>IS!J21/(AVERAGE(BS!I30, BS!H30))</f>
        <v>1.0480602428639016</v>
      </c>
      <c r="C103" s="75">
        <f>IS!O21/(AVERAGE(BS!J30, BS!I30))</f>
        <v>1.0661341791985937</v>
      </c>
      <c r="D103" s="75">
        <f>IS!T21/(AVERAGE(BS!K30, BS!J30))</f>
        <v>1.006510997342086</v>
      </c>
      <c r="E103" s="75">
        <f>IS!Y21/(AVERAGE(BS!L30, BS!K30))</f>
        <v>0.96432788515319123</v>
      </c>
      <c r="F103" s="76">
        <f>IS!Z21/BS!M30*4</f>
        <v>0.96259185036740147</v>
      </c>
      <c r="G103" s="76">
        <f>IS!AA21/BS!N30*4</f>
        <v>1.0489479995639377</v>
      </c>
      <c r="H103" s="76">
        <f>IS!AB21/BS!O30*4</f>
        <v>0.99269219526454255</v>
      </c>
      <c r="I103" s="76">
        <f>IS!AC21/BS!P30*4</f>
        <v>0.97307188249548726</v>
      </c>
      <c r="J103" s="75">
        <f>IS!AD21/(AVERAGE(BS!Q30, BS!L30))</f>
        <v>0.9891038763785247</v>
      </c>
      <c r="K103" s="76">
        <f>IS!AE21/BS!R30*4</f>
        <v>0.92828419884050817</v>
      </c>
      <c r="L103" s="76">
        <f>IS!AF21/BS!S30*4</f>
        <v>0.99591435779509274</v>
      </c>
      <c r="M103" s="76">
        <f>IS!AG21/BS!T30*4</f>
        <v>0.9468611617608752</v>
      </c>
      <c r="N103" s="76">
        <f>IS!AH21/BS!U30*4</f>
        <v>0.98081654872074031</v>
      </c>
      <c r="O103" s="75">
        <f>IS!AI21/(AVERAGE(BS!V30, BS!Q30))</f>
        <v>0.98939397448069843</v>
      </c>
      <c r="P103" s="76">
        <f>IS!AJ21/BS!W30*4</f>
        <v>0.90280878569454193</v>
      </c>
      <c r="Q103" s="76">
        <f>IS!AK21/BS!X30*4</f>
        <v>0.99776268152788516</v>
      </c>
      <c r="R103" s="76">
        <f>IS!AL21/BS!Y30*4</f>
        <v>0.98096620695217351</v>
      </c>
      <c r="S103" s="76">
        <f>IS!AM21/BS!Z30*4</f>
        <v>1.0850003181943531</v>
      </c>
      <c r="T103" s="75">
        <f>IS!AN21/(AVERAGE(BS!AA30, BS!V30))</f>
        <v>1.0278512023725099</v>
      </c>
      <c r="U103" s="76">
        <f>IS!AO21/BS!AB30*4</f>
        <v>1.0108885824259515</v>
      </c>
      <c r="V103" s="76">
        <f>IS!AP21/BS!AC30*4</f>
        <v>1.100065272860336</v>
      </c>
      <c r="W103" s="76">
        <f>IS!AQ21/BS!AD30*4</f>
        <v>1.0365441052769315</v>
      </c>
      <c r="X103" s="76">
        <f>IS!AR21/BS!AE30*4</f>
        <v>1.0784425103069171</v>
      </c>
      <c r="Y103" s="75">
        <f>IS!AS21/(AVERAGE(BS!AF30, BS!AA30))</f>
        <v>1.0767037634197176</v>
      </c>
      <c r="Z103" s="76">
        <f>IS!AT21/BS!AG30*4</f>
        <v>0.97859884668641439</v>
      </c>
      <c r="AA103" s="76">
        <f>IS!AU21/BS!AH30*4</f>
        <v>1.0904489963410047</v>
      </c>
      <c r="AB103" s="76">
        <f>IS!AV21/BS!AI30*4</f>
        <v>1.0621369477204718</v>
      </c>
      <c r="AC103" s="76">
        <f>IS!AW21/BS!AJ30*4</f>
        <v>1.0462377587702987</v>
      </c>
      <c r="AD103" s="75">
        <f>IS!AX21/(AVERAGE(BS!AK30, BS!AF30))</f>
        <v>1.0762760707467309</v>
      </c>
      <c r="AE103" s="76">
        <f>IS!AY21/BS!AL30*4</f>
        <v>0.89047045512609946</v>
      </c>
      <c r="AF103" s="76">
        <f>IS!AZ21/BS!AM30*4</f>
        <v>0.92386594747546202</v>
      </c>
      <c r="AG103" s="76">
        <f>IS!BA21/BS!AN30*4</f>
        <v>0.91612970456953302</v>
      </c>
      <c r="AH103" s="76">
        <f>IS!BB21/BS!AO30*4</f>
        <v>1.0027617373838815</v>
      </c>
      <c r="AI103" s="75">
        <f>IS!BC21/(AVERAGE(BS!AP30, BS!AK30))</f>
        <v>0.93423385695574301</v>
      </c>
      <c r="AJ103" s="76">
        <f>IS!BD21/BS!AQ30*4</f>
        <v>0.82482701925053092</v>
      </c>
      <c r="AK103" s="76">
        <f>IS!BE21/BS!AR30*4</f>
        <v>0.94626604734072639</v>
      </c>
      <c r="AL103" s="76">
        <f>IS!BF21/BS!AS30*4</f>
        <v>0.89828356609342286</v>
      </c>
      <c r="AM103" s="76">
        <f>IS!BG21/BS!AT30*4</f>
        <v>1.016463508454003</v>
      </c>
      <c r="AN103" s="75">
        <f>IS!BH21/(AVERAGE(BS!AU30, BS!AP30))</f>
        <v>0.95096057065336315</v>
      </c>
      <c r="AO103" s="76">
        <f>IS!BI21/BS!AV30*4</f>
        <v>0.83561914809442173</v>
      </c>
      <c r="AP103" s="76">
        <f>IS!BJ21/BS!AW30*4</f>
        <v>0.93127584597808422</v>
      </c>
      <c r="AQ103" s="76">
        <f>IS!BK21/BS!AX30*4</f>
        <v>0.91915800348679533</v>
      </c>
      <c r="AR103" s="76">
        <f>IS!BL21/BS!AY30*4</f>
        <v>0.93581982685673371</v>
      </c>
      <c r="AS103" s="75">
        <f>IS!BM21/(AVERAGE(BS!AZ30, BS!AU30))</f>
        <v>0.92965942723748385</v>
      </c>
      <c r="AT103" s="76">
        <f>IS!BN21/BS!BA30*4</f>
        <v>0.8046140885231029</v>
      </c>
      <c r="AU103" s="76">
        <f>IS!BO21/BS!BB30*4</f>
        <v>0.73979612339758616</v>
      </c>
      <c r="AV103" s="76">
        <f>IS!BP21/BS!BC30*4</f>
        <v>0.65438409501228978</v>
      </c>
      <c r="AW103" s="76">
        <f>IS!BQ21/BS!BD30*4</f>
        <v>0.73563064121061639</v>
      </c>
      <c r="AX103" s="75">
        <f>IS!BR21/(AVERAGE(BS!BE30, BS!AZ30))</f>
        <v>0.7650486209159425</v>
      </c>
      <c r="AY103" s="76">
        <f>IS!BS21/BS!BF30*4</f>
        <v>0.650706675855524</v>
      </c>
      <c r="AZ103" s="76">
        <f>IS!BT21/BS!BG30*4</f>
        <v>0.72144595690976288</v>
      </c>
      <c r="BA103" s="76">
        <f>IS!BU21/BS!BH30*4</f>
        <v>0.68471979275070305</v>
      </c>
      <c r="BB103" s="76">
        <f>IS!BV21/BS!BI30*4</f>
        <v>0.73996070379936862</v>
      </c>
      <c r="BC103" s="75">
        <f>IS!BW21/(AVERAGE(BS!BJ30, BS!BE30))</f>
        <v>0.6958328472303239</v>
      </c>
      <c r="BD103" s="76">
        <f>IS!BX21/BS!BK30*4</f>
        <v>0.64650494908417278</v>
      </c>
      <c r="BE103" s="76">
        <f>IS!BY21/BS!BL30*4</f>
        <v>0.74628291115886347</v>
      </c>
      <c r="BF103" s="76">
        <f>IS!BZ21/BS!BM30*4</f>
        <v>0.70468760215311521</v>
      </c>
      <c r="BG103" s="76">
        <f>IS!CA21/BS!BN30*4</f>
        <v>0.74471184918226729</v>
      </c>
      <c r="BH103" s="75">
        <f>IS!CB21/(AVERAGE(BS!BO30, BS!BJ30))</f>
        <v>0.7158448013283264</v>
      </c>
      <c r="BI103" s="76">
        <f>IS!CC21/BS!BP30*4</f>
        <v>0.58339811884765735</v>
      </c>
      <c r="BJ103" s="76">
        <f>IS!CD21/BS!BQ30*4</f>
        <v>0.63367574617615041</v>
      </c>
      <c r="BK103" s="76">
        <f>IS!CE21/BS!BR30*4</f>
        <v>0.59859988060997449</v>
      </c>
      <c r="BL103" s="76">
        <f>IS!CF21/BS!BS30*4</f>
        <v>0.65383384390288513</v>
      </c>
      <c r="BM103" s="75">
        <f>IS!CG21/(AVERAGE(BS!BT30, BS!BO30))</f>
        <v>0.6269359600362362</v>
      </c>
      <c r="BN103" s="76">
        <f>IS!CH21/BS!BU30*4</f>
        <v>0.60322227365616288</v>
      </c>
      <c r="BO103" s="76">
        <f>IS!CI21/BS!BV30*4</f>
        <v>0.66490835940992399</v>
      </c>
      <c r="BP103" s="76">
        <f>IS!CJ21/BS!BW30*4</f>
        <v>0.63751637760653768</v>
      </c>
      <c r="BQ103" s="76">
        <f>IS!CK21/BS!BX30*4</f>
        <v>0.65364635587363162</v>
      </c>
      <c r="BR103" s="75">
        <f>IS!CL21/(AVERAGE(BS!BY30, BS!BT30))</f>
        <v>0.64613127151645122</v>
      </c>
      <c r="BS103" s="76">
        <f>IS!CM21/BS!BZ30*4</f>
        <v>0.61146581390459542</v>
      </c>
      <c r="BT103" s="76">
        <f>IS!CN21/BS!CA30*4</f>
        <v>0.64477334824301369</v>
      </c>
      <c r="BU103" s="76">
        <f>IS!CO21/BS!CB30*4</f>
        <v>0.62529060112919299</v>
      </c>
      <c r="BV103" s="76">
        <f>IS!CP21/BS!CC30*4</f>
        <v>0.63932257240718871</v>
      </c>
      <c r="BW103" s="75">
        <f>IS!CQ21/(AVERAGE(BS!CD30, BS!BY30))</f>
        <v>0.64072438638296847</v>
      </c>
      <c r="BX103" s="75">
        <f>IS!CV21/(AVERAGE(BS!CI30, BS!CD30))</f>
        <v>0.63805343615017418</v>
      </c>
      <c r="BY103" s="75">
        <f>IS!CW21/(AVERAGE(BS!CJ30, BS!CI30))</f>
        <v>0.63516134209532393</v>
      </c>
    </row>
    <row r="104" spans="1:77">
      <c r="A104" s="41" t="s">
        <v>44</v>
      </c>
      <c r="B104" s="73"/>
      <c r="C104" s="75">
        <f>(C7)/AVERAGE(BS!I16,BS!J16)</f>
        <v>7.2187863889248289</v>
      </c>
      <c r="D104" s="75">
        <f>(D7)/AVERAGE(BS!J16,BS!K16)</f>
        <v>7.3354134165366611</v>
      </c>
      <c r="E104" s="75">
        <f>(E7)/AVERAGE(BS!K16,BS!L16)</f>
        <v>7.6259982798869643</v>
      </c>
      <c r="F104" s="76"/>
      <c r="G104" s="76"/>
      <c r="H104" s="76"/>
      <c r="I104" s="76">
        <f>(F7+G7+H7+I7)/AVERAGE(BS!O16,BS!P16)</f>
        <v>7.720618556701031</v>
      </c>
      <c r="J104" s="75">
        <f>(J7)/AVERAGE(BS!L16,BS!Q16)</f>
        <v>7.8848178563908196</v>
      </c>
      <c r="K104" s="76">
        <f>(G7+H7+I7+K7)/AVERAGE(BS!Q16,BS!R16)</f>
        <v>7.3643022359290669</v>
      </c>
      <c r="L104" s="76">
        <f>(H7+I7+K7+L7)/AVERAGE(BS!R16,BS!S16)</f>
        <v>7.1134980307912636</v>
      </c>
      <c r="M104" s="76">
        <f>(I7+K7+L7+M7)/AVERAGE(BS!S16,BS!T16)</f>
        <v>6.9778678830883596</v>
      </c>
      <c r="N104" s="76">
        <f>(K7+L7+M7+N7)/AVERAGE(BS!T16,BS!U16)</f>
        <v>7.3518024606383898</v>
      </c>
      <c r="O104" s="75">
        <f>(O7)/AVERAGE(BS!Q16,BS!V16)</f>
        <v>7.9584613951755614</v>
      </c>
      <c r="P104" s="76">
        <f>(L7+M7+N7+P7)/AVERAGE(BS!V16,BS!W16)</f>
        <v>7.2430961998186465</v>
      </c>
      <c r="Q104" s="76">
        <f>(M7+N7+P7+Q7)/AVERAGE(BS!W16,BS!X16)</f>
        <v>6.7594537815126055</v>
      </c>
      <c r="R104" s="76">
        <f>(N7+P7+Q7+R7)/AVERAGE(BS!X16,BS!Y16)</f>
        <v>6.589767309471287</v>
      </c>
      <c r="S104" s="76">
        <f>(P7+Q7+R7+S7)/AVERAGE(BS!Y16,BS!Z16)</f>
        <v>6.904720658293634</v>
      </c>
      <c r="T104" s="75">
        <f>(T7)/AVERAGE(BS!V16,BS!AA16)</f>
        <v>7.7669697953881132</v>
      </c>
      <c r="U104" s="76">
        <f>(Q7+R7+S7+U7)/AVERAGE(BS!AA16,BS!AB16)</f>
        <v>6.9879279915284149</v>
      </c>
      <c r="V104" s="76">
        <f>(R7+S7+U7+V7)/AVERAGE(BS!AB16,BS!AC16)</f>
        <v>6.6053481462343369</v>
      </c>
      <c r="W104" s="76">
        <f>(S7+U7+V7+W7)/AVERAGE(BS!AC16,BS!AD16)</f>
        <v>6.3945775841200678</v>
      </c>
      <c r="X104" s="76">
        <f>(U7+V7+W7+X7)/AVERAGE(BS!AD16,BS!AE16)</f>
        <v>6.5772626268692571</v>
      </c>
      <c r="Y104" s="75">
        <f>(Y7)/AVERAGE(BS!AA16,BS!AF16)</f>
        <v>7.4209242444775718</v>
      </c>
      <c r="Z104" s="76">
        <f>(V7+W7+X7+Z7)/AVERAGE(BS!AF16,BS!AG16)</f>
        <v>6.5718444340940847</v>
      </c>
      <c r="AA104" s="76">
        <f>(W7+X7+Z7+AA7)/AVERAGE(BS!AG16,BS!AH16)</f>
        <v>6.4414826237814617</v>
      </c>
      <c r="AB104" s="76">
        <f>(X7+Z7+AA7+AB7)/AVERAGE(BS!AH16,BS!AI16)</f>
        <v>6.5993478140717405</v>
      </c>
      <c r="AC104" s="76">
        <f>(Z7+AA7+AB7+AC7)/AVERAGE(BS!AI16,BS!AJ16)</f>
        <v>6.888017981672526</v>
      </c>
      <c r="AD104" s="75">
        <f>(AD7)/AVERAGE(BS!AF16,BS!AK16)</f>
        <v>7.2692658597408917</v>
      </c>
      <c r="AE104" s="76">
        <f>(AA7+AB7+AC7+AE7)/AVERAGE(BS!AK16,BS!AL16)</f>
        <v>6.8470574346260555</v>
      </c>
      <c r="AF104" s="76">
        <f>(AB7+AC7+AE7+AF7)/AVERAGE(BS!AL16,BS!AM16)</f>
        <v>6.4310385064177362</v>
      </c>
      <c r="AG104" s="76">
        <f>(AC7+AE7+AF7+AG7)/AVERAGE(BS!AM16,BS!AN16)</f>
        <v>6.4019248120300754</v>
      </c>
      <c r="AH104" s="76">
        <f>(AE7+AF7+AG7+AH7)/AVERAGE(BS!AN16,BS!AO16)</f>
        <v>6.7233087528053863</v>
      </c>
      <c r="AI104" s="75">
        <f>(AI7)/AVERAGE(BS!AK16,BS!AP16)</f>
        <v>6.6155593412833618</v>
      </c>
      <c r="AJ104" s="76">
        <f>(AF7+AG7+AH7+AJ7)/AVERAGE(BS!AP16,BS!AQ16)</f>
        <v>6.6661564951214842</v>
      </c>
      <c r="AK104" s="76">
        <f>(AG7+AH7+AJ7+AK7)/AVERAGE(BS!AQ16,BS!AR16)</f>
        <v>6.5220547523838821</v>
      </c>
      <c r="AL104" s="76">
        <f>(AH7+AJ7+AK7+AL7)/AVERAGE(BS!AR16,BS!AS16)</f>
        <v>6.472597347544359</v>
      </c>
      <c r="AM104" s="76">
        <f>(AJ7+AK7+AL7+AM7)/AVERAGE(BS!AS16,BS!AT16)</f>
        <v>6.7085700172882197</v>
      </c>
      <c r="AN104" s="75">
        <f>(AN7)/AVERAGE(BS!AP16,BS!AU16)</f>
        <v>7.1130605564648119</v>
      </c>
      <c r="AO104" s="76">
        <f>(AK7+AL7+AM7+AO7)/AVERAGE(BS!AU16,BS!AV16)</f>
        <v>6.6243596697402518</v>
      </c>
      <c r="AP104" s="76">
        <f>(AL7+AM7+AO7+AP7)/AVERAGE(BS!AV16,BS!AW16)</f>
        <v>6.3132448076268304</v>
      </c>
      <c r="AQ104" s="76">
        <f>(AM7+AO7+AP7+AQ7)/AVERAGE(BS!AW16,BS!AX16)</f>
        <v>6.4600275671950378</v>
      </c>
      <c r="AR104" s="76">
        <f>(AO7+AP7+AQ7+AR7)/AVERAGE(BS!AX16,BS!AY16)</f>
        <v>6.7934689898866818</v>
      </c>
      <c r="AS104" s="75">
        <f>(AS7)/AVERAGE(BS!AU16,BS!AZ16)</f>
        <v>7.1649424918074924</v>
      </c>
      <c r="AT104" s="76">
        <f>(AP7+AQ7+AR7+AT7)/AVERAGE(BS!AZ16,BS!BA16)</f>
        <v>6.8671657489327478</v>
      </c>
      <c r="AU104" s="76">
        <f>(AQ7+AR7+AT7+AU7)/AVERAGE(BS!BA16,BS!BB16)</f>
        <v>6.5016599478302108</v>
      </c>
      <c r="AV104" s="76">
        <f>(AR7+AT7+AU7+AV7)/AVERAGE(BS!BB16,BS!BC16)</f>
        <v>5.8666244925931785</v>
      </c>
      <c r="AW104" s="76">
        <f>(AT7+AU7+AV7+AW7)/AVERAGE(BS!BC16,BS!BD16)</f>
        <v>5.7696460707858428</v>
      </c>
      <c r="AX104" s="75">
        <f>(AX7)/AVERAGE(BS!AZ16,BS!BE16)</f>
        <v>6.6583592938733123</v>
      </c>
      <c r="AY104" s="76">
        <f>(AU7+AV7+AW7+AY7)/AVERAGE(BS!BE16,BS!BF16)</f>
        <v>6.0606152908924766</v>
      </c>
      <c r="AZ104" s="76">
        <f>(AV7+AW7+AY7+AZ7)/AVERAGE(BS!BF16,BS!BG16)</f>
        <v>6.0697298092482717</v>
      </c>
      <c r="BA104" s="76">
        <f>(AW7+AY7+AZ7+BA7)/AVERAGE(BS!BG16,BS!BH16)</f>
        <v>5.9351335905129305</v>
      </c>
      <c r="BB104" s="76">
        <f>(AY7+AZ7+BA7+BB7)/AVERAGE(BS!BH16,BS!BI16)</f>
        <v>5.9375207395117329</v>
      </c>
      <c r="BC104" s="75">
        <f>(BC7)/AVERAGE(BS!BE16,BS!BJ16)</f>
        <v>6.3045250918608744</v>
      </c>
      <c r="BD104" s="76">
        <f>(AZ7+BA7+BB7+BD7)/AVERAGE(BS!BJ16,BS!BK16)</f>
        <v>5.9067629678266576</v>
      </c>
      <c r="BE104" s="76">
        <f>(BA7+BB7+BD7+BE7)/AVERAGE(BS!BK16,BS!BL16)</f>
        <v>6.142952891612409</v>
      </c>
      <c r="BF104" s="76">
        <f>(BB7+BD7+BE7+BF7)/AVERAGE(BS!BL16,BS!BM16)</f>
        <v>6.4103375006176808</v>
      </c>
      <c r="BG104" s="76">
        <f>(BD7+BE7+BF7+BG7)/AVERAGE(BS!BM16,BS!BN16)</f>
        <v>6.4436306047708598</v>
      </c>
      <c r="BH104" s="75">
        <f>(BH7)/AVERAGE(BS!BJ16,BS!BO16)</f>
        <v>6.4471403812824954</v>
      </c>
      <c r="BI104" s="76">
        <f>(BE7+BF7+BG7+BI7)/AVERAGE(BS!BO16,BS!BP16)</f>
        <v>6.3041433592396414</v>
      </c>
      <c r="BJ104" s="76">
        <f>(BF7+BG7+BI7+BJ7)/AVERAGE(BS!BP16,BS!BQ16)</f>
        <v>5.9309776549852167</v>
      </c>
      <c r="BK104" s="76">
        <f>(BG7+BI7+BJ7+BK7)/AVERAGE(BS!BQ16,BS!BR16)</f>
        <v>6.2727757627480267</v>
      </c>
      <c r="BL104" s="76">
        <f>(BI7+BJ7+BK7+BL7)/AVERAGE(BS!BR16,BS!BS16)</f>
        <v>6.7645285748734025</v>
      </c>
      <c r="BM104" s="75">
        <f>(BM7)/AVERAGE(BS!BO16,BS!BT16)</f>
        <v>6.2266234657532253</v>
      </c>
      <c r="BN104" s="76">
        <f>(BJ7+BK7+BL7+BN7)/AVERAGE(BS!BT16,BS!BU16)</f>
        <v>6.7470255978848694</v>
      </c>
      <c r="BO104" s="76">
        <f>(BK7+BL7+BN7+BO7)/AVERAGE(BS!BU16,BS!BV16)</f>
        <v>6.5282253390518141</v>
      </c>
      <c r="BP104" s="76">
        <f>(BL7+BN7+BO7+BP7)/AVERAGE(BS!BV16,BS!BW16)</f>
        <v>6.3815346645725821</v>
      </c>
      <c r="BQ104" s="76">
        <f>(BN7+BO7+BP7+BQ7)/AVERAGE(BS!BW16,BS!BX16)</f>
        <v>6.4373348327242059</v>
      </c>
      <c r="BR104" s="75">
        <f>(BR7)/AVERAGE(BS!BT16,BS!BY16)</f>
        <v>6.7989785616723086</v>
      </c>
      <c r="BS104" s="76">
        <f>(BO7+BP7+BQ7+BS7)/AVERAGE(BS!BY16,BS!BZ16)</f>
        <v>6.3794361525704808</v>
      </c>
      <c r="BT104" s="76">
        <f>(BP7+BQ7+BS7+BT7)/AVERAGE(BS!BZ16,BS!CA16)</f>
        <v>6.0384495479580176</v>
      </c>
      <c r="BU104" s="76">
        <f>(BQ7+BS7+BT7+BU7)/AVERAGE(BS!CA16,BS!CB16)</f>
        <v>5.8984104698390416</v>
      </c>
      <c r="BV104" s="76">
        <f>(BS7+BT7+BU7+BV7)/AVERAGE(BS!CB16,BS!CC16)</f>
        <v>5.9511662813281072</v>
      </c>
      <c r="BW104" s="75">
        <f>(BW7)/AVERAGE(BS!BY16,BS!CD16)</f>
        <v>6.3919138779035745</v>
      </c>
      <c r="BX104" s="75">
        <f>(BX7)/AVERAGE(BS!CD16,BS!CI16)</f>
        <v>6.474775960229322</v>
      </c>
      <c r="BY104" s="75">
        <f>(BY7)/AVERAGE(BS!CI16,BS!CJ16)</f>
        <v>7.0303885009986269</v>
      </c>
    </row>
    <row r="105" spans="1:77">
      <c r="A105" s="41" t="s">
        <v>43</v>
      </c>
      <c r="B105" s="73"/>
      <c r="C105" s="75">
        <f>(IS!W25)/AVERAGE(BS!I16,BS!J16)</f>
        <v>1.4783283736576529</v>
      </c>
      <c r="D105" s="75">
        <f>(IS!X25)/AVERAGE(BS!J16,BS!K16)</f>
        <v>1.640665626625065</v>
      </c>
      <c r="E105" s="75">
        <f>(IS!Y25)/AVERAGE(BS!K16,BS!L16)</f>
        <v>5.530900602039563</v>
      </c>
      <c r="F105" s="76">
        <f>(IS!V25+IS!W25+IS!X25+IS!Z25)/AVERAGE(BS!L16,BS!M16)</f>
        <v>5.3655636567582725</v>
      </c>
      <c r="G105" s="76">
        <f>(IS!W25+IS!X25+IS!Z25+IS!AA25)/AVERAGE(BS!M16,BS!N16)</f>
        <v>5.6560367013539219</v>
      </c>
      <c r="H105" s="76">
        <f>(IS!X25+IS!AA25+IS!Z25+IS!AB25)/AVERAGE(BS!N16,BS!O16)</f>
        <v>5.8170785525154454</v>
      </c>
      <c r="I105" s="76">
        <f>(IS!AB25+IS!Z25+IS!AA25+IS!AC25)/AVERAGE(BS!O16,BS!P16)</f>
        <v>5.6125773195876292</v>
      </c>
      <c r="J105" s="75">
        <f>(IS!AD25)/AVERAGE(BS!L16,BS!Q16)</f>
        <v>5.7319435670667511</v>
      </c>
      <c r="K105" s="76">
        <f>(IS!AA25+IS!AB25+IS!AC25+IS!AE25)/AVERAGE(BS!Q16,BS!R16)</f>
        <v>5.3510023130300697</v>
      </c>
      <c r="L105" s="76">
        <f>(IS!AB25+IS!AC25+IS!AE25+IS!AF25)/AVERAGE(BS!R16,BS!S16)</f>
        <v>5.1512710347296817</v>
      </c>
      <c r="M105" s="76">
        <f>(IS!AC25+IS!AF25+IS!AE25+IS!AG25)/AVERAGE(BS!S16,BS!T16)</f>
        <v>5.0454468660246663</v>
      </c>
      <c r="N105" s="76">
        <f>(IS!AG25+IS!AE25+IS!AF25+IS!AH25)/AVERAGE(BS!T16,BS!U16)</f>
        <v>5.3230663339929452</v>
      </c>
      <c r="O105" s="75">
        <f>(IS!AI25)/AVERAGE(BS!Q16,BS!V16)</f>
        <v>5.7623172208251843</v>
      </c>
      <c r="P105" s="76">
        <f>(IS!AF25+IS!AG25+IS!AH25+IS!AJ25)/AVERAGE(BS!V16,BS!W16)</f>
        <v>5.2378204599785674</v>
      </c>
      <c r="Q105" s="76">
        <f>(IS!AG25+IS!AH25+IS!AJ25+IS!AK25)/AVERAGE(BS!W16,BS!X16)</f>
        <v>4.8852040816326534</v>
      </c>
      <c r="R105" s="76">
        <f>(IS!AH25+IS!AK25+IS!AJ25+IS!AL25)/AVERAGE(BS!X16,BS!Y16)</f>
        <v>4.7616878958229556</v>
      </c>
      <c r="S105" s="76">
        <f>(IS!AL25+IS!AJ25+IS!AK25+IS!AM25)/AVERAGE(BS!Y16,BS!Z16)</f>
        <v>5.0151580770896489</v>
      </c>
      <c r="T105" s="75">
        <f>(IS!AN25)/AVERAGE(BS!V16,BS!AA16)</f>
        <v>5.6414420266320233</v>
      </c>
      <c r="U105" s="76">
        <f>(IS!AK25+IS!AL25+IS!AM25+IS!AO25)/AVERAGE(BS!AA16,BS!AB16)</f>
        <v>5.0950935404165199</v>
      </c>
      <c r="V105" s="76">
        <f>(IS!AL25+IS!AM25+IS!AO25+IS!AP25)/AVERAGE(BS!AB16,BS!AC16)</f>
        <v>4.8365844206174913</v>
      </c>
      <c r="W105" s="76">
        <f>(IS!AM25+IS!AP25+IS!AO25+IS!AQ25)/AVERAGE(BS!AC16,BS!AD16)</f>
        <v>4.6857903655289279</v>
      </c>
      <c r="X105" s="76">
        <f>(IS!AQ25+IS!AO25+IS!AP25+IS!AR25)/AVERAGE(BS!AD16,BS!AE16)</f>
        <v>4.7951474385922763</v>
      </c>
      <c r="Y105" s="75">
        <f>(IS!AS25)/AVERAGE(BS!AA16,BS!AF16)</f>
        <v>5.4102181867461718</v>
      </c>
      <c r="Z105" s="76">
        <f>(IS!AP25+IS!AQ25+IS!AR25+IS!AT25)/AVERAGE(BS!AF16,BS!AG16)</f>
        <v>4.7931998136935254</v>
      </c>
      <c r="AA105" s="76">
        <f>(IS!AQ25+IS!AR25+IS!AT25+IS!AU25)/AVERAGE(BS!AG16,BS!AH16)</f>
        <v>4.7002258082282315</v>
      </c>
      <c r="AB105" s="76">
        <f>(IS!AR25+IS!AU25+IS!AT25+IS!AV25)/AVERAGE(BS!AH16,BS!AI16)</f>
        <v>4.8126899906041007</v>
      </c>
      <c r="AC105" s="76">
        <f>(IS!AV25+IS!AT25+IS!AU25+IS!AW25)/AVERAGE(BS!AI16,BS!AJ16)</f>
        <v>5.0299118206443429</v>
      </c>
      <c r="AD105" s="75">
        <f>(IS!AX25)/AVERAGE(BS!AF16,BS!AK16)</f>
        <v>5.3083145794051454</v>
      </c>
      <c r="AE105" s="76">
        <f>(IS!AU25+IS!AV25+IS!AW25+IS!AY25)/AVERAGE(BS!AK16,BS!AL16)</f>
        <v>5.0181217165456582</v>
      </c>
      <c r="AF105" s="76">
        <f>(IS!AV25+IS!AW25+IS!AY25+IS!AZ25)/AVERAGE(BS!AL16,BS!AM16)</f>
        <v>4.7224037339556597</v>
      </c>
      <c r="AG105" s="76">
        <f>(IS!AW25+IS!AZ25+IS!AY25+IS!BA25)/AVERAGE(BS!AM16,BS!AN16)</f>
        <v>4.7364812030075187</v>
      </c>
      <c r="AH105" s="76">
        <f>(IS!BA25+IS!AY25+IS!AZ25+IS!BB25)/AVERAGE(BS!AN16,BS!AO16)</f>
        <v>4.9837768515549854</v>
      </c>
      <c r="AI105" s="75">
        <f>(IS!BC25)/AVERAGE(BS!AK16,BS!AP16)</f>
        <v>4.9039056091866993</v>
      </c>
      <c r="AJ105" s="76">
        <f>(IS!AZ25+IS!BA25+IS!BB25+IS!BD25)/AVERAGE(BS!AP16,BS!AQ16)</f>
        <v>4.9086155219692618</v>
      </c>
      <c r="AK105" s="76">
        <f>(IS!BA25+IS!BB25+IS!BD25+IS!BE25)/AVERAGE(BS!AQ16,BS!AR16)</f>
        <v>4.7862196247308519</v>
      </c>
      <c r="AL105" s="76">
        <f>(IS!BB25+IS!BE25+IS!BD25+IS!BF25)/AVERAGE(BS!AR16,BS!AS16)</f>
        <v>4.6909707503179314</v>
      </c>
      <c r="AM105" s="76">
        <f>(IS!BF25+IS!BD25+IS!BE25+IS!BG25)/AVERAGE(BS!AS16,BS!AT16)</f>
        <v>4.8671276858483576</v>
      </c>
      <c r="AN105" s="75">
        <f>(IS!BH25)/AVERAGE(BS!AP16,BS!AU16)</f>
        <v>5.1605891980360061</v>
      </c>
      <c r="AO105" s="76">
        <f>(IS!BE25+IS!BF25+IS!BG25+IS!BI25)/AVERAGE(BS!AU16,BS!AV16)</f>
        <v>4.8013017537515816</v>
      </c>
      <c r="AP105" s="76">
        <f>(IS!BF25+IS!BG25+IS!BI25+IS!BJ25)/AVERAGE(BS!AV16,BS!AW16)</f>
        <v>4.5723527408920663</v>
      </c>
      <c r="AQ105" s="76">
        <f>(IS!BG25+IS!BJ25+IS!BI25+IS!BK25)/AVERAGE(BS!AW16,BS!AX16)</f>
        <v>4.7045715598437861</v>
      </c>
      <c r="AR105" s="76">
        <f>(IS!BK25+IS!BI25+IS!BJ25+IS!BL25)/AVERAGE(BS!AX16,BS!AY16)</f>
        <v>4.9188497623979526</v>
      </c>
      <c r="AS105" s="75">
        <f>(IS!BM25)/AVERAGE(BS!AU16,BS!AZ16)</f>
        <v>5.187817258883249</v>
      </c>
      <c r="AT105" s="76">
        <f>(IS!BJ25+IS!BK25+IS!BL25+IS!BN25)/AVERAGE(BS!AZ16,BS!BA16)</f>
        <v>4.9677658850460933</v>
      </c>
      <c r="AU105" s="76">
        <f>(IS!BK25+IS!BL25+IS!BN25+IS!BO25)/AVERAGE(BS!BA16,BS!BB16)</f>
        <v>4.6968223855821671</v>
      </c>
      <c r="AV105" s="76">
        <f>(IS!BL25+IS!BO25+IS!BN25+IS!BP25)/AVERAGE(BS!BB16,BS!BC16)</f>
        <v>4.24671832990669</v>
      </c>
      <c r="AW105" s="76">
        <f>(IS!BP25+IS!BN25+IS!BO25+IS!BQ25)/AVERAGE(BS!BC16,BS!BD16)</f>
        <v>4.2144571085782845</v>
      </c>
      <c r="AX105" s="75">
        <f>(IS!BR25)/AVERAGE(BS!AZ16,BS!BE16)</f>
        <v>4.8636206299757703</v>
      </c>
      <c r="AY105" s="76">
        <f>(IS!BO25+IS!BP25+IS!BQ25+IS!BS25)/AVERAGE(BS!BE16,BS!BF16)</f>
        <v>4.4357802822621588</v>
      </c>
      <c r="AZ105" s="76">
        <f>(IS!BP25+IS!BQ25+IS!BS25+IS!BT25)/AVERAGE(BS!BF16,BS!BG16)</f>
        <v>4.44328936399745</v>
      </c>
      <c r="BA105" s="76">
        <f>(IS!BQ25+IS!BT25+IS!BS25+IS!BU25)/AVERAGE(BS!BG16,BS!BH16)</f>
        <v>4.3170929180359101</v>
      </c>
      <c r="BB105" s="76">
        <f>(IS!BU25+IS!BS25+IS!BT25+IS!BV25)/AVERAGE(BS!BH16,BS!BI16)</f>
        <v>4.2968475942166391</v>
      </c>
      <c r="BC105" s="75">
        <f>(IS!BW25)/AVERAGE(BS!BE16,BS!BJ16)</f>
        <v>4.562440227512961</v>
      </c>
      <c r="BD105" s="76">
        <f>(IS!BT25+IS!BU25+IS!BV25+IS!BX25)/AVERAGE(BS!BJ16,BS!BK16)</f>
        <v>4.2722071100272023</v>
      </c>
      <c r="BE105" s="76">
        <f>(IS!BU25+IS!BV25+IS!BX25+IS!BY25)/AVERAGE(BS!BK16,BS!BL16)</f>
        <v>4.4930103408655686</v>
      </c>
      <c r="BF105" s="76">
        <f>(IS!BV25+IS!BY25+IS!BX25+IS!BZ25)/AVERAGE(BS!BL16,BS!BM16)</f>
        <v>4.681622770173445</v>
      </c>
      <c r="BG105" s="76">
        <f>(IS!BZ25+IS!BX25+IS!BY25+IS!CA25)/AVERAGE(BS!BM16,BS!BN16)</f>
        <v>4.6963278234187866</v>
      </c>
      <c r="BH105" s="75">
        <f>(IS!CB25)/AVERAGE(BS!BJ16,BS!BO16)</f>
        <v>4.6988858628373356</v>
      </c>
      <c r="BI105" s="76">
        <f>(IS!BY25+IS!BZ25+IS!CA25+IS!CC25)/AVERAGE(BS!BO16,BS!BP16)</f>
        <v>4.580268303549329</v>
      </c>
      <c r="BJ105" s="76">
        <f>(IS!BZ25+IS!CA25+IS!CC25+IS!CD25)/AVERAGE(BS!BP16,BS!BQ16)</f>
        <v>4.2464252823421065</v>
      </c>
      <c r="BK105" s="76">
        <f>(IS!CA25+IS!CD25+IS!CC25+IS!CE25)/AVERAGE(BS!BQ16,BS!BR16)</f>
        <v>4.4951994879453805</v>
      </c>
      <c r="BL105" s="76">
        <f>(IS!CE25+IS!CC25+IS!CD25+IS!CF25)/AVERAGE(BS!BR16,BS!BS16)</f>
        <v>4.8747287195563054</v>
      </c>
      <c r="BM105" s="75">
        <f>(IS!CG25)/AVERAGE(BS!BO16,BS!BT16)</f>
        <v>4.4850679101976691</v>
      </c>
      <c r="BN105" s="76">
        <f>(IS!CD25+IS!CE25+IS!CF25+IS!CH25)/AVERAGE(BS!BT16,BS!BU16)</f>
        <v>4.8766975123182306</v>
      </c>
      <c r="BO105" s="76">
        <f>(IS!CE25+IS!CF25+IS!CH25+IS!CI25)/AVERAGE(BS!BU16,BS!BV16)</f>
        <v>4.7349020516981568</v>
      </c>
      <c r="BP105" s="76">
        <f>(IS!CF25+IS!CI25+IS!CH25+IS!CJ25)/AVERAGE(BS!BV16,BS!BW16)</f>
        <v>4.6432577967242539</v>
      </c>
      <c r="BQ105" s="76">
        <f>(IS!CJ25+IS!CH25+IS!CI25+IS!CK25)/AVERAGE(BS!BW16,BS!BX16)</f>
        <v>4.66235591790835</v>
      </c>
      <c r="BR105" s="75">
        <f>(IS!CL25)/AVERAGE(BS!BT16,BS!BY16)</f>
        <v>4.924282914662391</v>
      </c>
      <c r="BS105" s="76">
        <f>(IS!CI25+IS!CJ25+IS!CK25+IS!CM25)/AVERAGE(BS!BY16,BS!BZ16)</f>
        <v>4.6305140961857383</v>
      </c>
      <c r="BT105" s="76">
        <f>(IS!CJ25+IS!CK25+IS!CM25+IS!CN25)/AVERAGE(BS!BZ16,BS!CA16)</f>
        <v>4.389691364439364</v>
      </c>
      <c r="BU105" s="76">
        <f>(IS!CK25+IS!CN25+IS!CM25+IS!CO25)/AVERAGE(BS!CA16,BS!CB16)</f>
        <v>4.3065737351451636</v>
      </c>
      <c r="BV105" s="76">
        <f>(IS!CO25+IS!CM25+IS!CN25+IS!CP25)/AVERAGE(BS!CB16,BS!CC16)</f>
        <v>4.3517359366713677</v>
      </c>
      <c r="BW105" s="75">
        <f>(IS!CQ25)/AVERAGE(BS!BY16,BS!CD16)</f>
        <v>4.6740285872795022</v>
      </c>
      <c r="BX105" s="75">
        <f>(IS!CV25)/AVERAGE(BS!CD16,BS!CI16)</f>
        <v>4.7469617251445682</v>
      </c>
      <c r="BY105" s="75">
        <f>(IS!CW25)/AVERAGE(BS!CI16,BS!CJ16)</f>
        <v>5.1298212845907685</v>
      </c>
    </row>
    <row r="106" spans="1:77">
      <c r="A106" s="30" t="s">
        <v>42</v>
      </c>
      <c r="B106" s="73"/>
      <c r="C106" s="73">
        <f>C7/AVERAGE(BS!I21,BS!J21)</f>
        <v>6.1746347941567068</v>
      </c>
      <c r="D106" s="73">
        <f>D7/AVERAGE(BS!J21,BS!K21)</f>
        <v>6.1760070052539406</v>
      </c>
      <c r="E106" s="73">
        <f>E7/AVERAGE(BS!K21,BS!L21)</f>
        <v>6.4206061859935861</v>
      </c>
      <c r="F106" s="74">
        <f>F7/AVERAGE(BS!L21,BS!M21)*4</f>
        <v>6.8598631359714375</v>
      </c>
      <c r="G106" s="74">
        <f>G7/AVERAGE(BS!M21,BS!N21)*4</f>
        <v>7.8148223350253812</v>
      </c>
      <c r="H106" s="74">
        <f>H7/AVERAGE(BS!N21,BS!O21)*4</f>
        <v>7.6864197530864198</v>
      </c>
      <c r="I106" s="74">
        <f>I7/AVERAGE(BS!O21,BS!P21)*4</f>
        <v>7.7893903404592244</v>
      </c>
      <c r="J106" s="73">
        <f>J7/AVERAGE(BS!L21,BS!Q21)</f>
        <v>7.2631170594510719</v>
      </c>
      <c r="K106" s="74">
        <f>K7/AVERAGE(BS!Q21,BS!R21)*4</f>
        <v>7.2424213261476273</v>
      </c>
      <c r="L106" s="74">
        <f>L7/AVERAGE(BS!R21,BS!S21)*4</f>
        <v>8.6224026287812894</v>
      </c>
      <c r="M106" s="74">
        <f>M7/AVERAGE(BS!S21,BS!T21)*4</f>
        <v>8.1532710280373824</v>
      </c>
      <c r="N106" s="74">
        <f>N7/AVERAGE(BS!T21,BS!U21)*4</f>
        <v>8.0897988505747129</v>
      </c>
      <c r="O106" s="73">
        <f>O7/AVERAGE(BS!Q21,BS!V21)</f>
        <v>7.8726736686935688</v>
      </c>
      <c r="P106" s="74">
        <f>P7/AVERAGE(BS!V21,BS!W21)*4</f>
        <v>7.5150442477876105</v>
      </c>
      <c r="Q106" s="74">
        <f>Q7/AVERAGE(BS!W21,BS!X21)*4</f>
        <v>8.7110006215040396</v>
      </c>
      <c r="R106" s="74">
        <f>R7/AVERAGE(BS!X21,BS!Y21)*4</f>
        <v>8.7174341515857368</v>
      </c>
      <c r="S106" s="74">
        <f>S7/AVERAGE(BS!Y21,BS!Z21)*4</f>
        <v>9.0519423059906199</v>
      </c>
      <c r="T106" s="73">
        <f>T7/AVERAGE(BS!V21,BS!AA21)</f>
        <v>8.4295029961226646</v>
      </c>
      <c r="U106" s="74">
        <f>U7/AVERAGE(BS!AA21,BS!AB21)*4</f>
        <v>8.5531173807035881</v>
      </c>
      <c r="V106" s="74">
        <f>V7/AVERAGE(BS!AB21,BS!AC21)*4</f>
        <v>9.560942066357228</v>
      </c>
      <c r="W106" s="74">
        <f>W7/AVERAGE(BS!AC21,BS!AD21)*4</f>
        <v>9.2977867203219322</v>
      </c>
      <c r="X106" s="74">
        <f>X7/AVERAGE(BS!AD21,BS!AE21)*4</f>
        <v>9.5321078629848568</v>
      </c>
      <c r="Y106" s="73">
        <f>Y7/AVERAGE(BS!AA21,BS!AF21)</f>
        <v>9.1105565260793604</v>
      </c>
      <c r="Z106" s="74">
        <f>Z7/AVERAGE(BS!AF21,BS!AG21)*4</f>
        <v>8.7421905582087209</v>
      </c>
      <c r="AA106" s="74">
        <f>AA7/AVERAGE(BS!AG21,BS!AH21)*4</f>
        <v>9.791356413602518</v>
      </c>
      <c r="AB106" s="74">
        <f>AB7/AVERAGE(BS!AH21,BS!AI21)*4</f>
        <v>9.2895081210068504</v>
      </c>
      <c r="AC106" s="74">
        <f>AC7/AVERAGE(BS!AI21,BS!AJ21)*4</f>
        <v>9.2391899288451018</v>
      </c>
      <c r="AD106" s="73">
        <f>AD7/AVERAGE(BS!AF21,BS!AK21)</f>
        <v>9.4522303068649158</v>
      </c>
      <c r="AE106" s="74">
        <f>AE7/AVERAGE(BS!AK21,BS!AL21)*4</f>
        <v>7.8211251803173587</v>
      </c>
      <c r="AF106" s="74">
        <f>AF7/AVERAGE(BS!AL21,BS!AM21)*4</f>
        <v>8.4880981395726707</v>
      </c>
      <c r="AG106" s="74">
        <f>AG7/AVERAGE(BS!AM21,BS!AN21)*4</f>
        <v>8.4688127157421533</v>
      </c>
      <c r="AH106" s="74">
        <f>AH7/AVERAGE(BS!AN21,BS!AO21)*4</f>
        <v>8.8460686600221479</v>
      </c>
      <c r="AI106" s="73">
        <f>AI7/AVERAGE(BS!AK21,BS!AP21)</f>
        <v>8.2481120201384517</v>
      </c>
      <c r="AJ106" s="74">
        <f>AJ7/AVERAGE(BS!AP21,BS!AQ21)*4</f>
        <v>7.5848492007244666</v>
      </c>
      <c r="AK106" s="74">
        <f>AK7/AVERAGE(BS!AQ21,BS!AR21)*4</f>
        <v>8.8865995975855139</v>
      </c>
      <c r="AL106" s="74">
        <f>AL7/AVERAGE(BS!AR21,BS!AS21)*4</f>
        <v>8.9034155907828083</v>
      </c>
      <c r="AM106" s="74">
        <f>AM7/AVERAGE(BS!AS21,BS!AT21)*4</f>
        <v>9.5680720952687484</v>
      </c>
      <c r="AN106" s="73">
        <f>AN7/AVERAGE(BS!AP21,BS!AU21)</f>
        <v>8.5931667193925971</v>
      </c>
      <c r="AO106" s="74">
        <f>AO7/AVERAGE(BS!AU21,BS!AV21)*4</f>
        <v>8.0069499289211823</v>
      </c>
      <c r="AP106" s="74">
        <f>AP7/AVERAGE(BS!AV21,BS!AW21)*4</f>
        <v>9.1064432381401943</v>
      </c>
      <c r="AQ106" s="74">
        <f>AQ7/AVERAGE(BS!AW21,BS!AX21)*4</f>
        <v>9.1352478742178729</v>
      </c>
      <c r="AR106" s="74">
        <f>AR7/AVERAGE(BS!AX21,BS!AY21)*4</f>
        <v>9.3220943426811473</v>
      </c>
      <c r="AS106" s="73">
        <f>AS7/AVERAGE(BS!AU21,BS!AZ21)</f>
        <v>8.9342200144219213</v>
      </c>
      <c r="AT106" s="74">
        <f>AT7/AVERAGE(BS!AZ21,BS!BA21)*4</f>
        <v>8.2525756065137923</v>
      </c>
      <c r="AU106" s="74">
        <f>AU7/AVERAGE(BS!BA21,BS!BB21)*4</f>
        <v>9.56163434903047</v>
      </c>
      <c r="AV106" s="74">
        <f>AV7/AVERAGE(BS!BB21,BS!BC21)*4</f>
        <v>8.6225279449699048</v>
      </c>
      <c r="AW106" s="74">
        <f>AW7/AVERAGE(BS!BC21,BS!BD21)*4</f>
        <v>7.8500924986572773</v>
      </c>
      <c r="AX106" s="73">
        <f>AX7/AVERAGE(BS!AZ21,BS!BE21)</f>
        <v>7.8412935661390044</v>
      </c>
      <c r="AY106" s="74">
        <f>AY7/AVERAGE(BS!BE21,BS!BF21)*4</f>
        <v>6.7975923521775048</v>
      </c>
      <c r="AZ106" s="74">
        <f>AZ7/AVERAGE(BS!BF21,BS!BG21)*4</f>
        <v>7.6096749272003326</v>
      </c>
      <c r="BA106" s="74">
        <f>BA7/AVERAGE(BS!BG21,BS!BH21)*4</f>
        <v>7.298560302100543</v>
      </c>
      <c r="BB106" s="74">
        <f>BB7/AVERAGE(BS!BH21,BS!BI21)*4</f>
        <v>7.6986505885730692</v>
      </c>
      <c r="BC106" s="73">
        <f>BC7/AVERAGE(BS!BE21,BS!BJ21)</f>
        <v>7.2050161067648411</v>
      </c>
      <c r="BD106" s="74">
        <f>BD7/AVERAGE(BS!BJ21,BS!BK21)*4</f>
        <v>6.6415179325488429</v>
      </c>
      <c r="BE106" s="74">
        <f>BE7/AVERAGE(BS!BK21,BS!BL21)*4</f>
        <v>7.6741253278276877</v>
      </c>
      <c r="BF106" s="74">
        <f>BF7/AVERAGE(BS!BL21,BS!BM21)*4</f>
        <v>7.1036906854130049</v>
      </c>
      <c r="BG106" s="74">
        <f>BG7/AVERAGE(BS!BM21,BS!BN21)*4</f>
        <v>7.3663452161664322</v>
      </c>
      <c r="BH106" s="73">
        <f>BH7/AVERAGE(BS!BJ21,BS!BO21)</f>
        <v>7.1767170102524531</v>
      </c>
      <c r="BI106" s="74">
        <f>BI7/AVERAGE(BS!BO21,BS!BP21)*4</f>
        <v>5.7752967318844508</v>
      </c>
      <c r="BJ106" s="74">
        <f>BJ7/AVERAGE(BS!BP21,BS!BQ21)*4</f>
        <v>6.3757930697901415</v>
      </c>
      <c r="BK106" s="74">
        <f>BK7/AVERAGE(BS!BQ21,BS!BR21)*4</f>
        <v>6.203475620043867</v>
      </c>
      <c r="BL106" s="74">
        <f>BL7/AVERAGE(BS!BR21,BS!BS21)*4</f>
        <v>6.6330376297327067</v>
      </c>
      <c r="BM106" s="73">
        <f>BM7/AVERAGE(BS!BO21,BS!BT21)</f>
        <v>6.2238573069501362</v>
      </c>
      <c r="BN106" s="74">
        <f>BN7/AVERAGE(BS!BT21,BS!BU21)*4</f>
        <v>6.1078022292083451</v>
      </c>
      <c r="BO106" s="74">
        <f>BO7/AVERAGE(BS!BU21,BS!BV21)*4</f>
        <v>6.7326015616159332</v>
      </c>
      <c r="BP106" s="74">
        <f>BP7/AVERAGE(BS!BV21,BS!BW21)*4</f>
        <v>6.4151955307262574</v>
      </c>
      <c r="BQ106" s="74">
        <f>BQ7/AVERAGE(BS!BW21,BS!BX21)*4</f>
        <v>6.4623353722378356</v>
      </c>
      <c r="BR106" s="73">
        <f>BR7/AVERAGE(BS!BT21,BS!BY21)</f>
        <v>6.3995528228060365</v>
      </c>
      <c r="BS106" s="74">
        <f>BS7/AVERAGE(BS!BY21,BS!BZ21)*4</f>
        <v>6.0022809971215985</v>
      </c>
      <c r="BT106" s="74">
        <f>BT7/AVERAGE(BS!BZ21,BS!CA21)*4</f>
        <v>6.5264281900694074</v>
      </c>
      <c r="BU106" s="74">
        <f>BU7/AVERAGE(BS!CA21,BS!CB21)*4</f>
        <v>6.2634369477076621</v>
      </c>
      <c r="BV106" s="74">
        <f>BV7/AVERAGE(BS!CB21,BS!CC21)*4</f>
        <v>6.2930596867498547</v>
      </c>
      <c r="BW106" s="73">
        <f>BW7/AVERAGE(BS!BY21,BS!CD21)</f>
        <v>6.2937834774018038</v>
      </c>
      <c r="BX106" s="73">
        <f>BX7/AVERAGE(BS!CD21,BS!CI21)</f>
        <v>6.5221764513401626</v>
      </c>
      <c r="BY106" s="73">
        <f>BY7/AVERAGE(BS!CI21,BS!CJ21)</f>
        <v>6.9388149833113593</v>
      </c>
    </row>
    <row r="107" spans="1:77">
      <c r="A107" s="30"/>
      <c r="B107" s="73"/>
      <c r="C107" s="73"/>
      <c r="D107" s="73"/>
      <c r="E107" s="73"/>
      <c r="F107" s="74"/>
      <c r="G107" s="74"/>
      <c r="H107" s="74"/>
      <c r="I107" s="74"/>
      <c r="J107" s="73"/>
      <c r="K107" s="74"/>
      <c r="L107" s="74"/>
      <c r="M107" s="74"/>
      <c r="N107" s="74"/>
      <c r="O107" s="73"/>
      <c r="P107" s="74"/>
      <c r="Q107" s="74"/>
      <c r="R107" s="74"/>
      <c r="S107" s="74"/>
      <c r="T107" s="73"/>
      <c r="U107" s="74"/>
      <c r="V107" s="74"/>
      <c r="W107" s="74"/>
      <c r="X107" s="74"/>
      <c r="Y107" s="73"/>
      <c r="Z107" s="74"/>
      <c r="AA107" s="74"/>
      <c r="AB107" s="74"/>
      <c r="AC107" s="74"/>
      <c r="AD107" s="73"/>
      <c r="AE107" s="74"/>
      <c r="AF107" s="74"/>
      <c r="AG107" s="74"/>
      <c r="AH107" s="74"/>
      <c r="AI107" s="73"/>
      <c r="AJ107" s="74"/>
      <c r="AK107" s="74"/>
      <c r="AL107" s="74"/>
      <c r="AM107" s="74"/>
      <c r="AN107" s="73"/>
      <c r="AO107" s="74"/>
      <c r="AP107" s="74"/>
      <c r="AQ107" s="74"/>
      <c r="AR107" s="74"/>
      <c r="AS107" s="73"/>
      <c r="AT107" s="74"/>
      <c r="AU107" s="74"/>
      <c r="AV107" s="74"/>
      <c r="AW107" s="74"/>
      <c r="AX107" s="73"/>
      <c r="AY107" s="74"/>
      <c r="AZ107" s="74"/>
      <c r="BA107" s="74"/>
      <c r="BB107" s="74"/>
      <c r="BC107" s="73"/>
      <c r="BD107" s="74"/>
      <c r="BE107" s="74"/>
      <c r="BF107" s="74"/>
      <c r="BG107" s="74"/>
      <c r="BH107" s="73"/>
      <c r="BI107" s="74"/>
      <c r="BJ107" s="74"/>
      <c r="BK107" s="74"/>
      <c r="BL107" s="74"/>
      <c r="BM107" s="73"/>
      <c r="BN107" s="74"/>
      <c r="BO107" s="74"/>
      <c r="BP107" s="74"/>
      <c r="BQ107" s="74"/>
      <c r="BR107" s="73"/>
      <c r="BS107" s="74"/>
      <c r="BT107" s="74"/>
      <c r="BU107" s="74"/>
      <c r="BV107" s="74"/>
      <c r="BW107" s="73"/>
      <c r="BX107" s="73"/>
      <c r="BY107" s="73"/>
    </row>
    <row r="108" spans="1:77">
      <c r="A108" s="30" t="s">
        <v>41</v>
      </c>
      <c r="B108" s="73">
        <f>BS!I21/CF!H13</f>
        <v>5.2235157159487775</v>
      </c>
      <c r="C108" s="73">
        <f>BS!J21/CF!I13</f>
        <v>5.0265193370165742</v>
      </c>
      <c r="D108" s="73">
        <f>BS!K21/CF!J13</f>
        <v>6.30949105914718</v>
      </c>
      <c r="E108" s="73">
        <f>BS!L21/CF!K13</f>
        <v>6.3579474342928659</v>
      </c>
      <c r="F108" s="74">
        <f>BS!M21/CF!L13/4</f>
        <v>4.7738549618320612</v>
      </c>
      <c r="G108" s="74">
        <f>BS!N21/CF!M13/4</f>
        <v>4.808531746031746</v>
      </c>
      <c r="H108" s="74">
        <f>BS!O21/CF!N13/4</f>
        <v>5.2967391304347826</v>
      </c>
      <c r="I108" s="74">
        <f>BS!P21/CF!O13/4</f>
        <v>5.5886752136752138</v>
      </c>
      <c r="J108" s="73">
        <f>BS!Q21/CF!P13</f>
        <v>5.3486707566462171</v>
      </c>
      <c r="K108" s="74">
        <f>BS!R21/CF!Q13/4</f>
        <v>5.7079646017699117</v>
      </c>
      <c r="L108" s="74">
        <f>BS!S21/CF!R13/4</f>
        <v>5.4715189873417724</v>
      </c>
      <c r="M108" s="74">
        <f>BS!T21/CF!S13/4</f>
        <v>5.2009433962264149</v>
      </c>
      <c r="N108" s="74">
        <f>BS!U21/CF!T13/4</f>
        <v>5.4912109375</v>
      </c>
      <c r="O108" s="73">
        <f>BS!V21/CF!U13</f>
        <v>5.7144308943089435</v>
      </c>
      <c r="P108" s="74">
        <f>BS!W21/CF!V13/4</f>
        <v>5.3759469696969697</v>
      </c>
      <c r="Q108" s="74">
        <f>BS!X21/CF!W13/4</f>
        <v>5.455078125</v>
      </c>
      <c r="R108" s="74">
        <f>BS!Y21/CF!X13/4</f>
        <v>5.5317460317460316</v>
      </c>
      <c r="S108" s="74">
        <f>BS!Z21/CF!Y13/4</f>
        <v>5.4837164750957852</v>
      </c>
      <c r="T108" s="73">
        <f>BS!AA21/CF!Z13</f>
        <v>5.5421103581800581</v>
      </c>
      <c r="U108" s="74">
        <f>BS!AB21/CF!AA13/4</f>
        <v>5.1789568345323742</v>
      </c>
      <c r="V108" s="74">
        <f>BS!AC21/CF!AB13/4</f>
        <v>5.3023465703971118</v>
      </c>
      <c r="W108" s="74">
        <f>BS!AD21/CF!AC13/4</f>
        <v>4.9131493506493502</v>
      </c>
      <c r="X108" s="74">
        <f>BS!AE21/CF!AD13/4</f>
        <v>5.0774193548387094</v>
      </c>
      <c r="Y108" s="73">
        <f>BS!AF21/CF!AE13</f>
        <v>5.3674339300937763</v>
      </c>
      <c r="Z108" s="74">
        <f>BS!AG21/CF!AF13/4</f>
        <v>5.0760188087774294</v>
      </c>
      <c r="AA108" s="74">
        <f>BS!AH21/CF!AG13/4</f>
        <v>5.0230061349693251</v>
      </c>
      <c r="AB108" s="74">
        <f>BS!AI21/CF!AH13/4</f>
        <v>4.9394171779141107</v>
      </c>
      <c r="AC108" s="74">
        <f>BS!AJ21/CF!AI13/4</f>
        <v>4.5342857142857147</v>
      </c>
      <c r="AD108" s="73">
        <f>BS!AK21/CF!AJ13</f>
        <v>4.805450416351249</v>
      </c>
      <c r="AE108" s="74">
        <f>BS!AL21/CF!AK13/4</f>
        <v>5.0081699346405228</v>
      </c>
      <c r="AF108" s="74">
        <f>BS!AM21/CF!AL13/4</f>
        <v>5.0981848184818483</v>
      </c>
      <c r="AG108" s="74">
        <f>BS!AN21/CF!AM13/4</f>
        <v>4.9667721518987342</v>
      </c>
      <c r="AH108" s="74">
        <f>BS!AO21/CF!AN13/4</f>
        <v>4.7777777777777777</v>
      </c>
      <c r="AI108" s="73">
        <f>BS!AP21/CF!AO13</f>
        <v>5.0588235294117645</v>
      </c>
      <c r="AJ108" s="74">
        <f>BS!AQ21/CF!AP13/4</f>
        <v>4.8432721712538225</v>
      </c>
      <c r="AK108" s="74">
        <f>BS!AR21/CF!AQ13/4</f>
        <v>4.4911504424778759</v>
      </c>
      <c r="AL108" s="74">
        <f>BS!AS21/CF!AR13/4</f>
        <v>4.4941520467836256</v>
      </c>
      <c r="AM108" s="74">
        <f>BS!AT21/CF!AS13/4</f>
        <v>4.5114942528735629</v>
      </c>
      <c r="AN108" s="73">
        <f>BS!AU21/CF!AT13</f>
        <v>4.6312684365781713</v>
      </c>
      <c r="AO108" s="74">
        <f>BS!AV21/CF!AU13/4</f>
        <v>5.049050632911392</v>
      </c>
      <c r="AP108" s="74">
        <f>BS!AW21/CF!AV13/4</f>
        <v>4.9138198757763973</v>
      </c>
      <c r="AQ108" s="74">
        <f>BS!AX21/CF!AW13/4</f>
        <v>4.7353395061728394</v>
      </c>
      <c r="AR108" s="74">
        <f>BS!AY21/CF!AX13/4</f>
        <v>5.1503322259136208</v>
      </c>
      <c r="AS108" s="73">
        <f>BS!AZ21/CF!AY13</f>
        <v>4.9097387173396676</v>
      </c>
      <c r="AT108" s="74">
        <f>BS!BA21/CF!AZ13/4</f>
        <v>4.55859375</v>
      </c>
      <c r="AU108" s="74">
        <f>BS!BB21/CF!BA13/4</f>
        <v>4.6860655737704917</v>
      </c>
      <c r="AV108" s="74">
        <f>BS!BC21/CF!BB13/4</f>
        <v>4.8809241706161135</v>
      </c>
      <c r="AW108" s="74">
        <f>BS!BD21/CF!BC13/4</f>
        <v>4.4643605870020968</v>
      </c>
      <c r="AX108" s="73">
        <f>BS!BE21/CF!BD13</f>
        <v>5.5892388451443571</v>
      </c>
      <c r="AY108" s="74">
        <f>BS!BF21/CF!BE13/4</f>
        <v>4.7454954954954953</v>
      </c>
      <c r="AZ108" s="74">
        <f>BS!BG21/CF!BF13/4</f>
        <v>4.7830296127562644</v>
      </c>
      <c r="BA108" s="74">
        <f>BS!BH21/CF!BG13/4</f>
        <v>4.7284292035398234</v>
      </c>
      <c r="BB108" s="74">
        <f>BS!BI21/CF!BH13/4</f>
        <v>4.560699588477366</v>
      </c>
      <c r="BC108" s="73">
        <f>BS!BJ21/CF!BI13</f>
        <v>4.8687534321801209</v>
      </c>
      <c r="BD108" s="74">
        <f>BS!BK21/CF!BJ13/4</f>
        <v>4.7617773019271947</v>
      </c>
      <c r="BE108" s="74">
        <f>BS!BL21/CF!BK13/4</f>
        <v>4.8215811965811968</v>
      </c>
      <c r="BF108" s="74">
        <f>BS!BM21/CF!BL13/4</f>
        <v>4.7525879917184266</v>
      </c>
      <c r="BG108" s="74">
        <f>BS!BN21/CF!BM13/4</f>
        <v>4.742331288343558</v>
      </c>
      <c r="BH108" s="73">
        <f>BS!BO21/CF!BN13</f>
        <v>4.8641845831148398</v>
      </c>
      <c r="BI108" s="74">
        <f>BS!BP21/CF!BO13/4</f>
        <v>5.0179640476679657</v>
      </c>
      <c r="BJ108" s="74">
        <f>BS!BQ21/CF!BP13/4</f>
        <v>5.0590499020203241</v>
      </c>
      <c r="BK108" s="74">
        <f>BS!BR21/CF!BQ13/4</f>
        <v>4.3801440329218106</v>
      </c>
      <c r="BL108" s="74">
        <f>BS!BS21/CF!BR13/4</f>
        <v>4.725108225108225</v>
      </c>
      <c r="BM108" s="73">
        <f>BS!BT21/CF!BS13</f>
        <v>4.687063875469673</v>
      </c>
      <c r="BN108" s="74">
        <f>BS!BU21/CF!BT13/4</f>
        <v>4.70118025751073</v>
      </c>
      <c r="BO108" s="74">
        <f>BS!BV21/CF!BU13/4</f>
        <v>4.509615384615385</v>
      </c>
      <c r="BP108" s="74">
        <f>BS!BW21/CF!BV13/4</f>
        <v>4.5307459677419351</v>
      </c>
      <c r="BQ108" s="74">
        <f>BS!BX21/CF!BW13/4</f>
        <v>4.5247035573122529</v>
      </c>
      <c r="BR108" s="73">
        <f>BS!BY21/CF!BX13</f>
        <v>4.6676860346585114</v>
      </c>
      <c r="BS108" s="74">
        <f>BS!BZ21/CF!BY13/4</f>
        <v>4.51904296875</v>
      </c>
      <c r="BT108" s="74">
        <f>BS!CA21/CF!BZ13/4</f>
        <v>4.4947817836812147</v>
      </c>
      <c r="BU108" s="74">
        <f>BS!CB21/CF!CA13/4</f>
        <v>4.4949355432780846</v>
      </c>
      <c r="BV108" s="74">
        <f>BS!CC21/CF!CB13/4</f>
        <v>4.6875012644841023</v>
      </c>
      <c r="BW108" s="73">
        <f>BS!CD21/CF!CC13</f>
        <v>4.6392180938058969</v>
      </c>
      <c r="BX108" s="73">
        <f>BS!CI21/CF!CH13</f>
        <v>4.5073547555618392</v>
      </c>
      <c r="BY108" s="73">
        <f>BS!CJ21/CF!CI13</f>
        <v>4.422897686753557</v>
      </c>
    </row>
    <row r="109" spans="1:77">
      <c r="A109" s="30"/>
      <c r="B109" s="73"/>
      <c r="C109" s="73"/>
      <c r="D109" s="73"/>
      <c r="E109" s="73"/>
      <c r="F109" s="74"/>
      <c r="G109" s="74"/>
      <c r="H109" s="74"/>
      <c r="I109" s="74"/>
      <c r="J109" s="73"/>
      <c r="K109" s="74"/>
      <c r="L109" s="74"/>
      <c r="M109" s="74"/>
      <c r="N109" s="74"/>
      <c r="O109" s="73"/>
      <c r="P109" s="74"/>
      <c r="Q109" s="74"/>
      <c r="R109" s="74"/>
      <c r="S109" s="74"/>
      <c r="T109" s="73"/>
      <c r="U109" s="74"/>
      <c r="V109" s="74"/>
      <c r="W109" s="74"/>
      <c r="X109" s="74"/>
      <c r="Y109" s="73"/>
      <c r="Z109" s="74"/>
      <c r="AA109" s="74"/>
      <c r="AB109" s="74"/>
      <c r="AC109" s="74"/>
      <c r="AD109" s="73"/>
      <c r="AE109" s="74"/>
      <c r="AF109" s="74"/>
      <c r="AG109" s="74"/>
      <c r="AH109" s="74"/>
      <c r="AI109" s="73"/>
      <c r="AJ109" s="74"/>
      <c r="AK109" s="74"/>
      <c r="AL109" s="74"/>
      <c r="AM109" s="74"/>
      <c r="AN109" s="73"/>
      <c r="AO109" s="74"/>
      <c r="AP109" s="74"/>
      <c r="AQ109" s="74"/>
      <c r="AR109" s="74"/>
      <c r="AS109" s="73"/>
      <c r="AT109" s="74"/>
      <c r="AU109" s="74"/>
      <c r="AV109" s="74"/>
      <c r="AW109" s="74"/>
      <c r="AX109" s="73"/>
      <c r="AY109" s="74"/>
      <c r="AZ109" s="74"/>
      <c r="BA109" s="74"/>
      <c r="BB109" s="74"/>
      <c r="BC109" s="73"/>
      <c r="BD109" s="74"/>
      <c r="BE109" s="74"/>
      <c r="BF109" s="74"/>
      <c r="BG109" s="74"/>
      <c r="BH109" s="73"/>
      <c r="BI109" s="74"/>
      <c r="BJ109" s="74"/>
      <c r="BK109" s="74"/>
      <c r="BL109" s="74"/>
      <c r="BM109" s="73"/>
      <c r="BN109" s="74"/>
      <c r="BO109" s="74"/>
      <c r="BP109" s="74"/>
      <c r="BQ109" s="74"/>
      <c r="BR109" s="73"/>
      <c r="BS109" s="74"/>
      <c r="BT109" s="74"/>
      <c r="BU109" s="74"/>
      <c r="BV109" s="74"/>
      <c r="BW109" s="73"/>
      <c r="BX109" s="73"/>
      <c r="BY109" s="73"/>
    </row>
    <row r="110" spans="1:77">
      <c r="A110" s="30" t="s">
        <v>40</v>
      </c>
      <c r="B110" s="48">
        <f>BS!I15/'KPI''s'!B7*365</f>
        <v>61.032426738893278</v>
      </c>
      <c r="C110" s="48">
        <f>BS!J15/'KPI''s'!C7*365</f>
        <v>53.552174068896299</v>
      </c>
      <c r="D110" s="48">
        <f>BS!K15/'KPI''s'!D7*365</f>
        <v>55.334786615624559</v>
      </c>
      <c r="E110" s="48">
        <f>BS!L15/'KPI''s'!E7*365</f>
        <v>61.005832312947085</v>
      </c>
      <c r="F110" s="49">
        <f>BS!M15/'KPI''s'!F7*90</f>
        <v>55.846634281748784</v>
      </c>
      <c r="G110" s="49">
        <f>BS!N15/'KPI''s'!G7*90</f>
        <v>56.121388484722516</v>
      </c>
      <c r="H110" s="49">
        <f>BS!O15/'KPI''s'!H7*90</f>
        <v>58.429168005139736</v>
      </c>
      <c r="I110" s="49">
        <f>BS!P15/'KPI''s'!I7*90</f>
        <v>57.770888391949583</v>
      </c>
      <c r="J110" s="48">
        <f>BS!Q15/'KPI''s'!J7*365</f>
        <v>61.556282547736679</v>
      </c>
      <c r="K110" s="49">
        <f>BS!R15/'KPI''s'!K7*90</f>
        <v>62.800042521526521</v>
      </c>
      <c r="L110" s="49">
        <f>BS!S15/'KPI''s'!L7*90</f>
        <v>59.51040172166428</v>
      </c>
      <c r="M110" s="49">
        <f>BS!T15/'KPI''s'!M7*90</f>
        <v>60.561210453920218</v>
      </c>
      <c r="N110" s="49">
        <f>BS!U15/'KPI''s'!N7*90</f>
        <v>57.863422431400409</v>
      </c>
      <c r="O110" s="48">
        <f>BS!V15/'KPI''s'!O7*365</f>
        <v>61.851375073142187</v>
      </c>
      <c r="P110" s="49">
        <f>BS!W15/'KPI''s'!P7*90</f>
        <v>60.435233160621756</v>
      </c>
      <c r="Q110" s="49">
        <f>BS!X15/'KPI''s'!Q7*90</f>
        <v>57.314090019569477</v>
      </c>
      <c r="R110" s="49">
        <f>BS!Y15/'KPI''s'!R7*90</f>
        <v>56.924278549699906</v>
      </c>
      <c r="S110" s="49">
        <f>BS!Z15/'KPI''s'!S7*90</f>
        <v>54.047861108938768</v>
      </c>
      <c r="T110" s="48">
        <f>BS!AA15/'KPI''s'!T7*365</f>
        <v>58.601162474649271</v>
      </c>
      <c r="U110" s="49">
        <f>BS!AB15/'KPI''s'!U7*90</f>
        <v>58.480208503013515</v>
      </c>
      <c r="V110" s="49">
        <f>BS!AC15/'KPI''s'!V7*90</f>
        <v>54.554085155350982</v>
      </c>
      <c r="W110" s="49">
        <f>BS!AD15/'KPI''s'!W7*90</f>
        <v>58.422419389742487</v>
      </c>
      <c r="X110" s="49">
        <f>BS!AE15/'KPI''s'!X7*90</f>
        <v>54.095419328530653</v>
      </c>
      <c r="Y110" s="48">
        <f>BS!AF15/'KPI''s'!Y7*365</f>
        <v>58.950309538158109</v>
      </c>
      <c r="Z110" s="49">
        <f>BS!AG15/'KPI''s'!Z7*90</f>
        <v>61.629173233987679</v>
      </c>
      <c r="AA110" s="49">
        <f>BS!AH15/'KPI''s'!AA7*90</f>
        <v>57.028976417461116</v>
      </c>
      <c r="AB110" s="49">
        <f>BS!AI15/'KPI''s'!AB7*90</f>
        <v>55.760026516407031</v>
      </c>
      <c r="AC110" s="49">
        <f>BS!AJ15/'KPI''s'!AC7*90</f>
        <v>55.523358158429247</v>
      </c>
      <c r="AD110" s="48">
        <f>BS!AK15/'KPI''s'!AD7*365</f>
        <v>55.656743143062734</v>
      </c>
      <c r="AE110" s="49">
        <f>BS!AL15/'KPI''s'!AE7*90</f>
        <v>64.901221411591109</v>
      </c>
      <c r="AF110" s="49">
        <f>BS!AM15/'KPI''s'!AF7*90</f>
        <v>58.727411944869836</v>
      </c>
      <c r="AG110" s="49">
        <f>BS!AN15/'KPI''s'!AG7*90</f>
        <v>57.738682035337831</v>
      </c>
      <c r="AH110" s="49">
        <f>BS!AO15/'KPI''s'!AH7*90</f>
        <v>54.525359467773086</v>
      </c>
      <c r="AI110" s="48">
        <f>BS!AP15/'KPI''s'!AI7*365</f>
        <v>58.963948497854076</v>
      </c>
      <c r="AJ110" s="49">
        <f>BS!AQ15/'KPI''s'!AJ7*90</f>
        <v>65.309800664451828</v>
      </c>
      <c r="AK110" s="49">
        <f>BS!AR15/'KPI''s'!AK7*90</f>
        <v>57.91117229387045</v>
      </c>
      <c r="AL110" s="49">
        <f>BS!AS15/'KPI''s'!AL7*90</f>
        <v>57.693832599118942</v>
      </c>
      <c r="AM110" s="49">
        <f>BS!AT15/'KPI''s'!AM7*90</f>
        <v>54.039962325080737</v>
      </c>
      <c r="AN110" s="48">
        <f>BS!AU15/'KPI''s'!AN7*365</f>
        <v>59.964381695688985</v>
      </c>
      <c r="AO110" s="49">
        <f>BS!AV15/'KPI''s'!AO7*90</f>
        <v>65.761855914148185</v>
      </c>
      <c r="AP110" s="49">
        <f>BS!AW15/'KPI''s'!AP7*90</f>
        <v>60.964130209413227</v>
      </c>
      <c r="AQ110" s="49">
        <f>BS!AX15/'KPI''s'!AQ7*90</f>
        <v>60.082191780821915</v>
      </c>
      <c r="AR110" s="49">
        <f>BS!AY15/'KPI''s'!AR7*90</f>
        <v>59.757946720456282</v>
      </c>
      <c r="AS110" s="48">
        <f>BS!AZ15/'KPI''s'!AS7*365</f>
        <v>62.493991462495963</v>
      </c>
      <c r="AT110" s="49">
        <f>BS!BA15/'KPI''s'!AT7*90</f>
        <v>64.027867268041248</v>
      </c>
      <c r="AU110" s="49">
        <f>BS!BB15/'KPI''s'!AU7*90</f>
        <v>62.172810893025272</v>
      </c>
      <c r="AV110" s="49">
        <f>BS!BC15/'KPI''s'!AV7*90</f>
        <v>63.482249700837656</v>
      </c>
      <c r="AW110" s="49">
        <f>BS!BD15/'KPI''s'!AW7*90</f>
        <v>60.749863163656265</v>
      </c>
      <c r="AX110" s="48">
        <f>BS!BE15/'KPI''s'!AX7*365</f>
        <v>70.20057877590628</v>
      </c>
      <c r="AY110" s="49">
        <f>BS!BF15/'KPI''s'!AY7*90</f>
        <v>67.44843391902215</v>
      </c>
      <c r="AZ110" s="49">
        <f>BS!BG15/'KPI''s'!AZ7*90</f>
        <v>62.740222416593774</v>
      </c>
      <c r="BA110" s="49">
        <f>BS!BH15/'KPI''s'!BA7*90</f>
        <v>64.813736903376025</v>
      </c>
      <c r="BB110" s="49">
        <f>BS!BI15/'KPI''s'!BB7*90</f>
        <v>61.532310997076202</v>
      </c>
      <c r="BC110" s="48">
        <f>BS!BJ15/'KPI''s'!BC7*365</f>
        <v>66.780091335866899</v>
      </c>
      <c r="BD110" s="49">
        <f>BS!BK15/'KPI''s'!BD7*90</f>
        <v>70.419125127161749</v>
      </c>
      <c r="BE110" s="49">
        <f>BS!BL15/'KPI''s'!BE7*90</f>
        <v>61.75033447734279</v>
      </c>
      <c r="BF110" s="49">
        <f>BS!BM15/'KPI''s'!BF7*90</f>
        <v>61.67738743196437</v>
      </c>
      <c r="BG110" s="49">
        <f>BS!BN15/'KPI''s'!BG7*90</f>
        <v>59.927630030595431</v>
      </c>
      <c r="BH110" s="48">
        <f>BS!BO15/'KPI''s'!BH7*365</f>
        <v>63.451689708141323</v>
      </c>
      <c r="BI110" s="49">
        <f>BS!BP15/'KPI''s'!BI7*90</f>
        <v>77.78378378378379</v>
      </c>
      <c r="BJ110" s="49">
        <f>BS!BQ15/'KPI''s'!BJ7*90</f>
        <v>70.520514390691986</v>
      </c>
      <c r="BK110" s="49">
        <f>BS!BR15/'KPI''s'!BK7*90</f>
        <v>69.497389033942568</v>
      </c>
      <c r="BL110" s="49">
        <f>BS!BS15/'KPI''s'!BL7*90</f>
        <v>67.046853146853152</v>
      </c>
      <c r="BM110" s="48">
        <f>BS!BT15/'KPI''s'!BM7*365</f>
        <v>69.385652707212529</v>
      </c>
      <c r="BN110" s="49">
        <f>BS!BU15/'KPI''s'!BN7*90</f>
        <v>73.437897731526547</v>
      </c>
      <c r="BO110" s="49">
        <f>BS!BV15/'KPI''s'!BO7*90</f>
        <v>69.850746268656721</v>
      </c>
      <c r="BP110" s="49">
        <f>BS!BW15/'KPI''s'!BP7*90</f>
        <v>72.105336491570284</v>
      </c>
      <c r="BQ110" s="49">
        <f>BS!BX15/'KPI''s'!BQ7*90</f>
        <v>70.488437137594659</v>
      </c>
      <c r="BR110" s="48">
        <f>BS!BY15/'KPI''s'!BR7*365</f>
        <v>73.205314094053534</v>
      </c>
      <c r="BS110" s="49">
        <f>BS!BZ15/'KPI''s'!BS7*90</f>
        <v>77.133550488599354</v>
      </c>
      <c r="BT110" s="49">
        <f>BS!CA15/'KPI''s'!BT7*90</f>
        <v>74.196989528795811</v>
      </c>
      <c r="BU110" s="49">
        <f>BS!CB15/'KPI''s'!BU7*90</f>
        <v>78.443765768158286</v>
      </c>
      <c r="BV110" s="49">
        <f>BS!CC15/'KPI''s'!BV7*90</f>
        <v>70.488437137594659</v>
      </c>
      <c r="BW110" s="48">
        <f>BS!CD15/'KPI''s'!BW7*365</f>
        <v>73.745445115108893</v>
      </c>
      <c r="BX110" s="48">
        <f>BS!CI15/'KPI''s'!BX7*365</f>
        <v>72.570107800907408</v>
      </c>
      <c r="BY110" s="48">
        <f>BS!CJ15/'KPI''s'!BY7*365</f>
        <v>68.941602410862032</v>
      </c>
    </row>
    <row r="111" spans="1:77">
      <c r="A111" s="30" t="s">
        <v>39</v>
      </c>
      <c r="B111" s="48">
        <f>BS!I16/B7*365</f>
        <v>51.572057329872479</v>
      </c>
      <c r="C111" s="48">
        <f>BS!J16/C7*365</f>
        <v>51.982112771982649</v>
      </c>
      <c r="D111" s="48">
        <f>BS!K16/D7*365</f>
        <v>48.115518219197504</v>
      </c>
      <c r="E111" s="48">
        <f>BS!L16/E7*365</f>
        <v>51.984919765418574</v>
      </c>
      <c r="F111" s="49">
        <f>BS!M16/F7*90</f>
        <v>46.790423317140878</v>
      </c>
      <c r="G111" s="49">
        <f>BS!N16/G7*90</f>
        <v>41.548534608189563</v>
      </c>
      <c r="H111" s="49">
        <f>BS!O16/H7*90</f>
        <v>44.542242210086734</v>
      </c>
      <c r="I111" s="49">
        <f>BS!P16/I7*90</f>
        <v>46.454563935759303</v>
      </c>
      <c r="J111" s="48">
        <f>BS!Q16/J7*365</f>
        <v>49.498464414474562</v>
      </c>
      <c r="K111" s="49">
        <f>BS!R16/K7*90</f>
        <v>50.687785691506321</v>
      </c>
      <c r="L111" s="49">
        <f>BS!S16/L7*90</f>
        <v>47.404949784791967</v>
      </c>
      <c r="M111" s="49">
        <f>BS!T16/M7*90</f>
        <v>49.221458046767538</v>
      </c>
      <c r="N111" s="49">
        <f>BS!U16/N7*90</f>
        <v>45.227777284432996</v>
      </c>
      <c r="O111" s="48">
        <f>BS!V16/O7*365</f>
        <v>48.344880046810999</v>
      </c>
      <c r="P111" s="49">
        <f>BS!W16/P7*90</f>
        <v>54.873292510598212</v>
      </c>
      <c r="Q111" s="49">
        <f>BS!X16/Q7*90</f>
        <v>50.313111545988264</v>
      </c>
      <c r="R111" s="49">
        <f>BS!Y16/R7*90</f>
        <v>53.254131382060351</v>
      </c>
      <c r="S111" s="49">
        <f>BS!Z16/S7*90</f>
        <v>46.854617971377174</v>
      </c>
      <c r="T111" s="48">
        <f>BS!AA16/T7*365</f>
        <v>50.801919337640342</v>
      </c>
      <c r="U111" s="49">
        <f>BS!AB16/U7*90</f>
        <v>55.035021990552202</v>
      </c>
      <c r="V111" s="49">
        <f>BS!AC16/V7*90</f>
        <v>51.615362485615655</v>
      </c>
      <c r="W111" s="49">
        <f>BS!AD16/W7*90</f>
        <v>55.507465916468291</v>
      </c>
      <c r="X111" s="49">
        <f>BS!AE16/X7*90</f>
        <v>49.550767976077204</v>
      </c>
      <c r="Y111" s="48">
        <f>BS!AF16/Y7*365</f>
        <v>53.997790317573362</v>
      </c>
      <c r="Z111" s="49">
        <f>BS!AG16/Z7*90</f>
        <v>58.51483020490042</v>
      </c>
      <c r="AA111" s="49">
        <f>BS!AH16/AA7*90</f>
        <v>51.265679879578521</v>
      </c>
      <c r="AB111" s="49">
        <f>BS!AI16/AB7*90</f>
        <v>53.761352336758371</v>
      </c>
      <c r="AC111" s="49">
        <f>BS!AJ16/AC7*90</f>
        <v>50.819228165199725</v>
      </c>
      <c r="AD111" s="48">
        <f>BS!AK16/AD7*365</f>
        <v>50.941312314875248</v>
      </c>
      <c r="AE111" s="49">
        <f>BS!AL16/AE7*90</f>
        <v>63.455201246003767</v>
      </c>
      <c r="AF111" s="49">
        <f>BS!AM16/AF7*90</f>
        <v>58.84456355283308</v>
      </c>
      <c r="AG111" s="49">
        <f>BS!AN16/AG7*90</f>
        <v>55.186168195950565</v>
      </c>
      <c r="AH111" s="49">
        <f>BS!AO16/AH7*90</f>
        <v>48.344659846913224</v>
      </c>
      <c r="AI111" s="48">
        <f>BS!AP16/AI7*365</f>
        <v>52.280114449213166</v>
      </c>
      <c r="AJ111" s="49">
        <f>BS!AQ16/AJ7*90</f>
        <v>61.086378737541523</v>
      </c>
      <c r="AK111" s="49">
        <f>BS!AR16/AK7*90</f>
        <v>52.707578611795384</v>
      </c>
      <c r="AL111" s="49">
        <f>BS!AS16/AL7*90</f>
        <v>55.704845814977979</v>
      </c>
      <c r="AM111" s="49">
        <f>BS!AT16/AM7*90</f>
        <v>47.022335844994622</v>
      </c>
      <c r="AN111" s="48">
        <f>BS!AU16/AN7*365</f>
        <v>52.177410448035936</v>
      </c>
      <c r="AO111" s="49">
        <f>BS!AV16/AO7*90</f>
        <v>62.686814487493095</v>
      </c>
      <c r="AP111" s="49">
        <f>BS!AW16/AP7*90</f>
        <v>54.706614140576399</v>
      </c>
      <c r="AQ111" s="49">
        <f>BS!AX16/AQ7*90</f>
        <v>54.480505795574288</v>
      </c>
      <c r="AR111" s="49">
        <f>BS!AY16/AR7*90</f>
        <v>48.809209153509073</v>
      </c>
      <c r="AS111" s="48">
        <f>BS!AZ16/AS7*365</f>
        <v>51.043960971410122</v>
      </c>
      <c r="AT111" s="49">
        <f>BS!BA16/AT7*90</f>
        <v>60.642719072164951</v>
      </c>
      <c r="AU111" s="49">
        <f>BS!BB16/AU7*90</f>
        <v>55.419714637502715</v>
      </c>
      <c r="AV111" s="49">
        <f>BS!BC16/AV7*90</f>
        <v>62.626645392899874</v>
      </c>
      <c r="AW111" s="49">
        <f>BS!BD16/AW7*90</f>
        <v>52.200328407224958</v>
      </c>
      <c r="AX111" s="48">
        <f>BS!BE16/AX7*365</f>
        <v>60.3210126845498</v>
      </c>
      <c r="AY111" s="49">
        <f>BS!BF16/AY7*90</f>
        <v>63.510660462532122</v>
      </c>
      <c r="AZ111" s="49">
        <f>BS!BG16/AZ7*90</f>
        <v>57.533424965637884</v>
      </c>
      <c r="BA111" s="49">
        <f>BS!BH16/BA7*90</f>
        <v>62.66006984866123</v>
      </c>
      <c r="BB111" s="49">
        <f>BS!BI16/BB7*90</f>
        <v>55.474670326391788</v>
      </c>
      <c r="BC111" s="48">
        <f>BS!BJ16/BC7*365</f>
        <v>60.205825056685718</v>
      </c>
      <c r="BD111" s="49">
        <f>BS!BK16/BD7*90</f>
        <v>67.092573753814847</v>
      </c>
      <c r="BE111" s="49">
        <f>BS!BL16/BE7*90</f>
        <v>51.808504450002907</v>
      </c>
      <c r="BF111" s="49">
        <f>BS!BM16/BF7*90</f>
        <v>57.563706086095991</v>
      </c>
      <c r="BG111" s="49">
        <f>BS!BN16/BG7*90</f>
        <v>52.238762061661568</v>
      </c>
      <c r="BH111" s="48">
        <f>BS!BO16/BH7*365</f>
        <v>55.310675883256529</v>
      </c>
      <c r="BI111" s="49">
        <f>BS!BP16/BI7*90</f>
        <v>69.837837837837839</v>
      </c>
      <c r="BJ111" s="49">
        <f>BS!BQ16/BJ7*90</f>
        <v>63.043478260869563</v>
      </c>
      <c r="BK111" s="49">
        <f>BS!BR16/BK7*90</f>
        <v>55.176240208877289</v>
      </c>
      <c r="BL111" s="49">
        <f>BS!BS16/BL7*90</f>
        <v>51.1993006993007</v>
      </c>
      <c r="BM111" s="48">
        <f>BS!BT16/BM7*365</f>
        <v>52.98528909914333</v>
      </c>
      <c r="BN111" s="49">
        <f>BS!BU16/BN7*90</f>
        <v>57.320506101669537</v>
      </c>
      <c r="BO111" s="49">
        <f>BS!BV16/BO7*90</f>
        <v>52.92658329971762</v>
      </c>
      <c r="BP111" s="49">
        <f>BS!BW16/BP7*90</f>
        <v>56.938135711299992</v>
      </c>
      <c r="BQ111" s="49">
        <f>BS!BX16/BQ7*90</f>
        <v>53.438843031584696</v>
      </c>
      <c r="BR111" s="48">
        <f>BS!BY16/BR7*365</f>
        <v>55.498567535462236</v>
      </c>
      <c r="BS111" s="49">
        <f>BS!BZ16/BS7*90</f>
        <v>61.146579804560261</v>
      </c>
      <c r="BT111" s="49">
        <f>BS!CA16/BT7*90</f>
        <v>58.075916230366495</v>
      </c>
      <c r="BU111" s="49">
        <f>BS!CB16/BU7*90</f>
        <v>60.248970920196527</v>
      </c>
      <c r="BV111" s="49">
        <f>BS!CC16/BV7*90</f>
        <v>58.13378357564752</v>
      </c>
      <c r="BW111" s="48">
        <f>BS!CD16/BW7*365</f>
        <v>60.819929056492434</v>
      </c>
      <c r="BX111" s="48">
        <f>BS!CI16/BX7*365</f>
        <v>55.331920520532051</v>
      </c>
      <c r="BY111" s="48">
        <f>BS!CJ16/BY7*365</f>
        <v>50.800742574613814</v>
      </c>
    </row>
    <row r="112" spans="1:77">
      <c r="A112" s="30" t="s">
        <v>38</v>
      </c>
      <c r="B112" s="48">
        <f>BS!I35/'KPI''s'!B7*365</f>
        <v>31.044840687657526</v>
      </c>
      <c r="C112" s="48">
        <f>BS!J35/'KPI''s'!C7*365</f>
        <v>28.208767967881847</v>
      </c>
      <c r="D112" s="48">
        <f>BS!K35/'KPI''s'!D7*365</f>
        <v>27.104600879058555</v>
      </c>
      <c r="E112" s="48">
        <f>BS!L35/'KPI''s'!E7*365</f>
        <v>30.720500096668172</v>
      </c>
      <c r="F112" s="49">
        <f>BS!M35/'KPI''s'!F7*90</f>
        <v>31.134628730048579</v>
      </c>
      <c r="G112" s="49">
        <f>BS!N35/'KPI''s'!G7*90</f>
        <v>30.576803159426316</v>
      </c>
      <c r="H112" s="49">
        <f>BS!O35/'KPI''s'!H7*90</f>
        <v>29.874718920655315</v>
      </c>
      <c r="I112" s="49">
        <f>BS!P35/'KPI''s'!I7*90</f>
        <v>31.927220979873958</v>
      </c>
      <c r="J112" s="48">
        <f>BS!Q35/'KPI''s'!J7*365</f>
        <v>34.019228201361997</v>
      </c>
      <c r="K112" s="49">
        <f>BS!R35/'KPI''s'!K7*90</f>
        <v>34.471138513872646</v>
      </c>
      <c r="L112" s="49">
        <f>BS!S35/'KPI''s'!L7*90</f>
        <v>32.07944763271162</v>
      </c>
      <c r="M112" s="49">
        <f>BS!T35/'KPI''s'!M7*90</f>
        <v>30.371389270976618</v>
      </c>
      <c r="N112" s="49">
        <f>BS!U35/'KPI''s'!N7*90</f>
        <v>30.530148299440548</v>
      </c>
      <c r="O112" s="48">
        <f>BS!V35/'KPI''s'!O7*365</f>
        <v>32.634289057928612</v>
      </c>
      <c r="P112" s="49">
        <f>BS!W35/'KPI''s'!P7*90</f>
        <v>34.058407913330193</v>
      </c>
      <c r="Q112" s="49">
        <f>BS!X35/'KPI''s'!Q7*90</f>
        <v>31.849315068493151</v>
      </c>
      <c r="R112" s="49">
        <f>BS!Y35/'KPI''s'!R7*90</f>
        <v>31.410836142399077</v>
      </c>
      <c r="S112" s="49">
        <f>BS!Z35/'KPI''s'!S7*90</f>
        <v>30.004692265582232</v>
      </c>
      <c r="T112" s="48">
        <f>BS!AA35/'KPI''s'!T7*365</f>
        <v>32.532459386564639</v>
      </c>
      <c r="U112" s="49">
        <f>BS!AB35/'KPI''s'!U7*90</f>
        <v>35.082260954552858</v>
      </c>
      <c r="V112" s="49">
        <f>BS!AC35/'KPI''s'!V7*90</f>
        <v>33.012082853855006</v>
      </c>
      <c r="W112" s="49">
        <f>BS!AD35/'KPI''s'!W7*90</f>
        <v>32.311188054533652</v>
      </c>
      <c r="X112" s="49">
        <f>BS!AE35/'KPI''s'!X7*90</f>
        <v>30.943998912600243</v>
      </c>
      <c r="Y112" s="48">
        <f>BS!AF35/'KPI''s'!Y7*365</f>
        <v>33.721123468288319</v>
      </c>
      <c r="Z112" s="49">
        <f>BS!AG35/'KPI''s'!Z7*90</f>
        <v>35.482877203037681</v>
      </c>
      <c r="AA112" s="49">
        <f>BS!AH35/'KPI''s'!AA7*90</f>
        <v>31.480807827395882</v>
      </c>
      <c r="AB112" s="49">
        <f>BS!AI35/'KPI''s'!AB7*90</f>
        <v>30.451441829632085</v>
      </c>
      <c r="AC112" s="49">
        <f>BS!AJ35/'KPI''s'!AC7*90</f>
        <v>31.844278943805008</v>
      </c>
      <c r="AD112" s="48">
        <f>BS!AK35/'KPI''s'!AD7*365</f>
        <v>31.920779155580099</v>
      </c>
      <c r="AE112" s="49">
        <f>BS!AL35/'KPI''s'!AE7*90</f>
        <v>35.508648249856549</v>
      </c>
      <c r="AF112" s="49">
        <f>BS!AM35/'KPI''s'!AF7*90</f>
        <v>31.692955589586521</v>
      </c>
      <c r="AG112" s="49">
        <f>BS!AN35/'KPI''s'!AG7*90</f>
        <v>30.234321680442861</v>
      </c>
      <c r="AH112" s="49">
        <f>BS!AO35/'KPI''s'!AH7*90</f>
        <v>29.834752128192289</v>
      </c>
      <c r="AI112" s="48">
        <f>BS!AP35/'KPI''s'!AI7*365</f>
        <v>32.263423938960422</v>
      </c>
      <c r="AJ112" s="49">
        <f>BS!AQ35/'KPI''s'!AJ7*90</f>
        <v>35.887873754152821</v>
      </c>
      <c r="AK112" s="49">
        <f>BS!AR35/'KPI''s'!AK7*90</f>
        <v>32.97565570207216</v>
      </c>
      <c r="AL112" s="49">
        <f>BS!AS35/'KPI''s'!AL7*90</f>
        <v>32.801762114537446</v>
      </c>
      <c r="AM112" s="49">
        <f>BS!AT35/'KPI''s'!AM7*90</f>
        <v>31.521797631862214</v>
      </c>
      <c r="AN112" s="48">
        <f>BS!AU35/'KPI''s'!AN7*365</f>
        <v>34.977542981261273</v>
      </c>
      <c r="AO112" s="49">
        <f>BS!AV35/'KPI''s'!AO7*90</f>
        <v>40.01814882032668</v>
      </c>
      <c r="AP112" s="49">
        <f>BS!AW35/'KPI''s'!AP7*90</f>
        <v>35.368028198216876</v>
      </c>
      <c r="AQ112" s="49">
        <f>BS!AX35/'KPI''s'!AQ7*90</f>
        <v>35.386722866174921</v>
      </c>
      <c r="AR112" s="49">
        <f>BS!AY35/'KPI''s'!AR7*90</f>
        <v>34.868192251512838</v>
      </c>
      <c r="AS112" s="48">
        <f>BS!AZ35/'KPI''s'!AS7*365</f>
        <v>36.464648276356854</v>
      </c>
      <c r="AT112" s="49">
        <f>BS!BA35/'KPI''s'!AT7*90</f>
        <v>38.280444587628864</v>
      </c>
      <c r="AU112" s="49">
        <f>BS!BB35/'KPI''s'!AU7*90</f>
        <v>37.494024770044177</v>
      </c>
      <c r="AV112" s="49">
        <f>BS!BC35/'KPI''s'!AV7*90</f>
        <v>36.832867969684884</v>
      </c>
      <c r="AW112" s="49">
        <f>BS!BD35/'KPI''s'!AW7*90</f>
        <v>35.199781061850025</v>
      </c>
      <c r="AX112" s="48">
        <f>BS!BE35/'KPI''s'!AX7*365</f>
        <v>40.675729534899844</v>
      </c>
      <c r="AY112" s="49">
        <f>BS!BF35/'KPI''s'!AY7*90</f>
        <v>38.702687686644907</v>
      </c>
      <c r="AZ112" s="49">
        <f>BS!BG35/'KPI''s'!AZ7*90</f>
        <v>37.364113457453456</v>
      </c>
      <c r="BA112" s="49">
        <f>BS!BH35/'KPI''s'!BA7*90</f>
        <v>38.579743888242142</v>
      </c>
      <c r="BB112" s="49">
        <f>BS!BI35/'KPI''s'!BB7*90</f>
        <v>37.403783041947605</v>
      </c>
      <c r="BC112" s="48">
        <f>BS!BJ35/'KPI''s'!BC7*365</f>
        <v>40.593762973844726</v>
      </c>
      <c r="BD112" s="49">
        <f>BS!BK35/'KPI''s'!BD7*90</f>
        <v>42.41505595116989</v>
      </c>
      <c r="BE112" s="49">
        <f>BS!BL35/'KPI''s'!BE7*90</f>
        <v>38.201966145075907</v>
      </c>
      <c r="BF112" s="49">
        <f>BS!BM35/'KPI''s'!BF7*90</f>
        <v>39.221919841662547</v>
      </c>
      <c r="BG112" s="49">
        <f>BS!BN35/'KPI''s'!BG7*90</f>
        <v>36.892798305483645</v>
      </c>
      <c r="BH112" s="48">
        <f>BS!BO35/'KPI''s'!BH7*365</f>
        <v>39.062288786482334</v>
      </c>
      <c r="BI112" s="49">
        <f>BS!BP35/'KPI''s'!BI7*90</f>
        <v>46.817567567567565</v>
      </c>
      <c r="BJ112" s="49">
        <f>BS!BQ35/'KPI''s'!BJ7*90</f>
        <v>43.802816901408448</v>
      </c>
      <c r="BK112" s="49">
        <f>BS!BR35/'KPI''s'!BK7*90</f>
        <v>41.338120104438637</v>
      </c>
      <c r="BL112" s="49">
        <f>BS!BS35/'KPI''s'!BL7*90</f>
        <v>43.269230769230774</v>
      </c>
      <c r="BM112" s="48">
        <f>BS!BT35/'KPI''s'!BM7*365</f>
        <v>44.778594045065816</v>
      </c>
      <c r="BN112" s="49">
        <f>BS!BU35/'KPI''s'!BN7*90</f>
        <v>44.329565022085802</v>
      </c>
      <c r="BO112" s="49">
        <f>BS!BV35/'KPI''s'!BO7*90</f>
        <v>43.820088745461881</v>
      </c>
      <c r="BP112" s="49">
        <f>BS!BW35/'KPI''s'!BP7*90</f>
        <v>46.598857461334823</v>
      </c>
      <c r="BQ112" s="49">
        <f>BS!BX35/'KPI''s'!BQ7*90</f>
        <v>45.942424449143871</v>
      </c>
      <c r="BR112" s="48">
        <f>BS!BY35/'KPI''s'!BR7*365</f>
        <v>47.713210118090977</v>
      </c>
      <c r="BS112" s="49">
        <f>BS!BZ35/'KPI''s'!BS7*90</f>
        <v>48.990228013029316</v>
      </c>
      <c r="BT112" s="49">
        <f>BS!CA35/'KPI''s'!BT7*90</f>
        <v>50.312827225130896</v>
      </c>
      <c r="BU112" s="49">
        <f>BS!CB35/'KPI''s'!BU7*90</f>
        <v>53.77174346036383</v>
      </c>
      <c r="BV112" s="49">
        <f>BS!CC35/'KPI''s'!BV7*90</f>
        <v>46.265606617006931</v>
      </c>
      <c r="BW112" s="48">
        <f>BS!CD35/'KPI''s'!BW7*365</f>
        <v>48.403367871976776</v>
      </c>
      <c r="BX112" s="48">
        <f>BS!CI35/'KPI''s'!BX7*365</f>
        <v>47.569940401555762</v>
      </c>
      <c r="BY112" s="48">
        <f>BS!CJ35/'KPI''s'!BY7*365</f>
        <v>46.160240203992451</v>
      </c>
    </row>
    <row r="113" spans="1:77">
      <c r="A113" s="23" t="s">
        <v>37</v>
      </c>
      <c r="B113" s="71">
        <f t="shared" ref="B113:AG113" si="32">B110+B111-B112</f>
        <v>81.559643381108231</v>
      </c>
      <c r="C113" s="71">
        <f t="shared" si="32"/>
        <v>77.325518872997094</v>
      </c>
      <c r="D113" s="71">
        <f t="shared" si="32"/>
        <v>76.345703955763511</v>
      </c>
      <c r="E113" s="71">
        <f t="shared" si="32"/>
        <v>82.270251981697484</v>
      </c>
      <c r="F113" s="72">
        <f t="shared" si="32"/>
        <v>71.502428868841093</v>
      </c>
      <c r="G113" s="72">
        <f t="shared" si="32"/>
        <v>67.093119933485767</v>
      </c>
      <c r="H113" s="72">
        <f t="shared" si="32"/>
        <v>73.096691294571158</v>
      </c>
      <c r="I113" s="72">
        <f t="shared" si="32"/>
        <v>72.298231347834928</v>
      </c>
      <c r="J113" s="71">
        <f t="shared" si="32"/>
        <v>77.035518760849243</v>
      </c>
      <c r="K113" s="72">
        <f t="shared" si="32"/>
        <v>79.016689699160196</v>
      </c>
      <c r="L113" s="72">
        <f t="shared" si="32"/>
        <v>74.835903873744627</v>
      </c>
      <c r="M113" s="72">
        <f t="shared" si="32"/>
        <v>79.411279229711127</v>
      </c>
      <c r="N113" s="72">
        <f t="shared" si="32"/>
        <v>72.561051416392843</v>
      </c>
      <c r="O113" s="71">
        <f t="shared" si="32"/>
        <v>77.561966062024567</v>
      </c>
      <c r="P113" s="72">
        <f t="shared" si="32"/>
        <v>81.250117757889768</v>
      </c>
      <c r="Q113" s="72">
        <f t="shared" si="32"/>
        <v>75.777886497064586</v>
      </c>
      <c r="R113" s="72">
        <f t="shared" si="32"/>
        <v>78.76757378936118</v>
      </c>
      <c r="S113" s="72">
        <f t="shared" si="32"/>
        <v>70.897786814733706</v>
      </c>
      <c r="T113" s="71">
        <f t="shared" si="32"/>
        <v>76.870622425724974</v>
      </c>
      <c r="U113" s="72">
        <f t="shared" si="32"/>
        <v>78.432969539012873</v>
      </c>
      <c r="V113" s="72">
        <f t="shared" si="32"/>
        <v>73.157364787111632</v>
      </c>
      <c r="W113" s="72">
        <f t="shared" si="32"/>
        <v>81.618697251677133</v>
      </c>
      <c r="X113" s="72">
        <f t="shared" si="32"/>
        <v>72.702188392007599</v>
      </c>
      <c r="Y113" s="71">
        <f t="shared" si="32"/>
        <v>79.226976387443159</v>
      </c>
      <c r="Z113" s="72">
        <f t="shared" si="32"/>
        <v>84.661126235850418</v>
      </c>
      <c r="AA113" s="72">
        <f t="shared" si="32"/>
        <v>76.813848469643759</v>
      </c>
      <c r="AB113" s="72">
        <f t="shared" si="32"/>
        <v>79.069937023533313</v>
      </c>
      <c r="AC113" s="72">
        <f t="shared" si="32"/>
        <v>74.49830737982397</v>
      </c>
      <c r="AD113" s="71">
        <f t="shared" si="32"/>
        <v>74.677276302357882</v>
      </c>
      <c r="AE113" s="72">
        <f t="shared" si="32"/>
        <v>92.847774407738314</v>
      </c>
      <c r="AF113" s="72">
        <f t="shared" si="32"/>
        <v>85.879019908116391</v>
      </c>
      <c r="AG113" s="72">
        <f t="shared" si="32"/>
        <v>82.690528550845528</v>
      </c>
      <c r="AH113" s="72">
        <f t="shared" ref="AH113:BM113" si="33">AH110+AH111-AH112</f>
        <v>73.035267186494025</v>
      </c>
      <c r="AI113" s="71">
        <f t="shared" si="33"/>
        <v>78.980639008106834</v>
      </c>
      <c r="AJ113" s="72">
        <f t="shared" si="33"/>
        <v>90.50830564784053</v>
      </c>
      <c r="AK113" s="72">
        <f t="shared" si="33"/>
        <v>77.643095203593674</v>
      </c>
      <c r="AL113" s="72">
        <f t="shared" si="33"/>
        <v>80.596916299559467</v>
      </c>
      <c r="AM113" s="72">
        <f t="shared" si="33"/>
        <v>69.540500538213152</v>
      </c>
      <c r="AN113" s="71">
        <f t="shared" si="33"/>
        <v>77.164249162463648</v>
      </c>
      <c r="AO113" s="72">
        <f t="shared" si="33"/>
        <v>88.430521581314594</v>
      </c>
      <c r="AP113" s="72">
        <f t="shared" si="33"/>
        <v>80.302716151772756</v>
      </c>
      <c r="AQ113" s="72">
        <f t="shared" si="33"/>
        <v>79.175974710221283</v>
      </c>
      <c r="AR113" s="72">
        <f t="shared" si="33"/>
        <v>73.698963622452524</v>
      </c>
      <c r="AS113" s="71">
        <f t="shared" si="33"/>
        <v>77.073304157549231</v>
      </c>
      <c r="AT113" s="72">
        <f t="shared" si="33"/>
        <v>86.390141752577335</v>
      </c>
      <c r="AU113" s="72">
        <f t="shared" si="33"/>
        <v>80.098500760483802</v>
      </c>
      <c r="AV113" s="72">
        <f t="shared" si="33"/>
        <v>89.276027124052646</v>
      </c>
      <c r="AW113" s="72">
        <f t="shared" si="33"/>
        <v>77.750410509031212</v>
      </c>
      <c r="AX113" s="71">
        <f t="shared" si="33"/>
        <v>89.845861925556235</v>
      </c>
      <c r="AY113" s="72">
        <f t="shared" si="33"/>
        <v>92.256406694909373</v>
      </c>
      <c r="AZ113" s="72">
        <f t="shared" si="33"/>
        <v>82.909533924778202</v>
      </c>
      <c r="BA113" s="72">
        <f t="shared" si="33"/>
        <v>88.894062863795114</v>
      </c>
      <c r="BB113" s="72">
        <f t="shared" si="33"/>
        <v>79.603198281520378</v>
      </c>
      <c r="BC113" s="71">
        <f t="shared" si="33"/>
        <v>86.392153418707892</v>
      </c>
      <c r="BD113" s="72">
        <f t="shared" si="33"/>
        <v>95.09664292980672</v>
      </c>
      <c r="BE113" s="72">
        <f t="shared" si="33"/>
        <v>75.356872782269789</v>
      </c>
      <c r="BF113" s="72">
        <f t="shared" si="33"/>
        <v>80.019173676397799</v>
      </c>
      <c r="BG113" s="72">
        <f t="shared" si="33"/>
        <v>75.273593786773347</v>
      </c>
      <c r="BH113" s="71">
        <f t="shared" si="33"/>
        <v>79.700076804915511</v>
      </c>
      <c r="BI113" s="72">
        <f t="shared" si="33"/>
        <v>100.80405405405405</v>
      </c>
      <c r="BJ113" s="72">
        <f t="shared" si="33"/>
        <v>89.761175750153086</v>
      </c>
      <c r="BK113" s="72">
        <f t="shared" si="33"/>
        <v>83.335509138381212</v>
      </c>
      <c r="BL113" s="72">
        <f t="shared" si="33"/>
        <v>74.976923076923072</v>
      </c>
      <c r="BM113" s="71">
        <f t="shared" si="33"/>
        <v>77.592347761290043</v>
      </c>
      <c r="BN113" s="72">
        <f t="shared" ref="BN113:BW113" si="34">BN110+BN111-BN112</f>
        <v>86.428838811110296</v>
      </c>
      <c r="BO113" s="72">
        <f t="shared" si="34"/>
        <v>78.957240822912468</v>
      </c>
      <c r="BP113" s="72">
        <f t="shared" si="34"/>
        <v>82.444614741535446</v>
      </c>
      <c r="BQ113" s="72">
        <f t="shared" si="34"/>
        <v>77.984855720035483</v>
      </c>
      <c r="BR113" s="71">
        <f t="shared" si="34"/>
        <v>80.990671511424779</v>
      </c>
      <c r="BS113" s="72">
        <f>BS110+BS111-BS112</f>
        <v>89.28990228013032</v>
      </c>
      <c r="BT113" s="72">
        <f>BT110+BT111-BT112</f>
        <v>81.960078534031425</v>
      </c>
      <c r="BU113" s="72">
        <f>BU110+BU111-BU112</f>
        <v>84.920993227990976</v>
      </c>
      <c r="BV113" s="72">
        <f>BV110+BV111-BV112</f>
        <v>82.356614096235234</v>
      </c>
      <c r="BW113" s="71">
        <f t="shared" si="34"/>
        <v>86.162006299624551</v>
      </c>
      <c r="BX113" s="71">
        <f>BX110+BX111-BX112</f>
        <v>80.332087919883691</v>
      </c>
      <c r="BY113" s="71">
        <f>BY110+BY111-BY112</f>
        <v>73.582104781483395</v>
      </c>
    </row>
    <row r="114" spans="1:77">
      <c r="A114" s="30"/>
      <c r="B114" s="32"/>
      <c r="C114" s="32"/>
      <c r="D114" s="32"/>
      <c r="E114" s="32"/>
      <c r="F114" s="30"/>
      <c r="G114" s="30"/>
      <c r="H114" s="30"/>
      <c r="I114" s="30"/>
      <c r="J114" s="32"/>
      <c r="K114" s="30"/>
      <c r="L114" s="30"/>
      <c r="M114" s="30"/>
      <c r="N114" s="30"/>
      <c r="O114" s="32"/>
      <c r="P114" s="66"/>
      <c r="Q114" s="66"/>
      <c r="R114" s="66"/>
      <c r="S114" s="66"/>
      <c r="T114" s="32"/>
      <c r="U114" s="66"/>
      <c r="V114" s="66"/>
      <c r="W114" s="66"/>
      <c r="X114" s="66"/>
      <c r="Y114" s="32"/>
      <c r="Z114" s="66"/>
      <c r="AA114" s="66"/>
      <c r="AB114" s="66"/>
      <c r="AC114" s="66"/>
      <c r="AD114" s="32"/>
      <c r="AE114" s="66"/>
      <c r="AF114" s="66"/>
      <c r="AG114" s="66"/>
      <c r="AH114" s="66"/>
      <c r="AI114" s="32"/>
      <c r="AJ114" s="66"/>
      <c r="AK114" s="66"/>
      <c r="AL114" s="66"/>
      <c r="AM114" s="66"/>
      <c r="AN114" s="32"/>
      <c r="AO114" s="66"/>
      <c r="AP114" s="66"/>
      <c r="AQ114" s="66"/>
      <c r="AR114" s="66"/>
      <c r="AS114" s="32"/>
      <c r="AT114" s="66"/>
      <c r="AU114" s="66"/>
      <c r="AV114" s="66"/>
      <c r="AW114" s="66"/>
      <c r="AX114" s="32"/>
      <c r="AY114" s="33"/>
      <c r="AZ114" s="33"/>
      <c r="BA114" s="33"/>
      <c r="BB114" s="33"/>
      <c r="BC114" s="62"/>
      <c r="BD114" s="33"/>
      <c r="BE114" s="33"/>
      <c r="BF114" s="33"/>
      <c r="BG114" s="33"/>
      <c r="BH114" s="62"/>
      <c r="BI114" s="33"/>
      <c r="BJ114" s="33"/>
      <c r="BK114" s="33"/>
      <c r="BL114" s="33"/>
      <c r="BM114" s="62"/>
      <c r="BN114" s="33"/>
      <c r="BO114" s="33"/>
      <c r="BP114" s="33"/>
      <c r="BQ114" s="33"/>
      <c r="BR114" s="62"/>
      <c r="BS114" s="33"/>
      <c r="BT114" s="33"/>
      <c r="BU114" s="33"/>
      <c r="BV114" s="33"/>
      <c r="BW114" s="62"/>
      <c r="BX114" s="62"/>
      <c r="BY114" s="62"/>
    </row>
    <row r="115" spans="1:77">
      <c r="A115" s="50" t="s">
        <v>36</v>
      </c>
      <c r="B115" s="32"/>
      <c r="C115" s="32"/>
      <c r="D115" s="32"/>
      <c r="E115" s="32"/>
      <c r="F115" s="30"/>
      <c r="G115" s="30"/>
      <c r="H115" s="30"/>
      <c r="I115" s="30"/>
      <c r="J115" s="32"/>
      <c r="K115" s="30"/>
      <c r="L115" s="30"/>
      <c r="M115" s="30"/>
      <c r="N115" s="30"/>
      <c r="O115" s="32"/>
      <c r="P115" s="66"/>
      <c r="Q115" s="66"/>
      <c r="R115" s="66"/>
      <c r="S115" s="66"/>
      <c r="T115" s="32"/>
      <c r="U115" s="66"/>
      <c r="V115" s="66"/>
      <c r="W115" s="66"/>
      <c r="X115" s="66"/>
      <c r="Y115" s="32"/>
      <c r="Z115" s="66"/>
      <c r="AA115" s="66"/>
      <c r="AB115" s="66"/>
      <c r="AC115" s="66"/>
      <c r="AD115" s="32"/>
      <c r="AE115" s="66"/>
      <c r="AF115" s="66"/>
      <c r="AG115" s="66"/>
      <c r="AH115" s="66"/>
      <c r="AI115" s="32"/>
      <c r="AJ115" s="66"/>
      <c r="AK115" s="66"/>
      <c r="AL115" s="66"/>
      <c r="AM115" s="66"/>
      <c r="AN115" s="32"/>
      <c r="AO115" s="66"/>
      <c r="AP115" s="66"/>
      <c r="AQ115" s="66"/>
      <c r="AR115" s="66"/>
      <c r="AS115" s="32"/>
      <c r="AT115" s="66"/>
      <c r="AU115" s="66"/>
      <c r="AV115" s="66"/>
      <c r="AW115" s="66"/>
      <c r="AX115" s="32"/>
      <c r="AY115" s="33"/>
      <c r="AZ115" s="33"/>
      <c r="BA115" s="33"/>
      <c r="BB115" s="33"/>
      <c r="BC115" s="62"/>
      <c r="BD115" s="33"/>
      <c r="BE115" s="33"/>
      <c r="BF115" s="33"/>
      <c r="BG115" s="33"/>
      <c r="BH115" s="62"/>
      <c r="BI115" s="33"/>
      <c r="BJ115" s="33"/>
      <c r="BK115" s="33"/>
      <c r="BL115" s="33"/>
      <c r="BM115" s="62"/>
      <c r="BN115" s="33"/>
      <c r="BO115" s="33"/>
      <c r="BP115" s="33"/>
      <c r="BQ115" s="33"/>
      <c r="BR115" s="62"/>
      <c r="BS115" s="33"/>
      <c r="BT115" s="33"/>
      <c r="BU115" s="33"/>
      <c r="BV115" s="33"/>
      <c r="BW115" s="62"/>
      <c r="BX115" s="62"/>
      <c r="BY115" s="62"/>
    </row>
    <row r="116" spans="1:77">
      <c r="A116" s="30"/>
      <c r="B116" s="32"/>
      <c r="C116" s="32"/>
      <c r="D116" s="32"/>
      <c r="E116" s="32"/>
      <c r="F116" s="30"/>
      <c r="G116" s="30"/>
      <c r="H116" s="30"/>
      <c r="I116" s="30"/>
      <c r="J116" s="32"/>
      <c r="K116" s="30"/>
      <c r="L116" s="30"/>
      <c r="M116" s="30"/>
      <c r="N116" s="30"/>
      <c r="O116" s="32"/>
      <c r="P116" s="66"/>
      <c r="Q116" s="66"/>
      <c r="R116" s="66"/>
      <c r="S116" s="66"/>
      <c r="T116" s="32"/>
      <c r="U116" s="66"/>
      <c r="V116" s="66"/>
      <c r="W116" s="66"/>
      <c r="X116" s="66"/>
      <c r="Y116" s="32"/>
      <c r="Z116" s="66"/>
      <c r="AA116" s="66"/>
      <c r="AB116" s="66"/>
      <c r="AC116" s="66"/>
      <c r="AD116" s="32"/>
      <c r="AE116" s="66"/>
      <c r="AF116" s="66"/>
      <c r="AG116" s="66"/>
      <c r="AH116" s="66"/>
      <c r="AI116" s="32"/>
      <c r="AJ116" s="66"/>
      <c r="AK116" s="66"/>
      <c r="AL116" s="66"/>
      <c r="AM116" s="66"/>
      <c r="AN116" s="32"/>
      <c r="AO116" s="66"/>
      <c r="AP116" s="66"/>
      <c r="AQ116" s="66"/>
      <c r="AR116" s="66"/>
      <c r="AS116" s="32"/>
      <c r="AT116" s="66"/>
      <c r="AU116" s="66"/>
      <c r="AV116" s="66"/>
      <c r="AW116" s="66"/>
      <c r="AX116" s="32"/>
      <c r="AY116" s="33"/>
      <c r="AZ116" s="33"/>
      <c r="BA116" s="33"/>
      <c r="BB116" s="33"/>
      <c r="BC116" s="62"/>
      <c r="BD116" s="33"/>
      <c r="BE116" s="33"/>
      <c r="BF116" s="33"/>
      <c r="BG116" s="33"/>
      <c r="BH116" s="62"/>
      <c r="BI116" s="33"/>
      <c r="BJ116" s="33"/>
      <c r="BK116" s="33"/>
      <c r="BL116" s="33"/>
      <c r="BM116" s="62"/>
      <c r="BN116" s="33"/>
      <c r="BO116" s="33"/>
      <c r="BP116" s="33"/>
      <c r="BQ116" s="33"/>
      <c r="BR116" s="62"/>
      <c r="BS116" s="33"/>
      <c r="BT116" s="33"/>
      <c r="BU116" s="33"/>
      <c r="BV116" s="33"/>
      <c r="BW116" s="62"/>
      <c r="BX116" s="62"/>
      <c r="BY116" s="62"/>
    </row>
    <row r="117" spans="1:77">
      <c r="A117" s="70" t="s">
        <v>35</v>
      </c>
      <c r="B117" s="68"/>
      <c r="C117" s="68"/>
      <c r="D117" s="68"/>
      <c r="E117" s="68"/>
      <c r="F117" s="57"/>
      <c r="G117" s="57"/>
      <c r="H117" s="57"/>
      <c r="I117" s="57"/>
      <c r="J117" s="68"/>
      <c r="K117" s="69"/>
      <c r="L117" s="69"/>
      <c r="M117" s="69"/>
      <c r="N117" s="69"/>
      <c r="O117" s="68"/>
      <c r="P117" s="58"/>
      <c r="Q117" s="58"/>
      <c r="R117" s="58"/>
      <c r="S117" s="58"/>
      <c r="T117" s="68"/>
      <c r="U117" s="58"/>
      <c r="V117" s="58"/>
      <c r="W117" s="58"/>
      <c r="X117" s="58"/>
      <c r="Y117" s="68"/>
      <c r="Z117" s="58"/>
      <c r="AA117" s="58"/>
      <c r="AB117" s="58"/>
      <c r="AC117" s="58"/>
      <c r="AD117" s="68"/>
      <c r="AE117" s="58"/>
      <c r="AF117" s="58"/>
      <c r="AG117" s="58"/>
      <c r="AH117" s="58"/>
      <c r="AI117" s="68"/>
      <c r="AJ117" s="58"/>
      <c r="AK117" s="58"/>
      <c r="AL117" s="58"/>
      <c r="AM117" s="58"/>
      <c r="AN117" s="68"/>
      <c r="AO117" s="58"/>
      <c r="AP117" s="58"/>
      <c r="AQ117" s="58"/>
      <c r="AR117" s="58"/>
      <c r="AS117" s="68"/>
      <c r="AT117" s="58"/>
      <c r="AU117" s="58"/>
      <c r="AV117" s="58"/>
      <c r="AW117" s="58"/>
      <c r="AX117" s="68"/>
      <c r="AY117" s="67"/>
      <c r="AZ117" s="67"/>
      <c r="BA117" s="67"/>
      <c r="BB117" s="67"/>
      <c r="BC117" s="55"/>
      <c r="BD117" s="67"/>
      <c r="BE117" s="67"/>
      <c r="BF117" s="67"/>
      <c r="BG117" s="67"/>
      <c r="BH117" s="55"/>
      <c r="BI117" s="67"/>
      <c r="BJ117" s="67"/>
      <c r="BK117" s="67"/>
      <c r="BL117" s="67"/>
      <c r="BM117" s="55"/>
      <c r="BN117" s="67"/>
      <c r="BO117" s="67"/>
      <c r="BP117" s="67"/>
      <c r="BQ117" s="67"/>
      <c r="BR117" s="55"/>
      <c r="BS117" s="67"/>
      <c r="BT117" s="67"/>
      <c r="BU117" s="67"/>
      <c r="BV117" s="67"/>
      <c r="BW117" s="55"/>
      <c r="BX117" s="55"/>
      <c r="BY117" s="55"/>
    </row>
    <row r="118" spans="1:77">
      <c r="A118" s="30"/>
      <c r="B118" s="32"/>
      <c r="C118" s="32"/>
      <c r="D118" s="32"/>
      <c r="E118" s="32"/>
      <c r="F118" s="30"/>
      <c r="G118" s="30"/>
      <c r="H118" s="30"/>
      <c r="I118" s="30"/>
      <c r="J118" s="32"/>
      <c r="K118" s="30"/>
      <c r="L118" s="30"/>
      <c r="M118" s="30"/>
      <c r="N118" s="30"/>
      <c r="O118" s="32"/>
      <c r="P118" s="66"/>
      <c r="Q118" s="66"/>
      <c r="R118" s="66"/>
      <c r="S118" s="66"/>
      <c r="T118" s="32"/>
      <c r="U118" s="66"/>
      <c r="V118" s="66"/>
      <c r="W118" s="66"/>
      <c r="X118" s="66"/>
      <c r="Y118" s="32"/>
      <c r="Z118" s="66"/>
      <c r="AA118" s="66"/>
      <c r="AB118" s="66"/>
      <c r="AC118" s="66"/>
      <c r="AD118" s="32"/>
      <c r="AE118" s="66"/>
      <c r="AF118" s="66"/>
      <c r="AG118" s="66"/>
      <c r="AH118" s="66"/>
      <c r="AI118" s="32"/>
      <c r="AJ118" s="66"/>
      <c r="AK118" s="66"/>
      <c r="AL118" s="66"/>
      <c r="AM118" s="66"/>
      <c r="AN118" s="32"/>
      <c r="AO118" s="66"/>
      <c r="AP118" s="66"/>
      <c r="AQ118" s="66"/>
      <c r="AR118" s="66"/>
      <c r="AS118" s="32"/>
      <c r="AT118" s="66"/>
      <c r="AU118" s="66"/>
      <c r="AV118" s="66"/>
      <c r="AW118" s="66"/>
      <c r="AX118" s="32"/>
      <c r="AY118" s="33"/>
      <c r="AZ118" s="33"/>
      <c r="BA118" s="33"/>
      <c r="BB118" s="33"/>
      <c r="BC118" s="62"/>
      <c r="BD118" s="33"/>
      <c r="BE118" s="33"/>
      <c r="BF118" s="33"/>
      <c r="BG118" s="33"/>
      <c r="BH118" s="62"/>
      <c r="BI118" s="33"/>
      <c r="BJ118" s="33"/>
      <c r="BK118" s="33"/>
      <c r="BL118" s="33"/>
      <c r="BM118" s="62"/>
      <c r="BN118" s="33"/>
      <c r="BO118" s="33"/>
      <c r="BP118" s="33"/>
      <c r="BQ118" s="33"/>
      <c r="BR118" s="62"/>
      <c r="BS118" s="33"/>
      <c r="BT118" s="33"/>
      <c r="BU118" s="33"/>
      <c r="BV118" s="33"/>
      <c r="BW118" s="62"/>
      <c r="BX118" s="62"/>
      <c r="BY118" s="62"/>
    </row>
    <row r="119" spans="1:77">
      <c r="A119" s="41" t="s">
        <v>34</v>
      </c>
      <c r="B119" s="64">
        <f>IS!J66</f>
        <v>0.30928208846990574</v>
      </c>
      <c r="C119" s="64">
        <f>IS!O66</f>
        <v>0.26897043106519414</v>
      </c>
      <c r="D119" s="64">
        <f>IS!T66</f>
        <v>0.27075702075702074</v>
      </c>
      <c r="E119" s="64">
        <f>IS!Y66</f>
        <v>0.2711815561959654</v>
      </c>
      <c r="F119" s="65">
        <f>IS!Z66</f>
        <v>0.27611044417767105</v>
      </c>
      <c r="G119" s="65">
        <f>IS!AA66</f>
        <v>0.2202486678507993</v>
      </c>
      <c r="H119" s="65">
        <f>IS!AB66</f>
        <v>0.27569644572526419</v>
      </c>
      <c r="I119" s="65">
        <f>IS!AC66</f>
        <v>0.28358208955223879</v>
      </c>
      <c r="J119" s="64">
        <f>IS!AD66</f>
        <v>0.26418310202093986</v>
      </c>
      <c r="K119" s="65">
        <f>IS!AE66</f>
        <v>0.28036437246963564</v>
      </c>
      <c r="L119" s="65">
        <f>IS!AF66</f>
        <v>0.2381300219138057</v>
      </c>
      <c r="M119" s="65">
        <f>IS!AG66</f>
        <v>0.28502802241793435</v>
      </c>
      <c r="N119" s="65">
        <f>IS!AH66</f>
        <v>0.27272727272727271</v>
      </c>
      <c r="O119" s="64">
        <f>IS!AI66</f>
        <v>0.26750640478223742</v>
      </c>
      <c r="P119" s="65">
        <f>IS!AJ66</f>
        <v>0.27982456140350875</v>
      </c>
      <c r="Q119" s="65">
        <f>IS!AK66</f>
        <v>0.26166456494325346</v>
      </c>
      <c r="R119" s="65">
        <f>IS!AL66</f>
        <v>0.28370221327967809</v>
      </c>
      <c r="S119" s="65">
        <f>IS!AM66</f>
        <v>0.26431372549019611</v>
      </c>
      <c r="T119" s="64">
        <f>IS!AN66</f>
        <v>0.27203204661325564</v>
      </c>
      <c r="U119" s="65">
        <f>IS!AO66</f>
        <v>0.32644017725258495</v>
      </c>
      <c r="V119" s="65">
        <f>IS!AP66</f>
        <v>0.28143360752056407</v>
      </c>
      <c r="W119" s="65">
        <f>IS!AQ66</f>
        <v>0.25394967817437097</v>
      </c>
      <c r="X119" s="65">
        <f>IS!AR66</f>
        <v>0.29709697344039532</v>
      </c>
      <c r="Y119" s="64">
        <f>IS!AS66</f>
        <v>0.28759398496240601</v>
      </c>
      <c r="Z119" s="65">
        <f>IS!AT66</f>
        <v>0.28495692511597082</v>
      </c>
      <c r="AA119" s="65">
        <f>IS!AU66</f>
        <v>0.28497139885595424</v>
      </c>
      <c r="AB119" s="65">
        <f>IS!AV66</f>
        <v>0.26816239316239315</v>
      </c>
      <c r="AC119" s="65">
        <f>IS!AW66</f>
        <v>0.24693627450980393</v>
      </c>
      <c r="AD119" s="64">
        <f>IS!AX66</f>
        <v>0.27148212226066898</v>
      </c>
      <c r="AE119" s="65">
        <f>IS!AY66</f>
        <v>0.25605700051489722</v>
      </c>
      <c r="AF119" s="65">
        <f>IS!AZ66</f>
        <v>0.27030550009947796</v>
      </c>
      <c r="AG119" s="65">
        <f>IS!BA66</f>
        <v>0.28494123087113282</v>
      </c>
      <c r="AH119" s="65">
        <f>IS!BB66</f>
        <v>0.28010169846282651</v>
      </c>
      <c r="AI119" s="64">
        <f>IS!BC66</f>
        <v>0.27446796875474699</v>
      </c>
      <c r="AJ119" s="65">
        <f>IS!BD66</f>
        <v>0.29955621301775148</v>
      </c>
      <c r="AK119" s="65">
        <f>IS!BE66</f>
        <v>0.30063473744950953</v>
      </c>
      <c r="AL119" s="65">
        <f>IS!BF66</f>
        <v>0.26485568760611206</v>
      </c>
      <c r="AM119" s="65">
        <f>IS!BG66</f>
        <v>0.2568208778173191</v>
      </c>
      <c r="AN119" s="64">
        <f>IS!BH66</f>
        <v>0.27944325481798715</v>
      </c>
      <c r="AO119" s="65">
        <f>IS!BI66</f>
        <v>0.31656995486782719</v>
      </c>
      <c r="AP119" s="65">
        <f>IS!BJ66</f>
        <v>0.30462916874066698</v>
      </c>
      <c r="AQ119" s="65">
        <f>IS!BK66</f>
        <v>0.31212723658051689</v>
      </c>
      <c r="AR119" s="65">
        <f>IS!BL66</f>
        <v>0.2266591676040495</v>
      </c>
      <c r="AS119" s="64">
        <f>IS!BM66</f>
        <v>0.29034013605442177</v>
      </c>
      <c r="AT119" s="65">
        <f>IS!BN66</f>
        <v>0.20202020202020202</v>
      </c>
      <c r="AU119" s="65">
        <f>IS!BO66</f>
        <v>0.22526106414719047</v>
      </c>
      <c r="AV119" s="65">
        <f>IS!BP66</f>
        <v>0.2652054794520548</v>
      </c>
      <c r="AW119" s="65">
        <f>IS!BQ66</f>
        <v>0.30449362843729039</v>
      </c>
      <c r="AX119" s="64">
        <f>IS!BR66</f>
        <v>0.24757632759369122</v>
      </c>
      <c r="AY119" s="65">
        <f>IS!BS66</f>
        <v>0.23615819209039549</v>
      </c>
      <c r="AZ119" s="65">
        <f>IS!BT66</f>
        <v>0.2816593886462882</v>
      </c>
      <c r="BA119" s="65">
        <f>IS!BU66</f>
        <v>0.28691588785046729</v>
      </c>
      <c r="BB119" s="65">
        <f>IS!BV66</f>
        <v>0.265625</v>
      </c>
      <c r="BC119" s="64">
        <f>IS!BW66</f>
        <v>0.26924927815206928</v>
      </c>
      <c r="BD119" s="65">
        <f>IS!BX66</f>
        <v>0.30272290443139349</v>
      </c>
      <c r="BE119" s="65">
        <f>IS!BY66</f>
        <v>0.16705444392740809</v>
      </c>
      <c r="BF119" s="65">
        <f>IS!BZ66</f>
        <v>0.23749999999999999</v>
      </c>
      <c r="BG119" s="65">
        <f>IS!CA66</f>
        <v>0.31670281995661603</v>
      </c>
      <c r="BH119" s="64">
        <f>IS!CB66</f>
        <v>0.25475413525374141</v>
      </c>
      <c r="BI119" s="65">
        <f>IS!CC66</f>
        <v>0.26781679389312979</v>
      </c>
      <c r="BJ119" s="65">
        <f>IS!CD66</f>
        <v>0.28546690843155031</v>
      </c>
      <c r="BK119" s="65">
        <f>IS!CE66</f>
        <v>0.27950897072710101</v>
      </c>
      <c r="BL119" s="65">
        <f>IS!CF66</f>
        <v>1.9516129032258065</v>
      </c>
      <c r="BM119" s="64">
        <f>IS!CG66</f>
        <v>0.326023166023166</v>
      </c>
      <c r="BN119" s="65">
        <f>IS!CH66</f>
        <v>0.26771196283391407</v>
      </c>
      <c r="BO119" s="65">
        <f>IS!CI66</f>
        <v>0.28077651515151514</v>
      </c>
      <c r="BP119" s="65">
        <f>IS!CJ66</f>
        <v>0.24284304047384009</v>
      </c>
      <c r="BQ119" s="65">
        <f>IS!CK66</f>
        <v>0.11704634721131187</v>
      </c>
      <c r="BR119" s="64">
        <f>IS!CL66</f>
        <v>0.2376279265386233</v>
      </c>
      <c r="BS119" s="65">
        <f>IS!CM66</f>
        <v>0.28529698149951316</v>
      </c>
      <c r="BT119" s="65">
        <f>IS!CN66</f>
        <v>0.25775193798449614</v>
      </c>
      <c r="BU119" s="65">
        <f>IS!CO66</f>
        <v>0.26082474226804125</v>
      </c>
      <c r="BV119" s="65">
        <f>IS!CP66</f>
        <v>0.27</v>
      </c>
      <c r="BW119" s="64">
        <f>IS!CQ66</f>
        <v>0.26850472025267713</v>
      </c>
      <c r="BX119" s="64">
        <f>IS!CV66</f>
        <v>0.2699999999999998</v>
      </c>
      <c r="BY119" s="64">
        <f>IS!CW66</f>
        <v>0.2699999999999998</v>
      </c>
    </row>
    <row r="120" spans="1:77">
      <c r="A120" s="30"/>
      <c r="B120" s="32"/>
      <c r="C120" s="32"/>
      <c r="D120" s="32"/>
      <c r="E120" s="32"/>
      <c r="F120" s="63"/>
      <c r="G120" s="63"/>
      <c r="H120" s="63"/>
      <c r="I120" s="63"/>
      <c r="J120" s="62"/>
      <c r="K120" s="63"/>
      <c r="L120" s="63"/>
      <c r="M120" s="63"/>
      <c r="N120" s="63"/>
      <c r="O120" s="62"/>
      <c r="P120" s="63"/>
      <c r="Q120" s="63"/>
      <c r="R120" s="63"/>
      <c r="S120" s="63"/>
      <c r="T120" s="62"/>
      <c r="U120" s="63"/>
      <c r="V120" s="63"/>
      <c r="W120" s="63"/>
      <c r="X120" s="63"/>
      <c r="Y120" s="62"/>
      <c r="Z120" s="63"/>
      <c r="AA120" s="63"/>
      <c r="AB120" s="63"/>
      <c r="AC120" s="63"/>
      <c r="AD120" s="62"/>
      <c r="AE120" s="63"/>
      <c r="AF120" s="63"/>
      <c r="AG120" s="63"/>
      <c r="AH120" s="63"/>
      <c r="AI120" s="62"/>
      <c r="AJ120" s="63"/>
      <c r="AK120" s="63"/>
      <c r="AL120" s="63"/>
      <c r="AM120" s="63"/>
      <c r="AN120" s="62"/>
      <c r="AO120" s="63"/>
      <c r="AP120" s="63"/>
      <c r="AQ120" s="63"/>
      <c r="AR120" s="63"/>
      <c r="AS120" s="62"/>
      <c r="AT120" s="63"/>
      <c r="AU120" s="63"/>
      <c r="AV120" s="63"/>
      <c r="AW120" s="63"/>
      <c r="AX120" s="62"/>
      <c r="AY120" s="63"/>
      <c r="AZ120" s="63"/>
      <c r="BA120" s="63"/>
      <c r="BB120" s="63"/>
      <c r="BC120" s="62"/>
      <c r="BD120" s="63"/>
      <c r="BE120" s="63"/>
      <c r="BF120" s="63"/>
      <c r="BG120" s="63"/>
      <c r="BH120" s="62"/>
      <c r="BI120" s="63"/>
      <c r="BJ120" s="63"/>
      <c r="BK120" s="63"/>
      <c r="BL120" s="63"/>
      <c r="BM120" s="62"/>
      <c r="BN120" s="63"/>
      <c r="BO120" s="63"/>
      <c r="BP120" s="63"/>
      <c r="BQ120" s="63"/>
      <c r="BR120" s="62"/>
      <c r="BS120" s="63"/>
      <c r="BT120" s="63"/>
      <c r="BU120" s="63"/>
      <c r="BV120" s="63"/>
      <c r="BW120" s="62"/>
      <c r="BX120" s="62"/>
      <c r="BY120" s="62"/>
    </row>
    <row r="121" spans="1:77">
      <c r="A121" s="30" t="s">
        <v>33</v>
      </c>
      <c r="B121" s="60">
        <f t="shared" ref="B121:AG121" si="35">B22/B7</f>
        <v>9.415792047549186E-2</v>
      </c>
      <c r="C121" s="60">
        <f t="shared" si="35"/>
        <v>0.10341613793597879</v>
      </c>
      <c r="D121" s="60">
        <f t="shared" si="35"/>
        <v>0.10112717992343684</v>
      </c>
      <c r="E121" s="60">
        <f t="shared" si="35"/>
        <v>9.2640329960688272E-2</v>
      </c>
      <c r="F121" s="61">
        <f t="shared" si="35"/>
        <v>8.790191996298867E-2</v>
      </c>
      <c r="G121" s="61">
        <f t="shared" si="35"/>
        <v>0.11369777593016005</v>
      </c>
      <c r="H121" s="61">
        <f t="shared" si="35"/>
        <v>9.8618695791840669E-2</v>
      </c>
      <c r="I121" s="61">
        <f t="shared" si="35"/>
        <v>9.0973775157552353E-2</v>
      </c>
      <c r="J121" s="60">
        <f t="shared" si="35"/>
        <v>9.8784884497262651E-2</v>
      </c>
      <c r="K121" s="61">
        <f t="shared" si="35"/>
        <v>8.9933028595726591E-2</v>
      </c>
      <c r="L121" s="61">
        <f t="shared" si="35"/>
        <v>0.10652797704447632</v>
      </c>
      <c r="M121" s="61">
        <f t="shared" si="35"/>
        <v>0.10591471801925723</v>
      </c>
      <c r="N121" s="61">
        <f t="shared" si="35"/>
        <v>0.10167835893792736</v>
      </c>
      <c r="O121" s="60">
        <f t="shared" si="35"/>
        <v>0.10143943826799298</v>
      </c>
      <c r="P121" s="61">
        <f t="shared" si="35"/>
        <v>9.1851154027319831E-2</v>
      </c>
      <c r="Q121" s="61">
        <f t="shared" si="35"/>
        <v>6.6210045662100453E-2</v>
      </c>
      <c r="R121" s="61">
        <f t="shared" si="35"/>
        <v>0.11189673600263093</v>
      </c>
      <c r="S121" s="61">
        <f t="shared" si="35"/>
        <v>0.1294283256432314</v>
      </c>
      <c r="T121" s="60">
        <f t="shared" si="35"/>
        <v>0.10042024713040205</v>
      </c>
      <c r="U121" s="61">
        <f t="shared" si="35"/>
        <v>3.6895259814302001E-2</v>
      </c>
      <c r="V121" s="61">
        <f t="shared" si="35"/>
        <v>0.10421461449942462</v>
      </c>
      <c r="W121" s="61">
        <f t="shared" si="35"/>
        <v>9.9761956286518072E-2</v>
      </c>
      <c r="X121" s="61">
        <f t="shared" si="35"/>
        <v>0.13898328122876172</v>
      </c>
      <c r="Y121" s="60">
        <f t="shared" si="35"/>
        <v>9.7335597801274681E-2</v>
      </c>
      <c r="Z121" s="61">
        <f t="shared" si="35"/>
        <v>6.3619429717724607E-2</v>
      </c>
      <c r="AA121" s="61">
        <f t="shared" si="35"/>
        <v>8.893627696939288E-2</v>
      </c>
      <c r="AB121" s="61">
        <f t="shared" si="35"/>
        <v>0.12164401723566456</v>
      </c>
      <c r="AC121" s="61">
        <f t="shared" si="35"/>
        <v>0.13676371022342587</v>
      </c>
      <c r="AD121" s="60">
        <f t="shared" si="35"/>
        <v>0.10310089194571348</v>
      </c>
      <c r="AE121" s="61">
        <f t="shared" si="35"/>
        <v>3.9757357160422988E-2</v>
      </c>
      <c r="AF121" s="61">
        <f t="shared" si="35"/>
        <v>0.11791730474732007</v>
      </c>
      <c r="AG121" s="61">
        <f t="shared" si="35"/>
        <v>0.14051717600667324</v>
      </c>
      <c r="AH121" s="61">
        <f t="shared" ref="AH121:BM121" si="36">AH22/AH7</f>
        <v>0.10551541598111452</v>
      </c>
      <c r="AI121" s="60">
        <f t="shared" si="36"/>
        <v>0.10210777300906056</v>
      </c>
      <c r="AJ121" s="61">
        <f t="shared" si="36"/>
        <v>9.5847176079734225E-2</v>
      </c>
      <c r="AK121" s="61">
        <f t="shared" si="36"/>
        <v>0.10143457469931894</v>
      </c>
      <c r="AL121" s="61">
        <f t="shared" si="36"/>
        <v>0.12305433186490455</v>
      </c>
      <c r="AM121" s="61">
        <f t="shared" si="36"/>
        <v>0.11275565123789021</v>
      </c>
      <c r="AN121" s="60">
        <f t="shared" si="36"/>
        <v>0.10871405956632184</v>
      </c>
      <c r="AO121" s="61">
        <f t="shared" si="36"/>
        <v>0.10415844709224335</v>
      </c>
      <c r="AP121" s="61">
        <f t="shared" si="36"/>
        <v>9.1436865021770689E-2</v>
      </c>
      <c r="AQ121" s="61">
        <f t="shared" si="36"/>
        <v>0.13396557780119425</v>
      </c>
      <c r="AR121" s="61">
        <f t="shared" si="36"/>
        <v>0.13285108158864853</v>
      </c>
      <c r="AS121" s="60">
        <f t="shared" si="36"/>
        <v>0.11586612619722352</v>
      </c>
      <c r="AT121" s="61">
        <f t="shared" si="36"/>
        <v>0.1056701030927835</v>
      </c>
      <c r="AU121" s="61">
        <f t="shared" si="36"/>
        <v>0.12413992902151083</v>
      </c>
      <c r="AV121" s="61">
        <f t="shared" si="36"/>
        <v>0.10803084696184018</v>
      </c>
      <c r="AW121" s="61">
        <f t="shared" si="36"/>
        <v>0.11883476251292344</v>
      </c>
      <c r="AX121" s="60">
        <f t="shared" si="36"/>
        <v>0.11445553476121162</v>
      </c>
      <c r="AY121" s="61">
        <f t="shared" si="36"/>
        <v>9.7854017640113894E-2</v>
      </c>
      <c r="AZ121" s="61">
        <f t="shared" si="36"/>
        <v>0.12114207172310383</v>
      </c>
      <c r="BA121" s="61">
        <f t="shared" si="36"/>
        <v>9.9793041003751137E-2</v>
      </c>
      <c r="BB121" s="61">
        <f t="shared" si="36"/>
        <v>0.15591622411838416</v>
      </c>
      <c r="BC121" s="60">
        <f t="shared" si="36"/>
        <v>0.11982243796506244</v>
      </c>
      <c r="BD121" s="61">
        <f t="shared" si="36"/>
        <v>9.0539165818921671E-2</v>
      </c>
      <c r="BE121" s="61">
        <f t="shared" si="36"/>
        <v>0.10133209237391659</v>
      </c>
      <c r="BF121" s="61">
        <f t="shared" si="36"/>
        <v>0.12048490846115784</v>
      </c>
      <c r="BG121" s="61">
        <f t="shared" si="36"/>
        <v>0.13591433278418452</v>
      </c>
      <c r="BH121" s="60">
        <f t="shared" si="36"/>
        <v>0.11267281105990784</v>
      </c>
      <c r="BI121" s="61">
        <f t="shared" si="36"/>
        <v>9.8348348348348352E-2</v>
      </c>
      <c r="BJ121" s="61">
        <f t="shared" si="36"/>
        <v>0.10451112471933048</v>
      </c>
      <c r="BK121" s="61">
        <f t="shared" si="36"/>
        <v>7.4049898462431096E-2</v>
      </c>
      <c r="BL121" s="61">
        <f t="shared" si="36"/>
        <v>0.1855944055944056</v>
      </c>
      <c r="BM121" s="60">
        <f t="shared" si="36"/>
        <v>0.11636411925992496</v>
      </c>
      <c r="BN121" s="61">
        <f t="shared" ref="BN121:BW121" si="37">BN22/BN7</f>
        <v>5.9519353148162014E-2</v>
      </c>
      <c r="BO121" s="61">
        <f t="shared" si="37"/>
        <v>0.11940298507462686</v>
      </c>
      <c r="BP121" s="61">
        <f t="shared" si="37"/>
        <v>0.13592030096140448</v>
      </c>
      <c r="BQ121" s="61">
        <f t="shared" si="37"/>
        <v>0.12586124565113582</v>
      </c>
      <c r="BR121" s="60">
        <f t="shared" si="37"/>
        <v>0.11201173922157781</v>
      </c>
      <c r="BS121" s="61">
        <f>BS22/BS7</f>
        <v>7.1878393051031483E-2</v>
      </c>
      <c r="BT121" s="61">
        <f>BT22/BT7</f>
        <v>0.14044502617801047</v>
      </c>
      <c r="BU121" s="61">
        <f>BU22/BU7</f>
        <v>-1.9253751161864294E-3</v>
      </c>
      <c r="BV121" s="61">
        <f>BV22/BV7</f>
        <v>0.14498850377547576</v>
      </c>
      <c r="BW121" s="60">
        <f t="shared" si="37"/>
        <v>8.9664135992937238E-2</v>
      </c>
      <c r="BX121" s="60">
        <f>BX22/BX7</f>
        <v>0.11407310725170343</v>
      </c>
      <c r="BY121" s="60">
        <f>BY22/BY7</f>
        <v>0.12756729630557789</v>
      </c>
    </row>
    <row r="122" spans="1:77">
      <c r="A122" s="30" t="s">
        <v>32</v>
      </c>
      <c r="B122" s="37">
        <f t="shared" ref="B122:AG122" si="38">B25/B7</f>
        <v>5.8909829590339691E-2</v>
      </c>
      <c r="C122" s="37">
        <f t="shared" si="38"/>
        <v>7.4990142309208876E-2</v>
      </c>
      <c r="D122" s="37">
        <f t="shared" si="38"/>
        <v>8.0355876931802073E-2</v>
      </c>
      <c r="E122" s="37">
        <f t="shared" si="38"/>
        <v>7.5562286524457054E-2</v>
      </c>
      <c r="F122" s="45">
        <f t="shared" si="38"/>
        <v>7.367568817950497E-2</v>
      </c>
      <c r="G122" s="45">
        <f t="shared" si="38"/>
        <v>9.8316358345458321E-2</v>
      </c>
      <c r="H122" s="45">
        <f t="shared" si="38"/>
        <v>7.9344683584966269E-2</v>
      </c>
      <c r="I122" s="45">
        <f t="shared" si="38"/>
        <v>5.6007318560683063E-2</v>
      </c>
      <c r="J122" s="37">
        <f t="shared" si="38"/>
        <v>7.7553745493390308E-2</v>
      </c>
      <c r="K122" s="45">
        <f t="shared" si="38"/>
        <v>7.3774848517061759E-2</v>
      </c>
      <c r="L122" s="45">
        <f t="shared" si="38"/>
        <v>9.0118364418938307E-2</v>
      </c>
      <c r="M122" s="45">
        <f t="shared" si="38"/>
        <v>8.3081155433287479E-2</v>
      </c>
      <c r="N122" s="45">
        <f t="shared" si="38"/>
        <v>7.1041648166237453E-2</v>
      </c>
      <c r="O122" s="37">
        <f t="shared" si="38"/>
        <v>7.9695728496196605E-2</v>
      </c>
      <c r="P122" s="45">
        <f t="shared" si="38"/>
        <v>7.291568535091851E-2</v>
      </c>
      <c r="Q122" s="45">
        <f t="shared" si="38"/>
        <v>4.8434442270058706E-2</v>
      </c>
      <c r="R122" s="45">
        <f t="shared" si="38"/>
        <v>9.6768889254295817E-2</v>
      </c>
      <c r="S122" s="45">
        <f t="shared" si="38"/>
        <v>0.10197857198717447</v>
      </c>
      <c r="T122" s="37">
        <f t="shared" si="38"/>
        <v>8.0474189299379037E-2</v>
      </c>
      <c r="U122" s="45">
        <f t="shared" si="38"/>
        <v>1.9954389965792473E-2</v>
      </c>
      <c r="V122" s="45">
        <f t="shared" si="38"/>
        <v>8.6162255466052939E-2</v>
      </c>
      <c r="W122" s="45">
        <f t="shared" si="38"/>
        <v>8.2593955132366725E-2</v>
      </c>
      <c r="X122" s="45">
        <f t="shared" si="38"/>
        <v>0.10799238820171266</v>
      </c>
      <c r="Y122" s="37">
        <f t="shared" si="38"/>
        <v>7.6279698314432334E-2</v>
      </c>
      <c r="Z122" s="45">
        <f t="shared" si="38"/>
        <v>4.6639919759277837E-2</v>
      </c>
      <c r="AA122" s="45">
        <f t="shared" si="38"/>
        <v>6.9806823883592578E-2</v>
      </c>
      <c r="AB122" s="45">
        <f t="shared" si="38"/>
        <v>0.1038780245276765</v>
      </c>
      <c r="AC122" s="45">
        <f t="shared" si="38"/>
        <v>0.10927555856465809</v>
      </c>
      <c r="AD122" s="37">
        <f t="shared" si="38"/>
        <v>8.2751811503254849E-2</v>
      </c>
      <c r="AE122" s="45">
        <f t="shared" si="38"/>
        <v>2.6067710468071152E-2</v>
      </c>
      <c r="AF122" s="45">
        <f t="shared" si="38"/>
        <v>0.1046707503828484</v>
      </c>
      <c r="AG122" s="45">
        <f t="shared" si="38"/>
        <v>0.12830818230075075</v>
      </c>
      <c r="AH122" s="45">
        <f t="shared" ref="AH122:BM122" si="39">AH25/AH7</f>
        <v>8.2266256527648615E-2</v>
      </c>
      <c r="AI122" s="37">
        <f t="shared" si="39"/>
        <v>8.6351931330472101E-2</v>
      </c>
      <c r="AJ122" s="45">
        <f t="shared" si="39"/>
        <v>8.3637873754152825E-2</v>
      </c>
      <c r="AK122" s="45">
        <f t="shared" si="39"/>
        <v>9.0204318214751486E-2</v>
      </c>
      <c r="AL122" s="45">
        <f t="shared" si="39"/>
        <v>0.11005873715124817</v>
      </c>
      <c r="AM122" s="45">
        <f t="shared" si="39"/>
        <v>8.6786867599569426E-2</v>
      </c>
      <c r="AN122" s="37">
        <f t="shared" si="39"/>
        <v>9.2791665132717305E-2</v>
      </c>
      <c r="AO122" s="45">
        <f t="shared" si="39"/>
        <v>9.0665193718930004E-2</v>
      </c>
      <c r="AP122" s="45">
        <f t="shared" si="39"/>
        <v>7.7614209689681385E-2</v>
      </c>
      <c r="AQ122" s="45">
        <f t="shared" si="39"/>
        <v>0.11998595012293642</v>
      </c>
      <c r="AR122" s="45">
        <f t="shared" si="39"/>
        <v>0.10788064269319052</v>
      </c>
      <c r="AS122" s="37">
        <f t="shared" si="39"/>
        <v>9.9203644581554687E-2</v>
      </c>
      <c r="AT122" s="45">
        <f t="shared" si="39"/>
        <v>9.0528350515463915E-2</v>
      </c>
      <c r="AU122" s="45">
        <f t="shared" si="39"/>
        <v>0.10654016078800609</v>
      </c>
      <c r="AV122" s="45">
        <f t="shared" si="39"/>
        <v>8.6956521739130432E-2</v>
      </c>
      <c r="AW122" s="45">
        <f t="shared" si="39"/>
        <v>7.9851608587240774E-2</v>
      </c>
      <c r="AX122" s="37">
        <f t="shared" si="39"/>
        <v>9.0386081652457193E-2</v>
      </c>
      <c r="AY122" s="45">
        <f t="shared" si="39"/>
        <v>7.7366483783596077E-2</v>
      </c>
      <c r="AZ122" s="45">
        <f t="shared" si="39"/>
        <v>9.8088216918655505E-2</v>
      </c>
      <c r="BA122" s="45">
        <f t="shared" si="39"/>
        <v>7.5022636140214718E-2</v>
      </c>
      <c r="BB122" s="45">
        <f t="shared" si="39"/>
        <v>0.11766811862282953</v>
      </c>
      <c r="BC122" s="37">
        <f t="shared" si="39"/>
        <v>9.286877654648229E-2</v>
      </c>
      <c r="BD122" s="45">
        <f t="shared" si="39"/>
        <v>6.7955239064089526E-2</v>
      </c>
      <c r="BE122" s="45">
        <f t="shared" si="39"/>
        <v>7.7715083473910762E-2</v>
      </c>
      <c r="BF122" s="45">
        <f t="shared" si="39"/>
        <v>9.4816922315685309E-2</v>
      </c>
      <c r="BG122" s="45">
        <f t="shared" si="39"/>
        <v>0.10314191574488114</v>
      </c>
      <c r="BH122" s="37">
        <f t="shared" si="39"/>
        <v>8.6390168970814127E-2</v>
      </c>
      <c r="BI122" s="45">
        <f t="shared" si="39"/>
        <v>7.2222222222222215E-2</v>
      </c>
      <c r="BJ122" s="45">
        <f t="shared" si="39"/>
        <v>8.0152412056882352E-2</v>
      </c>
      <c r="BK122" s="45">
        <f t="shared" si="39"/>
        <v>4.5764432840150852E-2</v>
      </c>
      <c r="BL122" s="45">
        <f t="shared" si="39"/>
        <v>0.14307692307692307</v>
      </c>
      <c r="BM122" s="37">
        <f t="shared" si="39"/>
        <v>8.5957056045860833E-2</v>
      </c>
      <c r="BN122" s="45">
        <f t="shared" ref="BN122:BW122" si="40">BN25/BN7</f>
        <v>3.8107359436999326E-2</v>
      </c>
      <c r="BO122" s="45">
        <f t="shared" si="40"/>
        <v>9.4997983057684546E-2</v>
      </c>
      <c r="BP122" s="45">
        <f t="shared" si="40"/>
        <v>0.10847150620036226</v>
      </c>
      <c r="BQ122" s="45">
        <f t="shared" si="40"/>
        <v>8.1110580530731974E-2</v>
      </c>
      <c r="BR122" s="37">
        <f t="shared" si="40"/>
        <v>8.2331772762210889E-2</v>
      </c>
      <c r="BS122" s="45">
        <f>BS25/BS7</f>
        <v>4.8353239232718059E-2</v>
      </c>
      <c r="BT122" s="45">
        <f>BT25/BT7</f>
        <v>0.11125654450261781</v>
      </c>
      <c r="BU122" s="45">
        <f>BU25/BU7</f>
        <v>-3.1337139822068781E-2</v>
      </c>
      <c r="BV122" s="45">
        <f>BV25/BV7</f>
        <v>0.11503727539372403</v>
      </c>
      <c r="BW122" s="37">
        <f t="shared" si="40"/>
        <v>6.1537131260196477E-2</v>
      </c>
      <c r="BX122" s="37">
        <f>BX25/BX7</f>
        <v>8.6596545614203727E-2</v>
      </c>
      <c r="BY122" s="37">
        <f>BY25/BY7</f>
        <v>0.10203445692345778</v>
      </c>
    </row>
    <row r="123" spans="1:77">
      <c r="A123" s="41" t="s">
        <v>31</v>
      </c>
      <c r="B123" s="46">
        <f t="shared" ref="B123:AG123" si="41">B25/B14</f>
        <v>0.86615044247787609</v>
      </c>
      <c r="C123" s="46">
        <f t="shared" si="41"/>
        <v>0.95709715908675008</v>
      </c>
      <c r="D123" s="46">
        <f t="shared" si="41"/>
        <v>0.91888517785920432</v>
      </c>
      <c r="E123" s="46">
        <f t="shared" si="41"/>
        <v>0.95622800063938829</v>
      </c>
      <c r="F123" s="47">
        <f t="shared" si="41"/>
        <v>1.1424758905303634</v>
      </c>
      <c r="G123" s="47">
        <f t="shared" si="41"/>
        <v>1.2675867613560232</v>
      </c>
      <c r="H123" s="47">
        <f t="shared" si="41"/>
        <v>1.0077766081585025</v>
      </c>
      <c r="I123" s="47">
        <f t="shared" si="41"/>
        <v>0.84467745891586954</v>
      </c>
      <c r="J123" s="46">
        <f t="shared" si="41"/>
        <v>1.0347544222033214</v>
      </c>
      <c r="K123" s="47">
        <f t="shared" si="41"/>
        <v>1.033784186379074</v>
      </c>
      <c r="L123" s="47">
        <f t="shared" si="41"/>
        <v>1.1428506447724534</v>
      </c>
      <c r="M123" s="47">
        <f t="shared" si="41"/>
        <v>1.0584730416496291</v>
      </c>
      <c r="N123" s="47">
        <f t="shared" si="41"/>
        <v>1.0141949257292378</v>
      </c>
      <c r="O123" s="46">
        <f t="shared" si="41"/>
        <v>1.0655766177753201</v>
      </c>
      <c r="P123" s="47">
        <f t="shared" si="41"/>
        <v>1.0078125</v>
      </c>
      <c r="Q123" s="47">
        <f t="shared" si="41"/>
        <v>0.57537510776175216</v>
      </c>
      <c r="R123" s="47">
        <f t="shared" si="41"/>
        <v>1.1583277565641854</v>
      </c>
      <c r="S123" s="47">
        <f t="shared" si="41"/>
        <v>1.4252923816810581</v>
      </c>
      <c r="T123" s="46">
        <f t="shared" si="41"/>
        <v>1.031519085381051</v>
      </c>
      <c r="U123" s="47">
        <f t="shared" si="41"/>
        <v>0.27574253525565273</v>
      </c>
      <c r="V123" s="47">
        <f t="shared" si="41"/>
        <v>1.0258605925672204</v>
      </c>
      <c r="W123" s="47">
        <f t="shared" si="41"/>
        <v>0.98925214265966266</v>
      </c>
      <c r="X123" s="47">
        <f t="shared" si="41"/>
        <v>1.4453864066365887</v>
      </c>
      <c r="Y123" s="46">
        <f t="shared" si="41"/>
        <v>0.96844272462329972</v>
      </c>
      <c r="Z123" s="47">
        <f t="shared" si="41"/>
        <v>0.63854830799411477</v>
      </c>
      <c r="AA123" s="47">
        <f t="shared" si="41"/>
        <v>0.83498379546272949</v>
      </c>
      <c r="AB123" s="47">
        <f t="shared" si="41"/>
        <v>1.2076792058757795</v>
      </c>
      <c r="AC123" s="47">
        <f t="shared" si="41"/>
        <v>1.4820664450606968</v>
      </c>
      <c r="AD123" s="46">
        <f t="shared" si="41"/>
        <v>1.0434668844336685</v>
      </c>
      <c r="AE123" s="47">
        <f t="shared" si="41"/>
        <v>0.39345479291039004</v>
      </c>
      <c r="AF123" s="47">
        <f t="shared" si="41"/>
        <v>1.2180886611717532</v>
      </c>
      <c r="AG123" s="47">
        <f t="shared" si="41"/>
        <v>1.436210847975554</v>
      </c>
      <c r="AH123" s="47">
        <f t="shared" ref="AH123:BM123" si="42">AH25/AH14</f>
        <v>1.0018381552239326</v>
      </c>
      <c r="AI123" s="46">
        <f t="shared" si="42"/>
        <v>1.0635586102552235</v>
      </c>
      <c r="AJ123" s="47">
        <f t="shared" si="42"/>
        <v>1.1053787047200878</v>
      </c>
      <c r="AK123" s="47">
        <f t="shared" si="42"/>
        <v>1.0196560196560196</v>
      </c>
      <c r="AL123" s="47">
        <f t="shared" si="42"/>
        <v>1.17109375</v>
      </c>
      <c r="AM123" s="47">
        <f t="shared" si="42"/>
        <v>1.0504885993485342</v>
      </c>
      <c r="AN123" s="46">
        <f t="shared" si="42"/>
        <v>1.0864224137931036</v>
      </c>
      <c r="AO123" s="47">
        <f t="shared" si="42"/>
        <v>1.1594349142280524</v>
      </c>
      <c r="AP123" s="47">
        <f t="shared" si="42"/>
        <v>0.87940485512920907</v>
      </c>
      <c r="AQ123" s="47">
        <f t="shared" si="42"/>
        <v>1.3088122605363985</v>
      </c>
      <c r="AR123" s="47">
        <f t="shared" si="42"/>
        <v>1.2241515390686661</v>
      </c>
      <c r="AS123" s="46">
        <f t="shared" si="42"/>
        <v>1.1427685950413222</v>
      </c>
      <c r="AT123" s="47">
        <f t="shared" si="42"/>
        <v>1.1228771228771228</v>
      </c>
      <c r="AU123" s="47">
        <f t="shared" si="42"/>
        <v>1.0301120448179271</v>
      </c>
      <c r="AV123" s="47">
        <f t="shared" si="42"/>
        <v>1.0497592295345104</v>
      </c>
      <c r="AW123" s="47">
        <f t="shared" si="42"/>
        <v>1.1174468085106384</v>
      </c>
      <c r="AX123" s="46">
        <f t="shared" si="42"/>
        <v>1.0754639175257732</v>
      </c>
      <c r="AY123" s="47">
        <f t="shared" si="42"/>
        <v>0.94970161977834611</v>
      </c>
      <c r="AZ123" s="47">
        <f t="shared" si="42"/>
        <v>1.0452729693741678</v>
      </c>
      <c r="BA123" s="47">
        <f t="shared" si="42"/>
        <v>0.78114478114478114</v>
      </c>
      <c r="BB123" s="47">
        <f t="shared" si="42"/>
        <v>1.2905759162303665</v>
      </c>
      <c r="BC123" s="46">
        <f t="shared" si="42"/>
        <v>1.0225035161744023</v>
      </c>
      <c r="BD123" s="47">
        <f t="shared" si="42"/>
        <v>0.88672566371681416</v>
      </c>
      <c r="BE123" s="47">
        <f t="shared" si="42"/>
        <v>0.79571173317450861</v>
      </c>
      <c r="BF123" s="47">
        <f t="shared" si="42"/>
        <v>0.74780487804878049</v>
      </c>
      <c r="BG123" s="47">
        <f t="shared" si="42"/>
        <v>1.0251461988304094</v>
      </c>
      <c r="BH123" s="46">
        <f t="shared" si="42"/>
        <v>0.85614248744101085</v>
      </c>
      <c r="BI123" s="47">
        <f t="shared" si="42"/>
        <v>0.73787718410112446</v>
      </c>
      <c r="BJ123" s="47">
        <f t="shared" si="42"/>
        <v>0.77948202162433999</v>
      </c>
      <c r="BK123" s="47">
        <f t="shared" si="42"/>
        <v>0.42675623773416455</v>
      </c>
      <c r="BL123" s="47">
        <f t="shared" si="42"/>
        <v>1.576271186440678</v>
      </c>
      <c r="BM123" s="46">
        <f t="shared" si="42"/>
        <v>0.86147141771510594</v>
      </c>
      <c r="BN123" s="47">
        <f t="shared" ref="BN123:BW123" si="43">BN25/BN14</f>
        <v>0.41668372150137123</v>
      </c>
      <c r="BO123" s="47">
        <f t="shared" si="43"/>
        <v>0.93478656368357504</v>
      </c>
      <c r="BP123" s="47">
        <f t="shared" si="43"/>
        <v>1.0667159945739302</v>
      </c>
      <c r="BQ123" s="47">
        <f t="shared" si="43"/>
        <v>0.93843725335438044</v>
      </c>
      <c r="BR123" s="46">
        <f t="shared" si="43"/>
        <v>0.86322712873952911</v>
      </c>
      <c r="BS123" s="47">
        <f>BS25/BS14</f>
        <v>0.56347532686630109</v>
      </c>
      <c r="BT123" s="47">
        <f>BT25/BT14</f>
        <v>1.1495030089931706</v>
      </c>
      <c r="BU123" s="47">
        <f>BU25/BU14</f>
        <v>-0.34257014704388095</v>
      </c>
      <c r="BV123" s="47">
        <f>BV25/BV14</f>
        <v>1.4064541061462323</v>
      </c>
      <c r="BW123" s="46">
        <f t="shared" si="43"/>
        <v>0.69121944060478979</v>
      </c>
      <c r="BX123" s="46">
        <f>BX25/BX14</f>
        <v>0.98371801209836951</v>
      </c>
      <c r="BY123" s="46">
        <f>BY25/BY14</f>
        <v>1.0662091454289391</v>
      </c>
    </row>
    <row r="124" spans="1:77">
      <c r="A124" s="30"/>
      <c r="B124" s="28"/>
      <c r="C124" s="28"/>
      <c r="D124" s="28"/>
      <c r="E124" s="28"/>
      <c r="F124" s="31"/>
      <c r="G124" s="31"/>
      <c r="H124" s="31"/>
      <c r="I124" s="31"/>
      <c r="J124" s="28"/>
      <c r="K124" s="31"/>
      <c r="L124" s="31"/>
      <c r="M124" s="31"/>
      <c r="N124" s="31"/>
      <c r="O124" s="28"/>
      <c r="P124" s="31"/>
      <c r="Q124" s="31"/>
      <c r="R124" s="31"/>
      <c r="S124" s="31"/>
      <c r="T124" s="28"/>
      <c r="U124" s="31"/>
      <c r="V124" s="31"/>
      <c r="W124" s="31"/>
      <c r="X124" s="31"/>
      <c r="Y124" s="28"/>
      <c r="Z124" s="31"/>
      <c r="AA124" s="31"/>
      <c r="AB124" s="31"/>
      <c r="AC124" s="31"/>
      <c r="AD124" s="28"/>
      <c r="AE124" s="31"/>
      <c r="AF124" s="31"/>
      <c r="AG124" s="31"/>
      <c r="AH124" s="31"/>
      <c r="AI124" s="28"/>
      <c r="AJ124" s="31"/>
      <c r="AK124" s="31"/>
      <c r="AL124" s="31"/>
      <c r="AM124" s="31"/>
      <c r="AN124" s="28"/>
      <c r="AO124" s="31"/>
      <c r="AP124" s="31"/>
      <c r="AQ124" s="31"/>
      <c r="AR124" s="31"/>
      <c r="AS124" s="28"/>
      <c r="AT124" s="31"/>
      <c r="AU124" s="31"/>
      <c r="AV124" s="31"/>
      <c r="AW124" s="31"/>
      <c r="AX124" s="28"/>
      <c r="AY124" s="27"/>
      <c r="AZ124" s="27"/>
      <c r="BA124" s="27"/>
      <c r="BB124" s="27"/>
      <c r="BC124" s="28"/>
      <c r="BD124" s="27"/>
      <c r="BE124" s="27"/>
      <c r="BF124" s="27"/>
      <c r="BG124" s="27"/>
      <c r="BH124" s="28"/>
      <c r="BI124" s="27"/>
      <c r="BJ124" s="27"/>
      <c r="BK124" s="27"/>
      <c r="BL124" s="27"/>
      <c r="BM124" s="28"/>
      <c r="BN124" s="27"/>
      <c r="BO124" s="27"/>
      <c r="BP124" s="27"/>
      <c r="BQ124" s="27"/>
      <c r="BR124" s="28"/>
      <c r="BS124" s="27"/>
      <c r="BT124" s="27"/>
      <c r="BU124" s="27"/>
      <c r="BV124" s="27"/>
      <c r="BW124" s="28"/>
      <c r="BX124" s="28"/>
      <c r="BY124" s="28"/>
    </row>
    <row r="125" spans="1:77">
      <c r="A125" s="30" t="s">
        <v>30</v>
      </c>
      <c r="B125" s="37"/>
      <c r="C125" s="37"/>
      <c r="D125" s="37"/>
      <c r="E125" s="37"/>
      <c r="F125" s="38"/>
      <c r="G125" s="38"/>
      <c r="H125" s="38"/>
      <c r="I125" s="38"/>
      <c r="J125" s="37"/>
      <c r="K125" s="38"/>
      <c r="L125" s="38"/>
      <c r="M125" s="38"/>
      <c r="N125" s="38"/>
      <c r="O125" s="37"/>
      <c r="P125" s="29"/>
      <c r="Q125" s="29"/>
      <c r="R125" s="29"/>
      <c r="S125" s="29"/>
      <c r="T125" s="37"/>
      <c r="U125" s="29"/>
      <c r="V125" s="29"/>
      <c r="W125" s="29"/>
      <c r="X125" s="29"/>
      <c r="Y125" s="37"/>
      <c r="Z125" s="59"/>
      <c r="AA125" s="59"/>
      <c r="AB125" s="59"/>
      <c r="AC125" s="59"/>
      <c r="AD125" s="37"/>
      <c r="AE125" s="38"/>
      <c r="AF125" s="38"/>
      <c r="AG125" s="38"/>
      <c r="AH125" s="38"/>
      <c r="AI125" s="37"/>
      <c r="AJ125" s="38"/>
      <c r="AK125" s="38"/>
      <c r="AL125" s="38"/>
      <c r="AM125" s="38"/>
      <c r="AN125" s="37"/>
      <c r="AO125" s="38"/>
      <c r="AP125" s="38"/>
      <c r="AQ125" s="38"/>
      <c r="AR125" s="38"/>
      <c r="AS125" s="37"/>
      <c r="AT125" s="38"/>
      <c r="AU125" s="38"/>
      <c r="AV125" s="38"/>
      <c r="AW125" s="38"/>
      <c r="AX125" s="37"/>
      <c r="AY125" s="45"/>
      <c r="AZ125" s="45"/>
      <c r="BA125" s="45"/>
      <c r="BB125" s="45"/>
      <c r="BC125" s="26"/>
      <c r="BD125" s="45"/>
      <c r="BE125" s="45"/>
      <c r="BF125" s="45"/>
      <c r="BG125" s="45"/>
      <c r="BH125" s="26"/>
      <c r="BI125" s="45"/>
      <c r="BJ125" s="45"/>
      <c r="BK125" s="45"/>
      <c r="BL125" s="45"/>
      <c r="BM125" s="26"/>
      <c r="BN125" s="45"/>
      <c r="BO125" s="45"/>
      <c r="BP125" s="45"/>
      <c r="BQ125" s="45"/>
      <c r="BR125" s="26"/>
      <c r="BS125" s="45"/>
      <c r="BT125" s="45"/>
      <c r="BU125" s="45"/>
      <c r="BV125" s="45"/>
      <c r="BW125" s="26"/>
      <c r="BX125" s="26"/>
      <c r="BY125" s="26"/>
    </row>
    <row r="126" spans="1:77">
      <c r="A126" s="41" t="s">
        <v>29</v>
      </c>
      <c r="B126" s="46"/>
      <c r="C126" s="46"/>
      <c r="D126" s="46"/>
      <c r="E126" s="46"/>
      <c r="F126" s="56"/>
      <c r="G126" s="56"/>
      <c r="H126" s="56"/>
      <c r="I126" s="56"/>
      <c r="J126" s="46"/>
      <c r="K126" s="56"/>
      <c r="L126" s="56"/>
      <c r="M126" s="56"/>
      <c r="N126" s="56"/>
      <c r="O126" s="46"/>
      <c r="P126" s="58"/>
      <c r="Q126" s="58"/>
      <c r="R126" s="58"/>
      <c r="S126" s="58"/>
      <c r="T126" s="46"/>
      <c r="U126" s="58"/>
      <c r="V126" s="58"/>
      <c r="W126" s="58"/>
      <c r="X126" s="58"/>
      <c r="Y126" s="46"/>
      <c r="Z126" s="57"/>
      <c r="AA126" s="57"/>
      <c r="AB126" s="57"/>
      <c r="AC126" s="57"/>
      <c r="AD126" s="46"/>
      <c r="AE126" s="56"/>
      <c r="AF126" s="56"/>
      <c r="AG126" s="56"/>
      <c r="AH126" s="56"/>
      <c r="AI126" s="46"/>
      <c r="AJ126" s="56"/>
      <c r="AK126" s="56"/>
      <c r="AL126" s="56"/>
      <c r="AM126" s="56"/>
      <c r="AN126" s="46"/>
      <c r="AO126" s="56"/>
      <c r="AP126" s="56"/>
      <c r="AQ126" s="56"/>
      <c r="AR126" s="56"/>
      <c r="AS126" s="46"/>
      <c r="AT126" s="56"/>
      <c r="AU126" s="56"/>
      <c r="AV126" s="56"/>
      <c r="AW126" s="56"/>
      <c r="AX126" s="46"/>
      <c r="AY126" s="47"/>
      <c r="AZ126" s="47"/>
      <c r="BA126" s="47"/>
      <c r="BB126" s="47"/>
      <c r="BC126" s="55"/>
      <c r="BD126" s="47"/>
      <c r="BE126" s="47"/>
      <c r="BF126" s="47"/>
      <c r="BG126" s="47"/>
      <c r="BH126" s="55"/>
      <c r="BI126" s="47"/>
      <c r="BJ126" s="47"/>
      <c r="BK126" s="47"/>
      <c r="BL126" s="47"/>
      <c r="BM126" s="55"/>
      <c r="BN126" s="47"/>
      <c r="BO126" s="47"/>
      <c r="BP126" s="47"/>
      <c r="BQ126" s="47"/>
      <c r="BR126" s="55"/>
      <c r="BS126" s="47"/>
      <c r="BT126" s="47"/>
      <c r="BU126" s="47"/>
      <c r="BV126" s="47"/>
      <c r="BW126" s="55"/>
      <c r="BX126" s="55"/>
      <c r="BY126" s="55"/>
    </row>
    <row r="127" spans="1:77">
      <c r="A127" s="23" t="s">
        <v>28</v>
      </c>
      <c r="B127" s="52"/>
      <c r="C127" s="52"/>
      <c r="D127" s="52"/>
      <c r="E127" s="52"/>
      <c r="F127" s="53"/>
      <c r="G127" s="53"/>
      <c r="H127" s="53"/>
      <c r="I127" s="53"/>
      <c r="J127" s="52"/>
      <c r="K127" s="53"/>
      <c r="L127" s="53"/>
      <c r="M127" s="53"/>
      <c r="N127" s="53"/>
      <c r="O127" s="52"/>
      <c r="P127" s="22"/>
      <c r="Q127" s="22"/>
      <c r="R127" s="22"/>
      <c r="S127" s="22"/>
      <c r="T127" s="52"/>
      <c r="U127" s="22"/>
      <c r="V127" s="22"/>
      <c r="W127" s="22"/>
      <c r="X127" s="22"/>
      <c r="Y127" s="52"/>
      <c r="Z127" s="54"/>
      <c r="AA127" s="54"/>
      <c r="AB127" s="54"/>
      <c r="AC127" s="54"/>
      <c r="AD127" s="52"/>
      <c r="AE127" s="53"/>
      <c r="AF127" s="53"/>
      <c r="AG127" s="53"/>
      <c r="AH127" s="53"/>
      <c r="AI127" s="52"/>
      <c r="AJ127" s="53"/>
      <c r="AK127" s="53"/>
      <c r="AL127" s="53"/>
      <c r="AM127" s="53"/>
      <c r="AN127" s="52"/>
      <c r="AO127" s="53"/>
      <c r="AP127" s="53"/>
      <c r="AQ127" s="53"/>
      <c r="AR127" s="53"/>
      <c r="AS127" s="52"/>
      <c r="AT127" s="53"/>
      <c r="AU127" s="53"/>
      <c r="AV127" s="53"/>
      <c r="AW127" s="53"/>
      <c r="AX127" s="52"/>
      <c r="AY127" s="51"/>
      <c r="AZ127" s="51"/>
      <c r="BA127" s="51"/>
      <c r="BB127" s="51"/>
      <c r="BC127" s="19"/>
      <c r="BD127" s="51"/>
      <c r="BE127" s="51"/>
      <c r="BF127" s="51"/>
      <c r="BG127" s="51"/>
      <c r="BH127" s="19"/>
      <c r="BI127" s="51"/>
      <c r="BJ127" s="51"/>
      <c r="BK127" s="51"/>
      <c r="BL127" s="51"/>
      <c r="BM127" s="19"/>
      <c r="BN127" s="51"/>
      <c r="BO127" s="51"/>
      <c r="BP127" s="51"/>
      <c r="BQ127" s="51"/>
      <c r="BR127" s="19"/>
      <c r="BS127" s="51"/>
      <c r="BT127" s="51"/>
      <c r="BU127" s="51"/>
      <c r="BV127" s="51"/>
      <c r="BW127" s="19"/>
      <c r="BX127" s="19"/>
      <c r="BY127" s="19"/>
    </row>
    <row r="128" spans="1:77">
      <c r="A128" s="30"/>
      <c r="B128" s="37"/>
      <c r="C128" s="37"/>
      <c r="D128" s="37"/>
      <c r="E128" s="37"/>
      <c r="F128" s="38"/>
      <c r="G128" s="38"/>
      <c r="H128" s="38"/>
      <c r="I128" s="38"/>
      <c r="J128" s="37"/>
      <c r="K128" s="38"/>
      <c r="L128" s="38"/>
      <c r="M128" s="38"/>
      <c r="N128" s="38"/>
      <c r="O128" s="37"/>
      <c r="P128" s="31"/>
      <c r="Q128" s="31"/>
      <c r="R128" s="31"/>
      <c r="S128" s="31"/>
      <c r="T128" s="37"/>
      <c r="U128" s="31"/>
      <c r="V128" s="31"/>
      <c r="W128" s="31"/>
      <c r="X128" s="31"/>
      <c r="Y128" s="37"/>
      <c r="Z128" s="31"/>
      <c r="AA128" s="31"/>
      <c r="AB128" s="31"/>
      <c r="AC128" s="31"/>
      <c r="AD128" s="37"/>
      <c r="AE128" s="31"/>
      <c r="AF128" s="31"/>
      <c r="AG128" s="31"/>
      <c r="AH128" s="31"/>
      <c r="AI128" s="37"/>
      <c r="AJ128" s="31"/>
      <c r="AK128" s="31"/>
      <c r="AL128" s="31"/>
      <c r="AM128" s="31"/>
      <c r="AN128" s="37"/>
      <c r="AO128" s="31"/>
      <c r="AP128" s="31"/>
      <c r="AQ128" s="31"/>
      <c r="AR128" s="31"/>
      <c r="AS128" s="37"/>
      <c r="AT128" s="31"/>
      <c r="AU128" s="31"/>
      <c r="AV128" s="31"/>
      <c r="AW128" s="31"/>
      <c r="AX128" s="37"/>
      <c r="AY128" s="45"/>
      <c r="AZ128" s="45"/>
      <c r="BA128" s="45"/>
      <c r="BB128" s="45"/>
      <c r="BC128" s="28"/>
      <c r="BD128" s="45"/>
      <c r="BE128" s="45"/>
      <c r="BF128" s="45"/>
      <c r="BG128" s="45"/>
      <c r="BH128" s="28"/>
      <c r="BI128" s="45"/>
      <c r="BJ128" s="45"/>
      <c r="BK128" s="45"/>
      <c r="BL128" s="45"/>
      <c r="BM128" s="28"/>
      <c r="BN128" s="45"/>
      <c r="BO128" s="45"/>
      <c r="BP128" s="45"/>
      <c r="BQ128" s="45"/>
      <c r="BR128" s="28"/>
      <c r="BS128" s="45"/>
      <c r="BT128" s="45"/>
      <c r="BU128" s="45"/>
      <c r="BV128" s="45"/>
      <c r="BW128" s="28"/>
      <c r="BX128" s="28"/>
      <c r="BY128" s="28"/>
    </row>
    <row r="129" spans="1:77">
      <c r="A129" s="50" t="s">
        <v>27</v>
      </c>
      <c r="B129" s="37"/>
      <c r="C129" s="37"/>
      <c r="D129" s="37"/>
      <c r="E129" s="37"/>
      <c r="F129" s="38"/>
      <c r="G129" s="38"/>
      <c r="H129" s="38"/>
      <c r="I129" s="38"/>
      <c r="J129" s="37"/>
      <c r="K129" s="38"/>
      <c r="L129" s="38"/>
      <c r="M129" s="38"/>
      <c r="N129" s="38"/>
      <c r="O129" s="37"/>
      <c r="P129" s="31"/>
      <c r="Q129" s="31"/>
      <c r="R129" s="31"/>
      <c r="S129" s="31"/>
      <c r="T129" s="37"/>
      <c r="U129" s="31"/>
      <c r="V129" s="31"/>
      <c r="W129" s="31"/>
      <c r="X129" s="31"/>
      <c r="Y129" s="37"/>
      <c r="Z129" s="31"/>
      <c r="AA129" s="31"/>
      <c r="AB129" s="31"/>
      <c r="AC129" s="31"/>
      <c r="AD129" s="37"/>
      <c r="AE129" s="31"/>
      <c r="AF129" s="31"/>
      <c r="AG129" s="31"/>
      <c r="AH129" s="31"/>
      <c r="AI129" s="37"/>
      <c r="AJ129" s="31"/>
      <c r="AK129" s="31"/>
      <c r="AL129" s="31"/>
      <c r="AM129" s="31"/>
      <c r="AN129" s="37"/>
      <c r="AO129" s="31"/>
      <c r="AP129" s="31"/>
      <c r="AQ129" s="31"/>
      <c r="AR129" s="31"/>
      <c r="AS129" s="37"/>
      <c r="AT129" s="31"/>
      <c r="AU129" s="31"/>
      <c r="AV129" s="31"/>
      <c r="AW129" s="31"/>
      <c r="AX129" s="37"/>
      <c r="AY129" s="45"/>
      <c r="AZ129" s="45"/>
      <c r="BA129" s="45"/>
      <c r="BB129" s="45"/>
      <c r="BC129" s="28"/>
      <c r="BD129" s="45"/>
      <c r="BE129" s="45"/>
      <c r="BF129" s="45"/>
      <c r="BG129" s="45"/>
      <c r="BH129" s="28"/>
      <c r="BI129" s="45"/>
      <c r="BJ129" s="45"/>
      <c r="BK129" s="45"/>
      <c r="BL129" s="45"/>
      <c r="BM129" s="28"/>
      <c r="BN129" s="45"/>
      <c r="BO129" s="45"/>
      <c r="BP129" s="45"/>
      <c r="BQ129" s="45"/>
      <c r="BR129" s="28"/>
      <c r="BS129" s="45"/>
      <c r="BT129" s="45"/>
      <c r="BU129" s="45"/>
      <c r="BV129" s="45"/>
      <c r="BW129" s="28"/>
      <c r="BX129" s="28"/>
      <c r="BY129" s="28"/>
    </row>
    <row r="130" spans="1:77">
      <c r="A130" s="30"/>
      <c r="B130" s="37"/>
      <c r="C130" s="37"/>
      <c r="D130" s="37"/>
      <c r="E130" s="37"/>
      <c r="F130" s="38"/>
      <c r="G130" s="38"/>
      <c r="H130" s="38"/>
      <c r="I130" s="38"/>
      <c r="J130" s="37"/>
      <c r="K130" s="38"/>
      <c r="L130" s="38"/>
      <c r="M130" s="38"/>
      <c r="N130" s="38"/>
      <c r="O130" s="37"/>
      <c r="P130" s="31"/>
      <c r="Q130" s="31"/>
      <c r="R130" s="31"/>
      <c r="S130" s="31"/>
      <c r="T130" s="37"/>
      <c r="U130" s="31"/>
      <c r="V130" s="31"/>
      <c r="W130" s="31"/>
      <c r="X130" s="31"/>
      <c r="Y130" s="37"/>
      <c r="Z130" s="31"/>
      <c r="AA130" s="31"/>
      <c r="AB130" s="31"/>
      <c r="AC130" s="31"/>
      <c r="AD130" s="37"/>
      <c r="AE130" s="31"/>
      <c r="AF130" s="31"/>
      <c r="AG130" s="31"/>
      <c r="AH130" s="31"/>
      <c r="AI130" s="37"/>
      <c r="AJ130" s="31"/>
      <c r="AK130" s="31"/>
      <c r="AL130" s="31"/>
      <c r="AM130" s="31"/>
      <c r="AN130" s="37"/>
      <c r="AO130" s="31"/>
      <c r="AP130" s="31"/>
      <c r="AQ130" s="31"/>
      <c r="AR130" s="31"/>
      <c r="AS130" s="37"/>
      <c r="AT130" s="31"/>
      <c r="AU130" s="31"/>
      <c r="AV130" s="31"/>
      <c r="AW130" s="31"/>
      <c r="AX130" s="37"/>
      <c r="AY130" s="45"/>
      <c r="AZ130" s="45"/>
      <c r="BA130" s="45"/>
      <c r="BB130" s="45"/>
      <c r="BC130" s="28"/>
      <c r="BD130" s="45"/>
      <c r="BE130" s="45"/>
      <c r="BF130" s="45"/>
      <c r="BG130" s="45"/>
      <c r="BH130" s="28"/>
      <c r="BI130" s="45"/>
      <c r="BJ130" s="45"/>
      <c r="BK130" s="45"/>
      <c r="BL130" s="45"/>
      <c r="BM130" s="28"/>
      <c r="BN130" s="45"/>
      <c r="BO130" s="45"/>
      <c r="BP130" s="45"/>
      <c r="BQ130" s="45"/>
      <c r="BR130" s="28"/>
      <c r="BS130" s="45"/>
      <c r="BT130" s="45"/>
      <c r="BU130" s="45"/>
      <c r="BV130" s="45"/>
      <c r="BW130" s="28"/>
      <c r="BX130" s="28"/>
      <c r="BY130" s="28"/>
    </row>
    <row r="131" spans="1:77">
      <c r="A131" s="30" t="s">
        <v>26</v>
      </c>
      <c r="B131" s="48">
        <f>CF!H92</f>
        <v>580</v>
      </c>
      <c r="C131" s="48">
        <f>CF!I92</f>
        <v>570</v>
      </c>
      <c r="D131" s="48">
        <f>CF!J92</f>
        <v>646</v>
      </c>
      <c r="E131" s="48">
        <f>CF!K92</f>
        <v>820</v>
      </c>
      <c r="F131" s="49">
        <f>CF!L92</f>
        <v>166</v>
      </c>
      <c r="G131" s="49">
        <f>CF!M92</f>
        <v>165</v>
      </c>
      <c r="H131" s="49">
        <f>CF!N92</f>
        <v>165</v>
      </c>
      <c r="I131" s="49">
        <f>CF!O92</f>
        <v>387</v>
      </c>
      <c r="J131" s="48">
        <f>CF!P92</f>
        <v>883</v>
      </c>
      <c r="K131" s="49">
        <f>CF!Q92</f>
        <v>208</v>
      </c>
      <c r="L131" s="49">
        <f>CF!R92</f>
        <v>209</v>
      </c>
      <c r="M131" s="49">
        <f>CF!S92</f>
        <v>208</v>
      </c>
      <c r="N131" s="49">
        <f>CF!T92</f>
        <v>207</v>
      </c>
      <c r="O131" s="48">
        <f>CF!U92</f>
        <v>832</v>
      </c>
      <c r="P131" s="49">
        <f>CF!V92</f>
        <v>207</v>
      </c>
      <c r="Q131" s="49">
        <f>CF!W92</f>
        <v>249</v>
      </c>
      <c r="R131" s="49">
        <f>CF!X92</f>
        <v>249</v>
      </c>
      <c r="S131" s="49">
        <f>CF!Y92</f>
        <v>246</v>
      </c>
      <c r="T131" s="48">
        <f>CF!Z92</f>
        <v>951</v>
      </c>
      <c r="U131" s="49">
        <f>CF!AA92</f>
        <v>245</v>
      </c>
      <c r="V131" s="49">
        <f>CF!AB92</f>
        <v>245</v>
      </c>
      <c r="W131" s="49">
        <f>CF!AC92</f>
        <v>296</v>
      </c>
      <c r="X131" s="49">
        <f>CF!AD92</f>
        <v>294</v>
      </c>
      <c r="Y131" s="48">
        <f>CF!AE92</f>
        <v>1080</v>
      </c>
      <c r="Z131" s="49">
        <f>CF!AF92</f>
        <v>293</v>
      </c>
      <c r="AA131" s="49">
        <f>CF!AG92</f>
        <v>290</v>
      </c>
      <c r="AB131" s="49">
        <f>CF!AH92</f>
        <v>286</v>
      </c>
      <c r="AC131" s="49">
        <f>CF!AI92</f>
        <v>341</v>
      </c>
      <c r="AD131" s="48">
        <f>CF!AJ92</f>
        <v>1210</v>
      </c>
      <c r="AE131" s="49">
        <f>CF!AK92</f>
        <v>339</v>
      </c>
      <c r="AF131" s="49">
        <f>CF!AL92</f>
        <v>340</v>
      </c>
      <c r="AG131" s="49">
        <f>CF!AM92</f>
        <v>339</v>
      </c>
      <c r="AH131" s="49">
        <f>CF!AN92</f>
        <v>338</v>
      </c>
      <c r="AI131" s="48">
        <f>CF!AO92</f>
        <v>1356</v>
      </c>
      <c r="AJ131" s="49">
        <f>CF!AP92</f>
        <v>373</v>
      </c>
      <c r="AK131" s="49">
        <f>CF!AQ92</f>
        <v>371</v>
      </c>
      <c r="AL131" s="49">
        <f>CF!AR92</f>
        <v>370</v>
      </c>
      <c r="AM131" s="49">
        <f>CF!AS92</f>
        <v>368</v>
      </c>
      <c r="AN131" s="48">
        <f>CF!AT92</f>
        <v>1482</v>
      </c>
      <c r="AO131" s="49">
        <f>CF!AU92</f>
        <v>368</v>
      </c>
      <c r="AP131" s="49">
        <f>CF!AV92</f>
        <v>413</v>
      </c>
      <c r="AQ131" s="49">
        <f>CF!AW92</f>
        <v>411</v>
      </c>
      <c r="AR131" s="49">
        <f>CF!AX92</f>
        <v>410</v>
      </c>
      <c r="AS131" s="48">
        <f>CF!AY92</f>
        <v>1602</v>
      </c>
      <c r="AT131" s="49">
        <f>CF!AZ92</f>
        <v>412</v>
      </c>
      <c r="AU131" s="49">
        <f>CF!BA92</f>
        <v>413</v>
      </c>
      <c r="AV131" s="49">
        <f>CF!BB92</f>
        <v>463</v>
      </c>
      <c r="AW131" s="49">
        <f>CF!BC92</f>
        <v>464</v>
      </c>
      <c r="AX131" s="48">
        <f>CF!BD92</f>
        <v>1752</v>
      </c>
      <c r="AY131" s="49">
        <f>CF!BE92</f>
        <v>465</v>
      </c>
      <c r="AZ131" s="49">
        <f>CF!BF92</f>
        <v>465</v>
      </c>
      <c r="BA131" s="49">
        <f>CF!BG92</f>
        <v>465</v>
      </c>
      <c r="BB131" s="49">
        <f>CF!BH92</f>
        <v>512</v>
      </c>
      <c r="BC131" s="48">
        <f>CF!BI92</f>
        <v>1907</v>
      </c>
      <c r="BD131" s="49">
        <f>CF!BJ92</f>
        <v>514</v>
      </c>
      <c r="BE131" s="49">
        <f>CF!BK92</f>
        <v>513</v>
      </c>
      <c r="BF131" s="49">
        <f>CF!BL92</f>
        <v>511</v>
      </c>
      <c r="BG131" s="49">
        <f>CF!BM92</f>
        <v>510</v>
      </c>
      <c r="BH131" s="48">
        <f>CF!BN92</f>
        <v>2048</v>
      </c>
      <c r="BI131" s="49">
        <f>CF!BO92</f>
        <v>553</v>
      </c>
      <c r="BJ131" s="49">
        <f>CF!BP92</f>
        <v>543</v>
      </c>
      <c r="BK131" s="49">
        <f>CF!BQ92</f>
        <v>547</v>
      </c>
      <c r="BL131" s="49">
        <f>CF!BR92</f>
        <v>541</v>
      </c>
      <c r="BM131" s="48">
        <f>CF!BS92</f>
        <v>2184</v>
      </c>
      <c r="BN131" s="49">
        <f>CF!BT92</f>
        <v>509</v>
      </c>
      <c r="BO131" s="49">
        <f>CF!BU92</f>
        <v>526</v>
      </c>
      <c r="BP131" s="49">
        <f>CF!BV92</f>
        <v>526</v>
      </c>
      <c r="BQ131" s="49">
        <f>CF!BW92</f>
        <v>508</v>
      </c>
      <c r="BR131" s="48">
        <f>CF!BX92</f>
        <v>2069</v>
      </c>
      <c r="BS131" s="49">
        <f>CF!BY92</f>
        <v>505</v>
      </c>
      <c r="BT131" s="49">
        <f>CF!BZ92</f>
        <v>503</v>
      </c>
      <c r="BU131" s="49">
        <f>CF!CA92</f>
        <v>533</v>
      </c>
      <c r="BV131" s="49">
        <f>CF!CB92</f>
        <v>552.38444022381532</v>
      </c>
      <c r="BW131" s="48">
        <f>CF!CC92</f>
        <v>2093.3844402238155</v>
      </c>
      <c r="BX131" s="48">
        <f>CF!CH92</f>
        <v>2278.2093407351431</v>
      </c>
      <c r="BY131" s="48">
        <f>CF!CI92</f>
        <v>2415.7441587170242</v>
      </c>
    </row>
    <row r="132" spans="1:77">
      <c r="A132" s="41" t="s">
        <v>25</v>
      </c>
      <c r="B132" s="46">
        <f t="shared" ref="B132:AG132" si="44">B31/B29</f>
        <v>0.34664856449471471</v>
      </c>
      <c r="C132" s="46">
        <f t="shared" si="44"/>
        <v>0.31609209780388087</v>
      </c>
      <c r="D132" s="46">
        <f t="shared" si="44"/>
        <v>0.30917343082004667</v>
      </c>
      <c r="E132" s="46">
        <f t="shared" si="44"/>
        <v>0.36866627058511608</v>
      </c>
      <c r="F132" s="47">
        <f t="shared" si="44"/>
        <v>0.29838989762375939</v>
      </c>
      <c r="G132" s="47">
        <f t="shared" si="44"/>
        <v>0.19884614681914606</v>
      </c>
      <c r="H132" s="47">
        <f t="shared" si="44"/>
        <v>0.23442612114176381</v>
      </c>
      <c r="I132" s="47">
        <f t="shared" si="44"/>
        <v>0.62283737024221453</v>
      </c>
      <c r="J132" s="46">
        <f t="shared" si="44"/>
        <v>0.32245553884364148</v>
      </c>
      <c r="K132" s="47">
        <f t="shared" si="44"/>
        <v>0.31712377761454996</v>
      </c>
      <c r="L132" s="47">
        <f t="shared" si="44"/>
        <v>0.21382213871664266</v>
      </c>
      <c r="M132" s="47">
        <f t="shared" si="44"/>
        <v>0.27198538367844094</v>
      </c>
      <c r="N132" s="47">
        <f t="shared" si="44"/>
        <v>0.28601016197511847</v>
      </c>
      <c r="O132" s="46">
        <f t="shared" si="44"/>
        <v>0.26299640735550345</v>
      </c>
      <c r="P132" s="47">
        <f t="shared" si="44"/>
        <v>0.26903309110399481</v>
      </c>
      <c r="Q132" s="47">
        <f t="shared" si="44"/>
        <v>0.22520565373475682</v>
      </c>
      <c r="R132" s="47">
        <f t="shared" si="44"/>
        <v>0.25058514620726624</v>
      </c>
      <c r="S132" s="47">
        <f t="shared" si="44"/>
        <v>0.28504999242407086</v>
      </c>
      <c r="T132" s="46">
        <f t="shared" si="44"/>
        <v>0.25745916443924305</v>
      </c>
      <c r="U132" s="47">
        <f t="shared" si="44"/>
        <v>0.29871501505673753</v>
      </c>
      <c r="V132" s="47">
        <f t="shared" si="44"/>
        <v>0.21303080578442807</v>
      </c>
      <c r="W132" s="47">
        <f t="shared" si="44"/>
        <v>0.24740793191427393</v>
      </c>
      <c r="X132" s="47">
        <f t="shared" si="44"/>
        <v>0.27748623575383907</v>
      </c>
      <c r="Y132" s="46">
        <f t="shared" si="44"/>
        <v>0.25709937418528878</v>
      </c>
      <c r="Z132" s="47">
        <f t="shared" si="44"/>
        <v>0.29354082443201374</v>
      </c>
      <c r="AA132" s="47">
        <f t="shared" si="44"/>
        <v>0.22783854035331352</v>
      </c>
      <c r="AB132" s="47">
        <f t="shared" si="44"/>
        <v>0.22546533849560488</v>
      </c>
      <c r="AC132" s="47">
        <f t="shared" si="44"/>
        <v>0.29436467119880355</v>
      </c>
      <c r="AD132" s="46">
        <f t="shared" si="44"/>
        <v>0.26134739753761871</v>
      </c>
      <c r="AE132" s="47">
        <f t="shared" si="44"/>
        <v>0.45969970516447783</v>
      </c>
      <c r="AF132" s="47">
        <f t="shared" si="44"/>
        <v>0.34466232934021401</v>
      </c>
      <c r="AG132" s="47">
        <f t="shared" si="44"/>
        <v>0.31769861503552471</v>
      </c>
      <c r="AH132" s="47">
        <f t="shared" ref="AH132:BM132" si="45">AH31/AH29</f>
        <v>0.3129541763483627</v>
      </c>
      <c r="AI132" s="46">
        <f t="shared" si="45"/>
        <v>0.35119101070947062</v>
      </c>
      <c r="AJ132" s="47">
        <f t="shared" si="45"/>
        <v>0.42883255813235116</v>
      </c>
      <c r="AK132" s="47">
        <f t="shared" si="45"/>
        <v>0.3327701477535478</v>
      </c>
      <c r="AL132" s="47">
        <f t="shared" si="45"/>
        <v>0.30737405797181133</v>
      </c>
      <c r="AM132" s="47">
        <f t="shared" si="45"/>
        <v>0.30518693455266604</v>
      </c>
      <c r="AN132" s="46">
        <f t="shared" si="45"/>
        <v>0.33944629645026753</v>
      </c>
      <c r="AO132" s="47">
        <f t="shared" si="45"/>
        <v>0.40044541709577758</v>
      </c>
      <c r="AP132" s="47">
        <f t="shared" si="45"/>
        <v>0.33984747081712058</v>
      </c>
      <c r="AQ132" s="47">
        <f t="shared" si="45"/>
        <v>0.33637296037296038</v>
      </c>
      <c r="AR132" s="47">
        <f t="shared" si="45"/>
        <v>0.3376525821596244</v>
      </c>
      <c r="AS132" s="46">
        <f t="shared" si="45"/>
        <v>0.33214163444477357</v>
      </c>
      <c r="AT132" s="47">
        <f t="shared" si="45"/>
        <v>0.35215829661381015</v>
      </c>
      <c r="AU132" s="47">
        <f t="shared" si="45"/>
        <v>0.28570353815044391</v>
      </c>
      <c r="AV132" s="47">
        <f t="shared" si="45"/>
        <v>0.38984096385542177</v>
      </c>
      <c r="AW132" s="47">
        <f t="shared" si="45"/>
        <v>0.51629766949152545</v>
      </c>
      <c r="AX132" s="46">
        <f t="shared" si="45"/>
        <v>0.37364144731420379</v>
      </c>
      <c r="AY132" s="47">
        <f t="shared" si="45"/>
        <v>0.3850314960629922</v>
      </c>
      <c r="AZ132" s="47">
        <f t="shared" si="45"/>
        <v>0.31507087628865982</v>
      </c>
      <c r="BA132" s="47">
        <f t="shared" si="45"/>
        <v>0.34614310954063604</v>
      </c>
      <c r="BB132" s="47">
        <f t="shared" si="45"/>
        <v>0.35334713595583161</v>
      </c>
      <c r="BC132" s="46">
        <f t="shared" si="45"/>
        <v>0.34817599946548389</v>
      </c>
      <c r="BD132" s="47">
        <f t="shared" si="45"/>
        <v>0.42374278647980212</v>
      </c>
      <c r="BE132" s="47">
        <f t="shared" si="45"/>
        <v>0.30535714285714288</v>
      </c>
      <c r="BF132" s="47">
        <f t="shared" si="45"/>
        <v>0.27562028047464943</v>
      </c>
      <c r="BG132" s="47">
        <f t="shared" si="45"/>
        <v>0.3462321792260693</v>
      </c>
      <c r="BH132" s="46">
        <f t="shared" si="45"/>
        <v>0.32926225266599191</v>
      </c>
      <c r="BI132" s="47">
        <f t="shared" si="45"/>
        <v>0.424164327243162</v>
      </c>
      <c r="BJ132" s="47">
        <f t="shared" si="45"/>
        <v>0.35930283339729763</v>
      </c>
      <c r="BK132" s="47">
        <f t="shared" si="45"/>
        <v>0.3699455816808051</v>
      </c>
      <c r="BL132" s="47">
        <f t="shared" si="45"/>
        <v>0.4167950693374422</v>
      </c>
      <c r="BM132" s="46">
        <f t="shared" si="45"/>
        <v>0.39072553290534612</v>
      </c>
      <c r="BN132" s="47">
        <f t="shared" ref="BN132:BW132" si="46">BN31/BN29</f>
        <v>0.41668372150137123</v>
      </c>
      <c r="BO132" s="47">
        <f t="shared" si="46"/>
        <v>0.34798141011858486</v>
      </c>
      <c r="BP132" s="47">
        <f t="shared" si="46"/>
        <v>0.36036776695304257</v>
      </c>
      <c r="BQ132" s="47">
        <f t="shared" si="46"/>
        <v>0.40094711917916342</v>
      </c>
      <c r="BR132" s="46">
        <f t="shared" si="46"/>
        <v>0.37895786051042823</v>
      </c>
      <c r="BS132" s="47">
        <f>BS31/BS29</f>
        <v>0.42598059890341633</v>
      </c>
      <c r="BT132" s="47">
        <f>BT31/BT29</f>
        <v>0.3401176550138616</v>
      </c>
      <c r="BU132" s="47">
        <f>BU31/BU29</f>
        <v>0.38684298384404353</v>
      </c>
      <c r="BV132" s="47">
        <f>BV31/BV29</f>
        <v>0.44494801326911843</v>
      </c>
      <c r="BW132" s="46">
        <f t="shared" si="46"/>
        <v>0.39635057969732695</v>
      </c>
      <c r="BX132" s="46">
        <f>BX31/BX29</f>
        <v>0.41503802360512898</v>
      </c>
      <c r="BY132" s="46">
        <f>BY31/BY29</f>
        <v>0.38799908383289405</v>
      </c>
    </row>
    <row r="133" spans="1:77">
      <c r="A133" s="30" t="s">
        <v>24</v>
      </c>
      <c r="B133" s="37">
        <f t="shared" ref="B133:AG133" si="47">B31/B32</f>
        <v>0.4002174997486872</v>
      </c>
      <c r="C133" s="37">
        <f t="shared" si="47"/>
        <v>0.29282336785082275</v>
      </c>
      <c r="D133" s="37">
        <f t="shared" si="47"/>
        <v>0.3049456512190668</v>
      </c>
      <c r="E133" s="37">
        <f t="shared" si="47"/>
        <v>0.37118169076821284</v>
      </c>
      <c r="F133" s="45">
        <f t="shared" si="47"/>
        <v>0.25810491929464907</v>
      </c>
      <c r="G133" s="45">
        <f t="shared" si="47"/>
        <v>0.17173076316198976</v>
      </c>
      <c r="H133" s="45">
        <f t="shared" si="47"/>
        <v>0.21924062341598158</v>
      </c>
      <c r="I133" s="45">
        <f t="shared" si="47"/>
        <v>0.69179032774634364</v>
      </c>
      <c r="J133" s="37">
        <f t="shared" si="47"/>
        <v>0.30957508343528667</v>
      </c>
      <c r="K133" s="45">
        <f t="shared" si="47"/>
        <v>0.29747489802171762</v>
      </c>
      <c r="L133" s="45">
        <f t="shared" si="47"/>
        <v>0.20658835491926369</v>
      </c>
      <c r="M133" s="45">
        <f t="shared" si="47"/>
        <v>0.24646799116997795</v>
      </c>
      <c r="N133" s="45">
        <f t="shared" si="47"/>
        <v>0.25776665848007552</v>
      </c>
      <c r="O133" s="37">
        <f t="shared" si="47"/>
        <v>0.24438197734884373</v>
      </c>
      <c r="P133" s="45">
        <f t="shared" si="47"/>
        <v>0.26694756326597935</v>
      </c>
      <c r="Q133" s="45">
        <f t="shared" si="47"/>
        <v>0.41818490920780599</v>
      </c>
      <c r="R133" s="45">
        <f t="shared" si="47"/>
        <v>0.2120499622960384</v>
      </c>
      <c r="S133" s="45">
        <f t="shared" si="47"/>
        <v>0.18908607626289978</v>
      </c>
      <c r="T133" s="37">
        <f t="shared" si="47"/>
        <v>0.24963304798317879</v>
      </c>
      <c r="U133" s="45">
        <f t="shared" si="47"/>
        <v>0.99856162176109409</v>
      </c>
      <c r="V133" s="45">
        <f t="shared" si="47"/>
        <v>0.20413970370661386</v>
      </c>
      <c r="W133" s="45">
        <f t="shared" si="47"/>
        <v>0.25864392532872127</v>
      </c>
      <c r="X133" s="45">
        <f t="shared" si="47"/>
        <v>0.18510724348588384</v>
      </c>
      <c r="Y133" s="37">
        <f t="shared" si="47"/>
        <v>0.25999228071789793</v>
      </c>
      <c r="Z133" s="45">
        <f t="shared" si="47"/>
        <v>0.45090756441169544</v>
      </c>
      <c r="AA133" s="45">
        <f t="shared" si="47"/>
        <v>0.26100102331579045</v>
      </c>
      <c r="AB133" s="45">
        <f t="shared" si="47"/>
        <v>0.18258807565470489</v>
      </c>
      <c r="AC133" s="45">
        <f t="shared" si="47"/>
        <v>0.20882747739939905</v>
      </c>
      <c r="AD133" s="37">
        <f t="shared" si="47"/>
        <v>0.24781758282181884</v>
      </c>
      <c r="AE133" s="45">
        <f t="shared" si="47"/>
        <v>1.0478912603086556</v>
      </c>
      <c r="AF133" s="45">
        <f t="shared" si="47"/>
        <v>0.24547673040887033</v>
      </c>
      <c r="AG133" s="45">
        <f t="shared" si="47"/>
        <v>0.19852971432358826</v>
      </c>
      <c r="AH133" s="45">
        <f t="shared" ref="AH133:BM133" si="48">AH31/AH32</f>
        <v>0.29211142820356178</v>
      </c>
      <c r="AI133" s="37">
        <f t="shared" si="48"/>
        <v>0.29706050583036886</v>
      </c>
      <c r="AJ133" s="45">
        <f t="shared" si="48"/>
        <v>0.36878748296188291</v>
      </c>
      <c r="AK133" s="45">
        <f t="shared" si="48"/>
        <v>0.29668663775617515</v>
      </c>
      <c r="AL133" s="45">
        <f t="shared" si="48"/>
        <v>0.24565318308887926</v>
      </c>
      <c r="AM133" s="45">
        <f t="shared" si="48"/>
        <v>0.2836582438206563</v>
      </c>
      <c r="AN133" s="37">
        <f t="shared" si="48"/>
        <v>0.29446511691668714</v>
      </c>
      <c r="AO133" s="45">
        <f t="shared" si="48"/>
        <v>0.33840948651000868</v>
      </c>
      <c r="AP133" s="45">
        <f t="shared" si="48"/>
        <v>0.38887266251113084</v>
      </c>
      <c r="AQ133" s="45">
        <f t="shared" si="48"/>
        <v>0.25346135831381733</v>
      </c>
      <c r="AR133" s="45">
        <f t="shared" si="48"/>
        <v>0.27822050290135397</v>
      </c>
      <c r="AS133" s="37">
        <f t="shared" si="48"/>
        <v>0.28950548176789975</v>
      </c>
      <c r="AT133" s="45">
        <f t="shared" si="48"/>
        <v>0.37189670647739564</v>
      </c>
      <c r="AU133" s="45">
        <f t="shared" si="48"/>
        <v>0.28434396998793326</v>
      </c>
      <c r="AV133" s="45">
        <f t="shared" si="48"/>
        <v>0.37106422018348628</v>
      </c>
      <c r="AW133" s="45">
        <f t="shared" si="48"/>
        <v>0.37119954303122626</v>
      </c>
      <c r="AX133" s="37">
        <f t="shared" si="48"/>
        <v>0.34670717120413075</v>
      </c>
      <c r="AY133" s="45">
        <f t="shared" si="48"/>
        <v>0.43894973070017956</v>
      </c>
      <c r="AZ133" s="45">
        <f t="shared" si="48"/>
        <v>0.31145859872611464</v>
      </c>
      <c r="BA133" s="45">
        <f t="shared" si="48"/>
        <v>0.42223491379310352</v>
      </c>
      <c r="BB133" s="45">
        <f t="shared" si="48"/>
        <v>0.25963488843813393</v>
      </c>
      <c r="BC133" s="37">
        <f t="shared" si="48"/>
        <v>0.3403935235489583</v>
      </c>
      <c r="BD133" s="45">
        <f t="shared" si="48"/>
        <v>0.51297405189620759</v>
      </c>
      <c r="BE133" s="45">
        <f t="shared" si="48"/>
        <v>0.38398203592814373</v>
      </c>
      <c r="BF133" s="45">
        <f t="shared" si="48"/>
        <v>0.33333333333333331</v>
      </c>
      <c r="BG133" s="45">
        <f t="shared" si="48"/>
        <v>0.29092983456930976</v>
      </c>
      <c r="BH133" s="37">
        <f t="shared" si="48"/>
        <v>0.36415562083614328</v>
      </c>
      <c r="BI133" s="45">
        <f t="shared" si="48"/>
        <v>0.57484407484407485</v>
      </c>
      <c r="BJ133" s="45">
        <f t="shared" si="48"/>
        <v>0.46095076400679119</v>
      </c>
      <c r="BK133" s="45">
        <f t="shared" si="48"/>
        <v>0.86687797147385093</v>
      </c>
      <c r="BL133" s="45">
        <f t="shared" si="48"/>
        <v>0.26441837732160312</v>
      </c>
      <c r="BM133" s="37">
        <f t="shared" si="48"/>
        <v>0.4535560029857677</v>
      </c>
      <c r="BN133" s="45">
        <f t="shared" ref="BN133:BW133" si="49">BN31/BN32</f>
        <v>1</v>
      </c>
      <c r="BO133" s="45">
        <f t="shared" si="49"/>
        <v>0.37225760792639773</v>
      </c>
      <c r="BP133" s="45">
        <f t="shared" si="49"/>
        <v>0.33782915863840718</v>
      </c>
      <c r="BQ133" s="45">
        <f t="shared" si="49"/>
        <v>0.42724978973927674</v>
      </c>
      <c r="BR133" s="37">
        <f t="shared" si="49"/>
        <v>0.43900133336144875</v>
      </c>
      <c r="BS133" s="45">
        <f>BS31/BS32</f>
        <v>0.75598802395209586</v>
      </c>
      <c r="BT133" s="45">
        <f>BT31/BT32</f>
        <v>0.29588235294117643</v>
      </c>
      <c r="BU133" s="45">
        <f>BU31/BU32</f>
        <v>-1.1292372881355932</v>
      </c>
      <c r="BV133" s="45">
        <f>BV31/BV32</f>
        <v>0.31636155870617233</v>
      </c>
      <c r="BW133" s="37">
        <f t="shared" si="49"/>
        <v>0.57340774349537371</v>
      </c>
      <c r="BX133" s="37">
        <f>BX31/BX32</f>
        <v>0.42190751668744086</v>
      </c>
      <c r="BY133" s="37">
        <f>BY31/BY32</f>
        <v>0.36390522956619442</v>
      </c>
    </row>
    <row r="134" spans="1:77">
      <c r="A134" s="30"/>
      <c r="B134" s="32"/>
      <c r="C134" s="32"/>
      <c r="D134" s="32"/>
      <c r="E134" s="32"/>
      <c r="F134" s="30"/>
      <c r="G134" s="30"/>
      <c r="H134" s="30"/>
      <c r="I134" s="30"/>
      <c r="J134" s="32"/>
      <c r="K134" s="30"/>
      <c r="L134" s="30"/>
      <c r="M134" s="30"/>
      <c r="N134" s="30"/>
      <c r="O134" s="32"/>
      <c r="P134" s="30"/>
      <c r="Q134" s="30"/>
      <c r="R134" s="30"/>
      <c r="S134" s="30"/>
      <c r="T134" s="32"/>
      <c r="U134" s="30"/>
      <c r="V134" s="30"/>
      <c r="W134" s="30"/>
      <c r="X134" s="30"/>
      <c r="Y134" s="32"/>
      <c r="Z134" s="30"/>
      <c r="AA134" s="30"/>
      <c r="AB134" s="30"/>
      <c r="AC134" s="30"/>
      <c r="AD134" s="32"/>
      <c r="AE134" s="30"/>
      <c r="AF134" s="30"/>
      <c r="AG134" s="30"/>
      <c r="AH134" s="30"/>
      <c r="AI134" s="32"/>
      <c r="AJ134" s="30"/>
      <c r="AK134" s="30"/>
      <c r="AL134" s="30"/>
      <c r="AM134" s="30"/>
      <c r="AN134" s="32"/>
      <c r="AO134" s="30"/>
      <c r="AP134" s="30"/>
      <c r="AQ134" s="30"/>
      <c r="AR134" s="30"/>
      <c r="AS134" s="32"/>
      <c r="AT134" s="30"/>
      <c r="AU134" s="30"/>
      <c r="AV134" s="30"/>
      <c r="AW134" s="30"/>
      <c r="AX134" s="32"/>
      <c r="AY134" s="30"/>
      <c r="AZ134" s="30"/>
      <c r="BA134" s="30"/>
      <c r="BB134" s="30"/>
      <c r="BC134" s="32"/>
      <c r="BD134" s="30"/>
      <c r="BE134" s="30"/>
      <c r="BF134" s="30"/>
      <c r="BG134" s="30"/>
      <c r="BH134" s="32"/>
      <c r="BI134" s="30"/>
      <c r="BJ134" s="30"/>
      <c r="BK134" s="30"/>
      <c r="BL134" s="30"/>
      <c r="BM134" s="32"/>
      <c r="BN134" s="30"/>
      <c r="BO134" s="30"/>
      <c r="BP134" s="30"/>
      <c r="BQ134" s="30"/>
      <c r="BR134" s="32"/>
      <c r="BS134" s="30"/>
      <c r="BT134" s="30"/>
      <c r="BU134" s="30"/>
      <c r="BV134" s="30"/>
      <c r="BW134" s="32"/>
      <c r="BX134" s="32"/>
      <c r="BY134" s="32"/>
    </row>
    <row r="135" spans="1:77">
      <c r="A135" s="44" t="s">
        <v>23</v>
      </c>
      <c r="B135" s="42">
        <f>CF!H32</f>
        <v>-1168</v>
      </c>
      <c r="C135" s="42">
        <f>CF!I32</f>
        <v>-439</v>
      </c>
      <c r="D135" s="42">
        <f>CF!J32</f>
        <v>-402</v>
      </c>
      <c r="E135" s="42">
        <f>CF!K32</f>
        <v>-1097</v>
      </c>
      <c r="F135" s="43">
        <f>CF!L32</f>
        <v>-44</v>
      </c>
      <c r="G135" s="43">
        <f>CF!M32</f>
        <v>-165</v>
      </c>
      <c r="H135" s="43">
        <f>CF!N32</f>
        <v>-132</v>
      </c>
      <c r="I135" s="43">
        <f>CF!O32</f>
        <v>-734</v>
      </c>
      <c r="J135" s="42">
        <f>CF!P32</f>
        <v>-1075</v>
      </c>
      <c r="K135" s="43">
        <f>CF!Q32</f>
        <v>-125</v>
      </c>
      <c r="L135" s="43">
        <f>CF!R32</f>
        <v>-2241</v>
      </c>
      <c r="M135" s="43">
        <f>CF!S32</f>
        <v>-1204</v>
      </c>
      <c r="N135" s="43">
        <f>CF!T32</f>
        <v>-493</v>
      </c>
      <c r="O135" s="42">
        <f>CF!U32</f>
        <v>-4063</v>
      </c>
      <c r="P135" s="43">
        <f>CF!V32</f>
        <v>-119</v>
      </c>
      <c r="Q135" s="43">
        <f>CF!W32</f>
        <v>-253</v>
      </c>
      <c r="R135" s="43">
        <f>CF!X32</f>
        <v>-146</v>
      </c>
      <c r="S135" s="43">
        <f>CF!Y32</f>
        <v>-393</v>
      </c>
      <c r="T135" s="42">
        <f>CF!Z32</f>
        <v>-911</v>
      </c>
      <c r="U135" s="43">
        <f>CF!AA32</f>
        <v>-240</v>
      </c>
      <c r="V135" s="43">
        <f>CF!AB32</f>
        <v>-130</v>
      </c>
      <c r="W135" s="43">
        <f>CF!AC32</f>
        <v>-1264</v>
      </c>
      <c r="X135" s="43">
        <f>CF!AD32</f>
        <v>-403</v>
      </c>
      <c r="Y135" s="42">
        <f>CF!AE32</f>
        <v>-2037</v>
      </c>
      <c r="Z135" s="43">
        <f>CF!AF32</f>
        <v>-157</v>
      </c>
      <c r="AA135" s="43">
        <f>CF!AG32</f>
        <v>-389</v>
      </c>
      <c r="AB135" s="43">
        <f>CF!AH32</f>
        <v>-162</v>
      </c>
      <c r="AC135" s="43">
        <f>CF!AI32</f>
        <v>-544</v>
      </c>
      <c r="AD135" s="42">
        <f>CF!AJ32</f>
        <v>-1252</v>
      </c>
      <c r="AE135" s="43">
        <f>CF!AK32</f>
        <v>-122</v>
      </c>
      <c r="AF135" s="43">
        <f>CF!AL32</f>
        <v>-71</v>
      </c>
      <c r="AG135" s="43">
        <f>CF!AM32</f>
        <v>-297</v>
      </c>
      <c r="AH135" s="43">
        <f>CF!AN32</f>
        <v>-213</v>
      </c>
      <c r="AI135" s="42">
        <f>CF!AO32</f>
        <v>-703</v>
      </c>
      <c r="AJ135" s="43">
        <f>CF!AP32</f>
        <v>-2108</v>
      </c>
      <c r="AK135" s="43">
        <f>CF!AQ32</f>
        <v>-260</v>
      </c>
      <c r="AL135" s="43">
        <f>CF!AR32</f>
        <v>-183</v>
      </c>
      <c r="AM135" s="43">
        <f>CF!AS32</f>
        <v>-207</v>
      </c>
      <c r="AN135" s="42">
        <f>CF!AT32</f>
        <v>-2758</v>
      </c>
      <c r="AO135" s="43">
        <f>CF!AU32</f>
        <v>-106</v>
      </c>
      <c r="AP135" s="43">
        <f>CF!AV32</f>
        <v>-78</v>
      </c>
      <c r="AQ135" s="43">
        <f>CF!AW32</f>
        <v>-45</v>
      </c>
      <c r="AR135" s="43">
        <f>CF!AX32</f>
        <v>-128</v>
      </c>
      <c r="AS135" s="42">
        <f>CF!AY32</f>
        <v>-357</v>
      </c>
      <c r="AT135" s="43">
        <f>CF!AZ32</f>
        <v>-72</v>
      </c>
      <c r="AU135" s="43">
        <f>CF!BA32</f>
        <v>-137</v>
      </c>
      <c r="AV135" s="43">
        <f>CF!BB32</f>
        <v>-15799</v>
      </c>
      <c r="AW135" s="43">
        <f>CF!BC32</f>
        <v>-18</v>
      </c>
      <c r="AX135" s="42">
        <f>CF!BD32</f>
        <v>-16026</v>
      </c>
      <c r="AY135" s="43">
        <f>CF!BE32</f>
        <v>0</v>
      </c>
      <c r="AZ135" s="43">
        <f>CF!BF32</f>
        <v>0</v>
      </c>
      <c r="BA135" s="43">
        <f>CF!BG32</f>
        <v>0</v>
      </c>
      <c r="BB135" s="43">
        <f>CF!BH32</f>
        <v>0</v>
      </c>
      <c r="BC135" s="42">
        <f>CF!BI32</f>
        <v>0</v>
      </c>
      <c r="BD135" s="43">
        <f>CF!BJ32</f>
        <v>0</v>
      </c>
      <c r="BE135" s="43">
        <f>CF!BK32</f>
        <v>0</v>
      </c>
      <c r="BF135" s="43">
        <f>CF!BL32</f>
        <v>-207</v>
      </c>
      <c r="BG135" s="43">
        <f>CF!BM32</f>
        <v>-195</v>
      </c>
      <c r="BH135" s="42">
        <f>CF!BN32</f>
        <v>-402</v>
      </c>
      <c r="BI135" s="43">
        <f>CF!BO32</f>
        <v>-230</v>
      </c>
      <c r="BJ135" s="43">
        <f>CF!BP32</f>
        <v>-19</v>
      </c>
      <c r="BK135" s="43">
        <f>CF!BQ32</f>
        <v>-67</v>
      </c>
      <c r="BL135" s="43">
        <f>CF!BR32</f>
        <v>-181</v>
      </c>
      <c r="BM135" s="42">
        <f>CF!BS32</f>
        <v>-497</v>
      </c>
      <c r="BN135" s="43">
        <f>CF!BT32</f>
        <v>-63</v>
      </c>
      <c r="BO135" s="43">
        <f>CF!BU32</f>
        <v>-425</v>
      </c>
      <c r="BP135" s="43">
        <f>CF!BV32</f>
        <v>0</v>
      </c>
      <c r="BQ135" s="43">
        <f>CF!BW32</f>
        <v>-112</v>
      </c>
      <c r="BR135" s="42">
        <f>CF!BX32</f>
        <v>-600</v>
      </c>
      <c r="BS135" s="43">
        <f>CF!BY32</f>
        <v>-100</v>
      </c>
      <c r="BT135" s="43">
        <f>CF!BZ32</f>
        <v>-49</v>
      </c>
      <c r="BU135" s="43">
        <f>CF!CA32</f>
        <v>-10</v>
      </c>
      <c r="BV135" s="43">
        <f>CF!CB32</f>
        <v>0</v>
      </c>
      <c r="BW135" s="42">
        <f>CF!CC32</f>
        <v>-159</v>
      </c>
      <c r="BX135" s="42">
        <f>CF!CH32</f>
        <v>0</v>
      </c>
      <c r="BY135" s="42">
        <f>CF!CI32</f>
        <v>0</v>
      </c>
    </row>
    <row r="136" spans="1:77">
      <c r="A136" s="44" t="s">
        <v>22</v>
      </c>
      <c r="B136" s="42">
        <f>CF!H33</f>
        <v>0</v>
      </c>
      <c r="C136" s="42">
        <f>CF!I33</f>
        <v>17</v>
      </c>
      <c r="D136" s="42">
        <f>CF!J33</f>
        <v>26</v>
      </c>
      <c r="E136" s="42">
        <f>CF!K33</f>
        <v>15</v>
      </c>
      <c r="F136" s="43">
        <f>CF!L33</f>
        <v>3</v>
      </c>
      <c r="G136" s="43">
        <f>CF!M33</f>
        <v>3</v>
      </c>
      <c r="H136" s="43">
        <f>CF!N33</f>
        <v>1</v>
      </c>
      <c r="I136" s="43">
        <f>CF!O33</f>
        <v>20</v>
      </c>
      <c r="J136" s="42">
        <f>CF!P33</f>
        <v>27</v>
      </c>
      <c r="K136" s="43">
        <f>CF!Q33</f>
        <v>5</v>
      </c>
      <c r="L136" s="43">
        <f>CF!R33</f>
        <v>0</v>
      </c>
      <c r="M136" s="43">
        <f>CF!S33</f>
        <v>303</v>
      </c>
      <c r="N136" s="43">
        <f>CF!T33</f>
        <v>0</v>
      </c>
      <c r="O136" s="42">
        <f>CF!U33</f>
        <v>308</v>
      </c>
      <c r="P136" s="43">
        <f>CF!V33</f>
        <v>29</v>
      </c>
      <c r="Q136" s="43">
        <f>CF!W33</f>
        <v>186</v>
      </c>
      <c r="R136" s="43">
        <f>CF!X33</f>
        <v>130</v>
      </c>
      <c r="S136" s="43">
        <f>CF!Y33</f>
        <v>106</v>
      </c>
      <c r="T136" s="42">
        <f>CF!Z33</f>
        <v>451</v>
      </c>
      <c r="U136" s="43">
        <f>CF!AA33</f>
        <v>130</v>
      </c>
      <c r="V136" s="43">
        <f>CF!AB33</f>
        <v>32</v>
      </c>
      <c r="W136" s="43">
        <f>CF!AC33</f>
        <v>28</v>
      </c>
      <c r="X136" s="43">
        <f>CF!AD33</f>
        <v>108</v>
      </c>
      <c r="Y136" s="42">
        <f>CF!AE33</f>
        <v>298</v>
      </c>
      <c r="Z136" s="43">
        <f>CF!AF33</f>
        <v>31</v>
      </c>
      <c r="AA136" s="43">
        <f>CF!AG33</f>
        <v>54</v>
      </c>
      <c r="AB136" s="43">
        <f>CF!AH33</f>
        <v>185</v>
      </c>
      <c r="AC136" s="43">
        <f>CF!AI33</f>
        <v>67</v>
      </c>
      <c r="AD136" s="42">
        <f>CF!AJ33</f>
        <v>337</v>
      </c>
      <c r="AE136" s="43">
        <f>CF!AK33</f>
        <v>0</v>
      </c>
      <c r="AF136" s="43">
        <f>CF!AL33</f>
        <v>40</v>
      </c>
      <c r="AG136" s="43">
        <f>CF!AM33</f>
        <v>0</v>
      </c>
      <c r="AH136" s="43">
        <f>CF!AN33</f>
        <v>118</v>
      </c>
      <c r="AI136" s="42">
        <f>CF!AO33</f>
        <v>158</v>
      </c>
      <c r="AJ136" s="43">
        <f>CF!AP33</f>
        <v>41</v>
      </c>
      <c r="AK136" s="43">
        <f>CF!AQ33</f>
        <v>91</v>
      </c>
      <c r="AL136" s="43">
        <f>CF!AR33</f>
        <v>68</v>
      </c>
      <c r="AM136" s="43">
        <f>CF!AS33</f>
        <v>8</v>
      </c>
      <c r="AN136" s="42">
        <f>CF!AT33</f>
        <v>208</v>
      </c>
      <c r="AO136" s="43">
        <f>CF!AU33</f>
        <v>49</v>
      </c>
      <c r="AP136" s="43">
        <f>CF!AV33</f>
        <v>96</v>
      </c>
      <c r="AQ136" s="43">
        <f>CF!AW33</f>
        <v>237</v>
      </c>
      <c r="AR136" s="43">
        <f>CF!AX33</f>
        <v>112</v>
      </c>
      <c r="AS136" s="42">
        <f>CF!AY33</f>
        <v>494</v>
      </c>
      <c r="AT136" s="43">
        <f>CF!AZ33</f>
        <v>52</v>
      </c>
      <c r="AU136" s="43">
        <f>CF!BA33</f>
        <v>232</v>
      </c>
      <c r="AV136" s="43">
        <f>CF!BB33</f>
        <v>78</v>
      </c>
      <c r="AW136" s="43">
        <f>CF!BC33</f>
        <v>63</v>
      </c>
      <c r="AX136" s="42">
        <f>CF!BD33</f>
        <v>425</v>
      </c>
      <c r="AY136" s="43">
        <f>CF!BE33</f>
        <v>722</v>
      </c>
      <c r="AZ136" s="43">
        <f>CF!BF33</f>
        <v>577</v>
      </c>
      <c r="BA136" s="43">
        <f>CF!BG33</f>
        <v>166</v>
      </c>
      <c r="BB136" s="43">
        <f>CF!BH33</f>
        <v>65</v>
      </c>
      <c r="BC136" s="42">
        <f>CF!BI33</f>
        <v>1530</v>
      </c>
      <c r="BD136" s="43">
        <f>CF!BJ33</f>
        <v>106</v>
      </c>
      <c r="BE136" s="43">
        <f>CF!BK33</f>
        <v>-34</v>
      </c>
      <c r="BF136" s="43">
        <f>CF!BL33</f>
        <v>0</v>
      </c>
      <c r="BG136" s="43">
        <f>CF!BM33</f>
        <v>76</v>
      </c>
      <c r="BH136" s="42">
        <f>CF!BN33</f>
        <v>148</v>
      </c>
      <c r="BI136" s="43">
        <f>CF!BO33</f>
        <v>158</v>
      </c>
      <c r="BJ136" s="43">
        <f>CF!BP33</f>
        <v>0</v>
      </c>
      <c r="BK136" s="43">
        <f>CF!BQ33</f>
        <v>0</v>
      </c>
      <c r="BL136" s="43">
        <f>CF!BR33</f>
        <v>0</v>
      </c>
      <c r="BM136" s="42">
        <f>CF!BS33</f>
        <v>158</v>
      </c>
      <c r="BN136" s="43">
        <f>CF!BT33</f>
        <v>0</v>
      </c>
      <c r="BO136" s="43">
        <f>CF!BU33</f>
        <v>0</v>
      </c>
      <c r="BP136" s="43">
        <f>CF!BV33</f>
        <v>101</v>
      </c>
      <c r="BQ136" s="43">
        <f>CF!BW33</f>
        <v>0</v>
      </c>
      <c r="BR136" s="42">
        <f>CF!BX33</f>
        <v>101</v>
      </c>
      <c r="BS136" s="43">
        <f>CF!BY33</f>
        <v>596</v>
      </c>
      <c r="BT136" s="43">
        <f>CF!BZ33</f>
        <v>0</v>
      </c>
      <c r="BU136" s="43">
        <f>CF!CA33</f>
        <v>0</v>
      </c>
      <c r="BV136" s="43">
        <f>CF!CB33</f>
        <v>0</v>
      </c>
      <c r="BW136" s="42">
        <f>CF!CC33</f>
        <v>596</v>
      </c>
      <c r="BX136" s="42">
        <f>CF!CH33</f>
        <v>0</v>
      </c>
      <c r="BY136" s="42">
        <f>CF!CI33</f>
        <v>0</v>
      </c>
    </row>
    <row r="137" spans="1:77">
      <c r="A137" s="30" t="s">
        <v>21</v>
      </c>
      <c r="B137" s="39">
        <f t="shared" ref="B137:AG137" si="50">B135+B136</f>
        <v>-1168</v>
      </c>
      <c r="C137" s="39">
        <f t="shared" si="50"/>
        <v>-422</v>
      </c>
      <c r="D137" s="39">
        <f t="shared" si="50"/>
        <v>-376</v>
      </c>
      <c r="E137" s="39">
        <f t="shared" si="50"/>
        <v>-1082</v>
      </c>
      <c r="F137" s="40">
        <f t="shared" si="50"/>
        <v>-41</v>
      </c>
      <c r="G137" s="40">
        <f t="shared" si="50"/>
        <v>-162</v>
      </c>
      <c r="H137" s="40">
        <f t="shared" si="50"/>
        <v>-131</v>
      </c>
      <c r="I137" s="40">
        <f t="shared" si="50"/>
        <v>-714</v>
      </c>
      <c r="J137" s="39">
        <f t="shared" si="50"/>
        <v>-1048</v>
      </c>
      <c r="K137" s="40">
        <f t="shared" si="50"/>
        <v>-120</v>
      </c>
      <c r="L137" s="40">
        <f t="shared" si="50"/>
        <v>-2241</v>
      </c>
      <c r="M137" s="40">
        <f t="shared" si="50"/>
        <v>-901</v>
      </c>
      <c r="N137" s="40">
        <f t="shared" si="50"/>
        <v>-493</v>
      </c>
      <c r="O137" s="39">
        <f t="shared" si="50"/>
        <v>-3755</v>
      </c>
      <c r="P137" s="40">
        <f t="shared" si="50"/>
        <v>-90</v>
      </c>
      <c r="Q137" s="40">
        <f t="shared" si="50"/>
        <v>-67</v>
      </c>
      <c r="R137" s="40">
        <f t="shared" si="50"/>
        <v>-16</v>
      </c>
      <c r="S137" s="40">
        <f t="shared" si="50"/>
        <v>-287</v>
      </c>
      <c r="T137" s="39">
        <f t="shared" si="50"/>
        <v>-460</v>
      </c>
      <c r="U137" s="40">
        <f t="shared" si="50"/>
        <v>-110</v>
      </c>
      <c r="V137" s="40">
        <f t="shared" si="50"/>
        <v>-98</v>
      </c>
      <c r="W137" s="40">
        <f t="shared" si="50"/>
        <v>-1236</v>
      </c>
      <c r="X137" s="40">
        <f t="shared" si="50"/>
        <v>-295</v>
      </c>
      <c r="Y137" s="39">
        <f t="shared" si="50"/>
        <v>-1739</v>
      </c>
      <c r="Z137" s="40">
        <f t="shared" si="50"/>
        <v>-126</v>
      </c>
      <c r="AA137" s="40">
        <f t="shared" si="50"/>
        <v>-335</v>
      </c>
      <c r="AB137" s="40">
        <f t="shared" si="50"/>
        <v>23</v>
      </c>
      <c r="AC137" s="40">
        <f t="shared" si="50"/>
        <v>-477</v>
      </c>
      <c r="AD137" s="39">
        <f t="shared" si="50"/>
        <v>-915</v>
      </c>
      <c r="AE137" s="40">
        <f t="shared" si="50"/>
        <v>-122</v>
      </c>
      <c r="AF137" s="40">
        <f t="shared" si="50"/>
        <v>-31</v>
      </c>
      <c r="AG137" s="40">
        <f t="shared" si="50"/>
        <v>-297</v>
      </c>
      <c r="AH137" s="40">
        <f t="shared" ref="AH137:BM137" si="51">AH135+AH136</f>
        <v>-95</v>
      </c>
      <c r="AI137" s="39">
        <f t="shared" si="51"/>
        <v>-545</v>
      </c>
      <c r="AJ137" s="40">
        <f t="shared" si="51"/>
        <v>-2067</v>
      </c>
      <c r="AK137" s="40">
        <f t="shared" si="51"/>
        <v>-169</v>
      </c>
      <c r="AL137" s="40">
        <f t="shared" si="51"/>
        <v>-115</v>
      </c>
      <c r="AM137" s="40">
        <f t="shared" si="51"/>
        <v>-199</v>
      </c>
      <c r="AN137" s="39">
        <f t="shared" si="51"/>
        <v>-2550</v>
      </c>
      <c r="AO137" s="40">
        <f t="shared" si="51"/>
        <v>-57</v>
      </c>
      <c r="AP137" s="40">
        <f t="shared" si="51"/>
        <v>18</v>
      </c>
      <c r="AQ137" s="40">
        <f t="shared" si="51"/>
        <v>192</v>
      </c>
      <c r="AR137" s="40">
        <f t="shared" si="51"/>
        <v>-16</v>
      </c>
      <c r="AS137" s="39">
        <f t="shared" si="51"/>
        <v>137</v>
      </c>
      <c r="AT137" s="40">
        <f t="shared" si="51"/>
        <v>-20</v>
      </c>
      <c r="AU137" s="40">
        <f t="shared" si="51"/>
        <v>95</v>
      </c>
      <c r="AV137" s="40">
        <f t="shared" si="51"/>
        <v>-15721</v>
      </c>
      <c r="AW137" s="40">
        <f t="shared" si="51"/>
        <v>45</v>
      </c>
      <c r="AX137" s="39">
        <f t="shared" si="51"/>
        <v>-15601</v>
      </c>
      <c r="AY137" s="40">
        <f t="shared" si="51"/>
        <v>722</v>
      </c>
      <c r="AZ137" s="40">
        <f t="shared" si="51"/>
        <v>577</v>
      </c>
      <c r="BA137" s="40">
        <f t="shared" si="51"/>
        <v>166</v>
      </c>
      <c r="BB137" s="40">
        <f t="shared" si="51"/>
        <v>65</v>
      </c>
      <c r="BC137" s="39">
        <f t="shared" si="51"/>
        <v>1530</v>
      </c>
      <c r="BD137" s="40">
        <f t="shared" si="51"/>
        <v>106</v>
      </c>
      <c r="BE137" s="40">
        <f t="shared" si="51"/>
        <v>-34</v>
      </c>
      <c r="BF137" s="40">
        <f t="shared" si="51"/>
        <v>-207</v>
      </c>
      <c r="BG137" s="40">
        <f t="shared" si="51"/>
        <v>-119</v>
      </c>
      <c r="BH137" s="39">
        <f t="shared" si="51"/>
        <v>-254</v>
      </c>
      <c r="BI137" s="40">
        <f t="shared" si="51"/>
        <v>-72</v>
      </c>
      <c r="BJ137" s="40">
        <f t="shared" si="51"/>
        <v>-19</v>
      </c>
      <c r="BK137" s="40">
        <f t="shared" si="51"/>
        <v>-67</v>
      </c>
      <c r="BL137" s="40">
        <f t="shared" si="51"/>
        <v>-181</v>
      </c>
      <c r="BM137" s="39">
        <f t="shared" si="51"/>
        <v>-339</v>
      </c>
      <c r="BN137" s="40">
        <f t="shared" ref="BN137:BW137" si="52">BN135+BN136</f>
        <v>-63</v>
      </c>
      <c r="BO137" s="40">
        <f t="shared" si="52"/>
        <v>-425</v>
      </c>
      <c r="BP137" s="40">
        <f t="shared" si="52"/>
        <v>101</v>
      </c>
      <c r="BQ137" s="40">
        <f t="shared" si="52"/>
        <v>-112</v>
      </c>
      <c r="BR137" s="39">
        <f t="shared" si="52"/>
        <v>-499</v>
      </c>
      <c r="BS137" s="40">
        <f>BS135+BS136</f>
        <v>496</v>
      </c>
      <c r="BT137" s="40">
        <f>BT135+BT136</f>
        <v>-49</v>
      </c>
      <c r="BU137" s="40">
        <f>BU135+BU136</f>
        <v>-10</v>
      </c>
      <c r="BV137" s="40">
        <f>BV135+BV136</f>
        <v>0</v>
      </c>
      <c r="BW137" s="39">
        <f t="shared" si="52"/>
        <v>437</v>
      </c>
      <c r="BX137" s="39">
        <f>BX135+BX136</f>
        <v>0</v>
      </c>
      <c r="BY137" s="39">
        <f>BY135+BY136</f>
        <v>0</v>
      </c>
    </row>
    <row r="138" spans="1:77">
      <c r="A138" s="41" t="s">
        <v>20</v>
      </c>
      <c r="B138" s="37">
        <f t="shared" ref="B138:AG138" si="53">-B135/B7</f>
        <v>4.3937855020125642E-2</v>
      </c>
      <c r="C138" s="37">
        <f t="shared" si="53"/>
        <v>1.5736459117467828E-2</v>
      </c>
      <c r="D138" s="37">
        <f t="shared" si="53"/>
        <v>1.4249255635899617E-2</v>
      </c>
      <c r="E138" s="37">
        <f t="shared" si="53"/>
        <v>3.534832764065219E-2</v>
      </c>
      <c r="F138" s="38">
        <f t="shared" si="53"/>
        <v>5.0890585241730284E-3</v>
      </c>
      <c r="G138" s="38">
        <f t="shared" si="53"/>
        <v>1.7148202036998544E-2</v>
      </c>
      <c r="H138" s="38">
        <f t="shared" si="53"/>
        <v>1.4134275618374558E-2</v>
      </c>
      <c r="I138" s="38">
        <f t="shared" si="53"/>
        <v>7.4608660296808293E-2</v>
      </c>
      <c r="J138" s="37">
        <f t="shared" si="53"/>
        <v>2.8708772866871412E-2</v>
      </c>
      <c r="K138" s="38">
        <f t="shared" si="53"/>
        <v>1.3287977038375677E-2</v>
      </c>
      <c r="L138" s="38">
        <f t="shared" si="53"/>
        <v>0.20095050215208035</v>
      </c>
      <c r="M138" s="38">
        <f t="shared" si="53"/>
        <v>0.11040806969280147</v>
      </c>
      <c r="N138" s="38">
        <f t="shared" si="53"/>
        <v>4.3779415682443833E-2</v>
      </c>
      <c r="O138" s="37">
        <f t="shared" si="53"/>
        <v>9.5096547688706845E-2</v>
      </c>
      <c r="P138" s="38">
        <f t="shared" si="53"/>
        <v>1.1210551106924163E-2</v>
      </c>
      <c r="Q138" s="38">
        <f t="shared" si="53"/>
        <v>2.062948467058056E-2</v>
      </c>
      <c r="R138" s="38">
        <f t="shared" si="53"/>
        <v>1.2003617528570255E-2</v>
      </c>
      <c r="S138" s="38">
        <f t="shared" si="53"/>
        <v>3.07343395636193E-2</v>
      </c>
      <c r="T138" s="37">
        <f t="shared" si="53"/>
        <v>1.9047021681406678E-2</v>
      </c>
      <c r="U138" s="38">
        <f t="shared" si="53"/>
        <v>1.9547157517510995E-2</v>
      </c>
      <c r="V138" s="38">
        <f t="shared" si="53"/>
        <v>9.3498273878020715E-3</v>
      </c>
      <c r="W138" s="38">
        <f t="shared" si="53"/>
        <v>9.1177955709442399E-2</v>
      </c>
      <c r="X138" s="38">
        <f t="shared" si="53"/>
        <v>2.7388881337501701E-2</v>
      </c>
      <c r="Y138" s="37">
        <f t="shared" si="53"/>
        <v>3.7199364488029366E-2</v>
      </c>
      <c r="Z138" s="38">
        <f t="shared" si="53"/>
        <v>1.1248029803696805E-2</v>
      </c>
      <c r="AA138" s="38">
        <f t="shared" si="53"/>
        <v>2.4397892624184646E-2</v>
      </c>
      <c r="AB138" s="38">
        <f t="shared" si="53"/>
        <v>1.0739144845873384E-2</v>
      </c>
      <c r="AC138" s="38">
        <f t="shared" si="53"/>
        <v>3.6831415030467163E-2</v>
      </c>
      <c r="AD138" s="37">
        <f t="shared" si="53"/>
        <v>2.0951520323978779E-2</v>
      </c>
      <c r="AE138" s="38">
        <f t="shared" si="53"/>
        <v>1.0000819739322896E-2</v>
      </c>
      <c r="AF138" s="38">
        <f t="shared" si="53"/>
        <v>5.4364471669218987E-3</v>
      </c>
      <c r="AG138" s="38">
        <f t="shared" si="53"/>
        <v>2.2522180935770075E-2</v>
      </c>
      <c r="AH138" s="38">
        <f t="shared" ref="AH138:BM138" si="54">-AH135/AH7</f>
        <v>1.5237141426425353E-2</v>
      </c>
      <c r="AI138" s="37">
        <f t="shared" si="54"/>
        <v>1.3409632808774439E-2</v>
      </c>
      <c r="AJ138" s="38">
        <f t="shared" si="54"/>
        <v>0.1750830564784053</v>
      </c>
      <c r="AK138" s="38">
        <f t="shared" si="54"/>
        <v>1.8837849587016373E-2</v>
      </c>
      <c r="AL138" s="38">
        <f t="shared" si="54"/>
        <v>1.3436123348017621E-2</v>
      </c>
      <c r="AM138" s="38">
        <f t="shared" si="54"/>
        <v>1.392626480086114E-2</v>
      </c>
      <c r="AN138" s="37">
        <f t="shared" si="54"/>
        <v>5.07675882634466E-2</v>
      </c>
      <c r="AO138" s="38">
        <f t="shared" si="54"/>
        <v>8.3642389331649962E-3</v>
      </c>
      <c r="AP138" s="38">
        <f t="shared" si="54"/>
        <v>5.3908355795148251E-3</v>
      </c>
      <c r="AQ138" s="38">
        <f t="shared" si="54"/>
        <v>3.1612223393045311E-3</v>
      </c>
      <c r="AR138" s="38">
        <f t="shared" si="54"/>
        <v>8.9031091326424155E-3</v>
      </c>
      <c r="AS138" s="37">
        <f t="shared" si="54"/>
        <v>6.4031280266886679E-3</v>
      </c>
      <c r="AT138" s="38">
        <f t="shared" si="54"/>
        <v>5.7989690721649487E-3</v>
      </c>
      <c r="AU138" s="38">
        <f t="shared" si="54"/>
        <v>9.9225030781487644E-3</v>
      </c>
      <c r="AV138" s="38">
        <f t="shared" si="54"/>
        <v>1.0503257545539157</v>
      </c>
      <c r="AW138" s="38">
        <f t="shared" si="54"/>
        <v>1.0946907498631637E-3</v>
      </c>
      <c r="AX138" s="37">
        <f t="shared" si="54"/>
        <v>0.27770846329798293</v>
      </c>
      <c r="AY138" s="38">
        <f t="shared" si="54"/>
        <v>0</v>
      </c>
      <c r="AZ138" s="38">
        <f t="shared" si="54"/>
        <v>0</v>
      </c>
      <c r="BA138" s="38">
        <f t="shared" si="54"/>
        <v>0</v>
      </c>
      <c r="BB138" s="38">
        <f t="shared" si="54"/>
        <v>0</v>
      </c>
      <c r="BC138" s="37">
        <f t="shared" si="54"/>
        <v>0</v>
      </c>
      <c r="BD138" s="38">
        <f t="shared" si="54"/>
        <v>0</v>
      </c>
      <c r="BE138" s="38">
        <f t="shared" si="54"/>
        <v>0</v>
      </c>
      <c r="BF138" s="38">
        <f t="shared" si="54"/>
        <v>1.2803067788223651E-2</v>
      </c>
      <c r="BG138" s="38">
        <f t="shared" si="54"/>
        <v>1.1473287832431161E-2</v>
      </c>
      <c r="BH138" s="37">
        <f t="shared" si="54"/>
        <v>6.1751152073732723E-3</v>
      </c>
      <c r="BI138" s="38">
        <f t="shared" si="54"/>
        <v>1.7267267267267267E-2</v>
      </c>
      <c r="BJ138" s="38">
        <f t="shared" si="54"/>
        <v>1.2927808396271348E-3</v>
      </c>
      <c r="BK138" s="38">
        <f t="shared" si="54"/>
        <v>4.8592979402378878E-3</v>
      </c>
      <c r="BL138" s="38">
        <f t="shared" si="54"/>
        <v>1.2657342657342658E-2</v>
      </c>
      <c r="BM138" s="37">
        <f t="shared" si="54"/>
        <v>8.868726770768701E-3</v>
      </c>
      <c r="BN138" s="38">
        <f t="shared" ref="BN138:BW138" si="55">-BN135/BN7</f>
        <v>4.7166279853260466E-3</v>
      </c>
      <c r="BO138" s="38">
        <f t="shared" si="55"/>
        <v>2.8573349468871856E-2</v>
      </c>
      <c r="BP138" s="38">
        <f t="shared" si="55"/>
        <v>0</v>
      </c>
      <c r="BQ138" s="38">
        <f t="shared" si="55"/>
        <v>7.6403574595811444E-3</v>
      </c>
      <c r="BR138" s="37">
        <f t="shared" si="55"/>
        <v>1.0481447837327929E-2</v>
      </c>
      <c r="BS138" s="2107">
        <f>-BS135/BS7</f>
        <v>7.238508867173362E-3</v>
      </c>
      <c r="BT138" s="2107">
        <f>-BT135/BT7</f>
        <v>3.2068062827225129E-3</v>
      </c>
      <c r="BU138" s="2107">
        <f>-BU135/BU7</f>
        <v>6.6392245385738945E-4</v>
      </c>
      <c r="BV138" s="2107">
        <f>-BV135/BV7</f>
        <v>0</v>
      </c>
      <c r="BW138" s="37">
        <f t="shared" si="55"/>
        <v>2.6718975803825943E-3</v>
      </c>
      <c r="BX138" s="37">
        <f>-BX135/BX7</f>
        <v>0</v>
      </c>
      <c r="BY138" s="37">
        <f>-BY135/BY7</f>
        <v>0</v>
      </c>
    </row>
    <row r="139" spans="1:77">
      <c r="A139" s="41" t="s">
        <v>19</v>
      </c>
      <c r="B139" s="37">
        <f t="shared" ref="B139:AG139" si="56">-B137/B7</f>
        <v>4.3937855020125642E-2</v>
      </c>
      <c r="C139" s="37">
        <f t="shared" si="56"/>
        <v>1.5127074595834678E-2</v>
      </c>
      <c r="D139" s="37">
        <f t="shared" si="56"/>
        <v>1.3327661987806607E-2</v>
      </c>
      <c r="E139" s="37">
        <f t="shared" si="56"/>
        <v>3.4864986788683376E-2</v>
      </c>
      <c r="F139" s="38">
        <f t="shared" si="56"/>
        <v>4.7420772611612306E-3</v>
      </c>
      <c r="G139" s="38">
        <f t="shared" si="56"/>
        <v>1.6836416545416753E-2</v>
      </c>
      <c r="H139" s="38">
        <f t="shared" si="56"/>
        <v>1.4027197772780811E-2</v>
      </c>
      <c r="I139" s="38">
        <f t="shared" si="56"/>
        <v>7.25757267737345E-2</v>
      </c>
      <c r="J139" s="37">
        <f t="shared" si="56"/>
        <v>2.79877153157965E-2</v>
      </c>
      <c r="K139" s="38">
        <f t="shared" si="56"/>
        <v>1.2756457956840651E-2</v>
      </c>
      <c r="L139" s="38">
        <f t="shared" si="56"/>
        <v>0.20095050215208035</v>
      </c>
      <c r="M139" s="38">
        <f t="shared" si="56"/>
        <v>8.2622650160476846E-2</v>
      </c>
      <c r="N139" s="38">
        <f t="shared" si="56"/>
        <v>4.3779415682443833E-2</v>
      </c>
      <c r="O139" s="37">
        <f t="shared" si="56"/>
        <v>8.7887653598595669E-2</v>
      </c>
      <c r="P139" s="38">
        <f t="shared" si="56"/>
        <v>8.4785680640602924E-3</v>
      </c>
      <c r="Q139" s="38">
        <f t="shared" si="56"/>
        <v>5.4631441617742985E-3</v>
      </c>
      <c r="R139" s="38">
        <f t="shared" si="56"/>
        <v>1.315464934637836E-3</v>
      </c>
      <c r="S139" s="38">
        <f t="shared" si="56"/>
        <v>2.2444670368342849E-2</v>
      </c>
      <c r="T139" s="37">
        <f t="shared" si="56"/>
        <v>9.6175960191515614E-3</v>
      </c>
      <c r="U139" s="38">
        <f t="shared" si="56"/>
        <v>8.959113862192539E-3</v>
      </c>
      <c r="V139" s="38">
        <f t="shared" si="56"/>
        <v>7.0483314154200227E-3</v>
      </c>
      <c r="W139" s="38">
        <f t="shared" si="56"/>
        <v>8.9158190867777543E-2</v>
      </c>
      <c r="X139" s="38">
        <f t="shared" si="56"/>
        <v>2.0048932988990076E-2</v>
      </c>
      <c r="Y139" s="37">
        <f t="shared" si="56"/>
        <v>3.1757336693511572E-2</v>
      </c>
      <c r="Z139" s="38">
        <f t="shared" si="56"/>
        <v>9.0270812437311942E-3</v>
      </c>
      <c r="AA139" s="38">
        <f t="shared" si="56"/>
        <v>2.1011038635223283E-2</v>
      </c>
      <c r="AB139" s="38">
        <f t="shared" si="56"/>
        <v>-1.5246934040437522E-3</v>
      </c>
      <c r="AC139" s="38">
        <f t="shared" si="56"/>
        <v>3.2295192958700071E-2</v>
      </c>
      <c r="AD139" s="37">
        <f t="shared" si="56"/>
        <v>1.5312013655303981E-2</v>
      </c>
      <c r="AE139" s="38">
        <f t="shared" si="56"/>
        <v>1.0000819739322896E-2</v>
      </c>
      <c r="AF139" s="38">
        <f t="shared" si="56"/>
        <v>2.3736600306278714E-3</v>
      </c>
      <c r="AG139" s="38">
        <f t="shared" si="56"/>
        <v>2.2522180935770075E-2</v>
      </c>
      <c r="AH139" s="38">
        <f t="shared" ref="AH139:BM139" si="57">-AH137/AH7</f>
        <v>6.79590814793619E-3</v>
      </c>
      <c r="AI139" s="37">
        <f t="shared" si="57"/>
        <v>1.039580352885074E-2</v>
      </c>
      <c r="AJ139" s="38">
        <f t="shared" si="57"/>
        <v>0.17167774086378737</v>
      </c>
      <c r="AK139" s="38">
        <f t="shared" si="57"/>
        <v>1.2244602231560644E-2</v>
      </c>
      <c r="AL139" s="38">
        <f t="shared" si="57"/>
        <v>8.4434654919236414E-3</v>
      </c>
      <c r="AM139" s="38">
        <f t="shared" si="57"/>
        <v>1.338805166846071E-2</v>
      </c>
      <c r="AN139" s="37">
        <f t="shared" si="57"/>
        <v>4.6938850642417998E-2</v>
      </c>
      <c r="AO139" s="38">
        <f t="shared" si="57"/>
        <v>4.4977511244377807E-3</v>
      </c>
      <c r="AP139" s="38">
        <f t="shared" si="57"/>
        <v>-1.2440389798880364E-3</v>
      </c>
      <c r="AQ139" s="38">
        <f t="shared" si="57"/>
        <v>-1.3487881981032667E-2</v>
      </c>
      <c r="AR139" s="38">
        <f t="shared" si="57"/>
        <v>1.1128886415803019E-3</v>
      </c>
      <c r="AS139" s="37">
        <f t="shared" si="57"/>
        <v>-2.457222800157836E-3</v>
      </c>
      <c r="AT139" s="38">
        <f t="shared" si="57"/>
        <v>1.6108247422680412E-3</v>
      </c>
      <c r="AU139" s="38">
        <f t="shared" si="57"/>
        <v>-6.8805678279133774E-3</v>
      </c>
      <c r="AV139" s="38">
        <f t="shared" si="57"/>
        <v>1.0451402738997473</v>
      </c>
      <c r="AW139" s="38">
        <f t="shared" si="57"/>
        <v>-2.7367268746579091E-3</v>
      </c>
      <c r="AX139" s="37">
        <f t="shared" si="57"/>
        <v>0.27034379981978235</v>
      </c>
      <c r="AY139" s="38">
        <f t="shared" si="57"/>
        <v>-5.014237099798597E-2</v>
      </c>
      <c r="AZ139" s="38">
        <f t="shared" si="57"/>
        <v>-3.6048981631888043E-2</v>
      </c>
      <c r="BA139" s="38">
        <f t="shared" si="57"/>
        <v>-1.0735997930410038E-2</v>
      </c>
      <c r="BB139" s="38">
        <f t="shared" si="57"/>
        <v>-3.8785130377707502E-3</v>
      </c>
      <c r="BC139" s="37">
        <f t="shared" si="57"/>
        <v>-2.4430747612812571E-2</v>
      </c>
      <c r="BD139" s="38">
        <f t="shared" si="57"/>
        <v>-7.1888775856222449E-3</v>
      </c>
      <c r="BE139" s="38">
        <f t="shared" si="57"/>
        <v>1.9777790704438368E-3</v>
      </c>
      <c r="BF139" s="38">
        <f t="shared" si="57"/>
        <v>1.2803067788223651E-2</v>
      </c>
      <c r="BG139" s="38">
        <f t="shared" si="57"/>
        <v>7.0016474464579901E-3</v>
      </c>
      <c r="BH139" s="37">
        <f t="shared" si="57"/>
        <v>3.901689708141321E-3</v>
      </c>
      <c r="BI139" s="38">
        <f t="shared" si="57"/>
        <v>5.4054054054054057E-3</v>
      </c>
      <c r="BJ139" s="38">
        <f t="shared" si="57"/>
        <v>1.2927808396271348E-3</v>
      </c>
      <c r="BK139" s="38">
        <f t="shared" si="57"/>
        <v>4.8592979402378878E-3</v>
      </c>
      <c r="BL139" s="38">
        <f t="shared" si="57"/>
        <v>1.2657342657342658E-2</v>
      </c>
      <c r="BM139" s="37">
        <f t="shared" si="57"/>
        <v>6.0492925056148689E-3</v>
      </c>
      <c r="BN139" s="38">
        <f t="shared" ref="BN139:BW139" si="58">-BN137/BN7</f>
        <v>4.7166279853260466E-3</v>
      </c>
      <c r="BO139" s="38">
        <f t="shared" si="58"/>
        <v>2.8573349468871856E-2</v>
      </c>
      <c r="BP139" s="38">
        <f t="shared" si="58"/>
        <v>-7.0363661697087918E-3</v>
      </c>
      <c r="BQ139" s="38">
        <f t="shared" si="58"/>
        <v>7.6403574595811444E-3</v>
      </c>
      <c r="BR139" s="37">
        <f t="shared" si="58"/>
        <v>8.7170707847110621E-3</v>
      </c>
      <c r="BS139" s="2107">
        <f>-BS137/BS7</f>
        <v>-3.5903003981179876E-2</v>
      </c>
      <c r="BT139" s="2107">
        <f>-BT137/BT7</f>
        <v>3.2068062827225129E-3</v>
      </c>
      <c r="BU139" s="2107">
        <f>-BU137/BU7</f>
        <v>6.6392245385738945E-4</v>
      </c>
      <c r="BV139" s="2107">
        <f>-BV137/BV7</f>
        <v>0</v>
      </c>
      <c r="BW139" s="37">
        <f t="shared" si="58"/>
        <v>-7.3435172492276341E-3</v>
      </c>
      <c r="BX139" s="37">
        <f>-BX137/BX7</f>
        <v>0</v>
      </c>
      <c r="BY139" s="37">
        <f>-BY137/BY7</f>
        <v>0</v>
      </c>
    </row>
    <row r="140" spans="1:77">
      <c r="A140" s="30"/>
      <c r="B140" s="32"/>
      <c r="C140" s="32"/>
      <c r="D140" s="32"/>
      <c r="E140" s="32"/>
      <c r="F140" s="30"/>
      <c r="G140" s="30"/>
      <c r="H140" s="30"/>
      <c r="I140" s="30"/>
      <c r="J140" s="32"/>
      <c r="K140" s="30"/>
      <c r="L140" s="30"/>
      <c r="M140" s="30"/>
      <c r="N140" s="30"/>
      <c r="O140" s="32"/>
      <c r="P140" s="30"/>
      <c r="Q140" s="30"/>
      <c r="R140" s="30"/>
      <c r="S140" s="30"/>
      <c r="T140" s="32"/>
      <c r="U140" s="30"/>
      <c r="V140" s="30"/>
      <c r="W140" s="30"/>
      <c r="X140" s="30"/>
      <c r="Y140" s="32"/>
      <c r="Z140" s="30"/>
      <c r="AA140" s="30"/>
      <c r="AB140" s="30"/>
      <c r="AC140" s="30"/>
      <c r="AD140" s="32"/>
      <c r="AE140" s="30"/>
      <c r="AF140" s="30"/>
      <c r="AG140" s="30"/>
      <c r="AH140" s="30"/>
      <c r="AI140" s="32"/>
      <c r="AJ140" s="30"/>
      <c r="AK140" s="30"/>
      <c r="AL140" s="30"/>
      <c r="AM140" s="30"/>
      <c r="AN140" s="32"/>
      <c r="AO140" s="30"/>
      <c r="AP140" s="30"/>
      <c r="AQ140" s="30"/>
      <c r="AR140" s="30"/>
      <c r="AS140" s="32"/>
      <c r="AT140" s="30"/>
      <c r="AU140" s="30"/>
      <c r="AV140" s="30"/>
      <c r="AW140" s="30"/>
      <c r="AX140" s="32"/>
      <c r="AY140" s="30"/>
      <c r="AZ140" s="30"/>
      <c r="BA140" s="30"/>
      <c r="BB140" s="30"/>
      <c r="BC140" s="32"/>
      <c r="BD140" s="30"/>
      <c r="BE140" s="30"/>
      <c r="BF140" s="30"/>
      <c r="BG140" s="30"/>
      <c r="BH140" s="32"/>
      <c r="BI140" s="30"/>
      <c r="BJ140" s="30"/>
      <c r="BK140" s="30"/>
      <c r="BL140" s="30"/>
      <c r="BM140" s="32"/>
      <c r="BN140" s="30"/>
      <c r="BO140" s="30"/>
      <c r="BP140" s="30"/>
      <c r="BQ140" s="30"/>
      <c r="BR140" s="32"/>
      <c r="BS140" s="30"/>
      <c r="BT140" s="30"/>
      <c r="BU140" s="30"/>
      <c r="BV140" s="30"/>
      <c r="BW140" s="32"/>
      <c r="BX140" s="32"/>
      <c r="BY140" s="32"/>
    </row>
    <row r="141" spans="1:77">
      <c r="A141" s="30" t="s">
        <v>18</v>
      </c>
      <c r="B141" s="39">
        <f>-CF!H39</f>
        <v>800</v>
      </c>
      <c r="C141" s="39">
        <f>-CF!I39</f>
        <v>599</v>
      </c>
      <c r="D141" s="39">
        <f>-CF!J39</f>
        <v>700</v>
      </c>
      <c r="E141" s="39">
        <f>-CF!K39</f>
        <v>401</v>
      </c>
      <c r="F141" s="40">
        <f>-CF!L39</f>
        <v>216</v>
      </c>
      <c r="G141" s="40">
        <f>-CF!M39</f>
        <v>264</v>
      </c>
      <c r="H141" s="40">
        <f>-CF!N39</f>
        <v>208</v>
      </c>
      <c r="I141" s="40">
        <f>-CF!O39</f>
        <v>304</v>
      </c>
      <c r="J141" s="39">
        <f>-CF!P39</f>
        <v>992</v>
      </c>
      <c r="K141" s="40">
        <f>-CF!Q39</f>
        <v>115</v>
      </c>
      <c r="L141" s="40">
        <f>-CF!R39</f>
        <v>260</v>
      </c>
      <c r="M141" s="40">
        <f>-CF!S39</f>
        <v>385</v>
      </c>
      <c r="N141" s="40">
        <f>-CF!T39</f>
        <v>421</v>
      </c>
      <c r="O141" s="39">
        <f>-CF!U39</f>
        <v>1181</v>
      </c>
      <c r="P141" s="40">
        <f>-CF!V39</f>
        <v>375</v>
      </c>
      <c r="Q141" s="40">
        <f>-CF!W39</f>
        <v>375</v>
      </c>
      <c r="R141" s="40">
        <f>-CF!X39</f>
        <v>580</v>
      </c>
      <c r="S141" s="40">
        <f>-CF!Y39</f>
        <v>738</v>
      </c>
      <c r="T141" s="39">
        <f>-CF!Z39</f>
        <v>2068</v>
      </c>
      <c r="U141" s="40">
        <f>-CF!AA39</f>
        <v>500</v>
      </c>
      <c r="V141" s="40">
        <f>-CF!AB39</f>
        <v>500</v>
      </c>
      <c r="W141" s="40">
        <f>-CF!AC39</f>
        <v>500</v>
      </c>
      <c r="X141" s="40">
        <f>-CF!AD39</f>
        <v>501</v>
      </c>
      <c r="Y141" s="39">
        <f>-CF!AE39</f>
        <v>2001</v>
      </c>
      <c r="Z141" s="40">
        <f>-CF!AF39</f>
        <v>801</v>
      </c>
      <c r="AA141" s="40">
        <f>-CF!AG39</f>
        <v>719</v>
      </c>
      <c r="AB141" s="40">
        <f>-CF!AH39</f>
        <v>950</v>
      </c>
      <c r="AC141" s="40">
        <f>-CF!AI39</f>
        <v>690</v>
      </c>
      <c r="AD141" s="39">
        <f>-CF!AJ39</f>
        <v>3160</v>
      </c>
      <c r="AE141" s="40">
        <f>-CF!AK39</f>
        <v>200</v>
      </c>
      <c r="AF141" s="40">
        <f>-CF!AL39</f>
        <v>150</v>
      </c>
      <c r="AG141" s="40">
        <f>-CF!AM39</f>
        <v>430</v>
      </c>
      <c r="AH141" s="40">
        <f>-CF!AN39</f>
        <v>320</v>
      </c>
      <c r="AI141" s="39">
        <f>-CF!AO39</f>
        <v>1100</v>
      </c>
      <c r="AJ141" s="40">
        <f>-CF!AP39</f>
        <v>500</v>
      </c>
      <c r="AK141" s="40">
        <f>-CF!AQ39</f>
        <v>650</v>
      </c>
      <c r="AL141" s="40">
        <f>-CF!AR39</f>
        <v>494</v>
      </c>
      <c r="AM141" s="40">
        <f>-CF!AS39</f>
        <v>556</v>
      </c>
      <c r="AN141" s="39">
        <f>-CF!AT39</f>
        <v>2200</v>
      </c>
      <c r="AO141" s="40">
        <f>-CF!AU39</f>
        <v>727</v>
      </c>
      <c r="AP141" s="40">
        <f>-CF!AV39</f>
        <v>773</v>
      </c>
      <c r="AQ141" s="40">
        <f>-CF!AW39</f>
        <v>675</v>
      </c>
      <c r="AR141" s="40">
        <f>-CF!AX39</f>
        <v>0</v>
      </c>
      <c r="AS141" s="39">
        <f>-CF!AY39</f>
        <v>2175</v>
      </c>
      <c r="AT141" s="40">
        <f>-CF!AZ39</f>
        <v>0</v>
      </c>
      <c r="AU141" s="40">
        <f>-CF!BA39</f>
        <v>0</v>
      </c>
      <c r="AV141" s="40">
        <f>-CF!BB39</f>
        <v>0</v>
      </c>
      <c r="AW141" s="40">
        <f>-CF!BC39</f>
        <v>0</v>
      </c>
      <c r="AX141" s="39">
        <f>-CF!BD39</f>
        <v>0</v>
      </c>
      <c r="AY141" s="40">
        <f>-CF!BE39</f>
        <v>335</v>
      </c>
      <c r="AZ141" s="40">
        <f>-CF!BF39</f>
        <v>335</v>
      </c>
      <c r="BA141" s="40">
        <f>-CF!BG39</f>
        <v>330</v>
      </c>
      <c r="BB141" s="40">
        <f>-CF!BH39</f>
        <v>200</v>
      </c>
      <c r="BC141" s="39">
        <f>-CF!BI39</f>
        <v>1200</v>
      </c>
      <c r="BD141" s="40">
        <f>-CF!BJ39</f>
        <v>335</v>
      </c>
      <c r="BE141" s="40">
        <f>-CF!BK39</f>
        <v>335</v>
      </c>
      <c r="BF141" s="40">
        <f>-CF!BL39</f>
        <v>425</v>
      </c>
      <c r="BG141" s="40">
        <f>-CF!BM39</f>
        <v>405</v>
      </c>
      <c r="BH141" s="39">
        <f>-CF!BN39</f>
        <v>1500</v>
      </c>
      <c r="BI141" s="40">
        <f>-CF!BO39</f>
        <v>3000</v>
      </c>
      <c r="BJ141" s="40">
        <f>-CF!BP39</f>
        <v>0</v>
      </c>
      <c r="BK141" s="40">
        <f>-CF!BQ39</f>
        <v>1000</v>
      </c>
      <c r="BL141" s="40">
        <f>-CF!BR39</f>
        <v>6000</v>
      </c>
      <c r="BM141" s="39">
        <f>-CF!BS39</f>
        <v>10000</v>
      </c>
      <c r="BN141" s="40">
        <f>-CF!BT39</f>
        <v>0</v>
      </c>
      <c r="BO141" s="40">
        <f>-CF!BU39</f>
        <v>36</v>
      </c>
      <c r="BP141" s="40">
        <f>-CF!BV39</f>
        <v>492</v>
      </c>
      <c r="BQ141" s="40">
        <f>-CF!BW39</f>
        <v>1726</v>
      </c>
      <c r="BR141" s="39">
        <f>-CF!BX39</f>
        <v>2254</v>
      </c>
      <c r="BS141" s="40">
        <f>-CF!BY39</f>
        <v>933</v>
      </c>
      <c r="BT141" s="40">
        <f>-CF!BZ39</f>
        <v>437</v>
      </c>
      <c r="BU141" s="40">
        <f>-CF!CA39</f>
        <v>60</v>
      </c>
      <c r="BV141" s="40">
        <f>-CF!CB39</f>
        <v>0</v>
      </c>
      <c r="BW141" s="39">
        <f>-CF!CC39</f>
        <v>1430</v>
      </c>
      <c r="BX141" s="39">
        <f>-CF!CH39</f>
        <v>0</v>
      </c>
      <c r="BY141" s="39">
        <f>-CF!CI39</f>
        <v>0</v>
      </c>
    </row>
    <row r="142" spans="1:77">
      <c r="A142" s="30" t="s">
        <v>17</v>
      </c>
      <c r="B142" s="37">
        <f>B141/IS!V99</f>
        <v>0.8</v>
      </c>
      <c r="C142" s="37">
        <f>C141/IS!W99</f>
        <v>0.59424603174603174</v>
      </c>
      <c r="D142" s="37">
        <f>D141/IS!X99</f>
        <v>0.69595372504260233</v>
      </c>
      <c r="E142" s="37">
        <f>E141/IS!Y99</f>
        <v>0.39868206248869076</v>
      </c>
      <c r="F142" s="38">
        <f>F141/IS!Z99</f>
        <v>0.2125984251968504</v>
      </c>
      <c r="G142" s="38">
        <f>G141/IS!AA99</f>
        <v>0.2613861386138614</v>
      </c>
      <c r="H142" s="38">
        <f>H141/IS!AB99</f>
        <v>0.20594059405940593</v>
      </c>
      <c r="I142" s="38">
        <f>I141/IS!AC99</f>
        <v>0.30158730158730157</v>
      </c>
      <c r="J142" s="37">
        <f>J141/IS!AD99</f>
        <v>0.98120672601384773</v>
      </c>
      <c r="K142" s="38">
        <f>K141/IS!AE99</f>
        <v>0.11318897637795275</v>
      </c>
      <c r="L142" s="38">
        <f>L141/IS!AF99</f>
        <v>0.25540275049115913</v>
      </c>
      <c r="M142" s="38">
        <f>M141/IS!AG99</f>
        <v>0.37931034482758619</v>
      </c>
      <c r="N142" s="38">
        <f>N141/IS!AH99</f>
        <v>0.41683168316831681</v>
      </c>
      <c r="O142" s="37">
        <f>O141/IS!AI99</f>
        <v>1.1646942800788955</v>
      </c>
      <c r="P142" s="38">
        <f>P141/IS!AJ99</f>
        <v>0.37165510406342916</v>
      </c>
      <c r="Q142" s="38">
        <f>Q141/IS!AK99</f>
        <v>0.37165510406342916</v>
      </c>
      <c r="R142" s="38">
        <f>R141/IS!AL99</f>
        <v>0.57654075546719685</v>
      </c>
      <c r="S142" s="38">
        <f>S141/IS!AM99</f>
        <v>0.73947895791583163</v>
      </c>
      <c r="T142" s="37">
        <f>T141/IS!AN99</f>
        <v>2.055666003976143</v>
      </c>
      <c r="U142" s="38">
        <f>U141/IS!AO99</f>
        <v>0.50352467270896273</v>
      </c>
      <c r="V142" s="38">
        <f>V141/IS!AP99</f>
        <v>0.50505050505050508</v>
      </c>
      <c r="W142" s="38">
        <f>W141/IS!AQ99</f>
        <v>0.50556117290192115</v>
      </c>
      <c r="X142" s="38">
        <f>X141/IS!AR99</f>
        <v>0.50914634146341464</v>
      </c>
      <c r="Y142" s="37">
        <f>Y141/IS!AS99</f>
        <v>2.0232558139534884</v>
      </c>
      <c r="Z142" s="38">
        <f>Z141/IS!AT99</f>
        <v>0.82153846153846155</v>
      </c>
      <c r="AA142" s="38">
        <f>AA141/IS!AU99</f>
        <v>0.74430641821946175</v>
      </c>
      <c r="AB142" s="38">
        <f>AB141/IS!AV99</f>
        <v>0.9989484752891693</v>
      </c>
      <c r="AC142" s="38">
        <f>AC141/IS!AW99</f>
        <v>0.73954983922829587</v>
      </c>
      <c r="AD142" s="37">
        <f>AD141/IS!AX99</f>
        <v>3.3054393305439329</v>
      </c>
      <c r="AE142" s="38">
        <f>AE141/IS!AY99</f>
        <v>0.21598272138228941</v>
      </c>
      <c r="AF142" s="38">
        <f>AF141/IS!AZ99</f>
        <v>0.16146393972012918</v>
      </c>
      <c r="AG142" s="38">
        <f>AG141/IS!BA99</f>
        <v>0.46286329386437031</v>
      </c>
      <c r="AH142" s="38">
        <f>AH141/IS!BB99</f>
        <v>0.34371643394199786</v>
      </c>
      <c r="AI142" s="37">
        <f>AI141/IS!BC99</f>
        <v>1.1840688912809472</v>
      </c>
      <c r="AJ142" s="38">
        <f>AJ141/IS!BD99</f>
        <v>0.53821313240043056</v>
      </c>
      <c r="AK142" s="38">
        <f>AK141/IS!BE99</f>
        <v>0.70270270270270274</v>
      </c>
      <c r="AL142" s="38">
        <f>AL141/IS!BF99</f>
        <v>0.53754080522306857</v>
      </c>
      <c r="AM142" s="38">
        <f>AM141/IS!BG99</f>
        <v>0.60698689956331875</v>
      </c>
      <c r="AN142" s="37">
        <f>AN141/IS!BH99</f>
        <v>2.3843069253278419</v>
      </c>
      <c r="AO142" s="38">
        <f>AO141/IS!BI99</f>
        <v>0.79462236309979239</v>
      </c>
      <c r="AP142" s="38">
        <f>AP141/IS!BJ99</f>
        <v>0.84963728291932294</v>
      </c>
      <c r="AQ142" s="38">
        <f>AQ141/IS!BK99</f>
        <v>0.74842000221754079</v>
      </c>
      <c r="AR142" s="38">
        <f>AR141/IS!BL99</f>
        <v>0</v>
      </c>
      <c r="AS142" s="37">
        <f>AS141/IS!BM99</f>
        <v>2.3985443317159243</v>
      </c>
      <c r="AT142" s="38">
        <f>AT141/IS!BN99</f>
        <v>0</v>
      </c>
      <c r="AU142" s="38">
        <f>AU141/IS!BO99</f>
        <v>0</v>
      </c>
      <c r="AV142" s="38">
        <f>AV141/IS!BP99</f>
        <v>0</v>
      </c>
      <c r="AW142" s="38">
        <f>AW141/IS!BQ99</f>
        <v>0</v>
      </c>
      <c r="AX142" s="37">
        <f>AX141/IS!BR99</f>
        <v>0</v>
      </c>
      <c r="AY142" s="38">
        <f>AY141/IS!BS99</f>
        <v>0.3665207877461707</v>
      </c>
      <c r="AZ142" s="38">
        <f>AZ141/IS!BT99</f>
        <v>0.3665207877461707</v>
      </c>
      <c r="BA142" s="38">
        <f>BA141/IS!BU99</f>
        <v>0.3604587657018023</v>
      </c>
      <c r="BB142" s="38">
        <f>BB141/IS!BV99</f>
        <v>0.21810250817884405</v>
      </c>
      <c r="BC142" s="37">
        <f>BC141/IS!BW99</f>
        <v>1.3112962710012293</v>
      </c>
      <c r="BD142" s="38">
        <f>BD141/IS!BX99</f>
        <v>0.36532170119956381</v>
      </c>
      <c r="BE142" s="38">
        <f>BE141/IS!BY99</f>
        <v>0.36612021857923499</v>
      </c>
      <c r="BF142" s="38">
        <f>BF141/IS!BZ99</f>
        <v>0.46703296703296704</v>
      </c>
      <c r="BG142" s="38">
        <f>BG141/IS!CA99</f>
        <v>0.44652701212789414</v>
      </c>
      <c r="BH142" s="37">
        <f>BH141/IS!CB99</f>
        <v>1.6442861057824061</v>
      </c>
      <c r="BI142" s="38">
        <f>BI141/IS!CC99</f>
        <v>3.3185840707964602</v>
      </c>
      <c r="BJ142" s="38">
        <f>BJ141/IS!CD99</f>
        <v>0</v>
      </c>
      <c r="BK142" s="38">
        <f>BK141/IS!CE99</f>
        <v>1.1299435028248588</v>
      </c>
      <c r="BL142" s="38">
        <f>BL141/IS!CF99</f>
        <v>7.0588235294117645</v>
      </c>
      <c r="BM142" s="37">
        <f>BM141/IS!CG99</f>
        <v>11.337868480725623</v>
      </c>
      <c r="BN142" s="38">
        <f>BN141/IS!CH99</f>
        <v>0</v>
      </c>
      <c r="BO142" s="38">
        <f>BO141/IS!CI99</f>
        <v>4.3243243243243246E-2</v>
      </c>
      <c r="BP142" s="38">
        <f>BP141/IS!CJ99</f>
        <v>0.59205776173285196</v>
      </c>
      <c r="BQ142" s="38">
        <f>BQ141/IS!CK99</f>
        <v>2.130864197530864</v>
      </c>
      <c r="BR142" s="37">
        <f>BR141/IS!CL99</f>
        <v>2.7284006657588136</v>
      </c>
      <c r="BS142" s="2107">
        <f>BS141/IS!CM99</f>
        <v>1.1633416458852868</v>
      </c>
      <c r="BT142" s="2107">
        <f>BT141/IS!CN99</f>
        <v>0.54761904761904767</v>
      </c>
      <c r="BU142" s="2107">
        <f>BU141/IS!CO99</f>
        <v>7.5282308657465491E-2</v>
      </c>
      <c r="BV142" s="2107">
        <f>BV141/IS!CP99</f>
        <v>0</v>
      </c>
      <c r="BW142" s="37">
        <f>BW141/IS!CQ99</f>
        <v>1.7902297485353689</v>
      </c>
      <c r="BX142" s="37">
        <f>BX141/IS!CV99</f>
        <v>0</v>
      </c>
      <c r="BY142" s="37">
        <f>BY141/IS!CW99</f>
        <v>0</v>
      </c>
    </row>
    <row r="143" spans="1:77">
      <c r="A143" s="30"/>
      <c r="B143" s="32"/>
      <c r="C143" s="32"/>
      <c r="D143" s="32"/>
      <c r="E143" s="32"/>
      <c r="F143" s="30"/>
      <c r="G143" s="30"/>
      <c r="H143" s="30"/>
      <c r="I143" s="30"/>
      <c r="J143" s="32"/>
      <c r="K143" s="30"/>
      <c r="L143" s="30"/>
      <c r="M143" s="30"/>
      <c r="N143" s="30"/>
      <c r="O143" s="32"/>
      <c r="P143" s="30"/>
      <c r="Q143" s="30"/>
      <c r="R143" s="30"/>
      <c r="S143" s="30"/>
      <c r="T143" s="32"/>
      <c r="U143" s="30"/>
      <c r="V143" s="30"/>
      <c r="W143" s="30"/>
      <c r="X143" s="30"/>
      <c r="Y143" s="32"/>
      <c r="Z143" s="30"/>
      <c r="AA143" s="30"/>
      <c r="AB143" s="30"/>
      <c r="AC143" s="30"/>
      <c r="AD143" s="32"/>
      <c r="AE143" s="30"/>
      <c r="AF143" s="30"/>
      <c r="AG143" s="30"/>
      <c r="AH143" s="30"/>
      <c r="AI143" s="32"/>
      <c r="AJ143" s="30"/>
      <c r="AK143" s="30"/>
      <c r="AL143" s="30"/>
      <c r="AM143" s="30"/>
      <c r="AN143" s="32"/>
      <c r="AO143" s="30"/>
      <c r="AP143" s="30"/>
      <c r="AQ143" s="30"/>
      <c r="AR143" s="30"/>
      <c r="AS143" s="32"/>
      <c r="AT143" s="30"/>
      <c r="AU143" s="30"/>
      <c r="AV143" s="30"/>
      <c r="AW143" s="30"/>
      <c r="AX143" s="32"/>
      <c r="AY143" s="30"/>
      <c r="AZ143" s="30"/>
      <c r="BA143" s="30"/>
      <c r="BB143" s="30"/>
      <c r="BC143" s="32"/>
      <c r="BD143" s="30"/>
      <c r="BE143" s="30"/>
      <c r="BF143" s="30"/>
      <c r="BG143" s="30"/>
      <c r="BH143" s="32"/>
      <c r="BI143" s="30"/>
      <c r="BJ143" s="30"/>
      <c r="BK143" s="30"/>
      <c r="BL143" s="30"/>
      <c r="BM143" s="32"/>
      <c r="BN143" s="30"/>
      <c r="BO143" s="30"/>
      <c r="BP143" s="30"/>
      <c r="BQ143" s="30"/>
      <c r="BR143" s="32"/>
      <c r="BS143" s="30"/>
      <c r="BT143" s="30"/>
      <c r="BU143" s="30"/>
      <c r="BV143" s="30"/>
      <c r="BW143" s="32"/>
      <c r="BX143" s="32"/>
      <c r="BY143" s="32"/>
    </row>
    <row r="144" spans="1:77">
      <c r="A144" s="30" t="s">
        <v>16</v>
      </c>
      <c r="B144" s="28">
        <f t="shared" ref="B144:AG144" si="59">-B135/B148</f>
        <v>0.33515064562410329</v>
      </c>
      <c r="C144" s="28">
        <f t="shared" si="59"/>
        <v>0.18284048313202833</v>
      </c>
      <c r="D144" s="28">
        <f t="shared" si="59"/>
        <v>0.17223650385604114</v>
      </c>
      <c r="E144" s="28">
        <f t="shared" si="59"/>
        <v>0.3851825842696629</v>
      </c>
      <c r="F144" s="31">
        <f t="shared" si="59"/>
        <v>8.0145719489981782E-2</v>
      </c>
      <c r="G144" s="31">
        <f t="shared" si="59"/>
        <v>0.22237196765498651</v>
      </c>
      <c r="H144" s="31">
        <f t="shared" si="59"/>
        <v>0.19270072992700729</v>
      </c>
      <c r="I144" s="31">
        <f t="shared" si="59"/>
        <v>0.41492368569813454</v>
      </c>
      <c r="J144" s="28">
        <f t="shared" si="59"/>
        <v>0.28704939919893191</v>
      </c>
      <c r="K144" s="31">
        <f t="shared" si="59"/>
        <v>0.20833333333333334</v>
      </c>
      <c r="L144" s="31">
        <f t="shared" si="59"/>
        <v>0.77462841341168343</v>
      </c>
      <c r="M144" s="31">
        <f t="shared" si="59"/>
        <v>0.58846529814271753</v>
      </c>
      <c r="N144" s="31">
        <f t="shared" si="59"/>
        <v>0.33628922237380626</v>
      </c>
      <c r="O144" s="28">
        <f t="shared" si="59"/>
        <v>0.58001427551748752</v>
      </c>
      <c r="P144" s="31">
        <f t="shared" si="59"/>
        <v>0.1319290465631929</v>
      </c>
      <c r="Q144" s="31">
        <f t="shared" si="59"/>
        <v>0.23105022831050229</v>
      </c>
      <c r="R144" s="31">
        <f t="shared" si="59"/>
        <v>0.12597066436583262</v>
      </c>
      <c r="S144" s="31">
        <f t="shared" si="59"/>
        <v>0.22743055555555555</v>
      </c>
      <c r="T144" s="28">
        <f t="shared" si="59"/>
        <v>0.18652743652743653</v>
      </c>
      <c r="U144" s="31">
        <f t="shared" si="59"/>
        <v>0.20117351215423301</v>
      </c>
      <c r="V144" s="31">
        <f t="shared" si="59"/>
        <v>0.11545293072824156</v>
      </c>
      <c r="W144" s="31">
        <f t="shared" si="59"/>
        <v>0.55004351610095736</v>
      </c>
      <c r="X144" s="31">
        <f t="shared" si="59"/>
        <v>0.24365175332527206</v>
      </c>
      <c r="Y144" s="28">
        <f t="shared" si="59"/>
        <v>0.32482857598469145</v>
      </c>
      <c r="Z144" s="31">
        <f t="shared" si="59"/>
        <v>0.10551075268817205</v>
      </c>
      <c r="AA144" s="31">
        <f t="shared" si="59"/>
        <v>0.22842043452730476</v>
      </c>
      <c r="AB144" s="31">
        <f t="shared" si="59"/>
        <v>9.7238895558223293E-2</v>
      </c>
      <c r="AC144" s="31">
        <f t="shared" si="59"/>
        <v>0.27460878344270573</v>
      </c>
      <c r="AD144" s="28">
        <f t="shared" si="59"/>
        <v>0.18309447206785609</v>
      </c>
      <c r="AE144" s="31">
        <f t="shared" si="59"/>
        <v>0.14734299516908211</v>
      </c>
      <c r="AF144" s="31">
        <f t="shared" si="59"/>
        <v>9.6730245231607628E-2</v>
      </c>
      <c r="AG144" s="31">
        <f t="shared" si="59"/>
        <v>0.24205378973105135</v>
      </c>
      <c r="AH144" s="31">
        <f t="shared" ref="AH144:BM144" si="60">-AH135/AH148</f>
        <v>0.17809364548494983</v>
      </c>
      <c r="AI144" s="28">
        <f t="shared" si="60"/>
        <v>0.17641154328732747</v>
      </c>
      <c r="AJ144" s="31">
        <f t="shared" si="60"/>
        <v>0.67391304347826086</v>
      </c>
      <c r="AK144" s="31">
        <f t="shared" si="60"/>
        <v>0.18105849582172701</v>
      </c>
      <c r="AL144" s="31">
        <f t="shared" si="60"/>
        <v>0.14950980392156862</v>
      </c>
      <c r="AM144" s="31">
        <f t="shared" si="60"/>
        <v>0.13645352669742913</v>
      </c>
      <c r="AN144" s="28">
        <f t="shared" si="60"/>
        <v>0.37754962354551674</v>
      </c>
      <c r="AO144" s="31">
        <f t="shared" si="60"/>
        <v>7.7259475218658891E-2</v>
      </c>
      <c r="AP144" s="31">
        <f t="shared" si="60"/>
        <v>5.3278688524590161E-2</v>
      </c>
      <c r="AQ144" s="31">
        <f t="shared" si="60"/>
        <v>3.3834586466165412E-2</v>
      </c>
      <c r="AR144" s="31">
        <f t="shared" si="60"/>
        <v>0.14269788182831661</v>
      </c>
      <c r="AS144" s="28">
        <f t="shared" si="60"/>
        <v>7.0511554414378827E-2</v>
      </c>
      <c r="AT144" s="31">
        <f t="shared" si="60"/>
        <v>0.10714285714285714</v>
      </c>
      <c r="AU144" s="31">
        <f t="shared" si="60"/>
        <v>0.17276166456494324</v>
      </c>
      <c r="AV144" s="31">
        <f t="shared" si="60"/>
        <v>0.95295253030942761</v>
      </c>
      <c r="AW144" s="31">
        <f t="shared" si="60"/>
        <v>1.6028495102404273E-2</v>
      </c>
      <c r="AX144" s="28">
        <f t="shared" si="60"/>
        <v>0.83612458913758025</v>
      </c>
      <c r="AY144" s="31">
        <f t="shared" si="60"/>
        <v>0</v>
      </c>
      <c r="AZ144" s="31">
        <f t="shared" si="60"/>
        <v>0</v>
      </c>
      <c r="BA144" s="31">
        <f t="shared" si="60"/>
        <v>0</v>
      </c>
      <c r="BB144" s="31">
        <f t="shared" si="60"/>
        <v>0</v>
      </c>
      <c r="BC144" s="28">
        <f t="shared" si="60"/>
        <v>0</v>
      </c>
      <c r="BD144" s="31">
        <f t="shared" si="60"/>
        <v>0</v>
      </c>
      <c r="BE144" s="31">
        <f t="shared" si="60"/>
        <v>0</v>
      </c>
      <c r="BF144" s="31">
        <f t="shared" si="60"/>
        <v>0.13286264441591783</v>
      </c>
      <c r="BG144" s="31">
        <f t="shared" si="60"/>
        <v>0.11697660467906419</v>
      </c>
      <c r="BH144" s="28">
        <f t="shared" si="60"/>
        <v>7.101218865924748E-2</v>
      </c>
      <c r="BI144" s="31">
        <f t="shared" si="60"/>
        <v>5.5676591624304043E-2</v>
      </c>
      <c r="BJ144" s="31">
        <f t="shared" si="60"/>
        <v>2.0652173913043477E-2</v>
      </c>
      <c r="BK144" s="31">
        <f t="shared" si="60"/>
        <v>3.3433133732534932E-2</v>
      </c>
      <c r="BL144" s="31">
        <f t="shared" si="60"/>
        <v>2.4693042291950885E-2</v>
      </c>
      <c r="BM144" s="28">
        <f t="shared" si="60"/>
        <v>3.4549878345498782E-2</v>
      </c>
      <c r="BN144" s="31">
        <f t="shared" ref="BN144:BW144" si="61">-BN135/BN148</f>
        <v>7.3426573426573424E-2</v>
      </c>
      <c r="BO144" s="31">
        <f t="shared" si="61"/>
        <v>0.31481481481481483</v>
      </c>
      <c r="BP144" s="31">
        <f t="shared" si="61"/>
        <v>0</v>
      </c>
      <c r="BQ144" s="31">
        <f t="shared" si="61"/>
        <v>3.7308461025982675E-2</v>
      </c>
      <c r="BR144" s="28">
        <f t="shared" si="61"/>
        <v>9.0607067351253401E-2</v>
      </c>
      <c r="BS144" s="2106">
        <f>-BS135/BS148</f>
        <v>5.3676865271068172E-2</v>
      </c>
      <c r="BT144" s="2106">
        <f>-BT135/BT148</f>
        <v>3.4146341463414637E-2</v>
      </c>
      <c r="BU144" s="2106">
        <f>-BU135/BU148</f>
        <v>9.5602294455066923E-3</v>
      </c>
      <c r="BV144" s="2106">
        <f>-BV135/BV148</f>
        <v>0</v>
      </c>
      <c r="BW144" s="28">
        <f t="shared" si="61"/>
        <v>2.968536978134011E-2</v>
      </c>
      <c r="BX144" s="28">
        <f>-BX135/BX148</f>
        <v>0</v>
      </c>
      <c r="BY144" s="28">
        <f>-BY135/BY148</f>
        <v>0</v>
      </c>
    </row>
    <row r="145" spans="1:77">
      <c r="A145" s="30" t="s">
        <v>15</v>
      </c>
      <c r="B145" s="28">
        <f t="shared" ref="B145:AG145" si="62">B23/B148</f>
        <v>0.26886657101865136</v>
      </c>
      <c r="C145" s="28">
        <f t="shared" si="62"/>
        <v>0.33027905039566846</v>
      </c>
      <c r="D145" s="28">
        <f t="shared" si="62"/>
        <v>0.25107112253641817</v>
      </c>
      <c r="E145" s="28">
        <f t="shared" si="62"/>
        <v>0.18609550561797752</v>
      </c>
      <c r="F145" s="31">
        <f t="shared" si="62"/>
        <v>0.22404371584699453</v>
      </c>
      <c r="G145" s="31">
        <f t="shared" si="62"/>
        <v>0.19946091644204852</v>
      </c>
      <c r="H145" s="31">
        <f t="shared" si="62"/>
        <v>0.26277372262773724</v>
      </c>
      <c r="I145" s="31">
        <f t="shared" si="62"/>
        <v>0.19446014697569247</v>
      </c>
      <c r="J145" s="28">
        <f t="shared" si="62"/>
        <v>0.21228304405874499</v>
      </c>
      <c r="K145" s="31">
        <f t="shared" si="62"/>
        <v>0.25333333333333335</v>
      </c>
      <c r="L145" s="31">
        <f t="shared" si="62"/>
        <v>6.3256135499481503E-2</v>
      </c>
      <c r="M145" s="31">
        <f t="shared" si="62"/>
        <v>0.1217008797653959</v>
      </c>
      <c r="N145" s="31">
        <f t="shared" si="62"/>
        <v>0.23533424283765347</v>
      </c>
      <c r="O145" s="28">
        <f t="shared" si="62"/>
        <v>0.1326195574589579</v>
      </c>
      <c r="P145" s="31">
        <f t="shared" si="62"/>
        <v>0.22283813747228381</v>
      </c>
      <c r="Q145" s="31">
        <f t="shared" si="62"/>
        <v>0.19908675799086759</v>
      </c>
      <c r="R145" s="31">
        <f t="shared" si="62"/>
        <v>0.15875754961173424</v>
      </c>
      <c r="S145" s="31">
        <f t="shared" si="62"/>
        <v>0.203125</v>
      </c>
      <c r="T145" s="28">
        <f t="shared" si="62"/>
        <v>0.19533169533169534</v>
      </c>
      <c r="U145" s="31">
        <f t="shared" si="62"/>
        <v>0.17435037720033528</v>
      </c>
      <c r="V145" s="31">
        <f t="shared" si="62"/>
        <v>0.22291296625222023</v>
      </c>
      <c r="W145" s="31">
        <f t="shared" si="62"/>
        <v>0.10356832027850305</v>
      </c>
      <c r="X145" s="31">
        <f t="shared" si="62"/>
        <v>0.27569528415961309</v>
      </c>
      <c r="Y145" s="28">
        <f t="shared" si="62"/>
        <v>0.183862222930952</v>
      </c>
      <c r="Z145" s="31">
        <f t="shared" si="62"/>
        <v>0.15927419354838709</v>
      </c>
      <c r="AA145" s="31">
        <f t="shared" si="62"/>
        <v>0.17909571344685848</v>
      </c>
      <c r="AB145" s="31">
        <f t="shared" si="62"/>
        <v>0.16086434573829531</v>
      </c>
      <c r="AC145" s="31">
        <f t="shared" si="62"/>
        <v>0.20494699646643111</v>
      </c>
      <c r="AD145" s="28">
        <f t="shared" si="62"/>
        <v>0.1778297747879497</v>
      </c>
      <c r="AE145" s="31">
        <f t="shared" si="62"/>
        <v>0.20169082125603865</v>
      </c>
      <c r="AF145" s="31">
        <f t="shared" si="62"/>
        <v>0.23569482288828339</v>
      </c>
      <c r="AG145" s="31">
        <f t="shared" si="62"/>
        <v>0.13121434392828035</v>
      </c>
      <c r="AH145" s="31">
        <f t="shared" ref="AH145:BM145" si="63">AH23/AH148</f>
        <v>0.27173913043478259</v>
      </c>
      <c r="AI145" s="28">
        <f t="shared" si="63"/>
        <v>0.20727728983688834</v>
      </c>
      <c r="AJ145" s="31">
        <f t="shared" si="63"/>
        <v>4.699488491048593E-2</v>
      </c>
      <c r="AK145" s="31">
        <f t="shared" si="63"/>
        <v>0.10793871866295264</v>
      </c>
      <c r="AL145" s="31">
        <f t="shared" si="63"/>
        <v>0.14460784313725492</v>
      </c>
      <c r="AM145" s="31">
        <f t="shared" si="63"/>
        <v>0.25444957152274228</v>
      </c>
      <c r="AN145" s="28">
        <f t="shared" si="63"/>
        <v>0.11841204654346338</v>
      </c>
      <c r="AO145" s="31">
        <f t="shared" si="63"/>
        <v>0.12463556851311954</v>
      </c>
      <c r="AP145" s="31">
        <f t="shared" si="63"/>
        <v>0.13661202185792351</v>
      </c>
      <c r="AQ145" s="31">
        <f t="shared" si="63"/>
        <v>0.14962406015037594</v>
      </c>
      <c r="AR145" s="31">
        <f t="shared" si="63"/>
        <v>0.40022296544035674</v>
      </c>
      <c r="AS145" s="28">
        <f t="shared" si="63"/>
        <v>0.18348805056290737</v>
      </c>
      <c r="AT145" s="31">
        <f t="shared" si="63"/>
        <v>0.27976190476190477</v>
      </c>
      <c r="AU145" s="31">
        <f t="shared" si="63"/>
        <v>0.30643127364438838</v>
      </c>
      <c r="AV145" s="31">
        <f t="shared" si="63"/>
        <v>1.9120574220399301E-2</v>
      </c>
      <c r="AW145" s="31">
        <f t="shared" si="63"/>
        <v>0.57079252003561887</v>
      </c>
      <c r="AX145" s="28">
        <f t="shared" si="63"/>
        <v>7.2468304899045238E-2</v>
      </c>
      <c r="AY145" s="31">
        <f t="shared" si="63"/>
        <v>0.26940639269406391</v>
      </c>
      <c r="AZ145" s="31">
        <f t="shared" si="63"/>
        <v>0.31565440547476475</v>
      </c>
      <c r="BA145" s="31">
        <f t="shared" si="63"/>
        <v>0.32512733446519526</v>
      </c>
      <c r="BB145" s="31">
        <f t="shared" si="63"/>
        <v>0.47376201034737619</v>
      </c>
      <c r="BC145" s="28">
        <f t="shared" si="63"/>
        <v>0.35203336809176228</v>
      </c>
      <c r="BD145" s="31">
        <f t="shared" si="63"/>
        <v>0.28172588832487311</v>
      </c>
      <c r="BE145" s="31">
        <f t="shared" si="63"/>
        <v>0.3237639553429027</v>
      </c>
      <c r="BF145" s="31">
        <f t="shared" si="63"/>
        <v>0.26636713735558409</v>
      </c>
      <c r="BG145" s="31">
        <f t="shared" si="63"/>
        <v>0.33413317336532694</v>
      </c>
      <c r="BH145" s="28">
        <f t="shared" si="63"/>
        <v>0.3022434198904787</v>
      </c>
      <c r="BI145" s="31">
        <f t="shared" si="63"/>
        <v>8.424110384894698E-2</v>
      </c>
      <c r="BJ145" s="31">
        <f t="shared" si="63"/>
        <v>0.38913043478260867</v>
      </c>
      <c r="BK145" s="31">
        <f t="shared" si="63"/>
        <v>0.19461077844311378</v>
      </c>
      <c r="BL145" s="31">
        <f t="shared" si="63"/>
        <v>8.2946793997271492E-2</v>
      </c>
      <c r="BM145" s="28">
        <f t="shared" si="63"/>
        <v>0.11845672575599583</v>
      </c>
      <c r="BN145" s="31">
        <f t="shared" ref="BN145:BW145" si="64">BN23/BN148</f>
        <v>0.33333333333333331</v>
      </c>
      <c r="BO145" s="31">
        <f t="shared" si="64"/>
        <v>0.2688888888888889</v>
      </c>
      <c r="BP145" s="31">
        <f t="shared" si="64"/>
        <v>0.27903682719546741</v>
      </c>
      <c r="BQ145" s="31">
        <f t="shared" si="64"/>
        <v>0.21852098600932712</v>
      </c>
      <c r="BR145" s="28">
        <f t="shared" si="64"/>
        <v>0.25656901238296587</v>
      </c>
      <c r="BS145" s="2106">
        <f>BS23/BS148</f>
        <v>0.17444981213097155</v>
      </c>
      <c r="BT145" s="2106">
        <f>BT23/BT148</f>
        <v>0.31080139372822302</v>
      </c>
      <c r="BU145" s="2106">
        <f>BU23/BU148</f>
        <v>0.42351816443594648</v>
      </c>
      <c r="BV145" s="2106">
        <f>BV23/BV148</f>
        <v>0.45425930036655077</v>
      </c>
      <c r="BW145" s="28">
        <f t="shared" si="64"/>
        <v>0.31249720889876054</v>
      </c>
      <c r="BX145" s="28">
        <f>BX23/BX148</f>
        <v>0.43191192640010484</v>
      </c>
      <c r="BY145" s="28">
        <f>BY23/BY148</f>
        <v>0.41008177172033838</v>
      </c>
    </row>
    <row r="146" spans="1:77">
      <c r="A146" s="30" t="s">
        <v>14</v>
      </c>
      <c r="B146" s="28">
        <f t="shared" ref="B146:AG146" si="65">B131/B148</f>
        <v>0.16642754662840745</v>
      </c>
      <c r="C146" s="28">
        <f t="shared" si="65"/>
        <v>0.23740108288213244</v>
      </c>
      <c r="D146" s="28">
        <f t="shared" si="65"/>
        <v>0.27677806341045413</v>
      </c>
      <c r="E146" s="28">
        <f t="shared" si="65"/>
        <v>0.28792134831460675</v>
      </c>
      <c r="F146" s="31">
        <f t="shared" si="65"/>
        <v>0.30236794171220399</v>
      </c>
      <c r="G146" s="31">
        <f t="shared" si="65"/>
        <v>0.22237196765498651</v>
      </c>
      <c r="H146" s="31">
        <f t="shared" si="65"/>
        <v>0.24087591240875914</v>
      </c>
      <c r="I146" s="31">
        <f t="shared" si="65"/>
        <v>0.21876766534765404</v>
      </c>
      <c r="J146" s="28">
        <f t="shared" si="65"/>
        <v>0.23578104138851802</v>
      </c>
      <c r="K146" s="31">
        <f t="shared" si="65"/>
        <v>0.34666666666666668</v>
      </c>
      <c r="L146" s="31">
        <f t="shared" si="65"/>
        <v>7.2243346007604556E-2</v>
      </c>
      <c r="M146" s="31">
        <f t="shared" si="65"/>
        <v>0.10166177908113393</v>
      </c>
      <c r="N146" s="31">
        <f t="shared" si="65"/>
        <v>0.14120054570259208</v>
      </c>
      <c r="O146" s="28">
        <f t="shared" si="65"/>
        <v>0.11877230549607423</v>
      </c>
      <c r="P146" s="31">
        <f t="shared" si="65"/>
        <v>0.229490022172949</v>
      </c>
      <c r="Q146" s="31">
        <f t="shared" si="65"/>
        <v>0.22739726027397261</v>
      </c>
      <c r="R146" s="31">
        <f t="shared" si="65"/>
        <v>0.21484037963761865</v>
      </c>
      <c r="S146" s="31">
        <f t="shared" si="65"/>
        <v>0.1423611111111111</v>
      </c>
      <c r="T146" s="28">
        <f t="shared" si="65"/>
        <v>0.1947174447174447</v>
      </c>
      <c r="U146" s="31">
        <f t="shared" si="65"/>
        <v>0.20536462699077954</v>
      </c>
      <c r="V146" s="31">
        <f t="shared" si="65"/>
        <v>0.21758436944937834</v>
      </c>
      <c r="W146" s="31">
        <f t="shared" si="65"/>
        <v>0.12880765883376849</v>
      </c>
      <c r="X146" s="31">
        <f t="shared" si="65"/>
        <v>0.1777509068923821</v>
      </c>
      <c r="Y146" s="28">
        <f t="shared" si="65"/>
        <v>0.17222133630999842</v>
      </c>
      <c r="Z146" s="31">
        <f t="shared" si="65"/>
        <v>0.19690860215053763</v>
      </c>
      <c r="AA146" s="31">
        <f t="shared" si="65"/>
        <v>0.17028772753963595</v>
      </c>
      <c r="AB146" s="31">
        <f t="shared" si="65"/>
        <v>0.17166866746698681</v>
      </c>
      <c r="AC146" s="31">
        <f t="shared" si="65"/>
        <v>0.17213528520949015</v>
      </c>
      <c r="AD146" s="28">
        <f t="shared" si="65"/>
        <v>0.17695232524129861</v>
      </c>
      <c r="AE146" s="31">
        <f t="shared" si="65"/>
        <v>0.40942028985507245</v>
      </c>
      <c r="AF146" s="31">
        <f t="shared" si="65"/>
        <v>0.46321525885558584</v>
      </c>
      <c r="AG146" s="31">
        <f t="shared" si="65"/>
        <v>0.27628361858190709</v>
      </c>
      <c r="AH146" s="31">
        <f t="shared" ref="AH146:BM146" si="66">AH131/AH148</f>
        <v>0.28260869565217389</v>
      </c>
      <c r="AI146" s="28">
        <f t="shared" si="66"/>
        <v>0.34027603513174404</v>
      </c>
      <c r="AJ146" s="31">
        <f t="shared" si="66"/>
        <v>0.11924552429667519</v>
      </c>
      <c r="AK146" s="31">
        <f t="shared" si="66"/>
        <v>0.25835654596100277</v>
      </c>
      <c r="AL146" s="31">
        <f t="shared" si="66"/>
        <v>0.30228758169934639</v>
      </c>
      <c r="AM146" s="31">
        <f t="shared" si="66"/>
        <v>0.24258404746209625</v>
      </c>
      <c r="AN146" s="28">
        <f t="shared" si="66"/>
        <v>0.20287474332648869</v>
      </c>
      <c r="AO146" s="31">
        <f t="shared" si="66"/>
        <v>0.26822157434402333</v>
      </c>
      <c r="AP146" s="31">
        <f t="shared" si="66"/>
        <v>0.28210382513661203</v>
      </c>
      <c r="AQ146" s="31">
        <f t="shared" si="66"/>
        <v>0.30902255639097742</v>
      </c>
      <c r="AR146" s="31">
        <f t="shared" si="66"/>
        <v>0.45707915273132665</v>
      </c>
      <c r="AS146" s="28">
        <f t="shared" si="66"/>
        <v>0.31641319375864113</v>
      </c>
      <c r="AT146" s="31">
        <f t="shared" si="66"/>
        <v>0.61309523809523814</v>
      </c>
      <c r="AU146" s="31">
        <f t="shared" si="66"/>
        <v>0.52080706179066838</v>
      </c>
      <c r="AV146" s="31">
        <f t="shared" si="66"/>
        <v>2.7926895470173109E-2</v>
      </c>
      <c r="AW146" s="31">
        <f t="shared" si="66"/>
        <v>0.41317898486197685</v>
      </c>
      <c r="AX146" s="28">
        <f t="shared" si="66"/>
        <v>9.1407105963374549E-2</v>
      </c>
      <c r="AY146" s="31">
        <f t="shared" si="66"/>
        <v>0.42465753424657532</v>
      </c>
      <c r="AZ146" s="31">
        <f t="shared" si="66"/>
        <v>0.39777587681779297</v>
      </c>
      <c r="BA146" s="31">
        <f t="shared" si="66"/>
        <v>0.39473684210526316</v>
      </c>
      <c r="BB146" s="31">
        <f t="shared" si="66"/>
        <v>0.37841832963784183</v>
      </c>
      <c r="BC146" s="28">
        <f t="shared" si="66"/>
        <v>0.39770594369134515</v>
      </c>
      <c r="BD146" s="31">
        <f t="shared" si="66"/>
        <v>0.43485617597292725</v>
      </c>
      <c r="BE146" s="31">
        <f t="shared" si="66"/>
        <v>0.40909090909090912</v>
      </c>
      <c r="BF146" s="31">
        <f t="shared" si="66"/>
        <v>0.32798459563543003</v>
      </c>
      <c r="BG146" s="31">
        <f t="shared" si="66"/>
        <v>0.30593881223755248</v>
      </c>
      <c r="BH146" s="28">
        <f t="shared" si="66"/>
        <v>0.3617735382441265</v>
      </c>
      <c r="BI146" s="31">
        <f t="shared" si="66"/>
        <v>0.13386589203582669</v>
      </c>
      <c r="BJ146" s="31">
        <f t="shared" si="66"/>
        <v>0.5902173913043478</v>
      </c>
      <c r="BK146" s="31">
        <f t="shared" si="66"/>
        <v>0.27295409181636726</v>
      </c>
      <c r="BL146" s="31">
        <f t="shared" si="66"/>
        <v>7.3806275579809011E-2</v>
      </c>
      <c r="BM146" s="28">
        <f t="shared" si="66"/>
        <v>0.15182481751824817</v>
      </c>
      <c r="BN146" s="31">
        <f t="shared" ref="BN146:BW146" si="67">BN131/BN148</f>
        <v>0.59324009324009319</v>
      </c>
      <c r="BO146" s="31">
        <f t="shared" si="67"/>
        <v>0.3896296296296296</v>
      </c>
      <c r="BP146" s="31">
        <f t="shared" si="67"/>
        <v>0.37252124645892354</v>
      </c>
      <c r="BQ146" s="31">
        <f t="shared" si="67"/>
        <v>0.1692205196535643</v>
      </c>
      <c r="BR146" s="28">
        <f t="shared" si="67"/>
        <v>0.31244337058290544</v>
      </c>
      <c r="BS146" s="2106">
        <f>BS131/BS148</f>
        <v>0.27106816961889424</v>
      </c>
      <c r="BT146" s="2106">
        <f>BT131/BT148</f>
        <v>0.35052264808362371</v>
      </c>
      <c r="BU146" s="2106">
        <f>BU131/BU148</f>
        <v>0.50956022944550672</v>
      </c>
      <c r="BV146" s="2106">
        <f>BV131/BV148</f>
        <v>0.54574069963344929</v>
      </c>
      <c r="BW146" s="28">
        <f t="shared" si="67"/>
        <v>0.39083579372671468</v>
      </c>
      <c r="BX146" s="28">
        <f>BX131/BX148</f>
        <v>0.56808807359989522</v>
      </c>
      <c r="BY146" s="28">
        <f>BY131/BY148</f>
        <v>0.58991822827966156</v>
      </c>
    </row>
    <row r="147" spans="1:77">
      <c r="A147" s="30" t="s">
        <v>13</v>
      </c>
      <c r="B147" s="28">
        <f t="shared" ref="B147:AG147" si="68">B141/B148</f>
        <v>0.22955523672883787</v>
      </c>
      <c r="C147" s="28">
        <f t="shared" si="68"/>
        <v>0.24947938359017077</v>
      </c>
      <c r="D147" s="28">
        <f t="shared" si="68"/>
        <v>0.29991431019708653</v>
      </c>
      <c r="E147" s="28">
        <f t="shared" si="68"/>
        <v>0.1408005617977528</v>
      </c>
      <c r="F147" s="31">
        <f t="shared" si="68"/>
        <v>0.39344262295081966</v>
      </c>
      <c r="G147" s="31">
        <f t="shared" si="68"/>
        <v>0.35579514824797842</v>
      </c>
      <c r="H147" s="31">
        <f t="shared" si="68"/>
        <v>0.30364963503649633</v>
      </c>
      <c r="I147" s="31">
        <f t="shared" si="68"/>
        <v>0.17184850197851895</v>
      </c>
      <c r="J147" s="28">
        <f t="shared" si="68"/>
        <v>0.26488651535380509</v>
      </c>
      <c r="K147" s="31">
        <f t="shared" si="68"/>
        <v>0.19166666666666668</v>
      </c>
      <c r="L147" s="31">
        <f t="shared" si="68"/>
        <v>8.9872105081230558E-2</v>
      </c>
      <c r="M147" s="31">
        <f t="shared" si="68"/>
        <v>0.18817204301075269</v>
      </c>
      <c r="N147" s="31">
        <f t="shared" si="68"/>
        <v>0.28717598908594816</v>
      </c>
      <c r="O147" s="28">
        <f t="shared" si="68"/>
        <v>0.16859386152748038</v>
      </c>
      <c r="P147" s="31">
        <f t="shared" si="68"/>
        <v>0.41574279379157431</v>
      </c>
      <c r="Q147" s="31">
        <f t="shared" si="68"/>
        <v>0.34246575342465752</v>
      </c>
      <c r="R147" s="31">
        <f t="shared" si="68"/>
        <v>0.50043140638481454</v>
      </c>
      <c r="S147" s="31">
        <f t="shared" si="68"/>
        <v>0.42708333333333331</v>
      </c>
      <c r="T147" s="28">
        <f t="shared" si="68"/>
        <v>0.42342342342342343</v>
      </c>
      <c r="U147" s="31">
        <f t="shared" si="68"/>
        <v>0.41911148365465212</v>
      </c>
      <c r="V147" s="31">
        <f t="shared" si="68"/>
        <v>0.44404973357015987</v>
      </c>
      <c r="W147" s="31">
        <f t="shared" si="68"/>
        <v>0.2175805047867711</v>
      </c>
      <c r="X147" s="31">
        <f t="shared" si="68"/>
        <v>0.30290205562273276</v>
      </c>
      <c r="Y147" s="28">
        <f t="shared" si="68"/>
        <v>0.31908786477435813</v>
      </c>
      <c r="Z147" s="31">
        <f t="shared" si="68"/>
        <v>0.53830645161290325</v>
      </c>
      <c r="AA147" s="31">
        <f t="shared" si="68"/>
        <v>0.42219612448620081</v>
      </c>
      <c r="AB147" s="31">
        <f t="shared" si="68"/>
        <v>0.57022809123649465</v>
      </c>
      <c r="AC147" s="31">
        <f t="shared" si="68"/>
        <v>0.34830893488137304</v>
      </c>
      <c r="AD147" s="28">
        <f t="shared" si="68"/>
        <v>0.46212342790289557</v>
      </c>
      <c r="AE147" s="31">
        <f t="shared" si="68"/>
        <v>0.24154589371980675</v>
      </c>
      <c r="AF147" s="31">
        <f t="shared" si="68"/>
        <v>0.20435967302452315</v>
      </c>
      <c r="AG147" s="31">
        <f t="shared" si="68"/>
        <v>0.35044824775876121</v>
      </c>
      <c r="AH147" s="31">
        <f t="shared" ref="AH147:BM147" si="69">AH141/AH148</f>
        <v>0.26755852842809363</v>
      </c>
      <c r="AI147" s="28">
        <f t="shared" si="69"/>
        <v>0.27603513174404015</v>
      </c>
      <c r="AJ147" s="31">
        <f t="shared" si="69"/>
        <v>0.15984654731457801</v>
      </c>
      <c r="AK147" s="31">
        <f t="shared" si="69"/>
        <v>0.45264623955431754</v>
      </c>
      <c r="AL147" s="31">
        <f t="shared" si="69"/>
        <v>0.40359477124183007</v>
      </c>
      <c r="AM147" s="31">
        <f t="shared" si="69"/>
        <v>0.36651285431773234</v>
      </c>
      <c r="AN147" s="28">
        <f t="shared" si="69"/>
        <v>0.30116358658453113</v>
      </c>
      <c r="AO147" s="31">
        <f t="shared" si="69"/>
        <v>0.52988338192419826</v>
      </c>
      <c r="AP147" s="31">
        <f t="shared" si="69"/>
        <v>0.52800546448087426</v>
      </c>
      <c r="AQ147" s="31">
        <f t="shared" si="69"/>
        <v>0.50751879699248126</v>
      </c>
      <c r="AR147" s="31">
        <f t="shared" si="69"/>
        <v>0</v>
      </c>
      <c r="AS147" s="28">
        <f t="shared" si="69"/>
        <v>0.42958720126407268</v>
      </c>
      <c r="AT147" s="31">
        <f t="shared" si="69"/>
        <v>0</v>
      </c>
      <c r="AU147" s="31">
        <f t="shared" si="69"/>
        <v>0</v>
      </c>
      <c r="AV147" s="31">
        <f t="shared" si="69"/>
        <v>0</v>
      </c>
      <c r="AW147" s="31">
        <f t="shared" si="69"/>
        <v>0</v>
      </c>
      <c r="AX147" s="28">
        <f t="shared" si="69"/>
        <v>0</v>
      </c>
      <c r="AY147" s="31">
        <f t="shared" si="69"/>
        <v>0.30593607305936071</v>
      </c>
      <c r="AZ147" s="31">
        <f t="shared" si="69"/>
        <v>0.28656971770744227</v>
      </c>
      <c r="BA147" s="31">
        <f t="shared" si="69"/>
        <v>0.28013582342954158</v>
      </c>
      <c r="BB147" s="31">
        <f t="shared" si="69"/>
        <v>0.14781966001478197</v>
      </c>
      <c r="BC147" s="28">
        <f t="shared" si="69"/>
        <v>0.25026068821689262</v>
      </c>
      <c r="BD147" s="31">
        <f t="shared" si="69"/>
        <v>0.28341793570219964</v>
      </c>
      <c r="BE147" s="31">
        <f t="shared" si="69"/>
        <v>0.26714513556618819</v>
      </c>
      <c r="BF147" s="31">
        <f t="shared" si="69"/>
        <v>0.27278562259306804</v>
      </c>
      <c r="BG147" s="31">
        <f t="shared" si="69"/>
        <v>0.2429514097180564</v>
      </c>
      <c r="BH147" s="28">
        <f t="shared" si="69"/>
        <v>0.26497085320614733</v>
      </c>
      <c r="BI147" s="31">
        <f t="shared" si="69"/>
        <v>0.72621641249092228</v>
      </c>
      <c r="BJ147" s="31">
        <f t="shared" si="69"/>
        <v>0</v>
      </c>
      <c r="BK147" s="31">
        <f t="shared" si="69"/>
        <v>0.49900199600798401</v>
      </c>
      <c r="BL147" s="31">
        <f t="shared" si="69"/>
        <v>0.81855388813096863</v>
      </c>
      <c r="BM147" s="28">
        <f t="shared" si="69"/>
        <v>0.69516857838025725</v>
      </c>
      <c r="BN147" s="31">
        <f t="shared" ref="BN147:BW147" si="70">BN141/BN148</f>
        <v>0</v>
      </c>
      <c r="BO147" s="31">
        <f t="shared" si="70"/>
        <v>2.6666666666666668E-2</v>
      </c>
      <c r="BP147" s="31">
        <f t="shared" si="70"/>
        <v>0.34844192634560905</v>
      </c>
      <c r="BQ147" s="31">
        <f t="shared" si="70"/>
        <v>0.57495003331112593</v>
      </c>
      <c r="BR147" s="28">
        <f t="shared" si="70"/>
        <v>0.34038054968287529</v>
      </c>
      <c r="BS147" s="2106">
        <f>BS141/BS148</f>
        <v>0.50080515297906603</v>
      </c>
      <c r="BT147" s="2106">
        <f>BT141/BT148</f>
        <v>0.30452961672473866</v>
      </c>
      <c r="BU147" s="2106">
        <f>BU141/BU148</f>
        <v>5.736137667304015E-2</v>
      </c>
      <c r="BV147" s="2106">
        <f>BV141/BV148</f>
        <v>0</v>
      </c>
      <c r="BW147" s="28">
        <f t="shared" si="70"/>
        <v>0.26698162759318461</v>
      </c>
      <c r="BX147" s="28">
        <f>BX141/BX148</f>
        <v>0</v>
      </c>
      <c r="BY147" s="28">
        <f>BY141/BY148</f>
        <v>0</v>
      </c>
    </row>
    <row r="148" spans="1:77">
      <c r="A148" s="25" t="s">
        <v>12</v>
      </c>
      <c r="B148" s="35">
        <f t="shared" ref="B148:AG148" si="71">B131-B135+B141+B23</f>
        <v>3485</v>
      </c>
      <c r="C148" s="35">
        <f t="shared" si="71"/>
        <v>2401</v>
      </c>
      <c r="D148" s="35">
        <f t="shared" si="71"/>
        <v>2334</v>
      </c>
      <c r="E148" s="35">
        <f t="shared" si="71"/>
        <v>2848</v>
      </c>
      <c r="F148" s="36">
        <f t="shared" si="71"/>
        <v>549</v>
      </c>
      <c r="G148" s="36">
        <f t="shared" si="71"/>
        <v>742</v>
      </c>
      <c r="H148" s="36">
        <f t="shared" si="71"/>
        <v>685</v>
      </c>
      <c r="I148" s="36">
        <f t="shared" si="71"/>
        <v>1769</v>
      </c>
      <c r="J148" s="35">
        <f t="shared" si="71"/>
        <v>3745</v>
      </c>
      <c r="K148" s="36">
        <f t="shared" si="71"/>
        <v>600</v>
      </c>
      <c r="L148" s="36">
        <f t="shared" si="71"/>
        <v>2893</v>
      </c>
      <c r="M148" s="36">
        <f t="shared" si="71"/>
        <v>2046</v>
      </c>
      <c r="N148" s="36">
        <f t="shared" si="71"/>
        <v>1466</v>
      </c>
      <c r="O148" s="35">
        <f t="shared" si="71"/>
        <v>7005</v>
      </c>
      <c r="P148" s="36">
        <f t="shared" si="71"/>
        <v>902</v>
      </c>
      <c r="Q148" s="36">
        <f t="shared" si="71"/>
        <v>1095</v>
      </c>
      <c r="R148" s="36">
        <f t="shared" si="71"/>
        <v>1159</v>
      </c>
      <c r="S148" s="36">
        <f t="shared" si="71"/>
        <v>1728</v>
      </c>
      <c r="T148" s="35">
        <f t="shared" si="71"/>
        <v>4884</v>
      </c>
      <c r="U148" s="36">
        <f t="shared" si="71"/>
        <v>1193</v>
      </c>
      <c r="V148" s="36">
        <f t="shared" si="71"/>
        <v>1126</v>
      </c>
      <c r="W148" s="36">
        <f t="shared" si="71"/>
        <v>2298</v>
      </c>
      <c r="X148" s="36">
        <f t="shared" si="71"/>
        <v>1654</v>
      </c>
      <c r="Y148" s="35">
        <f t="shared" si="71"/>
        <v>6271</v>
      </c>
      <c r="Z148" s="36">
        <f t="shared" si="71"/>
        <v>1488</v>
      </c>
      <c r="AA148" s="36">
        <f t="shared" si="71"/>
        <v>1703</v>
      </c>
      <c r="AB148" s="36">
        <f t="shared" si="71"/>
        <v>1666</v>
      </c>
      <c r="AC148" s="36">
        <f t="shared" si="71"/>
        <v>1981</v>
      </c>
      <c r="AD148" s="35">
        <f t="shared" si="71"/>
        <v>6838</v>
      </c>
      <c r="AE148" s="36">
        <f t="shared" si="71"/>
        <v>828</v>
      </c>
      <c r="AF148" s="36">
        <f t="shared" si="71"/>
        <v>734</v>
      </c>
      <c r="AG148" s="36">
        <f t="shared" si="71"/>
        <v>1227</v>
      </c>
      <c r="AH148" s="36">
        <f t="shared" ref="AH148:BM148" si="72">AH131-AH135+AH141+AH23</f>
        <v>1196</v>
      </c>
      <c r="AI148" s="35">
        <f t="shared" si="72"/>
        <v>3985</v>
      </c>
      <c r="AJ148" s="36">
        <f t="shared" si="72"/>
        <v>3128</v>
      </c>
      <c r="AK148" s="36">
        <f t="shared" si="72"/>
        <v>1436</v>
      </c>
      <c r="AL148" s="36">
        <f t="shared" si="72"/>
        <v>1224</v>
      </c>
      <c r="AM148" s="36">
        <f t="shared" si="72"/>
        <v>1517</v>
      </c>
      <c r="AN148" s="35">
        <f t="shared" si="72"/>
        <v>7305</v>
      </c>
      <c r="AO148" s="36">
        <f t="shared" si="72"/>
        <v>1372</v>
      </c>
      <c r="AP148" s="36">
        <f t="shared" si="72"/>
        <v>1464</v>
      </c>
      <c r="AQ148" s="36">
        <f t="shared" si="72"/>
        <v>1330</v>
      </c>
      <c r="AR148" s="36">
        <f t="shared" si="72"/>
        <v>897</v>
      </c>
      <c r="AS148" s="35">
        <f t="shared" si="72"/>
        <v>5063</v>
      </c>
      <c r="AT148" s="36">
        <f t="shared" si="72"/>
        <v>672</v>
      </c>
      <c r="AU148" s="36">
        <f t="shared" si="72"/>
        <v>793</v>
      </c>
      <c r="AV148" s="36">
        <f t="shared" si="72"/>
        <v>16579</v>
      </c>
      <c r="AW148" s="36">
        <f t="shared" si="72"/>
        <v>1123</v>
      </c>
      <c r="AX148" s="35">
        <f t="shared" si="72"/>
        <v>19167</v>
      </c>
      <c r="AY148" s="36">
        <f t="shared" si="72"/>
        <v>1095</v>
      </c>
      <c r="AZ148" s="36">
        <f t="shared" si="72"/>
        <v>1169</v>
      </c>
      <c r="BA148" s="36">
        <f t="shared" si="72"/>
        <v>1178</v>
      </c>
      <c r="BB148" s="36">
        <f t="shared" si="72"/>
        <v>1353</v>
      </c>
      <c r="BC148" s="35">
        <f t="shared" si="72"/>
        <v>4795</v>
      </c>
      <c r="BD148" s="36">
        <f t="shared" si="72"/>
        <v>1182</v>
      </c>
      <c r="BE148" s="36">
        <f t="shared" si="72"/>
        <v>1254</v>
      </c>
      <c r="BF148" s="36">
        <f t="shared" si="72"/>
        <v>1558</v>
      </c>
      <c r="BG148" s="36">
        <f t="shared" si="72"/>
        <v>1667</v>
      </c>
      <c r="BH148" s="35">
        <f t="shared" si="72"/>
        <v>5661</v>
      </c>
      <c r="BI148" s="36">
        <f t="shared" si="72"/>
        <v>4131</v>
      </c>
      <c r="BJ148" s="36">
        <f t="shared" si="72"/>
        <v>920</v>
      </c>
      <c r="BK148" s="36">
        <f t="shared" si="72"/>
        <v>2004</v>
      </c>
      <c r="BL148" s="36">
        <f t="shared" si="72"/>
        <v>7330</v>
      </c>
      <c r="BM148" s="35">
        <f t="shared" si="72"/>
        <v>14385</v>
      </c>
      <c r="BN148" s="36">
        <f t="shared" ref="BN148:BW148" si="73">BN131-BN135+BN141+BN23</f>
        <v>858</v>
      </c>
      <c r="BO148" s="36">
        <f t="shared" si="73"/>
        <v>1350</v>
      </c>
      <c r="BP148" s="36">
        <f t="shared" si="73"/>
        <v>1412</v>
      </c>
      <c r="BQ148" s="36">
        <f t="shared" si="73"/>
        <v>3002</v>
      </c>
      <c r="BR148" s="35">
        <f t="shared" si="73"/>
        <v>6622</v>
      </c>
      <c r="BS148" s="36">
        <f>BS131-BS135+BS141+BS23</f>
        <v>1863</v>
      </c>
      <c r="BT148" s="36">
        <f>BT131-BT135+BT141+BT23</f>
        <v>1435</v>
      </c>
      <c r="BU148" s="36">
        <f>BU131-BU135+BU141+BU23</f>
        <v>1046</v>
      </c>
      <c r="BV148" s="36">
        <f>BV131-BV135+BV141+BV23</f>
        <v>1012.1738045097761</v>
      </c>
      <c r="BW148" s="35">
        <f t="shared" si="73"/>
        <v>5356.1738045097763</v>
      </c>
      <c r="BX148" s="35">
        <f>BX131-BX135+BX141+BX23</f>
        <v>4010.3101026192066</v>
      </c>
      <c r="BY148" s="35">
        <f>BY131-BY135+BY141+BY23</f>
        <v>4095.0491829382772</v>
      </c>
    </row>
    <row r="149" spans="1:77">
      <c r="A149" s="30"/>
      <c r="B149" s="32"/>
      <c r="C149" s="32"/>
      <c r="D149" s="32"/>
      <c r="E149" s="32"/>
      <c r="F149" s="30"/>
      <c r="G149" s="30"/>
      <c r="H149" s="30"/>
      <c r="I149" s="30"/>
      <c r="J149" s="32"/>
      <c r="K149" s="30"/>
      <c r="L149" s="30"/>
      <c r="M149" s="30"/>
      <c r="N149" s="30"/>
      <c r="O149" s="32"/>
      <c r="P149" s="30"/>
      <c r="Q149" s="30"/>
      <c r="R149" s="30"/>
      <c r="S149" s="30"/>
      <c r="T149" s="32"/>
      <c r="U149" s="30"/>
      <c r="V149" s="30"/>
      <c r="W149" s="30"/>
      <c r="X149" s="30"/>
      <c r="Y149" s="32"/>
      <c r="Z149" s="30"/>
      <c r="AA149" s="30"/>
      <c r="AB149" s="30"/>
      <c r="AC149" s="30"/>
      <c r="AD149" s="32"/>
      <c r="AE149" s="30"/>
      <c r="AF149" s="30"/>
      <c r="AG149" s="30"/>
      <c r="AH149" s="30"/>
      <c r="AI149" s="32"/>
      <c r="AJ149" s="30"/>
      <c r="AK149" s="30"/>
      <c r="AL149" s="30"/>
      <c r="AM149" s="30"/>
      <c r="AN149" s="32"/>
      <c r="AO149" s="30"/>
      <c r="AP149" s="30"/>
      <c r="AQ149" s="30"/>
      <c r="AR149" s="30"/>
      <c r="AS149" s="32"/>
      <c r="AT149" s="30"/>
      <c r="AU149" s="30"/>
      <c r="AV149" s="30"/>
      <c r="AW149" s="30"/>
      <c r="AX149" s="32"/>
      <c r="AY149" s="33"/>
      <c r="AZ149" s="33"/>
      <c r="BA149" s="33"/>
      <c r="BB149" s="33"/>
      <c r="BC149" s="32"/>
      <c r="BD149" s="33"/>
      <c r="BE149" s="33"/>
      <c r="BF149" s="33"/>
      <c r="BG149" s="33"/>
      <c r="BH149" s="32"/>
      <c r="BI149" s="33"/>
      <c r="BJ149" s="33"/>
      <c r="BK149" s="33"/>
      <c r="BL149" s="33"/>
      <c r="BM149" s="32"/>
      <c r="BN149" s="33"/>
      <c r="BO149" s="33"/>
      <c r="BP149" s="33"/>
      <c r="BQ149" s="33"/>
      <c r="BR149" s="32"/>
      <c r="BS149" s="33"/>
      <c r="BT149" s="33"/>
      <c r="BU149" s="33"/>
      <c r="BV149" s="33"/>
      <c r="BW149" s="32"/>
      <c r="BX149" s="32"/>
      <c r="BY149" s="32"/>
    </row>
    <row r="150" spans="1:77">
      <c r="A150" s="34" t="s">
        <v>11</v>
      </c>
      <c r="B150" s="32"/>
      <c r="C150" s="32"/>
      <c r="D150" s="32"/>
      <c r="E150" s="32"/>
      <c r="F150" s="30"/>
      <c r="G150" s="30"/>
      <c r="H150" s="30"/>
      <c r="I150" s="30"/>
      <c r="J150" s="32"/>
      <c r="K150" s="30"/>
      <c r="L150" s="30"/>
      <c r="M150" s="30"/>
      <c r="N150" s="30"/>
      <c r="O150" s="32"/>
      <c r="P150" s="30"/>
      <c r="Q150" s="30"/>
      <c r="R150" s="30"/>
      <c r="S150" s="30"/>
      <c r="T150" s="32"/>
      <c r="U150" s="30"/>
      <c r="V150" s="30"/>
      <c r="W150" s="30"/>
      <c r="X150" s="30"/>
      <c r="Y150" s="32"/>
      <c r="Z150" s="30"/>
      <c r="AA150" s="30"/>
      <c r="AB150" s="30"/>
      <c r="AC150" s="30"/>
      <c r="AD150" s="32"/>
      <c r="AE150" s="30"/>
      <c r="AF150" s="30"/>
      <c r="AG150" s="30"/>
      <c r="AH150" s="30"/>
      <c r="AI150" s="32"/>
      <c r="AJ150" s="30"/>
      <c r="AK150" s="30"/>
      <c r="AL150" s="30"/>
      <c r="AM150" s="30"/>
      <c r="AN150" s="32"/>
      <c r="AO150" s="30"/>
      <c r="AP150" s="30"/>
      <c r="AQ150" s="30"/>
      <c r="AR150" s="30"/>
      <c r="AS150" s="32"/>
      <c r="AT150" s="30"/>
      <c r="AU150" s="30"/>
      <c r="AV150" s="30"/>
      <c r="AW150" s="30"/>
      <c r="AX150" s="32"/>
      <c r="AY150" s="33"/>
      <c r="AZ150" s="33"/>
      <c r="BA150" s="33"/>
      <c r="BB150" s="33"/>
      <c r="BC150" s="32"/>
      <c r="BD150" s="33"/>
      <c r="BE150" s="33"/>
      <c r="BF150" s="33"/>
      <c r="BG150" s="33"/>
      <c r="BH150" s="32"/>
      <c r="BI150" s="33"/>
      <c r="BJ150" s="33"/>
      <c r="BK150" s="33"/>
      <c r="BL150" s="33"/>
      <c r="BM150" s="32"/>
      <c r="BN150" s="33"/>
      <c r="BO150" s="33"/>
      <c r="BP150" s="33"/>
      <c r="BQ150" s="33"/>
      <c r="BR150" s="32"/>
      <c r="BS150" s="33"/>
      <c r="BT150" s="33"/>
      <c r="BU150" s="33"/>
      <c r="BV150" s="33"/>
      <c r="BW150" s="32"/>
      <c r="BX150" s="32"/>
      <c r="BY150" s="32"/>
    </row>
    <row r="151" spans="1:77">
      <c r="A151" s="30"/>
      <c r="B151" s="32"/>
      <c r="C151" s="32"/>
      <c r="D151" s="32"/>
      <c r="E151" s="32"/>
      <c r="F151" s="30"/>
      <c r="G151" s="30"/>
      <c r="H151" s="30"/>
      <c r="I151" s="30"/>
      <c r="J151" s="32"/>
      <c r="K151" s="30"/>
      <c r="L151" s="30"/>
      <c r="M151" s="30"/>
      <c r="N151" s="30"/>
      <c r="O151" s="32"/>
      <c r="P151" s="30"/>
      <c r="Q151" s="30"/>
      <c r="R151" s="30"/>
      <c r="S151" s="30"/>
      <c r="T151" s="32"/>
      <c r="U151" s="30"/>
      <c r="V151" s="30"/>
      <c r="W151" s="30"/>
      <c r="X151" s="30"/>
      <c r="Y151" s="32"/>
      <c r="Z151" s="30"/>
      <c r="AA151" s="30"/>
      <c r="AB151" s="30"/>
      <c r="AC151" s="30"/>
      <c r="AD151" s="32"/>
      <c r="AE151" s="30"/>
      <c r="AF151" s="30"/>
      <c r="AG151" s="30"/>
      <c r="AH151" s="30"/>
      <c r="AI151" s="32"/>
      <c r="AJ151" s="30"/>
      <c r="AK151" s="30"/>
      <c r="AL151" s="30"/>
      <c r="AM151" s="30"/>
      <c r="AN151" s="32"/>
      <c r="AO151" s="30"/>
      <c r="AP151" s="30"/>
      <c r="AQ151" s="30"/>
      <c r="AR151" s="30"/>
      <c r="AS151" s="32"/>
      <c r="AT151" s="30"/>
      <c r="AU151" s="30"/>
      <c r="AV151" s="30"/>
      <c r="AW151" s="30"/>
      <c r="AX151" s="32"/>
      <c r="AY151" s="33"/>
      <c r="AZ151" s="33"/>
      <c r="BA151" s="33"/>
      <c r="BB151" s="33"/>
      <c r="BC151" s="32"/>
      <c r="BD151" s="33"/>
      <c r="BE151" s="33"/>
      <c r="BF151" s="33"/>
      <c r="BG151" s="33"/>
      <c r="BH151" s="32"/>
      <c r="BI151" s="33"/>
      <c r="BJ151" s="33"/>
      <c r="BK151" s="33"/>
      <c r="BL151" s="33"/>
      <c r="BM151" s="32"/>
      <c r="BN151" s="33"/>
      <c r="BO151" s="33"/>
      <c r="BP151" s="33"/>
      <c r="BQ151" s="33"/>
      <c r="BR151" s="32"/>
      <c r="BS151" s="33"/>
      <c r="BT151" s="33"/>
      <c r="BU151" s="33"/>
      <c r="BV151" s="33"/>
      <c r="BW151" s="32"/>
      <c r="BX151" s="32"/>
      <c r="BY151" s="32"/>
    </row>
    <row r="152" spans="1:77">
      <c r="A152" s="30" t="s">
        <v>10</v>
      </c>
      <c r="B152" s="28"/>
      <c r="C152" s="28"/>
      <c r="D152" s="28"/>
      <c r="E152" s="28"/>
      <c r="F152" s="31"/>
      <c r="G152" s="31"/>
      <c r="H152" s="31"/>
      <c r="I152" s="31"/>
      <c r="J152" s="28">
        <v>0.49437842168513818</v>
      </c>
      <c r="K152" s="31"/>
      <c r="L152" s="31"/>
      <c r="M152" s="31"/>
      <c r="N152" s="31"/>
      <c r="O152" s="28">
        <v>0.4799297834991223</v>
      </c>
      <c r="P152" s="30"/>
      <c r="Q152" s="30"/>
      <c r="R152" s="30"/>
      <c r="S152" s="30"/>
      <c r="T152" s="28">
        <v>0.49183549729243764</v>
      </c>
      <c r="U152" s="30"/>
      <c r="V152" s="30"/>
      <c r="W152" s="30"/>
      <c r="X152" s="30"/>
      <c r="Y152" s="28">
        <v>0.48324476341788564</v>
      </c>
      <c r="Z152" s="30"/>
      <c r="AA152" s="30"/>
      <c r="AB152" s="30"/>
      <c r="AC152" s="30"/>
      <c r="AD152" s="28">
        <v>0.47655970416318738</v>
      </c>
      <c r="AE152" s="30"/>
      <c r="AF152" s="30"/>
      <c r="AG152" s="30"/>
      <c r="AH152" s="30"/>
      <c r="AI152" s="28">
        <v>0.53390557939914163</v>
      </c>
      <c r="AJ152" s="30"/>
      <c r="AK152" s="30"/>
      <c r="AL152" s="30"/>
      <c r="AM152" s="30"/>
      <c r="AN152" s="28">
        <v>0.53217612193056729</v>
      </c>
      <c r="AO152" s="29"/>
      <c r="AP152" s="29"/>
      <c r="AQ152" s="29"/>
      <c r="AR152" s="29"/>
      <c r="AS152" s="28">
        <v>0.52307956693589963</v>
      </c>
      <c r="AT152" s="29"/>
      <c r="AU152" s="29"/>
      <c r="AV152" s="29"/>
      <c r="AW152" s="29"/>
      <c r="AX152" s="28">
        <v>0.55754834684965693</v>
      </c>
      <c r="AY152" s="27"/>
      <c r="AZ152" s="27"/>
      <c r="BA152" s="27"/>
      <c r="BB152" s="27"/>
      <c r="BC152" s="28">
        <v>0.57474531344808866</v>
      </c>
      <c r="BD152" s="27"/>
      <c r="BE152" s="27"/>
      <c r="BF152" s="27"/>
      <c r="BG152" s="27"/>
      <c r="BH152" s="28">
        <v>0.58609831029185866</v>
      </c>
      <c r="BI152" s="27"/>
      <c r="BJ152" s="27"/>
      <c r="BK152" s="27"/>
      <c r="BL152" s="27"/>
      <c r="BM152" s="28">
        <v>0.55240828550037435</v>
      </c>
      <c r="BN152" s="27"/>
      <c r="BO152" s="27"/>
      <c r="BP152" s="27"/>
      <c r="BQ152" s="27"/>
      <c r="BR152" s="26"/>
      <c r="BS152" s="27"/>
      <c r="BT152" s="27"/>
      <c r="BU152" s="27"/>
      <c r="BV152" s="27"/>
      <c r="BW152" s="26"/>
      <c r="BX152" s="26"/>
      <c r="BY152" s="26"/>
    </row>
    <row r="153" spans="1:77">
      <c r="A153" s="30" t="s">
        <v>9</v>
      </c>
      <c r="B153" s="28"/>
      <c r="C153" s="28"/>
      <c r="D153" s="28"/>
      <c r="E153" s="28"/>
      <c r="F153" s="31"/>
      <c r="G153" s="31"/>
      <c r="H153" s="31"/>
      <c r="I153" s="31"/>
      <c r="J153" s="28">
        <v>0.25074108692749364</v>
      </c>
      <c r="K153" s="31"/>
      <c r="L153" s="31"/>
      <c r="M153" s="31"/>
      <c r="N153" s="31"/>
      <c r="O153" s="28">
        <v>0.26342890579286132</v>
      </c>
      <c r="P153" s="30"/>
      <c r="Q153" s="30"/>
      <c r="R153" s="30"/>
      <c r="S153" s="30"/>
      <c r="T153" s="28">
        <v>0.25233644859813081</v>
      </c>
      <c r="U153" s="30"/>
      <c r="V153" s="30"/>
      <c r="W153" s="30"/>
      <c r="X153" s="30"/>
      <c r="Y153" s="28">
        <v>0.26189302215160976</v>
      </c>
      <c r="Z153" s="30"/>
      <c r="AA153" s="30"/>
      <c r="AB153" s="30"/>
      <c r="AC153" s="30"/>
      <c r="AD153" s="28">
        <v>0.26957618309163101</v>
      </c>
      <c r="AE153" s="30"/>
      <c r="AF153" s="30"/>
      <c r="AG153" s="30"/>
      <c r="AH153" s="30"/>
      <c r="AI153" s="28">
        <v>0.23301859799713878</v>
      </c>
      <c r="AJ153" s="30"/>
      <c r="AK153" s="30"/>
      <c r="AL153" s="30"/>
      <c r="AM153" s="30"/>
      <c r="AN153" s="28">
        <v>0.22009719103191841</v>
      </c>
      <c r="AO153" s="29"/>
      <c r="AP153" s="29"/>
      <c r="AQ153" s="29"/>
      <c r="AR153" s="29"/>
      <c r="AS153" s="28">
        <v>0.21654923526379102</v>
      </c>
      <c r="AT153" s="29"/>
      <c r="AU153" s="29"/>
      <c r="AV153" s="29"/>
      <c r="AW153" s="29"/>
      <c r="AX153" s="28">
        <v>0.20487627365356623</v>
      </c>
      <c r="AY153" s="27"/>
      <c r="AZ153" s="27"/>
      <c r="BA153" s="27"/>
      <c r="BB153" s="27"/>
      <c r="BC153" s="28">
        <v>0.20202471816817297</v>
      </c>
      <c r="BD153" s="27"/>
      <c r="BE153" s="27"/>
      <c r="BF153" s="27"/>
      <c r="BG153" s="27"/>
      <c r="BH153" s="28">
        <v>0.19400921658986175</v>
      </c>
      <c r="BI153" s="27"/>
      <c r="BJ153" s="27"/>
      <c r="BK153" s="27"/>
      <c r="BL153" s="27"/>
      <c r="BM153" s="28">
        <v>0.19510499483047525</v>
      </c>
      <c r="BN153" s="27"/>
      <c r="BO153" s="27"/>
      <c r="BP153" s="27"/>
      <c r="BQ153" s="27"/>
      <c r="BR153" s="26"/>
      <c r="BS153" s="27"/>
      <c r="BT153" s="27"/>
      <c r="BU153" s="27"/>
      <c r="BV153" s="27"/>
      <c r="BW153" s="26"/>
      <c r="BX153" s="26"/>
      <c r="BY153" s="26"/>
    </row>
    <row r="154" spans="1:77">
      <c r="A154" s="30" t="s">
        <v>8</v>
      </c>
      <c r="B154" s="28"/>
      <c r="C154" s="28"/>
      <c r="D154" s="28"/>
      <c r="E154" s="28"/>
      <c r="F154" s="31"/>
      <c r="G154" s="31"/>
      <c r="H154" s="31"/>
      <c r="I154" s="31"/>
      <c r="J154" s="28">
        <f>J155-J153-J152</f>
        <v>0.25488049138736818</v>
      </c>
      <c r="K154" s="31"/>
      <c r="L154" s="31"/>
      <c r="M154" s="31"/>
      <c r="N154" s="31"/>
      <c r="O154" s="28">
        <f>O155-O153-O152</f>
        <v>0.25664131070801632</v>
      </c>
      <c r="P154" s="30"/>
      <c r="Q154" s="30"/>
      <c r="R154" s="30"/>
      <c r="S154" s="30"/>
      <c r="T154" s="28">
        <f>T155-T153-T152</f>
        <v>0.2558280541094316</v>
      </c>
      <c r="U154" s="30"/>
      <c r="V154" s="30"/>
      <c r="W154" s="30"/>
      <c r="X154" s="30"/>
      <c r="Y154" s="28">
        <f>Y155-Y153-Y152</f>
        <v>0.25486221443050455</v>
      </c>
      <c r="Z154" s="30"/>
      <c r="AA154" s="30"/>
      <c r="AB154" s="30"/>
      <c r="AC154" s="30"/>
      <c r="AD154" s="28">
        <f>AD155-AD153-AD152</f>
        <v>0.25386411274518161</v>
      </c>
      <c r="AE154" s="30"/>
      <c r="AF154" s="30"/>
      <c r="AG154" s="30"/>
      <c r="AH154" s="30"/>
      <c r="AI154" s="28">
        <f>AI155-AI153-AI152</f>
        <v>0.23307582260371962</v>
      </c>
      <c r="AJ154" s="30"/>
      <c r="AK154" s="30"/>
      <c r="AL154" s="30"/>
      <c r="AM154" s="30"/>
      <c r="AN154" s="28">
        <f>AN155-AN153-AN152</f>
        <v>0.24772668703751433</v>
      </c>
      <c r="AO154" s="29"/>
      <c r="AP154" s="29"/>
      <c r="AQ154" s="29"/>
      <c r="AR154" s="29"/>
      <c r="AS154" s="28">
        <f>AS155-AS153-AS152</f>
        <v>0.26037119780030937</v>
      </c>
      <c r="AT154" s="29"/>
      <c r="AU154" s="29"/>
      <c r="AV154" s="29"/>
      <c r="AW154" s="29"/>
      <c r="AX154" s="28">
        <f>AX155-AX153-AX152</f>
        <v>0.23757537949677687</v>
      </c>
      <c r="AY154" s="27"/>
      <c r="AZ154" s="27"/>
      <c r="BA154" s="27"/>
      <c r="BB154" s="27"/>
      <c r="BC154" s="28">
        <f>BC155-BC153-BC152</f>
        <v>0.22322996838373843</v>
      </c>
      <c r="BD154" s="27"/>
      <c r="BE154" s="27"/>
      <c r="BF154" s="27"/>
      <c r="BG154" s="27"/>
      <c r="BH154" s="28">
        <f>BH155-BH153-BH152</f>
        <v>0.21989247311827964</v>
      </c>
      <c r="BI154" s="27"/>
      <c r="BJ154" s="27"/>
      <c r="BK154" s="27"/>
      <c r="BL154" s="27"/>
      <c r="BM154" s="28">
        <f>BM155-BM153-BM152</f>
        <v>0.25248671966915037</v>
      </c>
      <c r="BN154" s="27"/>
      <c r="BO154" s="27"/>
      <c r="BP154" s="27"/>
      <c r="BQ154" s="27"/>
      <c r="BR154" s="26"/>
      <c r="BS154" s="27"/>
      <c r="BT154" s="27"/>
      <c r="BU154" s="27"/>
      <c r="BV154" s="27"/>
      <c r="BW154" s="26"/>
      <c r="BX154" s="26"/>
      <c r="BY154" s="26"/>
    </row>
    <row r="155" spans="1:77">
      <c r="A155" s="25" t="s">
        <v>7</v>
      </c>
      <c r="B155" s="21"/>
      <c r="C155" s="21"/>
      <c r="D155" s="21"/>
      <c r="E155" s="21"/>
      <c r="F155" s="24"/>
      <c r="G155" s="24"/>
      <c r="H155" s="24"/>
      <c r="I155" s="24"/>
      <c r="J155" s="21">
        <v>1</v>
      </c>
      <c r="K155" s="24"/>
      <c r="L155" s="24"/>
      <c r="M155" s="24"/>
      <c r="N155" s="24"/>
      <c r="O155" s="21">
        <v>1</v>
      </c>
      <c r="P155" s="23"/>
      <c r="Q155" s="23"/>
      <c r="R155" s="23"/>
      <c r="S155" s="23"/>
      <c r="T155" s="21">
        <v>1</v>
      </c>
      <c r="U155" s="23"/>
      <c r="V155" s="23"/>
      <c r="W155" s="23"/>
      <c r="X155" s="23"/>
      <c r="Y155" s="21">
        <v>1</v>
      </c>
      <c r="Z155" s="23"/>
      <c r="AA155" s="23"/>
      <c r="AB155" s="23"/>
      <c r="AC155" s="23"/>
      <c r="AD155" s="21">
        <v>1</v>
      </c>
      <c r="AE155" s="23"/>
      <c r="AF155" s="23"/>
      <c r="AG155" s="23"/>
      <c r="AH155" s="23"/>
      <c r="AI155" s="21">
        <v>1</v>
      </c>
      <c r="AJ155" s="23"/>
      <c r="AK155" s="23"/>
      <c r="AL155" s="23"/>
      <c r="AM155" s="23"/>
      <c r="AN155" s="21">
        <v>1</v>
      </c>
      <c r="AO155" s="22"/>
      <c r="AP155" s="22"/>
      <c r="AQ155" s="22"/>
      <c r="AR155" s="22"/>
      <c r="AS155" s="21">
        <v>1</v>
      </c>
      <c r="AT155" s="22"/>
      <c r="AU155" s="22"/>
      <c r="AV155" s="22"/>
      <c r="AW155" s="22"/>
      <c r="AX155" s="21">
        <v>1</v>
      </c>
      <c r="AY155" s="20"/>
      <c r="AZ155" s="20"/>
      <c r="BA155" s="20"/>
      <c r="BB155" s="20"/>
      <c r="BC155" s="21">
        <v>1</v>
      </c>
      <c r="BD155" s="20"/>
      <c r="BE155" s="20"/>
      <c r="BF155" s="20"/>
      <c r="BG155" s="20"/>
      <c r="BH155" s="21">
        <v>1</v>
      </c>
      <c r="BI155" s="20"/>
      <c r="BJ155" s="20"/>
      <c r="BK155" s="20"/>
      <c r="BL155" s="20"/>
      <c r="BM155" s="21">
        <v>1</v>
      </c>
      <c r="BN155" s="20"/>
      <c r="BO155" s="20"/>
      <c r="BP155" s="20"/>
      <c r="BQ155" s="20"/>
      <c r="BR155" s="19"/>
      <c r="BS155" s="20"/>
      <c r="BT155" s="20"/>
      <c r="BU155" s="20"/>
      <c r="BV155" s="20"/>
      <c r="BW155" s="19"/>
      <c r="BX155" s="19"/>
      <c r="BY155" s="19"/>
    </row>
  </sheetData>
  <pageMargins left="0.75" right="0.5" top="0.75" bottom="0.75" header="0.5" footer="0.5"/>
  <pageSetup scale="44" orientation="portrait" errors="dash" r:id="rId1"/>
  <headerFooter alignWithMargins="0">
    <oddFoote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BS91"/>
  <sheetViews>
    <sheetView showGridLines="0" zoomScale="85" zoomScaleNormal="85" workbookViewId="0">
      <pane xSplit="42" ySplit="2" topLeftCell="AQ3" activePane="bottomRight" state="frozen"/>
      <selection pane="topRight" activeCell="AQ1" sqref="AQ1"/>
      <selection pane="bottomLeft" activeCell="A3" sqref="A3"/>
      <selection pane="bottomRight" activeCell="BN39" sqref="BN39"/>
    </sheetView>
  </sheetViews>
  <sheetFormatPr defaultColWidth="9.140625" defaultRowHeight="11.25" outlineLevelCol="1"/>
  <cols>
    <col min="1" max="1" width="15.5703125" style="2109" customWidth="1"/>
    <col min="2" max="2" width="6.140625" style="2199" customWidth="1"/>
    <col min="3" max="3" width="6.140625" style="2109" hidden="1" customWidth="1" outlineLevel="1"/>
    <col min="4" max="42" width="0" style="2109" hidden="1" customWidth="1" outlineLevel="1"/>
    <col min="43" max="43" width="9.140625" style="2109" collapsed="1"/>
    <col min="44" max="16384" width="9.140625" style="2109"/>
  </cols>
  <sheetData>
    <row r="1" spans="1:71">
      <c r="A1" s="2155"/>
      <c r="B1" s="2203"/>
      <c r="C1" s="1859"/>
      <c r="D1" s="1859"/>
      <c r="E1" s="1859"/>
      <c r="F1" s="1859"/>
      <c r="G1" s="1859"/>
      <c r="H1" s="1859"/>
      <c r="I1" s="1859"/>
      <c r="J1" s="1859"/>
      <c r="K1" s="1859"/>
      <c r="L1" s="1859"/>
      <c r="M1" s="1859"/>
      <c r="N1" s="1859"/>
      <c r="O1" s="1859"/>
      <c r="P1" s="1859"/>
      <c r="Q1" s="1859"/>
      <c r="R1" s="1859"/>
      <c r="S1" s="1859"/>
      <c r="T1" s="1859"/>
      <c r="U1" s="1859"/>
      <c r="V1" s="1859"/>
      <c r="W1" s="1859"/>
      <c r="X1" s="1859"/>
      <c r="Y1" s="1859"/>
      <c r="Z1" s="1859"/>
      <c r="AA1" s="1859"/>
      <c r="AB1" s="1859"/>
      <c r="AC1" s="1859"/>
      <c r="AD1" s="1859"/>
      <c r="AE1" s="1859"/>
      <c r="AF1" s="1859"/>
      <c r="AG1" s="1859"/>
      <c r="AH1" s="1859"/>
      <c r="AI1" s="1859"/>
      <c r="AJ1" s="1859"/>
      <c r="AK1" s="1859"/>
      <c r="AL1" s="1859"/>
      <c r="AM1" s="1859"/>
      <c r="AN1" s="1859"/>
      <c r="AO1" s="1859"/>
      <c r="AP1" s="1859"/>
      <c r="AQ1" s="1859"/>
      <c r="AR1" s="1859"/>
      <c r="AS1" s="1859"/>
      <c r="AT1" s="1859"/>
      <c r="AU1" s="1859"/>
      <c r="AV1" s="1859"/>
      <c r="AW1" s="1859"/>
      <c r="AX1" s="1859"/>
      <c r="AY1" s="1859"/>
      <c r="AZ1" s="1859"/>
      <c r="BA1" s="1859"/>
    </row>
    <row r="2" spans="1:71">
      <c r="A2" s="2154" t="s">
        <v>1390</v>
      </c>
      <c r="B2" s="2153"/>
      <c r="C2" s="2152" t="s">
        <v>117</v>
      </c>
      <c r="D2" s="2152" t="s">
        <v>116</v>
      </c>
      <c r="E2" s="2152" t="s">
        <v>115</v>
      </c>
      <c r="F2" s="2152" t="s">
        <v>114</v>
      </c>
      <c r="G2" s="2152">
        <v>2005</v>
      </c>
      <c r="H2" s="2152" t="s">
        <v>206</v>
      </c>
      <c r="I2" s="2152" t="s">
        <v>205</v>
      </c>
      <c r="J2" s="2152" t="s">
        <v>204</v>
      </c>
      <c r="K2" s="2152" t="s">
        <v>203</v>
      </c>
      <c r="L2" s="2152">
        <v>2006</v>
      </c>
      <c r="M2" s="2152" t="s">
        <v>202</v>
      </c>
      <c r="N2" s="2152" t="s">
        <v>201</v>
      </c>
      <c r="O2" s="2152" t="s">
        <v>200</v>
      </c>
      <c r="P2" s="2152" t="s">
        <v>199</v>
      </c>
      <c r="Q2" s="2152">
        <v>2007</v>
      </c>
      <c r="R2" s="2152" t="s">
        <v>198</v>
      </c>
      <c r="S2" s="2152" t="s">
        <v>197</v>
      </c>
      <c r="T2" s="2152" t="s">
        <v>196</v>
      </c>
      <c r="U2" s="2152" t="s">
        <v>195</v>
      </c>
      <c r="V2" s="2152">
        <v>2008</v>
      </c>
      <c r="W2" s="2152" t="s">
        <v>194</v>
      </c>
      <c r="X2" s="2152" t="s">
        <v>193</v>
      </c>
      <c r="Y2" s="2152" t="s">
        <v>192</v>
      </c>
      <c r="Z2" s="2152" t="s">
        <v>191</v>
      </c>
      <c r="AA2" s="2152">
        <v>2009</v>
      </c>
      <c r="AB2" s="2152" t="s">
        <v>190</v>
      </c>
      <c r="AC2" s="2152" t="s">
        <v>189</v>
      </c>
      <c r="AD2" s="2152" t="s">
        <v>188</v>
      </c>
      <c r="AE2" s="2152" t="s">
        <v>187</v>
      </c>
      <c r="AF2" s="2152">
        <v>2010</v>
      </c>
      <c r="AG2" s="2152" t="s">
        <v>186</v>
      </c>
      <c r="AH2" s="2152" t="s">
        <v>185</v>
      </c>
      <c r="AI2" s="2152" t="s">
        <v>184</v>
      </c>
      <c r="AJ2" s="2152" t="s">
        <v>183</v>
      </c>
      <c r="AK2" s="2152">
        <v>2011</v>
      </c>
      <c r="AL2" s="2152" t="s">
        <v>182</v>
      </c>
      <c r="AM2" s="2152" t="s">
        <v>181</v>
      </c>
      <c r="AN2" s="2152" t="s">
        <v>180</v>
      </c>
      <c r="AO2" s="2152" t="s">
        <v>179</v>
      </c>
      <c r="AP2" s="2152">
        <v>2012</v>
      </c>
      <c r="AQ2" s="2152" t="s">
        <v>178</v>
      </c>
      <c r="AR2" s="2152" t="s">
        <v>177</v>
      </c>
      <c r="AS2" s="2152" t="s">
        <v>176</v>
      </c>
      <c r="AT2" s="2152" t="s">
        <v>175</v>
      </c>
      <c r="AU2" s="2152">
        <v>2013</v>
      </c>
      <c r="AV2" s="2152" t="s">
        <v>174</v>
      </c>
      <c r="AW2" s="2152" t="s">
        <v>152</v>
      </c>
      <c r="AX2" s="2152" t="s">
        <v>140</v>
      </c>
      <c r="AY2" s="2152" t="s">
        <v>132</v>
      </c>
      <c r="AZ2" s="2152">
        <v>2014</v>
      </c>
      <c r="BA2" s="2152" t="s">
        <v>131</v>
      </c>
      <c r="BB2" s="2152" t="s">
        <v>130</v>
      </c>
      <c r="BC2" s="2152" t="s">
        <v>129</v>
      </c>
      <c r="BD2" s="2152" t="s">
        <v>128</v>
      </c>
      <c r="BE2" s="2152">
        <v>2015</v>
      </c>
      <c r="BF2" s="2152" t="s">
        <v>1386</v>
      </c>
      <c r="BG2" s="2152" t="s">
        <v>1410</v>
      </c>
      <c r="BH2" s="2152" t="s">
        <v>1419</v>
      </c>
      <c r="BI2" s="2152" t="s">
        <v>1426</v>
      </c>
      <c r="BJ2" s="2152" t="s">
        <v>124</v>
      </c>
      <c r="BK2" s="2152" t="str">
        <f>BK49</f>
        <v>1Q17</v>
      </c>
      <c r="BL2" s="2152" t="str">
        <f>BL49</f>
        <v>2Q17</v>
      </c>
      <c r="BM2" s="2152" t="str">
        <f>BM49</f>
        <v>3Q17</v>
      </c>
      <c r="BN2" s="2152" t="str">
        <f>BN49</f>
        <v>4Q17E</v>
      </c>
      <c r="BP2" s="2152" t="str">
        <f>BP49</f>
        <v>1Q18E</v>
      </c>
      <c r="BQ2" s="2152" t="str">
        <f>BQ49</f>
        <v>2Q18E</v>
      </c>
      <c r="BR2" s="2152" t="str">
        <f>BR49</f>
        <v>3Q18E</v>
      </c>
      <c r="BS2" s="2152" t="str">
        <f>BS49</f>
        <v>4Q18E</v>
      </c>
    </row>
    <row r="3" spans="1:71">
      <c r="A3" s="2155"/>
      <c r="B3" s="2203"/>
      <c r="C3" s="1859"/>
      <c r="D3" s="1859"/>
      <c r="E3" s="1859"/>
      <c r="F3" s="1859"/>
      <c r="G3" s="1859"/>
      <c r="H3" s="1859"/>
      <c r="I3" s="1859"/>
      <c r="J3" s="1859"/>
      <c r="K3" s="1859"/>
      <c r="L3" s="1859"/>
      <c r="M3" s="1859"/>
      <c r="N3" s="1859"/>
      <c r="O3" s="1859"/>
      <c r="P3" s="1859"/>
      <c r="Q3" s="1859"/>
      <c r="R3" s="1859"/>
      <c r="S3" s="1859"/>
      <c r="T3" s="1859"/>
      <c r="U3" s="1859"/>
      <c r="V3" s="1859"/>
      <c r="W3" s="1859"/>
      <c r="X3" s="1859"/>
      <c r="Y3" s="1859"/>
      <c r="Z3" s="1859"/>
      <c r="AA3" s="1859"/>
      <c r="AB3" s="1859"/>
      <c r="AC3" s="1859"/>
      <c r="AD3" s="1859"/>
      <c r="AE3" s="1859"/>
      <c r="AF3" s="1859"/>
      <c r="AG3" s="1859"/>
      <c r="AH3" s="1859"/>
      <c r="AI3" s="1859"/>
      <c r="AJ3" s="1859"/>
      <c r="AK3" s="1859"/>
      <c r="AL3" s="1859"/>
      <c r="AM3" s="1859"/>
      <c r="AN3" s="1859"/>
      <c r="AO3" s="1859"/>
      <c r="AP3" s="1859"/>
      <c r="AQ3" s="1859"/>
      <c r="AR3" s="1859"/>
      <c r="AS3" s="1859"/>
      <c r="AT3" s="1859"/>
      <c r="AU3" s="1859"/>
      <c r="AV3" s="1859"/>
      <c r="AW3" s="1859"/>
      <c r="AX3" s="1859"/>
      <c r="AY3" s="1859"/>
      <c r="AZ3" s="1859"/>
      <c r="BA3" s="1859"/>
    </row>
    <row r="4" spans="1:71">
      <c r="A4" s="2151" t="s">
        <v>1392</v>
      </c>
      <c r="B4" s="2202"/>
      <c r="C4" s="2157"/>
      <c r="D4" s="2157"/>
      <c r="E4" s="2157"/>
      <c r="F4" s="2157"/>
      <c r="G4" s="2157"/>
      <c r="H4" s="2157"/>
      <c r="I4" s="2157"/>
      <c r="J4" s="2157"/>
      <c r="K4" s="1859"/>
      <c r="L4" s="1859"/>
      <c r="M4" s="1859"/>
      <c r="N4" s="1859"/>
      <c r="O4" s="1859"/>
      <c r="P4" s="1859"/>
      <c r="Q4" s="1859"/>
      <c r="R4" s="1859"/>
      <c r="S4" s="1859"/>
      <c r="T4" s="1859"/>
      <c r="U4" s="1859"/>
      <c r="V4" s="1859"/>
      <c r="W4" s="1859"/>
      <c r="X4" s="1859"/>
      <c r="Y4" s="1859"/>
      <c r="Z4" s="1859"/>
      <c r="AA4" s="1859"/>
      <c r="AB4" s="1859"/>
      <c r="AC4" s="1859"/>
      <c r="AD4" s="1859"/>
      <c r="AE4" s="1859"/>
      <c r="AF4" s="1859"/>
      <c r="AG4" s="1859"/>
      <c r="AH4" s="1859"/>
      <c r="AI4" s="1859"/>
      <c r="AJ4" s="1859"/>
      <c r="AK4" s="1859"/>
      <c r="AL4" s="1859"/>
      <c r="AM4" s="1859"/>
      <c r="AN4" s="1859"/>
      <c r="AO4" s="1859"/>
      <c r="AP4" s="1859"/>
      <c r="AQ4" s="1859"/>
      <c r="AR4" s="1859"/>
      <c r="AS4" s="1859"/>
      <c r="AT4" s="1859"/>
      <c r="AU4" s="1859"/>
      <c r="AV4" s="1859"/>
      <c r="AW4" s="1859"/>
      <c r="AX4" s="1859"/>
      <c r="AY4" s="1859"/>
      <c r="AZ4" s="1859"/>
      <c r="BA4" s="1859"/>
    </row>
    <row r="5" spans="1:71">
      <c r="A5" s="2156" t="s">
        <v>655</v>
      </c>
      <c r="B5" s="2201">
        <v>0.1</v>
      </c>
      <c r="C5" s="2157"/>
      <c r="D5" s="2157"/>
      <c r="E5" s="2157"/>
      <c r="F5" s="2157"/>
      <c r="G5" s="2157"/>
      <c r="H5" s="2157"/>
      <c r="I5" s="2157"/>
      <c r="J5" s="2157"/>
      <c r="K5" s="1859"/>
      <c r="L5" s="1859"/>
      <c r="M5" s="1859"/>
      <c r="N5" s="1859"/>
      <c r="O5" s="1859"/>
      <c r="P5" s="1859"/>
      <c r="Q5" s="1859"/>
      <c r="R5" s="1859"/>
      <c r="S5" s="1859"/>
      <c r="T5" s="1859"/>
      <c r="U5" s="1859"/>
      <c r="V5" s="1859"/>
      <c r="W5" s="1859"/>
      <c r="X5" s="1859"/>
      <c r="Y5" s="1859"/>
      <c r="Z5" s="1859"/>
      <c r="AA5" s="1859"/>
      <c r="AB5" s="1859"/>
      <c r="AC5" s="1859"/>
      <c r="AD5" s="1859"/>
      <c r="AE5" s="1859"/>
      <c r="AF5" s="1859"/>
      <c r="AG5" s="1859"/>
      <c r="AH5" s="1859"/>
      <c r="AI5" s="1859"/>
      <c r="AJ5" s="1859"/>
      <c r="AK5" s="1859"/>
      <c r="AL5" s="1859"/>
      <c r="AM5" s="1859"/>
      <c r="AN5" s="1859"/>
      <c r="AO5" s="1859"/>
      <c r="AP5" s="1859"/>
      <c r="AQ5" s="1859"/>
      <c r="AR5" s="1859"/>
      <c r="AS5" s="1859"/>
      <c r="AT5" s="1859"/>
      <c r="AU5" s="1859"/>
      <c r="AV5" s="1859"/>
      <c r="AW5" s="1859"/>
      <c r="AX5" s="1859"/>
      <c r="AY5" s="1859"/>
      <c r="AZ5" s="1859"/>
      <c r="BA5" s="1859"/>
    </row>
    <row r="6" spans="1:71">
      <c r="A6" s="2156" t="s">
        <v>1393</v>
      </c>
      <c r="B6" s="2201">
        <v>0.01</v>
      </c>
      <c r="C6" s="2157"/>
      <c r="D6" s="2157"/>
      <c r="E6" s="2157"/>
      <c r="F6" s="2157"/>
      <c r="G6" s="2157"/>
      <c r="H6" s="2157"/>
      <c r="I6" s="2157"/>
      <c r="J6" s="2157"/>
      <c r="K6" s="1859"/>
      <c r="L6" s="1859"/>
      <c r="M6" s="1859"/>
      <c r="N6" s="1859"/>
      <c r="O6" s="1859"/>
      <c r="P6" s="1859"/>
      <c r="Q6" s="1859"/>
      <c r="R6" s="1859"/>
      <c r="S6" s="1859"/>
      <c r="T6" s="1859"/>
      <c r="U6" s="1859"/>
      <c r="V6" s="1859"/>
      <c r="W6" s="1859"/>
      <c r="X6" s="1859"/>
      <c r="Y6" s="1859"/>
      <c r="Z6" s="1859"/>
      <c r="AA6" s="1859"/>
      <c r="AB6" s="1859"/>
      <c r="AC6" s="1859"/>
      <c r="AD6" s="1859"/>
      <c r="AE6" s="1859"/>
      <c r="AF6" s="1859"/>
      <c r="AG6" s="1859"/>
      <c r="AH6" s="1859"/>
      <c r="AI6" s="1859"/>
      <c r="AJ6" s="1859"/>
      <c r="AK6" s="1859"/>
      <c r="AL6" s="1859"/>
      <c r="AM6" s="1859"/>
      <c r="AN6" s="1859"/>
      <c r="AO6" s="1859"/>
      <c r="AP6" s="1859"/>
      <c r="AQ6" s="1859"/>
      <c r="AR6" s="1859"/>
      <c r="AS6" s="1859"/>
      <c r="AT6" s="1859"/>
      <c r="AU6" s="1859"/>
      <c r="AV6" s="1859"/>
      <c r="AW6" s="1859"/>
      <c r="AX6" s="1859"/>
      <c r="AY6" s="1859"/>
      <c r="AZ6" s="1859"/>
      <c r="BA6" s="1859"/>
    </row>
    <row r="7" spans="1:71">
      <c r="A7" s="2156" t="s">
        <v>561</v>
      </c>
      <c r="B7" s="2201">
        <v>0.04</v>
      </c>
      <c r="C7" s="2157"/>
      <c r="D7" s="2157"/>
      <c r="E7" s="2157"/>
      <c r="F7" s="2157"/>
      <c r="G7" s="2157"/>
      <c r="H7" s="2157"/>
      <c r="I7" s="2157"/>
      <c r="J7" s="2157"/>
      <c r="K7" s="1859"/>
      <c r="L7" s="1859"/>
      <c r="M7" s="1859"/>
      <c r="N7" s="1859"/>
      <c r="O7" s="1859"/>
      <c r="P7" s="1859"/>
      <c r="Q7" s="1859"/>
      <c r="R7" s="1859"/>
      <c r="S7" s="1859"/>
      <c r="T7" s="1859"/>
      <c r="U7" s="1859"/>
      <c r="V7" s="1859"/>
      <c r="W7" s="1859"/>
      <c r="X7" s="1859"/>
      <c r="Y7" s="1859"/>
      <c r="Z7" s="1859"/>
      <c r="AA7" s="1859"/>
      <c r="AB7" s="1859"/>
      <c r="AC7" s="1859"/>
      <c r="AD7" s="1859"/>
      <c r="AE7" s="1859"/>
      <c r="AF7" s="1859"/>
      <c r="AG7" s="1859"/>
      <c r="AH7" s="1859"/>
      <c r="AI7" s="1859"/>
      <c r="AJ7" s="1859"/>
      <c r="AK7" s="1859"/>
      <c r="AL7" s="1859"/>
      <c r="AM7" s="1859"/>
      <c r="AN7" s="1859"/>
      <c r="AO7" s="1859"/>
      <c r="AP7" s="1859"/>
      <c r="AQ7" s="1859"/>
      <c r="AR7" s="1859"/>
      <c r="AS7" s="1859"/>
      <c r="AT7" s="1859"/>
      <c r="AU7" s="1859"/>
      <c r="AV7" s="1859"/>
      <c r="AW7" s="1859"/>
      <c r="AX7" s="1859"/>
      <c r="AY7" s="1859"/>
      <c r="AZ7" s="1859"/>
      <c r="BA7" s="1859"/>
    </row>
    <row r="8" spans="1:71">
      <c r="A8" s="2156" t="s">
        <v>498</v>
      </c>
      <c r="B8" s="2201">
        <v>5.0000000000000001E-3</v>
      </c>
      <c r="C8" s="2157"/>
      <c r="D8" s="2157"/>
      <c r="E8" s="2157"/>
      <c r="F8" s="2157"/>
      <c r="G8" s="2157"/>
      <c r="H8" s="2157"/>
      <c r="I8" s="2157"/>
      <c r="J8" s="2157"/>
      <c r="K8" s="1859"/>
      <c r="L8" s="1859"/>
      <c r="M8" s="1859"/>
      <c r="N8" s="1859"/>
      <c r="O8" s="1859"/>
      <c r="P8" s="1859"/>
      <c r="Q8" s="1859"/>
      <c r="R8" s="1859"/>
      <c r="S8" s="1859"/>
      <c r="T8" s="1859"/>
      <c r="U8" s="1859"/>
      <c r="V8" s="1859"/>
      <c r="W8" s="1859"/>
      <c r="X8" s="1859"/>
      <c r="Y8" s="1859"/>
      <c r="Z8" s="1859"/>
      <c r="AA8" s="1859"/>
      <c r="AB8" s="1859"/>
      <c r="AC8" s="1859"/>
      <c r="AD8" s="1859"/>
      <c r="AE8" s="1859"/>
      <c r="AF8" s="1859"/>
      <c r="AG8" s="1859"/>
      <c r="AH8" s="1859"/>
      <c r="AI8" s="1859"/>
      <c r="AJ8" s="1859"/>
      <c r="AK8" s="1859"/>
      <c r="AL8" s="1859"/>
      <c r="AM8" s="1859"/>
      <c r="AN8" s="1859"/>
      <c r="AO8" s="1859"/>
      <c r="AP8" s="1859"/>
      <c r="AQ8" s="1859"/>
      <c r="AR8" s="1859"/>
      <c r="AS8" s="1859"/>
      <c r="AT8" s="1859"/>
      <c r="AU8" s="1859"/>
      <c r="AV8" s="1859"/>
      <c r="AW8" s="1859"/>
      <c r="AX8" s="1859"/>
      <c r="AY8" s="1859"/>
      <c r="AZ8" s="1859"/>
      <c r="BA8" s="1859"/>
    </row>
    <row r="9" spans="1:71">
      <c r="A9" s="2156" t="s">
        <v>1394</v>
      </c>
      <c r="B9" s="2201">
        <v>5.0000000000000001E-3</v>
      </c>
      <c r="C9" s="2157"/>
      <c r="D9" s="2157"/>
      <c r="E9" s="2157"/>
      <c r="F9" s="2157"/>
      <c r="G9" s="2157"/>
      <c r="H9" s="2157"/>
      <c r="I9" s="2157"/>
      <c r="J9" s="2157"/>
      <c r="K9" s="1859"/>
      <c r="L9" s="1859"/>
      <c r="M9" s="1859"/>
      <c r="N9" s="1859"/>
      <c r="O9" s="1859"/>
      <c r="P9" s="1859"/>
      <c r="Q9" s="1859"/>
      <c r="R9" s="1859"/>
      <c r="S9" s="1859"/>
      <c r="T9" s="1859"/>
      <c r="U9" s="1859"/>
      <c r="V9" s="1859"/>
      <c r="W9" s="1859"/>
      <c r="X9" s="1859"/>
      <c r="Y9" s="1859"/>
      <c r="Z9" s="1859"/>
      <c r="AA9" s="1859"/>
      <c r="AB9" s="1859"/>
      <c r="AC9" s="1859"/>
      <c r="AD9" s="1859"/>
      <c r="AE9" s="1859"/>
      <c r="AF9" s="1859"/>
      <c r="AG9" s="1859"/>
      <c r="AH9" s="1859"/>
      <c r="AI9" s="1859"/>
      <c r="AJ9" s="1859"/>
      <c r="AK9" s="1859"/>
      <c r="AL9" s="1859"/>
      <c r="AM9" s="1859"/>
      <c r="AN9" s="1859"/>
      <c r="AO9" s="1859"/>
      <c r="AP9" s="1859"/>
      <c r="AQ9" s="1859"/>
      <c r="AR9" s="1859"/>
      <c r="AS9" s="1859"/>
      <c r="AT9" s="1859"/>
      <c r="AU9" s="1859"/>
      <c r="AV9" s="1859"/>
      <c r="AW9" s="1859"/>
      <c r="AX9" s="1859"/>
      <c r="AY9" s="1859"/>
      <c r="AZ9" s="1859"/>
      <c r="BA9" s="1859"/>
    </row>
    <row r="10" spans="1:71">
      <c r="A10" s="2156" t="s">
        <v>771</v>
      </c>
      <c r="B10" s="2201">
        <v>0.01</v>
      </c>
      <c r="C10" s="2157"/>
      <c r="D10" s="2157"/>
      <c r="E10" s="2157"/>
      <c r="F10" s="2157"/>
      <c r="G10" s="2157"/>
      <c r="H10" s="2157"/>
      <c r="I10" s="2157"/>
      <c r="J10" s="2157"/>
      <c r="K10" s="1859"/>
      <c r="L10" s="1859"/>
      <c r="M10" s="1859"/>
      <c r="N10" s="1859"/>
      <c r="O10" s="1859"/>
      <c r="P10" s="1859"/>
      <c r="Q10" s="1859"/>
      <c r="R10" s="1859"/>
      <c r="S10" s="1859"/>
      <c r="T10" s="1859"/>
      <c r="U10" s="1859"/>
      <c r="V10" s="1859"/>
      <c r="W10" s="1859"/>
      <c r="X10" s="1859"/>
      <c r="Y10" s="1859"/>
      <c r="Z10" s="1859"/>
      <c r="AA10" s="1859"/>
      <c r="AB10" s="1859"/>
      <c r="AC10" s="1859"/>
      <c r="AD10" s="1859"/>
      <c r="AE10" s="1859"/>
      <c r="AF10" s="1859"/>
      <c r="AG10" s="1859"/>
      <c r="AH10" s="1859"/>
      <c r="AI10" s="1859"/>
      <c r="AJ10" s="1859"/>
      <c r="AK10" s="1859"/>
      <c r="AL10" s="1859"/>
      <c r="AM10" s="1859"/>
      <c r="AN10" s="1859"/>
      <c r="AO10" s="1859"/>
      <c r="AP10" s="1859"/>
      <c r="AQ10" s="1859"/>
      <c r="AR10" s="1859"/>
      <c r="AS10" s="1859"/>
      <c r="AT10" s="1859"/>
      <c r="AU10" s="1859"/>
      <c r="AV10" s="1859"/>
      <c r="AW10" s="1859"/>
      <c r="AX10" s="1859"/>
      <c r="AY10" s="1859"/>
      <c r="AZ10" s="1859"/>
      <c r="BA10" s="1859"/>
    </row>
    <row r="11" spans="1:71">
      <c r="A11" s="2156" t="s">
        <v>499</v>
      </c>
      <c r="B11" s="2201">
        <v>7.0000000000000007E-2</v>
      </c>
      <c r="C11" s="2157"/>
      <c r="D11" s="2157"/>
      <c r="E11" s="2157"/>
      <c r="F11" s="2157"/>
      <c r="G11" s="2157"/>
      <c r="H11" s="2157"/>
      <c r="I11" s="2157"/>
      <c r="J11" s="2157"/>
      <c r="K11" s="1859"/>
      <c r="L11" s="1859"/>
      <c r="M11" s="1859"/>
      <c r="N11" s="1859"/>
      <c r="O11" s="1859"/>
      <c r="P11" s="1859"/>
      <c r="Q11" s="1859"/>
      <c r="R11" s="1859"/>
      <c r="S11" s="1859"/>
      <c r="T11" s="1859"/>
      <c r="U11" s="1859"/>
      <c r="V11" s="1859"/>
      <c r="W11" s="1859"/>
      <c r="X11" s="1859"/>
      <c r="Y11" s="1859"/>
      <c r="Z11" s="1859"/>
      <c r="AA11" s="1859"/>
      <c r="AB11" s="1859"/>
      <c r="AC11" s="1859"/>
      <c r="AD11" s="1859"/>
      <c r="AE11" s="1859"/>
      <c r="AF11" s="1859"/>
      <c r="AG11" s="1859"/>
      <c r="AH11" s="1859"/>
      <c r="AI11" s="1859"/>
      <c r="AJ11" s="1859"/>
      <c r="AK11" s="1859"/>
      <c r="AL11" s="1859"/>
      <c r="AM11" s="1859"/>
      <c r="AN11" s="1859"/>
      <c r="AO11" s="1859"/>
      <c r="AP11" s="1859"/>
      <c r="AQ11" s="1859"/>
      <c r="AR11" s="1859"/>
      <c r="AS11" s="1859"/>
      <c r="AT11" s="1859"/>
      <c r="AU11" s="1859"/>
      <c r="AV11" s="1859"/>
      <c r="AW11" s="1859"/>
      <c r="AX11" s="1859"/>
      <c r="AY11" s="1859"/>
      <c r="AZ11" s="1859"/>
      <c r="BA11" s="1859"/>
    </row>
    <row r="12" spans="1:71">
      <c r="A12" s="2156"/>
      <c r="B12" s="2203"/>
      <c r="C12" s="1859"/>
      <c r="D12" s="1859"/>
      <c r="E12" s="1859"/>
      <c r="F12" s="1859"/>
      <c r="G12" s="1859"/>
      <c r="H12" s="1859"/>
      <c r="I12" s="1859"/>
      <c r="J12" s="1859"/>
      <c r="K12" s="1859"/>
      <c r="L12" s="1859"/>
      <c r="M12" s="1859"/>
      <c r="N12" s="1859"/>
      <c r="O12" s="1859"/>
      <c r="P12" s="1859"/>
      <c r="Q12" s="1859"/>
      <c r="R12" s="1859"/>
      <c r="S12" s="1859"/>
      <c r="T12" s="1859"/>
      <c r="U12" s="1859"/>
      <c r="V12" s="1859"/>
      <c r="W12" s="1859"/>
      <c r="X12" s="1859"/>
      <c r="Y12" s="1859"/>
      <c r="Z12" s="1859"/>
      <c r="AA12" s="1859"/>
      <c r="AB12" s="1859"/>
      <c r="AC12" s="1859"/>
      <c r="AD12" s="1859"/>
      <c r="AE12" s="1859"/>
      <c r="AF12" s="1859"/>
      <c r="AG12" s="1859"/>
      <c r="AH12" s="1859"/>
      <c r="AI12" s="1859"/>
      <c r="AJ12" s="1859"/>
      <c r="AK12" s="1859"/>
      <c r="AL12" s="1859"/>
      <c r="AM12" s="1859"/>
      <c r="AN12" s="1859"/>
      <c r="AO12" s="1859"/>
      <c r="AP12" s="1859"/>
      <c r="AQ12" s="1859"/>
      <c r="AR12" s="1859"/>
      <c r="AS12" s="1859"/>
      <c r="AT12" s="1859"/>
      <c r="AU12" s="1859"/>
      <c r="AV12" s="1859"/>
      <c r="AW12" s="1859"/>
      <c r="AX12" s="1859"/>
      <c r="AY12" s="1859"/>
      <c r="AZ12" s="1859"/>
      <c r="BA12" s="1859"/>
    </row>
    <row r="13" spans="1:71">
      <c r="A13" s="2156" t="s">
        <v>1395</v>
      </c>
      <c r="B13" s="2203"/>
      <c r="C13" s="1859"/>
      <c r="D13" s="1859"/>
      <c r="E13" s="1859"/>
      <c r="F13" s="1859"/>
      <c r="G13" s="1859"/>
      <c r="H13" s="1859"/>
      <c r="I13" s="1859"/>
      <c r="J13" s="1859"/>
      <c r="K13" s="1859"/>
      <c r="L13" s="1859"/>
      <c r="M13" s="1859"/>
      <c r="N13" s="1859"/>
      <c r="O13" s="1859"/>
      <c r="P13" s="1859"/>
      <c r="Q13" s="1859"/>
      <c r="R13" s="1859"/>
      <c r="S13" s="1859"/>
      <c r="T13" s="1859"/>
      <c r="U13" s="1859"/>
      <c r="V13" s="1859"/>
      <c r="W13" s="1859"/>
      <c r="X13" s="1859"/>
      <c r="Y13" s="1859"/>
      <c r="Z13" s="1859"/>
      <c r="AA13" s="1859"/>
      <c r="AB13" s="1859"/>
      <c r="AC13" s="1859"/>
      <c r="AD13" s="1859"/>
      <c r="AE13" s="1859"/>
      <c r="AF13" s="1859"/>
      <c r="AG13" s="1859"/>
      <c r="AH13" s="1859"/>
      <c r="AI13" s="1859"/>
      <c r="AJ13" s="1859"/>
      <c r="AK13" s="1859"/>
      <c r="AL13" s="1859"/>
      <c r="AM13" s="1859"/>
      <c r="AN13" s="1859"/>
      <c r="AO13" s="1859"/>
      <c r="AP13" s="1859"/>
      <c r="AQ13" s="1859"/>
      <c r="AR13" s="1859"/>
      <c r="AS13" s="1859"/>
      <c r="AT13" s="1859"/>
      <c r="AU13" s="1859"/>
      <c r="AV13" s="1859"/>
      <c r="AW13" s="1859"/>
      <c r="AX13" s="1859"/>
      <c r="AY13" s="1859"/>
      <c r="AZ13" s="1859"/>
      <c r="BA13" s="1859"/>
    </row>
    <row r="14" spans="1:71">
      <c r="A14" s="2156" t="s">
        <v>1396</v>
      </c>
      <c r="B14" s="2203"/>
      <c r="C14" s="1859"/>
      <c r="D14" s="1859"/>
      <c r="E14" s="1859"/>
      <c r="F14" s="1859"/>
      <c r="G14" s="1859"/>
      <c r="H14" s="1859"/>
      <c r="I14" s="1859"/>
      <c r="J14" s="1859"/>
      <c r="K14" s="1859"/>
      <c r="L14" s="1859"/>
      <c r="M14" s="1859"/>
      <c r="N14" s="1859"/>
      <c r="O14" s="1859"/>
      <c r="P14" s="1859"/>
      <c r="Q14" s="1859"/>
      <c r="R14" s="1859"/>
      <c r="S14" s="1859"/>
      <c r="T14" s="1859"/>
      <c r="U14" s="1859"/>
      <c r="V14" s="1859"/>
      <c r="W14" s="1859"/>
      <c r="X14" s="1859"/>
      <c r="Y14" s="1859"/>
      <c r="Z14" s="1859"/>
      <c r="AA14" s="1859"/>
      <c r="AB14" s="1859"/>
      <c r="AC14" s="1859"/>
      <c r="AD14" s="1859"/>
      <c r="AE14" s="1859"/>
      <c r="AF14" s="1859"/>
      <c r="AG14" s="1859"/>
      <c r="AH14" s="1859"/>
      <c r="AI14" s="1859"/>
      <c r="AJ14" s="1859"/>
      <c r="AK14" s="1859"/>
      <c r="AL14" s="1859"/>
      <c r="AM14" s="1859"/>
      <c r="AN14" s="1859"/>
      <c r="AO14" s="1859"/>
      <c r="AP14" s="1859"/>
      <c r="AQ14" s="2310">
        <v>1.3200087301587302</v>
      </c>
      <c r="AR14" s="2310">
        <v>1.306993650793651</v>
      </c>
      <c r="AS14" s="2310">
        <v>1.3275642857142862</v>
      </c>
      <c r="AT14" s="2310">
        <v>1.3620587301587304</v>
      </c>
      <c r="AU14" s="2310"/>
      <c r="AV14" s="2310">
        <v>1.3703119047619048</v>
      </c>
      <c r="AW14" s="2310">
        <v>1.3714031746031747</v>
      </c>
      <c r="AX14" s="2310">
        <v>1.323393650793651</v>
      </c>
      <c r="AY14" s="2310">
        <v>1.2474198412698416</v>
      </c>
      <c r="AZ14" s="2310"/>
      <c r="BA14" s="2316">
        <v>1.1745960317460322</v>
      </c>
      <c r="BB14" s="2316">
        <v>1.1077309523809524</v>
      </c>
      <c r="BC14" s="2316">
        <v>1.1126111111111108</v>
      </c>
      <c r="BD14" s="2316">
        <v>1.0933841269841269</v>
      </c>
      <c r="BE14" s="2316"/>
      <c r="BF14" s="2316">
        <v>1.1047563492063492</v>
      </c>
      <c r="BG14" s="2316">
        <v>1.1298587301587306</v>
      </c>
      <c r="BH14" s="2316">
        <v>1.1298587301587306</v>
      </c>
      <c r="BI14" s="2317">
        <v>1.0866401960784313</v>
      </c>
      <c r="BJ14" s="2318"/>
      <c r="BK14" s="2317">
        <v>1.06</v>
      </c>
      <c r="BL14" s="2317">
        <v>1.06</v>
      </c>
      <c r="BM14" s="2317">
        <v>1.06</v>
      </c>
      <c r="BN14" s="2319">
        <v>1.1796500000000001</v>
      </c>
      <c r="BO14" s="2319"/>
      <c r="BP14" s="2319">
        <f>BN14</f>
        <v>1.1796500000000001</v>
      </c>
      <c r="BQ14" s="2319">
        <f>BP14</f>
        <v>1.1796500000000001</v>
      </c>
      <c r="BR14" s="2319">
        <f t="shared" ref="BR14:BS14" si="0">BQ14</f>
        <v>1.1796500000000001</v>
      </c>
      <c r="BS14" s="2319">
        <f t="shared" si="0"/>
        <v>1.1796500000000001</v>
      </c>
    </row>
    <row r="15" spans="1:71" ht="12">
      <c r="A15" s="2156" t="s">
        <v>1397</v>
      </c>
      <c r="B15" s="2203"/>
      <c r="C15" s="1859"/>
      <c r="D15" s="1859"/>
      <c r="E15" s="1859"/>
      <c r="F15" s="1859"/>
      <c r="G15" s="1859"/>
      <c r="H15" s="1859"/>
      <c r="I15" s="1859"/>
      <c r="J15" s="1859"/>
      <c r="K15" s="1859"/>
      <c r="L15" s="1859"/>
      <c r="M15" s="1859"/>
      <c r="N15" s="1859"/>
      <c r="O15" s="1859"/>
      <c r="P15" s="1859"/>
      <c r="Q15" s="1859"/>
      <c r="R15" s="1859"/>
      <c r="S15" s="1859"/>
      <c r="T15" s="1859"/>
      <c r="U15" s="1859"/>
      <c r="V15" s="1859"/>
      <c r="W15" s="1859"/>
      <c r="X15" s="1859"/>
      <c r="Y15" s="1859"/>
      <c r="Z15" s="1859"/>
      <c r="AA15" s="1859"/>
      <c r="AB15" s="1859"/>
      <c r="AC15" s="1859"/>
      <c r="AD15" s="1859"/>
      <c r="AE15" s="1859"/>
      <c r="AF15" s="1859"/>
      <c r="AG15" s="1859"/>
      <c r="AH15" s="1859"/>
      <c r="AI15" s="1859"/>
      <c r="AJ15" s="1859"/>
      <c r="AK15" s="1859"/>
      <c r="AL15" s="1859"/>
      <c r="AM15" s="1859"/>
      <c r="AN15" s="1859"/>
      <c r="AO15" s="1859"/>
      <c r="AP15" s="1859"/>
      <c r="AQ15" s="2210">
        <v>1.5511325396825395</v>
      </c>
      <c r="AR15" s="2210">
        <v>1.5365825396825401</v>
      </c>
      <c r="AS15" s="2210">
        <v>1.5543674603174602</v>
      </c>
      <c r="AT15" s="2210">
        <v>1.6204619047619047</v>
      </c>
      <c r="AU15" s="2210"/>
      <c r="AV15" s="2210">
        <v>1.6548880952380958</v>
      </c>
      <c r="AW15" s="2210">
        <v>1.6849587301587301</v>
      </c>
      <c r="AX15" s="2210">
        <v>1.6677222222222228</v>
      </c>
      <c r="AY15" s="2210">
        <v>1.580734920634921</v>
      </c>
      <c r="AZ15" s="2210"/>
      <c r="BA15" s="2316">
        <v>1.5364555555555552</v>
      </c>
      <c r="BB15" s="2316">
        <v>1.5348952380952374</v>
      </c>
      <c r="BC15" s="2316">
        <v>1.5587547619047626</v>
      </c>
      <c r="BD15" s="2316">
        <v>1.5158380952380952</v>
      </c>
      <c r="BE15" s="2316"/>
      <c r="BF15" s="2316">
        <v>1.4308603174603172</v>
      </c>
      <c r="BG15" s="2316">
        <v>1.4380968253968256</v>
      </c>
      <c r="BH15" s="2316">
        <v>1.4380968253968256</v>
      </c>
      <c r="BI15" s="2317">
        <v>1.2430117647058827</v>
      </c>
      <c r="BJ15" s="2319"/>
      <c r="BK15" s="2317">
        <v>1.25</v>
      </c>
      <c r="BL15" s="2317">
        <v>1.25</v>
      </c>
      <c r="BM15" s="2317">
        <v>1.25</v>
      </c>
      <c r="BN15" s="2319">
        <v>1.325</v>
      </c>
      <c r="BO15" s="2319"/>
      <c r="BP15" s="2319">
        <f t="shared" ref="BP15:BP20" si="1">BN15</f>
        <v>1.325</v>
      </c>
      <c r="BQ15" s="2319">
        <f t="shared" ref="BQ15:BS20" si="2">BP15</f>
        <v>1.325</v>
      </c>
      <c r="BR15" s="2319">
        <f t="shared" si="2"/>
        <v>1.325</v>
      </c>
      <c r="BS15" s="2319">
        <f t="shared" si="2"/>
        <v>1.325</v>
      </c>
    </row>
    <row r="16" spans="1:71" ht="12">
      <c r="A16" s="2156" t="s">
        <v>1398</v>
      </c>
      <c r="B16" s="2203"/>
      <c r="C16" s="1859"/>
      <c r="D16" s="1859"/>
      <c r="E16" s="1859"/>
      <c r="F16" s="1859"/>
      <c r="G16" s="1859"/>
      <c r="H16" s="1859"/>
      <c r="I16" s="1859"/>
      <c r="J16" s="1859"/>
      <c r="K16" s="1859"/>
      <c r="L16" s="1859"/>
      <c r="M16" s="1859"/>
      <c r="N16" s="1859"/>
      <c r="O16" s="1859"/>
      <c r="P16" s="1859"/>
      <c r="Q16" s="1859"/>
      <c r="R16" s="1859"/>
      <c r="S16" s="1859"/>
      <c r="T16" s="1859"/>
      <c r="U16" s="1859"/>
      <c r="V16" s="1859"/>
      <c r="W16" s="1859"/>
      <c r="X16" s="1859"/>
      <c r="Y16" s="1859"/>
      <c r="Z16" s="1859"/>
      <c r="AA16" s="1859"/>
      <c r="AB16" s="1859"/>
      <c r="AC16" s="1859"/>
      <c r="AD16" s="1859"/>
      <c r="AE16" s="1859"/>
      <c r="AF16" s="1859"/>
      <c r="AG16" s="1859"/>
      <c r="AH16" s="1859"/>
      <c r="AI16" s="1859"/>
      <c r="AJ16" s="1859"/>
      <c r="AK16" s="1859"/>
      <c r="AL16" s="1859"/>
      <c r="AM16" s="1859"/>
      <c r="AN16" s="1859"/>
      <c r="AO16" s="1859"/>
      <c r="AP16" s="1859"/>
      <c r="AQ16" s="2210">
        <v>0.99226539682539694</v>
      </c>
      <c r="AR16" s="2210">
        <v>0.97713777777777766</v>
      </c>
      <c r="AS16" s="2210">
        <v>0.96361269841269848</v>
      </c>
      <c r="AT16" s="2210">
        <v>0.95174396825396823</v>
      </c>
      <c r="AU16" s="2210"/>
      <c r="AV16" s="2210">
        <v>0.90640126984126956</v>
      </c>
      <c r="AW16" s="2210">
        <v>0.91814380952380992</v>
      </c>
      <c r="AX16" s="2210">
        <v>0.91774825396825399</v>
      </c>
      <c r="AY16" s="2210">
        <v>0.8789073015873019</v>
      </c>
      <c r="AZ16" s="2210"/>
      <c r="BA16" s="2316">
        <v>0.82967968253968283</v>
      </c>
      <c r="BB16" s="2316">
        <v>0.81424587301587292</v>
      </c>
      <c r="BC16" s="2316">
        <v>0.78151888888888876</v>
      </c>
      <c r="BD16" s="2316">
        <v>0.74768984126984106</v>
      </c>
      <c r="BE16" s="2316"/>
      <c r="BF16" s="2316">
        <v>0.729937619047619</v>
      </c>
      <c r="BG16" s="2316">
        <v>0.77634317460317459</v>
      </c>
      <c r="BH16" s="2316">
        <v>0.77634317460317459</v>
      </c>
      <c r="BI16" s="2317">
        <v>0.75024137254901968</v>
      </c>
      <c r="BJ16" s="2319"/>
      <c r="BK16" s="2317">
        <v>0.75046999999999997</v>
      </c>
      <c r="BL16" s="2317">
        <v>0.75046999999999997</v>
      </c>
      <c r="BM16" s="2317">
        <v>0.75046999999999997</v>
      </c>
      <c r="BN16" s="2319">
        <v>0.79884999999999995</v>
      </c>
      <c r="BO16" s="2319"/>
      <c r="BP16" s="2319">
        <f t="shared" si="1"/>
        <v>0.79884999999999995</v>
      </c>
      <c r="BQ16" s="2319">
        <f t="shared" si="2"/>
        <v>0.79884999999999995</v>
      </c>
      <c r="BR16" s="2319">
        <f t="shared" si="2"/>
        <v>0.79884999999999995</v>
      </c>
      <c r="BS16" s="2319">
        <f t="shared" si="2"/>
        <v>0.79884999999999995</v>
      </c>
    </row>
    <row r="17" spans="1:71" ht="12">
      <c r="A17" s="2156" t="s">
        <v>1399</v>
      </c>
      <c r="B17" s="2203"/>
      <c r="C17" s="1859"/>
      <c r="D17" s="1859"/>
      <c r="E17" s="1859"/>
      <c r="F17" s="1859"/>
      <c r="G17" s="1859"/>
      <c r="H17" s="1859"/>
      <c r="I17" s="1859"/>
      <c r="J17" s="1859"/>
      <c r="K17" s="1859"/>
      <c r="L17" s="1859"/>
      <c r="M17" s="1859"/>
      <c r="N17" s="1859"/>
      <c r="O17" s="1859"/>
      <c r="P17" s="1859"/>
      <c r="Q17" s="1859"/>
      <c r="R17" s="1859"/>
      <c r="S17" s="1859"/>
      <c r="T17" s="1859"/>
      <c r="U17" s="1859"/>
      <c r="V17" s="1859"/>
      <c r="W17" s="1859"/>
      <c r="X17" s="1859"/>
      <c r="Y17" s="1859"/>
      <c r="Z17" s="1859"/>
      <c r="AA17" s="1859"/>
      <c r="AB17" s="1859"/>
      <c r="AC17" s="1859"/>
      <c r="AD17" s="1859"/>
      <c r="AE17" s="1859"/>
      <c r="AF17" s="1859"/>
      <c r="AG17" s="1859"/>
      <c r="AH17" s="1859"/>
      <c r="AI17" s="1859"/>
      <c r="AJ17" s="1859"/>
      <c r="AK17" s="1859"/>
      <c r="AL17" s="1859"/>
      <c r="AM17" s="1859"/>
      <c r="AN17" s="1859"/>
      <c r="AO17" s="1859"/>
      <c r="AP17" s="1859"/>
      <c r="AQ17" s="2210">
        <v>1.0840749206349207</v>
      </c>
      <c r="AR17" s="2210">
        <v>1.0114146793650793</v>
      </c>
      <c r="AS17" s="2210">
        <v>1.0122781412698414</v>
      </c>
      <c r="AT17" s="2210">
        <v>0.99327911269841263</v>
      </c>
      <c r="AU17" s="2210"/>
      <c r="AV17" s="2210">
        <v>0.97293887301587256</v>
      </c>
      <c r="AW17" s="2210">
        <v>0.97991427142857135</v>
      </c>
      <c r="AX17" s="2210">
        <v>0.96098728412698398</v>
      </c>
      <c r="AY17" s="2210">
        <v>0.87146903174603174</v>
      </c>
      <c r="AZ17" s="2210"/>
      <c r="BA17" s="2316">
        <v>0.84133649365079377</v>
      </c>
      <c r="BB17" s="2316">
        <v>0.82388331428571426</v>
      </c>
      <c r="BC17" s="2316">
        <v>0.81159601428571426</v>
      </c>
      <c r="BD17" s="2316">
        <v>0.82304919206349225</v>
      </c>
      <c r="BE17" s="2316"/>
      <c r="BF17" s="2316">
        <v>0.86938490793650791</v>
      </c>
      <c r="BG17" s="2316">
        <v>0.92518173492063527</v>
      </c>
      <c r="BH17" s="2316">
        <v>0.92518173492063527</v>
      </c>
      <c r="BI17" s="2317">
        <v>0.93142840588235343</v>
      </c>
      <c r="BJ17" s="2319"/>
      <c r="BK17" s="2317">
        <v>0.81230000000000002</v>
      </c>
      <c r="BL17" s="2317">
        <v>0.81230000000000002</v>
      </c>
      <c r="BM17" s="2317">
        <v>0.81230000000000002</v>
      </c>
      <c r="BN17" s="2319">
        <v>0.89134999999999998</v>
      </c>
      <c r="BO17" s="2319"/>
      <c r="BP17" s="2319">
        <f t="shared" si="1"/>
        <v>0.89134999999999998</v>
      </c>
      <c r="BQ17" s="2319">
        <f t="shared" si="2"/>
        <v>0.89134999999999998</v>
      </c>
      <c r="BR17" s="2319">
        <f t="shared" si="2"/>
        <v>0.89134999999999998</v>
      </c>
      <c r="BS17" s="2319">
        <f t="shared" si="2"/>
        <v>0.89134999999999998</v>
      </c>
    </row>
    <row r="18" spans="1:71" ht="12">
      <c r="A18" s="2156" t="s">
        <v>1400</v>
      </c>
      <c r="B18" s="2203"/>
      <c r="C18" s="1859"/>
      <c r="D18" s="1859"/>
      <c r="E18" s="1859"/>
      <c r="F18" s="1859"/>
      <c r="G18" s="1859"/>
      <c r="H18" s="1859"/>
      <c r="I18" s="1859"/>
      <c r="J18" s="1859"/>
      <c r="K18" s="1859"/>
      <c r="L18" s="1859"/>
      <c r="M18" s="1859"/>
      <c r="N18" s="1859"/>
      <c r="O18" s="1859"/>
      <c r="P18" s="1859"/>
      <c r="Q18" s="1859"/>
      <c r="R18" s="1859"/>
      <c r="S18" s="1859"/>
      <c r="T18" s="1859"/>
      <c r="U18" s="1859"/>
      <c r="V18" s="1859"/>
      <c r="W18" s="1859"/>
      <c r="X18" s="1859"/>
      <c r="Y18" s="1859"/>
      <c r="Z18" s="1859"/>
      <c r="AA18" s="1859"/>
      <c r="AB18" s="1859"/>
      <c r="AC18" s="1859"/>
      <c r="AD18" s="1859"/>
      <c r="AE18" s="1859"/>
      <c r="AF18" s="1859"/>
      <c r="AG18" s="1859"/>
      <c r="AH18" s="1859"/>
      <c r="AI18" s="1859"/>
      <c r="AJ18" s="1859"/>
      <c r="AK18" s="1859"/>
      <c r="AL18" s="1859"/>
      <c r="AM18" s="1859"/>
      <c r="AN18" s="1859"/>
      <c r="AO18" s="1859"/>
      <c r="AP18" s="1859"/>
      <c r="AQ18" s="2210">
        <v>1.0390888888888892</v>
      </c>
      <c r="AR18" s="2210">
        <v>0.99001984126984155</v>
      </c>
      <c r="AS18" s="2210">
        <v>0.91656269841269833</v>
      </c>
      <c r="AT18" s="2210">
        <v>0.92592936507936485</v>
      </c>
      <c r="AU18" s="2210"/>
      <c r="AV18" s="2210">
        <v>0.89691587301587317</v>
      </c>
      <c r="AW18" s="2210">
        <v>0.93376031746031773</v>
      </c>
      <c r="AX18" s="2210">
        <v>0.92416825396825419</v>
      </c>
      <c r="AY18" s="2210">
        <v>0.85284047619047643</v>
      </c>
      <c r="AZ18" s="2210"/>
      <c r="BA18" s="2316">
        <v>0.80187380952380938</v>
      </c>
      <c r="BB18" s="2316">
        <v>0.77855317460317475</v>
      </c>
      <c r="BC18" s="2316">
        <v>0.74546507936507955</v>
      </c>
      <c r="BD18" s="2316">
        <v>0.72134523809523798</v>
      </c>
      <c r="BE18" s="2316"/>
      <c r="BF18" s="2316">
        <v>0.72300238095238112</v>
      </c>
      <c r="BG18" s="2316">
        <v>0.74571031746031757</v>
      </c>
      <c r="BH18" s="2316">
        <v>0.74571031746031757</v>
      </c>
      <c r="BI18" s="2317">
        <v>0.75547843137254911</v>
      </c>
      <c r="BJ18" s="2319"/>
      <c r="BK18" s="2317">
        <v>0.74990000000000001</v>
      </c>
      <c r="BL18" s="2317">
        <v>0.74990000000000001</v>
      </c>
      <c r="BM18" s="2317">
        <v>0.74990000000000001</v>
      </c>
      <c r="BN18" s="2319">
        <v>0.78510000000000002</v>
      </c>
      <c r="BO18" s="2319"/>
      <c r="BP18" s="2319">
        <f t="shared" si="1"/>
        <v>0.78510000000000002</v>
      </c>
      <c r="BQ18" s="2319">
        <f t="shared" si="2"/>
        <v>0.78510000000000002</v>
      </c>
      <c r="BR18" s="2319">
        <f t="shared" si="2"/>
        <v>0.78510000000000002</v>
      </c>
      <c r="BS18" s="2319">
        <f t="shared" si="2"/>
        <v>0.78510000000000002</v>
      </c>
    </row>
    <row r="19" spans="1:71" ht="12">
      <c r="A19" s="2156" t="s">
        <v>1401</v>
      </c>
      <c r="B19" s="2203"/>
      <c r="C19" s="1859"/>
      <c r="D19" s="1859"/>
      <c r="E19" s="1859"/>
      <c r="F19" s="1859"/>
      <c r="G19" s="1859"/>
      <c r="H19" s="1859"/>
      <c r="I19" s="1859"/>
      <c r="J19" s="1859"/>
      <c r="K19" s="1859"/>
      <c r="L19" s="1859"/>
      <c r="M19" s="1859"/>
      <c r="N19" s="1859"/>
      <c r="O19" s="1859"/>
      <c r="P19" s="1859"/>
      <c r="Q19" s="1859"/>
      <c r="R19" s="1859"/>
      <c r="S19" s="1859"/>
      <c r="T19" s="1859"/>
      <c r="U19" s="1859"/>
      <c r="V19" s="1859"/>
      <c r="W19" s="1859"/>
      <c r="X19" s="1859"/>
      <c r="Y19" s="1859"/>
      <c r="Z19" s="1859"/>
      <c r="AA19" s="1859"/>
      <c r="AB19" s="1859"/>
      <c r="AC19" s="1859"/>
      <c r="AD19" s="1859"/>
      <c r="AE19" s="1859"/>
      <c r="AF19" s="1859"/>
      <c r="AG19" s="1859"/>
      <c r="AH19" s="1859"/>
      <c r="AI19" s="1859"/>
      <c r="AJ19" s="1859"/>
      <c r="AK19" s="1859"/>
      <c r="AL19" s="1859"/>
      <c r="AM19" s="1859"/>
      <c r="AN19" s="1859"/>
      <c r="AO19" s="1859"/>
      <c r="AP19" s="1859"/>
      <c r="AQ19" s="2210">
        <v>0.50095269841269841</v>
      </c>
      <c r="AR19" s="2210">
        <v>0.48381444444444432</v>
      </c>
      <c r="AS19" s="2210">
        <v>0.43724650793650782</v>
      </c>
      <c r="AT19" s="2210">
        <v>0.43841222222222215</v>
      </c>
      <c r="AU19" s="2210"/>
      <c r="AV19" s="2210">
        <v>0.4232807936507938</v>
      </c>
      <c r="AW19" s="2210">
        <v>0.44918936507936508</v>
      </c>
      <c r="AX19" s="2210">
        <v>0.43937285714285718</v>
      </c>
      <c r="AY19" s="2210">
        <v>0.39170238095238086</v>
      </c>
      <c r="AZ19" s="2210"/>
      <c r="BA19" s="2316">
        <v>0.37006555555555543</v>
      </c>
      <c r="BB19" s="2316">
        <v>0.3260371428571428</v>
      </c>
      <c r="BC19" s="2316">
        <v>0.30463095238095239</v>
      </c>
      <c r="BD19" s="2316">
        <v>0.26035968253968256</v>
      </c>
      <c r="BE19" s="2316"/>
      <c r="BF19" s="2316">
        <v>0.25736904761904761</v>
      </c>
      <c r="BG19" s="2316">
        <v>0.28496539682539673</v>
      </c>
      <c r="BH19" s="2316">
        <v>0.28496539682539673</v>
      </c>
      <c r="BI19" s="2317">
        <v>0.30448450980392161</v>
      </c>
      <c r="BJ19" s="2319"/>
      <c r="BK19" s="2317">
        <v>0.31869999999999998</v>
      </c>
      <c r="BL19" s="2317">
        <v>0.31869999999999998</v>
      </c>
      <c r="BM19" s="2317">
        <v>0.31869999999999998</v>
      </c>
      <c r="BN19" s="2319">
        <v>0.31534000000000001</v>
      </c>
      <c r="BO19" s="2319"/>
      <c r="BP19" s="2319">
        <f t="shared" si="1"/>
        <v>0.31534000000000001</v>
      </c>
      <c r="BQ19" s="2319">
        <f t="shared" si="2"/>
        <v>0.31534000000000001</v>
      </c>
      <c r="BR19" s="2319">
        <f t="shared" si="2"/>
        <v>0.31534000000000001</v>
      </c>
      <c r="BS19" s="2319">
        <f t="shared" si="2"/>
        <v>0.31534000000000001</v>
      </c>
    </row>
    <row r="20" spans="1:71" ht="12">
      <c r="A20" s="2156" t="s">
        <v>1402</v>
      </c>
      <c r="B20" s="2203"/>
      <c r="C20" s="1859"/>
      <c r="D20" s="1859"/>
      <c r="E20" s="1859"/>
      <c r="F20" s="1859"/>
      <c r="G20" s="1859"/>
      <c r="H20" s="1859"/>
      <c r="I20" s="1859"/>
      <c r="J20" s="1859"/>
      <c r="K20" s="1859"/>
      <c r="L20" s="1859"/>
      <c r="M20" s="1859"/>
      <c r="N20" s="1859"/>
      <c r="O20" s="1859"/>
      <c r="P20" s="1859"/>
      <c r="Q20" s="1859"/>
      <c r="R20" s="1859"/>
      <c r="S20" s="1859"/>
      <c r="T20" s="1859"/>
      <c r="U20" s="1859"/>
      <c r="V20" s="1859"/>
      <c r="W20" s="1859"/>
      <c r="X20" s="1859"/>
      <c r="Y20" s="1859"/>
      <c r="Z20" s="1859"/>
      <c r="AA20" s="1859"/>
      <c r="AB20" s="1859"/>
      <c r="AC20" s="1859"/>
      <c r="AD20" s="1859"/>
      <c r="AE20" s="1859"/>
      <c r="AF20" s="1859"/>
      <c r="AG20" s="1859"/>
      <c r="AH20" s="1859"/>
      <c r="AI20" s="1859"/>
      <c r="AJ20" s="1859"/>
      <c r="AK20" s="1859"/>
      <c r="AL20" s="1859"/>
      <c r="AM20" s="1859"/>
      <c r="AN20" s="1859"/>
      <c r="AO20" s="1859"/>
      <c r="AP20" s="1859"/>
      <c r="AQ20" s="2210">
        <v>0.16068746031746031</v>
      </c>
      <c r="AR20" s="2210">
        <v>0.16252873015873021</v>
      </c>
      <c r="AS20" s="2210">
        <v>0.16325999999999999</v>
      </c>
      <c r="AT20" s="2210">
        <v>0.16425507936507941</v>
      </c>
      <c r="AU20" s="2210"/>
      <c r="AV20" s="2210">
        <v>0.16390809523809524</v>
      </c>
      <c r="AW20" s="2210">
        <v>0.1604561904761905</v>
      </c>
      <c r="AX20" s="2210">
        <v>0.16226904761904762</v>
      </c>
      <c r="AY20" s="2210">
        <v>0.16261126984126986</v>
      </c>
      <c r="AZ20" s="2210"/>
      <c r="BA20" s="2316">
        <v>0.16069936507936508</v>
      </c>
      <c r="BB20" s="2316">
        <v>0.1611890476190477</v>
      </c>
      <c r="BC20" s="2316">
        <v>0.15991761904761903</v>
      </c>
      <c r="BD20" s="2316">
        <v>0.15633365079365075</v>
      </c>
      <c r="BE20" s="2316"/>
      <c r="BF20" s="2316">
        <v>0.15288730158730154</v>
      </c>
      <c r="BG20" s="2316">
        <v>0.15313412698412698</v>
      </c>
      <c r="BH20" s="2316">
        <v>0.15313412698412698</v>
      </c>
      <c r="BI20" s="2317">
        <v>0.146968431372549</v>
      </c>
      <c r="BJ20" s="2319"/>
      <c r="BK20" s="2317">
        <v>0.14509</v>
      </c>
      <c r="BL20" s="2317">
        <v>0.14509</v>
      </c>
      <c r="BM20" s="2317">
        <v>0.14509</v>
      </c>
      <c r="BN20" s="2319">
        <v>0.15175</v>
      </c>
      <c r="BO20" s="2319"/>
      <c r="BP20" s="2319">
        <f t="shared" si="1"/>
        <v>0.15175</v>
      </c>
      <c r="BQ20" s="2319">
        <f t="shared" si="2"/>
        <v>0.15175</v>
      </c>
      <c r="BR20" s="2319">
        <f t="shared" si="2"/>
        <v>0.15175</v>
      </c>
      <c r="BS20" s="2319">
        <f t="shared" si="2"/>
        <v>0.15175</v>
      </c>
    </row>
    <row r="21" spans="1:71">
      <c r="A21" s="2134"/>
      <c r="B21" s="2203"/>
      <c r="C21" s="1859"/>
      <c r="D21" s="1859"/>
      <c r="E21" s="1859"/>
      <c r="F21" s="1859"/>
      <c r="G21" s="1859"/>
      <c r="H21" s="1859"/>
      <c r="I21" s="1859"/>
      <c r="J21" s="1859"/>
      <c r="K21" s="1859"/>
      <c r="L21" s="1859"/>
      <c r="M21" s="1859"/>
      <c r="N21" s="1859"/>
      <c r="O21" s="1859"/>
      <c r="P21" s="1859"/>
      <c r="Q21" s="1859"/>
      <c r="R21" s="1859"/>
      <c r="S21" s="1859"/>
      <c r="T21" s="1859"/>
      <c r="U21" s="1859"/>
      <c r="V21" s="1859"/>
      <c r="W21" s="1859"/>
      <c r="X21" s="1859"/>
      <c r="Y21" s="1859"/>
      <c r="Z21" s="1859"/>
      <c r="AA21" s="1859"/>
      <c r="AB21" s="1859"/>
      <c r="AC21" s="1859"/>
      <c r="AD21" s="1859"/>
      <c r="AE21" s="1859"/>
      <c r="AF21" s="1859"/>
      <c r="AG21" s="1859"/>
      <c r="AH21" s="1859"/>
      <c r="AI21" s="1859"/>
      <c r="AJ21" s="1859"/>
      <c r="AK21" s="1859"/>
      <c r="AL21" s="1859"/>
      <c r="AM21" s="1859"/>
      <c r="AN21" s="1859"/>
      <c r="AO21" s="1859"/>
      <c r="AP21" s="1859"/>
      <c r="AQ21" s="1859"/>
      <c r="AR21" s="1859"/>
      <c r="AS21" s="1859"/>
      <c r="AT21" s="1859"/>
      <c r="AU21" s="1859"/>
      <c r="AV21" s="1859"/>
      <c r="AW21" s="1859"/>
      <c r="AX21" s="1859"/>
      <c r="AY21" s="1859"/>
      <c r="AZ21" s="1859"/>
      <c r="BA21" s="1859"/>
    </row>
    <row r="22" spans="1:71">
      <c r="A22" s="2151" t="s">
        <v>1403</v>
      </c>
      <c r="B22" s="2203"/>
      <c r="C22" s="1859"/>
      <c r="D22" s="1859"/>
      <c r="E22" s="1859"/>
      <c r="F22" s="1859"/>
      <c r="G22" s="1859"/>
      <c r="H22" s="1859"/>
      <c r="I22" s="1859"/>
      <c r="J22" s="1859"/>
      <c r="K22" s="1859"/>
      <c r="L22" s="1859"/>
      <c r="M22" s="1859"/>
      <c r="N22" s="1859"/>
      <c r="O22" s="1859"/>
      <c r="P22" s="1859"/>
      <c r="Q22" s="1859"/>
      <c r="R22" s="1859"/>
      <c r="S22" s="1859"/>
      <c r="T22" s="1859"/>
      <c r="U22" s="1859"/>
      <c r="V22" s="1859"/>
      <c r="W22" s="1859"/>
      <c r="X22" s="1859"/>
      <c r="Y22" s="1859"/>
      <c r="Z22" s="1859"/>
      <c r="AA22" s="1859"/>
      <c r="AB22" s="1859"/>
      <c r="AC22" s="1859"/>
      <c r="AD22" s="1859"/>
      <c r="AE22" s="1859"/>
      <c r="AF22" s="1859"/>
      <c r="AG22" s="1859"/>
      <c r="AH22" s="1859"/>
      <c r="AI22" s="1859"/>
      <c r="AJ22" s="1859"/>
      <c r="AK22" s="1859"/>
      <c r="AL22" s="1859"/>
      <c r="AM22" s="1859"/>
      <c r="AN22" s="1859"/>
      <c r="AO22" s="1859"/>
      <c r="AP22" s="1859"/>
      <c r="AQ22" s="1859"/>
      <c r="AR22" s="1859"/>
      <c r="AS22" s="1859"/>
      <c r="AT22" s="1859"/>
      <c r="AU22" s="1859"/>
      <c r="AV22" s="1859"/>
      <c r="AW22" s="1859"/>
      <c r="AX22" s="1859"/>
      <c r="AY22" s="1859"/>
      <c r="AZ22" s="1859"/>
      <c r="BA22" s="1859"/>
    </row>
    <row r="23" spans="1:71" ht="12.75">
      <c r="A23" s="2134" t="s">
        <v>1396</v>
      </c>
      <c r="B23" s="2203"/>
      <c r="C23" s="1859"/>
      <c r="D23" s="1859"/>
      <c r="E23" s="1859"/>
      <c r="F23" s="1859"/>
      <c r="G23" s="1859"/>
      <c r="H23" s="1859"/>
      <c r="I23" s="1859"/>
      <c r="J23" s="1859"/>
      <c r="K23" s="1859"/>
      <c r="L23" s="1859"/>
      <c r="M23" s="1859"/>
      <c r="N23" s="1859"/>
      <c r="O23" s="1859"/>
      <c r="P23" s="1859"/>
      <c r="Q23" s="1859"/>
      <c r="R23" s="1859"/>
      <c r="S23" s="1859"/>
      <c r="T23" s="1859"/>
      <c r="U23" s="1859"/>
      <c r="V23" s="1859"/>
      <c r="W23" s="1859"/>
      <c r="X23" s="1859"/>
      <c r="Y23" s="1859"/>
      <c r="Z23" s="1859"/>
      <c r="AA23" s="1859"/>
      <c r="AB23" s="1859"/>
      <c r="AC23" s="1859"/>
      <c r="AD23" s="1859"/>
      <c r="AE23" s="1859"/>
      <c r="AF23" s="1859"/>
      <c r="AG23" s="1859"/>
      <c r="AH23" s="1859"/>
      <c r="AI23" s="1859"/>
      <c r="AJ23" s="1859"/>
      <c r="AK23" s="1859"/>
      <c r="AL23" s="1859"/>
      <c r="AM23" s="1859"/>
      <c r="AN23" s="1859"/>
      <c r="AO23" s="1859"/>
      <c r="AP23" s="1859"/>
      <c r="AQ23" s="1859"/>
      <c r="AR23" s="1859"/>
      <c r="AS23" s="1859"/>
      <c r="AT23" s="1859"/>
      <c r="AU23" s="1859"/>
      <c r="AV23" s="2218">
        <f t="shared" ref="AV23:AY29" si="3">+AV14/AQ14-1</f>
        <v>3.8108213570016147E-2</v>
      </c>
      <c r="AW23" s="2218">
        <f t="shared" si="3"/>
        <v>4.9280670774805913E-2</v>
      </c>
      <c r="AX23" s="2218">
        <f t="shared" si="3"/>
        <v>-3.141569086721252E-3</v>
      </c>
      <c r="AY23" s="2218">
        <f t="shared" si="3"/>
        <v>-8.4165892667145914E-2</v>
      </c>
      <c r="AZ23" s="2218"/>
      <c r="BA23" s="2218">
        <f t="shared" ref="BA23:BD29" si="4">+BA14/AV14-1</f>
        <v>-0.14282578465220197</v>
      </c>
      <c r="BB23" s="2218">
        <f t="shared" si="4"/>
        <v>-0.19226455582510793</v>
      </c>
      <c r="BC23" s="2218">
        <f t="shared" si="4"/>
        <v>-0.15927425642108228</v>
      </c>
      <c r="BD23" s="2218">
        <f t="shared" si="4"/>
        <v>-0.12348345696418483</v>
      </c>
      <c r="BE23" s="2218"/>
      <c r="BF23" s="2218">
        <f>+BF14/BA14-1</f>
        <v>-5.9458469679883552E-2</v>
      </c>
      <c r="BG23" s="2218">
        <f>+BG14/BB14-1</f>
        <v>1.9975769143415922E-2</v>
      </c>
      <c r="BH23" s="2218">
        <f>+BH14/BC14-1</f>
        <v>1.5501929537981685E-2</v>
      </c>
      <c r="BI23" s="2218">
        <f>+BI14/BD14-1</f>
        <v>-6.1679429390449902E-3</v>
      </c>
      <c r="BJ23" s="2029"/>
      <c r="BK23" s="2218">
        <f>+BK14/BF14-1</f>
        <v>-4.0512416369909876E-2</v>
      </c>
      <c r="BL23" s="2218">
        <f>+BL14/BG14-1</f>
        <v>-6.1829614883726514E-2</v>
      </c>
      <c r="BM23" s="2218">
        <f>+BM14/BH14-1</f>
        <v>-6.1829614883726514E-2</v>
      </c>
      <c r="BN23" s="2218">
        <f t="shared" ref="BN23:BN29" si="5">+BN14/BI14-1</f>
        <v>8.5593929119529344E-2</v>
      </c>
      <c r="BP23" s="2218">
        <f t="shared" ref="BP23:BP29" si="6">+BP14/BK14-1</f>
        <v>0.11287735849056602</v>
      </c>
      <c r="BQ23" s="2218">
        <f t="shared" ref="BQ23:BQ29" si="7">+BQ14/BL14-1</f>
        <v>0.11287735849056602</v>
      </c>
      <c r="BR23" s="2218">
        <f t="shared" ref="BR23:BR29" si="8">+BR14/BM14-1</f>
        <v>0.11287735849056602</v>
      </c>
      <c r="BS23" s="2218">
        <f t="shared" ref="BS23:BS29" si="9">+BS14/BN14-1</f>
        <v>0</v>
      </c>
    </row>
    <row r="24" spans="1:71" ht="12.75">
      <c r="A24" s="2134" t="s">
        <v>1397</v>
      </c>
      <c r="B24" s="2203"/>
      <c r="C24" s="1859"/>
      <c r="D24" s="1859"/>
      <c r="E24" s="1859"/>
      <c r="F24" s="1859"/>
      <c r="G24" s="1859"/>
      <c r="H24" s="1859"/>
      <c r="I24" s="1859"/>
      <c r="J24" s="1859"/>
      <c r="K24" s="1859"/>
      <c r="L24" s="1859"/>
      <c r="M24" s="1859"/>
      <c r="N24" s="1859"/>
      <c r="O24" s="1859"/>
      <c r="P24" s="1859"/>
      <c r="Q24" s="1859"/>
      <c r="R24" s="1859"/>
      <c r="S24" s="1859"/>
      <c r="T24" s="1859"/>
      <c r="U24" s="1859"/>
      <c r="V24" s="1859"/>
      <c r="W24" s="1859"/>
      <c r="X24" s="1859"/>
      <c r="Y24" s="1859"/>
      <c r="Z24" s="1859"/>
      <c r="AA24" s="1859"/>
      <c r="AB24" s="1859"/>
      <c r="AC24" s="1859"/>
      <c r="AD24" s="1859"/>
      <c r="AE24" s="1859"/>
      <c r="AF24" s="1859"/>
      <c r="AG24" s="1859"/>
      <c r="AH24" s="1859"/>
      <c r="AI24" s="1859"/>
      <c r="AJ24" s="1859"/>
      <c r="AK24" s="1859"/>
      <c r="AL24" s="1859"/>
      <c r="AM24" s="1859"/>
      <c r="AN24" s="1859"/>
      <c r="AO24" s="1859"/>
      <c r="AP24" s="1859"/>
      <c r="AQ24" s="1859"/>
      <c r="AR24" s="1859"/>
      <c r="AS24" s="1859"/>
      <c r="AT24" s="1859"/>
      <c r="AU24" s="1859"/>
      <c r="AV24" s="2218">
        <f t="shared" si="3"/>
        <v>6.6890193391720976E-2</v>
      </c>
      <c r="AW24" s="2218">
        <f t="shared" si="3"/>
        <v>9.6562460293766472E-2</v>
      </c>
      <c r="AX24" s="2218">
        <f t="shared" si="3"/>
        <v>7.2926617932165927E-2</v>
      </c>
      <c r="AY24" s="2218">
        <f t="shared" si="3"/>
        <v>-2.4515839595020128E-2</v>
      </c>
      <c r="AZ24" s="2218"/>
      <c r="BA24" s="2218">
        <f t="shared" si="4"/>
        <v>-7.1565285908652965E-2</v>
      </c>
      <c r="BB24" s="2218">
        <f t="shared" si="4"/>
        <v>-8.906063357964622E-2</v>
      </c>
      <c r="BC24" s="2218">
        <f t="shared" si="4"/>
        <v>-6.5339094763792405E-2</v>
      </c>
      <c r="BD24" s="2218">
        <f t="shared" si="4"/>
        <v>-4.1054843889169801E-2</v>
      </c>
      <c r="BE24" s="2218"/>
      <c r="BF24" s="2218">
        <f t="shared" ref="BF24:BM29" si="10">+BF15/BA15-1</f>
        <v>-6.8726516503145207E-2</v>
      </c>
      <c r="BG24" s="2218">
        <f t="shared" si="10"/>
        <v>-6.3065159299429463E-2</v>
      </c>
      <c r="BH24" s="2218">
        <f t="shared" si="10"/>
        <v>-7.7406619345621652E-2</v>
      </c>
      <c r="BI24" s="2218">
        <f t="shared" si="10"/>
        <v>-0.17998381976893063</v>
      </c>
      <c r="BJ24" s="2029"/>
      <c r="BK24" s="2218">
        <f t="shared" si="10"/>
        <v>-0.12639970181109805</v>
      </c>
      <c r="BL24" s="2218">
        <f t="shared" si="10"/>
        <v>-0.13079566137344234</v>
      </c>
      <c r="BM24" s="2218">
        <f t="shared" si="10"/>
        <v>-0.13079566137344234</v>
      </c>
      <c r="BN24" s="2218">
        <f t="shared" si="5"/>
        <v>6.5959339744074752E-2</v>
      </c>
      <c r="BP24" s="2218">
        <f t="shared" si="6"/>
        <v>6.0000000000000053E-2</v>
      </c>
      <c r="BQ24" s="2218">
        <f t="shared" si="7"/>
        <v>6.0000000000000053E-2</v>
      </c>
      <c r="BR24" s="2218">
        <f t="shared" si="8"/>
        <v>6.0000000000000053E-2</v>
      </c>
      <c r="BS24" s="2218">
        <f t="shared" si="9"/>
        <v>0</v>
      </c>
    </row>
    <row r="25" spans="1:71" ht="12.75">
      <c r="A25" s="2134" t="s">
        <v>1398</v>
      </c>
      <c r="B25" s="2203"/>
      <c r="C25" s="1859"/>
      <c r="D25" s="1859"/>
      <c r="E25" s="1859"/>
      <c r="F25" s="1859"/>
      <c r="G25" s="1859"/>
      <c r="H25" s="1859"/>
      <c r="I25" s="1859"/>
      <c r="J25" s="1859"/>
      <c r="K25" s="1859"/>
      <c r="L25" s="1859"/>
      <c r="M25" s="1859"/>
      <c r="N25" s="1859"/>
      <c r="O25" s="1859"/>
      <c r="P25" s="1859"/>
      <c r="Q25" s="1859"/>
      <c r="R25" s="1859"/>
      <c r="S25" s="1859"/>
      <c r="T25" s="1859"/>
      <c r="U25" s="1859"/>
      <c r="V25" s="1859"/>
      <c r="W25" s="1859"/>
      <c r="X25" s="1859"/>
      <c r="Y25" s="1859"/>
      <c r="Z25" s="1859"/>
      <c r="AA25" s="1859"/>
      <c r="AB25" s="1859"/>
      <c r="AC25" s="1859"/>
      <c r="AD25" s="1859"/>
      <c r="AE25" s="1859"/>
      <c r="AF25" s="1859"/>
      <c r="AG25" s="1859"/>
      <c r="AH25" s="1859"/>
      <c r="AI25" s="1859"/>
      <c r="AJ25" s="1859"/>
      <c r="AK25" s="1859"/>
      <c r="AL25" s="1859"/>
      <c r="AM25" s="1859"/>
      <c r="AN25" s="1859"/>
      <c r="AO25" s="1859"/>
      <c r="AP25" s="1859"/>
      <c r="AQ25" s="1859"/>
      <c r="AR25" s="1859"/>
      <c r="AS25" s="1859"/>
      <c r="AT25" s="1859"/>
      <c r="AU25" s="1859"/>
      <c r="AV25" s="2218">
        <f t="shared" si="3"/>
        <v>-8.6533428716587979E-2</v>
      </c>
      <c r="AW25" s="2218">
        <f t="shared" si="3"/>
        <v>-6.037425795585627E-2</v>
      </c>
      <c r="AX25" s="2218">
        <f t="shared" si="3"/>
        <v>-4.7596347080102075E-2</v>
      </c>
      <c r="AY25" s="2218">
        <f t="shared" si="3"/>
        <v>-7.652968560472162E-2</v>
      </c>
      <c r="AZ25" s="2218"/>
      <c r="BA25" s="2218">
        <f t="shared" si="4"/>
        <v>-8.4644174555296381E-2</v>
      </c>
      <c r="BB25" s="2218">
        <f t="shared" si="4"/>
        <v>-0.11316085283178356</v>
      </c>
      <c r="BC25" s="2218">
        <f t="shared" si="4"/>
        <v>-0.1484387079902606</v>
      </c>
      <c r="BD25" s="2218">
        <f t="shared" si="4"/>
        <v>-0.14929613177690393</v>
      </c>
      <c r="BE25" s="2218"/>
      <c r="BF25" s="2218">
        <f t="shared" si="10"/>
        <v>-0.12021755575205761</v>
      </c>
      <c r="BG25" s="2218">
        <f t="shared" si="10"/>
        <v>-4.6549451055012514E-2</v>
      </c>
      <c r="BH25" s="2218">
        <f t="shared" si="10"/>
        <v>-6.6226349219437042E-3</v>
      </c>
      <c r="BI25" s="2218">
        <f t="shared" si="10"/>
        <v>3.4125530913262647E-3</v>
      </c>
      <c r="BJ25" s="2029"/>
      <c r="BK25" s="2218">
        <f t="shared" si="10"/>
        <v>2.8128952963364817E-2</v>
      </c>
      <c r="BL25" s="2218">
        <f t="shared" si="10"/>
        <v>-3.3326981481352824E-2</v>
      </c>
      <c r="BM25" s="2218">
        <f t="shared" si="10"/>
        <v>-3.3326981481352824E-2</v>
      </c>
      <c r="BN25" s="2218">
        <f t="shared" si="5"/>
        <v>6.4790651688306111E-2</v>
      </c>
      <c r="BP25" s="2218">
        <f t="shared" si="6"/>
        <v>6.446626780550857E-2</v>
      </c>
      <c r="BQ25" s="2218">
        <f t="shared" si="7"/>
        <v>6.446626780550857E-2</v>
      </c>
      <c r="BR25" s="2218">
        <f t="shared" si="8"/>
        <v>6.446626780550857E-2</v>
      </c>
      <c r="BS25" s="2218">
        <f t="shared" si="9"/>
        <v>0</v>
      </c>
    </row>
    <row r="26" spans="1:71" ht="12.75">
      <c r="A26" s="2134" t="s">
        <v>1399</v>
      </c>
      <c r="B26" s="2203"/>
      <c r="C26" s="1859"/>
      <c r="D26" s="1859"/>
      <c r="E26" s="1859"/>
      <c r="F26" s="1859"/>
      <c r="G26" s="1859"/>
      <c r="H26" s="1859"/>
      <c r="I26" s="1859"/>
      <c r="J26" s="1859"/>
      <c r="K26" s="1859"/>
      <c r="L26" s="1859"/>
      <c r="M26" s="1859"/>
      <c r="N26" s="1859"/>
      <c r="O26" s="1859"/>
      <c r="P26" s="1859"/>
      <c r="Q26" s="1859"/>
      <c r="R26" s="1859"/>
      <c r="S26" s="1859"/>
      <c r="T26" s="1859"/>
      <c r="U26" s="1859"/>
      <c r="V26" s="1859"/>
      <c r="W26" s="1859"/>
      <c r="X26" s="1859"/>
      <c r="Y26" s="1859"/>
      <c r="Z26" s="1859"/>
      <c r="AA26" s="1859"/>
      <c r="AB26" s="1859"/>
      <c r="AC26" s="1859"/>
      <c r="AD26" s="1859"/>
      <c r="AE26" s="1859"/>
      <c r="AF26" s="1859"/>
      <c r="AG26" s="1859"/>
      <c r="AH26" s="1859"/>
      <c r="AI26" s="1859"/>
      <c r="AJ26" s="1859"/>
      <c r="AK26" s="1859"/>
      <c r="AL26" s="1859"/>
      <c r="AM26" s="1859"/>
      <c r="AN26" s="1859"/>
      <c r="AO26" s="1859"/>
      <c r="AP26" s="1859"/>
      <c r="AQ26" s="1859"/>
      <c r="AR26" s="1859"/>
      <c r="AS26" s="1859"/>
      <c r="AT26" s="1859"/>
      <c r="AU26" s="1859"/>
      <c r="AV26" s="2218">
        <f t="shared" si="3"/>
        <v>-0.10251694371267073</v>
      </c>
      <c r="AW26" s="2218">
        <f t="shared" si="3"/>
        <v>-3.1144898901687368E-2</v>
      </c>
      <c r="AX26" s="2218">
        <f t="shared" si="3"/>
        <v>-5.0668739204934532E-2</v>
      </c>
      <c r="AY26" s="2218">
        <f t="shared" si="3"/>
        <v>-0.12263429220963173</v>
      </c>
      <c r="AZ26" s="2218"/>
      <c r="BA26" s="2218">
        <f t="shared" si="4"/>
        <v>-0.13526274159150775</v>
      </c>
      <c r="BB26" s="2218">
        <f t="shared" si="4"/>
        <v>-0.15922919146323566</v>
      </c>
      <c r="BC26" s="2218">
        <f t="shared" si="4"/>
        <v>-0.15545603184227907</v>
      </c>
      <c r="BD26" s="2218">
        <f t="shared" si="4"/>
        <v>-5.5561170757299272E-2</v>
      </c>
      <c r="BE26" s="2218"/>
      <c r="BF26" s="2218">
        <f t="shared" si="10"/>
        <v>3.3337926617213798E-2</v>
      </c>
      <c r="BG26" s="2218">
        <f t="shared" si="10"/>
        <v>0.12295238764817573</v>
      </c>
      <c r="BH26" s="2218">
        <f t="shared" si="10"/>
        <v>0.13995352199319</v>
      </c>
      <c r="BI26" s="2218">
        <f t="shared" si="10"/>
        <v>0.13168011689209025</v>
      </c>
      <c r="BJ26" s="2029"/>
      <c r="BK26" s="2218">
        <f t="shared" si="10"/>
        <v>-6.5661259374745096E-2</v>
      </c>
      <c r="BL26" s="2218">
        <f t="shared" si="10"/>
        <v>-0.12201033662896354</v>
      </c>
      <c r="BM26" s="2218">
        <f t="shared" si="10"/>
        <v>-0.12201033662896354</v>
      </c>
      <c r="BN26" s="2218">
        <f t="shared" si="5"/>
        <v>-4.3028971018321815E-2</v>
      </c>
      <c r="BP26" s="2218">
        <f t="shared" si="6"/>
        <v>9.7316262464606673E-2</v>
      </c>
      <c r="BQ26" s="2218">
        <f t="shared" si="7"/>
        <v>9.7316262464606673E-2</v>
      </c>
      <c r="BR26" s="2218">
        <f t="shared" si="8"/>
        <v>9.7316262464606673E-2</v>
      </c>
      <c r="BS26" s="2218">
        <f t="shared" si="9"/>
        <v>0</v>
      </c>
    </row>
    <row r="27" spans="1:71" ht="12.75">
      <c r="A27" s="2134" t="s">
        <v>1400</v>
      </c>
      <c r="B27" s="2203"/>
      <c r="C27" s="1859"/>
      <c r="D27" s="1859"/>
      <c r="E27" s="1859"/>
      <c r="F27" s="1859"/>
      <c r="G27" s="1859"/>
      <c r="H27" s="1859"/>
      <c r="I27" s="1859"/>
      <c r="J27" s="1859"/>
      <c r="K27" s="1859"/>
      <c r="L27" s="1859"/>
      <c r="M27" s="1859"/>
      <c r="N27" s="1859"/>
      <c r="O27" s="1859"/>
      <c r="P27" s="1859"/>
      <c r="Q27" s="1859"/>
      <c r="R27" s="1859"/>
      <c r="S27" s="1859"/>
      <c r="T27" s="1859"/>
      <c r="U27" s="1859"/>
      <c r="V27" s="1859"/>
      <c r="W27" s="1859"/>
      <c r="X27" s="1859"/>
      <c r="Y27" s="1859"/>
      <c r="Z27" s="1859"/>
      <c r="AA27" s="1859"/>
      <c r="AB27" s="1859"/>
      <c r="AC27" s="1859"/>
      <c r="AD27" s="1859"/>
      <c r="AE27" s="1859"/>
      <c r="AF27" s="1859"/>
      <c r="AG27" s="1859"/>
      <c r="AH27" s="1859"/>
      <c r="AI27" s="1859"/>
      <c r="AJ27" s="1859"/>
      <c r="AK27" s="1859"/>
      <c r="AL27" s="1859"/>
      <c r="AM27" s="1859"/>
      <c r="AN27" s="1859"/>
      <c r="AO27" s="1859"/>
      <c r="AP27" s="1859"/>
      <c r="AQ27" s="1859"/>
      <c r="AR27" s="1859"/>
      <c r="AS27" s="1859"/>
      <c r="AT27" s="1859"/>
      <c r="AU27" s="1859"/>
      <c r="AV27" s="2218">
        <f t="shared" si="3"/>
        <v>-0.13682469073944525</v>
      </c>
      <c r="AW27" s="2218">
        <f t="shared" si="3"/>
        <v>-5.682666292562677E-2</v>
      </c>
      <c r="AX27" s="2218">
        <f t="shared" si="3"/>
        <v>8.2979108452996275E-3</v>
      </c>
      <c r="AY27" s="2218">
        <f t="shared" si="3"/>
        <v>-7.8935706810231321E-2</v>
      </c>
      <c r="AZ27" s="2218"/>
      <c r="BA27" s="2218">
        <f t="shared" si="4"/>
        <v>-0.10596541587839847</v>
      </c>
      <c r="BB27" s="2218">
        <f t="shared" si="4"/>
        <v>-0.1662173257472348</v>
      </c>
      <c r="BC27" s="2218">
        <f t="shared" si="4"/>
        <v>-0.19336649342351597</v>
      </c>
      <c r="BD27" s="2218">
        <f t="shared" si="4"/>
        <v>-0.15418503432507091</v>
      </c>
      <c r="BE27" s="2218"/>
      <c r="BF27" s="2218">
        <f t="shared" si="10"/>
        <v>-9.8358903401853048E-2</v>
      </c>
      <c r="BG27" s="2218">
        <f t="shared" si="10"/>
        <v>-4.2184475273120636E-2</v>
      </c>
      <c r="BH27" s="2218">
        <f t="shared" si="10"/>
        <v>3.2897328396241932E-4</v>
      </c>
      <c r="BI27" s="2218">
        <f t="shared" si="10"/>
        <v>4.7318803084417826E-2</v>
      </c>
      <c r="BJ27" s="2029"/>
      <c r="BK27" s="2218">
        <f t="shared" si="10"/>
        <v>3.7202670082756573E-2</v>
      </c>
      <c r="BL27" s="2218">
        <f t="shared" si="10"/>
        <v>5.6183781310030767E-3</v>
      </c>
      <c r="BM27" s="2218">
        <f t="shared" si="10"/>
        <v>5.6183781310030767E-3</v>
      </c>
      <c r="BN27" s="2218">
        <f t="shared" si="5"/>
        <v>3.9209019605807471E-2</v>
      </c>
      <c r="BP27" s="2218">
        <f t="shared" si="6"/>
        <v>4.6939591945592829E-2</v>
      </c>
      <c r="BQ27" s="2218">
        <f t="shared" si="7"/>
        <v>4.6939591945592829E-2</v>
      </c>
      <c r="BR27" s="2218">
        <f t="shared" si="8"/>
        <v>4.6939591945592829E-2</v>
      </c>
      <c r="BS27" s="2218">
        <f t="shared" si="9"/>
        <v>0</v>
      </c>
    </row>
    <row r="28" spans="1:71" ht="12.75">
      <c r="A28" s="2134" t="s">
        <v>1401</v>
      </c>
      <c r="B28" s="2203"/>
      <c r="C28" s="1859"/>
      <c r="D28" s="1859"/>
      <c r="E28" s="1859"/>
      <c r="F28" s="1859"/>
      <c r="G28" s="1859"/>
      <c r="H28" s="1859"/>
      <c r="I28" s="1859"/>
      <c r="J28" s="1859"/>
      <c r="K28" s="1859"/>
      <c r="L28" s="1859"/>
      <c r="M28" s="1859"/>
      <c r="N28" s="1859"/>
      <c r="O28" s="1859"/>
      <c r="P28" s="1859"/>
      <c r="Q28" s="1859"/>
      <c r="R28" s="1859"/>
      <c r="S28" s="1859"/>
      <c r="T28" s="1859"/>
      <c r="U28" s="1859"/>
      <c r="V28" s="1859"/>
      <c r="W28" s="1859"/>
      <c r="X28" s="1859"/>
      <c r="Y28" s="1859"/>
      <c r="Z28" s="1859"/>
      <c r="AA28" s="1859"/>
      <c r="AB28" s="1859"/>
      <c r="AC28" s="1859"/>
      <c r="AD28" s="1859"/>
      <c r="AE28" s="1859"/>
      <c r="AF28" s="1859"/>
      <c r="AG28" s="1859"/>
      <c r="AH28" s="1859"/>
      <c r="AI28" s="1859"/>
      <c r="AJ28" s="1859"/>
      <c r="AK28" s="1859"/>
      <c r="AL28" s="1859"/>
      <c r="AM28" s="1859"/>
      <c r="AN28" s="1859"/>
      <c r="AO28" s="1859"/>
      <c r="AP28" s="1859"/>
      <c r="AQ28" s="1859"/>
      <c r="AR28" s="1859"/>
      <c r="AS28" s="1859"/>
      <c r="AT28" s="1859"/>
      <c r="AU28" s="1859"/>
      <c r="AV28" s="2218">
        <f t="shared" si="3"/>
        <v>-0.15504838083119055</v>
      </c>
      <c r="AW28" s="2218">
        <f t="shared" si="3"/>
        <v>-7.1566857423693953E-2</v>
      </c>
      <c r="AX28" s="2218">
        <f t="shared" si="3"/>
        <v>4.8630444560533448E-3</v>
      </c>
      <c r="AY28" s="2218">
        <f t="shared" si="3"/>
        <v>-0.10654320044518517</v>
      </c>
      <c r="AZ28" s="2218"/>
      <c r="BA28" s="2218">
        <f t="shared" si="4"/>
        <v>-0.12572088999422182</v>
      </c>
      <c r="BB28" s="2218">
        <f t="shared" si="4"/>
        <v>-0.27416548964925536</v>
      </c>
      <c r="BC28" s="2218">
        <f t="shared" si="4"/>
        <v>-0.30666870420285197</v>
      </c>
      <c r="BD28" s="2218">
        <f t="shared" si="4"/>
        <v>-0.33531248417064274</v>
      </c>
      <c r="BE28" s="2218"/>
      <c r="BF28" s="2218">
        <f t="shared" si="10"/>
        <v>-0.30453120060667049</v>
      </c>
      <c r="BG28" s="2218">
        <f t="shared" si="10"/>
        <v>-0.12597259831142049</v>
      </c>
      <c r="BH28" s="2218">
        <f t="shared" si="10"/>
        <v>-6.455534279052233E-2</v>
      </c>
      <c r="BI28" s="2218">
        <f t="shared" si="10"/>
        <v>0.1694764213637947</v>
      </c>
      <c r="BJ28" s="2029"/>
      <c r="BK28" s="2218">
        <f t="shared" si="10"/>
        <v>0.23829964383181457</v>
      </c>
      <c r="BL28" s="2218">
        <f t="shared" si="10"/>
        <v>0.11838140191903035</v>
      </c>
      <c r="BM28" s="2218">
        <f t="shared" si="10"/>
        <v>0.11838140191903035</v>
      </c>
      <c r="BN28" s="2218">
        <f t="shared" si="5"/>
        <v>3.5652027760193716E-2</v>
      </c>
      <c r="BP28" s="2218">
        <f t="shared" si="6"/>
        <v>-1.054283024788194E-2</v>
      </c>
      <c r="BQ28" s="2218">
        <f t="shared" si="7"/>
        <v>-1.054283024788194E-2</v>
      </c>
      <c r="BR28" s="2218">
        <f t="shared" si="8"/>
        <v>-1.054283024788194E-2</v>
      </c>
      <c r="BS28" s="2218">
        <f t="shared" si="9"/>
        <v>0</v>
      </c>
    </row>
    <row r="29" spans="1:71" ht="12.75">
      <c r="A29" s="2134" t="s">
        <v>1402</v>
      </c>
      <c r="B29" s="2203"/>
      <c r="C29" s="1859"/>
      <c r="D29" s="1859"/>
      <c r="E29" s="1859"/>
      <c r="F29" s="1859"/>
      <c r="G29" s="1859"/>
      <c r="H29" s="1859"/>
      <c r="I29" s="1859"/>
      <c r="J29" s="1859"/>
      <c r="K29" s="1859"/>
      <c r="L29" s="1859"/>
      <c r="M29" s="1859"/>
      <c r="N29" s="1859"/>
      <c r="O29" s="1859"/>
      <c r="P29" s="1859"/>
      <c r="Q29" s="1859"/>
      <c r="R29" s="1859"/>
      <c r="S29" s="1859"/>
      <c r="T29" s="1859"/>
      <c r="U29" s="1859"/>
      <c r="V29" s="1859"/>
      <c r="W29" s="1859"/>
      <c r="X29" s="1859"/>
      <c r="Y29" s="1859"/>
      <c r="Z29" s="1859"/>
      <c r="AA29" s="1859"/>
      <c r="AB29" s="1859"/>
      <c r="AC29" s="1859"/>
      <c r="AD29" s="1859"/>
      <c r="AE29" s="1859"/>
      <c r="AF29" s="1859"/>
      <c r="AG29" s="1859"/>
      <c r="AH29" s="1859"/>
      <c r="AI29" s="1859"/>
      <c r="AJ29" s="1859"/>
      <c r="AK29" s="1859"/>
      <c r="AL29" s="1859"/>
      <c r="AM29" s="1859"/>
      <c r="AN29" s="1859"/>
      <c r="AO29" s="1859"/>
      <c r="AP29" s="1859"/>
      <c r="AQ29" s="1859"/>
      <c r="AR29" s="1859"/>
      <c r="AS29" s="1859"/>
      <c r="AT29" s="1859"/>
      <c r="AU29" s="1859"/>
      <c r="AV29" s="2218">
        <f t="shared" si="3"/>
        <v>2.0042851596957956E-2</v>
      </c>
      <c r="AW29" s="2218">
        <f t="shared" si="3"/>
        <v>-1.2751835817061963E-2</v>
      </c>
      <c r="AX29" s="2218">
        <f t="shared" si="3"/>
        <v>-6.0697806012027788E-3</v>
      </c>
      <c r="AY29" s="2218">
        <f t="shared" si="3"/>
        <v>-1.0007663264744227E-2</v>
      </c>
      <c r="AZ29" s="2218"/>
      <c r="BA29" s="2218">
        <f t="shared" si="4"/>
        <v>-1.9576398310706455E-2</v>
      </c>
      <c r="BB29" s="2218">
        <f t="shared" si="4"/>
        <v>4.5673348013701709E-3</v>
      </c>
      <c r="BC29" s="2218">
        <f t="shared" si="4"/>
        <v>-1.4490924830895313E-2</v>
      </c>
      <c r="BD29" s="2218">
        <f t="shared" si="4"/>
        <v>-3.8605067494687839E-2</v>
      </c>
      <c r="BE29" s="2218"/>
      <c r="BF29" s="2218">
        <f t="shared" si="10"/>
        <v>-4.8612908260125209E-2</v>
      </c>
      <c r="BG29" s="2218">
        <f t="shared" si="10"/>
        <v>-4.9971885521388648E-2</v>
      </c>
      <c r="BH29" s="2218">
        <f t="shared" si="10"/>
        <v>-4.2418665959953472E-2</v>
      </c>
      <c r="BI29" s="2218">
        <f t="shared" si="10"/>
        <v>-5.9905333071656908E-2</v>
      </c>
      <c r="BJ29" s="2029"/>
      <c r="BK29" s="2218">
        <f t="shared" si="10"/>
        <v>-5.1000321847195051E-2</v>
      </c>
      <c r="BL29" s="2218">
        <f t="shared" si="10"/>
        <v>-5.2529943145598113E-2</v>
      </c>
      <c r="BM29" s="2218">
        <f t="shared" si="10"/>
        <v>-5.2529943145598113E-2</v>
      </c>
      <c r="BN29" s="2218">
        <f t="shared" si="5"/>
        <v>3.2534664640532451E-2</v>
      </c>
      <c r="BP29" s="2218">
        <f t="shared" si="6"/>
        <v>4.590254324901788E-2</v>
      </c>
      <c r="BQ29" s="2218">
        <f t="shared" si="7"/>
        <v>4.590254324901788E-2</v>
      </c>
      <c r="BR29" s="2218">
        <f t="shared" si="8"/>
        <v>4.590254324901788E-2</v>
      </c>
      <c r="BS29" s="2218">
        <f t="shared" si="9"/>
        <v>0</v>
      </c>
    </row>
    <row r="30" spans="1:71" ht="12.75">
      <c r="A30" s="2134"/>
      <c r="B30" s="2203"/>
      <c r="C30" s="1859"/>
      <c r="D30" s="1859"/>
      <c r="E30" s="1859"/>
      <c r="F30" s="1859"/>
      <c r="G30" s="1859"/>
      <c r="H30" s="1859"/>
      <c r="I30" s="1859"/>
      <c r="J30" s="1859"/>
      <c r="K30" s="1859"/>
      <c r="L30" s="1859"/>
      <c r="M30" s="1859"/>
      <c r="N30" s="1859"/>
      <c r="O30" s="1859"/>
      <c r="P30" s="1859"/>
      <c r="Q30" s="1859"/>
      <c r="R30" s="1859"/>
      <c r="S30" s="1859"/>
      <c r="T30" s="1859"/>
      <c r="U30" s="1859"/>
      <c r="V30" s="1859"/>
      <c r="W30" s="1859"/>
      <c r="X30" s="1859"/>
      <c r="Y30" s="1859"/>
      <c r="Z30" s="1859"/>
      <c r="AA30" s="1859"/>
      <c r="AB30" s="1859"/>
      <c r="AC30" s="1859"/>
      <c r="AD30" s="1859"/>
      <c r="AE30" s="1859"/>
      <c r="AF30" s="1859"/>
      <c r="AG30" s="1859"/>
      <c r="AH30" s="1859"/>
      <c r="AI30" s="1859"/>
      <c r="AJ30" s="1859"/>
      <c r="AK30" s="1859"/>
      <c r="AL30" s="1859"/>
      <c r="AM30" s="1859"/>
      <c r="AN30" s="1859"/>
      <c r="AO30" s="1859"/>
      <c r="AP30" s="1859"/>
      <c r="AQ30" s="1859"/>
      <c r="AR30" s="1859"/>
      <c r="AS30" s="1859"/>
      <c r="AT30" s="1859"/>
      <c r="AU30" s="1859"/>
      <c r="AV30" s="2211"/>
      <c r="AW30" s="2029"/>
      <c r="AX30" s="2029"/>
      <c r="AY30" s="2211"/>
      <c r="AZ30" s="2029"/>
      <c r="BA30" s="2029"/>
      <c r="BB30" s="2029"/>
      <c r="BC30" s="2029"/>
      <c r="BD30" s="2029"/>
      <c r="BE30" s="2029"/>
      <c r="BF30" s="2029"/>
      <c r="BG30" s="2029"/>
      <c r="BH30" s="2029"/>
      <c r="BI30" s="2029"/>
      <c r="BJ30" s="2029"/>
      <c r="BK30" s="2029"/>
      <c r="BL30" s="2029"/>
      <c r="BM30" s="2029"/>
      <c r="BN30" s="2029"/>
      <c r="BP30" s="2029"/>
      <c r="BQ30" s="2029"/>
      <c r="BR30" s="2029"/>
      <c r="BS30" s="2029"/>
    </row>
    <row r="31" spans="1:71" ht="12.75">
      <c r="A31" s="142" t="s">
        <v>1404</v>
      </c>
      <c r="B31" s="2213"/>
      <c r="C31" s="2214"/>
      <c r="D31" s="2214"/>
      <c r="E31" s="2214"/>
      <c r="F31" s="2214"/>
      <c r="G31" s="2214"/>
      <c r="H31" s="2214"/>
      <c r="I31" s="2214"/>
      <c r="J31" s="2214"/>
      <c r="K31" s="2214"/>
      <c r="L31" s="2214"/>
      <c r="M31" s="2214"/>
      <c r="N31" s="2214"/>
      <c r="O31" s="2214"/>
      <c r="P31" s="2214"/>
      <c r="Q31" s="2212"/>
      <c r="R31" s="2211"/>
      <c r="S31" s="2211"/>
      <c r="T31" s="2211"/>
      <c r="U31" s="2211"/>
      <c r="V31" s="2211"/>
      <c r="W31" s="2211"/>
      <c r="X31" s="2211"/>
      <c r="Y31" s="2211"/>
      <c r="Z31" s="2211"/>
      <c r="AA31" s="2211"/>
      <c r="AB31" s="2211"/>
      <c r="AC31" s="2211"/>
      <c r="AD31" s="2029"/>
      <c r="AE31" s="2211"/>
      <c r="AF31" s="2211"/>
      <c r="AG31" s="2211"/>
      <c r="AH31" s="2029"/>
      <c r="AI31" s="2029"/>
      <c r="AJ31" s="2211"/>
      <c r="AK31" s="2211"/>
      <c r="AL31" s="2211"/>
      <c r="AM31" s="2211"/>
      <c r="AN31" s="2211"/>
      <c r="AO31" s="2211"/>
      <c r="AP31" s="2211"/>
      <c r="AQ31" s="2211"/>
      <c r="AR31" s="2211"/>
      <c r="AS31" s="2211"/>
      <c r="AT31" s="2211"/>
      <c r="AU31" s="2029"/>
      <c r="AV31" s="2219">
        <f>+AV23*$B$5+AV24*$B$6+AV25*$B$7+AV26*$B$8+AV27*$B$9+AV28*$B$10+AV29*$B$11</f>
        <v>-3.2580622653012332E-4</v>
      </c>
      <c r="AW31" s="2219">
        <f>+AW23*$B$5+AW24*$B$6+AW25*$B$7+AW26*$B$8+AW27*$B$9+AW28*$B$10+AW29*$B$11</f>
        <v>1.4305664716161585E-3</v>
      </c>
      <c r="AX31" s="2219">
        <f>+AX23*$B$5+AX24*$B$6+AX25*$B$7+AX26*$B$8+AX27*$B$9+AX28*$B$10+AX29*$B$11</f>
        <v>-2.0768529518763847E-3</v>
      </c>
      <c r="AY31" s="2219">
        <f>+AY23*$B$5+AY24*$B$6+AY25*$B$7+AY26*$B$8+AY27*$B$9+AY28*$B$10+AY29*$B$11</f>
        <v>-1.4496753514936921E-2</v>
      </c>
      <c r="AZ31" s="2029"/>
      <c r="BA31" s="2219">
        <f>+BA23*$B$5+BA24*$B$6+BA25*$B$7+BA26*$B$8+BA27*$B$9+BA28*$B$10+BA29*$B$11</f>
        <v>-2.2217695875559784E-2</v>
      </c>
      <c r="BB31" s="2219">
        <f>+BB23*$B$5+BB24*$B$6+BB25*$B$7+BB26*$B$8+BB27*$B$9+BB28*$B$10+BB29*$B$11</f>
        <v>-2.8692670078027591E-2</v>
      </c>
      <c r="BC31" s="2219">
        <f>+BC23*$B$5+BC24*$B$6+BC25*$B$7+BC26*$B$8+BC27*$B$9+BC28*$B$10+BC29*$B$11</f>
        <v>-2.8343529315876748E-2</v>
      </c>
      <c r="BD31" s="2219">
        <f>+BD23*$B$5+BD24*$B$6+BD25*$B$7+BD26*$B$8+BD27*$B$9+BD28*$B$10+BD29*$B$11</f>
        <v>-2.5834949998132763E-2</v>
      </c>
      <c r="BE31" s="2029"/>
      <c r="BF31" s="2219">
        <f>+BF23*$B$5+BF24*$B$6+BF25*$B$7+BF26*$B$8+BF27*$B$9+BF28*$B$10+BF29*$B$11</f>
        <v>-1.8215134831300779E-2</v>
      </c>
      <c r="BG31" s="2219">
        <f>+BG23*$B$5+BG24*$B$6+BG25*$B$7+BG26*$B$8+BG27*$B$9+BG28*$B$10+BG29*$B$11</f>
        <v>-4.8489711285893376E-3</v>
      </c>
      <c r="BH31" s="2219">
        <f>+BH23*$B$5+BH24*$B$6+BH25*$B$7+BH26*$B$8+BH27*$B$9+BH28*$B$10+BH29*$B$11</f>
        <v>-2.4022262052520007E-3</v>
      </c>
      <c r="BI31" s="2219">
        <f>+BI23*$B$5+BI24*$B$6+BI25*$B$7+BI26*$B$8+BI27*$B$9+BI28*$B$10+BI29*$B$11</f>
        <v>-3.883744869436251E-3</v>
      </c>
      <c r="BJ31" s="2029"/>
      <c r="BK31" s="2219">
        <f>+BK23*$B$5+BK24*$B$6+BK25*$B$7+BK26*$B$8+BK27*$B$9+BK28*$B$10+BK29*$B$11</f>
        <v>-5.5193995740128263E-3</v>
      </c>
      <c r="BL31" s="2219">
        <f>+BL23*$B$5+BL24*$B$6+BL25*$B$7+BL26*$B$8+BL27*$B$9+BL28*$B$10+BL29*$B$11</f>
        <v>-1.1899239154852553E-2</v>
      </c>
      <c r="BM31" s="2219">
        <f>+BM23*$B$5+BM24*$B$6+BM25*$B$7+BM26*$B$8+BM27*$B$9+BM28*$B$10+BM29*$B$11</f>
        <v>-1.1899239154852553E-2</v>
      </c>
      <c r="BN31" s="2219">
        <f>+BN23*$B$5+BN24*$B$6+BN25*$B$7+BN26*$B$8+BN27*$B$9+BN28*$B$10+BN29*$B$11</f>
        <v>1.4425459422302563E-2</v>
      </c>
      <c r="BP31" s="2219">
        <f>+BP23*$B$5+BP24*$B$6+BP25*$B$7+BP26*$B$8+BP27*$B$9+BP28*$B$10+BP29*$B$11</f>
        <v>1.8295415558280376E-2</v>
      </c>
      <c r="BQ31" s="2219">
        <f>+BQ23*$B$5+BQ24*$B$6+BQ25*$B$7+BQ26*$B$8+BQ27*$B$9+BQ28*$B$10+BQ29*$B$11</f>
        <v>1.8295415558280376E-2</v>
      </c>
      <c r="BR31" s="2219">
        <f>+BR23*$B$5+BR24*$B$6+BR25*$B$7+BR26*$B$8+BR27*$B$9+BR28*$B$10+BR29*$B$11</f>
        <v>1.8295415558280376E-2</v>
      </c>
      <c r="BS31" s="2219">
        <f>+BS23*$B$5+BS24*$B$6+BS25*$B$7+BS26*$B$8+BS27*$B$9+BS28*$B$10+BS29*$B$11</f>
        <v>0</v>
      </c>
    </row>
    <row r="32" spans="1:71" ht="12.75">
      <c r="A32" s="2209" t="s">
        <v>1405</v>
      </c>
      <c r="B32" s="2208" t="s">
        <v>1406</v>
      </c>
      <c r="C32" s="2214"/>
      <c r="D32" s="2214"/>
      <c r="E32" s="2214"/>
      <c r="F32" s="2214"/>
      <c r="G32" s="2214"/>
      <c r="H32" s="2214"/>
      <c r="I32" s="2214"/>
      <c r="J32" s="2214"/>
      <c r="K32" s="2214"/>
      <c r="L32" s="2214"/>
      <c r="M32" s="2214"/>
      <c r="N32" s="2214"/>
      <c r="O32" s="2214"/>
      <c r="P32" s="2214"/>
      <c r="Q32" s="2212"/>
      <c r="R32" s="2211"/>
      <c r="S32" s="2211"/>
      <c r="T32" s="2211"/>
      <c r="U32" s="2211"/>
      <c r="V32" s="2211"/>
      <c r="W32" s="2211"/>
      <c r="X32" s="2211"/>
      <c r="Y32" s="2211"/>
      <c r="Z32" s="2211"/>
      <c r="AA32" s="2211"/>
      <c r="AB32" s="2211"/>
      <c r="AC32" s="2211"/>
      <c r="AD32" s="2029"/>
      <c r="AE32" s="2211"/>
      <c r="AF32" s="2211"/>
      <c r="AG32" s="2211"/>
      <c r="AH32" s="2029"/>
      <c r="AI32" s="2029"/>
      <c r="AJ32" s="2211"/>
      <c r="AK32" s="2211"/>
      <c r="AL32" s="2211"/>
      <c r="AM32" s="2211"/>
      <c r="AN32" s="2211"/>
      <c r="AO32" s="2211"/>
      <c r="AP32" s="2211"/>
      <c r="AQ32" s="2207"/>
      <c r="AR32" s="2207"/>
      <c r="AS32" s="2207"/>
      <c r="AT32" s="2207"/>
      <c r="AU32" s="2207"/>
      <c r="AV32" s="2207">
        <f>INDEX('Divisional Summary'!$25:$25,MATCH('FX Model'!AV$2,'Divisional Summary'!$10:$10,0))</f>
        <v>-3.9086047642197374E-3</v>
      </c>
      <c r="AW32" s="2207">
        <f>INDEX('Divisional Summary'!$25:$25,MATCH('FX Model'!AW$2,'Divisional Summary'!$10:$10,0))</f>
        <v>-4.9543921029614288E-4</v>
      </c>
      <c r="AX32" s="2207">
        <f>INDEX('Divisional Summary'!$25:$25,MATCH('FX Model'!AX$2,'Divisional Summary'!$10:$10,0))</f>
        <v>-2.1627215108006225E-3</v>
      </c>
      <c r="AY32" s="2207">
        <f>INDEX('Divisional Summary'!$25:$25,MATCH('FX Model'!AY$2,'Divisional Summary'!$10:$10,0))</f>
        <v>-2.1261411778745739E-2</v>
      </c>
      <c r="AZ32" s="2207">
        <f>INDEX('Divisional Summary'!$25:$25,MATCH('FX Model'!AZ$2,'Divisional Summary'!$10:$10,0))</f>
        <v>-7.2240426277878E-3</v>
      </c>
      <c r="BA32" s="2207">
        <f>INDEX('Divisional Summary'!$25:$25,MATCH('FX Model'!BA$2,'Divisional Summary'!$10:$10,0))</f>
        <v>-4.5825025432349939E-2</v>
      </c>
      <c r="BB32" s="2207">
        <f>INDEX('Divisional Summary'!$25:$25,MATCH('FX Model'!BB$2,'Divisional Summary'!$10:$10,0))</f>
        <v>-4.2783433191786409E-2</v>
      </c>
      <c r="BC32" s="2207">
        <f>INDEX('Divisional Summary'!$25:$25,MATCH('FX Model'!BC$2,'Divisional Summary'!$10:$10,0))</f>
        <v>-4.4940623453735777E-2</v>
      </c>
      <c r="BD32" s="2207">
        <f>INDEX('Divisional Summary'!$25:$25,MATCH('FX Model'!BD$2,'Divisional Summary'!$10:$10,0))</f>
        <v>-3.4353965638973881E-2</v>
      </c>
      <c r="BE32" s="2207">
        <f>INDEX('Divisional Summary'!$25:$25,MATCH('FX Model'!BE$2,'Divisional Summary'!$10:$10,0))</f>
        <v>-4.2474714421477967E-2</v>
      </c>
      <c r="BF32" s="2207">
        <f>INDEX('Divisional Summary'!$25:$25,MATCH('FX Model'!BF$2,'Divisional Summary'!$10:$10,0))</f>
        <v>-2.116216216216216E-2</v>
      </c>
      <c r="BG32" s="2207">
        <f>INDEX('Divisional Summary'!$25:$25,MATCH('FX Model'!BG$2,'Divisional Summary'!$10:$10,0))</f>
        <v>-6.9551609171940171E-3</v>
      </c>
      <c r="BH32" s="2207">
        <f>INDEX('Divisional Summary'!$25:$25,MATCH('FX Model'!BH$2,'Divisional Summary'!$10:$10,0))</f>
        <v>-3.4812880765884135E-3</v>
      </c>
      <c r="BI32" s="2207">
        <f>INDEX('Divisional Summary'!$25:$25,MATCH('FX Model'!BI$2,'Divisional Summary'!$10:$10,0))</f>
        <v>-1.1009790209790184E-2</v>
      </c>
      <c r="BJ32" s="2207"/>
      <c r="BK32" s="2207">
        <f>INDEX('Divisional Summary'!$25:$25,MATCH('FX Model'!BK$2,'Divisional Summary'!$10:$10,0))</f>
        <v>-6.5134386464026249E-3</v>
      </c>
      <c r="BL32" s="2207">
        <f>INDEX('Divisional Summary'!$25:$25,MATCH('FX Model'!BL$2,'Divisional Summary'!$10:$10,0))</f>
        <v>-6.1516740621218183E-3</v>
      </c>
      <c r="BM32" s="2207">
        <f>INDEX('Divisional Summary'!$25:$25,MATCH('FX Model'!BM$2,'Divisional Summary'!$10:$10,0))</f>
        <v>1.2170823463842812E-2</v>
      </c>
      <c r="BN32" s="2207">
        <f>BN31+BN33</f>
        <v>1.4425459422302563E-2</v>
      </c>
      <c r="BP32" s="2207">
        <f>BP31+BP33</f>
        <v>1.8295415558280376E-2</v>
      </c>
      <c r="BQ32" s="2207">
        <f>BQ31+BQ33</f>
        <v>1.8295415558280376E-2</v>
      </c>
      <c r="BR32" s="2207">
        <f>BR31+BR33</f>
        <v>1.8295415558280376E-2</v>
      </c>
      <c r="BS32" s="2207">
        <f>BS31+BS33</f>
        <v>0</v>
      </c>
    </row>
    <row r="33" spans="1:71" ht="12.75">
      <c r="A33" s="142" t="s">
        <v>1407</v>
      </c>
      <c r="B33" s="2332">
        <f>AVERAGE(AV33:BM33)</f>
        <v>-3.9738846122469472E-3</v>
      </c>
      <c r="C33" s="2214"/>
      <c r="D33" s="2214"/>
      <c r="E33" s="2214"/>
      <c r="F33" s="2214"/>
      <c r="G33" s="2214"/>
      <c r="H33" s="2214"/>
      <c r="I33" s="2214"/>
      <c r="J33" s="2214"/>
      <c r="K33" s="2214"/>
      <c r="L33" s="2214"/>
      <c r="M33" s="2214"/>
      <c r="N33" s="2214"/>
      <c r="O33" s="2214"/>
      <c r="P33" s="2214"/>
      <c r="Q33" s="2212"/>
      <c r="R33" s="2211"/>
      <c r="S33" s="2211"/>
      <c r="T33" s="2211"/>
      <c r="U33" s="2211"/>
      <c r="V33" s="2211"/>
      <c r="W33" s="2211"/>
      <c r="X33" s="2211"/>
      <c r="Y33" s="2211"/>
      <c r="Z33" s="2211"/>
      <c r="AA33" s="2211"/>
      <c r="AB33" s="2211"/>
      <c r="AC33" s="2211"/>
      <c r="AD33" s="2029"/>
      <c r="AE33" s="2211"/>
      <c r="AF33" s="2211"/>
      <c r="AG33" s="2211"/>
      <c r="AH33" s="2029"/>
      <c r="AI33" s="2029"/>
      <c r="AJ33" s="2211"/>
      <c r="AK33" s="2211"/>
      <c r="AL33" s="2211"/>
      <c r="AM33" s="2211"/>
      <c r="AN33" s="2211"/>
      <c r="AO33" s="2211"/>
      <c r="AP33" s="2211"/>
      <c r="AQ33" s="2211"/>
      <c r="AR33" s="2211"/>
      <c r="AS33" s="2211"/>
      <c r="AT33" s="2211"/>
      <c r="AU33" s="2029"/>
      <c r="AV33" s="2216">
        <f>AV32-AV31</f>
        <v>-3.5827985376896141E-3</v>
      </c>
      <c r="AW33" s="2216">
        <f>AW32-AW31</f>
        <v>-1.9260056819123015E-3</v>
      </c>
      <c r="AX33" s="2216">
        <f>AX32-AX31</f>
        <v>-8.5868558924237851E-5</v>
      </c>
      <c r="AY33" s="2216">
        <f>AY32-AY31</f>
        <v>-6.7646582638088183E-3</v>
      </c>
      <c r="AZ33" s="2029"/>
      <c r="BA33" s="2216">
        <f>BA32-BA31</f>
        <v>-2.3607329556790155E-2</v>
      </c>
      <c r="BB33" s="2216">
        <f>BB32-BB31</f>
        <v>-1.4090763113758818E-2</v>
      </c>
      <c r="BC33" s="2216">
        <f>BC32-BC31</f>
        <v>-1.6597094137859029E-2</v>
      </c>
      <c r="BD33" s="2216">
        <f>BD32-BD31</f>
        <v>-8.5190156408411176E-3</v>
      </c>
      <c r="BE33" s="2029"/>
      <c r="BF33" s="2216">
        <f>BF32-BF31</f>
        <v>-2.9470273308613813E-3</v>
      </c>
      <c r="BG33" s="2216">
        <f>BG32-BG31</f>
        <v>-2.1061897886046795E-3</v>
      </c>
      <c r="BH33" s="2216">
        <f>BH32-BH31</f>
        <v>-1.0790618713364128E-3</v>
      </c>
      <c r="BI33" s="2216">
        <f>BI32-BI31</f>
        <v>-7.1260453403539327E-3</v>
      </c>
      <c r="BJ33" s="2029"/>
      <c r="BK33" s="2216">
        <f>BK32-BK31</f>
        <v>-9.9403907238979853E-4</v>
      </c>
      <c r="BL33" s="2216">
        <f>BL32-BL31</f>
        <v>5.747565092730735E-3</v>
      </c>
      <c r="BM33" s="2216">
        <f>BM32-BM31</f>
        <v>2.4070062618695365E-2</v>
      </c>
      <c r="BN33" s="2205">
        <v>0</v>
      </c>
      <c r="BP33" s="2205">
        <f>BN33</f>
        <v>0</v>
      </c>
      <c r="BQ33" s="2205">
        <f>BP33</f>
        <v>0</v>
      </c>
      <c r="BR33" s="2205">
        <f>BQ33</f>
        <v>0</v>
      </c>
      <c r="BS33" s="2205">
        <f>BR33</f>
        <v>0</v>
      </c>
    </row>
    <row r="34" spans="1:71" ht="12.75">
      <c r="A34" s="143"/>
      <c r="B34" s="2206"/>
      <c r="C34" s="2214"/>
      <c r="D34" s="2214"/>
      <c r="E34" s="2214"/>
      <c r="F34" s="2214"/>
      <c r="G34" s="2214"/>
      <c r="H34" s="2214"/>
      <c r="I34" s="2214"/>
      <c r="J34" s="2214"/>
      <c r="K34" s="2214"/>
      <c r="L34" s="2214"/>
      <c r="M34" s="2214"/>
      <c r="N34" s="2214"/>
      <c r="O34" s="2214"/>
      <c r="P34" s="2214"/>
      <c r="Q34" s="2212"/>
      <c r="R34" s="2211"/>
      <c r="S34" s="2211"/>
      <c r="T34" s="2211"/>
      <c r="U34" s="2211"/>
      <c r="V34" s="2211"/>
      <c r="W34" s="2211"/>
      <c r="X34" s="2211"/>
      <c r="Y34" s="2211"/>
      <c r="Z34" s="2211"/>
      <c r="AA34" s="2211"/>
      <c r="AB34" s="2211"/>
      <c r="AC34" s="2211"/>
      <c r="AD34" s="2029"/>
      <c r="AE34" s="2211"/>
      <c r="AF34" s="2211"/>
      <c r="AG34" s="2211"/>
      <c r="AH34" s="2029"/>
      <c r="AI34" s="2029"/>
      <c r="AJ34" s="2211"/>
      <c r="AK34" s="2211"/>
      <c r="AL34" s="2211"/>
      <c r="AM34" s="2211"/>
      <c r="AN34" s="2211"/>
      <c r="AO34" s="2211"/>
      <c r="AP34" s="2211"/>
      <c r="AQ34" s="2211"/>
      <c r="AR34" s="2211"/>
      <c r="AS34" s="2211"/>
      <c r="AT34" s="2211"/>
      <c r="AU34" s="2029"/>
      <c r="AV34" s="2211"/>
      <c r="AW34" s="2029"/>
      <c r="AX34" s="2029"/>
      <c r="AY34" s="2211"/>
      <c r="AZ34" s="2029"/>
      <c r="BA34" s="2029"/>
      <c r="BB34" s="2029"/>
      <c r="BC34" s="2029"/>
      <c r="BD34" s="2029"/>
      <c r="BE34" s="2029"/>
      <c r="BF34" s="2029"/>
      <c r="BG34" s="2029"/>
      <c r="BH34" s="2029"/>
      <c r="BI34" s="2029"/>
      <c r="BJ34" s="2029"/>
      <c r="BK34" s="2029"/>
      <c r="BL34" s="2029"/>
      <c r="BM34" s="2029"/>
      <c r="BN34" s="2029"/>
      <c r="BP34" s="2029"/>
      <c r="BQ34" s="2029"/>
      <c r="BR34" s="2029"/>
      <c r="BS34" s="2029"/>
    </row>
    <row r="35" spans="1:71" ht="12.75">
      <c r="A35" s="143" t="s">
        <v>1408</v>
      </c>
      <c r="B35" s="2206"/>
      <c r="C35" s="2214"/>
      <c r="D35" s="2214"/>
      <c r="E35" s="2214"/>
      <c r="F35" s="2214"/>
      <c r="G35" s="2214"/>
      <c r="H35" s="2214"/>
      <c r="I35" s="2214"/>
      <c r="J35" s="2214"/>
      <c r="K35" s="2214"/>
      <c r="L35" s="2214"/>
      <c r="M35" s="2214"/>
      <c r="N35" s="2214"/>
      <c r="O35" s="2214"/>
      <c r="P35" s="2214"/>
      <c r="Q35" s="2212"/>
      <c r="R35" s="2211"/>
      <c r="S35" s="2211"/>
      <c r="T35" s="2211"/>
      <c r="U35" s="2211"/>
      <c r="V35" s="2211"/>
      <c r="W35" s="2211"/>
      <c r="X35" s="2211"/>
      <c r="Y35" s="2211"/>
      <c r="Z35" s="2211"/>
      <c r="AA35" s="2211"/>
      <c r="AB35" s="2211"/>
      <c r="AC35" s="2211"/>
      <c r="AD35" s="2029"/>
      <c r="AE35" s="2211"/>
      <c r="AF35" s="2211"/>
      <c r="AG35" s="2211"/>
      <c r="AH35" s="2029"/>
      <c r="AI35" s="2029"/>
      <c r="AJ35" s="2211"/>
      <c r="AK35" s="2211"/>
      <c r="AL35" s="2211"/>
      <c r="AM35" s="2211"/>
      <c r="AN35" s="2211"/>
      <c r="AO35" s="2211"/>
      <c r="AP35" s="2211"/>
      <c r="AQ35" s="2211"/>
      <c r="AR35" s="2211"/>
      <c r="AS35" s="2211"/>
      <c r="AT35" s="2211"/>
      <c r="AU35" s="2029"/>
      <c r="AV35" s="2211"/>
      <c r="AW35" s="2029"/>
      <c r="AX35" s="2029"/>
      <c r="AY35" s="2211"/>
      <c r="AZ35" s="2029"/>
      <c r="BA35" s="2029"/>
      <c r="BB35" s="2029"/>
      <c r="BC35" s="2029"/>
      <c r="BD35" s="2029"/>
      <c r="BE35" s="2029"/>
      <c r="BF35" s="2029"/>
      <c r="BG35" s="2029"/>
      <c r="BH35" s="2029"/>
      <c r="BI35" s="2029"/>
      <c r="BJ35" s="2029"/>
      <c r="BK35" s="2029"/>
      <c r="BL35" s="2029"/>
      <c r="BM35" s="2029"/>
      <c r="BN35" s="2029"/>
      <c r="BP35" s="2029"/>
      <c r="BQ35" s="2029"/>
      <c r="BR35" s="2029"/>
      <c r="BS35" s="2029"/>
    </row>
    <row r="36" spans="1:71" ht="12.75">
      <c r="A36" s="2211" t="s">
        <v>167</v>
      </c>
      <c r="B36" s="2213"/>
      <c r="C36" s="2214"/>
      <c r="D36" s="2214"/>
      <c r="E36" s="2214"/>
      <c r="F36" s="2214"/>
      <c r="G36" s="2214"/>
      <c r="H36" s="2214"/>
      <c r="I36" s="2214"/>
      <c r="J36" s="2214"/>
      <c r="K36" s="2214"/>
      <c r="L36" s="2214"/>
      <c r="M36" s="2214"/>
      <c r="N36" s="2214"/>
      <c r="O36" s="2214"/>
      <c r="P36" s="2214"/>
      <c r="Q36" s="2212"/>
      <c r="R36" s="2211"/>
      <c r="S36" s="2211"/>
      <c r="T36" s="2211"/>
      <c r="U36" s="2211"/>
      <c r="V36" s="2211"/>
      <c r="W36" s="2211"/>
      <c r="X36" s="2211"/>
      <c r="Y36" s="2211"/>
      <c r="Z36" s="2211"/>
      <c r="AA36" s="2211"/>
      <c r="AB36" s="2211"/>
      <c r="AC36" s="2211"/>
      <c r="AD36" s="2029"/>
      <c r="AE36" s="2211"/>
      <c r="AF36" s="2211"/>
      <c r="AG36" s="2211"/>
      <c r="AH36" s="2029"/>
      <c r="AI36" s="2029"/>
      <c r="AJ36" s="2211"/>
      <c r="AK36" s="2211"/>
      <c r="AL36" s="2211"/>
      <c r="AM36" s="2211"/>
      <c r="AN36" s="2211"/>
      <c r="AO36" s="2211"/>
      <c r="AP36" s="2211"/>
      <c r="AQ36" s="2211"/>
      <c r="AR36" s="2211"/>
      <c r="AS36" s="2211"/>
      <c r="AT36" s="2211"/>
      <c r="AU36" s="2029"/>
      <c r="AV36" s="2216">
        <f>Otis!CB15</f>
        <v>-0.02</v>
      </c>
      <c r="AW36" s="2216">
        <f>Otis!CC15</f>
        <v>-7.6609305289993459E-3</v>
      </c>
      <c r="AX36" s="2216">
        <f>Otis!CD15</f>
        <v>-6.7126725219572442E-3</v>
      </c>
      <c r="AY36" s="2216">
        <f>Otis!CE15</f>
        <v>-5.2392344497607615E-2</v>
      </c>
      <c r="AZ36" s="2029"/>
      <c r="BA36" s="2216">
        <f>Otis!CG15</f>
        <v>-9.1065989847715731E-2</v>
      </c>
      <c r="BB36" s="2216">
        <f>Otis!CH15</f>
        <v>-8.9346210995542394E-2</v>
      </c>
      <c r="BC36" s="2216">
        <f>Otis!CI15</f>
        <v>-0.10508719182200842</v>
      </c>
      <c r="BD36" s="2216">
        <f>Otis!CJ15</f>
        <v>-8.2541966426858501E-2</v>
      </c>
      <c r="BE36" s="2029"/>
      <c r="BF36" s="2216">
        <f>Otis!CL15</f>
        <v>-5.0928961748633893E-2</v>
      </c>
      <c r="BG36" s="2216">
        <f>Otis!CM15</f>
        <v>-2.0322788896061966E-2</v>
      </c>
      <c r="BH36" s="2216">
        <f>Otis!CN15</f>
        <v>-8.215576733486718E-3</v>
      </c>
      <c r="BI36" s="2216">
        <f>Otis!CO15</f>
        <v>-1.6079508726567514E-2</v>
      </c>
      <c r="BJ36" s="2029"/>
      <c r="BK36" s="2216">
        <f>Otis!CQ15</f>
        <v>-7.2191528545119867E-3</v>
      </c>
      <c r="BL36" s="2216">
        <f>Otis!CR15</f>
        <v>-1.9021633839199276E-2</v>
      </c>
      <c r="BM36" s="2216">
        <f>Otis!CS15</f>
        <v>5.7256461232604652E-3</v>
      </c>
      <c r="BN36" s="2216">
        <f t="shared" ref="BN36:BP36" si="11">BN$32*$BK43</f>
        <v>1.5988420590048655E-2</v>
      </c>
      <c r="BP36" s="2216">
        <f t="shared" si="11"/>
        <v>2.0277676450516532E-2</v>
      </c>
      <c r="BQ36" s="2216">
        <f t="shared" ref="BP36:BS38" si="12">BQ$32*$B43</f>
        <v>3.9693333191585425E-2</v>
      </c>
      <c r="BR36" s="2216">
        <f t="shared" si="12"/>
        <v>3.9693333191585425E-2</v>
      </c>
      <c r="BS36" s="2216">
        <f t="shared" si="12"/>
        <v>0</v>
      </c>
    </row>
    <row r="37" spans="1:71" ht="12.75">
      <c r="A37" s="2211" t="s">
        <v>166</v>
      </c>
      <c r="B37" s="2213"/>
      <c r="C37" s="2214"/>
      <c r="D37" s="2214"/>
      <c r="E37" s="2214"/>
      <c r="F37" s="2214"/>
      <c r="G37" s="2214"/>
      <c r="H37" s="2214"/>
      <c r="I37" s="2214"/>
      <c r="J37" s="2214"/>
      <c r="K37" s="2214"/>
      <c r="L37" s="2214"/>
      <c r="M37" s="2214"/>
      <c r="N37" s="2214"/>
      <c r="O37" s="2214"/>
      <c r="P37" s="2214"/>
      <c r="Q37" s="2212"/>
      <c r="R37" s="2211"/>
      <c r="S37" s="2211"/>
      <c r="T37" s="2211"/>
      <c r="U37" s="2211"/>
      <c r="V37" s="2211"/>
      <c r="W37" s="2211"/>
      <c r="X37" s="2211"/>
      <c r="Y37" s="2211"/>
      <c r="Z37" s="2211"/>
      <c r="AA37" s="2211"/>
      <c r="AB37" s="2211"/>
      <c r="AC37" s="2211"/>
      <c r="AD37" s="2029"/>
      <c r="AE37" s="2211"/>
      <c r="AF37" s="2211"/>
      <c r="AG37" s="2211"/>
      <c r="AH37" s="2029"/>
      <c r="AI37" s="2029"/>
      <c r="AJ37" s="2211"/>
      <c r="AK37" s="2211"/>
      <c r="AL37" s="2211"/>
      <c r="AM37" s="2211"/>
      <c r="AN37" s="2211"/>
      <c r="AO37" s="2211"/>
      <c r="AP37" s="2211"/>
      <c r="AQ37" s="2211"/>
      <c r="AR37" s="2211"/>
      <c r="AS37" s="2211"/>
      <c r="AT37" s="2211"/>
      <c r="AU37" s="2216"/>
      <c r="AV37" s="2216">
        <f>CCS!BX15</f>
        <v>0</v>
      </c>
      <c r="AW37" s="2216">
        <f>CCS!BY15</f>
        <v>0</v>
      </c>
      <c r="AX37" s="2216">
        <f>CCS!BZ15</f>
        <v>-3.0941704035873669E-3</v>
      </c>
      <c r="AY37" s="2216">
        <f>CCS!CA15</f>
        <v>-0.03</v>
      </c>
      <c r="AZ37" s="2029"/>
      <c r="BA37" s="2216">
        <f>CCS!CC15</f>
        <v>-6.9740327187743409E-2</v>
      </c>
      <c r="BB37" s="2216">
        <f>CCS!CD15</f>
        <v>-7.435538496274556E-2</v>
      </c>
      <c r="BC37" s="2216">
        <f>CCS!CE15</f>
        <v>-6.6547920018386567E-2</v>
      </c>
      <c r="BD37" s="2216">
        <f>CCS!CF15</f>
        <v>-4.6698473282442782E-2</v>
      </c>
      <c r="BE37" s="2029"/>
      <c r="BF37" s="2216">
        <f>CCS!CH15</f>
        <v>-3.2191069574247111E-2</v>
      </c>
      <c r="BG37" s="2216">
        <f>CCS!CI15</f>
        <v>-8.8774135608442519E-3</v>
      </c>
      <c r="BH37" s="2216">
        <f>CCS!CJ15</f>
        <v>-8.2168731011919779E-3</v>
      </c>
      <c r="BI37" s="2216">
        <f>CCS!CK15</f>
        <v>-1.9189713731198446E-2</v>
      </c>
      <c r="BJ37" s="2029"/>
      <c r="BK37" s="2216">
        <f>CCS!CM15</f>
        <v>-1.6008583690987069E-2</v>
      </c>
      <c r="BL37" s="2216">
        <f>CCS!CN15</f>
        <v>-1.3260820811841153E-2</v>
      </c>
      <c r="BM37" s="2216">
        <f>CCS!CO15</f>
        <v>2.1834654586636394E-2</v>
      </c>
      <c r="BN37" s="2216">
        <f t="shared" ref="BN37" si="13">BN$32*$B44</f>
        <v>2.4689610623745029E-2</v>
      </c>
      <c r="BP37" s="2216">
        <f t="shared" si="12"/>
        <v>3.1313157737991038E-2</v>
      </c>
      <c r="BQ37" s="2216">
        <f t="shared" si="12"/>
        <v>3.1313157737991038E-2</v>
      </c>
      <c r="BR37" s="2216">
        <f t="shared" si="12"/>
        <v>3.1313157737991038E-2</v>
      </c>
      <c r="BS37" s="2216">
        <f t="shared" si="12"/>
        <v>0</v>
      </c>
    </row>
    <row r="38" spans="1:71" ht="12.75">
      <c r="A38" s="2211" t="s">
        <v>165</v>
      </c>
      <c r="B38" s="2213"/>
      <c r="C38" s="2214"/>
      <c r="D38" s="2214"/>
      <c r="E38" s="2214"/>
      <c r="F38" s="2214"/>
      <c r="G38" s="2214"/>
      <c r="H38" s="2214"/>
      <c r="I38" s="2214"/>
      <c r="J38" s="2214"/>
      <c r="K38" s="2214"/>
      <c r="L38" s="2214"/>
      <c r="M38" s="2214"/>
      <c r="N38" s="2214"/>
      <c r="O38" s="2214"/>
      <c r="P38" s="2214"/>
      <c r="Q38" s="2212"/>
      <c r="R38" s="2211"/>
      <c r="S38" s="2211"/>
      <c r="T38" s="2211"/>
      <c r="U38" s="2211"/>
      <c r="V38" s="2211"/>
      <c r="W38" s="2211"/>
      <c r="X38" s="2211"/>
      <c r="Y38" s="2211"/>
      <c r="Z38" s="2211"/>
      <c r="AA38" s="2211"/>
      <c r="AB38" s="2211"/>
      <c r="AC38" s="2211"/>
      <c r="AD38" s="2029"/>
      <c r="AE38" s="2211"/>
      <c r="AF38" s="2211"/>
      <c r="AG38" s="2211"/>
      <c r="AH38" s="2029"/>
      <c r="AI38" s="2029"/>
      <c r="AJ38" s="2211"/>
      <c r="AK38" s="2211"/>
      <c r="AL38" s="2211"/>
      <c r="AM38" s="2211"/>
      <c r="AN38" s="2211"/>
      <c r="AO38" s="2211"/>
      <c r="AP38" s="2211"/>
      <c r="AQ38" s="2211"/>
      <c r="AR38" s="2211"/>
      <c r="AS38" s="2211"/>
      <c r="AT38" s="2211"/>
      <c r="AU38" s="2216"/>
      <c r="AV38" s="2216">
        <f>Pratt!CB15</f>
        <v>0</v>
      </c>
      <c r="AW38" s="2216">
        <f>Pratt!CC15</f>
        <v>0</v>
      </c>
      <c r="AX38" s="2216">
        <f>Pratt!CD15</f>
        <v>-7.4305965741287613E-3</v>
      </c>
      <c r="AY38" s="2216">
        <f>Pratt!CE15</f>
        <v>-6.1408657373440787E-3</v>
      </c>
      <c r="AZ38" s="2029"/>
      <c r="BA38" s="2216">
        <f>Pratt!CG15</f>
        <v>-9.0988284770201402E-3</v>
      </c>
      <c r="BB38" s="2216">
        <f>Pratt!CH15</f>
        <v>-6.3363028953229168E-3</v>
      </c>
      <c r="BC38" s="2216">
        <f>Pratt!CI15</f>
        <v>-1.2592592592592558E-2</v>
      </c>
      <c r="BD38" s="2216">
        <f>Pratt!CJ15</f>
        <v>-1.0439970171513768E-2</v>
      </c>
      <c r="BE38" s="2029"/>
      <c r="BF38" s="2216">
        <f>Pratt!CL15</f>
        <v>-3.169267707082854E-3</v>
      </c>
      <c r="BG38" s="2216">
        <f>Pratt!CM15</f>
        <v>-3.0133260810442861E-3</v>
      </c>
      <c r="BH38" s="2216">
        <f>Pratt!CN15</f>
        <v>9.4557823129251053E-3</v>
      </c>
      <c r="BI38" s="2216">
        <f>Pratt!CO15</f>
        <v>9.8541286793436822E-3</v>
      </c>
      <c r="BJ38" s="2029"/>
      <c r="BK38" s="2216">
        <f>Pratt!CQ15</f>
        <v>7.3801560758082543E-3</v>
      </c>
      <c r="BL38" s="2216">
        <f>Pratt!CR15</f>
        <v>7.4009965906110531E-3</v>
      </c>
      <c r="BM38" s="2216">
        <f>Pratt!CS15</f>
        <v>0.02</v>
      </c>
      <c r="BN38" s="2333">
        <f>BM38/2</f>
        <v>0.01</v>
      </c>
      <c r="BP38" s="2216">
        <f t="shared" si="12"/>
        <v>1.3148381792502765E-3</v>
      </c>
      <c r="BQ38" s="2216">
        <f t="shared" si="12"/>
        <v>1.3148381792502765E-3</v>
      </c>
      <c r="BR38" s="2216">
        <f t="shared" si="12"/>
        <v>1.3148381792502765E-3</v>
      </c>
      <c r="BS38" s="2216">
        <f t="shared" si="12"/>
        <v>0</v>
      </c>
    </row>
    <row r="39" spans="1:71" ht="12.75">
      <c r="A39" s="2211" t="s">
        <v>164</v>
      </c>
      <c r="B39" s="2213"/>
      <c r="C39" s="2214"/>
      <c r="D39" s="2214"/>
      <c r="E39" s="2214"/>
      <c r="F39" s="2214"/>
      <c r="G39" s="2214"/>
      <c r="H39" s="2214"/>
      <c r="I39" s="2214"/>
      <c r="J39" s="2214"/>
      <c r="K39" s="2214"/>
      <c r="L39" s="2214"/>
      <c r="M39" s="2214"/>
      <c r="N39" s="2214"/>
      <c r="O39" s="2214"/>
      <c r="P39" s="2214"/>
      <c r="Q39" s="2212"/>
      <c r="R39" s="2211"/>
      <c r="S39" s="2211"/>
      <c r="T39" s="2211"/>
      <c r="U39" s="2211"/>
      <c r="V39" s="2211"/>
      <c r="W39" s="2211"/>
      <c r="X39" s="2211"/>
      <c r="Y39" s="2211"/>
      <c r="Z39" s="2211"/>
      <c r="AA39" s="2211"/>
      <c r="AB39" s="2211"/>
      <c r="AC39" s="2211"/>
      <c r="AD39" s="2029"/>
      <c r="AE39" s="2211"/>
      <c r="AF39" s="2211"/>
      <c r="AG39" s="2211"/>
      <c r="AH39" s="2029"/>
      <c r="AI39" s="2029"/>
      <c r="AJ39" s="2211"/>
      <c r="AK39" s="2211"/>
      <c r="AL39" s="2211"/>
      <c r="AM39" s="2211"/>
      <c r="AN39" s="2211"/>
      <c r="AO39" s="2211"/>
      <c r="AP39" s="2211"/>
      <c r="AQ39" s="2211"/>
      <c r="AR39" s="2211"/>
      <c r="AS39" s="2211"/>
      <c r="AT39" s="2211"/>
      <c r="AU39" s="2216"/>
      <c r="AV39" s="2216">
        <f>'Aerospace Systems'!AD15</f>
        <v>0</v>
      </c>
      <c r="AW39" s="2216">
        <f>'Aerospace Systems'!AE15</f>
        <v>4.8509485094850591E-3</v>
      </c>
      <c r="AX39" s="2216">
        <f>'Aerospace Systems'!AF15</f>
        <v>7.3309178743961589E-3</v>
      </c>
      <c r="AY39" s="2216">
        <f>'Aerospace Systems'!AG15</f>
        <v>-8.562735439003169E-3</v>
      </c>
      <c r="AZ39" s="2029"/>
      <c r="BA39" s="2216">
        <f>'Aerospace Systems'!AI15</f>
        <v>-3.1594202898550701E-2</v>
      </c>
      <c r="BB39" s="2216">
        <f>'Aerospace Systems'!AJ15</f>
        <v>-2.1100110011001077E-2</v>
      </c>
      <c r="BC39" s="2216">
        <f>'Aerospace Systems'!AK15</f>
        <v>-1.2065063649222116E-2</v>
      </c>
      <c r="BD39" s="2216">
        <f>'Aerospace Systems'!AL15</f>
        <v>-1.9688369504730137E-2</v>
      </c>
      <c r="BE39" s="2029"/>
      <c r="BF39" s="2216">
        <f>'Aerospace Systems'!AN15</f>
        <v>-2.1195039458850127E-3</v>
      </c>
      <c r="BG39" s="2216">
        <f>'Aerospace Systems'!AO15</f>
        <v>3.1277533039646595E-3</v>
      </c>
      <c r="BH39" s="2216">
        <f>'Aerospace Systems'!AP15</f>
        <v>-5.3283193520394234E-3</v>
      </c>
      <c r="BI39" s="2216">
        <f>'Aerospace Systems'!AQ15</f>
        <v>-1.9213190627711929E-2</v>
      </c>
      <c r="BJ39" s="2191"/>
      <c r="BK39" s="2216">
        <f>'Aerospace Systems'!AS15</f>
        <v>-9.7574893009985883E-3</v>
      </c>
      <c r="BL39" s="2216">
        <f>'Aerospace Systems'!AT15</f>
        <v>-4.5209903121636377E-4</v>
      </c>
      <c r="BM39" s="2216">
        <f>'Aerospace Systems'!AU15</f>
        <v>-2.4684585847504215E-3</v>
      </c>
      <c r="BN39" s="2333">
        <v>0</v>
      </c>
      <c r="BP39" s="2192">
        <f>BP$32*$B46</f>
        <v>5.389418803347922E-3</v>
      </c>
      <c r="BQ39" s="2329">
        <f t="shared" ref="BQ39:BS39" si="14">BQ$32*$B46</f>
        <v>5.389418803347922E-3</v>
      </c>
      <c r="BR39" s="2329">
        <f t="shared" si="14"/>
        <v>5.389418803347922E-3</v>
      </c>
      <c r="BS39" s="2329">
        <f t="shared" si="14"/>
        <v>0</v>
      </c>
    </row>
    <row r="40" spans="1:71" ht="12.75">
      <c r="A40" s="2211"/>
      <c r="B40" s="2213"/>
      <c r="C40" s="2214"/>
      <c r="D40" s="2214"/>
      <c r="E40" s="2214"/>
      <c r="F40" s="2214"/>
      <c r="G40" s="2214"/>
      <c r="H40" s="2214"/>
      <c r="I40" s="2214"/>
      <c r="J40" s="2214"/>
      <c r="K40" s="2214"/>
      <c r="L40" s="2214"/>
      <c r="M40" s="2214"/>
      <c r="N40" s="2214"/>
      <c r="O40" s="2214"/>
      <c r="P40" s="2214"/>
      <c r="Q40" s="2212"/>
      <c r="R40" s="2211"/>
      <c r="S40" s="2211"/>
      <c r="T40" s="2211"/>
      <c r="U40" s="2211"/>
      <c r="V40" s="2211"/>
      <c r="W40" s="2211"/>
      <c r="X40" s="2211"/>
      <c r="Y40" s="2211"/>
      <c r="Z40" s="2211"/>
      <c r="AA40" s="2211"/>
      <c r="AB40" s="2211"/>
      <c r="AC40" s="2211"/>
      <c r="AD40" s="2029"/>
      <c r="AE40" s="2211"/>
      <c r="AF40" s="2211"/>
      <c r="AG40" s="2211"/>
      <c r="AH40" s="2029"/>
      <c r="AI40" s="2029"/>
      <c r="AJ40" s="2211"/>
      <c r="AK40" s="2211"/>
      <c r="AL40" s="2211"/>
      <c r="AM40" s="2211"/>
      <c r="AN40" s="2211"/>
      <c r="AO40" s="2211"/>
      <c r="AP40" s="2211"/>
      <c r="AQ40" s="2211"/>
      <c r="AR40" s="2211"/>
      <c r="AS40" s="2211"/>
      <c r="AT40" s="2211"/>
      <c r="AU40" s="2216"/>
      <c r="AV40" s="2216"/>
      <c r="AW40" s="2216"/>
      <c r="AX40" s="2216"/>
      <c r="AY40" s="2216"/>
      <c r="AZ40" s="2029"/>
      <c r="BA40" s="2216"/>
      <c r="BB40" s="2216"/>
      <c r="BC40" s="2216"/>
      <c r="BD40" s="2216"/>
      <c r="BE40" s="2029"/>
      <c r="BF40" s="2216"/>
      <c r="BG40" s="2216"/>
      <c r="BH40" s="2216"/>
      <c r="BI40" s="2216"/>
      <c r="BJ40" s="2029"/>
      <c r="BK40" s="2216"/>
      <c r="BL40" s="2216"/>
      <c r="BM40" s="2216"/>
      <c r="BN40" s="2216"/>
      <c r="BP40" s="2216"/>
      <c r="BQ40" s="2216"/>
      <c r="BR40" s="2216"/>
      <c r="BS40" s="2216"/>
    </row>
    <row r="41" spans="1:71" ht="12.75">
      <c r="A41" s="2211"/>
      <c r="B41" s="2213"/>
      <c r="C41" s="2214"/>
      <c r="D41" s="2214"/>
      <c r="E41" s="2214"/>
      <c r="F41" s="2214"/>
      <c r="G41" s="2214"/>
      <c r="H41" s="2214"/>
      <c r="I41" s="2214"/>
      <c r="J41" s="2214"/>
      <c r="K41" s="2214"/>
      <c r="L41" s="2214"/>
      <c r="M41" s="2214"/>
      <c r="N41" s="2214"/>
      <c r="O41" s="2214"/>
      <c r="P41" s="2214"/>
      <c r="Q41" s="2212"/>
      <c r="R41" s="2211"/>
      <c r="S41" s="2211"/>
      <c r="T41" s="2211"/>
      <c r="U41" s="2211"/>
      <c r="V41" s="2211"/>
      <c r="W41" s="2211"/>
      <c r="X41" s="2211"/>
      <c r="Y41" s="2211"/>
      <c r="Z41" s="2211"/>
      <c r="AA41" s="2211"/>
      <c r="AB41" s="2211"/>
      <c r="AC41" s="2211"/>
      <c r="AD41" s="2029"/>
      <c r="AE41" s="2211"/>
      <c r="AF41" s="2211"/>
      <c r="AG41" s="2211"/>
      <c r="AH41" s="2029"/>
      <c r="AI41" s="2029"/>
      <c r="AJ41" s="2211"/>
      <c r="AK41" s="2211"/>
      <c r="AL41" s="2211"/>
      <c r="AM41" s="2211"/>
      <c r="AN41" s="2211"/>
      <c r="AO41" s="2211"/>
      <c r="AP41" s="2211"/>
      <c r="AQ41" s="2211"/>
      <c r="AR41" s="2211"/>
      <c r="AS41" s="2211"/>
      <c r="AT41" s="2211"/>
      <c r="AU41" s="2029"/>
      <c r="AV41" s="2211"/>
      <c r="AW41" s="2029"/>
      <c r="AX41" s="2029"/>
      <c r="AY41" s="2029"/>
      <c r="AZ41" s="2029"/>
      <c r="BA41" s="2029"/>
      <c r="BB41" s="2029"/>
      <c r="BC41" s="2029"/>
      <c r="BD41" s="2029"/>
      <c r="BE41" s="2029"/>
      <c r="BF41" s="2029"/>
      <c r="BG41" s="2029"/>
      <c r="BH41" s="2029"/>
      <c r="BI41" s="2029"/>
      <c r="BJ41" s="2029"/>
      <c r="BK41" s="2029"/>
      <c r="BL41" s="2029"/>
      <c r="BM41" s="2029"/>
      <c r="BN41" s="2029"/>
      <c r="BP41" s="2029"/>
      <c r="BQ41" s="2029"/>
      <c r="BR41" s="2029"/>
      <c r="BS41" s="2029"/>
    </row>
    <row r="42" spans="1:71" ht="12.75">
      <c r="A42" s="143" t="s">
        <v>1409</v>
      </c>
      <c r="B42" s="2213"/>
      <c r="C42" s="2214"/>
      <c r="D42" s="2214"/>
      <c r="E42" s="2214"/>
      <c r="F42" s="2214"/>
      <c r="G42" s="2214"/>
      <c r="H42" s="2214"/>
      <c r="I42" s="2214"/>
      <c r="J42" s="2214"/>
      <c r="K42" s="2214"/>
      <c r="L42" s="2214"/>
      <c r="M42" s="2214"/>
      <c r="N42" s="2214"/>
      <c r="O42" s="2214"/>
      <c r="P42" s="2214"/>
      <c r="Q42" s="2212"/>
      <c r="R42" s="2211"/>
      <c r="S42" s="2211"/>
      <c r="T42" s="2211"/>
      <c r="U42" s="2211"/>
      <c r="V42" s="2211"/>
      <c r="W42" s="2211"/>
      <c r="X42" s="2211"/>
      <c r="Y42" s="2211"/>
      <c r="Z42" s="2211"/>
      <c r="AA42" s="2211"/>
      <c r="AB42" s="2211"/>
      <c r="AC42" s="2211"/>
      <c r="AD42" s="2029"/>
      <c r="AE42" s="2211"/>
      <c r="AF42" s="2211"/>
      <c r="AG42" s="2211"/>
      <c r="AH42" s="2029"/>
      <c r="AI42" s="2029"/>
      <c r="AJ42" s="2211"/>
      <c r="AK42" s="2211"/>
      <c r="AL42" s="2211"/>
      <c r="AM42" s="2211"/>
      <c r="AN42" s="2211"/>
      <c r="AO42" s="2211"/>
      <c r="AP42" s="2211"/>
      <c r="AQ42" s="2211"/>
      <c r="AR42" s="2211"/>
      <c r="AS42" s="2211"/>
      <c r="AT42" s="2211"/>
      <c r="AU42" s="2029"/>
      <c r="AV42" s="2211"/>
      <c r="AW42" s="2029"/>
      <c r="AX42" s="2029"/>
      <c r="AY42" s="2029"/>
      <c r="AZ42" s="2029"/>
      <c r="BA42" s="2029"/>
      <c r="BB42" s="2029"/>
      <c r="BC42" s="2029"/>
      <c r="BD42" s="2029"/>
      <c r="BE42" s="2029"/>
      <c r="BF42" s="2029"/>
      <c r="BG42" s="2029"/>
      <c r="BH42" s="2029"/>
      <c r="BI42" s="2029"/>
      <c r="BJ42" s="2029"/>
      <c r="BK42" s="2029"/>
      <c r="BL42" s="2029"/>
      <c r="BM42" s="2029"/>
      <c r="BN42" s="2029"/>
      <c r="BP42" s="2029"/>
      <c r="BQ42" s="2029"/>
      <c r="BR42" s="2029"/>
      <c r="BS42" s="2029"/>
    </row>
    <row r="43" spans="1:71" ht="12.75">
      <c r="A43" s="2211" t="s">
        <v>167</v>
      </c>
      <c r="B43" s="2204">
        <f>AVERAGE(AX43:BM43)</f>
        <v>2.1695781145359394</v>
      </c>
      <c r="C43" s="2214"/>
      <c r="D43" s="2214"/>
      <c r="E43" s="2214"/>
      <c r="F43" s="2214"/>
      <c r="G43" s="2214"/>
      <c r="H43" s="2214"/>
      <c r="I43" s="2214"/>
      <c r="J43" s="2214"/>
      <c r="K43" s="2214"/>
      <c r="L43" s="2214"/>
      <c r="M43" s="2214"/>
      <c r="N43" s="2214"/>
      <c r="O43" s="2214"/>
      <c r="P43" s="2214"/>
      <c r="Q43" s="2212"/>
      <c r="R43" s="2211"/>
      <c r="S43" s="2211"/>
      <c r="T43" s="2211"/>
      <c r="U43" s="2211"/>
      <c r="V43" s="2211"/>
      <c r="W43" s="2211"/>
      <c r="X43" s="2211"/>
      <c r="Y43" s="2211"/>
      <c r="Z43" s="2211"/>
      <c r="AA43" s="2211"/>
      <c r="AB43" s="2211"/>
      <c r="AC43" s="2211"/>
      <c r="AD43" s="2029"/>
      <c r="AE43" s="2211"/>
      <c r="AF43" s="2211"/>
      <c r="AG43" s="2211"/>
      <c r="AH43" s="2029"/>
      <c r="AI43" s="2029"/>
      <c r="AJ43" s="2211"/>
      <c r="AK43" s="2211"/>
      <c r="AL43" s="2211"/>
      <c r="AM43" s="2211"/>
      <c r="AN43" s="2211"/>
      <c r="AO43" s="2211"/>
      <c r="AP43" s="2211"/>
      <c r="AQ43" s="2211"/>
      <c r="AR43" s="2211"/>
      <c r="AS43" s="2211"/>
      <c r="AT43" s="2211"/>
      <c r="AU43" s="2029"/>
      <c r="AV43" s="2220">
        <f t="shared" ref="AV43:AY44" si="15">IFERROR(AV36/AV$32, "N/A")</f>
        <v>5.1169154228855724</v>
      </c>
      <c r="AW43" s="2220">
        <f t="shared" si="15"/>
        <v>15.462907193841431</v>
      </c>
      <c r="AX43" s="2220">
        <f t="shared" si="15"/>
        <v>3.10380809014669</v>
      </c>
      <c r="AY43" s="2220">
        <f t="shared" si="15"/>
        <v>2.464198757957472</v>
      </c>
      <c r="AZ43" s="2029"/>
      <c r="BA43" s="2220">
        <f t="shared" ref="BA43:BD44" si="16">IFERROR(BA36/BA$32, "N/A")</f>
        <v>1.9872545402545083</v>
      </c>
      <c r="BB43" s="2220">
        <f t="shared" si="16"/>
        <v>2.0883366371050172</v>
      </c>
      <c r="BC43" s="2220">
        <f t="shared" si="16"/>
        <v>2.3383563410105035</v>
      </c>
      <c r="BD43" s="2220">
        <f t="shared" si="16"/>
        <v>2.4026910690396774</v>
      </c>
      <c r="BE43" s="2029"/>
      <c r="BF43" s="2220">
        <f t="shared" ref="BF43:BH44" si="17">IFERROR(BF36/BF$32, "N/A")</f>
        <v>2.4066048335880641</v>
      </c>
      <c r="BG43" s="2220">
        <f t="shared" si="17"/>
        <v>2.9219724946724841</v>
      </c>
      <c r="BH43" s="2220">
        <f t="shared" si="17"/>
        <v>2.3599244166940085</v>
      </c>
      <c r="BI43" s="2220">
        <f t="shared" ref="BI43:BK43" si="18">IFERROR(BI36/BI$32, "N/A")</f>
        <v>1.4604736711757875</v>
      </c>
      <c r="BJ43" s="2029"/>
      <c r="BK43" s="2220">
        <f t="shared" si="18"/>
        <v>1.1083474100886983</v>
      </c>
      <c r="BL43" s="2220">
        <f t="shared" ref="BL43:BM43" si="19">IFERROR(BL36/BL$32, "N/A")</f>
        <v>3.0921069040901665</v>
      </c>
      <c r="BM43" s="2220">
        <f t="shared" si="19"/>
        <v>0.47044032314413764</v>
      </c>
      <c r="BN43" s="2029"/>
      <c r="BP43" s="2029"/>
      <c r="BQ43" s="2029"/>
      <c r="BR43" s="2029"/>
      <c r="BS43" s="2029"/>
    </row>
    <row r="44" spans="1:71" ht="12.75">
      <c r="A44" s="2211" t="s">
        <v>166</v>
      </c>
      <c r="B44" s="2204">
        <f>AVERAGE(AX44:BM44)</f>
        <v>1.7115302813561359</v>
      </c>
      <c r="C44" s="2214"/>
      <c r="D44" s="2214"/>
      <c r="E44" s="2214"/>
      <c r="F44" s="2214"/>
      <c r="G44" s="2214"/>
      <c r="H44" s="2214"/>
      <c r="I44" s="2214"/>
      <c r="J44" s="2214"/>
      <c r="K44" s="2214"/>
      <c r="L44" s="2214"/>
      <c r="M44" s="2214"/>
      <c r="N44" s="2214"/>
      <c r="O44" s="2214"/>
      <c r="P44" s="2214"/>
      <c r="Q44" s="2212"/>
      <c r="R44" s="2211"/>
      <c r="S44" s="2211"/>
      <c r="T44" s="2211"/>
      <c r="U44" s="2211"/>
      <c r="V44" s="2211"/>
      <c r="W44" s="2211"/>
      <c r="X44" s="2211"/>
      <c r="Y44" s="2211"/>
      <c r="Z44" s="2211"/>
      <c r="AA44" s="2211"/>
      <c r="AB44" s="2211"/>
      <c r="AC44" s="2211"/>
      <c r="AD44" s="2029"/>
      <c r="AE44" s="2211"/>
      <c r="AF44" s="2211"/>
      <c r="AG44" s="2211"/>
      <c r="AH44" s="2029"/>
      <c r="AI44" s="2029"/>
      <c r="AJ44" s="2211"/>
      <c r="AK44" s="2211"/>
      <c r="AL44" s="2211"/>
      <c r="AM44" s="2211"/>
      <c r="AN44" s="2211"/>
      <c r="AO44" s="2211"/>
      <c r="AP44" s="2211"/>
      <c r="AQ44" s="2211"/>
      <c r="AR44" s="2211"/>
      <c r="AS44" s="2211"/>
      <c r="AT44" s="2211"/>
      <c r="AU44" s="2029"/>
      <c r="AV44" s="2220">
        <f t="shared" si="15"/>
        <v>0</v>
      </c>
      <c r="AW44" s="2220">
        <f t="shared" si="15"/>
        <v>0</v>
      </c>
      <c r="AX44" s="2220">
        <f t="shared" si="15"/>
        <v>1.4306836955822062</v>
      </c>
      <c r="AY44" s="2220">
        <f t="shared" si="15"/>
        <v>1.4110069600359234</v>
      </c>
      <c r="AZ44" s="2029"/>
      <c r="BA44" s="2220">
        <f t="shared" si="16"/>
        <v>1.521883000167646</v>
      </c>
      <c r="BB44" s="2220">
        <f t="shared" si="16"/>
        <v>1.7379480657718782</v>
      </c>
      <c r="BC44" s="2220">
        <f t="shared" si="16"/>
        <v>1.480796546734481</v>
      </c>
      <c r="BD44" s="2220">
        <f t="shared" si="16"/>
        <v>1.359332828506538</v>
      </c>
      <c r="BE44" s="2029"/>
      <c r="BF44" s="2220">
        <f t="shared" si="17"/>
        <v>1.5211616529337717</v>
      </c>
      <c r="BG44" s="2220">
        <f t="shared" si="17"/>
        <v>1.2763778820556386</v>
      </c>
      <c r="BH44" s="2220">
        <f t="shared" si="17"/>
        <v>2.3602967983173442</v>
      </c>
      <c r="BI44" s="2220">
        <f t="shared" ref="BI44:BK44" si="20">IFERROR(BI37/BI$32, "N/A")</f>
        <v>1.7429681552092127</v>
      </c>
      <c r="BJ44" s="2029"/>
      <c r="BK44" s="2220">
        <f t="shared" si="20"/>
        <v>2.4577776133392488</v>
      </c>
      <c r="BL44" s="2220">
        <f t="shared" ref="BL44:BM44" si="21">IFERROR(BL37/BL$32, "N/A")</f>
        <v>2.1556442486920817</v>
      </c>
      <c r="BM44" s="2220">
        <f t="shared" si="21"/>
        <v>1.7940162102837969</v>
      </c>
      <c r="BN44" s="2029"/>
      <c r="BP44" s="2029"/>
      <c r="BQ44" s="2029"/>
      <c r="BR44" s="2029"/>
      <c r="BS44" s="2029"/>
    </row>
    <row r="45" spans="1:71" ht="12.75">
      <c r="A45" s="2211" t="s">
        <v>165</v>
      </c>
      <c r="B45" s="2204">
        <f>AVERAGE(AX45:BM45)</f>
        <v>7.1867084683692253E-2</v>
      </c>
      <c r="C45" s="2214"/>
      <c r="D45" s="2214"/>
      <c r="E45" s="2214"/>
      <c r="F45" s="2214"/>
      <c r="G45" s="2214"/>
      <c r="H45" s="2214"/>
      <c r="I45" s="2214"/>
      <c r="J45" s="2214"/>
      <c r="K45" s="2214"/>
      <c r="L45" s="2214"/>
      <c r="M45" s="2214"/>
      <c r="N45" s="2214"/>
      <c r="O45" s="2214"/>
      <c r="P45" s="2214"/>
      <c r="Q45" s="2212"/>
      <c r="R45" s="2211"/>
      <c r="S45" s="2211"/>
      <c r="T45" s="2211"/>
      <c r="U45" s="2211"/>
      <c r="V45" s="2211"/>
      <c r="W45" s="2211"/>
      <c r="X45" s="2211"/>
      <c r="Y45" s="2211"/>
      <c r="Z45" s="2211"/>
      <c r="AA45" s="2211"/>
      <c r="AB45" s="2211"/>
      <c r="AC45" s="2211"/>
      <c r="AD45" s="2029"/>
      <c r="AE45" s="2211"/>
      <c r="AF45" s="2211"/>
      <c r="AG45" s="2211"/>
      <c r="AH45" s="2029"/>
      <c r="AI45" s="2029"/>
      <c r="AJ45" s="2211"/>
      <c r="AK45" s="2211"/>
      <c r="AL45" s="2211"/>
      <c r="AM45" s="2211"/>
      <c r="AN45" s="2211"/>
      <c r="AO45" s="2211"/>
      <c r="AP45" s="2211"/>
      <c r="AQ45" s="2211"/>
      <c r="AR45" s="2211"/>
      <c r="AS45" s="2211"/>
      <c r="AT45" s="2211"/>
      <c r="AU45" s="2029"/>
      <c r="AV45" s="2220">
        <f t="shared" ref="AV45:AY46" si="22">IFERROR(AV38/AV$32, "N/A")</f>
        <v>0</v>
      </c>
      <c r="AW45" s="2220">
        <f t="shared" si="22"/>
        <v>0</v>
      </c>
      <c r="AX45" s="2220">
        <f t="shared" si="22"/>
        <v>3.4357620881932287</v>
      </c>
      <c r="AY45" s="2220">
        <f t="shared" si="22"/>
        <v>0.28882680986795428</v>
      </c>
      <c r="AZ45" s="2029"/>
      <c r="BA45" s="2220">
        <f t="shared" ref="BA45:BD46" si="23">IFERROR(BA38/BA$32, "N/A")</f>
        <v>0.19855588493785908</v>
      </c>
      <c r="BB45" s="2220">
        <f t="shared" si="23"/>
        <v>0.1481017866639876</v>
      </c>
      <c r="BC45" s="2220">
        <f t="shared" si="23"/>
        <v>0.28020511565790873</v>
      </c>
      <c r="BD45" s="2220">
        <f t="shared" si="23"/>
        <v>0.30389417865836815</v>
      </c>
      <c r="BE45" s="2029"/>
      <c r="BF45" s="2220">
        <f t="shared" ref="BF45:BH46" si="24">IFERROR(BF38/BF$32, "N/A")</f>
        <v>0.14976105384682709</v>
      </c>
      <c r="BG45" s="2220">
        <f t="shared" si="24"/>
        <v>0.43325037578857045</v>
      </c>
      <c r="BH45" s="2220">
        <f t="shared" si="24"/>
        <v>-2.7161734693876776</v>
      </c>
      <c r="BI45" s="2220">
        <f t="shared" ref="BI45:BK45" si="25">IFERROR(BI38/BI$32, "N/A")</f>
        <v>-0.89503328324831677</v>
      </c>
      <c r="BJ45" s="2029"/>
      <c r="BK45" s="2220">
        <f t="shared" si="25"/>
        <v>-1.1330660310870231</v>
      </c>
      <c r="BL45" s="2220">
        <f t="shared" ref="BL45:BM45" si="26">IFERROR(BL38/BL$32, "N/A")</f>
        <v>-1.2030865933196599</v>
      </c>
      <c r="BM45" s="2220">
        <f t="shared" si="26"/>
        <v>1.6432741843159728</v>
      </c>
      <c r="BN45" s="2029"/>
      <c r="BP45" s="2029"/>
      <c r="BQ45" s="2029"/>
      <c r="BR45" s="2029"/>
      <c r="BS45" s="2029"/>
    </row>
    <row r="46" spans="1:71" ht="12.75">
      <c r="A46" s="2211" t="s">
        <v>164</v>
      </c>
      <c r="B46" s="2204">
        <f>AVERAGE(AX46:BL46)</f>
        <v>0.29457755611944597</v>
      </c>
      <c r="C46" s="2214"/>
      <c r="D46" s="2214"/>
      <c r="E46" s="2214"/>
      <c r="F46" s="2214"/>
      <c r="G46" s="2214"/>
      <c r="H46" s="2214"/>
      <c r="I46" s="2214"/>
      <c r="J46" s="2214"/>
      <c r="K46" s="2214"/>
      <c r="L46" s="2214"/>
      <c r="M46" s="2214"/>
      <c r="N46" s="2214"/>
      <c r="O46" s="2214"/>
      <c r="P46" s="2214"/>
      <c r="Q46" s="2212"/>
      <c r="R46" s="2211"/>
      <c r="S46" s="2211"/>
      <c r="T46" s="2211"/>
      <c r="U46" s="2211"/>
      <c r="V46" s="2211"/>
      <c r="W46" s="2211"/>
      <c r="X46" s="2211"/>
      <c r="Y46" s="2211"/>
      <c r="Z46" s="2211"/>
      <c r="AA46" s="2211"/>
      <c r="AB46" s="2211"/>
      <c r="AC46" s="2211"/>
      <c r="AD46" s="2029"/>
      <c r="AE46" s="2211"/>
      <c r="AF46" s="2211"/>
      <c r="AG46" s="2211"/>
      <c r="AH46" s="2029"/>
      <c r="AI46" s="2029"/>
      <c r="AJ46" s="2211"/>
      <c r="AK46" s="2211"/>
      <c r="AL46" s="2211"/>
      <c r="AM46" s="2211"/>
      <c r="AN46" s="2211"/>
      <c r="AO46" s="2211"/>
      <c r="AP46" s="2211"/>
      <c r="AQ46" s="2211"/>
      <c r="AR46" s="2211"/>
      <c r="AS46" s="2211"/>
      <c r="AT46" s="2211"/>
      <c r="AU46" s="2029"/>
      <c r="AV46" s="2220">
        <f t="shared" si="22"/>
        <v>0</v>
      </c>
      <c r="AW46" s="2220">
        <f t="shared" si="22"/>
        <v>-9.7912083030034349</v>
      </c>
      <c r="AX46" s="2220">
        <f t="shared" si="22"/>
        <v>-3.3896726128563408</v>
      </c>
      <c r="AY46" s="2220">
        <f t="shared" si="22"/>
        <v>0.40273597671265765</v>
      </c>
      <c r="AZ46" s="2029"/>
      <c r="BA46" s="2220">
        <f t="shared" si="23"/>
        <v>0.68945303576955441</v>
      </c>
      <c r="BB46" s="2220">
        <f t="shared" si="23"/>
        <v>0.49318412378022736</v>
      </c>
      <c r="BC46" s="2220">
        <f t="shared" si="23"/>
        <v>0.2684667617404668</v>
      </c>
      <c r="BD46" s="2220">
        <f t="shared" si="23"/>
        <v>0.57310325426867392</v>
      </c>
      <c r="BE46" s="2029"/>
      <c r="BF46" s="2220">
        <f t="shared" si="24"/>
        <v>0.10015535887323816</v>
      </c>
      <c r="BG46" s="2220">
        <f t="shared" si="24"/>
        <v>-0.44970250741898249</v>
      </c>
      <c r="BH46" s="2220">
        <f t="shared" si="24"/>
        <v>1.530559733873291</v>
      </c>
      <c r="BI46" s="2220">
        <f t="shared" ref="BI46:BK46" si="27">IFERROR(BI39/BI$32, "N/A")</f>
        <v>1.7451005206826806</v>
      </c>
      <c r="BJ46" s="2029"/>
      <c r="BK46" s="2220">
        <f t="shared" si="27"/>
        <v>1.4980549953268776</v>
      </c>
      <c r="BL46" s="2220">
        <f t="shared" ref="BL46:BM46" si="28">IFERROR(BL39/BL$32, "N/A")</f>
        <v>7.3492032681007652E-2</v>
      </c>
      <c r="BM46" s="2220">
        <f t="shared" si="28"/>
        <v>-0.20281771336867546</v>
      </c>
      <c r="BN46" s="2029"/>
      <c r="BP46" s="2029"/>
      <c r="BQ46" s="2029"/>
      <c r="BR46" s="2029"/>
      <c r="BS46" s="2029"/>
    </row>
    <row r="47" spans="1:71">
      <c r="A47" s="2155"/>
      <c r="B47" s="2203"/>
      <c r="C47" s="1859"/>
      <c r="D47" s="1859"/>
      <c r="E47" s="1859"/>
      <c r="F47" s="1859"/>
      <c r="G47" s="1859"/>
      <c r="H47" s="1859"/>
      <c r="I47" s="1859"/>
      <c r="J47" s="1859"/>
      <c r="K47" s="1859"/>
      <c r="L47" s="1859"/>
      <c r="M47" s="1859"/>
      <c r="N47" s="1859"/>
      <c r="O47" s="1859"/>
      <c r="P47" s="1859"/>
      <c r="Q47" s="1859"/>
      <c r="R47" s="1859"/>
      <c r="S47" s="1859"/>
      <c r="T47" s="1859"/>
      <c r="U47" s="1859"/>
      <c r="V47" s="1859"/>
      <c r="W47" s="1859"/>
      <c r="X47" s="1859"/>
      <c r="Y47" s="1859"/>
      <c r="Z47" s="1859"/>
      <c r="AA47" s="1859"/>
      <c r="AB47" s="1859"/>
      <c r="AC47" s="1859"/>
      <c r="AD47" s="1859"/>
      <c r="AE47" s="1859"/>
      <c r="AF47" s="1859"/>
      <c r="AG47" s="1859"/>
      <c r="AH47" s="1859"/>
      <c r="AI47" s="1859"/>
      <c r="AJ47" s="1859"/>
      <c r="AK47" s="1859"/>
      <c r="AL47" s="1859"/>
      <c r="AM47" s="1859"/>
      <c r="AN47" s="1859"/>
      <c r="AO47" s="1859"/>
      <c r="AP47" s="1859"/>
      <c r="AQ47" s="1859"/>
      <c r="AR47" s="1859"/>
      <c r="AS47" s="1859"/>
      <c r="AT47" s="1859"/>
      <c r="AU47" s="1859"/>
      <c r="AV47" s="1859"/>
      <c r="AW47" s="1859"/>
      <c r="AX47" s="1859"/>
      <c r="AY47" s="1859"/>
      <c r="AZ47" s="1859"/>
      <c r="BA47" s="1859"/>
    </row>
    <row r="48" spans="1:71">
      <c r="A48" s="2155"/>
      <c r="B48" s="2203"/>
      <c r="C48" s="1859"/>
      <c r="D48" s="1859"/>
      <c r="E48" s="1859"/>
      <c r="F48" s="1859"/>
      <c r="G48" s="1859"/>
      <c r="H48" s="1859"/>
      <c r="I48" s="1859"/>
      <c r="J48" s="1859"/>
      <c r="K48" s="1859"/>
      <c r="L48" s="1859"/>
      <c r="M48" s="1859"/>
      <c r="N48" s="1859"/>
      <c r="O48" s="1859"/>
      <c r="P48" s="1859"/>
      <c r="Q48" s="1859"/>
      <c r="R48" s="1859"/>
      <c r="S48" s="1859"/>
      <c r="T48" s="1859"/>
      <c r="U48" s="1859"/>
      <c r="V48" s="1859"/>
      <c r="W48" s="1859"/>
      <c r="X48" s="1859"/>
      <c r="Y48" s="1859"/>
      <c r="Z48" s="1859"/>
      <c r="AA48" s="1859"/>
      <c r="AB48" s="1859"/>
      <c r="AC48" s="1859"/>
      <c r="AD48" s="1859"/>
      <c r="AE48" s="1859"/>
      <c r="AF48" s="1859"/>
      <c r="AG48" s="1859"/>
      <c r="AH48" s="1859"/>
      <c r="AI48" s="1859"/>
      <c r="AJ48" s="1859"/>
      <c r="AK48" s="1859"/>
      <c r="AL48" s="1859"/>
      <c r="AM48" s="1859"/>
      <c r="AN48" s="1859"/>
      <c r="AO48" s="1859"/>
      <c r="AP48" s="1859"/>
      <c r="AQ48" s="1859"/>
      <c r="AR48" s="1859"/>
      <c r="AS48" s="1859"/>
      <c r="AT48" s="1859"/>
      <c r="AU48" s="1859"/>
      <c r="AV48" s="1859"/>
      <c r="AW48" s="1859"/>
      <c r="AX48" s="1859"/>
      <c r="AY48" s="1859"/>
      <c r="AZ48" s="1859"/>
      <c r="BA48" s="1859"/>
    </row>
    <row r="49" spans="1:71">
      <c r="A49" s="2154" t="s">
        <v>1391</v>
      </c>
      <c r="B49" s="2153"/>
      <c r="C49" s="2152" t="s">
        <v>117</v>
      </c>
      <c r="D49" s="2152" t="s">
        <v>116</v>
      </c>
      <c r="E49" s="2152" t="s">
        <v>115</v>
      </c>
      <c r="F49" s="2152" t="s">
        <v>114</v>
      </c>
      <c r="G49" s="2152">
        <v>2005</v>
      </c>
      <c r="H49" s="2152" t="s">
        <v>206</v>
      </c>
      <c r="I49" s="2152" t="s">
        <v>205</v>
      </c>
      <c r="J49" s="2152" t="s">
        <v>204</v>
      </c>
      <c r="K49" s="2152" t="s">
        <v>203</v>
      </c>
      <c r="L49" s="2152">
        <v>2006</v>
      </c>
      <c r="M49" s="2152" t="s">
        <v>202</v>
      </c>
      <c r="N49" s="2152" t="s">
        <v>201</v>
      </c>
      <c r="O49" s="2152" t="s">
        <v>200</v>
      </c>
      <c r="P49" s="2152" t="s">
        <v>199</v>
      </c>
      <c r="Q49" s="2152">
        <v>2007</v>
      </c>
      <c r="R49" s="2152" t="s">
        <v>198</v>
      </c>
      <c r="S49" s="2152" t="s">
        <v>197</v>
      </c>
      <c r="T49" s="2152" t="s">
        <v>196</v>
      </c>
      <c r="U49" s="2152" t="s">
        <v>195</v>
      </c>
      <c r="V49" s="2152">
        <v>2008</v>
      </c>
      <c r="W49" s="2152" t="s">
        <v>194</v>
      </c>
      <c r="X49" s="2152" t="s">
        <v>193</v>
      </c>
      <c r="Y49" s="2152" t="s">
        <v>192</v>
      </c>
      <c r="Z49" s="2152" t="s">
        <v>191</v>
      </c>
      <c r="AA49" s="2152">
        <v>2009</v>
      </c>
      <c r="AB49" s="2152" t="s">
        <v>190</v>
      </c>
      <c r="AC49" s="2152" t="s">
        <v>189</v>
      </c>
      <c r="AD49" s="2152" t="s">
        <v>188</v>
      </c>
      <c r="AE49" s="2152" t="s">
        <v>187</v>
      </c>
      <c r="AF49" s="2152">
        <v>2010</v>
      </c>
      <c r="AG49" s="2152" t="s">
        <v>186</v>
      </c>
      <c r="AH49" s="2152" t="s">
        <v>185</v>
      </c>
      <c r="AI49" s="2152" t="s">
        <v>184</v>
      </c>
      <c r="AJ49" s="2152" t="s">
        <v>183</v>
      </c>
      <c r="AK49" s="2152">
        <v>2011</v>
      </c>
      <c r="AL49" s="2152" t="s">
        <v>182</v>
      </c>
      <c r="AM49" s="2152" t="s">
        <v>181</v>
      </c>
      <c r="AN49" s="2152" t="s">
        <v>180</v>
      </c>
      <c r="AO49" s="2152" t="s">
        <v>179</v>
      </c>
      <c r="AP49" s="2152">
        <v>2012</v>
      </c>
      <c r="AQ49" s="2152" t="s">
        <v>178</v>
      </c>
      <c r="AR49" s="2152" t="s">
        <v>177</v>
      </c>
      <c r="AS49" s="2152" t="s">
        <v>176</v>
      </c>
      <c r="AT49" s="2152" t="s">
        <v>175</v>
      </c>
      <c r="AU49" s="2152">
        <v>2013</v>
      </c>
      <c r="AV49" s="2152" t="s">
        <v>174</v>
      </c>
      <c r="AW49" s="2152" t="s">
        <v>152</v>
      </c>
      <c r="AX49" s="2152" t="s">
        <v>140</v>
      </c>
      <c r="AY49" s="2152" t="s">
        <v>132</v>
      </c>
      <c r="AZ49" s="2152">
        <v>2014</v>
      </c>
      <c r="BA49" s="2152" t="s">
        <v>131</v>
      </c>
      <c r="BB49" s="2152" t="s">
        <v>130</v>
      </c>
      <c r="BC49" s="2152" t="s">
        <v>129</v>
      </c>
      <c r="BD49" s="2152" t="s">
        <v>128</v>
      </c>
      <c r="BE49" s="2152">
        <v>2015</v>
      </c>
      <c r="BF49" s="2152" t="s">
        <v>1386</v>
      </c>
      <c r="BG49" s="2152" t="s">
        <v>1410</v>
      </c>
      <c r="BH49" s="2152" t="s">
        <v>1419</v>
      </c>
      <c r="BI49" s="2152" t="s">
        <v>173</v>
      </c>
      <c r="BJ49" s="2152" t="s">
        <v>124</v>
      </c>
      <c r="BK49" s="2152" t="str">
        <f>IS!CM9</f>
        <v>1Q17</v>
      </c>
      <c r="BL49" s="2152" t="str">
        <f>IS!CN9</f>
        <v>2Q17</v>
      </c>
      <c r="BM49" s="2152" t="str">
        <f>IS!CO9</f>
        <v>3Q17</v>
      </c>
      <c r="BN49" s="2152" t="str">
        <f>IS!CP9</f>
        <v>4Q17E</v>
      </c>
      <c r="BP49" s="2152" t="str">
        <f>IS!CR9</f>
        <v>1Q18E</v>
      </c>
      <c r="BQ49" s="2152" t="str">
        <f>IS!CS9</f>
        <v>2Q18E</v>
      </c>
      <c r="BR49" s="2152" t="str">
        <f>IS!CT9</f>
        <v>3Q18E</v>
      </c>
      <c r="BS49" s="2152" t="str">
        <f>IS!CU9</f>
        <v>4Q18E</v>
      </c>
    </row>
    <row r="50" spans="1:71">
      <c r="A50" s="2109" t="s">
        <v>212</v>
      </c>
      <c r="B50" s="2200">
        <v>1.05</v>
      </c>
    </row>
    <row r="52" spans="1:71">
      <c r="A52" s="2136" t="s">
        <v>211</v>
      </c>
      <c r="B52" s="2198">
        <f>CORREL(H67:AQ67,H75:AQ75)</f>
        <v>0.94548927334040556</v>
      </c>
      <c r="D52" s="2148"/>
      <c r="E52" s="2148"/>
      <c r="F52" s="2148"/>
      <c r="G52" s="2148"/>
      <c r="H52" s="2148"/>
      <c r="I52" s="2148"/>
      <c r="J52" s="2148"/>
      <c r="K52" s="2148"/>
      <c r="L52" s="2148"/>
      <c r="M52" s="2148"/>
      <c r="N52" s="2148"/>
      <c r="O52" s="2148"/>
      <c r="P52" s="2148"/>
      <c r="Q52" s="2148"/>
      <c r="R52" s="2149"/>
      <c r="S52" s="1859"/>
      <c r="T52" s="1859"/>
      <c r="U52" s="1859"/>
      <c r="V52" s="1859"/>
      <c r="W52" s="1859"/>
      <c r="X52" s="1859"/>
      <c r="Y52" s="1859"/>
      <c r="Z52" s="1859"/>
      <c r="AA52" s="1859"/>
      <c r="AB52" s="1859"/>
      <c r="AC52" s="1859"/>
      <c r="AD52" s="1859"/>
      <c r="AE52" s="1859"/>
      <c r="AF52" s="1859"/>
      <c r="AG52" s="1859"/>
      <c r="AJ52" s="1859"/>
      <c r="AK52" s="1859"/>
      <c r="AL52" s="1859"/>
      <c r="AM52" s="1859"/>
      <c r="AN52" s="1859"/>
      <c r="AO52" s="1859"/>
      <c r="AP52" s="1859"/>
      <c r="AQ52" s="1859"/>
      <c r="AR52" s="1859"/>
      <c r="AS52" s="1859"/>
      <c r="AT52" s="1859"/>
      <c r="AU52" s="1859"/>
      <c r="AV52" s="1859"/>
      <c r="AW52" s="1859"/>
      <c r="AX52" s="1859"/>
      <c r="AY52" s="1859"/>
      <c r="AZ52" s="1859"/>
      <c r="BA52" s="1859"/>
    </row>
    <row r="53" spans="1:71">
      <c r="A53" s="2150" t="s">
        <v>210</v>
      </c>
      <c r="B53" s="2197">
        <f>CORREL(H64:AQ64,H75:AQ75)</f>
        <v>-0.96368987186443555</v>
      </c>
      <c r="D53" s="2148"/>
      <c r="E53" s="2148"/>
      <c r="F53" s="2148"/>
      <c r="G53" s="2148"/>
      <c r="H53" s="2148"/>
      <c r="I53" s="2148"/>
      <c r="J53" s="2148"/>
      <c r="K53" s="2148"/>
      <c r="L53" s="2148"/>
      <c r="M53" s="2148"/>
      <c r="N53" s="2148"/>
      <c r="O53" s="2148"/>
      <c r="P53" s="2148"/>
      <c r="Q53" s="2148"/>
      <c r="R53" s="2149"/>
      <c r="S53" s="1859"/>
      <c r="T53" s="1859"/>
      <c r="U53" s="1859"/>
      <c r="V53" s="1859"/>
      <c r="W53" s="1859"/>
      <c r="X53" s="1859"/>
      <c r="Y53" s="1859"/>
      <c r="Z53" s="1859"/>
      <c r="AA53" s="1859"/>
      <c r="AB53" s="1859"/>
      <c r="AC53" s="1859"/>
      <c r="AD53" s="1859"/>
      <c r="AE53" s="1859"/>
      <c r="AF53" s="1859"/>
      <c r="AG53" s="1859"/>
      <c r="AJ53" s="1859"/>
      <c r="AK53" s="1859"/>
      <c r="AL53" s="1859"/>
      <c r="AM53" s="1859"/>
      <c r="AN53" s="1859"/>
      <c r="AO53" s="1859"/>
      <c r="AP53" s="1859"/>
      <c r="AQ53" s="1859"/>
      <c r="AR53" s="1859"/>
      <c r="AS53" s="1859"/>
      <c r="AT53" s="1859"/>
      <c r="AU53" s="1859"/>
      <c r="AV53" s="1859"/>
      <c r="AW53" s="1859"/>
      <c r="AX53" s="1859"/>
      <c r="AY53" s="1859"/>
      <c r="AZ53" s="1859"/>
      <c r="BA53" s="1859"/>
    </row>
    <row r="54" spans="1:71">
      <c r="A54" s="2150" t="s">
        <v>209</v>
      </c>
      <c r="B54" s="2196">
        <f>MEDIAN(H76:BD76)</f>
        <v>-0.39989389135880027</v>
      </c>
      <c r="D54" s="1859"/>
      <c r="E54" s="1859"/>
      <c r="F54" s="1859"/>
      <c r="G54" s="1859"/>
      <c r="H54" s="1859"/>
      <c r="I54" s="1859"/>
      <c r="J54" s="1859"/>
      <c r="K54" s="1859"/>
      <c r="L54" s="1859"/>
      <c r="M54" s="1859"/>
      <c r="N54" s="1859"/>
      <c r="O54" s="1859"/>
      <c r="P54" s="1859"/>
      <c r="Q54" s="1859"/>
      <c r="R54" s="1859"/>
      <c r="S54" s="1859"/>
      <c r="T54" s="1859"/>
      <c r="U54" s="1859"/>
      <c r="V54" s="1859"/>
      <c r="W54" s="1859"/>
      <c r="X54" s="1859"/>
      <c r="Y54" s="1859"/>
      <c r="Z54" s="1859"/>
      <c r="AA54" s="1859"/>
      <c r="AB54" s="1859"/>
      <c r="AC54" s="1859"/>
      <c r="AD54" s="1859"/>
      <c r="AE54" s="1859"/>
      <c r="AF54" s="1859"/>
      <c r="AG54" s="1859"/>
      <c r="AJ54" s="1859"/>
      <c r="AK54" s="1859"/>
      <c r="AL54" s="1859"/>
      <c r="AM54" s="1859"/>
      <c r="AN54" s="1859"/>
      <c r="AO54" s="1859"/>
      <c r="AP54" s="1859"/>
      <c r="AQ54" s="1859"/>
      <c r="AR54" s="1859"/>
      <c r="AS54" s="1859"/>
      <c r="AT54" s="1859"/>
      <c r="AU54" s="1859"/>
      <c r="AV54" s="1859"/>
      <c r="AW54" s="1859"/>
      <c r="AX54" s="1859"/>
      <c r="AY54" s="1859"/>
      <c r="AZ54" s="1859"/>
      <c r="BA54" s="1860"/>
    </row>
    <row r="55" spans="1:71">
      <c r="A55" s="2137" t="s">
        <v>208</v>
      </c>
      <c r="B55" s="2195">
        <v>-0.7</v>
      </c>
      <c r="D55" s="1859"/>
      <c r="E55" s="1859"/>
      <c r="F55" s="1859"/>
      <c r="G55" s="1859"/>
      <c r="H55" s="1859"/>
      <c r="I55" s="1859"/>
      <c r="J55" s="1859"/>
      <c r="K55" s="1859"/>
      <c r="L55" s="1859"/>
      <c r="M55" s="1859"/>
      <c r="N55" s="1859"/>
      <c r="O55" s="1859"/>
      <c r="P55" s="1859"/>
      <c r="Q55" s="1859"/>
      <c r="R55" s="1859"/>
      <c r="S55" s="1859"/>
      <c r="T55" s="1859"/>
      <c r="U55" s="1859"/>
      <c r="V55" s="1859"/>
      <c r="W55" s="1859"/>
      <c r="X55" s="1859"/>
      <c r="Y55" s="1859"/>
      <c r="Z55" s="1859"/>
      <c r="AA55" s="1859"/>
      <c r="AB55" s="1859"/>
      <c r="AC55" s="1859"/>
      <c r="AD55" s="1859"/>
      <c r="AE55" s="1859"/>
      <c r="AF55" s="1859"/>
      <c r="AG55" s="1859"/>
      <c r="AJ55" s="1859"/>
      <c r="AK55" s="1859"/>
      <c r="AL55" s="1859"/>
      <c r="AM55" s="1859"/>
      <c r="AN55" s="1859"/>
      <c r="AO55" s="1859"/>
      <c r="AP55" s="1859"/>
      <c r="AQ55" s="1859"/>
      <c r="AR55" s="1859"/>
      <c r="AS55" s="1859"/>
      <c r="AT55" s="1859"/>
      <c r="AU55" s="1859"/>
      <c r="AV55" s="1859"/>
      <c r="AW55" s="1859"/>
      <c r="AX55" s="1859"/>
      <c r="AY55" s="1859"/>
      <c r="AZ55" s="1859"/>
      <c r="BA55" s="1859"/>
    </row>
    <row r="56" spans="1:71">
      <c r="A56" s="2138"/>
      <c r="B56" s="2139"/>
      <c r="D56" s="1859"/>
      <c r="E56" s="1859"/>
      <c r="F56" s="1859"/>
      <c r="G56" s="1859"/>
      <c r="H56" s="1859"/>
      <c r="I56" s="1859"/>
      <c r="J56" s="1859"/>
      <c r="K56" s="1859"/>
      <c r="L56" s="1859"/>
      <c r="M56" s="1859"/>
      <c r="N56" s="1859"/>
      <c r="O56" s="1859"/>
      <c r="P56" s="1859"/>
      <c r="Q56" s="1859"/>
      <c r="R56" s="1859"/>
      <c r="S56" s="1859"/>
      <c r="T56" s="1859"/>
      <c r="U56" s="1859"/>
      <c r="V56" s="1859"/>
      <c r="W56" s="1859"/>
      <c r="X56" s="1859"/>
      <c r="Y56" s="1859"/>
      <c r="Z56" s="1859"/>
      <c r="AA56" s="1859"/>
      <c r="AB56" s="1859"/>
      <c r="AC56" s="1859"/>
      <c r="AD56" s="1859"/>
      <c r="AE56" s="1859"/>
      <c r="AF56" s="1859"/>
      <c r="AG56" s="1859"/>
      <c r="AJ56" s="1859"/>
      <c r="AK56" s="1859"/>
      <c r="AL56" s="1859"/>
      <c r="AM56" s="1859"/>
      <c r="AN56" s="1859"/>
      <c r="AO56" s="1859"/>
      <c r="AP56" s="1859"/>
      <c r="AQ56" s="1859"/>
      <c r="AR56" s="1859"/>
      <c r="AS56" s="1859"/>
      <c r="AT56" s="1859"/>
      <c r="AU56" s="1859"/>
      <c r="AV56" s="1859"/>
      <c r="AW56" s="1859"/>
      <c r="AX56" s="1859"/>
      <c r="AY56" s="1859"/>
      <c r="AZ56" s="1859"/>
      <c r="BA56" s="1859"/>
    </row>
    <row r="57" spans="1:71">
      <c r="A57" s="2156" t="s">
        <v>167</v>
      </c>
      <c r="B57" s="2139">
        <f>MEDIAN(H78:BD78)</f>
        <v>1.9428406466512704</v>
      </c>
      <c r="D57" s="1859"/>
      <c r="E57" s="1859"/>
      <c r="F57" s="1859"/>
      <c r="G57" s="1859"/>
      <c r="H57" s="1859"/>
      <c r="I57" s="1859"/>
      <c r="J57" s="1859"/>
      <c r="K57" s="1859"/>
      <c r="L57" s="1859"/>
      <c r="M57" s="1859"/>
      <c r="N57" s="1859"/>
      <c r="O57" s="1859"/>
      <c r="P57" s="1859"/>
      <c r="Q57" s="1859"/>
      <c r="R57" s="1859"/>
      <c r="S57" s="1859"/>
      <c r="T57" s="1859"/>
      <c r="U57" s="1859"/>
      <c r="V57" s="1859"/>
      <c r="W57" s="1859"/>
      <c r="X57" s="1859"/>
      <c r="Y57" s="1859"/>
      <c r="Z57" s="1859"/>
      <c r="AA57" s="1859"/>
      <c r="AB57" s="1859"/>
      <c r="AC57" s="1859"/>
      <c r="AD57" s="1859"/>
      <c r="AE57" s="1859"/>
      <c r="AF57" s="1859"/>
      <c r="AG57" s="1859"/>
      <c r="AJ57" s="1859"/>
      <c r="AK57" s="1859"/>
      <c r="AL57" s="1859"/>
      <c r="AM57" s="1859"/>
      <c r="AN57" s="1859"/>
      <c r="AO57" s="1859"/>
      <c r="AP57" s="1859"/>
      <c r="AQ57" s="1859"/>
      <c r="AR57" s="1859"/>
      <c r="AS57" s="1859"/>
      <c r="AT57" s="1859"/>
      <c r="AU57" s="1859"/>
      <c r="AV57" s="1859"/>
      <c r="AW57" s="1859"/>
      <c r="AX57" s="1859"/>
      <c r="AY57" s="1859"/>
      <c r="AZ57" s="1859"/>
      <c r="BA57" s="1859"/>
    </row>
    <row r="58" spans="1:71">
      <c r="A58" s="2156" t="s">
        <v>166</v>
      </c>
      <c r="B58" s="2139">
        <f>MEDIAN(H79:BD79)</f>
        <v>1.1803831918136294</v>
      </c>
      <c r="D58" s="1859"/>
      <c r="E58" s="1859"/>
      <c r="F58" s="1859"/>
      <c r="G58" s="1859"/>
      <c r="H58" s="1859"/>
      <c r="I58" s="1859"/>
      <c r="J58" s="1859"/>
      <c r="K58" s="1859"/>
      <c r="L58" s="1859"/>
      <c r="M58" s="1859"/>
      <c r="N58" s="1859"/>
      <c r="O58" s="1859"/>
      <c r="P58" s="1859"/>
      <c r="Q58" s="1859"/>
      <c r="R58" s="1859"/>
      <c r="S58" s="1859"/>
      <c r="T58" s="1859"/>
      <c r="U58" s="1859"/>
      <c r="V58" s="1859"/>
      <c r="W58" s="1859"/>
      <c r="X58" s="1859"/>
      <c r="Y58" s="1859"/>
      <c r="Z58" s="1859"/>
      <c r="AA58" s="1859"/>
      <c r="AB58" s="1859"/>
      <c r="AC58" s="1859"/>
      <c r="AD58" s="1859"/>
      <c r="AE58" s="1859"/>
      <c r="AF58" s="1859"/>
      <c r="AG58" s="1859"/>
      <c r="AJ58" s="1859"/>
      <c r="AK58" s="1859"/>
      <c r="AL58" s="1859"/>
      <c r="AM58" s="1859"/>
      <c r="AN58" s="1859"/>
      <c r="AO58" s="1859"/>
      <c r="AP58" s="1859"/>
      <c r="AQ58" s="1859"/>
      <c r="AR58" s="1859"/>
      <c r="AS58" s="1859"/>
      <c r="AT58" s="1859"/>
      <c r="AU58" s="1859"/>
      <c r="AV58" s="1859"/>
      <c r="AW58" s="1859"/>
      <c r="AX58" s="1859"/>
      <c r="AY58" s="1859"/>
      <c r="AZ58" s="1859"/>
      <c r="BA58" s="1859"/>
    </row>
    <row r="59" spans="1:71">
      <c r="A59" s="2156" t="s">
        <v>165</v>
      </c>
      <c r="B59" s="2139">
        <f>MEDIAN(H80:BD80)</f>
        <v>0</v>
      </c>
      <c r="D59" s="1859"/>
      <c r="E59" s="1859"/>
      <c r="F59" s="1859"/>
      <c r="G59" s="1859"/>
      <c r="H59" s="1859"/>
      <c r="I59" s="1859"/>
      <c r="J59" s="1859"/>
      <c r="K59" s="1859"/>
      <c r="L59" s="1859"/>
      <c r="M59" s="1859"/>
      <c r="N59" s="1859"/>
      <c r="O59" s="1859"/>
      <c r="P59" s="1859"/>
      <c r="Q59" s="1859"/>
      <c r="R59" s="1859"/>
      <c r="S59" s="1859"/>
      <c r="T59" s="1859"/>
      <c r="U59" s="1859"/>
      <c r="V59" s="1859"/>
      <c r="W59" s="1859"/>
      <c r="X59" s="1859"/>
      <c r="Y59" s="1859"/>
      <c r="Z59" s="1859"/>
      <c r="AA59" s="1859"/>
      <c r="AB59" s="1859"/>
      <c r="AC59" s="1859"/>
      <c r="AD59" s="1859"/>
      <c r="AE59" s="1859"/>
      <c r="AF59" s="1859"/>
      <c r="AG59" s="1859"/>
      <c r="AJ59" s="1859"/>
      <c r="AK59" s="1859"/>
      <c r="AL59" s="1859"/>
      <c r="AM59" s="1859"/>
      <c r="AN59" s="1859"/>
      <c r="AO59" s="1859"/>
      <c r="AP59" s="1859"/>
      <c r="AQ59" s="1859"/>
      <c r="AR59" s="1859"/>
      <c r="AS59" s="1859"/>
      <c r="AT59" s="1859"/>
      <c r="AU59" s="1859"/>
      <c r="AV59" s="1859"/>
      <c r="AW59" s="1859"/>
      <c r="AX59" s="1859"/>
      <c r="AY59" s="1859"/>
      <c r="AZ59" s="1859"/>
      <c r="BA59" s="1859"/>
    </row>
    <row r="60" spans="1:71">
      <c r="A60" s="2156" t="s">
        <v>164</v>
      </c>
      <c r="B60" s="2139">
        <f>MEDIAN(H81:BD81)</f>
        <v>0.33333333333333337</v>
      </c>
      <c r="D60" s="1859"/>
      <c r="E60" s="1859"/>
      <c r="F60" s="1859"/>
      <c r="G60" s="1859"/>
      <c r="H60" s="1859"/>
      <c r="I60" s="1859"/>
      <c r="J60" s="1859"/>
      <c r="K60" s="1859"/>
      <c r="L60" s="1859"/>
      <c r="M60" s="1859"/>
      <c r="N60" s="1859"/>
      <c r="O60" s="1859"/>
      <c r="P60" s="1859"/>
      <c r="Q60" s="1859"/>
      <c r="R60" s="1859"/>
      <c r="S60" s="1859"/>
      <c r="T60" s="1859"/>
      <c r="U60" s="1859"/>
      <c r="V60" s="1859"/>
      <c r="W60" s="1859"/>
      <c r="X60" s="1859"/>
      <c r="Y60" s="1859"/>
      <c r="Z60" s="1859"/>
      <c r="AA60" s="1859"/>
      <c r="AB60" s="1859"/>
      <c r="AC60" s="1859"/>
      <c r="AD60" s="1859"/>
      <c r="AE60" s="1859"/>
      <c r="AF60" s="1859"/>
      <c r="AG60" s="1859"/>
      <c r="AJ60" s="1859"/>
      <c r="AK60" s="1859"/>
      <c r="AL60" s="1859"/>
      <c r="AM60" s="1859"/>
      <c r="AN60" s="1859"/>
      <c r="AO60" s="1859"/>
      <c r="AP60" s="1859"/>
      <c r="AQ60" s="1859"/>
      <c r="AR60" s="1859"/>
      <c r="AS60" s="1859"/>
      <c r="AT60" s="1859"/>
      <c r="AU60" s="1859"/>
      <c r="AV60" s="1859"/>
      <c r="AW60" s="1859"/>
      <c r="AX60" s="1859"/>
      <c r="AY60" s="1859"/>
      <c r="AZ60" s="1859"/>
      <c r="BA60" s="1859"/>
    </row>
    <row r="61" spans="1:71">
      <c r="A61" s="2156" t="s">
        <v>163</v>
      </c>
      <c r="B61" s="2139">
        <f>MEDIAN(H82:BA82)</f>
        <v>0</v>
      </c>
      <c r="D61" s="1859"/>
      <c r="E61" s="1859"/>
      <c r="F61" s="1859"/>
      <c r="G61" s="1859"/>
      <c r="H61" s="1859"/>
      <c r="I61" s="1859"/>
      <c r="J61" s="1859"/>
      <c r="K61" s="1859"/>
      <c r="L61" s="1859"/>
      <c r="M61" s="1859"/>
      <c r="N61" s="1859"/>
      <c r="O61" s="1859"/>
      <c r="P61" s="1859"/>
      <c r="Q61" s="1859"/>
      <c r="R61" s="1859"/>
      <c r="S61" s="1859"/>
      <c r="T61" s="1859"/>
      <c r="U61" s="1859"/>
      <c r="V61" s="1859"/>
      <c r="W61" s="1859"/>
      <c r="X61" s="1859"/>
      <c r="Y61" s="1859"/>
      <c r="Z61" s="1859"/>
      <c r="AA61" s="1859"/>
      <c r="AB61" s="1859"/>
      <c r="AC61" s="1859"/>
      <c r="AD61" s="1859"/>
      <c r="AE61" s="1859"/>
      <c r="AF61" s="1859"/>
      <c r="AG61" s="1859"/>
      <c r="AJ61" s="1859"/>
      <c r="AK61" s="1859"/>
      <c r="AL61" s="1859"/>
      <c r="AM61" s="1859"/>
      <c r="AN61" s="1859"/>
      <c r="AO61" s="1859"/>
      <c r="AP61" s="1859"/>
      <c r="AQ61" s="1859"/>
      <c r="AR61" s="1859"/>
      <c r="AS61" s="1859"/>
      <c r="AT61" s="1859"/>
      <c r="AU61" s="1859"/>
      <c r="AV61" s="1859"/>
      <c r="AW61" s="1859"/>
      <c r="AX61" s="1859"/>
      <c r="AY61" s="1859"/>
      <c r="AZ61" s="1859"/>
      <c r="BA61" s="1859"/>
    </row>
    <row r="62" spans="1:71">
      <c r="A62" s="2155"/>
      <c r="B62" s="2203"/>
      <c r="C62" s="1859"/>
      <c r="D62" s="1859"/>
      <c r="E62" s="1859"/>
      <c r="F62" s="1859"/>
      <c r="G62" s="1859"/>
      <c r="H62" s="1859"/>
      <c r="I62" s="1859"/>
      <c r="J62" s="1859"/>
      <c r="K62" s="1859"/>
      <c r="L62" s="1859"/>
      <c r="M62" s="1859"/>
      <c r="N62" s="1859"/>
      <c r="O62" s="1859"/>
      <c r="P62" s="1859"/>
      <c r="Q62" s="1859"/>
      <c r="R62" s="1859"/>
      <c r="S62" s="1859"/>
      <c r="T62" s="1859"/>
      <c r="U62" s="1859"/>
      <c r="V62" s="1859"/>
      <c r="W62" s="1859"/>
      <c r="X62" s="1859"/>
      <c r="Y62" s="1859"/>
      <c r="Z62" s="1859"/>
      <c r="AA62" s="1859"/>
      <c r="AB62" s="1859"/>
      <c r="AC62" s="1859"/>
      <c r="AD62" s="1859"/>
      <c r="AE62" s="1859"/>
      <c r="AF62" s="1859"/>
      <c r="AG62" s="1859"/>
      <c r="AH62" s="1859"/>
      <c r="AI62" s="1859"/>
      <c r="AJ62" s="1859"/>
      <c r="AK62" s="1859"/>
      <c r="AL62" s="1859"/>
      <c r="AM62" s="1859"/>
      <c r="AN62" s="1859"/>
      <c r="AO62" s="1859"/>
      <c r="AP62" s="1859"/>
      <c r="AQ62" s="1859"/>
      <c r="AR62" s="1859"/>
      <c r="AS62" s="1859"/>
      <c r="AT62" s="1859"/>
      <c r="AU62" s="1859"/>
      <c r="AV62" s="1859"/>
      <c r="AW62" s="1859"/>
      <c r="AX62" s="1859"/>
      <c r="AY62" s="1859"/>
      <c r="AZ62" s="1859"/>
      <c r="BA62" s="1859"/>
    </row>
    <row r="63" spans="1:71">
      <c r="A63" s="2156" t="s">
        <v>172</v>
      </c>
      <c r="B63" s="2138"/>
      <c r="C63" s="2140">
        <v>81.352000000000004</v>
      </c>
      <c r="D63" s="2140">
        <v>83.649799999999999</v>
      </c>
      <c r="E63" s="2140">
        <v>84.613900000000001</v>
      </c>
      <c r="F63" s="2140">
        <v>85.847000000000008</v>
      </c>
      <c r="G63" s="2140" t="s">
        <v>170</v>
      </c>
      <c r="H63" s="2140">
        <v>84.9589</v>
      </c>
      <c r="I63" s="2140">
        <v>82.075900000000004</v>
      </c>
      <c r="J63" s="2140">
        <v>81.6751</v>
      </c>
      <c r="K63" s="2140">
        <v>81.715500000000006</v>
      </c>
      <c r="L63" s="2140" t="s">
        <v>170</v>
      </c>
      <c r="M63" s="2140">
        <v>81.963300000000004</v>
      </c>
      <c r="N63" s="2140">
        <v>79.433800000000005</v>
      </c>
      <c r="O63" s="2140">
        <v>77.1601</v>
      </c>
      <c r="P63" s="2140">
        <v>73.401200000000003</v>
      </c>
      <c r="Q63" s="2140" t="s">
        <v>170</v>
      </c>
      <c r="R63" s="2140">
        <v>72.108199999999997</v>
      </c>
      <c r="S63" s="2140">
        <v>70.834800000000001</v>
      </c>
      <c r="T63" s="2140">
        <v>73.4559</v>
      </c>
      <c r="U63" s="2140">
        <v>81.424999999999997</v>
      </c>
      <c r="V63" s="2140" t="s">
        <v>170</v>
      </c>
      <c r="W63" s="2140">
        <v>82.927300000000002</v>
      </c>
      <c r="X63" s="2140">
        <v>79.5715</v>
      </c>
      <c r="Y63" s="2140">
        <v>75.400700000000001</v>
      </c>
      <c r="Z63" s="2140">
        <v>72.891900000000007</v>
      </c>
      <c r="AA63" s="2140" t="s">
        <v>170</v>
      </c>
      <c r="AB63" s="2140">
        <v>74.976600000000005</v>
      </c>
      <c r="AC63" s="2140">
        <v>77.8917</v>
      </c>
      <c r="AD63" s="2140">
        <v>76.169600000000003</v>
      </c>
      <c r="AE63" s="2140">
        <v>73.216500000000011</v>
      </c>
      <c r="AF63" s="2140" t="s">
        <v>170</v>
      </c>
      <c r="AG63" s="2140">
        <v>72.102100000000007</v>
      </c>
      <c r="AH63" s="2140">
        <v>69.7898</v>
      </c>
      <c r="AI63" s="2140">
        <v>69.845500000000001</v>
      </c>
      <c r="AJ63" s="2141">
        <v>72.400000000000006</v>
      </c>
      <c r="AK63" s="2141"/>
      <c r="AL63" s="2140">
        <v>72.900000000000006</v>
      </c>
      <c r="AM63" s="2140">
        <v>73.95</v>
      </c>
      <c r="AN63" s="2142">
        <v>74.180000000000007</v>
      </c>
      <c r="AO63" s="2141">
        <v>73.173400000000001</v>
      </c>
      <c r="AP63" s="2141"/>
      <c r="AQ63" s="2140">
        <v>74.28</v>
      </c>
      <c r="AR63" s="2140">
        <v>76.452299999999994</v>
      </c>
      <c r="AS63" s="2140">
        <v>76.551199999999994</v>
      </c>
      <c r="AT63" s="2143">
        <v>75.939599999999999</v>
      </c>
      <c r="AU63" s="2141"/>
      <c r="AV63" s="2140">
        <v>77.091999999999999</v>
      </c>
      <c r="AW63" s="2144">
        <v>76.5</v>
      </c>
      <c r="AX63" s="2144">
        <v>77.865799999999993</v>
      </c>
      <c r="AY63" s="2145">
        <v>80.989999999999995</v>
      </c>
      <c r="AZ63" s="2141"/>
      <c r="BA63" s="2145">
        <v>89.405300000000011</v>
      </c>
      <c r="BB63" s="2146">
        <v>89.98</v>
      </c>
      <c r="BC63" s="2147">
        <v>91.747</v>
      </c>
      <c r="BD63" s="2140">
        <v>93.528999999999996</v>
      </c>
      <c r="BF63" s="2161">
        <v>93.240600000000001</v>
      </c>
      <c r="BG63" s="2162">
        <v>89.57</v>
      </c>
      <c r="BH63" s="2162">
        <f>BG63</f>
        <v>89.57</v>
      </c>
      <c r="BI63" s="2162">
        <f>BH63</f>
        <v>89.57</v>
      </c>
      <c r="BJ63" s="2163">
        <f>AVERAGE(BF63:BI63)</f>
        <v>90.487649999999988</v>
      </c>
      <c r="BK63" s="2164">
        <f>(1-((BK66/BI66-1)*0.7))*BI63</f>
        <v>89.57</v>
      </c>
      <c r="BL63" s="2164">
        <f>(1-((BL66/BK66-1)*0.7))*BK63</f>
        <v>89.57</v>
      </c>
      <c r="BM63" s="2164">
        <f>(1-((BM66/BK66-1)*0.7))*BK63</f>
        <v>89.57</v>
      </c>
      <c r="BN63" s="2164">
        <f>(1-((BN66/BL66-1)*0.7))*BL63</f>
        <v>89.57</v>
      </c>
      <c r="BO63" s="2165">
        <f>BI63</f>
        <v>89.57</v>
      </c>
      <c r="BP63" s="2164">
        <f>(1-((BP66/BN66-1)*0.7))*BN63</f>
        <v>89.57</v>
      </c>
      <c r="BQ63" s="2164">
        <f>(1-((BQ66/BP66-1)*0.7))*BP63</f>
        <v>89.57</v>
      </c>
      <c r="BR63" s="2164">
        <f>(1-((BR66/BP66-1)*0.7))*BP63</f>
        <v>89.57</v>
      </c>
      <c r="BS63" s="2164">
        <f>(1-((BS66/BQ66-1)*0.7))*BQ63</f>
        <v>89.57</v>
      </c>
    </row>
    <row r="64" spans="1:71">
      <c r="A64" s="2156" t="s">
        <v>169</v>
      </c>
      <c r="B64" s="2138"/>
      <c r="C64" s="2156"/>
      <c r="D64" s="2156"/>
      <c r="E64" s="2156"/>
      <c r="F64" s="2156"/>
      <c r="G64" s="2156"/>
      <c r="H64" s="2166">
        <f>H63/C63-1</f>
        <v>4.4336955452846771E-2</v>
      </c>
      <c r="I64" s="2166">
        <f>I63/D63-1</f>
        <v>-1.8815346838844782E-2</v>
      </c>
      <c r="J64" s="2166">
        <f>J63/E63-1</f>
        <v>-3.4731882113931634E-2</v>
      </c>
      <c r="K64" s="2166">
        <f>K63/F63-1</f>
        <v>-4.8126317751348346E-2</v>
      </c>
      <c r="L64" s="2156"/>
      <c r="M64" s="2166">
        <f>M63/H63-1</f>
        <v>-3.5259401899035869E-2</v>
      </c>
      <c r="N64" s="2166">
        <f>N63/I63-1</f>
        <v>-3.2190935463394243E-2</v>
      </c>
      <c r="O64" s="2166">
        <f>O63/J63-1</f>
        <v>-5.5280005778995056E-2</v>
      </c>
      <c r="P64" s="2166">
        <f>P63/K63-1</f>
        <v>-0.10174691460004526</v>
      </c>
      <c r="Q64" s="2156"/>
      <c r="R64" s="2166">
        <f>R63/M63-1</f>
        <v>-0.12023796016021815</v>
      </c>
      <c r="S64" s="2166">
        <f>S63/N63-1</f>
        <v>-0.108253665316276</v>
      </c>
      <c r="T64" s="2166">
        <f>T63/O63-1</f>
        <v>-4.8006677026079525E-2</v>
      </c>
      <c r="U64" s="2166">
        <f>U63/P63-1</f>
        <v>0.10931428913968699</v>
      </c>
      <c r="V64" s="2156"/>
      <c r="W64" s="2166">
        <f>W63/R63-1</f>
        <v>0.15003980129860417</v>
      </c>
      <c r="X64" s="2166">
        <f>X63/S63-1</f>
        <v>0.12333909321406988</v>
      </c>
      <c r="Y64" s="2166">
        <f>Y63/T63-1</f>
        <v>2.6475749395215464E-2</v>
      </c>
      <c r="Z64" s="2166">
        <f>Z63/U63-1</f>
        <v>-0.10479705250230265</v>
      </c>
      <c r="AA64" s="2156"/>
      <c r="AB64" s="2166">
        <f>AB63/W63-1</f>
        <v>-9.5875544000588397E-2</v>
      </c>
      <c r="AC64" s="2166">
        <f>AC63/X63-1</f>
        <v>-2.111057350935952E-2</v>
      </c>
      <c r="AD64" s="2166">
        <f>AD63/Y63-1</f>
        <v>1.0197518060177213E-2</v>
      </c>
      <c r="AE64" s="2166">
        <f>AE63/Z63-1</f>
        <v>4.4531696937519794E-3</v>
      </c>
      <c r="AF64" s="2156"/>
      <c r="AG64" s="2166">
        <f>AG63/AB63-1</f>
        <v>-3.833862831870205E-2</v>
      </c>
      <c r="AH64" s="2166">
        <f>AH63/AC63-1</f>
        <v>-0.10401493355517988</v>
      </c>
      <c r="AI64" s="2166">
        <f>AI63/AD63-1</f>
        <v>-8.3026561777927221E-2</v>
      </c>
      <c r="AJ64" s="2166">
        <f>AJ63/AE63-1</f>
        <v>-1.1151857846250612E-2</v>
      </c>
      <c r="AK64" s="2167"/>
      <c r="AL64" s="2166">
        <f>AL63/AG63-1</f>
        <v>1.1066251884480405E-2</v>
      </c>
      <c r="AM64" s="2166">
        <f>AM63/AH63-1</f>
        <v>5.9610430177475804E-2</v>
      </c>
      <c r="AN64" s="2166">
        <f>AN63/AI63-1</f>
        <v>6.2058400326434837E-2</v>
      </c>
      <c r="AO64" s="2166">
        <f>$B$55*AO67</f>
        <v>2.5751952255114473E-2</v>
      </c>
      <c r="AP64" s="1859"/>
      <c r="AQ64" s="2166">
        <f>AQ63/AL63-1</f>
        <v>1.8930041152263266E-2</v>
      </c>
      <c r="AR64" s="2166">
        <f>AR63/AM63-1</f>
        <v>3.3837728194725969E-2</v>
      </c>
      <c r="AS64" s="2166">
        <f>AS63/AN63-1</f>
        <v>3.1965489350229026E-2</v>
      </c>
      <c r="AT64" s="2166">
        <f>AT63/AO63-1</f>
        <v>3.7803354770995945E-2</v>
      </c>
      <c r="AU64" s="1859"/>
      <c r="AV64" s="2166">
        <f>AV63/AQ63-1</f>
        <v>3.785675821217005E-2</v>
      </c>
      <c r="AW64" s="2166">
        <f>AW63/AR63-1</f>
        <v>6.2391844326459278E-4</v>
      </c>
      <c r="AX64" s="2166">
        <f>AX63/AS63-1</f>
        <v>1.7172820282373102E-2</v>
      </c>
      <c r="AY64" s="2166">
        <f>AY63/AT63-1</f>
        <v>6.6505485938824993E-2</v>
      </c>
      <c r="AZ64" s="1859"/>
      <c r="BA64" s="2166">
        <f>BA63/AV63-1</f>
        <v>0.15972215015825264</v>
      </c>
      <c r="BB64" s="2166">
        <f>BB63/AW63-1</f>
        <v>0.17620915032679751</v>
      </c>
      <c r="BC64" s="2166">
        <f>BC63/AX63-1</f>
        <v>0.17827081979508352</v>
      </c>
      <c r="BD64" s="2166">
        <f>BD63/AY63-1</f>
        <v>0.15482158291147052</v>
      </c>
      <c r="BF64" s="2166">
        <f>BF63/BA63-1</f>
        <v>4.2897904262946263E-2</v>
      </c>
      <c r="BG64" s="2166">
        <f>BG63/BB63-1</f>
        <v>-4.5565681262503821E-3</v>
      </c>
      <c r="BH64" s="2166">
        <f>BH63/BC63-1</f>
        <v>-2.3728296293066831E-2</v>
      </c>
      <c r="BI64" s="2166">
        <f>BI63/BD63-1</f>
        <v>-4.2329117172213993E-2</v>
      </c>
      <c r="BK64" s="2166">
        <f>BK63/BF63-1</f>
        <v>-3.9366971040512455E-2</v>
      </c>
      <c r="BL64" s="2166">
        <f>BL63/BG63-1</f>
        <v>0</v>
      </c>
      <c r="BM64" s="2166">
        <f>BM63/BH63-1</f>
        <v>0</v>
      </c>
      <c r="BN64" s="2166">
        <f>BN63/BI63-1</f>
        <v>0</v>
      </c>
      <c r="BP64" s="2166">
        <f>BP63/BK63-1</f>
        <v>0</v>
      </c>
      <c r="BQ64" s="2166">
        <f>BQ63/BL63-1</f>
        <v>0</v>
      </c>
      <c r="BR64" s="2166">
        <f>BR63/BM63-1</f>
        <v>0</v>
      </c>
      <c r="BS64" s="2166">
        <f>BS63/BN63-1</f>
        <v>0</v>
      </c>
    </row>
    <row r="65" spans="1:71">
      <c r="A65" s="2156"/>
      <c r="B65" s="2138"/>
      <c r="C65" s="1859"/>
      <c r="D65" s="1859"/>
      <c r="E65" s="1859"/>
      <c r="F65" s="1859"/>
      <c r="G65" s="1859"/>
      <c r="H65" s="1859"/>
      <c r="I65" s="1859"/>
      <c r="J65" s="1859"/>
      <c r="K65" s="1859"/>
      <c r="L65" s="1859"/>
      <c r="M65" s="1859"/>
      <c r="N65" s="1859"/>
      <c r="O65" s="1859"/>
      <c r="P65" s="1859"/>
      <c r="Q65" s="1859"/>
      <c r="R65" s="1859"/>
      <c r="S65" s="1859"/>
      <c r="T65" s="1859"/>
      <c r="U65" s="1859"/>
      <c r="V65" s="1859"/>
      <c r="W65" s="1859"/>
      <c r="X65" s="1859"/>
      <c r="Y65" s="1859"/>
      <c r="Z65" s="1859"/>
      <c r="AA65" s="1859"/>
      <c r="AB65" s="1859"/>
      <c r="AC65" s="1859"/>
      <c r="AD65" s="1859"/>
      <c r="AE65" s="1859"/>
      <c r="AF65" s="1859"/>
      <c r="AG65" s="1859"/>
      <c r="AH65" s="1859"/>
      <c r="AI65" s="1859"/>
      <c r="AJ65" s="1859"/>
      <c r="AK65" s="1859"/>
      <c r="AL65" s="1859"/>
      <c r="AM65" s="1859"/>
      <c r="AN65" s="1859"/>
      <c r="AO65" s="1859"/>
      <c r="AP65" s="1859"/>
      <c r="AQ65" s="1859"/>
      <c r="AR65" s="1859"/>
      <c r="AS65" s="1859"/>
      <c r="AT65" s="1859"/>
      <c r="AU65" s="1859"/>
      <c r="AV65" s="1859"/>
      <c r="AW65" s="1859"/>
      <c r="AX65" s="1859"/>
      <c r="AY65" s="1859"/>
      <c r="AZ65" s="1859"/>
      <c r="BA65" s="1859"/>
      <c r="BB65" s="1859"/>
      <c r="BC65" s="1859"/>
      <c r="BD65" s="1859"/>
      <c r="BF65" s="1859"/>
      <c r="BG65" s="1859"/>
      <c r="BH65" s="1859"/>
      <c r="BI65" s="1859"/>
    </row>
    <row r="66" spans="1:71">
      <c r="A66" s="2156" t="s">
        <v>171</v>
      </c>
      <c r="B66" s="2138"/>
      <c r="C66" s="2145">
        <v>1.3106800000000001</v>
      </c>
      <c r="D66" s="2145">
        <v>1.2590000000000001</v>
      </c>
      <c r="E66" s="2145">
        <v>1.22024</v>
      </c>
      <c r="F66" s="2145">
        <v>1.1892900000000002</v>
      </c>
      <c r="G66" s="2145" t="s">
        <v>170</v>
      </c>
      <c r="H66" s="2145">
        <v>1.2033700000000001</v>
      </c>
      <c r="I66" s="2145">
        <v>1.25858</v>
      </c>
      <c r="J66" s="2145">
        <v>1.2746000000000002</v>
      </c>
      <c r="K66" s="2145">
        <v>1.2899900000000002</v>
      </c>
      <c r="L66" s="2145" t="s">
        <v>170</v>
      </c>
      <c r="M66" s="2145">
        <v>1.31108</v>
      </c>
      <c r="N66" s="2145">
        <v>1.3483200000000002</v>
      </c>
      <c r="O66" s="2145">
        <v>1.3746</v>
      </c>
      <c r="P66" s="2145">
        <v>1.4482900000000001</v>
      </c>
      <c r="Q66" s="2145" t="s">
        <v>170</v>
      </c>
      <c r="R66" s="2145">
        <v>1.4993500000000002</v>
      </c>
      <c r="S66" s="2145">
        <v>1.5631200000000001</v>
      </c>
      <c r="T66" s="2145">
        <v>1.5038600000000002</v>
      </c>
      <c r="U66" s="2145">
        <v>1.3206900000000001</v>
      </c>
      <c r="V66" s="2145" t="s">
        <v>170</v>
      </c>
      <c r="W66" s="2145">
        <v>1.3060900000000002</v>
      </c>
      <c r="X66" s="2145">
        <v>1.3627600000000002</v>
      </c>
      <c r="Y66" s="2145">
        <v>1.4301400000000002</v>
      </c>
      <c r="Z66" s="2145">
        <v>1.4765400000000002</v>
      </c>
      <c r="AA66" s="2145" t="s">
        <v>170</v>
      </c>
      <c r="AB66" s="2145">
        <v>1.3838000000000001</v>
      </c>
      <c r="AC66" s="2145">
        <v>1.27268</v>
      </c>
      <c r="AD66" s="2145">
        <v>1.2930100000000002</v>
      </c>
      <c r="AE66" s="2145">
        <v>1.35799</v>
      </c>
      <c r="AF66" s="2145" t="s">
        <v>170</v>
      </c>
      <c r="AG66" s="2145">
        <v>1.3695000000000002</v>
      </c>
      <c r="AH66" s="2145">
        <v>1.4397700000000002</v>
      </c>
      <c r="AI66" s="2145">
        <v>1.4128200000000002</v>
      </c>
      <c r="AJ66" s="2145">
        <v>1.3471600000000001</v>
      </c>
      <c r="AK66" s="2167"/>
      <c r="AL66" s="2145">
        <v>1.31</v>
      </c>
      <c r="AM66" s="2145">
        <v>1.28</v>
      </c>
      <c r="AN66" s="2145">
        <v>1.25</v>
      </c>
      <c r="AO66" s="2168">
        <v>1.2976000000000001</v>
      </c>
      <c r="AP66" s="1859"/>
      <c r="AQ66" s="2145">
        <v>1.32002</v>
      </c>
      <c r="AR66" s="2145">
        <v>1.30627</v>
      </c>
      <c r="AS66" s="2145">
        <v>1.3254600000000001</v>
      </c>
      <c r="AT66" s="2169">
        <v>1.3615999999999999</v>
      </c>
      <c r="AU66" s="1859"/>
      <c r="AV66" s="2145">
        <v>1.3703900000000002</v>
      </c>
      <c r="AW66" s="2144">
        <v>1.37</v>
      </c>
      <c r="AX66" s="2144">
        <v>1.33</v>
      </c>
      <c r="AY66" s="2145">
        <v>1.27</v>
      </c>
      <c r="AZ66" s="1859"/>
      <c r="BA66" s="2145">
        <v>1.1268140625</v>
      </c>
      <c r="BB66" s="2146">
        <v>1.1100000000000001</v>
      </c>
      <c r="BC66" s="2170">
        <v>1.1000000000000001</v>
      </c>
      <c r="BD66" s="2146">
        <f>BC66</f>
        <v>1.1000000000000001</v>
      </c>
      <c r="BF66" s="2146">
        <v>1.1041300000000001</v>
      </c>
      <c r="BG66" s="2171">
        <v>1.1299999999999999</v>
      </c>
      <c r="BH66" s="2172">
        <v>1.05</v>
      </c>
      <c r="BI66" s="2172">
        <v>1</v>
      </c>
      <c r="BJ66" s="2173">
        <f>AVERAGE(BF66:BI66)</f>
        <v>1.0710325000000001</v>
      </c>
      <c r="BK66" s="2173">
        <f>BI66</f>
        <v>1</v>
      </c>
      <c r="BL66" s="2173">
        <f>BK66</f>
        <v>1</v>
      </c>
      <c r="BM66" s="2173">
        <f>BL66</f>
        <v>1</v>
      </c>
      <c r="BN66" s="2173">
        <f>BM66</f>
        <v>1</v>
      </c>
      <c r="BO66" s="2174">
        <f>BI66</f>
        <v>1</v>
      </c>
      <c r="BP66" s="2173">
        <f>BN66</f>
        <v>1</v>
      </c>
      <c r="BQ66" s="2173">
        <f>BP66</f>
        <v>1</v>
      </c>
      <c r="BR66" s="2173">
        <f>BQ66</f>
        <v>1</v>
      </c>
      <c r="BS66" s="2173">
        <f>BR66</f>
        <v>1</v>
      </c>
    </row>
    <row r="67" spans="1:71" ht="13.5" customHeight="1">
      <c r="A67" s="2156" t="s">
        <v>169</v>
      </c>
      <c r="B67" s="2138"/>
      <c r="C67" s="2156"/>
      <c r="D67" s="2156"/>
      <c r="E67" s="2156"/>
      <c r="F67" s="2156"/>
      <c r="G67" s="2156"/>
      <c r="H67" s="2166">
        <f>(H66/C66-1)</f>
        <v>-8.1873531296731472E-2</v>
      </c>
      <c r="I67" s="2166">
        <f>(I66/D66-1)</f>
        <v>-3.335980937252403E-4</v>
      </c>
      <c r="J67" s="2166">
        <f>(J66/E66-1)</f>
        <v>4.4548613387530578E-2</v>
      </c>
      <c r="K67" s="2166">
        <f>(K66/F66-1)</f>
        <v>8.4672367547023786E-2</v>
      </c>
      <c r="L67" s="2156"/>
      <c r="M67" s="2166">
        <f>(M66/H66-1)</f>
        <v>8.9506967931725079E-2</v>
      </c>
      <c r="N67" s="2166">
        <f>(N66/I66-1)</f>
        <v>7.1302579097077823E-2</v>
      </c>
      <c r="O67" s="2166">
        <f>(O66/J66-1)</f>
        <v>7.8455986191746208E-2</v>
      </c>
      <c r="P67" s="2166">
        <f>(P66/K66-1)</f>
        <v>0.12271412956689587</v>
      </c>
      <c r="Q67" s="2156"/>
      <c r="R67" s="2166">
        <f>(R66/M66-1)</f>
        <v>0.14359917014980028</v>
      </c>
      <c r="S67" s="2166">
        <f>(S66/N66-1)</f>
        <v>0.15930936276254881</v>
      </c>
      <c r="T67" s="2166">
        <f>(T66/O66-1)</f>
        <v>9.4034628255492692E-2</v>
      </c>
      <c r="U67" s="2166">
        <f>(U66/P66-1)</f>
        <v>-8.8103901842862875E-2</v>
      </c>
      <c r="V67" s="2156"/>
      <c r="W67" s="2166">
        <f>(W66/R66-1)</f>
        <v>-0.12889585487044386</v>
      </c>
      <c r="X67" s="2166">
        <f>(X66/S66-1)</f>
        <v>-0.12817953835917895</v>
      </c>
      <c r="Y67" s="2166">
        <f>(Y66/T66-1)</f>
        <v>-4.9020520527176759E-2</v>
      </c>
      <c r="Z67" s="2166">
        <f>(Z66/U66-1)</f>
        <v>0.11800649660404794</v>
      </c>
      <c r="AA67" s="2156"/>
      <c r="AB67" s="2166">
        <f>(AB66/W66-1)</f>
        <v>5.949819690832947E-2</v>
      </c>
      <c r="AC67" s="2166">
        <f>(AC66/X66-1)</f>
        <v>-6.6101147670903249E-2</v>
      </c>
      <c r="AD67" s="2166">
        <f>(AD66/Y66-1)</f>
        <v>-9.5885717482204536E-2</v>
      </c>
      <c r="AE67" s="2166">
        <f>(AE66/Z66-1)</f>
        <v>-8.0289054140084359E-2</v>
      </c>
      <c r="AF67" s="2156"/>
      <c r="AG67" s="2166">
        <f>(AG66/AB66-1)</f>
        <v>-1.0333863275039712E-2</v>
      </c>
      <c r="AH67" s="2166">
        <f>(AH66/AC66-1)</f>
        <v>0.13128987648112656</v>
      </c>
      <c r="AI67" s="2166">
        <f>(AI66/AD66-1)</f>
        <v>9.2659762878863905E-2</v>
      </c>
      <c r="AJ67" s="2166">
        <f>(AJ66/AE66-1)</f>
        <v>-7.9750219073777551E-3</v>
      </c>
      <c r="AK67" s="2156"/>
      <c r="AL67" s="2166">
        <f>AL66/AG66-1</f>
        <v>-4.3446513326031444E-2</v>
      </c>
      <c r="AM67" s="2166">
        <f>AM66/AH66-1</f>
        <v>-0.1109691131222349</v>
      </c>
      <c r="AN67" s="2166">
        <f>AN66/AI66-1</f>
        <v>-0.11524468792910647</v>
      </c>
      <c r="AO67" s="2166">
        <f>AO66/AJ66-1</f>
        <v>-3.6788503221592106E-2</v>
      </c>
      <c r="AP67" s="1859"/>
      <c r="AQ67" s="2166">
        <f>AQ66/AL66-1</f>
        <v>7.6488549618320967E-3</v>
      </c>
      <c r="AR67" s="2166">
        <f>AR66/AM66-1</f>
        <v>2.0523437500000075E-2</v>
      </c>
      <c r="AS67" s="2166">
        <f>AS66/AN66-1</f>
        <v>6.0367999999999977E-2</v>
      </c>
      <c r="AT67" s="2166">
        <f>AT66/AO66-1</f>
        <v>4.932182490752135E-2</v>
      </c>
      <c r="AU67" s="1859"/>
      <c r="AV67" s="2166">
        <f>AV66/AQ66-1</f>
        <v>3.8158512749806972E-2</v>
      </c>
      <c r="AW67" s="2166">
        <f>AW66/AR66-1</f>
        <v>4.8787769756635457E-2</v>
      </c>
      <c r="AX67" s="2166">
        <f>AX66/AS66-1</f>
        <v>3.4252259592895129E-3</v>
      </c>
      <c r="AY67" s="2166">
        <f>AY66/AT66-1</f>
        <v>-6.727379553466506E-2</v>
      </c>
      <c r="AZ67" s="1859"/>
      <c r="BA67" s="2166">
        <f>BA66/AV66-1</f>
        <v>-0.17774205700567003</v>
      </c>
      <c r="BB67" s="2166">
        <f>BB66/AW66-1</f>
        <v>-0.18978102189781021</v>
      </c>
      <c r="BC67" s="2166">
        <f>BC66/AX66-1</f>
        <v>-0.1729323308270676</v>
      </c>
      <c r="BD67" s="2166">
        <f>BD66/AY66-1</f>
        <v>-0.13385826771653542</v>
      </c>
      <c r="BF67" s="2166">
        <f>BF66/BA66-1</f>
        <v>-2.0131149632328982E-2</v>
      </c>
      <c r="BG67" s="2166">
        <f>BG66/BB66-1</f>
        <v>1.8018018018017834E-2</v>
      </c>
      <c r="BH67" s="2166">
        <f>BH66/BC66-1</f>
        <v>-4.5454545454545525E-2</v>
      </c>
      <c r="BI67" s="2166">
        <f>BI66/BD66-1</f>
        <v>-9.0909090909090939E-2</v>
      </c>
      <c r="BK67" s="2166">
        <f>BK66/BF66-1</f>
        <v>-9.4309546883066364E-2</v>
      </c>
      <c r="BL67" s="2166">
        <f>BL66/BG66-1</f>
        <v>-0.11504424778761058</v>
      </c>
      <c r="BM67" s="2166">
        <f>BM66/BH66-1</f>
        <v>-4.7619047619047672E-2</v>
      </c>
      <c r="BN67" s="2166">
        <f>BN66/BI66-1</f>
        <v>0</v>
      </c>
      <c r="BP67" s="2166">
        <f>BP66/BK66-1</f>
        <v>0</v>
      </c>
      <c r="BQ67" s="2166">
        <f>BQ66/BL66-1</f>
        <v>0</v>
      </c>
      <c r="BR67" s="2166">
        <f>BR66/BM66-1</f>
        <v>0</v>
      </c>
      <c r="BS67" s="2166">
        <f>BS66/BN66-1</f>
        <v>0</v>
      </c>
    </row>
    <row r="68" spans="1:71">
      <c r="A68" s="2156" t="s">
        <v>168</v>
      </c>
      <c r="B68" s="2138"/>
      <c r="C68" s="2156"/>
      <c r="D68" s="2156"/>
      <c r="E68" s="2156"/>
      <c r="F68" s="2156"/>
      <c r="G68" s="2156"/>
      <c r="H68" s="2175">
        <f>H64/H67</f>
        <v>-0.54152978075610103</v>
      </c>
      <c r="I68" s="2175">
        <f>I64/I67</f>
        <v>56.401242071669543</v>
      </c>
      <c r="J68" s="2175">
        <f>J64/J67</f>
        <v>-0.77964002631905249</v>
      </c>
      <c r="K68" s="2175">
        <f>K64/K67</f>
        <v>-0.56838280475174896</v>
      </c>
      <c r="L68" s="2156"/>
      <c r="M68" s="2175">
        <f>M64/M67</f>
        <v>-0.39392912880180847</v>
      </c>
      <c r="N68" s="2175">
        <f>N64/N67</f>
        <v>-0.45146944011052637</v>
      </c>
      <c r="O68" s="2175">
        <f>O64/O67</f>
        <v>-0.70459895365907299</v>
      </c>
      <c r="P68" s="2175">
        <f>P64/P67</f>
        <v>-0.82913772814221343</v>
      </c>
      <c r="Q68" s="2156"/>
      <c r="R68" s="2175">
        <f>R64/R67</f>
        <v>-0.8373165390495495</v>
      </c>
      <c r="S68" s="2175">
        <f>S64/S67</f>
        <v>-0.67951853826462472</v>
      </c>
      <c r="T68" s="2175">
        <f>T64/T67</f>
        <v>-0.51052126133412334</v>
      </c>
      <c r="U68" s="2175">
        <f>U64/U67</f>
        <v>-1.2407428825871272</v>
      </c>
      <c r="V68" s="2156"/>
      <c r="W68" s="2175">
        <f>W64/W67</f>
        <v>-1.1640389944999594</v>
      </c>
      <c r="X68" s="2175">
        <f>X64/X67</f>
        <v>-0.9622369903412713</v>
      </c>
      <c r="Y68" s="2175">
        <f>Y64/Y67</f>
        <v>-0.54009523176191954</v>
      </c>
      <c r="Z68" s="2175">
        <f>Z64/Z67</f>
        <v>-0.88806172132990702</v>
      </c>
      <c r="AA68" s="2156"/>
      <c r="AB68" s="2175">
        <f>AB64/AB67</f>
        <v>-1.6114025127233103</v>
      </c>
      <c r="AC68" s="2175">
        <f>AC64/AC67</f>
        <v>0.31936773041312994</v>
      </c>
      <c r="AD68" s="2175">
        <f>AD64/AD67</f>
        <v>-0.1063507509558947</v>
      </c>
      <c r="AE68" s="2175">
        <f>AE64/AE67</f>
        <v>-5.5464219144770469E-2</v>
      </c>
      <c r="AF68" s="2176"/>
      <c r="AG68" s="2175">
        <f>AG64/AG67</f>
        <v>3.7099995711482565</v>
      </c>
      <c r="AH68" s="2175">
        <f>AH64/AH67</f>
        <v>-0.79225402858942018</v>
      </c>
      <c r="AI68" s="2175">
        <f>AI64/AI67</f>
        <v>-0.89603684704513675</v>
      </c>
      <c r="AJ68" s="2175">
        <f>AJ64/AJ67</f>
        <v>1.3983482397626947</v>
      </c>
      <c r="AK68" s="2156"/>
      <c r="AL68" s="2177">
        <f>AL64/AL67</f>
        <v>-0.25470978076967898</v>
      </c>
      <c r="AM68" s="2177">
        <f>AM64/AM67</f>
        <v>-0.5371803783978486</v>
      </c>
      <c r="AN68" s="2177">
        <f>AN64/AN67</f>
        <v>-0.53849250183757247</v>
      </c>
      <c r="AO68" s="2177">
        <f>AO64/AO67</f>
        <v>-0.7</v>
      </c>
      <c r="AP68" s="1859"/>
      <c r="AQ68" s="2177">
        <f>AQ64/AQ67</f>
        <v>2.4748856197070621</v>
      </c>
      <c r="AR68" s="2177">
        <f>AR64/AR67</f>
        <v>1.6487358998572168</v>
      </c>
      <c r="AS68" s="1859"/>
      <c r="AT68" s="1859"/>
      <c r="AU68" s="1859"/>
      <c r="AV68" s="2177"/>
      <c r="AW68" s="1859"/>
      <c r="AX68" s="1859"/>
      <c r="AY68" s="1859"/>
      <c r="AZ68" s="1859"/>
      <c r="BA68" s="2177"/>
      <c r="BB68" s="1859"/>
      <c r="BC68" s="1859"/>
      <c r="BD68" s="1859"/>
      <c r="BF68" s="2177"/>
      <c r="BG68" s="1859"/>
      <c r="BH68" s="1859"/>
      <c r="BI68" s="1859"/>
    </row>
    <row r="69" spans="1:71">
      <c r="A69" s="2156"/>
      <c r="B69" s="2138"/>
      <c r="C69" s="2156"/>
      <c r="D69" s="2156"/>
      <c r="E69" s="2156"/>
      <c r="F69" s="2156"/>
      <c r="G69" s="2156"/>
      <c r="H69" s="2175"/>
      <c r="I69" s="2175"/>
      <c r="J69" s="2175"/>
      <c r="K69" s="2175"/>
      <c r="L69" s="2156"/>
      <c r="M69" s="2175"/>
      <c r="N69" s="2175"/>
      <c r="O69" s="2175"/>
      <c r="P69" s="2175"/>
      <c r="Q69" s="2156"/>
      <c r="R69" s="2175"/>
      <c r="S69" s="2175"/>
      <c r="T69" s="2175"/>
      <c r="U69" s="2175"/>
      <c r="V69" s="2156"/>
      <c r="W69" s="2175"/>
      <c r="X69" s="2175"/>
      <c r="Y69" s="2175"/>
      <c r="Z69" s="2175"/>
      <c r="AA69" s="2156"/>
      <c r="AB69" s="2175"/>
      <c r="AC69" s="2175"/>
      <c r="AD69" s="2175"/>
      <c r="AE69" s="2175"/>
      <c r="AF69" s="2176"/>
      <c r="AG69" s="2175"/>
      <c r="AH69" s="2175"/>
      <c r="AI69" s="2175"/>
      <c r="AJ69" s="2175"/>
      <c r="AK69" s="2156"/>
      <c r="AL69" s="2177"/>
      <c r="AM69" s="2177"/>
      <c r="AN69" s="2177"/>
      <c r="AO69" s="2177"/>
      <c r="AP69" s="1859"/>
      <c r="AQ69" s="2177"/>
      <c r="AR69" s="1859"/>
      <c r="AS69" s="1859"/>
      <c r="AT69" s="1859"/>
      <c r="AU69" s="1859"/>
      <c r="AV69" s="2177"/>
      <c r="AW69" s="1859"/>
      <c r="AX69" s="1859"/>
      <c r="AY69" s="1859"/>
      <c r="AZ69" s="1859"/>
      <c r="BA69" s="2177"/>
      <c r="BB69" s="1859"/>
      <c r="BC69" s="1859"/>
      <c r="BD69" s="1859"/>
      <c r="BF69" s="2177"/>
      <c r="BG69" s="1859"/>
      <c r="BH69" s="1859"/>
      <c r="BI69" s="1859"/>
    </row>
    <row r="70" spans="1:71">
      <c r="A70" s="2156" t="s">
        <v>167</v>
      </c>
      <c r="B70" s="2138"/>
      <c r="C70" s="2158">
        <f>Otis!AI15</f>
        <v>0.04</v>
      </c>
      <c r="D70" s="2158">
        <f>Otis!AJ15</f>
        <v>0.04</v>
      </c>
      <c r="E70" s="2158">
        <f>Otis!AK15</f>
        <v>0</v>
      </c>
      <c r="F70" s="2158">
        <f>Otis!AL15</f>
        <v>-0.02</v>
      </c>
      <c r="G70" s="2158"/>
      <c r="H70" s="2158">
        <f>Otis!AN15</f>
        <v>-0.04</v>
      </c>
      <c r="I70" s="2158">
        <f>Otis!AO15</f>
        <v>0</v>
      </c>
      <c r="J70" s="2158">
        <f>Otis!AP15</f>
        <v>0.03</v>
      </c>
      <c r="K70" s="2158">
        <f>Otis!AQ15</f>
        <v>0.05</v>
      </c>
      <c r="L70" s="2158"/>
      <c r="M70" s="2158">
        <f>Otis!AS15</f>
        <v>0.05</v>
      </c>
      <c r="N70" s="2158">
        <f>Otis!AT15</f>
        <v>4.3363648345854745E-2</v>
      </c>
      <c r="O70" s="2158">
        <f>Otis!AU15</f>
        <v>0.05</v>
      </c>
      <c r="P70" s="2158">
        <f>Otis!AV15</f>
        <v>9.0828651685393197E-2</v>
      </c>
      <c r="Q70" s="2158"/>
      <c r="R70" s="2158">
        <f>Otis!AX15</f>
        <v>0.08</v>
      </c>
      <c r="S70" s="2158">
        <f>Otis!AY15</f>
        <v>9.1042687193841759E-2</v>
      </c>
      <c r="T70" s="2158">
        <f>Otis!AZ15</f>
        <v>5.5245231607629328E-2</v>
      </c>
      <c r="U70" s="2158">
        <f>Otis!BA15</f>
        <v>-7.5682426404995534E-2</v>
      </c>
      <c r="V70" s="2158"/>
      <c r="W70" s="2158">
        <f>Otis!BC15</f>
        <v>-9.986588158325152E-2</v>
      </c>
      <c r="X70" s="2158">
        <f>Otis!BD15</f>
        <v>-0.09</v>
      </c>
      <c r="Y70" s="2158">
        <f>Otis!BE15</f>
        <v>-0.05</v>
      </c>
      <c r="Z70" s="2158">
        <f>Otis!BF15</f>
        <v>0.06</v>
      </c>
      <c r="AA70" s="2158"/>
      <c r="AB70" s="2158">
        <f>Otis!BH15</f>
        <v>0.06</v>
      </c>
      <c r="AC70" s="2158">
        <f>Otis!BI15</f>
        <v>0.01</v>
      </c>
      <c r="AD70" s="2158">
        <f>Otis!BJ15</f>
        <v>-0.02</v>
      </c>
      <c r="AE70" s="2158">
        <f>Otis!BK15</f>
        <v>-0.02</v>
      </c>
      <c r="AF70" s="2158"/>
      <c r="AG70" s="2158">
        <f>Otis!BM15</f>
        <v>0.02</v>
      </c>
      <c r="AH70" s="2158">
        <f>Otis!BN15</f>
        <v>0.08</v>
      </c>
      <c r="AI70" s="2158">
        <f>Otis!BO15</f>
        <v>7.0000000000000007E-2</v>
      </c>
      <c r="AJ70" s="2158">
        <f>Otis!BP15</f>
        <v>0</v>
      </c>
      <c r="AK70" s="2158"/>
      <c r="AL70" s="2158">
        <f>Otis!BR15</f>
        <v>-0.01</v>
      </c>
      <c r="AM70" s="2158">
        <f>Otis!BS15</f>
        <v>-0.05</v>
      </c>
      <c r="AN70" s="2158">
        <f>Otis!BT15</f>
        <v>-0.06</v>
      </c>
      <c r="AO70" s="2158">
        <f>Otis!BU15</f>
        <v>-0.01</v>
      </c>
      <c r="AP70" s="2159">
        <f>Otis!BV15</f>
        <v>-0.03</v>
      </c>
      <c r="AQ70" s="2158">
        <f>Otis!BW15</f>
        <v>0</v>
      </c>
      <c r="AR70" s="2158">
        <f>Otis!BX15</f>
        <v>0</v>
      </c>
      <c r="AS70" s="2158">
        <f>Otis!BY15</f>
        <v>0</v>
      </c>
      <c r="AT70" s="2158">
        <f>Otis!BZ15</f>
        <v>0</v>
      </c>
      <c r="AU70" s="2159"/>
      <c r="AV70" s="2158">
        <f>Otis!CB15</f>
        <v>-0.02</v>
      </c>
      <c r="AW70" s="2158">
        <f>Otis!CC15</f>
        <v>-7.6609305289993459E-3</v>
      </c>
      <c r="AX70" s="2158">
        <f>Otis!CD15</f>
        <v>-6.7126725219572442E-3</v>
      </c>
      <c r="AY70" s="2158">
        <f>Otis!CE15</f>
        <v>-5.2392344497607615E-2</v>
      </c>
      <c r="AZ70" s="2159"/>
      <c r="BA70" s="2158">
        <f>Otis!CG15</f>
        <v>-9.1065989847715731E-2</v>
      </c>
      <c r="BB70" s="2158">
        <f>Otis!CH15</f>
        <v>-8.9346210995542394E-2</v>
      </c>
      <c r="BC70" s="2158">
        <f>Otis!CI15</f>
        <v>-0.10508719182200842</v>
      </c>
      <c r="BD70" s="2160">
        <f>BD75*AVERAGE($BA$78:$BB$78)</f>
        <v>-7.0006359632757115E-2</v>
      </c>
      <c r="BF70" s="2160">
        <f>BF75*AVERAGE($BA$78:$BB$78)</f>
        <v>-4.3124160700979838E-2</v>
      </c>
      <c r="BG70" s="2160">
        <f>BG$75*$BE78</f>
        <v>1.5222359938393257E-2</v>
      </c>
      <c r="BH70" s="2160">
        <f>BH$75*$BE78</f>
        <v>-1.1875933391139201E-2</v>
      </c>
      <c r="BI70" s="2160">
        <f>BI$75*$BE78</f>
        <v>-2.6554631126359422E-2</v>
      </c>
      <c r="BK70" s="2160">
        <f t="shared" ref="BK70:BN73" si="29">BK$75*$BE78</f>
        <v>-3.0032536504307265E-2</v>
      </c>
      <c r="BL70" s="2160">
        <f t="shared" si="29"/>
        <v>-6.2885121753173734E-2</v>
      </c>
      <c r="BM70" s="2160">
        <f t="shared" si="29"/>
        <v>-2.6029372740324703E-2</v>
      </c>
      <c r="BN70" s="2160">
        <f t="shared" si="29"/>
        <v>0</v>
      </c>
      <c r="BP70" s="2160">
        <f t="shared" ref="BP70:BS73" si="30">BP$75*$BE78</f>
        <v>0</v>
      </c>
      <c r="BQ70" s="2160">
        <f t="shared" si="30"/>
        <v>0</v>
      </c>
      <c r="BR70" s="2160">
        <f t="shared" si="30"/>
        <v>0</v>
      </c>
      <c r="BS70" s="2160">
        <f t="shared" si="30"/>
        <v>0</v>
      </c>
    </row>
    <row r="71" spans="1:71">
      <c r="A71" s="2156" t="s">
        <v>166</v>
      </c>
      <c r="B71" s="2138"/>
      <c r="C71" s="1859"/>
      <c r="D71" s="1859"/>
      <c r="E71" s="1859"/>
      <c r="F71" s="1859"/>
      <c r="G71" s="1859"/>
      <c r="H71" s="1859"/>
      <c r="I71" s="1859"/>
      <c r="J71" s="1859"/>
      <c r="K71" s="1859"/>
      <c r="L71" s="1859"/>
      <c r="M71" s="1859"/>
      <c r="N71" s="1859"/>
      <c r="O71" s="1859"/>
      <c r="P71" s="1859"/>
      <c r="Q71" s="1859"/>
      <c r="R71" s="1859"/>
      <c r="S71" s="1859"/>
      <c r="T71" s="1859"/>
      <c r="U71" s="1859"/>
      <c r="V71" s="1859"/>
      <c r="W71" s="1859"/>
      <c r="X71" s="1859"/>
      <c r="Y71" s="1859"/>
      <c r="Z71" s="1859"/>
      <c r="AA71" s="1859"/>
      <c r="AB71" s="1859"/>
      <c r="AC71" s="1859"/>
      <c r="AD71" s="1859"/>
      <c r="AE71" s="1859"/>
      <c r="AF71" s="1859"/>
      <c r="AG71" s="2158">
        <f>CCS!BI15</f>
        <v>1.3645028335909325E-2</v>
      </c>
      <c r="AH71" s="2158">
        <f>CCS!BJ15</f>
        <v>6.0290994052676301E-2</v>
      </c>
      <c r="AI71" s="2158">
        <f>CCS!BK15</f>
        <v>4.7215327672545181E-2</v>
      </c>
      <c r="AJ71" s="2158">
        <f>CCS!BL15</f>
        <v>-6.1581078201576817E-3</v>
      </c>
      <c r="AK71" s="2158"/>
      <c r="AL71" s="2158">
        <f>CCS!BN15</f>
        <v>-0.01</v>
      </c>
      <c r="AM71" s="2158">
        <f>CCS!BO15</f>
        <v>-0.03</v>
      </c>
      <c r="AN71" s="2158">
        <f>CCS!BP15</f>
        <v>-0.03</v>
      </c>
      <c r="AO71" s="2158">
        <f>CCS!BQ15</f>
        <v>-0.01</v>
      </c>
      <c r="AP71" s="2159">
        <f>CCS!BR15</f>
        <v>-0.02</v>
      </c>
      <c r="AQ71" s="2158">
        <f>CCS!BS15</f>
        <v>0</v>
      </c>
      <c r="AR71" s="2158">
        <f>CCS!BT15</f>
        <v>0</v>
      </c>
      <c r="AS71" s="2158">
        <f>CCS!BU15</f>
        <v>0</v>
      </c>
      <c r="AT71" s="2158">
        <f>CCS!BV15</f>
        <v>0</v>
      </c>
      <c r="AU71" s="2159"/>
      <c r="AV71" s="2178">
        <f>CCS!BX15</f>
        <v>0</v>
      </c>
      <c r="AW71" s="2178">
        <f>CCS!BY15</f>
        <v>0</v>
      </c>
      <c r="AX71" s="2178">
        <f>CCS!BZ15</f>
        <v>-3.0941704035873669E-3</v>
      </c>
      <c r="AY71" s="2178">
        <f>CCS!CA15</f>
        <v>-0.03</v>
      </c>
      <c r="AZ71" s="2159"/>
      <c r="BA71" s="2178">
        <f>CCS!CC15</f>
        <v>-6.9740327187743409E-2</v>
      </c>
      <c r="BB71" s="2178">
        <f>CCS!CD15</f>
        <v>-7.435538496274556E-2</v>
      </c>
      <c r="BC71" s="2178">
        <f>CCS!CE15</f>
        <v>-6.6547920018386567E-2</v>
      </c>
      <c r="BD71" s="2178">
        <f>CCS!CF15</f>
        <v>-4.6698473282442782E-2</v>
      </c>
      <c r="BF71" s="2178">
        <f>CCS!CH15</f>
        <v>-3.2191069574247111E-2</v>
      </c>
      <c r="BG71" s="2160">
        <f t="shared" ref="BG71:BI73" si="31">BG$75*$BE79</f>
        <v>8.491429165934726E-3</v>
      </c>
      <c r="BH71" s="2160">
        <f t="shared" si="31"/>
        <v>-6.6247052085448002E-3</v>
      </c>
      <c r="BI71" s="2160">
        <f t="shared" si="31"/>
        <v>-1.4812865426226873E-2</v>
      </c>
      <c r="BK71" s="2160">
        <f t="shared" si="29"/>
        <v>-1.6752931702559103E-2</v>
      </c>
      <c r="BL71" s="2160">
        <f t="shared" si="29"/>
        <v>-3.5078960103384516E-2</v>
      </c>
      <c r="BM71" s="2160">
        <f t="shared" si="29"/>
        <v>-1.4519862606895445E-2</v>
      </c>
      <c r="BN71" s="2160">
        <f t="shared" si="29"/>
        <v>0</v>
      </c>
      <c r="BP71" s="2160">
        <f t="shared" si="30"/>
        <v>0</v>
      </c>
      <c r="BQ71" s="2160">
        <f t="shared" si="30"/>
        <v>0</v>
      </c>
      <c r="BR71" s="2160">
        <f t="shared" si="30"/>
        <v>0</v>
      </c>
      <c r="BS71" s="2160">
        <f t="shared" si="30"/>
        <v>0</v>
      </c>
    </row>
    <row r="72" spans="1:71">
      <c r="A72" s="2156" t="s">
        <v>165</v>
      </c>
      <c r="B72" s="2138"/>
      <c r="C72" s="1859"/>
      <c r="D72" s="1859"/>
      <c r="E72" s="2179">
        <f>Pratt!AK15</f>
        <v>0</v>
      </c>
      <c r="F72" s="2179">
        <f>Pratt!AL15</f>
        <v>0</v>
      </c>
      <c r="G72" s="2179"/>
      <c r="H72" s="2179">
        <f>Pratt!AN15</f>
        <v>0</v>
      </c>
      <c r="I72" s="2179">
        <f>Pratt!AO15</f>
        <v>0</v>
      </c>
      <c r="J72" s="2179">
        <f>Pratt!AP15</f>
        <v>0</v>
      </c>
      <c r="K72" s="2179">
        <f>Pratt!AQ15</f>
        <v>0.01</v>
      </c>
      <c r="L72" s="2179"/>
      <c r="M72" s="2179">
        <f>Pratt!AS15</f>
        <v>0</v>
      </c>
      <c r="N72" s="2179">
        <f>Pratt!AT15</f>
        <v>0</v>
      </c>
      <c r="O72" s="2179">
        <f>Pratt!AU15</f>
        <v>0</v>
      </c>
      <c r="P72" s="2179">
        <f>Pratt!AV15</f>
        <v>0</v>
      </c>
      <c r="Q72" s="2179"/>
      <c r="R72" s="2179">
        <f>Pratt!AX15</f>
        <v>0</v>
      </c>
      <c r="S72" s="2179">
        <f>Pratt!AY15</f>
        <v>0</v>
      </c>
      <c r="T72" s="2179">
        <f>Pratt!AZ15</f>
        <v>0</v>
      </c>
      <c r="U72" s="2179">
        <f>Pratt!BA15</f>
        <v>0</v>
      </c>
      <c r="V72" s="2179"/>
      <c r="W72" s="2179">
        <f>Pratt!BC15</f>
        <v>0</v>
      </c>
      <c r="X72" s="2179">
        <f>Pratt!BD15</f>
        <v>0</v>
      </c>
      <c r="Y72" s="2179">
        <f>Pratt!BE15</f>
        <v>-0.02</v>
      </c>
      <c r="Z72" s="2179">
        <f>Pratt!BF15</f>
        <v>-5.3805408419291545E-3</v>
      </c>
      <c r="AA72" s="2179"/>
      <c r="AB72" s="2179">
        <f>Pratt!BH15</f>
        <v>0.03</v>
      </c>
      <c r="AC72" s="2179">
        <f>Pratt!BI15</f>
        <v>0.04</v>
      </c>
      <c r="AD72" s="2179">
        <f>Pratt!BJ15</f>
        <v>0.04</v>
      </c>
      <c r="AE72" s="2179">
        <f>Pratt!BK15</f>
        <v>0</v>
      </c>
      <c r="AF72" s="2179"/>
      <c r="AG72" s="2179">
        <f>Pratt!BM15</f>
        <v>-0.01</v>
      </c>
      <c r="AH72" s="2179">
        <f>Pratt!BN15</f>
        <v>-0.01</v>
      </c>
      <c r="AI72" s="2179">
        <f>Pratt!BO15</f>
        <v>-0.02</v>
      </c>
      <c r="AJ72" s="2179">
        <f>Pratt!BP15</f>
        <v>0</v>
      </c>
      <c r="AK72" s="2179"/>
      <c r="AL72" s="2179">
        <f>Pratt!BR15</f>
        <v>-0.01</v>
      </c>
      <c r="AM72" s="2179">
        <f>Pratt!BS15</f>
        <v>-0.01</v>
      </c>
      <c r="AN72" s="2179">
        <f>Pratt!BT15</f>
        <v>0</v>
      </c>
      <c r="AO72" s="2179">
        <f>Pratt!BU15</f>
        <v>0</v>
      </c>
      <c r="AP72" s="1595">
        <f>Pratt!BV15</f>
        <v>0</v>
      </c>
      <c r="AQ72" s="2179">
        <f>Pratt!BW15</f>
        <v>0</v>
      </c>
      <c r="AR72" s="2179">
        <f>Pratt!BX15</f>
        <v>0</v>
      </c>
      <c r="AS72" s="2179">
        <f>Pratt!BY15</f>
        <v>0</v>
      </c>
      <c r="AT72" s="2179">
        <f>Pratt!BZ15</f>
        <v>0</v>
      </c>
      <c r="AU72" s="1595"/>
      <c r="AV72" s="2179">
        <f>Pratt!CB15</f>
        <v>0</v>
      </c>
      <c r="AW72" s="2179">
        <f>Pratt!CC15</f>
        <v>0</v>
      </c>
      <c r="AX72" s="2179">
        <f>Pratt!CD15</f>
        <v>-7.4305965741287613E-3</v>
      </c>
      <c r="AY72" s="2179">
        <f>Pratt!CE15</f>
        <v>-6.1408657373440787E-3</v>
      </c>
      <c r="AZ72" s="1595"/>
      <c r="BA72" s="2179">
        <f>Pratt!CG15</f>
        <v>-9.0988284770201402E-3</v>
      </c>
      <c r="BB72" s="2179">
        <f>Pratt!CH15</f>
        <v>-6.3363028953229168E-3</v>
      </c>
      <c r="BC72" s="2179">
        <f>Pratt!CI15</f>
        <v>-1.2592592592592558E-2</v>
      </c>
      <c r="BD72" s="2179">
        <f>Pratt!CJ15</f>
        <v>-1.0439970171513768E-2</v>
      </c>
      <c r="BF72" s="2179">
        <f>Pratt!CL15</f>
        <v>-3.169267707082854E-3</v>
      </c>
      <c r="BG72" s="2160">
        <f t="shared" si="31"/>
        <v>1.6921394273947355E-3</v>
      </c>
      <c r="BH72" s="2160">
        <f t="shared" si="31"/>
        <v>-1.3201458387260708E-3</v>
      </c>
      <c r="BI72" s="2160">
        <f t="shared" si="31"/>
        <v>-2.9518509935837923E-3</v>
      </c>
      <c r="BK72" s="2160">
        <f t="shared" si="29"/>
        <v>-3.3384599581984414E-3</v>
      </c>
      <c r="BL72" s="2160">
        <f t="shared" si="29"/>
        <v>-6.9904005913484796E-3</v>
      </c>
      <c r="BM72" s="2160">
        <f t="shared" si="29"/>
        <v>-2.8934625158328919E-3</v>
      </c>
      <c r="BN72" s="2160">
        <f t="shared" si="29"/>
        <v>0</v>
      </c>
      <c r="BP72" s="2160">
        <f t="shared" si="30"/>
        <v>0</v>
      </c>
      <c r="BQ72" s="2160">
        <f t="shared" si="30"/>
        <v>0</v>
      </c>
      <c r="BR72" s="2160">
        <f t="shared" si="30"/>
        <v>0</v>
      </c>
      <c r="BS72" s="2160">
        <f t="shared" si="30"/>
        <v>0</v>
      </c>
    </row>
    <row r="73" spans="1:71">
      <c r="A73" s="2156" t="s">
        <v>164</v>
      </c>
      <c r="B73" s="2138"/>
      <c r="C73" s="1859"/>
      <c r="D73" s="1859"/>
      <c r="E73" s="1859"/>
      <c r="F73" s="1859"/>
      <c r="G73" s="1859"/>
      <c r="H73" s="1859"/>
      <c r="I73" s="1859"/>
      <c r="J73" s="1859"/>
      <c r="K73" s="1859"/>
      <c r="L73" s="1859"/>
      <c r="M73" s="1859"/>
      <c r="N73" s="1859"/>
      <c r="O73" s="1859"/>
      <c r="P73" s="1859"/>
      <c r="Q73" s="1859"/>
      <c r="R73" s="1859"/>
      <c r="S73" s="1859"/>
      <c r="T73" s="1859"/>
      <c r="U73" s="1859"/>
      <c r="V73" s="1859"/>
      <c r="W73" s="1859"/>
      <c r="X73" s="1859"/>
      <c r="Y73" s="1859"/>
      <c r="Z73" s="1859"/>
      <c r="AA73" s="1859"/>
      <c r="AB73" s="1859"/>
      <c r="AC73" s="1859"/>
      <c r="AD73" s="1859"/>
      <c r="AE73" s="1859"/>
      <c r="AF73" s="1859"/>
      <c r="AG73" s="2158">
        <f>'Aerospace Systems'!O15</f>
        <v>0</v>
      </c>
      <c r="AH73" s="2158">
        <f>'Aerospace Systems'!P15</f>
        <v>0.03</v>
      </c>
      <c r="AI73" s="2158">
        <f>'Aerospace Systems'!Q15</f>
        <v>0.02</v>
      </c>
      <c r="AJ73" s="2158">
        <f>'Aerospace Systems'!R15</f>
        <v>0</v>
      </c>
      <c r="AK73" s="2158"/>
      <c r="AL73" s="2158">
        <f>'Aerospace Systems'!T15</f>
        <v>0</v>
      </c>
      <c r="AM73" s="2158">
        <f>'Aerospace Systems'!U15</f>
        <v>-0.01</v>
      </c>
      <c r="AN73" s="2158">
        <f>'Aerospace Systems'!V15</f>
        <v>-0.02</v>
      </c>
      <c r="AO73" s="2158">
        <f>'Aerospace Systems'!W15</f>
        <v>0</v>
      </c>
      <c r="AP73" s="2159">
        <f>'Aerospace Systems'!X15</f>
        <v>-0.01</v>
      </c>
      <c r="AQ73" s="2158">
        <f>'Aerospace Systems'!Y15</f>
        <v>0</v>
      </c>
      <c r="AR73" s="2158">
        <f>'Aerospace Systems'!Z15</f>
        <v>0</v>
      </c>
      <c r="AS73" s="2158">
        <f>'Aerospace Systems'!AA15</f>
        <v>0</v>
      </c>
      <c r="AT73" s="2158">
        <f>'Aerospace Systems'!AB15</f>
        <v>0</v>
      </c>
      <c r="AU73" s="2159"/>
      <c r="AV73" s="2158">
        <f>'Aerospace Systems'!AD15</f>
        <v>0</v>
      </c>
      <c r="AW73" s="2158">
        <f>'Aerospace Systems'!AE15</f>
        <v>4.8509485094850591E-3</v>
      </c>
      <c r="AX73" s="2158">
        <f>'Aerospace Systems'!AF15</f>
        <v>7.3309178743961589E-3</v>
      </c>
      <c r="AY73" s="2158">
        <f>'Aerospace Systems'!AG15</f>
        <v>-8.562735439003169E-3</v>
      </c>
      <c r="AZ73" s="2159"/>
      <c r="BA73" s="2158">
        <f>'Aerospace Systems'!AI15</f>
        <v>-3.1594202898550701E-2</v>
      </c>
      <c r="BB73" s="2158">
        <f>'Aerospace Systems'!AJ15</f>
        <v>-2.1100110011001077E-2</v>
      </c>
      <c r="BC73" s="2158">
        <f>'Aerospace Systems'!AK15</f>
        <v>-1.2065063649222116E-2</v>
      </c>
      <c r="BD73" s="2158">
        <f>'Aerospace Systems'!AL15</f>
        <v>-1.9688369504730137E-2</v>
      </c>
      <c r="BF73" s="2158">
        <f>'Aerospace Systems'!AN15</f>
        <v>-2.1195039458850127E-3</v>
      </c>
      <c r="BG73" s="2160">
        <f t="shared" si="31"/>
        <v>3.1911457363138582E-3</v>
      </c>
      <c r="BH73" s="2160">
        <f t="shared" si="31"/>
        <v>-2.489616219775277E-3</v>
      </c>
      <c r="BI73" s="2160">
        <f t="shared" si="31"/>
        <v>-5.566791104744665E-3</v>
      </c>
      <c r="BK73" s="2160">
        <f t="shared" si="29"/>
        <v>-6.2958832404620101E-3</v>
      </c>
      <c r="BL73" s="2160">
        <f t="shared" si="29"/>
        <v>-1.3182948568577851E-2</v>
      </c>
      <c r="BM73" s="2160">
        <f t="shared" si="29"/>
        <v>-5.4566783452355298E-3</v>
      </c>
      <c r="BN73" s="2160">
        <f t="shared" si="29"/>
        <v>0</v>
      </c>
      <c r="BP73" s="2160">
        <f t="shared" si="30"/>
        <v>0</v>
      </c>
      <c r="BQ73" s="2160">
        <f t="shared" si="30"/>
        <v>0</v>
      </c>
      <c r="BR73" s="2160">
        <f t="shared" si="30"/>
        <v>0</v>
      </c>
      <c r="BS73" s="2160">
        <f t="shared" si="30"/>
        <v>0</v>
      </c>
    </row>
    <row r="74" spans="1:71">
      <c r="A74" s="2156" t="s">
        <v>163</v>
      </c>
      <c r="B74" s="2138"/>
      <c r="C74" s="1859"/>
      <c r="D74" s="1859"/>
      <c r="E74" s="2158">
        <v>0</v>
      </c>
      <c r="F74" s="2158">
        <v>2.3291925465838508E-2</v>
      </c>
      <c r="G74" s="2158"/>
      <c r="H74" s="2158">
        <v>0</v>
      </c>
      <c r="I74" s="2158">
        <v>0</v>
      </c>
      <c r="J74" s="2158">
        <v>2.0813771517996925E-2</v>
      </c>
      <c r="K74" s="2158">
        <v>0.01</v>
      </c>
      <c r="L74" s="2158"/>
      <c r="M74" s="2158">
        <v>0</v>
      </c>
      <c r="N74" s="2158">
        <v>0</v>
      </c>
      <c r="O74" s="2158">
        <v>0</v>
      </c>
      <c r="P74" s="2158">
        <v>0</v>
      </c>
      <c r="Q74" s="2158"/>
      <c r="R74" s="2158">
        <v>0</v>
      </c>
      <c r="S74" s="2158">
        <v>0</v>
      </c>
      <c r="T74" s="2158">
        <v>0</v>
      </c>
      <c r="U74" s="2158">
        <v>0</v>
      </c>
      <c r="V74" s="2158"/>
      <c r="W74" s="2158">
        <v>0</v>
      </c>
      <c r="X74" s="2158">
        <v>0</v>
      </c>
      <c r="Y74" s="2158">
        <v>0</v>
      </c>
      <c r="Z74" s="2158">
        <v>0</v>
      </c>
      <c r="AA74" s="2158"/>
      <c r="AB74" s="2158">
        <v>0</v>
      </c>
      <c r="AC74" s="2158">
        <v>0</v>
      </c>
      <c r="AD74" s="2158">
        <v>0</v>
      </c>
      <c r="AE74" s="2158">
        <v>0</v>
      </c>
      <c r="AF74" s="2158"/>
      <c r="AG74" s="2158">
        <v>0</v>
      </c>
      <c r="AH74" s="2158">
        <v>0</v>
      </c>
      <c r="AI74" s="2158">
        <v>0</v>
      </c>
      <c r="AJ74" s="2158">
        <v>0</v>
      </c>
      <c r="AK74" s="2158"/>
      <c r="AL74" s="2158">
        <v>0</v>
      </c>
      <c r="AM74" s="2158">
        <v>0</v>
      </c>
      <c r="AN74" s="2158">
        <v>0</v>
      </c>
      <c r="AO74" s="2158">
        <v>0</v>
      </c>
      <c r="AP74" s="2159">
        <v>0</v>
      </c>
      <c r="AQ74" s="2158">
        <v>0</v>
      </c>
      <c r="AR74" s="2158">
        <v>0</v>
      </c>
      <c r="AS74" s="2158">
        <v>0</v>
      </c>
      <c r="AT74" s="2158">
        <v>0</v>
      </c>
      <c r="AU74" s="2159"/>
      <c r="AV74" s="2158">
        <v>0</v>
      </c>
      <c r="AW74" s="2158">
        <v>0</v>
      </c>
      <c r="AX74" s="2158">
        <v>1.2654120700843902E-3</v>
      </c>
      <c r="AY74" s="2158">
        <v>-3.6900369003692313E-4</v>
      </c>
      <c r="AZ74" s="2159"/>
      <c r="BA74" s="2158">
        <v>9.3313739897132875E-4</v>
      </c>
      <c r="BB74" s="2158">
        <v>-2.533557046979884E-3</v>
      </c>
      <c r="BC74" s="2158"/>
      <c r="BD74" s="2158"/>
      <c r="BF74" s="2158"/>
      <c r="BG74" s="2160"/>
      <c r="BH74" s="2160"/>
      <c r="BI74" s="2160"/>
    </row>
    <row r="75" spans="1:71">
      <c r="A75" s="2180" t="s">
        <v>162</v>
      </c>
      <c r="B75" s="2194"/>
      <c r="C75" s="1289">
        <f>'Divisional Summary'!AE25</f>
        <v>-1.1982419616007343E-2</v>
      </c>
      <c r="D75" s="1289">
        <f>'Divisional Summary'!AF25</f>
        <v>1.9010600706713801E-2</v>
      </c>
      <c r="E75" s="1289">
        <f>'Divisional Summary'!AG25</f>
        <v>1.7683906199807226E-2</v>
      </c>
      <c r="F75" s="1289">
        <f>'Divisional Summary'!AH25</f>
        <v>-1.421242179067668E-2</v>
      </c>
      <c r="G75" s="1289">
        <f>'Divisional Summary'!AI25</f>
        <v>0</v>
      </c>
      <c r="H75" s="1289">
        <f>'Divisional Summary'!AJ25</f>
        <v>-2.1584989901137414E-2</v>
      </c>
      <c r="I75" s="1289">
        <f>'Divisional Summary'!AK25</f>
        <v>-2.8694404591114719E-4</v>
      </c>
      <c r="J75" s="1289">
        <f>'Divisional Summary'!AL25</f>
        <v>1.5359926639156279E-2</v>
      </c>
      <c r="K75" s="1289">
        <f>'Divisional Summary'!AM25</f>
        <v>2.5735512630014858E-2</v>
      </c>
      <c r="L75" s="1289">
        <f>'Divisional Summary'!AN25</f>
        <v>0.01</v>
      </c>
      <c r="M75" s="1289">
        <f>'Divisional Summary'!AO25</f>
        <v>0.03</v>
      </c>
      <c r="N75" s="1289">
        <f>'Divisional Summary'!AP25</f>
        <v>0.03</v>
      </c>
      <c r="O75" s="1289">
        <f>'Divisional Summary'!AQ25</f>
        <v>0.03</v>
      </c>
      <c r="P75" s="1289">
        <f>'Divisional Summary'!AR25</f>
        <v>0.05</v>
      </c>
      <c r="Q75" s="1289">
        <f>'Divisional Summary'!AS25</f>
        <v>0.03</v>
      </c>
      <c r="R75" s="1289">
        <f>'Divisional Summary'!AT25</f>
        <v>0.04</v>
      </c>
      <c r="S75" s="1289">
        <f>'Divisional Summary'!AU25</f>
        <v>0.05</v>
      </c>
      <c r="T75" s="1289">
        <f>'Divisional Summary'!AV25</f>
        <v>0.03</v>
      </c>
      <c r="U75" s="1289">
        <f>'Divisional Summary'!AW25</f>
        <v>-0.05</v>
      </c>
      <c r="V75" s="1289">
        <f>'Divisional Summary'!AX25</f>
        <v>0.01</v>
      </c>
      <c r="W75" s="1289">
        <f>'Divisional Summary'!AY25</f>
        <v>-0.06</v>
      </c>
      <c r="X75" s="1289">
        <f>'Divisional Summary'!AZ25</f>
        <v>-0.05</v>
      </c>
      <c r="Y75" s="1289">
        <f>'Divisional Summary'!BA25</f>
        <v>-0.03</v>
      </c>
      <c r="Z75" s="1289">
        <f>'Divisional Summary'!BB25</f>
        <v>3.0416461571724961E-2</v>
      </c>
      <c r="AA75" s="1289">
        <f>'Divisional Summary'!BC25</f>
        <v>-0.03</v>
      </c>
      <c r="AB75" s="1289">
        <f>'Divisional Summary'!BD25</f>
        <v>0.03</v>
      </c>
      <c r="AC75" s="1289">
        <f>'Divisional Summary'!BE25</f>
        <v>0</v>
      </c>
      <c r="AD75" s="1289">
        <f>'Divisional Summary'!BF25</f>
        <v>-0.01</v>
      </c>
      <c r="AE75" s="1289">
        <f>'Divisional Summary'!BG25</f>
        <v>-0.01</v>
      </c>
      <c r="AF75" s="1289">
        <f>'Divisional Summary'!BH25</f>
        <v>0.01</v>
      </c>
      <c r="AG75" s="1289">
        <f>'Divisional Summary'!BI25</f>
        <v>0.01</v>
      </c>
      <c r="AH75" s="1289">
        <f>'Divisional Summary'!BJ25</f>
        <v>0.04</v>
      </c>
      <c r="AI75" s="1289">
        <f>'Divisional Summary'!BK25</f>
        <v>0.04</v>
      </c>
      <c r="AJ75" s="1289">
        <f>'Divisional Summary'!BL25</f>
        <v>0</v>
      </c>
      <c r="AK75" s="1289">
        <f>'Divisional Summary'!BM25</f>
        <v>0.02</v>
      </c>
      <c r="AL75" s="1289">
        <f>'Divisional Summary'!BN25</f>
        <v>-0.01</v>
      </c>
      <c r="AM75" s="1289">
        <f>'Divisional Summary'!BO25</f>
        <v>-0.03</v>
      </c>
      <c r="AN75" s="1289">
        <f>'Divisional Summary'!BP25</f>
        <v>-0.03</v>
      </c>
      <c r="AO75" s="1289">
        <f>'Divisional Summary'!BQ25</f>
        <v>-0.01</v>
      </c>
      <c r="AP75" s="1289">
        <f>'Divisional Summary'!BR25</f>
        <v>-0.02</v>
      </c>
      <c r="AQ75" s="1289">
        <f>'Divisional Summary'!BS25</f>
        <v>0</v>
      </c>
      <c r="AR75" s="1289">
        <f>'Divisional Summary'!BT25</f>
        <v>0</v>
      </c>
      <c r="AS75" s="1289">
        <f>'Divisional Summary'!BU25</f>
        <v>0</v>
      </c>
      <c r="AT75" s="1289">
        <f>'Divisional Summary'!BV25</f>
        <v>0</v>
      </c>
      <c r="AU75" s="1289"/>
      <c r="AV75" s="1289">
        <f>'Divisional Summary'!BX25</f>
        <v>-3.9086047642197374E-3</v>
      </c>
      <c r="AW75" s="1289">
        <f>'Divisional Summary'!BY25</f>
        <v>-4.9543921029614288E-4</v>
      </c>
      <c r="AX75" s="1289">
        <f>'Divisional Summary'!BZ25</f>
        <v>-2.1627215108006225E-3</v>
      </c>
      <c r="AY75" s="1289">
        <f>'Divisional Summary'!CA25</f>
        <v>-2.1261411778745739E-2</v>
      </c>
      <c r="AZ75" s="1289"/>
      <c r="BA75" s="1289">
        <f>'Divisional Summary'!CC25</f>
        <v>-4.5825025432349939E-2</v>
      </c>
      <c r="BB75" s="1289">
        <f>'Divisional Summary'!CD25</f>
        <v>-4.2783433191786409E-2</v>
      </c>
      <c r="BC75" s="1289">
        <f>'Divisional Summary'!CE25</f>
        <v>-4.4940623453735777E-2</v>
      </c>
      <c r="BD75" s="1289">
        <f>'Divisional Summary'!CF25</f>
        <v>-3.4353965638973881E-2</v>
      </c>
      <c r="BF75" s="1289">
        <f>'Divisional Summary'!CH25</f>
        <v>-2.116216216216216E-2</v>
      </c>
      <c r="BG75" s="1289">
        <f>BG76*AVERAGE(BG64,-BG67)</f>
        <v>5.5681863827243801E-3</v>
      </c>
      <c r="BH75" s="2181">
        <f>BH76*AVERAGE(BH64,-BH67)</f>
        <v>-4.3440971609072935E-3</v>
      </c>
      <c r="BI75" s="2181">
        <f>BI76*AVERAGE(BI64,-BI67)</f>
        <v>-9.7134173698740205E-3</v>
      </c>
      <c r="BK75" s="1289">
        <f>BK76*AVERAGE(BK64,-BK67)</f>
        <v>-1.0985600227477448E-2</v>
      </c>
      <c r="BL75" s="1289">
        <f>BL76*AVERAGE(BL64,-BL67)</f>
        <v>-2.300274596311682E-2</v>
      </c>
      <c r="BM75" s="2181">
        <f>BM76*AVERAGE(BM64,-BM67)</f>
        <v>-9.5212831275904939E-3</v>
      </c>
      <c r="BN75" s="2181">
        <f>BN76*AVERAGE(BN64,-BN67)</f>
        <v>0</v>
      </c>
      <c r="BP75" s="1289">
        <f>BP76*AVERAGE(BP64,-BP67)</f>
        <v>0</v>
      </c>
      <c r="BQ75" s="1289">
        <f>BQ76*AVERAGE(BQ64,-BQ67)</f>
        <v>0</v>
      </c>
      <c r="BR75" s="2181">
        <f>BR76*AVERAGE(BR64,-BR67)</f>
        <v>0</v>
      </c>
      <c r="BS75" s="2181">
        <f>BS76*AVERAGE(BS64,-BS67)</f>
        <v>0</v>
      </c>
    </row>
    <row r="76" spans="1:71">
      <c r="A76" s="2182" t="s">
        <v>161</v>
      </c>
      <c r="B76" s="2193"/>
      <c r="C76" s="1861"/>
      <c r="D76" s="1861"/>
      <c r="E76" s="1861"/>
      <c r="F76" s="1861"/>
      <c r="G76" s="1861"/>
      <c r="H76" s="2183">
        <f>H75/H64</f>
        <v>-0.48683969570471469</v>
      </c>
      <c r="I76" s="1861">
        <f>I75/I64</f>
        <v>1.5250531832809141E-2</v>
      </c>
      <c r="J76" s="1861">
        <f>J75/J64</f>
        <v>-0.44224285308728239</v>
      </c>
      <c r="K76" s="1861">
        <f>K75/K64</f>
        <v>-0.53474925638361004</v>
      </c>
      <c r="L76" s="1861"/>
      <c r="M76" s="1861">
        <f>M75/M64</f>
        <v>-0.85083689411136376</v>
      </c>
      <c r="N76" s="1861">
        <f>N75/N64</f>
        <v>-0.93193936641308062</v>
      </c>
      <c r="O76" s="1861">
        <f>O75/O64</f>
        <v>-0.54269169435215958</v>
      </c>
      <c r="P76" s="1861">
        <f>P75/P64</f>
        <v>-0.49141539275705726</v>
      </c>
      <c r="Q76" s="1861"/>
      <c r="R76" s="1861">
        <f>R75/R64</f>
        <v>-0.33267364105894381</v>
      </c>
      <c r="S76" s="1861">
        <f>S75/S64</f>
        <v>-0.4618781253634141</v>
      </c>
      <c r="T76" s="1861">
        <f>T75/T64</f>
        <v>-0.62491307164839927</v>
      </c>
      <c r="U76" s="1861">
        <f>U75/U64</f>
        <v>-0.45739674468456387</v>
      </c>
      <c r="V76" s="1861"/>
      <c r="W76" s="1861">
        <f>W75/W64</f>
        <v>-0.39989389135880027</v>
      </c>
      <c r="X76" s="1861">
        <f>X75/X64</f>
        <v>-0.40538647315347914</v>
      </c>
      <c r="Y76" s="1861">
        <f>Y75/Y64</f>
        <v>-1.1331124023035744</v>
      </c>
      <c r="Z76" s="1861">
        <f>Z75/Z64</f>
        <v>-0.29024157498185971</v>
      </c>
      <c r="AA76" s="1861"/>
      <c r="AB76" s="1861">
        <f>AB75/AB64</f>
        <v>-0.31290565610575188</v>
      </c>
      <c r="AC76" s="1861">
        <f>AC75/AC64</f>
        <v>0</v>
      </c>
      <c r="AD76" s="1861">
        <f>AD75/AD64</f>
        <v>-0.98063077123162457</v>
      </c>
      <c r="AE76" s="1861">
        <f>AE75/AE64</f>
        <v>-2.2455914972273576</v>
      </c>
      <c r="AF76" s="1861"/>
      <c r="AG76" s="1861">
        <f>AG75/AG64</f>
        <v>-0.26083353626717726</v>
      </c>
      <c r="AH76" s="1861">
        <f>AH75/AH64</f>
        <v>-0.38456016489959127</v>
      </c>
      <c r="AI76" s="1861">
        <f>AI75/AI64</f>
        <v>-0.48177353299283654</v>
      </c>
      <c r="AJ76" s="1861">
        <f>AJ75/AJ64</f>
        <v>0</v>
      </c>
      <c r="AK76" s="1861"/>
      <c r="AL76" s="1861">
        <f>AL75/AL64</f>
        <v>-0.90364832685800844</v>
      </c>
      <c r="AM76" s="1861">
        <f>AM75/AM64</f>
        <v>-0.50326763136387664</v>
      </c>
      <c r="AN76" s="1861">
        <f>AN75/AN64</f>
        <v>-0.4834156188718417</v>
      </c>
      <c r="AO76" s="1861">
        <f>AO75/AO64</f>
        <v>-0.3883200737922286</v>
      </c>
      <c r="AP76" s="2184">
        <f>MEDIAN(H76:AO76)</f>
        <v>-0.47182582917812532</v>
      </c>
      <c r="AQ76" s="1861">
        <f>AQ75/AQ64</f>
        <v>0</v>
      </c>
      <c r="AR76" s="1861">
        <f>AR75/AR64</f>
        <v>0</v>
      </c>
      <c r="AS76" s="1861">
        <f>AS75/AS64</f>
        <v>0</v>
      </c>
      <c r="AT76" s="1861">
        <f>AT75/AT64</f>
        <v>0</v>
      </c>
      <c r="AU76" s="1861"/>
      <c r="AV76" s="2185">
        <f>AV75/AV64</f>
        <v>-0.10324721261957433</v>
      </c>
      <c r="AW76" s="2185">
        <f>AW75/AW64</f>
        <v>-0.79407687918921777</v>
      </c>
      <c r="AX76" s="2185">
        <f>AX75/AX64</f>
        <v>-0.12593863298159183</v>
      </c>
      <c r="AY76" s="2185">
        <f>AY75/AY64</f>
        <v>-0.31969410460819769</v>
      </c>
      <c r="AZ76" s="2186"/>
      <c r="BA76" s="2185">
        <f>BA75/BA64</f>
        <v>-0.28690463650123993</v>
      </c>
      <c r="BB76" s="2185">
        <f>BB75/BB64</f>
        <v>-0.24279915720857997</v>
      </c>
      <c r="BC76" s="2185">
        <f>BC75/BC64</f>
        <v>-0.25209186509263576</v>
      </c>
      <c r="BD76" s="2185">
        <f>BD75/BD64</f>
        <v>-0.22189390518386595</v>
      </c>
      <c r="BE76" s="2187">
        <f>AVERAGE(AV76:BD76)</f>
        <v>-0.29333079917311289</v>
      </c>
      <c r="BF76" s="2185">
        <f>BF75/BF64</f>
        <v>-0.49331459253689719</v>
      </c>
      <c r="BG76" s="2186">
        <f>+BF76</f>
        <v>-0.49331459253689719</v>
      </c>
      <c r="BH76" s="2186">
        <f>$B$54</f>
        <v>-0.39989389135880027</v>
      </c>
      <c r="BI76" s="2186">
        <f>+BH76</f>
        <v>-0.39989389135880027</v>
      </c>
      <c r="BK76" s="2186">
        <f>BI76</f>
        <v>-0.39989389135880027</v>
      </c>
      <c r="BL76" s="2186">
        <f>+BK76</f>
        <v>-0.39989389135880027</v>
      </c>
      <c r="BM76" s="2186">
        <f>+BL76</f>
        <v>-0.39989389135880027</v>
      </c>
      <c r="BN76" s="2186">
        <f>+BM76</f>
        <v>-0.39989389135880027</v>
      </c>
      <c r="BP76" s="2186">
        <f>BN76</f>
        <v>-0.39989389135880027</v>
      </c>
      <c r="BQ76" s="2186">
        <f>+BP76</f>
        <v>-0.39989389135880027</v>
      </c>
      <c r="BR76" s="2186">
        <f>+BQ76</f>
        <v>-0.39989389135880027</v>
      </c>
      <c r="BS76" s="2186">
        <f>+BR76</f>
        <v>-0.39989389135880027</v>
      </c>
    </row>
    <row r="77" spans="1:71">
      <c r="A77" s="2156"/>
      <c r="B77" s="2138"/>
      <c r="C77" s="1859"/>
      <c r="D77" s="1859"/>
      <c r="E77" s="1859"/>
      <c r="F77" s="1859"/>
      <c r="G77" s="1859"/>
      <c r="H77" s="1859"/>
      <c r="I77" s="1859"/>
      <c r="J77" s="1859"/>
      <c r="K77" s="1859"/>
      <c r="L77" s="1859"/>
      <c r="M77" s="1859"/>
      <c r="N77" s="1859"/>
      <c r="O77" s="1859"/>
      <c r="P77" s="1859"/>
      <c r="Q77" s="1859"/>
      <c r="R77" s="1859"/>
      <c r="S77" s="1859"/>
      <c r="T77" s="1859"/>
      <c r="U77" s="1859"/>
      <c r="V77" s="1859"/>
      <c r="W77" s="1859"/>
      <c r="X77" s="1859"/>
      <c r="Y77" s="1859"/>
      <c r="Z77" s="1859"/>
      <c r="AA77" s="1859"/>
      <c r="AB77" s="1859"/>
      <c r="AC77" s="1859"/>
      <c r="AD77" s="1859"/>
      <c r="AE77" s="1859"/>
      <c r="AF77" s="1859"/>
      <c r="AG77" s="1859"/>
      <c r="AH77" s="1859"/>
      <c r="AI77" s="1859"/>
      <c r="AJ77" s="1859"/>
      <c r="AK77" s="1859"/>
      <c r="AL77" s="1859"/>
      <c r="AM77" s="1859"/>
      <c r="AN77" s="1859"/>
      <c r="AO77" s="1859"/>
      <c r="AP77" s="1859"/>
      <c r="AQ77" s="1859"/>
      <c r="AR77" s="1859"/>
      <c r="AS77" s="1859"/>
      <c r="AT77" s="1859"/>
      <c r="AU77" s="1859"/>
      <c r="AV77" s="1859"/>
      <c r="AW77" s="1859"/>
      <c r="AX77" s="1859"/>
      <c r="AY77" s="1859"/>
      <c r="AZ77" s="1859"/>
      <c r="BA77" s="1859"/>
      <c r="BB77" s="1859"/>
      <c r="BC77" s="1859"/>
      <c r="BD77" s="1859"/>
    </row>
    <row r="78" spans="1:71">
      <c r="A78" s="2156" t="s">
        <v>160</v>
      </c>
      <c r="B78" s="2138"/>
      <c r="C78" s="2185">
        <f>C70/C$75</f>
        <v>-3.3382239382239547</v>
      </c>
      <c r="D78" s="2185">
        <f>D70/D$75</f>
        <v>2.1040892193308527</v>
      </c>
      <c r="E78" s="2185">
        <f>E70/E$75</f>
        <v>0</v>
      </c>
      <c r="F78" s="2185">
        <f>F70/F$75</f>
        <v>1.4072197050273276</v>
      </c>
      <c r="G78" s="2185"/>
      <c r="H78" s="2185">
        <f>H70/H$75</f>
        <v>1.8531396207830615</v>
      </c>
      <c r="I78" s="2185">
        <f>I70/I$75</f>
        <v>0</v>
      </c>
      <c r="J78" s="2185">
        <f>J70/J$75</f>
        <v>1.9531343283582179</v>
      </c>
      <c r="K78" s="2185">
        <f>K70/K$75</f>
        <v>1.9428406466512704</v>
      </c>
      <c r="L78" s="2185"/>
      <c r="M78" s="2185">
        <f>M70/M$75</f>
        <v>1.6666666666666667</v>
      </c>
      <c r="N78" s="2185">
        <f>N70/N$75</f>
        <v>1.4454549448618248</v>
      </c>
      <c r="O78" s="2185">
        <f>O70/O$75</f>
        <v>1.6666666666666667</v>
      </c>
      <c r="P78" s="2185">
        <f>P70/P$75</f>
        <v>1.8165730337078638</v>
      </c>
      <c r="Q78" s="2185"/>
      <c r="R78" s="2185">
        <f>R70/R$75</f>
        <v>2</v>
      </c>
      <c r="S78" s="2185">
        <f>S70/S$75</f>
        <v>1.8208537438768351</v>
      </c>
      <c r="T78" s="2185">
        <f>T70/T$75</f>
        <v>1.8415077202543111</v>
      </c>
      <c r="U78" s="2185">
        <f>U70/U$75</f>
        <v>1.5136485280999106</v>
      </c>
      <c r="V78" s="2185"/>
      <c r="W78" s="2185">
        <f>W70/W$75</f>
        <v>1.6644313597208586</v>
      </c>
      <c r="X78" s="2185">
        <f>X70/X$75</f>
        <v>1.7999999999999998</v>
      </c>
      <c r="Y78" s="2185">
        <f>Y70/Y$75</f>
        <v>1.6666666666666667</v>
      </c>
      <c r="Z78" s="2185">
        <f>Z70/Z$75</f>
        <v>1.9726160407749662</v>
      </c>
      <c r="AA78" s="2185"/>
      <c r="AB78" s="2185">
        <f>AB70/AB$75</f>
        <v>2</v>
      </c>
      <c r="AC78" s="2188" t="s">
        <v>155</v>
      </c>
      <c r="AD78" s="2185">
        <f>AD70/AD$75</f>
        <v>2</v>
      </c>
      <c r="AE78" s="2185">
        <f>AE70/AE$75</f>
        <v>2</v>
      </c>
      <c r="AF78" s="2185"/>
      <c r="AG78" s="2185">
        <f>AG70/AG$75</f>
        <v>2</v>
      </c>
      <c r="AH78" s="2185">
        <f>AH70/AH$75</f>
        <v>2</v>
      </c>
      <c r="AI78" s="2185">
        <f>AI70/AI$75</f>
        <v>1.7500000000000002</v>
      </c>
      <c r="AJ78" s="2188" t="s">
        <v>155</v>
      </c>
      <c r="AK78" s="2185"/>
      <c r="AL78" s="2185">
        <f t="shared" ref="AL78:AO82" si="32">AL70/AL$75</f>
        <v>1</v>
      </c>
      <c r="AM78" s="2185">
        <f t="shared" si="32"/>
        <v>1.6666666666666667</v>
      </c>
      <c r="AN78" s="2185">
        <f t="shared" si="32"/>
        <v>2</v>
      </c>
      <c r="AO78" s="2185">
        <f t="shared" si="32"/>
        <v>1</v>
      </c>
      <c r="AP78" s="2184">
        <f>MEDIAN(AL78:AO78)</f>
        <v>1.3333333333333335</v>
      </c>
      <c r="AQ78" s="2185"/>
      <c r="AR78" s="2185"/>
      <c r="AS78" s="2185"/>
      <c r="AT78" s="2185"/>
      <c r="AU78" s="2184"/>
      <c r="AV78" s="2185">
        <f t="shared" ref="AV78:AY82" si="33">AV70/AV$75</f>
        <v>5.1169154228855724</v>
      </c>
      <c r="AW78" s="2185">
        <f t="shared" si="33"/>
        <v>15.462907193841431</v>
      </c>
      <c r="AX78" s="2185">
        <f t="shared" si="33"/>
        <v>3.10380809014669</v>
      </c>
      <c r="AY78" s="2185">
        <f t="shared" si="33"/>
        <v>2.464198757957472</v>
      </c>
      <c r="AZ78" s="2184"/>
      <c r="BA78" s="2185">
        <f t="shared" ref="BA78:BB82" si="34">BA70/BA$75</f>
        <v>1.9872545402545083</v>
      </c>
      <c r="BB78" s="2185">
        <f t="shared" si="34"/>
        <v>2.0883366371050172</v>
      </c>
      <c r="BC78" s="2185">
        <f t="shared" ref="BC78:BD82" si="35">BC70/BC$75</f>
        <v>2.3383563410105035</v>
      </c>
      <c r="BD78" s="2185">
        <f t="shared" si="35"/>
        <v>2.0377955886797627</v>
      </c>
      <c r="BE78" s="2187">
        <f>AVERAGE(AX78:BD78,AV78)</f>
        <v>2.7338093397199326</v>
      </c>
    </row>
    <row r="79" spans="1:71">
      <c r="A79" s="2156" t="s">
        <v>159</v>
      </c>
      <c r="B79" s="2138"/>
      <c r="C79" s="2185"/>
      <c r="D79" s="2185"/>
      <c r="E79" s="2185"/>
      <c r="F79" s="2185"/>
      <c r="G79" s="2185"/>
      <c r="H79" s="2185"/>
      <c r="I79" s="2185"/>
      <c r="J79" s="2185"/>
      <c r="K79" s="2185"/>
      <c r="L79" s="2185"/>
      <c r="M79" s="2185"/>
      <c r="N79" s="2185"/>
      <c r="O79" s="2185"/>
      <c r="P79" s="2185"/>
      <c r="Q79" s="2185"/>
      <c r="R79" s="2185"/>
      <c r="S79" s="2185"/>
      <c r="T79" s="2185"/>
      <c r="U79" s="2185"/>
      <c r="V79" s="2185"/>
      <c r="W79" s="2185"/>
      <c r="X79" s="2185"/>
      <c r="Y79" s="2185"/>
      <c r="Z79" s="2185"/>
      <c r="AA79" s="2185"/>
      <c r="AB79" s="2185"/>
      <c r="AC79" s="2188" t="s">
        <v>155</v>
      </c>
      <c r="AD79" s="2185"/>
      <c r="AE79" s="2185"/>
      <c r="AF79" s="2185"/>
      <c r="AG79" s="2185"/>
      <c r="AH79" s="2185">
        <f t="shared" ref="AH79:AI82" si="36">AH71/AH$75</f>
        <v>1.5072748513169074</v>
      </c>
      <c r="AI79" s="2185">
        <f t="shared" si="36"/>
        <v>1.1803831918136294</v>
      </c>
      <c r="AJ79" s="2188" t="s">
        <v>155</v>
      </c>
      <c r="AK79" s="2185"/>
      <c r="AL79" s="2185">
        <f t="shared" si="32"/>
        <v>1</v>
      </c>
      <c r="AM79" s="2185">
        <f t="shared" si="32"/>
        <v>1</v>
      </c>
      <c r="AN79" s="2185">
        <f t="shared" si="32"/>
        <v>1</v>
      </c>
      <c r="AO79" s="2185">
        <f t="shared" si="32"/>
        <v>1</v>
      </c>
      <c r="AP79" s="2184">
        <f>MEDIAN(AL79:AO79)</f>
        <v>1</v>
      </c>
      <c r="AQ79" s="2185"/>
      <c r="AR79" s="2185"/>
      <c r="AS79" s="2185"/>
      <c r="AT79" s="2185"/>
      <c r="AU79" s="2184"/>
      <c r="AV79" s="2185">
        <f t="shared" si="33"/>
        <v>0</v>
      </c>
      <c r="AW79" s="2185">
        <f t="shared" si="33"/>
        <v>0</v>
      </c>
      <c r="AX79" s="2185">
        <f t="shared" si="33"/>
        <v>1.4306836955822062</v>
      </c>
      <c r="AY79" s="2185">
        <f t="shared" si="33"/>
        <v>1.4110069600359234</v>
      </c>
      <c r="AZ79" s="2184"/>
      <c r="BA79" s="2185">
        <f t="shared" si="34"/>
        <v>1.521883000167646</v>
      </c>
      <c r="BB79" s="2185">
        <f t="shared" si="34"/>
        <v>1.7379480657718782</v>
      </c>
      <c r="BC79" s="2185">
        <f t="shared" si="35"/>
        <v>1.480796546734481</v>
      </c>
      <c r="BD79" s="2185">
        <f t="shared" si="35"/>
        <v>1.359332828506538</v>
      </c>
      <c r="BE79" s="2187">
        <f>AVERAGE(BA79:BD79)</f>
        <v>1.524990110295136</v>
      </c>
    </row>
    <row r="80" spans="1:71">
      <c r="A80" s="2156" t="s">
        <v>158</v>
      </c>
      <c r="B80" s="2138"/>
      <c r="C80" s="2185"/>
      <c r="D80" s="2185"/>
      <c r="E80" s="2185">
        <f>E72/E$75</f>
        <v>0</v>
      </c>
      <c r="F80" s="2185">
        <f>F72/F$75</f>
        <v>0</v>
      </c>
      <c r="G80" s="2185"/>
      <c r="H80" s="2185">
        <f>H72/H$75</f>
        <v>0</v>
      </c>
      <c r="I80" s="2185">
        <f>I72/I$75</f>
        <v>0</v>
      </c>
      <c r="J80" s="2185">
        <f>J72/J$75</f>
        <v>0</v>
      </c>
      <c r="K80" s="2185">
        <f>K72/K$75</f>
        <v>0.38856812933025403</v>
      </c>
      <c r="L80" s="2185"/>
      <c r="M80" s="2185">
        <f>M72/M$75</f>
        <v>0</v>
      </c>
      <c r="N80" s="2185">
        <f>N72/N$75</f>
        <v>0</v>
      </c>
      <c r="O80" s="2185">
        <f>O72/O$75</f>
        <v>0</v>
      </c>
      <c r="P80" s="2185">
        <f>P72/P$75</f>
        <v>0</v>
      </c>
      <c r="Q80" s="2185"/>
      <c r="R80" s="2185">
        <f>R72/R$75</f>
        <v>0</v>
      </c>
      <c r="S80" s="2185">
        <f>S72/S$75</f>
        <v>0</v>
      </c>
      <c r="T80" s="2185">
        <f>T72/T$75</f>
        <v>0</v>
      </c>
      <c r="U80" s="2185">
        <f>U72/U$75</f>
        <v>0</v>
      </c>
      <c r="V80" s="2185"/>
      <c r="W80" s="2185">
        <f>W72/W$75</f>
        <v>0</v>
      </c>
      <c r="X80" s="2185">
        <f>X72/X$75</f>
        <v>0</v>
      </c>
      <c r="Y80" s="2185">
        <f>Y72/Y$75</f>
        <v>0.66666666666666674</v>
      </c>
      <c r="Z80" s="2185">
        <f>Z72/Z$75</f>
        <v>-0.17689568621390486</v>
      </c>
      <c r="AA80" s="2185"/>
      <c r="AB80" s="2185">
        <f>AB72/AB$75</f>
        <v>1</v>
      </c>
      <c r="AC80" s="2188" t="s">
        <v>155</v>
      </c>
      <c r="AD80" s="2185">
        <f>AD72/AD$75</f>
        <v>-4</v>
      </c>
      <c r="AE80" s="2185">
        <f>AE72/AE$75</f>
        <v>0</v>
      </c>
      <c r="AF80" s="2185"/>
      <c r="AG80" s="2185">
        <f>AG72/AG$75</f>
        <v>-1</v>
      </c>
      <c r="AH80" s="2185">
        <f t="shared" si="36"/>
        <v>-0.25</v>
      </c>
      <c r="AI80" s="2185">
        <f t="shared" si="36"/>
        <v>-0.5</v>
      </c>
      <c r="AJ80" s="2188" t="s">
        <v>155</v>
      </c>
      <c r="AK80" s="2185"/>
      <c r="AL80" s="2185">
        <f t="shared" si="32"/>
        <v>1</v>
      </c>
      <c r="AM80" s="2185">
        <f t="shared" si="32"/>
        <v>0.33333333333333337</v>
      </c>
      <c r="AN80" s="2185">
        <f t="shared" si="32"/>
        <v>0</v>
      </c>
      <c r="AO80" s="2185">
        <f t="shared" si="32"/>
        <v>0</v>
      </c>
      <c r="AP80" s="2184">
        <f>MEDIAN(E80:AO80)</f>
        <v>0</v>
      </c>
      <c r="AQ80" s="2185"/>
      <c r="AR80" s="2185"/>
      <c r="AS80" s="2185"/>
      <c r="AT80" s="2185"/>
      <c r="AU80" s="2184"/>
      <c r="AV80" s="2185">
        <f t="shared" si="33"/>
        <v>0</v>
      </c>
      <c r="AW80" s="2185">
        <f t="shared" si="33"/>
        <v>0</v>
      </c>
      <c r="AX80" s="2185">
        <f t="shared" si="33"/>
        <v>3.4357620881932287</v>
      </c>
      <c r="AY80" s="2185">
        <f t="shared" si="33"/>
        <v>0.28882680986795428</v>
      </c>
      <c r="AZ80" s="2184"/>
      <c r="BA80" s="2185">
        <f t="shared" si="34"/>
        <v>0.19855588493785908</v>
      </c>
      <c r="BB80" s="2185">
        <f t="shared" si="34"/>
        <v>0.1481017866639876</v>
      </c>
      <c r="BC80" s="2185">
        <f t="shared" si="35"/>
        <v>0.28020511565790873</v>
      </c>
      <c r="BD80" s="2185">
        <f t="shared" si="35"/>
        <v>0.30389417865836815</v>
      </c>
      <c r="BE80" s="2187">
        <f>BD80</f>
        <v>0.30389417865836815</v>
      </c>
    </row>
    <row r="81" spans="1:57">
      <c r="A81" s="2156" t="s">
        <v>157</v>
      </c>
      <c r="B81" s="2138"/>
      <c r="C81" s="2185"/>
      <c r="D81" s="2185"/>
      <c r="E81" s="2185"/>
      <c r="F81" s="2185"/>
      <c r="G81" s="2185"/>
      <c r="H81" s="2185"/>
      <c r="I81" s="2185"/>
      <c r="J81" s="2185"/>
      <c r="K81" s="2185"/>
      <c r="L81" s="2185"/>
      <c r="M81" s="2185"/>
      <c r="N81" s="2185"/>
      <c r="O81" s="2185"/>
      <c r="P81" s="2185"/>
      <c r="Q81" s="2185"/>
      <c r="R81" s="2185"/>
      <c r="S81" s="2185"/>
      <c r="T81" s="2185"/>
      <c r="U81" s="2185"/>
      <c r="V81" s="2185"/>
      <c r="W81" s="2185"/>
      <c r="X81" s="2185"/>
      <c r="Y81" s="2185"/>
      <c r="Z81" s="2185"/>
      <c r="AA81" s="2185"/>
      <c r="AB81" s="2185"/>
      <c r="AC81" s="2188" t="s">
        <v>155</v>
      </c>
      <c r="AD81" s="2185"/>
      <c r="AE81" s="2185"/>
      <c r="AF81" s="2185"/>
      <c r="AG81" s="2185"/>
      <c r="AH81" s="2185">
        <f t="shared" si="36"/>
        <v>0.75</v>
      </c>
      <c r="AI81" s="2185">
        <f t="shared" si="36"/>
        <v>0.5</v>
      </c>
      <c r="AJ81" s="2188" t="s">
        <v>155</v>
      </c>
      <c r="AK81" s="2185"/>
      <c r="AL81" s="2185">
        <f t="shared" si="32"/>
        <v>0</v>
      </c>
      <c r="AM81" s="2185">
        <f t="shared" si="32"/>
        <v>0.33333333333333337</v>
      </c>
      <c r="AN81" s="2185">
        <f t="shared" si="32"/>
        <v>0.66666666666666674</v>
      </c>
      <c r="AO81" s="2185">
        <f t="shared" si="32"/>
        <v>0</v>
      </c>
      <c r="AP81" s="2184">
        <f>MEDIAN(AL81:AO81)</f>
        <v>0.16666666666666669</v>
      </c>
      <c r="AQ81" s="2185"/>
      <c r="AR81" s="2185"/>
      <c r="AS81" s="2185"/>
      <c r="AT81" s="2185"/>
      <c r="AU81" s="2184"/>
      <c r="AV81" s="2185">
        <f t="shared" si="33"/>
        <v>0</v>
      </c>
      <c r="AW81" s="2185">
        <f t="shared" si="33"/>
        <v>-9.7912083030034349</v>
      </c>
      <c r="AX81" s="2185">
        <f t="shared" si="33"/>
        <v>-3.3896726128563408</v>
      </c>
      <c r="AY81" s="2185">
        <f t="shared" si="33"/>
        <v>0.40273597671265765</v>
      </c>
      <c r="AZ81" s="2184"/>
      <c r="BA81" s="2185">
        <f t="shared" si="34"/>
        <v>0.68945303576955441</v>
      </c>
      <c r="BB81" s="2185">
        <f t="shared" si="34"/>
        <v>0.49318412378022736</v>
      </c>
      <c r="BC81" s="2185">
        <f t="shared" si="35"/>
        <v>0.2684667617404668</v>
      </c>
      <c r="BD81" s="2185">
        <f t="shared" si="35"/>
        <v>0.57310325426867392</v>
      </c>
      <c r="BE81" s="2187">
        <f>BD81</f>
        <v>0.57310325426867392</v>
      </c>
    </row>
    <row r="82" spans="1:57">
      <c r="A82" s="2156" t="s">
        <v>156</v>
      </c>
      <c r="B82" s="2138"/>
      <c r="C82" s="2185"/>
      <c r="D82" s="2185"/>
      <c r="E82" s="2185">
        <f>E74/E$75</f>
        <v>0</v>
      </c>
      <c r="F82" s="2185">
        <f>F74/F$75</f>
        <v>-1.6388428241777881</v>
      </c>
      <c r="G82" s="2185"/>
      <c r="H82" s="2185">
        <f>H74/H$75</f>
        <v>0</v>
      </c>
      <c r="I82" s="2185">
        <f>I74/I$75</f>
        <v>0</v>
      </c>
      <c r="J82" s="2185">
        <f>J74/J$75</f>
        <v>1.3550697218134777</v>
      </c>
      <c r="K82" s="2185">
        <f>K74/K$75</f>
        <v>0.38856812933025403</v>
      </c>
      <c r="L82" s="2185"/>
      <c r="M82" s="2185">
        <f>M74/M$75</f>
        <v>0</v>
      </c>
      <c r="N82" s="2185">
        <f>N74/N$75</f>
        <v>0</v>
      </c>
      <c r="O82" s="2185">
        <f>O74/O$75</f>
        <v>0</v>
      </c>
      <c r="P82" s="2185">
        <f>P74/P$75</f>
        <v>0</v>
      </c>
      <c r="Q82" s="2185"/>
      <c r="R82" s="2185">
        <f>R74/R$75</f>
        <v>0</v>
      </c>
      <c r="S82" s="2185">
        <f>S74/S$75</f>
        <v>0</v>
      </c>
      <c r="T82" s="2185">
        <f>T74/T$75</f>
        <v>0</v>
      </c>
      <c r="U82" s="2185">
        <f>U74/U$75</f>
        <v>0</v>
      </c>
      <c r="V82" s="2185"/>
      <c r="W82" s="2185">
        <f>W74/W$75</f>
        <v>0</v>
      </c>
      <c r="X82" s="2185">
        <f>X74/X$75</f>
        <v>0</v>
      </c>
      <c r="Y82" s="2185">
        <f>Y74/Y$75</f>
        <v>0</v>
      </c>
      <c r="Z82" s="2185">
        <f>Z74/Z$75</f>
        <v>0</v>
      </c>
      <c r="AA82" s="2185"/>
      <c r="AB82" s="2185">
        <f>AB74/AB$75</f>
        <v>0</v>
      </c>
      <c r="AC82" s="2188" t="s">
        <v>155</v>
      </c>
      <c r="AD82" s="2185">
        <f>AD74/AD$75</f>
        <v>0</v>
      </c>
      <c r="AE82" s="2185">
        <f>AE74/AE$75</f>
        <v>0</v>
      </c>
      <c r="AF82" s="2185"/>
      <c r="AG82" s="2185">
        <f>AG74/AG$75</f>
        <v>0</v>
      </c>
      <c r="AH82" s="2185">
        <f t="shared" si="36"/>
        <v>0</v>
      </c>
      <c r="AI82" s="2185">
        <f t="shared" si="36"/>
        <v>0</v>
      </c>
      <c r="AJ82" s="2188" t="s">
        <v>155</v>
      </c>
      <c r="AK82" s="2185"/>
      <c r="AL82" s="2185">
        <f t="shared" si="32"/>
        <v>0</v>
      </c>
      <c r="AM82" s="2185">
        <f t="shared" si="32"/>
        <v>0</v>
      </c>
      <c r="AN82" s="2185">
        <f t="shared" si="32"/>
        <v>0</v>
      </c>
      <c r="AO82" s="2185">
        <f t="shared" si="32"/>
        <v>0</v>
      </c>
      <c r="AP82" s="2184">
        <f>MEDIAN(E82:AO82)</f>
        <v>0</v>
      </c>
      <c r="AQ82" s="2185"/>
      <c r="AR82" s="2185"/>
      <c r="AS82" s="2185"/>
      <c r="AT82" s="2185"/>
      <c r="AU82" s="2184"/>
      <c r="AV82" s="2185">
        <f t="shared" si="33"/>
        <v>0</v>
      </c>
      <c r="AW82" s="2185">
        <f t="shared" si="33"/>
        <v>0</v>
      </c>
      <c r="AX82" s="2185">
        <f t="shared" si="33"/>
        <v>-0.58510171733389038</v>
      </c>
      <c r="AY82" s="2185">
        <f t="shared" si="33"/>
        <v>1.735555916403457E-2</v>
      </c>
      <c r="AZ82" s="1859"/>
      <c r="BA82" s="2185">
        <f t="shared" si="34"/>
        <v>-2.0363052506078595E-2</v>
      </c>
      <c r="BB82" s="2185">
        <f t="shared" si="34"/>
        <v>5.9218179981551315E-2</v>
      </c>
      <c r="BC82" s="2185">
        <f t="shared" si="35"/>
        <v>0</v>
      </c>
      <c r="BD82" s="2185">
        <f t="shared" si="35"/>
        <v>0</v>
      </c>
      <c r="BE82" s="2187">
        <f>AVERAGE(BA82:BD82)</f>
        <v>9.71378186886818E-3</v>
      </c>
    </row>
    <row r="86" spans="1:57">
      <c r="AW86" s="2189">
        <f>IS!CG83</f>
        <v>6.3396778289534259</v>
      </c>
      <c r="AX86" s="2190">
        <f>IS!CG21</f>
        <v>56039.611191779026</v>
      </c>
    </row>
    <row r="87" spans="1:57">
      <c r="AV87" s="2135">
        <v>1.3</v>
      </c>
      <c r="AW87" s="2189">
        <v>6.3396778289534259</v>
      </c>
      <c r="AX87" s="2109">
        <v>56039.611191779026</v>
      </c>
    </row>
    <row r="88" spans="1:57">
      <c r="AV88" s="2135">
        <v>1.25</v>
      </c>
      <c r="AW88" s="2189">
        <v>6.3396778289534259</v>
      </c>
      <c r="AX88" s="2109">
        <v>56039.611191779026</v>
      </c>
    </row>
    <row r="89" spans="1:57">
      <c r="AV89" s="2135">
        <v>1.2</v>
      </c>
      <c r="AW89" s="2189">
        <f t="dataTable" ref="AW89:AX91" dt2D="0" dtr="0" r1="B50"/>
        <v>6.3396778289534259</v>
      </c>
      <c r="AX89" s="2109">
        <v>56039.611191779026</v>
      </c>
    </row>
    <row r="90" spans="1:57">
      <c r="AV90" s="2135">
        <v>1.1499999999999999</v>
      </c>
      <c r="AW90" s="2189">
        <v>6.3396778289534259</v>
      </c>
      <c r="AX90" s="2109">
        <v>56039.611191779026</v>
      </c>
    </row>
    <row r="91" spans="1:57">
      <c r="AV91" s="2135">
        <v>1.0999999999999999</v>
      </c>
      <c r="AW91" s="2189">
        <v>6.3396778289534259</v>
      </c>
      <c r="AX91" s="2109">
        <v>56039.611191779026</v>
      </c>
    </row>
  </sheetData>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BV195"/>
  <sheetViews>
    <sheetView showGridLines="0" zoomScale="70" zoomScaleNormal="70" workbookViewId="0">
      <pane xSplit="1" ySplit="8" topLeftCell="B153" activePane="bottomRight" state="frozen"/>
      <selection activeCell="BN5" sqref="BN5"/>
      <selection pane="topRight" activeCell="BN5" sqref="BN5"/>
      <selection pane="bottomLeft" activeCell="BN5" sqref="BN5"/>
      <selection pane="bottomRight" activeCell="BX183" sqref="BX183"/>
    </sheetView>
  </sheetViews>
  <sheetFormatPr defaultRowHeight="12.75" outlineLevelRow="1" outlineLevelCol="1"/>
  <cols>
    <col min="1" max="1" width="40.140625" bestFit="1" customWidth="1"/>
    <col min="2" max="2" width="9.42578125" hidden="1" customWidth="1"/>
    <col min="3" max="6" width="9.42578125" hidden="1" customWidth="1" outlineLevel="1"/>
    <col min="7" max="7" width="9.42578125" hidden="1" customWidth="1" collapsed="1"/>
    <col min="8" max="11" width="9.42578125" hidden="1" customWidth="1" outlineLevel="1"/>
    <col min="12" max="12" width="9.42578125" hidden="1" customWidth="1" collapsed="1"/>
    <col min="13" max="16" width="9.42578125" hidden="1" customWidth="1" outlineLevel="1"/>
    <col min="17" max="17" width="9.42578125" hidden="1" customWidth="1" collapsed="1"/>
    <col min="18" max="21" width="9.42578125" hidden="1" customWidth="1" outlineLevel="1"/>
    <col min="22" max="22" width="9.42578125" hidden="1" customWidth="1" collapsed="1"/>
    <col min="23" max="26" width="9.42578125" hidden="1" customWidth="1" outlineLevel="1"/>
    <col min="27" max="27" width="9.42578125" hidden="1" customWidth="1" collapsed="1"/>
    <col min="28" max="31" width="9.42578125" hidden="1" customWidth="1" outlineLevel="1"/>
    <col min="32" max="32" width="9.42578125" hidden="1" customWidth="1" collapsed="1"/>
    <col min="33" max="36" width="9.42578125" hidden="1" customWidth="1" outlineLevel="1"/>
    <col min="37" max="37" width="9.42578125" customWidth="1" collapsed="1"/>
    <col min="38" max="41" width="9.42578125" hidden="1" customWidth="1" outlineLevel="1"/>
    <col min="42" max="42" width="10.42578125" bestFit="1" customWidth="1" collapsed="1"/>
    <col min="43" max="46" width="9.42578125" customWidth="1" outlineLevel="1"/>
    <col min="47" max="47" width="10.42578125" bestFit="1" customWidth="1"/>
    <col min="48" max="51" width="9.42578125" style="2029" customWidth="1" outlineLevel="1"/>
    <col min="52" max="52" width="10.42578125" bestFit="1" customWidth="1"/>
    <col min="53" max="56" width="9.42578125" style="2029" hidden="1" customWidth="1" outlineLevel="1"/>
    <col min="57" max="57" width="10.42578125" bestFit="1" customWidth="1" collapsed="1"/>
    <col min="58" max="58" width="10.42578125" style="2029" bestFit="1" customWidth="1"/>
  </cols>
  <sheetData>
    <row r="1" spans="1:74">
      <c r="A1" s="147"/>
      <c r="B1" s="182"/>
      <c r="C1" s="183"/>
      <c r="D1" s="183"/>
      <c r="E1" s="183"/>
      <c r="F1" s="183"/>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2043"/>
      <c r="AW1" s="2043"/>
      <c r="AX1" s="2043"/>
      <c r="AY1" s="2043"/>
      <c r="AZ1" s="182"/>
      <c r="BA1" s="2043"/>
      <c r="BB1" s="2043"/>
      <c r="BC1" s="2043"/>
      <c r="BD1" s="2043"/>
      <c r="BE1" s="182"/>
      <c r="BF1" s="2043"/>
      <c r="BG1" s="147"/>
      <c r="BH1" s="147"/>
      <c r="BI1" s="147"/>
      <c r="BJ1" s="147"/>
      <c r="BK1" s="147"/>
      <c r="BL1" s="147"/>
      <c r="BM1" s="147"/>
      <c r="BN1" s="147"/>
      <c r="BO1" s="147"/>
      <c r="BP1" s="147"/>
      <c r="BQ1" s="147"/>
      <c r="BR1" s="147"/>
      <c r="BS1" s="147"/>
      <c r="BT1" s="147"/>
      <c r="BU1" s="147"/>
      <c r="BV1" s="147"/>
    </row>
    <row r="2" spans="1:74" ht="23.25" hidden="1" outlineLevel="1">
      <c r="A2" s="255" t="s">
        <v>0</v>
      </c>
      <c r="B2" s="252"/>
      <c r="C2" s="252"/>
      <c r="D2" s="252"/>
      <c r="E2" s="252"/>
      <c r="F2" s="254"/>
      <c r="G2" s="252"/>
      <c r="H2" s="252"/>
      <c r="I2" s="253"/>
      <c r="J2" s="252"/>
      <c r="K2" s="252"/>
      <c r="L2" s="252"/>
      <c r="M2" s="252"/>
      <c r="N2" s="253"/>
      <c r="O2" s="252"/>
      <c r="P2" s="252"/>
      <c r="Q2" s="252"/>
      <c r="R2" s="252"/>
      <c r="S2" s="253"/>
      <c r="T2" s="252"/>
      <c r="U2" s="252"/>
      <c r="V2" s="252"/>
      <c r="W2" s="252"/>
      <c r="X2" s="252"/>
      <c r="Y2" s="252"/>
      <c r="Z2" s="252"/>
      <c r="AA2" s="252"/>
      <c r="AB2" s="252"/>
      <c r="AC2" s="252"/>
      <c r="AD2" s="252"/>
      <c r="AE2" s="252"/>
      <c r="AF2" s="252"/>
      <c r="AG2" s="252"/>
      <c r="AH2" s="252"/>
      <c r="AI2" s="252"/>
      <c r="AJ2" s="252"/>
      <c r="AK2" s="252"/>
      <c r="AL2" s="252"/>
      <c r="AM2" s="252"/>
      <c r="AN2" s="252"/>
      <c r="AO2" s="252"/>
      <c r="AP2" s="253"/>
      <c r="AQ2" s="252"/>
      <c r="AR2" s="252"/>
      <c r="AS2" s="252"/>
      <c r="AT2" s="252"/>
      <c r="AU2" s="253"/>
      <c r="AV2" s="2069"/>
      <c r="AW2" s="2069"/>
      <c r="AX2" s="2069"/>
      <c r="AY2" s="2069"/>
      <c r="AZ2" s="253"/>
      <c r="BA2" s="2069"/>
      <c r="BB2" s="2069"/>
      <c r="BC2" s="2069"/>
      <c r="BD2" s="2069"/>
      <c r="BE2" s="253"/>
      <c r="BF2" s="253"/>
      <c r="BG2" s="253"/>
      <c r="BH2" s="253"/>
      <c r="BI2" s="253"/>
      <c r="BJ2" s="253"/>
      <c r="BK2" s="252"/>
      <c r="BL2" s="253"/>
      <c r="BM2" s="253"/>
      <c r="BN2" s="253"/>
      <c r="BO2" s="253"/>
      <c r="BP2" s="252"/>
      <c r="BQ2" s="253"/>
      <c r="BR2" s="253"/>
      <c r="BS2" s="253"/>
      <c r="BT2" s="253"/>
      <c r="BU2" s="252"/>
      <c r="BV2" s="251" t="s">
        <v>123</v>
      </c>
    </row>
    <row r="3" spans="1:74" ht="15" hidden="1" outlineLevel="1">
      <c r="A3" s="250" t="s">
        <v>3</v>
      </c>
      <c r="B3" s="249"/>
      <c r="C3" s="249"/>
      <c r="D3" s="249"/>
      <c r="E3" s="246"/>
      <c r="F3" s="248"/>
      <c r="G3" s="246"/>
      <c r="H3" s="246"/>
      <c r="I3" s="247"/>
      <c r="J3" s="246"/>
      <c r="K3" s="246"/>
      <c r="L3" s="246"/>
      <c r="M3" s="246"/>
      <c r="N3" s="247"/>
      <c r="O3" s="246"/>
      <c r="P3" s="246"/>
      <c r="Q3" s="246"/>
      <c r="R3" s="246"/>
      <c r="S3" s="247"/>
      <c r="T3" s="246"/>
      <c r="U3" s="246"/>
      <c r="V3" s="246"/>
      <c r="W3" s="246"/>
      <c r="X3" s="246"/>
      <c r="Y3" s="246"/>
      <c r="Z3" s="246"/>
      <c r="AA3" s="246"/>
      <c r="AB3" s="246"/>
      <c r="AC3" s="246"/>
      <c r="AD3" s="246"/>
      <c r="AE3" s="246"/>
      <c r="AF3" s="246"/>
      <c r="AG3" s="246"/>
      <c r="AH3" s="246"/>
      <c r="AI3" s="246"/>
      <c r="AJ3" s="246"/>
      <c r="AK3" s="246"/>
      <c r="AL3" s="246"/>
      <c r="AM3" s="246"/>
      <c r="AN3" s="246"/>
      <c r="AO3" s="246"/>
      <c r="AP3" s="247"/>
      <c r="AQ3" s="246"/>
      <c r="AR3" s="246"/>
      <c r="AS3" s="246"/>
      <c r="AT3" s="246"/>
      <c r="AU3" s="247"/>
      <c r="AV3" s="2068"/>
      <c r="AW3" s="2068"/>
      <c r="AX3" s="2068"/>
      <c r="AY3" s="2068"/>
      <c r="AZ3" s="247"/>
      <c r="BA3" s="2068"/>
      <c r="BB3" s="2068"/>
      <c r="BC3" s="2068"/>
      <c r="BD3" s="2068"/>
      <c r="BE3" s="247"/>
      <c r="BF3" s="247"/>
      <c r="BG3" s="247"/>
      <c r="BH3" s="247"/>
      <c r="BI3" s="247"/>
      <c r="BJ3" s="247"/>
      <c r="BK3" s="246"/>
      <c r="BL3" s="247"/>
      <c r="BM3" s="247"/>
      <c r="BN3" s="247"/>
      <c r="BO3" s="247"/>
      <c r="BP3" s="246"/>
      <c r="BQ3" s="247"/>
      <c r="BR3" s="247"/>
      <c r="BS3" s="247"/>
      <c r="BT3" s="247"/>
      <c r="BU3" s="246"/>
      <c r="BV3" s="245" t="s">
        <v>5</v>
      </c>
    </row>
    <row r="4" spans="1:74" collapsed="1">
      <c r="A4" s="147"/>
      <c r="B4" s="182"/>
      <c r="C4" s="183"/>
      <c r="D4" s="183"/>
      <c r="E4" s="183"/>
      <c r="F4" s="183"/>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c r="AH4" s="182"/>
      <c r="AI4" s="182"/>
      <c r="AJ4" s="182"/>
      <c r="AK4" s="182"/>
      <c r="AL4" s="182"/>
      <c r="AM4" s="182"/>
      <c r="AN4" s="182"/>
      <c r="AO4" s="182"/>
      <c r="AP4" s="182"/>
      <c r="AQ4" s="182"/>
      <c r="AR4" s="182"/>
      <c r="AS4" s="182"/>
      <c r="AT4" s="182"/>
      <c r="AU4" s="182"/>
      <c r="AV4" s="2043"/>
      <c r="AW4" s="2043"/>
      <c r="AX4" s="2043"/>
      <c r="AY4" s="2043"/>
      <c r="AZ4" s="182"/>
      <c r="BA4" s="2043"/>
      <c r="BB4" s="2043"/>
      <c r="BC4" s="2043"/>
      <c r="BD4" s="2043"/>
      <c r="BE4" s="182"/>
      <c r="BF4" s="2043"/>
      <c r="BG4" s="147"/>
      <c r="BH4" s="147"/>
      <c r="BI4" s="147"/>
      <c r="BJ4" s="147"/>
      <c r="BK4" s="147"/>
      <c r="BL4" s="147"/>
      <c r="BM4" s="147"/>
      <c r="BN4" s="147"/>
      <c r="BO4" s="147"/>
      <c r="BP4" s="147"/>
      <c r="BQ4" s="147"/>
      <c r="BR4" s="147"/>
      <c r="BS4" s="147"/>
      <c r="BT4" s="147"/>
      <c r="BU4" s="147"/>
      <c r="BV4" s="147"/>
    </row>
    <row r="5" spans="1:74">
      <c r="A5" s="147"/>
      <c r="B5" s="182"/>
      <c r="C5" s="183"/>
      <c r="D5" s="183"/>
      <c r="E5" s="183"/>
      <c r="F5" s="183"/>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c r="AK5" s="182"/>
      <c r="AL5" s="182"/>
      <c r="AM5" s="182"/>
      <c r="AN5" s="182"/>
      <c r="AO5" s="182"/>
      <c r="AP5" s="182"/>
      <c r="AQ5" s="182"/>
      <c r="AR5" s="182"/>
      <c r="AS5" s="182"/>
      <c r="AT5" s="182"/>
      <c r="AU5" s="182"/>
      <c r="AV5" s="2043"/>
      <c r="AW5" s="2043"/>
      <c r="AX5" s="2043"/>
      <c r="AY5" s="2043"/>
      <c r="AZ5" s="182"/>
      <c r="BA5" s="2043"/>
      <c r="BB5" s="2043"/>
      <c r="BC5" s="2043"/>
      <c r="BD5" s="2043"/>
      <c r="BE5" s="182"/>
      <c r="BF5" s="2043"/>
      <c r="BG5" s="147"/>
      <c r="BH5" s="147"/>
      <c r="BI5" s="147"/>
      <c r="BJ5" s="147"/>
      <c r="BK5" s="147"/>
      <c r="BL5" s="147"/>
      <c r="BM5" s="147"/>
      <c r="BN5" s="147"/>
      <c r="BO5" s="147"/>
      <c r="BP5" s="147"/>
      <c r="BQ5" s="147"/>
      <c r="BR5" s="147"/>
      <c r="BS5" s="147"/>
      <c r="BT5" s="147"/>
      <c r="BU5" s="147"/>
      <c r="BV5" s="147"/>
    </row>
    <row r="6" spans="1:74">
      <c r="A6" s="215" t="s">
        <v>272</v>
      </c>
      <c r="B6" s="182"/>
      <c r="C6" s="183"/>
      <c r="D6" s="183"/>
      <c r="E6" s="183"/>
      <c r="F6" s="183"/>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2"/>
      <c r="AS6" s="182"/>
      <c r="AT6" s="182"/>
      <c r="AU6" s="182"/>
      <c r="AV6" s="2043"/>
      <c r="AW6" s="2043"/>
      <c r="AX6" s="2043"/>
      <c r="AY6" s="2043"/>
      <c r="AZ6" s="182"/>
      <c r="BA6" s="2043"/>
      <c r="BB6" s="2043"/>
      <c r="BC6" s="2043"/>
      <c r="BD6" s="2043"/>
      <c r="BE6" s="182"/>
      <c r="BF6" s="2043"/>
      <c r="BG6" s="147"/>
      <c r="BH6" s="147"/>
      <c r="BI6" s="147"/>
      <c r="BJ6" s="147"/>
      <c r="BK6" s="147"/>
      <c r="BL6" s="147"/>
      <c r="BM6" s="147"/>
      <c r="BN6" s="147"/>
      <c r="BO6" s="147"/>
      <c r="BP6" s="147"/>
      <c r="BQ6" s="147"/>
      <c r="BR6" s="147"/>
      <c r="BS6" s="147"/>
      <c r="BT6" s="147"/>
      <c r="BU6" s="147"/>
      <c r="BV6" s="147"/>
    </row>
    <row r="7" spans="1:74">
      <c r="A7" s="214"/>
      <c r="B7" s="182"/>
      <c r="C7" s="183"/>
      <c r="D7" s="183"/>
      <c r="E7" s="183"/>
      <c r="F7" s="183"/>
      <c r="G7" s="182"/>
      <c r="H7" s="182"/>
      <c r="I7" s="182"/>
      <c r="J7" s="182"/>
      <c r="K7" s="182"/>
      <c r="L7" s="182"/>
      <c r="M7" s="182"/>
      <c r="N7" s="182"/>
      <c r="O7" s="182"/>
      <c r="P7" s="182"/>
      <c r="Q7" s="182"/>
      <c r="R7" s="182"/>
      <c r="S7" s="182"/>
      <c r="T7" s="182"/>
      <c r="U7" s="182"/>
      <c r="V7" s="182"/>
      <c r="W7" s="182"/>
      <c r="X7" s="182"/>
      <c r="Y7" s="182"/>
      <c r="Z7" s="182"/>
      <c r="AA7" s="182"/>
      <c r="AB7" s="182"/>
      <c r="AC7" s="182"/>
      <c r="AD7" s="182"/>
      <c r="AE7" s="182"/>
      <c r="AF7" s="182"/>
      <c r="AG7" s="182"/>
      <c r="AH7" s="182"/>
      <c r="AI7" s="182"/>
      <c r="AJ7" s="182"/>
      <c r="AK7" s="182"/>
      <c r="AL7" s="182"/>
      <c r="AM7" s="182"/>
      <c r="AN7" s="182"/>
      <c r="AO7" s="182"/>
      <c r="AP7" s="182"/>
      <c r="AQ7" s="182"/>
      <c r="AR7" s="182"/>
      <c r="AS7" s="182"/>
      <c r="AT7" s="182"/>
      <c r="AU7" s="182"/>
      <c r="AV7" s="2043"/>
      <c r="AW7" s="2043"/>
      <c r="AX7" s="2043"/>
      <c r="AY7" s="2043"/>
      <c r="AZ7" s="182"/>
      <c r="BA7" s="2043"/>
      <c r="BB7" s="2043"/>
      <c r="BC7" s="2043"/>
      <c r="BD7" s="2043"/>
      <c r="BE7" s="182"/>
      <c r="BF7" s="2043"/>
      <c r="BG7" s="147"/>
      <c r="BH7" s="147"/>
      <c r="BI7" s="147"/>
      <c r="BJ7" s="147"/>
      <c r="BK7" s="147"/>
      <c r="BL7" s="147"/>
      <c r="BM7" s="147"/>
      <c r="BN7" s="147"/>
      <c r="BO7" s="147"/>
      <c r="BP7" s="147"/>
      <c r="BQ7" s="147"/>
      <c r="BR7" s="147"/>
      <c r="BS7" s="147"/>
      <c r="BT7" s="147"/>
      <c r="BU7" s="147"/>
      <c r="BV7" s="147"/>
    </row>
    <row r="8" spans="1:74">
      <c r="A8" s="150" t="s">
        <v>225</v>
      </c>
      <c r="B8" s="180">
        <v>2007</v>
      </c>
      <c r="C8" s="181" t="s">
        <v>198</v>
      </c>
      <c r="D8" s="181" t="s">
        <v>197</v>
      </c>
      <c r="E8" s="181" t="s">
        <v>196</v>
      </c>
      <c r="F8" s="181" t="s">
        <v>195</v>
      </c>
      <c r="G8" s="180">
        <v>2008</v>
      </c>
      <c r="H8" s="181" t="s">
        <v>194</v>
      </c>
      <c r="I8" s="181" t="s">
        <v>193</v>
      </c>
      <c r="J8" s="181" t="s">
        <v>192</v>
      </c>
      <c r="K8" s="181" t="s">
        <v>191</v>
      </c>
      <c r="L8" s="180">
        <v>2009</v>
      </c>
      <c r="M8" s="181" t="s">
        <v>190</v>
      </c>
      <c r="N8" s="181" t="s">
        <v>189</v>
      </c>
      <c r="O8" s="181" t="s">
        <v>188</v>
      </c>
      <c r="P8" s="181" t="s">
        <v>187</v>
      </c>
      <c r="Q8" s="180">
        <v>2010</v>
      </c>
      <c r="R8" s="181" t="s">
        <v>186</v>
      </c>
      <c r="S8" s="181" t="s">
        <v>185</v>
      </c>
      <c r="T8" s="181" t="s">
        <v>184</v>
      </c>
      <c r="U8" s="181" t="s">
        <v>183</v>
      </c>
      <c r="V8" s="180">
        <v>2011</v>
      </c>
      <c r="W8" s="181" t="s">
        <v>182</v>
      </c>
      <c r="X8" s="181" t="s">
        <v>181</v>
      </c>
      <c r="Y8" s="181" t="s">
        <v>180</v>
      </c>
      <c r="Z8" s="181" t="s">
        <v>179</v>
      </c>
      <c r="AA8" s="180">
        <v>2012</v>
      </c>
      <c r="AB8" s="181" t="s">
        <v>178</v>
      </c>
      <c r="AC8" s="181" t="s">
        <v>177</v>
      </c>
      <c r="AD8" s="181" t="str">
        <f>+IS!BU9</f>
        <v>3Q13</v>
      </c>
      <c r="AE8" s="181" t="str">
        <f>+IS!BV9</f>
        <v>4Q13</v>
      </c>
      <c r="AF8" s="180">
        <f>+IS!BW9</f>
        <v>2013</v>
      </c>
      <c r="AG8" s="181" t="str">
        <f>+IS!BX9</f>
        <v>1Q14</v>
      </c>
      <c r="AH8" s="181" t="str">
        <f>+IS!BY9</f>
        <v>2Q14</v>
      </c>
      <c r="AI8" s="181" t="str">
        <f>+IS!BZ9</f>
        <v>3Q14</v>
      </c>
      <c r="AJ8" s="181" t="str">
        <f>+IS!CA9</f>
        <v>4Q14</v>
      </c>
      <c r="AK8" s="180">
        <f>+IS!CB9</f>
        <v>2014</v>
      </c>
      <c r="AL8" s="181" t="str">
        <f>+IS!CC9</f>
        <v>1Q15</v>
      </c>
      <c r="AM8" s="181" t="str">
        <f>+IS!CD9</f>
        <v>2Q15</v>
      </c>
      <c r="AN8" s="181" t="str">
        <f>+IS!CE9</f>
        <v>3Q15</v>
      </c>
      <c r="AO8" s="181" t="str">
        <f>+IS!CF9</f>
        <v>4Q15</v>
      </c>
      <c r="AP8" s="180">
        <f>+IS!CG9</f>
        <v>2015</v>
      </c>
      <c r="AQ8" s="181" t="str">
        <f>+IS!CH9</f>
        <v>1Q16</v>
      </c>
      <c r="AR8" s="181" t="str">
        <f>+IS!CI9</f>
        <v>2Q16</v>
      </c>
      <c r="AS8" s="181" t="str">
        <f>+IS!CJ9</f>
        <v>3Q16</v>
      </c>
      <c r="AT8" s="181" t="str">
        <f>+IS!CK9</f>
        <v>4Q16</v>
      </c>
      <c r="AU8" s="180">
        <f>+IS!CL9</f>
        <v>2016</v>
      </c>
      <c r="AV8" s="2042" t="str">
        <f>+IS!CM9</f>
        <v>1Q17</v>
      </c>
      <c r="AW8" s="2042" t="str">
        <f>+IS!CN9</f>
        <v>2Q17</v>
      </c>
      <c r="AX8" s="2042" t="str">
        <f>+IS!CO9</f>
        <v>3Q17</v>
      </c>
      <c r="AY8" s="2042" t="str">
        <f>+IS!CP9</f>
        <v>4Q17E</v>
      </c>
      <c r="AZ8" s="180" t="str">
        <f>+IS!CQ9</f>
        <v>2017E</v>
      </c>
      <c r="BA8" s="2042" t="str">
        <f>+IS!CR9</f>
        <v>1Q18E</v>
      </c>
      <c r="BB8" s="2042" t="str">
        <f>+IS!CS9</f>
        <v>2Q18E</v>
      </c>
      <c r="BC8" s="2042" t="str">
        <f>+IS!CT9</f>
        <v>3Q18E</v>
      </c>
      <c r="BD8" s="2042" t="str">
        <f>+IS!CU9</f>
        <v>4Q18E</v>
      </c>
      <c r="BE8" s="180" t="str">
        <f>+IS!CV9</f>
        <v>2018E</v>
      </c>
      <c r="BF8" s="180" t="str">
        <f>+IS!CW9</f>
        <v>2019E</v>
      </c>
      <c r="BG8" s="179"/>
      <c r="BH8" s="179"/>
      <c r="BI8" s="179"/>
      <c r="BJ8" s="179"/>
      <c r="BK8" s="179"/>
      <c r="BL8" s="179"/>
      <c r="BM8" s="179"/>
      <c r="BN8" s="179"/>
      <c r="BO8" s="179"/>
      <c r="BP8" s="179"/>
      <c r="BQ8" s="179"/>
      <c r="BR8" s="179"/>
      <c r="BS8" s="179"/>
      <c r="BT8" s="179"/>
      <c r="BU8" s="179"/>
      <c r="BV8" s="179"/>
    </row>
    <row r="9" spans="1:74">
      <c r="A9" s="179"/>
      <c r="B9" s="178"/>
      <c r="C9" s="179"/>
      <c r="D9" s="179"/>
      <c r="E9" s="179"/>
      <c r="F9" s="179"/>
      <c r="G9" s="178"/>
      <c r="H9" s="179"/>
      <c r="I9" s="179"/>
      <c r="J9" s="179"/>
      <c r="K9" s="179"/>
      <c r="L9" s="178"/>
      <c r="M9" s="179"/>
      <c r="N9" s="179"/>
      <c r="O9" s="179"/>
      <c r="P9" s="179"/>
      <c r="Q9" s="178"/>
      <c r="R9" s="179"/>
      <c r="S9" s="179"/>
      <c r="T9" s="179"/>
      <c r="U9" s="179"/>
      <c r="V9" s="178"/>
      <c r="W9" s="179"/>
      <c r="X9" s="179"/>
      <c r="Y9" s="179"/>
      <c r="Z9" s="179"/>
      <c r="AA9" s="178"/>
      <c r="AB9" s="179"/>
      <c r="AC9" s="179"/>
      <c r="AD9" s="179"/>
      <c r="AE9" s="179"/>
      <c r="AF9" s="178"/>
      <c r="AG9" s="179"/>
      <c r="AH9" s="179"/>
      <c r="AI9" s="179"/>
      <c r="AJ9" s="179"/>
      <c r="AK9" s="178"/>
      <c r="AL9" s="179"/>
      <c r="AM9" s="179"/>
      <c r="AN9" s="179"/>
      <c r="AO9" s="179"/>
      <c r="AP9" s="178"/>
      <c r="AQ9" s="179"/>
      <c r="AR9" s="179"/>
      <c r="AS9" s="179"/>
      <c r="AT9" s="179"/>
      <c r="AU9" s="178"/>
      <c r="AV9" s="2041"/>
      <c r="AW9" s="2041"/>
      <c r="AX9" s="2041"/>
      <c r="AY9" s="2041"/>
      <c r="AZ9" s="178"/>
      <c r="BA9" s="2041"/>
      <c r="BB9" s="2041"/>
      <c r="BC9" s="2041"/>
      <c r="BD9" s="2041"/>
      <c r="BE9" s="178"/>
      <c r="BF9" s="178"/>
      <c r="BG9" s="179"/>
      <c r="BH9" s="179"/>
      <c r="BI9" s="179"/>
      <c r="BJ9" s="179"/>
      <c r="BK9" s="179"/>
      <c r="BL9" s="179"/>
      <c r="BM9" s="179"/>
      <c r="BN9" s="179"/>
      <c r="BO9" s="179"/>
      <c r="BP9" s="179"/>
      <c r="BQ9" s="179"/>
      <c r="BR9" s="179"/>
      <c r="BS9" s="179"/>
      <c r="BT9" s="179"/>
      <c r="BU9" s="179"/>
      <c r="BV9" s="179"/>
    </row>
    <row r="10" spans="1:74">
      <c r="A10" s="233" t="s">
        <v>113</v>
      </c>
      <c r="B10" s="231">
        <f>IS!AS21</f>
        <v>54759</v>
      </c>
      <c r="C10" s="232">
        <f>IS!AT21</f>
        <v>13958</v>
      </c>
      <c r="D10" s="232">
        <f>IS!AU21</f>
        <v>15944</v>
      </c>
      <c r="E10" s="232">
        <f>IS!AV21</f>
        <v>15085</v>
      </c>
      <c r="F10" s="232">
        <f>IS!AW21</f>
        <v>14770</v>
      </c>
      <c r="G10" s="231">
        <f>IS!AX21</f>
        <v>59757</v>
      </c>
      <c r="H10" s="232">
        <f>IS!AY21</f>
        <v>12199</v>
      </c>
      <c r="I10" s="232">
        <f>IS!AZ21</f>
        <v>13060</v>
      </c>
      <c r="J10" s="232">
        <f>IS!BA21</f>
        <v>13187</v>
      </c>
      <c r="K10" s="232">
        <f>IS!BB21</f>
        <v>13979</v>
      </c>
      <c r="L10" s="231">
        <f>IS!BC21</f>
        <v>52425</v>
      </c>
      <c r="M10" s="232">
        <f>IS!BD21</f>
        <v>12040</v>
      </c>
      <c r="N10" s="232">
        <f>IS!BE21</f>
        <v>13802</v>
      </c>
      <c r="O10" s="232">
        <f>IS!BF21</f>
        <v>13620</v>
      </c>
      <c r="P10" s="232">
        <f>IS!BG21</f>
        <v>14864</v>
      </c>
      <c r="Q10" s="231">
        <f>IS!BH21</f>
        <v>54326</v>
      </c>
      <c r="R10" s="232">
        <f>IS!BI21</f>
        <v>12673</v>
      </c>
      <c r="S10" s="232">
        <f>IS!BJ21</f>
        <v>14469</v>
      </c>
      <c r="T10" s="232">
        <f>IS!BK21</f>
        <v>14235</v>
      </c>
      <c r="U10" s="232">
        <f>IS!BL21</f>
        <v>14377</v>
      </c>
      <c r="V10" s="231">
        <f>IS!BM21</f>
        <v>55754</v>
      </c>
      <c r="W10" s="232">
        <f>IS!BN21</f>
        <v>12416</v>
      </c>
      <c r="X10" s="232">
        <f>IS!BO21</f>
        <v>13807</v>
      </c>
      <c r="Y10" s="232">
        <f>IS!BP21</f>
        <v>15042</v>
      </c>
      <c r="Z10" s="232">
        <f>IS!BQ21</f>
        <v>16443</v>
      </c>
      <c r="AA10" s="231">
        <f>IS!BR21</f>
        <v>57708</v>
      </c>
      <c r="AB10" s="232">
        <f>IS!BS21</f>
        <v>14399</v>
      </c>
      <c r="AC10" s="232">
        <f>IS!BT21</f>
        <v>16006</v>
      </c>
      <c r="AD10" s="232">
        <f>IS!BU21</f>
        <v>15462</v>
      </c>
      <c r="AE10" s="232">
        <f>IS!BV21</f>
        <v>16759</v>
      </c>
      <c r="AF10" s="231">
        <f>IS!BW21</f>
        <v>62626</v>
      </c>
      <c r="AG10" s="232">
        <f>IS!BX21</f>
        <v>14745</v>
      </c>
      <c r="AH10" s="232">
        <f>IS!BY21</f>
        <v>17191</v>
      </c>
      <c r="AI10" s="232">
        <f>IS!BZ21</f>
        <v>16168</v>
      </c>
      <c r="AJ10" s="232">
        <f>IS!CA21</f>
        <v>16996</v>
      </c>
      <c r="AK10" s="231">
        <f>IS!CB21</f>
        <v>65100</v>
      </c>
      <c r="AL10" s="232">
        <f>IS!CC21</f>
        <v>13320</v>
      </c>
      <c r="AM10" s="232">
        <f>IS!CD21</f>
        <v>14697</v>
      </c>
      <c r="AN10" s="232">
        <f>IS!CE21</f>
        <v>13788</v>
      </c>
      <c r="AO10" s="232">
        <f>IS!CF21</f>
        <v>14300</v>
      </c>
      <c r="AP10" s="231">
        <f>IS!CG21</f>
        <v>56039.611191779026</v>
      </c>
      <c r="AQ10" s="232">
        <f>IS!CH21</f>
        <v>13357</v>
      </c>
      <c r="AR10" s="232">
        <f>IS!CI21</f>
        <v>14874</v>
      </c>
      <c r="AS10" s="232">
        <f>IS!CJ21</f>
        <v>14354</v>
      </c>
      <c r="AT10" s="232">
        <f>IS!CK21</f>
        <v>14659</v>
      </c>
      <c r="AU10" s="231">
        <f>IS!CL21</f>
        <v>57244</v>
      </c>
      <c r="AV10" s="2063">
        <f>IS!CM21</f>
        <v>13815</v>
      </c>
      <c r="AW10" s="2063">
        <f>IS!CN21</f>
        <v>15280</v>
      </c>
      <c r="AX10" s="2063">
        <f>IS!CO21</f>
        <v>15062</v>
      </c>
      <c r="AY10" s="2063">
        <f>IS!CP21</f>
        <v>15351.269017269917</v>
      </c>
      <c r="AZ10" s="231">
        <f>IS!CQ21</f>
        <v>59508.269017269915</v>
      </c>
      <c r="BA10" s="2063">
        <f>IS!CR21</f>
        <v>14667.335541751592</v>
      </c>
      <c r="BB10" s="2063">
        <f>IS!CS21</f>
        <v>16358.718417161737</v>
      </c>
      <c r="BC10" s="2063">
        <f>IS!CT21</f>
        <v>15800.409910742877</v>
      </c>
      <c r="BD10" s="2063">
        <f>IS!CU21</f>
        <v>16002.959249809173</v>
      </c>
      <c r="BE10" s="231">
        <f>IS!CV21</f>
        <v>63039.210827606337</v>
      </c>
      <c r="BF10" s="231">
        <f>IS!CW21</f>
        <v>65770.398626218564</v>
      </c>
      <c r="BG10" s="173"/>
      <c r="BH10" s="173"/>
      <c r="BI10" s="173"/>
      <c r="BJ10" s="173"/>
      <c r="BK10" s="173"/>
      <c r="BL10" s="173"/>
      <c r="BM10" s="173"/>
      <c r="BN10" s="173"/>
      <c r="BO10" s="173"/>
      <c r="BP10" s="173"/>
      <c r="BQ10" s="173"/>
      <c r="BR10" s="173"/>
      <c r="BS10" s="173"/>
      <c r="BT10" s="173"/>
      <c r="BU10" s="173"/>
      <c r="BV10" s="173"/>
    </row>
    <row r="11" spans="1:74">
      <c r="A11" s="223" t="s">
        <v>271</v>
      </c>
      <c r="B11" s="169">
        <f>IS!AS22</f>
        <v>0.14489117481026148</v>
      </c>
      <c r="C11" s="170">
        <f>IS!AT22</f>
        <v>0.13683010262257689</v>
      </c>
      <c r="D11" s="170">
        <f>IS!AU22</f>
        <v>0.14672036823935564</v>
      </c>
      <c r="E11" s="170">
        <f>IS!AV22</f>
        <v>8.8148308446945212E-2</v>
      </c>
      <c r="F11" s="170">
        <f>IS!AW22</f>
        <v>3.8058991436726863E-3</v>
      </c>
      <c r="G11" s="169">
        <f>IS!AX22</f>
        <v>9.1272667506711258E-2</v>
      </c>
      <c r="H11" s="170">
        <f>IS!AY22</f>
        <v>-0.12602091990256481</v>
      </c>
      <c r="I11" s="170">
        <f>IS!AZ22</f>
        <v>-0.18088309081786247</v>
      </c>
      <c r="J11" s="170">
        <f>IS!BA22</f>
        <v>-0.12582035134239311</v>
      </c>
      <c r="K11" s="170">
        <f>IS!BB22</f>
        <v>-5.35545023696683E-2</v>
      </c>
      <c r="L11" s="221">
        <f>IS!BC22</f>
        <v>-0.12269692253627185</v>
      </c>
      <c r="M11" s="222">
        <f>IS!BD22</f>
        <v>-1.3033855234035552E-2</v>
      </c>
      <c r="N11" s="222">
        <f>IS!BE22</f>
        <v>5.6814701378254284E-2</v>
      </c>
      <c r="O11" s="222">
        <f>IS!BF22</f>
        <v>3.2835368165617718E-2</v>
      </c>
      <c r="P11" s="222">
        <f>IS!BG22</f>
        <v>6.3309249588668681E-2</v>
      </c>
      <c r="Q11" s="221">
        <f>IS!BH22</f>
        <v>3.6261325703385694E-2</v>
      </c>
      <c r="R11" s="222">
        <f>IS!BI22</f>
        <v>5.2574750830564732E-2</v>
      </c>
      <c r="S11" s="222">
        <f>IS!BJ22</f>
        <v>4.8326329517461186E-2</v>
      </c>
      <c r="T11" s="222">
        <f>IS!BK22</f>
        <v>4.5154185022026505E-2</v>
      </c>
      <c r="U11" s="222">
        <f>IS!BL22</f>
        <v>-3.2763724434876185E-2</v>
      </c>
      <c r="V11" s="221">
        <f>IS!BM22</f>
        <v>2.6285756359754053E-2</v>
      </c>
      <c r="W11" s="222">
        <f>IS!BN22</f>
        <v>-2.0279334017201944E-2</v>
      </c>
      <c r="X11" s="222">
        <f>IS!BO22</f>
        <v>-4.575298914921555E-2</v>
      </c>
      <c r="Y11" s="222">
        <f>IS!BP22</f>
        <v>5.6691253951527854E-2</v>
      </c>
      <c r="Z11" s="222">
        <f>IS!BQ22</f>
        <v>0.14370174584405637</v>
      </c>
      <c r="AA11" s="221">
        <f>IS!BR22</f>
        <v>3.5046812784732984E-2</v>
      </c>
      <c r="AB11" s="222">
        <f>IS!BS22</f>
        <v>0.15971327319587636</v>
      </c>
      <c r="AC11" s="222">
        <f>IS!BT22</f>
        <v>0.1592670384587529</v>
      </c>
      <c r="AD11" s="222">
        <f>IS!BU22</f>
        <v>2.7921818907060247E-2</v>
      </c>
      <c r="AE11" s="222">
        <f>IS!BV22</f>
        <v>1.9217904275375508E-2</v>
      </c>
      <c r="AF11" s="221">
        <f>IS!BW22</f>
        <v>8.5222152907742377E-2</v>
      </c>
      <c r="AG11" s="222">
        <f>IS!BX22</f>
        <v>2.4029446489339579E-2</v>
      </c>
      <c r="AH11" s="222">
        <f>IS!BY22</f>
        <v>7.403473697363494E-2</v>
      </c>
      <c r="AI11" s="222">
        <f>IS!BZ22</f>
        <v>4.5660328547406648E-2</v>
      </c>
      <c r="AJ11" s="222">
        <f>IS!CA22</f>
        <v>1.4141655230025751E-2</v>
      </c>
      <c r="AK11" s="221">
        <f>IS!CB22</f>
        <v>3.9504359211828932E-2</v>
      </c>
      <c r="AL11" s="222">
        <f>IS!CC22</f>
        <v>-9.6642929806714184E-2</v>
      </c>
      <c r="AM11" s="222">
        <f>IS!CD22</f>
        <v>-0.14507591181432145</v>
      </c>
      <c r="AN11" s="222">
        <f>IS!CE22</f>
        <v>-0.1472043542800594</v>
      </c>
      <c r="AO11" s="222">
        <f>IS!CF22</f>
        <v>-0.15862555895504826</v>
      </c>
      <c r="AP11" s="221">
        <f>IS!CG22</f>
        <v>-0.13917647938895505</v>
      </c>
      <c r="AQ11" s="222">
        <f>IS!CH22</f>
        <v>2.7777777777777679E-3</v>
      </c>
      <c r="AR11" s="222">
        <f>IS!CI22</f>
        <v>1.2043274137579107E-2</v>
      </c>
      <c r="AS11" s="222">
        <f>IS!CJ22</f>
        <v>4.1050188569770718E-2</v>
      </c>
      <c r="AT11" s="222">
        <f>IS!CK22</f>
        <v>2.5104895104895109E-2</v>
      </c>
      <c r="AU11" s="221">
        <f>IS!CL22</f>
        <v>2.1491740977632956E-2</v>
      </c>
      <c r="AV11" s="2060">
        <f>IS!CM22</f>
        <v>3.4289136782211571E-2</v>
      </c>
      <c r="AW11" s="2060">
        <f>IS!CN22</f>
        <v>2.729595266908702E-2</v>
      </c>
      <c r="AX11" s="2060">
        <f>IS!CO22</f>
        <v>4.9324230179740747E-2</v>
      </c>
      <c r="AY11" s="2060">
        <f>IS!CP22</f>
        <v>4.7224845983349306E-2</v>
      </c>
      <c r="AZ11" s="221">
        <f>IS!CQ22</f>
        <v>3.9554695990320576E-2</v>
      </c>
      <c r="BA11" s="2060">
        <f>IS!CR22</f>
        <v>6.16963837677591E-2</v>
      </c>
      <c r="BB11" s="2060">
        <f>IS!CS22</f>
        <v>7.0596755049851856E-2</v>
      </c>
      <c r="BC11" s="2060">
        <f>IS!CT22</f>
        <v>4.9024691989302704E-2</v>
      </c>
      <c r="BD11" s="2060">
        <f>IS!CU22</f>
        <v>4.2451880154410482E-2</v>
      </c>
      <c r="BE11" s="221">
        <f>IS!CV22</f>
        <v>5.9335313707607806E-2</v>
      </c>
      <c r="BF11" s="221">
        <f>IS!CW22</f>
        <v>4.3325221917533518E-2</v>
      </c>
      <c r="BG11" s="235"/>
      <c r="BH11" s="235"/>
      <c r="BI11" s="235"/>
      <c r="BJ11" s="235"/>
      <c r="BK11" s="235"/>
      <c r="BL11" s="235"/>
      <c r="BM11" s="235"/>
      <c r="BN11" s="235"/>
      <c r="BO11" s="235"/>
      <c r="BP11" s="235"/>
      <c r="BQ11" s="235"/>
      <c r="BR11" s="235"/>
      <c r="BS11" s="235"/>
      <c r="BT11" s="235"/>
      <c r="BU11" s="235"/>
      <c r="BV11" s="235"/>
    </row>
    <row r="12" spans="1:74">
      <c r="A12" s="223" t="s">
        <v>270</v>
      </c>
      <c r="B12" s="169"/>
      <c r="C12" s="170"/>
      <c r="D12" s="170"/>
      <c r="E12" s="170"/>
      <c r="F12" s="170"/>
      <c r="G12" s="169">
        <f>'Divisional Summary'!AX26</f>
        <v>0.05</v>
      </c>
      <c r="H12" s="170">
        <f>'Divisional Summary'!AY26</f>
        <v>-5.6020919902564817E-2</v>
      </c>
      <c r="I12" s="170">
        <f>'Divisional Summary'!AZ26</f>
        <v>-0.12088309081786246</v>
      </c>
      <c r="J12" s="170">
        <f>'Divisional Summary'!BA26</f>
        <v>-7.0000000000000007E-2</v>
      </c>
      <c r="K12" s="170">
        <f>'Divisional Summary'!BB26</f>
        <v>-8.3970963941393265E-2</v>
      </c>
      <c r="L12" s="221">
        <f>'Divisional Summary'!BC26</f>
        <v>-7.0000000000000007E-2</v>
      </c>
      <c r="M12" s="222">
        <f>'Divisional Summary'!BD26</f>
        <v>-4.3033855234035551E-2</v>
      </c>
      <c r="N12" s="222">
        <f>'Divisional Summary'!BE26</f>
        <v>4.6814701378254282E-2</v>
      </c>
      <c r="O12" s="222">
        <f>'Divisional Summary'!BF26</f>
        <v>3.2835368165617718E-2</v>
      </c>
      <c r="P12" s="222">
        <f>'Divisional Summary'!BG26</f>
        <v>6.3309249588668681E-2</v>
      </c>
      <c r="Q12" s="221">
        <f>'Divisional Summary'!BH26</f>
        <v>0.02</v>
      </c>
      <c r="R12" s="222">
        <f>'Divisional Summary'!BI26</f>
        <v>0.09</v>
      </c>
      <c r="S12" s="222">
        <f>'Divisional Summary'!BJ26</f>
        <v>0.06</v>
      </c>
      <c r="T12" s="222">
        <f>'Divisional Summary'!BK26</f>
        <v>0.06</v>
      </c>
      <c r="U12" s="222">
        <f>'Divisional Summary'!BL26</f>
        <v>0.02</v>
      </c>
      <c r="V12" s="221">
        <f>'Divisional Summary'!BM26</f>
        <v>0.06</v>
      </c>
      <c r="W12" s="222">
        <f>'Divisional Summary'!BN26</f>
        <v>1.4720665982798057E-2</v>
      </c>
      <c r="X12" s="222">
        <f>'Divisional Summary'!BO26</f>
        <v>1.4247010850784447E-2</v>
      </c>
      <c r="Y12" s="222">
        <f>'Divisional Summary'!BP26</f>
        <v>-2.3308746048472148E-2</v>
      </c>
      <c r="Z12" s="222">
        <f>'Divisional Summary'!BQ26</f>
        <v>3.701745844056378E-3</v>
      </c>
      <c r="AA12" s="221">
        <f>'Divisional Summary'!BR26</f>
        <v>-4.9531872152670138E-3</v>
      </c>
      <c r="AB12" s="222">
        <f>'Divisional Summary'!BS26</f>
        <v>-2.0286726804123634E-2</v>
      </c>
      <c r="AC12" s="222">
        <f>'Divisional Summary'!BT26</f>
        <v>-5.2357499818931974E-3</v>
      </c>
      <c r="AD12" s="222">
        <f>'Divisional Summary'!BU26</f>
        <v>1.2389974737401941E-2</v>
      </c>
      <c r="AE12" s="222">
        <f>'Divisional Summary'!BV26</f>
        <v>3.9217904275375512E-2</v>
      </c>
      <c r="AF12" s="221">
        <f>'Divisional Summary'!BW26</f>
        <v>1.2467075622097494E-2</v>
      </c>
      <c r="AG12" s="222">
        <f>'Divisional Summary'!BX26</f>
        <v>5.0574345440655595E-2</v>
      </c>
      <c r="AH12" s="222">
        <f>'Divisional Summary'!BY26</f>
        <v>3.1073347494689485E-2</v>
      </c>
      <c r="AI12" s="222">
        <f>'Divisional Summary'!BZ26</f>
        <v>5.0054973483378611E-2</v>
      </c>
      <c r="AJ12" s="222">
        <f>'Divisional Summary'!CA26</f>
        <v>3.9218927143624328E-2</v>
      </c>
      <c r="AK12" s="221">
        <f>'Divisional Summary'!CB26</f>
        <v>4.2400806272280447E-2</v>
      </c>
      <c r="AL12" s="222">
        <f>'Divisional Summary'!CC26</f>
        <v>2.9595795184808416E-2</v>
      </c>
      <c r="AM12" s="222">
        <f>'Divisional Summary'!CD26</f>
        <v>3.1568844162643245E-2</v>
      </c>
      <c r="AN12" s="222">
        <f>'Divisional Summary'!CE26</f>
        <v>-8.4531172686788704E-3</v>
      </c>
      <c r="AO12" s="222">
        <f>'Divisional Summary'!CF26</f>
        <v>1.0421275594257472E-2</v>
      </c>
      <c r="AP12" s="221">
        <f>'Divisional Summary'!CG26</f>
        <v>1.5661136712749619E-2</v>
      </c>
      <c r="AQ12" s="222">
        <f>'Divisional Summary'!CH26</f>
        <v>2.0638888888888887E-2</v>
      </c>
      <c r="AR12" s="222">
        <f>'Divisional Summary'!CI26</f>
        <v>1.6135265700483091E-2</v>
      </c>
      <c r="AS12" s="222">
        <f>'Divisional Summary'!CJ26</f>
        <v>4.5535248041775458E-2</v>
      </c>
      <c r="AT12" s="222">
        <f>'Divisional Summary'!CK26</f>
        <v>0</v>
      </c>
      <c r="AU12" s="221">
        <f>'Divisional Summary'!CL26</f>
        <v>2.030322676062361E-2</v>
      </c>
      <c r="AV12" s="2060">
        <f>'Divisional Summary'!CM26</f>
        <v>3.5075354609929076E-2</v>
      </c>
      <c r="AW12" s="2060">
        <f>'Divisional Summary'!CN26</f>
        <v>2.9535299966854493E-2</v>
      </c>
      <c r="AX12" s="2060">
        <f>'Divisional Summary'!CO26</f>
        <v>0.06</v>
      </c>
      <c r="AY12" s="2060">
        <f>'Divisional Summary'!CP26</f>
        <v>3.3963988227660634E-2</v>
      </c>
      <c r="AZ12" s="221">
        <f>'Divisional Summary'!CQ26</f>
        <v>3.8087976092328911E-2</v>
      </c>
      <c r="BA12" s="2060">
        <f>'Divisional Summary'!CR26</f>
        <v>4.5743032935215353E-2</v>
      </c>
      <c r="BB12" s="2060">
        <f>'Divisional Summary'!CS26</f>
        <v>5.1172913340558478E-2</v>
      </c>
      <c r="BC12" s="2060">
        <f>'Divisional Summary'!CT26</f>
        <v>2.9322175868734399E-2</v>
      </c>
      <c r="BD12" s="2060">
        <f>'Divisional Summary'!CU26</f>
        <v>4.2451880154410482E-2</v>
      </c>
      <c r="BE12" s="221">
        <f>'Divisional Summary'!CV26</f>
        <v>4.6205960627278213E-2</v>
      </c>
      <c r="BF12" s="221">
        <f>'Divisional Summary'!CW26</f>
        <v>4.3325221917533518E-2</v>
      </c>
      <c r="BG12" s="235"/>
      <c r="BH12" s="235"/>
      <c r="BI12" s="235"/>
      <c r="BJ12" s="235"/>
      <c r="BK12" s="235"/>
      <c r="BL12" s="235"/>
      <c r="BM12" s="235"/>
      <c r="BN12" s="235"/>
      <c r="BO12" s="235"/>
      <c r="BP12" s="235"/>
      <c r="BQ12" s="235"/>
      <c r="BR12" s="235"/>
      <c r="BS12" s="235"/>
      <c r="BT12" s="235"/>
      <c r="BU12" s="235"/>
      <c r="BV12" s="235"/>
    </row>
    <row r="13" spans="1:74">
      <c r="A13" s="217"/>
      <c r="B13" s="157"/>
      <c r="C13" s="147"/>
      <c r="D13" s="147"/>
      <c r="E13" s="147"/>
      <c r="F13" s="147"/>
      <c r="G13" s="157"/>
      <c r="H13" s="147"/>
      <c r="I13" s="147"/>
      <c r="J13" s="147"/>
      <c r="K13" s="147"/>
      <c r="L13" s="157"/>
      <c r="M13" s="147"/>
      <c r="N13" s="147"/>
      <c r="O13" s="147"/>
      <c r="P13" s="147"/>
      <c r="Q13" s="157"/>
      <c r="R13" s="147"/>
      <c r="S13" s="147"/>
      <c r="T13" s="147"/>
      <c r="U13" s="147"/>
      <c r="V13" s="157"/>
      <c r="W13" s="147"/>
      <c r="X13" s="147"/>
      <c r="Y13" s="147"/>
      <c r="Z13" s="147"/>
      <c r="AA13" s="157"/>
      <c r="AB13" s="147"/>
      <c r="AC13" s="147"/>
      <c r="AD13" s="147"/>
      <c r="AE13" s="147"/>
      <c r="AF13" s="157"/>
      <c r="AG13" s="147"/>
      <c r="AH13" s="147"/>
      <c r="AI13" s="147"/>
      <c r="AJ13" s="147"/>
      <c r="AK13" s="157"/>
      <c r="AL13" s="147"/>
      <c r="AM13" s="147"/>
      <c r="AN13" s="147"/>
      <c r="AO13" s="147"/>
      <c r="AP13" s="157"/>
      <c r="AQ13" s="147"/>
      <c r="AR13" s="147"/>
      <c r="AS13" s="147"/>
      <c r="AT13" s="147"/>
      <c r="AU13" s="157"/>
      <c r="AV13" s="2030"/>
      <c r="AW13" s="2030"/>
      <c r="AX13" s="2030"/>
      <c r="AY13" s="2030"/>
      <c r="AZ13" s="157"/>
      <c r="BA13" s="2030"/>
      <c r="BB13" s="2030"/>
      <c r="BC13" s="2030"/>
      <c r="BD13" s="2030"/>
      <c r="BE13" s="157"/>
      <c r="BF13" s="157"/>
      <c r="BG13" s="147"/>
      <c r="BH13" s="147"/>
      <c r="BI13" s="147"/>
      <c r="BJ13" s="147"/>
      <c r="BK13" s="147"/>
      <c r="BL13" s="147"/>
      <c r="BM13" s="147"/>
      <c r="BN13" s="147"/>
      <c r="BO13" s="147"/>
      <c r="BP13" s="147"/>
      <c r="BQ13" s="147"/>
      <c r="BR13" s="147"/>
      <c r="BS13" s="147"/>
      <c r="BT13" s="147"/>
      <c r="BU13" s="147"/>
      <c r="BV13" s="147"/>
    </row>
    <row r="14" spans="1:74">
      <c r="A14" s="217" t="s">
        <v>269</v>
      </c>
      <c r="B14" s="160">
        <f>IS!AS25</f>
        <v>39922</v>
      </c>
      <c r="C14" s="161">
        <f>IS!AT25</f>
        <v>10238</v>
      </c>
      <c r="D14" s="161">
        <f>IS!AU25</f>
        <v>11636</v>
      </c>
      <c r="E14" s="161">
        <f>IS!AV25</f>
        <v>10935</v>
      </c>
      <c r="F14" s="161">
        <f>IS!AW25</f>
        <v>10828</v>
      </c>
      <c r="G14" s="160">
        <f>IS!AX25</f>
        <v>43637</v>
      </c>
      <c r="H14" s="161">
        <f>IS!AY25</f>
        <v>9107</v>
      </c>
      <c r="I14" s="161">
        <f>IS!AZ25</f>
        <v>9601</v>
      </c>
      <c r="J14" s="161">
        <f>IS!BA25</f>
        <v>9836</v>
      </c>
      <c r="K14" s="161">
        <f>IS!BB25</f>
        <v>10317</v>
      </c>
      <c r="L14" s="160">
        <f>IS!BC25</f>
        <v>38861</v>
      </c>
      <c r="M14" s="161">
        <f>IS!BD25</f>
        <v>8732</v>
      </c>
      <c r="N14" s="161">
        <f>IS!BE25</f>
        <v>10015</v>
      </c>
      <c r="O14" s="161">
        <f>IS!BF25</f>
        <v>9667</v>
      </c>
      <c r="P14" s="161">
        <f>IS!BG25</f>
        <v>11000</v>
      </c>
      <c r="Q14" s="160">
        <f>IS!BH25</f>
        <v>39414</v>
      </c>
      <c r="R14" s="161">
        <f>IS!BI25</f>
        <v>9152</v>
      </c>
      <c r="S14" s="161">
        <f>IS!BJ25</f>
        <v>10468</v>
      </c>
      <c r="T14" s="161">
        <f>IS!BK25</f>
        <v>10338</v>
      </c>
      <c r="U14" s="161">
        <f>IS!BL25</f>
        <v>10411</v>
      </c>
      <c r="V14" s="160">
        <f>IS!BM25</f>
        <v>40369</v>
      </c>
      <c r="W14" s="161">
        <f>IS!BN25</f>
        <v>8930</v>
      </c>
      <c r="X14" s="161">
        <f>IS!BO25</f>
        <v>9934</v>
      </c>
      <c r="Y14" s="161">
        <f>IS!BP25</f>
        <v>11003</v>
      </c>
      <c r="Z14" s="161">
        <f>IS!BQ25</f>
        <v>12286</v>
      </c>
      <c r="AA14" s="160">
        <f>IS!BR25</f>
        <v>42153</v>
      </c>
      <c r="AB14" s="161">
        <f>IS!BS25</f>
        <v>10465</v>
      </c>
      <c r="AC14" s="161">
        <f>IS!BT25</f>
        <v>11552</v>
      </c>
      <c r="AD14" s="161">
        <f>IS!BU25</f>
        <v>11020</v>
      </c>
      <c r="AE14" s="161">
        <f>IS!BV25</f>
        <v>12284</v>
      </c>
      <c r="AF14" s="160">
        <f>IS!BW25</f>
        <v>45321</v>
      </c>
      <c r="AG14" s="161">
        <f>IS!BX25</f>
        <v>10690</v>
      </c>
      <c r="AH14" s="161">
        <f>IS!BY25</f>
        <v>12931</v>
      </c>
      <c r="AI14" s="161">
        <f>IS!BZ25</f>
        <v>11466</v>
      </c>
      <c r="AJ14" s="161">
        <f>IS!CA25</f>
        <v>12360</v>
      </c>
      <c r="AK14" s="160">
        <f>IS!CB25</f>
        <v>47447</v>
      </c>
      <c r="AL14" s="161">
        <f>IS!CC25</f>
        <v>9506</v>
      </c>
      <c r="AM14" s="161">
        <f>IS!CD25</f>
        <v>10472</v>
      </c>
      <c r="AN14" s="161">
        <f>IS!CE25</f>
        <v>9800</v>
      </c>
      <c r="AO14" s="161">
        <f>IS!CF25</f>
        <v>10653</v>
      </c>
      <c r="AP14" s="160">
        <f>IS!CG25</f>
        <v>40365.611191779026</v>
      </c>
      <c r="AQ14" s="161">
        <f>IS!CH25</f>
        <v>9654</v>
      </c>
      <c r="AR14" s="161">
        <f>IS!CI25</f>
        <v>10741</v>
      </c>
      <c r="AS14" s="161">
        <f>IS!CJ25</f>
        <v>10342</v>
      </c>
      <c r="AT14" s="161">
        <f>IS!CK25</f>
        <v>10723</v>
      </c>
      <c r="AU14" s="160">
        <f>IS!CL25</f>
        <v>41460</v>
      </c>
      <c r="AV14" s="2036">
        <f>IS!CM25</f>
        <v>10077</v>
      </c>
      <c r="AW14" s="2036">
        <f>IS!CN25</f>
        <v>11100</v>
      </c>
      <c r="AX14" s="2036">
        <f>IS!CO25</f>
        <v>11043</v>
      </c>
      <c r="AY14" s="2036">
        <f>IS!CP25</f>
        <v>11294.877684407164</v>
      </c>
      <c r="AZ14" s="160">
        <f>IS!CQ25</f>
        <v>43514.877684407162</v>
      </c>
      <c r="BA14" s="2036">
        <f>IS!CR25</f>
        <v>10835.981162356449</v>
      </c>
      <c r="BB14" s="2036">
        <f>IS!CS25</f>
        <v>11985.695238282675</v>
      </c>
      <c r="BC14" s="2036">
        <f>IS!CT25</f>
        <v>11473.660274593192</v>
      </c>
      <c r="BD14" s="2036">
        <f>IS!CU25</f>
        <v>11711.87568273678</v>
      </c>
      <c r="BE14" s="160">
        <f>IS!CV25</f>
        <v>46217.000066110049</v>
      </c>
      <c r="BF14" s="160">
        <f>IS!CW25</f>
        <v>47990.291108502897</v>
      </c>
      <c r="BG14" s="161"/>
      <c r="BH14" s="161"/>
      <c r="BI14" s="161"/>
      <c r="BJ14" s="161"/>
      <c r="BK14" s="161"/>
      <c r="BL14" s="161"/>
      <c r="BM14" s="161"/>
      <c r="BN14" s="161"/>
      <c r="BO14" s="161"/>
      <c r="BP14" s="161"/>
      <c r="BQ14" s="161"/>
      <c r="BR14" s="161"/>
      <c r="BS14" s="161"/>
      <c r="BT14" s="161"/>
      <c r="BU14" s="161"/>
      <c r="BV14" s="161"/>
    </row>
    <row r="15" spans="1:74">
      <c r="A15" s="217"/>
      <c r="B15" s="157"/>
      <c r="C15" s="147"/>
      <c r="D15" s="147"/>
      <c r="E15" s="147"/>
      <c r="F15" s="147"/>
      <c r="G15" s="157"/>
      <c r="H15" s="147"/>
      <c r="I15" s="147"/>
      <c r="J15" s="147"/>
      <c r="K15" s="147"/>
      <c r="L15" s="157"/>
      <c r="M15" s="147"/>
      <c r="N15" s="147"/>
      <c r="O15" s="147"/>
      <c r="P15" s="147"/>
      <c r="Q15" s="157"/>
      <c r="R15" s="147"/>
      <c r="S15" s="147"/>
      <c r="T15" s="147"/>
      <c r="U15" s="147"/>
      <c r="V15" s="157"/>
      <c r="W15" s="147"/>
      <c r="X15" s="147"/>
      <c r="Y15" s="147"/>
      <c r="Z15" s="147"/>
      <c r="AA15" s="157"/>
      <c r="AB15" s="147"/>
      <c r="AC15" s="147"/>
      <c r="AD15" s="147"/>
      <c r="AE15" s="147"/>
      <c r="AF15" s="157"/>
      <c r="AG15" s="147"/>
      <c r="AH15" s="147"/>
      <c r="AI15" s="147"/>
      <c r="AJ15" s="147"/>
      <c r="AK15" s="157"/>
      <c r="AL15" s="147"/>
      <c r="AM15" s="147"/>
      <c r="AN15" s="147"/>
      <c r="AO15" s="147"/>
      <c r="AP15" s="157"/>
      <c r="AQ15" s="147"/>
      <c r="AR15" s="147"/>
      <c r="AS15" s="147"/>
      <c r="AT15" s="147"/>
      <c r="AU15" s="157"/>
      <c r="AV15" s="2030"/>
      <c r="AW15" s="2030"/>
      <c r="AX15" s="2030"/>
      <c r="AY15" s="2030"/>
      <c r="AZ15" s="157"/>
      <c r="BA15" s="2030"/>
      <c r="BB15" s="2030"/>
      <c r="BC15" s="2030"/>
      <c r="BD15" s="2030"/>
      <c r="BE15" s="157"/>
      <c r="BF15" s="157"/>
      <c r="BG15" s="147"/>
      <c r="BH15" s="147"/>
      <c r="BI15" s="147"/>
      <c r="BJ15" s="147"/>
      <c r="BK15" s="147"/>
      <c r="BL15" s="147"/>
      <c r="BM15" s="147"/>
      <c r="BN15" s="147"/>
      <c r="BO15" s="147"/>
      <c r="BP15" s="147"/>
      <c r="BQ15" s="147"/>
      <c r="BR15" s="147"/>
      <c r="BS15" s="147"/>
      <c r="BT15" s="147"/>
      <c r="BU15" s="147"/>
      <c r="BV15" s="147"/>
    </row>
    <row r="16" spans="1:74">
      <c r="A16" s="234" t="s">
        <v>268</v>
      </c>
      <c r="B16" s="176">
        <f>IS!AS28</f>
        <v>14837</v>
      </c>
      <c r="C16" s="177">
        <f>IS!AT28</f>
        <v>3720</v>
      </c>
      <c r="D16" s="177">
        <f>IS!AU28</f>
        <v>4308</v>
      </c>
      <c r="E16" s="177">
        <f>IS!AV28</f>
        <v>4150</v>
      </c>
      <c r="F16" s="177">
        <f>IS!AW28</f>
        <v>3942</v>
      </c>
      <c r="G16" s="176">
        <f>IS!AX28</f>
        <v>16120</v>
      </c>
      <c r="H16" s="177">
        <f>IS!AY28</f>
        <v>3092</v>
      </c>
      <c r="I16" s="177">
        <f>IS!AZ28</f>
        <v>3459</v>
      </c>
      <c r="J16" s="177">
        <f>IS!BA28</f>
        <v>3351</v>
      </c>
      <c r="K16" s="177">
        <f>IS!BB28</f>
        <v>3662</v>
      </c>
      <c r="L16" s="176">
        <f>IS!BC28</f>
        <v>13564</v>
      </c>
      <c r="M16" s="177">
        <f>IS!BD28</f>
        <v>3308</v>
      </c>
      <c r="N16" s="177">
        <f>IS!BE28</f>
        <v>3787</v>
      </c>
      <c r="O16" s="177">
        <f>IS!BF28</f>
        <v>3953</v>
      </c>
      <c r="P16" s="177">
        <f>IS!BG28</f>
        <v>3864</v>
      </c>
      <c r="Q16" s="176">
        <f>IS!BH28</f>
        <v>14912</v>
      </c>
      <c r="R16" s="177">
        <f>IS!BI28</f>
        <v>3521</v>
      </c>
      <c r="S16" s="177">
        <f>IS!BJ28</f>
        <v>4001</v>
      </c>
      <c r="T16" s="177">
        <f>IS!BK28</f>
        <v>3897</v>
      </c>
      <c r="U16" s="177">
        <f>IS!BL28</f>
        <v>3966</v>
      </c>
      <c r="V16" s="176">
        <f>IS!BM28</f>
        <v>15385</v>
      </c>
      <c r="W16" s="177">
        <f>IS!BN28</f>
        <v>3486</v>
      </c>
      <c r="X16" s="177">
        <f>IS!BO28</f>
        <v>3873</v>
      </c>
      <c r="Y16" s="177">
        <f>IS!BP28</f>
        <v>4039</v>
      </c>
      <c r="Z16" s="177">
        <f>IS!BQ28</f>
        <v>4157</v>
      </c>
      <c r="AA16" s="176">
        <f>IS!BR28</f>
        <v>15555</v>
      </c>
      <c r="AB16" s="177">
        <f>IS!BS28</f>
        <v>3934</v>
      </c>
      <c r="AC16" s="177">
        <f>IS!BT28</f>
        <v>4454</v>
      </c>
      <c r="AD16" s="177">
        <f>IS!BU28</f>
        <v>4442</v>
      </c>
      <c r="AE16" s="177">
        <f>IS!BV28</f>
        <v>4475</v>
      </c>
      <c r="AF16" s="176">
        <f>IS!BW28</f>
        <v>17305</v>
      </c>
      <c r="AG16" s="177">
        <f>IS!BX28</f>
        <v>4055</v>
      </c>
      <c r="AH16" s="177">
        <f>IS!BY28</f>
        <v>4260</v>
      </c>
      <c r="AI16" s="177">
        <f>IS!BZ28</f>
        <v>4702</v>
      </c>
      <c r="AJ16" s="177">
        <f>IS!CA28</f>
        <v>4636</v>
      </c>
      <c r="AK16" s="176">
        <f>IS!CB28</f>
        <v>17653</v>
      </c>
      <c r="AL16" s="177">
        <f>IS!CC28</f>
        <v>3814</v>
      </c>
      <c r="AM16" s="177">
        <f>IS!CD28</f>
        <v>4225</v>
      </c>
      <c r="AN16" s="177">
        <f>IS!CE28</f>
        <v>3988</v>
      </c>
      <c r="AO16" s="177">
        <f>IS!CF28</f>
        <v>3647</v>
      </c>
      <c r="AP16" s="176">
        <f>IS!CG28</f>
        <v>15674</v>
      </c>
      <c r="AQ16" s="177">
        <f>IS!CH28</f>
        <v>3703</v>
      </c>
      <c r="AR16" s="177">
        <f>IS!CI28</f>
        <v>4133</v>
      </c>
      <c r="AS16" s="177">
        <f>IS!CJ28</f>
        <v>4012</v>
      </c>
      <c r="AT16" s="177">
        <f>IS!CK28</f>
        <v>3936</v>
      </c>
      <c r="AU16" s="176">
        <f>IS!CL28</f>
        <v>15784</v>
      </c>
      <c r="AV16" s="2040">
        <f>IS!CM28</f>
        <v>3738</v>
      </c>
      <c r="AW16" s="2040">
        <f>IS!CN28</f>
        <v>4180</v>
      </c>
      <c r="AX16" s="2040">
        <f>IS!CO28</f>
        <v>4019</v>
      </c>
      <c r="AY16" s="2040">
        <f>IS!CP28</f>
        <v>4056.3913328627532</v>
      </c>
      <c r="AZ16" s="176">
        <f>IS!CQ28</f>
        <v>15993.391332862753</v>
      </c>
      <c r="BA16" s="2040">
        <f>IS!CR28</f>
        <v>3831.354379395143</v>
      </c>
      <c r="BB16" s="2040">
        <f>IS!CS28</f>
        <v>4373.0231788790625</v>
      </c>
      <c r="BC16" s="2040">
        <f>IS!CT28</f>
        <v>4326.7496361496851</v>
      </c>
      <c r="BD16" s="2040">
        <f>IS!CU28</f>
        <v>4291.0835670723936</v>
      </c>
      <c r="BE16" s="176">
        <f>IS!CV28</f>
        <v>16822.210761496288</v>
      </c>
      <c r="BF16" s="176">
        <f>IS!CW28</f>
        <v>17780.107517715667</v>
      </c>
      <c r="BG16" s="161"/>
      <c r="BH16" s="161"/>
      <c r="BI16" s="161"/>
      <c r="BJ16" s="161"/>
      <c r="BK16" s="161"/>
      <c r="BL16" s="161"/>
      <c r="BM16" s="161"/>
      <c r="BN16" s="161"/>
      <c r="BO16" s="161"/>
      <c r="BP16" s="161"/>
      <c r="BQ16" s="161"/>
      <c r="BR16" s="161"/>
      <c r="BS16" s="161"/>
      <c r="BT16" s="161"/>
      <c r="BU16" s="161"/>
      <c r="BV16" s="161"/>
    </row>
    <row r="17" spans="1:74">
      <c r="A17" s="223" t="s">
        <v>147</v>
      </c>
      <c r="B17" s="201">
        <f>IS!AS29</f>
        <v>0.27095089391698168</v>
      </c>
      <c r="C17" s="202">
        <f>IS!AT29</f>
        <v>0.26651382719587335</v>
      </c>
      <c r="D17" s="202">
        <f>IS!AU29</f>
        <v>0.27019568489713996</v>
      </c>
      <c r="E17" s="202">
        <f>IS!AV29</f>
        <v>0.27510772290354657</v>
      </c>
      <c r="F17" s="202">
        <f>IS!AW29</f>
        <v>0.26689234935680434</v>
      </c>
      <c r="G17" s="201">
        <f>IS!AX29</f>
        <v>0.26975919139180349</v>
      </c>
      <c r="H17" s="202">
        <f>IS!AY29</f>
        <v>0.25346339863923273</v>
      </c>
      <c r="I17" s="202">
        <f>IS!AZ29</f>
        <v>0.26485451761102602</v>
      </c>
      <c r="J17" s="202">
        <f>IS!BA29</f>
        <v>0.2541139000530826</v>
      </c>
      <c r="K17" s="202">
        <f>IS!BB29</f>
        <v>0.26196437513412979</v>
      </c>
      <c r="L17" s="169">
        <f>IS!BC29</f>
        <v>0.25873152122079163</v>
      </c>
      <c r="M17" s="170">
        <f>IS!BD29</f>
        <v>0.27475083056478405</v>
      </c>
      <c r="N17" s="170">
        <f>IS!BE29</f>
        <v>0.27438052456165773</v>
      </c>
      <c r="O17" s="170">
        <f>IS!BF29</f>
        <v>0.29023494860499266</v>
      </c>
      <c r="P17" s="170">
        <f>IS!BG29</f>
        <v>0.25995694294940797</v>
      </c>
      <c r="Q17" s="169">
        <f>IS!BH29</f>
        <v>0.2744910355998969</v>
      </c>
      <c r="R17" s="170">
        <f>IS!BI29</f>
        <v>0.27783476682711278</v>
      </c>
      <c r="S17" s="170">
        <f>IS!BJ29</f>
        <v>0.27652221991844633</v>
      </c>
      <c r="T17" s="170">
        <f>IS!BK29</f>
        <v>0.27376185458377239</v>
      </c>
      <c r="U17" s="170">
        <f>IS!BL29</f>
        <v>0.27585727203171734</v>
      </c>
      <c r="V17" s="169">
        <f>IS!BM29</f>
        <v>0.2759443268644402</v>
      </c>
      <c r="W17" s="170">
        <f>IS!BN29</f>
        <v>0.28076675257731959</v>
      </c>
      <c r="X17" s="170">
        <f>IS!BO29</f>
        <v>0.28050988628956325</v>
      </c>
      <c r="Y17" s="170">
        <f>IS!BP29</f>
        <v>0.26851482515622921</v>
      </c>
      <c r="Z17" s="170">
        <f>IS!BQ29</f>
        <v>0.25281274706562062</v>
      </c>
      <c r="AA17" s="169">
        <f>IS!BR29</f>
        <v>0.26954668330214182</v>
      </c>
      <c r="AB17" s="170">
        <f>IS!BS29</f>
        <v>0.27321341759844436</v>
      </c>
      <c r="AC17" s="170">
        <f>IS!BT29</f>
        <v>0.27827064850680994</v>
      </c>
      <c r="AD17" s="170">
        <f>IS!BU29</f>
        <v>0.28728495666796017</v>
      </c>
      <c r="AE17" s="170">
        <f>IS!BV29</f>
        <v>0.26702070529267857</v>
      </c>
      <c r="AF17" s="169">
        <f>IS!BW29</f>
        <v>0.27632293296713822</v>
      </c>
      <c r="AG17" s="170">
        <f>IS!BX29</f>
        <v>0.27500847744998302</v>
      </c>
      <c r="AH17" s="170">
        <f>IS!BY29</f>
        <v>0.24780408353208075</v>
      </c>
      <c r="AI17" s="170">
        <f>IS!BZ29</f>
        <v>0.2908213755566551</v>
      </c>
      <c r="AJ17" s="170">
        <f>IS!CA29</f>
        <v>0.27277006354436339</v>
      </c>
      <c r="AK17" s="169">
        <f>IS!CB29</f>
        <v>0.27116743471582183</v>
      </c>
      <c r="AL17" s="170">
        <f>IS!CC29</f>
        <v>0.28633633633633632</v>
      </c>
      <c r="AM17" s="170">
        <f>IS!CD29</f>
        <v>0.28747363407498128</v>
      </c>
      <c r="AN17" s="170">
        <f>IS!CE29</f>
        <v>0.28923701769654775</v>
      </c>
      <c r="AO17" s="170">
        <f>IS!CF29</f>
        <v>0.25503496503496503</v>
      </c>
      <c r="AP17" s="169">
        <f>IS!CG29</f>
        <v>0.27969501691152643</v>
      </c>
      <c r="AQ17" s="170">
        <f>IS!CH29</f>
        <v>0.27723291158194208</v>
      </c>
      <c r="AR17" s="170">
        <f>IS!CI29</f>
        <v>0.27786741965846445</v>
      </c>
      <c r="AS17" s="170">
        <f>IS!CJ29</f>
        <v>0.27950397101853142</v>
      </c>
      <c r="AT17" s="170">
        <f>IS!CK29</f>
        <v>0.26850399072242309</v>
      </c>
      <c r="AU17" s="169">
        <f>IS!CL29</f>
        <v>0.27573195444064008</v>
      </c>
      <c r="AV17" s="2038">
        <f>IS!CM29</f>
        <v>0.27057546145494027</v>
      </c>
      <c r="AW17" s="2038">
        <f>IS!CN29</f>
        <v>0.27356020942408377</v>
      </c>
      <c r="AX17" s="2038">
        <f>IS!CO29</f>
        <v>0.26683043420528485</v>
      </c>
      <c r="AY17" s="2038">
        <f>IS!CP29</f>
        <v>0.26423817655070614</v>
      </c>
      <c r="AZ17" s="169">
        <f>IS!CQ29</f>
        <v>0.26875914216596192</v>
      </c>
      <c r="BA17" s="2038">
        <f>IS!CR29</f>
        <v>0.2612167948629065</v>
      </c>
      <c r="BB17" s="2038">
        <f>IS!CS29</f>
        <v>0.26732064623664992</v>
      </c>
      <c r="BC17" s="2038">
        <f>IS!CT29</f>
        <v>0.27383780930948376</v>
      </c>
      <c r="BD17" s="2038">
        <f>IS!CU29</f>
        <v>0.26814312903556026</v>
      </c>
      <c r="BE17" s="169">
        <f>IS!CV29</f>
        <v>0.26685313062531946</v>
      </c>
      <c r="BF17" s="169">
        <f>IS!CW29</f>
        <v>0.27033601573197469</v>
      </c>
      <c r="BG17" s="235"/>
      <c r="BH17" s="235"/>
      <c r="BI17" s="235"/>
      <c r="BJ17" s="235"/>
      <c r="BK17" s="235"/>
      <c r="BL17" s="235"/>
      <c r="BM17" s="235"/>
      <c r="BN17" s="235"/>
      <c r="BO17" s="235"/>
      <c r="BP17" s="235"/>
      <c r="BQ17" s="235"/>
      <c r="BR17" s="235"/>
      <c r="BS17" s="235"/>
      <c r="BT17" s="235"/>
      <c r="BU17" s="235"/>
      <c r="BV17" s="235"/>
    </row>
    <row r="18" spans="1:74">
      <c r="A18" s="217"/>
      <c r="B18" s="242"/>
      <c r="C18" s="217"/>
      <c r="D18" s="217"/>
      <c r="E18" s="217"/>
      <c r="F18" s="217"/>
      <c r="G18" s="242"/>
      <c r="H18" s="217"/>
      <c r="I18" s="217"/>
      <c r="J18" s="217"/>
      <c r="K18" s="217"/>
      <c r="L18" s="242"/>
      <c r="M18" s="217"/>
      <c r="N18" s="217"/>
      <c r="O18" s="217"/>
      <c r="P18" s="217"/>
      <c r="Q18" s="242"/>
      <c r="R18" s="217"/>
      <c r="S18" s="217"/>
      <c r="T18" s="217"/>
      <c r="U18" s="217"/>
      <c r="V18" s="242"/>
      <c r="W18" s="217"/>
      <c r="X18" s="217"/>
      <c r="Y18" s="217"/>
      <c r="Z18" s="217"/>
      <c r="AA18" s="242"/>
      <c r="AB18" s="217"/>
      <c r="AC18" s="217"/>
      <c r="AD18" s="217"/>
      <c r="AE18" s="217"/>
      <c r="AF18" s="242"/>
      <c r="AG18" s="217"/>
      <c r="AH18" s="217"/>
      <c r="AI18" s="217"/>
      <c r="AJ18" s="217"/>
      <c r="AK18" s="242"/>
      <c r="AL18" s="217"/>
      <c r="AM18" s="217"/>
      <c r="AN18" s="217"/>
      <c r="AO18" s="217"/>
      <c r="AP18" s="242"/>
      <c r="AQ18" s="217"/>
      <c r="AR18" s="217"/>
      <c r="AS18" s="217"/>
      <c r="AT18" s="217"/>
      <c r="AU18" s="242"/>
      <c r="AV18" s="2058"/>
      <c r="AW18" s="2058"/>
      <c r="AX18" s="2058"/>
      <c r="AY18" s="2058"/>
      <c r="AZ18" s="242"/>
      <c r="BA18" s="2058"/>
      <c r="BB18" s="2058"/>
      <c r="BC18" s="2058"/>
      <c r="BD18" s="2058"/>
      <c r="BE18" s="242"/>
      <c r="BF18" s="242"/>
      <c r="BG18" s="147"/>
      <c r="BH18" s="147"/>
      <c r="BI18" s="147"/>
      <c r="BJ18" s="147"/>
      <c r="BK18" s="147"/>
      <c r="BL18" s="147"/>
      <c r="BM18" s="147"/>
      <c r="BN18" s="147"/>
      <c r="BO18" s="147"/>
      <c r="BP18" s="147"/>
      <c r="BQ18" s="147"/>
      <c r="BR18" s="147"/>
      <c r="BS18" s="147"/>
      <c r="BT18" s="147"/>
      <c r="BU18" s="147"/>
      <c r="BV18" s="147"/>
    </row>
    <row r="19" spans="1:74">
      <c r="A19" s="217" t="s">
        <v>267</v>
      </c>
      <c r="B19" s="160">
        <f>IS!AS31</f>
        <v>6109</v>
      </c>
      <c r="C19" s="161">
        <f>IS!AT31</f>
        <v>1635</v>
      </c>
      <c r="D19" s="161">
        <f>IS!AU31</f>
        <v>1775</v>
      </c>
      <c r="E19" s="161">
        <f>IS!AV31</f>
        <v>1665</v>
      </c>
      <c r="F19" s="161">
        <f>IS!AW31</f>
        <v>1649</v>
      </c>
      <c r="G19" s="160">
        <f>IS!AX31</f>
        <v>6724</v>
      </c>
      <c r="H19" s="161">
        <f>IS!AY31</f>
        <v>1483</v>
      </c>
      <c r="I19" s="161">
        <f>IS!AZ31</f>
        <v>1574</v>
      </c>
      <c r="J19" s="161">
        <f>IS!BA31</f>
        <v>1424</v>
      </c>
      <c r="K19" s="161">
        <f>IS!BB31</f>
        <v>1555</v>
      </c>
      <c r="L19" s="160">
        <f>IS!BC31</f>
        <v>6036</v>
      </c>
      <c r="M19" s="161">
        <f>IS!BD31</f>
        <v>1424</v>
      </c>
      <c r="N19" s="161">
        <f>IS!BE31</f>
        <v>1491</v>
      </c>
      <c r="O19" s="161">
        <f>IS!BF31</f>
        <v>1478</v>
      </c>
      <c r="P19" s="161">
        <f>IS!BG31</f>
        <v>1631</v>
      </c>
      <c r="Q19" s="160">
        <f>IS!BH31</f>
        <v>6024</v>
      </c>
      <c r="R19" s="161">
        <f>IS!BI31</f>
        <v>1450</v>
      </c>
      <c r="S19" s="161">
        <f>IS!BJ31</f>
        <v>1576</v>
      </c>
      <c r="T19" s="161">
        <f>IS!BK31</f>
        <v>1512</v>
      </c>
      <c r="U19" s="161">
        <f>IS!BL31</f>
        <v>1623</v>
      </c>
      <c r="V19" s="160">
        <f>IS!BM31</f>
        <v>6161</v>
      </c>
      <c r="W19" s="161">
        <f>IS!BN31</f>
        <v>1529</v>
      </c>
      <c r="X19" s="161">
        <f>IS!BO31</f>
        <v>1509</v>
      </c>
      <c r="Y19" s="161">
        <f>IS!BP31</f>
        <v>1619</v>
      </c>
      <c r="Z19" s="161">
        <f>IS!BQ31</f>
        <v>1795</v>
      </c>
      <c r="AA19" s="160">
        <f>IS!BR31</f>
        <v>6452</v>
      </c>
      <c r="AB19" s="161">
        <f>IS!BS31</f>
        <v>1627</v>
      </c>
      <c r="AC19" s="161">
        <f>IS!BT31</f>
        <v>1737</v>
      </c>
      <c r="AD19" s="161">
        <f>IS!BU31</f>
        <v>1633</v>
      </c>
      <c r="AE19" s="161">
        <f>IS!BV31</f>
        <v>1721</v>
      </c>
      <c r="AF19" s="160">
        <f>IS!BW31</f>
        <v>6718</v>
      </c>
      <c r="AG19" s="161">
        <f>IS!BX31</f>
        <v>1596</v>
      </c>
      <c r="AH19" s="161">
        <f>IS!BY31</f>
        <v>1623</v>
      </c>
      <c r="AI19" s="161">
        <f>IS!BZ31</f>
        <v>1580</v>
      </c>
      <c r="AJ19" s="161">
        <f>IS!CA31</f>
        <v>1701</v>
      </c>
      <c r="AK19" s="160">
        <f>IS!CB31</f>
        <v>6500</v>
      </c>
      <c r="AL19" s="161">
        <f>IS!CC31</f>
        <v>1476</v>
      </c>
      <c r="AM19" s="161">
        <f>IS!CD31</f>
        <v>1426</v>
      </c>
      <c r="AN19" s="161">
        <f>IS!CE31</f>
        <v>1359</v>
      </c>
      <c r="AO19" s="161">
        <f>IS!CF31</f>
        <v>1625</v>
      </c>
      <c r="AP19" s="160">
        <f>IS!CG31</f>
        <v>5886</v>
      </c>
      <c r="AQ19" s="161">
        <f>IS!CH31</f>
        <v>1363</v>
      </c>
      <c r="AR19" s="161">
        <f>IS!CI31</f>
        <v>1451</v>
      </c>
      <c r="AS19" s="161">
        <f>IS!CJ31</f>
        <v>1390</v>
      </c>
      <c r="AT19" s="161">
        <f>IS!CK31</f>
        <v>1856</v>
      </c>
      <c r="AU19" s="160">
        <f>IS!CL31</f>
        <v>6060</v>
      </c>
      <c r="AV19" s="2036">
        <f>IS!CM31</f>
        <v>1482</v>
      </c>
      <c r="AW19" s="2036">
        <f>IS!CN31</f>
        <v>1538</v>
      </c>
      <c r="AX19" s="2036">
        <f>IS!CO31</f>
        <v>1524</v>
      </c>
      <c r="AY19" s="2036">
        <f>IS!CP31</f>
        <v>1744.4623883261268</v>
      </c>
      <c r="AZ19" s="160">
        <f>IS!CQ31</f>
        <v>6288.4623883261265</v>
      </c>
      <c r="BA19" s="2036">
        <f>IS!CR31</f>
        <v>1602.7687118273222</v>
      </c>
      <c r="BB19" s="2036">
        <f>IS!CS31</f>
        <v>1679.2952461009957</v>
      </c>
      <c r="BC19" s="2036">
        <f>IS!CT31</f>
        <v>1630.3144504131831</v>
      </c>
      <c r="BD19" s="2036">
        <f>IS!CU31</f>
        <v>1818.5180965692241</v>
      </c>
      <c r="BE19" s="160">
        <f>IS!CV31</f>
        <v>6730.8965049107255</v>
      </c>
      <c r="BF19" s="160">
        <f>IS!CW31</f>
        <v>6905.8918557529487</v>
      </c>
      <c r="BG19" s="161"/>
      <c r="BH19" s="161"/>
      <c r="BI19" s="161"/>
      <c r="BJ19" s="161"/>
      <c r="BK19" s="161"/>
      <c r="BL19" s="161"/>
      <c r="BM19" s="161"/>
      <c r="BN19" s="161"/>
      <c r="BO19" s="161"/>
      <c r="BP19" s="161"/>
      <c r="BQ19" s="161"/>
      <c r="BR19" s="161"/>
      <c r="BS19" s="161"/>
      <c r="BT19" s="161"/>
      <c r="BU19" s="161"/>
      <c r="BV19" s="161"/>
    </row>
    <row r="20" spans="1:74">
      <c r="A20" s="217" t="s">
        <v>266</v>
      </c>
      <c r="B20" s="160">
        <f>IS!AS34</f>
        <v>1678</v>
      </c>
      <c r="C20" s="161">
        <f>IS!AT34</f>
        <v>411</v>
      </c>
      <c r="D20" s="161">
        <f>IS!AU34</f>
        <v>434</v>
      </c>
      <c r="E20" s="161">
        <f>IS!AV34</f>
        <v>436</v>
      </c>
      <c r="F20" s="161">
        <f>IS!AW34</f>
        <v>490</v>
      </c>
      <c r="G20" s="160">
        <f>IS!AX34</f>
        <v>1771</v>
      </c>
      <c r="H20" s="161">
        <f>IS!AY34</f>
        <v>409</v>
      </c>
      <c r="I20" s="161">
        <f>IS!AZ34</f>
        <v>384</v>
      </c>
      <c r="J20" s="161">
        <f>IS!BA34</f>
        <v>344</v>
      </c>
      <c r="K20" s="161">
        <f>IS!BB34</f>
        <v>421</v>
      </c>
      <c r="L20" s="160">
        <f>IS!BC34</f>
        <v>1558</v>
      </c>
      <c r="M20" s="161">
        <f>IS!BD34</f>
        <v>397</v>
      </c>
      <c r="N20" s="161">
        <f>IS!BE34</f>
        <v>459</v>
      </c>
      <c r="O20" s="161">
        <f>IS!BF34</f>
        <v>433</v>
      </c>
      <c r="P20" s="161">
        <f>IS!BG34</f>
        <v>457</v>
      </c>
      <c r="Q20" s="160">
        <f>IS!BH34</f>
        <v>1746</v>
      </c>
      <c r="R20" s="161">
        <f>IS!BI34</f>
        <v>468</v>
      </c>
      <c r="S20" s="161">
        <f>IS!BJ34</f>
        <v>494</v>
      </c>
      <c r="T20" s="161">
        <f>IS!BK34</f>
        <v>465</v>
      </c>
      <c r="U20" s="161">
        <f>IS!BL34</f>
        <v>524</v>
      </c>
      <c r="V20" s="160">
        <f>IS!BM34</f>
        <v>1951</v>
      </c>
      <c r="W20" s="161">
        <f>IS!BN34</f>
        <v>544</v>
      </c>
      <c r="X20" s="161">
        <f>IS!BO34</f>
        <v>525</v>
      </c>
      <c r="Y20" s="161">
        <f>IS!BP34</f>
        <v>590</v>
      </c>
      <c r="Z20" s="161">
        <f>IS!BQ34</f>
        <v>712</v>
      </c>
      <c r="AA20" s="160">
        <f>IS!BR34</f>
        <v>2371</v>
      </c>
      <c r="AB20" s="161">
        <f>IS!BS34</f>
        <v>610</v>
      </c>
      <c r="AC20" s="161">
        <f>IS!BT34</f>
        <v>631</v>
      </c>
      <c r="AD20" s="161">
        <f>IS!BU34</f>
        <v>630</v>
      </c>
      <c r="AE20" s="161">
        <f>IS!BV34</f>
        <v>658</v>
      </c>
      <c r="AF20" s="160">
        <f>IS!BW34</f>
        <v>2529</v>
      </c>
      <c r="AG20" s="161">
        <f>IS!BX34</f>
        <v>624</v>
      </c>
      <c r="AH20" s="161">
        <f>IS!BY34</f>
        <v>666</v>
      </c>
      <c r="AI20" s="161">
        <f>IS!BZ34</f>
        <v>677</v>
      </c>
      <c r="AJ20" s="161">
        <f>IS!CA34</f>
        <v>668</v>
      </c>
      <c r="AK20" s="160">
        <f>IS!CB34</f>
        <v>2635</v>
      </c>
      <c r="AL20" s="161">
        <f>IS!CC34</f>
        <v>564</v>
      </c>
      <c r="AM20" s="161">
        <f>IS!CD34</f>
        <v>558</v>
      </c>
      <c r="AN20" s="161">
        <f>IS!CE34</f>
        <v>546</v>
      </c>
      <c r="AO20" s="161">
        <f>IS!CF34</f>
        <v>611</v>
      </c>
      <c r="AP20" s="160">
        <f>IS!CG34</f>
        <v>2279</v>
      </c>
      <c r="AQ20" s="161">
        <f>IS!CH34</f>
        <v>541</v>
      </c>
      <c r="AR20" s="161">
        <f>IS!CI34</f>
        <v>588</v>
      </c>
      <c r="AS20" s="161">
        <f>IS!CJ34</f>
        <v>582</v>
      </c>
      <c r="AT20" s="161">
        <f>IS!CK34</f>
        <v>626</v>
      </c>
      <c r="AU20" s="160">
        <f>IS!CL34</f>
        <v>2337</v>
      </c>
      <c r="AV20" s="2036">
        <f>IS!CM34</f>
        <v>577</v>
      </c>
      <c r="AW20" s="2036">
        <f>IS!CN34</f>
        <v>609</v>
      </c>
      <c r="AX20" s="2036">
        <f>IS!CO34</f>
        <v>582</v>
      </c>
      <c r="AY20" s="2036">
        <f>IS!CP34</f>
        <v>593.17743779385819</v>
      </c>
      <c r="AZ20" s="160">
        <f>IS!CQ34</f>
        <v>2361.1774377938582</v>
      </c>
      <c r="BA20" s="2036">
        <f>IS!CR34</f>
        <v>575.93047457961802</v>
      </c>
      <c r="BB20" s="2036">
        <f>IS!CS34</f>
        <v>627.45534619961722</v>
      </c>
      <c r="BC20" s="2036">
        <f>IS!CT34</f>
        <v>586.83175587165988</v>
      </c>
      <c r="BD20" s="2036">
        <f>IS!CU34</f>
        <v>594.35449641866956</v>
      </c>
      <c r="BE20" s="160">
        <f>IS!CV34</f>
        <v>2384.5720730695648</v>
      </c>
      <c r="BF20" s="160">
        <f>IS!CW34</f>
        <v>2224.8025928087827</v>
      </c>
      <c r="BG20" s="161"/>
      <c r="BH20" s="161"/>
      <c r="BI20" s="161"/>
      <c r="BJ20" s="161"/>
      <c r="BK20" s="161"/>
      <c r="BL20" s="161"/>
      <c r="BM20" s="161"/>
      <c r="BN20" s="161"/>
      <c r="BO20" s="161"/>
      <c r="BP20" s="161"/>
      <c r="BQ20" s="161"/>
      <c r="BR20" s="161"/>
      <c r="BS20" s="161"/>
      <c r="BT20" s="161"/>
      <c r="BU20" s="161"/>
      <c r="BV20" s="161"/>
    </row>
    <row r="21" spans="1:74">
      <c r="A21" s="217" t="s">
        <v>8</v>
      </c>
      <c r="B21" s="160">
        <f>IS!AS37</f>
        <v>0</v>
      </c>
      <c r="C21" s="161">
        <f>IS!AT37</f>
        <v>0</v>
      </c>
      <c r="D21" s="161">
        <f>IS!AU37</f>
        <v>0</v>
      </c>
      <c r="E21" s="161">
        <f>IS!AV37</f>
        <v>0</v>
      </c>
      <c r="F21" s="161">
        <f>IS!AW37</f>
        <v>0</v>
      </c>
      <c r="G21" s="160">
        <f>IS!AX37</f>
        <v>0</v>
      </c>
      <c r="H21" s="161">
        <f>IS!AY37</f>
        <v>-29.5</v>
      </c>
      <c r="I21" s="161">
        <f>IS!AZ37</f>
        <v>-115.5</v>
      </c>
      <c r="J21" s="161">
        <f>IS!BA37</f>
        <v>-165.5</v>
      </c>
      <c r="K21" s="161">
        <f>IS!BB37</f>
        <v>-96.5</v>
      </c>
      <c r="L21" s="160">
        <f>IS!BC37</f>
        <v>-407</v>
      </c>
      <c r="M21" s="161">
        <f>IS!BD37</f>
        <v>-36</v>
      </c>
      <c r="N21" s="161">
        <f>IS!BE37</f>
        <v>-45</v>
      </c>
      <c r="O21" s="161">
        <f>IS!BF37</f>
        <v>114</v>
      </c>
      <c r="P21" s="161">
        <f>IS!BG37</f>
        <v>-77</v>
      </c>
      <c r="Q21" s="160">
        <f>IS!BH37</f>
        <v>-44</v>
      </c>
      <c r="R21" s="161">
        <f>IS!BI37</f>
        <v>-97</v>
      </c>
      <c r="S21" s="161">
        <f>IS!BJ37</f>
        <v>-219</v>
      </c>
      <c r="T21" s="161">
        <f>IS!BK37</f>
        <v>-231</v>
      </c>
      <c r="U21" s="161">
        <f>IS!BL37</f>
        <v>-26</v>
      </c>
      <c r="V21" s="160">
        <f>IS!BM37</f>
        <v>-573</v>
      </c>
      <c r="W21" s="161">
        <f>IS!BN37</f>
        <v>-300</v>
      </c>
      <c r="X21" s="161">
        <f>IS!BO37</f>
        <v>-340</v>
      </c>
      <c r="Y21" s="161">
        <f>IS!BP37</f>
        <v>-211</v>
      </c>
      <c r="Z21" s="161">
        <f>IS!BQ37</f>
        <v>-101</v>
      </c>
      <c r="AA21" s="160">
        <f>IS!BR37</f>
        <v>-952</v>
      </c>
      <c r="AB21" s="161">
        <f>IS!BS37</f>
        <v>-309</v>
      </c>
      <c r="AC21" s="161">
        <f>IS!BT37</f>
        <v>-421</v>
      </c>
      <c r="AD21" s="161">
        <f>IS!BU37</f>
        <v>-187</v>
      </c>
      <c r="AE21" s="161">
        <f>IS!BV37</f>
        <v>-234</v>
      </c>
      <c r="AF21" s="160">
        <f>IS!BW37</f>
        <v>-1151</v>
      </c>
      <c r="AG21" s="161">
        <f>IS!BX37</f>
        <v>-263</v>
      </c>
      <c r="AH21" s="161">
        <f>IS!BY37</f>
        <v>-384</v>
      </c>
      <c r="AI21" s="161">
        <f>IS!BZ37</f>
        <v>-301</v>
      </c>
      <c r="AJ21" s="161">
        <f>IS!CA37</f>
        <v>-303</v>
      </c>
      <c r="AK21" s="160">
        <f>IS!CB37</f>
        <v>-1251</v>
      </c>
      <c r="AL21" s="161">
        <f>IS!CC37</f>
        <v>-408</v>
      </c>
      <c r="AM21" s="161">
        <f>IS!CD37</f>
        <v>-181</v>
      </c>
      <c r="AN21" s="161">
        <f>IS!CE37</f>
        <v>-219</v>
      </c>
      <c r="AO21" s="161">
        <f>IS!CF37</f>
        <v>1019</v>
      </c>
      <c r="AP21" s="160">
        <f>IS!CG37</f>
        <v>211</v>
      </c>
      <c r="AQ21" s="161">
        <f>IS!CH37</f>
        <v>-146</v>
      </c>
      <c r="AR21" s="161">
        <f>IS!CI37</f>
        <v>-243</v>
      </c>
      <c r="AS21" s="161">
        <f>IS!CJ37</f>
        <v>-211</v>
      </c>
      <c r="AT21" s="161">
        <f>IS!CK37</f>
        <v>-185</v>
      </c>
      <c r="AU21" s="160">
        <f>IS!CL37</f>
        <v>-785</v>
      </c>
      <c r="AV21" s="2036">
        <f>IS!CM37</f>
        <v>-588</v>
      </c>
      <c r="AW21" s="2036">
        <f>IS!CN37</f>
        <v>-257</v>
      </c>
      <c r="AX21" s="2036">
        <f>IS!CO37</f>
        <v>-250</v>
      </c>
      <c r="AY21" s="2036">
        <f>IS!CP37</f>
        <v>-250</v>
      </c>
      <c r="AZ21" s="160">
        <f>IS!CQ37</f>
        <v>-1345</v>
      </c>
      <c r="BA21" s="2036">
        <f>IS!CR37</f>
        <v>-257</v>
      </c>
      <c r="BB21" s="2036">
        <f>IS!CS37</f>
        <v>-257</v>
      </c>
      <c r="BC21" s="2036">
        <f>IS!CT37</f>
        <v>-257</v>
      </c>
      <c r="BD21" s="2036">
        <f>IS!CU37</f>
        <v>-257</v>
      </c>
      <c r="BE21" s="160">
        <f>IS!CV37</f>
        <v>-1028</v>
      </c>
      <c r="BF21" s="160">
        <f>IS!CW37</f>
        <v>-1072.5383281312245</v>
      </c>
      <c r="BG21" s="161"/>
      <c r="BH21" s="161"/>
      <c r="BI21" s="161"/>
      <c r="BJ21" s="161"/>
      <c r="BK21" s="161"/>
      <c r="BL21" s="161"/>
      <c r="BM21" s="161"/>
      <c r="BN21" s="161"/>
      <c r="BO21" s="161"/>
      <c r="BP21" s="161"/>
      <c r="BQ21" s="161"/>
      <c r="BR21" s="161"/>
      <c r="BS21" s="161"/>
      <c r="BT21" s="161"/>
      <c r="BU21" s="161"/>
      <c r="BV21" s="161"/>
    </row>
    <row r="22" spans="1:74">
      <c r="A22" s="238"/>
      <c r="B22" s="151"/>
      <c r="C22" s="152"/>
      <c r="D22" s="152"/>
      <c r="E22" s="152"/>
      <c r="F22" s="152"/>
      <c r="G22" s="151"/>
      <c r="H22" s="152"/>
      <c r="I22" s="152"/>
      <c r="J22" s="152"/>
      <c r="K22" s="152"/>
      <c r="L22" s="151"/>
      <c r="M22" s="152"/>
      <c r="N22" s="152"/>
      <c r="O22" s="152"/>
      <c r="P22" s="152"/>
      <c r="Q22" s="151"/>
      <c r="R22" s="152"/>
      <c r="S22" s="152"/>
      <c r="T22" s="152"/>
      <c r="U22" s="152"/>
      <c r="V22" s="151"/>
      <c r="W22" s="152"/>
      <c r="X22" s="152"/>
      <c r="Y22" s="152"/>
      <c r="Z22" s="152"/>
      <c r="AA22" s="151"/>
      <c r="AB22" s="152"/>
      <c r="AC22" s="152"/>
      <c r="AD22" s="152"/>
      <c r="AE22" s="152"/>
      <c r="AF22" s="151"/>
      <c r="AG22" s="152"/>
      <c r="AH22" s="152"/>
      <c r="AI22" s="152"/>
      <c r="AJ22" s="152"/>
      <c r="AK22" s="151"/>
      <c r="AL22" s="152"/>
      <c r="AM22" s="152"/>
      <c r="AN22" s="152"/>
      <c r="AO22" s="152"/>
      <c r="AP22" s="151"/>
      <c r="AQ22" s="152"/>
      <c r="AR22" s="152"/>
      <c r="AS22" s="152"/>
      <c r="AT22" s="152"/>
      <c r="AU22" s="151"/>
      <c r="AV22" s="2032"/>
      <c r="AW22" s="2032"/>
      <c r="AX22" s="2032"/>
      <c r="AY22" s="2032"/>
      <c r="AZ22" s="151"/>
      <c r="BA22" s="2032"/>
      <c r="BB22" s="2032"/>
      <c r="BC22" s="2032"/>
      <c r="BD22" s="2032"/>
      <c r="BE22" s="151"/>
      <c r="BF22" s="151"/>
      <c r="BG22" s="161"/>
      <c r="BH22" s="161"/>
      <c r="BI22" s="161"/>
      <c r="BJ22" s="161"/>
      <c r="BK22" s="161"/>
      <c r="BL22" s="161"/>
      <c r="BM22" s="161"/>
      <c r="BN22" s="161"/>
      <c r="BO22" s="161"/>
      <c r="BP22" s="161"/>
      <c r="BQ22" s="161"/>
      <c r="BR22" s="161"/>
      <c r="BS22" s="161"/>
      <c r="BT22" s="161"/>
      <c r="BU22" s="161"/>
      <c r="BV22" s="161"/>
    </row>
    <row r="23" spans="1:74">
      <c r="A23" s="224" t="s">
        <v>265</v>
      </c>
      <c r="B23" s="172">
        <f>IS!AS39</f>
        <v>7050</v>
      </c>
      <c r="C23" s="173"/>
      <c r="D23" s="173"/>
      <c r="E23" s="173"/>
      <c r="F23" s="173"/>
      <c r="G23" s="172">
        <f>IS!AX39</f>
        <v>7625</v>
      </c>
      <c r="H23" s="173"/>
      <c r="I23" s="173"/>
      <c r="J23" s="173"/>
      <c r="K23" s="173"/>
      <c r="L23" s="172">
        <f>IS!BC39</f>
        <v>6377</v>
      </c>
      <c r="M23" s="172">
        <f>IS!BD39</f>
        <v>1523</v>
      </c>
      <c r="N23" s="172">
        <f>IS!BE39</f>
        <v>1882</v>
      </c>
      <c r="O23" s="172">
        <f>IS!BF39</f>
        <v>1928</v>
      </c>
      <c r="P23" s="172">
        <f>IS!BG39</f>
        <v>1853</v>
      </c>
      <c r="Q23" s="172">
        <f>IS!BH39</f>
        <v>7186</v>
      </c>
      <c r="R23" s="187">
        <f>IS!BI39</f>
        <v>1700</v>
      </c>
      <c r="S23" s="187">
        <f>IS!BJ39</f>
        <v>2150</v>
      </c>
      <c r="T23" s="187">
        <f>IS!BK39</f>
        <v>2151</v>
      </c>
      <c r="U23" s="187">
        <f>IS!BL39</f>
        <v>1845</v>
      </c>
      <c r="V23" s="172">
        <f>IS!BM39</f>
        <v>7846</v>
      </c>
      <c r="W23" s="187">
        <f>IS!BN39</f>
        <v>1713</v>
      </c>
      <c r="X23" s="187">
        <f>IS!BO39</f>
        <v>2179</v>
      </c>
      <c r="Y23" s="187">
        <f>IS!BP39</f>
        <v>2041</v>
      </c>
      <c r="Z23" s="187">
        <f>IS!BQ39</f>
        <v>1751</v>
      </c>
      <c r="AA23" s="172">
        <f>IS!BR39</f>
        <v>7684</v>
      </c>
      <c r="AB23" s="187">
        <f>IS!BS39</f>
        <v>2006</v>
      </c>
      <c r="AC23" s="187">
        <f>IS!BT39</f>
        <v>2507</v>
      </c>
      <c r="AD23" s="187">
        <f>IS!BU39</f>
        <v>2366</v>
      </c>
      <c r="AE23" s="187">
        <f>IS!BV39</f>
        <v>2330</v>
      </c>
      <c r="AF23" s="172">
        <f>IS!BW39</f>
        <v>9209</v>
      </c>
      <c r="AG23" s="187">
        <f>IS!BX39</f>
        <v>2098</v>
      </c>
      <c r="AH23" s="187">
        <f>IS!BY39</f>
        <v>2355</v>
      </c>
      <c r="AI23" s="187">
        <f>IS!BZ39</f>
        <v>2746</v>
      </c>
      <c r="AJ23" s="187">
        <f>IS!CA39</f>
        <v>2570</v>
      </c>
      <c r="AK23" s="172">
        <f>IS!CB39</f>
        <v>9769</v>
      </c>
      <c r="AL23" s="187">
        <f>IS!CC39</f>
        <v>2182</v>
      </c>
      <c r="AM23" s="187">
        <f>IS!CD39</f>
        <v>2422</v>
      </c>
      <c r="AN23" s="187">
        <f>IS!CE39</f>
        <v>2302</v>
      </c>
      <c r="AO23" s="187">
        <f>IS!CF39</f>
        <v>392</v>
      </c>
      <c r="AP23" s="172">
        <f>IS!CG39</f>
        <v>7298</v>
      </c>
      <c r="AQ23" s="187">
        <f>IS!CH39</f>
        <v>1945</v>
      </c>
      <c r="AR23" s="187">
        <f>IS!CI39</f>
        <v>2337</v>
      </c>
      <c r="AS23" s="187">
        <f>IS!CJ39</f>
        <v>2251</v>
      </c>
      <c r="AT23" s="187">
        <f>IS!CK39</f>
        <v>1639</v>
      </c>
      <c r="AU23" s="172">
        <f>IS!CL39</f>
        <v>8172</v>
      </c>
      <c r="AV23" s="2045">
        <f>IS!CM39</f>
        <v>2267</v>
      </c>
      <c r="AW23" s="2045">
        <f>IS!CN39</f>
        <v>2290</v>
      </c>
      <c r="AX23" s="2045">
        <f>IS!CO39</f>
        <v>2163</v>
      </c>
      <c r="AY23" s="2045">
        <f>IS!CP39</f>
        <v>1968.7515067427685</v>
      </c>
      <c r="AZ23" s="172">
        <f>IS!CQ39</f>
        <v>8688.7515067427685</v>
      </c>
      <c r="BA23" s="2045">
        <f>IS!CR39</f>
        <v>1909.6551929882025</v>
      </c>
      <c r="BB23" s="2045">
        <f>IS!CS39</f>
        <v>2323.2725865784496</v>
      </c>
      <c r="BC23" s="2045">
        <f>IS!CT39</f>
        <v>2366.6034298648419</v>
      </c>
      <c r="BD23" s="2045">
        <f>IS!CU39</f>
        <v>2135.2109740844999</v>
      </c>
      <c r="BE23" s="172">
        <f>IS!CV39</f>
        <v>8734.7421835159985</v>
      </c>
      <c r="BF23" s="172">
        <f>IS!CW39</f>
        <v>9721.9513972851601</v>
      </c>
      <c r="BG23" s="173"/>
      <c r="BH23" s="173"/>
      <c r="BI23" s="173"/>
      <c r="BJ23" s="173"/>
      <c r="BK23" s="173"/>
      <c r="BL23" s="173"/>
      <c r="BM23" s="173"/>
      <c r="BN23" s="173"/>
      <c r="BO23" s="173"/>
      <c r="BP23" s="173"/>
      <c r="BQ23" s="173"/>
      <c r="BR23" s="173"/>
      <c r="BS23" s="173"/>
      <c r="BT23" s="173"/>
      <c r="BU23" s="173"/>
      <c r="BV23" s="173"/>
    </row>
    <row r="24" spans="1:74">
      <c r="A24" s="223" t="s">
        <v>147</v>
      </c>
      <c r="B24" s="169">
        <f>B23/B10</f>
        <v>0.12874595956829013</v>
      </c>
      <c r="C24" s="227"/>
      <c r="D24" s="227"/>
      <c r="E24" s="227"/>
      <c r="F24" s="227"/>
      <c r="G24" s="169">
        <f>G23/G10</f>
        <v>0.12760011379419983</v>
      </c>
      <c r="H24" s="227"/>
      <c r="I24" s="227"/>
      <c r="J24" s="227"/>
      <c r="K24" s="227"/>
      <c r="L24" s="169">
        <f>L23/L10</f>
        <v>0.12164043872198378</v>
      </c>
      <c r="M24" s="227"/>
      <c r="N24" s="227"/>
      <c r="O24" s="227"/>
      <c r="P24" s="227"/>
      <c r="Q24" s="169">
        <f t="shared" ref="Q24:AZ24" si="0">Q23/Q10</f>
        <v>0.13227552184957478</v>
      </c>
      <c r="R24" s="243">
        <f t="shared" si="0"/>
        <v>0.13414345458849522</v>
      </c>
      <c r="S24" s="243">
        <f t="shared" si="0"/>
        <v>0.14859354481995993</v>
      </c>
      <c r="T24" s="243">
        <f t="shared" si="0"/>
        <v>0.15110642781875658</v>
      </c>
      <c r="U24" s="243">
        <f t="shared" si="0"/>
        <v>0.12832997148222855</v>
      </c>
      <c r="V24" s="169">
        <f t="shared" si="0"/>
        <v>0.14072532912436775</v>
      </c>
      <c r="W24" s="243">
        <f t="shared" si="0"/>
        <v>0.13796713917525774</v>
      </c>
      <c r="X24" s="243">
        <f t="shared" si="0"/>
        <v>0.15781849786340263</v>
      </c>
      <c r="Y24" s="243">
        <f t="shared" si="0"/>
        <v>0.13568674378407128</v>
      </c>
      <c r="Z24" s="243">
        <f t="shared" si="0"/>
        <v>0.10648908350057776</v>
      </c>
      <c r="AA24" s="169">
        <f t="shared" si="0"/>
        <v>0.13315311568586677</v>
      </c>
      <c r="AB24" s="243">
        <f t="shared" si="0"/>
        <v>0.13931523022432113</v>
      </c>
      <c r="AC24" s="243">
        <f t="shared" si="0"/>
        <v>0.15662876421341998</v>
      </c>
      <c r="AD24" s="243">
        <f t="shared" si="0"/>
        <v>0.15302030785150691</v>
      </c>
      <c r="AE24" s="243">
        <f t="shared" si="0"/>
        <v>0.13902977504624381</v>
      </c>
      <c r="AF24" s="169">
        <f t="shared" si="0"/>
        <v>0.14704755213489604</v>
      </c>
      <c r="AG24" s="243">
        <f t="shared" si="0"/>
        <v>0.14228552051542895</v>
      </c>
      <c r="AH24" s="243">
        <f t="shared" si="0"/>
        <v>0.13699028561456575</v>
      </c>
      <c r="AI24" s="243">
        <f t="shared" si="0"/>
        <v>0.16984166254329539</v>
      </c>
      <c r="AJ24" s="243">
        <f t="shared" si="0"/>
        <v>0.15121204989409273</v>
      </c>
      <c r="AK24" s="169">
        <f t="shared" si="0"/>
        <v>0.15006144393241166</v>
      </c>
      <c r="AL24" s="243">
        <f t="shared" si="0"/>
        <v>0.16381381381381382</v>
      </c>
      <c r="AM24" s="243">
        <f t="shared" si="0"/>
        <v>0.16479553650404843</v>
      </c>
      <c r="AN24" s="243">
        <f t="shared" si="0"/>
        <v>0.16695677400638237</v>
      </c>
      <c r="AO24" s="243">
        <f t="shared" si="0"/>
        <v>2.7412587412587414E-2</v>
      </c>
      <c r="AP24" s="169">
        <f t="shared" si="0"/>
        <v>0.13022931181704223</v>
      </c>
      <c r="AQ24" s="243">
        <f t="shared" si="0"/>
        <v>0.14561653065808192</v>
      </c>
      <c r="AR24" s="243">
        <f t="shared" si="0"/>
        <v>0.15711980637353773</v>
      </c>
      <c r="AS24" s="243">
        <f t="shared" si="0"/>
        <v>0.15682039849519297</v>
      </c>
      <c r="AT24" s="243">
        <f t="shared" si="0"/>
        <v>0.11180844532369193</v>
      </c>
      <c r="AU24" s="169">
        <f t="shared" si="0"/>
        <v>0.1427573195444064</v>
      </c>
      <c r="AV24" s="2066">
        <f>AV23/AV10</f>
        <v>0.16409699601882013</v>
      </c>
      <c r="AW24" s="2066">
        <f>AW23/AW10</f>
        <v>0.14986910994764399</v>
      </c>
      <c r="AX24" s="2066">
        <f>AX23/AX10</f>
        <v>0.14360642676935334</v>
      </c>
      <c r="AY24" s="2066">
        <f>AY23/AY10</f>
        <v>0.12824682471057972</v>
      </c>
      <c r="AZ24" s="169">
        <f t="shared" si="0"/>
        <v>0.14600914545541901</v>
      </c>
      <c r="BA24" s="2066">
        <f t="shared" ref="BA24:BF24" si="1">BA23/BA10</f>
        <v>0.13019782547090683</v>
      </c>
      <c r="BB24" s="2066">
        <f t="shared" si="1"/>
        <v>0.14202045217314407</v>
      </c>
      <c r="BC24" s="2066">
        <f t="shared" si="1"/>
        <v>0.14978114132695769</v>
      </c>
      <c r="BD24" s="2066">
        <f t="shared" si="1"/>
        <v>0.13342600832467663</v>
      </c>
      <c r="BE24" s="169">
        <f t="shared" si="1"/>
        <v>0.13856046211306394</v>
      </c>
      <c r="BF24" s="169">
        <f t="shared" si="1"/>
        <v>0.14781651929063455</v>
      </c>
      <c r="BG24" s="227"/>
      <c r="BH24" s="227"/>
      <c r="BI24" s="227"/>
      <c r="BJ24" s="227"/>
      <c r="BK24" s="227"/>
      <c r="BL24" s="227"/>
      <c r="BM24" s="227"/>
      <c r="BN24" s="227"/>
      <c r="BO24" s="227"/>
      <c r="BP24" s="227"/>
      <c r="BQ24" s="227"/>
      <c r="BR24" s="227"/>
      <c r="BS24" s="227"/>
      <c r="BT24" s="227"/>
      <c r="BU24" s="227"/>
      <c r="BV24" s="227"/>
    </row>
    <row r="25" spans="1:74">
      <c r="A25" s="223"/>
      <c r="B25" s="169"/>
      <c r="C25" s="227"/>
      <c r="D25" s="227"/>
      <c r="E25" s="227"/>
      <c r="F25" s="227"/>
      <c r="G25" s="169"/>
      <c r="H25" s="227"/>
      <c r="I25" s="227"/>
      <c r="J25" s="227"/>
      <c r="K25" s="227"/>
      <c r="L25" s="169"/>
      <c r="M25" s="227"/>
      <c r="N25" s="227"/>
      <c r="O25" s="227"/>
      <c r="P25" s="227"/>
      <c r="Q25" s="169"/>
      <c r="R25" s="243"/>
      <c r="S25" s="243"/>
      <c r="T25" s="243"/>
      <c r="U25" s="243"/>
      <c r="V25" s="169"/>
      <c r="W25" s="243"/>
      <c r="X25" s="243"/>
      <c r="Y25" s="243"/>
      <c r="Z25" s="243"/>
      <c r="AA25" s="169"/>
      <c r="AB25" s="243"/>
      <c r="AC25" s="243"/>
      <c r="AD25" s="243"/>
      <c r="AE25" s="243"/>
      <c r="AF25" s="169"/>
      <c r="AG25" s="243"/>
      <c r="AH25" s="243"/>
      <c r="AI25" s="243"/>
      <c r="AJ25" s="243"/>
      <c r="AK25" s="169"/>
      <c r="AL25" s="243"/>
      <c r="AM25" s="243"/>
      <c r="AN25" s="243"/>
      <c r="AO25" s="243"/>
      <c r="AP25" s="169"/>
      <c r="AQ25" s="243"/>
      <c r="AR25" s="243"/>
      <c r="AS25" s="243"/>
      <c r="AT25" s="243"/>
      <c r="AU25" s="169"/>
      <c r="AV25" s="2066"/>
      <c r="AW25" s="2066"/>
      <c r="AX25" s="2066"/>
      <c r="AY25" s="2066"/>
      <c r="AZ25" s="169"/>
      <c r="BA25" s="2066"/>
      <c r="BB25" s="2066"/>
      <c r="BC25" s="2066"/>
      <c r="BD25" s="2066"/>
      <c r="BE25" s="169"/>
      <c r="BF25" s="169"/>
      <c r="BG25" s="227"/>
      <c r="BH25" s="227"/>
      <c r="BI25" s="227"/>
      <c r="BJ25" s="227"/>
      <c r="BK25" s="227"/>
      <c r="BL25" s="227"/>
      <c r="BM25" s="227"/>
      <c r="BN25" s="227"/>
      <c r="BO25" s="227"/>
      <c r="BP25" s="227"/>
      <c r="BQ25" s="227"/>
      <c r="BR25" s="227"/>
      <c r="BS25" s="227"/>
      <c r="BT25" s="227"/>
      <c r="BU25" s="227"/>
      <c r="BV25" s="227"/>
    </row>
    <row r="26" spans="1:74">
      <c r="A26" s="217" t="s">
        <v>264</v>
      </c>
      <c r="B26" s="160">
        <f>IS!AS43+IS!AS44</f>
        <v>300</v>
      </c>
      <c r="C26" s="161"/>
      <c r="D26" s="161"/>
      <c r="E26" s="161"/>
      <c r="F26" s="161"/>
      <c r="G26" s="160">
        <f>IS!AX43+IS!AX44</f>
        <v>536</v>
      </c>
      <c r="H26" s="161"/>
      <c r="I26" s="161"/>
      <c r="J26" s="161"/>
      <c r="K26" s="161"/>
      <c r="L26" s="160">
        <f>IS!BC43+IS!BC44</f>
        <v>966</v>
      </c>
      <c r="M26" s="161"/>
      <c r="N26" s="161"/>
      <c r="O26" s="161"/>
      <c r="P26" s="161"/>
      <c r="Q26" s="160">
        <f>IS!BH43+IS!BH44</f>
        <v>272</v>
      </c>
      <c r="R26" s="241">
        <f>IS!BI43+IS!BI44</f>
        <v>30</v>
      </c>
      <c r="S26" s="241">
        <f>IS!BJ43+IS!BJ44</f>
        <v>130</v>
      </c>
      <c r="T26" s="241">
        <f>IS!BK43+IS!BK44</f>
        <v>129</v>
      </c>
      <c r="U26" s="241">
        <f>IS!BL43+IS!BL44</f>
        <v>138</v>
      </c>
      <c r="V26" s="160">
        <f>IS!BM43+IS!BM44</f>
        <v>427</v>
      </c>
      <c r="W26" s="241">
        <f>IS!BN43+IS!BN44</f>
        <v>213</v>
      </c>
      <c r="X26" s="241">
        <f>IS!BO43+IS!BO44</f>
        <v>203</v>
      </c>
      <c r="Y26" s="241">
        <f>IS!BP43+IS!BP44</f>
        <v>162</v>
      </c>
      <c r="Z26" s="241">
        <f>IS!BQ43+IS!BQ44</f>
        <v>193</v>
      </c>
      <c r="AA26" s="160">
        <f>IS!BR43+IS!BR44</f>
        <v>771</v>
      </c>
      <c r="AB26" s="241">
        <f>IS!BS43+IS!BS44</f>
        <v>90</v>
      </c>
      <c r="AC26" s="241">
        <f>IS!BT43+IS!BT44</f>
        <v>383</v>
      </c>
      <c r="AD26" s="241">
        <f>IS!BU43+IS!BU44</f>
        <v>78</v>
      </c>
      <c r="AE26" s="241">
        <f>IS!BV43+IS!BV44</f>
        <v>153</v>
      </c>
      <c r="AF26" s="160">
        <f>IS!BW43+IS!BW44</f>
        <v>704</v>
      </c>
      <c r="AG26" s="241">
        <f>IS!BX43+IS!BX44</f>
        <v>125</v>
      </c>
      <c r="AH26" s="241">
        <f>IS!BY43+IS!BY44</f>
        <v>-273</v>
      </c>
      <c r="AI26" s="241">
        <f>IS!BZ43+IS!BZ44</f>
        <v>176</v>
      </c>
      <c r="AJ26" s="241">
        <f>IS!CA43+IS!CA44</f>
        <v>125</v>
      </c>
      <c r="AK26" s="160">
        <f>IS!CB43+IS!CB44</f>
        <v>153</v>
      </c>
      <c r="AL26" s="241">
        <f>IS!CC43+IS!CC44</f>
        <v>219</v>
      </c>
      <c r="AM26" s="241">
        <f>IS!CD43+IS!CD44</f>
        <v>11</v>
      </c>
      <c r="AN26" s="241">
        <f>IS!CE43+IS!CE44</f>
        <v>73</v>
      </c>
      <c r="AO26" s="241">
        <f>IS!CF43+IS!CF44</f>
        <v>-1381</v>
      </c>
      <c r="AP26" s="160">
        <f>IS!CG43+IS!CG44</f>
        <v>-1078</v>
      </c>
      <c r="AQ26" s="241">
        <f>IS!CH43+IS!CH44</f>
        <v>62</v>
      </c>
      <c r="AR26" s="241">
        <f>IS!CI43+IS!CI44</f>
        <v>104</v>
      </c>
      <c r="AS26" s="241">
        <f>IS!CJ43+IS!CJ44</f>
        <v>-83</v>
      </c>
      <c r="AT26" s="241">
        <f>IS!CK43+IS!CK44</f>
        <v>-343</v>
      </c>
      <c r="AU26" s="160">
        <f>IS!CL43+IS!CL44</f>
        <v>-260</v>
      </c>
      <c r="AV26" s="2065">
        <f>IS!CM43+IS!CM44</f>
        <v>432</v>
      </c>
      <c r="AW26" s="2065">
        <f>IS!CN43+IS!CN44</f>
        <v>60</v>
      </c>
      <c r="AX26" s="2065">
        <f>IS!CO43+IS!CO44</f>
        <v>-38</v>
      </c>
      <c r="AY26" s="2065">
        <f>IS!CP43+IS!CP44</f>
        <v>113</v>
      </c>
      <c r="AZ26" s="160">
        <f>IS!CQ43+IS!CQ44</f>
        <v>567</v>
      </c>
      <c r="BA26" s="2065">
        <f>IS!CR43+IS!CR44</f>
        <v>85.5</v>
      </c>
      <c r="BB26" s="2065">
        <f>IS!CS43+IS!CS44</f>
        <v>75.5</v>
      </c>
      <c r="BC26" s="2065">
        <f>IS!CT43+IS!CT44</f>
        <v>70.5</v>
      </c>
      <c r="BD26" s="2065">
        <f>IS!CU43+IS!CU44</f>
        <v>71.5</v>
      </c>
      <c r="BE26" s="160">
        <f>IS!CV43+IS!CV44</f>
        <v>303</v>
      </c>
      <c r="BF26" s="160">
        <f>IS!CW43+IS!CW44</f>
        <v>303</v>
      </c>
      <c r="BG26" s="161"/>
      <c r="BH26" s="161"/>
      <c r="BI26" s="161"/>
      <c r="BJ26" s="161"/>
      <c r="BK26" s="161"/>
      <c r="BL26" s="161"/>
      <c r="BM26" s="161"/>
      <c r="BN26" s="161"/>
      <c r="BO26" s="161"/>
      <c r="BP26" s="161"/>
      <c r="BQ26" s="161"/>
      <c r="BR26" s="161"/>
      <c r="BS26" s="161"/>
      <c r="BT26" s="161"/>
      <c r="BU26" s="161"/>
      <c r="BV26" s="161"/>
    </row>
    <row r="27" spans="1:74">
      <c r="A27" s="238"/>
      <c r="B27" s="208"/>
      <c r="C27" s="152"/>
      <c r="D27" s="152"/>
      <c r="E27" s="152"/>
      <c r="F27" s="152"/>
      <c r="G27" s="208"/>
      <c r="H27" s="152"/>
      <c r="I27" s="152"/>
      <c r="J27" s="152"/>
      <c r="K27" s="152"/>
      <c r="L27" s="208"/>
      <c r="M27" s="152"/>
      <c r="N27" s="152"/>
      <c r="O27" s="152"/>
      <c r="P27" s="152"/>
      <c r="Q27" s="208"/>
      <c r="R27" s="244"/>
      <c r="S27" s="244"/>
      <c r="T27" s="244"/>
      <c r="U27" s="244"/>
      <c r="V27" s="208"/>
      <c r="W27" s="244"/>
      <c r="X27" s="244"/>
      <c r="Y27" s="244"/>
      <c r="Z27" s="244"/>
      <c r="AA27" s="208"/>
      <c r="AB27" s="244"/>
      <c r="AC27" s="244"/>
      <c r="AD27" s="244"/>
      <c r="AE27" s="244"/>
      <c r="AF27" s="208"/>
      <c r="AG27" s="244"/>
      <c r="AH27" s="244"/>
      <c r="AI27" s="244"/>
      <c r="AJ27" s="244"/>
      <c r="AK27" s="208"/>
      <c r="AL27" s="244"/>
      <c r="AM27" s="244"/>
      <c r="AN27" s="244"/>
      <c r="AO27" s="244"/>
      <c r="AP27" s="208"/>
      <c r="AQ27" s="244"/>
      <c r="AR27" s="244"/>
      <c r="AS27" s="244"/>
      <c r="AT27" s="244"/>
      <c r="AU27" s="208"/>
      <c r="AV27" s="2067"/>
      <c r="AW27" s="2067"/>
      <c r="AX27" s="2067"/>
      <c r="AY27" s="2067"/>
      <c r="AZ27" s="208"/>
      <c r="BA27" s="2067"/>
      <c r="BB27" s="2067"/>
      <c r="BC27" s="2067"/>
      <c r="BD27" s="2067"/>
      <c r="BE27" s="208"/>
      <c r="BF27" s="208"/>
      <c r="BG27" s="161"/>
      <c r="BH27" s="161"/>
      <c r="BI27" s="161"/>
      <c r="BJ27" s="161"/>
      <c r="BK27" s="161"/>
      <c r="BL27" s="161"/>
      <c r="BM27" s="161"/>
      <c r="BN27" s="161"/>
      <c r="BO27" s="161"/>
      <c r="BP27" s="161"/>
      <c r="BQ27" s="161"/>
      <c r="BR27" s="161"/>
      <c r="BS27" s="161"/>
      <c r="BT27" s="161"/>
      <c r="BU27" s="161"/>
      <c r="BV27" s="161"/>
    </row>
    <row r="28" spans="1:74">
      <c r="A28" s="224" t="s">
        <v>148</v>
      </c>
      <c r="B28" s="172">
        <f>IS!AS46</f>
        <v>7082</v>
      </c>
      <c r="C28" s="173"/>
      <c r="D28" s="173"/>
      <c r="E28" s="173"/>
      <c r="F28" s="173"/>
      <c r="G28" s="172">
        <f>IS!AX46</f>
        <v>7803</v>
      </c>
      <c r="H28" s="173"/>
      <c r="I28" s="173"/>
      <c r="J28" s="173"/>
      <c r="K28" s="173"/>
      <c r="L28" s="172">
        <f>IS!BC46</f>
        <v>7071</v>
      </c>
      <c r="M28" s="173"/>
      <c r="N28" s="173"/>
      <c r="O28" s="173"/>
      <c r="P28" s="173"/>
      <c r="Q28" s="172">
        <f>IS!BH46</f>
        <v>7800</v>
      </c>
      <c r="R28" s="187">
        <f>IS!BI46</f>
        <v>1730</v>
      </c>
      <c r="S28" s="187">
        <f>IS!BJ46</f>
        <v>2134</v>
      </c>
      <c r="T28" s="187">
        <f>IS!BK46</f>
        <v>2182</v>
      </c>
      <c r="U28" s="187">
        <f>IS!BL46</f>
        <v>2003</v>
      </c>
      <c r="V28" s="172">
        <f>IS!BM46</f>
        <v>8049</v>
      </c>
      <c r="W28" s="187">
        <f>IS!BN46</f>
        <v>1722</v>
      </c>
      <c r="X28" s="187">
        <f>IS!BO46</f>
        <v>2162</v>
      </c>
      <c r="Y28" s="187">
        <f>IS!BP46</f>
        <v>2135</v>
      </c>
      <c r="Z28" s="187">
        <f>IS!BQ46</f>
        <v>2074</v>
      </c>
      <c r="AA28" s="172">
        <f>IS!BR46</f>
        <v>8093</v>
      </c>
      <c r="AB28" s="187">
        <f>IS!BS46</f>
        <v>2020</v>
      </c>
      <c r="AC28" s="187">
        <f>IS!BT46</f>
        <v>2504</v>
      </c>
      <c r="AD28" s="187">
        <f>IS!BU46</f>
        <v>2494</v>
      </c>
      <c r="AE28" s="187">
        <f>IS!BV46</f>
        <v>2449</v>
      </c>
      <c r="AF28" s="172">
        <f>IS!BW46</f>
        <v>9467</v>
      </c>
      <c r="AG28" s="187">
        <f>IS!BX46</f>
        <v>2223</v>
      </c>
      <c r="AH28" s="187">
        <f>IS!BY46</f>
        <v>2738</v>
      </c>
      <c r="AI28" s="187">
        <f>IS!BZ46</f>
        <v>2696</v>
      </c>
      <c r="AJ28" s="187">
        <f>IS!CA46</f>
        <v>2695</v>
      </c>
      <c r="AK28" s="172">
        <f>IS!CB46</f>
        <v>10352</v>
      </c>
      <c r="AL28" s="187">
        <f>IS!CC46</f>
        <v>2149</v>
      </c>
      <c r="AM28" s="187">
        <f>IS!CD46</f>
        <v>2489</v>
      </c>
      <c r="AN28" s="187">
        <f>IS!CE46</f>
        <v>2375</v>
      </c>
      <c r="AO28" s="187">
        <f>IS!CF46</f>
        <v>2155</v>
      </c>
      <c r="AP28" s="172">
        <f>IS!CG46</f>
        <v>9168</v>
      </c>
      <c r="AQ28" s="187">
        <f>IS!CH46</f>
        <v>2007</v>
      </c>
      <c r="AR28" s="187">
        <f>IS!CI46</f>
        <v>2465</v>
      </c>
      <c r="AS28" s="187">
        <f>IS!CJ46</f>
        <v>2380</v>
      </c>
      <c r="AT28" s="187">
        <f>IS!CK46</f>
        <v>2160</v>
      </c>
      <c r="AU28" s="172">
        <f>IS!CL46</f>
        <v>9012</v>
      </c>
      <c r="AV28" s="2045">
        <f>IS!CM46</f>
        <v>1939</v>
      </c>
      <c r="AW28" s="2045">
        <f>IS!CN46</f>
        <v>2350</v>
      </c>
      <c r="AX28" s="2045">
        <f>IS!CO46</f>
        <v>2331</v>
      </c>
      <c r="AY28" s="2045">
        <f>IS!CP46</f>
        <v>2081.7515067427685</v>
      </c>
      <c r="AZ28" s="172">
        <f>IS!CQ46</f>
        <v>8701.7515067427685</v>
      </c>
      <c r="BA28" s="2045">
        <f>IS!CR46</f>
        <v>1995.1551929882025</v>
      </c>
      <c r="BB28" s="2045">
        <f>IS!CS46</f>
        <v>2398.7725865784496</v>
      </c>
      <c r="BC28" s="2045">
        <f>IS!CT46</f>
        <v>2437.1034298648419</v>
      </c>
      <c r="BD28" s="2045">
        <f>IS!CU46</f>
        <v>2206.7109740844999</v>
      </c>
      <c r="BE28" s="172">
        <f>IS!CV46</f>
        <v>9037.7421835159985</v>
      </c>
      <c r="BF28" s="172">
        <f>IS!CW46</f>
        <v>10024.95139728516</v>
      </c>
      <c r="BG28" s="173"/>
      <c r="BH28" s="173"/>
      <c r="BI28" s="173"/>
      <c r="BJ28" s="173"/>
      <c r="BK28" s="173"/>
      <c r="BL28" s="173"/>
      <c r="BM28" s="173"/>
      <c r="BN28" s="173"/>
      <c r="BO28" s="173"/>
      <c r="BP28" s="173"/>
      <c r="BQ28" s="173"/>
      <c r="BR28" s="173"/>
      <c r="BS28" s="173"/>
      <c r="BT28" s="173"/>
      <c r="BU28" s="173"/>
      <c r="BV28" s="173"/>
    </row>
    <row r="29" spans="1:74">
      <c r="A29" s="223" t="s">
        <v>147</v>
      </c>
      <c r="B29" s="169">
        <f>B28/B10</f>
        <v>0.12933033839186253</v>
      </c>
      <c r="C29" s="227"/>
      <c r="D29" s="227"/>
      <c r="E29" s="227"/>
      <c r="F29" s="227"/>
      <c r="G29" s="169">
        <f>G28/G10</f>
        <v>0.13057884431949396</v>
      </c>
      <c r="H29" s="227"/>
      <c r="I29" s="227"/>
      <c r="J29" s="227"/>
      <c r="K29" s="227"/>
      <c r="L29" s="169">
        <f>L28/L10</f>
        <v>0.13487839771101573</v>
      </c>
      <c r="M29" s="227"/>
      <c r="N29" s="227"/>
      <c r="O29" s="227"/>
      <c r="P29" s="227"/>
      <c r="Q29" s="169">
        <f t="shared" ref="Q29:AZ29" si="2">Q28/Q10</f>
        <v>0.1435776607885727</v>
      </c>
      <c r="R29" s="243">
        <f t="shared" si="2"/>
        <v>0.13651069202240984</v>
      </c>
      <c r="S29" s="243">
        <f t="shared" si="2"/>
        <v>0.14748773239339277</v>
      </c>
      <c r="T29" s="243">
        <f t="shared" si="2"/>
        <v>0.15328415876361082</v>
      </c>
      <c r="U29" s="243">
        <f t="shared" si="2"/>
        <v>0.13931974681783404</v>
      </c>
      <c r="V29" s="169">
        <f t="shared" si="2"/>
        <v>0.14436632349248485</v>
      </c>
      <c r="W29" s="243">
        <f t="shared" si="2"/>
        <v>0.13869201030927836</v>
      </c>
      <c r="X29" s="243">
        <f t="shared" si="2"/>
        <v>0.15658723835735497</v>
      </c>
      <c r="Y29" s="243">
        <f t="shared" si="2"/>
        <v>0.14193591277755618</v>
      </c>
      <c r="Z29" s="243">
        <f t="shared" si="2"/>
        <v>0.12613270084534453</v>
      </c>
      <c r="AA29" s="169">
        <f t="shared" si="2"/>
        <v>0.14024052124488806</v>
      </c>
      <c r="AB29" s="243">
        <f t="shared" si="2"/>
        <v>0.14028751996666436</v>
      </c>
      <c r="AC29" s="243">
        <f t="shared" si="2"/>
        <v>0.15644133449956266</v>
      </c>
      <c r="AD29" s="243">
        <f t="shared" si="2"/>
        <v>0.16129866770146165</v>
      </c>
      <c r="AE29" s="243">
        <f t="shared" si="2"/>
        <v>0.14613043737693179</v>
      </c>
      <c r="AF29" s="169">
        <f t="shared" si="2"/>
        <v>0.15116724683038993</v>
      </c>
      <c r="AG29" s="243">
        <f t="shared" si="2"/>
        <v>0.15076297049847406</v>
      </c>
      <c r="AH29" s="243">
        <f t="shared" si="2"/>
        <v>0.15926938514338898</v>
      </c>
      <c r="AI29" s="243">
        <f t="shared" si="2"/>
        <v>0.16674913409203365</v>
      </c>
      <c r="AJ29" s="243">
        <f t="shared" si="2"/>
        <v>0.15856672158154861</v>
      </c>
      <c r="AK29" s="169">
        <f t="shared" si="2"/>
        <v>0.1590168970814132</v>
      </c>
      <c r="AL29" s="243">
        <f t="shared" si="2"/>
        <v>0.16133633633633634</v>
      </c>
      <c r="AM29" s="243">
        <f t="shared" si="2"/>
        <v>0.16935428999115465</v>
      </c>
      <c r="AN29" s="243">
        <f t="shared" si="2"/>
        <v>0.17225123295619379</v>
      </c>
      <c r="AO29" s="243">
        <f t="shared" si="2"/>
        <v>0.15069930069930071</v>
      </c>
      <c r="AP29" s="169">
        <f t="shared" si="2"/>
        <v>0.16359856546158441</v>
      </c>
      <c r="AQ29" s="243">
        <f t="shared" si="2"/>
        <v>0.15025829153252976</v>
      </c>
      <c r="AR29" s="243">
        <f t="shared" si="2"/>
        <v>0.16572542691945677</v>
      </c>
      <c r="AS29" s="243">
        <f t="shared" si="2"/>
        <v>0.16580744043472204</v>
      </c>
      <c r="AT29" s="243">
        <f t="shared" si="2"/>
        <v>0.14734975100620779</v>
      </c>
      <c r="AU29" s="169">
        <f t="shared" si="2"/>
        <v>0.15743134651666552</v>
      </c>
      <c r="AV29" s="2066">
        <f>AV28/AV10</f>
        <v>0.14035468693449149</v>
      </c>
      <c r="AW29" s="2066">
        <f>AW28/AW10</f>
        <v>0.15379581151832461</v>
      </c>
      <c r="AX29" s="2066">
        <f>AX28/AX10</f>
        <v>0.15476032399415748</v>
      </c>
      <c r="AY29" s="2066">
        <f>AY28/AY10</f>
        <v>0.13560777968263296</v>
      </c>
      <c r="AZ29" s="169">
        <f t="shared" si="2"/>
        <v>0.14622760249029307</v>
      </c>
      <c r="BA29" s="2066">
        <f t="shared" ref="BA29:BF29" si="3">BA28/BA10</f>
        <v>0.13602710508045951</v>
      </c>
      <c r="BB29" s="2066">
        <f t="shared" si="3"/>
        <v>0.14663572814248857</v>
      </c>
      <c r="BC29" s="2066">
        <f t="shared" si="3"/>
        <v>0.15424305088489051</v>
      </c>
      <c r="BD29" s="2066">
        <f t="shared" si="3"/>
        <v>0.13789393196828978</v>
      </c>
      <c r="BE29" s="169">
        <f t="shared" si="3"/>
        <v>0.14336699436532541</v>
      </c>
      <c r="BF29" s="169">
        <f t="shared" si="3"/>
        <v>0.15242345502964363</v>
      </c>
      <c r="BG29" s="227"/>
      <c r="BH29" s="227"/>
      <c r="BI29" s="227"/>
      <c r="BJ29" s="227"/>
      <c r="BK29" s="227"/>
      <c r="BL29" s="227"/>
      <c r="BM29" s="227"/>
      <c r="BN29" s="227"/>
      <c r="BO29" s="227"/>
      <c r="BP29" s="227"/>
      <c r="BQ29" s="227"/>
      <c r="BR29" s="227"/>
      <c r="BS29" s="227"/>
      <c r="BT29" s="227"/>
      <c r="BU29" s="227"/>
      <c r="BV29" s="227"/>
    </row>
    <row r="30" spans="1:74">
      <c r="A30" s="223"/>
      <c r="B30" s="169"/>
      <c r="C30" s="227"/>
      <c r="D30" s="227"/>
      <c r="E30" s="227"/>
      <c r="F30" s="227"/>
      <c r="G30" s="169"/>
      <c r="H30" s="227"/>
      <c r="I30" s="227"/>
      <c r="J30" s="227"/>
      <c r="K30" s="227"/>
      <c r="L30" s="169"/>
      <c r="M30" s="227"/>
      <c r="N30" s="227"/>
      <c r="O30" s="227"/>
      <c r="P30" s="227"/>
      <c r="Q30" s="169"/>
      <c r="R30" s="243"/>
      <c r="S30" s="243"/>
      <c r="T30" s="243"/>
      <c r="U30" s="243"/>
      <c r="V30" s="169"/>
      <c r="W30" s="243"/>
      <c r="X30" s="243"/>
      <c r="Y30" s="243"/>
      <c r="Z30" s="243"/>
      <c r="AA30" s="169"/>
      <c r="AB30" s="243"/>
      <c r="AC30" s="243"/>
      <c r="AD30" s="243"/>
      <c r="AE30" s="243"/>
      <c r="AF30" s="169"/>
      <c r="AG30" s="243"/>
      <c r="AH30" s="243"/>
      <c r="AI30" s="243"/>
      <c r="AJ30" s="243"/>
      <c r="AK30" s="169"/>
      <c r="AL30" s="243"/>
      <c r="AM30" s="243"/>
      <c r="AN30" s="243"/>
      <c r="AO30" s="243"/>
      <c r="AP30" s="169"/>
      <c r="AQ30" s="243"/>
      <c r="AR30" s="243"/>
      <c r="AS30" s="243"/>
      <c r="AT30" s="243"/>
      <c r="AU30" s="169"/>
      <c r="AV30" s="2066"/>
      <c r="AW30" s="2066"/>
      <c r="AX30" s="2066"/>
      <c r="AY30" s="2066"/>
      <c r="AZ30" s="169"/>
      <c r="BA30" s="2066"/>
      <c r="BB30" s="2066"/>
      <c r="BC30" s="2066"/>
      <c r="BD30" s="2066"/>
      <c r="BE30" s="169"/>
      <c r="BF30" s="169"/>
      <c r="BG30" s="227"/>
      <c r="BH30" s="227"/>
      <c r="BI30" s="227"/>
      <c r="BJ30" s="227"/>
      <c r="BK30" s="227"/>
      <c r="BL30" s="227"/>
      <c r="BM30" s="227"/>
      <c r="BN30" s="227"/>
      <c r="BO30" s="227"/>
      <c r="BP30" s="227"/>
      <c r="BQ30" s="227"/>
      <c r="BR30" s="227"/>
      <c r="BS30" s="227"/>
      <c r="BT30" s="227"/>
      <c r="BU30" s="227"/>
      <c r="BV30" s="227"/>
    </row>
    <row r="31" spans="1:74">
      <c r="A31" s="217" t="s">
        <v>263</v>
      </c>
      <c r="B31" s="160">
        <f>IS!AS49</f>
        <v>1173</v>
      </c>
      <c r="C31" s="161"/>
      <c r="D31" s="161"/>
      <c r="E31" s="161"/>
      <c r="F31" s="161"/>
      <c r="G31" s="160">
        <f>IS!AX49</f>
        <v>1321</v>
      </c>
      <c r="H31" s="161"/>
      <c r="I31" s="161"/>
      <c r="J31" s="161"/>
      <c r="K31" s="161"/>
      <c r="L31" s="160">
        <f>IS!BC49</f>
        <v>1258</v>
      </c>
      <c r="M31" s="161"/>
      <c r="N31" s="161"/>
      <c r="O31" s="161"/>
      <c r="P31" s="161"/>
      <c r="Q31" s="160">
        <f>IS!BH49</f>
        <v>1356</v>
      </c>
      <c r="R31" s="161">
        <f>IS!BI49</f>
        <v>316</v>
      </c>
      <c r="S31" s="161">
        <f>IS!BJ49</f>
        <v>322</v>
      </c>
      <c r="T31" s="161">
        <f>IS!BK49</f>
        <v>324</v>
      </c>
      <c r="U31" s="161">
        <f>IS!BL49</f>
        <v>301</v>
      </c>
      <c r="V31" s="160">
        <f>IS!BM49</f>
        <v>1263</v>
      </c>
      <c r="W31" s="161">
        <f>IS!BN49</f>
        <v>320</v>
      </c>
      <c r="X31" s="161">
        <f>IS!BO49</f>
        <v>305</v>
      </c>
      <c r="Y31" s="161">
        <f>IS!BP49</f>
        <v>422</v>
      </c>
      <c r="Z31" s="161">
        <f>IS!BQ49</f>
        <v>477</v>
      </c>
      <c r="AA31" s="160">
        <f>IS!BR49</f>
        <v>1524</v>
      </c>
      <c r="AB31" s="161">
        <f>IS!BS49</f>
        <v>444</v>
      </c>
      <c r="AC31" s="161">
        <f>IS!BT49</f>
        <v>439</v>
      </c>
      <c r="AD31" s="161">
        <f>IS!BU49</f>
        <v>452</v>
      </c>
      <c r="AE31" s="161">
        <f>IS!BV49</f>
        <v>486</v>
      </c>
      <c r="AF31" s="160">
        <f>IS!BW49</f>
        <v>1821</v>
      </c>
      <c r="AG31" s="161">
        <f>IS!BX49</f>
        <v>467</v>
      </c>
      <c r="AH31" s="161">
        <f>IS!BY49</f>
        <v>468</v>
      </c>
      <c r="AI31" s="161">
        <f>IS!BZ49</f>
        <v>483</v>
      </c>
      <c r="AJ31" s="161">
        <f>IS!CA49</f>
        <v>489</v>
      </c>
      <c r="AK31" s="160">
        <f>IS!CB49</f>
        <v>1907</v>
      </c>
      <c r="AL31" s="161">
        <f>IS!CC49</f>
        <v>457.10769910079182</v>
      </c>
      <c r="AM31" s="161">
        <f>IS!CD49</f>
        <v>457.89230089920818</v>
      </c>
      <c r="AN31" s="161">
        <f>IS!CE49</f>
        <v>486</v>
      </c>
      <c r="AO31" s="161">
        <f>IS!CF49</f>
        <v>462</v>
      </c>
      <c r="AP31" s="160">
        <f>IS!CG49</f>
        <v>1863</v>
      </c>
      <c r="AQ31" s="161">
        <f>IS!CH49</f>
        <v>466</v>
      </c>
      <c r="AR31" s="161">
        <f>IS!CI49</f>
        <v>494</v>
      </c>
      <c r="AS31" s="161">
        <f>IS!CJ49</f>
        <v>496</v>
      </c>
      <c r="AT31" s="161">
        <f>IS!CK49</f>
        <v>506</v>
      </c>
      <c r="AU31" s="160">
        <f>IS!CL49</f>
        <v>1962</v>
      </c>
      <c r="AV31" s="2036">
        <f>IS!CM49</f>
        <v>512</v>
      </c>
      <c r="AW31" s="2036">
        <f>IS!CN49</f>
        <v>527</v>
      </c>
      <c r="AX31" s="2036">
        <f>IS!CO49</f>
        <v>543</v>
      </c>
      <c r="AY31" s="2036">
        <f>IS!CP49</f>
        <v>520.11578397840003</v>
      </c>
      <c r="AZ31" s="160">
        <f>IS!CQ49</f>
        <v>2102.1157839784</v>
      </c>
      <c r="BA31" s="2036">
        <f>IS!CR49</f>
        <v>543.5908542005468</v>
      </c>
      <c r="BB31" s="2036">
        <f>IS!CS49</f>
        <v>543.5908542005468</v>
      </c>
      <c r="BC31" s="2036">
        <f>IS!CT49</f>
        <v>543.5908542005468</v>
      </c>
      <c r="BD31" s="2036">
        <f>IS!CU49</f>
        <v>494.32194495158967</v>
      </c>
      <c r="BE31" s="160">
        <f>IS!CV49</f>
        <v>2125.09450755323</v>
      </c>
      <c r="BF31" s="160">
        <f>IS!CW49</f>
        <v>2120.4848446520627</v>
      </c>
      <c r="BG31" s="161"/>
      <c r="BH31" s="161"/>
      <c r="BI31" s="161"/>
      <c r="BJ31" s="161"/>
      <c r="BK31" s="161"/>
      <c r="BL31" s="161"/>
      <c r="BM31" s="161"/>
      <c r="BN31" s="161"/>
      <c r="BO31" s="161"/>
      <c r="BP31" s="161"/>
      <c r="BQ31" s="161"/>
      <c r="BR31" s="161"/>
      <c r="BS31" s="161"/>
      <c r="BT31" s="161"/>
      <c r="BU31" s="161"/>
      <c r="BV31" s="161"/>
    </row>
    <row r="32" spans="1:74">
      <c r="A32" s="217"/>
      <c r="B32" s="157"/>
      <c r="C32" s="147"/>
      <c r="D32" s="147"/>
      <c r="E32" s="147"/>
      <c r="F32" s="147"/>
      <c r="G32" s="157"/>
      <c r="H32" s="147"/>
      <c r="I32" s="147"/>
      <c r="J32" s="147"/>
      <c r="K32" s="147"/>
      <c r="L32" s="157"/>
      <c r="M32" s="147"/>
      <c r="N32" s="147"/>
      <c r="O32" s="147"/>
      <c r="P32" s="147"/>
      <c r="Q32" s="157"/>
      <c r="R32" s="147"/>
      <c r="S32" s="147"/>
      <c r="T32" s="147"/>
      <c r="U32" s="147"/>
      <c r="V32" s="157"/>
      <c r="W32" s="147"/>
      <c r="X32" s="147"/>
      <c r="Y32" s="147"/>
      <c r="Z32" s="147"/>
      <c r="AA32" s="157"/>
      <c r="AB32" s="147"/>
      <c r="AC32" s="147"/>
      <c r="AD32" s="147"/>
      <c r="AE32" s="147"/>
      <c r="AF32" s="157"/>
      <c r="AG32" s="147"/>
      <c r="AH32" s="147"/>
      <c r="AI32" s="147"/>
      <c r="AJ32" s="147"/>
      <c r="AK32" s="157"/>
      <c r="AL32" s="147"/>
      <c r="AM32" s="147"/>
      <c r="AN32" s="147"/>
      <c r="AO32" s="147"/>
      <c r="AP32" s="157"/>
      <c r="AQ32" s="147"/>
      <c r="AR32" s="147"/>
      <c r="AS32" s="147"/>
      <c r="AT32" s="147"/>
      <c r="AU32" s="157"/>
      <c r="AV32" s="2030"/>
      <c r="AW32" s="2030"/>
      <c r="AX32" s="2030"/>
      <c r="AY32" s="2030"/>
      <c r="AZ32" s="157"/>
      <c r="BA32" s="2030"/>
      <c r="BB32" s="2030"/>
      <c r="BC32" s="2030"/>
      <c r="BD32" s="2030"/>
      <c r="BE32" s="157"/>
      <c r="BF32" s="157"/>
      <c r="BG32" s="147"/>
      <c r="BH32" s="147"/>
      <c r="BI32" s="147"/>
      <c r="BJ32" s="147"/>
      <c r="BK32" s="147"/>
      <c r="BL32" s="147"/>
      <c r="BM32" s="147"/>
      <c r="BN32" s="147"/>
      <c r="BO32" s="147"/>
      <c r="BP32" s="147"/>
      <c r="BQ32" s="147"/>
      <c r="BR32" s="147"/>
      <c r="BS32" s="147"/>
      <c r="BT32" s="147"/>
      <c r="BU32" s="147"/>
      <c r="BV32" s="147"/>
    </row>
    <row r="33" spans="1:74">
      <c r="A33" s="234" t="s">
        <v>262</v>
      </c>
      <c r="B33" s="176">
        <f>IS!AS51</f>
        <v>8255</v>
      </c>
      <c r="C33" s="177">
        <f>IS!AT51</f>
        <v>2027</v>
      </c>
      <c r="D33" s="177">
        <f>IS!AU51</f>
        <v>2519</v>
      </c>
      <c r="E33" s="177">
        <f>IS!AV51</f>
        <v>2431</v>
      </c>
      <c r="F33" s="177">
        <f>IS!AW51</f>
        <v>2147</v>
      </c>
      <c r="G33" s="176">
        <f>IS!AX51</f>
        <v>9124</v>
      </c>
      <c r="H33" s="177">
        <f>IS!AY51</f>
        <v>1698.5</v>
      </c>
      <c r="I33" s="177">
        <f>IS!AZ51</f>
        <v>2168.5</v>
      </c>
      <c r="J33" s="177">
        <f>IS!BA51</f>
        <v>2221.5</v>
      </c>
      <c r="K33" s="177">
        <f>IS!BB51</f>
        <v>2240.5</v>
      </c>
      <c r="L33" s="176">
        <f>IS!BC51</f>
        <v>8329</v>
      </c>
      <c r="M33" s="177">
        <f>IS!BD51</f>
        <v>1917</v>
      </c>
      <c r="N33" s="177">
        <f>IS!BE51</f>
        <v>2381</v>
      </c>
      <c r="O33" s="177">
        <f>IS!BF51</f>
        <v>2463</v>
      </c>
      <c r="P33" s="177">
        <f>IS!BG51</f>
        <v>2395</v>
      </c>
      <c r="Q33" s="176">
        <f>IS!BH51</f>
        <v>9156</v>
      </c>
      <c r="R33" s="177">
        <f>IS!BI51</f>
        <v>2046</v>
      </c>
      <c r="S33" s="177">
        <f>IS!BJ51</f>
        <v>2456</v>
      </c>
      <c r="T33" s="177">
        <f>IS!BK51</f>
        <v>2506</v>
      </c>
      <c r="U33" s="177">
        <f>IS!BL51</f>
        <v>2304</v>
      </c>
      <c r="V33" s="176">
        <f>IS!BM51</f>
        <v>9312</v>
      </c>
      <c r="W33" s="177">
        <f>IS!BN51</f>
        <v>2042</v>
      </c>
      <c r="X33" s="177">
        <f>IS!BO51</f>
        <v>2467</v>
      </c>
      <c r="Y33" s="177">
        <f>IS!BP51</f>
        <v>2557</v>
      </c>
      <c r="Z33" s="177">
        <f>IS!BQ51</f>
        <v>2551</v>
      </c>
      <c r="AA33" s="176">
        <f>IS!BR51</f>
        <v>9617</v>
      </c>
      <c r="AB33" s="177">
        <f>IS!BS51</f>
        <v>2464</v>
      </c>
      <c r="AC33" s="177">
        <f>IS!BT51</f>
        <v>2943</v>
      </c>
      <c r="AD33" s="177">
        <f>IS!BU51</f>
        <v>2946</v>
      </c>
      <c r="AE33" s="177">
        <f>IS!BV51</f>
        <v>2935</v>
      </c>
      <c r="AF33" s="176">
        <f>IS!BW51</f>
        <v>11288</v>
      </c>
      <c r="AG33" s="177">
        <f>IS!BX51</f>
        <v>2690</v>
      </c>
      <c r="AH33" s="177">
        <f>IS!BY51</f>
        <v>3206</v>
      </c>
      <c r="AI33" s="177">
        <f>IS!BZ51</f>
        <v>3179</v>
      </c>
      <c r="AJ33" s="177">
        <f>IS!CA51</f>
        <v>3184</v>
      </c>
      <c r="AK33" s="176">
        <f>IS!CB51</f>
        <v>12259</v>
      </c>
      <c r="AL33" s="177">
        <f>IS!CC51</f>
        <v>2606.1076991007917</v>
      </c>
      <c r="AM33" s="177">
        <f>IS!CD51</f>
        <v>2946.8923008992083</v>
      </c>
      <c r="AN33" s="177">
        <f>IS!CE51</f>
        <v>2861</v>
      </c>
      <c r="AO33" s="177">
        <f>IS!CF51</f>
        <v>2617</v>
      </c>
      <c r="AP33" s="176">
        <f>IS!CG51</f>
        <v>11031</v>
      </c>
      <c r="AQ33" s="177">
        <f>IS!CH51</f>
        <v>2473</v>
      </c>
      <c r="AR33" s="177">
        <f>IS!CI51</f>
        <v>2959</v>
      </c>
      <c r="AS33" s="177">
        <f>IS!CJ51</f>
        <v>2876</v>
      </c>
      <c r="AT33" s="177">
        <f>IS!CK51</f>
        <v>2666</v>
      </c>
      <c r="AU33" s="176">
        <f>IS!CL51</f>
        <v>10974</v>
      </c>
      <c r="AV33" s="2040">
        <f>IS!CM51</f>
        <v>2451</v>
      </c>
      <c r="AW33" s="2040">
        <f>IS!CN51</f>
        <v>2877</v>
      </c>
      <c r="AX33" s="2040">
        <f>IS!CO51</f>
        <v>2874</v>
      </c>
      <c r="AY33" s="2040">
        <f>IS!CP51</f>
        <v>2601.8672907211685</v>
      </c>
      <c r="AZ33" s="176">
        <f>IS!CQ51</f>
        <v>10803.867290721169</v>
      </c>
      <c r="BA33" s="2040">
        <f>IS!CR51</f>
        <v>2538.7460471887493</v>
      </c>
      <c r="BB33" s="2040">
        <f>IS!CS51</f>
        <v>2942.3634407789964</v>
      </c>
      <c r="BC33" s="2040">
        <f>IS!CT51</f>
        <v>2980.6942840653887</v>
      </c>
      <c r="BD33" s="2040">
        <f>IS!CU51</f>
        <v>2701.0329190360894</v>
      </c>
      <c r="BE33" s="176">
        <f>IS!CV51</f>
        <v>11162.836691069228</v>
      </c>
      <c r="BF33" s="176">
        <f>IS!CW51</f>
        <v>12145.436241937223</v>
      </c>
      <c r="BG33" s="173"/>
      <c r="BH33" s="173"/>
      <c r="BI33" s="173"/>
      <c r="BJ33" s="173"/>
      <c r="BK33" s="173"/>
      <c r="BL33" s="173"/>
      <c r="BM33" s="173"/>
      <c r="BN33" s="173"/>
      <c r="BO33" s="173"/>
      <c r="BP33" s="173"/>
      <c r="BQ33" s="173"/>
      <c r="BR33" s="173"/>
      <c r="BS33" s="173"/>
      <c r="BT33" s="173"/>
      <c r="BU33" s="173"/>
      <c r="BV33" s="173"/>
    </row>
    <row r="34" spans="1:74">
      <c r="A34" s="223" t="s">
        <v>147</v>
      </c>
      <c r="B34" s="169">
        <f>IS!AS52</f>
        <v>0.15075147464343761</v>
      </c>
      <c r="C34" s="170">
        <f>IS!AT52</f>
        <v>0.14522137842097721</v>
      </c>
      <c r="D34" s="170">
        <f>IS!AU52</f>
        <v>0.15799046663321625</v>
      </c>
      <c r="E34" s="170">
        <f>IS!AV52</f>
        <v>0.16115346370566788</v>
      </c>
      <c r="F34" s="170">
        <f>IS!AW52</f>
        <v>0.14536222071767096</v>
      </c>
      <c r="G34" s="169">
        <f>IS!AX52</f>
        <v>0.15268504108305303</v>
      </c>
      <c r="H34" s="170">
        <f>IS!AY52</f>
        <v>0.13923272399376999</v>
      </c>
      <c r="I34" s="170">
        <f>IS!AZ52</f>
        <v>0.16604134762633996</v>
      </c>
      <c r="J34" s="170">
        <f>IS!BA52</f>
        <v>0.1684613634640176</v>
      </c>
      <c r="K34" s="170">
        <f>IS!BB52</f>
        <v>0.16027612847843192</v>
      </c>
      <c r="L34" s="169">
        <f>IS!BC52</f>
        <v>0.15887458273724367</v>
      </c>
      <c r="M34" s="170">
        <f>IS!BD52</f>
        <v>0.15921926910299003</v>
      </c>
      <c r="N34" s="170">
        <f>IS!BE52</f>
        <v>0.17251123025648457</v>
      </c>
      <c r="O34" s="170">
        <f>IS!BF52</f>
        <v>0.18083700440528636</v>
      </c>
      <c r="P34" s="170">
        <f>IS!BG52</f>
        <v>0.16112755651237889</v>
      </c>
      <c r="Q34" s="169">
        <f>IS!BH52</f>
        <v>0.1685380848948938</v>
      </c>
      <c r="R34" s="170">
        <f>IS!BI52</f>
        <v>0.1614455929929772</v>
      </c>
      <c r="S34" s="170">
        <f>IS!BJ52</f>
        <v>0.16974220747805654</v>
      </c>
      <c r="T34" s="170">
        <f>IS!BK52</f>
        <v>0.17604495960660344</v>
      </c>
      <c r="U34" s="170">
        <f>IS!BL52</f>
        <v>0.16025596438756348</v>
      </c>
      <c r="V34" s="169">
        <f>IS!BM52</f>
        <v>0.1670194066793414</v>
      </c>
      <c r="W34" s="170">
        <f>IS!BN52</f>
        <v>0.16446520618556701</v>
      </c>
      <c r="X34" s="170">
        <f>IS!BO52</f>
        <v>0.1786774824364453</v>
      </c>
      <c r="Y34" s="170">
        <f>IS!BP52</f>
        <v>0.16999069272703099</v>
      </c>
      <c r="Z34" s="170">
        <f>IS!BQ52</f>
        <v>0.15514200571671835</v>
      </c>
      <c r="AA34" s="169">
        <f>IS!BR52</f>
        <v>0.16664933804671797</v>
      </c>
      <c r="AB34" s="170">
        <f>IS!BS52</f>
        <v>0.17112299465240641</v>
      </c>
      <c r="AC34" s="170">
        <f>IS!BT52</f>
        <v>0.18386854929401475</v>
      </c>
      <c r="AD34" s="170">
        <f>IS!BU52</f>
        <v>0.19053162592161427</v>
      </c>
      <c r="AE34" s="170">
        <f>IS!BV52</f>
        <v>0.17512978101318694</v>
      </c>
      <c r="AF34" s="169">
        <f>IS!BW52</f>
        <v>0.18024462683230608</v>
      </c>
      <c r="AG34" s="170">
        <f>IS!BX52</f>
        <v>0.18243472363513055</v>
      </c>
      <c r="AH34" s="170">
        <f>IS!BY52</f>
        <v>0.18649293234832179</v>
      </c>
      <c r="AI34" s="170">
        <f>IS!BZ52</f>
        <v>0.19662295893122217</v>
      </c>
      <c r="AJ34" s="170">
        <f>IS!CA52</f>
        <v>0.18733819722287598</v>
      </c>
      <c r="AK34" s="169">
        <f>IS!CB52</f>
        <v>0.18831029185867895</v>
      </c>
      <c r="AL34" s="170">
        <f>IS!CC52</f>
        <v>0.19565373116372309</v>
      </c>
      <c r="AM34" s="170">
        <f>IS!CD52</f>
        <v>0.20050978437090619</v>
      </c>
      <c r="AN34" s="170">
        <f>IS!CE52</f>
        <v>0.20749927473165072</v>
      </c>
      <c r="AO34" s="170">
        <f>IS!CF52</f>
        <v>0.183006993006993</v>
      </c>
      <c r="AP34" s="169">
        <f>IS!CG52</f>
        <v>0.1968429074614679</v>
      </c>
      <c r="AQ34" s="170">
        <f>IS!CH52</f>
        <v>0.18514636520176686</v>
      </c>
      <c r="AR34" s="170">
        <f>IS!CI52</f>
        <v>0.19893774371386311</v>
      </c>
      <c r="AS34" s="170">
        <f>IS!CJ52</f>
        <v>0.20036226835725232</v>
      </c>
      <c r="AT34" s="170">
        <f>IS!CK52</f>
        <v>0.18186779452895832</v>
      </c>
      <c r="AU34" s="169">
        <f>IS!CL52</f>
        <v>0.19170568094472784</v>
      </c>
      <c r="AV34" s="2038">
        <f>IS!CM52</f>
        <v>0.17741585233441912</v>
      </c>
      <c r="AW34" s="2038">
        <f>IS!CN52</f>
        <v>0.18828534031413613</v>
      </c>
      <c r="AX34" s="2038">
        <f>IS!CO52</f>
        <v>0.19081131323861372</v>
      </c>
      <c r="AY34" s="2038">
        <f>IS!CP52</f>
        <v>0.16948874309961684</v>
      </c>
      <c r="AZ34" s="169">
        <f>IS!CQ52</f>
        <v>0.18155237026951287</v>
      </c>
      <c r="BA34" s="2038">
        <f>IS!CR52</f>
        <v>0.17308842768081714</v>
      </c>
      <c r="BB34" s="2038">
        <f>IS!CS52</f>
        <v>0.17986515604377651</v>
      </c>
      <c r="BC34" s="2038">
        <f>IS!CT52</f>
        <v>0.18864664277088034</v>
      </c>
      <c r="BD34" s="2038">
        <f>IS!CU52</f>
        <v>0.16878334043550713</v>
      </c>
      <c r="BE34" s="169">
        <f>IS!CV52</f>
        <v>0.17707767188895013</v>
      </c>
      <c r="BF34" s="169">
        <f>IS!CW52</f>
        <v>0.18466417257041823</v>
      </c>
      <c r="BG34" s="220"/>
      <c r="BH34" s="220"/>
      <c r="BI34" s="220"/>
      <c r="BJ34" s="220"/>
      <c r="BK34" s="220"/>
      <c r="BL34" s="220"/>
      <c r="BM34" s="220"/>
      <c r="BN34" s="220"/>
      <c r="BO34" s="220"/>
      <c r="BP34" s="220"/>
      <c r="BQ34" s="220"/>
      <c r="BR34" s="220"/>
      <c r="BS34" s="220"/>
      <c r="BT34" s="220"/>
      <c r="BU34" s="220"/>
      <c r="BV34" s="220"/>
    </row>
    <row r="35" spans="1:74">
      <c r="A35" s="223" t="s">
        <v>256</v>
      </c>
      <c r="B35" s="169"/>
      <c r="C35" s="170"/>
      <c r="D35" s="170"/>
      <c r="E35" s="170"/>
      <c r="F35" s="170"/>
      <c r="G35" s="169">
        <f t="shared" ref="G35:AO35" si="4">G33/B33-1</f>
        <v>0.10526953361599034</v>
      </c>
      <c r="H35" s="170">
        <f t="shared" si="4"/>
        <v>-0.16206216082881109</v>
      </c>
      <c r="I35" s="170">
        <f t="shared" si="4"/>
        <v>-0.13914251687177448</v>
      </c>
      <c r="J35" s="170">
        <f t="shared" si="4"/>
        <v>-8.617852735499798E-2</v>
      </c>
      <c r="K35" s="170">
        <f t="shared" si="4"/>
        <v>4.3549138332557025E-2</v>
      </c>
      <c r="L35" s="169">
        <f t="shared" si="4"/>
        <v>-8.713283647523018E-2</v>
      </c>
      <c r="M35" s="170">
        <f t="shared" si="4"/>
        <v>0.12864292022372692</v>
      </c>
      <c r="N35" s="170">
        <f t="shared" si="4"/>
        <v>9.7994005072630896E-2</v>
      </c>
      <c r="O35" s="170">
        <f t="shared" si="4"/>
        <v>0.10871033085752879</v>
      </c>
      <c r="P35" s="170">
        <f t="shared" si="4"/>
        <v>6.8957821914751083E-2</v>
      </c>
      <c r="Q35" s="221">
        <f t="shared" si="4"/>
        <v>9.9291631648457113E-2</v>
      </c>
      <c r="R35" s="222">
        <f t="shared" si="4"/>
        <v>6.7292644757433573E-2</v>
      </c>
      <c r="S35" s="222">
        <f t="shared" si="4"/>
        <v>3.1499370012599837E-2</v>
      </c>
      <c r="T35" s="222">
        <f t="shared" si="4"/>
        <v>1.7458384084449774E-2</v>
      </c>
      <c r="U35" s="222">
        <f t="shared" si="4"/>
        <v>-3.7995824634655562E-2</v>
      </c>
      <c r="V35" s="221">
        <f t="shared" si="4"/>
        <v>1.7038007863696025E-2</v>
      </c>
      <c r="W35" s="222">
        <f t="shared" si="4"/>
        <v>-1.9550342130987275E-3</v>
      </c>
      <c r="X35" s="222">
        <f t="shared" si="4"/>
        <v>4.4788273615634644E-3</v>
      </c>
      <c r="Y35" s="222">
        <f t="shared" si="4"/>
        <v>2.0351157222665561E-2</v>
      </c>
      <c r="Z35" s="222">
        <f t="shared" si="4"/>
        <v>0.10720486111111116</v>
      </c>
      <c r="AA35" s="221">
        <f t="shared" si="4"/>
        <v>3.2753436426116833E-2</v>
      </c>
      <c r="AB35" s="222">
        <f t="shared" si="4"/>
        <v>0.20666013712047016</v>
      </c>
      <c r="AC35" s="222">
        <f t="shared" si="4"/>
        <v>0.19294689906769347</v>
      </c>
      <c r="AD35" s="222">
        <f t="shared" si="4"/>
        <v>0.15213140398904956</v>
      </c>
      <c r="AE35" s="222">
        <f t="shared" si="4"/>
        <v>0.15052920423363392</v>
      </c>
      <c r="AF35" s="221">
        <f t="shared" si="4"/>
        <v>0.17375480919205577</v>
      </c>
      <c r="AG35" s="222">
        <f t="shared" si="4"/>
        <v>9.1720779220779258E-2</v>
      </c>
      <c r="AH35" s="222">
        <f t="shared" si="4"/>
        <v>8.9364593951750004E-2</v>
      </c>
      <c r="AI35" s="222">
        <f t="shared" si="4"/>
        <v>7.9090291921249056E-2</v>
      </c>
      <c r="AJ35" s="222">
        <f t="shared" si="4"/>
        <v>8.48381601362862E-2</v>
      </c>
      <c r="AK35" s="221">
        <f t="shared" si="4"/>
        <v>8.6020552799433103E-2</v>
      </c>
      <c r="AL35" s="222">
        <f t="shared" si="4"/>
        <v>-3.118672895881347E-2</v>
      </c>
      <c r="AM35" s="222">
        <f t="shared" si="4"/>
        <v>-8.0819619183029268E-2</v>
      </c>
      <c r="AN35" s="222">
        <f t="shared" si="4"/>
        <v>-0.1000314564328405</v>
      </c>
      <c r="AO35" s="222">
        <f t="shared" si="4"/>
        <v>-0.17807788944723613</v>
      </c>
      <c r="AP35" s="221">
        <f t="shared" ref="AP35:AZ35" si="5">AP33/AK33-1</f>
        <v>-0.10017130271637165</v>
      </c>
      <c r="AQ35" s="222">
        <f t="shared" si="5"/>
        <v>-5.1075287159743632E-2</v>
      </c>
      <c r="AR35" s="222">
        <f t="shared" si="5"/>
        <v>4.1086330494999324E-3</v>
      </c>
      <c r="AS35" s="222">
        <f t="shared" si="5"/>
        <v>5.2429220552254741E-3</v>
      </c>
      <c r="AT35" s="222">
        <f t="shared" si="5"/>
        <v>1.8723729461215033E-2</v>
      </c>
      <c r="AU35" s="221">
        <f t="shared" si="5"/>
        <v>-5.1672559151482167E-3</v>
      </c>
      <c r="AV35" s="2060">
        <f t="shared" si="5"/>
        <v>-8.8960776384957585E-3</v>
      </c>
      <c r="AW35" s="2060">
        <f t="shared" si="5"/>
        <v>-2.7712064886786125E-2</v>
      </c>
      <c r="AX35" s="2060">
        <f t="shared" si="5"/>
        <v>-6.9541029207231819E-4</v>
      </c>
      <c r="AY35" s="2060">
        <f t="shared" si="5"/>
        <v>-2.4055779924542997E-2</v>
      </c>
      <c r="AZ35" s="221">
        <f t="shared" si="5"/>
        <v>-1.5503253989322952E-2</v>
      </c>
      <c r="BA35" s="2060">
        <f t="shared" ref="BA35" si="6">BA33/AV33-1</f>
        <v>3.5800100852202865E-2</v>
      </c>
      <c r="BB35" s="2060">
        <f t="shared" ref="BB35" si="7">BB33/AW33-1</f>
        <v>2.2719305102188558E-2</v>
      </c>
      <c r="BC35" s="2060">
        <f t="shared" ref="BC35" si="8">BC33/AX33-1</f>
        <v>3.7123968011617547E-2</v>
      </c>
      <c r="BD35" s="2060">
        <f t="shared" ref="BD35" si="9">BD33/AY33-1</f>
        <v>3.8113253765312161E-2</v>
      </c>
      <c r="BE35" s="221">
        <f>BE33/AZ33-1</f>
        <v>3.3226009787842958E-2</v>
      </c>
      <c r="BF35" s="221">
        <f>BF33/BE33-1</f>
        <v>8.8024180417699771E-2</v>
      </c>
      <c r="BG35" s="220"/>
      <c r="BH35" s="220"/>
      <c r="BI35" s="220"/>
      <c r="BJ35" s="220"/>
      <c r="BK35" s="220"/>
      <c r="BL35" s="220"/>
      <c r="BM35" s="220"/>
      <c r="BN35" s="220"/>
      <c r="BO35" s="220"/>
      <c r="BP35" s="220"/>
      <c r="BQ35" s="220"/>
      <c r="BR35" s="220"/>
      <c r="BS35" s="220"/>
      <c r="BT35" s="220"/>
      <c r="BU35" s="220"/>
      <c r="BV35" s="220"/>
    </row>
    <row r="36" spans="1:74">
      <c r="A36" s="217"/>
      <c r="B36" s="189"/>
      <c r="C36" s="217"/>
      <c r="D36" s="217"/>
      <c r="E36" s="217"/>
      <c r="F36" s="217"/>
      <c r="G36" s="242"/>
      <c r="H36" s="217"/>
      <c r="I36" s="217"/>
      <c r="J36" s="217"/>
      <c r="K36" s="217"/>
      <c r="L36" s="242"/>
      <c r="M36" s="217"/>
      <c r="N36" s="217"/>
      <c r="O36" s="217"/>
      <c r="P36" s="217"/>
      <c r="Q36" s="242"/>
      <c r="R36" s="217"/>
      <c r="S36" s="217"/>
      <c r="T36" s="217"/>
      <c r="U36" s="217"/>
      <c r="V36" s="242"/>
      <c r="W36" s="217"/>
      <c r="X36" s="217"/>
      <c r="Y36" s="217"/>
      <c r="Z36" s="217"/>
      <c r="AA36" s="242"/>
      <c r="AB36" s="217"/>
      <c r="AC36" s="217"/>
      <c r="AD36" s="217"/>
      <c r="AE36" s="217"/>
      <c r="AF36" s="242"/>
      <c r="AG36" s="217"/>
      <c r="AH36" s="217"/>
      <c r="AI36" s="217"/>
      <c r="AJ36" s="217"/>
      <c r="AK36" s="242"/>
      <c r="AL36" s="217"/>
      <c r="AM36" s="217"/>
      <c r="AN36" s="217"/>
      <c r="AO36" s="217"/>
      <c r="AP36" s="242"/>
      <c r="AQ36" s="217"/>
      <c r="AR36" s="217"/>
      <c r="AS36" s="217"/>
      <c r="AT36" s="217"/>
      <c r="AU36" s="242"/>
      <c r="AV36" s="2058"/>
      <c r="AW36" s="2058"/>
      <c r="AX36" s="2058"/>
      <c r="AY36" s="2058"/>
      <c r="AZ36" s="242"/>
      <c r="BA36" s="2058"/>
      <c r="BB36" s="2058"/>
      <c r="BC36" s="2058"/>
      <c r="BD36" s="2058"/>
      <c r="BE36" s="242"/>
      <c r="BF36" s="242"/>
      <c r="BG36" s="147"/>
      <c r="BH36" s="147"/>
      <c r="BI36" s="147"/>
      <c r="BJ36" s="147"/>
      <c r="BK36" s="147"/>
      <c r="BL36" s="147"/>
      <c r="BM36" s="147"/>
      <c r="BN36" s="147"/>
      <c r="BO36" s="147"/>
      <c r="BP36" s="147"/>
      <c r="BQ36" s="147"/>
      <c r="BR36" s="147"/>
      <c r="BS36" s="147"/>
      <c r="BT36" s="147"/>
      <c r="BU36" s="147"/>
      <c r="BV36" s="147"/>
    </row>
    <row r="37" spans="1:74">
      <c r="A37" s="216" t="s">
        <v>261</v>
      </c>
      <c r="B37" s="160">
        <f>IS!AS61</f>
        <v>-666</v>
      </c>
      <c r="C37" s="241">
        <f>IS!AT61</f>
        <v>-165</v>
      </c>
      <c r="D37" s="241">
        <f>IS!AU61</f>
        <v>-176</v>
      </c>
      <c r="E37" s="241">
        <f>IS!AV61</f>
        <v>-177</v>
      </c>
      <c r="F37" s="241">
        <f>IS!AW61</f>
        <v>-171</v>
      </c>
      <c r="G37" s="160">
        <f>IS!AX61</f>
        <v>-689</v>
      </c>
      <c r="H37" s="241">
        <f>IS!AY61</f>
        <v>-173.25</v>
      </c>
      <c r="I37" s="241">
        <f>IS!AZ61</f>
        <v>-175.25</v>
      </c>
      <c r="J37" s="241">
        <f>IS!BA61</f>
        <v>-168.25</v>
      </c>
      <c r="K37" s="241">
        <f>IS!BB61</f>
        <v>-181.25</v>
      </c>
      <c r="L37" s="160">
        <f>IS!BC61</f>
        <v>-698</v>
      </c>
      <c r="M37" s="241">
        <f>IS!BD61</f>
        <v>-197</v>
      </c>
      <c r="N37" s="241">
        <f>IS!BE61</f>
        <v>-175</v>
      </c>
      <c r="O37" s="241">
        <f>IS!BF61</f>
        <v>-187</v>
      </c>
      <c r="P37" s="241">
        <f>IS!BG61</f>
        <v>-191</v>
      </c>
      <c r="Q37" s="160">
        <f>IS!BH61</f>
        <v>-750</v>
      </c>
      <c r="R37" s="241">
        <f>IS!BI61</f>
        <v>-166</v>
      </c>
      <c r="S37" s="241">
        <f>IS!BJ61</f>
        <v>-164</v>
      </c>
      <c r="T37" s="241">
        <f>IS!BK61</f>
        <v>-166</v>
      </c>
      <c r="U37" s="241">
        <f>IS!BL61</f>
        <v>-179</v>
      </c>
      <c r="V37" s="160">
        <f>IS!BM61</f>
        <v>-675</v>
      </c>
      <c r="W37" s="241">
        <f>IS!BN61</f>
        <v>-164</v>
      </c>
      <c r="X37" s="241">
        <f>IS!BO61</f>
        <v>-190</v>
      </c>
      <c r="Y37" s="241">
        <f>IS!BP61</f>
        <v>-260</v>
      </c>
      <c r="Z37" s="241">
        <f>IS!BQ61</f>
        <v>-279</v>
      </c>
      <c r="AA37" s="160">
        <f>IS!BR61</f>
        <v>-893</v>
      </c>
      <c r="AB37" s="241">
        <f>IS!BS61</f>
        <v>-255</v>
      </c>
      <c r="AC37" s="241">
        <f>IS!BT61</f>
        <v>-272</v>
      </c>
      <c r="AD37" s="241">
        <f>IS!BU61</f>
        <v>-248</v>
      </c>
      <c r="AE37" s="241">
        <f>IS!BV61</f>
        <v>-259</v>
      </c>
      <c r="AF37" s="160">
        <f>IS!BW61</f>
        <v>-1034</v>
      </c>
      <c r="AG37" s="241">
        <f>IS!BX61</f>
        <v>-243</v>
      </c>
      <c r="AH37" s="241">
        <f>IS!BY61</f>
        <v>-245</v>
      </c>
      <c r="AI37" s="241">
        <f>IS!BZ61</f>
        <v>-237</v>
      </c>
      <c r="AJ37" s="241">
        <f>IS!CA61</f>
        <v>-371</v>
      </c>
      <c r="AK37" s="160">
        <f>IS!CB61</f>
        <v>-1096</v>
      </c>
      <c r="AL37" s="241">
        <f>IS!CC61</f>
        <v>-239</v>
      </c>
      <c r="AM37" s="241">
        <f>IS!CD61</f>
        <v>-244</v>
      </c>
      <c r="AN37" s="241">
        <f>IS!CE61</f>
        <v>-223</v>
      </c>
      <c r="AO37" s="241">
        <f>IS!CF61</f>
        <v>-238</v>
      </c>
      <c r="AP37" s="160">
        <f>IS!CG61</f>
        <v>-944</v>
      </c>
      <c r="AQ37" s="241">
        <f>IS!CH61</f>
        <v>-241</v>
      </c>
      <c r="AR37" s="241">
        <f>IS!CI61</f>
        <v>-248</v>
      </c>
      <c r="AS37" s="241">
        <f>IS!CJ61</f>
        <v>-252</v>
      </c>
      <c r="AT37" s="241">
        <f>IS!CK61</f>
        <v>-420</v>
      </c>
      <c r="AU37" s="160">
        <f>IS!CL61</f>
        <v>-1161</v>
      </c>
      <c r="AV37" s="2065">
        <f>IS!CM61</f>
        <v>-236</v>
      </c>
      <c r="AW37" s="2065">
        <f>IS!CN61</f>
        <v>-251</v>
      </c>
      <c r="AX37" s="2065">
        <f>IS!CO61</f>
        <v>-255.64742873113471</v>
      </c>
      <c r="AY37" s="2065">
        <f>IS!CP61</f>
        <v>-258.65526879748847</v>
      </c>
      <c r="AZ37" s="160">
        <f>IS!CQ61</f>
        <v>-1001.3026975286232</v>
      </c>
      <c r="BA37" s="2065">
        <f>IS!CR61</f>
        <v>-258.65526879748847</v>
      </c>
      <c r="BB37" s="2065">
        <f>IS!CS61</f>
        <v>-268.14372326548147</v>
      </c>
      <c r="BC37" s="2065">
        <f>IS!CT61</f>
        <v>-277.63217773347446</v>
      </c>
      <c r="BD37" s="2065">
        <f>IS!CU61</f>
        <v>-277.63217773347446</v>
      </c>
      <c r="BE37" s="160">
        <f>IS!CV61</f>
        <v>-1082.0633475299189</v>
      </c>
      <c r="BF37" s="160">
        <f>IS!CW61</f>
        <v>-1120.352921044778</v>
      </c>
      <c r="BG37" s="161"/>
      <c r="BH37" s="161"/>
      <c r="BI37" s="161"/>
      <c r="BJ37" s="161"/>
      <c r="BK37" s="161"/>
      <c r="BL37" s="161"/>
      <c r="BM37" s="161"/>
      <c r="BN37" s="161"/>
      <c r="BO37" s="161"/>
      <c r="BP37" s="161"/>
      <c r="BQ37" s="161"/>
      <c r="BR37" s="161"/>
      <c r="BS37" s="161"/>
      <c r="BT37" s="161"/>
      <c r="BU37" s="161"/>
      <c r="BV37" s="161"/>
    </row>
    <row r="38" spans="1:74">
      <c r="A38" s="217" t="s">
        <v>260</v>
      </c>
      <c r="B38" s="239">
        <f>SUM(IS!AS54:AS56)</f>
        <v>0</v>
      </c>
      <c r="C38" s="240">
        <f>SUM(IS!AT54:AT56)</f>
        <v>0</v>
      </c>
      <c r="D38" s="240">
        <f>SUM(IS!AU54:AU56)</f>
        <v>0</v>
      </c>
      <c r="E38" s="240">
        <f>SUM(IS!AV54:AV56)</f>
        <v>0</v>
      </c>
      <c r="F38" s="240">
        <f>SUM(IS!AW54:AW56)</f>
        <v>0</v>
      </c>
      <c r="G38" s="239">
        <f>SUM(IS!AX54:AX56)</f>
        <v>0</v>
      </c>
      <c r="H38" s="240">
        <f>SUM(IS!AY54:AY56)</f>
        <v>21.635000000000002</v>
      </c>
      <c r="I38" s="240">
        <f>SUM(IS!AZ54:AZ56)</f>
        <v>16.36</v>
      </c>
      <c r="J38" s="240">
        <f>SUM(IS!BA54:BA56)</f>
        <v>20.080000000000002</v>
      </c>
      <c r="K38" s="240">
        <f>SUM(IS!BB54:BB56)</f>
        <v>23.16</v>
      </c>
      <c r="L38" s="239">
        <f>SUM(IS!BC54:BC56)</f>
        <v>81.234999999999999</v>
      </c>
      <c r="M38" s="240">
        <f>SUM(IS!BD54:BD56)</f>
        <v>26</v>
      </c>
      <c r="N38" s="240">
        <f>SUM(IS!BE54:BE56)</f>
        <v>26</v>
      </c>
      <c r="O38" s="240">
        <f>SUM(IS!BF54:BF56)</f>
        <v>26</v>
      </c>
      <c r="P38" s="240">
        <f>SUM(IS!BG54:BG56)</f>
        <v>24</v>
      </c>
      <c r="Q38" s="239">
        <f>SUM(IS!BH54:BH56)</f>
        <v>102</v>
      </c>
      <c r="R38" s="240">
        <f>SUM(IS!BI54:BI56)</f>
        <v>17</v>
      </c>
      <c r="S38" s="240">
        <f>SUM(IS!BJ54:BJ56)</f>
        <v>23</v>
      </c>
      <c r="T38" s="240">
        <f>SUM(IS!BK54:BK56)</f>
        <v>27</v>
      </c>
      <c r="U38" s="240">
        <f>SUM(IS!BL54:BL56)</f>
        <v>112</v>
      </c>
      <c r="V38" s="239">
        <f>SUM(IS!BM54:BM56)</f>
        <v>179</v>
      </c>
      <c r="W38" s="240">
        <f>SUM(IS!BN54:BN56)</f>
        <v>35</v>
      </c>
      <c r="X38" s="240">
        <f>SUM(IS!BO54:BO56)</f>
        <v>22</v>
      </c>
      <c r="Y38" s="240">
        <f>SUM(IS!BP54:BP56)</f>
        <v>44</v>
      </c>
      <c r="Z38" s="240">
        <f>SUM(IS!BQ54:BQ56)</f>
        <v>19</v>
      </c>
      <c r="AA38" s="239">
        <f>SUM(IS!BR54:BR56)</f>
        <v>120</v>
      </c>
      <c r="AB38" s="240">
        <f>SUM(IS!BS54:BS56)</f>
        <v>19</v>
      </c>
      <c r="AC38" s="240">
        <f>SUM(IS!BT54:BT56)</f>
        <v>55</v>
      </c>
      <c r="AD38" s="240">
        <f>SUM(IS!BU54:BU56)</f>
        <v>22</v>
      </c>
      <c r="AE38" s="240">
        <f>SUM(IS!BV54:BV56)</f>
        <v>41</v>
      </c>
      <c r="AF38" s="239">
        <f>SUM(IS!BW54:BW56)</f>
        <v>137</v>
      </c>
      <c r="AG38" s="240">
        <f>SUM(IS!BX54:BX56)</f>
        <v>18</v>
      </c>
      <c r="AH38" s="240">
        <f>SUM(IS!BY54:BY56)</f>
        <v>39</v>
      </c>
      <c r="AI38" s="240">
        <f>SUM(IS!BZ54:BZ56)</f>
        <v>51</v>
      </c>
      <c r="AJ38" s="240">
        <f>SUM(IS!CA54:CA56)</f>
        <v>106</v>
      </c>
      <c r="AK38" s="239">
        <f>SUM(IS!CB54:CB56)</f>
        <v>214</v>
      </c>
      <c r="AL38" s="240">
        <f>SUM(IS!CC54:CC56)</f>
        <v>22</v>
      </c>
      <c r="AM38" s="240">
        <f>SUM(IS!CD54:CD56)</f>
        <v>28</v>
      </c>
      <c r="AN38" s="240">
        <f>SUM(IS!CE54:CE56)</f>
        <v>39</v>
      </c>
      <c r="AO38" s="240">
        <f>SUM(IS!CF54:CF56)</f>
        <v>32</v>
      </c>
      <c r="AP38" s="239">
        <f>SUM(IS!CG54:CG56)</f>
        <v>121</v>
      </c>
      <c r="AQ38" s="240">
        <f>SUM(IS!CH54:CH56)</f>
        <v>18</v>
      </c>
      <c r="AR38" s="240">
        <f>SUM(IS!CI54:CI56)</f>
        <v>23</v>
      </c>
      <c r="AS38" s="240">
        <f>SUM(IS!CJ54:CJ56)</f>
        <v>27</v>
      </c>
      <c r="AT38" s="240">
        <f>SUM(IS!CK54:CK56)</f>
        <v>54</v>
      </c>
      <c r="AU38" s="239">
        <f>SUM(IS!CL54:CL56)</f>
        <v>122</v>
      </c>
      <c r="AV38" s="2064">
        <f>SUM(IS!CM54:CM56)</f>
        <v>23</v>
      </c>
      <c r="AW38" s="2064">
        <f>SUM(IS!CN54:CN56)</f>
        <v>25</v>
      </c>
      <c r="AX38" s="2064">
        <f>SUM(IS!CO54:CO56)</f>
        <v>32.647428731134717</v>
      </c>
      <c r="AY38" s="2064">
        <f>SUM(IS!CP54:CP56)</f>
        <v>29.775712688652881</v>
      </c>
      <c r="AZ38" s="239">
        <f>SUM(IS!CQ54:CQ56)</f>
        <v>110.42314141978758</v>
      </c>
      <c r="BA38" s="2064">
        <f>SUM(IS!CR54:CR56)</f>
        <v>36.197188955096273</v>
      </c>
      <c r="BB38" s="2064">
        <f>SUM(IS!CS54:CS56)</f>
        <v>39.846116935502273</v>
      </c>
      <c r="BC38" s="2064">
        <f>SUM(IS!CT54:CT56)</f>
        <v>46.868129013193247</v>
      </c>
      <c r="BD38" s="2064">
        <f>SUM(IS!CU54:CU56)</f>
        <v>51.068156713193332</v>
      </c>
      <c r="BE38" s="239">
        <f>SUM(IS!CV54:CV56)</f>
        <v>173.97959161698512</v>
      </c>
      <c r="BF38" s="239">
        <f>SUM(IS!CW54:CW56)</f>
        <v>262.52694470556992</v>
      </c>
      <c r="BG38" s="147"/>
      <c r="BH38" s="147"/>
      <c r="BI38" s="147"/>
      <c r="BJ38" s="147"/>
      <c r="BK38" s="147"/>
      <c r="BL38" s="147"/>
      <c r="BM38" s="147"/>
      <c r="BN38" s="147"/>
      <c r="BO38" s="147"/>
      <c r="BP38" s="147"/>
      <c r="BQ38" s="147"/>
      <c r="BR38" s="147"/>
      <c r="BS38" s="147"/>
      <c r="BT38" s="147"/>
      <c r="BU38" s="147"/>
      <c r="BV38" s="147"/>
    </row>
    <row r="39" spans="1:74">
      <c r="A39" s="238"/>
      <c r="B39" s="237"/>
      <c r="C39" s="153"/>
      <c r="D39" s="153"/>
      <c r="E39" s="153"/>
      <c r="F39" s="153"/>
      <c r="G39" s="237"/>
      <c r="H39" s="153"/>
      <c r="I39" s="153"/>
      <c r="J39" s="153"/>
      <c r="K39" s="153"/>
      <c r="L39" s="237"/>
      <c r="M39" s="153"/>
      <c r="N39" s="153"/>
      <c r="O39" s="153"/>
      <c r="P39" s="153"/>
      <c r="Q39" s="237"/>
      <c r="R39" s="153"/>
      <c r="S39" s="153"/>
      <c r="T39" s="153"/>
      <c r="U39" s="153"/>
      <c r="V39" s="237"/>
      <c r="W39" s="153"/>
      <c r="X39" s="153"/>
      <c r="Y39" s="153"/>
      <c r="Z39" s="153"/>
      <c r="AA39" s="237"/>
      <c r="AB39" s="153"/>
      <c r="AC39" s="153"/>
      <c r="AD39" s="153"/>
      <c r="AE39" s="153"/>
      <c r="AF39" s="237"/>
      <c r="AG39" s="153"/>
      <c r="AH39" s="153"/>
      <c r="AI39" s="153"/>
      <c r="AJ39" s="153"/>
      <c r="AK39" s="237"/>
      <c r="AL39" s="153"/>
      <c r="AM39" s="153"/>
      <c r="AN39" s="153"/>
      <c r="AO39" s="153"/>
      <c r="AP39" s="237"/>
      <c r="AQ39" s="153"/>
      <c r="AR39" s="153"/>
      <c r="AS39" s="153"/>
      <c r="AT39" s="153"/>
      <c r="AU39" s="237"/>
      <c r="AV39" s="2033"/>
      <c r="AW39" s="2033"/>
      <c r="AX39" s="2033"/>
      <c r="AY39" s="2033"/>
      <c r="AZ39" s="237"/>
      <c r="BA39" s="2033"/>
      <c r="BB39" s="2033"/>
      <c r="BC39" s="2033"/>
      <c r="BD39" s="2033"/>
      <c r="BE39" s="237"/>
      <c r="BF39" s="237"/>
      <c r="BG39" s="147"/>
      <c r="BH39" s="147"/>
      <c r="BI39" s="147"/>
      <c r="BJ39" s="147"/>
      <c r="BK39" s="147"/>
      <c r="BL39" s="147"/>
      <c r="BM39" s="147"/>
      <c r="BN39" s="147"/>
      <c r="BO39" s="147"/>
      <c r="BP39" s="147"/>
      <c r="BQ39" s="147"/>
      <c r="BR39" s="147"/>
      <c r="BS39" s="147"/>
      <c r="BT39" s="147"/>
      <c r="BU39" s="147"/>
      <c r="BV39" s="147"/>
    </row>
    <row r="40" spans="1:74">
      <c r="A40" s="224" t="s">
        <v>111</v>
      </c>
      <c r="B40" s="172">
        <f>IS!AS63</f>
        <v>6384</v>
      </c>
      <c r="C40" s="173">
        <f>IS!AT63</f>
        <v>1509</v>
      </c>
      <c r="D40" s="173">
        <f>IS!AU63</f>
        <v>1923</v>
      </c>
      <c r="E40" s="173">
        <f>IS!AV63</f>
        <v>1872</v>
      </c>
      <c r="F40" s="173">
        <f>IS!AW63</f>
        <v>1632</v>
      </c>
      <c r="G40" s="172">
        <f>IS!AX63</f>
        <v>6936</v>
      </c>
      <c r="H40" s="173">
        <f>IS!AY63</f>
        <v>1077.885</v>
      </c>
      <c r="I40" s="173">
        <f>IS!AZ63</f>
        <v>1457.61</v>
      </c>
      <c r="J40" s="173">
        <f>IS!BA63</f>
        <v>1600.33</v>
      </c>
      <c r="K40" s="173">
        <f>IS!BB63</f>
        <v>1624.41</v>
      </c>
      <c r="L40" s="172">
        <f>IS!BC63</f>
        <v>5760.2349999999997</v>
      </c>
      <c r="M40" s="173">
        <f>IS!BD63</f>
        <v>1352</v>
      </c>
      <c r="N40" s="173">
        <f>IS!BE63</f>
        <v>1733</v>
      </c>
      <c r="O40" s="173">
        <f>IS!BF63</f>
        <v>1767</v>
      </c>
      <c r="P40" s="173">
        <f>IS!BG63</f>
        <v>1686</v>
      </c>
      <c r="Q40" s="172">
        <f>IS!BH63</f>
        <v>6538</v>
      </c>
      <c r="R40" s="173">
        <f>IS!BI63</f>
        <v>1551</v>
      </c>
      <c r="S40" s="173">
        <f>IS!BJ63</f>
        <v>2009</v>
      </c>
      <c r="T40" s="173">
        <f>IS!BK63</f>
        <v>2012</v>
      </c>
      <c r="U40" s="173">
        <f>IS!BL63</f>
        <v>1778</v>
      </c>
      <c r="V40" s="172">
        <f>IS!BM63</f>
        <v>7350</v>
      </c>
      <c r="W40" s="173">
        <f>IS!BN63</f>
        <v>1584</v>
      </c>
      <c r="X40" s="173">
        <f>IS!BO63</f>
        <v>2011</v>
      </c>
      <c r="Y40" s="173">
        <f>IS!BP63</f>
        <v>1825</v>
      </c>
      <c r="Z40" s="173">
        <f>IS!BQ63</f>
        <v>1491</v>
      </c>
      <c r="AA40" s="172">
        <f>IS!BR63</f>
        <v>6911</v>
      </c>
      <c r="AB40" s="173">
        <f>IS!BS63</f>
        <v>1770</v>
      </c>
      <c r="AC40" s="173">
        <f>IS!BT63</f>
        <v>2290</v>
      </c>
      <c r="AD40" s="173">
        <f>IS!BU63</f>
        <v>2140</v>
      </c>
      <c r="AE40" s="173">
        <f>IS!BV63</f>
        <v>2112</v>
      </c>
      <c r="AF40" s="172">
        <f>IS!BW63</f>
        <v>8312</v>
      </c>
      <c r="AG40" s="173">
        <f>IS!BX63</f>
        <v>1873</v>
      </c>
      <c r="AH40" s="173">
        <f>IS!BY63</f>
        <v>2149</v>
      </c>
      <c r="AI40" s="173">
        <f>IS!BZ63</f>
        <v>2560</v>
      </c>
      <c r="AJ40" s="173">
        <f>IS!CA63</f>
        <v>2305</v>
      </c>
      <c r="AK40" s="172">
        <f>IS!CB63</f>
        <v>8887</v>
      </c>
      <c r="AL40" s="173">
        <f>IS!CC63</f>
        <v>1965</v>
      </c>
      <c r="AM40" s="173">
        <f>IS!CD63</f>
        <v>2206</v>
      </c>
      <c r="AN40" s="173">
        <f>IS!CE63</f>
        <v>2118</v>
      </c>
      <c r="AO40" s="173">
        <f>IS!CF63</f>
        <v>186</v>
      </c>
      <c r="AP40" s="172">
        <f>IS!CG63</f>
        <v>6475</v>
      </c>
      <c r="AQ40" s="173">
        <f>IS!CH63</f>
        <v>1722</v>
      </c>
      <c r="AR40" s="173">
        <f>IS!CI63</f>
        <v>2112</v>
      </c>
      <c r="AS40" s="173">
        <f>IS!CJ63</f>
        <v>2026</v>
      </c>
      <c r="AT40" s="173">
        <f>IS!CK63</f>
        <v>1273</v>
      </c>
      <c r="AU40" s="172">
        <f>IS!CL63</f>
        <v>7133</v>
      </c>
      <c r="AV40" s="2039">
        <f>IS!CM63</f>
        <v>2054</v>
      </c>
      <c r="AW40" s="2039">
        <f>IS!CN63</f>
        <v>2064</v>
      </c>
      <c r="AX40" s="2039">
        <f>IS!CO63</f>
        <v>1940</v>
      </c>
      <c r="AY40" s="2039">
        <f>IS!CP63</f>
        <v>1739.871950633933</v>
      </c>
      <c r="AZ40" s="172">
        <f>IS!CQ63</f>
        <v>7797.871950633933</v>
      </c>
      <c r="BA40" s="2039">
        <f>IS!CR63</f>
        <v>1687.1971131458104</v>
      </c>
      <c r="BB40" s="2039">
        <f>IS!CS63</f>
        <v>2094.9749802484703</v>
      </c>
      <c r="BC40" s="2039">
        <f>IS!CT63</f>
        <v>2135.8393811445603</v>
      </c>
      <c r="BD40" s="2039">
        <f>IS!CU63</f>
        <v>1908.6469530642187</v>
      </c>
      <c r="BE40" s="172">
        <f>IS!CV63</f>
        <v>7826.6584276030653</v>
      </c>
      <c r="BF40" s="172">
        <f>IS!CW63</f>
        <v>8864.125420945953</v>
      </c>
      <c r="BG40" s="161"/>
      <c r="BH40" s="161"/>
      <c r="BI40" s="161"/>
      <c r="BJ40" s="161"/>
      <c r="BK40" s="161"/>
      <c r="BL40" s="161"/>
      <c r="BM40" s="161"/>
      <c r="BN40" s="161"/>
      <c r="BO40" s="161"/>
      <c r="BP40" s="161"/>
      <c r="BQ40" s="161"/>
      <c r="BR40" s="161"/>
      <c r="BS40" s="161"/>
      <c r="BT40" s="161"/>
      <c r="BU40" s="161"/>
      <c r="BV40" s="161"/>
    </row>
    <row r="41" spans="1:74">
      <c r="A41" s="217"/>
      <c r="B41" s="160"/>
      <c r="C41" s="161"/>
      <c r="D41" s="161"/>
      <c r="E41" s="161"/>
      <c r="F41" s="161"/>
      <c r="G41" s="160"/>
      <c r="H41" s="161"/>
      <c r="I41" s="161"/>
      <c r="J41" s="161"/>
      <c r="K41" s="161"/>
      <c r="L41" s="160"/>
      <c r="M41" s="161"/>
      <c r="N41" s="161"/>
      <c r="O41" s="161"/>
      <c r="P41" s="161"/>
      <c r="Q41" s="160"/>
      <c r="R41" s="161"/>
      <c r="S41" s="161"/>
      <c r="T41" s="161"/>
      <c r="U41" s="161"/>
      <c r="V41" s="160"/>
      <c r="W41" s="161"/>
      <c r="X41" s="161"/>
      <c r="Y41" s="161"/>
      <c r="Z41" s="161"/>
      <c r="AA41" s="160"/>
      <c r="AB41" s="161"/>
      <c r="AC41" s="161"/>
      <c r="AD41" s="161"/>
      <c r="AE41" s="161"/>
      <c r="AF41" s="160"/>
      <c r="AG41" s="161"/>
      <c r="AH41" s="161"/>
      <c r="AI41" s="236"/>
      <c r="AJ41" s="161"/>
      <c r="AK41" s="160"/>
      <c r="AL41" s="161"/>
      <c r="AM41" s="161"/>
      <c r="AN41" s="161"/>
      <c r="AO41" s="161"/>
      <c r="AP41" s="160"/>
      <c r="AQ41" s="161"/>
      <c r="AR41" s="161"/>
      <c r="AS41" s="161"/>
      <c r="AT41" s="161"/>
      <c r="AU41" s="160"/>
      <c r="AV41" s="2036"/>
      <c r="AW41" s="2036"/>
      <c r="AX41" s="2036"/>
      <c r="AY41" s="2036"/>
      <c r="AZ41" s="160"/>
      <c r="BA41" s="2036"/>
      <c r="BB41" s="2036"/>
      <c r="BC41" s="2036"/>
      <c r="BD41" s="2036"/>
      <c r="BE41" s="160"/>
      <c r="BF41" s="160"/>
      <c r="BG41" s="147"/>
      <c r="BH41" s="147"/>
      <c r="BI41" s="147"/>
      <c r="BJ41" s="147"/>
      <c r="BK41" s="147"/>
      <c r="BL41" s="147"/>
      <c r="BM41" s="147"/>
      <c r="BN41" s="147"/>
      <c r="BO41" s="147"/>
      <c r="BP41" s="147"/>
      <c r="BQ41" s="147"/>
      <c r="BR41" s="147"/>
      <c r="BS41" s="147"/>
      <c r="BT41" s="147"/>
      <c r="BU41" s="147"/>
      <c r="BV41" s="147"/>
    </row>
    <row r="42" spans="1:74">
      <c r="A42" s="217" t="s">
        <v>259</v>
      </c>
      <c r="B42" s="160">
        <f>IS!AS65</f>
        <v>-1836</v>
      </c>
      <c r="C42" s="161">
        <f>IS!AT65</f>
        <v>-430</v>
      </c>
      <c r="D42" s="161">
        <f>IS!AU65</f>
        <v>-548</v>
      </c>
      <c r="E42" s="161">
        <f>IS!AV65</f>
        <v>-502</v>
      </c>
      <c r="F42" s="161">
        <f>IS!AW65</f>
        <v>-403</v>
      </c>
      <c r="G42" s="160">
        <f>IS!AX65</f>
        <v>-1883</v>
      </c>
      <c r="H42" s="161">
        <f>IS!AY65</f>
        <v>-276</v>
      </c>
      <c r="I42" s="161">
        <f>IS!AZ65</f>
        <v>-394</v>
      </c>
      <c r="J42" s="161">
        <f>IS!BA65</f>
        <v>-456</v>
      </c>
      <c r="K42" s="161">
        <f>IS!BB65</f>
        <v>-455</v>
      </c>
      <c r="L42" s="160">
        <f>IS!BC65</f>
        <v>-1581</v>
      </c>
      <c r="M42" s="161">
        <f>IS!BD65</f>
        <v>-405</v>
      </c>
      <c r="N42" s="161">
        <f>IS!BE65</f>
        <v>-521</v>
      </c>
      <c r="O42" s="161">
        <f>IS!BF65</f>
        <v>-468</v>
      </c>
      <c r="P42" s="161">
        <f>IS!BG65</f>
        <v>-433</v>
      </c>
      <c r="Q42" s="160">
        <f>IS!BH65</f>
        <v>-1827</v>
      </c>
      <c r="R42" s="161">
        <f>IS!BI65</f>
        <v>-491</v>
      </c>
      <c r="S42" s="161">
        <f>IS!BJ65</f>
        <v>-612</v>
      </c>
      <c r="T42" s="161">
        <f>IS!BK65</f>
        <v>-628</v>
      </c>
      <c r="U42" s="161">
        <f>IS!BL65</f>
        <v>-403</v>
      </c>
      <c r="V42" s="160">
        <f>IS!BM65</f>
        <v>-2134</v>
      </c>
      <c r="W42" s="161">
        <f>IS!BN65</f>
        <v>-320</v>
      </c>
      <c r="X42" s="161">
        <f>IS!BO65</f>
        <v>-453</v>
      </c>
      <c r="Y42" s="161">
        <f>IS!BP65</f>
        <v>-484</v>
      </c>
      <c r="Z42" s="161">
        <f>IS!BQ65</f>
        <v>-454</v>
      </c>
      <c r="AA42" s="160">
        <f>IS!BR65</f>
        <v>-1711</v>
      </c>
      <c r="AB42" s="161">
        <f>IS!BS65</f>
        <v>-418</v>
      </c>
      <c r="AC42" s="161">
        <f>IS!BT65</f>
        <v>-645</v>
      </c>
      <c r="AD42" s="161">
        <f>IS!BU65</f>
        <v>-614</v>
      </c>
      <c r="AE42" s="161">
        <f>IS!BV65</f>
        <v>-561</v>
      </c>
      <c r="AF42" s="160">
        <f>IS!BW65</f>
        <v>-2238</v>
      </c>
      <c r="AG42" s="161">
        <f>IS!BX65</f>
        <v>-567</v>
      </c>
      <c r="AH42" s="161">
        <f>IS!BY65</f>
        <v>-359</v>
      </c>
      <c r="AI42" s="161">
        <f>IS!BZ65</f>
        <v>-608</v>
      </c>
      <c r="AJ42" s="161">
        <f>IS!CA65</f>
        <v>-730</v>
      </c>
      <c r="AK42" s="160">
        <f>IS!CB65</f>
        <v>-2264</v>
      </c>
      <c r="AL42" s="161">
        <f>IS!CC65</f>
        <v>-526.26</v>
      </c>
      <c r="AM42" s="161">
        <f>IS!CD65</f>
        <v>-629.74</v>
      </c>
      <c r="AN42" s="161">
        <f>IS!CE65</f>
        <v>-592</v>
      </c>
      <c r="AO42" s="161">
        <f>IS!CF65</f>
        <v>-363</v>
      </c>
      <c r="AP42" s="160">
        <f>IS!CG65</f>
        <v>-2111</v>
      </c>
      <c r="AQ42" s="161">
        <f>IS!CH65</f>
        <v>-461</v>
      </c>
      <c r="AR42" s="161">
        <f>IS!CI65</f>
        <v>-593</v>
      </c>
      <c r="AS42" s="161">
        <f>IS!CJ65</f>
        <v>-492</v>
      </c>
      <c r="AT42" s="161">
        <f>IS!CK65</f>
        <v>-149</v>
      </c>
      <c r="AU42" s="160">
        <f>IS!CL65</f>
        <v>-1695</v>
      </c>
      <c r="AV42" s="2036">
        <f>IS!CM65</f>
        <v>-586</v>
      </c>
      <c r="AW42" s="2036">
        <f>IS!CN65</f>
        <v>-532</v>
      </c>
      <c r="AX42" s="2036">
        <f>IS!CO65</f>
        <v>-506</v>
      </c>
      <c r="AY42" s="2036">
        <f>IS!CP65</f>
        <v>-469.76542667116195</v>
      </c>
      <c r="AZ42" s="160">
        <f>IS!CQ65</f>
        <v>-2093.765426671162</v>
      </c>
      <c r="BA42" s="2036">
        <f>IS!CR65</f>
        <v>-455.54322054936881</v>
      </c>
      <c r="BB42" s="2036">
        <f>IS!CS65</f>
        <v>-565.64324466708706</v>
      </c>
      <c r="BC42" s="2036">
        <f>IS!CT65</f>
        <v>-576.67663290903135</v>
      </c>
      <c r="BD42" s="2036">
        <f>IS!CU65</f>
        <v>-515.33467732733902</v>
      </c>
      <c r="BE42" s="160">
        <f>IS!CV65</f>
        <v>-2113.1977754528261</v>
      </c>
      <c r="BF42" s="160">
        <f>IS!CW65</f>
        <v>-2393.3138636554054</v>
      </c>
      <c r="BG42" s="161"/>
      <c r="BH42" s="161"/>
      <c r="BI42" s="161"/>
      <c r="BJ42" s="161"/>
      <c r="BK42" s="161"/>
      <c r="BL42" s="161"/>
      <c r="BM42" s="161"/>
      <c r="BN42" s="161"/>
      <c r="BO42" s="161"/>
      <c r="BP42" s="161"/>
      <c r="BQ42" s="161"/>
      <c r="BR42" s="161"/>
      <c r="BS42" s="161"/>
      <c r="BT42" s="161"/>
      <c r="BU42" s="161"/>
      <c r="BV42" s="161"/>
    </row>
    <row r="43" spans="1:74">
      <c r="A43" s="223" t="s">
        <v>258</v>
      </c>
      <c r="B43" s="169">
        <f>IS!AS66</f>
        <v>0.28759398496240601</v>
      </c>
      <c r="C43" s="170">
        <f>IS!AT66</f>
        <v>0.28495692511597082</v>
      </c>
      <c r="D43" s="170">
        <f>IS!AU66</f>
        <v>0.28497139885595424</v>
      </c>
      <c r="E43" s="170">
        <f>IS!AV66</f>
        <v>0.26816239316239315</v>
      </c>
      <c r="F43" s="170">
        <f>IS!AW66</f>
        <v>0.24693627450980393</v>
      </c>
      <c r="G43" s="169">
        <f>IS!AX66</f>
        <v>0.27148212226066898</v>
      </c>
      <c r="H43" s="170">
        <f>IS!AY66</f>
        <v>0.25605700051489722</v>
      </c>
      <c r="I43" s="170">
        <f>IS!AZ66</f>
        <v>0.27030550009947796</v>
      </c>
      <c r="J43" s="170">
        <f>IS!BA66</f>
        <v>0.28494123087113282</v>
      </c>
      <c r="K43" s="170">
        <f>IS!BB66</f>
        <v>0.28010169846282651</v>
      </c>
      <c r="L43" s="169">
        <f>IS!BC66</f>
        <v>0.27446796875474699</v>
      </c>
      <c r="M43" s="170">
        <f>IS!BD66</f>
        <v>0.29955621301775148</v>
      </c>
      <c r="N43" s="170">
        <f>IS!BE66</f>
        <v>0.30063473744950953</v>
      </c>
      <c r="O43" s="170">
        <f>IS!BF66</f>
        <v>0.26485568760611206</v>
      </c>
      <c r="P43" s="170">
        <f>IS!BG66</f>
        <v>0.2568208778173191</v>
      </c>
      <c r="Q43" s="169">
        <f>IS!BH66</f>
        <v>0.27944325481798715</v>
      </c>
      <c r="R43" s="170">
        <f>IS!BI66</f>
        <v>0.31656995486782719</v>
      </c>
      <c r="S43" s="170">
        <f>IS!BJ66</f>
        <v>0.30462916874066698</v>
      </c>
      <c r="T43" s="170">
        <f>IS!BK66</f>
        <v>0.31212723658051689</v>
      </c>
      <c r="U43" s="170">
        <f>IS!BL66</f>
        <v>0.2266591676040495</v>
      </c>
      <c r="V43" s="169">
        <f>IS!BM66</f>
        <v>0.29034013605442177</v>
      </c>
      <c r="W43" s="170">
        <f>IS!BN66</f>
        <v>0.20202020202020202</v>
      </c>
      <c r="X43" s="170">
        <f>IS!BO66</f>
        <v>0.22526106414719047</v>
      </c>
      <c r="Y43" s="170">
        <f>IS!BP66</f>
        <v>0.2652054794520548</v>
      </c>
      <c r="Z43" s="170">
        <f>IS!BQ66</f>
        <v>0.30449362843729039</v>
      </c>
      <c r="AA43" s="169">
        <f>IS!BR66</f>
        <v>0.24757632759369122</v>
      </c>
      <c r="AB43" s="170">
        <f>IS!BS66</f>
        <v>0.23615819209039549</v>
      </c>
      <c r="AC43" s="170">
        <f>IS!BT66</f>
        <v>0.2816593886462882</v>
      </c>
      <c r="AD43" s="170">
        <f>IS!BU66</f>
        <v>0.28691588785046729</v>
      </c>
      <c r="AE43" s="170">
        <f>IS!BV66</f>
        <v>0.265625</v>
      </c>
      <c r="AF43" s="169">
        <f>IS!BW66</f>
        <v>0.26924927815206928</v>
      </c>
      <c r="AG43" s="170">
        <f>IS!BX66</f>
        <v>0.30272290443139349</v>
      </c>
      <c r="AH43" s="170">
        <f>IS!BY66</f>
        <v>0.16705444392740809</v>
      </c>
      <c r="AI43" s="170">
        <f>IS!BZ66</f>
        <v>0.23749999999999999</v>
      </c>
      <c r="AJ43" s="170">
        <f>IS!CA66</f>
        <v>0.31670281995661603</v>
      </c>
      <c r="AK43" s="169">
        <f>IS!CB66</f>
        <v>0.25475413525374141</v>
      </c>
      <c r="AL43" s="170">
        <f>IS!CC66</f>
        <v>0.26781679389312979</v>
      </c>
      <c r="AM43" s="170">
        <f>IS!CD66</f>
        <v>0.28546690843155031</v>
      </c>
      <c r="AN43" s="170">
        <f>IS!CE66</f>
        <v>0.27950897072710101</v>
      </c>
      <c r="AO43" s="170">
        <f>IS!CF66</f>
        <v>1.9516129032258065</v>
      </c>
      <c r="AP43" s="169">
        <f>IS!CG66</f>
        <v>0.326023166023166</v>
      </c>
      <c r="AQ43" s="170">
        <f>IS!CH66</f>
        <v>0.26771196283391407</v>
      </c>
      <c r="AR43" s="170">
        <f>IS!CI66</f>
        <v>0.28077651515151514</v>
      </c>
      <c r="AS43" s="170">
        <f>IS!CJ66</f>
        <v>0.24284304047384009</v>
      </c>
      <c r="AT43" s="170">
        <f>IS!CK66</f>
        <v>0.11704634721131187</v>
      </c>
      <c r="AU43" s="169">
        <f>IS!CL66</f>
        <v>0.2376279265386233</v>
      </c>
      <c r="AV43" s="2038">
        <f>IS!CM66</f>
        <v>0.28529698149951316</v>
      </c>
      <c r="AW43" s="2038">
        <f>IS!CN66</f>
        <v>0.25775193798449614</v>
      </c>
      <c r="AX43" s="2038">
        <f>IS!CO66</f>
        <v>0.26082474226804125</v>
      </c>
      <c r="AY43" s="2038">
        <f>IS!CP66</f>
        <v>0.27</v>
      </c>
      <c r="AZ43" s="169">
        <f>IS!CQ66</f>
        <v>0.26850472025267713</v>
      </c>
      <c r="BA43" s="2038">
        <f>IS!CR66</f>
        <v>0.27</v>
      </c>
      <c r="BB43" s="2038">
        <f>IS!CS66</f>
        <v>0.27</v>
      </c>
      <c r="BC43" s="2038">
        <f>IS!CT66</f>
        <v>0.27</v>
      </c>
      <c r="BD43" s="2038">
        <f>IS!CU66</f>
        <v>0.27</v>
      </c>
      <c r="BE43" s="169">
        <f>IS!CV66</f>
        <v>0.2699999999999998</v>
      </c>
      <c r="BF43" s="169">
        <f>IS!CW66</f>
        <v>0.2699999999999998</v>
      </c>
      <c r="BG43" s="220"/>
      <c r="BH43" s="220"/>
      <c r="BI43" s="220"/>
      <c r="BJ43" s="220"/>
      <c r="BK43" s="220"/>
      <c r="BL43" s="220"/>
      <c r="BM43" s="220"/>
      <c r="BN43" s="220"/>
      <c r="BO43" s="220"/>
      <c r="BP43" s="220"/>
      <c r="BQ43" s="220"/>
      <c r="BR43" s="220"/>
      <c r="BS43" s="220"/>
      <c r="BT43" s="220"/>
      <c r="BU43" s="220"/>
      <c r="BV43" s="220"/>
    </row>
    <row r="44" spans="1:74">
      <c r="A44" s="217"/>
      <c r="B44" s="201"/>
      <c r="C44" s="202"/>
      <c r="D44" s="202"/>
      <c r="E44" s="202"/>
      <c r="F44" s="202"/>
      <c r="G44" s="201"/>
      <c r="H44" s="202"/>
      <c r="I44" s="202"/>
      <c r="J44" s="202"/>
      <c r="K44" s="202"/>
      <c r="L44" s="201"/>
      <c r="M44" s="202"/>
      <c r="N44" s="202"/>
      <c r="O44" s="202"/>
      <c r="P44" s="202"/>
      <c r="Q44" s="201"/>
      <c r="R44" s="202"/>
      <c r="S44" s="202"/>
      <c r="T44" s="202"/>
      <c r="U44" s="202"/>
      <c r="V44" s="201"/>
      <c r="W44" s="202"/>
      <c r="X44" s="202"/>
      <c r="Y44" s="202"/>
      <c r="Z44" s="202"/>
      <c r="AA44" s="201"/>
      <c r="AB44" s="202"/>
      <c r="AC44" s="202"/>
      <c r="AD44" s="202"/>
      <c r="AE44" s="202"/>
      <c r="AF44" s="201"/>
      <c r="AG44" s="202"/>
      <c r="AH44" s="202"/>
      <c r="AI44" s="202"/>
      <c r="AJ44" s="202"/>
      <c r="AK44" s="201"/>
      <c r="AL44" s="202"/>
      <c r="AM44" s="202"/>
      <c r="AN44" s="202"/>
      <c r="AO44" s="202"/>
      <c r="AP44" s="201"/>
      <c r="AQ44" s="202"/>
      <c r="AR44" s="202"/>
      <c r="AS44" s="202"/>
      <c r="AT44" s="202"/>
      <c r="AU44" s="201"/>
      <c r="AV44" s="2050"/>
      <c r="AW44" s="2050"/>
      <c r="AX44" s="2050"/>
      <c r="AY44" s="2050"/>
      <c r="AZ44" s="201"/>
      <c r="BA44" s="2050"/>
      <c r="BB44" s="2050"/>
      <c r="BC44" s="2050"/>
      <c r="BD44" s="2050"/>
      <c r="BE44" s="201"/>
      <c r="BF44" s="201"/>
      <c r="BG44" s="235"/>
      <c r="BH44" s="235"/>
      <c r="BI44" s="235"/>
      <c r="BJ44" s="235"/>
      <c r="BK44" s="235"/>
      <c r="BL44" s="235"/>
      <c r="BM44" s="235"/>
      <c r="BN44" s="235"/>
      <c r="BO44" s="235"/>
      <c r="BP44" s="235"/>
      <c r="BQ44" s="235"/>
      <c r="BR44" s="235"/>
      <c r="BS44" s="235"/>
      <c r="BT44" s="235"/>
      <c r="BU44" s="235"/>
      <c r="BV44" s="235"/>
    </row>
    <row r="45" spans="1:74">
      <c r="A45" s="217" t="s">
        <v>230</v>
      </c>
      <c r="B45" s="160">
        <f>IS!AS68</f>
        <v>-324</v>
      </c>
      <c r="C45" s="161">
        <f>IS!AT68</f>
        <v>-79</v>
      </c>
      <c r="D45" s="161">
        <f>IS!AU68</f>
        <v>-100</v>
      </c>
      <c r="E45" s="161">
        <f>IS!AV68</f>
        <v>-101</v>
      </c>
      <c r="F45" s="161">
        <f>IS!AW68</f>
        <v>-84</v>
      </c>
      <c r="G45" s="160">
        <f>IS!AX68</f>
        <v>-364</v>
      </c>
      <c r="H45" s="161">
        <f>IS!AY68</f>
        <v>-77</v>
      </c>
      <c r="I45" s="161">
        <f>IS!AZ68</f>
        <v>-90</v>
      </c>
      <c r="J45" s="161">
        <f>IS!BA68</f>
        <v>-87</v>
      </c>
      <c r="K45" s="161">
        <f>IS!BB68</f>
        <v>-96</v>
      </c>
      <c r="L45" s="160">
        <f>IS!BC68</f>
        <v>-350</v>
      </c>
      <c r="M45" s="161">
        <f>IS!BD68</f>
        <v>-81</v>
      </c>
      <c r="N45" s="161">
        <f>IS!BE68</f>
        <v>-102</v>
      </c>
      <c r="O45" s="161">
        <f>IS!BF68</f>
        <v>-101</v>
      </c>
      <c r="P45" s="161">
        <f>IS!BG68</f>
        <v>-54</v>
      </c>
      <c r="Q45" s="160">
        <f>IS!BH68</f>
        <v>-338</v>
      </c>
      <c r="R45" s="161">
        <f>IS!BI68</f>
        <v>-89</v>
      </c>
      <c r="S45" s="161">
        <f>IS!BJ68</f>
        <v>-112</v>
      </c>
      <c r="T45" s="161">
        <f>IS!BK68</f>
        <v>-97</v>
      </c>
      <c r="U45" s="161">
        <f>IS!BL68</f>
        <v>-97</v>
      </c>
      <c r="V45" s="160">
        <f>IS!BM68</f>
        <v>-395</v>
      </c>
      <c r="W45" s="161">
        <f>IS!BN68</f>
        <v>-77</v>
      </c>
      <c r="X45" s="161">
        <f>IS!BO68</f>
        <v>-94</v>
      </c>
      <c r="Y45" s="161">
        <f>IS!BP68</f>
        <v>-96</v>
      </c>
      <c r="Z45" s="161">
        <f>IS!BQ68</f>
        <v>-93</v>
      </c>
      <c r="AA45" s="160">
        <f>IS!BR68</f>
        <v>-360</v>
      </c>
      <c r="AB45" s="161">
        <f>IS!BS68</f>
        <v>-82</v>
      </c>
      <c r="AC45" s="161">
        <f>IS!BT68</f>
        <v>-93</v>
      </c>
      <c r="AD45" s="161">
        <f>IS!BU68</f>
        <v>-111</v>
      </c>
      <c r="AE45" s="161">
        <f>IS!BV68</f>
        <v>-102</v>
      </c>
      <c r="AF45" s="160">
        <f>IS!BW68</f>
        <v>-388</v>
      </c>
      <c r="AG45" s="161">
        <f>IS!BX68</f>
        <v>-93</v>
      </c>
      <c r="AH45" s="161">
        <f>IS!BY68</f>
        <v>-110</v>
      </c>
      <c r="AI45" s="161">
        <f>IS!BZ68</f>
        <v>-98</v>
      </c>
      <c r="AJ45" s="161">
        <f>IS!CA68</f>
        <v>-102</v>
      </c>
      <c r="AK45" s="160">
        <f>IS!CB68</f>
        <v>-403</v>
      </c>
      <c r="AL45" s="161">
        <f>IS!CC68</f>
        <v>-72</v>
      </c>
      <c r="AM45" s="161">
        <f>IS!CD68</f>
        <v>-109</v>
      </c>
      <c r="AN45" s="161">
        <f>IS!CE68</f>
        <v>-100</v>
      </c>
      <c r="AO45" s="161">
        <f>IS!CF68</f>
        <v>-79</v>
      </c>
      <c r="AP45" s="160">
        <f>IS!CG68</f>
        <v>-360</v>
      </c>
      <c r="AQ45" s="161">
        <f>IS!CH68</f>
        <v>-81</v>
      </c>
      <c r="AR45" s="161">
        <f>IS!CI68</f>
        <v>-99</v>
      </c>
      <c r="AS45" s="161">
        <f>IS!CJ68</f>
        <v>-91</v>
      </c>
      <c r="AT45" s="161">
        <f>IS!CK68</f>
        <v>-100</v>
      </c>
      <c r="AU45" s="160">
        <f>IS!CL68</f>
        <v>-371</v>
      </c>
      <c r="AV45" s="2036">
        <f>IS!CM68</f>
        <v>-82</v>
      </c>
      <c r="AW45" s="2036">
        <f>IS!CN68</f>
        <v>-93</v>
      </c>
      <c r="AX45" s="2036">
        <f>IS!CO68</f>
        <v>-104</v>
      </c>
      <c r="AY45" s="2036">
        <f>IS!CP68</f>
        <v>-96.979185390892525</v>
      </c>
      <c r="AZ45" s="160">
        <f>IS!CQ68</f>
        <v>-375.97918539089255</v>
      </c>
      <c r="BA45" s="2036">
        <f>IS!CR68</f>
        <v>-84.452178034080163</v>
      </c>
      <c r="BB45" s="2036">
        <f>IS!CS68</f>
        <v>-95.630842300158534</v>
      </c>
      <c r="BC45" s="2036">
        <f>IS!CT68</f>
        <v>-108.51710420381875</v>
      </c>
      <c r="BD45" s="2036">
        <f>IS!CU68</f>
        <v>-96.642357678058886</v>
      </c>
      <c r="BE45" s="160">
        <f>IS!CV68</f>
        <v>-385.31859888055311</v>
      </c>
      <c r="BF45" s="160">
        <f>IS!CW68</f>
        <v>-397.88287125568939</v>
      </c>
      <c r="BG45" s="235"/>
      <c r="BH45" s="235"/>
      <c r="BI45" s="235"/>
      <c r="BJ45" s="235"/>
      <c r="BK45" s="235"/>
      <c r="BL45" s="235"/>
      <c r="BM45" s="235"/>
      <c r="BN45" s="235"/>
      <c r="BO45" s="235"/>
      <c r="BP45" s="235"/>
      <c r="BQ45" s="235"/>
      <c r="BR45" s="235"/>
      <c r="BS45" s="235"/>
      <c r="BT45" s="235"/>
      <c r="BU45" s="235"/>
      <c r="BV45" s="235"/>
    </row>
    <row r="46" spans="1:74">
      <c r="A46" s="217"/>
      <c r="B46" s="157"/>
      <c r="C46" s="147"/>
      <c r="D46" s="147"/>
      <c r="E46" s="147"/>
      <c r="F46" s="147"/>
      <c r="G46" s="157"/>
      <c r="H46" s="147"/>
      <c r="I46" s="147"/>
      <c r="J46" s="147"/>
      <c r="K46" s="147"/>
      <c r="L46" s="157"/>
      <c r="M46" s="147"/>
      <c r="N46" s="147"/>
      <c r="O46" s="147"/>
      <c r="P46" s="147"/>
      <c r="Q46" s="157"/>
      <c r="R46" s="147"/>
      <c r="S46" s="147"/>
      <c r="T46" s="147"/>
      <c r="U46" s="147"/>
      <c r="V46" s="157"/>
      <c r="W46" s="147"/>
      <c r="X46" s="147"/>
      <c r="Y46" s="147"/>
      <c r="Z46" s="147"/>
      <c r="AA46" s="157"/>
      <c r="AB46" s="147"/>
      <c r="AC46" s="147"/>
      <c r="AD46" s="147"/>
      <c r="AE46" s="147"/>
      <c r="AF46" s="157"/>
      <c r="AG46" s="147"/>
      <c r="AH46" s="147"/>
      <c r="AI46" s="147"/>
      <c r="AJ46" s="147"/>
      <c r="AK46" s="157"/>
      <c r="AL46" s="147"/>
      <c r="AM46" s="147"/>
      <c r="AN46" s="147"/>
      <c r="AO46" s="147"/>
      <c r="AP46" s="157"/>
      <c r="AQ46" s="147"/>
      <c r="AR46" s="147"/>
      <c r="AS46" s="147"/>
      <c r="AT46" s="147"/>
      <c r="AU46" s="157"/>
      <c r="AV46" s="2030"/>
      <c r="AW46" s="2030"/>
      <c r="AX46" s="2030"/>
      <c r="AY46" s="2030"/>
      <c r="AZ46" s="157"/>
      <c r="BA46" s="2030"/>
      <c r="BB46" s="2030"/>
      <c r="BC46" s="2030"/>
      <c r="BD46" s="2030"/>
      <c r="BE46" s="157"/>
      <c r="BF46" s="157"/>
      <c r="BG46" s="147"/>
      <c r="BH46" s="147"/>
      <c r="BI46" s="147"/>
      <c r="BJ46" s="147"/>
      <c r="BK46" s="147"/>
      <c r="BL46" s="147"/>
      <c r="BM46" s="147"/>
      <c r="BN46" s="147"/>
      <c r="BO46" s="147"/>
      <c r="BP46" s="147"/>
      <c r="BQ46" s="147"/>
      <c r="BR46" s="147"/>
      <c r="BS46" s="147"/>
      <c r="BT46" s="147"/>
      <c r="BU46" s="147"/>
      <c r="BV46" s="147"/>
    </row>
    <row r="47" spans="1:74">
      <c r="A47" s="234" t="s">
        <v>257</v>
      </c>
      <c r="B47" s="176">
        <f>IS!AS70</f>
        <v>4224</v>
      </c>
      <c r="C47" s="177">
        <f>IS!AT70</f>
        <v>1000</v>
      </c>
      <c r="D47" s="177">
        <f>IS!AU70</f>
        <v>1275</v>
      </c>
      <c r="E47" s="177">
        <f>IS!AV70</f>
        <v>1269</v>
      </c>
      <c r="F47" s="177">
        <f>IS!AW70</f>
        <v>1145</v>
      </c>
      <c r="G47" s="176">
        <f>IS!AX70</f>
        <v>4689</v>
      </c>
      <c r="H47" s="177">
        <f>IS!AY70</f>
        <v>724.88499999999999</v>
      </c>
      <c r="I47" s="177">
        <f>IS!AZ70</f>
        <v>973.6099999999999</v>
      </c>
      <c r="J47" s="177">
        <f>IS!BA70</f>
        <v>1057.33</v>
      </c>
      <c r="K47" s="177">
        <f>IS!BB70</f>
        <v>1073.4100000000001</v>
      </c>
      <c r="L47" s="176">
        <f>IS!BC70</f>
        <v>3829.2349999999997</v>
      </c>
      <c r="M47" s="177">
        <f>IS!BD70</f>
        <v>866</v>
      </c>
      <c r="N47" s="177">
        <f>IS!BE70</f>
        <v>1110</v>
      </c>
      <c r="O47" s="177">
        <f>IS!BF70</f>
        <v>1198</v>
      </c>
      <c r="P47" s="177">
        <f>IS!BG70</f>
        <v>1199</v>
      </c>
      <c r="Q47" s="176">
        <f>IS!BH70</f>
        <v>4373</v>
      </c>
      <c r="R47" s="177">
        <f>IS!BI70</f>
        <v>971</v>
      </c>
      <c r="S47" s="177">
        <f>IS!BJ70</f>
        <v>1285</v>
      </c>
      <c r="T47" s="177">
        <f>IS!BK70</f>
        <v>1287</v>
      </c>
      <c r="U47" s="177">
        <f>IS!BL70</f>
        <v>1278</v>
      </c>
      <c r="V47" s="176">
        <f>IS!BM70</f>
        <v>4821</v>
      </c>
      <c r="W47" s="177">
        <f>IS!BN70</f>
        <v>1187</v>
      </c>
      <c r="X47" s="177">
        <f>IS!BO70</f>
        <v>1464</v>
      </c>
      <c r="Y47" s="177">
        <f>IS!BP70</f>
        <v>1245</v>
      </c>
      <c r="Z47" s="177">
        <f>IS!BQ70</f>
        <v>944</v>
      </c>
      <c r="AA47" s="176">
        <f>IS!BR70</f>
        <v>4840</v>
      </c>
      <c r="AB47" s="177">
        <f>IS!BS70</f>
        <v>1270</v>
      </c>
      <c r="AC47" s="177">
        <f>IS!BT70</f>
        <v>1552</v>
      </c>
      <c r="AD47" s="177">
        <f>IS!BU70</f>
        <v>1415</v>
      </c>
      <c r="AE47" s="177">
        <f>IS!BV70</f>
        <v>1449</v>
      </c>
      <c r="AF47" s="176">
        <f>IS!BW70</f>
        <v>5686</v>
      </c>
      <c r="AG47" s="177">
        <f>IS!BX70</f>
        <v>1213</v>
      </c>
      <c r="AH47" s="177">
        <f>IS!BY70</f>
        <v>1680</v>
      </c>
      <c r="AI47" s="177">
        <f>IS!BZ70</f>
        <v>1854</v>
      </c>
      <c r="AJ47" s="177">
        <f>IS!CA70</f>
        <v>1473</v>
      </c>
      <c r="AK47" s="176">
        <f>IS!CB70</f>
        <v>6220</v>
      </c>
      <c r="AL47" s="177">
        <f>IS!CC70</f>
        <v>1366.74</v>
      </c>
      <c r="AM47" s="177">
        <f>IS!CD70</f>
        <v>1467.26</v>
      </c>
      <c r="AN47" s="177">
        <f>IS!CE70</f>
        <v>1426</v>
      </c>
      <c r="AO47" s="177">
        <f>IS!CF70</f>
        <v>-256</v>
      </c>
      <c r="AP47" s="176">
        <f>IS!CG70</f>
        <v>4004</v>
      </c>
      <c r="AQ47" s="177">
        <f>IS!CH70</f>
        <v>1180</v>
      </c>
      <c r="AR47" s="177">
        <f>IS!CI70</f>
        <v>1420</v>
      </c>
      <c r="AS47" s="177">
        <f>IS!CJ70</f>
        <v>1443</v>
      </c>
      <c r="AT47" s="177">
        <f>IS!CK70</f>
        <v>1024</v>
      </c>
      <c r="AU47" s="176">
        <f>IS!CL70</f>
        <v>5067</v>
      </c>
      <c r="AV47" s="2040">
        <f>IS!CM70</f>
        <v>1386</v>
      </c>
      <c r="AW47" s="2040">
        <f>IS!CN70</f>
        <v>1439</v>
      </c>
      <c r="AX47" s="2040">
        <f>IS!CO70</f>
        <v>1330</v>
      </c>
      <c r="AY47" s="2040">
        <f>IS!CP70</f>
        <v>1173.1273385718785</v>
      </c>
      <c r="AZ47" s="176">
        <f>IS!CQ70</f>
        <v>5328.1273385718787</v>
      </c>
      <c r="BA47" s="2040">
        <f>IS!CR70</f>
        <v>1147.2017145623613</v>
      </c>
      <c r="BB47" s="2040">
        <f>IS!CS70</f>
        <v>1433.7008932812248</v>
      </c>
      <c r="BC47" s="2040">
        <f>IS!CT70</f>
        <v>1450.6456440317102</v>
      </c>
      <c r="BD47" s="2040">
        <f>IS!CU70</f>
        <v>1296.6699180588207</v>
      </c>
      <c r="BE47" s="176">
        <f>IS!CV70</f>
        <v>5328.1420532696857</v>
      </c>
      <c r="BF47" s="176">
        <f>IS!CW70</f>
        <v>6072.9286860348584</v>
      </c>
      <c r="BG47" s="161"/>
      <c r="BH47" s="161"/>
      <c r="BI47" s="161"/>
      <c r="BJ47" s="161"/>
      <c r="BK47" s="161"/>
      <c r="BL47" s="161"/>
      <c r="BM47" s="161"/>
      <c r="BN47" s="161"/>
      <c r="BO47" s="161"/>
      <c r="BP47" s="161"/>
      <c r="BQ47" s="161"/>
      <c r="BR47" s="161"/>
      <c r="BS47" s="161"/>
      <c r="BT47" s="161"/>
      <c r="BU47" s="161"/>
      <c r="BV47" s="161"/>
    </row>
    <row r="48" spans="1:74">
      <c r="A48" s="233"/>
      <c r="B48" s="231"/>
      <c r="C48" s="232"/>
      <c r="D48" s="232"/>
      <c r="E48" s="232"/>
      <c r="F48" s="232"/>
      <c r="G48" s="231"/>
      <c r="H48" s="232"/>
      <c r="I48" s="232"/>
      <c r="J48" s="232"/>
      <c r="K48" s="232"/>
      <c r="L48" s="231"/>
      <c r="M48" s="232"/>
      <c r="N48" s="232"/>
      <c r="O48" s="232"/>
      <c r="P48" s="232"/>
      <c r="Q48" s="231"/>
      <c r="R48" s="232"/>
      <c r="S48" s="232"/>
      <c r="T48" s="232"/>
      <c r="U48" s="232"/>
      <c r="V48" s="231"/>
      <c r="W48" s="232"/>
      <c r="X48" s="232"/>
      <c r="Y48" s="232"/>
      <c r="Z48" s="232"/>
      <c r="AA48" s="231"/>
      <c r="AB48" s="232"/>
      <c r="AC48" s="232"/>
      <c r="AD48" s="232"/>
      <c r="AE48" s="232"/>
      <c r="AF48" s="231"/>
      <c r="AG48" s="232"/>
      <c r="AH48" s="232"/>
      <c r="AI48" s="232"/>
      <c r="AJ48" s="232"/>
      <c r="AK48" s="231"/>
      <c r="AL48" s="232"/>
      <c r="AM48" s="232"/>
      <c r="AN48" s="232"/>
      <c r="AO48" s="232"/>
      <c r="AP48" s="231"/>
      <c r="AQ48" s="232"/>
      <c r="AR48" s="232"/>
      <c r="AS48" s="232"/>
      <c r="AT48" s="232"/>
      <c r="AU48" s="231"/>
      <c r="AV48" s="2063"/>
      <c r="AW48" s="2063"/>
      <c r="AX48" s="2063"/>
      <c r="AY48" s="2063"/>
      <c r="AZ48" s="231"/>
      <c r="BA48" s="2063"/>
      <c r="BB48" s="2063"/>
      <c r="BC48" s="2063"/>
      <c r="BD48" s="2063"/>
      <c r="BE48" s="231"/>
      <c r="BF48" s="231"/>
      <c r="BG48" s="161"/>
      <c r="BH48" s="161"/>
      <c r="BI48" s="161"/>
      <c r="BJ48" s="161"/>
      <c r="BK48" s="161"/>
      <c r="BL48" s="161"/>
      <c r="BM48" s="161"/>
      <c r="BN48" s="161"/>
      <c r="BO48" s="161"/>
      <c r="BP48" s="161"/>
      <c r="BQ48" s="161"/>
      <c r="BR48" s="161"/>
      <c r="BS48" s="161"/>
      <c r="BT48" s="161"/>
      <c r="BU48" s="161"/>
      <c r="BV48" s="161"/>
    </row>
    <row r="49" spans="1:74">
      <c r="A49" s="230" t="s">
        <v>100</v>
      </c>
      <c r="B49" s="228">
        <f>IS!AS99</f>
        <v>989</v>
      </c>
      <c r="C49" s="229">
        <f>IS!AT99</f>
        <v>975</v>
      </c>
      <c r="D49" s="229">
        <f>IS!AU99</f>
        <v>966</v>
      </c>
      <c r="E49" s="229">
        <f>IS!AV99</f>
        <v>951</v>
      </c>
      <c r="F49" s="229">
        <f>IS!AW99</f>
        <v>933</v>
      </c>
      <c r="G49" s="228">
        <f>IS!AX99</f>
        <v>956</v>
      </c>
      <c r="H49" s="229">
        <f>IS!AY99</f>
        <v>926</v>
      </c>
      <c r="I49" s="229">
        <f>IS!AZ99</f>
        <v>929</v>
      </c>
      <c r="J49" s="229">
        <f>IS!BA99</f>
        <v>929</v>
      </c>
      <c r="K49" s="229">
        <f>IS!BB99</f>
        <v>931</v>
      </c>
      <c r="L49" s="228">
        <f>IS!BC99</f>
        <v>929</v>
      </c>
      <c r="M49" s="229">
        <f>IS!BD99</f>
        <v>929</v>
      </c>
      <c r="N49" s="229">
        <f>IS!BE99</f>
        <v>925</v>
      </c>
      <c r="O49" s="229">
        <f>IS!BF99</f>
        <v>919</v>
      </c>
      <c r="P49" s="229">
        <f>IS!BG99</f>
        <v>916</v>
      </c>
      <c r="Q49" s="228">
        <f>IS!BH99</f>
        <v>922.7</v>
      </c>
      <c r="R49" s="229">
        <f>IS!BI99</f>
        <v>914.9</v>
      </c>
      <c r="S49" s="229">
        <f>IS!BJ99</f>
        <v>909.8</v>
      </c>
      <c r="T49" s="229">
        <f>IS!BK99</f>
        <v>901.9</v>
      </c>
      <c r="U49" s="229">
        <f>IS!BL99</f>
        <v>899</v>
      </c>
      <c r="V49" s="228">
        <f>IS!BM99</f>
        <v>906.8</v>
      </c>
      <c r="W49" s="229">
        <f>IS!BN99</f>
        <v>903.9</v>
      </c>
      <c r="X49" s="229">
        <f>IS!BO99</f>
        <v>904.8</v>
      </c>
      <c r="Y49" s="229">
        <f>IS!BP99</f>
        <v>907.2</v>
      </c>
      <c r="Z49" s="229">
        <f>IS!BQ99</f>
        <v>911</v>
      </c>
      <c r="AA49" s="228">
        <f>IS!BR99</f>
        <v>906.6</v>
      </c>
      <c r="AB49" s="229">
        <f>IS!BS99</f>
        <v>914</v>
      </c>
      <c r="AC49" s="229">
        <f>IS!BT99</f>
        <v>914</v>
      </c>
      <c r="AD49" s="229">
        <f>IS!BU99</f>
        <v>915.5</v>
      </c>
      <c r="AE49" s="229">
        <f>IS!BV99</f>
        <v>917</v>
      </c>
      <c r="AF49" s="228">
        <f>IS!BW99</f>
        <v>915.125</v>
      </c>
      <c r="AG49" s="229">
        <f>IS!BX99</f>
        <v>917</v>
      </c>
      <c r="AH49" s="229">
        <f>IS!BY99</f>
        <v>915</v>
      </c>
      <c r="AI49" s="229">
        <f>IS!BZ99</f>
        <v>910</v>
      </c>
      <c r="AJ49" s="229">
        <f>IS!CA99</f>
        <v>907</v>
      </c>
      <c r="AK49" s="228">
        <f>IS!CB99</f>
        <v>912.25</v>
      </c>
      <c r="AL49" s="229">
        <f>IS!CC99</f>
        <v>904</v>
      </c>
      <c r="AM49" s="229">
        <f>IS!CD99</f>
        <v>889</v>
      </c>
      <c r="AN49" s="229">
        <f>IS!CE99</f>
        <v>885</v>
      </c>
      <c r="AO49" s="229">
        <f>IS!CF99</f>
        <v>850</v>
      </c>
      <c r="AP49" s="228">
        <f>IS!CG99</f>
        <v>882</v>
      </c>
      <c r="AQ49" s="229">
        <f>IS!CH99</f>
        <v>831</v>
      </c>
      <c r="AR49" s="229">
        <f>IS!CI99</f>
        <v>832.5</v>
      </c>
      <c r="AS49" s="229">
        <f>IS!CJ99</f>
        <v>831</v>
      </c>
      <c r="AT49" s="229">
        <f>IS!CK99</f>
        <v>810</v>
      </c>
      <c r="AU49" s="228">
        <f>IS!CL99</f>
        <v>826.125</v>
      </c>
      <c r="AV49" s="2062">
        <f>IS!CM99</f>
        <v>802</v>
      </c>
      <c r="AW49" s="2062">
        <f>IS!CN99</f>
        <v>798</v>
      </c>
      <c r="AX49" s="2062">
        <f>IS!CO99</f>
        <v>797</v>
      </c>
      <c r="AY49" s="2062">
        <f>IS!CP99</f>
        <v>798.12062889116487</v>
      </c>
      <c r="AZ49" s="228">
        <f>IS!CQ99</f>
        <v>798.78015722279122</v>
      </c>
      <c r="BA49" s="2062">
        <f>IS!CR99</f>
        <v>799.54521851616482</v>
      </c>
      <c r="BB49" s="2062">
        <f>IS!CS99</f>
        <v>801.51711876616491</v>
      </c>
      <c r="BC49" s="2062">
        <f>IS!CT99</f>
        <v>803.48901901616478</v>
      </c>
      <c r="BD49" s="2062">
        <f>IS!CU99</f>
        <v>805.46091926616486</v>
      </c>
      <c r="BE49" s="228">
        <f>IS!CV99</f>
        <v>802.50306889116473</v>
      </c>
      <c r="BF49" s="228">
        <f>IS!CW99</f>
        <v>810.39066989116463</v>
      </c>
      <c r="BG49" s="227"/>
      <c r="BH49" s="227"/>
      <c r="BI49" s="227"/>
      <c r="BJ49" s="227"/>
      <c r="BK49" s="227"/>
      <c r="BL49" s="227"/>
      <c r="BM49" s="227"/>
      <c r="BN49" s="227"/>
      <c r="BO49" s="227"/>
      <c r="BP49" s="227"/>
      <c r="BQ49" s="227"/>
      <c r="BR49" s="227"/>
      <c r="BS49" s="227"/>
      <c r="BT49" s="227"/>
      <c r="BU49" s="227"/>
      <c r="BV49" s="227"/>
    </row>
    <row r="50" spans="1:74">
      <c r="A50" s="217"/>
      <c r="B50" s="157"/>
      <c r="C50" s="147"/>
      <c r="D50" s="147"/>
      <c r="E50" s="147"/>
      <c r="F50" s="147"/>
      <c r="G50" s="157"/>
      <c r="H50" s="147"/>
      <c r="I50" s="147"/>
      <c r="J50" s="147"/>
      <c r="K50" s="147"/>
      <c r="L50" s="157"/>
      <c r="M50" s="147"/>
      <c r="N50" s="147"/>
      <c r="O50" s="147"/>
      <c r="P50" s="147"/>
      <c r="Q50" s="157"/>
      <c r="R50" s="147"/>
      <c r="S50" s="147"/>
      <c r="T50" s="147"/>
      <c r="U50" s="147"/>
      <c r="V50" s="157"/>
      <c r="W50" s="147"/>
      <c r="X50" s="147"/>
      <c r="Y50" s="147"/>
      <c r="Z50" s="147"/>
      <c r="AA50" s="157"/>
      <c r="AB50" s="147"/>
      <c r="AC50" s="147"/>
      <c r="AD50" s="147"/>
      <c r="AE50" s="147"/>
      <c r="AF50" s="157"/>
      <c r="AG50" s="147"/>
      <c r="AH50" s="147"/>
      <c r="AI50" s="147"/>
      <c r="AJ50" s="147"/>
      <c r="AK50" s="157"/>
      <c r="AL50" s="147"/>
      <c r="AM50" s="147"/>
      <c r="AN50" s="147"/>
      <c r="AO50" s="147"/>
      <c r="AP50" s="157"/>
      <c r="AQ50" s="147"/>
      <c r="AR50" s="147"/>
      <c r="AS50" s="147"/>
      <c r="AT50" s="147"/>
      <c r="AU50" s="157"/>
      <c r="AV50" s="2030"/>
      <c r="AW50" s="2030"/>
      <c r="AX50" s="2030"/>
      <c r="AY50" s="2030"/>
      <c r="AZ50" s="157"/>
      <c r="BA50" s="2030"/>
      <c r="BB50" s="2030"/>
      <c r="BC50" s="2030"/>
      <c r="BD50" s="2030"/>
      <c r="BE50" s="157"/>
      <c r="BF50" s="157"/>
      <c r="BG50" s="147"/>
      <c r="BH50" s="147"/>
      <c r="BI50" s="147"/>
      <c r="BJ50" s="147"/>
      <c r="BK50" s="147"/>
      <c r="BL50" s="147"/>
      <c r="BM50" s="147"/>
      <c r="BN50" s="147"/>
      <c r="BO50" s="147"/>
      <c r="BP50" s="147"/>
      <c r="BQ50" s="147"/>
      <c r="BR50" s="147"/>
      <c r="BS50" s="147"/>
      <c r="BT50" s="147"/>
      <c r="BU50" s="147"/>
      <c r="BV50" s="147"/>
    </row>
    <row r="51" spans="1:74">
      <c r="A51" s="226" t="s">
        <v>142</v>
      </c>
      <c r="B51" s="225">
        <f>IS!AS83</f>
        <v>4.2709807886754296</v>
      </c>
      <c r="C51" s="226">
        <f>IS!AT83</f>
        <v>1.0256410256410255</v>
      </c>
      <c r="D51" s="226">
        <f>IS!AU83</f>
        <v>1.3198757763975155</v>
      </c>
      <c r="E51" s="226">
        <f>IS!AV83</f>
        <v>1.334384858044164</v>
      </c>
      <c r="F51" s="226">
        <f>IS!AW83</f>
        <v>1.227224008574491</v>
      </c>
      <c r="G51" s="225">
        <f>IS!AX83</f>
        <v>4.9048117154811717</v>
      </c>
      <c r="H51" s="226">
        <f>IS!AY83</f>
        <v>0.78281317494600433</v>
      </c>
      <c r="I51" s="226">
        <f>IS!AZ83</f>
        <v>1.0480193756727663</v>
      </c>
      <c r="J51" s="226">
        <f>IS!BA83</f>
        <v>1.1381377825618944</v>
      </c>
      <c r="K51" s="226">
        <f>IS!BB83</f>
        <v>1.1529645542427498</v>
      </c>
      <c r="L51" s="225">
        <f>IS!BC83</f>
        <v>4.1218891280947254</v>
      </c>
      <c r="M51" s="226">
        <f>IS!BD83</f>
        <v>0.9321851453175457</v>
      </c>
      <c r="N51" s="226">
        <f>IS!BE83</f>
        <v>1.2</v>
      </c>
      <c r="O51" s="226">
        <f>IS!BF83</f>
        <v>1.3035908596300327</v>
      </c>
      <c r="P51" s="226">
        <f>IS!BG83</f>
        <v>1.3089519650655022</v>
      </c>
      <c r="Q51" s="225">
        <f>IS!BH83</f>
        <v>4.7393519020266606</v>
      </c>
      <c r="R51" s="226">
        <f>IS!BI83</f>
        <v>1.0613181768499289</v>
      </c>
      <c r="S51" s="226">
        <f>IS!BJ83</f>
        <v>1.4123983293031437</v>
      </c>
      <c r="T51" s="226">
        <f>IS!BK83</f>
        <v>1.4269874708947776</v>
      </c>
      <c r="U51" s="226">
        <f>IS!BL83</f>
        <v>1.421579532814238</v>
      </c>
      <c r="V51" s="225">
        <f>IS!BM83</f>
        <v>5.3164975738861937</v>
      </c>
      <c r="W51" s="226">
        <f>IS!BN83</f>
        <v>1.3131983626507358</v>
      </c>
      <c r="X51" s="226">
        <f>IS!BO83</f>
        <v>1.6180371352785146</v>
      </c>
      <c r="Y51" s="226">
        <f>IS!BP83</f>
        <v>1.3723544973544972</v>
      </c>
      <c r="Z51" s="226">
        <f>IS!BQ83</f>
        <v>1.0362239297475302</v>
      </c>
      <c r="AA51" s="225">
        <f>IS!BR83</f>
        <v>5.3386278402823732</v>
      </c>
      <c r="AB51" s="226">
        <f>IS!BS83</f>
        <v>1.3894967177242887</v>
      </c>
      <c r="AC51" s="226">
        <f>IS!BT83</f>
        <v>1.6980306345733041</v>
      </c>
      <c r="AD51" s="226">
        <f>IS!BU83</f>
        <v>1.545603495357728</v>
      </c>
      <c r="AE51" s="226">
        <f>IS!BV83</f>
        <v>1.5801526717557253</v>
      </c>
      <c r="AF51" s="225">
        <f>IS!BW83</f>
        <v>6.213358830760825</v>
      </c>
      <c r="AG51" s="226">
        <f>IS!BX83</f>
        <v>1.3227917121046893</v>
      </c>
      <c r="AH51" s="226">
        <f>IS!BY83</f>
        <v>1.8360655737704918</v>
      </c>
      <c r="AI51" s="226">
        <f>IS!BZ83</f>
        <v>2.0373626373626372</v>
      </c>
      <c r="AJ51" s="226">
        <f>IS!CA83</f>
        <v>1.6240352811466372</v>
      </c>
      <c r="AK51" s="225">
        <f>IS!CB83</f>
        <v>6.8183063853110442</v>
      </c>
      <c r="AL51" s="226">
        <f>IS!CC83</f>
        <v>1.4421902654867256</v>
      </c>
      <c r="AM51" s="226">
        <f>IS!CD83</f>
        <v>1.6999550056242969</v>
      </c>
      <c r="AN51" s="226">
        <f>IS!CE83</f>
        <v>1.6707297685162954</v>
      </c>
      <c r="AO51" s="226">
        <f>IS!CF83</f>
        <v>1.5270588235294118</v>
      </c>
      <c r="AP51" s="225">
        <f>IS!CG83</f>
        <v>6.3396778289534259</v>
      </c>
      <c r="AQ51" s="226">
        <f>IS!CH83</f>
        <v>1.4699759326113115</v>
      </c>
      <c r="AR51" s="226">
        <f>IS!CI83</f>
        <v>1.8157057057057058</v>
      </c>
      <c r="AS51" s="226">
        <f>IS!CJ83</f>
        <v>1.7564620938628157</v>
      </c>
      <c r="AT51" s="226">
        <f>IS!CK83</f>
        <v>1.5641975308641975</v>
      </c>
      <c r="AU51" s="225">
        <f>IS!CL83</f>
        <v>6.6088606445755786</v>
      </c>
      <c r="AV51" s="2061">
        <f>IS!CM83</f>
        <v>1.4781795511221945</v>
      </c>
      <c r="AW51" s="2061">
        <f>IS!CN83</f>
        <v>1.8532581453634087</v>
      </c>
      <c r="AX51" s="2061">
        <f>IS!CO83</f>
        <v>1.7287578419071516</v>
      </c>
      <c r="AY51" s="2061">
        <f>IS!CP83</f>
        <v>1.5732174976059914</v>
      </c>
      <c r="AZ51" s="225">
        <f>IS!CQ83</f>
        <v>6.6324097946942819</v>
      </c>
      <c r="BA51" s="2061">
        <f>IS!CR83</f>
        <v>1.5128809309962821</v>
      </c>
      <c r="BB51" s="2061">
        <f>IS!CS83</f>
        <v>1.8574973115646864</v>
      </c>
      <c r="BC51" s="2061">
        <f>IS!CT83</f>
        <v>1.8694849692793254</v>
      </c>
      <c r="BD51" s="2061">
        <f>IS!CU83</f>
        <v>1.6746497387951951</v>
      </c>
      <c r="BE51" s="225">
        <f>IS!CV83</f>
        <v>6.9150290738916596</v>
      </c>
      <c r="BF51" s="225">
        <f>IS!CW83</f>
        <v>7.7667709166495689</v>
      </c>
      <c r="BG51" s="224"/>
      <c r="BH51" s="224"/>
      <c r="BI51" s="224"/>
      <c r="BJ51" s="224"/>
      <c r="BK51" s="224"/>
      <c r="BL51" s="224"/>
      <c r="BM51" s="224"/>
      <c r="BN51" s="224"/>
      <c r="BO51" s="224"/>
      <c r="BP51" s="224"/>
      <c r="BQ51" s="224"/>
      <c r="BR51" s="224"/>
      <c r="BS51" s="224"/>
      <c r="BT51" s="224"/>
      <c r="BU51" s="224"/>
      <c r="BV51" s="224"/>
    </row>
    <row r="52" spans="1:74">
      <c r="A52" s="223" t="s">
        <v>256</v>
      </c>
      <c r="B52" s="169"/>
      <c r="C52" s="170"/>
      <c r="D52" s="170"/>
      <c r="E52" s="170"/>
      <c r="F52" s="170"/>
      <c r="G52" s="169">
        <f t="shared" ref="G52:AU52" si="10">G51/B51-1</f>
        <v>0.14840406879992396</v>
      </c>
      <c r="H52" s="170">
        <f t="shared" si="10"/>
        <v>-0.23675715442764567</v>
      </c>
      <c r="I52" s="170">
        <f t="shared" si="10"/>
        <v>-0.20597120243145706</v>
      </c>
      <c r="J52" s="170">
        <f t="shared" si="10"/>
        <v>-0.14706932134250461</v>
      </c>
      <c r="K52" s="170">
        <f t="shared" si="10"/>
        <v>-6.0510105582108786E-2</v>
      </c>
      <c r="L52" s="169">
        <f t="shared" si="10"/>
        <v>-0.15962337247631531</v>
      </c>
      <c r="M52" s="170">
        <f t="shared" si="10"/>
        <v>0.19081432856804503</v>
      </c>
      <c r="N52" s="170">
        <f t="shared" si="10"/>
        <v>0.14501699859286576</v>
      </c>
      <c r="O52" s="170">
        <f t="shared" si="10"/>
        <v>0.14537174637653383</v>
      </c>
      <c r="P52" s="170">
        <f t="shared" si="10"/>
        <v>0.13529245998824524</v>
      </c>
      <c r="Q52" s="221">
        <f t="shared" si="10"/>
        <v>0.14980091767226811</v>
      </c>
      <c r="R52" s="222">
        <f t="shared" si="10"/>
        <v>0.13852723590483151</v>
      </c>
      <c r="S52" s="222">
        <f t="shared" si="10"/>
        <v>0.17699860775261977</v>
      </c>
      <c r="T52" s="222">
        <f t="shared" si="10"/>
        <v>9.4659003132137265E-2</v>
      </c>
      <c r="U52" s="222">
        <f t="shared" si="10"/>
        <v>8.6044080114964228E-2</v>
      </c>
      <c r="V52" s="221">
        <f t="shared" si="10"/>
        <v>0.12177734082432923</v>
      </c>
      <c r="W52" s="222">
        <f t="shared" si="10"/>
        <v>0.23732768484980249</v>
      </c>
      <c r="X52" s="222">
        <f t="shared" si="10"/>
        <v>0.14559547523454652</v>
      </c>
      <c r="Y52" s="222">
        <f t="shared" si="10"/>
        <v>-3.828553134108692E-2</v>
      </c>
      <c r="Z52" s="222">
        <f t="shared" si="10"/>
        <v>-0.2710756550524025</v>
      </c>
      <c r="AA52" s="221">
        <f t="shared" si="10"/>
        <v>4.1625649384060548E-3</v>
      </c>
      <c r="AB52" s="222">
        <f t="shared" si="10"/>
        <v>5.8101165249355047E-2</v>
      </c>
      <c r="AC52" s="222">
        <f t="shared" si="10"/>
        <v>4.9438605301861616E-2</v>
      </c>
      <c r="AD52" s="222">
        <f t="shared" si="10"/>
        <v>0.12624216143657119</v>
      </c>
      <c r="AE52" s="222">
        <f t="shared" si="10"/>
        <v>0.52491428386595951</v>
      </c>
      <c r="AF52" s="221">
        <f t="shared" si="10"/>
        <v>0.16384940412557114</v>
      </c>
      <c r="AG52" s="222">
        <f t="shared" si="10"/>
        <v>-4.8006594595522811E-2</v>
      </c>
      <c r="AH52" s="222">
        <f t="shared" si="10"/>
        <v>8.129119486226144E-2</v>
      </c>
      <c r="AI52" s="222">
        <f t="shared" si="10"/>
        <v>0.31816642721236343</v>
      </c>
      <c r="AJ52" s="222">
        <f t="shared" si="10"/>
        <v>2.777111995270265E-2</v>
      </c>
      <c r="AK52" s="221">
        <f t="shared" si="10"/>
        <v>9.7362404301401639E-2</v>
      </c>
      <c r="AL52" s="222">
        <f t="shared" si="10"/>
        <v>9.0262550248414897E-2</v>
      </c>
      <c r="AM52" s="222">
        <f t="shared" si="10"/>
        <v>-7.4131648722481125E-2</v>
      </c>
      <c r="AN52" s="222">
        <f t="shared" si="10"/>
        <v>-0.17995464436363062</v>
      </c>
      <c r="AO52" s="222">
        <f t="shared" si="10"/>
        <v>-5.9713270236811611E-2</v>
      </c>
      <c r="AP52" s="221">
        <f t="shared" si="10"/>
        <v>-7.0197572433639444E-2</v>
      </c>
      <c r="AQ52" s="222">
        <f t="shared" si="10"/>
        <v>1.9266297789916509E-2</v>
      </c>
      <c r="AR52" s="222">
        <f t="shared" si="10"/>
        <v>6.8090449275685527E-2</v>
      </c>
      <c r="AS52" s="222">
        <f t="shared" si="10"/>
        <v>5.1314298076256648E-2</v>
      </c>
      <c r="AT52" s="222">
        <f t="shared" si="10"/>
        <v>2.4320416975784243E-2</v>
      </c>
      <c r="AU52" s="221">
        <f t="shared" si="10"/>
        <v>4.2460014985744143E-2</v>
      </c>
      <c r="AV52" s="2060">
        <f t="shared" ref="AV52:BE52" si="11">AV51/AQ51-1</f>
        <v>5.5807842352286752E-3</v>
      </c>
      <c r="AW52" s="2060">
        <f t="shared" si="11"/>
        <v>2.0682007849453621E-2</v>
      </c>
      <c r="AX52" s="2060">
        <f t="shared" si="11"/>
        <v>-1.5772758235127471E-2</v>
      </c>
      <c r="AY52" s="2060">
        <f t="shared" si="11"/>
        <v>5.7665138601838972E-3</v>
      </c>
      <c r="AZ52" s="221">
        <f t="shared" si="11"/>
        <v>3.5632692812235245E-3</v>
      </c>
      <c r="BA52" s="2060">
        <f t="shared" si="11"/>
        <v>2.3475754246325087E-2</v>
      </c>
      <c r="BB52" s="2060">
        <f t="shared" si="11"/>
        <v>2.2874126909322445E-3</v>
      </c>
      <c r="BC52" s="2060">
        <f t="shared" si="11"/>
        <v>8.1403608973321884E-2</v>
      </c>
      <c r="BD52" s="2060">
        <f t="shared" si="11"/>
        <v>6.4474391712243229E-2</v>
      </c>
      <c r="BE52" s="221">
        <f t="shared" si="11"/>
        <v>4.2611854204706034E-2</v>
      </c>
      <c r="BF52" s="221">
        <f>BF51/BE51-1</f>
        <v>0.12317256133799059</v>
      </c>
      <c r="BG52" s="220"/>
      <c r="BH52" s="220"/>
      <c r="BI52" s="220"/>
      <c r="BJ52" s="220"/>
      <c r="BK52" s="220"/>
      <c r="BL52" s="220"/>
      <c r="BM52" s="220"/>
      <c r="BN52" s="220"/>
      <c r="BO52" s="220"/>
      <c r="BP52" s="220"/>
      <c r="BQ52" s="220"/>
      <c r="BR52" s="220"/>
      <c r="BS52" s="220"/>
      <c r="BT52" s="220"/>
      <c r="BU52" s="220"/>
      <c r="BV52" s="220"/>
    </row>
    <row r="53" spans="1:74">
      <c r="A53" s="217"/>
      <c r="B53" s="157"/>
      <c r="C53" s="147"/>
      <c r="D53" s="147"/>
      <c r="E53" s="147"/>
      <c r="F53" s="147"/>
      <c r="G53" s="157"/>
      <c r="H53" s="147"/>
      <c r="I53" s="147"/>
      <c r="J53" s="147"/>
      <c r="K53" s="147"/>
      <c r="L53" s="157"/>
      <c r="M53" s="147"/>
      <c r="N53" s="147"/>
      <c r="O53" s="147"/>
      <c r="P53" s="147"/>
      <c r="Q53" s="157"/>
      <c r="R53" s="147"/>
      <c r="S53" s="147"/>
      <c r="T53" s="147"/>
      <c r="U53" s="147"/>
      <c r="V53" s="157"/>
      <c r="W53" s="147"/>
      <c r="X53" s="147"/>
      <c r="Y53" s="147"/>
      <c r="Z53" s="147"/>
      <c r="AA53" s="157"/>
      <c r="AB53" s="147"/>
      <c r="AC53" s="147"/>
      <c r="AD53" s="147"/>
      <c r="AE53" s="147"/>
      <c r="AF53" s="157"/>
      <c r="AG53" s="147"/>
      <c r="AH53" s="147"/>
      <c r="AI53" s="147"/>
      <c r="AJ53" s="147"/>
      <c r="AK53" s="157"/>
      <c r="AL53" s="147"/>
      <c r="AM53" s="147"/>
      <c r="AN53" s="147"/>
      <c r="AO53" s="147"/>
      <c r="AP53" s="157"/>
      <c r="AQ53" s="147"/>
      <c r="AR53" s="147"/>
      <c r="AS53" s="147"/>
      <c r="AT53" s="147"/>
      <c r="AU53" s="157"/>
      <c r="AV53" s="2030"/>
      <c r="AW53" s="2030"/>
      <c r="AX53" s="2030"/>
      <c r="AY53" s="2030"/>
      <c r="AZ53" s="157"/>
      <c r="BA53" s="2030"/>
      <c r="BB53" s="2030"/>
      <c r="BC53" s="2030"/>
      <c r="BD53" s="2030"/>
      <c r="BE53" s="157"/>
      <c r="BF53" s="157"/>
      <c r="BG53" s="147"/>
      <c r="BH53" s="147"/>
      <c r="BI53" s="147"/>
      <c r="BJ53" s="147"/>
      <c r="BK53" s="147"/>
      <c r="BL53" s="147"/>
      <c r="BM53" s="147"/>
      <c r="BN53" s="147"/>
      <c r="BO53" s="147"/>
      <c r="BP53" s="147"/>
      <c r="BQ53" s="147"/>
      <c r="BR53" s="147"/>
      <c r="BS53" s="147"/>
      <c r="BT53" s="147"/>
      <c r="BU53" s="147"/>
      <c r="BV53" s="147"/>
    </row>
    <row r="54" spans="1:74">
      <c r="A54" s="219" t="s">
        <v>99</v>
      </c>
      <c r="B54" s="218">
        <f>IS!AS89</f>
        <v>4.2709807886754296</v>
      </c>
      <c r="C54" s="219">
        <f>IS!AT89</f>
        <v>1.0256410256410255</v>
      </c>
      <c r="D54" s="219">
        <f>IS!AU89</f>
        <v>1.3198757763975155</v>
      </c>
      <c r="E54" s="219">
        <f>IS!AV89</f>
        <v>1.334384858044164</v>
      </c>
      <c r="F54" s="219">
        <f>IS!AW89</f>
        <v>1.227224008574491</v>
      </c>
      <c r="G54" s="218">
        <f>IS!AX89</f>
        <v>4.9048117154811717</v>
      </c>
      <c r="H54" s="219">
        <f>IS!AY89</f>
        <v>0.78281317494600433</v>
      </c>
      <c r="I54" s="219">
        <f>IS!AZ89</f>
        <v>1.0480193756727663</v>
      </c>
      <c r="J54" s="219">
        <f>IS!BA89</f>
        <v>1.1381377825618944</v>
      </c>
      <c r="K54" s="219">
        <f>IS!BB89</f>
        <v>1.1529645542427498</v>
      </c>
      <c r="L54" s="218">
        <f>IS!BC89</f>
        <v>4.1218891280947254</v>
      </c>
      <c r="M54" s="219">
        <f>IS!BD89</f>
        <v>0.9321851453175457</v>
      </c>
      <c r="N54" s="219">
        <f>IS!BE89</f>
        <v>1.2</v>
      </c>
      <c r="O54" s="219">
        <f>IS!BF89</f>
        <v>1.3035908596300327</v>
      </c>
      <c r="P54" s="219">
        <f>IS!BG89</f>
        <v>1.3089519650655022</v>
      </c>
      <c r="Q54" s="218">
        <f>IS!BH89</f>
        <v>4.7393519020266606</v>
      </c>
      <c r="R54" s="219">
        <f>IS!BI89</f>
        <v>1.106131817684993</v>
      </c>
      <c r="S54" s="219">
        <f>IS!BJ89</f>
        <v>1.4486700373708508</v>
      </c>
      <c r="T54" s="219">
        <f>IS!BK89</f>
        <v>1.4680119747200355</v>
      </c>
      <c r="U54" s="219">
        <f>IS!BL89</f>
        <v>1.4738598442714126</v>
      </c>
      <c r="V54" s="218">
        <f>IS!BM89</f>
        <v>5.4907366563740627</v>
      </c>
      <c r="W54" s="219">
        <f>IS!BN89</f>
        <v>0.36508463325589113</v>
      </c>
      <c r="X54" s="219">
        <f>IS!BO89</f>
        <v>1.4677276746242265</v>
      </c>
      <c r="Y54" s="219">
        <f>IS!BP89</f>
        <v>1.5597442680776012</v>
      </c>
      <c r="Z54" s="219">
        <f>IS!BQ89</f>
        <v>2.2579582875960482</v>
      </c>
      <c r="AA54" s="218">
        <f>IS!BR89</f>
        <v>5.6585043017868957</v>
      </c>
      <c r="AB54" s="219">
        <f>IS!BS89</f>
        <v>1.3894967177242887</v>
      </c>
      <c r="AC54" s="219">
        <f>IS!BT89</f>
        <v>1.6980306345733041</v>
      </c>
      <c r="AD54" s="219">
        <f>IS!BU89</f>
        <v>1.545603495357728</v>
      </c>
      <c r="AE54" s="219">
        <f>IS!BV89</f>
        <v>1.5801526717557253</v>
      </c>
      <c r="AF54" s="218">
        <f>IS!BW89</f>
        <v>6.213358830760825</v>
      </c>
      <c r="AG54" s="219">
        <f>IS!BX89</f>
        <v>1.3227917121046893</v>
      </c>
      <c r="AH54" s="219">
        <f>IS!BY89</f>
        <v>1.8360655737704918</v>
      </c>
      <c r="AI54" s="219">
        <f>IS!BZ89</f>
        <v>2.0373626373626372</v>
      </c>
      <c r="AJ54" s="219">
        <f>IS!CA89</f>
        <v>1.6240352811466372</v>
      </c>
      <c r="AK54" s="218">
        <f>IS!CB89</f>
        <v>6.8183063853110442</v>
      </c>
      <c r="AL54" s="219">
        <f>IS!CC89</f>
        <v>1.5774336283185841</v>
      </c>
      <c r="AM54" s="219">
        <f>IS!CD89</f>
        <v>1.734533183352081</v>
      </c>
      <c r="AN54" s="219">
        <f>IS!CE89</f>
        <v>1.5389830508474576</v>
      </c>
      <c r="AO54" s="219">
        <f>IS!CF89</f>
        <v>3.8564705882352941</v>
      </c>
      <c r="AP54" s="218">
        <f>IS!CG89</f>
        <v>8.6258503401360542</v>
      </c>
      <c r="AQ54" s="219">
        <f>IS!CH89</f>
        <v>1.4199759326113117</v>
      </c>
      <c r="AR54" s="219">
        <f>IS!CI89</f>
        <v>1.6492492492492492</v>
      </c>
      <c r="AS54" s="219">
        <f>IS!CJ89</f>
        <v>1.7809867629362215</v>
      </c>
      <c r="AT54" s="219">
        <f>IS!CK89</f>
        <v>1.2506172839506173</v>
      </c>
      <c r="AU54" s="218">
        <f>IS!CL89</f>
        <v>6.1080344984112571</v>
      </c>
      <c r="AV54" s="2059">
        <f>IS!CM89</f>
        <v>1.7281795511221945</v>
      </c>
      <c r="AW54" s="2059">
        <f>IS!CN89</f>
        <v>1.8032581453634084</v>
      </c>
      <c r="AX54" s="2059">
        <f>IS!CO89</f>
        <v>1.6687578419071518</v>
      </c>
      <c r="AY54" s="2059">
        <f>IS!CP89</f>
        <v>1.4698621938913086</v>
      </c>
      <c r="AZ54" s="218">
        <f>IS!CQ89</f>
        <v>6.6703301157314403</v>
      </c>
      <c r="BA54" s="2059">
        <f>IS!CR89</f>
        <v>1.4348178039153239</v>
      </c>
      <c r="BB54" s="2059">
        <f>IS!CS89</f>
        <v>1.7887339642704418</v>
      </c>
      <c r="BC54" s="2059">
        <f>IS!CT89</f>
        <v>1.8054330671599703</v>
      </c>
      <c r="BD54" s="2059">
        <f>IS!CU89</f>
        <v>1.6098483328529261</v>
      </c>
      <c r="BE54" s="218">
        <f>IS!CV89</f>
        <v>6.6394039597028467</v>
      </c>
      <c r="BF54" s="218">
        <f>IS!CW89</f>
        <v>7.4938284850323509</v>
      </c>
      <c r="BG54" s="217"/>
      <c r="BH54" s="217"/>
      <c r="BI54" s="217"/>
      <c r="BJ54" s="217"/>
      <c r="BK54" s="217"/>
      <c r="BL54" s="217"/>
      <c r="BM54" s="217"/>
      <c r="BN54" s="217"/>
      <c r="BO54" s="217"/>
      <c r="BP54" s="217"/>
      <c r="BQ54" s="217"/>
      <c r="BR54" s="217"/>
      <c r="BS54" s="217"/>
      <c r="BT54" s="217"/>
      <c r="BU54" s="217"/>
      <c r="BV54" s="217"/>
    </row>
    <row r="55" spans="1:74">
      <c r="A55" s="147"/>
      <c r="B55" s="186"/>
      <c r="C55" s="186"/>
      <c r="D55" s="186"/>
      <c r="E55" s="186"/>
      <c r="F55" s="186"/>
      <c r="G55" s="186"/>
      <c r="H55" s="186"/>
      <c r="I55" s="186"/>
      <c r="J55" s="186"/>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2"/>
      <c r="AQ55" s="186"/>
      <c r="AR55" s="186"/>
      <c r="AS55" s="186"/>
      <c r="AT55" s="186"/>
      <c r="AU55" s="182"/>
      <c r="AV55" s="2044"/>
      <c r="AW55" s="2044"/>
      <c r="AX55" s="2044"/>
      <c r="AY55" s="2044"/>
      <c r="AZ55" s="182"/>
      <c r="BA55" s="2044"/>
      <c r="BB55" s="2044"/>
      <c r="BC55" s="2044"/>
      <c r="BD55" s="2044"/>
      <c r="BE55" s="182"/>
      <c r="BF55" s="2043"/>
      <c r="BG55" s="182"/>
      <c r="BH55" s="182"/>
      <c r="BI55" s="182"/>
      <c r="BJ55" s="182"/>
      <c r="BK55" s="182"/>
      <c r="BL55" s="182"/>
      <c r="BM55" s="182"/>
      <c r="BN55" s="182"/>
      <c r="BO55" s="182"/>
      <c r="BP55" s="182"/>
      <c r="BQ55" s="182"/>
      <c r="BR55" s="182"/>
      <c r="BS55" s="182"/>
      <c r="BT55" s="182"/>
      <c r="BU55" s="182"/>
      <c r="BV55" s="182"/>
    </row>
    <row r="56" spans="1:74">
      <c r="A56" s="147"/>
      <c r="B56" s="216"/>
      <c r="C56" s="216"/>
      <c r="D56" s="216"/>
      <c r="E56" s="216"/>
      <c r="F56" s="216"/>
      <c r="G56" s="216"/>
      <c r="H56" s="216"/>
      <c r="I56" s="216"/>
      <c r="J56" s="216"/>
      <c r="K56" s="216"/>
      <c r="L56" s="216"/>
      <c r="M56" s="216"/>
      <c r="N56" s="216"/>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182"/>
      <c r="AQ56" s="216"/>
      <c r="AR56" s="216"/>
      <c r="AS56" s="216"/>
      <c r="AT56" s="216"/>
      <c r="AU56" s="182"/>
      <c r="AV56" s="2057"/>
      <c r="AW56" s="2057"/>
      <c r="AX56" s="2057"/>
      <c r="AY56" s="2057"/>
      <c r="AZ56" s="182"/>
      <c r="BA56" s="2057"/>
      <c r="BB56" s="2057"/>
      <c r="BC56" s="2057"/>
      <c r="BD56" s="2057"/>
      <c r="BE56" s="182"/>
      <c r="BF56" s="2043"/>
      <c r="BG56" s="182"/>
      <c r="BH56" s="182"/>
      <c r="BI56" s="182"/>
      <c r="BJ56" s="182"/>
      <c r="BK56" s="182"/>
      <c r="BL56" s="182"/>
      <c r="BM56" s="182"/>
      <c r="BN56" s="182"/>
      <c r="BO56" s="182"/>
      <c r="BP56" s="182"/>
      <c r="BQ56" s="182"/>
      <c r="BR56" s="182"/>
      <c r="BS56" s="182"/>
      <c r="BT56" s="182"/>
      <c r="BU56" s="182"/>
      <c r="BV56" s="182"/>
    </row>
    <row r="57" spans="1:74">
      <c r="A57" s="215" t="s">
        <v>255</v>
      </c>
      <c r="B57" s="182"/>
      <c r="C57" s="18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2043"/>
      <c r="AW57" s="2043"/>
      <c r="AX57" s="2043"/>
      <c r="AY57" s="2043"/>
      <c r="AZ57" s="182"/>
      <c r="BA57" s="2043"/>
      <c r="BB57" s="2043"/>
      <c r="BC57" s="2043"/>
      <c r="BD57" s="2043"/>
      <c r="BE57" s="182"/>
      <c r="BF57" s="2043"/>
      <c r="BG57" s="182"/>
      <c r="BH57" s="182"/>
      <c r="BI57" s="182"/>
      <c r="BJ57" s="182"/>
      <c r="BK57" s="182"/>
      <c r="BL57" s="182"/>
      <c r="BM57" s="182"/>
      <c r="BN57" s="182"/>
      <c r="BO57" s="182"/>
      <c r="BP57" s="182"/>
      <c r="BQ57" s="182"/>
      <c r="BR57" s="182"/>
      <c r="BS57" s="182"/>
      <c r="BT57" s="182"/>
      <c r="BU57" s="182"/>
      <c r="BV57" s="182"/>
    </row>
    <row r="58" spans="1:74">
      <c r="A58" s="214"/>
      <c r="B58" s="182"/>
      <c r="C58" s="18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2043"/>
      <c r="AW58" s="2043"/>
      <c r="AX58" s="2043"/>
      <c r="AY58" s="2043"/>
      <c r="AZ58" s="182"/>
      <c r="BA58" s="2043"/>
      <c r="BB58" s="2043"/>
      <c r="BC58" s="2043"/>
      <c r="BD58" s="2043"/>
      <c r="BE58" s="182"/>
      <c r="BF58" s="2043"/>
      <c r="BG58" s="182"/>
      <c r="BH58" s="182"/>
      <c r="BI58" s="182"/>
      <c r="BJ58" s="182"/>
      <c r="BK58" s="182"/>
      <c r="BL58" s="182"/>
      <c r="BM58" s="182"/>
      <c r="BN58" s="182"/>
      <c r="BO58" s="182"/>
      <c r="BP58" s="182"/>
      <c r="BQ58" s="182"/>
      <c r="BR58" s="182"/>
      <c r="BS58" s="182"/>
      <c r="BT58" s="182"/>
      <c r="BU58" s="182"/>
      <c r="BV58" s="182"/>
    </row>
    <row r="59" spans="1:74">
      <c r="A59" s="150" t="s">
        <v>225</v>
      </c>
      <c r="B59" s="180">
        <v>2007</v>
      </c>
      <c r="C59" s="181" t="s">
        <v>198</v>
      </c>
      <c r="D59" s="181" t="s">
        <v>197</v>
      </c>
      <c r="E59" s="181" t="s">
        <v>196</v>
      </c>
      <c r="F59" s="181" t="s">
        <v>195</v>
      </c>
      <c r="G59" s="180">
        <v>2008</v>
      </c>
      <c r="H59" s="181" t="s">
        <v>194</v>
      </c>
      <c r="I59" s="181" t="s">
        <v>193</v>
      </c>
      <c r="J59" s="181" t="s">
        <v>192</v>
      </c>
      <c r="K59" s="181" t="s">
        <v>191</v>
      </c>
      <c r="L59" s="180">
        <v>2009</v>
      </c>
      <c r="M59" s="181" t="s">
        <v>190</v>
      </c>
      <c r="N59" s="181" t="s">
        <v>189</v>
      </c>
      <c r="O59" s="181" t="s">
        <v>188</v>
      </c>
      <c r="P59" s="181" t="s">
        <v>187</v>
      </c>
      <c r="Q59" s="180">
        <v>2010</v>
      </c>
      <c r="R59" s="181" t="s">
        <v>186</v>
      </c>
      <c r="S59" s="181" t="s">
        <v>185</v>
      </c>
      <c r="T59" s="181" t="s">
        <v>184</v>
      </c>
      <c r="U59" s="181" t="s">
        <v>183</v>
      </c>
      <c r="V59" s="180">
        <v>2011</v>
      </c>
      <c r="W59" s="181" t="s">
        <v>182</v>
      </c>
      <c r="X59" s="181" t="s">
        <v>181</v>
      </c>
      <c r="Y59" s="181" t="s">
        <v>180</v>
      </c>
      <c r="Z59" s="181" t="s">
        <v>179</v>
      </c>
      <c r="AA59" s="180">
        <v>2012</v>
      </c>
      <c r="AB59" s="181" t="s">
        <v>178</v>
      </c>
      <c r="AC59" s="181" t="s">
        <v>177</v>
      </c>
      <c r="AD59" s="181" t="str">
        <f>+IS!BU9</f>
        <v>3Q13</v>
      </c>
      <c r="AE59" s="181" t="str">
        <f>+IS!BV9</f>
        <v>4Q13</v>
      </c>
      <c r="AF59" s="180">
        <f>+IS!BW9</f>
        <v>2013</v>
      </c>
      <c r="AG59" s="181" t="str">
        <f>+IS!BX9</f>
        <v>1Q14</v>
      </c>
      <c r="AH59" s="181" t="str">
        <f>+IS!BY9</f>
        <v>2Q14</v>
      </c>
      <c r="AI59" s="181" t="str">
        <f>+IS!BZ9</f>
        <v>3Q14</v>
      </c>
      <c r="AJ59" s="181" t="str">
        <f>+IS!CA9</f>
        <v>4Q14</v>
      </c>
      <c r="AK59" s="180">
        <f>+IS!CB9</f>
        <v>2014</v>
      </c>
      <c r="AL59" s="181" t="str">
        <f>+IS!CC9</f>
        <v>1Q15</v>
      </c>
      <c r="AM59" s="181" t="str">
        <f>+IS!CD9</f>
        <v>2Q15</v>
      </c>
      <c r="AN59" s="181" t="str">
        <f>+IS!CE9</f>
        <v>3Q15</v>
      </c>
      <c r="AO59" s="181" t="str">
        <f>+IS!CF9</f>
        <v>4Q15</v>
      </c>
      <c r="AP59" s="180">
        <f>+IS!CG9</f>
        <v>2015</v>
      </c>
      <c r="AQ59" s="181" t="str">
        <f>+IS!CH9</f>
        <v>1Q16</v>
      </c>
      <c r="AR59" s="181" t="str">
        <f>+IS!CI9</f>
        <v>2Q16</v>
      </c>
      <c r="AS59" s="181" t="str">
        <f>+IS!CJ9</f>
        <v>3Q16</v>
      </c>
      <c r="AT59" s="181" t="str">
        <f>+IS!CK9</f>
        <v>4Q16</v>
      </c>
      <c r="AU59" s="180">
        <f>+IS!CL9</f>
        <v>2016</v>
      </c>
      <c r="AV59" s="2042" t="str">
        <f>+IS!CM9</f>
        <v>1Q17</v>
      </c>
      <c r="AW59" s="2042" t="str">
        <f>+IS!CN9</f>
        <v>2Q17</v>
      </c>
      <c r="AX59" s="2042" t="str">
        <f>+IS!CO9</f>
        <v>3Q17</v>
      </c>
      <c r="AY59" s="2042" t="str">
        <f>+IS!CP9</f>
        <v>4Q17E</v>
      </c>
      <c r="AZ59" s="180" t="str">
        <f>+IS!CQ9</f>
        <v>2017E</v>
      </c>
      <c r="BA59" s="2042" t="str">
        <f>+IS!CR9</f>
        <v>1Q18E</v>
      </c>
      <c r="BB59" s="2042" t="str">
        <f>+IS!CS9</f>
        <v>2Q18E</v>
      </c>
      <c r="BC59" s="2042" t="str">
        <f>+IS!CT9</f>
        <v>3Q18E</v>
      </c>
      <c r="BD59" s="2042" t="str">
        <f>+IS!CU9</f>
        <v>4Q18E</v>
      </c>
      <c r="BE59" s="180" t="str">
        <f>+IS!CV9</f>
        <v>2018E</v>
      </c>
      <c r="BF59" s="180" t="str">
        <f>+IS!CW9</f>
        <v>2019E</v>
      </c>
      <c r="BG59" s="147"/>
      <c r="BH59" s="147"/>
      <c r="BI59" s="147"/>
      <c r="BJ59" s="147"/>
      <c r="BK59" s="147"/>
      <c r="BL59" s="147"/>
      <c r="BM59" s="147"/>
      <c r="BN59" s="147"/>
      <c r="BO59" s="147"/>
      <c r="BP59" s="147"/>
      <c r="BQ59" s="147"/>
      <c r="BR59" s="147"/>
      <c r="BS59" s="147"/>
      <c r="BT59" s="147"/>
      <c r="BU59" s="147"/>
      <c r="BV59" s="147"/>
    </row>
    <row r="60" spans="1:74">
      <c r="A60" s="179"/>
      <c r="B60" s="178"/>
      <c r="C60" s="179"/>
      <c r="D60" s="179"/>
      <c r="E60" s="179"/>
      <c r="F60" s="179"/>
      <c r="G60" s="178"/>
      <c r="H60" s="179"/>
      <c r="I60" s="179"/>
      <c r="J60" s="179"/>
      <c r="K60" s="179"/>
      <c r="L60" s="178"/>
      <c r="M60" s="179"/>
      <c r="N60" s="179"/>
      <c r="O60" s="179"/>
      <c r="P60" s="179"/>
      <c r="Q60" s="178"/>
      <c r="R60" s="179"/>
      <c r="S60" s="179"/>
      <c r="T60" s="179"/>
      <c r="U60" s="179"/>
      <c r="V60" s="178"/>
      <c r="W60" s="179"/>
      <c r="X60" s="179"/>
      <c r="Y60" s="179"/>
      <c r="Z60" s="179"/>
      <c r="AA60" s="178"/>
      <c r="AB60" s="179"/>
      <c r="AC60" s="179"/>
      <c r="AD60" s="179"/>
      <c r="AE60" s="179"/>
      <c r="AF60" s="178"/>
      <c r="AG60" s="179"/>
      <c r="AH60" s="179"/>
      <c r="AI60" s="179"/>
      <c r="AJ60" s="179"/>
      <c r="AK60" s="178"/>
      <c r="AL60" s="179"/>
      <c r="AM60" s="179"/>
      <c r="AN60" s="179"/>
      <c r="AO60" s="179"/>
      <c r="AP60" s="178"/>
      <c r="AQ60" s="179"/>
      <c r="AR60" s="179"/>
      <c r="AS60" s="179"/>
      <c r="AT60" s="179"/>
      <c r="AU60" s="178"/>
      <c r="AV60" s="2041"/>
      <c r="AW60" s="2041"/>
      <c r="AX60" s="2041"/>
      <c r="AY60" s="2041"/>
      <c r="AZ60" s="178"/>
      <c r="BA60" s="2041"/>
      <c r="BB60" s="2041"/>
      <c r="BC60" s="2041"/>
      <c r="BD60" s="2041"/>
      <c r="BE60" s="178"/>
      <c r="BF60" s="178"/>
      <c r="BG60" s="147"/>
      <c r="BH60" s="147"/>
      <c r="BI60" s="147"/>
      <c r="BJ60" s="147"/>
      <c r="BK60" s="147"/>
      <c r="BL60" s="147"/>
      <c r="BM60" s="147"/>
      <c r="BN60" s="147"/>
      <c r="BO60" s="147"/>
      <c r="BP60" s="147"/>
      <c r="BQ60" s="147"/>
      <c r="BR60" s="147"/>
      <c r="BS60" s="147"/>
      <c r="BT60" s="147"/>
      <c r="BU60" s="147"/>
      <c r="BV60" s="147"/>
    </row>
    <row r="61" spans="1:74">
      <c r="A61" s="191" t="str">
        <f>'Divisional Summary'!C12</f>
        <v>Otis</v>
      </c>
      <c r="B61" s="160">
        <f>'Divisional Summary'!AS12</f>
        <v>11885</v>
      </c>
      <c r="C61" s="161">
        <f>'Divisional Summary'!AT12</f>
        <v>3057</v>
      </c>
      <c r="D61" s="161">
        <f>'Divisional Summary'!AU12</f>
        <v>3404</v>
      </c>
      <c r="E61" s="161">
        <f>'Divisional Summary'!AV12</f>
        <v>3245</v>
      </c>
      <c r="F61" s="161">
        <f>'Divisional Summary'!AW12</f>
        <v>3243</v>
      </c>
      <c r="G61" s="160">
        <f>'Divisional Summary'!AX12</f>
        <v>12949</v>
      </c>
      <c r="H61" s="161">
        <f>'Divisional Summary'!AY12</f>
        <v>2660</v>
      </c>
      <c r="I61" s="161">
        <f>'Divisional Summary'!AZ12</f>
        <v>2907</v>
      </c>
      <c r="J61" s="161">
        <f>'Divisional Summary'!BA12</f>
        <v>2961</v>
      </c>
      <c r="K61" s="161">
        <f>'Divisional Summary'!BB12</f>
        <v>3195</v>
      </c>
      <c r="L61" s="160">
        <f>'Divisional Summary'!BC12</f>
        <v>11723</v>
      </c>
      <c r="M61" s="161">
        <f>'Divisional Summary'!BD12</f>
        <v>2726</v>
      </c>
      <c r="N61" s="161">
        <f>'Divisional Summary'!BE12</f>
        <v>2838</v>
      </c>
      <c r="O61" s="161">
        <f>'Divisional Summary'!BF12</f>
        <v>2908</v>
      </c>
      <c r="P61" s="161">
        <f>'Divisional Summary'!BG12</f>
        <v>3107</v>
      </c>
      <c r="Q61" s="160">
        <f>'Divisional Summary'!BH12</f>
        <v>11579</v>
      </c>
      <c r="R61" s="161">
        <f>'Divisional Summary'!BI12</f>
        <v>2772</v>
      </c>
      <c r="S61" s="161">
        <f>'Divisional Summary'!BJ12</f>
        <v>3192</v>
      </c>
      <c r="T61" s="161">
        <f>'Divisional Summary'!BK12</f>
        <v>3262</v>
      </c>
      <c r="U61" s="161">
        <f>'Divisional Summary'!BL12</f>
        <v>3211</v>
      </c>
      <c r="V61" s="160">
        <f>'Divisional Summary'!BM12</f>
        <v>12437</v>
      </c>
      <c r="W61" s="161">
        <f>'Divisional Summary'!BN12</f>
        <v>2770</v>
      </c>
      <c r="X61" s="161">
        <f>'Divisional Summary'!BO12</f>
        <v>3027</v>
      </c>
      <c r="Y61" s="161">
        <f>'Divisional Summary'!BP12</f>
        <v>3054</v>
      </c>
      <c r="Z61" s="161">
        <f>'Divisional Summary'!BQ12</f>
        <v>3205</v>
      </c>
      <c r="AA61" s="160">
        <f>'Divisional Summary'!BR12</f>
        <v>12056</v>
      </c>
      <c r="AB61" s="161">
        <f>'Divisional Summary'!BS12</f>
        <v>2814</v>
      </c>
      <c r="AC61" s="161">
        <f>'Divisional Summary'!BT12</f>
        <v>3138</v>
      </c>
      <c r="AD61" s="161">
        <f>'Divisional Summary'!BU12</f>
        <v>3188</v>
      </c>
      <c r="AE61" s="161">
        <f>'Divisional Summary'!BV12</f>
        <v>3344</v>
      </c>
      <c r="AF61" s="160">
        <f>'Divisional Summary'!BW12</f>
        <v>12484</v>
      </c>
      <c r="AG61" s="161">
        <f>'Divisional Summary'!BX12</f>
        <v>2955</v>
      </c>
      <c r="AH61" s="161">
        <f>'Divisional Summary'!BY12</f>
        <v>3365</v>
      </c>
      <c r="AI61" s="161">
        <f>'Divisional Summary'!BZ12</f>
        <v>3326</v>
      </c>
      <c r="AJ61" s="161">
        <f>'Divisional Summary'!CA12</f>
        <v>3336</v>
      </c>
      <c r="AK61" s="160">
        <f>'Divisional Summary'!CB12</f>
        <v>12982</v>
      </c>
      <c r="AL61" s="161">
        <f>'Divisional Summary'!CC12</f>
        <v>2745</v>
      </c>
      <c r="AM61" s="161">
        <f>'Divisional Summary'!CD12</f>
        <v>3098</v>
      </c>
      <c r="AN61" s="161">
        <f>'Divisional Summary'!CE12</f>
        <v>3043</v>
      </c>
      <c r="AO61" s="161">
        <f>'Divisional Summary'!CF12</f>
        <v>3094</v>
      </c>
      <c r="AP61" s="160">
        <f>'Divisional Summary'!CG12</f>
        <v>11913.275066396131</v>
      </c>
      <c r="AQ61" s="161">
        <f>'Divisional Summary'!CH12</f>
        <v>2715</v>
      </c>
      <c r="AR61" s="161">
        <f>'Divisional Summary'!CI12</f>
        <v>3097</v>
      </c>
      <c r="AS61" s="161">
        <f>'Divisional Summary'!CJ12</f>
        <v>3018</v>
      </c>
      <c r="AT61" s="161">
        <f>'Divisional Summary'!CK12</f>
        <v>3063</v>
      </c>
      <c r="AU61" s="160">
        <f>'Divisional Summary'!CL12</f>
        <v>11893</v>
      </c>
      <c r="AV61" s="2036">
        <f>'Divisional Summary'!CM12</f>
        <v>2804</v>
      </c>
      <c r="AW61" s="2036">
        <f>'Divisional Summary'!CN12</f>
        <v>3131</v>
      </c>
      <c r="AX61" s="2036">
        <f>'Divisional Summary'!CO12</f>
        <v>3156</v>
      </c>
      <c r="AY61" s="2036">
        <f>'Divisional Summary'!CP12</f>
        <v>3124.2629834128365</v>
      </c>
      <c r="AZ61" s="160">
        <f>'Divisional Summary'!CQ12</f>
        <v>12215.262983412837</v>
      </c>
      <c r="BA61" s="2036">
        <f>'Divisional Summary'!CR12</f>
        <v>2942.0060385099764</v>
      </c>
      <c r="BB61" s="2036">
        <f>'Divisional Summary'!CS12</f>
        <v>3361.5456019177473</v>
      </c>
      <c r="BC61" s="2036">
        <f>'Divisional Summary'!CT12</f>
        <v>3388.3864323386811</v>
      </c>
      <c r="BD61" s="2036">
        <f>'Divisional Summary'!CU12</f>
        <v>3179.6285345856759</v>
      </c>
      <c r="BE61" s="160">
        <f>'Divisional Summary'!CV12</f>
        <v>12871.566607352081</v>
      </c>
      <c r="BF61" s="160">
        <f>'Divisional Summary'!CW12</f>
        <v>13144.879780553303</v>
      </c>
      <c r="BG61" s="147"/>
      <c r="BH61" s="147"/>
      <c r="BI61" s="147"/>
      <c r="BJ61" s="147"/>
      <c r="BK61" s="147"/>
      <c r="BL61" s="147"/>
      <c r="BM61" s="147"/>
      <c r="BN61" s="147"/>
      <c r="BO61" s="147"/>
      <c r="BP61" s="147"/>
      <c r="BQ61" s="147"/>
      <c r="BR61" s="147"/>
      <c r="BS61" s="147"/>
      <c r="BT61" s="147"/>
      <c r="BU61" s="147"/>
      <c r="BV61" s="147"/>
    </row>
    <row r="62" spans="1:74">
      <c r="A62" s="191" t="s">
        <v>166</v>
      </c>
      <c r="B62" s="160"/>
      <c r="C62" s="161"/>
      <c r="D62" s="161"/>
      <c r="E62" s="161"/>
      <c r="F62" s="161"/>
      <c r="G62" s="160"/>
      <c r="H62" s="161"/>
      <c r="I62" s="161"/>
      <c r="J62" s="161"/>
      <c r="K62" s="161"/>
      <c r="L62" s="160"/>
      <c r="M62" s="161"/>
      <c r="N62" s="161"/>
      <c r="O62" s="161"/>
      <c r="P62" s="161"/>
      <c r="Q62" s="160"/>
      <c r="R62" s="161">
        <f>'Divisional Summary'!BI13</f>
        <v>4393</v>
      </c>
      <c r="S62" s="161">
        <f>'Divisional Summary'!BJ13</f>
        <v>5140</v>
      </c>
      <c r="T62" s="161">
        <f>'Divisional Summary'!BK13</f>
        <v>4921</v>
      </c>
      <c r="U62" s="161">
        <f>'Divisional Summary'!BL13</f>
        <v>4410</v>
      </c>
      <c r="V62" s="160">
        <f>'Divisional Summary'!BM13</f>
        <v>18864</v>
      </c>
      <c r="W62" s="161">
        <f>'Divisional Summary'!BN13</f>
        <v>4112</v>
      </c>
      <c r="X62" s="161">
        <f>'Divisional Summary'!BO13</f>
        <v>4572</v>
      </c>
      <c r="Y62" s="161">
        <f>'Divisional Summary'!BP13</f>
        <v>4259</v>
      </c>
      <c r="Z62" s="161">
        <f>'Divisional Summary'!BQ13</f>
        <v>4147</v>
      </c>
      <c r="AA62" s="160">
        <f>'Divisional Summary'!BR13</f>
        <v>17090</v>
      </c>
      <c r="AB62" s="161">
        <f>'Divisional Summary'!BS13</f>
        <v>3837</v>
      </c>
      <c r="AC62" s="161">
        <f>'Divisional Summary'!BT13</f>
        <v>4543</v>
      </c>
      <c r="AD62" s="161">
        <f>'Divisional Summary'!BU13</f>
        <v>4237</v>
      </c>
      <c r="AE62" s="161">
        <f>'Divisional Summary'!BV13</f>
        <v>4192</v>
      </c>
      <c r="AF62" s="160">
        <f>'Divisional Summary'!BW13</f>
        <v>16809</v>
      </c>
      <c r="AG62" s="161">
        <f>'Divisional Summary'!BX13</f>
        <v>3851</v>
      </c>
      <c r="AH62" s="161">
        <f>'Divisional Summary'!BY13</f>
        <v>4429</v>
      </c>
      <c r="AI62" s="161">
        <f>'Divisional Summary'!BZ13</f>
        <v>4351</v>
      </c>
      <c r="AJ62" s="161">
        <f>'Divisional Summary'!CA13</f>
        <v>4192</v>
      </c>
      <c r="AK62" s="160">
        <f>'Divisional Summary'!CB13</f>
        <v>16823</v>
      </c>
      <c r="AL62" s="161">
        <f>'Divisional Summary'!CC13</f>
        <v>3852</v>
      </c>
      <c r="AM62" s="161">
        <f>'Divisional Summary'!CD13</f>
        <v>4454</v>
      </c>
      <c r="AN62" s="161">
        <f>'Divisional Summary'!CE13</f>
        <v>4279</v>
      </c>
      <c r="AO62" s="161">
        <f>'Divisional Summary'!CF13</f>
        <v>4122</v>
      </c>
      <c r="AP62" s="160">
        <f>'Divisional Summary'!CG13</f>
        <v>16707</v>
      </c>
      <c r="AQ62" s="161">
        <f>'Divisional Summary'!CH13</f>
        <v>3728</v>
      </c>
      <c r="AR62" s="161">
        <f>'Divisional Summary'!CI13</f>
        <v>4459</v>
      </c>
      <c r="AS62" s="161">
        <f>'Divisional Summary'!CJ13</f>
        <v>4415</v>
      </c>
      <c r="AT62" s="161">
        <f>'Divisional Summary'!CK13</f>
        <v>4249</v>
      </c>
      <c r="AU62" s="160">
        <f>'Divisional Summary'!CL13</f>
        <v>16851</v>
      </c>
      <c r="AV62" s="2036">
        <f>'Divisional Summary'!CM13</f>
        <v>3892</v>
      </c>
      <c r="AW62" s="2036">
        <f>'Divisional Summary'!CN13</f>
        <v>4712</v>
      </c>
      <c r="AX62" s="2036">
        <f>'Divisional Summary'!CO13</f>
        <v>4688</v>
      </c>
      <c r="AY62" s="2036">
        <f>'Divisional Summary'!CP13</f>
        <v>4549.0007467082942</v>
      </c>
      <c r="AZ62" s="160">
        <f>'Divisional Summary'!CQ13</f>
        <v>17841.000746708294</v>
      </c>
      <c r="BA62" s="2036">
        <f>'Divisional Summary'!CR13</f>
        <v>4169.5508099162616</v>
      </c>
      <c r="BB62" s="2036">
        <f>'Divisional Summary'!CS13</f>
        <v>5000.9075992614135</v>
      </c>
      <c r="BC62" s="2036">
        <f>'Divisional Summary'!CT13</f>
        <v>4975.4360834757017</v>
      </c>
      <c r="BD62" s="2036">
        <f>'Divisional Summary'!CU13</f>
        <v>4697.990500689335</v>
      </c>
      <c r="BE62" s="160">
        <f>'Divisional Summary'!CV13</f>
        <v>18843.884993342712</v>
      </c>
      <c r="BF62" s="160">
        <f>'Divisional Summary'!CW13</f>
        <v>19341.643816188036</v>
      </c>
      <c r="BG62" s="147"/>
      <c r="BH62" s="147"/>
      <c r="BI62" s="147"/>
      <c r="BJ62" s="147"/>
      <c r="BK62" s="147"/>
      <c r="BL62" s="147"/>
      <c r="BM62" s="147"/>
      <c r="BN62" s="147"/>
      <c r="BO62" s="147"/>
      <c r="BP62" s="147"/>
      <c r="BQ62" s="147"/>
      <c r="BR62" s="147"/>
      <c r="BS62" s="147"/>
      <c r="BT62" s="147"/>
      <c r="BU62" s="147"/>
      <c r="BV62" s="147"/>
    </row>
    <row r="63" spans="1:74" hidden="1" outlineLevel="1">
      <c r="A63" s="191" t="str">
        <f>'Divisional Summary'!C14</f>
        <v>Carrier</v>
      </c>
      <c r="B63" s="160">
        <f>'Divisional Summary'!AS14</f>
        <v>14644</v>
      </c>
      <c r="C63" s="161">
        <f>'Divisional Summary'!AT14</f>
        <v>3409</v>
      </c>
      <c r="D63" s="161">
        <f>'Divisional Summary'!AU14</f>
        <v>4356</v>
      </c>
      <c r="E63" s="161">
        <f>'Divisional Summary'!AV14</f>
        <v>3917</v>
      </c>
      <c r="F63" s="161">
        <f>'Divisional Summary'!AW14</f>
        <v>3262</v>
      </c>
      <c r="G63" s="160">
        <f>'Divisional Summary'!AX14</f>
        <v>14944</v>
      </c>
      <c r="H63" s="161">
        <f>'Divisional Summary'!AY14</f>
        <v>2490</v>
      </c>
      <c r="I63" s="161">
        <f>'Divisional Summary'!AZ14</f>
        <v>3093</v>
      </c>
      <c r="J63" s="161">
        <f>'Divisional Summary'!BA14</f>
        <v>2943</v>
      </c>
      <c r="K63" s="161">
        <f>'Divisional Summary'!BB14</f>
        <v>2809</v>
      </c>
      <c r="L63" s="160">
        <f>'Divisional Summary'!BC14</f>
        <v>11335</v>
      </c>
      <c r="M63" s="161">
        <f>'Divisional Summary'!BD14</f>
        <v>2467</v>
      </c>
      <c r="N63" s="161">
        <f>'Divisional Summary'!BE14</f>
        <v>3093</v>
      </c>
      <c r="O63" s="161">
        <f>'Divisional Summary'!BF14</f>
        <v>2936</v>
      </c>
      <c r="P63" s="161">
        <f>'Divisional Summary'!BG14</f>
        <v>2890</v>
      </c>
      <c r="Q63" s="160">
        <f>'Divisional Summary'!BH14</f>
        <v>11386</v>
      </c>
      <c r="R63" s="161">
        <f>'Divisional Summary'!BI14</f>
        <v>2766</v>
      </c>
      <c r="S63" s="161">
        <f>'Divisional Summary'!BJ14</f>
        <v>3393</v>
      </c>
      <c r="T63" s="161">
        <f>'Divisional Summary'!BK14</f>
        <v>3175</v>
      </c>
      <c r="U63" s="161">
        <f>'Divisional Summary'!BL14</f>
        <v>2635</v>
      </c>
      <c r="V63" s="160">
        <f>'Divisional Summary'!BM14</f>
        <v>11969</v>
      </c>
      <c r="W63" s="161">
        <f>'Divisional Summary'!BN14</f>
        <v>11190</v>
      </c>
      <c r="X63" s="161">
        <f>'Divisional Summary'!BO14</f>
        <v>11546.2</v>
      </c>
      <c r="Y63" s="161">
        <f>'Divisional Summary'!BP14</f>
        <v>11944.666000000001</v>
      </c>
      <c r="Z63" s="161">
        <f>'Divisional Summary'!BQ14</f>
        <v>12395.439060000001</v>
      </c>
      <c r="AA63" s="160">
        <f>'Divisional Summary'!BR14</f>
        <v>11190</v>
      </c>
      <c r="AB63" s="161">
        <f>'Divisional Summary'!BS14</f>
        <v>11546.2</v>
      </c>
      <c r="AC63" s="161">
        <f>'Divisional Summary'!BT14</f>
        <v>11944.666000000001</v>
      </c>
      <c r="AD63" s="161">
        <f>'Divisional Summary'!BU14</f>
        <v>12395.439060000001</v>
      </c>
      <c r="AE63" s="161">
        <f>'Divisional Summary'!BV14</f>
        <v>13008.737276999998</v>
      </c>
      <c r="AF63" s="160">
        <f>'Divisional Summary'!BW14</f>
        <v>11546.2</v>
      </c>
      <c r="AG63" s="161">
        <f>'Divisional Summary'!BX14</f>
        <v>0</v>
      </c>
      <c r="AH63" s="161">
        <f>'Divisional Summary'!BY14</f>
        <v>0</v>
      </c>
      <c r="AI63" s="161">
        <f>'Divisional Summary'!BZ14</f>
        <v>0</v>
      </c>
      <c r="AJ63" s="161">
        <f>'Divisional Summary'!CA14</f>
        <v>0</v>
      </c>
      <c r="AK63" s="160">
        <f>'Divisional Summary'!CB14</f>
        <v>0</v>
      </c>
      <c r="AL63" s="161">
        <f>'Divisional Summary'!CC14</f>
        <v>0</v>
      </c>
      <c r="AM63" s="161">
        <f>'Divisional Summary'!CD14</f>
        <v>0</v>
      </c>
      <c r="AN63" s="161">
        <f>'Divisional Summary'!CE14</f>
        <v>0</v>
      </c>
      <c r="AO63" s="161">
        <f>'Divisional Summary'!CF14</f>
        <v>0</v>
      </c>
      <c r="AP63" s="160">
        <f>'Divisional Summary'!CG14</f>
        <v>0</v>
      </c>
      <c r="AQ63" s="161">
        <f>'Divisional Summary'!CH14</f>
        <v>0</v>
      </c>
      <c r="AR63" s="161">
        <f>'Divisional Summary'!CI14</f>
        <v>0</v>
      </c>
      <c r="AS63" s="161">
        <f>'Divisional Summary'!CJ14</f>
        <v>0</v>
      </c>
      <c r="AT63" s="161">
        <f>'Divisional Summary'!CK14</f>
        <v>0</v>
      </c>
      <c r="AU63" s="160">
        <f>'Divisional Summary'!CL14</f>
        <v>0</v>
      </c>
      <c r="AV63" s="2036">
        <f>'Divisional Summary'!CM14</f>
        <v>0</v>
      </c>
      <c r="AW63" s="2036">
        <f>'Divisional Summary'!CN14</f>
        <v>0</v>
      </c>
      <c r="AX63" s="2036">
        <f>'Divisional Summary'!CO14</f>
        <v>0</v>
      </c>
      <c r="AY63" s="2036">
        <f>'Divisional Summary'!CP14</f>
        <v>0</v>
      </c>
      <c r="AZ63" s="160">
        <f>'Divisional Summary'!CQ14</f>
        <v>0</v>
      </c>
      <c r="BA63" s="2036">
        <f>'Divisional Summary'!CR14</f>
        <v>0</v>
      </c>
      <c r="BB63" s="2036">
        <f>'Divisional Summary'!CS14</f>
        <v>0</v>
      </c>
      <c r="BC63" s="2036">
        <f>'Divisional Summary'!CT14</f>
        <v>0</v>
      </c>
      <c r="BD63" s="2036">
        <f>'Divisional Summary'!CU14</f>
        <v>0</v>
      </c>
      <c r="BE63" s="160">
        <f>'Divisional Summary'!CV14</f>
        <v>0</v>
      </c>
      <c r="BF63" s="160">
        <f>'Divisional Summary'!CW14</f>
        <v>0</v>
      </c>
      <c r="BG63" s="147"/>
      <c r="BH63" s="147"/>
      <c r="BI63" s="147"/>
      <c r="BJ63" s="147"/>
      <c r="BK63" s="147"/>
      <c r="BL63" s="147"/>
      <c r="BM63" s="147"/>
      <c r="BN63" s="147"/>
      <c r="BO63" s="147"/>
      <c r="BP63" s="147"/>
      <c r="BQ63" s="147"/>
      <c r="BR63" s="147"/>
      <c r="BS63" s="147"/>
      <c r="BT63" s="147"/>
      <c r="BU63" s="147"/>
      <c r="BV63" s="147"/>
    </row>
    <row r="64" spans="1:74" hidden="1" outlineLevel="1">
      <c r="A64" s="191" t="str">
        <f>'Divisional Summary'!C15</f>
        <v>Fire &amp; Security</v>
      </c>
      <c r="B64" s="160">
        <f>'Divisional Summary'!AS15</f>
        <v>5754</v>
      </c>
      <c r="C64" s="161">
        <f>'Divisional Summary'!AT15</f>
        <v>1598</v>
      </c>
      <c r="D64" s="161">
        <f>'Divisional Summary'!AU15</f>
        <v>1738</v>
      </c>
      <c r="E64" s="161">
        <f>'Divisional Summary'!AV15</f>
        <v>1624</v>
      </c>
      <c r="F64" s="161">
        <f>'Divisional Summary'!AW15</f>
        <v>1502</v>
      </c>
      <c r="G64" s="160">
        <f>'Divisional Summary'!AX15</f>
        <v>6462</v>
      </c>
      <c r="H64" s="161">
        <f>'Divisional Summary'!AY15</f>
        <v>1281</v>
      </c>
      <c r="I64" s="161">
        <f>'Divisional Summary'!AZ15</f>
        <v>1323</v>
      </c>
      <c r="J64" s="161">
        <f>'Divisional Summary'!BA15</f>
        <v>1374</v>
      </c>
      <c r="K64" s="161">
        <f>'Divisional Summary'!BB15</f>
        <v>1525</v>
      </c>
      <c r="L64" s="160">
        <f>'Divisional Summary'!BC15</f>
        <v>5503</v>
      </c>
      <c r="M64" s="161">
        <f>'Divisional Summary'!BD15</f>
        <v>1415</v>
      </c>
      <c r="N64" s="161">
        <f>'Divisional Summary'!BE15</f>
        <v>1615</v>
      </c>
      <c r="O64" s="161">
        <f>'Divisional Summary'!BF15</f>
        <v>1657</v>
      </c>
      <c r="P64" s="161">
        <f>'Divisional Summary'!BG15</f>
        <v>1803</v>
      </c>
      <c r="Q64" s="160">
        <f>'Divisional Summary'!BH15</f>
        <v>6490</v>
      </c>
      <c r="R64" s="161">
        <f>'Divisional Summary'!BI15</f>
        <v>1628</v>
      </c>
      <c r="S64" s="161">
        <f>'Divisional Summary'!BJ15</f>
        <v>1746</v>
      </c>
      <c r="T64" s="161">
        <f>'Divisional Summary'!BK15</f>
        <v>1746</v>
      </c>
      <c r="U64" s="161">
        <f>'Divisional Summary'!BL15</f>
        <v>1775</v>
      </c>
      <c r="V64" s="160">
        <f>'Divisional Summary'!BM15</f>
        <v>6895</v>
      </c>
      <c r="W64" s="161">
        <f>'Divisional Summary'!BN15</f>
        <v>5900</v>
      </c>
      <c r="X64" s="161">
        <f>'Divisional Summary'!BO15</f>
        <v>5263</v>
      </c>
      <c r="Y64" s="161">
        <f>'Divisional Summary'!BP15</f>
        <v>5058.38</v>
      </c>
      <c r="Z64" s="161">
        <f>'Divisional Summary'!BQ15</f>
        <v>5210.5639999999994</v>
      </c>
      <c r="AA64" s="160">
        <f>'Divisional Summary'!BR15</f>
        <v>5900</v>
      </c>
      <c r="AB64" s="161">
        <f>'Divisional Summary'!BS15</f>
        <v>5263</v>
      </c>
      <c r="AC64" s="161">
        <f>'Divisional Summary'!BT15</f>
        <v>5058.38</v>
      </c>
      <c r="AD64" s="161">
        <f>'Divisional Summary'!BU15</f>
        <v>5210.5639999999994</v>
      </c>
      <c r="AE64" s="161">
        <f>'Divisional Summary'!BV15</f>
        <v>5477.5097000000005</v>
      </c>
      <c r="AF64" s="160">
        <f>'Divisional Summary'!BW15</f>
        <v>5263</v>
      </c>
      <c r="AG64" s="161">
        <f>'Divisional Summary'!BX15</f>
        <v>0</v>
      </c>
      <c r="AH64" s="161">
        <f>'Divisional Summary'!BY15</f>
        <v>0</v>
      </c>
      <c r="AI64" s="161">
        <f>'Divisional Summary'!BZ15</f>
        <v>0</v>
      </c>
      <c r="AJ64" s="161">
        <f>'Divisional Summary'!CA15</f>
        <v>0</v>
      </c>
      <c r="AK64" s="160">
        <f>'Divisional Summary'!CB15</f>
        <v>0</v>
      </c>
      <c r="AL64" s="161">
        <f>'Divisional Summary'!CC15</f>
        <v>0</v>
      </c>
      <c r="AM64" s="161">
        <f>'Divisional Summary'!CD15</f>
        <v>0</v>
      </c>
      <c r="AN64" s="161">
        <f>'Divisional Summary'!CE15</f>
        <v>0</v>
      </c>
      <c r="AO64" s="161">
        <f>'Divisional Summary'!CF15</f>
        <v>0</v>
      </c>
      <c r="AP64" s="160">
        <f>'Divisional Summary'!CG15</f>
        <v>0</v>
      </c>
      <c r="AQ64" s="161">
        <f>'Divisional Summary'!CH15</f>
        <v>0</v>
      </c>
      <c r="AR64" s="161">
        <f>'Divisional Summary'!CI15</f>
        <v>0</v>
      </c>
      <c r="AS64" s="161">
        <f>'Divisional Summary'!CJ15</f>
        <v>0</v>
      </c>
      <c r="AT64" s="161">
        <f>'Divisional Summary'!CK15</f>
        <v>0</v>
      </c>
      <c r="AU64" s="160">
        <f>'Divisional Summary'!CL15</f>
        <v>0</v>
      </c>
      <c r="AV64" s="2036">
        <f>'Divisional Summary'!CM15</f>
        <v>0</v>
      </c>
      <c r="AW64" s="2036">
        <f>'Divisional Summary'!CN15</f>
        <v>0</v>
      </c>
      <c r="AX64" s="2036">
        <f>'Divisional Summary'!CO15</f>
        <v>0</v>
      </c>
      <c r="AY64" s="2036">
        <f>'Divisional Summary'!CP15</f>
        <v>0</v>
      </c>
      <c r="AZ64" s="160">
        <f>'Divisional Summary'!CQ15</f>
        <v>0</v>
      </c>
      <c r="BA64" s="2036">
        <f>'Divisional Summary'!CR15</f>
        <v>0</v>
      </c>
      <c r="BB64" s="2036">
        <f>'Divisional Summary'!CS15</f>
        <v>0</v>
      </c>
      <c r="BC64" s="2036">
        <f>'Divisional Summary'!CT15</f>
        <v>0</v>
      </c>
      <c r="BD64" s="2036">
        <f>'Divisional Summary'!CU15</f>
        <v>0</v>
      </c>
      <c r="BE64" s="160">
        <f>'Divisional Summary'!CV15</f>
        <v>0</v>
      </c>
      <c r="BF64" s="160">
        <f>'Divisional Summary'!CW15</f>
        <v>0</v>
      </c>
      <c r="BG64" s="147"/>
      <c r="BH64" s="147"/>
      <c r="BI64" s="147"/>
      <c r="BJ64" s="147"/>
      <c r="BK64" s="147"/>
      <c r="BL64" s="147"/>
      <c r="BM64" s="147"/>
      <c r="BN64" s="147"/>
      <c r="BO64" s="147"/>
      <c r="BP64" s="147"/>
      <c r="BQ64" s="147"/>
      <c r="BR64" s="147"/>
      <c r="BS64" s="147"/>
      <c r="BT64" s="147"/>
      <c r="BU64" s="147"/>
      <c r="BV64" s="147"/>
    </row>
    <row r="65" spans="1:74" collapsed="1">
      <c r="A65" s="191" t="str">
        <f>'Divisional Summary'!C16</f>
        <v>Pratt &amp; Whitney</v>
      </c>
      <c r="B65" s="160">
        <f>'Divisional Summary'!AS16</f>
        <v>12129</v>
      </c>
      <c r="C65" s="161">
        <f>'Divisional Summary'!AT16</f>
        <v>3464</v>
      </c>
      <c r="D65" s="161">
        <f>'Divisional Summary'!AU16</f>
        <v>3569</v>
      </c>
      <c r="E65" s="161">
        <f>'Divisional Summary'!AV16</f>
        <v>3421</v>
      </c>
      <c r="F65" s="161">
        <f>'Divisional Summary'!AW16</f>
        <v>3587</v>
      </c>
      <c r="G65" s="160">
        <f>'Divisional Summary'!AX16</f>
        <v>14041</v>
      </c>
      <c r="H65" s="161">
        <f>'Divisional Summary'!AY16</f>
        <v>3158</v>
      </c>
      <c r="I65" s="161">
        <f>'Divisional Summary'!AZ16</f>
        <v>3053</v>
      </c>
      <c r="J65" s="161">
        <f>'Divisional Summary'!BA16</f>
        <v>2972</v>
      </c>
      <c r="K65" s="161">
        <f>'Divisional Summary'!BB16</f>
        <v>3209</v>
      </c>
      <c r="L65" s="160">
        <f>'Divisional Summary'!BC16</f>
        <v>12392</v>
      </c>
      <c r="M65" s="161">
        <f>'Divisional Summary'!BD16</f>
        <v>2841</v>
      </c>
      <c r="N65" s="161">
        <f>'Divisional Summary'!BE16</f>
        <v>3279</v>
      </c>
      <c r="O65" s="161">
        <f>'Divisional Summary'!BF16</f>
        <v>3230</v>
      </c>
      <c r="P65" s="161">
        <f>'Divisional Summary'!BG16</f>
        <v>3585</v>
      </c>
      <c r="Q65" s="160">
        <f>'Divisional Summary'!BH16</f>
        <v>12935</v>
      </c>
      <c r="R65" s="161">
        <f>'Divisional Summary'!BI16</f>
        <v>2873</v>
      </c>
      <c r="S65" s="161">
        <f>'Divisional Summary'!BJ16</f>
        <v>3276</v>
      </c>
      <c r="T65" s="161">
        <f>'Divisional Summary'!BK16</f>
        <v>3081</v>
      </c>
      <c r="U65" s="161">
        <f>'Divisional Summary'!BL16</f>
        <v>3481</v>
      </c>
      <c r="V65" s="160">
        <f>'Divisional Summary'!BM16</f>
        <v>12711</v>
      </c>
      <c r="W65" s="161">
        <f>'Divisional Summary'!BN16</f>
        <v>3052</v>
      </c>
      <c r="X65" s="161">
        <f>'Divisional Summary'!BO16</f>
        <v>3447</v>
      </c>
      <c r="Y65" s="161">
        <f>'Divisional Summary'!BP16</f>
        <v>3574</v>
      </c>
      <c r="Z65" s="161">
        <f>'Divisional Summary'!BQ16</f>
        <v>3891</v>
      </c>
      <c r="AA65" s="160">
        <f>'Divisional Summary'!BR16</f>
        <v>13964</v>
      </c>
      <c r="AB65" s="161">
        <f>'Divisional Summary'!BS16</f>
        <v>3402</v>
      </c>
      <c r="AC65" s="161">
        <f>'Divisional Summary'!BT16</f>
        <v>3624</v>
      </c>
      <c r="AD65" s="161">
        <f>'Divisional Summary'!BU16</f>
        <v>3386</v>
      </c>
      <c r="AE65" s="161">
        <f>'Divisional Summary'!BV16</f>
        <v>4089</v>
      </c>
      <c r="AF65" s="160">
        <f>'Divisional Summary'!BW16</f>
        <v>14501</v>
      </c>
      <c r="AG65" s="161">
        <f>'Divisional Summary'!BX16</f>
        <v>3329</v>
      </c>
      <c r="AH65" s="161">
        <f>'Divisional Summary'!BY16</f>
        <v>3592</v>
      </c>
      <c r="AI65" s="161">
        <f>'Divisional Summary'!BZ16</f>
        <v>3564</v>
      </c>
      <c r="AJ65" s="161">
        <f>'Divisional Summary'!CA16</f>
        <v>4023</v>
      </c>
      <c r="AK65" s="160">
        <f>'Divisional Summary'!CB16</f>
        <v>14508</v>
      </c>
      <c r="AL65" s="161">
        <f>'Divisional Summary'!CC16</f>
        <v>3332</v>
      </c>
      <c r="AM65" s="161">
        <f>'Divisional Summary'!CD16</f>
        <v>3677</v>
      </c>
      <c r="AN65" s="161">
        <f>'Divisional Summary'!CE16</f>
        <v>3234</v>
      </c>
      <c r="AO65" s="161">
        <f>'Divisional Summary'!CF16</f>
        <v>3839</v>
      </c>
      <c r="AP65" s="160">
        <f>'Divisional Summary'!CG16</f>
        <v>14082</v>
      </c>
      <c r="AQ65" s="161">
        <f>'Divisional Summary'!CH16</f>
        <v>3588</v>
      </c>
      <c r="AR65" s="161">
        <f>'Divisional Summary'!CI16</f>
        <v>3813</v>
      </c>
      <c r="AS65" s="161">
        <f>'Divisional Summary'!CJ16</f>
        <v>3501</v>
      </c>
      <c r="AT65" s="161">
        <f>'Divisional Summary'!CK16</f>
        <v>3992</v>
      </c>
      <c r="AU65" s="160">
        <f>'Divisional Summary'!CL16</f>
        <v>14894</v>
      </c>
      <c r="AV65" s="2036">
        <f>'Divisional Summary'!CM16</f>
        <v>3758</v>
      </c>
      <c r="AW65" s="2036">
        <f>'Divisional Summary'!CN16</f>
        <v>4070</v>
      </c>
      <c r="AX65" s="2036">
        <f>'Divisional Summary'!CO16</f>
        <v>3871</v>
      </c>
      <c r="AY65" s="2036">
        <f>'Divisional Summary'!CP16</f>
        <v>4190.5484314727373</v>
      </c>
      <c r="AZ65" s="160">
        <f>'Divisional Summary'!CQ16</f>
        <v>15889.548431472736</v>
      </c>
      <c r="BA65" s="2036">
        <f>'Divisional Summary'!CR16</f>
        <v>4063.5811618776229</v>
      </c>
      <c r="BB65" s="2036">
        <f>'Divisional Summary'!CS16</f>
        <v>4400.9513913895489</v>
      </c>
      <c r="BC65" s="2036">
        <f>'Divisional Summary'!CT16</f>
        <v>3844.4697385918776</v>
      </c>
      <c r="BD65" s="2036">
        <f>'Divisional Summary'!CU16</f>
        <v>4503.3944207153208</v>
      </c>
      <c r="BE65" s="160">
        <f>'Divisional Summary'!CV16</f>
        <v>17022.184420715319</v>
      </c>
      <c r="BF65" s="160">
        <f>'Divisional Summary'!CW16</f>
        <v>18249.319934002597</v>
      </c>
      <c r="BG65" s="147"/>
      <c r="BH65" s="147"/>
      <c r="BI65" s="147"/>
      <c r="BJ65" s="147"/>
      <c r="BK65" s="147"/>
      <c r="BL65" s="147"/>
      <c r="BM65" s="147"/>
      <c r="BN65" s="147"/>
      <c r="BO65" s="147"/>
      <c r="BP65" s="147"/>
      <c r="BQ65" s="147"/>
      <c r="BR65" s="147"/>
      <c r="BS65" s="147"/>
      <c r="BT65" s="147"/>
      <c r="BU65" s="147"/>
      <c r="BV65" s="147"/>
    </row>
    <row r="66" spans="1:74">
      <c r="A66" s="191" t="s">
        <v>164</v>
      </c>
      <c r="B66" s="160"/>
      <c r="C66" s="161"/>
      <c r="D66" s="161"/>
      <c r="E66" s="161"/>
      <c r="F66" s="161"/>
      <c r="G66" s="160"/>
      <c r="H66" s="161"/>
      <c r="I66" s="161"/>
      <c r="J66" s="161"/>
      <c r="K66" s="161"/>
      <c r="L66" s="160"/>
      <c r="M66" s="161"/>
      <c r="N66" s="161"/>
      <c r="O66" s="161"/>
      <c r="P66" s="161"/>
      <c r="Q66" s="160"/>
      <c r="R66" s="161">
        <f>'Divisional Summary'!BI18</f>
        <v>1138</v>
      </c>
      <c r="S66" s="161">
        <f>'Divisional Summary'!BJ18</f>
        <v>1171</v>
      </c>
      <c r="T66" s="161">
        <f>'Divisional Summary'!BK18</f>
        <v>1187</v>
      </c>
      <c r="U66" s="161">
        <f>'Divisional Summary'!BL18</f>
        <v>1264</v>
      </c>
      <c r="V66" s="160">
        <f>'Divisional Summary'!BM18</f>
        <v>4760</v>
      </c>
      <c r="W66" s="161">
        <f>'Divisional Summary'!BN18</f>
        <v>1236</v>
      </c>
      <c r="X66" s="161">
        <f>'Divisional Summary'!BO18</f>
        <v>1254</v>
      </c>
      <c r="Y66" s="161">
        <f>'Divisional Summary'!BP18</f>
        <v>2670</v>
      </c>
      <c r="Z66" s="161">
        <f>'Divisional Summary'!BQ18</f>
        <v>3174</v>
      </c>
      <c r="AA66" s="160">
        <f>'Divisional Summary'!BR18</f>
        <v>8334</v>
      </c>
      <c r="AB66" s="161">
        <f>'Divisional Summary'!BS18</f>
        <v>3263</v>
      </c>
      <c r="AC66" s="161">
        <f>'Divisional Summary'!BT18</f>
        <v>3321</v>
      </c>
      <c r="AD66" s="161">
        <f>'Divisional Summary'!BU18</f>
        <v>3312</v>
      </c>
      <c r="AE66" s="161">
        <f>'Divisional Summary'!BV18</f>
        <v>3451</v>
      </c>
      <c r="AF66" s="160">
        <f>'Divisional Summary'!BW18</f>
        <v>13347</v>
      </c>
      <c r="AG66" s="161">
        <f>'Divisional Summary'!BX18</f>
        <v>3450</v>
      </c>
      <c r="AH66" s="161">
        <f>'Divisional Summary'!BY18</f>
        <v>3636</v>
      </c>
      <c r="AI66" s="161">
        <f>'Divisional Summary'!BZ18</f>
        <v>3535</v>
      </c>
      <c r="AJ66" s="161">
        <f>'Divisional Summary'!CA18</f>
        <v>3594</v>
      </c>
      <c r="AK66" s="160">
        <f>'Divisional Summary'!CB18</f>
        <v>14215</v>
      </c>
      <c r="AL66" s="161">
        <f>'Divisional Summary'!CC18</f>
        <v>3548</v>
      </c>
      <c r="AM66" s="161">
        <f>'Divisional Summary'!CD18</f>
        <v>3632</v>
      </c>
      <c r="AN66" s="161">
        <f>'Divisional Summary'!CE18</f>
        <v>3457</v>
      </c>
      <c r="AO66" s="161">
        <f>'Divisional Summary'!CF18</f>
        <v>3457</v>
      </c>
      <c r="AP66" s="160">
        <f>'Divisional Summary'!CG18</f>
        <v>14094</v>
      </c>
      <c r="AQ66" s="161">
        <f>'Divisional Summary'!CH18</f>
        <v>3505</v>
      </c>
      <c r="AR66" s="161">
        <f>'Divisional Summary'!CI18</f>
        <v>3716</v>
      </c>
      <c r="AS66" s="161">
        <f>'Divisional Summary'!CJ18</f>
        <v>3646</v>
      </c>
      <c r="AT66" s="161">
        <f>'Divisional Summary'!CK18</f>
        <v>3598</v>
      </c>
      <c r="AU66" s="160">
        <f>'Divisional Summary'!CL18</f>
        <v>14465</v>
      </c>
      <c r="AV66" s="2036">
        <f>'Divisional Summary'!CM18</f>
        <v>3611</v>
      </c>
      <c r="AW66" s="2036">
        <f>'Divisional Summary'!CN18</f>
        <v>3640</v>
      </c>
      <c r="AX66" s="2036">
        <f>'Divisional Summary'!CO18</f>
        <v>3637</v>
      </c>
      <c r="AY66" s="2036">
        <f>'Divisional Summary'!CP18</f>
        <v>3741.9324932500022</v>
      </c>
      <c r="AZ66" s="160">
        <f>'Divisional Summary'!CQ18</f>
        <v>14629.932493250002</v>
      </c>
      <c r="BA66" s="2036">
        <f>'Divisional Summary'!CR18</f>
        <v>3774.9011912988894</v>
      </c>
      <c r="BB66" s="2036">
        <f>'Divisional Summary'!CS18</f>
        <v>3878.0174844441863</v>
      </c>
      <c r="BC66" s="2036">
        <f>'Divisional Summary'!CT18</f>
        <v>3874.8213161877766</v>
      </c>
      <c r="BD66" s="2036">
        <f>'Divisional Summary'!CU18</f>
        <v>3904.6494536700006</v>
      </c>
      <c r="BE66" s="160">
        <f>'Divisional Summary'!CV18</f>
        <v>15432.389445600853</v>
      </c>
      <c r="BF66" s="160">
        <f>'Divisional Summary'!CW18</f>
        <v>16214.362530079052</v>
      </c>
      <c r="BG66" s="147"/>
      <c r="BH66" s="147"/>
      <c r="BI66" s="147"/>
      <c r="BJ66" s="147"/>
      <c r="BK66" s="147"/>
      <c r="BL66" s="147"/>
      <c r="BM66" s="147"/>
      <c r="BN66" s="147"/>
      <c r="BO66" s="147"/>
      <c r="BP66" s="147"/>
      <c r="BQ66" s="147"/>
      <c r="BR66" s="147"/>
      <c r="BS66" s="147"/>
      <c r="BT66" s="147"/>
      <c r="BU66" s="147"/>
      <c r="BV66" s="147"/>
    </row>
    <row r="67" spans="1:74" ht="12.75" hidden="1" customHeight="1">
      <c r="A67" s="191" t="str">
        <f>'Divisional Summary'!C20</f>
        <v>Sikorsky</v>
      </c>
      <c r="B67" s="160">
        <f>'Divisional Summary'!AS20</f>
        <v>4789</v>
      </c>
      <c r="C67" s="161">
        <f>'Divisional Summary'!AT20</f>
        <v>1023</v>
      </c>
      <c r="D67" s="161">
        <f>'Divisional Summary'!AU20</f>
        <v>1307</v>
      </c>
      <c r="E67" s="161">
        <f>'Divisional Summary'!AV20</f>
        <v>1438</v>
      </c>
      <c r="F67" s="161">
        <f>'Divisional Summary'!AW20</f>
        <v>1600</v>
      </c>
      <c r="G67" s="160">
        <f>'Divisional Summary'!AX20</f>
        <v>5368</v>
      </c>
      <c r="H67" s="161">
        <f>'Divisional Summary'!AY20</f>
        <v>1321</v>
      </c>
      <c r="I67" s="161">
        <f>'Divisional Summary'!AZ20</f>
        <v>1382</v>
      </c>
      <c r="J67" s="161">
        <f>'Divisional Summary'!BA20</f>
        <v>1640</v>
      </c>
      <c r="K67" s="161">
        <f>'Divisional Summary'!BB20</f>
        <v>1944</v>
      </c>
      <c r="L67" s="160">
        <f>'Divisional Summary'!BC20</f>
        <v>6287</v>
      </c>
      <c r="M67" s="161">
        <f>'Divisional Summary'!BD20</f>
        <v>1358</v>
      </c>
      <c r="N67" s="161">
        <f>'Divisional Summary'!BE20</f>
        <v>1692</v>
      </c>
      <c r="O67" s="161">
        <f>'Divisional Summary'!BF20</f>
        <v>1547</v>
      </c>
      <c r="P67" s="161">
        <f>'Divisional Summary'!BG20</f>
        <v>2087</v>
      </c>
      <c r="Q67" s="160">
        <f>'Divisional Summary'!BH20</f>
        <v>6684</v>
      </c>
      <c r="R67" s="161">
        <f>'Divisional Summary'!BI20</f>
        <v>1582</v>
      </c>
      <c r="S67" s="161">
        <f>'Divisional Summary'!BJ20</f>
        <v>1786</v>
      </c>
      <c r="T67" s="161">
        <f>'Divisional Summary'!BK20</f>
        <v>1877</v>
      </c>
      <c r="U67" s="161">
        <f>'Divisional Summary'!BL20</f>
        <v>2110</v>
      </c>
      <c r="V67" s="160">
        <f>'Divisional Summary'!BM20</f>
        <v>7355</v>
      </c>
      <c r="W67" s="161">
        <f>'Divisional Summary'!BN20</f>
        <v>1346</v>
      </c>
      <c r="X67" s="161">
        <f>'Divisional Summary'!BO20</f>
        <v>1620</v>
      </c>
      <c r="Y67" s="161">
        <f>'Divisional Summary'!BP20</f>
        <v>1649</v>
      </c>
      <c r="Z67" s="161">
        <f>'Divisional Summary'!BQ20</f>
        <v>2176</v>
      </c>
      <c r="AA67" s="160">
        <f>'Divisional Summary'!BR20</f>
        <v>6791</v>
      </c>
      <c r="AB67" s="161">
        <f>'Divisional Summary'!BS20</f>
        <v>1249</v>
      </c>
      <c r="AC67" s="161">
        <f>'Divisional Summary'!BT20</f>
        <v>1566</v>
      </c>
      <c r="AD67" s="161">
        <f>'Divisional Summary'!BU20</f>
        <v>1541</v>
      </c>
      <c r="AE67" s="161">
        <f>'Divisional Summary'!BV20</f>
        <v>1897</v>
      </c>
      <c r="AF67" s="160">
        <f>'Divisional Summary'!BW20</f>
        <v>6253</v>
      </c>
      <c r="AG67" s="161">
        <f>'Divisional Summary'!BX20</f>
        <v>1361</v>
      </c>
      <c r="AH67" s="161">
        <f>'Divisional Summary'!BY20</f>
        <v>2384</v>
      </c>
      <c r="AI67" s="161">
        <f>'Divisional Summary'!BZ20</f>
        <v>1620</v>
      </c>
      <c r="AJ67" s="161">
        <f>'Divisional Summary'!CA20</f>
        <v>2086</v>
      </c>
      <c r="AK67" s="160">
        <f>'Divisional Summary'!CB20</f>
        <v>7451</v>
      </c>
      <c r="AL67" s="161">
        <f>'Divisional Summary'!CC20</f>
        <v>0</v>
      </c>
      <c r="AM67" s="161">
        <f>'Divisional Summary'!CD20</f>
        <v>0</v>
      </c>
      <c r="AN67" s="161">
        <f>'Divisional Summary'!CE20</f>
        <v>0</v>
      </c>
      <c r="AO67" s="161">
        <f>'Divisional Summary'!CF20</f>
        <v>0</v>
      </c>
      <c r="AP67" s="160">
        <f>'Divisional Summary'!CG20</f>
        <v>0</v>
      </c>
      <c r="AQ67" s="161">
        <f>'Divisional Summary'!CH20</f>
        <v>0</v>
      </c>
      <c r="AR67" s="161">
        <f>'Divisional Summary'!CI20</f>
        <v>0</v>
      </c>
      <c r="AS67" s="161">
        <f>'Divisional Summary'!CJ20</f>
        <v>0</v>
      </c>
      <c r="AT67" s="161">
        <f>'Divisional Summary'!CK20</f>
        <v>0</v>
      </c>
      <c r="AU67" s="160">
        <f>'Divisional Summary'!CL20</f>
        <v>0</v>
      </c>
      <c r="AV67" s="2036">
        <f>'Divisional Summary'!CM20</f>
        <v>0</v>
      </c>
      <c r="AW67" s="2036">
        <f>'Divisional Summary'!CN20</f>
        <v>0</v>
      </c>
      <c r="AX67" s="2036">
        <f>'Divisional Summary'!CO20</f>
        <v>0</v>
      </c>
      <c r="AY67" s="2036">
        <f>'Divisional Summary'!CP20</f>
        <v>0</v>
      </c>
      <c r="AZ67" s="160">
        <f>'Divisional Summary'!CQ20</f>
        <v>0</v>
      </c>
      <c r="BA67" s="2036">
        <f>'Divisional Summary'!CR20</f>
        <v>0</v>
      </c>
      <c r="BB67" s="2036">
        <f>'Divisional Summary'!CS20</f>
        <v>0</v>
      </c>
      <c r="BC67" s="2036">
        <f>'Divisional Summary'!CT20</f>
        <v>0</v>
      </c>
      <c r="BD67" s="2036">
        <f>'Divisional Summary'!CU20</f>
        <v>0</v>
      </c>
      <c r="BE67" s="160">
        <f>'Divisional Summary'!CV20</f>
        <v>0</v>
      </c>
      <c r="BF67" s="160">
        <f>'Divisional Summary'!CW20</f>
        <v>0</v>
      </c>
      <c r="BG67" s="147"/>
      <c r="BH67" s="147"/>
      <c r="BI67" s="147"/>
      <c r="BJ67" s="147"/>
      <c r="BK67" s="147"/>
      <c r="BL67" s="147"/>
      <c r="BM67" s="147"/>
      <c r="BN67" s="147"/>
      <c r="BO67" s="147"/>
      <c r="BP67" s="147"/>
      <c r="BQ67" s="147"/>
      <c r="BR67" s="147"/>
      <c r="BS67" s="147"/>
      <c r="BT67" s="147"/>
      <c r="BU67" s="147"/>
      <c r="BV67" s="147"/>
    </row>
    <row r="68" spans="1:74">
      <c r="A68" s="213" t="str">
        <f>'Divisional Summary'!C21</f>
        <v>Eliminations</v>
      </c>
      <c r="B68" s="151">
        <f>'Divisional Summary'!AS21</f>
        <v>-78</v>
      </c>
      <c r="C68" s="152">
        <f>'Divisional Summary'!AT21</f>
        <v>-54</v>
      </c>
      <c r="D68" s="152">
        <f>'Divisional Summary'!AU21</f>
        <v>-80</v>
      </c>
      <c r="E68" s="152">
        <f>'Divisional Summary'!AV21</f>
        <v>-92</v>
      </c>
      <c r="F68" s="152">
        <f>'Divisional Summary'!AW21</f>
        <v>12</v>
      </c>
      <c r="G68" s="151">
        <f>'Divisional Summary'!AX21</f>
        <v>-214</v>
      </c>
      <c r="H68" s="152">
        <f>'Divisional Summary'!AY21</f>
        <v>-87</v>
      </c>
      <c r="I68" s="152">
        <f>'Divisional Summary'!AZ21</f>
        <v>-100</v>
      </c>
      <c r="J68" s="152">
        <f>'Divisional Summary'!BA21</f>
        <v>-82</v>
      </c>
      <c r="K68" s="152">
        <f>'Divisional Summary'!BB21</f>
        <v>-106</v>
      </c>
      <c r="L68" s="151">
        <f>'Divisional Summary'!BC21</f>
        <v>-375</v>
      </c>
      <c r="M68" s="152">
        <f>'Divisional Summary'!BD21</f>
        <v>-93</v>
      </c>
      <c r="N68" s="152">
        <f>'Divisional Summary'!BE21</f>
        <v>-94</v>
      </c>
      <c r="O68" s="152">
        <f>'Divisional Summary'!BF21</f>
        <v>-78</v>
      </c>
      <c r="P68" s="152">
        <f>'Divisional Summary'!BG21</f>
        <v>-91</v>
      </c>
      <c r="Q68" s="151">
        <f>'Divisional Summary'!BH21</f>
        <v>-356</v>
      </c>
      <c r="R68" s="152">
        <f>'Divisional Summary'!BI21</f>
        <v>-85</v>
      </c>
      <c r="S68" s="152">
        <f>'Divisional Summary'!BJ21</f>
        <v>-96</v>
      </c>
      <c r="T68" s="152">
        <f>'Divisional Summary'!BK21</f>
        <v>-93</v>
      </c>
      <c r="U68" s="152">
        <f>'Divisional Summary'!BL21</f>
        <v>-99</v>
      </c>
      <c r="V68" s="151">
        <f>'Divisional Summary'!BM21</f>
        <v>-373</v>
      </c>
      <c r="W68" s="152">
        <f>'Divisional Summary'!BN21</f>
        <v>-100</v>
      </c>
      <c r="X68" s="152">
        <f>'Divisional Summary'!BO21</f>
        <v>-113</v>
      </c>
      <c r="Y68" s="152">
        <f>'Divisional Summary'!BP21</f>
        <v>-164</v>
      </c>
      <c r="Z68" s="152">
        <f>'Divisional Summary'!BQ21</f>
        <v>-150</v>
      </c>
      <c r="AA68" s="151">
        <f>'Divisional Summary'!BR21</f>
        <v>-527</v>
      </c>
      <c r="AB68" s="152">
        <f>'Divisional Summary'!BS21</f>
        <v>-166</v>
      </c>
      <c r="AC68" s="152">
        <f>'Divisional Summary'!BT21</f>
        <v>-186</v>
      </c>
      <c r="AD68" s="152">
        <f>'Divisional Summary'!BU21</f>
        <v>-202</v>
      </c>
      <c r="AE68" s="152">
        <f>'Divisional Summary'!BV21</f>
        <v>-214</v>
      </c>
      <c r="AF68" s="151">
        <f>'Divisional Summary'!BW21</f>
        <v>-768</v>
      </c>
      <c r="AG68" s="152">
        <f>'Divisional Summary'!BX21</f>
        <v>-201</v>
      </c>
      <c r="AH68" s="152">
        <f>'Divisional Summary'!BY21</f>
        <v>-215</v>
      </c>
      <c r="AI68" s="152">
        <f>'Divisional Summary'!BZ21</f>
        <v>-228</v>
      </c>
      <c r="AJ68" s="152">
        <f>'Divisional Summary'!CA21</f>
        <v>-235</v>
      </c>
      <c r="AK68" s="151">
        <f>'Divisional Summary'!CB21</f>
        <v>-879</v>
      </c>
      <c r="AL68" s="152">
        <f>'Divisional Summary'!CC21</f>
        <v>-157</v>
      </c>
      <c r="AM68" s="152">
        <f>'Divisional Summary'!CD21</f>
        <v>-164</v>
      </c>
      <c r="AN68" s="152">
        <f>'Divisional Summary'!CE21</f>
        <v>-225</v>
      </c>
      <c r="AO68" s="152">
        <f>'Divisional Summary'!CF21</f>
        <v>-212</v>
      </c>
      <c r="AP68" s="151">
        <f>'Divisional Summary'!CG21</f>
        <v>-756.66387461710849</v>
      </c>
      <c r="AQ68" s="152">
        <f>'Divisional Summary'!CH21</f>
        <v>-179</v>
      </c>
      <c r="AR68" s="152">
        <f>'Divisional Summary'!CI21</f>
        <v>-211</v>
      </c>
      <c r="AS68" s="152">
        <f>'Divisional Summary'!CJ21</f>
        <v>-226</v>
      </c>
      <c r="AT68" s="152">
        <f>'Divisional Summary'!CK21</f>
        <v>-243</v>
      </c>
      <c r="AU68" s="151">
        <f>'Divisional Summary'!CL21</f>
        <v>-859</v>
      </c>
      <c r="AV68" s="2032">
        <f>'Divisional Summary'!CM21</f>
        <v>-250</v>
      </c>
      <c r="AW68" s="2032">
        <f>'Divisional Summary'!CN21</f>
        <v>-273</v>
      </c>
      <c r="AX68" s="2032">
        <f>'Divisional Summary'!CO21</f>
        <v>-290</v>
      </c>
      <c r="AY68" s="2032">
        <f>'Divisional Summary'!CP21</f>
        <v>-254.47563757395389</v>
      </c>
      <c r="AZ68" s="151">
        <f>'Divisional Summary'!CQ21</f>
        <v>-1067.4756375739539</v>
      </c>
      <c r="BA68" s="2032">
        <f>'Divisional Summary'!CR21</f>
        <v>-282.70365985115831</v>
      </c>
      <c r="BB68" s="2032">
        <f>'Divisional Summary'!CS21</f>
        <v>-282.70365985115831</v>
      </c>
      <c r="BC68" s="2032">
        <f>'Divisional Summary'!CT21</f>
        <v>-282.70365985115831</v>
      </c>
      <c r="BD68" s="2032">
        <f>'Divisional Summary'!CU21</f>
        <v>-282.70365985115831</v>
      </c>
      <c r="BE68" s="151">
        <f>'Divisional Summary'!CV21</f>
        <v>-1130.8146394046332</v>
      </c>
      <c r="BF68" s="151">
        <f>'Divisional Summary'!CW21</f>
        <v>-1179.8074346044345</v>
      </c>
      <c r="BG68" s="147"/>
      <c r="BH68" s="147"/>
      <c r="BI68" s="147"/>
      <c r="BJ68" s="147"/>
      <c r="BK68" s="147"/>
      <c r="BL68" s="147"/>
      <c r="BM68" s="147"/>
      <c r="BN68" s="147"/>
      <c r="BO68" s="147"/>
      <c r="BP68" s="147"/>
      <c r="BQ68" s="147"/>
      <c r="BR68" s="147"/>
      <c r="BS68" s="147"/>
      <c r="BT68" s="147"/>
      <c r="BU68" s="147"/>
      <c r="BV68" s="147"/>
    </row>
    <row r="69" spans="1:74">
      <c r="A69" s="179" t="s">
        <v>113</v>
      </c>
      <c r="B69" s="172">
        <f>'Divisional Summary'!AS22</f>
        <v>54759</v>
      </c>
      <c r="C69" s="173">
        <f>'Divisional Summary'!AT22</f>
        <v>13958</v>
      </c>
      <c r="D69" s="173">
        <f>'Divisional Summary'!AU22</f>
        <v>15944</v>
      </c>
      <c r="E69" s="173">
        <f>'Divisional Summary'!AV22</f>
        <v>15085</v>
      </c>
      <c r="F69" s="173">
        <f>'Divisional Summary'!AW22</f>
        <v>14770</v>
      </c>
      <c r="G69" s="172">
        <f>'Divisional Summary'!AX22</f>
        <v>59757</v>
      </c>
      <c r="H69" s="173">
        <f>'Divisional Summary'!AY22</f>
        <v>12199</v>
      </c>
      <c r="I69" s="173">
        <f>'Divisional Summary'!AZ22</f>
        <v>13060</v>
      </c>
      <c r="J69" s="173">
        <f>'Divisional Summary'!BA22</f>
        <v>13187</v>
      </c>
      <c r="K69" s="173">
        <f>'Divisional Summary'!BB22</f>
        <v>13979</v>
      </c>
      <c r="L69" s="172">
        <f>'Divisional Summary'!BC22</f>
        <v>52425</v>
      </c>
      <c r="M69" s="173">
        <f>'Divisional Summary'!BD22</f>
        <v>12040</v>
      </c>
      <c r="N69" s="173">
        <f>'Divisional Summary'!BE22</f>
        <v>13802</v>
      </c>
      <c r="O69" s="173">
        <f>'Divisional Summary'!BF22</f>
        <v>13620</v>
      </c>
      <c r="P69" s="173">
        <f>'Divisional Summary'!BG22</f>
        <v>14864</v>
      </c>
      <c r="Q69" s="172">
        <f>'Divisional Summary'!BH22</f>
        <v>54326</v>
      </c>
      <c r="R69" s="173">
        <f>'Divisional Summary'!BI22</f>
        <v>12673</v>
      </c>
      <c r="S69" s="173">
        <f>'Divisional Summary'!BJ22</f>
        <v>14469</v>
      </c>
      <c r="T69" s="173">
        <f>'Divisional Summary'!BK22</f>
        <v>14235</v>
      </c>
      <c r="U69" s="173">
        <f>'Divisional Summary'!BL22</f>
        <v>14377</v>
      </c>
      <c r="V69" s="172">
        <f>'Divisional Summary'!BM22</f>
        <v>55754</v>
      </c>
      <c r="W69" s="173">
        <f>'Divisional Summary'!BN22</f>
        <v>12416</v>
      </c>
      <c r="X69" s="173">
        <f>'Divisional Summary'!BO22</f>
        <v>13807</v>
      </c>
      <c r="Y69" s="173">
        <f>'Divisional Summary'!BP22</f>
        <v>15042</v>
      </c>
      <c r="Z69" s="173">
        <f>'Divisional Summary'!BQ22</f>
        <v>16443</v>
      </c>
      <c r="AA69" s="172">
        <f>'Divisional Summary'!BR22</f>
        <v>57708</v>
      </c>
      <c r="AB69" s="173">
        <f>'Divisional Summary'!BS22</f>
        <v>14399</v>
      </c>
      <c r="AC69" s="173">
        <f>'Divisional Summary'!BT22</f>
        <v>16006</v>
      </c>
      <c r="AD69" s="173">
        <f>'Divisional Summary'!BU22</f>
        <v>15462</v>
      </c>
      <c r="AE69" s="173">
        <f>'Divisional Summary'!BV22</f>
        <v>16759</v>
      </c>
      <c r="AF69" s="172">
        <f>'Divisional Summary'!BW22</f>
        <v>62626</v>
      </c>
      <c r="AG69" s="173">
        <f>'Divisional Summary'!BX22</f>
        <v>14745</v>
      </c>
      <c r="AH69" s="173">
        <f>'Divisional Summary'!BY22</f>
        <v>17191</v>
      </c>
      <c r="AI69" s="173">
        <f>'Divisional Summary'!BZ22</f>
        <v>16168</v>
      </c>
      <c r="AJ69" s="173">
        <f>'Divisional Summary'!CA22</f>
        <v>16996</v>
      </c>
      <c r="AK69" s="172">
        <f>'Divisional Summary'!CB22</f>
        <v>65100</v>
      </c>
      <c r="AL69" s="173">
        <f>'Divisional Summary'!CC22</f>
        <v>13320</v>
      </c>
      <c r="AM69" s="173">
        <f>'Divisional Summary'!CD22</f>
        <v>14697</v>
      </c>
      <c r="AN69" s="173">
        <f>'Divisional Summary'!CE22</f>
        <v>13788</v>
      </c>
      <c r="AO69" s="173">
        <f>'Divisional Summary'!CF22</f>
        <v>14300</v>
      </c>
      <c r="AP69" s="172">
        <f>'Divisional Summary'!CG22</f>
        <v>56039.611191779026</v>
      </c>
      <c r="AQ69" s="173">
        <f>'Divisional Summary'!CH22</f>
        <v>13357</v>
      </c>
      <c r="AR69" s="173">
        <f>'Divisional Summary'!CI22</f>
        <v>14874</v>
      </c>
      <c r="AS69" s="173">
        <f>'Divisional Summary'!CJ22</f>
        <v>14354</v>
      </c>
      <c r="AT69" s="173">
        <f>'Divisional Summary'!CK22</f>
        <v>14659</v>
      </c>
      <c r="AU69" s="172">
        <f>'Divisional Summary'!CL22</f>
        <v>57244</v>
      </c>
      <c r="AV69" s="2039">
        <f>'Divisional Summary'!CM22</f>
        <v>13815</v>
      </c>
      <c r="AW69" s="2039">
        <f>'Divisional Summary'!CN22</f>
        <v>15280</v>
      </c>
      <c r="AX69" s="2039">
        <f>'Divisional Summary'!CO22</f>
        <v>15062</v>
      </c>
      <c r="AY69" s="2039">
        <f>'Divisional Summary'!CP22</f>
        <v>15351.269017269917</v>
      </c>
      <c r="AZ69" s="172">
        <f>'Divisional Summary'!CQ22</f>
        <v>59508.269017269915</v>
      </c>
      <c r="BA69" s="2039">
        <f>'Divisional Summary'!CR22</f>
        <v>14667.335541751592</v>
      </c>
      <c r="BB69" s="2039">
        <f>'Divisional Summary'!CS22</f>
        <v>16358.718417161737</v>
      </c>
      <c r="BC69" s="2039">
        <f>'Divisional Summary'!CT22</f>
        <v>15800.409910742877</v>
      </c>
      <c r="BD69" s="2039">
        <f>'Divisional Summary'!CU22</f>
        <v>16002.959249809173</v>
      </c>
      <c r="BE69" s="172">
        <f>'Divisional Summary'!CV22</f>
        <v>63039.210827606337</v>
      </c>
      <c r="BF69" s="172">
        <f>'Divisional Summary'!CW22</f>
        <v>65770.398626218564</v>
      </c>
      <c r="BG69" s="147"/>
      <c r="BH69" s="147"/>
      <c r="BI69" s="147"/>
      <c r="BJ69" s="147"/>
      <c r="BK69" s="147"/>
      <c r="BL69" s="147"/>
      <c r="BM69" s="147"/>
      <c r="BN69" s="147"/>
      <c r="BO69" s="147"/>
      <c r="BP69" s="147"/>
      <c r="BQ69" s="147"/>
      <c r="BR69" s="147"/>
      <c r="BS69" s="147"/>
      <c r="BT69" s="147"/>
      <c r="BU69" s="147"/>
      <c r="BV69" s="147"/>
    </row>
    <row r="70" spans="1:74">
      <c r="A70" s="147"/>
      <c r="B70" s="189"/>
      <c r="C70" s="147"/>
      <c r="D70" s="147"/>
      <c r="E70" s="147"/>
      <c r="F70" s="147"/>
      <c r="G70" s="157"/>
      <c r="H70" s="147"/>
      <c r="I70" s="147"/>
      <c r="J70" s="147"/>
      <c r="K70" s="147"/>
      <c r="L70" s="157"/>
      <c r="M70" s="147"/>
      <c r="N70" s="147"/>
      <c r="O70" s="147"/>
      <c r="P70" s="147"/>
      <c r="Q70" s="157"/>
      <c r="R70" s="190"/>
      <c r="S70" s="190"/>
      <c r="T70" s="190"/>
      <c r="U70" s="190"/>
      <c r="V70" s="189"/>
      <c r="W70" s="190"/>
      <c r="X70" s="190"/>
      <c r="Y70" s="190"/>
      <c r="Z70" s="190"/>
      <c r="AA70" s="189"/>
      <c r="AB70" s="190"/>
      <c r="AC70" s="190"/>
      <c r="AD70" s="190"/>
      <c r="AE70" s="190"/>
      <c r="AF70" s="189"/>
      <c r="AG70" s="190"/>
      <c r="AH70" s="190"/>
      <c r="AI70" s="190"/>
      <c r="AJ70" s="190"/>
      <c r="AK70" s="189"/>
      <c r="AL70" s="190"/>
      <c r="AM70" s="190"/>
      <c r="AN70" s="190"/>
      <c r="AO70" s="190"/>
      <c r="AP70" s="189"/>
      <c r="AQ70" s="190"/>
      <c r="AR70" s="190"/>
      <c r="AS70" s="190"/>
      <c r="AT70" s="190"/>
      <c r="AU70" s="189"/>
      <c r="AV70" s="2046"/>
      <c r="AW70" s="2046"/>
      <c r="AX70" s="2046"/>
      <c r="AY70" s="2046"/>
      <c r="AZ70" s="189"/>
      <c r="BA70" s="2046"/>
      <c r="BB70" s="2046"/>
      <c r="BC70" s="2046"/>
      <c r="BD70" s="2046"/>
      <c r="BE70" s="189"/>
      <c r="BF70" s="189"/>
      <c r="BG70" s="147"/>
      <c r="BH70" s="147"/>
      <c r="BI70" s="147"/>
      <c r="BJ70" s="147"/>
      <c r="BK70" s="147"/>
      <c r="BL70" s="147"/>
      <c r="BM70" s="147"/>
      <c r="BN70" s="147"/>
      <c r="BO70" s="147"/>
      <c r="BP70" s="147"/>
      <c r="BQ70" s="147"/>
      <c r="BR70" s="147"/>
      <c r="BS70" s="147"/>
      <c r="BT70" s="147"/>
      <c r="BU70" s="147"/>
      <c r="BV70" s="147"/>
    </row>
    <row r="71" spans="1:74">
      <c r="A71" s="147" t="str">
        <f>A61</f>
        <v>Otis</v>
      </c>
      <c r="B71" s="201">
        <f>'Divisional Summary'!AS12/'Divisional Summary'!AN12-1</f>
        <v>0.15500485908649164</v>
      </c>
      <c r="C71" s="202">
        <f>'Divisional Summary'!AT12/'Divisional Summary'!AO12-1</f>
        <v>0.12060117302052786</v>
      </c>
      <c r="D71" s="202">
        <f>'Divisional Summary'!AU12/'Divisional Summary'!AP12-1</f>
        <v>0.19104268719384176</v>
      </c>
      <c r="E71" s="202">
        <f>'Divisional Summary'!AV12/'Divisional Summary'!AQ12-1</f>
        <v>0.10524523160762933</v>
      </c>
      <c r="F71" s="202">
        <f>'Divisional Summary'!AW12/'Divisional Summary'!AR12-1</f>
        <v>-3.5682426404995526E-2</v>
      </c>
      <c r="G71" s="201">
        <f>'Divisional Summary'!AX12/'Divisional Summary'!AS12-1</f>
        <v>8.952461085401775E-2</v>
      </c>
      <c r="H71" s="202">
        <f>'Divisional Summary'!AY12/'Divisional Summary'!AT12-1</f>
        <v>-0.12986588158325152</v>
      </c>
      <c r="I71" s="202">
        <f>'Divisional Summary'!AZ12/'Divisional Summary'!AU12-1</f>
        <v>-0.14600470035252644</v>
      </c>
      <c r="J71" s="202">
        <f>'Divisional Summary'!BA12/'Divisional Summary'!AV12-1</f>
        <v>-8.7519260400616306E-2</v>
      </c>
      <c r="K71" s="202">
        <f>'Divisional Summary'!BB12/'Divisional Summary'!AW12-1</f>
        <v>-1.4801110083256241E-2</v>
      </c>
      <c r="L71" s="201">
        <f>'Divisional Summary'!BC12/'Divisional Summary'!AX12-1</f>
        <v>-9.4679125801220176E-2</v>
      </c>
      <c r="M71" s="202">
        <f>'Divisional Summary'!BD12/'Divisional Summary'!AY12-1</f>
        <v>2.4812030075187952E-2</v>
      </c>
      <c r="N71" s="202">
        <f>'Divisional Summary'!BE12/'Divisional Summary'!AZ12-1</f>
        <v>-2.3735810113519107E-2</v>
      </c>
      <c r="O71" s="202">
        <f>'Divisional Summary'!BF12/'Divisional Summary'!BA12-1</f>
        <v>-1.7899358324890202E-2</v>
      </c>
      <c r="P71" s="202">
        <f>'Divisional Summary'!BG12/'Divisional Summary'!BB12-1</f>
        <v>-2.7543035993740195E-2</v>
      </c>
      <c r="Q71" s="201">
        <f>'Divisional Summary'!BH12/'Divisional Summary'!BC12-1</f>
        <v>-1.2283545167619203E-2</v>
      </c>
      <c r="R71" s="202">
        <f>'Divisional Summary'!BI12/'Divisional Summary'!BD12-1</f>
        <v>1.687454145267786E-2</v>
      </c>
      <c r="S71" s="202">
        <f>'Divisional Summary'!BJ12/'Divisional Summary'!BE12-1</f>
        <v>0.12473572938689226</v>
      </c>
      <c r="T71" s="202">
        <f>'Divisional Summary'!BK12/'Divisional Summary'!BF12-1</f>
        <v>0.12173314993122419</v>
      </c>
      <c r="U71" s="202">
        <f>'Divisional Summary'!BL12/'Divisional Summary'!BG12-1</f>
        <v>3.3472803347280422E-2</v>
      </c>
      <c r="V71" s="201">
        <f>'Divisional Summary'!BM12/'Divisional Summary'!BH12-1</f>
        <v>7.4099663183349262E-2</v>
      </c>
      <c r="W71" s="202">
        <f>'Divisional Summary'!BN12/'Divisional Summary'!BI12-1</f>
        <v>-7.2150072150067857E-4</v>
      </c>
      <c r="X71" s="202">
        <f>'Divisional Summary'!BO12/'Divisional Summary'!BJ12-1</f>
        <v>-5.1691729323308233E-2</v>
      </c>
      <c r="Y71" s="202">
        <f>'Divisional Summary'!BP12/'Divisional Summary'!BK12-1</f>
        <v>-6.376456161863886E-2</v>
      </c>
      <c r="Z71" s="202">
        <f>'Divisional Summary'!BQ12/'Divisional Summary'!BL12-1</f>
        <v>-1.8685767673621845E-3</v>
      </c>
      <c r="AA71" s="201">
        <f>'Divisional Summary'!BR12/'Divisional Summary'!BM12-1</f>
        <v>-3.063439736270801E-2</v>
      </c>
      <c r="AB71" s="202">
        <f>'Divisional Summary'!BS12/'Divisional Summary'!BN12-1</f>
        <v>1.5884476534296033E-2</v>
      </c>
      <c r="AC71" s="202">
        <f>'Divisional Summary'!BT12/'Divisional Summary'!BO12-1</f>
        <v>3.6669970267591667E-2</v>
      </c>
      <c r="AD71" s="202">
        <f>'Divisional Summary'!BU12/'Divisional Summary'!BP12-1</f>
        <v>4.3876882776686221E-2</v>
      </c>
      <c r="AE71" s="202">
        <f>'Divisional Summary'!BV12/'Divisional Summary'!BQ12-1</f>
        <v>4.3369734789391545E-2</v>
      </c>
      <c r="AF71" s="201">
        <f>'Divisional Summary'!BW12/'Divisional Summary'!BR12-1</f>
        <v>3.5500995355010057E-2</v>
      </c>
      <c r="AG71" s="202">
        <f>'Divisional Summary'!BX12/'Divisional Summary'!BS12-1</f>
        <v>5.0106609808102442E-2</v>
      </c>
      <c r="AH71" s="202">
        <f>'Divisional Summary'!BY12/'Divisional Summary'!BT12-1</f>
        <v>7.2339069471000661E-2</v>
      </c>
      <c r="AI71" s="202">
        <f>'Divisional Summary'!BZ12/'Divisional Summary'!BU12-1</f>
        <v>4.3287327478042759E-2</v>
      </c>
      <c r="AJ71" s="202">
        <f>'Divisional Summary'!CA12/'Divisional Summary'!BV12-1</f>
        <v>-2.3923444976076125E-3</v>
      </c>
      <c r="AK71" s="201">
        <f>'Divisional Summary'!CB12/'Divisional Summary'!BW12-1</f>
        <v>3.9891060557513569E-2</v>
      </c>
      <c r="AL71" s="202">
        <f>'Divisional Summary'!CC12/'Divisional Summary'!BX12-1</f>
        <v>-7.1065989847715727E-2</v>
      </c>
      <c r="AM71" s="202">
        <f>'Divisional Summary'!CD12/'Divisional Summary'!BY12-1</f>
        <v>-7.9346210995542399E-2</v>
      </c>
      <c r="AN71" s="202">
        <f>'Divisional Summary'!CE12/'Divisional Summary'!BZ12-1</f>
        <v>-8.5087191822008412E-2</v>
      </c>
      <c r="AO71" s="202">
        <f>'Divisional Summary'!CF12/'Divisional Summary'!CA12-1</f>
        <v>-7.2541966426858506E-2</v>
      </c>
      <c r="AP71" s="201">
        <f>'Divisional Summary'!CG12/'Divisional Summary'!CB12-1</f>
        <v>-8.2323596795861098E-2</v>
      </c>
      <c r="AQ71" s="202">
        <f>'Divisional Summary'!CH12/'Divisional Summary'!CC12-1</f>
        <v>-1.0928961748633892E-2</v>
      </c>
      <c r="AR71" s="202">
        <f>'Divisional Summary'!CI12/'Divisional Summary'!CD12-1</f>
        <v>-3.2278889606196515E-4</v>
      </c>
      <c r="AS71" s="202">
        <f>'Divisional Summary'!CJ12/'Divisional Summary'!CE12-1</f>
        <v>-8.215576733486718E-3</v>
      </c>
      <c r="AT71" s="202">
        <f>'Divisional Summary'!CK12/'Divisional Summary'!CF12-1</f>
        <v>-1.0019392372333513E-2</v>
      </c>
      <c r="AU71" s="201">
        <f>+AU61/AP61-1</f>
        <v>-1.7018885472829259E-3</v>
      </c>
      <c r="AV71" s="2050">
        <f>'Divisional Summary'!CM12/'Divisional Summary'!CH12-1</f>
        <v>3.2780847145488012E-2</v>
      </c>
      <c r="AW71" s="2050">
        <f>'Divisional Summary'!CN12/'Divisional Summary'!CI12-1</f>
        <v>1.0978366160800723E-2</v>
      </c>
      <c r="AX71" s="2050">
        <f>'Divisional Summary'!CO12/'Divisional Summary'!CJ12-1</f>
        <v>4.5725646123260466E-2</v>
      </c>
      <c r="AY71" s="2050">
        <f>'Divisional Summary'!CP12/'Divisional Summary'!CK12-1</f>
        <v>2.0000974016596951E-2</v>
      </c>
      <c r="AZ71" s="201">
        <f>+AZ61/AU61-1</f>
        <v>2.7096862306637215E-2</v>
      </c>
      <c r="BA71" s="2050">
        <f>'Divisional Summary'!CR12/'Divisional Summary'!CM12-1</f>
        <v>4.9217560096282531E-2</v>
      </c>
      <c r="BB71" s="2050">
        <f>'Divisional Summary'!CS12/'Divisional Summary'!CN12-1</f>
        <v>7.3633216837351467E-2</v>
      </c>
      <c r="BC71" s="2050">
        <f>'Divisional Summary'!CT12/'Divisional Summary'!CO12-1</f>
        <v>7.3633216837351467E-2</v>
      </c>
      <c r="BD71" s="2050">
        <f>'Divisional Summary'!CU12/'Divisional Summary'!CP12-1</f>
        <v>1.7721155826760704E-2</v>
      </c>
      <c r="BE71" s="201">
        <f>+BE61/AZ61-1</f>
        <v>5.3728161631103832E-2</v>
      </c>
      <c r="BF71" s="201">
        <f>+BF61/BE61-1</f>
        <v>2.1233870090460405E-2</v>
      </c>
      <c r="BG71" s="147"/>
      <c r="BH71" s="147"/>
      <c r="BI71" s="147"/>
      <c r="BJ71" s="147"/>
      <c r="BK71" s="147"/>
      <c r="BL71" s="147"/>
      <c r="BM71" s="147"/>
      <c r="BN71" s="147"/>
      <c r="BO71" s="147"/>
      <c r="BP71" s="147"/>
      <c r="BQ71" s="147"/>
      <c r="BR71" s="147"/>
      <c r="BS71" s="147"/>
      <c r="BT71" s="147"/>
      <c r="BU71" s="147"/>
      <c r="BV71" s="147"/>
    </row>
    <row r="72" spans="1:74">
      <c r="A72" s="191" t="s">
        <v>166</v>
      </c>
      <c r="B72" s="201"/>
      <c r="C72" s="202"/>
      <c r="D72" s="202"/>
      <c r="E72" s="202"/>
      <c r="F72" s="202"/>
      <c r="G72" s="201"/>
      <c r="H72" s="202"/>
      <c r="I72" s="202"/>
      <c r="J72" s="202"/>
      <c r="K72" s="202"/>
      <c r="L72" s="201"/>
      <c r="M72" s="202"/>
      <c r="N72" s="202"/>
      <c r="O72" s="202"/>
      <c r="P72" s="202"/>
      <c r="Q72" s="201"/>
      <c r="R72" s="202"/>
      <c r="S72" s="202"/>
      <c r="T72" s="202"/>
      <c r="U72" s="202"/>
      <c r="V72" s="201"/>
      <c r="W72" s="202">
        <f>'Divisional Summary'!BN13/'Divisional Summary'!BI13-1</f>
        <v>-6.3965399499203324E-2</v>
      </c>
      <c r="X72" s="202">
        <f>'Divisional Summary'!BO13/'Divisional Summary'!BJ13-1</f>
        <v>-0.11050583657587554</v>
      </c>
      <c r="Y72" s="202">
        <f>'Divisional Summary'!BP13/'Divisional Summary'!BK13-1</f>
        <v>-0.13452550294655563</v>
      </c>
      <c r="Z72" s="202">
        <f>'Divisional Summary'!BQ13/'Divisional Summary'!BL13-1</f>
        <v>-5.9637188208616743E-2</v>
      </c>
      <c r="AA72" s="201">
        <f>'Divisional Summary'!BR13/'Divisional Summary'!BM13-1</f>
        <v>-9.4041560644614108E-2</v>
      </c>
      <c r="AB72" s="202">
        <f>'Divisional Summary'!BS13/'Divisional Summary'!BN13-1</f>
        <v>-6.687743190661477E-2</v>
      </c>
      <c r="AC72" s="202">
        <f>'Divisional Summary'!BT13/'Divisional Summary'!BO13-1</f>
        <v>-6.3429571303587062E-3</v>
      </c>
      <c r="AD72" s="202">
        <f>'Divisional Summary'!BU13/'Divisional Summary'!BP13-1</f>
        <v>-5.1655318149800289E-3</v>
      </c>
      <c r="AE72" s="202">
        <f>'Divisional Summary'!BV13/'Divisional Summary'!BQ13-1</f>
        <v>1.0851217747769537E-2</v>
      </c>
      <c r="AF72" s="201">
        <f>'Divisional Summary'!BW13/'Divisional Summary'!BR13-1</f>
        <v>-1.644236395552956E-2</v>
      </c>
      <c r="AG72" s="202">
        <f>'Divisional Summary'!BX13/'Divisional Summary'!BS13-1</f>
        <v>3.6486838676048627E-3</v>
      </c>
      <c r="AH72" s="202">
        <f>'Divisional Summary'!BY13/'Divisional Summary'!BT13-1</f>
        <v>-2.509355051727935E-2</v>
      </c>
      <c r="AI72" s="202">
        <f>'Divisional Summary'!BZ13/'Divisional Summary'!BU13-1</f>
        <v>2.6905829596412634E-2</v>
      </c>
      <c r="AJ72" s="202">
        <f>'Divisional Summary'!CA13/'Divisional Summary'!BV13-1</f>
        <v>0</v>
      </c>
      <c r="AK72" s="201">
        <f>'Divisional Summary'!CB13/'Divisional Summary'!BW13-1</f>
        <v>8.3288714379192719E-4</v>
      </c>
      <c r="AL72" s="202">
        <f>'Divisional Summary'!CC13/'Divisional Summary'!BX13-1</f>
        <v>2.596728122565839E-4</v>
      </c>
      <c r="AM72" s="202">
        <f>'Divisional Summary'!CD13/'Divisional Summary'!BY13-1</f>
        <v>5.6446150372544412E-3</v>
      </c>
      <c r="AN72" s="202">
        <f>'Divisional Summary'!CE13/'Divisional Summary'!BZ13-1</f>
        <v>-1.6547920018386564E-2</v>
      </c>
      <c r="AO72" s="202">
        <f>'Divisional Summary'!CF13/'Divisional Summary'!CA13-1</f>
        <v>-1.6698473282442783E-2</v>
      </c>
      <c r="AP72" s="201">
        <f>'Divisional Summary'!CG13/'Divisional Summary'!CB13-1</f>
        <v>-6.895321880758476E-3</v>
      </c>
      <c r="AQ72" s="202">
        <f>'Divisional Summary'!CH13/'Divisional Summary'!CC13-1</f>
        <v>-3.2191069574247111E-2</v>
      </c>
      <c r="AR72" s="202">
        <f>'Divisional Summary'!CI13/'Divisional Summary'!CD13-1</f>
        <v>1.1225864391557483E-3</v>
      </c>
      <c r="AS72" s="202">
        <f>'Divisional Summary'!CJ13/'Divisional Summary'!CE13-1</f>
        <v>3.1783126898808023E-2</v>
      </c>
      <c r="AT72" s="202">
        <f>'Divisional Summary'!CK13/'Divisional Summary'!CF13-1</f>
        <v>3.0810286268801557E-2</v>
      </c>
      <c r="AU72" s="201">
        <f>+AU62/AP62-1</f>
        <v>8.6191416771412843E-3</v>
      </c>
      <c r="AV72" s="2050">
        <f>'Divisional Summary'!CM13/'Divisional Summary'!CH13-1</f>
        <v>4.3991416309012932E-2</v>
      </c>
      <c r="AW72" s="2050">
        <f>'Divisional Summary'!CN13/'Divisional Summary'!CI13-1</f>
        <v>5.673917918815885E-2</v>
      </c>
      <c r="AX72" s="2050">
        <f>'Divisional Summary'!CO13/'Divisional Summary'!CJ13-1</f>
        <v>6.1834654586636395E-2</v>
      </c>
      <c r="AY72" s="2050">
        <f>'Divisional Summary'!CP13/'Divisional Summary'!CK13-1</f>
        <v>7.0605023936995526E-2</v>
      </c>
      <c r="AZ72" s="201">
        <f>+AZ62/AU62-1</f>
        <v>5.8750266851124167E-2</v>
      </c>
      <c r="BA72" s="2050">
        <f>'Divisional Summary'!CR13/'Divisional Summary'!CM13-1</f>
        <v>7.1313157737991073E-2</v>
      </c>
      <c r="BB72" s="2050">
        <f>'Divisional Summary'!CS13/'Divisional Summary'!CN13-1</f>
        <v>6.1313157737991064E-2</v>
      </c>
      <c r="BC72" s="2050">
        <f>'Divisional Summary'!CT13/'Divisional Summary'!CO13-1</f>
        <v>6.1313157737991064E-2</v>
      </c>
      <c r="BD72" s="2050">
        <f>'Divisional Summary'!CU13/'Divisional Summary'!CP13-1</f>
        <v>3.2752193784283623E-2</v>
      </c>
      <c r="BE72" s="201">
        <f>+BE62/AZ62-1</f>
        <v>5.6212331408564742E-2</v>
      </c>
      <c r="BF72" s="201">
        <f t="shared" ref="BF72:BF75" si="12">+BF62/BE62-1</f>
        <v>2.6414872677326118E-2</v>
      </c>
      <c r="BG72" s="147"/>
      <c r="BH72" s="147"/>
      <c r="BI72" s="147"/>
      <c r="BJ72" s="147"/>
      <c r="BK72" s="147"/>
      <c r="BL72" s="147"/>
      <c r="BM72" s="147"/>
      <c r="BN72" s="147"/>
      <c r="BO72" s="147"/>
      <c r="BP72" s="147"/>
      <c r="BQ72" s="147"/>
      <c r="BR72" s="147"/>
      <c r="BS72" s="147"/>
      <c r="BT72" s="147"/>
      <c r="BU72" s="147"/>
      <c r="BV72" s="147"/>
    </row>
    <row r="73" spans="1:74">
      <c r="A73" s="147" t="str">
        <f>A65</f>
        <v>Pratt &amp; Whitney</v>
      </c>
      <c r="B73" s="201">
        <f>'Divisional Summary'!AS16/'Divisional Summary'!AN16-1</f>
        <v>9.1522678185745221E-2</v>
      </c>
      <c r="C73" s="202">
        <f>'Divisional Summary'!AT16/'Divisional Summary'!AO16-1</f>
        <v>0.25189736176364286</v>
      </c>
      <c r="D73" s="202">
        <f>'Divisional Summary'!AU16/'Divisional Summary'!AP16-1</f>
        <v>0.14832689832689838</v>
      </c>
      <c r="E73" s="202">
        <f>'Divisional Summary'!AV16/'Divisional Summary'!AQ16-1</f>
        <v>0.12681159420289845</v>
      </c>
      <c r="F73" s="202">
        <f>'Divisional Summary'!AW16/'Divisional Summary'!AR16-1</f>
        <v>0.11466749533871967</v>
      </c>
      <c r="G73" s="201">
        <f>'Divisional Summary'!AX16/'Divisional Summary'!AS16-1</f>
        <v>0.15763871712424771</v>
      </c>
      <c r="H73" s="202">
        <f>'Divisional Summary'!AY16/'Divisional Summary'!AT16-1</f>
        <v>-8.8337182448036899E-2</v>
      </c>
      <c r="I73" s="202">
        <f>'Divisional Summary'!AZ16/'Divisional Summary'!AU16-1</f>
        <v>-0.14457831325301207</v>
      </c>
      <c r="J73" s="202">
        <f>'Divisional Summary'!BA16/'Divisional Summary'!AV16-1</f>
        <v>-0.13124817304881609</v>
      </c>
      <c r="K73" s="202">
        <f>'Divisional Summary'!BB16/'Divisional Summary'!AW16-1</f>
        <v>-0.10538054084192916</v>
      </c>
      <c r="L73" s="201">
        <f>'Divisional Summary'!BC16/'Divisional Summary'!AX16-1</f>
        <v>-0.11744177765116448</v>
      </c>
      <c r="M73" s="202">
        <f>'Divisional Summary'!BD16/'Divisional Summary'!AY16-1</f>
        <v>-0.10037998733375553</v>
      </c>
      <c r="N73" s="202">
        <f>'Divisional Summary'!BE16/'Divisional Summary'!AZ16-1</f>
        <v>7.4025548640681338E-2</v>
      </c>
      <c r="O73" s="202">
        <f>'Divisional Summary'!BF16/'Divisional Summary'!BA16-1</f>
        <v>8.68102288021535E-2</v>
      </c>
      <c r="P73" s="202">
        <f>'Divisional Summary'!BG16/'Divisional Summary'!BB16-1</f>
        <v>0.11717045808663129</v>
      </c>
      <c r="Q73" s="201">
        <f>'Divisional Summary'!BH16/'Divisional Summary'!BC16-1</f>
        <v>4.3818592640413101E-2</v>
      </c>
      <c r="R73" s="202">
        <f>'Divisional Summary'!BI16/'Divisional Summary'!BD16-1</f>
        <v>1.1263639563533934E-2</v>
      </c>
      <c r="S73" s="202">
        <f>'Divisional Summary'!BJ16/'Divisional Summary'!BE16-1</f>
        <v>-9.1491308325708509E-4</v>
      </c>
      <c r="T73" s="202">
        <f>'Divisional Summary'!BK16/'Divisional Summary'!BF16-1</f>
        <v>-4.6130030959752322E-2</v>
      </c>
      <c r="U73" s="202">
        <f>'Divisional Summary'!BL16/'Divisional Summary'!BG16-1</f>
        <v>-2.9009762900976344E-2</v>
      </c>
      <c r="V73" s="201">
        <f>'Divisional Summary'!BM16/'Divisional Summary'!BH16-1</f>
        <v>-1.7317356010823293E-2</v>
      </c>
      <c r="W73" s="202">
        <f>'Divisional Summary'!BN16/'Divisional Summary'!BI16-1</f>
        <v>6.2304211625478612E-2</v>
      </c>
      <c r="X73" s="202">
        <f>'Divisional Summary'!BO16/'Divisional Summary'!BJ16-1</f>
        <v>5.2197802197802234E-2</v>
      </c>
      <c r="Y73" s="202">
        <f>'Divisional Summary'!BP16/'Divisional Summary'!BK16-1</f>
        <v>0.16001298279779297</v>
      </c>
      <c r="Z73" s="202">
        <f>'Divisional Summary'!BQ16/'Divisional Summary'!BL16-1</f>
        <v>0.11778224648089619</v>
      </c>
      <c r="AA73" s="201">
        <f>'Divisional Summary'!BR16/'Divisional Summary'!BM16-1</f>
        <v>9.8576036503815523E-2</v>
      </c>
      <c r="AB73" s="202">
        <f>'Divisional Summary'!BS16/'Divisional Summary'!BN16-1</f>
        <v>0.1146788990825689</v>
      </c>
      <c r="AC73" s="202">
        <f>'Divisional Summary'!BT16/'Divisional Summary'!BO16-1</f>
        <v>5.1348999129678052E-2</v>
      </c>
      <c r="AD73" s="202">
        <f>'Divisional Summary'!BU16/'Divisional Summary'!BP16-1</f>
        <v>-5.2602126468942356E-2</v>
      </c>
      <c r="AE73" s="202">
        <f>'Divisional Summary'!BV16/'Divisional Summary'!BQ16-1</f>
        <v>5.088666152659993E-2</v>
      </c>
      <c r="AF73" s="201">
        <f>'Divisional Summary'!BW16/'Divisional Summary'!BR16-1</f>
        <v>3.8456029790890911E-2</v>
      </c>
      <c r="AG73" s="202">
        <f>'Divisional Summary'!BX16/'Divisional Summary'!BS16-1</f>
        <v>-2.1457965902410336E-2</v>
      </c>
      <c r="AH73" s="202">
        <f>'Divisional Summary'!BY16/'Divisional Summary'!BT16-1</f>
        <v>-8.8300220750552327E-3</v>
      </c>
      <c r="AI73" s="202">
        <f>'Divisional Summary'!BZ16/'Divisional Summary'!BU16-1</f>
        <v>5.2569403425871242E-2</v>
      </c>
      <c r="AJ73" s="202">
        <f>'Divisional Summary'!CA16/'Divisional Summary'!BV16-1</f>
        <v>-1.6140865737344079E-2</v>
      </c>
      <c r="AK73" s="201">
        <f>'Divisional Summary'!CB16/'Divisional Summary'!BW16-1</f>
        <v>4.8272532928761436E-4</v>
      </c>
      <c r="AL73" s="202">
        <f>'Divisional Summary'!CC16/'Divisional Summary'!BX16-1</f>
        <v>9.0117152297986003E-4</v>
      </c>
      <c r="AM73" s="202">
        <f>'Divisional Summary'!CD16/'Divisional Summary'!BY16-1</f>
        <v>2.3663697104677084E-2</v>
      </c>
      <c r="AN73" s="202">
        <f>'Divisional Summary'!CE16/'Divisional Summary'!BZ16-1</f>
        <v>-9.259259259259256E-2</v>
      </c>
      <c r="AO73" s="202">
        <f>'Divisional Summary'!CF16/'Divisional Summary'!CA16-1</f>
        <v>-4.5737012179965175E-2</v>
      </c>
      <c r="AP73" s="201">
        <f>'Divisional Summary'!CG16/'Divisional Summary'!CB16-1</f>
        <v>-2.9363110008271298E-2</v>
      </c>
      <c r="AQ73" s="202">
        <f>'Divisional Summary'!CH16/'Divisional Summary'!CC16-1</f>
        <v>7.6830732292917148E-2</v>
      </c>
      <c r="AR73" s="202">
        <f>'Divisional Summary'!CI16/'Divisional Summary'!CD16-1</f>
        <v>3.6986673918955715E-2</v>
      </c>
      <c r="AS73" s="202">
        <f>'Divisional Summary'!CJ16/'Divisional Summary'!CE16-1</f>
        <v>8.2560296846011072E-2</v>
      </c>
      <c r="AT73" s="202">
        <f>'Divisional Summary'!CK16/'Divisional Summary'!CF16-1</f>
        <v>3.9854128679343681E-2</v>
      </c>
      <c r="AU73" s="201">
        <f>+AU65/AP65-1</f>
        <v>5.7662263882971132E-2</v>
      </c>
      <c r="AV73" s="2050">
        <f>'Divisional Summary'!CM16/'Divisional Summary'!CH16-1</f>
        <v>4.7380156075808255E-2</v>
      </c>
      <c r="AW73" s="2050">
        <f>'Divisional Summary'!CN16/'Divisional Summary'!CI16-1</f>
        <v>6.7400996590611051E-2</v>
      </c>
      <c r="AX73" s="2050">
        <f>'Divisional Summary'!CO16/'Divisional Summary'!CJ16-1</f>
        <v>0.10568409025992564</v>
      </c>
      <c r="AY73" s="2050">
        <f>'Divisional Summary'!CP16/'Divisional Summary'!CK16-1</f>
        <v>4.9736581030244809E-2</v>
      </c>
      <c r="AZ73" s="201">
        <f>+AZ65/AU65-1</f>
        <v>6.6842247312524306E-2</v>
      </c>
      <c r="BA73" s="2050">
        <f>'Divisional Summary'!CR16/'Divisional Summary'!CM16-1</f>
        <v>8.1314838179250337E-2</v>
      </c>
      <c r="BB73" s="2050">
        <f>'Divisional Summary'!CS16/'Divisional Summary'!CN16-1</f>
        <v>8.1314838179250337E-2</v>
      </c>
      <c r="BC73" s="2050">
        <f>'Divisional Summary'!CT16/'Divisional Summary'!CO16-1</f>
        <v>-6.8535937504836664E-3</v>
      </c>
      <c r="BD73" s="2050">
        <f>'Divisional Summary'!CU16/'Divisional Summary'!CP16-1</f>
        <v>7.4655142246533135E-2</v>
      </c>
      <c r="BE73" s="201">
        <f>+BE65/AZ65-1</f>
        <v>7.1281823654544496E-2</v>
      </c>
      <c r="BF73" s="201">
        <f>+BF65/BE65-1</f>
        <v>7.2090366486330826E-2</v>
      </c>
      <c r="BG73" s="147"/>
      <c r="BH73" s="147"/>
      <c r="BI73" s="147"/>
      <c r="BJ73" s="147"/>
      <c r="BK73" s="147"/>
      <c r="BL73" s="147"/>
      <c r="BM73" s="147"/>
      <c r="BN73" s="147"/>
      <c r="BO73" s="147"/>
      <c r="BP73" s="147"/>
      <c r="BQ73" s="147"/>
      <c r="BR73" s="147"/>
      <c r="BS73" s="147"/>
      <c r="BT73" s="147"/>
      <c r="BU73" s="147"/>
      <c r="BV73" s="147"/>
    </row>
    <row r="74" spans="1:74">
      <c r="A74" s="213" t="s">
        <v>164</v>
      </c>
      <c r="B74" s="208"/>
      <c r="C74" s="2056"/>
      <c r="D74" s="2056"/>
      <c r="E74" s="2056"/>
      <c r="F74" s="2056"/>
      <c r="G74" s="208"/>
      <c r="H74" s="2056"/>
      <c r="I74" s="2056"/>
      <c r="J74" s="2056"/>
      <c r="K74" s="2056"/>
      <c r="L74" s="208"/>
      <c r="M74" s="2056"/>
      <c r="N74" s="2056"/>
      <c r="O74" s="2056"/>
      <c r="P74" s="2056"/>
      <c r="Q74" s="208"/>
      <c r="R74" s="2056"/>
      <c r="S74" s="2056"/>
      <c r="T74" s="2056"/>
      <c r="U74" s="2056"/>
      <c r="V74" s="208"/>
      <c r="W74" s="2056">
        <f>'Divisional Summary'!BN18/'Divisional Summary'!BI18-1</f>
        <v>8.6115992970122957E-2</v>
      </c>
      <c r="X74" s="2056">
        <f>'Divisional Summary'!BO18/'Divisional Summary'!BJ18-1</f>
        <v>7.087959009393674E-2</v>
      </c>
      <c r="Y74" s="2056">
        <f>'Divisional Summary'!BP18/'Divisional Summary'!BK18-1</f>
        <v>1.249368155012637</v>
      </c>
      <c r="Z74" s="2056">
        <f>'Divisional Summary'!BQ18/'Divisional Summary'!BL18-1</f>
        <v>1.5110759493670884</v>
      </c>
      <c r="AA74" s="208">
        <f>'Divisional Summary'!BR18/'Divisional Summary'!BM18-1</f>
        <v>0.75084033613445378</v>
      </c>
      <c r="AB74" s="2056">
        <f>'Divisional Summary'!BS18/'Divisional Summary'!BN18-1</f>
        <v>1.6399676375404533</v>
      </c>
      <c r="AC74" s="2056">
        <f>'Divisional Summary'!BT18/'Divisional Summary'!BO18-1</f>
        <v>1.6483253588516749</v>
      </c>
      <c r="AD74" s="2056">
        <f>'Divisional Summary'!BU18/'Divisional Summary'!BP18-1</f>
        <v>0.24044943820224729</v>
      </c>
      <c r="AE74" s="2056">
        <f>'Divisional Summary'!BV18/'Divisional Summary'!BQ18-1</f>
        <v>8.7271581600504078E-2</v>
      </c>
      <c r="AF74" s="208">
        <f>'Divisional Summary'!BW18/'Divisional Summary'!BR18-1</f>
        <v>0.60151187904967607</v>
      </c>
      <c r="AG74" s="2056">
        <f>'Divisional Summary'!BX18/'Divisional Summary'!BS18-1</f>
        <v>5.7309224639901846E-2</v>
      </c>
      <c r="AH74" s="2056">
        <f>'Divisional Summary'!BY18/'Divisional Summary'!BT18-1</f>
        <v>9.4850948509485056E-2</v>
      </c>
      <c r="AI74" s="2056">
        <f>'Divisional Summary'!BZ18/'Divisional Summary'!BU18-1</f>
        <v>6.7330917874396157E-2</v>
      </c>
      <c r="AJ74" s="2056">
        <f>'Divisional Summary'!CA18/'Divisional Summary'!BV18-1</f>
        <v>4.1437264560996834E-2</v>
      </c>
      <c r="AK74" s="208">
        <f>'Divisional Summary'!CB18/'Divisional Summary'!BW18-1</f>
        <v>6.5033340825653596E-2</v>
      </c>
      <c r="AL74" s="2056">
        <f>'Divisional Summary'!CC18/'Divisional Summary'!BX18-1</f>
        <v>2.8405797101449304E-2</v>
      </c>
      <c r="AM74" s="2056">
        <f>'Divisional Summary'!CD18/'Divisional Summary'!BY18-1</f>
        <v>-1.1001100110010764E-3</v>
      </c>
      <c r="AN74" s="2056">
        <f>'Divisional Summary'!CE18/'Divisional Summary'!BZ18-1</f>
        <v>-2.2065063649222116E-2</v>
      </c>
      <c r="AO74" s="2056">
        <f>'Divisional Summary'!CF18/'Divisional Summary'!CA18-1</f>
        <v>-3.8119087367835314E-2</v>
      </c>
      <c r="AP74" s="208">
        <f>'Divisional Summary'!CG18/'Divisional Summary'!CB18-1</f>
        <v>-8.5121350685894992E-3</v>
      </c>
      <c r="AQ74" s="2056">
        <f>'Divisional Summary'!CH18/'Divisional Summary'!CC18-1</f>
        <v>-1.2119503945885013E-2</v>
      </c>
      <c r="AR74" s="2056">
        <f>'Divisional Summary'!CI18/'Divisional Summary'!CD18-1</f>
        <v>2.312775330396466E-2</v>
      </c>
      <c r="AS74" s="2056">
        <f>'Divisional Summary'!CJ18/'Divisional Summary'!CE18-1</f>
        <v>5.4671680647960574E-2</v>
      </c>
      <c r="AT74" s="2056">
        <f>'Divisional Summary'!CK18/'Divisional Summary'!CF18-1</f>
        <v>4.0786809372288069E-2</v>
      </c>
      <c r="AU74" s="208">
        <f>+AU66/AP66-1</f>
        <v>2.6323258124024473E-2</v>
      </c>
      <c r="AV74" s="2056">
        <f>'Divisional Summary'!CM18/'Divisional Summary'!CH18-1</f>
        <v>3.0242510699001413E-2</v>
      </c>
      <c r="AW74" s="2056">
        <f>'Divisional Summary'!CN18/'Divisional Summary'!CI18-1</f>
        <v>-2.0452099031216364E-2</v>
      </c>
      <c r="AX74" s="2056">
        <f>'Divisional Summary'!CO18/'Divisional Summary'!CJ18-1</f>
        <v>-2.4684585847504215E-3</v>
      </c>
      <c r="AY74" s="2056">
        <f>'Divisional Summary'!CP18/'Divisional Summary'!CK18-1</f>
        <v>4.0003472276265217E-2</v>
      </c>
      <c r="AZ74" s="208">
        <f>+AZ66/AU66-1</f>
        <v>1.1402177203595043E-2</v>
      </c>
      <c r="BA74" s="2056">
        <f>'Divisional Summary'!CR18/'Divisional Summary'!CM18-1</f>
        <v>4.5389418803347903E-2</v>
      </c>
      <c r="BB74" s="2056">
        <f>'Divisional Summary'!CS18/'Divisional Summary'!CN18-1</f>
        <v>6.5389418803347921E-2</v>
      </c>
      <c r="BC74" s="2056">
        <f>'Divisional Summary'!CT18/'Divisional Summary'!CO18-1</f>
        <v>6.5389418803347921E-2</v>
      </c>
      <c r="BD74" s="2056">
        <f>'Divisional Summary'!CU18/'Divisional Summary'!CP18-1</f>
        <v>4.3484739693599561E-2</v>
      </c>
      <c r="BE74" s="208">
        <f>+BE66/AZ66-1</f>
        <v>5.4850352366361932E-2</v>
      </c>
      <c r="BF74" s="208">
        <f>+BF66/BE66-1</f>
        <v>5.0670901433290894E-2</v>
      </c>
      <c r="BG74" s="147"/>
      <c r="BH74" s="147"/>
      <c r="BI74" s="147"/>
      <c r="BJ74" s="147"/>
      <c r="BK74" s="147"/>
      <c r="BL74" s="147"/>
      <c r="BM74" s="147"/>
      <c r="BN74" s="147"/>
      <c r="BO74" s="147"/>
      <c r="BP74" s="147"/>
      <c r="BQ74" s="147"/>
      <c r="BR74" s="147"/>
      <c r="BS74" s="147"/>
      <c r="BT74" s="147"/>
      <c r="BU74" s="147"/>
      <c r="BV74" s="147"/>
    </row>
    <row r="75" spans="1:74" ht="12" hidden="1" customHeight="1">
      <c r="A75" s="153" t="str">
        <f>A67</f>
        <v>Sikorsky</v>
      </c>
      <c r="B75" s="208">
        <f>'Divisional Summary'!AS20/'Divisional Summary'!AN20-1</f>
        <v>0.48266253869969034</v>
      </c>
      <c r="C75" s="212">
        <f>'Divisional Summary'!AT20/'Divisional Summary'!AO20-1</f>
        <v>1.6898608349900535E-2</v>
      </c>
      <c r="D75" s="212">
        <f>'Divisional Summary'!AU20/'Divisional Summary'!AP20-1</f>
        <v>9.0984974958263853E-2</v>
      </c>
      <c r="E75" s="212">
        <f>'Divisional Summary'!AV20/'Divisional Summary'!AQ20-1</f>
        <v>0.10022953328232598</v>
      </c>
      <c r="F75" s="212">
        <f>'Divisional Summary'!AW20/'Divisional Summary'!AR20-1</f>
        <v>0.25195618153364641</v>
      </c>
      <c r="G75" s="208">
        <f>'Divisional Summary'!AX20/'Divisional Summary'!AS20-1</f>
        <v>0.12090206723741903</v>
      </c>
      <c r="H75" s="212">
        <f>'Divisional Summary'!AY20/'Divisional Summary'!AT20-1</f>
        <v>0.29130009775171062</v>
      </c>
      <c r="I75" s="212">
        <f>'Divisional Summary'!AZ20/'Divisional Summary'!AU20-1</f>
        <v>5.738332058148421E-2</v>
      </c>
      <c r="J75" s="212">
        <f>'Divisional Summary'!BA20/'Divisional Summary'!AV20-1</f>
        <v>0.14047287899860916</v>
      </c>
      <c r="K75" s="212">
        <f>'Divisional Summary'!BB20/'Divisional Summary'!AW20-1</f>
        <v>0.21500000000000008</v>
      </c>
      <c r="L75" s="208">
        <f>'Divisional Summary'!BC20/'Divisional Summary'!AX20-1</f>
        <v>0.17119970193740675</v>
      </c>
      <c r="M75" s="212">
        <f>'Divisional Summary'!BD20/'Divisional Summary'!AY20-1</f>
        <v>2.8009084027251996E-2</v>
      </c>
      <c r="N75" s="212">
        <f>'Divisional Summary'!BE20/'Divisional Summary'!AZ20-1</f>
        <v>0.22431259044862517</v>
      </c>
      <c r="O75" s="212">
        <f>'Divisional Summary'!BF20/'Divisional Summary'!BA20-1</f>
        <v>-5.6707317073170782E-2</v>
      </c>
      <c r="P75" s="212">
        <f>'Divisional Summary'!BG20/'Divisional Summary'!BB20-1</f>
        <v>7.3559670781893072E-2</v>
      </c>
      <c r="Q75" s="208">
        <f>'Divisional Summary'!BH20/'Divisional Summary'!BC20-1</f>
        <v>6.3146174646095066E-2</v>
      </c>
      <c r="R75" s="212">
        <f>'Divisional Summary'!BI20/'Divisional Summary'!BD20-1</f>
        <v>0.1649484536082475</v>
      </c>
      <c r="S75" s="212">
        <f>'Divisional Summary'!BJ20/'Divisional Summary'!BE20-1</f>
        <v>5.555555555555558E-2</v>
      </c>
      <c r="T75" s="212">
        <f>'Divisional Summary'!BK20/'Divisional Summary'!BF20-1</f>
        <v>0.21331609566903675</v>
      </c>
      <c r="U75" s="212">
        <f>'Divisional Summary'!BL20/'Divisional Summary'!BG20-1</f>
        <v>1.1020603737422086E-2</v>
      </c>
      <c r="V75" s="208">
        <f>'Divisional Summary'!BM20/'Divisional Summary'!BH20-1</f>
        <v>0.10038898862956303</v>
      </c>
      <c r="W75" s="212">
        <f>'Divisional Summary'!BN20/'Divisional Summary'!BI20-1</f>
        <v>-0.1491782553729456</v>
      </c>
      <c r="X75" s="212">
        <f>'Divisional Summary'!BO20/'Divisional Summary'!BJ20-1</f>
        <v>-9.2945128779395314E-2</v>
      </c>
      <c r="Y75" s="212">
        <f>'Divisional Summary'!BP20/'Divisional Summary'!BK20-1</f>
        <v>-0.12147043153969095</v>
      </c>
      <c r="Z75" s="212">
        <f>'Divisional Summary'!BQ20/'Divisional Summary'!BL20-1</f>
        <v>3.1279620853080559E-2</v>
      </c>
      <c r="AA75" s="208">
        <f>'Divisional Summary'!BR20/'Divisional Summary'!BM20-1</f>
        <v>-7.6682528891910295E-2</v>
      </c>
      <c r="AB75" s="212">
        <f>'Divisional Summary'!BS20/'Divisional Summary'!BN20-1</f>
        <v>-7.2065378900445731E-2</v>
      </c>
      <c r="AC75" s="212">
        <f>'Divisional Summary'!BT20/'Divisional Summary'!BO20-1</f>
        <v>-3.3333333333333326E-2</v>
      </c>
      <c r="AD75" s="212">
        <f>'Divisional Summary'!BU20/'Divisional Summary'!BP20-1</f>
        <v>-6.5494238932686466E-2</v>
      </c>
      <c r="AE75" s="212">
        <f>'Divisional Summary'!BV20/'Divisional Summary'!BQ20-1</f>
        <v>-0.12821691176470584</v>
      </c>
      <c r="AF75" s="208">
        <f>'Divisional Summary'!BW20/'Divisional Summary'!BR20-1</f>
        <v>-7.9222500368134274E-2</v>
      </c>
      <c r="AG75" s="212">
        <f>'Divisional Summary'!BX20/'Divisional Summary'!BS20-1</f>
        <v>8.9671737389911854E-2</v>
      </c>
      <c r="AH75" s="212">
        <f>'Divisional Summary'!BY20/'Divisional Summary'!BT20-1</f>
        <v>0.52234993614303948</v>
      </c>
      <c r="AI75" s="212">
        <f>'Divisional Summary'!BZ20/'Divisional Summary'!BU20-1</f>
        <v>5.1265412070084393E-2</v>
      </c>
      <c r="AJ75" s="212">
        <f>'Divisional Summary'!CA20/'Divisional Summary'!BV20-1</f>
        <v>9.9630996309963082E-2</v>
      </c>
      <c r="AK75" s="208">
        <f>'Divisional Summary'!CB20/'Divisional Summary'!BW20-1</f>
        <v>0.19158803774188393</v>
      </c>
      <c r="AL75" s="212"/>
      <c r="AM75" s="212"/>
      <c r="AN75" s="212"/>
      <c r="AO75" s="212"/>
      <c r="AP75" s="208"/>
      <c r="AQ75" s="212"/>
      <c r="AR75" s="212"/>
      <c r="AS75" s="212"/>
      <c r="AT75" s="212"/>
      <c r="AU75" s="208"/>
      <c r="AV75" s="2056"/>
      <c r="AW75" s="2056"/>
      <c r="AX75" s="2056"/>
      <c r="AY75" s="2056"/>
      <c r="AZ75" s="208"/>
      <c r="BA75" s="2056"/>
      <c r="BB75" s="2056"/>
      <c r="BC75" s="2056"/>
      <c r="BD75" s="2056"/>
      <c r="BE75" s="208"/>
      <c r="BF75" s="208">
        <f t="shared" si="12"/>
        <v>7.2090366486330826E-2</v>
      </c>
      <c r="BG75" s="147"/>
      <c r="BH75" s="147"/>
      <c r="BI75" s="147"/>
      <c r="BJ75" s="147"/>
      <c r="BK75" s="147"/>
      <c r="BL75" s="147"/>
      <c r="BM75" s="147"/>
      <c r="BN75" s="147"/>
      <c r="BO75" s="147"/>
      <c r="BP75" s="147"/>
      <c r="BQ75" s="147"/>
      <c r="BR75" s="147"/>
      <c r="BS75" s="147"/>
      <c r="BT75" s="147"/>
      <c r="BU75" s="147"/>
      <c r="BV75" s="147"/>
    </row>
    <row r="76" spans="1:74">
      <c r="A76" s="179" t="s">
        <v>254</v>
      </c>
      <c r="B76" s="192">
        <f>'Divisional Summary'!AS22/'Divisional Summary'!AN22-1</f>
        <v>0.14489117481026148</v>
      </c>
      <c r="C76" s="193">
        <f>'Divisional Summary'!AT22/'Divisional Summary'!AO22-1</f>
        <v>0.13683010262257689</v>
      </c>
      <c r="D76" s="193">
        <f>'Divisional Summary'!AU22/'Divisional Summary'!AP22-1</f>
        <v>0.14672036823935564</v>
      </c>
      <c r="E76" s="193">
        <f>'Divisional Summary'!AV22/'Divisional Summary'!AQ22-1</f>
        <v>8.8148308446945212E-2</v>
      </c>
      <c r="F76" s="193">
        <f>'Divisional Summary'!AW22/'Divisional Summary'!AR22-1</f>
        <v>3.8058991436726863E-3</v>
      </c>
      <c r="G76" s="192">
        <f>'Divisional Summary'!AX22/'Divisional Summary'!AS22-1</f>
        <v>9.1272667506711258E-2</v>
      </c>
      <c r="H76" s="193">
        <f>'Divisional Summary'!AY22/'Divisional Summary'!AT22-1</f>
        <v>-0.12602091990256481</v>
      </c>
      <c r="I76" s="193">
        <f>'Divisional Summary'!AZ22/'Divisional Summary'!AU22-1</f>
        <v>-0.18088309081786247</v>
      </c>
      <c r="J76" s="193">
        <f>'Divisional Summary'!BA22/'Divisional Summary'!AV22-1</f>
        <v>-0.12582035134239311</v>
      </c>
      <c r="K76" s="193">
        <f>'Divisional Summary'!BB22/'Divisional Summary'!AW22-1</f>
        <v>-5.35545023696683E-2</v>
      </c>
      <c r="L76" s="192">
        <f>'Divisional Summary'!BC22/'Divisional Summary'!AX22-1</f>
        <v>-0.12269692253627185</v>
      </c>
      <c r="M76" s="193">
        <f>'Divisional Summary'!BD22/'Divisional Summary'!AY22-1</f>
        <v>-1.3033855234035552E-2</v>
      </c>
      <c r="N76" s="193">
        <f>'Divisional Summary'!BE22/'Divisional Summary'!AZ22-1</f>
        <v>5.6814701378254284E-2</v>
      </c>
      <c r="O76" s="193">
        <f>'Divisional Summary'!BF22/'Divisional Summary'!BA22-1</f>
        <v>3.2835368165617718E-2</v>
      </c>
      <c r="P76" s="193">
        <f>'Divisional Summary'!BG22/'Divisional Summary'!BB22-1</f>
        <v>6.3309249588668681E-2</v>
      </c>
      <c r="Q76" s="192">
        <f>'Divisional Summary'!BH22/'Divisional Summary'!BC22-1</f>
        <v>3.6261325703385694E-2</v>
      </c>
      <c r="R76" s="193">
        <f>'Divisional Summary'!BI22/'Divisional Summary'!BD22-1</f>
        <v>5.2574750830564732E-2</v>
      </c>
      <c r="S76" s="193">
        <f>'Divisional Summary'!BJ22/'Divisional Summary'!BE22-1</f>
        <v>4.8326329517461186E-2</v>
      </c>
      <c r="T76" s="193">
        <f>'Divisional Summary'!BK22/'Divisional Summary'!BF22-1</f>
        <v>4.5154185022026505E-2</v>
      </c>
      <c r="U76" s="193">
        <f>'Divisional Summary'!BL22/'Divisional Summary'!BG22-1</f>
        <v>-3.2763724434876185E-2</v>
      </c>
      <c r="V76" s="192">
        <f>'Divisional Summary'!BM22/'Divisional Summary'!BH22-1</f>
        <v>2.6285756359754053E-2</v>
      </c>
      <c r="W76" s="193">
        <f>'Divisional Summary'!BN22/'Divisional Summary'!BI22-1</f>
        <v>-2.0279334017201944E-2</v>
      </c>
      <c r="X76" s="193">
        <f>'Divisional Summary'!BO22/'Divisional Summary'!BJ22-1</f>
        <v>-4.575298914921555E-2</v>
      </c>
      <c r="Y76" s="193">
        <f>'Divisional Summary'!BP22/'Divisional Summary'!BK22-1</f>
        <v>5.6691253951527854E-2</v>
      </c>
      <c r="Z76" s="193">
        <f>'Divisional Summary'!BQ22/'Divisional Summary'!BL22-1</f>
        <v>0.14370174584405637</v>
      </c>
      <c r="AA76" s="192">
        <f>'Divisional Summary'!BR22/'Divisional Summary'!BM22-1</f>
        <v>3.5046812784732984E-2</v>
      </c>
      <c r="AB76" s="193">
        <f>'Divisional Summary'!BS22/'Divisional Summary'!BN22-1</f>
        <v>0.15971327319587636</v>
      </c>
      <c r="AC76" s="193">
        <f>'Divisional Summary'!BT22/'Divisional Summary'!BO22-1</f>
        <v>0.1592670384587529</v>
      </c>
      <c r="AD76" s="193">
        <f>'Divisional Summary'!BU22/'Divisional Summary'!BP22-1</f>
        <v>2.7921818907060247E-2</v>
      </c>
      <c r="AE76" s="193">
        <f>'Divisional Summary'!BV22/'Divisional Summary'!BQ22-1</f>
        <v>1.9217904275375508E-2</v>
      </c>
      <c r="AF76" s="192">
        <f>'Divisional Summary'!BW22/'Divisional Summary'!BR22-1</f>
        <v>8.5222152907742377E-2</v>
      </c>
      <c r="AG76" s="193">
        <f>'Divisional Summary'!BX22/'Divisional Summary'!BS22-1</f>
        <v>2.4029446489339579E-2</v>
      </c>
      <c r="AH76" s="193">
        <f>'Divisional Summary'!BY22/'Divisional Summary'!BT22-1</f>
        <v>7.403473697363494E-2</v>
      </c>
      <c r="AI76" s="193">
        <f>'Divisional Summary'!BZ22/'Divisional Summary'!BU22-1</f>
        <v>4.5660328547406648E-2</v>
      </c>
      <c r="AJ76" s="193">
        <f>'Divisional Summary'!CA22/'Divisional Summary'!BV22-1</f>
        <v>1.4141655230025751E-2</v>
      </c>
      <c r="AK76" s="192">
        <f>'Divisional Summary'!CB22/'Divisional Summary'!BW22-1</f>
        <v>3.9504359211828932E-2</v>
      </c>
      <c r="AL76" s="193">
        <f>'Divisional Summary'!CC22/'Divisional Summary'!BX22-1</f>
        <v>-9.6642929806714184E-2</v>
      </c>
      <c r="AM76" s="193">
        <f>'Divisional Summary'!CD22/'Divisional Summary'!BY22-1</f>
        <v>-0.14507591181432145</v>
      </c>
      <c r="AN76" s="193">
        <f>'Divisional Summary'!CE22/'Divisional Summary'!BZ22-1</f>
        <v>-0.1472043542800594</v>
      </c>
      <c r="AO76" s="193">
        <f>'Divisional Summary'!CF22/'Divisional Summary'!CA22-1</f>
        <v>-0.15862555895504826</v>
      </c>
      <c r="AP76" s="192">
        <f>'Divisional Summary'!CG22/'Divisional Summary'!CB22-1</f>
        <v>-0.13917647938895505</v>
      </c>
      <c r="AQ76" s="193">
        <f>'Divisional Summary'!CH22/'Divisional Summary'!CC22-1</f>
        <v>2.7777777777777679E-3</v>
      </c>
      <c r="AR76" s="193">
        <f>'Divisional Summary'!CI22/'Divisional Summary'!CD22-1</f>
        <v>1.2043274137579107E-2</v>
      </c>
      <c r="AS76" s="193">
        <f>'Divisional Summary'!CJ22/'Divisional Summary'!CE22-1</f>
        <v>4.1050188569770718E-2</v>
      </c>
      <c r="AT76" s="193">
        <f>'Divisional Summary'!CK22/'Divisional Summary'!CF22-1</f>
        <v>2.5104895104895109E-2</v>
      </c>
      <c r="AU76" s="192">
        <f t="shared" ref="AU76:AZ76" si="13">+AU69/AP69-1</f>
        <v>2.1491740977632956E-2</v>
      </c>
      <c r="AV76" s="2047">
        <f t="shared" si="13"/>
        <v>3.4289136782211571E-2</v>
      </c>
      <c r="AW76" s="2047">
        <f t="shared" si="13"/>
        <v>2.729595266908702E-2</v>
      </c>
      <c r="AX76" s="2047">
        <f t="shared" si="13"/>
        <v>4.9324230179740747E-2</v>
      </c>
      <c r="AY76" s="2047">
        <f t="shared" si="13"/>
        <v>4.7224845983349306E-2</v>
      </c>
      <c r="AZ76" s="192">
        <f t="shared" si="13"/>
        <v>3.9554695990320576E-2</v>
      </c>
      <c r="BA76" s="2047">
        <f t="shared" ref="BA76" si="14">+BA69/AV69-1</f>
        <v>6.16963837677591E-2</v>
      </c>
      <c r="BB76" s="2047">
        <f t="shared" ref="BB76" si="15">+BB69/AW69-1</f>
        <v>7.0596755049851856E-2</v>
      </c>
      <c r="BC76" s="2047">
        <f t="shared" ref="BC76" si="16">+BC69/AX69-1</f>
        <v>4.9024691989302704E-2</v>
      </c>
      <c r="BD76" s="2047">
        <f t="shared" ref="BD76" si="17">+BD69/AY69-1</f>
        <v>4.2451880154410482E-2</v>
      </c>
      <c r="BE76" s="192">
        <f>+BE69/AZ69-1</f>
        <v>5.9335313707607806E-2</v>
      </c>
      <c r="BF76" s="192">
        <f>+BF69/BE69-1</f>
        <v>4.3325221917533518E-2</v>
      </c>
      <c r="BG76" s="179"/>
      <c r="BH76" s="179"/>
      <c r="BI76" s="179"/>
      <c r="BJ76" s="179"/>
      <c r="BK76" s="179"/>
      <c r="BL76" s="179"/>
      <c r="BM76" s="179"/>
      <c r="BN76" s="179"/>
      <c r="BO76" s="179"/>
      <c r="BP76" s="179"/>
      <c r="BQ76" s="179"/>
      <c r="BR76" s="179"/>
      <c r="BS76" s="179"/>
      <c r="BT76" s="179"/>
      <c r="BU76" s="179"/>
      <c r="BV76" s="179"/>
    </row>
    <row r="77" spans="1:74">
      <c r="A77" s="147"/>
      <c r="B77" s="157"/>
      <c r="C77" s="147"/>
      <c r="D77" s="147"/>
      <c r="E77" s="147"/>
      <c r="F77" s="147"/>
      <c r="G77" s="157"/>
      <c r="H77" s="147"/>
      <c r="I77" s="147"/>
      <c r="J77" s="147"/>
      <c r="K77" s="147"/>
      <c r="L77" s="157"/>
      <c r="M77" s="147"/>
      <c r="N77" s="147"/>
      <c r="O77" s="147"/>
      <c r="P77" s="147"/>
      <c r="Q77" s="157"/>
      <c r="R77" s="147"/>
      <c r="S77" s="147"/>
      <c r="T77" s="147"/>
      <c r="U77" s="147"/>
      <c r="V77" s="157"/>
      <c r="W77" s="147"/>
      <c r="X77" s="147"/>
      <c r="Y77" s="147"/>
      <c r="Z77" s="147"/>
      <c r="AA77" s="157"/>
      <c r="AB77" s="147"/>
      <c r="AC77" s="147"/>
      <c r="AD77" s="147"/>
      <c r="AE77" s="147"/>
      <c r="AF77" s="157"/>
      <c r="AG77" s="147"/>
      <c r="AH77" s="147"/>
      <c r="AI77" s="147"/>
      <c r="AJ77" s="147"/>
      <c r="AK77" s="157"/>
      <c r="AL77" s="147"/>
      <c r="AM77" s="147"/>
      <c r="AN77" s="147"/>
      <c r="AO77" s="147"/>
      <c r="AP77" s="157"/>
      <c r="AQ77" s="147"/>
      <c r="AR77" s="147"/>
      <c r="AS77" s="147"/>
      <c r="AT77" s="147"/>
      <c r="AU77" s="157"/>
      <c r="AV77" s="2030"/>
      <c r="AW77" s="2030"/>
      <c r="AX77" s="2030"/>
      <c r="AY77" s="2030"/>
      <c r="AZ77" s="157"/>
      <c r="BA77" s="2030"/>
      <c r="BB77" s="2030"/>
      <c r="BC77" s="2030"/>
      <c r="BD77" s="2030"/>
      <c r="BE77" s="157"/>
      <c r="BF77" s="157"/>
      <c r="BG77" s="147"/>
      <c r="BH77" s="147"/>
      <c r="BI77" s="147"/>
      <c r="BJ77" s="147"/>
      <c r="BK77" s="147"/>
      <c r="BL77" s="147"/>
      <c r="BM77" s="147"/>
      <c r="BN77" s="147"/>
      <c r="BO77" s="147"/>
      <c r="BP77" s="147"/>
      <c r="BQ77" s="147"/>
      <c r="BR77" s="147"/>
      <c r="BS77" s="147"/>
      <c r="BT77" s="147"/>
      <c r="BU77" s="147"/>
      <c r="BV77" s="147"/>
    </row>
    <row r="78" spans="1:74" hidden="1">
      <c r="A78" s="147" t="str">
        <f>A71</f>
        <v>Otis</v>
      </c>
      <c r="B78" s="160">
        <f>'Divisional Summary'!AS44</f>
        <v>2418</v>
      </c>
      <c r="C78" s="161">
        <f>'Divisional Summary'!AT44</f>
        <v>632.75</v>
      </c>
      <c r="D78" s="161">
        <f>'Divisional Summary'!AU44</f>
        <v>725.75</v>
      </c>
      <c r="E78" s="161">
        <f>'Divisional Summary'!AV44</f>
        <v>703.75</v>
      </c>
      <c r="F78" s="161">
        <f>'Divisional Summary'!AW44</f>
        <v>638.75</v>
      </c>
      <c r="G78" s="160">
        <f>'Divisional Summary'!AX44</f>
        <v>2701</v>
      </c>
      <c r="H78" s="161">
        <f>'Divisional Summary'!AY44</f>
        <v>579</v>
      </c>
      <c r="I78" s="161">
        <f>'Divisional Summary'!AZ44</f>
        <v>687</v>
      </c>
      <c r="J78" s="161">
        <f>'Divisional Summary'!BA44</f>
        <v>736</v>
      </c>
      <c r="K78" s="161">
        <f>'Divisional Summary'!BB44</f>
        <v>755</v>
      </c>
      <c r="L78" s="160">
        <f>'Divisional Summary'!BC44</f>
        <v>2757</v>
      </c>
      <c r="M78" s="161">
        <f>'Divisional Summary'!BD44</f>
        <v>659.75</v>
      </c>
      <c r="N78" s="161">
        <f>'Divisional Summary'!BE44</f>
        <v>710.75</v>
      </c>
      <c r="O78" s="161">
        <f>'Divisional Summary'!BF44</f>
        <v>742.75</v>
      </c>
      <c r="P78" s="161">
        <f>'Divisional Summary'!BG44</f>
        <v>755.75</v>
      </c>
      <c r="Q78" s="160">
        <f>'Divisional Summary'!BH44</f>
        <v>2869</v>
      </c>
      <c r="R78" s="161">
        <f>'Divisional Summary'!BI44</f>
        <v>687.75</v>
      </c>
      <c r="S78" s="161">
        <f>'Divisional Summary'!BJ44</f>
        <v>802.75</v>
      </c>
      <c r="T78" s="161">
        <f>'Divisional Summary'!BK44</f>
        <v>827.75</v>
      </c>
      <c r="U78" s="161">
        <f>'Divisional Summary'!BL44</f>
        <v>792.75</v>
      </c>
      <c r="V78" s="160">
        <f>'Divisional Summary'!BM44</f>
        <v>3111</v>
      </c>
      <c r="W78" s="161">
        <f>'Divisional Summary'!BN44</f>
        <v>649</v>
      </c>
      <c r="X78" s="161">
        <f>'Divisional Summary'!BO44</f>
        <v>741</v>
      </c>
      <c r="Y78" s="161">
        <f>'Divisional Summary'!BP44</f>
        <v>748</v>
      </c>
      <c r="Z78" s="161">
        <f>'Divisional Summary'!BQ44</f>
        <v>758</v>
      </c>
      <c r="AA78" s="160">
        <f>'Divisional Summary'!BR44</f>
        <v>2896</v>
      </c>
      <c r="AB78" s="161">
        <f>'Divisional Summary'!BS44</f>
        <v>637.25</v>
      </c>
      <c r="AC78" s="161">
        <f>'Divisional Summary'!BT44</f>
        <v>741.25</v>
      </c>
      <c r="AD78" s="161">
        <f>'Divisional Summary'!BU44</f>
        <v>752.25</v>
      </c>
      <c r="AE78" s="161">
        <f>'Divisional Summary'!BV44</f>
        <v>756.25</v>
      </c>
      <c r="AF78" s="160">
        <f>'Divisional Summary'!BW44</f>
        <v>2887</v>
      </c>
      <c r="AG78" s="161">
        <f>'Divisional Summary'!BX44</f>
        <v>639.25</v>
      </c>
      <c r="AH78" s="161">
        <f>'Divisional Summary'!BY44</f>
        <v>766.25</v>
      </c>
      <c r="AI78" s="161">
        <f>'Divisional Summary'!BZ44</f>
        <v>770.25</v>
      </c>
      <c r="AJ78" s="161">
        <f>'Divisional Summary'!CA44</f>
        <v>760.25</v>
      </c>
      <c r="AK78" s="160">
        <f>'Divisional Summary'!CB44</f>
        <v>2936</v>
      </c>
      <c r="AL78" s="161">
        <f>'Divisional Summary'!CC44</f>
        <v>577</v>
      </c>
      <c r="AM78" s="161">
        <f>'Divisional Summary'!CD44</f>
        <v>679</v>
      </c>
      <c r="AN78" s="161">
        <f>'Divisional Summary'!CE44</f>
        <v>704</v>
      </c>
      <c r="AO78" s="161">
        <f>'Divisional Summary'!CF44</f>
        <v>605</v>
      </c>
      <c r="AP78" s="160">
        <f>'Divisional Summary'!CG44</f>
        <v>2565</v>
      </c>
      <c r="AQ78" s="161">
        <f>'Divisional Summary'!CH44</f>
        <v>523.75</v>
      </c>
      <c r="AR78" s="161">
        <f>'Divisional Summary'!CI44</f>
        <v>639.75</v>
      </c>
      <c r="AS78" s="161">
        <f>'Divisional Summary'!CJ44</f>
        <v>636.75</v>
      </c>
      <c r="AT78" s="161">
        <f>'Divisional Summary'!CK44</f>
        <v>576.75</v>
      </c>
      <c r="AU78" s="160">
        <f>'Divisional Summary'!CL44</f>
        <v>2377</v>
      </c>
      <c r="AV78" s="2036">
        <f>'Divisional Summary'!CM44</f>
        <v>499.75</v>
      </c>
      <c r="AW78" s="2036">
        <f>'Divisional Summary'!CN44</f>
        <v>598.75</v>
      </c>
      <c r="AX78" s="2036">
        <f>'Divisional Summary'!CO44</f>
        <v>603.75</v>
      </c>
      <c r="AY78" s="2036">
        <f>'Divisional Summary'!CP44</f>
        <v>560.61884998736605</v>
      </c>
      <c r="AZ78" s="160">
        <f>'Divisional Summary'!CQ44</f>
        <v>2262.868849987366</v>
      </c>
      <c r="BA78" s="2036">
        <f>'Divisional Summary'!CR44</f>
        <v>512.93476693652951</v>
      </c>
      <c r="BB78" s="2036">
        <f>'Divisional Summary'!CS44</f>
        <v>613.99683663524263</v>
      </c>
      <c r="BC78" s="2036">
        <f>'Divisional Summary'!CT44</f>
        <v>627.63466257211905</v>
      </c>
      <c r="BD78" s="2036">
        <f>'Divisional Summary'!CU44</f>
        <v>558.3385500888927</v>
      </c>
      <c r="BE78" s="160">
        <f>'Divisional Summary'!CV44</f>
        <v>2312.904816232784</v>
      </c>
      <c r="BF78" s="160">
        <f>'Divisional Summary'!CW44</f>
        <v>2383.2184539443474</v>
      </c>
      <c r="BG78" s="147"/>
      <c r="BH78" s="147"/>
      <c r="BI78" s="147"/>
      <c r="BJ78" s="147"/>
      <c r="BK78" s="147"/>
      <c r="BL78" s="147"/>
      <c r="BM78" s="147"/>
      <c r="BN78" s="147"/>
      <c r="BO78" s="147"/>
      <c r="BP78" s="147"/>
      <c r="BQ78" s="147"/>
      <c r="BR78" s="147"/>
      <c r="BS78" s="147"/>
      <c r="BT78" s="147"/>
      <c r="BU78" s="147"/>
      <c r="BV78" s="147"/>
    </row>
    <row r="79" spans="1:74" hidden="1">
      <c r="A79" s="147" t="str">
        <f>A72</f>
        <v>CCS</v>
      </c>
      <c r="B79" s="160">
        <f>'Divisional Summary'!AS45</f>
        <v>0</v>
      </c>
      <c r="C79" s="161">
        <f>'Divisional Summary'!AT45</f>
        <v>0</v>
      </c>
      <c r="D79" s="161">
        <f>'Divisional Summary'!AU45</f>
        <v>0</v>
      </c>
      <c r="E79" s="161">
        <f>'Divisional Summary'!AV45</f>
        <v>0</v>
      </c>
      <c r="F79" s="161">
        <f>'Divisional Summary'!AW45</f>
        <v>0</v>
      </c>
      <c r="G79" s="160">
        <f>'Divisional Summary'!AX45</f>
        <v>0</v>
      </c>
      <c r="H79" s="161">
        <f>'Divisional Summary'!AY45</f>
        <v>0</v>
      </c>
      <c r="I79" s="161">
        <f>'Divisional Summary'!AZ45</f>
        <v>0</v>
      </c>
      <c r="J79" s="161">
        <f>'Divisional Summary'!BA45</f>
        <v>0</v>
      </c>
      <c r="K79" s="161">
        <f>'Divisional Summary'!BB45</f>
        <v>0</v>
      </c>
      <c r="L79" s="160">
        <f>'Divisional Summary'!BC45</f>
        <v>0</v>
      </c>
      <c r="M79" s="161">
        <f>'Divisional Summary'!BD45</f>
        <v>0</v>
      </c>
      <c r="N79" s="161">
        <f>'Divisional Summary'!BE45</f>
        <v>0</v>
      </c>
      <c r="O79" s="161">
        <f>'Divisional Summary'!BF45</f>
        <v>0</v>
      </c>
      <c r="P79" s="161">
        <f>'Divisional Summary'!BG45</f>
        <v>0</v>
      </c>
      <c r="Q79" s="160">
        <f>'Divisional Summary'!BH45</f>
        <v>0</v>
      </c>
      <c r="R79" s="161">
        <f>'Divisional Summary'!BI45</f>
        <v>600</v>
      </c>
      <c r="S79" s="161">
        <f>'Divisional Summary'!BJ45</f>
        <v>797</v>
      </c>
      <c r="T79" s="161">
        <f>'Divisional Summary'!BK45</f>
        <v>735</v>
      </c>
      <c r="U79" s="161">
        <f>'Divisional Summary'!BL45</f>
        <v>595</v>
      </c>
      <c r="V79" s="160">
        <f>'Divisional Summary'!BM45</f>
        <v>2727</v>
      </c>
      <c r="W79" s="161">
        <f>'Divisional Summary'!BN45</f>
        <v>571.5</v>
      </c>
      <c r="X79" s="161">
        <f>'Divisional Summary'!BO45</f>
        <v>820.5</v>
      </c>
      <c r="Y79" s="161">
        <f>'Divisional Summary'!BP45</f>
        <v>762.5</v>
      </c>
      <c r="Z79" s="161">
        <f>'Divisional Summary'!BQ45</f>
        <v>674.5</v>
      </c>
      <c r="AA79" s="160">
        <f>'Divisional Summary'!BR45</f>
        <v>2829</v>
      </c>
      <c r="AB79" s="161">
        <f>'Divisional Summary'!BS45</f>
        <v>599</v>
      </c>
      <c r="AC79" s="161">
        <f>'Divisional Summary'!BT45</f>
        <v>863</v>
      </c>
      <c r="AD79" s="161">
        <f>'Divisional Summary'!BU45</f>
        <v>819</v>
      </c>
      <c r="AE79" s="161">
        <f>'Divisional Summary'!BV45</f>
        <v>731</v>
      </c>
      <c r="AF79" s="160">
        <f>'Divisional Summary'!BW45</f>
        <v>3012</v>
      </c>
      <c r="AG79" s="161">
        <f>'Divisional Summary'!BX45</f>
        <v>667.25</v>
      </c>
      <c r="AH79" s="161">
        <f>'Divisional Summary'!BY45</f>
        <v>927.25</v>
      </c>
      <c r="AI79" s="161">
        <f>'Divisional Summary'!BZ45</f>
        <v>878.25</v>
      </c>
      <c r="AJ79" s="161">
        <f>'Divisional Summary'!CA45</f>
        <v>744.25</v>
      </c>
      <c r="AK79" s="160">
        <f>'Divisional Summary'!CB45</f>
        <v>3217</v>
      </c>
      <c r="AL79" s="161">
        <f>'Divisional Summary'!CC45</f>
        <v>711.25</v>
      </c>
      <c r="AM79" s="161">
        <f>'Divisional Summary'!CD45</f>
        <v>935.25</v>
      </c>
      <c r="AN79" s="161">
        <f>'Divisional Summary'!CE45</f>
        <v>870.25</v>
      </c>
      <c r="AO79" s="161">
        <f>'Divisional Summary'!CF45</f>
        <v>743.25</v>
      </c>
      <c r="AP79" s="160">
        <f>'Divisional Summary'!CG45</f>
        <v>3260</v>
      </c>
      <c r="AQ79" s="161">
        <f>'Divisional Summary'!CH45</f>
        <v>722.5</v>
      </c>
      <c r="AR79" s="161">
        <f>'Divisional Summary'!CI45</f>
        <v>997.5</v>
      </c>
      <c r="AS79" s="161">
        <f>'Divisional Summary'!CJ45</f>
        <v>918.5</v>
      </c>
      <c r="AT79" s="161">
        <f>'Divisional Summary'!CK45</f>
        <v>768.5</v>
      </c>
      <c r="AU79" s="160">
        <f>'Divisional Summary'!CL45</f>
        <v>3407</v>
      </c>
      <c r="AV79" s="2036">
        <f>'Divisional Summary'!CM45</f>
        <v>695.5</v>
      </c>
      <c r="AW79" s="2036">
        <f>'Divisional Summary'!CN45</f>
        <v>979.5</v>
      </c>
      <c r="AX79" s="2036">
        <f>'Divisional Summary'!CO45</f>
        <v>959.5</v>
      </c>
      <c r="AY79" s="2036">
        <f>'Divisional Summary'!CP45</f>
        <v>831.8229430521958</v>
      </c>
      <c r="AZ79" s="160">
        <f>'Divisional Summary'!CQ45</f>
        <v>3466.322943052196</v>
      </c>
      <c r="BA79" s="2036">
        <f>'Divisional Summary'!CR45</f>
        <v>765.51685639918969</v>
      </c>
      <c r="BB79" s="2036">
        <f>'Divisional Summary'!CS45</f>
        <v>1036.1291802907251</v>
      </c>
      <c r="BC79" s="2036">
        <f>'Divisional Summary'!CT45</f>
        <v>1015.8536976402412</v>
      </c>
      <c r="BD79" s="2036">
        <f>'Divisional Summary'!CU45</f>
        <v>900.36364709411134</v>
      </c>
      <c r="BE79" s="160">
        <f>'Divisional Summary'!CV45</f>
        <v>3717.8633814242671</v>
      </c>
      <c r="BF79" s="160">
        <f>'Divisional Summary'!CW45</f>
        <v>3946.7542601794148</v>
      </c>
      <c r="BG79" s="147"/>
      <c r="BH79" s="147"/>
      <c r="BI79" s="147"/>
      <c r="BJ79" s="147"/>
      <c r="BK79" s="147"/>
      <c r="BL79" s="147"/>
      <c r="BM79" s="147"/>
      <c r="BN79" s="147"/>
      <c r="BO79" s="147"/>
      <c r="BP79" s="147"/>
      <c r="BQ79" s="147"/>
      <c r="BR79" s="147"/>
      <c r="BS79" s="147"/>
      <c r="BT79" s="147"/>
      <c r="BU79" s="147"/>
      <c r="BV79" s="147"/>
    </row>
    <row r="80" spans="1:74" hidden="1">
      <c r="A80" s="147" t="str">
        <f>A73</f>
        <v>Pratt &amp; Whitney</v>
      </c>
      <c r="B80" s="160">
        <f>'Divisional Summary'!AS48</f>
        <v>2331</v>
      </c>
      <c r="C80" s="161">
        <f>'Divisional Summary'!AT48</f>
        <v>632</v>
      </c>
      <c r="D80" s="161">
        <f>'Divisional Summary'!AU48</f>
        <v>655</v>
      </c>
      <c r="E80" s="161">
        <f>'Divisional Summary'!AV48</f>
        <v>637</v>
      </c>
      <c r="F80" s="161">
        <f>'Divisional Summary'!AW48</f>
        <v>645</v>
      </c>
      <c r="G80" s="160">
        <f>'Divisional Summary'!AX48</f>
        <v>2569</v>
      </c>
      <c r="H80" s="161">
        <f>'Divisional Summary'!AY48</f>
        <v>582.25</v>
      </c>
      <c r="I80" s="161">
        <f>'Divisional Summary'!AZ48</f>
        <v>605.25</v>
      </c>
      <c r="J80" s="161">
        <f>'Divisional Summary'!BA48</f>
        <v>583.25</v>
      </c>
      <c r="K80" s="161">
        <f>'Divisional Summary'!BB48</f>
        <v>583.25</v>
      </c>
      <c r="L80" s="160">
        <f>'Divisional Summary'!BC48</f>
        <v>2354</v>
      </c>
      <c r="M80" s="161">
        <f>'Divisional Summary'!BD48</f>
        <v>547</v>
      </c>
      <c r="N80" s="161">
        <f>'Divisional Summary'!BE48</f>
        <v>616</v>
      </c>
      <c r="O80" s="161">
        <f>'Divisional Summary'!BF48</f>
        <v>645</v>
      </c>
      <c r="P80" s="161">
        <f>'Divisional Summary'!BG48</f>
        <v>657</v>
      </c>
      <c r="Q80" s="160">
        <f>'Divisional Summary'!BH48</f>
        <v>2465</v>
      </c>
      <c r="R80" s="161">
        <f>'Divisional Summary'!BI48</f>
        <v>515</v>
      </c>
      <c r="S80" s="161">
        <f>'Divisional Summary'!BJ48</f>
        <v>532</v>
      </c>
      <c r="T80" s="161">
        <f>'Divisional Summary'!BK48</f>
        <v>543</v>
      </c>
      <c r="U80" s="161">
        <f>'Divisional Summary'!BL48</f>
        <v>620</v>
      </c>
      <c r="V80" s="160">
        <f>'Divisional Summary'!BM48</f>
        <v>2210</v>
      </c>
      <c r="W80" s="161">
        <f>'Divisional Summary'!BN48</f>
        <v>507</v>
      </c>
      <c r="X80" s="161">
        <f>'Divisional Summary'!BO48</f>
        <v>525</v>
      </c>
      <c r="Y80" s="161">
        <f>'Divisional Summary'!BP48</f>
        <v>493</v>
      </c>
      <c r="Z80" s="161">
        <f>'Divisional Summary'!BQ48</f>
        <v>484</v>
      </c>
      <c r="AA80" s="160">
        <f>'Divisional Summary'!BR48</f>
        <v>2009</v>
      </c>
      <c r="AB80" s="161">
        <f>'Divisional Summary'!BS48</f>
        <v>492.75</v>
      </c>
      <c r="AC80" s="161">
        <f>'Divisional Summary'!BT48</f>
        <v>546.75</v>
      </c>
      <c r="AD80" s="161">
        <f>'Divisional Summary'!BU48</f>
        <v>565.75</v>
      </c>
      <c r="AE80" s="161">
        <f>'Divisional Summary'!BV48</f>
        <v>575.75</v>
      </c>
      <c r="AF80" s="160">
        <f>'Divisional Summary'!BW48</f>
        <v>2181</v>
      </c>
      <c r="AG80" s="161">
        <f>'Divisional Summary'!BX48</f>
        <v>527.5</v>
      </c>
      <c r="AH80" s="161">
        <f>'Divisional Summary'!BY48</f>
        <v>616.5</v>
      </c>
      <c r="AI80" s="161">
        <f>'Divisional Summary'!BZ48</f>
        <v>655.5</v>
      </c>
      <c r="AJ80" s="161">
        <f>'Divisional Summary'!CA48</f>
        <v>653.5</v>
      </c>
      <c r="AK80" s="160">
        <f>'Divisional Summary'!CB48</f>
        <v>2453</v>
      </c>
      <c r="AL80" s="161">
        <f>'Divisional Summary'!CC48</f>
        <v>551</v>
      </c>
      <c r="AM80" s="161">
        <f>'Divisional Summary'!CD48</f>
        <v>608</v>
      </c>
      <c r="AN80" s="161">
        <f>'Divisional Summary'!CE48</f>
        <v>560</v>
      </c>
      <c r="AO80" s="161">
        <f>'Divisional Summary'!CF48</f>
        <v>670</v>
      </c>
      <c r="AP80" s="160">
        <f>'Divisional Summary'!CG48</f>
        <v>2389</v>
      </c>
      <c r="AQ80" s="161">
        <f>'Divisional Summary'!CH48</f>
        <v>552.5</v>
      </c>
      <c r="AR80" s="161">
        <f>'Divisional Summary'!CI48</f>
        <v>589.5</v>
      </c>
      <c r="AS80" s="161">
        <f>'Divisional Summary'!CJ48</f>
        <v>551.5</v>
      </c>
      <c r="AT80" s="161">
        <f>'Divisional Summary'!CK48</f>
        <v>607.5</v>
      </c>
      <c r="AU80" s="160">
        <f>'Divisional Summary'!CL48</f>
        <v>2301</v>
      </c>
      <c r="AV80" s="2036">
        <f>'Divisional Summary'!CM48</f>
        <v>551.23693553934095</v>
      </c>
      <c r="AW80" s="2036">
        <f>'Divisional Summary'!CN48</f>
        <v>566.23693553934095</v>
      </c>
      <c r="AX80" s="2036">
        <f>'Divisional Summary'!CO48</f>
        <v>581.23693553934095</v>
      </c>
      <c r="AY80" s="2036">
        <f>'Divisional Summary'!CP48</f>
        <v>558.23110355170854</v>
      </c>
      <c r="AZ80" s="160">
        <f>'Divisional Summary'!CQ48</f>
        <v>2256.9419101697313</v>
      </c>
      <c r="BA80" s="2036">
        <f>'Divisional Summary'!CR48</f>
        <v>537.64242385302953</v>
      </c>
      <c r="BB80" s="2036">
        <f>'Divisional Summary'!CS48</f>
        <v>552.64242385302953</v>
      </c>
      <c r="BC80" s="2036">
        <f>'Divisional Summary'!CT48</f>
        <v>567.64242385302953</v>
      </c>
      <c r="BD80" s="2036">
        <f>'Divisional Summary'!CU48</f>
        <v>544.63659186539712</v>
      </c>
      <c r="BE80" s="160">
        <f>'Divisional Summary'!CV48</f>
        <v>2202.5638634244856</v>
      </c>
      <c r="BF80" s="160">
        <f>'Divisional Summary'!CW48</f>
        <v>2682.0140936476428</v>
      </c>
      <c r="BG80" s="147"/>
      <c r="BH80" s="147"/>
      <c r="BI80" s="147"/>
      <c r="BJ80" s="147"/>
      <c r="BK80" s="147"/>
      <c r="BL80" s="147"/>
      <c r="BM80" s="147"/>
      <c r="BN80" s="147"/>
      <c r="BO80" s="147"/>
      <c r="BP80" s="147"/>
      <c r="BQ80" s="147"/>
      <c r="BR80" s="147"/>
      <c r="BS80" s="147"/>
      <c r="BT80" s="147"/>
      <c r="BU80" s="147"/>
      <c r="BV80" s="147"/>
    </row>
    <row r="81" spans="1:74" hidden="1">
      <c r="A81" s="147" t="str">
        <f>A74</f>
        <v>Aerospace Systems</v>
      </c>
      <c r="B81" s="160">
        <f>'Divisional Summary'!AS50</f>
        <v>0</v>
      </c>
      <c r="C81" s="161">
        <f>'Divisional Summary'!AT50</f>
        <v>0</v>
      </c>
      <c r="D81" s="161">
        <f>'Divisional Summary'!AU50</f>
        <v>0</v>
      </c>
      <c r="E81" s="161">
        <f>'Divisional Summary'!AV50</f>
        <v>0</v>
      </c>
      <c r="F81" s="161">
        <f>'Divisional Summary'!AW50</f>
        <v>0</v>
      </c>
      <c r="G81" s="160">
        <f>'Divisional Summary'!AX50</f>
        <v>0</v>
      </c>
      <c r="H81" s="161">
        <f>'Divisional Summary'!AY50</f>
        <v>0</v>
      </c>
      <c r="I81" s="161">
        <f>'Divisional Summary'!AZ50</f>
        <v>0</v>
      </c>
      <c r="J81" s="161">
        <f>'Divisional Summary'!BA50</f>
        <v>0</v>
      </c>
      <c r="K81" s="161">
        <f>'Divisional Summary'!BB50</f>
        <v>0</v>
      </c>
      <c r="L81" s="160">
        <f>'Divisional Summary'!BC50</f>
        <v>0</v>
      </c>
      <c r="M81" s="161">
        <f>'Divisional Summary'!BD50</f>
        <v>0</v>
      </c>
      <c r="N81" s="161">
        <f>'Divisional Summary'!BE50</f>
        <v>0</v>
      </c>
      <c r="O81" s="161">
        <f>'Divisional Summary'!BF50</f>
        <v>0</v>
      </c>
      <c r="P81" s="161">
        <f>'Divisional Summary'!BG50</f>
        <v>0</v>
      </c>
      <c r="Q81" s="160">
        <f>'Divisional Summary'!BH50</f>
        <v>0</v>
      </c>
      <c r="R81" s="161">
        <f>'Divisional Summary'!BI50</f>
        <v>217</v>
      </c>
      <c r="S81" s="161">
        <f>'Divisional Summary'!BJ50</f>
        <v>230</v>
      </c>
      <c r="T81" s="161">
        <f>'Divisional Summary'!BK50</f>
        <v>248</v>
      </c>
      <c r="U81" s="161">
        <f>'Divisional Summary'!BL50</f>
        <v>247</v>
      </c>
      <c r="V81" s="160">
        <f>'Divisional Summary'!BM50</f>
        <v>942</v>
      </c>
      <c r="W81" s="161">
        <f>'Divisional Summary'!BN50</f>
        <v>243</v>
      </c>
      <c r="X81" s="161">
        <f>'Divisional Summary'!BO50</f>
        <v>257</v>
      </c>
      <c r="Y81" s="161">
        <f>'Divisional Summary'!BP50</f>
        <v>466</v>
      </c>
      <c r="Z81" s="161">
        <f>'Divisional Summary'!BQ50</f>
        <v>505</v>
      </c>
      <c r="AA81" s="160">
        <f>'Divisional Summary'!BR50</f>
        <v>1471</v>
      </c>
      <c r="AB81" s="161">
        <f>'Divisional Summary'!BS50</f>
        <v>699.25</v>
      </c>
      <c r="AC81" s="161">
        <f>'Divisional Summary'!BT50</f>
        <v>722.25</v>
      </c>
      <c r="AD81" s="161">
        <f>'Divisional Summary'!BU50</f>
        <v>715.25</v>
      </c>
      <c r="AE81" s="161">
        <f>'Divisional Summary'!BV50</f>
        <v>734.25</v>
      </c>
      <c r="AF81" s="160">
        <f>'Divisional Summary'!BW50</f>
        <v>2871</v>
      </c>
      <c r="AG81" s="161">
        <f>'Divisional Summary'!BX50</f>
        <v>797.75</v>
      </c>
      <c r="AH81" s="161">
        <f>'Divisional Summary'!BY50</f>
        <v>807.75</v>
      </c>
      <c r="AI81" s="161">
        <f>'Divisional Summary'!BZ50</f>
        <v>802.75</v>
      </c>
      <c r="AJ81" s="161">
        <f>'Divisional Summary'!CA50</f>
        <v>835.75</v>
      </c>
      <c r="AK81" s="160">
        <f>'Divisional Summary'!CB50</f>
        <v>3244</v>
      </c>
      <c r="AL81" s="161">
        <f>'Divisional Summary'!CC50</f>
        <v>818</v>
      </c>
      <c r="AM81" s="161">
        <f>'Divisional Summary'!CD50</f>
        <v>779</v>
      </c>
      <c r="AN81" s="161">
        <f>'Divisional Summary'!CE50</f>
        <v>785</v>
      </c>
      <c r="AO81" s="161">
        <f>'Divisional Summary'!CF50</f>
        <v>769</v>
      </c>
      <c r="AP81" s="160">
        <f>'Divisional Summary'!CG50</f>
        <v>3151</v>
      </c>
      <c r="AQ81" s="161">
        <f>'Divisional Summary'!CH50</f>
        <v>752.75</v>
      </c>
      <c r="AR81" s="161">
        <f>'Divisional Summary'!CI50</f>
        <v>791.75</v>
      </c>
      <c r="AS81" s="161">
        <f>'Divisional Summary'!CJ50</f>
        <v>823.75</v>
      </c>
      <c r="AT81" s="161">
        <f>'Divisional Summary'!CK50</f>
        <v>796.75</v>
      </c>
      <c r="AU81" s="160">
        <f>'Divisional Summary'!CL50</f>
        <v>3154</v>
      </c>
      <c r="AV81" s="2036">
        <f>'Divisional Summary'!CM50</f>
        <v>798</v>
      </c>
      <c r="AW81" s="2036">
        <f>'Divisional Summary'!CN50</f>
        <v>802</v>
      </c>
      <c r="AX81" s="2036">
        <f>'Divisional Summary'!CO50</f>
        <v>832</v>
      </c>
      <c r="AY81" s="2036">
        <f>'Divisional Summary'!CP50</f>
        <v>775.7335875118747</v>
      </c>
      <c r="AZ81" s="160">
        <f>'Divisional Summary'!CQ50</f>
        <v>3207.7335875118747</v>
      </c>
      <c r="BA81" s="2036">
        <f>'Divisional Summary'!CR50</f>
        <v>823.27700000000004</v>
      </c>
      <c r="BB81" s="2036">
        <f>'Divisional Summary'!CS50</f>
        <v>840.22</v>
      </c>
      <c r="BC81" s="2036">
        <f>'Divisional Summary'!CT50</f>
        <v>870.18849999999998</v>
      </c>
      <c r="BD81" s="2036">
        <f>'Divisional Summary'!CU50</f>
        <v>798.31912998768951</v>
      </c>
      <c r="BE81" s="160">
        <f>'Divisional Summary'!CV50</f>
        <v>3332.0046299876894</v>
      </c>
      <c r="BF81" s="160">
        <f>'Divisional Summary'!CW50</f>
        <v>3460.9494341658178</v>
      </c>
      <c r="BG81" s="147"/>
      <c r="BH81" s="147"/>
      <c r="BI81" s="147"/>
      <c r="BJ81" s="147"/>
      <c r="BK81" s="147"/>
      <c r="BL81" s="147"/>
      <c r="BM81" s="147"/>
      <c r="BN81" s="147"/>
      <c r="BO81" s="147"/>
      <c r="BP81" s="147"/>
      <c r="BQ81" s="147"/>
      <c r="BR81" s="147"/>
      <c r="BS81" s="147"/>
      <c r="BT81" s="147"/>
      <c r="BU81" s="147"/>
      <c r="BV81" s="147"/>
    </row>
    <row r="82" spans="1:74" hidden="1">
      <c r="A82" s="147" t="str">
        <f>A75</f>
        <v>Sikorsky</v>
      </c>
      <c r="B82" s="160">
        <f>'Divisional Summary'!AS52</f>
        <v>422</v>
      </c>
      <c r="C82" s="161">
        <f>'Divisional Summary'!AT52</f>
        <v>97.5</v>
      </c>
      <c r="D82" s="161">
        <f>'Divisional Summary'!AU52</f>
        <v>126.5</v>
      </c>
      <c r="E82" s="161">
        <f>'Divisional Summary'!AV52</f>
        <v>148.5</v>
      </c>
      <c r="F82" s="161">
        <f>'Divisional Summary'!AW52</f>
        <v>167.5</v>
      </c>
      <c r="G82" s="160">
        <f>'Divisional Summary'!AX52</f>
        <v>540</v>
      </c>
      <c r="H82" s="161">
        <f>'Divisional Summary'!AY52</f>
        <v>133</v>
      </c>
      <c r="I82" s="161">
        <f>'Divisional Summary'!AZ52</f>
        <v>157</v>
      </c>
      <c r="J82" s="161">
        <f>'Divisional Summary'!BA52</f>
        <v>174</v>
      </c>
      <c r="K82" s="161">
        <f>'Divisional Summary'!BB52</f>
        <v>219</v>
      </c>
      <c r="L82" s="160">
        <f>'Divisional Summary'!BC52</f>
        <v>683</v>
      </c>
      <c r="M82" s="161">
        <f>'Divisional Summary'!BD52</f>
        <v>165.75</v>
      </c>
      <c r="N82" s="161">
        <f>'Divisional Summary'!BE52</f>
        <v>196.75</v>
      </c>
      <c r="O82" s="161">
        <f>'Divisional Summary'!BF52</f>
        <v>190.75</v>
      </c>
      <c r="P82" s="161">
        <f>'Divisional Summary'!BG52</f>
        <v>259.75</v>
      </c>
      <c r="Q82" s="160">
        <f>'Divisional Summary'!BH52</f>
        <v>813</v>
      </c>
      <c r="R82" s="161">
        <f>'Divisional Summary'!BI52</f>
        <v>163</v>
      </c>
      <c r="S82" s="161">
        <f>'Divisional Summary'!BJ52</f>
        <v>227</v>
      </c>
      <c r="T82" s="161">
        <f>'Divisional Summary'!BK52</f>
        <v>249</v>
      </c>
      <c r="U82" s="161">
        <f>'Divisional Summary'!BL52</f>
        <v>265</v>
      </c>
      <c r="V82" s="160">
        <f>'Divisional Summary'!BM52</f>
        <v>904</v>
      </c>
      <c r="W82" s="161">
        <f>'Divisional Summary'!BN52</f>
        <v>160.25</v>
      </c>
      <c r="X82" s="161">
        <f>'Divisional Summary'!BO52</f>
        <v>237.25</v>
      </c>
      <c r="Y82" s="161">
        <f>'Divisional Summary'!BP52</f>
        <v>236.25</v>
      </c>
      <c r="Z82" s="161">
        <f>'Divisional Summary'!BQ52</f>
        <v>216.25</v>
      </c>
      <c r="AA82" s="160">
        <f>'Divisional Summary'!BR52</f>
        <v>850</v>
      </c>
      <c r="AB82" s="161">
        <f>'Divisional Summary'!BS52</f>
        <v>116.25</v>
      </c>
      <c r="AC82" s="161">
        <f>'Divisional Summary'!BT52</f>
        <v>186.25</v>
      </c>
      <c r="AD82" s="161">
        <f>'Divisional Summary'!BU52</f>
        <v>191.25</v>
      </c>
      <c r="AE82" s="161">
        <f>'Divisional Summary'!BV52</f>
        <v>235.25</v>
      </c>
      <c r="AF82" s="160">
        <f>'Divisional Summary'!BW52</f>
        <v>729</v>
      </c>
      <c r="AG82" s="161">
        <f>'Divisional Summary'!BX52</f>
        <v>124.5</v>
      </c>
      <c r="AH82" s="161">
        <f>'Divisional Summary'!BY52</f>
        <v>170.5</v>
      </c>
      <c r="AI82" s="161">
        <f>'Divisional Summary'!BZ52</f>
        <v>173.5</v>
      </c>
      <c r="AJ82" s="161">
        <f>'Divisional Summary'!CA52</f>
        <v>316.5</v>
      </c>
      <c r="AK82" s="160">
        <f>'Divisional Summary'!CB52</f>
        <v>785</v>
      </c>
      <c r="AL82" s="161">
        <f>'Divisional Summary'!CC52</f>
        <v>0</v>
      </c>
      <c r="AM82" s="161">
        <f>'Divisional Summary'!CD52</f>
        <v>0</v>
      </c>
      <c r="AN82" s="161">
        <f>'Divisional Summary'!CE52</f>
        <v>0</v>
      </c>
      <c r="AO82" s="161">
        <f>'Divisional Summary'!CF52</f>
        <v>0</v>
      </c>
      <c r="AP82" s="160">
        <f>'Divisional Summary'!CG52</f>
        <v>0</v>
      </c>
      <c r="AQ82" s="161">
        <f>'Divisional Summary'!CH52</f>
        <v>0</v>
      </c>
      <c r="AR82" s="161">
        <f>'Divisional Summary'!CI52</f>
        <v>0</v>
      </c>
      <c r="AS82" s="161">
        <f>'Divisional Summary'!CJ52</f>
        <v>0</v>
      </c>
      <c r="AT82" s="161">
        <f>'Divisional Summary'!CK52</f>
        <v>0</v>
      </c>
      <c r="AU82" s="160">
        <f>'Divisional Summary'!CL52</f>
        <v>0</v>
      </c>
      <c r="AV82" s="2036">
        <f>'Divisional Summary'!CM52</f>
        <v>0</v>
      </c>
      <c r="AW82" s="2036">
        <f>'Divisional Summary'!CN52</f>
        <v>0</v>
      </c>
      <c r="AX82" s="2036">
        <f>'Divisional Summary'!CO52</f>
        <v>0</v>
      </c>
      <c r="AY82" s="2036">
        <f>'Divisional Summary'!CP52</f>
        <v>0</v>
      </c>
      <c r="AZ82" s="160">
        <f>'Divisional Summary'!CQ52</f>
        <v>0</v>
      </c>
      <c r="BA82" s="2036">
        <f>'Divisional Summary'!CR52</f>
        <v>0</v>
      </c>
      <c r="BB82" s="2036">
        <f>'Divisional Summary'!CS52</f>
        <v>0</v>
      </c>
      <c r="BC82" s="2036">
        <f>'Divisional Summary'!CT52</f>
        <v>0</v>
      </c>
      <c r="BD82" s="2036">
        <f>'Divisional Summary'!CU52</f>
        <v>0</v>
      </c>
      <c r="BE82" s="160">
        <f>'Divisional Summary'!CV52</f>
        <v>0</v>
      </c>
      <c r="BF82" s="160">
        <f>'Divisional Summary'!CW52</f>
        <v>0</v>
      </c>
      <c r="BG82" s="147"/>
      <c r="BH82" s="147"/>
      <c r="BI82" s="147"/>
      <c r="BJ82" s="147"/>
      <c r="BK82" s="147"/>
      <c r="BL82" s="147"/>
      <c r="BM82" s="147"/>
      <c r="BN82" s="147"/>
      <c r="BO82" s="147"/>
      <c r="BP82" s="147"/>
      <c r="BQ82" s="147"/>
      <c r="BR82" s="147"/>
      <c r="BS82" s="147"/>
      <c r="BT82" s="147"/>
      <c r="BU82" s="147"/>
      <c r="BV82" s="147"/>
    </row>
    <row r="83" spans="1:74" hidden="1">
      <c r="A83" s="153" t="s">
        <v>8</v>
      </c>
      <c r="B83" s="151">
        <f>'Divisional Summary'!AS53</f>
        <v>-334</v>
      </c>
      <c r="C83" s="152">
        <f>'Divisional Summary'!AT53</f>
        <v>-97.75</v>
      </c>
      <c r="D83" s="152">
        <f>'Divisional Summary'!AU53</f>
        <v>-106.75</v>
      </c>
      <c r="E83" s="152">
        <f>'Divisional Summary'!AV53</f>
        <v>-107.75</v>
      </c>
      <c r="F83" s="152">
        <f>'Divisional Summary'!AW53</f>
        <v>-67.75</v>
      </c>
      <c r="G83" s="151">
        <f>'Divisional Summary'!AX53</f>
        <v>-380</v>
      </c>
      <c r="H83" s="152">
        <f>'Divisional Summary'!AY53</f>
        <v>-121.5</v>
      </c>
      <c r="I83" s="152">
        <f>'Divisional Summary'!AZ53</f>
        <v>-105.5</v>
      </c>
      <c r="J83" s="152">
        <f>'Divisional Summary'!BA53</f>
        <v>-130.5</v>
      </c>
      <c r="K83" s="152">
        <f>'Divisional Summary'!BB53</f>
        <v>-102.5</v>
      </c>
      <c r="L83" s="151">
        <f>'Divisional Summary'!BC53</f>
        <v>-460</v>
      </c>
      <c r="M83" s="152">
        <f>'Divisional Summary'!BD53</f>
        <v>-125.75</v>
      </c>
      <c r="N83" s="152">
        <f>'Divisional Summary'!BE53</f>
        <v>-120.75</v>
      </c>
      <c r="O83" s="152">
        <f>'Divisional Summary'!BF53</f>
        <v>-95.75</v>
      </c>
      <c r="P83" s="152">
        <f>'Divisional Summary'!BG53</f>
        <v>-194.75</v>
      </c>
      <c r="Q83" s="151">
        <f>'Divisional Summary'!BH53</f>
        <v>-537</v>
      </c>
      <c r="R83" s="152">
        <f>'Divisional Summary'!BI53</f>
        <v>-136.75</v>
      </c>
      <c r="S83" s="152">
        <f>'Divisional Summary'!BJ53</f>
        <v>-132.75</v>
      </c>
      <c r="T83" s="152">
        <f>'Divisional Summary'!BK53</f>
        <v>-96.75</v>
      </c>
      <c r="U83" s="152">
        <f>'Divisional Summary'!BL53</f>
        <v>-215.75</v>
      </c>
      <c r="V83" s="151">
        <f>'Divisional Summary'!BM53</f>
        <v>-582</v>
      </c>
      <c r="W83" s="152">
        <f>'Divisional Summary'!BN53</f>
        <v>-88.75</v>
      </c>
      <c r="X83" s="152">
        <f>'Divisional Summary'!BO53</f>
        <v>-113.75</v>
      </c>
      <c r="Y83" s="152">
        <f>'Divisional Summary'!BP53</f>
        <v>-148.75</v>
      </c>
      <c r="Z83" s="152">
        <f>'Divisional Summary'!BQ53</f>
        <v>-86.75</v>
      </c>
      <c r="AA83" s="151">
        <f>'Divisional Summary'!BR53</f>
        <v>-438</v>
      </c>
      <c r="AB83" s="152">
        <f>'Divisional Summary'!BS53</f>
        <v>-80.5</v>
      </c>
      <c r="AC83" s="152">
        <f>'Divisional Summary'!BT53</f>
        <v>-116.5</v>
      </c>
      <c r="AD83" s="152">
        <f>'Divisional Summary'!BU53</f>
        <v>-97.5</v>
      </c>
      <c r="AE83" s="152">
        <f>'Divisional Summary'!BV53</f>
        <v>-97.5</v>
      </c>
      <c r="AF83" s="151">
        <f>'Divisional Summary'!BW53</f>
        <v>-392</v>
      </c>
      <c r="AG83" s="152">
        <f>'Divisional Summary'!BX53</f>
        <v>-66.25</v>
      </c>
      <c r="AH83" s="152">
        <f>'Divisional Summary'!BY53</f>
        <v>-82.25</v>
      </c>
      <c r="AI83" s="152">
        <f>'Divisional Summary'!BZ53</f>
        <v>-101.25</v>
      </c>
      <c r="AJ83" s="152">
        <f>'Divisional Summary'!CA53</f>
        <v>-126.25</v>
      </c>
      <c r="AK83" s="151">
        <f>'Divisional Summary'!CB53</f>
        <v>-376</v>
      </c>
      <c r="AL83" s="152">
        <f>'Divisional Summary'!CC53</f>
        <v>-51.142300899208294</v>
      </c>
      <c r="AM83" s="152">
        <f>'Divisional Summary'!CD53</f>
        <v>-54.357699100791706</v>
      </c>
      <c r="AN83" s="152">
        <f>'Divisional Summary'!CE53</f>
        <v>-58.25</v>
      </c>
      <c r="AO83" s="152">
        <f>'Divisional Summary'!CF53</f>
        <v>-170.25</v>
      </c>
      <c r="AP83" s="151">
        <f>'Divisional Summary'!CG53</f>
        <v>-334</v>
      </c>
      <c r="AQ83" s="152">
        <f>'Divisional Summary'!CH53</f>
        <v>-78.5</v>
      </c>
      <c r="AR83" s="152">
        <f>'Divisional Summary'!CI53</f>
        <v>-59.5</v>
      </c>
      <c r="AS83" s="152">
        <f>'Divisional Summary'!CJ53</f>
        <v>-54.5</v>
      </c>
      <c r="AT83" s="152">
        <f>'Divisional Summary'!CK53</f>
        <v>-83.5</v>
      </c>
      <c r="AU83" s="151">
        <f>'Divisional Summary'!CL53</f>
        <v>-276</v>
      </c>
      <c r="AV83" s="2032">
        <f>'Divisional Summary'!CM53</f>
        <v>-93.486935539340948</v>
      </c>
      <c r="AW83" s="2032">
        <f>'Divisional Summary'!CN53</f>
        <v>-69.486935539340948</v>
      </c>
      <c r="AX83" s="2032">
        <f>'Divisional Summary'!CO53</f>
        <v>-102.48693553934095</v>
      </c>
      <c r="AY83" s="2032">
        <f>'Divisional Summary'!CP53</f>
        <v>-124.53919338197716</v>
      </c>
      <c r="AZ83" s="151">
        <f>'Divisional Summary'!CQ53</f>
        <v>-390</v>
      </c>
      <c r="BA83" s="2032">
        <f>'Divisional Summary'!CR53</f>
        <v>-81.875</v>
      </c>
      <c r="BB83" s="2032">
        <f>'Divisional Summary'!CS53</f>
        <v>-81.875</v>
      </c>
      <c r="BC83" s="2032">
        <f>'Divisional Summary'!CT53</f>
        <v>-81.875</v>
      </c>
      <c r="BD83" s="2032">
        <f>'Divisional Summary'!CU53</f>
        <v>-81.875</v>
      </c>
      <c r="BE83" s="151">
        <f>'Divisional Summary'!CV53</f>
        <v>-327.5</v>
      </c>
      <c r="BF83" s="151">
        <f>'Divisional Summary'!CW53</f>
        <v>-327.5</v>
      </c>
      <c r="BG83" s="147"/>
      <c r="BH83" s="147"/>
      <c r="BI83" s="147"/>
      <c r="BJ83" s="147"/>
      <c r="BK83" s="147"/>
      <c r="BL83" s="147"/>
      <c r="BM83" s="147"/>
      <c r="BN83" s="147"/>
      <c r="BO83" s="147"/>
      <c r="BP83" s="147"/>
      <c r="BQ83" s="147"/>
      <c r="BR83" s="147"/>
      <c r="BS83" s="147"/>
      <c r="BT83" s="147"/>
      <c r="BU83" s="147"/>
      <c r="BV83" s="147"/>
    </row>
    <row r="84" spans="1:74" hidden="1">
      <c r="A84" s="179" t="s">
        <v>253</v>
      </c>
      <c r="B84" s="172">
        <f>'Divisional Summary'!AS54</f>
        <v>8255</v>
      </c>
      <c r="C84" s="173">
        <f>'Divisional Summary'!AT54</f>
        <v>2027</v>
      </c>
      <c r="D84" s="173">
        <f>'Divisional Summary'!AU54</f>
        <v>2519</v>
      </c>
      <c r="E84" s="173">
        <f>'Divisional Summary'!AV54</f>
        <v>2431</v>
      </c>
      <c r="F84" s="173">
        <f>'Divisional Summary'!AW54</f>
        <v>2147</v>
      </c>
      <c r="G84" s="172">
        <f>'Divisional Summary'!AX54</f>
        <v>9124</v>
      </c>
      <c r="H84" s="173">
        <f>'Divisional Summary'!AY54</f>
        <v>1698.5</v>
      </c>
      <c r="I84" s="173">
        <f>'Divisional Summary'!AZ54</f>
        <v>2168.5</v>
      </c>
      <c r="J84" s="173">
        <f>'Divisional Summary'!BA54</f>
        <v>2221.5</v>
      </c>
      <c r="K84" s="173">
        <f>'Divisional Summary'!BB54</f>
        <v>2240.5</v>
      </c>
      <c r="L84" s="172">
        <f>'Divisional Summary'!BC54</f>
        <v>8329</v>
      </c>
      <c r="M84" s="173">
        <f>'Divisional Summary'!BD54</f>
        <v>1917</v>
      </c>
      <c r="N84" s="173">
        <f>'Divisional Summary'!BE54</f>
        <v>2381</v>
      </c>
      <c r="O84" s="173">
        <f>'Divisional Summary'!BF54</f>
        <v>2463</v>
      </c>
      <c r="P84" s="173">
        <f>'Divisional Summary'!BG54</f>
        <v>2395</v>
      </c>
      <c r="Q84" s="172">
        <f>'Divisional Summary'!BH54</f>
        <v>9156</v>
      </c>
      <c r="R84" s="173">
        <f>'Divisional Summary'!BI54</f>
        <v>2046</v>
      </c>
      <c r="S84" s="173">
        <f>'Divisional Summary'!BJ54</f>
        <v>2456</v>
      </c>
      <c r="T84" s="173">
        <f>'Divisional Summary'!BK54</f>
        <v>2506</v>
      </c>
      <c r="U84" s="173">
        <f>'Divisional Summary'!BL54</f>
        <v>2304</v>
      </c>
      <c r="V84" s="172">
        <f>'Divisional Summary'!BM54</f>
        <v>9312</v>
      </c>
      <c r="W84" s="173">
        <f>'Divisional Summary'!BN54</f>
        <v>2042</v>
      </c>
      <c r="X84" s="173">
        <f>'Divisional Summary'!BO54</f>
        <v>2467</v>
      </c>
      <c r="Y84" s="173">
        <f>'Divisional Summary'!BP54</f>
        <v>2557</v>
      </c>
      <c r="Z84" s="173">
        <f>'Divisional Summary'!BQ54</f>
        <v>2551</v>
      </c>
      <c r="AA84" s="172">
        <f>'Divisional Summary'!BR54</f>
        <v>9617</v>
      </c>
      <c r="AB84" s="173">
        <f>'Divisional Summary'!BS54</f>
        <v>2464</v>
      </c>
      <c r="AC84" s="173">
        <f>'Divisional Summary'!BT54</f>
        <v>2943</v>
      </c>
      <c r="AD84" s="173">
        <f>'Divisional Summary'!BU54</f>
        <v>2946</v>
      </c>
      <c r="AE84" s="173">
        <f>'Divisional Summary'!BV54</f>
        <v>2935</v>
      </c>
      <c r="AF84" s="172">
        <f>'Divisional Summary'!BW54</f>
        <v>11288</v>
      </c>
      <c r="AG84" s="173">
        <f>'Divisional Summary'!BX54</f>
        <v>2690</v>
      </c>
      <c r="AH84" s="173">
        <f>'Divisional Summary'!BY54</f>
        <v>3206</v>
      </c>
      <c r="AI84" s="173">
        <f>'Divisional Summary'!BZ54</f>
        <v>3179</v>
      </c>
      <c r="AJ84" s="173">
        <f>'Divisional Summary'!CA54</f>
        <v>3184</v>
      </c>
      <c r="AK84" s="172">
        <f>'Divisional Summary'!CB54</f>
        <v>12259</v>
      </c>
      <c r="AL84" s="173">
        <f>'Divisional Summary'!CC54</f>
        <v>2606.1076991007917</v>
      </c>
      <c r="AM84" s="173">
        <f>'Divisional Summary'!CD54</f>
        <v>2946.8923008992083</v>
      </c>
      <c r="AN84" s="173">
        <f>'Divisional Summary'!CE54</f>
        <v>2861</v>
      </c>
      <c r="AO84" s="173">
        <f>'Divisional Summary'!CF54</f>
        <v>2617</v>
      </c>
      <c r="AP84" s="172">
        <f>'Divisional Summary'!CG54</f>
        <v>11031</v>
      </c>
      <c r="AQ84" s="173">
        <f>'Divisional Summary'!CH54</f>
        <v>2473</v>
      </c>
      <c r="AR84" s="173">
        <f>'Divisional Summary'!CI54</f>
        <v>2959</v>
      </c>
      <c r="AS84" s="173">
        <f>'Divisional Summary'!CJ54</f>
        <v>2876</v>
      </c>
      <c r="AT84" s="173">
        <f>'Divisional Summary'!CK54</f>
        <v>2666</v>
      </c>
      <c r="AU84" s="172">
        <f>'Divisional Summary'!CL54</f>
        <v>10963</v>
      </c>
      <c r="AV84" s="2039">
        <f>'Divisional Summary'!CM54</f>
        <v>2451</v>
      </c>
      <c r="AW84" s="2039">
        <f>'Divisional Summary'!CN54</f>
        <v>2877</v>
      </c>
      <c r="AX84" s="2039">
        <f>'Divisional Summary'!CO54</f>
        <v>2874</v>
      </c>
      <c r="AY84" s="2039">
        <f>'Divisional Summary'!CP54</f>
        <v>2601.8672907211676</v>
      </c>
      <c r="AZ84" s="172">
        <f>'Divisional Summary'!CQ54</f>
        <v>10803.867290721168</v>
      </c>
      <c r="BA84" s="2039">
        <f>'Divisional Summary'!CR54</f>
        <v>2557.4960471887489</v>
      </c>
      <c r="BB84" s="2039">
        <f>'Divisional Summary'!CS54</f>
        <v>2961.1134407789968</v>
      </c>
      <c r="BC84" s="2039">
        <f>'Divisional Summary'!CT54</f>
        <v>2999.4442840653901</v>
      </c>
      <c r="BD84" s="2039">
        <f>'Divisional Summary'!CU54</f>
        <v>2719.7829190360908</v>
      </c>
      <c r="BE84" s="172">
        <f>'Divisional Summary'!CV54</f>
        <v>11237.836691069228</v>
      </c>
      <c r="BF84" s="172">
        <f>'Divisional Summary'!CW54</f>
        <v>12145.436241937223</v>
      </c>
      <c r="BG84" s="147"/>
      <c r="BH84" s="147"/>
      <c r="BI84" s="147"/>
      <c r="BJ84" s="147"/>
      <c r="BK84" s="147"/>
      <c r="BL84" s="147"/>
      <c r="BM84" s="147"/>
      <c r="BN84" s="147"/>
      <c r="BO84" s="147"/>
      <c r="BP84" s="147"/>
      <c r="BQ84" s="147"/>
      <c r="BR84" s="147"/>
      <c r="BS84" s="147"/>
      <c r="BT84" s="147"/>
      <c r="BU84" s="147"/>
      <c r="BV84" s="147"/>
    </row>
    <row r="85" spans="1:74" hidden="1">
      <c r="A85" s="147"/>
      <c r="B85" s="157"/>
      <c r="C85" s="147"/>
      <c r="D85" s="147"/>
      <c r="E85" s="147"/>
      <c r="F85" s="147"/>
      <c r="G85" s="157"/>
      <c r="H85" s="147"/>
      <c r="I85" s="147"/>
      <c r="J85" s="147"/>
      <c r="K85" s="147"/>
      <c r="L85" s="157"/>
      <c r="M85" s="147"/>
      <c r="N85" s="147"/>
      <c r="O85" s="147"/>
      <c r="P85" s="147"/>
      <c r="Q85" s="157"/>
      <c r="R85" s="147"/>
      <c r="S85" s="147"/>
      <c r="T85" s="147"/>
      <c r="U85" s="147"/>
      <c r="V85" s="157"/>
      <c r="W85" s="147"/>
      <c r="X85" s="147"/>
      <c r="Y85" s="147"/>
      <c r="Z85" s="147"/>
      <c r="AA85" s="157"/>
      <c r="AB85" s="147"/>
      <c r="AC85" s="147"/>
      <c r="AD85" s="147"/>
      <c r="AE85" s="147"/>
      <c r="AF85" s="157"/>
      <c r="AG85" s="147"/>
      <c r="AH85" s="147"/>
      <c r="AI85" s="147"/>
      <c r="AJ85" s="147"/>
      <c r="AK85" s="157"/>
      <c r="AL85" s="147"/>
      <c r="AM85" s="147"/>
      <c r="AN85" s="147"/>
      <c r="AO85" s="147"/>
      <c r="AP85" s="157"/>
      <c r="AQ85" s="147"/>
      <c r="AR85" s="147"/>
      <c r="AS85" s="147"/>
      <c r="AT85" s="147"/>
      <c r="AU85" s="157"/>
      <c r="AV85" s="2030"/>
      <c r="AW85" s="2030"/>
      <c r="AX85" s="2030"/>
      <c r="AY85" s="2030"/>
      <c r="AZ85" s="157"/>
      <c r="BA85" s="2030"/>
      <c r="BB85" s="2030"/>
      <c r="BC85" s="2030"/>
      <c r="BD85" s="2030"/>
      <c r="BE85" s="157"/>
      <c r="BF85" s="157"/>
      <c r="BG85" s="147"/>
      <c r="BH85" s="147"/>
      <c r="BI85" s="147"/>
      <c r="BJ85" s="147"/>
      <c r="BK85" s="147"/>
      <c r="BL85" s="147"/>
      <c r="BM85" s="147"/>
      <c r="BN85" s="147"/>
      <c r="BO85" s="147"/>
      <c r="BP85" s="147"/>
      <c r="BQ85" s="147"/>
      <c r="BR85" s="147"/>
      <c r="BS85" s="147"/>
      <c r="BT85" s="147"/>
      <c r="BU85" s="147"/>
      <c r="BV85" s="147"/>
    </row>
    <row r="86" spans="1:74" hidden="1">
      <c r="A86" s="205" t="str">
        <f t="shared" ref="A86:A91" si="18">A78</f>
        <v>Otis</v>
      </c>
      <c r="B86" s="201">
        <f>'Divisional Summary'!AS44/'Divisional Summary'!AN44-1</f>
        <v>0.14218233349078879</v>
      </c>
      <c r="C86" s="211">
        <f>'Divisional Summary'!AT44/'Divisional Summary'!AO44-1</f>
        <v>0.18381665107577172</v>
      </c>
      <c r="D86" s="211">
        <f>'Divisional Summary'!AU44/'Divisional Summary'!AP44-1</f>
        <v>0.23953885567890687</v>
      </c>
      <c r="E86" s="211">
        <f>'Divisional Summary'!AV44/'Divisional Summary'!AQ44-1</f>
        <v>0.1359967715899919</v>
      </c>
      <c r="F86" s="211">
        <f>'Divisional Summary'!AW44/'Divisional Summary'!AR44-1</f>
        <v>-5.858511422254975E-2</v>
      </c>
      <c r="G86" s="201">
        <f>'Divisional Summary'!AX44/'Divisional Summary'!AS44-1</f>
        <v>0.11703887510339128</v>
      </c>
      <c r="H86" s="211">
        <f>'Divisional Summary'!AY44/'Divisional Summary'!AT44-1</f>
        <v>-8.4946661398656698E-2</v>
      </c>
      <c r="I86" s="211">
        <f>'Divisional Summary'!AZ44/'Divisional Summary'!AU44-1</f>
        <v>-5.339304168101966E-2</v>
      </c>
      <c r="J86" s="211">
        <f>'Divisional Summary'!BA44/'Divisional Summary'!AV44-1</f>
        <v>4.5825932504440559E-2</v>
      </c>
      <c r="K86" s="211">
        <f>'Divisional Summary'!BB44/'Divisional Summary'!AW44-1</f>
        <v>0.18199608610567508</v>
      </c>
      <c r="L86" s="201">
        <f>'Divisional Summary'!BC44/'Divisional Summary'!AX44-1</f>
        <v>2.0733061828952293E-2</v>
      </c>
      <c r="M86" s="211">
        <f>'Divisional Summary'!BD44/'Divisional Summary'!AY44-1</f>
        <v>0.13946459412780654</v>
      </c>
      <c r="N86" s="211">
        <f>'Divisional Summary'!BE44/'Divisional Summary'!AZ44-1</f>
        <v>3.4570596797671049E-2</v>
      </c>
      <c r="O86" s="211">
        <f>'Divisional Summary'!BF44/'Divisional Summary'!BA44-1</f>
        <v>9.1711956521738358E-3</v>
      </c>
      <c r="P86" s="211">
        <f>'Divisional Summary'!BG44/'Divisional Summary'!BB44-1</f>
        <v>9.9337748344363597E-4</v>
      </c>
      <c r="Q86" s="201">
        <f>'Divisional Summary'!BH44/'Divisional Summary'!BC44-1</f>
        <v>4.0623866521581453E-2</v>
      </c>
      <c r="R86" s="211">
        <f>'Divisional Summary'!BI44/'Divisional Summary'!BD44-1</f>
        <v>4.244031830238737E-2</v>
      </c>
      <c r="S86" s="211">
        <f>'Divisional Summary'!BJ44/'Divisional Summary'!BE44-1</f>
        <v>0.12944073162152647</v>
      </c>
      <c r="T86" s="211">
        <f>'Divisional Summary'!BK44/'Divisional Summary'!BF44-1</f>
        <v>0.11443958263211029</v>
      </c>
      <c r="U86" s="211">
        <f>'Divisional Summary'!BL44/'Divisional Summary'!BG44-1</f>
        <v>4.8957988752894366E-2</v>
      </c>
      <c r="V86" s="201">
        <f>'Divisional Summary'!BM44/'Divisional Summary'!BH44-1</f>
        <v>8.434994771697446E-2</v>
      </c>
      <c r="W86" s="211">
        <f>'Divisional Summary'!BN44/'Divisional Summary'!BI44-1</f>
        <v>-5.6343147946201433E-2</v>
      </c>
      <c r="X86" s="211">
        <f>'Divisional Summary'!BO44/'Divisional Summary'!BJ44-1</f>
        <v>-7.6923076923076872E-2</v>
      </c>
      <c r="Y86" s="211">
        <f>'Divisional Summary'!BP44/'Divisional Summary'!BK44-1</f>
        <v>-9.6345514950166078E-2</v>
      </c>
      <c r="Z86" s="211">
        <f>'Divisional Summary'!BQ44/'Divisional Summary'!BL44-1</f>
        <v>-4.3834752444024017E-2</v>
      </c>
      <c r="AA86" s="201">
        <f>'Divisional Summary'!BR44/'Divisional Summary'!BM44-1</f>
        <v>-6.9109611057537768E-2</v>
      </c>
      <c r="AB86" s="211">
        <f>'Divisional Summary'!BS44/'Divisional Summary'!BN44-1</f>
        <v>-1.8104776579352833E-2</v>
      </c>
      <c r="AC86" s="211">
        <f>'Divisional Summary'!BT44/'Divisional Summary'!BO44-1</f>
        <v>3.3738191632926018E-4</v>
      </c>
      <c r="AD86" s="211">
        <f>'Divisional Summary'!BU44/'Divisional Summary'!BP44-1</f>
        <v>5.6818181818181213E-3</v>
      </c>
      <c r="AE86" s="211">
        <f>'Divisional Summary'!BV44/'Divisional Summary'!BQ44-1</f>
        <v>-2.308707124010545E-3</v>
      </c>
      <c r="AF86" s="201">
        <f>'Divisional Summary'!BW44/'Divisional Summary'!BR44-1</f>
        <v>-3.1077348066298471E-3</v>
      </c>
      <c r="AG86" s="211">
        <f>'Divisional Summary'!BX44/'Divisional Summary'!BS44-1</f>
        <v>3.1384856806591088E-3</v>
      </c>
      <c r="AH86" s="211">
        <f>'Divisional Summary'!BY44/'Divisional Summary'!BT44-1</f>
        <v>3.3726812816188945E-2</v>
      </c>
      <c r="AI86" s="211">
        <f>'Divisional Summary'!BZ44/'Divisional Summary'!BU44-1</f>
        <v>2.3928215353938187E-2</v>
      </c>
      <c r="AJ86" s="211">
        <f>'Divisional Summary'!CA44/'Divisional Summary'!BV44-1</f>
        <v>5.2892561983470809E-3</v>
      </c>
      <c r="AK86" s="201">
        <f>'Divisional Summary'!CB44/'Divisional Summary'!BW44-1</f>
        <v>1.6972635954277893E-2</v>
      </c>
      <c r="AL86" s="211">
        <f>'Divisional Summary'!CC44/'Divisional Summary'!BX44-1</f>
        <v>-9.737974188502152E-2</v>
      </c>
      <c r="AM86" s="211">
        <f>'Divisional Summary'!CD44/'Divisional Summary'!BY44-1</f>
        <v>-0.11386623164763454</v>
      </c>
      <c r="AN86" s="211">
        <f>'Divisional Summary'!CE44/'Divisional Summary'!BZ44-1</f>
        <v>-8.6011035378123935E-2</v>
      </c>
      <c r="AO86" s="211">
        <f>'Divisional Summary'!CF44/'Divisional Summary'!CA44-1</f>
        <v>-0.20420914172969418</v>
      </c>
      <c r="AP86" s="201">
        <f>'Divisional Summary'!CG44/'Divisional Summary'!CB44-1</f>
        <v>-0.12636239782016345</v>
      </c>
      <c r="AQ86" s="211">
        <f>'Divisional Summary'!CH44/'Divisional Summary'!CC44-1</f>
        <v>-9.2287694974003465E-2</v>
      </c>
      <c r="AR86" s="211">
        <f>'Divisional Summary'!CI44/'Divisional Summary'!CD44-1</f>
        <v>-5.7805596465390297E-2</v>
      </c>
      <c r="AS86" s="211">
        <f>'Divisional Summary'!CJ44/'Divisional Summary'!CE44-1</f>
        <v>-9.5525568181818232E-2</v>
      </c>
      <c r="AT86" s="211">
        <f>'Divisional Summary'!CK44/'Divisional Summary'!CF44-1</f>
        <v>-4.6694214876033091E-2</v>
      </c>
      <c r="AU86" s="201">
        <f>+AU78/AP78-1</f>
        <v>-7.3294346978557523E-2</v>
      </c>
      <c r="AV86" s="2055">
        <f>'Divisional Summary'!CM44/'Divisional Summary'!CH44-1</f>
        <v>-4.5823389021479755E-2</v>
      </c>
      <c r="AW86" s="2055">
        <f>'Divisional Summary'!CN44/'Divisional Summary'!CI44-1</f>
        <v>-6.4087534193044138E-2</v>
      </c>
      <c r="AX86" s="2055">
        <f>'Divisional Summary'!CO44/'Divisional Summary'!CJ44-1</f>
        <v>-5.1825677267373416E-2</v>
      </c>
      <c r="AY86" s="2055">
        <f>'Divisional Summary'!CP44/'Divisional Summary'!CK44-1</f>
        <v>-2.7969050737119971E-2</v>
      </c>
      <c r="AZ86" s="201">
        <f>+AZ78/AU78-1</f>
        <v>-4.8014787552643656E-2</v>
      </c>
      <c r="BA86" s="2055">
        <f>'Divisional Summary'!CR44/'Divisional Summary'!CM44-1</f>
        <v>2.6382725235676974E-2</v>
      </c>
      <c r="BB86" s="2055">
        <f>'Divisional Summary'!CS44/'Divisional Summary'!CN44-1</f>
        <v>2.5464445319820728E-2</v>
      </c>
      <c r="BC86" s="2055">
        <f>'Divisional Summary'!CT44/'Divisional Summary'!CO44-1</f>
        <v>3.9560517717795562E-2</v>
      </c>
      <c r="BD86" s="2055">
        <f>'Divisional Summary'!CU44/'Divisional Summary'!CP44-1</f>
        <v>-4.0674691878889169E-3</v>
      </c>
      <c r="BE86" s="201">
        <f t="shared" ref="BE86:BF89" si="19">+BE78/AZ78-1</f>
        <v>2.2111739372653982E-2</v>
      </c>
      <c r="BF86" s="201">
        <f t="shared" si="19"/>
        <v>3.6462408235221977</v>
      </c>
      <c r="BG86" s="205"/>
      <c r="BH86" s="205"/>
      <c r="BI86" s="205"/>
      <c r="BJ86" s="205"/>
      <c r="BK86" s="205"/>
      <c r="BL86" s="205"/>
      <c r="BM86" s="205"/>
      <c r="BN86" s="205"/>
      <c r="BO86" s="205"/>
      <c r="BP86" s="205"/>
      <c r="BQ86" s="205"/>
      <c r="BR86" s="205"/>
      <c r="BS86" s="205"/>
      <c r="BT86" s="205"/>
      <c r="BU86" s="205"/>
      <c r="BV86" s="205"/>
    </row>
    <row r="87" spans="1:74" hidden="1">
      <c r="A87" s="205" t="str">
        <f t="shared" si="18"/>
        <v>CCS</v>
      </c>
      <c r="B87" s="201"/>
      <c r="C87" s="211"/>
      <c r="D87" s="211"/>
      <c r="E87" s="211"/>
      <c r="F87" s="211"/>
      <c r="G87" s="201"/>
      <c r="H87" s="211"/>
      <c r="I87" s="211"/>
      <c r="J87" s="211"/>
      <c r="K87" s="211"/>
      <c r="L87" s="201"/>
      <c r="M87" s="211"/>
      <c r="N87" s="211"/>
      <c r="O87" s="211"/>
      <c r="P87" s="211"/>
      <c r="Q87" s="201"/>
      <c r="R87" s="211"/>
      <c r="S87" s="211"/>
      <c r="T87" s="211"/>
      <c r="U87" s="211"/>
      <c r="V87" s="201"/>
      <c r="W87" s="211">
        <f>'Divisional Summary'!BN45/'Divisional Summary'!BI45-1</f>
        <v>-4.7499999999999987E-2</v>
      </c>
      <c r="X87" s="211">
        <f>'Divisional Summary'!BO45/'Divisional Summary'!BJ45-1</f>
        <v>2.9485570890840584E-2</v>
      </c>
      <c r="Y87" s="211">
        <f>'Divisional Summary'!BP45/'Divisional Summary'!BK45-1</f>
        <v>3.7414965986394488E-2</v>
      </c>
      <c r="Z87" s="211">
        <f>'Divisional Summary'!BQ45/'Divisional Summary'!BL45-1</f>
        <v>0.13361344537815123</v>
      </c>
      <c r="AA87" s="201">
        <f>'Divisional Summary'!BR45/'Divisional Summary'!BM45-1</f>
        <v>3.7403740374037486E-2</v>
      </c>
      <c r="AB87" s="211">
        <f>'Divisional Summary'!BS45/'Divisional Summary'!BN45-1</f>
        <v>4.8118985126859082E-2</v>
      </c>
      <c r="AC87" s="211">
        <f>'Divisional Summary'!BT45/'Divisional Summary'!BO45-1</f>
        <v>5.1797684338817707E-2</v>
      </c>
      <c r="AD87" s="211">
        <f>'Divisional Summary'!BU45/'Divisional Summary'!BP45-1</f>
        <v>7.4098360655737716E-2</v>
      </c>
      <c r="AE87" s="211">
        <f>'Divisional Summary'!BV45/'Divisional Summary'!BQ45-1</f>
        <v>8.3765752409191929E-2</v>
      </c>
      <c r="AF87" s="201">
        <f>'Divisional Summary'!BW45/'Divisional Summary'!BR45-1</f>
        <v>6.4687168610816581E-2</v>
      </c>
      <c r="AG87" s="211">
        <f>'Divisional Summary'!BX45/'Divisional Summary'!BS45-1</f>
        <v>0.11393989983305519</v>
      </c>
      <c r="AH87" s="211">
        <f>'Divisional Summary'!BY45/'Divisional Summary'!BT45-1</f>
        <v>7.4449594438007027E-2</v>
      </c>
      <c r="AI87" s="211">
        <f>'Divisional Summary'!BZ45/'Divisional Summary'!BU45-1</f>
        <v>7.2344322344322309E-2</v>
      </c>
      <c r="AJ87" s="211">
        <f>'Divisional Summary'!CA45/'Divisional Summary'!BV45-1</f>
        <v>1.8125854993159995E-2</v>
      </c>
      <c r="AK87" s="201">
        <f>'Divisional Summary'!CB45/'Divisional Summary'!BW45-1</f>
        <v>6.8061088977423578E-2</v>
      </c>
      <c r="AL87" s="211">
        <f>'Divisional Summary'!CC45/'Divisional Summary'!BX45-1</f>
        <v>6.5942300487073835E-2</v>
      </c>
      <c r="AM87" s="211">
        <f>'Divisional Summary'!CD45/'Divisional Summary'!BY45-1</f>
        <v>8.6276624427068516E-3</v>
      </c>
      <c r="AN87" s="211">
        <f>'Divisional Summary'!CE45/'Divisional Summary'!BZ45-1</f>
        <v>-9.1090236265299884E-3</v>
      </c>
      <c r="AO87" s="211">
        <f>'Divisional Summary'!CF45/'Divisional Summary'!CA45-1</f>
        <v>-1.3436345314075115E-3</v>
      </c>
      <c r="AP87" s="201">
        <f>'Divisional Summary'!CG45/'Divisional Summary'!CB45-1</f>
        <v>1.3366490519117091E-2</v>
      </c>
      <c r="AQ87" s="211">
        <f>'Divisional Summary'!CH45/'Divisional Summary'!CC45-1</f>
        <v>1.5817223198594021E-2</v>
      </c>
      <c r="AR87" s="211">
        <f>'Divisional Summary'!CI45/'Divisional Summary'!CD45-1</f>
        <v>6.655974338412185E-2</v>
      </c>
      <c r="AS87" s="211">
        <f>'Divisional Summary'!CJ45/'Divisional Summary'!CE45-1</f>
        <v>5.5443837977592558E-2</v>
      </c>
      <c r="AT87" s="211">
        <f>'Divisional Summary'!CK45/'Divisional Summary'!CF45-1</f>
        <v>3.3972418432559603E-2</v>
      </c>
      <c r="AU87" s="201">
        <f>+AU79/AP79-1</f>
        <v>4.5092024539877373E-2</v>
      </c>
      <c r="AV87" s="2055">
        <f>'Divisional Summary'!CM45/'Divisional Summary'!CH45-1</f>
        <v>-3.7370242214532889E-2</v>
      </c>
      <c r="AW87" s="2055">
        <f>'Divisional Summary'!CN45/'Divisional Summary'!CI45-1</f>
        <v>-1.8045112781954864E-2</v>
      </c>
      <c r="AX87" s="2055">
        <f>'Divisional Summary'!CO45/'Divisional Summary'!CJ45-1</f>
        <v>4.4637996733805085E-2</v>
      </c>
      <c r="AY87" s="2055">
        <f>'Divisional Summary'!CP45/'Divisional Summary'!CK45-1</f>
        <v>8.2398104166812924E-2</v>
      </c>
      <c r="AZ87" s="201">
        <f>+AZ79/AU79-1</f>
        <v>1.7412076035279167E-2</v>
      </c>
      <c r="BA87" s="2055">
        <f>'Divisional Summary'!CR45/'Divisional Summary'!CM45-1</f>
        <v>0.10067125291040924</v>
      </c>
      <c r="BB87" s="2055">
        <f>'Divisional Summary'!CS45/'Divisional Summary'!CN45-1</f>
        <v>5.7814374977769312E-2</v>
      </c>
      <c r="BC87" s="2055">
        <f>'Divisional Summary'!CT45/'Divisional Summary'!CO45-1</f>
        <v>5.8732358145118457E-2</v>
      </c>
      <c r="BD87" s="2055">
        <f>'Divisional Summary'!CU45/'Divisional Summary'!CP45-1</f>
        <v>8.2398188958842766E-2</v>
      </c>
      <c r="BE87" s="201">
        <f t="shared" si="19"/>
        <v>7.2566936925554382E-2</v>
      </c>
      <c r="BF87" s="201">
        <f t="shared" si="19"/>
        <v>4.1556725723114889</v>
      </c>
      <c r="BG87" s="205"/>
      <c r="BH87" s="205"/>
      <c r="BI87" s="205"/>
      <c r="BJ87" s="205"/>
      <c r="BK87" s="205"/>
      <c r="BL87" s="205"/>
      <c r="BM87" s="205"/>
      <c r="BN87" s="205"/>
      <c r="BO87" s="205"/>
      <c r="BP87" s="205"/>
      <c r="BQ87" s="205"/>
      <c r="BR87" s="205"/>
      <c r="BS87" s="205"/>
      <c r="BT87" s="205"/>
      <c r="BU87" s="205"/>
      <c r="BV87" s="205"/>
    </row>
    <row r="88" spans="1:74" hidden="1">
      <c r="A88" s="205" t="str">
        <f t="shared" si="18"/>
        <v>Pratt &amp; Whitney</v>
      </c>
      <c r="B88" s="201">
        <f>'Divisional Summary'!AS48/'Divisional Summary'!AN48-1</f>
        <v>0.13155339805825239</v>
      </c>
      <c r="C88" s="211">
        <f>'Divisional Summary'!AT48/'Divisional Summary'!AO48-1</f>
        <v>0.15592135345221769</v>
      </c>
      <c r="D88" s="211">
        <f>'Divisional Summary'!AU48/'Divisional Summary'!AP48-1</f>
        <v>8.1304168386298059E-2</v>
      </c>
      <c r="E88" s="211">
        <f>'Divisional Summary'!AV48/'Divisional Summary'!AQ48-1</f>
        <v>7.6468103084072592E-2</v>
      </c>
      <c r="F88" s="211">
        <f>'Divisional Summary'!AW48/'Divisional Summary'!AR48-1</f>
        <v>9.9275671069450455E-2</v>
      </c>
      <c r="G88" s="201">
        <f>'Divisional Summary'!AX48/'Divisional Summary'!AS48-1</f>
        <v>0.10210210210210202</v>
      </c>
      <c r="H88" s="211">
        <f>'Divisional Summary'!AY48/'Divisional Summary'!AT48-1</f>
        <v>-7.8718354430379778E-2</v>
      </c>
      <c r="I88" s="211">
        <f>'Divisional Summary'!AZ48/'Divisional Summary'!AU48-1</f>
        <v>-7.5954198473282442E-2</v>
      </c>
      <c r="J88" s="211">
        <f>'Divisional Summary'!BA48/'Divisional Summary'!AV48-1</f>
        <v>-8.4379905808477207E-2</v>
      </c>
      <c r="K88" s="211">
        <f>'Divisional Summary'!BB48/'Divisional Summary'!AW48-1</f>
        <v>-9.5736434108527169E-2</v>
      </c>
      <c r="L88" s="201">
        <f>'Divisional Summary'!BC48/'Divisional Summary'!AX48-1</f>
        <v>-8.3690151810042801E-2</v>
      </c>
      <c r="M88" s="211">
        <f>'Divisional Summary'!BD48/'Divisional Summary'!AY48-1</f>
        <v>-6.0541004723057124E-2</v>
      </c>
      <c r="N88" s="211">
        <f>'Divisional Summary'!BE48/'Divisional Summary'!AZ48-1</f>
        <v>1.7761255679471288E-2</v>
      </c>
      <c r="O88" s="211">
        <f>'Divisional Summary'!BF48/'Divisional Summary'!BA48-1</f>
        <v>0.10587226746678091</v>
      </c>
      <c r="P88" s="211">
        <f>'Divisional Summary'!BG48/'Divisional Summary'!BB48-1</f>
        <v>0.12644663523360489</v>
      </c>
      <c r="Q88" s="201">
        <f>'Divisional Summary'!BH48/'Divisional Summary'!BC48-1</f>
        <v>4.7153780798640632E-2</v>
      </c>
      <c r="R88" s="211">
        <f>'Divisional Summary'!BI48/'Divisional Summary'!BD48-1</f>
        <v>-5.8500914076782484E-2</v>
      </c>
      <c r="S88" s="211">
        <f>'Divisional Summary'!BJ48/'Divisional Summary'!BE48-1</f>
        <v>-0.13636363636363635</v>
      </c>
      <c r="T88" s="211">
        <f>'Divisional Summary'!BK48/'Divisional Summary'!BF48-1</f>
        <v>-0.1581395348837209</v>
      </c>
      <c r="U88" s="211">
        <f>'Divisional Summary'!BL48/'Divisional Summary'!BG48-1</f>
        <v>-5.6316590563165958E-2</v>
      </c>
      <c r="V88" s="201">
        <f>'Divisional Summary'!BM48/'Divisional Summary'!BH48-1</f>
        <v>-0.10344827586206895</v>
      </c>
      <c r="W88" s="211">
        <f>'Divisional Summary'!BN48/'Divisional Summary'!BI48-1</f>
        <v>-1.5533980582524309E-2</v>
      </c>
      <c r="X88" s="211">
        <f>'Divisional Summary'!BO48/'Divisional Summary'!BJ48-1</f>
        <v>-1.3157894736842146E-2</v>
      </c>
      <c r="Y88" s="211">
        <f>'Divisional Summary'!BP48/'Divisional Summary'!BK48-1</f>
        <v>-9.2081031307550631E-2</v>
      </c>
      <c r="Z88" s="211">
        <f>'Divisional Summary'!BQ48/'Divisional Summary'!BL48-1</f>
        <v>-0.21935483870967742</v>
      </c>
      <c r="AA88" s="201">
        <f>'Divisional Summary'!BR48/'Divisional Summary'!BM48-1</f>
        <v>-9.0950226244343901E-2</v>
      </c>
      <c r="AB88" s="211">
        <f>'Divisional Summary'!BS48/'Divisional Summary'!BN48-1</f>
        <v>-2.8106508875739622E-2</v>
      </c>
      <c r="AC88" s="211">
        <f>'Divisional Summary'!BT48/'Divisional Summary'!BO48-1</f>
        <v>4.142857142857137E-2</v>
      </c>
      <c r="AD88" s="211">
        <f>'Divisional Summary'!BU48/'Divisional Summary'!BP48-1</f>
        <v>0.14756592292089254</v>
      </c>
      <c r="AE88" s="211">
        <f>'Divisional Summary'!BV48/'Divisional Summary'!BQ48-1</f>
        <v>0.18956611570247928</v>
      </c>
      <c r="AF88" s="201">
        <f>'Divisional Summary'!BW48/'Divisional Summary'!BR48-1</f>
        <v>8.5614733698357481E-2</v>
      </c>
      <c r="AG88" s="211">
        <f>'Divisional Summary'!BX48/'Divisional Summary'!BS48-1</f>
        <v>7.0522577371892492E-2</v>
      </c>
      <c r="AH88" s="211">
        <f>'Divisional Summary'!BY48/'Divisional Summary'!BT48-1</f>
        <v>0.12757201646090532</v>
      </c>
      <c r="AI88" s="211">
        <f>'Divisional Summary'!BZ48/'Divisional Summary'!BU48-1</f>
        <v>0.15863897481219613</v>
      </c>
      <c r="AJ88" s="211">
        <f>'Divisional Summary'!CA48/'Divisional Summary'!BV48-1</f>
        <v>0.13504125054277027</v>
      </c>
      <c r="AK88" s="201">
        <f>'Divisional Summary'!CB48/'Divisional Summary'!BW48-1</f>
        <v>0.12471343420449332</v>
      </c>
      <c r="AL88" s="211">
        <f>'Divisional Summary'!CC48/'Divisional Summary'!BX48-1</f>
        <v>4.454976303317526E-2</v>
      </c>
      <c r="AM88" s="211">
        <f>'Divisional Summary'!CD48/'Divisional Summary'!BY48-1</f>
        <v>-1.3787510137875048E-2</v>
      </c>
      <c r="AN88" s="211">
        <f>'Divisional Summary'!CE48/'Divisional Summary'!BZ48-1</f>
        <v>-0.14569031273836763</v>
      </c>
      <c r="AO88" s="211">
        <f>'Divisional Summary'!CF48/'Divisional Summary'!CA48-1</f>
        <v>2.5248661055853105E-2</v>
      </c>
      <c r="AP88" s="201">
        <f>'Divisional Summary'!CG48/'Divisional Summary'!CB48-1</f>
        <v>-2.6090501426824342E-2</v>
      </c>
      <c r="AQ88" s="211">
        <f>'Divisional Summary'!CH48/'Divisional Summary'!CC48-1</f>
        <v>2.7223230490018846E-3</v>
      </c>
      <c r="AR88" s="211">
        <f>'Divisional Summary'!CI48/'Divisional Summary'!CD48-1</f>
        <v>-3.0427631578947345E-2</v>
      </c>
      <c r="AS88" s="211">
        <f>'Divisional Summary'!CJ48/'Divisional Summary'!CE48-1</f>
        <v>-1.5178571428571375E-2</v>
      </c>
      <c r="AT88" s="211">
        <f>'Divisional Summary'!CK48/'Divisional Summary'!CF48-1</f>
        <v>-9.3283582089552231E-2</v>
      </c>
      <c r="AU88" s="201">
        <f>+AU80/AP80-1</f>
        <v>-3.6835496023440717E-2</v>
      </c>
      <c r="AV88" s="2055">
        <f>'Divisional Summary'!CM48/'Divisional Summary'!CH48-1</f>
        <v>-2.286089521554846E-3</v>
      </c>
      <c r="AW88" s="2055">
        <f>'Divisional Summary'!CN48/'Divisional Summary'!CI48-1</f>
        <v>-3.9462365497301199E-2</v>
      </c>
      <c r="AX88" s="2055">
        <f>'Divisional Summary'!CO48/'Divisional Summary'!CJ48-1</f>
        <v>5.3920100705967311E-2</v>
      </c>
      <c r="AY88" s="2055">
        <f>'Divisional Summary'!CP48/'Divisional Summary'!CK48-1</f>
        <v>-8.1101064112413912E-2</v>
      </c>
      <c r="AZ88" s="201">
        <f>+AZ80/AU80-1</f>
        <v>-1.9147366288686962E-2</v>
      </c>
      <c r="BA88" s="2055">
        <f>'Divisional Summary'!CR48/'Divisional Summary'!CM48-1</f>
        <v>-2.4661830167476473E-2</v>
      </c>
      <c r="BB88" s="2055">
        <f>'Divisional Summary'!CS48/'Divisional Summary'!CN48-1</f>
        <v>-2.4008521580038966E-2</v>
      </c>
      <c r="BC88" s="2055">
        <f>'Divisional Summary'!CT48/'Divisional Summary'!CO48-1</f>
        <v>-2.3388932903406823E-2</v>
      </c>
      <c r="BD88" s="2055">
        <f>'Divisional Summary'!CU48/'Divisional Summary'!CP48-1</f>
        <v>-2.4352838098445684E-2</v>
      </c>
      <c r="BE88" s="201">
        <f t="shared" si="19"/>
        <v>-2.4093684689100447E-2</v>
      </c>
      <c r="BF88" s="201">
        <f t="shared" si="19"/>
        <v>3.9884718442174139</v>
      </c>
      <c r="BG88" s="205"/>
      <c r="BH88" s="205"/>
      <c r="BI88" s="205"/>
      <c r="BJ88" s="205"/>
      <c r="BK88" s="205"/>
      <c r="BL88" s="205"/>
      <c r="BM88" s="205"/>
      <c r="BN88" s="205"/>
      <c r="BO88" s="205"/>
      <c r="BP88" s="205"/>
      <c r="BQ88" s="205"/>
      <c r="BR88" s="205"/>
      <c r="BS88" s="205"/>
      <c r="BT88" s="205"/>
      <c r="BU88" s="205"/>
      <c r="BV88" s="205"/>
    </row>
    <row r="89" spans="1:74" hidden="1">
      <c r="A89" s="205" t="str">
        <f t="shared" si="18"/>
        <v>Aerospace Systems</v>
      </c>
      <c r="B89" s="201"/>
      <c r="C89" s="211"/>
      <c r="D89" s="211"/>
      <c r="E89" s="211"/>
      <c r="F89" s="211"/>
      <c r="G89" s="201"/>
      <c r="H89" s="211"/>
      <c r="I89" s="211"/>
      <c r="J89" s="211"/>
      <c r="K89" s="211"/>
      <c r="L89" s="201"/>
      <c r="M89" s="211"/>
      <c r="N89" s="211"/>
      <c r="O89" s="211"/>
      <c r="P89" s="211"/>
      <c r="Q89" s="201"/>
      <c r="R89" s="211"/>
      <c r="S89" s="211"/>
      <c r="T89" s="211"/>
      <c r="U89" s="211"/>
      <c r="V89" s="201"/>
      <c r="W89" s="211">
        <f>'Divisional Summary'!BN50/'Divisional Summary'!BI50-1</f>
        <v>0.1198156682027649</v>
      </c>
      <c r="X89" s="211">
        <f>'Divisional Summary'!BO50/'Divisional Summary'!BJ50-1</f>
        <v>0.11739130434782608</v>
      </c>
      <c r="Y89" s="211">
        <f>'Divisional Summary'!BP50/'Divisional Summary'!BK50-1</f>
        <v>0.87903225806451624</v>
      </c>
      <c r="Z89" s="211">
        <f>'Divisional Summary'!BQ50/'Divisional Summary'!BL50-1</f>
        <v>1.0445344129554655</v>
      </c>
      <c r="AA89" s="201">
        <f>'Divisional Summary'!BR50/'Divisional Summary'!BM50-1</f>
        <v>0.56157112526539277</v>
      </c>
      <c r="AB89" s="211">
        <f>'Divisional Summary'!BS50/'Divisional Summary'!BN50-1</f>
        <v>1.8775720164609053</v>
      </c>
      <c r="AC89" s="211">
        <f>'Divisional Summary'!BT50/'Divisional Summary'!BO50-1</f>
        <v>1.8103112840466924</v>
      </c>
      <c r="AD89" s="211">
        <f>'Divisional Summary'!BU50/'Divisional Summary'!BP50-1</f>
        <v>0.53487124463519309</v>
      </c>
      <c r="AE89" s="211">
        <f>'Divisional Summary'!BV50/'Divisional Summary'!BQ50-1</f>
        <v>0.45396039603960392</v>
      </c>
      <c r="AF89" s="201">
        <f>'Divisional Summary'!BW50/'Divisional Summary'!BR50-1</f>
        <v>0.95173351461590761</v>
      </c>
      <c r="AG89" s="211">
        <f>'Divisional Summary'!BX50/'Divisional Summary'!BS50-1</f>
        <v>0.14086521272792285</v>
      </c>
      <c r="AH89" s="211">
        <f>'Divisional Summary'!BY50/'Divisional Summary'!BT50-1</f>
        <v>0.11838006230529596</v>
      </c>
      <c r="AI89" s="211">
        <f>'Divisional Summary'!BZ50/'Divisional Summary'!BU50-1</f>
        <v>0.1223348479552604</v>
      </c>
      <c r="AJ89" s="211">
        <f>'Divisional Summary'!CA50/'Divisional Summary'!BV50-1</f>
        <v>0.13823629553966632</v>
      </c>
      <c r="AK89" s="201">
        <f>'Divisional Summary'!CB50/'Divisional Summary'!BW50-1</f>
        <v>0.12991988854057812</v>
      </c>
      <c r="AL89" s="211">
        <f>'Divisional Summary'!CC50/'Divisional Summary'!BX50-1</f>
        <v>2.5383892196803481E-2</v>
      </c>
      <c r="AM89" s="211">
        <f>'Divisional Summary'!CD50/'Divisional Summary'!BY50-1</f>
        <v>-3.5592695759826709E-2</v>
      </c>
      <c r="AN89" s="211">
        <f>'Divisional Summary'!CE50/'Divisional Summary'!BZ50-1</f>
        <v>-2.2111491747119238E-2</v>
      </c>
      <c r="AO89" s="211">
        <f>'Divisional Summary'!CF50/'Divisional Summary'!CA50-1</f>
        <v>-7.9868381693090074E-2</v>
      </c>
      <c r="AP89" s="201">
        <f>'Divisional Summary'!CG50/'Divisional Summary'!CB50-1</f>
        <v>-2.8668310727496871E-2</v>
      </c>
      <c r="AQ89" s="211">
        <f>'Divisional Summary'!CH50/'Divisional Summary'!CC50-1</f>
        <v>-7.9767726161369179E-2</v>
      </c>
      <c r="AR89" s="211">
        <f>'Divisional Summary'!CI50/'Divisional Summary'!CD50-1</f>
        <v>1.6367137355584038E-2</v>
      </c>
      <c r="AS89" s="211">
        <f>'Divisional Summary'!CJ50/'Divisional Summary'!CE50-1</f>
        <v>4.9363057324840698E-2</v>
      </c>
      <c r="AT89" s="211">
        <f>'Divisional Summary'!CK50/'Divisional Summary'!CF50-1</f>
        <v>3.6085825747724343E-2</v>
      </c>
      <c r="AU89" s="201">
        <f>+AU81/AP81-1</f>
        <v>9.520787051728874E-4</v>
      </c>
      <c r="AV89" s="2055">
        <f>'Divisional Summary'!CM50/'Divisional Summary'!CH50-1</f>
        <v>6.0112919295914891E-2</v>
      </c>
      <c r="AW89" s="2055">
        <f>'Divisional Summary'!CN50/'Divisional Summary'!CI50-1</f>
        <v>1.294600568361215E-2</v>
      </c>
      <c r="AX89" s="2055">
        <f>'Divisional Summary'!CO50/'Divisional Summary'!CJ50-1</f>
        <v>1.0015174506828428E-2</v>
      </c>
      <c r="AY89" s="2055">
        <f>'Divisional Summary'!CP50/'Divisional Summary'!CK50-1</f>
        <v>-2.6377674914496718E-2</v>
      </c>
      <c r="AZ89" s="201">
        <f>+AZ81/AU81-1</f>
        <v>1.7036647911184088E-2</v>
      </c>
      <c r="BA89" s="2055">
        <f>'Divisional Summary'!CR50/'Divisional Summary'!CM50-1</f>
        <v>3.1675438596491245E-2</v>
      </c>
      <c r="BB89" s="2055">
        <f>'Divisional Summary'!CS50/'Divisional Summary'!CN50-1</f>
        <v>4.7655860349127277E-2</v>
      </c>
      <c r="BC89" s="2055">
        <f>'Divisional Summary'!CT50/'Divisional Summary'!CO50-1</f>
        <v>4.5899639423076843E-2</v>
      </c>
      <c r="BD89" s="2055">
        <f>'Divisional Summary'!CU50/'Divisional Summary'!CP50-1</f>
        <v>2.9115076154246244E-2</v>
      </c>
      <c r="BE89" s="201">
        <f t="shared" si="19"/>
        <v>3.8741073435655027E-2</v>
      </c>
      <c r="BF89" s="201">
        <f t="shared" si="19"/>
        <v>3.2038699419099741</v>
      </c>
      <c r="BG89" s="205"/>
      <c r="BH89" s="205"/>
      <c r="BI89" s="205"/>
      <c r="BJ89" s="205"/>
      <c r="BK89" s="205"/>
      <c r="BL89" s="205"/>
      <c r="BM89" s="205"/>
      <c r="BN89" s="205"/>
      <c r="BO89" s="205"/>
      <c r="BP89" s="205"/>
      <c r="BQ89" s="205"/>
      <c r="BR89" s="205"/>
      <c r="BS89" s="205"/>
      <c r="BT89" s="205"/>
      <c r="BU89" s="205"/>
      <c r="BV89" s="205"/>
    </row>
    <row r="90" spans="1:74" hidden="1">
      <c r="A90" s="205" t="str">
        <f t="shared" si="18"/>
        <v>Sikorsky</v>
      </c>
      <c r="B90" s="201">
        <f>'Divisional Summary'!AS52/'Divisional Summary'!AN52-1</f>
        <v>0.75103734439834025</v>
      </c>
      <c r="C90" s="211">
        <f>'Divisional Summary'!AT52/'Divisional Summary'!AO52-1</f>
        <v>0.17469879518072284</v>
      </c>
      <c r="D90" s="211">
        <f>'Divisional Summary'!AU52/'Divisional Summary'!AP52-1</f>
        <v>0.2649999999999999</v>
      </c>
      <c r="E90" s="211">
        <f>'Divisional Summary'!AV52/'Divisional Summary'!AQ52-1</f>
        <v>0.28017241379310343</v>
      </c>
      <c r="F90" s="211">
        <f>'Divisional Summary'!AW52/'Divisional Summary'!AR52-1</f>
        <v>0.36178861788617889</v>
      </c>
      <c r="G90" s="201">
        <f>'Divisional Summary'!AX52/'Divisional Summary'!AS52-1</f>
        <v>0.27962085308056861</v>
      </c>
      <c r="H90" s="211">
        <f>'Divisional Summary'!AY52/'Divisional Summary'!AT52-1</f>
        <v>0.36410256410256414</v>
      </c>
      <c r="I90" s="211">
        <f>'Divisional Summary'!AZ52/'Divisional Summary'!AU52-1</f>
        <v>0.24110671936758887</v>
      </c>
      <c r="J90" s="211">
        <f>'Divisional Summary'!BA52/'Divisional Summary'!AV52-1</f>
        <v>0.17171717171717171</v>
      </c>
      <c r="K90" s="211">
        <f>'Divisional Summary'!BB52/'Divisional Summary'!AW52-1</f>
        <v>0.30746268656716413</v>
      </c>
      <c r="L90" s="201">
        <f>'Divisional Summary'!BC52/'Divisional Summary'!AX52-1</f>
        <v>0.26481481481481484</v>
      </c>
      <c r="M90" s="211">
        <f>'Divisional Summary'!BD52/'Divisional Summary'!AY52-1</f>
        <v>0.24624060150375948</v>
      </c>
      <c r="N90" s="211">
        <f>'Divisional Summary'!BE52/'Divisional Summary'!AZ52-1</f>
        <v>0.25318471337579629</v>
      </c>
      <c r="O90" s="211">
        <f>'Divisional Summary'!BF52/'Divisional Summary'!BA52-1</f>
        <v>9.6264367816091934E-2</v>
      </c>
      <c r="P90" s="211">
        <f>'Divisional Summary'!BG52/'Divisional Summary'!BB52-1</f>
        <v>0.18607305936073049</v>
      </c>
      <c r="Q90" s="201">
        <f>'Divisional Summary'!BH52/'Divisional Summary'!BC52-1</f>
        <v>0.19033674963396785</v>
      </c>
      <c r="R90" s="211">
        <f>'Divisional Summary'!BI52/'Divisional Summary'!BD52-1</f>
        <v>-1.6591251885369585E-2</v>
      </c>
      <c r="S90" s="211">
        <f>'Divisional Summary'!BJ52/'Divisional Summary'!BE52-1</f>
        <v>0.15374841168996189</v>
      </c>
      <c r="T90" s="211">
        <f>'Divisional Summary'!BK52/'Divisional Summary'!BF52-1</f>
        <v>0.3053735255570118</v>
      </c>
      <c r="U90" s="211">
        <f>'Divisional Summary'!BL52/'Divisional Summary'!BG52-1</f>
        <v>2.0211742059672799E-2</v>
      </c>
      <c r="V90" s="201">
        <f>'Divisional Summary'!BM52/'Divisional Summary'!BH52-1</f>
        <v>0.11193111931119315</v>
      </c>
      <c r="W90" s="211">
        <f>'Divisional Summary'!BN52/'Divisional Summary'!BI52-1</f>
        <v>-1.6871165644171793E-2</v>
      </c>
      <c r="X90" s="211">
        <f>'Divisional Summary'!BO52/'Divisional Summary'!BJ52-1</f>
        <v>4.5154185022026505E-2</v>
      </c>
      <c r="Y90" s="211">
        <f>'Divisional Summary'!BP52/'Divisional Summary'!BK52-1</f>
        <v>-5.1204819277108404E-2</v>
      </c>
      <c r="Z90" s="211">
        <f>'Divisional Summary'!BQ52/'Divisional Summary'!BL52-1</f>
        <v>-0.18396226415094341</v>
      </c>
      <c r="AA90" s="201">
        <f>'Divisional Summary'!BR52/'Divisional Summary'!BM52-1</f>
        <v>-5.9734513274336321E-2</v>
      </c>
      <c r="AB90" s="211">
        <f>'Divisional Summary'!BS52/'Divisional Summary'!BN52-1</f>
        <v>-0.27457098283931358</v>
      </c>
      <c r="AC90" s="211">
        <f>'Divisional Summary'!BT52/'Divisional Summary'!BO52-1</f>
        <v>-0.21496311907270815</v>
      </c>
      <c r="AD90" s="211">
        <f>'Divisional Summary'!BU52/'Divisional Summary'!BP52-1</f>
        <v>-0.19047619047619047</v>
      </c>
      <c r="AE90" s="211">
        <f>'Divisional Summary'!BV52/'Divisional Summary'!BQ52-1</f>
        <v>8.7861271676300534E-2</v>
      </c>
      <c r="AF90" s="201">
        <f>'Divisional Summary'!BW52/'Divisional Summary'!BR52-1</f>
        <v>-0.14235294117647057</v>
      </c>
      <c r="AG90" s="211">
        <f>'Divisional Summary'!BX52/'Divisional Summary'!BS52-1</f>
        <v>7.0967741935483941E-2</v>
      </c>
      <c r="AH90" s="211">
        <f>'Divisional Summary'!BY52/'Divisional Summary'!BT52-1</f>
        <v>-8.4563758389261778E-2</v>
      </c>
      <c r="AI90" s="211">
        <f>'Divisional Summary'!BZ52/'Divisional Summary'!BU52-1</f>
        <v>-9.2810457516339873E-2</v>
      </c>
      <c r="AJ90" s="211">
        <f>'Divisional Summary'!CA52/'Divisional Summary'!BV52-1</f>
        <v>0.34537725823591914</v>
      </c>
      <c r="AK90" s="201">
        <f>'Divisional Summary'!CB52/'Divisional Summary'!BW52-1</f>
        <v>7.6817558299039801E-2</v>
      </c>
      <c r="AL90" s="211"/>
      <c r="AM90" s="211"/>
      <c r="AN90" s="211"/>
      <c r="AO90" s="211"/>
      <c r="AP90" s="201"/>
      <c r="AQ90" s="211"/>
      <c r="AR90" s="211"/>
      <c r="AS90" s="211"/>
      <c r="AT90" s="211"/>
      <c r="AU90" s="201"/>
      <c r="AV90" s="2055"/>
      <c r="AW90" s="2055"/>
      <c r="AX90" s="2055"/>
      <c r="AY90" s="2055"/>
      <c r="AZ90" s="201"/>
      <c r="BA90" s="2055"/>
      <c r="BB90" s="2055"/>
      <c r="BC90" s="2055"/>
      <c r="BD90" s="2055"/>
      <c r="BE90" s="201"/>
      <c r="BF90" s="201"/>
      <c r="BG90" s="205"/>
      <c r="BH90" s="205"/>
      <c r="BI90" s="205"/>
      <c r="BJ90" s="205"/>
      <c r="BK90" s="205"/>
      <c r="BL90" s="205"/>
      <c r="BM90" s="205"/>
      <c r="BN90" s="205"/>
      <c r="BO90" s="205"/>
      <c r="BP90" s="205"/>
      <c r="BQ90" s="205"/>
      <c r="BR90" s="205"/>
      <c r="BS90" s="205"/>
      <c r="BT90" s="205"/>
      <c r="BU90" s="205"/>
      <c r="BV90" s="205"/>
    </row>
    <row r="91" spans="1:74" hidden="1">
      <c r="A91" s="210" t="str">
        <f t="shared" si="18"/>
        <v>Other</v>
      </c>
      <c r="B91" s="208">
        <f>'Divisional Summary'!AS53/'Divisional Summary'!AN53-1</f>
        <v>0.78609625668449201</v>
      </c>
      <c r="C91" s="209">
        <f>'Divisional Summary'!AT53/'Divisional Summary'!AO53-1</f>
        <v>0.37676056338028174</v>
      </c>
      <c r="D91" s="209">
        <f>'Divisional Summary'!AU53/'Divisional Summary'!AP53-1</f>
        <v>7.8282828282828287E-2</v>
      </c>
      <c r="E91" s="209">
        <f>'Divisional Summary'!AV53/'Divisional Summary'!AQ53-1</f>
        <v>0.43666666666666676</v>
      </c>
      <c r="F91" s="209">
        <f>'Divisional Summary'!AW53/'Divisional Summary'!AR53-1</f>
        <v>-0.2387640449438202</v>
      </c>
      <c r="G91" s="208">
        <f>'Divisional Summary'!AX53/'Divisional Summary'!AS53-1</f>
        <v>0.13772455089820368</v>
      </c>
      <c r="H91" s="209">
        <f>'Divisional Summary'!AY53/'Divisional Summary'!AT53-1</f>
        <v>0.24296675191815864</v>
      </c>
      <c r="I91" s="209">
        <f>'Divisional Summary'!AZ53/'Divisional Summary'!AU53-1</f>
        <v>-1.1709601873536313E-2</v>
      </c>
      <c r="J91" s="209">
        <f>'Divisional Summary'!BA53/'Divisional Summary'!AV53-1</f>
        <v>0.21113689095127608</v>
      </c>
      <c r="K91" s="209">
        <f>'Divisional Summary'!BB53/'Divisional Summary'!AW53-1</f>
        <v>0.51291512915129145</v>
      </c>
      <c r="L91" s="208">
        <f>'Divisional Summary'!BC53/'Divisional Summary'!AX53-1</f>
        <v>0.21052631578947367</v>
      </c>
      <c r="M91" s="209">
        <f>'Divisional Summary'!BD53/'Divisional Summary'!AY53-1</f>
        <v>3.4979423868312765E-2</v>
      </c>
      <c r="N91" s="209">
        <f>'Divisional Summary'!BE53/'Divisional Summary'!AZ53-1</f>
        <v>0.14454976303317535</v>
      </c>
      <c r="O91" s="209">
        <f>'Divisional Summary'!BF53/'Divisional Summary'!BA53-1</f>
        <v>-0.26628352490421459</v>
      </c>
      <c r="P91" s="209">
        <f>'Divisional Summary'!BG53/'Divisional Summary'!BB53-1</f>
        <v>0.89999999999999991</v>
      </c>
      <c r="Q91" s="208">
        <f>'Divisional Summary'!BH53/'Divisional Summary'!BC53-1</f>
        <v>0.16739130434782612</v>
      </c>
      <c r="R91" s="209">
        <f>'Divisional Summary'!BI53/'Divisional Summary'!BD53-1</f>
        <v>8.74751491053678E-2</v>
      </c>
      <c r="S91" s="209">
        <f>'Divisional Summary'!BJ53/'Divisional Summary'!BE53-1</f>
        <v>9.9378881987577605E-2</v>
      </c>
      <c r="T91" s="209">
        <f>'Divisional Summary'!BK53/'Divisional Summary'!BF53-1</f>
        <v>1.0443864229765065E-2</v>
      </c>
      <c r="U91" s="209">
        <f>'Divisional Summary'!BL53/'Divisional Summary'!BG53-1</f>
        <v>0.10783055198973046</v>
      </c>
      <c r="V91" s="208">
        <f>'Divisional Summary'!BM53/'Divisional Summary'!BH53-1</f>
        <v>8.3798882681564324E-2</v>
      </c>
      <c r="W91" s="209">
        <f>'Divisional Summary'!BN53/'Divisional Summary'!BI53-1</f>
        <v>-0.35100548446069468</v>
      </c>
      <c r="X91" s="209">
        <f>'Divisional Summary'!BO53/'Divisional Summary'!BJ53-1</f>
        <v>-0.14312617702448216</v>
      </c>
      <c r="Y91" s="209">
        <f>'Divisional Summary'!BP53/'Divisional Summary'!BK53-1</f>
        <v>0.53746770025839785</v>
      </c>
      <c r="Z91" s="209">
        <f>'Divisional Summary'!BQ53/'Divisional Summary'!BL53-1</f>
        <v>-0.59791425260718423</v>
      </c>
      <c r="AA91" s="208">
        <f>'Divisional Summary'!BR53/'Divisional Summary'!BM53-1</f>
        <v>-0.24742268041237114</v>
      </c>
      <c r="AB91" s="209">
        <f>'Divisional Summary'!BS53/'Divisional Summary'!BN53-1</f>
        <v>-9.2957746478873227E-2</v>
      </c>
      <c r="AC91" s="209">
        <f>'Divisional Summary'!BT53/'Divisional Summary'!BO53-1</f>
        <v>2.417582417582409E-2</v>
      </c>
      <c r="AD91" s="209">
        <f>'Divisional Summary'!BU53/'Divisional Summary'!BP53-1</f>
        <v>-0.34453781512605042</v>
      </c>
      <c r="AE91" s="209">
        <f>'Divisional Summary'!BV53/'Divisional Summary'!BQ53-1</f>
        <v>0.12391930835734866</v>
      </c>
      <c r="AF91" s="208">
        <f>'Divisional Summary'!BW53/'Divisional Summary'!BR53-1</f>
        <v>-0.10502283105022836</v>
      </c>
      <c r="AG91" s="209">
        <f>'Divisional Summary'!BX53/'Divisional Summary'!BS53-1</f>
        <v>-0.17701863354037262</v>
      </c>
      <c r="AH91" s="209">
        <f>'Divisional Summary'!BY53/'Divisional Summary'!BT53-1</f>
        <v>-0.29399141630901282</v>
      </c>
      <c r="AI91" s="209">
        <f>'Divisional Summary'!BZ53/'Divisional Summary'!BU53-1</f>
        <v>3.8461538461538547E-2</v>
      </c>
      <c r="AJ91" s="209">
        <f>'Divisional Summary'!CA53/'Divisional Summary'!BV53-1</f>
        <v>0.29487179487179493</v>
      </c>
      <c r="AK91" s="208">
        <f>'Divisional Summary'!CB53/'Divisional Summary'!BW53-1</f>
        <v>-4.081632653061229E-2</v>
      </c>
      <c r="AL91" s="209">
        <f>'Divisional Summary'!CC53/'Divisional Summary'!BX53-1</f>
        <v>-0.22804074114402573</v>
      </c>
      <c r="AM91" s="209">
        <f>'Divisional Summary'!CD53/'Divisional Summary'!BY53-1</f>
        <v>-0.33911612035511607</v>
      </c>
      <c r="AN91" s="209">
        <f>'Divisional Summary'!CE53/'Divisional Summary'!BZ53-1</f>
        <v>-0.42469135802469138</v>
      </c>
      <c r="AO91" s="209">
        <f>'Divisional Summary'!CF53/'Divisional Summary'!CA53-1</f>
        <v>0.3485148514851486</v>
      </c>
      <c r="AP91" s="208">
        <f>'Divisional Summary'!CG53/'Divisional Summary'!CB53-1</f>
        <v>-0.11170212765957444</v>
      </c>
      <c r="AQ91" s="209">
        <f>'Divisional Summary'!CH53/'Divisional Summary'!CC53-1</f>
        <v>0.53493289546570266</v>
      </c>
      <c r="AR91" s="209">
        <f>'Divisional Summary'!CI53/'Divisional Summary'!CD53-1</f>
        <v>9.4601150973540715E-2</v>
      </c>
      <c r="AS91" s="209">
        <f>'Divisional Summary'!CJ53/'Divisional Summary'!CE53-1</f>
        <v>-6.4377682403433445E-2</v>
      </c>
      <c r="AT91" s="209">
        <f>'Divisional Summary'!CK53/'Divisional Summary'!CF53-1</f>
        <v>-0.50954478707782669</v>
      </c>
      <c r="AU91" s="208">
        <f>+AU83/AP83-1</f>
        <v>-0.17365269461077848</v>
      </c>
      <c r="AV91" s="2054">
        <f>'Divisional Summary'!CM53/'Divisional Summary'!CH53-1</f>
        <v>0.19091637629733693</v>
      </c>
      <c r="AW91" s="2054">
        <f>'Divisional Summary'!CN53/'Divisional Summary'!CI53-1</f>
        <v>0.16784765612337726</v>
      </c>
      <c r="AX91" s="2054">
        <f>'Divisional Summary'!CO53/'Divisional Summary'!CJ53-1</f>
        <v>0.88049423007965033</v>
      </c>
      <c r="AY91" s="2054">
        <f>'Divisional Summary'!CP53/'Divisional Summary'!CK53-1</f>
        <v>0.49148734589194198</v>
      </c>
      <c r="AZ91" s="208">
        <f>+AZ83/AU83-1</f>
        <v>0.41304347826086962</v>
      </c>
      <c r="BA91" s="2054">
        <f>'Divisional Summary'!CR53/'Divisional Summary'!CM53-1</f>
        <v>-0.12420917930778086</v>
      </c>
      <c r="BB91" s="2054">
        <f>'Divisional Summary'!CS53/'Divisional Summary'!CN53-1</f>
        <v>0.17827904431971087</v>
      </c>
      <c r="BC91" s="2054">
        <f>'Divisional Summary'!CT53/'Divisional Summary'!CO53-1</f>
        <v>-0.20111768813136954</v>
      </c>
      <c r="BD91" s="2054">
        <f>'Divisional Summary'!CU53/'Divisional Summary'!CP53-1</f>
        <v>-0.34257643897789491</v>
      </c>
      <c r="BE91" s="208">
        <f>+BE83/AZ83-1</f>
        <v>-0.16025641025641024</v>
      </c>
      <c r="BF91" s="208">
        <f>+BF83/BA83-1</f>
        <v>3</v>
      </c>
      <c r="BG91" s="205"/>
      <c r="BH91" s="205"/>
      <c r="BI91" s="205"/>
      <c r="BJ91" s="205"/>
      <c r="BK91" s="205"/>
      <c r="BL91" s="205"/>
      <c r="BM91" s="205"/>
      <c r="BN91" s="205"/>
      <c r="BO91" s="205"/>
      <c r="BP91" s="205"/>
      <c r="BQ91" s="205"/>
      <c r="BR91" s="205"/>
      <c r="BS91" s="205"/>
      <c r="BT91" s="205"/>
      <c r="BU91" s="205"/>
      <c r="BV91" s="205"/>
    </row>
    <row r="92" spans="1:74" hidden="1">
      <c r="A92" s="207" t="s">
        <v>252</v>
      </c>
      <c r="B92" s="192">
        <f>'Divisional Summary'!AS54/'Divisional Summary'!AN54-1</f>
        <v>0.15148556284000558</v>
      </c>
      <c r="C92" s="206">
        <f>'Divisional Summary'!AT54/'Divisional Summary'!AO54-1</f>
        <v>0.15301478953356096</v>
      </c>
      <c r="D92" s="206">
        <f>'Divisional Summary'!AU54/'Divisional Summary'!AP54-1</f>
        <v>0.1624365482233503</v>
      </c>
      <c r="E92" s="206">
        <f>'Divisional Summary'!AV54/'Divisional Summary'!AQ54-1</f>
        <v>9.9502487562189046E-2</v>
      </c>
      <c r="F92" s="206">
        <f>'Divisional Summary'!AW54/'Divisional Summary'!AR54-1</f>
        <v>1.321378008494567E-2</v>
      </c>
      <c r="G92" s="192">
        <f>'Divisional Summary'!AX54/'Divisional Summary'!AS54-1</f>
        <v>0.10526953361599034</v>
      </c>
      <c r="H92" s="206">
        <f>'Divisional Summary'!AY54/'Divisional Summary'!AT54-1</f>
        <v>-0.16206216082881109</v>
      </c>
      <c r="I92" s="206">
        <f>'Divisional Summary'!AZ54/'Divisional Summary'!AU54-1</f>
        <v>-0.13914251687177448</v>
      </c>
      <c r="J92" s="206">
        <f>'Divisional Summary'!BA54/'Divisional Summary'!AV54-1</f>
        <v>-8.617852735499798E-2</v>
      </c>
      <c r="K92" s="206">
        <f>'Divisional Summary'!BB54/'Divisional Summary'!AW54-1</f>
        <v>4.3549138332557025E-2</v>
      </c>
      <c r="L92" s="192">
        <f>'Divisional Summary'!BC54/'Divisional Summary'!AX54-1</f>
        <v>-8.713283647523018E-2</v>
      </c>
      <c r="M92" s="206">
        <f>'Divisional Summary'!BD54/'Divisional Summary'!AY54-1</f>
        <v>0.12864292022372692</v>
      </c>
      <c r="N92" s="206">
        <f>'Divisional Summary'!BE54/'Divisional Summary'!AZ54-1</f>
        <v>9.7994005072630896E-2</v>
      </c>
      <c r="O92" s="206">
        <f>'Divisional Summary'!BF54/'Divisional Summary'!BA54-1</f>
        <v>0.10871033085752879</v>
      </c>
      <c r="P92" s="206">
        <f>'Divisional Summary'!BG54/'Divisional Summary'!BB54-1</f>
        <v>6.8957821914751083E-2</v>
      </c>
      <c r="Q92" s="192">
        <f>'Divisional Summary'!BH54/'Divisional Summary'!BC54-1</f>
        <v>9.9291631648457113E-2</v>
      </c>
      <c r="R92" s="206">
        <f>'Divisional Summary'!BI54/'Divisional Summary'!BD54-1</f>
        <v>6.7292644757433573E-2</v>
      </c>
      <c r="S92" s="206">
        <f>'Divisional Summary'!BJ54/'Divisional Summary'!BE54-1</f>
        <v>3.1499370012599837E-2</v>
      </c>
      <c r="T92" s="206">
        <f>'Divisional Summary'!BK54/'Divisional Summary'!BF54-1</f>
        <v>1.7458384084449774E-2</v>
      </c>
      <c r="U92" s="206">
        <f>'Divisional Summary'!BL54/'Divisional Summary'!BG54-1</f>
        <v>-3.7995824634655562E-2</v>
      </c>
      <c r="V92" s="192">
        <f>'Divisional Summary'!BM54/'Divisional Summary'!BH54-1</f>
        <v>1.7038007863696025E-2</v>
      </c>
      <c r="W92" s="206">
        <f>'Divisional Summary'!BN54/'Divisional Summary'!BI54-1</f>
        <v>-1.9550342130987275E-3</v>
      </c>
      <c r="X92" s="206">
        <f>'Divisional Summary'!BO54/'Divisional Summary'!BJ54-1</f>
        <v>4.4788273615634644E-3</v>
      </c>
      <c r="Y92" s="206">
        <f>'Divisional Summary'!BP54/'Divisional Summary'!BK54-1</f>
        <v>2.0351157222665561E-2</v>
      </c>
      <c r="Z92" s="206">
        <f>'Divisional Summary'!BQ54/'Divisional Summary'!BL54-1</f>
        <v>0.10720486111111116</v>
      </c>
      <c r="AA92" s="192">
        <f>'Divisional Summary'!BR54/'Divisional Summary'!BM54-1</f>
        <v>3.2753436426116833E-2</v>
      </c>
      <c r="AB92" s="206">
        <f>'Divisional Summary'!BS54/'Divisional Summary'!BN54-1</f>
        <v>0.20666013712047016</v>
      </c>
      <c r="AC92" s="206">
        <f>'Divisional Summary'!BT54/'Divisional Summary'!BO54-1</f>
        <v>0.19294689906769347</v>
      </c>
      <c r="AD92" s="206">
        <f>'Divisional Summary'!BU54/'Divisional Summary'!BP54-1</f>
        <v>0.15213140398904956</v>
      </c>
      <c r="AE92" s="206">
        <f>'Divisional Summary'!BV54/'Divisional Summary'!BQ54-1</f>
        <v>0.15052920423363392</v>
      </c>
      <c r="AF92" s="192">
        <f>'Divisional Summary'!BW54/'Divisional Summary'!BR54-1</f>
        <v>0.17375480919205577</v>
      </c>
      <c r="AG92" s="206">
        <f>'Divisional Summary'!BX54/'Divisional Summary'!BS54-1</f>
        <v>9.1720779220779258E-2</v>
      </c>
      <c r="AH92" s="206">
        <f>'Divisional Summary'!BY54/'Divisional Summary'!BT54-1</f>
        <v>8.9364593951750004E-2</v>
      </c>
      <c r="AI92" s="206">
        <f>'Divisional Summary'!BZ54/'Divisional Summary'!BU54-1</f>
        <v>7.9090291921249056E-2</v>
      </c>
      <c r="AJ92" s="206">
        <f>'Divisional Summary'!CA54/'Divisional Summary'!BV54-1</f>
        <v>8.48381601362862E-2</v>
      </c>
      <c r="AK92" s="192">
        <f>'Divisional Summary'!CB54/'Divisional Summary'!BW54-1</f>
        <v>8.6020552799433103E-2</v>
      </c>
      <c r="AL92" s="206">
        <f>'Divisional Summary'!CC54/'Divisional Summary'!BX54-1</f>
        <v>-3.118672895881347E-2</v>
      </c>
      <c r="AM92" s="206">
        <f>'Divisional Summary'!CD54/'Divisional Summary'!BY54-1</f>
        <v>-8.0819619183029268E-2</v>
      </c>
      <c r="AN92" s="206">
        <f>'Divisional Summary'!CE54/'Divisional Summary'!BZ54-1</f>
        <v>-0.1000314564328405</v>
      </c>
      <c r="AO92" s="206">
        <f>'Divisional Summary'!CF54/'Divisional Summary'!CA54-1</f>
        <v>-0.17807788944723613</v>
      </c>
      <c r="AP92" s="192">
        <f>'Divisional Summary'!CG54/'Divisional Summary'!CB54-1</f>
        <v>-0.10017130271637165</v>
      </c>
      <c r="AQ92" s="206">
        <f>'Divisional Summary'!CH54/'Divisional Summary'!CC54-1</f>
        <v>-5.1075287159743632E-2</v>
      </c>
      <c r="AR92" s="206">
        <f>'Divisional Summary'!CI54/'Divisional Summary'!CD54-1</f>
        <v>4.1086330494999324E-3</v>
      </c>
      <c r="AS92" s="206">
        <f>'Divisional Summary'!CJ54/'Divisional Summary'!CE54-1</f>
        <v>5.2429220552254741E-3</v>
      </c>
      <c r="AT92" s="206">
        <f>'Divisional Summary'!CK54/'Divisional Summary'!CF54-1</f>
        <v>1.8723729461215033E-2</v>
      </c>
      <c r="AU92" s="192">
        <f>+AU84/AP84-1</f>
        <v>-6.1644456531593228E-3</v>
      </c>
      <c r="AV92" s="2053">
        <f>'Divisional Summary'!CM54/'Divisional Summary'!CH54-1</f>
        <v>-8.8960776384957585E-3</v>
      </c>
      <c r="AW92" s="2053">
        <f>'Divisional Summary'!CN54/'Divisional Summary'!CI54-1</f>
        <v>-2.7712064886786125E-2</v>
      </c>
      <c r="AX92" s="2053">
        <f>'Divisional Summary'!CO54/'Divisional Summary'!CJ54-1</f>
        <v>-6.9541029207231819E-4</v>
      </c>
      <c r="AY92" s="2053">
        <f>'Divisional Summary'!CP54/'Divisional Summary'!CK54-1</f>
        <v>-2.405577992454333E-2</v>
      </c>
      <c r="AZ92" s="192">
        <f>+AZ84/AU84-1</f>
        <v>-1.4515434578019959E-2</v>
      </c>
      <c r="BA92" s="2053">
        <f>'Divisional Summary'!CR54/'Divisional Summary'!CM54-1</f>
        <v>4.3450039652692229E-2</v>
      </c>
      <c r="BB92" s="2053">
        <f>'Divisional Summary'!CS54/'Divisional Summary'!CN54-1</f>
        <v>2.9236510524503601E-2</v>
      </c>
      <c r="BC92" s="2053">
        <f>'Divisional Summary'!CT54/'Divisional Summary'!CO54-1</f>
        <v>4.3647976362348739E-2</v>
      </c>
      <c r="BD92" s="2053">
        <f>'Divisional Summary'!CU54/'Divisional Summary'!CP54-1</f>
        <v>4.531961669814466E-2</v>
      </c>
      <c r="BE92" s="192">
        <f>+BE84/AZ84-1</f>
        <v>4.0167968438558299E-2</v>
      </c>
      <c r="BF92" s="192">
        <f>+BF84/BA84-1</f>
        <v>3.7489560170729224</v>
      </c>
      <c r="BG92" s="205"/>
      <c r="BH92" s="205"/>
      <c r="BI92" s="205"/>
      <c r="BJ92" s="205"/>
      <c r="BK92" s="205"/>
      <c r="BL92" s="205"/>
      <c r="BM92" s="205"/>
      <c r="BN92" s="205"/>
      <c r="BO92" s="205"/>
      <c r="BP92" s="205"/>
      <c r="BQ92" s="205"/>
      <c r="BR92" s="205"/>
      <c r="BS92" s="205"/>
      <c r="BT92" s="205"/>
      <c r="BU92" s="205"/>
      <c r="BV92" s="205"/>
    </row>
    <row r="93" spans="1:74" hidden="1">
      <c r="A93" s="147"/>
      <c r="B93" s="157"/>
      <c r="C93" s="147"/>
      <c r="D93" s="147"/>
      <c r="E93" s="147"/>
      <c r="F93" s="147"/>
      <c r="G93" s="157"/>
      <c r="H93" s="147"/>
      <c r="I93" s="147"/>
      <c r="J93" s="147"/>
      <c r="K93" s="147"/>
      <c r="L93" s="157"/>
      <c r="M93" s="147"/>
      <c r="N93" s="147"/>
      <c r="O93" s="147"/>
      <c r="P93" s="147"/>
      <c r="Q93" s="157"/>
      <c r="R93" s="147"/>
      <c r="S93" s="147"/>
      <c r="T93" s="147"/>
      <c r="U93" s="147"/>
      <c r="V93" s="157"/>
      <c r="W93" s="147"/>
      <c r="X93" s="147"/>
      <c r="Y93" s="147"/>
      <c r="Z93" s="147"/>
      <c r="AA93" s="157"/>
      <c r="AB93" s="147"/>
      <c r="AC93" s="147"/>
      <c r="AD93" s="147"/>
      <c r="AE93" s="147"/>
      <c r="AF93" s="157"/>
      <c r="AG93" s="147"/>
      <c r="AH93" s="147"/>
      <c r="AI93" s="147"/>
      <c r="AJ93" s="147"/>
      <c r="AK93" s="157"/>
      <c r="AL93" s="147"/>
      <c r="AM93" s="147"/>
      <c r="AN93" s="147"/>
      <c r="AO93" s="147"/>
      <c r="AP93" s="157"/>
      <c r="AQ93" s="147"/>
      <c r="AR93" s="147"/>
      <c r="AS93" s="147"/>
      <c r="AT93" s="147"/>
      <c r="AU93" s="157"/>
      <c r="AV93" s="2030"/>
      <c r="AW93" s="2030"/>
      <c r="AX93" s="2030"/>
      <c r="AY93" s="2030"/>
      <c r="AZ93" s="157"/>
      <c r="BA93" s="2030"/>
      <c r="BB93" s="2030"/>
      <c r="BC93" s="2030"/>
      <c r="BD93" s="2030"/>
      <c r="BE93" s="157"/>
      <c r="BF93" s="157"/>
      <c r="BG93" s="147"/>
      <c r="BH93" s="147"/>
      <c r="BI93" s="147"/>
      <c r="BJ93" s="147"/>
      <c r="BK93" s="147"/>
      <c r="BL93" s="147"/>
      <c r="BM93" s="147"/>
      <c r="BN93" s="147"/>
      <c r="BO93" s="147"/>
      <c r="BP93" s="147"/>
      <c r="BQ93" s="147"/>
      <c r="BR93" s="147"/>
      <c r="BS93" s="147"/>
      <c r="BT93" s="147"/>
      <c r="BU93" s="147"/>
      <c r="BV93" s="147"/>
    </row>
    <row r="94" spans="1:74">
      <c r="A94" s="147" t="str">
        <f>A86</f>
        <v>Otis</v>
      </c>
      <c r="B94" s="160">
        <f>'Divisional Summary'!AS78</f>
        <v>2232</v>
      </c>
      <c r="C94" s="161">
        <f>'Divisional Summary'!AT78</f>
        <v>582</v>
      </c>
      <c r="D94" s="161">
        <f>'Divisional Summary'!AU78</f>
        <v>675</v>
      </c>
      <c r="E94" s="161">
        <f>'Divisional Summary'!AV78</f>
        <v>653</v>
      </c>
      <c r="F94" s="161">
        <f>'Divisional Summary'!AW78</f>
        <v>588</v>
      </c>
      <c r="G94" s="160">
        <f>'Divisional Summary'!AX78</f>
        <v>2498</v>
      </c>
      <c r="H94" s="161">
        <f>'Divisional Summary'!AY78</f>
        <v>528</v>
      </c>
      <c r="I94" s="161">
        <f>'Divisional Summary'!AZ78</f>
        <v>636</v>
      </c>
      <c r="J94" s="161">
        <f>'Divisional Summary'!BA78</f>
        <v>685</v>
      </c>
      <c r="K94" s="161">
        <f>'Divisional Summary'!BB78</f>
        <v>704</v>
      </c>
      <c r="L94" s="160">
        <f>'Divisional Summary'!BC78</f>
        <v>2553</v>
      </c>
      <c r="M94" s="161">
        <f>'Divisional Summary'!BD78</f>
        <v>607</v>
      </c>
      <c r="N94" s="161">
        <f>'Divisional Summary'!BE78</f>
        <v>658</v>
      </c>
      <c r="O94" s="161">
        <f>'Divisional Summary'!BF78</f>
        <v>690</v>
      </c>
      <c r="P94" s="161">
        <f>'Divisional Summary'!BG78</f>
        <v>703</v>
      </c>
      <c r="Q94" s="160">
        <f>'Divisional Summary'!BH78</f>
        <v>2658</v>
      </c>
      <c r="R94" s="161">
        <f>'Divisional Summary'!BI78</f>
        <v>632</v>
      </c>
      <c r="S94" s="161">
        <f>'Divisional Summary'!BJ78</f>
        <v>747</v>
      </c>
      <c r="T94" s="161">
        <f>'Divisional Summary'!BK78</f>
        <v>772</v>
      </c>
      <c r="U94" s="161">
        <f>'Divisional Summary'!BL78</f>
        <v>737</v>
      </c>
      <c r="V94" s="160">
        <f>'Divisional Summary'!BM78</f>
        <v>2888</v>
      </c>
      <c r="W94" s="161">
        <f>'Divisional Summary'!BN78</f>
        <v>594</v>
      </c>
      <c r="X94" s="161">
        <f>'Divisional Summary'!BO78</f>
        <v>686</v>
      </c>
      <c r="Y94" s="161">
        <f>'Divisional Summary'!BP78</f>
        <v>693</v>
      </c>
      <c r="Z94" s="161">
        <f>'Divisional Summary'!BQ78</f>
        <v>703</v>
      </c>
      <c r="AA94" s="160">
        <f>'Divisional Summary'!BR78</f>
        <v>2676</v>
      </c>
      <c r="AB94" s="161">
        <f>'Divisional Summary'!BS78</f>
        <v>585</v>
      </c>
      <c r="AC94" s="161">
        <f>'Divisional Summary'!BT78</f>
        <v>689</v>
      </c>
      <c r="AD94" s="161">
        <f>'Divisional Summary'!BU78</f>
        <v>700</v>
      </c>
      <c r="AE94" s="161">
        <f>'Divisional Summary'!BV78</f>
        <v>704</v>
      </c>
      <c r="AF94" s="160">
        <f>'Divisional Summary'!BW78</f>
        <v>2678</v>
      </c>
      <c r="AG94" s="161">
        <f>'Divisional Summary'!BX78</f>
        <v>587</v>
      </c>
      <c r="AH94" s="161">
        <f>'Divisional Summary'!BY78</f>
        <v>714</v>
      </c>
      <c r="AI94" s="161">
        <f>'Divisional Summary'!BZ78</f>
        <v>718</v>
      </c>
      <c r="AJ94" s="161">
        <f>'Divisional Summary'!CA78</f>
        <v>708</v>
      </c>
      <c r="AK94" s="160">
        <f>'Divisional Summary'!CB78</f>
        <v>2727</v>
      </c>
      <c r="AL94" s="161">
        <f>'Divisional Summary'!CC78</f>
        <v>533</v>
      </c>
      <c r="AM94" s="161">
        <f>'Divisional Summary'!CD78</f>
        <v>635</v>
      </c>
      <c r="AN94" s="161">
        <f>'Divisional Summary'!CE78</f>
        <v>660</v>
      </c>
      <c r="AO94" s="161">
        <f>'Divisional Summary'!CF78</f>
        <v>561</v>
      </c>
      <c r="AP94" s="160">
        <f>'Divisional Summary'!CG78</f>
        <v>2389</v>
      </c>
      <c r="AQ94" s="161">
        <f>'Divisional Summary'!CH78</f>
        <v>481</v>
      </c>
      <c r="AR94" s="161">
        <f>'Divisional Summary'!CI78</f>
        <v>597</v>
      </c>
      <c r="AS94" s="161">
        <f>'Divisional Summary'!CJ78</f>
        <v>594</v>
      </c>
      <c r="AT94" s="161">
        <f>'Divisional Summary'!CK78</f>
        <v>534</v>
      </c>
      <c r="AU94" s="160">
        <f>'Divisional Summary'!CL78</f>
        <v>2236.7982041718546</v>
      </c>
      <c r="AV94" s="2036">
        <f>'Divisional Summary'!CM78</f>
        <v>457</v>
      </c>
      <c r="AW94" s="2036">
        <f>'Divisional Summary'!CN78</f>
        <v>556</v>
      </c>
      <c r="AX94" s="2036">
        <f>'Divisional Summary'!CO78</f>
        <v>561</v>
      </c>
      <c r="AY94" s="2036">
        <f>'Divisional Summary'!CP78</f>
        <v>517.86884998736605</v>
      </c>
      <c r="AZ94" s="160">
        <f>'Divisional Summary'!CQ78</f>
        <v>2091.868849987366</v>
      </c>
      <c r="BA94" s="2036">
        <f>'Divisional Summary'!CR78</f>
        <v>470.66640684847118</v>
      </c>
      <c r="BB94" s="2036">
        <f>'Divisional Summary'!CS78</f>
        <v>571.7284765471843</v>
      </c>
      <c r="BC94" s="2036">
        <f>'Divisional Summary'!CT78</f>
        <v>585.36630248406072</v>
      </c>
      <c r="BD94" s="2036">
        <f>'Divisional Summary'!CU78</f>
        <v>516.07019000083437</v>
      </c>
      <c r="BE94" s="160">
        <f>'Divisional Summary'!CV78</f>
        <v>2143.8313758805507</v>
      </c>
      <c r="BF94" s="160">
        <f>'Divisional Summary'!CW78</f>
        <v>2213.7363361165253</v>
      </c>
      <c r="BG94" s="147"/>
      <c r="BH94" s="147"/>
      <c r="BI94" s="147"/>
      <c r="BJ94" s="147"/>
      <c r="BK94" s="147"/>
      <c r="BL94" s="147"/>
      <c r="BM94" s="147"/>
      <c r="BN94" s="147"/>
      <c r="BO94" s="147"/>
      <c r="BP94" s="147"/>
      <c r="BQ94" s="147"/>
      <c r="BR94" s="147"/>
      <c r="BS94" s="147"/>
      <c r="BT94" s="147"/>
      <c r="BU94" s="147"/>
      <c r="BV94" s="147"/>
    </row>
    <row r="95" spans="1:74">
      <c r="A95" s="191" t="str">
        <f>A72</f>
        <v>CCS</v>
      </c>
      <c r="B95" s="160">
        <f>'Divisional Summary'!AS79</f>
        <v>0</v>
      </c>
      <c r="C95" s="161">
        <f>'Divisional Summary'!AT79</f>
        <v>0</v>
      </c>
      <c r="D95" s="161">
        <f>'Divisional Summary'!AU79</f>
        <v>0</v>
      </c>
      <c r="E95" s="161">
        <f>'Divisional Summary'!AV79</f>
        <v>0</v>
      </c>
      <c r="F95" s="161">
        <f>'Divisional Summary'!AW79</f>
        <v>0</v>
      </c>
      <c r="G95" s="160">
        <f>'Divisional Summary'!AX79</f>
        <v>0</v>
      </c>
      <c r="H95" s="161">
        <f>'Divisional Summary'!AY79</f>
        <v>0</v>
      </c>
      <c r="I95" s="161">
        <f>'Divisional Summary'!AZ79</f>
        <v>0</v>
      </c>
      <c r="J95" s="161">
        <f>'Divisional Summary'!BA79</f>
        <v>0</v>
      </c>
      <c r="K95" s="161">
        <f>'Divisional Summary'!BB79</f>
        <v>0</v>
      </c>
      <c r="L95" s="160">
        <f>'Divisional Summary'!BC79</f>
        <v>0</v>
      </c>
      <c r="M95" s="161">
        <f>'Divisional Summary'!BD79</f>
        <v>0</v>
      </c>
      <c r="N95" s="161">
        <f>'Divisional Summary'!BE79</f>
        <v>0</v>
      </c>
      <c r="O95" s="161">
        <f>'Divisional Summary'!BF79</f>
        <v>0</v>
      </c>
      <c r="P95" s="161">
        <f>'Divisional Summary'!BG79</f>
        <v>0</v>
      </c>
      <c r="Q95" s="160">
        <f>'Divisional Summary'!BH79</f>
        <v>0</v>
      </c>
      <c r="R95" s="161">
        <f>'Divisional Summary'!BI79</f>
        <v>492</v>
      </c>
      <c r="S95" s="161">
        <f>'Divisional Summary'!BJ79</f>
        <v>689</v>
      </c>
      <c r="T95" s="161">
        <f>'Divisional Summary'!BK79</f>
        <v>627</v>
      </c>
      <c r="U95" s="161">
        <f>'Divisional Summary'!BL79</f>
        <v>487</v>
      </c>
      <c r="V95" s="160">
        <f>'Divisional Summary'!BM79</f>
        <v>2295</v>
      </c>
      <c r="W95" s="161">
        <f>'Divisional Summary'!BN79</f>
        <v>467</v>
      </c>
      <c r="X95" s="161">
        <f>'Divisional Summary'!BO79</f>
        <v>716</v>
      </c>
      <c r="Y95" s="161">
        <f>'Divisional Summary'!BP79</f>
        <v>658</v>
      </c>
      <c r="Z95" s="161">
        <f>'Divisional Summary'!BQ79</f>
        <v>570</v>
      </c>
      <c r="AA95" s="160">
        <f>'Divisional Summary'!BR79</f>
        <v>2411</v>
      </c>
      <c r="AB95" s="161">
        <f>'Divisional Summary'!BS79</f>
        <v>504</v>
      </c>
      <c r="AC95" s="161">
        <f>'Divisional Summary'!BT79</f>
        <v>768</v>
      </c>
      <c r="AD95" s="161">
        <f>'Divisional Summary'!BU79</f>
        <v>724</v>
      </c>
      <c r="AE95" s="161">
        <f>'Divisional Summary'!BV79</f>
        <v>636</v>
      </c>
      <c r="AF95" s="160">
        <f>'Divisional Summary'!BW79</f>
        <v>2632</v>
      </c>
      <c r="AG95" s="161">
        <f>'Divisional Summary'!BX79</f>
        <v>580</v>
      </c>
      <c r="AH95" s="161">
        <f>'Divisional Summary'!BY79</f>
        <v>840</v>
      </c>
      <c r="AI95" s="161">
        <f>'Divisional Summary'!BZ79</f>
        <v>791</v>
      </c>
      <c r="AJ95" s="161">
        <f>'Divisional Summary'!CA79</f>
        <v>657</v>
      </c>
      <c r="AK95" s="160">
        <f>'Divisional Summary'!CB79</f>
        <v>2868</v>
      </c>
      <c r="AL95" s="161">
        <f>'Divisional Summary'!CC79</f>
        <v>627</v>
      </c>
      <c r="AM95" s="161">
        <f>'Divisional Summary'!CD79</f>
        <v>851</v>
      </c>
      <c r="AN95" s="161">
        <f>'Divisional Summary'!CE79</f>
        <v>786</v>
      </c>
      <c r="AO95" s="161">
        <f>'Divisional Summary'!CF79</f>
        <v>659</v>
      </c>
      <c r="AP95" s="160">
        <f>'Divisional Summary'!CG79</f>
        <v>2923</v>
      </c>
      <c r="AQ95" s="161">
        <f>'Divisional Summary'!CH79</f>
        <v>634</v>
      </c>
      <c r="AR95" s="161">
        <f>'Divisional Summary'!CI79</f>
        <v>909</v>
      </c>
      <c r="AS95" s="161">
        <f>'Divisional Summary'!CJ79</f>
        <v>830</v>
      </c>
      <c r="AT95" s="161">
        <f>'Divisional Summary'!CK79</f>
        <v>680</v>
      </c>
      <c r="AU95" s="160">
        <f>'Divisional Summary'!CL79</f>
        <v>3053</v>
      </c>
      <c r="AV95" s="2036">
        <f>'Divisional Summary'!CM79</f>
        <v>607</v>
      </c>
      <c r="AW95" s="2036">
        <f>'Divisional Summary'!CN79</f>
        <v>891</v>
      </c>
      <c r="AX95" s="2036">
        <f>'Divisional Summary'!CO79</f>
        <v>871</v>
      </c>
      <c r="AY95" s="2036">
        <f>'Divisional Summary'!CP79</f>
        <v>743.3229430521958</v>
      </c>
      <c r="AZ95" s="160">
        <f>'Divisional Summary'!CQ79</f>
        <v>3112.322943052196</v>
      </c>
      <c r="BA95" s="2036">
        <f>'Divisional Summary'!CR79</f>
        <v>676.36160315348241</v>
      </c>
      <c r="BB95" s="2036">
        <f>'Divisional Summary'!CS79</f>
        <v>946.97392704501783</v>
      </c>
      <c r="BC95" s="2036">
        <f>'Divisional Summary'!CT79</f>
        <v>926.69844439453391</v>
      </c>
      <c r="BD95" s="2036">
        <f>'Divisional Summary'!CU79</f>
        <v>811.20839384840406</v>
      </c>
      <c r="BE95" s="160">
        <f>'Divisional Summary'!CV79</f>
        <v>3361.242368441438</v>
      </c>
      <c r="BF95" s="160">
        <f>'Divisional Summary'!CW79</f>
        <v>3586.7700152950351</v>
      </c>
      <c r="BG95" s="147"/>
      <c r="BH95" s="147"/>
      <c r="BI95" s="147"/>
      <c r="BJ95" s="147"/>
      <c r="BK95" s="147"/>
      <c r="BL95" s="147"/>
      <c r="BM95" s="147"/>
      <c r="BN95" s="147"/>
      <c r="BO95" s="147"/>
      <c r="BP95" s="147"/>
      <c r="BQ95" s="147"/>
      <c r="BR95" s="147"/>
      <c r="BS95" s="147"/>
      <c r="BT95" s="147"/>
      <c r="BU95" s="147"/>
      <c r="BV95" s="147"/>
    </row>
    <row r="96" spans="1:74">
      <c r="A96" s="191" t="str">
        <f>A73</f>
        <v>Pratt &amp; Whitney</v>
      </c>
      <c r="B96" s="160">
        <f>'Divisional Summary'!AS82</f>
        <v>2024</v>
      </c>
      <c r="C96" s="161">
        <f>'Divisional Summary'!AT82</f>
        <v>540</v>
      </c>
      <c r="D96" s="161">
        <f>'Divisional Summary'!AU82</f>
        <v>563</v>
      </c>
      <c r="E96" s="161">
        <f>'Divisional Summary'!AV82</f>
        <v>545</v>
      </c>
      <c r="F96" s="161">
        <f>'Divisional Summary'!AW82</f>
        <v>553</v>
      </c>
      <c r="G96" s="160">
        <f>'Divisional Summary'!AX82</f>
        <v>2201</v>
      </c>
      <c r="H96" s="161">
        <f>'Divisional Summary'!AY82</f>
        <v>500</v>
      </c>
      <c r="I96" s="161">
        <f>'Divisional Summary'!AZ82</f>
        <v>523</v>
      </c>
      <c r="J96" s="161">
        <f>'Divisional Summary'!BA82</f>
        <v>501</v>
      </c>
      <c r="K96" s="161">
        <f>'Divisional Summary'!BB82</f>
        <v>501</v>
      </c>
      <c r="L96" s="160">
        <f>'Divisional Summary'!BC82</f>
        <v>2025</v>
      </c>
      <c r="M96" s="161">
        <f>'Divisional Summary'!BD82</f>
        <v>462</v>
      </c>
      <c r="N96" s="161">
        <f>'Divisional Summary'!BE82</f>
        <v>531</v>
      </c>
      <c r="O96" s="161">
        <f>'Divisional Summary'!BF82</f>
        <v>560</v>
      </c>
      <c r="P96" s="161">
        <f>'Divisional Summary'!BG82</f>
        <v>572</v>
      </c>
      <c r="Q96" s="160">
        <f>'Divisional Summary'!BH82</f>
        <v>2125</v>
      </c>
      <c r="R96" s="161">
        <f>'Divisional Summary'!BI82</f>
        <v>432</v>
      </c>
      <c r="S96" s="161">
        <f>'Divisional Summary'!BJ82</f>
        <v>449</v>
      </c>
      <c r="T96" s="161">
        <f>'Divisional Summary'!BK82</f>
        <v>460</v>
      </c>
      <c r="U96" s="161">
        <f>'Divisional Summary'!BL82</f>
        <v>537</v>
      </c>
      <c r="V96" s="160">
        <f>'Divisional Summary'!BM82</f>
        <v>1878</v>
      </c>
      <c r="W96" s="161">
        <f>'Divisional Summary'!BN82</f>
        <v>426</v>
      </c>
      <c r="X96" s="161">
        <f>'Divisional Summary'!BO82</f>
        <v>444</v>
      </c>
      <c r="Y96" s="161">
        <f>'Divisional Summary'!BP82</f>
        <v>412</v>
      </c>
      <c r="Z96" s="161">
        <f>'Divisional Summary'!BQ82</f>
        <v>403</v>
      </c>
      <c r="AA96" s="160">
        <f>'Divisional Summary'!BR82</f>
        <v>1685</v>
      </c>
      <c r="AB96" s="161">
        <f>'Divisional Summary'!BS82</f>
        <v>413</v>
      </c>
      <c r="AC96" s="161">
        <f>'Divisional Summary'!BT82</f>
        <v>467</v>
      </c>
      <c r="AD96" s="161">
        <f>'Divisional Summary'!BU82</f>
        <v>486</v>
      </c>
      <c r="AE96" s="161">
        <f>'Divisional Summary'!BV82</f>
        <v>496</v>
      </c>
      <c r="AF96" s="160">
        <f>'Divisional Summary'!BW82</f>
        <v>1862</v>
      </c>
      <c r="AG96" s="161">
        <f>'Divisional Summary'!BX82</f>
        <v>430</v>
      </c>
      <c r="AH96" s="161">
        <f>'Divisional Summary'!BY82</f>
        <v>519</v>
      </c>
      <c r="AI96" s="161">
        <f>'Divisional Summary'!BZ82</f>
        <v>558</v>
      </c>
      <c r="AJ96" s="161">
        <f>'Divisional Summary'!CA82</f>
        <v>556</v>
      </c>
      <c r="AK96" s="160">
        <f>'Divisional Summary'!CB82</f>
        <v>2063</v>
      </c>
      <c r="AL96" s="161">
        <f>'Divisional Summary'!CC82</f>
        <v>432</v>
      </c>
      <c r="AM96" s="161">
        <f>'Divisional Summary'!CD82</f>
        <v>489</v>
      </c>
      <c r="AN96" s="161">
        <f>'Divisional Summary'!CE82</f>
        <v>441</v>
      </c>
      <c r="AO96" s="161">
        <f>'Divisional Summary'!CF82</f>
        <v>551</v>
      </c>
      <c r="AP96" s="160">
        <f>'Divisional Summary'!CG82</f>
        <v>1913</v>
      </c>
      <c r="AQ96" s="161">
        <f>'Divisional Summary'!CH82</f>
        <v>415</v>
      </c>
      <c r="AR96" s="161">
        <f>'Divisional Summary'!CI82</f>
        <v>452</v>
      </c>
      <c r="AS96" s="161">
        <f>'Divisional Summary'!CJ82</f>
        <v>414</v>
      </c>
      <c r="AT96" s="161">
        <f>'Divisional Summary'!CK82</f>
        <v>470</v>
      </c>
      <c r="AU96" s="160">
        <f>'Divisional Summary'!CL82</f>
        <v>1751</v>
      </c>
      <c r="AV96" s="2036">
        <f>'Divisional Summary'!CM82</f>
        <v>393</v>
      </c>
      <c r="AW96" s="2036">
        <f>'Divisional Summary'!CN82</f>
        <v>408</v>
      </c>
      <c r="AX96" s="2036">
        <f>'Divisional Summary'!CO82</f>
        <v>423</v>
      </c>
      <c r="AY96" s="2036">
        <f>'Divisional Summary'!CP82</f>
        <v>399.99416801236765</v>
      </c>
      <c r="AZ96" s="160">
        <f>'Divisional Summary'!CQ82</f>
        <v>1623.9941680123677</v>
      </c>
      <c r="BA96" s="2036">
        <f>'Divisional Summary'!CR82</f>
        <v>367.23824744690739</v>
      </c>
      <c r="BB96" s="2036">
        <f>'Divisional Summary'!CS82</f>
        <v>382.23824744690739</v>
      </c>
      <c r="BC96" s="2036">
        <f>'Divisional Summary'!CT82</f>
        <v>397.23824744690739</v>
      </c>
      <c r="BD96" s="2036">
        <f>'Divisional Summary'!CU82</f>
        <v>374.23241545927499</v>
      </c>
      <c r="BE96" s="160">
        <f>'Divisional Summary'!CV82</f>
        <v>1520.9471577999971</v>
      </c>
      <c r="BF96" s="160">
        <f>'Divisional Summary'!CW82</f>
        <v>1982.7489388165939</v>
      </c>
      <c r="BG96" s="147"/>
      <c r="BH96" s="147"/>
      <c r="BI96" s="147"/>
      <c r="BJ96" s="147"/>
      <c r="BK96" s="147"/>
      <c r="BL96" s="147"/>
      <c r="BM96" s="147"/>
      <c r="BN96" s="147"/>
      <c r="BO96" s="147"/>
      <c r="BP96" s="147"/>
      <c r="BQ96" s="147"/>
      <c r="BR96" s="147"/>
      <c r="BS96" s="147"/>
      <c r="BT96" s="147"/>
      <c r="BU96" s="147"/>
      <c r="BV96" s="147"/>
    </row>
    <row r="97" spans="1:74">
      <c r="A97" s="191" t="str">
        <f>A74</f>
        <v>Aerospace Systems</v>
      </c>
      <c r="B97" s="160">
        <f>'Divisional Summary'!AS83</f>
        <v>0</v>
      </c>
      <c r="C97" s="161">
        <f>'Divisional Summary'!AT83</f>
        <v>0</v>
      </c>
      <c r="D97" s="161">
        <f>'Divisional Summary'!AU83</f>
        <v>0</v>
      </c>
      <c r="E97" s="161">
        <f>'Divisional Summary'!AV83</f>
        <v>0</v>
      </c>
      <c r="F97" s="161">
        <f>'Divisional Summary'!AW83</f>
        <v>0</v>
      </c>
      <c r="G97" s="160">
        <f>'Divisional Summary'!AX83</f>
        <v>0</v>
      </c>
      <c r="H97" s="161">
        <f>'Divisional Summary'!AY83</f>
        <v>0</v>
      </c>
      <c r="I97" s="161">
        <f>'Divisional Summary'!AZ83</f>
        <v>0</v>
      </c>
      <c r="J97" s="161">
        <f>'Divisional Summary'!BA83</f>
        <v>0</v>
      </c>
      <c r="K97" s="161">
        <f>'Divisional Summary'!BB83</f>
        <v>0</v>
      </c>
      <c r="L97" s="160">
        <f>'Divisional Summary'!BC83</f>
        <v>0</v>
      </c>
      <c r="M97" s="161">
        <f>'Divisional Summary'!BD83</f>
        <v>0</v>
      </c>
      <c r="N97" s="161">
        <f>'Divisional Summary'!BE83</f>
        <v>0</v>
      </c>
      <c r="O97" s="161">
        <f>'Divisional Summary'!BF83</f>
        <v>0</v>
      </c>
      <c r="P97" s="161">
        <f>'Divisional Summary'!BG83</f>
        <v>0</v>
      </c>
      <c r="Q97" s="160">
        <f>'Divisional Summary'!BH83</f>
        <v>0</v>
      </c>
      <c r="R97" s="161">
        <f>'Divisional Summary'!BI83</f>
        <v>174</v>
      </c>
      <c r="S97" s="161">
        <f>'Divisional Summary'!BJ83</f>
        <v>187</v>
      </c>
      <c r="T97" s="161">
        <f>'Divisional Summary'!BK83</f>
        <v>205</v>
      </c>
      <c r="U97" s="161">
        <f>'Divisional Summary'!BL83</f>
        <v>204</v>
      </c>
      <c r="V97" s="160">
        <f>'Divisional Summary'!BM83</f>
        <v>770</v>
      </c>
      <c r="W97" s="161">
        <f>'Divisional Summary'!BN83</f>
        <v>200</v>
      </c>
      <c r="X97" s="161">
        <f>'Divisional Summary'!BO83</f>
        <v>214</v>
      </c>
      <c r="Y97" s="161">
        <f>'Divisional Summary'!BP83</f>
        <v>306</v>
      </c>
      <c r="Z97" s="161">
        <f>'Divisional Summary'!BQ83</f>
        <v>339</v>
      </c>
      <c r="AA97" s="160">
        <f>'Divisional Summary'!BR83</f>
        <v>1059</v>
      </c>
      <c r="AB97" s="161">
        <f>'Divisional Summary'!BS83</f>
        <v>509</v>
      </c>
      <c r="AC97" s="161">
        <f>'Divisional Summary'!BT83</f>
        <v>532</v>
      </c>
      <c r="AD97" s="161">
        <f>'Divisional Summary'!BU83</f>
        <v>525</v>
      </c>
      <c r="AE97" s="161">
        <f>'Divisional Summary'!BV83</f>
        <v>544</v>
      </c>
      <c r="AF97" s="160">
        <f>'Divisional Summary'!BW83</f>
        <v>2110</v>
      </c>
      <c r="AG97" s="161">
        <f>'Divisional Summary'!BX83</f>
        <v>596</v>
      </c>
      <c r="AH97" s="161">
        <f>'Divisional Summary'!BY83</f>
        <v>606</v>
      </c>
      <c r="AI97" s="161">
        <f>'Divisional Summary'!BZ83</f>
        <v>601</v>
      </c>
      <c r="AJ97" s="161">
        <f>'Divisional Summary'!CA83</f>
        <v>634</v>
      </c>
      <c r="AK97" s="160">
        <f>'Divisional Summary'!CB83</f>
        <v>2437</v>
      </c>
      <c r="AL97" s="161">
        <f>'Divisional Summary'!CC83</f>
        <v>619</v>
      </c>
      <c r="AM97" s="161">
        <f>'Divisional Summary'!CD83</f>
        <v>580</v>
      </c>
      <c r="AN97" s="161">
        <f>'Divisional Summary'!CE83</f>
        <v>586</v>
      </c>
      <c r="AO97" s="161">
        <f>'Divisional Summary'!CF83</f>
        <v>570</v>
      </c>
      <c r="AP97" s="160">
        <f>'Divisional Summary'!CG83</f>
        <v>2355</v>
      </c>
      <c r="AQ97" s="161">
        <f>'Divisional Summary'!CH83</f>
        <v>551</v>
      </c>
      <c r="AR97" s="161">
        <f>'Divisional Summary'!CI83</f>
        <v>590</v>
      </c>
      <c r="AS97" s="161">
        <f>'Divisional Summary'!CJ83</f>
        <v>611</v>
      </c>
      <c r="AT97" s="161">
        <f>'Divisional Summary'!CK83</f>
        <v>595</v>
      </c>
      <c r="AU97" s="160">
        <f>'Divisional Summary'!CL83</f>
        <v>2347</v>
      </c>
      <c r="AV97" s="2036">
        <f>'Divisional Summary'!CM83</f>
        <v>599</v>
      </c>
      <c r="AW97" s="2036">
        <f>'Divisional Summary'!CN83</f>
        <v>603</v>
      </c>
      <c r="AX97" s="2036">
        <f>'Divisional Summary'!CO83</f>
        <v>633</v>
      </c>
      <c r="AY97" s="2036">
        <f>'Divisional Summary'!CP83</f>
        <v>599.61780353347467</v>
      </c>
      <c r="AZ97" s="160">
        <f>'Divisional Summary'!CQ83</f>
        <v>2434.6178035334747</v>
      </c>
      <c r="BA97" s="2036">
        <f>'Divisional Summary'!CR83</f>
        <v>624.27700000000004</v>
      </c>
      <c r="BB97" s="2036">
        <f>'Divisional Summary'!CS83</f>
        <v>641.22</v>
      </c>
      <c r="BC97" s="2036">
        <f>'Divisional Summary'!CT83</f>
        <v>671.18849999999998</v>
      </c>
      <c r="BD97" s="2036">
        <f>'Divisional Summary'!CU83</f>
        <v>648.58803923664664</v>
      </c>
      <c r="BE97" s="160">
        <f>'Divisional Summary'!CV83</f>
        <v>2585.2735392366467</v>
      </c>
      <c r="BF97" s="160">
        <f>'Divisional Summary'!CW83</f>
        <v>2740.2483648996422</v>
      </c>
      <c r="BG97" s="147"/>
      <c r="BH97" s="147"/>
      <c r="BI97" s="147"/>
      <c r="BJ97" s="147"/>
      <c r="BK97" s="147"/>
      <c r="BL97" s="147"/>
      <c r="BM97" s="147"/>
      <c r="BN97" s="147"/>
      <c r="BO97" s="147"/>
      <c r="BP97" s="147"/>
      <c r="BQ97" s="147"/>
      <c r="BR97" s="147"/>
      <c r="BS97" s="147"/>
      <c r="BT97" s="147"/>
      <c r="BU97" s="147"/>
      <c r="BV97" s="147"/>
    </row>
    <row r="98" spans="1:74" hidden="1">
      <c r="A98" s="191" t="str">
        <f>A75</f>
        <v>Sikorsky</v>
      </c>
      <c r="B98" s="160">
        <f>'Divisional Summary'!AS85</f>
        <v>370</v>
      </c>
      <c r="C98" s="161">
        <f>'Divisional Summary'!AT85</f>
        <v>82</v>
      </c>
      <c r="D98" s="161">
        <f>'Divisional Summary'!AU85</f>
        <v>111</v>
      </c>
      <c r="E98" s="161">
        <f>'Divisional Summary'!AV85</f>
        <v>133</v>
      </c>
      <c r="F98" s="161">
        <f>'Divisional Summary'!AW85</f>
        <v>152</v>
      </c>
      <c r="G98" s="160">
        <f>'Divisional Summary'!AX85</f>
        <v>478</v>
      </c>
      <c r="H98" s="161">
        <f>'Divisional Summary'!AY85</f>
        <v>116</v>
      </c>
      <c r="I98" s="161">
        <f>'Divisional Summary'!AZ85</f>
        <v>140</v>
      </c>
      <c r="J98" s="161">
        <f>'Divisional Summary'!BA85</f>
        <v>157</v>
      </c>
      <c r="K98" s="161">
        <f>'Divisional Summary'!BB85</f>
        <v>202</v>
      </c>
      <c r="L98" s="160">
        <f>'Divisional Summary'!BC85</f>
        <v>615</v>
      </c>
      <c r="M98" s="161">
        <f>'Divisional Summary'!BD85</f>
        <v>145</v>
      </c>
      <c r="N98" s="161">
        <f>'Divisional Summary'!BE85</f>
        <v>176</v>
      </c>
      <c r="O98" s="161">
        <f>'Divisional Summary'!BF85</f>
        <v>170</v>
      </c>
      <c r="P98" s="161">
        <f>'Divisional Summary'!BG85</f>
        <v>239</v>
      </c>
      <c r="Q98" s="160">
        <f>'Divisional Summary'!BH85</f>
        <v>730</v>
      </c>
      <c r="R98" s="161">
        <f>'Divisional Summary'!BI85</f>
        <v>142</v>
      </c>
      <c r="S98" s="161">
        <f>'Divisional Summary'!BJ85</f>
        <v>206</v>
      </c>
      <c r="T98" s="161">
        <f>'Divisional Summary'!BK85</f>
        <v>228</v>
      </c>
      <c r="U98" s="161">
        <f>'Divisional Summary'!BL85</f>
        <v>244</v>
      </c>
      <c r="V98" s="160">
        <f>'Divisional Summary'!BM85</f>
        <v>820</v>
      </c>
      <c r="W98" s="161">
        <f>'Divisional Summary'!BN85</f>
        <v>139</v>
      </c>
      <c r="X98" s="161">
        <f>'Divisional Summary'!BO85</f>
        <v>216</v>
      </c>
      <c r="Y98" s="161">
        <f>'Divisional Summary'!BP85</f>
        <v>215</v>
      </c>
      <c r="Z98" s="161">
        <f>'Divisional Summary'!BQ85</f>
        <v>195</v>
      </c>
      <c r="AA98" s="160">
        <f>'Divisional Summary'!BR85</f>
        <v>765</v>
      </c>
      <c r="AB98" s="161">
        <f>'Divisional Summary'!BS85</f>
        <v>95</v>
      </c>
      <c r="AC98" s="161">
        <f>'Divisional Summary'!BT85</f>
        <v>165</v>
      </c>
      <c r="AD98" s="161">
        <f>'Divisional Summary'!BU85</f>
        <v>170</v>
      </c>
      <c r="AE98" s="161">
        <f>'Divisional Summary'!BV85</f>
        <v>214</v>
      </c>
      <c r="AF98" s="160">
        <f>'Divisional Summary'!BW85</f>
        <v>644</v>
      </c>
      <c r="AG98" s="161">
        <f>'Divisional Summary'!BX85</f>
        <v>103</v>
      </c>
      <c r="AH98" s="161">
        <f>'Divisional Summary'!BY85</f>
        <v>149</v>
      </c>
      <c r="AI98" s="161">
        <f>'Divisional Summary'!BZ85</f>
        <v>152</v>
      </c>
      <c r="AJ98" s="161">
        <f>'Divisional Summary'!CA85</f>
        <v>295</v>
      </c>
      <c r="AK98" s="160">
        <f>'Divisional Summary'!CB85</f>
        <v>699</v>
      </c>
      <c r="AL98" s="161">
        <f>'Divisional Summary'!CC85</f>
        <v>0</v>
      </c>
      <c r="AM98" s="161">
        <f>'Divisional Summary'!CD85</f>
        <v>0</v>
      </c>
      <c r="AN98" s="161">
        <f>'Divisional Summary'!CE85</f>
        <v>0</v>
      </c>
      <c r="AO98" s="161">
        <f>'Divisional Summary'!CF85</f>
        <v>0</v>
      </c>
      <c r="AP98" s="160">
        <f>'Divisional Summary'!CG85</f>
        <v>0</v>
      </c>
      <c r="AQ98" s="161">
        <f>'Divisional Summary'!CH85</f>
        <v>0</v>
      </c>
      <c r="AR98" s="161">
        <f>'Divisional Summary'!CI85</f>
        <v>0</v>
      </c>
      <c r="AS98" s="161">
        <f>'Divisional Summary'!CJ85</f>
        <v>0</v>
      </c>
      <c r="AT98" s="161">
        <f>'Divisional Summary'!CK85</f>
        <v>0</v>
      </c>
      <c r="AU98" s="160">
        <f>'Divisional Summary'!CL85</f>
        <v>0</v>
      </c>
      <c r="AV98" s="2036">
        <f>'Divisional Summary'!CM85</f>
        <v>0</v>
      </c>
      <c r="AW98" s="2036">
        <f>'Divisional Summary'!CN85</f>
        <v>0</v>
      </c>
      <c r="AX98" s="2036">
        <f>'Divisional Summary'!CO85</f>
        <v>0</v>
      </c>
      <c r="AY98" s="2036">
        <f>'Divisional Summary'!CP85</f>
        <v>0</v>
      </c>
      <c r="AZ98" s="160">
        <f>'Divisional Summary'!CQ85</f>
        <v>0</v>
      </c>
      <c r="BA98" s="2036">
        <f>'Divisional Summary'!CR85</f>
        <v>0</v>
      </c>
      <c r="BB98" s="2036">
        <f>'Divisional Summary'!CS85</f>
        <v>0</v>
      </c>
      <c r="BC98" s="2036">
        <f>'Divisional Summary'!CT85</f>
        <v>0</v>
      </c>
      <c r="BD98" s="2036">
        <f>'Divisional Summary'!CU85</f>
        <v>0</v>
      </c>
      <c r="BE98" s="160">
        <f>'Divisional Summary'!CV85</f>
        <v>0</v>
      </c>
      <c r="BF98" s="160">
        <f>'Divisional Summary'!CW85</f>
        <v>0</v>
      </c>
      <c r="BG98" s="182"/>
      <c r="BH98" s="182"/>
      <c r="BI98" s="182"/>
      <c r="BJ98" s="182"/>
      <c r="BK98" s="182"/>
      <c r="BL98" s="182"/>
      <c r="BM98" s="182"/>
      <c r="BN98" s="182"/>
      <c r="BO98" s="182"/>
      <c r="BP98" s="182"/>
      <c r="BQ98" s="182"/>
      <c r="BR98" s="182"/>
      <c r="BS98" s="182"/>
      <c r="BT98" s="182"/>
      <c r="BU98" s="182"/>
      <c r="BV98" s="182"/>
    </row>
    <row r="99" spans="1:74">
      <c r="A99" s="179" t="s">
        <v>251</v>
      </c>
      <c r="B99" s="172">
        <f t="shared" ref="B99:AZ99" si="20">B94+B95+B96+B97+B98</f>
        <v>4626</v>
      </c>
      <c r="C99" s="173">
        <f t="shared" si="20"/>
        <v>1204</v>
      </c>
      <c r="D99" s="173">
        <f t="shared" si="20"/>
        <v>1349</v>
      </c>
      <c r="E99" s="173">
        <f t="shared" si="20"/>
        <v>1331</v>
      </c>
      <c r="F99" s="173">
        <f t="shared" si="20"/>
        <v>1293</v>
      </c>
      <c r="G99" s="172">
        <f t="shared" si="20"/>
        <v>5177</v>
      </c>
      <c r="H99" s="173">
        <f t="shared" si="20"/>
        <v>1144</v>
      </c>
      <c r="I99" s="173">
        <f t="shared" si="20"/>
        <v>1299</v>
      </c>
      <c r="J99" s="173">
        <f t="shared" si="20"/>
        <v>1343</v>
      </c>
      <c r="K99" s="173">
        <f t="shared" si="20"/>
        <v>1407</v>
      </c>
      <c r="L99" s="172">
        <f t="shared" si="20"/>
        <v>5193</v>
      </c>
      <c r="M99" s="173">
        <f t="shared" si="20"/>
        <v>1214</v>
      </c>
      <c r="N99" s="173">
        <f t="shared" si="20"/>
        <v>1365</v>
      </c>
      <c r="O99" s="173">
        <f t="shared" si="20"/>
        <v>1420</v>
      </c>
      <c r="P99" s="173">
        <f t="shared" si="20"/>
        <v>1514</v>
      </c>
      <c r="Q99" s="172">
        <f t="shared" si="20"/>
        <v>5513</v>
      </c>
      <c r="R99" s="173">
        <f t="shared" si="20"/>
        <v>1872</v>
      </c>
      <c r="S99" s="173">
        <f t="shared" si="20"/>
        <v>2278</v>
      </c>
      <c r="T99" s="173">
        <f t="shared" si="20"/>
        <v>2292</v>
      </c>
      <c r="U99" s="173">
        <f t="shared" si="20"/>
        <v>2209</v>
      </c>
      <c r="V99" s="172">
        <f t="shared" si="20"/>
        <v>8651</v>
      </c>
      <c r="W99" s="173">
        <f t="shared" si="20"/>
        <v>1826</v>
      </c>
      <c r="X99" s="173">
        <f t="shared" si="20"/>
        <v>2276</v>
      </c>
      <c r="Y99" s="173">
        <f t="shared" si="20"/>
        <v>2284</v>
      </c>
      <c r="Z99" s="173">
        <f t="shared" si="20"/>
        <v>2210</v>
      </c>
      <c r="AA99" s="172">
        <f t="shared" si="20"/>
        <v>8596</v>
      </c>
      <c r="AB99" s="173">
        <f t="shared" si="20"/>
        <v>2106</v>
      </c>
      <c r="AC99" s="173">
        <f t="shared" si="20"/>
        <v>2621</v>
      </c>
      <c r="AD99" s="173">
        <f t="shared" si="20"/>
        <v>2605</v>
      </c>
      <c r="AE99" s="173">
        <f t="shared" si="20"/>
        <v>2594</v>
      </c>
      <c r="AF99" s="172">
        <f t="shared" si="20"/>
        <v>9926</v>
      </c>
      <c r="AG99" s="173">
        <f t="shared" si="20"/>
        <v>2296</v>
      </c>
      <c r="AH99" s="173">
        <f t="shared" si="20"/>
        <v>2828</v>
      </c>
      <c r="AI99" s="173">
        <f t="shared" si="20"/>
        <v>2820</v>
      </c>
      <c r="AJ99" s="173">
        <f t="shared" si="20"/>
        <v>2850</v>
      </c>
      <c r="AK99" s="172">
        <f t="shared" si="20"/>
        <v>10794</v>
      </c>
      <c r="AL99" s="173">
        <f t="shared" si="20"/>
        <v>2211</v>
      </c>
      <c r="AM99" s="173">
        <f t="shared" si="20"/>
        <v>2555</v>
      </c>
      <c r="AN99" s="173">
        <f t="shared" si="20"/>
        <v>2473</v>
      </c>
      <c r="AO99" s="173">
        <f t="shared" si="20"/>
        <v>2341</v>
      </c>
      <c r="AP99" s="172">
        <f t="shared" si="20"/>
        <v>9580</v>
      </c>
      <c r="AQ99" s="173">
        <f t="shared" si="20"/>
        <v>2081</v>
      </c>
      <c r="AR99" s="173">
        <f t="shared" si="20"/>
        <v>2548</v>
      </c>
      <c r="AS99" s="173">
        <f t="shared" si="20"/>
        <v>2449</v>
      </c>
      <c r="AT99" s="173">
        <f t="shared" si="20"/>
        <v>2279</v>
      </c>
      <c r="AU99" s="172">
        <f t="shared" si="20"/>
        <v>9387.7982041718551</v>
      </c>
      <c r="AV99" s="2039">
        <f>AV94+AV95+AV96+AV97+AV98</f>
        <v>2056</v>
      </c>
      <c r="AW99" s="2039">
        <f>AW94+AW95+AW96+AW97+AW98</f>
        <v>2458</v>
      </c>
      <c r="AX99" s="2039">
        <f>AX94+AX95+AX96+AX97+AX98</f>
        <v>2488</v>
      </c>
      <c r="AY99" s="2039">
        <f>AY94+AY95+AY96+AY97+AY98</f>
        <v>2260.8037645854042</v>
      </c>
      <c r="AZ99" s="172">
        <f t="shared" si="20"/>
        <v>9262.8037645854038</v>
      </c>
      <c r="BA99" s="2039">
        <f t="shared" ref="BA99:BF99" si="21">BA94+BA95+BA96+BA97+BA98</f>
        <v>2138.5432574488609</v>
      </c>
      <c r="BB99" s="2039">
        <f t="shared" si="21"/>
        <v>2542.1606510391093</v>
      </c>
      <c r="BC99" s="2039">
        <f t="shared" si="21"/>
        <v>2580.4914943255017</v>
      </c>
      <c r="BD99" s="2039">
        <f t="shared" si="21"/>
        <v>2350.0990385451601</v>
      </c>
      <c r="BE99" s="172">
        <f t="shared" si="21"/>
        <v>9611.294441358632</v>
      </c>
      <c r="BF99" s="172">
        <f t="shared" si="21"/>
        <v>10523.503655127797</v>
      </c>
      <c r="BG99" s="188"/>
      <c r="BH99" s="188"/>
      <c r="BI99" s="188"/>
      <c r="BJ99" s="188"/>
      <c r="BK99" s="188"/>
      <c r="BL99" s="188"/>
      <c r="BM99" s="188"/>
      <c r="BN99" s="188"/>
      <c r="BO99" s="188"/>
      <c r="BP99" s="188"/>
      <c r="BQ99" s="188"/>
      <c r="BR99" s="188"/>
      <c r="BS99" s="188"/>
      <c r="BT99" s="188"/>
      <c r="BU99" s="188"/>
      <c r="BV99" s="188"/>
    </row>
    <row r="100" spans="1:74">
      <c r="A100" s="147" t="s">
        <v>250</v>
      </c>
      <c r="B100" s="160">
        <f>-'Divisional Summary'!AS117+'Divisional Summary'!AS115</f>
        <v>-166</v>
      </c>
      <c r="C100" s="161">
        <f>-'Divisional Summary'!AT117+'Divisional Summary'!AT115</f>
        <v>-34</v>
      </c>
      <c r="D100" s="161">
        <f>-'Divisional Summary'!AU117+'Divisional Summary'!AU115</f>
        <v>-94</v>
      </c>
      <c r="E100" s="161">
        <f>-'Divisional Summary'!AV117+'Divisional Summary'!AV115</f>
        <v>-93</v>
      </c>
      <c r="F100" s="161">
        <f>-'Divisional Summary'!AW117+'Divisional Summary'!AW115</f>
        <v>-135</v>
      </c>
      <c r="G100" s="160">
        <f>-'Divisional Summary'!AX117+'Divisional Summary'!AX115</f>
        <v>-356</v>
      </c>
      <c r="H100" s="161">
        <f>-'Divisional Summary'!AY117+'Divisional Summary'!AY115</f>
        <v>-161</v>
      </c>
      <c r="I100" s="161">
        <f>-'Divisional Summary'!AZ117+'Divisional Summary'!AZ115</f>
        <v>-300</v>
      </c>
      <c r="J100" s="161">
        <f>-'Divisional Summary'!BA117+'Divisional Summary'!BA115</f>
        <v>-172</v>
      </c>
      <c r="K100" s="161">
        <f>-'Divisional Summary'!BB117+'Divisional Summary'!BB115</f>
        <v>-135</v>
      </c>
      <c r="L100" s="160">
        <f>-'Divisional Summary'!BC117+'Divisional Summary'!BC115</f>
        <v>-768</v>
      </c>
      <c r="M100" s="161">
        <f>-'Divisional Summary'!BD117+'Divisional Summary'!BD115</f>
        <v>-67</v>
      </c>
      <c r="N100" s="161">
        <f>-'Divisional Summary'!BE117+'Divisional Summary'!BE115</f>
        <v>-74</v>
      </c>
      <c r="O100" s="161">
        <f>-'Divisional Summary'!BF117+'Divisional Summary'!BF115</f>
        <v>-57</v>
      </c>
      <c r="P100" s="161">
        <f>-'Divisional Summary'!BG117+'Divisional Summary'!BG115</f>
        <v>-227</v>
      </c>
      <c r="Q100" s="160">
        <f>-'Divisional Summary'!BH117+'Divisional Summary'!BH115</f>
        <v>-425</v>
      </c>
      <c r="R100" s="161">
        <f>-'Divisional Summary'!BI117+'Divisional Summary'!BI115</f>
        <v>-30</v>
      </c>
      <c r="S100" s="161">
        <f>-'Divisional Summary'!BJ117+'Divisional Summary'!BJ115</f>
        <v>-57</v>
      </c>
      <c r="T100" s="161">
        <f>-'Divisional Summary'!BK117+'Divisional Summary'!BK115</f>
        <v>-80</v>
      </c>
      <c r="U100" s="161">
        <f>-'Divisional Summary'!BL117+'Divisional Summary'!BL115</f>
        <v>-148</v>
      </c>
      <c r="V100" s="160">
        <f>-'Divisional Summary'!BM117+'Divisional Summary'!BM115</f>
        <v>-315</v>
      </c>
      <c r="W100" s="204">
        <f>-'Divisional Summary'!BN117+'Divisional Summary'!BN115</f>
        <v>-105</v>
      </c>
      <c r="X100" s="204">
        <f>-'Divisional Summary'!BO117+'Divisional Summary'!BO115</f>
        <v>-95</v>
      </c>
      <c r="Y100" s="204">
        <f>-'Divisional Summary'!BP117+'Divisional Summary'!BP115</f>
        <v>-118</v>
      </c>
      <c r="Z100" s="204">
        <f>-'Divisional Summary'!BQ117+'Divisional Summary'!BQ115</f>
        <v>-253</v>
      </c>
      <c r="AA100" s="160">
        <f>-'Divisional Summary'!BR117+'Divisional Summary'!BR115</f>
        <v>-571</v>
      </c>
      <c r="AB100" s="204">
        <f>-'Divisional Summary'!BS117+'Divisional Summary'!BS115</f>
        <v>-52</v>
      </c>
      <c r="AC100" s="204">
        <f>-'Divisional Summary'!BT117+'Divisional Summary'!BT115</f>
        <v>-190</v>
      </c>
      <c r="AD100" s="204">
        <f>-'Divisional Summary'!BU117+'Divisional Summary'!BU115</f>
        <v>-104</v>
      </c>
      <c r="AE100" s="204">
        <f>-'Divisional Summary'!BV117+'Divisional Summary'!BV115</f>
        <v>-135</v>
      </c>
      <c r="AF100" s="160">
        <f>-'Divisional Summary'!BW117+'Divisional Summary'!BW115</f>
        <v>-481</v>
      </c>
      <c r="AG100" s="204">
        <f>-'Divisional Summary'!BX117+'Divisional Summary'!BX115</f>
        <v>-125</v>
      </c>
      <c r="AH100" s="204">
        <f>-'Divisional Summary'!BY117+'Divisional Summary'!BY115</f>
        <v>-55</v>
      </c>
      <c r="AI100" s="204">
        <f>-'Divisional Summary'!BZ117+'Divisional Summary'!BZ115</f>
        <v>-63</v>
      </c>
      <c r="AJ100" s="204">
        <f>-'Divisional Summary'!CA117+'Divisional Summary'!CA115</f>
        <v>-120</v>
      </c>
      <c r="AK100" s="160">
        <f>-'Divisional Summary'!CB117+'Divisional Summary'!CB115</f>
        <v>-363</v>
      </c>
      <c r="AL100" s="204">
        <f>-'Divisional Summary'!CC117+'Divisional Summary'!CC115</f>
        <v>-93</v>
      </c>
      <c r="AM100" s="204">
        <f>-'Divisional Summary'!CD117+'Divisional Summary'!CD115</f>
        <v>-38</v>
      </c>
      <c r="AN100" s="204">
        <f>-'Divisional Summary'!CE117+'Divisional Summary'!CE115</f>
        <v>-69</v>
      </c>
      <c r="AO100" s="204">
        <f>-'Divisional Summary'!CF117+'Divisional Summary'!CF115</f>
        <v>-175</v>
      </c>
      <c r="AP100" s="160">
        <f>-'Divisional Summary'!CG117+'Divisional Summary'!CG115</f>
        <v>-375</v>
      </c>
      <c r="AQ100" s="204">
        <f>-'Divisional Summary'!CH117+'Divisional Summary'!CH115</f>
        <v>-61</v>
      </c>
      <c r="AR100" s="204">
        <f>-'Divisional Summary'!CI117+'Divisional Summary'!CI115</f>
        <v>-115</v>
      </c>
      <c r="AS100" s="204">
        <f>-'Divisional Summary'!CJ117+'Divisional Summary'!CJ115</f>
        <v>-18</v>
      </c>
      <c r="AT100" s="204">
        <f>-'Divisional Summary'!CK117+'Divisional Summary'!CK115</f>
        <v>-90</v>
      </c>
      <c r="AU100" s="160">
        <f>-'Divisional Summary'!CL117+'Divisional Summary'!CL115</f>
        <v>-284</v>
      </c>
      <c r="AV100" s="2052">
        <f>-'Divisional Summary'!CM117+'Divisional Summary'!CM115</f>
        <v>-51</v>
      </c>
      <c r="AW100" s="2052">
        <f>-'Divisional Summary'!CN117+'Divisional Summary'!CN115</f>
        <v>-60</v>
      </c>
      <c r="AX100" s="2052">
        <f>-'Divisional Summary'!CO117+'Divisional Summary'!CO115</f>
        <v>-64</v>
      </c>
      <c r="AY100" s="2052">
        <f>-'Divisional Summary'!CP117+'Divisional Summary'!CP115</f>
        <v>-108</v>
      </c>
      <c r="AZ100" s="160">
        <f>-'Divisional Summary'!CQ117+'Divisional Summary'!CQ115</f>
        <v>-283</v>
      </c>
      <c r="BA100" s="2052">
        <f>-'Divisional Summary'!CR117+'Divisional Summary'!CR115</f>
        <v>-80.5</v>
      </c>
      <c r="BB100" s="2052">
        <f>-'Divisional Summary'!CS117+'Divisional Summary'!CS115</f>
        <v>-70.5</v>
      </c>
      <c r="BC100" s="2052">
        <f>-'Divisional Summary'!CT117+'Divisional Summary'!CT115</f>
        <v>-65.5</v>
      </c>
      <c r="BD100" s="2052">
        <f>-'Divisional Summary'!CU117+'Divisional Summary'!CU115</f>
        <v>-66.5</v>
      </c>
      <c r="BE100" s="160">
        <f>-'Divisional Summary'!CV117+'Divisional Summary'!CV115</f>
        <v>-283</v>
      </c>
      <c r="BF100" s="160">
        <f>-'Divisional Summary'!CW117+'Divisional Summary'!CW115</f>
        <v>-283</v>
      </c>
      <c r="BG100" s="182"/>
      <c r="BH100" s="182"/>
      <c r="BI100" s="182"/>
      <c r="BJ100" s="182"/>
      <c r="BK100" s="182"/>
      <c r="BL100" s="182"/>
      <c r="BM100" s="182"/>
      <c r="BN100" s="182"/>
      <c r="BO100" s="182"/>
      <c r="BP100" s="182"/>
      <c r="BQ100" s="182"/>
      <c r="BR100" s="182"/>
      <c r="BS100" s="182"/>
      <c r="BT100" s="182"/>
      <c r="BU100" s="182"/>
      <c r="BV100" s="182"/>
    </row>
    <row r="101" spans="1:74">
      <c r="A101" s="147" t="s">
        <v>8</v>
      </c>
      <c r="B101" s="160">
        <f t="shared" ref="B101:AZ101" si="22">B103-B99-B100-B102</f>
        <v>3036</v>
      </c>
      <c r="C101" s="161">
        <f t="shared" si="22"/>
        <v>610</v>
      </c>
      <c r="D101" s="161">
        <f t="shared" si="22"/>
        <v>966</v>
      </c>
      <c r="E101" s="161">
        <f t="shared" si="22"/>
        <v>934</v>
      </c>
      <c r="F101" s="161">
        <f t="shared" si="22"/>
        <v>703</v>
      </c>
      <c r="G101" s="160">
        <f t="shared" si="22"/>
        <v>3213</v>
      </c>
      <c r="H101" s="161">
        <f t="shared" si="22"/>
        <v>382</v>
      </c>
      <c r="I101" s="161">
        <f t="shared" si="22"/>
        <v>734</v>
      </c>
      <c r="J101" s="161">
        <f t="shared" si="22"/>
        <v>771</v>
      </c>
      <c r="K101" s="161">
        <f t="shared" si="22"/>
        <v>668</v>
      </c>
      <c r="L101" s="154">
        <f t="shared" si="22"/>
        <v>2471</v>
      </c>
      <c r="M101" s="155">
        <f t="shared" si="22"/>
        <v>513</v>
      </c>
      <c r="N101" s="155">
        <f t="shared" si="22"/>
        <v>746</v>
      </c>
      <c r="O101" s="155">
        <f t="shared" si="22"/>
        <v>847</v>
      </c>
      <c r="P101" s="155">
        <f t="shared" si="22"/>
        <v>778</v>
      </c>
      <c r="Q101" s="154">
        <f t="shared" si="22"/>
        <v>2884</v>
      </c>
      <c r="R101" s="155">
        <f t="shared" si="22"/>
        <v>0</v>
      </c>
      <c r="S101" s="155">
        <f t="shared" si="22"/>
        <v>73</v>
      </c>
      <c r="T101" s="155">
        <f t="shared" si="22"/>
        <v>49</v>
      </c>
      <c r="U101" s="155">
        <f t="shared" si="22"/>
        <v>35</v>
      </c>
      <c r="V101" s="154">
        <f t="shared" si="22"/>
        <v>157</v>
      </c>
      <c r="W101" s="155">
        <f t="shared" si="22"/>
        <v>112</v>
      </c>
      <c r="X101" s="155">
        <f t="shared" si="22"/>
        <v>110</v>
      </c>
      <c r="Y101" s="155">
        <f t="shared" si="22"/>
        <v>0</v>
      </c>
      <c r="Z101" s="155">
        <f t="shared" si="22"/>
        <v>-65</v>
      </c>
      <c r="AA101" s="154">
        <f t="shared" si="22"/>
        <v>157</v>
      </c>
      <c r="AB101" s="155">
        <f t="shared" si="22"/>
        <v>38</v>
      </c>
      <c r="AC101" s="155">
        <f t="shared" si="22"/>
        <v>193</v>
      </c>
      <c r="AD101" s="155">
        <f t="shared" si="22"/>
        <v>-25</v>
      </c>
      <c r="AE101" s="155">
        <f t="shared" si="22"/>
        <v>17</v>
      </c>
      <c r="AF101" s="154">
        <f t="shared" si="22"/>
        <v>223</v>
      </c>
      <c r="AG101" s="155">
        <f t="shared" si="22"/>
        <v>0</v>
      </c>
      <c r="AH101" s="155">
        <f t="shared" si="22"/>
        <v>-548</v>
      </c>
      <c r="AI101" s="155">
        <f t="shared" si="22"/>
        <v>113</v>
      </c>
      <c r="AJ101" s="155">
        <f t="shared" si="22"/>
        <v>0</v>
      </c>
      <c r="AK101" s="154">
        <f t="shared" si="22"/>
        <v>-435</v>
      </c>
      <c r="AL101" s="155">
        <f t="shared" si="22"/>
        <v>126</v>
      </c>
      <c r="AM101" s="155">
        <f t="shared" si="22"/>
        <v>0</v>
      </c>
      <c r="AN101" s="155">
        <f t="shared" si="22"/>
        <v>0</v>
      </c>
      <c r="AO101" s="155">
        <f t="shared" si="22"/>
        <v>-1308</v>
      </c>
      <c r="AP101" s="154">
        <f t="shared" si="22"/>
        <v>-1182</v>
      </c>
      <c r="AQ101" s="155">
        <f t="shared" si="22"/>
        <v>0</v>
      </c>
      <c r="AR101" s="155">
        <f t="shared" si="22"/>
        <v>-12</v>
      </c>
      <c r="AS101" s="155">
        <f t="shared" si="22"/>
        <v>-106</v>
      </c>
      <c r="AT101" s="155">
        <f t="shared" si="22"/>
        <v>-9</v>
      </c>
      <c r="AU101" s="154">
        <f t="shared" si="22"/>
        <v>-157.7982041718551</v>
      </c>
      <c r="AV101" s="2034">
        <f>AV103-AV99-AV100-AV102</f>
        <v>379</v>
      </c>
      <c r="AW101" s="2034">
        <f>AW103-AW99-AW100-AW102</f>
        <v>0</v>
      </c>
      <c r="AX101" s="2034">
        <f>AX103-AX99-AX100-AX102</f>
        <v>-196</v>
      </c>
      <c r="AY101" s="2034">
        <f>AY103-AY99-AY100-AY102</f>
        <v>0</v>
      </c>
      <c r="AZ101" s="154">
        <f t="shared" si="22"/>
        <v>183.00000000000091</v>
      </c>
      <c r="BA101" s="2034">
        <f t="shared" ref="BA101:BF101" si="23">BA103-BA99-BA100-BA102</f>
        <v>2.5579538487363607E-13</v>
      </c>
      <c r="BB101" s="2034">
        <f t="shared" si="23"/>
        <v>2.5579538487363607E-13</v>
      </c>
      <c r="BC101" s="2034">
        <f t="shared" si="23"/>
        <v>2.5579538487363607E-13</v>
      </c>
      <c r="BD101" s="2034">
        <f t="shared" si="23"/>
        <v>0</v>
      </c>
      <c r="BE101" s="154">
        <f t="shared" si="23"/>
        <v>1.0231815394945443E-12</v>
      </c>
      <c r="BF101" s="154">
        <f t="shared" si="23"/>
        <v>0</v>
      </c>
      <c r="BG101" s="182"/>
      <c r="BH101" s="182"/>
      <c r="BI101" s="182"/>
      <c r="BJ101" s="182"/>
      <c r="BK101" s="182"/>
      <c r="BL101" s="182"/>
      <c r="BM101" s="182"/>
      <c r="BN101" s="182"/>
      <c r="BO101" s="182"/>
      <c r="BP101" s="182"/>
      <c r="BQ101" s="182"/>
      <c r="BR101" s="182"/>
      <c r="BS101" s="182"/>
      <c r="BT101" s="182"/>
      <c r="BU101" s="182"/>
      <c r="BV101" s="182"/>
    </row>
    <row r="102" spans="1:74">
      <c r="A102" s="153" t="s">
        <v>249</v>
      </c>
      <c r="B102" s="151">
        <f>'Divisional Summary'!AS142+'Divisional Summary'!AS141</f>
        <v>-446</v>
      </c>
      <c r="C102" s="152">
        <f>'Divisional Summary'!AT142+'Divisional Summary'!AT141</f>
        <v>-106</v>
      </c>
      <c r="D102" s="152">
        <f>'Divisional Summary'!AU142+'Divisional Summary'!AU141</f>
        <v>-122</v>
      </c>
      <c r="E102" s="152">
        <f>'Divisional Summary'!AV142+'Divisional Summary'!AV141</f>
        <v>-123</v>
      </c>
      <c r="F102" s="152">
        <f>'Divisional Summary'!AW142+'Divisional Summary'!AW141</f>
        <v>-58</v>
      </c>
      <c r="G102" s="151">
        <f>'Divisional Summary'!AX142+'Divisional Summary'!AX141</f>
        <v>-409</v>
      </c>
      <c r="H102" s="152">
        <f>'Divisional Summary'!AY142+'Divisional Summary'!AY141</f>
        <v>-115</v>
      </c>
      <c r="I102" s="152">
        <f>'Divisional Summary'!AZ142+'Divisional Summary'!AZ141</f>
        <v>-96</v>
      </c>
      <c r="J102" s="152">
        <f>'Divisional Summary'!BA142+'Divisional Summary'!BA141</f>
        <v>-171</v>
      </c>
      <c r="K102" s="152">
        <f>'Divisional Summary'!BB142+'Divisional Summary'!BB141</f>
        <v>-221</v>
      </c>
      <c r="L102" s="151">
        <f>'Divisional Summary'!BC142+'Divisional Summary'!BC141</f>
        <v>-603</v>
      </c>
      <c r="M102" s="152">
        <f>'Divisional Summary'!BD142+'Divisional Summary'!BD141</f>
        <v>-137</v>
      </c>
      <c r="N102" s="152">
        <f>'Divisional Summary'!BE142+'Divisional Summary'!BE141</f>
        <v>-155</v>
      </c>
      <c r="O102" s="152">
        <f>'Divisional Summary'!BF142+'Divisional Summary'!BF141</f>
        <v>-282</v>
      </c>
      <c r="P102" s="152">
        <f>'Divisional Summary'!BG142+'Divisional Summary'!BG141</f>
        <v>-212</v>
      </c>
      <c r="Q102" s="151">
        <f>'Divisional Summary'!BH142+'Divisional Summary'!BH141</f>
        <v>-786</v>
      </c>
      <c r="R102" s="152">
        <f>'Divisional Summary'!BI142+'Divisional Summary'!BI141</f>
        <v>-142</v>
      </c>
      <c r="S102" s="152">
        <f>'Divisional Summary'!BJ142+'Divisional Summary'!BJ141</f>
        <v>-144</v>
      </c>
      <c r="T102" s="152">
        <f>'Divisional Summary'!BK142+'Divisional Summary'!BK141</f>
        <v>-110</v>
      </c>
      <c r="U102" s="152">
        <f>'Divisional Summary'!BL142+'Divisional Summary'!BL141</f>
        <v>-251</v>
      </c>
      <c r="V102" s="151">
        <f>'Divisional Summary'!BM142+'Divisional Summary'!BM141</f>
        <v>-647</v>
      </c>
      <c r="W102" s="152">
        <f>'Divisional Summary'!BN142+'Divisional Summary'!BN141</f>
        <v>-120</v>
      </c>
      <c r="X102" s="152">
        <f>'Divisional Summary'!BO142+'Divisional Summary'!BO141</f>
        <v>-112</v>
      </c>
      <c r="Y102" s="152">
        <f>'Divisional Summary'!BP142+'Divisional Summary'!BP141</f>
        <v>-125</v>
      </c>
      <c r="Z102" s="152">
        <f>'Divisional Summary'!BQ142+'Divisional Summary'!BQ141</f>
        <v>-141</v>
      </c>
      <c r="AA102" s="151">
        <f>'Divisional Summary'!BR142+'Divisional Summary'!BR141</f>
        <v>-498</v>
      </c>
      <c r="AB102" s="152">
        <f>'Divisional Summary'!BS142+'Divisional Summary'!BS141</f>
        <v>-86</v>
      </c>
      <c r="AC102" s="152">
        <f>'Divisional Summary'!BT142+'Divisional Summary'!BT141</f>
        <v>-117</v>
      </c>
      <c r="AD102" s="152">
        <f>'Divisional Summary'!BU142+'Divisional Summary'!BU141</f>
        <v>-110</v>
      </c>
      <c r="AE102" s="152">
        <f>'Divisional Summary'!BV142+'Divisional Summary'!BV141</f>
        <v>-146</v>
      </c>
      <c r="AF102" s="151">
        <f>'Divisional Summary'!BW142+'Divisional Summary'!BW141</f>
        <v>-459</v>
      </c>
      <c r="AG102" s="152">
        <f>'Divisional Summary'!BX142+'Divisional Summary'!BX141</f>
        <v>-73</v>
      </c>
      <c r="AH102" s="152">
        <f>'Divisional Summary'!BY142+'Divisional Summary'!BY141</f>
        <v>130</v>
      </c>
      <c r="AI102" s="152">
        <f>'Divisional Summary'!BZ142+'Divisional Summary'!BZ141</f>
        <v>-124</v>
      </c>
      <c r="AJ102" s="152">
        <f>'Divisional Summary'!CA142+'Divisional Summary'!CA141</f>
        <v>-160</v>
      </c>
      <c r="AK102" s="151">
        <f>'Divisional Summary'!CB142+'Divisional Summary'!CB141</f>
        <v>-227</v>
      </c>
      <c r="AL102" s="152">
        <f>'Divisional Summary'!CC142+'Divisional Summary'!CC141</f>
        <v>-62</v>
      </c>
      <c r="AM102" s="152">
        <f>'Divisional Summary'!CD142+'Divisional Summary'!CD141</f>
        <v>-95</v>
      </c>
      <c r="AN102" s="152">
        <f>'Divisional Summary'!CE142+'Divisional Summary'!CE141</f>
        <v>-102</v>
      </c>
      <c r="AO102" s="152">
        <f>'Divisional Summary'!CF142+'Divisional Summary'!CF141</f>
        <v>-466</v>
      </c>
      <c r="AP102" s="151">
        <f>'Divisional Summary'!CG142+'Divisional Summary'!CG141</f>
        <v>-725</v>
      </c>
      <c r="AQ102" s="152">
        <f>'Divisional Summary'!CH142+'Divisional Summary'!CH141</f>
        <v>-75</v>
      </c>
      <c r="AR102" s="152">
        <f>'Divisional Summary'!CI142+'Divisional Summary'!CI141</f>
        <v>-84</v>
      </c>
      <c r="AS102" s="152">
        <f>'Divisional Summary'!CJ142+'Divisional Summary'!CJ141</f>
        <v>-74</v>
      </c>
      <c r="AT102" s="152">
        <f>'Divisional Summary'!CK142+'Divisional Summary'!CK141</f>
        <v>-541</v>
      </c>
      <c r="AU102" s="151">
        <f>'Divisional Summary'!CL142+'Divisional Summary'!CL141</f>
        <v>-774</v>
      </c>
      <c r="AV102" s="2032">
        <f>'Divisional Summary'!CM142+'Divisional Summary'!CM141</f>
        <v>-117</v>
      </c>
      <c r="AW102" s="2032">
        <f>'Divisional Summary'!CN142+'Divisional Summary'!CN141</f>
        <v>-108</v>
      </c>
      <c r="AX102" s="2032">
        <f>'Divisional Summary'!CO142+'Divisional Summary'!CO141</f>
        <v>-65</v>
      </c>
      <c r="AY102" s="2032">
        <f>'Divisional Summary'!CP142+'Divisional Summary'!CP141</f>
        <v>-184.05225784263624</v>
      </c>
      <c r="AZ102" s="151">
        <f>'Divisional Summary'!CQ142+'Divisional Summary'!CQ141</f>
        <v>-474.05225784263621</v>
      </c>
      <c r="BA102" s="2032">
        <f>'Divisional Summary'!CR142+'Divisional Summary'!CR141</f>
        <v>-148.38806446065908</v>
      </c>
      <c r="BB102" s="2032">
        <f>'Divisional Summary'!CS142+'Divisional Summary'!CS141</f>
        <v>-148.38806446065908</v>
      </c>
      <c r="BC102" s="2032">
        <f>'Divisional Summary'!CT142+'Divisional Summary'!CT141</f>
        <v>-148.38806446065908</v>
      </c>
      <c r="BD102" s="2032">
        <f>'Divisional Summary'!CU142+'Divisional Summary'!CU141</f>
        <v>-148.38806446065908</v>
      </c>
      <c r="BE102" s="151">
        <f>'Divisional Summary'!CV142+'Divisional Summary'!CV141</f>
        <v>-593.55225784263632</v>
      </c>
      <c r="BF102" s="151">
        <f>'Divisional Summary'!CW142+'Divisional Summary'!CW141</f>
        <v>-518.55225784263632</v>
      </c>
      <c r="BG102" s="182"/>
      <c r="BH102" s="182"/>
      <c r="BI102" s="182"/>
      <c r="BJ102" s="182"/>
      <c r="BK102" s="182"/>
      <c r="BL102" s="182"/>
      <c r="BM102" s="182"/>
      <c r="BN102" s="182"/>
      <c r="BO102" s="182"/>
      <c r="BP102" s="182"/>
      <c r="BQ102" s="182"/>
      <c r="BR102" s="182"/>
      <c r="BS102" s="182"/>
      <c r="BT102" s="182"/>
      <c r="BU102" s="182"/>
      <c r="BV102" s="182"/>
    </row>
    <row r="103" spans="1:74">
      <c r="A103" s="188" t="s">
        <v>248</v>
      </c>
      <c r="B103" s="172">
        <f>'Divisional Summary'!AS143</f>
        <v>7050</v>
      </c>
      <c r="C103" s="173">
        <f>'Divisional Summary'!AT143</f>
        <v>1674</v>
      </c>
      <c r="D103" s="173">
        <f>'Divisional Summary'!AU143</f>
        <v>2099</v>
      </c>
      <c r="E103" s="173">
        <f>'Divisional Summary'!AV143</f>
        <v>2049</v>
      </c>
      <c r="F103" s="173">
        <f>'Divisional Summary'!AW143</f>
        <v>1803</v>
      </c>
      <c r="G103" s="172">
        <f>'Divisional Summary'!AX143</f>
        <v>7625</v>
      </c>
      <c r="H103" s="173">
        <f>'Divisional Summary'!AY143</f>
        <v>1250</v>
      </c>
      <c r="I103" s="173">
        <f>'Divisional Summary'!AZ143</f>
        <v>1637</v>
      </c>
      <c r="J103" s="173">
        <f>'Divisional Summary'!BA143</f>
        <v>1771</v>
      </c>
      <c r="K103" s="173">
        <f>'Divisional Summary'!BB143</f>
        <v>1719</v>
      </c>
      <c r="L103" s="172">
        <f>'Divisional Summary'!BC143</f>
        <v>6293</v>
      </c>
      <c r="M103" s="173">
        <f>'Divisional Summary'!BD143</f>
        <v>1523</v>
      </c>
      <c r="N103" s="173">
        <f>'Divisional Summary'!BE143</f>
        <v>1882</v>
      </c>
      <c r="O103" s="173">
        <f>'Divisional Summary'!BF143</f>
        <v>1928</v>
      </c>
      <c r="P103" s="173">
        <f>'Divisional Summary'!BG143</f>
        <v>1853</v>
      </c>
      <c r="Q103" s="172">
        <f>'Divisional Summary'!BH143</f>
        <v>7186</v>
      </c>
      <c r="R103" s="173">
        <f>'Divisional Summary'!BI143</f>
        <v>1700</v>
      </c>
      <c r="S103" s="173">
        <f>'Divisional Summary'!BJ143</f>
        <v>2150</v>
      </c>
      <c r="T103" s="173">
        <f>'Divisional Summary'!BK143</f>
        <v>2151</v>
      </c>
      <c r="U103" s="173">
        <f>'Divisional Summary'!BL143</f>
        <v>1845</v>
      </c>
      <c r="V103" s="172">
        <f>'Divisional Summary'!BM143</f>
        <v>7846</v>
      </c>
      <c r="W103" s="173">
        <f>'Divisional Summary'!BN143</f>
        <v>1713</v>
      </c>
      <c r="X103" s="173">
        <f>'Divisional Summary'!BO143</f>
        <v>2179</v>
      </c>
      <c r="Y103" s="173">
        <f>'Divisional Summary'!BP143</f>
        <v>2041</v>
      </c>
      <c r="Z103" s="173">
        <f>'Divisional Summary'!BQ143</f>
        <v>1751</v>
      </c>
      <c r="AA103" s="172">
        <f>'Divisional Summary'!BR143</f>
        <v>7684</v>
      </c>
      <c r="AB103" s="173">
        <f>'Divisional Summary'!BS143</f>
        <v>2006</v>
      </c>
      <c r="AC103" s="173">
        <f>'Divisional Summary'!BT143</f>
        <v>2507</v>
      </c>
      <c r="AD103" s="173">
        <f>'Divisional Summary'!BU143</f>
        <v>2366</v>
      </c>
      <c r="AE103" s="173">
        <f>'Divisional Summary'!BV143</f>
        <v>2330</v>
      </c>
      <c r="AF103" s="172">
        <f>'Divisional Summary'!BW143</f>
        <v>9209</v>
      </c>
      <c r="AG103" s="173">
        <f>'Divisional Summary'!BX143</f>
        <v>2098</v>
      </c>
      <c r="AH103" s="173">
        <f>'Divisional Summary'!BY143</f>
        <v>2355</v>
      </c>
      <c r="AI103" s="173">
        <f>'Divisional Summary'!BZ143</f>
        <v>2746</v>
      </c>
      <c r="AJ103" s="173">
        <f>'Divisional Summary'!CA143</f>
        <v>2570</v>
      </c>
      <c r="AK103" s="172">
        <f>'Divisional Summary'!CB143</f>
        <v>9769</v>
      </c>
      <c r="AL103" s="173">
        <f>'Divisional Summary'!CC143</f>
        <v>2182</v>
      </c>
      <c r="AM103" s="173">
        <f>'Divisional Summary'!CD143</f>
        <v>2422</v>
      </c>
      <c r="AN103" s="173">
        <f>'Divisional Summary'!CE143</f>
        <v>2302</v>
      </c>
      <c r="AO103" s="173">
        <f>'Divisional Summary'!CF143</f>
        <v>392</v>
      </c>
      <c r="AP103" s="172">
        <f>'Divisional Summary'!CG143</f>
        <v>7298</v>
      </c>
      <c r="AQ103" s="173">
        <f>'Divisional Summary'!CH143</f>
        <v>1945</v>
      </c>
      <c r="AR103" s="173">
        <f>'Divisional Summary'!CI143</f>
        <v>2337</v>
      </c>
      <c r="AS103" s="173">
        <f>'Divisional Summary'!CJ143</f>
        <v>2251</v>
      </c>
      <c r="AT103" s="173">
        <f>'Divisional Summary'!CK143</f>
        <v>1639</v>
      </c>
      <c r="AU103" s="172">
        <f>'Divisional Summary'!CL143</f>
        <v>8172</v>
      </c>
      <c r="AV103" s="2039">
        <f>'Divisional Summary'!CM143</f>
        <v>2267</v>
      </c>
      <c r="AW103" s="2039">
        <f>'Divisional Summary'!CN143</f>
        <v>2290</v>
      </c>
      <c r="AX103" s="2039">
        <f>'Divisional Summary'!CO143</f>
        <v>2163</v>
      </c>
      <c r="AY103" s="2039">
        <f>'Divisional Summary'!CP143</f>
        <v>1968.751506742768</v>
      </c>
      <c r="AZ103" s="172">
        <f>'Divisional Summary'!CQ143</f>
        <v>8688.7515067427685</v>
      </c>
      <c r="BA103" s="2039">
        <f>'Divisional Summary'!CR143</f>
        <v>1909.6551929882021</v>
      </c>
      <c r="BB103" s="2039">
        <f>'Divisional Summary'!CS143</f>
        <v>2323.2725865784505</v>
      </c>
      <c r="BC103" s="2039">
        <f>'Divisional Summary'!CT143</f>
        <v>2366.6034298648428</v>
      </c>
      <c r="BD103" s="2039">
        <f>'Divisional Summary'!CU143</f>
        <v>2135.2109740845008</v>
      </c>
      <c r="BE103" s="172">
        <f>'Divisional Summary'!CV143</f>
        <v>8734.7421835159967</v>
      </c>
      <c r="BF103" s="172">
        <f>'Divisional Summary'!CW143</f>
        <v>9721.9513972851601</v>
      </c>
      <c r="BG103" s="182"/>
      <c r="BH103" s="182"/>
      <c r="BI103" s="182"/>
      <c r="BJ103" s="182"/>
      <c r="BK103" s="182"/>
      <c r="BL103" s="182"/>
      <c r="BM103" s="182"/>
      <c r="BN103" s="182"/>
      <c r="BO103" s="182"/>
      <c r="BP103" s="182"/>
      <c r="BQ103" s="182"/>
      <c r="BR103" s="182"/>
      <c r="BS103" s="182"/>
      <c r="BT103" s="182"/>
      <c r="BU103" s="182"/>
      <c r="BV103" s="182"/>
    </row>
    <row r="104" spans="1:74">
      <c r="A104" s="188"/>
      <c r="B104" s="172"/>
      <c r="C104" s="203"/>
      <c r="D104" s="203"/>
      <c r="E104" s="203"/>
      <c r="F104" s="203"/>
      <c r="G104" s="172"/>
      <c r="H104" s="203"/>
      <c r="I104" s="203"/>
      <c r="J104" s="203"/>
      <c r="K104" s="203"/>
      <c r="L104" s="172"/>
      <c r="M104" s="203"/>
      <c r="N104" s="203"/>
      <c r="O104" s="203"/>
      <c r="P104" s="203"/>
      <c r="Q104" s="172"/>
      <c r="R104" s="203"/>
      <c r="S104" s="203"/>
      <c r="T104" s="203"/>
      <c r="U104" s="203"/>
      <c r="V104" s="172"/>
      <c r="W104" s="203"/>
      <c r="X104" s="203"/>
      <c r="Y104" s="203"/>
      <c r="Z104" s="203"/>
      <c r="AA104" s="172"/>
      <c r="AB104" s="203"/>
      <c r="AC104" s="203"/>
      <c r="AD104" s="203"/>
      <c r="AE104" s="203"/>
      <c r="AF104" s="172"/>
      <c r="AG104" s="203"/>
      <c r="AH104" s="203"/>
      <c r="AI104" s="203"/>
      <c r="AJ104" s="203"/>
      <c r="AK104" s="172"/>
      <c r="AL104" s="203"/>
      <c r="AM104" s="203"/>
      <c r="AN104" s="203"/>
      <c r="AO104" s="203"/>
      <c r="AP104" s="172"/>
      <c r="AQ104" s="203"/>
      <c r="AR104" s="203"/>
      <c r="AS104" s="203"/>
      <c r="AT104" s="203"/>
      <c r="AU104" s="172"/>
      <c r="AV104" s="2051"/>
      <c r="AW104" s="2051"/>
      <c r="AX104" s="2051"/>
      <c r="AY104" s="2051"/>
      <c r="AZ104" s="172"/>
      <c r="BA104" s="2051"/>
      <c r="BB104" s="2051"/>
      <c r="BC104" s="2051"/>
      <c r="BD104" s="2051"/>
      <c r="BE104" s="172"/>
      <c r="BF104" s="172"/>
      <c r="BG104" s="182"/>
      <c r="BH104" s="182"/>
      <c r="BI104" s="182"/>
      <c r="BJ104" s="182"/>
      <c r="BK104" s="182"/>
      <c r="BL104" s="182"/>
      <c r="BM104" s="182"/>
      <c r="BN104" s="182"/>
      <c r="BO104" s="182"/>
      <c r="BP104" s="182"/>
      <c r="BQ104" s="182"/>
      <c r="BR104" s="182"/>
      <c r="BS104" s="182"/>
      <c r="BT104" s="182"/>
      <c r="BU104" s="182"/>
      <c r="BV104" s="182"/>
    </row>
    <row r="105" spans="1:74">
      <c r="A105" s="147" t="str">
        <f>A94</f>
        <v>Otis</v>
      </c>
      <c r="B105" s="201">
        <f>'Divisional Summary'!AS78/'Divisional Summary'!AN78-1</f>
        <v>0.15408479834539812</v>
      </c>
      <c r="C105" s="202">
        <f>'Divisional Summary'!AT78/'Divisional Summary'!AO78-1</f>
        <v>0.19262295081967218</v>
      </c>
      <c r="D105" s="202">
        <f>'Divisional Summary'!AU78/'Divisional Summary'!AP78-1</f>
        <v>0.25231910946196656</v>
      </c>
      <c r="E105" s="202">
        <f>'Divisional Summary'!AV78/'Divisional Summary'!AQ78-1</f>
        <v>0.13961605584642234</v>
      </c>
      <c r="F105" s="202">
        <f>'Divisional Summary'!AW78/'Divisional Summary'!AR78-1</f>
        <v>-6.9620253164557E-2</v>
      </c>
      <c r="G105" s="201">
        <f>'Divisional Summary'!AX78/'Divisional Summary'!AS78-1</f>
        <v>0.11917562724014341</v>
      </c>
      <c r="H105" s="202">
        <f>'Divisional Summary'!AY78/'Divisional Summary'!AT78-1</f>
        <v>-9.2783505154639179E-2</v>
      </c>
      <c r="I105" s="202">
        <f>'Divisional Summary'!AZ78/'Divisional Summary'!AU78-1</f>
        <v>-5.7777777777777817E-2</v>
      </c>
      <c r="J105" s="202">
        <f>'Divisional Summary'!BA78/'Divisional Summary'!AV78-1</f>
        <v>4.9004594180704464E-2</v>
      </c>
      <c r="K105" s="202">
        <f>'Divisional Summary'!BB78/'Divisional Summary'!AW78-1</f>
        <v>0.19727891156462585</v>
      </c>
      <c r="L105" s="201">
        <f t="shared" ref="L105:AU105" si="24">L94/G94-1</f>
        <v>2.2017614091273119E-2</v>
      </c>
      <c r="M105" s="202">
        <f t="shared" si="24"/>
        <v>0.14962121212121215</v>
      </c>
      <c r="N105" s="202">
        <f t="shared" si="24"/>
        <v>3.4591194968553562E-2</v>
      </c>
      <c r="O105" s="202">
        <f t="shared" si="24"/>
        <v>7.2992700729928028E-3</v>
      </c>
      <c r="P105" s="202">
        <f t="shared" si="24"/>
        <v>-1.4204545454545858E-3</v>
      </c>
      <c r="Q105" s="201">
        <f t="shared" si="24"/>
        <v>4.1128084606345539E-2</v>
      </c>
      <c r="R105" s="202">
        <f t="shared" si="24"/>
        <v>4.1186161449752845E-2</v>
      </c>
      <c r="S105" s="202">
        <f t="shared" si="24"/>
        <v>0.13525835866261393</v>
      </c>
      <c r="T105" s="202">
        <f t="shared" si="24"/>
        <v>0.11884057971014483</v>
      </c>
      <c r="U105" s="202">
        <f t="shared" si="24"/>
        <v>4.8364153627311612E-2</v>
      </c>
      <c r="V105" s="201">
        <f t="shared" si="24"/>
        <v>8.6531226486079804E-2</v>
      </c>
      <c r="W105" s="202">
        <f t="shared" si="24"/>
        <v>-6.0126582278481E-2</v>
      </c>
      <c r="X105" s="202">
        <f t="shared" si="24"/>
        <v>-8.1659973226238303E-2</v>
      </c>
      <c r="Y105" s="202">
        <f t="shared" si="24"/>
        <v>-0.10233160621761661</v>
      </c>
      <c r="Z105" s="202">
        <f t="shared" si="24"/>
        <v>-4.6132971506105847E-2</v>
      </c>
      <c r="AA105" s="201">
        <f t="shared" si="24"/>
        <v>-7.3407202216066447E-2</v>
      </c>
      <c r="AB105" s="202">
        <f t="shared" si="24"/>
        <v>-1.5151515151515138E-2</v>
      </c>
      <c r="AC105" s="202">
        <f t="shared" si="24"/>
        <v>4.3731778425655232E-3</v>
      </c>
      <c r="AD105" s="202">
        <f t="shared" si="24"/>
        <v>1.0101010101010166E-2</v>
      </c>
      <c r="AE105" s="202">
        <f t="shared" si="24"/>
        <v>1.4224751066855834E-3</v>
      </c>
      <c r="AF105" s="201">
        <f t="shared" si="24"/>
        <v>7.473841554559435E-4</v>
      </c>
      <c r="AG105" s="202">
        <f t="shared" si="24"/>
        <v>3.4188034188034067E-3</v>
      </c>
      <c r="AH105" s="202">
        <f t="shared" si="24"/>
        <v>3.6284470246734424E-2</v>
      </c>
      <c r="AI105" s="202">
        <f t="shared" si="24"/>
        <v>2.5714285714285801E-2</v>
      </c>
      <c r="AJ105" s="202">
        <f t="shared" si="24"/>
        <v>5.6818181818181213E-3</v>
      </c>
      <c r="AK105" s="201">
        <f t="shared" si="24"/>
        <v>1.8297236743838763E-2</v>
      </c>
      <c r="AL105" s="202">
        <f t="shared" si="24"/>
        <v>-9.1993185689948853E-2</v>
      </c>
      <c r="AM105" s="202">
        <f t="shared" si="24"/>
        <v>-0.11064425770308128</v>
      </c>
      <c r="AN105" s="202">
        <f t="shared" si="24"/>
        <v>-8.0779944289693595E-2</v>
      </c>
      <c r="AO105" s="202">
        <f t="shared" si="24"/>
        <v>-0.2076271186440678</v>
      </c>
      <c r="AP105" s="201">
        <f t="shared" si="24"/>
        <v>-0.1239457279061239</v>
      </c>
      <c r="AQ105" s="202">
        <f t="shared" si="24"/>
        <v>-9.7560975609756073E-2</v>
      </c>
      <c r="AR105" s="202">
        <f t="shared" si="24"/>
        <v>-5.9842519685039397E-2</v>
      </c>
      <c r="AS105" s="202">
        <f t="shared" si="24"/>
        <v>-9.9999999999999978E-2</v>
      </c>
      <c r="AT105" s="202">
        <f t="shared" si="24"/>
        <v>-4.8128342245989275E-2</v>
      </c>
      <c r="AU105" s="201">
        <f t="shared" si="24"/>
        <v>-6.3709416420320353E-2</v>
      </c>
      <c r="AV105" s="2050">
        <f t="shared" ref="AV105:AZ108" si="25">AV94/AQ94-1</f>
        <v>-4.9896049896049899E-2</v>
      </c>
      <c r="AW105" s="2050">
        <f t="shared" si="25"/>
        <v>-6.8676716917922986E-2</v>
      </c>
      <c r="AX105" s="2050">
        <f t="shared" si="25"/>
        <v>-5.555555555555558E-2</v>
      </c>
      <c r="AY105" s="2050">
        <f t="shared" si="25"/>
        <v>-3.0208146091074806E-2</v>
      </c>
      <c r="AZ105" s="201">
        <f t="shared" si="25"/>
        <v>-6.4793218232284344E-2</v>
      </c>
      <c r="BA105" s="2050">
        <f t="shared" ref="BA105:BA108" si="26">BA94/AV94-1</f>
        <v>2.9904610171709312E-2</v>
      </c>
      <c r="BB105" s="2050">
        <f t="shared" ref="BB105:BB108" si="27">BB94/AW94-1</f>
        <v>2.8288626883425039E-2</v>
      </c>
      <c r="BC105" s="2050">
        <f t="shared" ref="BC105:BC108" si="28">BC94/AX94-1</f>
        <v>4.3433694267487999E-2</v>
      </c>
      <c r="BD105" s="2050">
        <f t="shared" ref="BD105:BD108" si="29">BD94/AY94-1</f>
        <v>-3.4731959386542499E-3</v>
      </c>
      <c r="BE105" s="201">
        <f>BE94/AZ94-1</f>
        <v>2.4840240770112487E-2</v>
      </c>
      <c r="BF105" s="201">
        <f>BF94/BE94-1</f>
        <v>3.2607490039771481E-2</v>
      </c>
      <c r="BG105" s="182"/>
      <c r="BH105" s="182"/>
      <c r="BI105" s="182"/>
      <c r="BJ105" s="182"/>
      <c r="BK105" s="182"/>
      <c r="BL105" s="182"/>
      <c r="BM105" s="182"/>
      <c r="BN105" s="182"/>
      <c r="BO105" s="182"/>
      <c r="BP105" s="182"/>
      <c r="BQ105" s="182"/>
      <c r="BR105" s="182"/>
      <c r="BS105" s="182"/>
      <c r="BT105" s="182"/>
      <c r="BU105" s="182"/>
      <c r="BV105" s="182"/>
    </row>
    <row r="106" spans="1:74">
      <c r="A106" s="191" t="s">
        <v>166</v>
      </c>
      <c r="B106" s="201"/>
      <c r="C106" s="202"/>
      <c r="D106" s="202"/>
      <c r="E106" s="202"/>
      <c r="F106" s="202"/>
      <c r="G106" s="201"/>
      <c r="H106" s="202"/>
      <c r="I106" s="202"/>
      <c r="J106" s="202"/>
      <c r="K106" s="202"/>
      <c r="L106" s="201"/>
      <c r="M106" s="202"/>
      <c r="N106" s="202"/>
      <c r="O106" s="202"/>
      <c r="P106" s="202"/>
      <c r="Q106" s="201"/>
      <c r="R106" s="202"/>
      <c r="S106" s="202"/>
      <c r="T106" s="202"/>
      <c r="U106" s="202"/>
      <c r="V106" s="201"/>
      <c r="W106" s="202">
        <f t="shared" ref="W106:AF108" si="30">W95/R95-1</f>
        <v>-5.0813008130081272E-2</v>
      </c>
      <c r="X106" s="202">
        <f t="shared" si="30"/>
        <v>3.9187227866473107E-2</v>
      </c>
      <c r="Y106" s="202">
        <f t="shared" si="30"/>
        <v>4.944178628389162E-2</v>
      </c>
      <c r="Z106" s="202">
        <f t="shared" si="30"/>
        <v>0.17043121149897322</v>
      </c>
      <c r="AA106" s="201">
        <f t="shared" si="30"/>
        <v>5.054466230936816E-2</v>
      </c>
      <c r="AB106" s="202">
        <f t="shared" si="30"/>
        <v>7.922912205567445E-2</v>
      </c>
      <c r="AC106" s="202">
        <f t="shared" si="30"/>
        <v>7.2625698324022325E-2</v>
      </c>
      <c r="AD106" s="202">
        <f t="shared" si="30"/>
        <v>0.10030395136778125</v>
      </c>
      <c r="AE106" s="202">
        <f t="shared" si="30"/>
        <v>0.11578947368421044</v>
      </c>
      <c r="AF106" s="201">
        <f t="shared" si="30"/>
        <v>9.166321028618829E-2</v>
      </c>
      <c r="AG106" s="202">
        <f t="shared" ref="AG106:AP108" si="31">AG95/AB95-1</f>
        <v>0.1507936507936507</v>
      </c>
      <c r="AH106" s="202">
        <f t="shared" si="31"/>
        <v>9.375E-2</v>
      </c>
      <c r="AI106" s="202">
        <f t="shared" si="31"/>
        <v>9.2541436464088411E-2</v>
      </c>
      <c r="AJ106" s="202">
        <f t="shared" si="31"/>
        <v>3.3018867924528239E-2</v>
      </c>
      <c r="AK106" s="201">
        <f t="shared" si="31"/>
        <v>8.9665653495440756E-2</v>
      </c>
      <c r="AL106" s="202">
        <f t="shared" si="31"/>
        <v>8.1034482758620685E-2</v>
      </c>
      <c r="AM106" s="202">
        <f t="shared" si="31"/>
        <v>1.3095238095238049E-2</v>
      </c>
      <c r="AN106" s="202">
        <f t="shared" si="31"/>
        <v>-6.321112515802807E-3</v>
      </c>
      <c r="AO106" s="202">
        <f t="shared" si="31"/>
        <v>3.0441400304415112E-3</v>
      </c>
      <c r="AP106" s="201">
        <f t="shared" si="31"/>
        <v>1.9177126917712783E-2</v>
      </c>
      <c r="AQ106" s="202">
        <f t="shared" ref="AQ106:AU108" si="32">AQ95/AL95-1</f>
        <v>1.1164274322169154E-2</v>
      </c>
      <c r="AR106" s="202">
        <f t="shared" si="32"/>
        <v>6.8155111633372512E-2</v>
      </c>
      <c r="AS106" s="202">
        <f t="shared" si="32"/>
        <v>5.5979643765903253E-2</v>
      </c>
      <c r="AT106" s="202">
        <f t="shared" si="32"/>
        <v>3.1866464339908918E-2</v>
      </c>
      <c r="AU106" s="201">
        <f t="shared" si="32"/>
        <v>4.4474854601436853E-2</v>
      </c>
      <c r="AV106" s="2050">
        <f t="shared" si="25"/>
        <v>-4.258675078864349E-2</v>
      </c>
      <c r="AW106" s="2050">
        <f t="shared" si="25"/>
        <v>-1.980198019801982E-2</v>
      </c>
      <c r="AX106" s="2050">
        <f t="shared" si="25"/>
        <v>4.9397590361445864E-2</v>
      </c>
      <c r="AY106" s="2050">
        <f t="shared" si="25"/>
        <v>9.3121975076758456E-2</v>
      </c>
      <c r="AZ106" s="201">
        <f t="shared" si="25"/>
        <v>1.9431032771764167E-2</v>
      </c>
      <c r="BA106" s="2050">
        <f t="shared" si="26"/>
        <v>0.11426952743572061</v>
      </c>
      <c r="BB106" s="2050">
        <f t="shared" si="27"/>
        <v>6.2821466941658688E-2</v>
      </c>
      <c r="BC106" s="2050">
        <f t="shared" si="28"/>
        <v>6.3947697353081479E-2</v>
      </c>
      <c r="BD106" s="2050">
        <f t="shared" si="29"/>
        <v>9.1326995124703769E-2</v>
      </c>
      <c r="BE106" s="201">
        <f>BE95/AZ95-1</f>
        <v>7.997866222234995E-2</v>
      </c>
      <c r="BF106" s="201">
        <f t="shared" ref="BF106:BF110" si="33">BF95/BE95-1</f>
        <v>6.7096514363577775E-2</v>
      </c>
      <c r="BG106" s="182"/>
      <c r="BH106" s="182"/>
      <c r="BI106" s="182"/>
      <c r="BJ106" s="182"/>
      <c r="BK106" s="182"/>
      <c r="BL106" s="182"/>
      <c r="BM106" s="182"/>
      <c r="BN106" s="182"/>
      <c r="BO106" s="182"/>
      <c r="BP106" s="182"/>
      <c r="BQ106" s="182"/>
      <c r="BR106" s="182"/>
      <c r="BS106" s="182"/>
      <c r="BT106" s="182"/>
      <c r="BU106" s="182"/>
      <c r="BV106" s="182"/>
    </row>
    <row r="107" spans="1:74">
      <c r="A107" s="147" t="str">
        <f>A96</f>
        <v>Pratt &amp; Whitney</v>
      </c>
      <c r="B107" s="201">
        <f>'Divisional Summary'!AS82/'Divisional Summary'!AN82-1</f>
        <v>0.13707865168539324</v>
      </c>
      <c r="C107" s="202">
        <f>'Divisional Summary'!AT82/'Divisional Summary'!AO82-1</f>
        <v>0.14893617021276606</v>
      </c>
      <c r="D107" s="202">
        <f>'Divisional Summary'!AU82/'Divisional Summary'!AP82-1</f>
        <v>6.4272211720226791E-2</v>
      </c>
      <c r="E107" s="202">
        <f>'Divisional Summary'!AV82/'Divisional Summary'!AQ82-1</f>
        <v>5.8252427184465994E-2</v>
      </c>
      <c r="F107" s="202">
        <f>'Divisional Summary'!AW82/'Divisional Summary'!AR82-1</f>
        <v>8.4313725490196001E-2</v>
      </c>
      <c r="G107" s="201">
        <f>'Divisional Summary'!AX82/'Divisional Summary'!AS82-1</f>
        <v>8.7450592885375489E-2</v>
      </c>
      <c r="H107" s="202">
        <f>'Divisional Summary'!AY82/'Divisional Summary'!AT82-1</f>
        <v>-7.407407407407407E-2</v>
      </c>
      <c r="I107" s="202">
        <f>'Divisional Summary'!AZ82/'Divisional Summary'!AU82-1</f>
        <v>-7.1047957371225601E-2</v>
      </c>
      <c r="J107" s="202">
        <f>'Divisional Summary'!BA82/'Divisional Summary'!AV82-1</f>
        <v>-8.0733944954128445E-2</v>
      </c>
      <c r="K107" s="202">
        <f>'Divisional Summary'!BB82/'Divisional Summary'!AW82-1</f>
        <v>-9.4032549728752302E-2</v>
      </c>
      <c r="L107" s="201">
        <f t="shared" ref="L107:V107" si="34">L96/G96-1</f>
        <v>-7.996365288505225E-2</v>
      </c>
      <c r="M107" s="202">
        <f t="shared" si="34"/>
        <v>-7.5999999999999956E-2</v>
      </c>
      <c r="N107" s="202">
        <f t="shared" si="34"/>
        <v>1.5296367112810794E-2</v>
      </c>
      <c r="O107" s="202">
        <f t="shared" si="34"/>
        <v>0.11776447105788423</v>
      </c>
      <c r="P107" s="202">
        <f t="shared" si="34"/>
        <v>0.14171656686626743</v>
      </c>
      <c r="Q107" s="201">
        <f t="shared" si="34"/>
        <v>4.9382716049382713E-2</v>
      </c>
      <c r="R107" s="202">
        <f t="shared" si="34"/>
        <v>-6.4935064935064957E-2</v>
      </c>
      <c r="S107" s="202">
        <f t="shared" si="34"/>
        <v>-0.15442561205273064</v>
      </c>
      <c r="T107" s="202">
        <f t="shared" si="34"/>
        <v>-0.1785714285714286</v>
      </c>
      <c r="U107" s="202">
        <f t="shared" si="34"/>
        <v>-6.1188811188811143E-2</v>
      </c>
      <c r="V107" s="201">
        <f t="shared" si="34"/>
        <v>-0.1162352941176471</v>
      </c>
      <c r="W107" s="202">
        <f t="shared" si="30"/>
        <v>-1.388888888888884E-2</v>
      </c>
      <c r="X107" s="202">
        <f t="shared" si="30"/>
        <v>-1.1135857461024523E-2</v>
      </c>
      <c r="Y107" s="202">
        <f t="shared" si="30"/>
        <v>-0.10434782608695647</v>
      </c>
      <c r="Z107" s="202">
        <f t="shared" si="30"/>
        <v>-0.24953445065176905</v>
      </c>
      <c r="AA107" s="201">
        <f t="shared" si="30"/>
        <v>-0.10276890308839193</v>
      </c>
      <c r="AB107" s="202">
        <f t="shared" si="30"/>
        <v>-3.0516431924882625E-2</v>
      </c>
      <c r="AC107" s="202">
        <f t="shared" si="30"/>
        <v>5.1801801801801828E-2</v>
      </c>
      <c r="AD107" s="202">
        <f t="shared" si="30"/>
        <v>0.17961165048543681</v>
      </c>
      <c r="AE107" s="202">
        <f t="shared" si="30"/>
        <v>0.23076923076923084</v>
      </c>
      <c r="AF107" s="201">
        <f t="shared" si="30"/>
        <v>0.10504451038575668</v>
      </c>
      <c r="AG107" s="202">
        <f t="shared" si="31"/>
        <v>4.1162227602905554E-2</v>
      </c>
      <c r="AH107" s="202">
        <f t="shared" si="31"/>
        <v>0.11134903640256955</v>
      </c>
      <c r="AI107" s="202">
        <f t="shared" si="31"/>
        <v>0.14814814814814814</v>
      </c>
      <c r="AJ107" s="202">
        <f t="shared" si="31"/>
        <v>0.12096774193548376</v>
      </c>
      <c r="AK107" s="201">
        <f t="shared" si="31"/>
        <v>0.10794844253490865</v>
      </c>
      <c r="AL107" s="202">
        <f t="shared" si="31"/>
        <v>4.6511627906977715E-3</v>
      </c>
      <c r="AM107" s="202">
        <f t="shared" si="31"/>
        <v>-5.7803468208092457E-2</v>
      </c>
      <c r="AN107" s="202">
        <f t="shared" si="31"/>
        <v>-0.20967741935483875</v>
      </c>
      <c r="AO107" s="202">
        <f t="shared" si="31"/>
        <v>-8.9928057553957386E-3</v>
      </c>
      <c r="AP107" s="201">
        <f t="shared" si="31"/>
        <v>-7.2709646146388751E-2</v>
      </c>
      <c r="AQ107" s="202">
        <f t="shared" si="32"/>
        <v>-3.935185185185186E-2</v>
      </c>
      <c r="AR107" s="202">
        <f t="shared" si="32"/>
        <v>-7.5664621676891586E-2</v>
      </c>
      <c r="AS107" s="202">
        <f t="shared" si="32"/>
        <v>-6.1224489795918324E-2</v>
      </c>
      <c r="AT107" s="202">
        <f t="shared" si="32"/>
        <v>-0.14700544464609799</v>
      </c>
      <c r="AU107" s="201">
        <f t="shared" si="32"/>
        <v>-8.4683742812336593E-2</v>
      </c>
      <c r="AV107" s="2050">
        <f t="shared" si="25"/>
        <v>-5.3012048192771055E-2</v>
      </c>
      <c r="AW107" s="2050">
        <f t="shared" si="25"/>
        <v>-9.7345132743362872E-2</v>
      </c>
      <c r="AX107" s="2050">
        <f t="shared" si="25"/>
        <v>2.1739130434782705E-2</v>
      </c>
      <c r="AY107" s="2050">
        <f t="shared" si="25"/>
        <v>-0.14894857869709011</v>
      </c>
      <c r="AZ107" s="201">
        <f t="shared" si="25"/>
        <v>-7.2533313528059584E-2</v>
      </c>
      <c r="BA107" s="2050">
        <f t="shared" si="26"/>
        <v>-6.555153321397611E-2</v>
      </c>
      <c r="BB107" s="2050">
        <f t="shared" si="27"/>
        <v>-6.3141550375226951E-2</v>
      </c>
      <c r="BC107" s="2050">
        <f t="shared" si="28"/>
        <v>-6.0902488305183411E-2</v>
      </c>
      <c r="BD107" s="2050">
        <f t="shared" si="29"/>
        <v>-6.4405320410311884E-2</v>
      </c>
      <c r="BE107" s="201">
        <f>BE96/AZ96-1</f>
        <v>-6.3452820362336348E-2</v>
      </c>
      <c r="BF107" s="201">
        <f t="shared" si="33"/>
        <v>0.30362776158810068</v>
      </c>
      <c r="BG107" s="179"/>
      <c r="BH107" s="179"/>
      <c r="BI107" s="179"/>
      <c r="BJ107" s="179"/>
      <c r="BK107" s="179"/>
      <c r="BL107" s="179"/>
      <c r="BM107" s="179"/>
      <c r="BN107" s="179"/>
      <c r="BO107" s="179"/>
      <c r="BP107" s="179"/>
      <c r="BQ107" s="179"/>
      <c r="BR107" s="179"/>
      <c r="BS107" s="179"/>
      <c r="BT107" s="179"/>
      <c r="BU107" s="179"/>
      <c r="BV107" s="179"/>
    </row>
    <row r="108" spans="1:74">
      <c r="A108" s="191" t="s">
        <v>164</v>
      </c>
      <c r="B108" s="201"/>
      <c r="C108" s="202"/>
      <c r="D108" s="202"/>
      <c r="E108" s="202"/>
      <c r="F108" s="202"/>
      <c r="G108" s="201"/>
      <c r="H108" s="202"/>
      <c r="I108" s="202"/>
      <c r="J108" s="202"/>
      <c r="K108" s="202"/>
      <c r="L108" s="201"/>
      <c r="M108" s="202"/>
      <c r="N108" s="202"/>
      <c r="O108" s="202"/>
      <c r="P108" s="202"/>
      <c r="Q108" s="201"/>
      <c r="R108" s="202"/>
      <c r="S108" s="202"/>
      <c r="T108" s="202"/>
      <c r="U108" s="202"/>
      <c r="V108" s="201"/>
      <c r="W108" s="202">
        <f t="shared" si="30"/>
        <v>0.14942528735632177</v>
      </c>
      <c r="X108" s="202">
        <f t="shared" si="30"/>
        <v>0.14438502673796783</v>
      </c>
      <c r="Y108" s="202">
        <f t="shared" si="30"/>
        <v>0.49268292682926829</v>
      </c>
      <c r="Z108" s="202">
        <f t="shared" si="30"/>
        <v>0.66176470588235303</v>
      </c>
      <c r="AA108" s="201">
        <f t="shared" si="30"/>
        <v>0.37532467532467528</v>
      </c>
      <c r="AB108" s="202">
        <f t="shared" si="30"/>
        <v>1.5449999999999999</v>
      </c>
      <c r="AC108" s="202">
        <f t="shared" si="30"/>
        <v>1.485981308411215</v>
      </c>
      <c r="AD108" s="202">
        <f t="shared" si="30"/>
        <v>0.71568627450980382</v>
      </c>
      <c r="AE108" s="202">
        <f t="shared" si="30"/>
        <v>0.60471976401179939</v>
      </c>
      <c r="AF108" s="201">
        <f t="shared" si="30"/>
        <v>0.99244570349386207</v>
      </c>
      <c r="AG108" s="202">
        <f t="shared" si="31"/>
        <v>0.17092337917485256</v>
      </c>
      <c r="AH108" s="202">
        <f t="shared" si="31"/>
        <v>0.13909774436090228</v>
      </c>
      <c r="AI108" s="202">
        <f t="shared" si="31"/>
        <v>0.14476190476190487</v>
      </c>
      <c r="AJ108" s="202">
        <f t="shared" si="31"/>
        <v>0.16544117647058831</v>
      </c>
      <c r="AK108" s="201">
        <f t="shared" si="31"/>
        <v>0.15497630331753554</v>
      </c>
      <c r="AL108" s="202">
        <f t="shared" si="31"/>
        <v>3.8590604026845554E-2</v>
      </c>
      <c r="AM108" s="202">
        <f t="shared" si="31"/>
        <v>-4.2904290429042868E-2</v>
      </c>
      <c r="AN108" s="202">
        <f t="shared" si="31"/>
        <v>-2.4958402662229595E-2</v>
      </c>
      <c r="AO108" s="202">
        <f t="shared" si="31"/>
        <v>-0.10094637223974767</v>
      </c>
      <c r="AP108" s="201">
        <f t="shared" si="31"/>
        <v>-3.3647927780057429E-2</v>
      </c>
      <c r="AQ108" s="202">
        <f t="shared" si="32"/>
        <v>-0.10985460420032311</v>
      </c>
      <c r="AR108" s="202">
        <f t="shared" si="32"/>
        <v>1.7241379310344751E-2</v>
      </c>
      <c r="AS108" s="202">
        <f t="shared" si="32"/>
        <v>4.2662116040955711E-2</v>
      </c>
      <c r="AT108" s="202">
        <f t="shared" si="32"/>
        <v>4.3859649122806932E-2</v>
      </c>
      <c r="AU108" s="201">
        <f t="shared" si="32"/>
        <v>-3.3970276008492561E-3</v>
      </c>
      <c r="AV108" s="2050">
        <f t="shared" si="25"/>
        <v>8.7114337568058087E-2</v>
      </c>
      <c r="AW108" s="2050">
        <f t="shared" si="25"/>
        <v>2.2033898305084731E-2</v>
      </c>
      <c r="AX108" s="2050">
        <f t="shared" si="25"/>
        <v>3.6006546644844484E-2</v>
      </c>
      <c r="AY108" s="2050">
        <f t="shared" si="25"/>
        <v>7.7610143419741817E-3</v>
      </c>
      <c r="AZ108" s="201">
        <f t="shared" si="25"/>
        <v>3.7331829370888192E-2</v>
      </c>
      <c r="BA108" s="2050">
        <f t="shared" si="26"/>
        <v>4.2198664440734612E-2</v>
      </c>
      <c r="BB108" s="2050">
        <f t="shared" si="27"/>
        <v>6.338308457711439E-2</v>
      </c>
      <c r="BC108" s="2050">
        <f t="shared" si="28"/>
        <v>6.0329383886255972E-2</v>
      </c>
      <c r="BD108" s="2050">
        <f t="shared" si="29"/>
        <v>8.1669082229707479E-2</v>
      </c>
      <c r="BE108" s="201">
        <f>BE97/AZ97-1</f>
        <v>6.1880651445380241E-2</v>
      </c>
      <c r="BF108" s="201">
        <f t="shared" si="33"/>
        <v>5.9945233380895857E-2</v>
      </c>
      <c r="BG108" s="179"/>
      <c r="BH108" s="179"/>
      <c r="BI108" s="179"/>
      <c r="BJ108" s="179"/>
      <c r="BK108" s="179"/>
      <c r="BL108" s="179"/>
      <c r="BM108" s="179"/>
      <c r="BN108" s="179"/>
      <c r="BO108" s="179"/>
      <c r="BP108" s="179"/>
      <c r="BQ108" s="179"/>
      <c r="BR108" s="179"/>
      <c r="BS108" s="179"/>
      <c r="BT108" s="179"/>
      <c r="BU108" s="179"/>
      <c r="BV108" s="179"/>
    </row>
    <row r="109" spans="1:74" hidden="1">
      <c r="A109" s="147" t="str">
        <f>A98</f>
        <v>Sikorsky</v>
      </c>
      <c r="B109" s="201">
        <f>'Divisional Summary'!AS85/'Divisional Summary'!AN85-1</f>
        <v>0.90721649484536093</v>
      </c>
      <c r="C109" s="202">
        <f>'Divisional Summary'!AT85/'Divisional Summary'!AO85-1</f>
        <v>0.17142857142857149</v>
      </c>
      <c r="D109" s="202">
        <f>'Divisional Summary'!AU85/'Divisional Summary'!AP85-1</f>
        <v>0.27586206896551735</v>
      </c>
      <c r="E109" s="202">
        <f>'Divisional Summary'!AV85/'Divisional Summary'!AQ85-1</f>
        <v>0.29126213592233019</v>
      </c>
      <c r="F109" s="202">
        <f>'Divisional Summary'!AW85/'Divisional Summary'!AR85-1</f>
        <v>0.38181818181818183</v>
      </c>
      <c r="G109" s="201">
        <f>'Divisional Summary'!AX85/'Divisional Summary'!AS85-1</f>
        <v>0.2918918918918918</v>
      </c>
      <c r="H109" s="202">
        <f>'Divisional Summary'!AY85/'Divisional Summary'!AT85-1</f>
        <v>0.41463414634146334</v>
      </c>
      <c r="I109" s="202">
        <f>'Divisional Summary'!AZ85/'Divisional Summary'!AU85-1</f>
        <v>0.26126126126126126</v>
      </c>
      <c r="J109" s="202">
        <f>'Divisional Summary'!BA85/'Divisional Summary'!AV85-1</f>
        <v>0.18045112781954886</v>
      </c>
      <c r="K109" s="202">
        <f>'Divisional Summary'!BB85/'Divisional Summary'!AW85-1</f>
        <v>0.32894736842105265</v>
      </c>
      <c r="L109" s="201">
        <f t="shared" ref="L109:AK109" si="35">L98/G98-1</f>
        <v>0.28661087866108792</v>
      </c>
      <c r="M109" s="202">
        <f t="shared" si="35"/>
        <v>0.25</v>
      </c>
      <c r="N109" s="202">
        <f t="shared" si="35"/>
        <v>0.25714285714285712</v>
      </c>
      <c r="O109" s="202">
        <f t="shared" si="35"/>
        <v>8.2802547770700619E-2</v>
      </c>
      <c r="P109" s="202">
        <f t="shared" si="35"/>
        <v>0.18316831683168311</v>
      </c>
      <c r="Q109" s="201">
        <f t="shared" si="35"/>
        <v>0.18699186991869921</v>
      </c>
      <c r="R109" s="202">
        <f t="shared" si="35"/>
        <v>-2.0689655172413834E-2</v>
      </c>
      <c r="S109" s="202">
        <f t="shared" si="35"/>
        <v>0.17045454545454541</v>
      </c>
      <c r="T109" s="202">
        <f t="shared" si="35"/>
        <v>0.34117647058823519</v>
      </c>
      <c r="U109" s="202">
        <f t="shared" si="35"/>
        <v>2.0920502092050208E-2</v>
      </c>
      <c r="V109" s="201">
        <f t="shared" si="35"/>
        <v>0.12328767123287676</v>
      </c>
      <c r="W109" s="202">
        <f t="shared" si="35"/>
        <v>-2.1126760563380254E-2</v>
      </c>
      <c r="X109" s="202">
        <f t="shared" si="35"/>
        <v>4.8543689320388328E-2</v>
      </c>
      <c r="Y109" s="202">
        <f t="shared" si="35"/>
        <v>-5.7017543859649078E-2</v>
      </c>
      <c r="Z109" s="202">
        <f t="shared" si="35"/>
        <v>-0.20081967213114749</v>
      </c>
      <c r="AA109" s="201">
        <f t="shared" si="35"/>
        <v>-6.7073170731707266E-2</v>
      </c>
      <c r="AB109" s="202">
        <f t="shared" si="35"/>
        <v>-0.31654676258992809</v>
      </c>
      <c r="AC109" s="202">
        <f t="shared" si="35"/>
        <v>-0.23611111111111116</v>
      </c>
      <c r="AD109" s="202">
        <f t="shared" si="35"/>
        <v>-0.20930232558139539</v>
      </c>
      <c r="AE109" s="202">
        <f t="shared" si="35"/>
        <v>9.7435897435897534E-2</v>
      </c>
      <c r="AF109" s="201">
        <f t="shared" si="35"/>
        <v>-0.15816993464052287</v>
      </c>
      <c r="AG109" s="202">
        <f t="shared" si="35"/>
        <v>8.4210526315789513E-2</v>
      </c>
      <c r="AH109" s="202">
        <f t="shared" si="35"/>
        <v>-9.6969696969696928E-2</v>
      </c>
      <c r="AI109" s="202">
        <f t="shared" si="35"/>
        <v>-0.10588235294117643</v>
      </c>
      <c r="AJ109" s="202">
        <f t="shared" si="35"/>
        <v>0.37850467289719636</v>
      </c>
      <c r="AK109" s="201">
        <f t="shared" si="35"/>
        <v>8.5403726708074501E-2</v>
      </c>
      <c r="AL109" s="202"/>
      <c r="AM109" s="202"/>
      <c r="AN109" s="202"/>
      <c r="AO109" s="202"/>
      <c r="AP109" s="201"/>
      <c r="AQ109" s="202"/>
      <c r="AR109" s="202"/>
      <c r="AS109" s="202"/>
      <c r="AT109" s="202"/>
      <c r="AU109" s="201"/>
      <c r="AV109" s="2050"/>
      <c r="AW109" s="2050"/>
      <c r="AX109" s="2050"/>
      <c r="AY109" s="2050"/>
      <c r="AZ109" s="201"/>
      <c r="BA109" s="2050"/>
      <c r="BB109" s="2050"/>
      <c r="BC109" s="2050"/>
      <c r="BD109" s="2050"/>
      <c r="BE109" s="201"/>
      <c r="BF109" s="201"/>
      <c r="BG109" s="179"/>
      <c r="BH109" s="179"/>
      <c r="BI109" s="179"/>
      <c r="BJ109" s="179"/>
      <c r="BK109" s="179"/>
      <c r="BL109" s="179"/>
      <c r="BM109" s="179"/>
      <c r="BN109" s="179"/>
      <c r="BO109" s="179"/>
      <c r="BP109" s="179"/>
      <c r="BQ109" s="179"/>
      <c r="BR109" s="179"/>
      <c r="BS109" s="179"/>
      <c r="BT109" s="179"/>
      <c r="BU109" s="179"/>
      <c r="BV109" s="179"/>
    </row>
    <row r="110" spans="1:74">
      <c r="A110" s="179" t="s">
        <v>247</v>
      </c>
      <c r="B110" s="192">
        <f>'Divisional Summary'!AS86/'Divisional Summary'!AN86-1</f>
        <v>0.17250039240307635</v>
      </c>
      <c r="C110" s="193">
        <f>'Divisional Summary'!AT86/'Divisional Summary'!AO86-1</f>
        <v>0.15910543130990407</v>
      </c>
      <c r="D110" s="193">
        <f>'Divisional Summary'!AU86/'Divisional Summary'!AP86-1</f>
        <v>0.15634365634365643</v>
      </c>
      <c r="E110" s="193">
        <f>'Divisional Summary'!AV86/'Divisional Summary'!AQ86-1</f>
        <v>0.11177644710578849</v>
      </c>
      <c r="F110" s="193">
        <f>'Divisional Summary'!AW86/'Divisional Summary'!AR86-1</f>
        <v>-8.3333333333333037E-3</v>
      </c>
      <c r="G110" s="192">
        <f>'Divisional Summary'!AX86/'Divisional Summary'!AS86-1</f>
        <v>9.3574297188754985E-2</v>
      </c>
      <c r="H110" s="193">
        <f>'Divisional Summary'!AY86/'Divisional Summary'!AT86-1</f>
        <v>-0.15931642778390298</v>
      </c>
      <c r="I110" s="193">
        <f>'Divisional Summary'!AZ86/'Divisional Summary'!AU86-1</f>
        <v>-0.14514038876889845</v>
      </c>
      <c r="J110" s="193">
        <f>'Divisional Summary'!BA86/'Divisional Summary'!AV86-1</f>
        <v>-7.6750448833034057E-2</v>
      </c>
      <c r="K110" s="193">
        <f>'Divisional Summary'!BB86/'Divisional Summary'!AW86-1</f>
        <v>7.5630252100840289E-2</v>
      </c>
      <c r="L110" s="192">
        <f>'Divisional Summary'!BC86/'Divisional Summary'!AX86-1</f>
        <v>-7.8834618680377E-2</v>
      </c>
      <c r="M110" s="193">
        <f>'Divisional Summary'!BD86/'Divisional Summary'!AY86-1</f>
        <v>0.13245901639344271</v>
      </c>
      <c r="N110" s="193">
        <f>'Divisional Summary'!BE86/'Divisional Summary'!AZ86-1</f>
        <v>0.10459828196058618</v>
      </c>
      <c r="O110" s="193">
        <f>'Divisional Summary'!BF86/'Divisional Summary'!BA86-1</f>
        <v>9.0422946037919338E-2</v>
      </c>
      <c r="P110" s="193">
        <f>'Divisional Summary'!BG86/'Divisional Summary'!BB86-1</f>
        <v>0.1103515625</v>
      </c>
      <c r="Q110" s="192">
        <f>'Divisional Summary'!BH86/'Divisional Summary'!BC86-1</f>
        <v>0.12465116279069766</v>
      </c>
      <c r="R110" s="193">
        <f>'Divisional Summary'!BI86/'Divisional Summary'!BD86-1</f>
        <v>8.3960625361899188E-2</v>
      </c>
      <c r="S110" s="193">
        <f>'Divisional Summary'!BJ86/'Divisional Summary'!BE86-1</f>
        <v>4.2086001829826136E-2</v>
      </c>
      <c r="T110" s="193">
        <f>'Divisional Summary'!BK86/'Divisional Summary'!BF86-1</f>
        <v>2.1845742309406946E-2</v>
      </c>
      <c r="U110" s="193">
        <f>'Divisional Summary'!BL86/'Divisional Summary'!BG86-1</f>
        <v>-2.8583992963940208E-2</v>
      </c>
      <c r="V110" s="192">
        <f>'Divisional Summary'!BM86/'Divisional Summary'!BH86-1</f>
        <v>2.2214344794989849E-2</v>
      </c>
      <c r="W110" s="193">
        <f>'Divisional Summary'!BN86/'Divisional Summary'!BI86-1</f>
        <v>-2.4572649572649596E-2</v>
      </c>
      <c r="X110" s="193">
        <f>'Divisional Summary'!BO86/'Divisional Summary'!BJ86-1</f>
        <v>-8.779631255487752E-4</v>
      </c>
      <c r="Y110" s="193">
        <f>'Divisional Summary'!BP86/'Divisional Summary'!BK86-1</f>
        <v>-3.4904013961605251E-3</v>
      </c>
      <c r="Z110" s="193">
        <f>'Divisional Summary'!BQ86/'Divisional Summary'!BL86-1</f>
        <v>4.5269352648258376E-4</v>
      </c>
      <c r="AA110" s="192">
        <f>'Divisional Summary'!BR86/'Divisional Summary'!BM86-1</f>
        <v>-6.3576465148538208E-3</v>
      </c>
      <c r="AB110" s="193">
        <f>'Divisional Summary'!BS86/'Divisional Summary'!BN86-1</f>
        <v>0.15334063526834618</v>
      </c>
      <c r="AC110" s="193">
        <f>'Divisional Summary'!BT86/'Divisional Summary'!BO86-1</f>
        <v>0.15158172231985945</v>
      </c>
      <c r="AD110" s="193">
        <f>'Divisional Summary'!BU86/'Divisional Summary'!BP86-1</f>
        <v>0.1405429071803852</v>
      </c>
      <c r="AE110" s="193">
        <f>'Divisional Summary'!BV86/'Divisional Summary'!BQ86-1</f>
        <v>0.17375565610859733</v>
      </c>
      <c r="AF110" s="192">
        <f>'Divisional Summary'!BW86/'Divisional Summary'!BR86-1</f>
        <v>0.15472312703583069</v>
      </c>
      <c r="AG110" s="193">
        <f>'Divisional Summary'!BX86/'Divisional Summary'!BS86-1</f>
        <v>9.021842355175691E-2</v>
      </c>
      <c r="AH110" s="193">
        <f>'Divisional Summary'!BY86/'Divisional Summary'!BT86-1</f>
        <v>7.8977489507821463E-2</v>
      </c>
      <c r="AI110" s="193">
        <f>'Divisional Summary'!BZ86/'Divisional Summary'!BU86-1</f>
        <v>8.253358925143961E-2</v>
      </c>
      <c r="AJ110" s="193">
        <f>'Divisional Summary'!CA86/'Divisional Summary'!BV86-1</f>
        <v>9.8689282960678471E-2</v>
      </c>
      <c r="AK110" s="192">
        <f>'Divisional Summary'!CB86/'Divisional Summary'!BW86-1</f>
        <v>8.7447108603667223E-2</v>
      </c>
      <c r="AL110" s="193">
        <f>'Divisional Summary'!CC86/'Divisional Summary'!BX86-1</f>
        <v>-3.7020905923344949E-2</v>
      </c>
      <c r="AM110" s="193">
        <f>'Divisional Summary'!CD86/'Divisional Summary'!BY86-1</f>
        <v>-9.6534653465346509E-2</v>
      </c>
      <c r="AN110" s="193">
        <f>'Divisional Summary'!CE86/'Divisional Summary'!BZ86-1</f>
        <v>-0.12304964539007091</v>
      </c>
      <c r="AO110" s="193">
        <f>'Divisional Summary'!CF86/'Divisional Summary'!CA86-1</f>
        <v>-0.1785964912280702</v>
      </c>
      <c r="AP110" s="192">
        <f>'Divisional Summary'!CG86/'Divisional Summary'!CB86-1</f>
        <v>-0.11246989068000746</v>
      </c>
      <c r="AQ110" s="193">
        <f>'Divisional Summary'!CH86/'Divisional Summary'!CC86-1</f>
        <v>-5.8796924468566214E-2</v>
      </c>
      <c r="AR110" s="193">
        <f>'Divisional Summary'!CI86/'Divisional Summary'!CD86-1</f>
        <v>-2.739726027397249E-3</v>
      </c>
      <c r="AS110" s="193">
        <f>'Divisional Summary'!CJ86/'Divisional Summary'!CE86-1</f>
        <v>-9.7048119692680901E-3</v>
      </c>
      <c r="AT110" s="193">
        <f>'Divisional Summary'!CK86/'Divisional Summary'!CF86-1</f>
        <v>-2.6484408372490442E-2</v>
      </c>
      <c r="AU110" s="192">
        <f>AU99/AP99-1</f>
        <v>-2.0062817936132071E-2</v>
      </c>
      <c r="AV110" s="2047">
        <f>'Divisional Summary'!CM86/'Divisional Summary'!CH86-1</f>
        <v>-1.2013455069677992E-2</v>
      </c>
      <c r="AW110" s="2047">
        <f>'Divisional Summary'!CN86/'Divisional Summary'!CI86-1</f>
        <v>-3.5321821036106704E-2</v>
      </c>
      <c r="AX110" s="2047">
        <f>'Divisional Summary'!CO86/'Divisional Summary'!CJ86-1</f>
        <v>1.5924867292772538E-2</v>
      </c>
      <c r="AY110" s="2047">
        <f>'Divisional Summary'!CP86/'Divisional Summary'!CK86-1</f>
        <v>-7.9843068953908691E-3</v>
      </c>
      <c r="AZ110" s="192">
        <f>AZ99/AU99-1</f>
        <v>-1.3314563955039493E-2</v>
      </c>
      <c r="BA110" s="2047">
        <f>'Divisional Summary'!CR86/'Divisional Summary'!CM86-1</f>
        <v>4.0147498759173672E-2</v>
      </c>
      <c r="BB110" s="2047">
        <f>'Divisional Summary'!CS86/'Divisional Summary'!CN86-1</f>
        <v>3.4239483742517951E-2</v>
      </c>
      <c r="BC110" s="2047">
        <f>'Divisional Summary'!CT86/'Divisional Summary'!CO86-1</f>
        <v>3.7175037912179132E-2</v>
      </c>
      <c r="BD110" s="2047">
        <f>'Divisional Summary'!CU86/'Divisional Summary'!CP86-1</f>
        <v>3.9497136088735729E-2</v>
      </c>
      <c r="BE110" s="192">
        <f>BE99/AZ99-1</f>
        <v>3.7622590916329024E-2</v>
      </c>
      <c r="BF110" s="192">
        <f t="shared" si="33"/>
        <v>9.4910130923032909E-2</v>
      </c>
      <c r="BG110" s="179"/>
      <c r="BH110" s="179"/>
      <c r="BI110" s="179"/>
      <c r="BJ110" s="179"/>
      <c r="BK110" s="179"/>
      <c r="BL110" s="179"/>
      <c r="BM110" s="179"/>
      <c r="BN110" s="179"/>
      <c r="BO110" s="179"/>
      <c r="BP110" s="179"/>
      <c r="BQ110" s="179"/>
      <c r="BR110" s="179"/>
      <c r="BS110" s="179"/>
      <c r="BT110" s="179"/>
      <c r="BU110" s="179"/>
      <c r="BV110" s="179"/>
    </row>
    <row r="111" spans="1:74">
      <c r="A111" s="196" t="s">
        <v>246</v>
      </c>
      <c r="B111" s="194">
        <f>'Divisional Summary'!AS143/'Divisional Summary'!AN143-1</f>
        <v>0.15611675959330928</v>
      </c>
      <c r="C111" s="195">
        <f>'Divisional Summary'!AT143/'Divisional Summary'!AO143-1</f>
        <v>0.11303191489361697</v>
      </c>
      <c r="D111" s="195">
        <f>'Divisional Summary'!AU143/'Divisional Summary'!AP143-1</f>
        <v>0.12546916890080428</v>
      </c>
      <c r="E111" s="195">
        <f>'Divisional Summary'!AV143/'Divisional Summary'!AQ143-1</f>
        <v>8.5275423728813582E-2</v>
      </c>
      <c r="F111" s="195">
        <f>'Divisional Summary'!AW143/'Divisional Summary'!AR143-1</f>
        <v>5.5772448410484898E-3</v>
      </c>
      <c r="G111" s="194">
        <f t="shared" ref="G111:AU111" si="36">G103/B103-1</f>
        <v>8.1560283687943214E-2</v>
      </c>
      <c r="H111" s="195">
        <f t="shared" si="36"/>
        <v>-0.25328554360812428</v>
      </c>
      <c r="I111" s="195">
        <f t="shared" si="36"/>
        <v>-0.22010481181515007</v>
      </c>
      <c r="J111" s="195">
        <f t="shared" si="36"/>
        <v>-0.13567593948267442</v>
      </c>
      <c r="K111" s="195">
        <f t="shared" si="36"/>
        <v>-4.6589018302828578E-2</v>
      </c>
      <c r="L111" s="194">
        <f t="shared" si="36"/>
        <v>-0.17468852459016393</v>
      </c>
      <c r="M111" s="195">
        <f t="shared" si="36"/>
        <v>0.21839999999999993</v>
      </c>
      <c r="N111" s="195">
        <f t="shared" si="36"/>
        <v>0.1496640195479535</v>
      </c>
      <c r="O111" s="195">
        <f t="shared" si="36"/>
        <v>8.8650479954827777E-2</v>
      </c>
      <c r="P111" s="195">
        <f t="shared" si="36"/>
        <v>7.7952297847585728E-2</v>
      </c>
      <c r="Q111" s="194">
        <f t="shared" si="36"/>
        <v>0.14190370252661677</v>
      </c>
      <c r="R111" s="195">
        <f t="shared" si="36"/>
        <v>0.11621799080761663</v>
      </c>
      <c r="S111" s="195">
        <f t="shared" si="36"/>
        <v>0.14240170031880983</v>
      </c>
      <c r="T111" s="195">
        <f t="shared" si="36"/>
        <v>0.11566390041493779</v>
      </c>
      <c r="U111" s="195">
        <f t="shared" si="36"/>
        <v>-4.317323259579009E-3</v>
      </c>
      <c r="V111" s="194">
        <f t="shared" si="36"/>
        <v>9.1845254661842457E-2</v>
      </c>
      <c r="W111" s="195">
        <f t="shared" si="36"/>
        <v>7.6470588235293402E-3</v>
      </c>
      <c r="X111" s="195">
        <f t="shared" si="36"/>
        <v>1.3488372093023226E-2</v>
      </c>
      <c r="Y111" s="195">
        <f t="shared" si="36"/>
        <v>-5.113900511390046E-2</v>
      </c>
      <c r="Z111" s="195">
        <f t="shared" si="36"/>
        <v>-5.0948509485094884E-2</v>
      </c>
      <c r="AA111" s="194">
        <f t="shared" si="36"/>
        <v>-2.0647463675758315E-2</v>
      </c>
      <c r="AB111" s="195">
        <f t="shared" si="36"/>
        <v>0.17104495037945133</v>
      </c>
      <c r="AC111" s="195">
        <f t="shared" si="36"/>
        <v>0.15052776502983023</v>
      </c>
      <c r="AD111" s="195">
        <f t="shared" si="36"/>
        <v>0.15923566878980888</v>
      </c>
      <c r="AE111" s="195">
        <f t="shared" si="36"/>
        <v>0.33066818960593936</v>
      </c>
      <c r="AF111" s="194">
        <f t="shared" si="36"/>
        <v>0.19846434148880787</v>
      </c>
      <c r="AG111" s="195">
        <f t="shared" si="36"/>
        <v>4.5862412761714877E-2</v>
      </c>
      <c r="AH111" s="195">
        <f t="shared" si="36"/>
        <v>-6.0630235341045058E-2</v>
      </c>
      <c r="AI111" s="195">
        <f t="shared" si="36"/>
        <v>0.16060862214708371</v>
      </c>
      <c r="AJ111" s="195">
        <f t="shared" si="36"/>
        <v>0.10300429184549365</v>
      </c>
      <c r="AK111" s="194">
        <f t="shared" si="36"/>
        <v>6.0810077098490511E-2</v>
      </c>
      <c r="AL111" s="195">
        <f t="shared" si="36"/>
        <v>4.0038131553860712E-2</v>
      </c>
      <c r="AM111" s="195">
        <f t="shared" si="36"/>
        <v>2.845010615711252E-2</v>
      </c>
      <c r="AN111" s="195">
        <f t="shared" si="36"/>
        <v>-0.16168973051711577</v>
      </c>
      <c r="AO111" s="195">
        <f t="shared" si="36"/>
        <v>-0.84747081712062255</v>
      </c>
      <c r="AP111" s="194">
        <f t="shared" si="36"/>
        <v>-0.25294298290510797</v>
      </c>
      <c r="AQ111" s="195">
        <f t="shared" si="36"/>
        <v>-0.10861594867094404</v>
      </c>
      <c r="AR111" s="195">
        <f t="shared" si="36"/>
        <v>-3.509496284062763E-2</v>
      </c>
      <c r="AS111" s="195">
        <f t="shared" si="36"/>
        <v>-2.2154648132059029E-2</v>
      </c>
      <c r="AT111" s="195">
        <f t="shared" si="36"/>
        <v>3.1811224489795915</v>
      </c>
      <c r="AU111" s="194">
        <f t="shared" si="36"/>
        <v>0.1197588380378185</v>
      </c>
      <c r="AV111" s="2048">
        <f t="shared" ref="AV111:BE111" si="37">AV103/AQ103-1</f>
        <v>0.16555269922879168</v>
      </c>
      <c r="AW111" s="2048">
        <f t="shared" si="37"/>
        <v>-2.0111253744116375E-2</v>
      </c>
      <c r="AX111" s="2048">
        <f t="shared" si="37"/>
        <v>-3.9093736117281175E-2</v>
      </c>
      <c r="AY111" s="2048">
        <f t="shared" si="37"/>
        <v>0.20119066915361072</v>
      </c>
      <c r="AZ111" s="194">
        <f t="shared" si="37"/>
        <v>6.3234398769306033E-2</v>
      </c>
      <c r="BA111" s="2048">
        <f t="shared" si="37"/>
        <v>-0.15762894001402639</v>
      </c>
      <c r="BB111" s="2048">
        <f t="shared" si="37"/>
        <v>1.4529513789716342E-2</v>
      </c>
      <c r="BC111" s="2048">
        <f t="shared" si="37"/>
        <v>9.4130110894518282E-2</v>
      </c>
      <c r="BD111" s="2048">
        <f t="shared" si="37"/>
        <v>8.4550775845314341E-2</v>
      </c>
      <c r="BE111" s="194">
        <f t="shared" si="37"/>
        <v>5.2931283323660594E-3</v>
      </c>
      <c r="BF111" s="194">
        <f>BF103/BE103-1</f>
        <v>0.1130209905487769</v>
      </c>
      <c r="BG111" s="179"/>
      <c r="BH111" s="179"/>
      <c r="BI111" s="179"/>
      <c r="BJ111" s="179"/>
      <c r="BK111" s="179"/>
      <c r="BL111" s="179"/>
      <c r="BM111" s="179"/>
      <c r="BN111" s="179"/>
      <c r="BO111" s="179"/>
      <c r="BP111" s="179"/>
      <c r="BQ111" s="179"/>
      <c r="BR111" s="179"/>
      <c r="BS111" s="179"/>
      <c r="BT111" s="179"/>
      <c r="BU111" s="179"/>
      <c r="BV111" s="179"/>
    </row>
    <row r="112" spans="1:74">
      <c r="A112" s="147"/>
      <c r="B112" s="157"/>
      <c r="C112" s="147"/>
      <c r="D112" s="147"/>
      <c r="E112" s="147"/>
      <c r="F112" s="147"/>
      <c r="G112" s="157"/>
      <c r="H112" s="147"/>
      <c r="I112" s="147"/>
      <c r="J112" s="147"/>
      <c r="K112" s="147"/>
      <c r="L112" s="157"/>
      <c r="M112" s="147"/>
      <c r="N112" s="147"/>
      <c r="O112" s="147"/>
      <c r="P112" s="147"/>
      <c r="Q112" s="157"/>
      <c r="R112" s="147"/>
      <c r="S112" s="147"/>
      <c r="T112" s="147"/>
      <c r="U112" s="147"/>
      <c r="V112" s="157"/>
      <c r="W112" s="147"/>
      <c r="X112" s="147"/>
      <c r="Y112" s="147"/>
      <c r="Z112" s="147"/>
      <c r="AA112" s="157"/>
      <c r="AB112" s="147"/>
      <c r="AC112" s="147"/>
      <c r="AD112" s="147"/>
      <c r="AE112" s="147"/>
      <c r="AF112" s="157"/>
      <c r="AG112" s="147"/>
      <c r="AH112" s="147"/>
      <c r="AI112" s="147"/>
      <c r="AJ112" s="147"/>
      <c r="AK112" s="157"/>
      <c r="AL112" s="147"/>
      <c r="AM112" s="147"/>
      <c r="AN112" s="147"/>
      <c r="AO112" s="147"/>
      <c r="AP112" s="157"/>
      <c r="AQ112" s="147"/>
      <c r="AR112" s="147"/>
      <c r="AS112" s="147"/>
      <c r="AT112" s="147"/>
      <c r="AU112" s="157"/>
      <c r="AV112" s="2030"/>
      <c r="AW112" s="2030"/>
      <c r="AX112" s="2030"/>
      <c r="AY112" s="2030"/>
      <c r="AZ112" s="157"/>
      <c r="BA112" s="2030"/>
      <c r="BB112" s="2030"/>
      <c r="BC112" s="2030"/>
      <c r="BD112" s="2030"/>
      <c r="BE112" s="157"/>
      <c r="BF112" s="157"/>
      <c r="BG112" s="179"/>
      <c r="BH112" s="179"/>
      <c r="BI112" s="179"/>
      <c r="BJ112" s="179"/>
      <c r="BK112" s="179"/>
      <c r="BL112" s="179"/>
      <c r="BM112" s="179"/>
      <c r="BN112" s="179"/>
      <c r="BO112" s="179"/>
      <c r="BP112" s="179"/>
      <c r="BQ112" s="179"/>
      <c r="BR112" s="179"/>
      <c r="BS112" s="179"/>
      <c r="BT112" s="179"/>
      <c r="BU112" s="179"/>
      <c r="BV112" s="179"/>
    </row>
    <row r="113" spans="1:74">
      <c r="A113" s="147" t="str">
        <f>A94</f>
        <v>Otis</v>
      </c>
      <c r="B113" s="201">
        <f t="shared" ref="B113:BD113" si="38">B94/B61</f>
        <v>0.18779974758098444</v>
      </c>
      <c r="C113" s="202">
        <f t="shared" si="38"/>
        <v>0.19038272816486751</v>
      </c>
      <c r="D113" s="202">
        <f t="shared" si="38"/>
        <v>0.19829612220916568</v>
      </c>
      <c r="E113" s="202">
        <f t="shared" si="38"/>
        <v>0.20123266563944531</v>
      </c>
      <c r="F113" s="202">
        <f t="shared" si="38"/>
        <v>0.18131359851988899</v>
      </c>
      <c r="G113" s="201">
        <f t="shared" si="38"/>
        <v>0.19291064947100162</v>
      </c>
      <c r="H113" s="202">
        <f t="shared" si="38"/>
        <v>0.19849624060150375</v>
      </c>
      <c r="I113" s="202">
        <f t="shared" si="38"/>
        <v>0.21878224974200206</v>
      </c>
      <c r="J113" s="202">
        <f t="shared" si="38"/>
        <v>0.23134076325565686</v>
      </c>
      <c r="K113" s="202">
        <f t="shared" si="38"/>
        <v>0.22034428794992175</v>
      </c>
      <c r="L113" s="201">
        <f t="shared" si="38"/>
        <v>0.21777701953424891</v>
      </c>
      <c r="M113" s="202">
        <f t="shared" si="38"/>
        <v>0.22267057960381512</v>
      </c>
      <c r="N113" s="202">
        <f t="shared" si="38"/>
        <v>0.23185341789992953</v>
      </c>
      <c r="O113" s="202">
        <f t="shared" si="38"/>
        <v>0.23727647867950483</v>
      </c>
      <c r="P113" s="202">
        <f t="shared" si="38"/>
        <v>0.22626327647248148</v>
      </c>
      <c r="Q113" s="201">
        <f t="shared" si="38"/>
        <v>0.22955350202953623</v>
      </c>
      <c r="R113" s="202">
        <f t="shared" si="38"/>
        <v>0.227994227994228</v>
      </c>
      <c r="S113" s="202">
        <f t="shared" si="38"/>
        <v>0.23402255639097744</v>
      </c>
      <c r="T113" s="202">
        <f t="shared" si="38"/>
        <v>0.23666462293071736</v>
      </c>
      <c r="U113" s="202">
        <f t="shared" si="38"/>
        <v>0.22952351292432263</v>
      </c>
      <c r="V113" s="201">
        <f t="shared" si="38"/>
        <v>0.23221034011417543</v>
      </c>
      <c r="W113" s="202">
        <f t="shared" si="38"/>
        <v>0.21444043321299638</v>
      </c>
      <c r="X113" s="202">
        <f t="shared" si="38"/>
        <v>0.22662702345556657</v>
      </c>
      <c r="Y113" s="202">
        <f t="shared" si="38"/>
        <v>0.2269155206286837</v>
      </c>
      <c r="Z113" s="202">
        <f t="shared" si="38"/>
        <v>0.21934477379095163</v>
      </c>
      <c r="AA113" s="201">
        <f t="shared" si="38"/>
        <v>0.22196416721964168</v>
      </c>
      <c r="AB113" s="202">
        <f t="shared" si="38"/>
        <v>0.20788912579957355</v>
      </c>
      <c r="AC113" s="202">
        <f t="shared" si="38"/>
        <v>0.21956660293180369</v>
      </c>
      <c r="AD113" s="202">
        <f t="shared" si="38"/>
        <v>0.21957340025094102</v>
      </c>
      <c r="AE113" s="202">
        <f t="shared" si="38"/>
        <v>0.21052631578947367</v>
      </c>
      <c r="AF113" s="201">
        <f t="shared" si="38"/>
        <v>0.21451457866068568</v>
      </c>
      <c r="AG113" s="202">
        <f t="shared" si="38"/>
        <v>0.19864636209813874</v>
      </c>
      <c r="AH113" s="202">
        <f t="shared" si="38"/>
        <v>0.21218424962852897</v>
      </c>
      <c r="AI113" s="202">
        <f t="shared" si="38"/>
        <v>0.21587492483463619</v>
      </c>
      <c r="AJ113" s="202">
        <f t="shared" si="38"/>
        <v>0.21223021582733814</v>
      </c>
      <c r="AK113" s="201">
        <f t="shared" si="38"/>
        <v>0.21006008319211217</v>
      </c>
      <c r="AL113" s="202">
        <f t="shared" si="38"/>
        <v>0.19417122040072859</v>
      </c>
      <c r="AM113" s="202">
        <f t="shared" si="38"/>
        <v>0.20497094899935442</v>
      </c>
      <c r="AN113" s="202">
        <f t="shared" si="38"/>
        <v>0.21689122576404862</v>
      </c>
      <c r="AO113" s="202">
        <f t="shared" si="38"/>
        <v>0.18131868131868131</v>
      </c>
      <c r="AP113" s="201">
        <f t="shared" si="38"/>
        <v>0.20053259802072992</v>
      </c>
      <c r="AQ113" s="202">
        <f t="shared" si="38"/>
        <v>0.17716390423572745</v>
      </c>
      <c r="AR113" s="202">
        <f t="shared" si="38"/>
        <v>0.19276719405876655</v>
      </c>
      <c r="AS113" s="202">
        <f t="shared" si="38"/>
        <v>0.19681908548707752</v>
      </c>
      <c r="AT113" s="202">
        <f t="shared" si="38"/>
        <v>0.1743388834476004</v>
      </c>
      <c r="AU113" s="201">
        <f t="shared" si="38"/>
        <v>0.18807686909710372</v>
      </c>
      <c r="AV113" s="2050">
        <f t="shared" ref="AV113:AY114" si="39">AV94/AV61</f>
        <v>0.16298145506419401</v>
      </c>
      <c r="AW113" s="2050">
        <f t="shared" si="39"/>
        <v>0.17757904822740339</v>
      </c>
      <c r="AX113" s="2050">
        <f t="shared" si="39"/>
        <v>0.17775665399239543</v>
      </c>
      <c r="AY113" s="2050">
        <f t="shared" si="39"/>
        <v>0.16575712503614662</v>
      </c>
      <c r="AZ113" s="201">
        <f t="shared" si="38"/>
        <v>0.17125041456970061</v>
      </c>
      <c r="BA113" s="2050">
        <f t="shared" si="38"/>
        <v>0.15998145506419401</v>
      </c>
      <c r="BB113" s="2050">
        <f t="shared" si="38"/>
        <v>0.17007904822740338</v>
      </c>
      <c r="BC113" s="2050">
        <f t="shared" si="38"/>
        <v>0.17275665399239543</v>
      </c>
      <c r="BD113" s="2050">
        <f t="shared" si="38"/>
        <v>0.16230518262979463</v>
      </c>
      <c r="BE113" s="201">
        <f>BE94/BE61</f>
        <v>0.16655559041709969</v>
      </c>
      <c r="BF113" s="201">
        <f>BF94/BF61</f>
        <v>0.16841054258948446</v>
      </c>
      <c r="BG113" s="147"/>
      <c r="BH113" s="147"/>
      <c r="BI113" s="147"/>
      <c r="BJ113" s="147"/>
      <c r="BK113" s="147"/>
      <c r="BL113" s="147"/>
      <c r="BM113" s="147"/>
      <c r="BN113" s="147"/>
      <c r="BO113" s="147"/>
      <c r="BP113" s="147"/>
      <c r="BQ113" s="147"/>
      <c r="BR113" s="147"/>
      <c r="BS113" s="147"/>
      <c r="BT113" s="147"/>
      <c r="BU113" s="147"/>
      <c r="BV113" s="147"/>
    </row>
    <row r="114" spans="1:74">
      <c r="A114" s="191" t="s">
        <v>166</v>
      </c>
      <c r="B114" s="201"/>
      <c r="C114" s="202"/>
      <c r="D114" s="202"/>
      <c r="E114" s="202"/>
      <c r="F114" s="202"/>
      <c r="G114" s="201"/>
      <c r="H114" s="202"/>
      <c r="I114" s="202"/>
      <c r="J114" s="202"/>
      <c r="K114" s="202"/>
      <c r="L114" s="201"/>
      <c r="M114" s="202"/>
      <c r="N114" s="202"/>
      <c r="O114" s="202"/>
      <c r="P114" s="202"/>
      <c r="Q114" s="201"/>
      <c r="R114" s="202">
        <f t="shared" ref="R114:BD114" si="40">R95/R62</f>
        <v>0.1119963578420214</v>
      </c>
      <c r="S114" s="202">
        <f t="shared" si="40"/>
        <v>0.13404669260700389</v>
      </c>
      <c r="T114" s="202">
        <f t="shared" si="40"/>
        <v>0.12741312741312741</v>
      </c>
      <c r="U114" s="202">
        <f t="shared" si="40"/>
        <v>0.11043083900226758</v>
      </c>
      <c r="V114" s="201">
        <f t="shared" si="40"/>
        <v>0.12166030534351145</v>
      </c>
      <c r="W114" s="202">
        <f t="shared" si="40"/>
        <v>0.11357003891050584</v>
      </c>
      <c r="X114" s="202">
        <f t="shared" si="40"/>
        <v>0.15660542432195976</v>
      </c>
      <c r="Y114" s="202">
        <f t="shared" si="40"/>
        <v>0.15449636064803945</v>
      </c>
      <c r="Z114" s="202">
        <f t="shared" si="40"/>
        <v>0.13744875813841331</v>
      </c>
      <c r="AA114" s="201">
        <f t="shared" si="40"/>
        <v>0.14107665301345818</v>
      </c>
      <c r="AB114" s="202">
        <f t="shared" si="40"/>
        <v>0.13135261923377639</v>
      </c>
      <c r="AC114" s="202">
        <f t="shared" si="40"/>
        <v>0.16905128769535549</v>
      </c>
      <c r="AD114" s="202">
        <f t="shared" si="40"/>
        <v>0.17087561954212888</v>
      </c>
      <c r="AE114" s="202">
        <f t="shared" si="40"/>
        <v>0.15171755725190839</v>
      </c>
      <c r="AF114" s="201">
        <f t="shared" si="40"/>
        <v>0.15658278303289905</v>
      </c>
      <c r="AG114" s="202">
        <f t="shared" si="40"/>
        <v>0.15061023110880292</v>
      </c>
      <c r="AH114" s="202">
        <f t="shared" si="40"/>
        <v>0.18965906525174983</v>
      </c>
      <c r="AI114" s="202">
        <f t="shared" si="40"/>
        <v>0.18179728797977476</v>
      </c>
      <c r="AJ114" s="202">
        <f t="shared" si="40"/>
        <v>0.15672709923664122</v>
      </c>
      <c r="AK114" s="201">
        <f t="shared" si="40"/>
        <v>0.1704808892587529</v>
      </c>
      <c r="AL114" s="202">
        <f t="shared" si="40"/>
        <v>0.16277258566978192</v>
      </c>
      <c r="AM114" s="202">
        <f t="shared" si="40"/>
        <v>0.19106421194431972</v>
      </c>
      <c r="AN114" s="202">
        <f t="shared" si="40"/>
        <v>0.18368777751811172</v>
      </c>
      <c r="AO114" s="202">
        <f t="shared" si="40"/>
        <v>0.1598738476467734</v>
      </c>
      <c r="AP114" s="201">
        <f t="shared" si="40"/>
        <v>0.1749566050158616</v>
      </c>
      <c r="AQ114" s="202">
        <f t="shared" si="40"/>
        <v>0.17006437768240343</v>
      </c>
      <c r="AR114" s="202">
        <f t="shared" si="40"/>
        <v>0.20385736712267324</v>
      </c>
      <c r="AS114" s="202">
        <f t="shared" si="40"/>
        <v>0.18799546998867497</v>
      </c>
      <c r="AT114" s="202">
        <f t="shared" si="40"/>
        <v>0.16003765591903976</v>
      </c>
      <c r="AU114" s="201">
        <f t="shared" si="40"/>
        <v>0.18117619132395704</v>
      </c>
      <c r="AV114" s="2050">
        <f t="shared" si="39"/>
        <v>0.15596094552929085</v>
      </c>
      <c r="AW114" s="2050">
        <f t="shared" si="39"/>
        <v>0.18909168081494057</v>
      </c>
      <c r="AX114" s="2050">
        <f t="shared" si="39"/>
        <v>0.18579351535836178</v>
      </c>
      <c r="AY114" s="2050">
        <f t="shared" si="39"/>
        <v>0.16340356584686697</v>
      </c>
      <c r="AZ114" s="201">
        <f t="shared" si="40"/>
        <v>0.17444777830786351</v>
      </c>
      <c r="BA114" s="2050">
        <f t="shared" si="40"/>
        <v>0.16221450079104949</v>
      </c>
      <c r="BB114" s="2050">
        <f t="shared" si="40"/>
        <v>0.18936041273485574</v>
      </c>
      <c r="BC114" s="2050">
        <f t="shared" si="40"/>
        <v>0.18625471794769155</v>
      </c>
      <c r="BD114" s="2050">
        <f t="shared" si="40"/>
        <v>0.1726713567703842</v>
      </c>
      <c r="BE114" s="201">
        <f>BE95/BE62</f>
        <v>0.17837310987776242</v>
      </c>
      <c r="BF114" s="201">
        <f>BF95/BF62</f>
        <v>0.1854428739036689</v>
      </c>
      <c r="BG114" s="147"/>
      <c r="BH114" s="147"/>
      <c r="BI114" s="147"/>
      <c r="BJ114" s="147"/>
      <c r="BK114" s="147"/>
      <c r="BL114" s="147"/>
      <c r="BM114" s="147"/>
      <c r="BN114" s="147"/>
      <c r="BO114" s="147"/>
      <c r="BP114" s="147"/>
      <c r="BQ114" s="147"/>
      <c r="BR114" s="147"/>
      <c r="BS114" s="147"/>
      <c r="BT114" s="147"/>
      <c r="BU114" s="147"/>
      <c r="BV114" s="147"/>
    </row>
    <row r="115" spans="1:74">
      <c r="A115" s="147" t="str">
        <f>A96</f>
        <v>Pratt &amp; Whitney</v>
      </c>
      <c r="B115" s="201">
        <f t="shared" ref="B115:BD115" si="41">B96/B65</f>
        <v>0.16687278423612828</v>
      </c>
      <c r="C115" s="202">
        <f t="shared" si="41"/>
        <v>0.15588914549653579</v>
      </c>
      <c r="D115" s="202">
        <f t="shared" si="41"/>
        <v>0.15774726814233678</v>
      </c>
      <c r="E115" s="202">
        <f t="shared" si="41"/>
        <v>0.15931014323297282</v>
      </c>
      <c r="F115" s="202">
        <f t="shared" si="41"/>
        <v>0.15416782826874825</v>
      </c>
      <c r="G115" s="201">
        <f t="shared" si="41"/>
        <v>0.15675521686489566</v>
      </c>
      <c r="H115" s="202">
        <f t="shared" si="41"/>
        <v>0.15832805573147563</v>
      </c>
      <c r="I115" s="202">
        <f t="shared" si="41"/>
        <v>0.17130691123485098</v>
      </c>
      <c r="J115" s="202">
        <f t="shared" si="41"/>
        <v>0.16857335127860026</v>
      </c>
      <c r="K115" s="202">
        <f t="shared" si="41"/>
        <v>0.15612340292926144</v>
      </c>
      <c r="L115" s="201">
        <f t="shared" si="41"/>
        <v>0.16341187863137507</v>
      </c>
      <c r="M115" s="202">
        <f t="shared" si="41"/>
        <v>0.16261879619852165</v>
      </c>
      <c r="N115" s="202">
        <f t="shared" si="41"/>
        <v>0.16193961573650503</v>
      </c>
      <c r="O115" s="202">
        <f t="shared" si="41"/>
        <v>0.17337461300309598</v>
      </c>
      <c r="P115" s="202">
        <f t="shared" si="41"/>
        <v>0.15955369595536958</v>
      </c>
      <c r="Q115" s="201">
        <f t="shared" si="41"/>
        <v>0.16428295322767686</v>
      </c>
      <c r="R115" s="202">
        <f t="shared" si="41"/>
        <v>0.15036547163243996</v>
      </c>
      <c r="S115" s="202">
        <f t="shared" si="41"/>
        <v>0.13705738705738707</v>
      </c>
      <c r="T115" s="202">
        <f t="shared" si="41"/>
        <v>0.14930217461863032</v>
      </c>
      <c r="U115" s="202">
        <f t="shared" si="41"/>
        <v>0.15426601551278368</v>
      </c>
      <c r="V115" s="201">
        <f t="shared" si="41"/>
        <v>0.14774604673117772</v>
      </c>
      <c r="W115" s="202">
        <f t="shared" si="41"/>
        <v>0.13958060288335516</v>
      </c>
      <c r="X115" s="202">
        <f t="shared" si="41"/>
        <v>0.12880765883376849</v>
      </c>
      <c r="Y115" s="202">
        <f t="shared" si="41"/>
        <v>0.1152770005595971</v>
      </c>
      <c r="Z115" s="202">
        <f t="shared" si="41"/>
        <v>0.10357234644050373</v>
      </c>
      <c r="AA115" s="201">
        <f t="shared" si="41"/>
        <v>0.12066743053566313</v>
      </c>
      <c r="AB115" s="202">
        <f t="shared" si="41"/>
        <v>0.12139917695473251</v>
      </c>
      <c r="AC115" s="202">
        <f t="shared" si="41"/>
        <v>0.12886313465783664</v>
      </c>
      <c r="AD115" s="202">
        <f t="shared" si="41"/>
        <v>0.14353219137625517</v>
      </c>
      <c r="AE115" s="202">
        <f t="shared" si="41"/>
        <v>0.12130105160185864</v>
      </c>
      <c r="AF115" s="201">
        <f t="shared" si="41"/>
        <v>0.128404937590511</v>
      </c>
      <c r="AG115" s="202">
        <f t="shared" si="41"/>
        <v>0.12916791829378191</v>
      </c>
      <c r="AH115" s="202">
        <f t="shared" si="41"/>
        <v>0.14448775055679286</v>
      </c>
      <c r="AI115" s="202">
        <f t="shared" si="41"/>
        <v>0.15656565656565657</v>
      </c>
      <c r="AJ115" s="202">
        <f t="shared" si="41"/>
        <v>0.13820531941337311</v>
      </c>
      <c r="AK115" s="201">
        <f t="shared" si="41"/>
        <v>0.14219740832644059</v>
      </c>
      <c r="AL115" s="202">
        <f t="shared" si="41"/>
        <v>0.12965186074429771</v>
      </c>
      <c r="AM115" s="202">
        <f t="shared" si="41"/>
        <v>0.13298884960565679</v>
      </c>
      <c r="AN115" s="202">
        <f t="shared" si="41"/>
        <v>0.13636363636363635</v>
      </c>
      <c r="AO115" s="202">
        <f t="shared" si="41"/>
        <v>0.14352696014587132</v>
      </c>
      <c r="AP115" s="201">
        <f t="shared" si="41"/>
        <v>0.13584718079818209</v>
      </c>
      <c r="AQ115" s="202">
        <f t="shared" si="41"/>
        <v>0.11566332218506131</v>
      </c>
      <c r="AR115" s="202">
        <f t="shared" si="41"/>
        <v>0.11854183057959612</v>
      </c>
      <c r="AS115" s="202">
        <f t="shared" si="41"/>
        <v>0.11825192802056556</v>
      </c>
      <c r="AT115" s="202">
        <f t="shared" si="41"/>
        <v>0.11773547094188377</v>
      </c>
      <c r="AU115" s="201">
        <f t="shared" si="41"/>
        <v>0.11756411977977708</v>
      </c>
      <c r="AV115" s="2050">
        <f t="shared" ref="AV115:AY116" si="42">AV96/AV65</f>
        <v>0.10457690260777008</v>
      </c>
      <c r="AW115" s="2050">
        <f t="shared" si="42"/>
        <v>0.10024570024570024</v>
      </c>
      <c r="AX115" s="2050">
        <f t="shared" si="42"/>
        <v>0.10927408938258848</v>
      </c>
      <c r="AY115" s="2050">
        <f t="shared" si="42"/>
        <v>9.5451508210297104E-2</v>
      </c>
      <c r="AZ115" s="201">
        <f t="shared" si="41"/>
        <v>0.10220518065797836</v>
      </c>
      <c r="BA115" s="2050">
        <f t="shared" si="41"/>
        <v>9.0373055887782702E-2</v>
      </c>
      <c r="BB115" s="2050">
        <f t="shared" si="41"/>
        <v>8.6853549029138485E-2</v>
      </c>
      <c r="BC115" s="2050">
        <f t="shared" si="41"/>
        <v>0.10332718800185035</v>
      </c>
      <c r="BD115" s="2050">
        <f t="shared" si="41"/>
        <v>8.3100075298275067E-2</v>
      </c>
      <c r="BE115" s="201">
        <f>BE96/BE65</f>
        <v>8.9350880016848197E-2</v>
      </c>
      <c r="BF115" s="201">
        <f>BF96/BF65</f>
        <v>0.1086478261100725</v>
      </c>
      <c r="BG115" s="147"/>
      <c r="BH115" s="147"/>
      <c r="BI115" s="147"/>
      <c r="BJ115" s="147"/>
      <c r="BK115" s="147"/>
      <c r="BL115" s="147"/>
      <c r="BM115" s="147"/>
      <c r="BN115" s="147"/>
      <c r="BO115" s="147"/>
      <c r="BP115" s="147"/>
      <c r="BQ115" s="147"/>
      <c r="BR115" s="147"/>
      <c r="BS115" s="147"/>
      <c r="BT115" s="147"/>
      <c r="BU115" s="147"/>
      <c r="BV115" s="147"/>
    </row>
    <row r="116" spans="1:74">
      <c r="A116" s="191" t="s">
        <v>164</v>
      </c>
      <c r="B116" s="201"/>
      <c r="C116" s="202"/>
      <c r="D116" s="202"/>
      <c r="E116" s="202"/>
      <c r="F116" s="202"/>
      <c r="G116" s="201"/>
      <c r="H116" s="202"/>
      <c r="I116" s="202"/>
      <c r="J116" s="202"/>
      <c r="K116" s="202"/>
      <c r="L116" s="201"/>
      <c r="M116" s="202"/>
      <c r="N116" s="202"/>
      <c r="O116" s="202"/>
      <c r="P116" s="202"/>
      <c r="Q116" s="201"/>
      <c r="R116" s="202">
        <f t="shared" ref="R116:BD116" si="43">R97/R66</f>
        <v>0.15289982425307558</v>
      </c>
      <c r="S116" s="202">
        <f t="shared" si="43"/>
        <v>0.1596925704526046</v>
      </c>
      <c r="T116" s="202">
        <f t="shared" si="43"/>
        <v>0.17270429654591407</v>
      </c>
      <c r="U116" s="202">
        <f t="shared" si="43"/>
        <v>0.16139240506329114</v>
      </c>
      <c r="V116" s="201">
        <f t="shared" si="43"/>
        <v>0.16176470588235295</v>
      </c>
      <c r="W116" s="202">
        <f t="shared" si="43"/>
        <v>0.16181229773462782</v>
      </c>
      <c r="X116" s="202">
        <f t="shared" si="43"/>
        <v>0.17065390749601275</v>
      </c>
      <c r="Y116" s="202">
        <f t="shared" si="43"/>
        <v>0.1146067415730337</v>
      </c>
      <c r="Z116" s="202">
        <f t="shared" si="43"/>
        <v>0.10680529300567108</v>
      </c>
      <c r="AA116" s="201">
        <f t="shared" si="43"/>
        <v>0.12706983441324693</v>
      </c>
      <c r="AB116" s="202">
        <f t="shared" si="43"/>
        <v>0.15599141893962612</v>
      </c>
      <c r="AC116" s="202">
        <f t="shared" si="43"/>
        <v>0.16019271303824148</v>
      </c>
      <c r="AD116" s="202">
        <f t="shared" si="43"/>
        <v>0.1585144927536232</v>
      </c>
      <c r="AE116" s="202">
        <f t="shared" si="43"/>
        <v>0.15763546798029557</v>
      </c>
      <c r="AF116" s="201">
        <f t="shared" si="43"/>
        <v>0.15808795984116281</v>
      </c>
      <c r="AG116" s="202">
        <f t="shared" si="43"/>
        <v>0.17275362318840579</v>
      </c>
      <c r="AH116" s="202">
        <f t="shared" si="43"/>
        <v>0.16666666666666666</v>
      </c>
      <c r="AI116" s="202">
        <f t="shared" si="43"/>
        <v>0.17001414427157002</v>
      </c>
      <c r="AJ116" s="202">
        <f t="shared" si="43"/>
        <v>0.17640511964385086</v>
      </c>
      <c r="AK116" s="201">
        <f t="shared" si="43"/>
        <v>0.17143862117481534</v>
      </c>
      <c r="AL116" s="202">
        <f t="shared" si="43"/>
        <v>0.17446448703494927</v>
      </c>
      <c r="AM116" s="202">
        <f t="shared" si="43"/>
        <v>0.15969162995594713</v>
      </c>
      <c r="AN116" s="202">
        <f t="shared" si="43"/>
        <v>0.1695111368238357</v>
      </c>
      <c r="AO116" s="202">
        <f t="shared" si="43"/>
        <v>0.1648828463986115</v>
      </c>
      <c r="AP116" s="201">
        <f t="shared" si="43"/>
        <v>0.16709237973605789</v>
      </c>
      <c r="AQ116" s="202">
        <f t="shared" si="43"/>
        <v>0.15720399429386592</v>
      </c>
      <c r="AR116" s="202">
        <f t="shared" si="43"/>
        <v>0.15877287405812701</v>
      </c>
      <c r="AS116" s="202">
        <f t="shared" si="43"/>
        <v>0.1675809105869446</v>
      </c>
      <c r="AT116" s="202">
        <f t="shared" si="43"/>
        <v>0.16536964980544747</v>
      </c>
      <c r="AU116" s="201">
        <f t="shared" si="43"/>
        <v>0.16225371586588316</v>
      </c>
      <c r="AV116" s="2050">
        <f t="shared" si="42"/>
        <v>0.16588202713929659</v>
      </c>
      <c r="AW116" s="2050">
        <f t="shared" si="42"/>
        <v>0.16565934065934065</v>
      </c>
      <c r="AX116" s="2050">
        <f t="shared" si="42"/>
        <v>0.17404454220511412</v>
      </c>
      <c r="AY116" s="2050">
        <f t="shared" si="42"/>
        <v>0.16024281694421622</v>
      </c>
      <c r="AZ116" s="201">
        <f t="shared" si="43"/>
        <v>0.1664134680496144</v>
      </c>
      <c r="BA116" s="2050">
        <f t="shared" si="43"/>
        <v>0.16537571935364889</v>
      </c>
      <c r="BB116" s="2050">
        <f t="shared" si="43"/>
        <v>0.16534737209724118</v>
      </c>
      <c r="BC116" s="2050">
        <f t="shared" si="43"/>
        <v>0.17321792290033786</v>
      </c>
      <c r="BD116" s="2050">
        <f t="shared" si="43"/>
        <v>0.16610659853909174</v>
      </c>
      <c r="BE116" s="201">
        <f>BE97/BE66</f>
        <v>0.1675225698748552</v>
      </c>
      <c r="BF116" s="201">
        <f>BF97/BF66</f>
        <v>0.16900130114990602</v>
      </c>
      <c r="BG116" s="147"/>
      <c r="BH116" s="147"/>
      <c r="BI116" s="147"/>
      <c r="BJ116" s="147"/>
      <c r="BK116" s="147"/>
      <c r="BL116" s="147"/>
      <c r="BM116" s="147"/>
      <c r="BN116" s="147"/>
      <c r="BO116" s="147"/>
      <c r="BP116" s="147"/>
      <c r="BQ116" s="147"/>
      <c r="BR116" s="147"/>
      <c r="BS116" s="147"/>
      <c r="BT116" s="147"/>
      <c r="BU116" s="147"/>
      <c r="BV116" s="147"/>
    </row>
    <row r="117" spans="1:74" hidden="1">
      <c r="A117" s="147" t="str">
        <f>A98</f>
        <v>Sikorsky</v>
      </c>
      <c r="B117" s="201">
        <f t="shared" ref="B117:AK117" si="44">B98/B67</f>
        <v>7.7260388390060553E-2</v>
      </c>
      <c r="C117" s="202">
        <f t="shared" si="44"/>
        <v>8.0156402737047897E-2</v>
      </c>
      <c r="D117" s="202">
        <f t="shared" si="44"/>
        <v>8.4927314460596787E-2</v>
      </c>
      <c r="E117" s="202">
        <f t="shared" si="44"/>
        <v>9.2489568845618916E-2</v>
      </c>
      <c r="F117" s="202">
        <f t="shared" si="44"/>
        <v>9.5000000000000001E-2</v>
      </c>
      <c r="G117" s="201">
        <f t="shared" si="44"/>
        <v>8.9046199701937404E-2</v>
      </c>
      <c r="H117" s="202">
        <f t="shared" si="44"/>
        <v>8.7812263436790314E-2</v>
      </c>
      <c r="I117" s="202">
        <f t="shared" si="44"/>
        <v>0.10130246020260492</v>
      </c>
      <c r="J117" s="202">
        <f t="shared" si="44"/>
        <v>9.5731707317073172E-2</v>
      </c>
      <c r="K117" s="202">
        <f t="shared" si="44"/>
        <v>0.10390946502057613</v>
      </c>
      <c r="L117" s="201">
        <f t="shared" si="44"/>
        <v>9.7820900270399233E-2</v>
      </c>
      <c r="M117" s="202">
        <f t="shared" si="44"/>
        <v>0.10677466863033873</v>
      </c>
      <c r="N117" s="202">
        <f t="shared" si="44"/>
        <v>0.10401891252955082</v>
      </c>
      <c r="O117" s="202">
        <f t="shared" si="44"/>
        <v>0.10989010989010989</v>
      </c>
      <c r="P117" s="202">
        <f t="shared" si="44"/>
        <v>0.11451844753234308</v>
      </c>
      <c r="Q117" s="201">
        <f t="shared" si="44"/>
        <v>0.10921603830041891</v>
      </c>
      <c r="R117" s="202">
        <f t="shared" si="44"/>
        <v>8.9759797724399501E-2</v>
      </c>
      <c r="S117" s="202">
        <f t="shared" si="44"/>
        <v>0.11534154535274356</v>
      </c>
      <c r="T117" s="202">
        <f t="shared" si="44"/>
        <v>0.12147043153969099</v>
      </c>
      <c r="U117" s="202">
        <f t="shared" si="44"/>
        <v>0.11563981042654028</v>
      </c>
      <c r="V117" s="201">
        <f t="shared" si="44"/>
        <v>0.1114887831407206</v>
      </c>
      <c r="W117" s="202">
        <f t="shared" si="44"/>
        <v>0.10326894502228826</v>
      </c>
      <c r="X117" s="202">
        <f t="shared" si="44"/>
        <v>0.13333333333333333</v>
      </c>
      <c r="Y117" s="202">
        <f t="shared" si="44"/>
        <v>0.13038204972710735</v>
      </c>
      <c r="Z117" s="202">
        <f t="shared" si="44"/>
        <v>8.9613970588235295E-2</v>
      </c>
      <c r="AA117" s="201">
        <f t="shared" si="44"/>
        <v>0.11264909438963334</v>
      </c>
      <c r="AB117" s="202">
        <f t="shared" si="44"/>
        <v>7.6060848678943152E-2</v>
      </c>
      <c r="AC117" s="202">
        <f t="shared" si="44"/>
        <v>0.1053639846743295</v>
      </c>
      <c r="AD117" s="202">
        <f t="shared" si="44"/>
        <v>0.11031797534068787</v>
      </c>
      <c r="AE117" s="202">
        <f t="shared" si="44"/>
        <v>0.11280969952556669</v>
      </c>
      <c r="AF117" s="201">
        <f t="shared" si="44"/>
        <v>0.10299056452902607</v>
      </c>
      <c r="AG117" s="202">
        <f t="shared" si="44"/>
        <v>7.5679647318148427E-2</v>
      </c>
      <c r="AH117" s="202">
        <f t="shared" si="44"/>
        <v>6.25E-2</v>
      </c>
      <c r="AI117" s="202">
        <f t="shared" si="44"/>
        <v>9.3827160493827166E-2</v>
      </c>
      <c r="AJ117" s="202">
        <f t="shared" si="44"/>
        <v>0.14141898370086289</v>
      </c>
      <c r="AK117" s="201">
        <f t="shared" si="44"/>
        <v>9.3812911018655215E-2</v>
      </c>
      <c r="AL117" s="202"/>
      <c r="AM117" s="202"/>
      <c r="AN117" s="202"/>
      <c r="AO117" s="202"/>
      <c r="AP117" s="201"/>
      <c r="AQ117" s="202"/>
      <c r="AR117" s="202"/>
      <c r="AS117" s="202"/>
      <c r="AT117" s="202"/>
      <c r="AU117" s="201"/>
      <c r="AV117" s="2050"/>
      <c r="AW117" s="2050"/>
      <c r="AX117" s="2050"/>
      <c r="AY117" s="2050"/>
      <c r="AZ117" s="201"/>
      <c r="BA117" s="2050"/>
      <c r="BB117" s="2050"/>
      <c r="BC117" s="2050"/>
      <c r="BD117" s="2050"/>
      <c r="BE117" s="201"/>
      <c r="BF117" s="201"/>
      <c r="BG117" s="147"/>
      <c r="BH117" s="147"/>
      <c r="BI117" s="147"/>
      <c r="BJ117" s="147"/>
      <c r="BK117" s="147"/>
      <c r="BL117" s="147"/>
      <c r="BM117" s="147"/>
      <c r="BN117" s="147"/>
      <c r="BO117" s="147"/>
      <c r="BP117" s="147"/>
      <c r="BQ117" s="147"/>
      <c r="BR117" s="147"/>
      <c r="BS117" s="147"/>
      <c r="BT117" s="147"/>
      <c r="BU117" s="147"/>
      <c r="BV117" s="147"/>
    </row>
    <row r="118" spans="1:74">
      <c r="A118" s="200" t="s">
        <v>245</v>
      </c>
      <c r="B118" s="197">
        <f t="shared" ref="B118:U118" si="45">(SUM(B94:B98))/(SUM(B61:B67))</f>
        <v>9.4022479217902077E-2</v>
      </c>
      <c r="C118" s="199">
        <f t="shared" si="45"/>
        <v>9.592861126603458E-2</v>
      </c>
      <c r="D118" s="199">
        <f t="shared" si="45"/>
        <v>9.385000695700571E-2</v>
      </c>
      <c r="E118" s="199">
        <f t="shared" si="45"/>
        <v>9.7544888237449612E-2</v>
      </c>
      <c r="F118" s="199">
        <f t="shared" si="45"/>
        <v>9.7999090495679855E-2</v>
      </c>
      <c r="G118" s="197">
        <f t="shared" si="45"/>
        <v>9.6291198571534856E-2</v>
      </c>
      <c r="H118" s="199">
        <f t="shared" si="45"/>
        <v>0.10485792850595783</v>
      </c>
      <c r="I118" s="199">
        <f t="shared" si="45"/>
        <v>0.11047797244429325</v>
      </c>
      <c r="J118" s="199">
        <f t="shared" si="45"/>
        <v>0.11295206055508832</v>
      </c>
      <c r="K118" s="199">
        <f t="shared" si="45"/>
        <v>0.1109446459548967</v>
      </c>
      <c r="L118" s="197">
        <f t="shared" si="45"/>
        <v>0.10992802709568163</v>
      </c>
      <c r="M118" s="199">
        <f t="shared" si="45"/>
        <v>0.11233459794577588</v>
      </c>
      <c r="N118" s="199">
        <f t="shared" si="45"/>
        <v>0.10905168970200527</v>
      </c>
      <c r="O118" s="199">
        <f t="shared" si="45"/>
        <v>0.11565401531194006</v>
      </c>
      <c r="P118" s="199">
        <f t="shared" si="45"/>
        <v>0.1123812351543943</v>
      </c>
      <c r="Q118" s="197">
        <f t="shared" si="45"/>
        <v>0.11234054692912744</v>
      </c>
      <c r="R118" s="199">
        <f t="shared" si="45"/>
        <v>0.10914179104477612</v>
      </c>
      <c r="S118" s="199">
        <f t="shared" si="45"/>
        <v>0.11561104344295574</v>
      </c>
      <c r="T118" s="199">
        <f t="shared" si="45"/>
        <v>0.11907112057769234</v>
      </c>
      <c r="U118" s="199">
        <f t="shared" si="45"/>
        <v>0.11696494758021815</v>
      </c>
      <c r="V118" s="197">
        <f t="shared" ref="V118:AZ118" si="46">(V94+V95+V96+V97+V98)/(V61+V62+V65+V66+V67)</f>
        <v>0.15413259215707234</v>
      </c>
      <c r="W118" s="198">
        <f t="shared" si="46"/>
        <v>0.14589325663151168</v>
      </c>
      <c r="X118" s="198">
        <f t="shared" si="46"/>
        <v>0.16350574712643678</v>
      </c>
      <c r="Y118" s="198">
        <f t="shared" si="46"/>
        <v>0.15020386689464685</v>
      </c>
      <c r="Z118" s="198">
        <f t="shared" si="46"/>
        <v>0.133188694027602</v>
      </c>
      <c r="AA118" s="197">
        <f t="shared" si="46"/>
        <v>0.14760882630720357</v>
      </c>
      <c r="AB118" s="198">
        <f t="shared" si="46"/>
        <v>0.14459320288362512</v>
      </c>
      <c r="AC118" s="198">
        <f t="shared" si="46"/>
        <v>0.16187005928853754</v>
      </c>
      <c r="AD118" s="198">
        <f t="shared" si="46"/>
        <v>0.16630490296220635</v>
      </c>
      <c r="AE118" s="198">
        <f t="shared" si="46"/>
        <v>0.15283096682967065</v>
      </c>
      <c r="AF118" s="197">
        <f t="shared" si="46"/>
        <v>0.15657633214499794</v>
      </c>
      <c r="AG118" s="198">
        <f t="shared" si="46"/>
        <v>0.15361969757794727</v>
      </c>
      <c r="AH118" s="198">
        <f t="shared" si="46"/>
        <v>0.16247271055957715</v>
      </c>
      <c r="AI118" s="198">
        <f t="shared" si="46"/>
        <v>0.17199316906562576</v>
      </c>
      <c r="AJ118" s="198">
        <f t="shared" si="46"/>
        <v>0.16539957054146595</v>
      </c>
      <c r="AK118" s="197">
        <f t="shared" si="46"/>
        <v>0.16359750829809486</v>
      </c>
      <c r="AL118" s="198">
        <f t="shared" si="46"/>
        <v>0.16405728277806633</v>
      </c>
      <c r="AM118" s="198">
        <f t="shared" si="46"/>
        <v>0.17192651907677814</v>
      </c>
      <c r="AN118" s="198">
        <f t="shared" si="46"/>
        <v>0.17647898380075644</v>
      </c>
      <c r="AO118" s="198">
        <f t="shared" si="46"/>
        <v>0.16131477398015434</v>
      </c>
      <c r="AP118" s="197">
        <f t="shared" si="46"/>
        <v>0.1686730333776425</v>
      </c>
      <c r="AQ118" s="198">
        <f t="shared" si="46"/>
        <v>0.15373817966903072</v>
      </c>
      <c r="AR118" s="198">
        <f t="shared" si="46"/>
        <v>0.16890951276102087</v>
      </c>
      <c r="AS118" s="198">
        <f t="shared" si="46"/>
        <v>0.16796982167352537</v>
      </c>
      <c r="AT118" s="198">
        <f t="shared" si="46"/>
        <v>0.15293249228291506</v>
      </c>
      <c r="AU118" s="197">
        <f t="shared" si="46"/>
        <v>0.16157166074336704</v>
      </c>
      <c r="AV118" s="2049">
        <f>(AV94+AV95+AV96+AV97+AV98)/(AV61+AV62+AV65+AV66+AV67)</f>
        <v>0.14617845716317099</v>
      </c>
      <c r="AW118" s="2049">
        <f>(AW94+AW95+AW96+AW97+AW98)/(AW61+AW62+AW65+AW66+AW67)</f>
        <v>0.15804024946955572</v>
      </c>
      <c r="AX118" s="2049">
        <f>(AX94+AX95+AX96+AX97+AX98)/(AX61+AX62+AX65+AX66+AX67)</f>
        <v>0.16206357477853048</v>
      </c>
      <c r="AY118" s="2049">
        <f>(AY94+AY95+AY96+AY97+AY98)/(AY61+AY62+AY65+AY66+AY67)</f>
        <v>0.14486997029543686</v>
      </c>
      <c r="AZ118" s="197">
        <f t="shared" si="46"/>
        <v>0.1529127510914505</v>
      </c>
      <c r="BA118" s="2049">
        <f t="shared" ref="BA118:BF118" si="47">(BA94+BA95+BA96+BA97+BA98)/(BA61+BA62+BA65+BA66+BA67)</f>
        <v>0.14304599664324585</v>
      </c>
      <c r="BB118" s="2049">
        <f t="shared" si="47"/>
        <v>0.15276102242191447</v>
      </c>
      <c r="BC118" s="2049">
        <f t="shared" si="47"/>
        <v>0.16044725935677082</v>
      </c>
      <c r="BD118" s="2049">
        <f t="shared" si="47"/>
        <v>0.14430478216217579</v>
      </c>
      <c r="BE118" s="197">
        <f t="shared" si="47"/>
        <v>0.14977856672816317</v>
      </c>
      <c r="BF118" s="197">
        <f t="shared" si="47"/>
        <v>0.15718403682831675</v>
      </c>
      <c r="BG118" s="147"/>
      <c r="BH118" s="147"/>
      <c r="BI118" s="147"/>
      <c r="BJ118" s="147"/>
      <c r="BK118" s="147"/>
      <c r="BL118" s="147"/>
      <c r="BM118" s="147"/>
      <c r="BN118" s="147"/>
      <c r="BO118" s="147"/>
      <c r="BP118" s="147"/>
      <c r="BQ118" s="147"/>
      <c r="BR118" s="147"/>
      <c r="BS118" s="147"/>
      <c r="BT118" s="147"/>
      <c r="BU118" s="147"/>
      <c r="BV118" s="147"/>
    </row>
    <row r="119" spans="1:74">
      <c r="A119" s="196" t="s">
        <v>244</v>
      </c>
      <c r="B119" s="194">
        <f t="shared" ref="B119:AZ119" si="48">B103/B69</f>
        <v>0.12874595956829013</v>
      </c>
      <c r="C119" s="195">
        <f t="shared" si="48"/>
        <v>0.119931222238143</v>
      </c>
      <c r="D119" s="195">
        <f t="shared" si="48"/>
        <v>0.13164826894129453</v>
      </c>
      <c r="E119" s="195">
        <f t="shared" si="48"/>
        <v>0.13583029499502816</v>
      </c>
      <c r="F119" s="195">
        <f t="shared" si="48"/>
        <v>0.12207176709546377</v>
      </c>
      <c r="G119" s="194">
        <f t="shared" si="48"/>
        <v>0.12760011379419983</v>
      </c>
      <c r="H119" s="195">
        <f t="shared" si="48"/>
        <v>0.10246741536191491</v>
      </c>
      <c r="I119" s="195">
        <f t="shared" si="48"/>
        <v>0.12534456355283308</v>
      </c>
      <c r="J119" s="195">
        <f t="shared" si="48"/>
        <v>0.13429893076514748</v>
      </c>
      <c r="K119" s="195">
        <f t="shared" si="48"/>
        <v>0.12297016954002432</v>
      </c>
      <c r="L119" s="194">
        <f t="shared" si="48"/>
        <v>0.12003814973772055</v>
      </c>
      <c r="M119" s="195">
        <f t="shared" si="48"/>
        <v>0.12649501661129567</v>
      </c>
      <c r="N119" s="195">
        <f t="shared" si="48"/>
        <v>0.1363570497029416</v>
      </c>
      <c r="O119" s="195">
        <f t="shared" si="48"/>
        <v>0.14155653450807637</v>
      </c>
      <c r="P119" s="195">
        <f t="shared" si="48"/>
        <v>0.12466361679224973</v>
      </c>
      <c r="Q119" s="194">
        <f t="shared" si="48"/>
        <v>0.13227552184957478</v>
      </c>
      <c r="R119" s="195">
        <f t="shared" si="48"/>
        <v>0.13414345458849522</v>
      </c>
      <c r="S119" s="195">
        <f t="shared" si="48"/>
        <v>0.14859354481995993</v>
      </c>
      <c r="T119" s="195">
        <f t="shared" si="48"/>
        <v>0.15110642781875658</v>
      </c>
      <c r="U119" s="195">
        <f t="shared" si="48"/>
        <v>0.12832997148222855</v>
      </c>
      <c r="V119" s="194">
        <f t="shared" si="48"/>
        <v>0.14072532912436775</v>
      </c>
      <c r="W119" s="195">
        <f t="shared" si="48"/>
        <v>0.13796713917525774</v>
      </c>
      <c r="X119" s="195">
        <f t="shared" si="48"/>
        <v>0.15781849786340263</v>
      </c>
      <c r="Y119" s="195">
        <f t="shared" si="48"/>
        <v>0.13568674378407128</v>
      </c>
      <c r="Z119" s="195">
        <f t="shared" si="48"/>
        <v>0.10648908350057776</v>
      </c>
      <c r="AA119" s="194">
        <f t="shared" si="48"/>
        <v>0.13315311568586677</v>
      </c>
      <c r="AB119" s="195">
        <f t="shared" si="48"/>
        <v>0.13931523022432113</v>
      </c>
      <c r="AC119" s="195">
        <f t="shared" si="48"/>
        <v>0.15662876421341998</v>
      </c>
      <c r="AD119" s="195">
        <f t="shared" si="48"/>
        <v>0.15302030785150691</v>
      </c>
      <c r="AE119" s="195">
        <f t="shared" si="48"/>
        <v>0.13902977504624381</v>
      </c>
      <c r="AF119" s="194">
        <f t="shared" si="48"/>
        <v>0.14704755213489604</v>
      </c>
      <c r="AG119" s="195">
        <f t="shared" si="48"/>
        <v>0.14228552051542895</v>
      </c>
      <c r="AH119" s="195">
        <f t="shared" si="48"/>
        <v>0.13699028561456575</v>
      </c>
      <c r="AI119" s="195">
        <f t="shared" si="48"/>
        <v>0.16984166254329539</v>
      </c>
      <c r="AJ119" s="195">
        <f t="shared" si="48"/>
        <v>0.15121204989409273</v>
      </c>
      <c r="AK119" s="194">
        <f t="shared" si="48"/>
        <v>0.15006144393241166</v>
      </c>
      <c r="AL119" s="195">
        <f t="shared" si="48"/>
        <v>0.16381381381381382</v>
      </c>
      <c r="AM119" s="195">
        <f t="shared" si="48"/>
        <v>0.16479553650404843</v>
      </c>
      <c r="AN119" s="195">
        <f t="shared" si="48"/>
        <v>0.16695677400638237</v>
      </c>
      <c r="AO119" s="195">
        <f t="shared" si="48"/>
        <v>2.7412587412587414E-2</v>
      </c>
      <c r="AP119" s="194">
        <f t="shared" si="48"/>
        <v>0.13022931181704223</v>
      </c>
      <c r="AQ119" s="195">
        <f t="shared" si="48"/>
        <v>0.14561653065808192</v>
      </c>
      <c r="AR119" s="195">
        <f t="shared" si="48"/>
        <v>0.15711980637353773</v>
      </c>
      <c r="AS119" s="195">
        <f t="shared" si="48"/>
        <v>0.15682039849519297</v>
      </c>
      <c r="AT119" s="195">
        <f t="shared" si="48"/>
        <v>0.11180844532369193</v>
      </c>
      <c r="AU119" s="194">
        <f t="shared" si="48"/>
        <v>0.1427573195444064</v>
      </c>
      <c r="AV119" s="2048">
        <f>AV103/AV69</f>
        <v>0.16409699601882013</v>
      </c>
      <c r="AW119" s="2048">
        <f>AW103/AW69</f>
        <v>0.14986910994764399</v>
      </c>
      <c r="AX119" s="2048">
        <f>AX103/AX69</f>
        <v>0.14360642676935334</v>
      </c>
      <c r="AY119" s="2048">
        <f>AY103/AY69</f>
        <v>0.12824682471057969</v>
      </c>
      <c r="AZ119" s="194">
        <f t="shared" si="48"/>
        <v>0.14600914545541901</v>
      </c>
      <c r="BA119" s="2048">
        <f t="shared" ref="BA119:BF119" si="49">BA103/BA69</f>
        <v>0.1301978254709068</v>
      </c>
      <c r="BB119" s="2048">
        <f t="shared" si="49"/>
        <v>0.14202045217314413</v>
      </c>
      <c r="BC119" s="2048">
        <f t="shared" si="49"/>
        <v>0.14978114132695775</v>
      </c>
      <c r="BD119" s="2048">
        <f t="shared" si="49"/>
        <v>0.13342600832467671</v>
      </c>
      <c r="BE119" s="194">
        <f t="shared" si="49"/>
        <v>0.13856046211306391</v>
      </c>
      <c r="BF119" s="194">
        <f t="shared" si="49"/>
        <v>0.14781651929063455</v>
      </c>
      <c r="BG119" s="147"/>
      <c r="BH119" s="147"/>
      <c r="BI119" s="147"/>
      <c r="BJ119" s="147"/>
      <c r="BK119" s="147"/>
      <c r="BL119" s="147"/>
      <c r="BM119" s="147"/>
      <c r="BN119" s="147"/>
      <c r="BO119" s="147"/>
      <c r="BP119" s="147"/>
      <c r="BQ119" s="147"/>
      <c r="BR119" s="147"/>
      <c r="BS119" s="147"/>
      <c r="BT119" s="147"/>
      <c r="BU119" s="147"/>
      <c r="BV119" s="147"/>
    </row>
    <row r="120" spans="1:74">
      <c r="A120" s="179"/>
      <c r="B120" s="192"/>
      <c r="C120" s="193"/>
      <c r="D120" s="193"/>
      <c r="E120" s="193"/>
      <c r="F120" s="193"/>
      <c r="G120" s="192"/>
      <c r="H120" s="193"/>
      <c r="I120" s="193"/>
      <c r="J120" s="193"/>
      <c r="K120" s="193"/>
      <c r="L120" s="192"/>
      <c r="M120" s="193"/>
      <c r="N120" s="193"/>
      <c r="O120" s="193"/>
      <c r="P120" s="193"/>
      <c r="Q120" s="192"/>
      <c r="R120" s="193"/>
      <c r="S120" s="193"/>
      <c r="T120" s="193"/>
      <c r="U120" s="193"/>
      <c r="V120" s="192"/>
      <c r="W120" s="193"/>
      <c r="X120" s="193"/>
      <c r="Y120" s="193"/>
      <c r="Z120" s="193"/>
      <c r="AA120" s="192"/>
      <c r="AB120" s="193"/>
      <c r="AC120" s="193"/>
      <c r="AD120" s="193"/>
      <c r="AE120" s="193"/>
      <c r="AF120" s="192"/>
      <c r="AG120" s="193"/>
      <c r="AH120" s="193"/>
      <c r="AI120" s="193"/>
      <c r="AJ120" s="193"/>
      <c r="AK120" s="192"/>
      <c r="AL120" s="193"/>
      <c r="AM120" s="193"/>
      <c r="AN120" s="193"/>
      <c r="AO120" s="193"/>
      <c r="AP120" s="192"/>
      <c r="AQ120" s="193"/>
      <c r="AR120" s="193"/>
      <c r="AS120" s="193"/>
      <c r="AT120" s="193"/>
      <c r="AU120" s="192"/>
      <c r="AV120" s="2047"/>
      <c r="AW120" s="2047"/>
      <c r="AX120" s="2047"/>
      <c r="AY120" s="2047"/>
      <c r="AZ120" s="192"/>
      <c r="BA120" s="2047"/>
      <c r="BB120" s="2047"/>
      <c r="BC120" s="2047"/>
      <c r="BD120" s="2047"/>
      <c r="BE120" s="192"/>
      <c r="BF120" s="192"/>
      <c r="BG120" s="179"/>
      <c r="BH120" s="179"/>
      <c r="BI120" s="179"/>
      <c r="BJ120" s="179"/>
      <c r="BK120" s="179"/>
      <c r="BL120" s="179"/>
      <c r="BM120" s="179"/>
      <c r="BN120" s="179"/>
      <c r="BO120" s="179"/>
      <c r="BP120" s="179"/>
      <c r="BQ120" s="179"/>
      <c r="BR120" s="179"/>
      <c r="BS120" s="179"/>
      <c r="BT120" s="179"/>
      <c r="BU120" s="179"/>
      <c r="BV120" s="179"/>
    </row>
    <row r="121" spans="1:74">
      <c r="A121" s="147" t="str">
        <f>A113</f>
        <v>Otis</v>
      </c>
      <c r="B121" s="160">
        <f>'Divisional Summary'!AS156</f>
        <v>136</v>
      </c>
      <c r="C121" s="161">
        <f>'Divisional Summary'!AT156</f>
        <v>37.5</v>
      </c>
      <c r="D121" s="161">
        <f>'Divisional Summary'!AU156</f>
        <v>37.5</v>
      </c>
      <c r="E121" s="161">
        <f>'Divisional Summary'!AV156</f>
        <v>37.5</v>
      </c>
      <c r="F121" s="161">
        <f>'Divisional Summary'!AW156</f>
        <v>37.5</v>
      </c>
      <c r="G121" s="160">
        <f>'Divisional Summary'!AX156</f>
        <v>150</v>
      </c>
      <c r="H121" s="161">
        <f>'Divisional Summary'!AY156</f>
        <v>16.75</v>
      </c>
      <c r="I121" s="161">
        <f>'Divisional Summary'!AZ156</f>
        <v>16.75</v>
      </c>
      <c r="J121" s="161">
        <f>'Divisional Summary'!BA156</f>
        <v>16.75</v>
      </c>
      <c r="K121" s="161">
        <f>'Divisional Summary'!BB156</f>
        <v>16.75</v>
      </c>
      <c r="L121" s="160">
        <f>'Divisional Summary'!BC156</f>
        <v>67</v>
      </c>
      <c r="M121" s="161">
        <f>'Divisional Summary'!BD156</f>
        <v>13.75</v>
      </c>
      <c r="N121" s="161">
        <f>'Divisional Summary'!BE156</f>
        <v>13.75</v>
      </c>
      <c r="O121" s="161">
        <f>'Divisional Summary'!BF156</f>
        <v>13.75</v>
      </c>
      <c r="P121" s="161">
        <f>'Divisional Summary'!BG156</f>
        <v>13.75</v>
      </c>
      <c r="Q121" s="160">
        <f>'Divisional Summary'!BH156</f>
        <v>55</v>
      </c>
      <c r="R121" s="161">
        <f>'Divisional Summary'!BI156</f>
        <v>18.75</v>
      </c>
      <c r="S121" s="161">
        <f>'Divisional Summary'!BJ156</f>
        <v>18.75</v>
      </c>
      <c r="T121" s="161">
        <f>'Divisional Summary'!BK156</f>
        <v>18.75</v>
      </c>
      <c r="U121" s="161">
        <f>'Divisional Summary'!BL156</f>
        <v>18.75</v>
      </c>
      <c r="V121" s="160">
        <f>'Divisional Summary'!BM156</f>
        <v>75</v>
      </c>
      <c r="W121" s="161">
        <f>'Divisional Summary'!BN156</f>
        <v>35.25</v>
      </c>
      <c r="X121" s="161">
        <f>'Divisional Summary'!BO156</f>
        <v>35.25</v>
      </c>
      <c r="Y121" s="161">
        <f>'Divisional Summary'!BP156</f>
        <v>35.25</v>
      </c>
      <c r="Z121" s="161">
        <f>'Divisional Summary'!BQ156</f>
        <v>35.25</v>
      </c>
      <c r="AA121" s="160">
        <f>'Divisional Summary'!BR156</f>
        <v>141</v>
      </c>
      <c r="AB121" s="161">
        <f>'Divisional Summary'!BS156</f>
        <v>30.5</v>
      </c>
      <c r="AC121" s="161">
        <f>'Divisional Summary'!BT156</f>
        <v>30.5</v>
      </c>
      <c r="AD121" s="161">
        <f>'Divisional Summary'!BU156</f>
        <v>30.5</v>
      </c>
      <c r="AE121" s="161">
        <f>'Divisional Summary'!BV156</f>
        <v>30.5</v>
      </c>
      <c r="AF121" s="160">
        <f>'Divisional Summary'!BW156</f>
        <v>122</v>
      </c>
      <c r="AG121" s="161">
        <f>'Divisional Summary'!BX156</f>
        <v>21.75</v>
      </c>
      <c r="AH121" s="161">
        <f>'Divisional Summary'!BY156</f>
        <v>21.75</v>
      </c>
      <c r="AI121" s="161">
        <f>'Divisional Summary'!BZ156</f>
        <v>21.75</v>
      </c>
      <c r="AJ121" s="161">
        <f>'Divisional Summary'!CA156</f>
        <v>21.75</v>
      </c>
      <c r="AK121" s="160">
        <f>'Divisional Summary'!CB156</f>
        <v>87</v>
      </c>
      <c r="AL121" s="161">
        <f>'Divisional Summary'!CC156</f>
        <v>20.75</v>
      </c>
      <c r="AM121" s="161">
        <f>'Divisional Summary'!CD156</f>
        <v>20.75</v>
      </c>
      <c r="AN121" s="161">
        <f>'Divisional Summary'!CE156</f>
        <v>20.75</v>
      </c>
      <c r="AO121" s="161">
        <f>'Divisional Summary'!CF156</f>
        <v>20.75</v>
      </c>
      <c r="AP121" s="160">
        <f>'Divisional Summary'!CG156</f>
        <v>83</v>
      </c>
      <c r="AQ121" s="161">
        <f>'Divisional Summary'!CH156</f>
        <v>23.5</v>
      </c>
      <c r="AR121" s="161">
        <f>'Divisional Summary'!CI156</f>
        <v>23.5</v>
      </c>
      <c r="AS121" s="161">
        <f>'Divisional Summary'!CJ156</f>
        <v>23.5</v>
      </c>
      <c r="AT121" s="161">
        <f>'Divisional Summary'!CK156</f>
        <v>23.5</v>
      </c>
      <c r="AU121" s="160">
        <f>'Divisional Summary'!CL156</f>
        <v>94</v>
      </c>
      <c r="AV121" s="2036">
        <f>'Divisional Summary'!CM156</f>
        <v>24.136776264205977</v>
      </c>
      <c r="AW121" s="2036">
        <f>'Divisional Summary'!CN156</f>
        <v>24.136776264205977</v>
      </c>
      <c r="AX121" s="2036">
        <f>'Divisional Summary'!CO156</f>
        <v>24.136776264205977</v>
      </c>
      <c r="AY121" s="2036">
        <f>'Divisional Summary'!CP156</f>
        <v>24.136776264205977</v>
      </c>
      <c r="AZ121" s="160">
        <f>'Divisional Summary'!CQ156</f>
        <v>96.547105056823909</v>
      </c>
      <c r="BA121" s="2036">
        <f>'Divisional Summary'!CR156</f>
        <v>25.433600880583025</v>
      </c>
      <c r="BB121" s="2036">
        <f>'Divisional Summary'!CS156</f>
        <v>25.433600880583025</v>
      </c>
      <c r="BC121" s="2036">
        <f>'Divisional Summary'!CT156</f>
        <v>25.433600880583025</v>
      </c>
      <c r="BD121" s="2036">
        <f>'Divisional Summary'!CU156</f>
        <v>25.433600880583029</v>
      </c>
      <c r="BE121" s="160">
        <f>'Divisional Summary'!CV156</f>
        <v>101.7344035223321</v>
      </c>
      <c r="BF121" s="160">
        <f>'Divisional Summary'!CW156</f>
        <v>103.89461863045578</v>
      </c>
      <c r="BG121" s="179"/>
      <c r="BH121" s="179"/>
      <c r="BI121" s="179"/>
      <c r="BJ121" s="179"/>
      <c r="BK121" s="179"/>
      <c r="BL121" s="179"/>
      <c r="BM121" s="179"/>
      <c r="BN121" s="179"/>
      <c r="BO121" s="179"/>
      <c r="BP121" s="179"/>
      <c r="BQ121" s="179"/>
      <c r="BR121" s="179"/>
      <c r="BS121" s="179"/>
      <c r="BT121" s="179"/>
      <c r="BU121" s="179"/>
      <c r="BV121" s="179"/>
    </row>
    <row r="122" spans="1:74">
      <c r="A122" s="191" t="s">
        <v>166</v>
      </c>
      <c r="B122" s="160"/>
      <c r="C122" s="161"/>
      <c r="D122" s="161"/>
      <c r="E122" s="161"/>
      <c r="F122" s="161"/>
      <c r="G122" s="160"/>
      <c r="H122" s="161"/>
      <c r="I122" s="161"/>
      <c r="J122" s="161"/>
      <c r="K122" s="161"/>
      <c r="L122" s="160"/>
      <c r="M122" s="161"/>
      <c r="N122" s="161"/>
      <c r="O122" s="161"/>
      <c r="P122" s="161"/>
      <c r="Q122" s="160"/>
      <c r="R122" s="161">
        <f>'Divisional Summary'!BI157</f>
        <v>76.25</v>
      </c>
      <c r="S122" s="161">
        <f>'Divisional Summary'!BJ157</f>
        <v>76.25</v>
      </c>
      <c r="T122" s="161">
        <f>'Divisional Summary'!BK157</f>
        <v>76.25</v>
      </c>
      <c r="U122" s="161">
        <f>'Divisional Summary'!BL157</f>
        <v>76.25</v>
      </c>
      <c r="V122" s="160">
        <f>'Divisional Summary'!BM157</f>
        <v>305</v>
      </c>
      <c r="W122" s="161">
        <f>'Divisional Summary'!BN157</f>
        <v>66.25</v>
      </c>
      <c r="X122" s="161">
        <f>'Divisional Summary'!BO157</f>
        <v>66.25</v>
      </c>
      <c r="Y122" s="161">
        <f>'Divisional Summary'!BP157</f>
        <v>66.25</v>
      </c>
      <c r="Z122" s="161">
        <f>'Divisional Summary'!BQ157</f>
        <v>66.25</v>
      </c>
      <c r="AA122" s="160">
        <f>'Divisional Summary'!BR157</f>
        <v>265</v>
      </c>
      <c r="AB122" s="161">
        <f>'Divisional Summary'!BS157</f>
        <v>66.5</v>
      </c>
      <c r="AC122" s="161">
        <f>'Divisional Summary'!BT157</f>
        <v>66.5</v>
      </c>
      <c r="AD122" s="161">
        <f>'Divisional Summary'!BU157</f>
        <v>66.5</v>
      </c>
      <c r="AE122" s="161">
        <f>'Divisional Summary'!BV157</f>
        <v>66.5</v>
      </c>
      <c r="AF122" s="160">
        <f>'Divisional Summary'!BW157</f>
        <v>266</v>
      </c>
      <c r="AG122" s="161">
        <f>'Divisional Summary'!BX157</f>
        <v>57</v>
      </c>
      <c r="AH122" s="161">
        <f>'Divisional Summary'!BY157</f>
        <v>57</v>
      </c>
      <c r="AI122" s="161">
        <f>'Divisional Summary'!BZ157</f>
        <v>57</v>
      </c>
      <c r="AJ122" s="161">
        <f>'Divisional Summary'!CA157</f>
        <v>57</v>
      </c>
      <c r="AK122" s="160">
        <f>'Divisional Summary'!CB157</f>
        <v>228</v>
      </c>
      <c r="AL122" s="161">
        <f>'Divisional Summary'!CC157</f>
        <v>65.25</v>
      </c>
      <c r="AM122" s="161">
        <f>'Divisional Summary'!CD157</f>
        <v>65.25</v>
      </c>
      <c r="AN122" s="161">
        <f>'Divisional Summary'!CE157</f>
        <v>65.25</v>
      </c>
      <c r="AO122" s="161">
        <f>'Divisional Summary'!CF157</f>
        <v>65.25</v>
      </c>
      <c r="AP122" s="160">
        <f>'Divisional Summary'!CG157</f>
        <v>261</v>
      </c>
      <c r="AQ122" s="161">
        <f>'Divisional Summary'!CH157</f>
        <v>85</v>
      </c>
      <c r="AR122" s="161">
        <f>'Divisional Summary'!CI157</f>
        <v>85</v>
      </c>
      <c r="AS122" s="161">
        <f>'Divisional Summary'!CJ157</f>
        <v>85</v>
      </c>
      <c r="AT122" s="161">
        <f>'Divisional Summary'!CK157</f>
        <v>85</v>
      </c>
      <c r="AU122" s="160">
        <f>'Divisional Summary'!CL157</f>
        <v>340</v>
      </c>
      <c r="AV122" s="2036">
        <f>'Divisional Summary'!CM157</f>
        <v>89.993772682345551</v>
      </c>
      <c r="AW122" s="2036">
        <f>'Divisional Summary'!CN157</f>
        <v>89.993772682345551</v>
      </c>
      <c r="AX122" s="2036">
        <f>'Divisional Summary'!CO157</f>
        <v>89.993772682345551</v>
      </c>
      <c r="AY122" s="2036">
        <f>'Divisional Summary'!CP157</f>
        <v>89.993772682345536</v>
      </c>
      <c r="AZ122" s="160">
        <f>'Divisional Summary'!CQ157</f>
        <v>359.9750907293822</v>
      </c>
      <c r="BA122" s="2036">
        <f>'Divisional Summary'!CR157</f>
        <v>95.052532457072601</v>
      </c>
      <c r="BB122" s="2036">
        <f>'Divisional Summary'!CS157</f>
        <v>95.052532457072601</v>
      </c>
      <c r="BC122" s="2036">
        <f>'Divisional Summary'!CT157</f>
        <v>95.052532457072601</v>
      </c>
      <c r="BD122" s="2036">
        <f>'Divisional Summary'!CU157</f>
        <v>95.05253245707263</v>
      </c>
      <c r="BE122" s="160">
        <f>'Divisional Summary'!CV157</f>
        <v>380.21012982829041</v>
      </c>
      <c r="BF122" s="160">
        <f>'Divisional Summary'!CW157</f>
        <v>390.25333199833437</v>
      </c>
      <c r="BG122" s="179"/>
      <c r="BH122" s="179"/>
      <c r="BI122" s="179"/>
      <c r="BJ122" s="179"/>
      <c r="BK122" s="179"/>
      <c r="BL122" s="179"/>
      <c r="BM122" s="179"/>
      <c r="BN122" s="179"/>
      <c r="BO122" s="179"/>
      <c r="BP122" s="179"/>
      <c r="BQ122" s="179"/>
      <c r="BR122" s="179"/>
      <c r="BS122" s="179"/>
      <c r="BT122" s="179"/>
      <c r="BU122" s="179"/>
      <c r="BV122" s="179"/>
    </row>
    <row r="123" spans="1:74">
      <c r="A123" s="147" t="str">
        <f>A115</f>
        <v>Pratt &amp; Whitney</v>
      </c>
      <c r="B123" s="160">
        <f>'Divisional Summary'!AS160</f>
        <v>384</v>
      </c>
      <c r="C123" s="161">
        <f>'Divisional Summary'!AT160</f>
        <v>103</v>
      </c>
      <c r="D123" s="161">
        <f>'Divisional Summary'!AU160</f>
        <v>103</v>
      </c>
      <c r="E123" s="161">
        <f>'Divisional Summary'!AV160</f>
        <v>103</v>
      </c>
      <c r="F123" s="161">
        <f>'Divisional Summary'!AW160</f>
        <v>103</v>
      </c>
      <c r="G123" s="160">
        <f>'Divisional Summary'!AX160</f>
        <v>412</v>
      </c>
      <c r="H123" s="161">
        <f>'Divisional Summary'!AY160</f>
        <v>72</v>
      </c>
      <c r="I123" s="161">
        <f>'Divisional Summary'!AZ160</f>
        <v>72</v>
      </c>
      <c r="J123" s="161">
        <f>'Divisional Summary'!BA160</f>
        <v>72</v>
      </c>
      <c r="K123" s="161">
        <f>'Divisional Summary'!BB160</f>
        <v>72</v>
      </c>
      <c r="L123" s="160">
        <f>'Divisional Summary'!BC160</f>
        <v>288</v>
      </c>
      <c r="M123" s="161">
        <f>'Divisional Summary'!BD160</f>
        <v>80.25</v>
      </c>
      <c r="N123" s="161">
        <f>'Divisional Summary'!BE160</f>
        <v>80.25</v>
      </c>
      <c r="O123" s="161">
        <f>'Divisional Summary'!BF160</f>
        <v>80.25</v>
      </c>
      <c r="P123" s="161">
        <f>'Divisional Summary'!BG160</f>
        <v>80.25</v>
      </c>
      <c r="Q123" s="160">
        <f>'Divisional Summary'!BH160</f>
        <v>321</v>
      </c>
      <c r="R123" s="161">
        <f>'Divisional Summary'!BI160</f>
        <v>72.5</v>
      </c>
      <c r="S123" s="161">
        <f>'Divisional Summary'!BJ160</f>
        <v>72.5</v>
      </c>
      <c r="T123" s="161">
        <f>'Divisional Summary'!BK160</f>
        <v>72.5</v>
      </c>
      <c r="U123" s="161">
        <f>'Divisional Summary'!BL160</f>
        <v>72.5</v>
      </c>
      <c r="V123" s="160">
        <f>'Divisional Summary'!BM160</f>
        <v>290</v>
      </c>
      <c r="W123" s="161">
        <f>'Divisional Summary'!BN160</f>
        <v>115.5</v>
      </c>
      <c r="X123" s="161">
        <f>'Divisional Summary'!BO160</f>
        <v>115.5</v>
      </c>
      <c r="Y123" s="161">
        <f>'Divisional Summary'!BP160</f>
        <v>115.5</v>
      </c>
      <c r="Z123" s="161">
        <f>'Divisional Summary'!BQ160</f>
        <v>115.5</v>
      </c>
      <c r="AA123" s="160">
        <f>'Divisional Summary'!BR160</f>
        <v>462</v>
      </c>
      <c r="AB123" s="161">
        <f>'Divisional Summary'!BS160</f>
        <v>154.25</v>
      </c>
      <c r="AC123" s="161">
        <f>'Divisional Summary'!BT160</f>
        <v>154.25</v>
      </c>
      <c r="AD123" s="161">
        <f>'Divisional Summary'!BU160</f>
        <v>154.25</v>
      </c>
      <c r="AE123" s="161">
        <f>'Divisional Summary'!BV160</f>
        <v>154.25</v>
      </c>
      <c r="AF123" s="160">
        <f>'Divisional Summary'!BW160</f>
        <v>617</v>
      </c>
      <c r="AG123" s="161">
        <f>'Divisional Summary'!BX160</f>
        <v>172.75</v>
      </c>
      <c r="AH123" s="161">
        <f>'Divisional Summary'!BY160</f>
        <v>172.75</v>
      </c>
      <c r="AI123" s="161">
        <f>'Divisional Summary'!BZ160</f>
        <v>172.75</v>
      </c>
      <c r="AJ123" s="161">
        <f>'Divisional Summary'!CA160</f>
        <v>172.75</v>
      </c>
      <c r="AK123" s="160">
        <f>'Divisional Summary'!CB160</f>
        <v>691</v>
      </c>
      <c r="AL123" s="161">
        <f>'Divisional Summary'!CC160</f>
        <v>173</v>
      </c>
      <c r="AM123" s="161">
        <f>'Divisional Summary'!CD160</f>
        <v>173</v>
      </c>
      <c r="AN123" s="161">
        <f>'Divisional Summary'!CE160</f>
        <v>173</v>
      </c>
      <c r="AO123" s="161">
        <f>'Divisional Summary'!CF160</f>
        <v>173</v>
      </c>
      <c r="AP123" s="160">
        <f>'Divisional Summary'!CG160</f>
        <v>692</v>
      </c>
      <c r="AQ123" s="161">
        <f>'Divisional Summary'!CH160</f>
        <v>181.25</v>
      </c>
      <c r="AR123" s="161">
        <f>'Divisional Summary'!CI160</f>
        <v>181.25</v>
      </c>
      <c r="AS123" s="161">
        <f>'Divisional Summary'!CJ160</f>
        <v>181.25</v>
      </c>
      <c r="AT123" s="161">
        <f>'Divisional Summary'!CK160</f>
        <v>181.25</v>
      </c>
      <c r="AU123" s="160">
        <f>'Divisional Summary'!CL160</f>
        <v>725</v>
      </c>
      <c r="AV123" s="2036">
        <f>'Divisional Summary'!CM160</f>
        <v>198.61935539340922</v>
      </c>
      <c r="AW123" s="2036">
        <f>'Divisional Summary'!CN160</f>
        <v>198.61935539340922</v>
      </c>
      <c r="AX123" s="2036">
        <f>'Divisional Summary'!CO160</f>
        <v>198.61935539340922</v>
      </c>
      <c r="AY123" s="2036">
        <f>'Divisional Summary'!CP160</f>
        <v>198.61935539340925</v>
      </c>
      <c r="AZ123" s="160">
        <f>'Divisional Summary'!CQ160</f>
        <v>794.47742157363689</v>
      </c>
      <c r="BA123" s="2036">
        <f>'Divisional Summary'!CR160</f>
        <v>170.2218442071532</v>
      </c>
      <c r="BB123" s="2036">
        <f>'Divisional Summary'!CS160</f>
        <v>170.2218442071532</v>
      </c>
      <c r="BC123" s="2036">
        <f>'Divisional Summary'!CT160</f>
        <v>170.2218442071532</v>
      </c>
      <c r="BD123" s="2036">
        <f>'Divisional Summary'!CU160</f>
        <v>170.2218442071532</v>
      </c>
      <c r="BE123" s="160">
        <f>'Divisional Summary'!CV160</f>
        <v>680.88737682861279</v>
      </c>
      <c r="BF123" s="160">
        <f>'Divisional Summary'!CW160</f>
        <v>638.726197690091</v>
      </c>
      <c r="BG123" s="147"/>
      <c r="BH123" s="147"/>
      <c r="BI123" s="147"/>
      <c r="BJ123" s="147"/>
      <c r="BK123" s="147"/>
      <c r="BL123" s="147"/>
      <c r="BM123" s="147"/>
      <c r="BN123" s="147"/>
      <c r="BO123" s="147"/>
      <c r="BP123" s="147"/>
      <c r="BQ123" s="147"/>
      <c r="BR123" s="147"/>
      <c r="BS123" s="147"/>
      <c r="BT123" s="147"/>
      <c r="BU123" s="147"/>
      <c r="BV123" s="147"/>
    </row>
    <row r="124" spans="1:74">
      <c r="A124" s="191" t="s">
        <v>164</v>
      </c>
      <c r="B124" s="160"/>
      <c r="C124" s="161"/>
      <c r="D124" s="161"/>
      <c r="E124" s="161"/>
      <c r="F124" s="161"/>
      <c r="G124" s="160"/>
      <c r="H124" s="161"/>
      <c r="I124" s="161"/>
      <c r="J124" s="161"/>
      <c r="K124" s="161"/>
      <c r="L124" s="160"/>
      <c r="M124" s="161"/>
      <c r="N124" s="161"/>
      <c r="O124" s="161"/>
      <c r="P124" s="161"/>
      <c r="Q124" s="160"/>
      <c r="R124" s="161">
        <f>'Divisional Summary'!BI162</f>
        <v>40.75</v>
      </c>
      <c r="S124" s="161">
        <f>'Divisional Summary'!BJ162</f>
        <v>40.75</v>
      </c>
      <c r="T124" s="161">
        <f>'Divisional Summary'!BK162</f>
        <v>40.75</v>
      </c>
      <c r="U124" s="161">
        <f>'Divisional Summary'!BL162</f>
        <v>40.75</v>
      </c>
      <c r="V124" s="160">
        <f>'Divisional Summary'!BM162</f>
        <v>163</v>
      </c>
      <c r="W124" s="161">
        <f>'Divisional Summary'!BN162</f>
        <v>91.75</v>
      </c>
      <c r="X124" s="161">
        <f>'Divisional Summary'!BO162</f>
        <v>91.75</v>
      </c>
      <c r="Y124" s="161">
        <f>'Divisional Summary'!BP162</f>
        <v>91.75</v>
      </c>
      <c r="Z124" s="161">
        <f>'Divisional Summary'!BQ162</f>
        <v>91.75</v>
      </c>
      <c r="AA124" s="160">
        <f>'Divisional Summary'!BR162</f>
        <v>367</v>
      </c>
      <c r="AB124" s="161">
        <f>'Divisional Summary'!BS162</f>
        <v>127.5</v>
      </c>
      <c r="AC124" s="161">
        <f>'Divisional Summary'!BT162</f>
        <v>127.5</v>
      </c>
      <c r="AD124" s="161">
        <f>'Divisional Summary'!BU162</f>
        <v>127.5</v>
      </c>
      <c r="AE124" s="161">
        <f>'Divisional Summary'!BV162</f>
        <v>127.5</v>
      </c>
      <c r="AF124" s="160">
        <f>'Divisional Summary'!BW162</f>
        <v>510</v>
      </c>
      <c r="AG124" s="161">
        <f>'Divisional Summary'!BX162</f>
        <v>133.25</v>
      </c>
      <c r="AH124" s="161">
        <f>'Divisional Summary'!BY162</f>
        <v>133.25</v>
      </c>
      <c r="AI124" s="161">
        <f>'Divisional Summary'!BZ162</f>
        <v>133.25</v>
      </c>
      <c r="AJ124" s="161">
        <f>'Divisional Summary'!CA162</f>
        <v>133.25</v>
      </c>
      <c r="AK124" s="160">
        <f>'Divisional Summary'!CB162</f>
        <v>533</v>
      </c>
      <c r="AL124" s="161">
        <f>'Divisional Summary'!CC162</f>
        <v>134.25</v>
      </c>
      <c r="AM124" s="161">
        <f>'Divisional Summary'!CD162</f>
        <v>134.25</v>
      </c>
      <c r="AN124" s="161">
        <f>'Divisional Summary'!CE162</f>
        <v>134.25</v>
      </c>
      <c r="AO124" s="161">
        <f>'Divisional Summary'!CF162</f>
        <v>134.25</v>
      </c>
      <c r="AP124" s="160">
        <f>'Divisional Summary'!CG162</f>
        <v>537</v>
      </c>
      <c r="AQ124" s="161">
        <f>'Divisional Summary'!CH162</f>
        <v>113</v>
      </c>
      <c r="AR124" s="161">
        <f>'Divisional Summary'!CI162</f>
        <v>113</v>
      </c>
      <c r="AS124" s="161">
        <f>'Divisional Summary'!CJ162</f>
        <v>113</v>
      </c>
      <c r="AT124" s="161">
        <f>'Divisional Summary'!CK162</f>
        <v>113</v>
      </c>
      <c r="AU124" s="160">
        <f>'Divisional Summary'!CL162</f>
        <v>452</v>
      </c>
      <c r="AV124" s="2036">
        <f>'Divisional Summary'!CM162</f>
        <v>117.03945994600002</v>
      </c>
      <c r="AW124" s="2036">
        <f>'Divisional Summary'!CN162</f>
        <v>117.03945994600002</v>
      </c>
      <c r="AX124" s="2036">
        <f>'Divisional Summary'!CO162</f>
        <v>117.03945994600002</v>
      </c>
      <c r="AY124" s="2036">
        <f>'Divisional Summary'!CP162</f>
        <v>117.03945994600002</v>
      </c>
      <c r="AZ124" s="160">
        <f>'Divisional Summary'!CQ162</f>
        <v>468.15783978400009</v>
      </c>
      <c r="BA124" s="2036">
        <f>'Divisional Summary'!CR162</f>
        <v>127.31721292620705</v>
      </c>
      <c r="BB124" s="2036">
        <f>'Divisional Summary'!CS162</f>
        <v>127.31721292620705</v>
      </c>
      <c r="BC124" s="2036">
        <f>'Divisional Summary'!CT162</f>
        <v>127.31721292620705</v>
      </c>
      <c r="BD124" s="2036">
        <f>'Divisional Summary'!CU162</f>
        <v>127.31721292620705</v>
      </c>
      <c r="BE124" s="160">
        <f>'Divisional Summary'!CV162</f>
        <v>509.26885170482819</v>
      </c>
      <c r="BF124" s="160">
        <f>'Divisional Summary'!CW162</f>
        <v>486.43087590237155</v>
      </c>
      <c r="BG124" s="147"/>
      <c r="BH124" s="147"/>
      <c r="BI124" s="147"/>
      <c r="BJ124" s="147"/>
      <c r="BK124" s="147"/>
      <c r="BL124" s="147"/>
      <c r="BM124" s="147"/>
      <c r="BN124" s="147"/>
      <c r="BO124" s="147"/>
      <c r="BP124" s="147"/>
      <c r="BQ124" s="147"/>
      <c r="BR124" s="147"/>
      <c r="BS124" s="147"/>
      <c r="BT124" s="147"/>
      <c r="BU124" s="147"/>
      <c r="BV124" s="147"/>
    </row>
    <row r="125" spans="1:74" hidden="1">
      <c r="A125" s="147" t="str">
        <f>A98</f>
        <v>Sikorsky</v>
      </c>
      <c r="B125" s="160">
        <f>'Divisional Summary'!AS164</f>
        <v>128</v>
      </c>
      <c r="C125" s="161">
        <f>'Divisional Summary'!AT164</f>
        <v>41.25</v>
      </c>
      <c r="D125" s="161">
        <f>'Divisional Summary'!AU164</f>
        <v>41.25</v>
      </c>
      <c r="E125" s="161">
        <f>'Divisional Summary'!AV164</f>
        <v>41.25</v>
      </c>
      <c r="F125" s="161">
        <f>'Divisional Summary'!AW164</f>
        <v>41.25</v>
      </c>
      <c r="G125" s="160">
        <f>'Divisional Summary'!AX164</f>
        <v>165</v>
      </c>
      <c r="H125" s="161">
        <f>'Divisional Summary'!AY164</f>
        <v>23.75</v>
      </c>
      <c r="I125" s="161">
        <f>'Divisional Summary'!AZ164</f>
        <v>23.75</v>
      </c>
      <c r="J125" s="161">
        <f>'Divisional Summary'!BA164</f>
        <v>23.75</v>
      </c>
      <c r="K125" s="161">
        <f>'Divisional Summary'!BB164</f>
        <v>23.75</v>
      </c>
      <c r="L125" s="160">
        <f>'Divisional Summary'!BC164</f>
        <v>95</v>
      </c>
      <c r="M125" s="161">
        <f>'Divisional Summary'!BD164</f>
        <v>27</v>
      </c>
      <c r="N125" s="161">
        <f>'Divisional Summary'!BE164</f>
        <v>27</v>
      </c>
      <c r="O125" s="161">
        <f>'Divisional Summary'!BF164</f>
        <v>27</v>
      </c>
      <c r="P125" s="161">
        <f>'Divisional Summary'!BG164</f>
        <v>27</v>
      </c>
      <c r="Q125" s="160">
        <f>'Divisional Summary'!BH164</f>
        <v>108</v>
      </c>
      <c r="R125" s="161">
        <f>'Divisional Summary'!BI164</f>
        <v>23</v>
      </c>
      <c r="S125" s="161">
        <f>'Divisional Summary'!BJ164</f>
        <v>23</v>
      </c>
      <c r="T125" s="161">
        <f>'Divisional Summary'!BK164</f>
        <v>23</v>
      </c>
      <c r="U125" s="161">
        <f>'Divisional Summary'!BL164</f>
        <v>23</v>
      </c>
      <c r="V125" s="160">
        <f>'Divisional Summary'!BM164</f>
        <v>92</v>
      </c>
      <c r="W125" s="161">
        <f>'Divisional Summary'!BN164</f>
        <v>23.5</v>
      </c>
      <c r="X125" s="161">
        <f>'Divisional Summary'!BO164</f>
        <v>23.5</v>
      </c>
      <c r="Y125" s="161">
        <f>'Divisional Summary'!BP164</f>
        <v>23.5</v>
      </c>
      <c r="Z125" s="161">
        <f>'Divisional Summary'!BQ164</f>
        <v>23.5</v>
      </c>
      <c r="AA125" s="160">
        <f>'Divisional Summary'!BR164</f>
        <v>94</v>
      </c>
      <c r="AB125" s="161">
        <f>'Divisional Summary'!BS164</f>
        <v>29.75</v>
      </c>
      <c r="AC125" s="161">
        <f>'Divisional Summary'!BT164</f>
        <v>29.75</v>
      </c>
      <c r="AD125" s="161">
        <f>'Divisional Summary'!BU164</f>
        <v>29.75</v>
      </c>
      <c r="AE125" s="161">
        <f>'Divisional Summary'!BV164</f>
        <v>29.75</v>
      </c>
      <c r="AF125" s="160">
        <f>'Divisional Summary'!BW164</f>
        <v>119</v>
      </c>
      <c r="AG125" s="161">
        <f>'Divisional Summary'!BX164</f>
        <v>29</v>
      </c>
      <c r="AH125" s="161">
        <f>'Divisional Summary'!BY164</f>
        <v>29</v>
      </c>
      <c r="AI125" s="161">
        <f>'Divisional Summary'!BZ164</f>
        <v>29</v>
      </c>
      <c r="AJ125" s="161">
        <f>'Divisional Summary'!CA164</f>
        <v>29</v>
      </c>
      <c r="AK125" s="160">
        <f>'Divisional Summary'!CB164</f>
        <v>116</v>
      </c>
      <c r="AL125" s="161">
        <f>'Divisional Summary'!CC164</f>
        <v>0</v>
      </c>
      <c r="AM125" s="161">
        <f>'Divisional Summary'!CD164</f>
        <v>0</v>
      </c>
      <c r="AN125" s="161">
        <f>'Divisional Summary'!CE164</f>
        <v>0</v>
      </c>
      <c r="AO125" s="161">
        <f>'Divisional Summary'!CF164</f>
        <v>0</v>
      </c>
      <c r="AP125" s="160">
        <f>'Divisional Summary'!CG164</f>
        <v>0</v>
      </c>
      <c r="AQ125" s="161">
        <f>'Divisional Summary'!CH164</f>
        <v>0</v>
      </c>
      <c r="AR125" s="161">
        <f>'Divisional Summary'!CI164</f>
        <v>0</v>
      </c>
      <c r="AS125" s="161">
        <f>'Divisional Summary'!CJ164</f>
        <v>0</v>
      </c>
      <c r="AT125" s="161">
        <f>'Divisional Summary'!CK164</f>
        <v>0</v>
      </c>
      <c r="AU125" s="160">
        <f>'Divisional Summary'!CL164</f>
        <v>0</v>
      </c>
      <c r="AV125" s="2036">
        <f>'Divisional Summary'!CM164</f>
        <v>0</v>
      </c>
      <c r="AW125" s="2036">
        <f>'Divisional Summary'!CN164</f>
        <v>0</v>
      </c>
      <c r="AX125" s="2036">
        <f>'Divisional Summary'!CO164</f>
        <v>0</v>
      </c>
      <c r="AY125" s="2036">
        <f>'Divisional Summary'!CP164</f>
        <v>0</v>
      </c>
      <c r="AZ125" s="160">
        <f>'Divisional Summary'!CQ164</f>
        <v>0</v>
      </c>
      <c r="BA125" s="2036">
        <f>'Divisional Summary'!CR164</f>
        <v>0</v>
      </c>
      <c r="BB125" s="2036">
        <f>'Divisional Summary'!CS164</f>
        <v>0</v>
      </c>
      <c r="BC125" s="2036">
        <f>'Divisional Summary'!CT164</f>
        <v>0</v>
      </c>
      <c r="BD125" s="2036">
        <f>'Divisional Summary'!CU164</f>
        <v>0</v>
      </c>
      <c r="BE125" s="160">
        <f>'Divisional Summary'!CV164</f>
        <v>0</v>
      </c>
      <c r="BF125" s="160">
        <f>'Divisional Summary'!CW164</f>
        <v>0</v>
      </c>
      <c r="BG125" s="147"/>
      <c r="BH125" s="147"/>
      <c r="BI125" s="147"/>
      <c r="BJ125" s="147"/>
      <c r="BK125" s="147"/>
      <c r="BL125" s="147"/>
      <c r="BM125" s="147"/>
      <c r="BN125" s="147"/>
      <c r="BO125" s="147"/>
      <c r="BP125" s="147"/>
      <c r="BQ125" s="147"/>
      <c r="BR125" s="147"/>
      <c r="BS125" s="147"/>
      <c r="BT125" s="147"/>
      <c r="BU125" s="147"/>
      <c r="BV125" s="147"/>
    </row>
    <row r="126" spans="1:74">
      <c r="A126" s="153" t="str">
        <f>A102</f>
        <v>Corporate &amp; Eliminations</v>
      </c>
      <c r="B126" s="151">
        <f>'Divisional Summary'!AS165</f>
        <v>63</v>
      </c>
      <c r="C126" s="152">
        <f>'Divisional Summary'!AT165</f>
        <v>-51.5</v>
      </c>
      <c r="D126" s="152">
        <f>'Divisional Summary'!AU165</f>
        <v>16.5</v>
      </c>
      <c r="E126" s="152">
        <f>'Divisional Summary'!AV165</f>
        <v>-20.5</v>
      </c>
      <c r="F126" s="152">
        <f>'Divisional Summary'!AW165</f>
        <v>117.5</v>
      </c>
      <c r="G126" s="151">
        <f>'Divisional Summary'!AX165</f>
        <v>62</v>
      </c>
      <c r="H126" s="152">
        <f>'Divisional Summary'!AY165</f>
        <v>-14.5</v>
      </c>
      <c r="I126" s="152">
        <f>'Divisional Summary'!AZ165</f>
        <v>-8.5</v>
      </c>
      <c r="J126" s="152">
        <f>'Divisional Summary'!BA165</f>
        <v>-20.5</v>
      </c>
      <c r="K126" s="152">
        <f>'Divisional Summary'!BB165</f>
        <v>143.5</v>
      </c>
      <c r="L126" s="151">
        <f>'Divisional Summary'!BC165</f>
        <v>100</v>
      </c>
      <c r="M126" s="152">
        <f>'Divisional Summary'!BD165</f>
        <v>-61.75</v>
      </c>
      <c r="N126" s="152">
        <f>'Divisional Summary'!BE165</f>
        <v>-53.75</v>
      </c>
      <c r="O126" s="152">
        <f>'Divisional Summary'!BF165</f>
        <v>-31.75</v>
      </c>
      <c r="P126" s="152">
        <f>'Divisional Summary'!BG165</f>
        <v>177.25</v>
      </c>
      <c r="Q126" s="151">
        <f>'Divisional Summary'!BH165</f>
        <v>30</v>
      </c>
      <c r="R126" s="152">
        <f>'Divisional Summary'!BI165</f>
        <v>-60.25</v>
      </c>
      <c r="S126" s="152">
        <f>'Divisional Summary'!BJ165</f>
        <v>-31.25</v>
      </c>
      <c r="T126" s="152">
        <f>'Divisional Summary'!BK165</f>
        <v>-32.25</v>
      </c>
      <c r="U126" s="152">
        <f>'Divisional Summary'!BL165</f>
        <v>127.75</v>
      </c>
      <c r="V126" s="151">
        <f>'Divisional Summary'!BM165</f>
        <v>4</v>
      </c>
      <c r="W126" s="152">
        <f>'Divisional Summary'!BN165</f>
        <v>-144.25</v>
      </c>
      <c r="X126" s="152">
        <f>'Divisional Summary'!BO165</f>
        <v>-89.25</v>
      </c>
      <c r="Y126" s="152">
        <f>'Divisional Summary'!BP165</f>
        <v>-15.25</v>
      </c>
      <c r="Z126" s="152">
        <f>'Divisional Summary'!BQ165</f>
        <v>308.75</v>
      </c>
      <c r="AA126" s="151">
        <f>'Divisional Summary'!BR165</f>
        <v>60</v>
      </c>
      <c r="AB126" s="152">
        <f>'Divisional Summary'!BS165</f>
        <v>-113.5</v>
      </c>
      <c r="AC126" s="152">
        <f>'Divisional Summary'!BT165</f>
        <v>-39.5</v>
      </c>
      <c r="AD126" s="152">
        <f>'Divisional Summary'!BU165</f>
        <v>-25.5</v>
      </c>
      <c r="AE126" s="152">
        <f>'Divisional Summary'!BV165</f>
        <v>232.5</v>
      </c>
      <c r="AF126" s="151">
        <f>'Divisional Summary'!BW165</f>
        <v>54</v>
      </c>
      <c r="AG126" s="152">
        <f>'Divisional Summary'!BX165</f>
        <v>-80.75</v>
      </c>
      <c r="AH126" s="152">
        <f>'Divisional Summary'!BY165</f>
        <v>-7.75</v>
      </c>
      <c r="AI126" s="152">
        <f>'Divisional Summary'!BZ165</f>
        <v>1.25</v>
      </c>
      <c r="AJ126" s="152">
        <f>'Divisional Summary'!CA165</f>
        <v>143.25</v>
      </c>
      <c r="AK126" s="151">
        <f>'Divisional Summary'!CB165</f>
        <v>56</v>
      </c>
      <c r="AL126" s="152">
        <f>'Divisional Summary'!CC165</f>
        <v>-45.25</v>
      </c>
      <c r="AM126" s="152">
        <f>'Divisional Summary'!CD165</f>
        <v>-35.25</v>
      </c>
      <c r="AN126" s="152">
        <f>'Divisional Summary'!CE165</f>
        <v>-3.25</v>
      </c>
      <c r="AO126" s="152">
        <f>'Divisional Summary'!CF165</f>
        <v>214.75</v>
      </c>
      <c r="AP126" s="151">
        <f>'Divisional Summary'!CG165</f>
        <v>131</v>
      </c>
      <c r="AQ126" s="152">
        <f>'Divisional Summary'!CH165</f>
        <v>-116.75</v>
      </c>
      <c r="AR126" s="152">
        <f>'Divisional Summary'!CI165</f>
        <v>-39.75</v>
      </c>
      <c r="AS126" s="152">
        <f>'Divisional Summary'!CJ165</f>
        <v>-8.75</v>
      </c>
      <c r="AT126" s="152">
        <f>'Divisional Summary'!CK165</f>
        <v>253.25</v>
      </c>
      <c r="AU126" s="151">
        <f>'Divisional Summary'!CL165</f>
        <v>88</v>
      </c>
      <c r="AV126" s="2032">
        <f>'Divisional Summary'!CM165</f>
        <v>-104.78936428596077</v>
      </c>
      <c r="AW126" s="2032">
        <f>'Divisional Summary'!CN165</f>
        <v>16.210635714039228</v>
      </c>
      <c r="AX126" s="2032">
        <f>'Divisional Summary'!CO165</f>
        <v>13.210635714039228</v>
      </c>
      <c r="AY126" s="2032">
        <f>'Divisional Summary'!CP165</f>
        <v>30</v>
      </c>
      <c r="AZ126" s="151">
        <f>'Divisional Summary'!CQ165</f>
        <v>-45.368092857882317</v>
      </c>
      <c r="BA126" s="2032">
        <f>'Divisional Summary'!CR165</f>
        <v>15</v>
      </c>
      <c r="BB126" s="2032">
        <f>'Divisional Summary'!CS165</f>
        <v>15</v>
      </c>
      <c r="BC126" s="2032">
        <f>'Divisional Summary'!CT165</f>
        <v>15</v>
      </c>
      <c r="BD126" s="2032">
        <f>'Divisional Summary'!CU165</f>
        <v>15</v>
      </c>
      <c r="BE126" s="151">
        <f>'Divisional Summary'!CV165</f>
        <v>60</v>
      </c>
      <c r="BF126" s="151">
        <f>'Divisional Summary'!CW165</f>
        <v>60</v>
      </c>
      <c r="BG126" s="147"/>
      <c r="BH126" s="147"/>
      <c r="BI126" s="147"/>
      <c r="BJ126" s="147"/>
      <c r="BK126" s="147"/>
      <c r="BL126" s="147"/>
      <c r="BM126" s="147"/>
      <c r="BN126" s="147"/>
      <c r="BO126" s="147"/>
      <c r="BP126" s="147"/>
      <c r="BQ126" s="147"/>
      <c r="BR126" s="147"/>
      <c r="BS126" s="147"/>
      <c r="BT126" s="147"/>
      <c r="BU126" s="147"/>
      <c r="BV126" s="147"/>
    </row>
    <row r="127" spans="1:74">
      <c r="A127" s="179" t="s">
        <v>222</v>
      </c>
      <c r="B127" s="172">
        <f>'Divisional Summary'!AS166</f>
        <v>1153</v>
      </c>
      <c r="C127" s="173">
        <f>'Divisional Summary'!AT166</f>
        <v>237</v>
      </c>
      <c r="D127" s="173">
        <f>'Divisional Summary'!AU166</f>
        <v>305</v>
      </c>
      <c r="E127" s="173">
        <f>'Divisional Summary'!AV166</f>
        <v>268</v>
      </c>
      <c r="F127" s="173">
        <f>'Divisional Summary'!AW166</f>
        <v>406</v>
      </c>
      <c r="G127" s="172">
        <f>'Divisional Summary'!AX166</f>
        <v>1216</v>
      </c>
      <c r="H127" s="173">
        <f>'Divisional Summary'!AY166</f>
        <v>167</v>
      </c>
      <c r="I127" s="173">
        <f>'Divisional Summary'!AZ166</f>
        <v>173</v>
      </c>
      <c r="J127" s="173">
        <f>'Divisional Summary'!BA166</f>
        <v>161</v>
      </c>
      <c r="K127" s="173">
        <f>'Divisional Summary'!BB166</f>
        <v>325</v>
      </c>
      <c r="L127" s="172">
        <f>'Divisional Summary'!BC166</f>
        <v>826</v>
      </c>
      <c r="M127" s="173">
        <f>'Divisional Summary'!BD166</f>
        <v>147</v>
      </c>
      <c r="N127" s="173">
        <f>'Divisional Summary'!BE166</f>
        <v>155</v>
      </c>
      <c r="O127" s="173">
        <f>'Divisional Summary'!BF166</f>
        <v>177</v>
      </c>
      <c r="P127" s="173">
        <f>'Divisional Summary'!BG166</f>
        <v>386</v>
      </c>
      <c r="Q127" s="172">
        <f>'Divisional Summary'!BH166</f>
        <v>865</v>
      </c>
      <c r="R127" s="173">
        <f>'Divisional Summary'!BI166</f>
        <v>171</v>
      </c>
      <c r="S127" s="173">
        <f>'Divisional Summary'!BJ166</f>
        <v>200</v>
      </c>
      <c r="T127" s="173">
        <f>'Divisional Summary'!BK166</f>
        <v>199</v>
      </c>
      <c r="U127" s="173">
        <f>'Divisional Summary'!BL166</f>
        <v>359</v>
      </c>
      <c r="V127" s="172">
        <f>'Divisional Summary'!BM166</f>
        <v>929</v>
      </c>
      <c r="W127" s="173">
        <f>'Divisional Summary'!BN166</f>
        <v>188</v>
      </c>
      <c r="X127" s="173">
        <f>'Divisional Summary'!BO166</f>
        <v>243</v>
      </c>
      <c r="Y127" s="173">
        <f>'Divisional Summary'!BP166</f>
        <v>317</v>
      </c>
      <c r="Z127" s="173">
        <f>'Divisional Summary'!BQ166</f>
        <v>641</v>
      </c>
      <c r="AA127" s="172">
        <f>'Divisional Summary'!BR166</f>
        <v>1389</v>
      </c>
      <c r="AB127" s="173">
        <f>'Divisional Summary'!BS166</f>
        <v>295</v>
      </c>
      <c r="AC127" s="173">
        <f>'Divisional Summary'!BT166</f>
        <v>369</v>
      </c>
      <c r="AD127" s="173">
        <f>'Divisional Summary'!BU166</f>
        <v>383</v>
      </c>
      <c r="AE127" s="173">
        <f>'Divisional Summary'!BV166</f>
        <v>641</v>
      </c>
      <c r="AF127" s="172">
        <f>'Divisional Summary'!BW166</f>
        <v>1688</v>
      </c>
      <c r="AG127" s="173">
        <f>'Divisional Summary'!BX166</f>
        <v>333</v>
      </c>
      <c r="AH127" s="173">
        <f>'Divisional Summary'!BY166</f>
        <v>406</v>
      </c>
      <c r="AI127" s="173">
        <f>'Divisional Summary'!BZ166</f>
        <v>415</v>
      </c>
      <c r="AJ127" s="173">
        <f>'Divisional Summary'!CA166</f>
        <v>557</v>
      </c>
      <c r="AK127" s="172">
        <f>'Divisional Summary'!CB166</f>
        <v>1711</v>
      </c>
      <c r="AL127" s="173">
        <f>'Divisional Summary'!CC166</f>
        <v>348</v>
      </c>
      <c r="AM127" s="173">
        <f>'Divisional Summary'!CD166</f>
        <v>358</v>
      </c>
      <c r="AN127" s="173">
        <f>'Divisional Summary'!CE166</f>
        <v>390</v>
      </c>
      <c r="AO127" s="173">
        <f>'Divisional Summary'!CF166</f>
        <v>608</v>
      </c>
      <c r="AP127" s="172">
        <f>'Divisional Summary'!CG166</f>
        <v>1704</v>
      </c>
      <c r="AQ127" s="173">
        <f>'Divisional Summary'!CH166</f>
        <v>286</v>
      </c>
      <c r="AR127" s="173">
        <f>'Divisional Summary'!CI166</f>
        <v>363</v>
      </c>
      <c r="AS127" s="173">
        <f>'Divisional Summary'!CJ166</f>
        <v>394</v>
      </c>
      <c r="AT127" s="173">
        <f>'Divisional Summary'!CK166</f>
        <v>656</v>
      </c>
      <c r="AU127" s="172">
        <f>'Divisional Summary'!CL166</f>
        <v>1699</v>
      </c>
      <c r="AV127" s="2039">
        <f>'Divisional Summary'!CM166</f>
        <v>325</v>
      </c>
      <c r="AW127" s="2039">
        <f>'Divisional Summary'!CN166</f>
        <v>446</v>
      </c>
      <c r="AX127" s="2039">
        <f>'Divisional Summary'!CO166</f>
        <v>443</v>
      </c>
      <c r="AY127" s="2039">
        <f>'Divisional Summary'!CP166</f>
        <v>459.7893642859608</v>
      </c>
      <c r="AZ127" s="172">
        <f>'Divisional Summary'!CQ166</f>
        <v>1673.7893642859606</v>
      </c>
      <c r="BA127" s="2039">
        <f>'Divisional Summary'!CR166</f>
        <v>433.02519047101589</v>
      </c>
      <c r="BB127" s="2039">
        <f>'Divisional Summary'!CS166</f>
        <v>433.02519047101589</v>
      </c>
      <c r="BC127" s="2039">
        <f>'Divisional Summary'!CT166</f>
        <v>433.02519047101589</v>
      </c>
      <c r="BD127" s="2039">
        <f>'Divisional Summary'!CU166</f>
        <v>433.02519047101589</v>
      </c>
      <c r="BE127" s="172">
        <f>'Divisional Summary'!CV166</f>
        <v>1732.1007618840636</v>
      </c>
      <c r="BF127" s="172">
        <f>'Divisional Summary'!CW166</f>
        <v>1679.3050242212528</v>
      </c>
      <c r="BG127" s="147"/>
      <c r="BH127" s="147"/>
      <c r="BI127" s="147"/>
      <c r="BJ127" s="147"/>
      <c r="BK127" s="147"/>
      <c r="BL127" s="147"/>
      <c r="BM127" s="147"/>
      <c r="BN127" s="147"/>
      <c r="BO127" s="147"/>
      <c r="BP127" s="147"/>
      <c r="BQ127" s="147"/>
      <c r="BR127" s="147"/>
      <c r="BS127" s="147"/>
      <c r="BT127" s="147"/>
      <c r="BU127" s="147"/>
      <c r="BV127" s="147"/>
    </row>
    <row r="128" spans="1:74">
      <c r="A128" s="182"/>
      <c r="B128" s="186"/>
      <c r="C128" s="183"/>
      <c r="D128" s="183"/>
      <c r="E128" s="183"/>
      <c r="F128" s="183"/>
      <c r="G128" s="182"/>
      <c r="H128" s="182"/>
      <c r="I128" s="182"/>
      <c r="J128" s="182"/>
      <c r="K128" s="182"/>
      <c r="L128" s="182"/>
      <c r="M128" s="182"/>
      <c r="N128" s="182"/>
      <c r="O128" s="182"/>
      <c r="P128" s="182"/>
      <c r="Q128" s="182"/>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2"/>
      <c r="AQ128" s="186"/>
      <c r="AR128" s="186"/>
      <c r="AS128" s="186"/>
      <c r="AT128" s="186"/>
      <c r="AU128" s="182"/>
      <c r="AV128" s="2044"/>
      <c r="AW128" s="2044"/>
      <c r="AX128" s="2044"/>
      <c r="AY128" s="2044"/>
      <c r="AZ128" s="182"/>
      <c r="BA128" s="2044"/>
      <c r="BB128" s="2044"/>
      <c r="BC128" s="2044"/>
      <c r="BD128" s="2044"/>
      <c r="BE128" s="182"/>
      <c r="BF128" s="2043"/>
      <c r="BG128" s="182"/>
      <c r="BH128" s="182"/>
      <c r="BI128" s="182"/>
      <c r="BJ128" s="182"/>
      <c r="BK128" s="182"/>
      <c r="BL128" s="182"/>
      <c r="BM128" s="182"/>
      <c r="BN128" s="182"/>
      <c r="BO128" s="182"/>
      <c r="BP128" s="182"/>
      <c r="BQ128" s="182"/>
      <c r="BR128" s="182"/>
      <c r="BS128" s="182"/>
      <c r="BT128" s="182"/>
      <c r="BU128" s="182"/>
      <c r="BV128" s="182"/>
    </row>
    <row r="129" spans="1:74">
      <c r="A129" s="182"/>
      <c r="B129" s="182"/>
      <c r="C129" s="183"/>
      <c r="D129" s="183"/>
      <c r="E129" s="183"/>
      <c r="F129" s="183"/>
      <c r="G129" s="182"/>
      <c r="H129" s="182"/>
      <c r="I129" s="182"/>
      <c r="J129" s="182"/>
      <c r="K129" s="182"/>
      <c r="L129" s="182"/>
      <c r="M129" s="182"/>
      <c r="N129" s="182"/>
      <c r="O129" s="182"/>
      <c r="P129" s="182"/>
      <c r="Q129" s="182"/>
      <c r="R129" s="182"/>
      <c r="S129" s="182"/>
      <c r="T129" s="182"/>
      <c r="U129" s="182"/>
      <c r="V129" s="182"/>
      <c r="W129" s="182"/>
      <c r="X129" s="182"/>
      <c r="Y129" s="182"/>
      <c r="Z129" s="182"/>
      <c r="AA129" s="182"/>
      <c r="AB129" s="182"/>
      <c r="AC129" s="182"/>
      <c r="AD129" s="182"/>
      <c r="AE129" s="182"/>
      <c r="AF129" s="182"/>
      <c r="AG129" s="182"/>
      <c r="AH129" s="182"/>
      <c r="AI129" s="182"/>
      <c r="AJ129" s="182"/>
      <c r="AK129" s="182"/>
      <c r="AL129" s="182"/>
      <c r="AM129" s="182"/>
      <c r="AN129" s="182"/>
      <c r="AO129" s="182"/>
      <c r="AP129" s="182"/>
      <c r="AQ129" s="182"/>
      <c r="AR129" s="182"/>
      <c r="AS129" s="182"/>
      <c r="AT129" s="182"/>
      <c r="AU129" s="182"/>
      <c r="AV129" s="2043"/>
      <c r="AW129" s="2043"/>
      <c r="AX129" s="2043"/>
      <c r="AY129" s="2043"/>
      <c r="AZ129" s="182"/>
      <c r="BA129" s="2043"/>
      <c r="BB129" s="2043"/>
      <c r="BC129" s="2043"/>
      <c r="BD129" s="2043"/>
      <c r="BE129" s="182"/>
      <c r="BF129" s="2043"/>
      <c r="BG129" s="182"/>
      <c r="BH129" s="182"/>
      <c r="BI129" s="182"/>
      <c r="BJ129" s="182"/>
      <c r="BK129" s="182"/>
      <c r="BL129" s="182"/>
      <c r="BM129" s="182"/>
      <c r="BN129" s="182"/>
      <c r="BO129" s="182"/>
      <c r="BP129" s="182"/>
      <c r="BQ129" s="182"/>
      <c r="BR129" s="182"/>
      <c r="BS129" s="182"/>
      <c r="BT129" s="182"/>
      <c r="BU129" s="182"/>
      <c r="BV129" s="182"/>
    </row>
    <row r="130" spans="1:74">
      <c r="A130" s="185" t="s">
        <v>243</v>
      </c>
      <c r="B130" s="182"/>
      <c r="C130" s="183"/>
      <c r="D130" s="183"/>
      <c r="E130" s="183"/>
      <c r="F130" s="183"/>
      <c r="G130" s="182"/>
      <c r="H130" s="182"/>
      <c r="I130" s="182"/>
      <c r="J130" s="182"/>
      <c r="K130" s="182"/>
      <c r="L130" s="182"/>
      <c r="M130" s="182"/>
      <c r="N130" s="182"/>
      <c r="O130" s="182"/>
      <c r="P130" s="182"/>
      <c r="Q130" s="182"/>
      <c r="R130" s="182"/>
      <c r="S130" s="182"/>
      <c r="T130" s="182"/>
      <c r="U130" s="182"/>
      <c r="V130" s="182"/>
      <c r="W130" s="182"/>
      <c r="X130" s="182"/>
      <c r="Y130" s="182"/>
      <c r="Z130" s="182"/>
      <c r="AA130" s="182"/>
      <c r="AB130" s="182"/>
      <c r="AC130" s="182"/>
      <c r="AD130" s="182"/>
      <c r="AE130" s="182"/>
      <c r="AF130" s="182"/>
      <c r="AG130" s="182"/>
      <c r="AH130" s="182"/>
      <c r="AI130" s="182"/>
      <c r="AJ130" s="182"/>
      <c r="AK130" s="182"/>
      <c r="AL130" s="182"/>
      <c r="AM130" s="182"/>
      <c r="AN130" s="182"/>
      <c r="AO130" s="182"/>
      <c r="AP130" s="182"/>
      <c r="AQ130" s="182"/>
      <c r="AR130" s="182"/>
      <c r="AS130" s="182"/>
      <c r="AT130" s="182"/>
      <c r="AU130" s="182"/>
      <c r="AV130" s="2043"/>
      <c r="AW130" s="2043"/>
      <c r="AX130" s="2043"/>
      <c r="AY130" s="2043"/>
      <c r="AZ130" s="182"/>
      <c r="BA130" s="2043"/>
      <c r="BB130" s="2043"/>
      <c r="BC130" s="2043"/>
      <c r="BD130" s="2043"/>
      <c r="BE130" s="182"/>
      <c r="BF130" s="2043"/>
      <c r="BG130" s="182"/>
      <c r="BH130" s="182"/>
      <c r="BI130" s="182"/>
      <c r="BJ130" s="182"/>
      <c r="BK130" s="182"/>
      <c r="BL130" s="182"/>
      <c r="BM130" s="182"/>
      <c r="BN130" s="182"/>
      <c r="BO130" s="182"/>
      <c r="BP130" s="182"/>
      <c r="BQ130" s="182"/>
      <c r="BR130" s="182"/>
      <c r="BS130" s="182"/>
      <c r="BT130" s="182"/>
      <c r="BU130" s="182"/>
      <c r="BV130" s="182"/>
    </row>
    <row r="131" spans="1:74">
      <c r="A131" s="184"/>
      <c r="B131" s="182"/>
      <c r="C131" s="183"/>
      <c r="D131" s="183"/>
      <c r="E131" s="183"/>
      <c r="F131" s="183"/>
      <c r="G131" s="182"/>
      <c r="H131" s="182"/>
      <c r="I131" s="182"/>
      <c r="J131" s="182"/>
      <c r="K131" s="182"/>
      <c r="L131" s="182"/>
      <c r="M131" s="182"/>
      <c r="N131" s="182"/>
      <c r="O131" s="182"/>
      <c r="P131" s="182"/>
      <c r="Q131" s="182"/>
      <c r="R131" s="182"/>
      <c r="S131" s="182"/>
      <c r="T131" s="182"/>
      <c r="U131" s="182"/>
      <c r="V131" s="182"/>
      <c r="W131" s="182"/>
      <c r="X131" s="182"/>
      <c r="Y131" s="182"/>
      <c r="Z131" s="182"/>
      <c r="AA131" s="182"/>
      <c r="AB131" s="182"/>
      <c r="AC131" s="182"/>
      <c r="AD131" s="182"/>
      <c r="AE131" s="182"/>
      <c r="AF131" s="182"/>
      <c r="AG131" s="182"/>
      <c r="AH131" s="182"/>
      <c r="AI131" s="182"/>
      <c r="AJ131" s="182"/>
      <c r="AK131" s="182"/>
      <c r="AL131" s="182"/>
      <c r="AM131" s="182"/>
      <c r="AN131" s="182"/>
      <c r="AO131" s="182"/>
      <c r="AP131" s="182"/>
      <c r="AQ131" s="182"/>
      <c r="AR131" s="182"/>
      <c r="AS131" s="182"/>
      <c r="AT131" s="182"/>
      <c r="AU131" s="182"/>
      <c r="AV131" s="2043"/>
      <c r="AW131" s="2043"/>
      <c r="AX131" s="2043"/>
      <c r="AY131" s="2043"/>
      <c r="AZ131" s="182"/>
      <c r="BA131" s="2043"/>
      <c r="BB131" s="2043"/>
      <c r="BC131" s="2043"/>
      <c r="BD131" s="2043"/>
      <c r="BE131" s="182"/>
      <c r="BF131" s="2043"/>
      <c r="BG131" s="182"/>
      <c r="BH131" s="182"/>
      <c r="BI131" s="182"/>
      <c r="BJ131" s="182"/>
      <c r="BK131" s="182"/>
      <c r="BL131" s="182"/>
      <c r="BM131" s="182"/>
      <c r="BN131" s="182"/>
      <c r="BO131" s="182"/>
      <c r="BP131" s="182"/>
      <c r="BQ131" s="182"/>
      <c r="BR131" s="182"/>
      <c r="BS131" s="182"/>
      <c r="BT131" s="182"/>
      <c r="BU131" s="182"/>
      <c r="BV131" s="182"/>
    </row>
    <row r="132" spans="1:74">
      <c r="A132" s="150" t="s">
        <v>242</v>
      </c>
      <c r="B132" s="180">
        <v>2007</v>
      </c>
      <c r="C132" s="181" t="s">
        <v>198</v>
      </c>
      <c r="D132" s="181" t="s">
        <v>197</v>
      </c>
      <c r="E132" s="181" t="s">
        <v>196</v>
      </c>
      <c r="F132" s="181" t="s">
        <v>195</v>
      </c>
      <c r="G132" s="180">
        <v>2008</v>
      </c>
      <c r="H132" s="181" t="s">
        <v>194</v>
      </c>
      <c r="I132" s="181" t="s">
        <v>193</v>
      </c>
      <c r="J132" s="181" t="s">
        <v>192</v>
      </c>
      <c r="K132" s="181" t="s">
        <v>191</v>
      </c>
      <c r="L132" s="180">
        <v>2009</v>
      </c>
      <c r="M132" s="181" t="s">
        <v>190</v>
      </c>
      <c r="N132" s="181" t="s">
        <v>189</v>
      </c>
      <c r="O132" s="181" t="s">
        <v>188</v>
      </c>
      <c r="P132" s="181" t="s">
        <v>187</v>
      </c>
      <c r="Q132" s="180">
        <v>2010</v>
      </c>
      <c r="R132" s="181" t="s">
        <v>186</v>
      </c>
      <c r="S132" s="181" t="s">
        <v>185</v>
      </c>
      <c r="T132" s="181" t="s">
        <v>184</v>
      </c>
      <c r="U132" s="181" t="s">
        <v>183</v>
      </c>
      <c r="V132" s="180">
        <v>2011</v>
      </c>
      <c r="W132" s="181" t="s">
        <v>182</v>
      </c>
      <c r="X132" s="181" t="s">
        <v>181</v>
      </c>
      <c r="Y132" s="181" t="s">
        <v>180</v>
      </c>
      <c r="Z132" s="181" t="s">
        <v>179</v>
      </c>
      <c r="AA132" s="180">
        <v>2012</v>
      </c>
      <c r="AB132" s="181" t="s">
        <v>178</v>
      </c>
      <c r="AC132" s="181" t="s">
        <v>177</v>
      </c>
      <c r="AD132" s="181" t="str">
        <f t="shared" ref="AD132:AZ132" si="50">+AD59</f>
        <v>3Q13</v>
      </c>
      <c r="AE132" s="181" t="str">
        <f t="shared" si="50"/>
        <v>4Q13</v>
      </c>
      <c r="AF132" s="180">
        <f t="shared" si="50"/>
        <v>2013</v>
      </c>
      <c r="AG132" s="181" t="str">
        <f t="shared" si="50"/>
        <v>1Q14</v>
      </c>
      <c r="AH132" s="181" t="str">
        <f t="shared" si="50"/>
        <v>2Q14</v>
      </c>
      <c r="AI132" s="181" t="str">
        <f t="shared" si="50"/>
        <v>3Q14</v>
      </c>
      <c r="AJ132" s="181" t="str">
        <f t="shared" si="50"/>
        <v>4Q14</v>
      </c>
      <c r="AK132" s="180">
        <f t="shared" si="50"/>
        <v>2014</v>
      </c>
      <c r="AL132" s="181" t="str">
        <f t="shared" si="50"/>
        <v>1Q15</v>
      </c>
      <c r="AM132" s="181" t="str">
        <f t="shared" si="50"/>
        <v>2Q15</v>
      </c>
      <c r="AN132" s="181" t="str">
        <f t="shared" si="50"/>
        <v>3Q15</v>
      </c>
      <c r="AO132" s="181" t="str">
        <f t="shared" si="50"/>
        <v>4Q15</v>
      </c>
      <c r="AP132" s="180">
        <f t="shared" si="50"/>
        <v>2015</v>
      </c>
      <c r="AQ132" s="181" t="str">
        <f t="shared" si="50"/>
        <v>1Q16</v>
      </c>
      <c r="AR132" s="181" t="str">
        <f t="shared" si="50"/>
        <v>2Q16</v>
      </c>
      <c r="AS132" s="181" t="str">
        <f t="shared" si="50"/>
        <v>3Q16</v>
      </c>
      <c r="AT132" s="181" t="str">
        <f t="shared" si="50"/>
        <v>4Q16</v>
      </c>
      <c r="AU132" s="180">
        <f t="shared" si="50"/>
        <v>2016</v>
      </c>
      <c r="AV132" s="2042" t="str">
        <f>+AV59</f>
        <v>1Q17</v>
      </c>
      <c r="AW132" s="2042" t="str">
        <f>+AW59</f>
        <v>2Q17</v>
      </c>
      <c r="AX132" s="2042" t="str">
        <f>+AX59</f>
        <v>3Q17</v>
      </c>
      <c r="AY132" s="2042" t="str">
        <f>+AY59</f>
        <v>4Q17E</v>
      </c>
      <c r="AZ132" s="180" t="str">
        <f t="shared" si="50"/>
        <v>2017E</v>
      </c>
      <c r="BA132" s="2042" t="str">
        <f t="shared" ref="BA132:BF132" si="51">+BA59</f>
        <v>1Q18E</v>
      </c>
      <c r="BB132" s="2042" t="str">
        <f t="shared" si="51"/>
        <v>2Q18E</v>
      </c>
      <c r="BC132" s="2042" t="str">
        <f t="shared" si="51"/>
        <v>3Q18E</v>
      </c>
      <c r="BD132" s="2042" t="str">
        <f t="shared" si="51"/>
        <v>4Q18E</v>
      </c>
      <c r="BE132" s="180" t="str">
        <f t="shared" si="51"/>
        <v>2018E</v>
      </c>
      <c r="BF132" s="180" t="str">
        <f t="shared" si="51"/>
        <v>2019E</v>
      </c>
      <c r="BG132" s="147"/>
      <c r="BH132" s="147"/>
      <c r="BI132" s="147"/>
      <c r="BJ132" s="147"/>
      <c r="BK132" s="147"/>
      <c r="BL132" s="147"/>
      <c r="BM132" s="147"/>
      <c r="BN132" s="147"/>
      <c r="BO132" s="147"/>
      <c r="BP132" s="147"/>
      <c r="BQ132" s="147"/>
      <c r="BR132" s="147"/>
      <c r="BS132" s="147"/>
      <c r="BT132" s="147"/>
      <c r="BU132" s="147"/>
      <c r="BV132" s="147"/>
    </row>
    <row r="133" spans="1:74">
      <c r="A133" s="179"/>
      <c r="B133" s="178"/>
      <c r="C133" s="179"/>
      <c r="D133" s="179"/>
      <c r="E133" s="179"/>
      <c r="F133" s="179"/>
      <c r="G133" s="178"/>
      <c r="H133" s="179"/>
      <c r="I133" s="179"/>
      <c r="J133" s="179"/>
      <c r="K133" s="179"/>
      <c r="L133" s="178"/>
      <c r="M133" s="179"/>
      <c r="N133" s="179"/>
      <c r="O133" s="179"/>
      <c r="P133" s="179"/>
      <c r="Q133" s="178"/>
      <c r="R133" s="179"/>
      <c r="S133" s="179"/>
      <c r="T133" s="179"/>
      <c r="U133" s="179"/>
      <c r="V133" s="178"/>
      <c r="W133" s="179"/>
      <c r="X133" s="179"/>
      <c r="Y133" s="179"/>
      <c r="Z133" s="179"/>
      <c r="AA133" s="178"/>
      <c r="AB133" s="179"/>
      <c r="AC133" s="179"/>
      <c r="AD133" s="179"/>
      <c r="AE133" s="179"/>
      <c r="AF133" s="178"/>
      <c r="AG133" s="179"/>
      <c r="AH133" s="179"/>
      <c r="AI133" s="179"/>
      <c r="AJ133" s="179"/>
      <c r="AK133" s="178"/>
      <c r="AL133" s="179"/>
      <c r="AM133" s="179"/>
      <c r="AN133" s="179"/>
      <c r="AO133" s="179"/>
      <c r="AP133" s="178"/>
      <c r="AQ133" s="179"/>
      <c r="AR133" s="179"/>
      <c r="AS133" s="179"/>
      <c r="AT133" s="179"/>
      <c r="AU133" s="178"/>
      <c r="AV133" s="2041"/>
      <c r="AW133" s="2041"/>
      <c r="AX133" s="2041"/>
      <c r="AY133" s="2041"/>
      <c r="AZ133" s="178"/>
      <c r="BA133" s="2041"/>
      <c r="BB133" s="2041"/>
      <c r="BC133" s="2041"/>
      <c r="BD133" s="2041"/>
      <c r="BE133" s="178"/>
      <c r="BF133" s="178"/>
      <c r="BG133" s="147"/>
      <c r="BH133" s="147"/>
      <c r="BI133" s="147"/>
      <c r="BJ133" s="147"/>
      <c r="BK133" s="147"/>
      <c r="BL133" s="147"/>
      <c r="BM133" s="147"/>
      <c r="BN133" s="147"/>
      <c r="BO133" s="147"/>
      <c r="BP133" s="147"/>
      <c r="BQ133" s="147"/>
      <c r="BR133" s="147"/>
      <c r="BS133" s="147"/>
      <c r="BT133" s="147"/>
      <c r="BU133" s="147"/>
      <c r="BV133" s="147"/>
    </row>
    <row r="134" spans="1:74">
      <c r="A134" s="147" t="s">
        <v>241</v>
      </c>
      <c r="B134" s="160">
        <f>BS!AF13</f>
        <v>2904</v>
      </c>
      <c r="C134" s="161">
        <f>BS!AG13</f>
        <v>3139</v>
      </c>
      <c r="D134" s="161">
        <f>BS!AH13</f>
        <v>3442</v>
      </c>
      <c r="E134" s="161">
        <f>BS!AI13</f>
        <v>3615</v>
      </c>
      <c r="F134" s="161">
        <f>BS!AJ13</f>
        <v>4327</v>
      </c>
      <c r="G134" s="160">
        <f>BS!AK13</f>
        <v>4327</v>
      </c>
      <c r="H134" s="161">
        <f>BS!AL13</f>
        <v>3272</v>
      </c>
      <c r="I134" s="161">
        <f>BS!AM13</f>
        <v>4016</v>
      </c>
      <c r="J134" s="161">
        <f>BS!AN13</f>
        <v>4632</v>
      </c>
      <c r="K134" s="161">
        <f>BS!AO13</f>
        <v>4449</v>
      </c>
      <c r="L134" s="160">
        <f>BS!AP13</f>
        <v>4449</v>
      </c>
      <c r="M134" s="161">
        <f>BS!AQ13</f>
        <v>4788</v>
      </c>
      <c r="N134" s="161">
        <f>BS!AR13</f>
        <v>4997</v>
      </c>
      <c r="O134" s="161">
        <f>BS!AS13</f>
        <v>5731</v>
      </c>
      <c r="P134" s="161">
        <f>BS!AT13</f>
        <v>4083</v>
      </c>
      <c r="Q134" s="160">
        <f>BS!AU13</f>
        <v>4083</v>
      </c>
      <c r="R134" s="161">
        <f>BS!AV13</f>
        <v>4440</v>
      </c>
      <c r="S134" s="161">
        <f>BS!AW13</f>
        <v>5396</v>
      </c>
      <c r="T134" s="161">
        <f>BS!AX13</f>
        <v>5966</v>
      </c>
      <c r="U134" s="161">
        <f>BS!AY13</f>
        <v>5960</v>
      </c>
      <c r="V134" s="160">
        <f>BS!AZ13</f>
        <v>5960</v>
      </c>
      <c r="W134" s="161">
        <f>BS!BA13</f>
        <v>6285</v>
      </c>
      <c r="X134" s="161">
        <f>BS!BB13</f>
        <v>5966</v>
      </c>
      <c r="Y134" s="161">
        <f>BS!BC13</f>
        <v>6242</v>
      </c>
      <c r="Z134" s="161">
        <f>BS!BD13</f>
        <v>4819</v>
      </c>
      <c r="AA134" s="160">
        <f>BS!BE13</f>
        <v>4819</v>
      </c>
      <c r="AB134" s="161">
        <f>BS!BF13</f>
        <v>4767</v>
      </c>
      <c r="AC134" s="161">
        <f>BS!BG13</f>
        <v>4909</v>
      </c>
      <c r="AD134" s="161">
        <f>BS!BH13</f>
        <v>4621</v>
      </c>
      <c r="AE134" s="161">
        <f>BS!BI13</f>
        <v>4619</v>
      </c>
      <c r="AF134" s="160">
        <f>BS!BJ13</f>
        <v>4619</v>
      </c>
      <c r="AG134" s="161">
        <f>BS!BK13</f>
        <v>4477</v>
      </c>
      <c r="AH134" s="161">
        <f>BS!BL13</f>
        <v>4962</v>
      </c>
      <c r="AI134" s="161">
        <f>BS!BM13</f>
        <v>5035</v>
      </c>
      <c r="AJ134" s="161">
        <f>BS!BN13</f>
        <v>5235</v>
      </c>
      <c r="AK134" s="160">
        <f>BS!BO13</f>
        <v>5235</v>
      </c>
      <c r="AL134" s="161">
        <f>BS!BP13</f>
        <v>5281</v>
      </c>
      <c r="AM134" s="161">
        <f>BS!BQ13</f>
        <v>5933</v>
      </c>
      <c r="AN134" s="161">
        <f>BS!BR13</f>
        <v>5477</v>
      </c>
      <c r="AO134" s="161">
        <f>BS!BS13</f>
        <v>7075</v>
      </c>
      <c r="AP134" s="160">
        <f>BS!BT13</f>
        <v>7075</v>
      </c>
      <c r="AQ134" s="161">
        <f>BS!BU13</f>
        <v>7215</v>
      </c>
      <c r="AR134" s="161">
        <f>BS!BV13</f>
        <v>6785</v>
      </c>
      <c r="AS134" s="161">
        <f>BS!BW13</f>
        <v>7107</v>
      </c>
      <c r="AT134" s="161">
        <f>BS!BX13</f>
        <v>7157</v>
      </c>
      <c r="AU134" s="160">
        <f>BS!BY13</f>
        <v>7157</v>
      </c>
      <c r="AV134" s="2036">
        <f>BS!BZ13</f>
        <v>7156</v>
      </c>
      <c r="AW134" s="2036">
        <f>BS!CA13</f>
        <v>9345</v>
      </c>
      <c r="AX134" s="2036">
        <f>BS!CB13</f>
        <v>8523</v>
      </c>
      <c r="AY134" s="2036">
        <f>BS!CC13</f>
        <v>9652.5837213590057</v>
      </c>
      <c r="AZ134" s="160">
        <f>BS!CD13</f>
        <v>9652.5837213590057</v>
      </c>
      <c r="BA134" s="2036">
        <f>BS!CE13</f>
        <v>10625.631182800607</v>
      </c>
      <c r="BB134" s="2036">
        <f>BS!CF13</f>
        <v>12498.167736851534</v>
      </c>
      <c r="BC134" s="2036">
        <f>BS!CG13</f>
        <v>13618.175123518222</v>
      </c>
      <c r="BD134" s="2036">
        <f>BS!CH13</f>
        <v>15001.539697461132</v>
      </c>
      <c r="BE134" s="160">
        <f>BS!CI13</f>
        <v>15001.539697461132</v>
      </c>
      <c r="BF134" s="160">
        <f>BS!CJ13</f>
        <v>19520.239770380711</v>
      </c>
      <c r="BG134" s="147"/>
      <c r="BH134" s="147"/>
      <c r="BI134" s="147"/>
      <c r="BJ134" s="147"/>
      <c r="BK134" s="147"/>
      <c r="BL134" s="147"/>
      <c r="BM134" s="147"/>
      <c r="BN134" s="147"/>
      <c r="BO134" s="147"/>
      <c r="BP134" s="147"/>
      <c r="BQ134" s="147"/>
      <c r="BR134" s="147"/>
      <c r="BS134" s="147"/>
      <c r="BT134" s="147"/>
      <c r="BU134" s="147"/>
      <c r="BV134" s="147"/>
    </row>
    <row r="135" spans="1:74">
      <c r="A135" s="147" t="s">
        <v>240</v>
      </c>
      <c r="B135" s="160">
        <f>BS!AF15</f>
        <v>8844</v>
      </c>
      <c r="C135" s="161">
        <f>BS!AG15</f>
        <v>9558</v>
      </c>
      <c r="D135" s="161">
        <f>BS!AH15</f>
        <v>10103</v>
      </c>
      <c r="E135" s="161">
        <f>BS!AI15</f>
        <v>9346</v>
      </c>
      <c r="F135" s="161">
        <f>BS!AJ15</f>
        <v>9112</v>
      </c>
      <c r="G135" s="160">
        <f>BS!AK15</f>
        <v>9112</v>
      </c>
      <c r="H135" s="161">
        <f>BS!AL15</f>
        <v>8797</v>
      </c>
      <c r="I135" s="161">
        <f>BS!AM15</f>
        <v>8522</v>
      </c>
      <c r="J135" s="161">
        <f>BS!AN15</f>
        <v>8460</v>
      </c>
      <c r="K135" s="161">
        <f>BS!AO15</f>
        <v>8469</v>
      </c>
      <c r="L135" s="160">
        <f>BS!AP15</f>
        <v>8469</v>
      </c>
      <c r="M135" s="161">
        <f>BS!AQ15</f>
        <v>8737</v>
      </c>
      <c r="N135" s="161">
        <f>BS!AR15</f>
        <v>8881</v>
      </c>
      <c r="O135" s="161">
        <f>BS!AS15</f>
        <v>8731</v>
      </c>
      <c r="P135" s="161">
        <f>BS!AT15</f>
        <v>8925</v>
      </c>
      <c r="Q135" s="160">
        <f>BS!AU15</f>
        <v>8925</v>
      </c>
      <c r="R135" s="161">
        <f>BS!AV15</f>
        <v>9260</v>
      </c>
      <c r="S135" s="161">
        <f>BS!AW15</f>
        <v>9801</v>
      </c>
      <c r="T135" s="161">
        <f>BS!AX15</f>
        <v>9503</v>
      </c>
      <c r="U135" s="161">
        <f>BS!AY15</f>
        <v>9546</v>
      </c>
      <c r="V135" s="160">
        <f>BS!AZ15</f>
        <v>9546</v>
      </c>
      <c r="W135" s="161">
        <f>BS!BA15</f>
        <v>8833</v>
      </c>
      <c r="X135" s="161">
        <f>BS!BB15</f>
        <v>9538</v>
      </c>
      <c r="Y135" s="161">
        <f>BS!BC15</f>
        <v>10610</v>
      </c>
      <c r="Z135" s="161">
        <f>BS!BD15</f>
        <v>11099</v>
      </c>
      <c r="AA135" s="160">
        <f>BS!BE15</f>
        <v>11099</v>
      </c>
      <c r="AB135" s="161">
        <f>BS!BF15</f>
        <v>10791</v>
      </c>
      <c r="AC135" s="161">
        <f>BS!BG15</f>
        <v>11158</v>
      </c>
      <c r="AD135" s="161">
        <f>BS!BH15</f>
        <v>11135</v>
      </c>
      <c r="AE135" s="161">
        <f>BS!BI15</f>
        <v>11458</v>
      </c>
      <c r="AF135" s="160">
        <f>BS!BJ15</f>
        <v>11458</v>
      </c>
      <c r="AG135" s="161">
        <f>BS!BK15</f>
        <v>11537</v>
      </c>
      <c r="AH135" s="161">
        <f>BS!BL15</f>
        <v>11795</v>
      </c>
      <c r="AI135" s="161">
        <f>BS!BM15</f>
        <v>11080</v>
      </c>
      <c r="AJ135" s="161">
        <f>BS!BN15</f>
        <v>11317</v>
      </c>
      <c r="AK135" s="160">
        <f>BS!BO15</f>
        <v>11317</v>
      </c>
      <c r="AL135" s="161">
        <f>BS!BP15</f>
        <v>11512</v>
      </c>
      <c r="AM135" s="161">
        <f>BS!BQ15</f>
        <v>11516</v>
      </c>
      <c r="AN135" s="161">
        <f>BS!BR15</f>
        <v>10647</v>
      </c>
      <c r="AO135" s="161">
        <f>BS!BS15</f>
        <v>10653</v>
      </c>
      <c r="AP135" s="160">
        <f>BS!BT15</f>
        <v>10653</v>
      </c>
      <c r="AQ135" s="161">
        <f>BS!BU15</f>
        <v>10899</v>
      </c>
      <c r="AR135" s="161">
        <f>BS!BV15</f>
        <v>11544</v>
      </c>
      <c r="AS135" s="161">
        <f>BS!BW15</f>
        <v>11500</v>
      </c>
      <c r="AT135" s="161">
        <f>BS!BX15</f>
        <v>11481</v>
      </c>
      <c r="AU135" s="160">
        <f>BS!BY15</f>
        <v>11481</v>
      </c>
      <c r="AV135" s="2036">
        <f>BS!BZ15</f>
        <v>11840</v>
      </c>
      <c r="AW135" s="2036">
        <f>BS!CA15</f>
        <v>12597</v>
      </c>
      <c r="AX135" s="2036">
        <f>BS!CB15</f>
        <v>13128</v>
      </c>
      <c r="AY135" s="2036">
        <f>BS!CC15</f>
        <v>12023.188456734833</v>
      </c>
      <c r="AZ135" s="160">
        <f>BS!CD15</f>
        <v>12023.188456734833</v>
      </c>
      <c r="BA135" s="2036">
        <f>BS!CE15</f>
        <v>11733.868433401274</v>
      </c>
      <c r="BB135" s="2036">
        <f>BS!CF15</f>
        <v>13486.307323362986</v>
      </c>
      <c r="BC135" s="2036">
        <f>BS!CG15</f>
        <v>12658.820814653969</v>
      </c>
      <c r="BD135" s="2036">
        <f>BS!CH15</f>
        <v>12533.595412174031</v>
      </c>
      <c r="BE135" s="160">
        <f>BS!CI15</f>
        <v>12533.595412174031</v>
      </c>
      <c r="BF135" s="160">
        <f>BS!CJ15</f>
        <v>12422.785404089496</v>
      </c>
      <c r="BG135" s="147"/>
      <c r="BH135" s="147"/>
      <c r="BI135" s="147"/>
      <c r="BJ135" s="147"/>
      <c r="BK135" s="147"/>
      <c r="BL135" s="147"/>
      <c r="BM135" s="147"/>
      <c r="BN135" s="147"/>
      <c r="BO135" s="147"/>
      <c r="BP135" s="147"/>
      <c r="BQ135" s="147"/>
      <c r="BR135" s="147"/>
      <c r="BS135" s="147"/>
      <c r="BT135" s="147"/>
      <c r="BU135" s="147"/>
      <c r="BV135" s="147"/>
    </row>
    <row r="136" spans="1:74">
      <c r="A136" s="147" t="s">
        <v>239</v>
      </c>
      <c r="B136" s="160">
        <f>BS!AF16</f>
        <v>8101</v>
      </c>
      <c r="C136" s="161">
        <f>BS!AG16</f>
        <v>9075</v>
      </c>
      <c r="D136" s="161">
        <f>BS!AH16</f>
        <v>9082</v>
      </c>
      <c r="E136" s="161">
        <f>BS!AI16</f>
        <v>9011</v>
      </c>
      <c r="F136" s="161">
        <f>BS!AJ16</f>
        <v>8340</v>
      </c>
      <c r="G136" s="160">
        <f>BS!AK16</f>
        <v>8340</v>
      </c>
      <c r="H136" s="161">
        <f>BS!AL16</f>
        <v>8601</v>
      </c>
      <c r="I136" s="161">
        <f>BS!AM16</f>
        <v>8539</v>
      </c>
      <c r="J136" s="161">
        <f>BS!AN16</f>
        <v>8086</v>
      </c>
      <c r="K136" s="161">
        <f>BS!AO16</f>
        <v>7509</v>
      </c>
      <c r="L136" s="160">
        <f>BS!AP16</f>
        <v>7509</v>
      </c>
      <c r="M136" s="161">
        <f>BS!AQ16</f>
        <v>8172</v>
      </c>
      <c r="N136" s="161">
        <f>BS!AR16</f>
        <v>8083</v>
      </c>
      <c r="O136" s="161">
        <f>BS!AS16</f>
        <v>8430</v>
      </c>
      <c r="P136" s="161">
        <f>BS!AT16</f>
        <v>7766</v>
      </c>
      <c r="Q136" s="160">
        <f>BS!AU16</f>
        <v>7766</v>
      </c>
      <c r="R136" s="161">
        <f>BS!AV16</f>
        <v>8827</v>
      </c>
      <c r="S136" s="161">
        <f>BS!AW16</f>
        <v>8795</v>
      </c>
      <c r="T136" s="161">
        <f>BS!AX16</f>
        <v>8617</v>
      </c>
      <c r="U136" s="161">
        <f>BS!AY16</f>
        <v>7797</v>
      </c>
      <c r="V136" s="160">
        <f>BS!AZ16</f>
        <v>7797</v>
      </c>
      <c r="W136" s="161">
        <f>BS!BA16</f>
        <v>8366</v>
      </c>
      <c r="X136" s="161">
        <f>BS!BB16</f>
        <v>8502</v>
      </c>
      <c r="Y136" s="161">
        <f>BS!BC16</f>
        <v>10467</v>
      </c>
      <c r="Z136" s="161">
        <f>BS!BD16</f>
        <v>9537</v>
      </c>
      <c r="AA136" s="160">
        <f>BS!BE16</f>
        <v>9537</v>
      </c>
      <c r="AB136" s="161">
        <f>BS!BF16</f>
        <v>10161</v>
      </c>
      <c r="AC136" s="161">
        <f>BS!BG16</f>
        <v>10232</v>
      </c>
      <c r="AD136" s="161">
        <f>BS!BH16</f>
        <v>10765</v>
      </c>
      <c r="AE136" s="161">
        <f>BS!BI16</f>
        <v>10330</v>
      </c>
      <c r="AF136" s="160">
        <f>BS!BJ16</f>
        <v>10330</v>
      </c>
      <c r="AG136" s="161">
        <f>BS!BK16</f>
        <v>10992</v>
      </c>
      <c r="AH136" s="161">
        <f>BS!BL16</f>
        <v>9896</v>
      </c>
      <c r="AI136" s="161">
        <f>BS!BM16</f>
        <v>10341</v>
      </c>
      <c r="AJ136" s="161">
        <f>BS!BN16</f>
        <v>9865</v>
      </c>
      <c r="AK136" s="160">
        <f>BS!BO16</f>
        <v>9865</v>
      </c>
      <c r="AL136" s="161">
        <f>BS!BP16</f>
        <v>10336</v>
      </c>
      <c r="AM136" s="161">
        <f>BS!BQ16</f>
        <v>10295</v>
      </c>
      <c r="AN136" s="161">
        <f>BS!BR16</f>
        <v>8453</v>
      </c>
      <c r="AO136" s="161">
        <f>BS!BS16</f>
        <v>8135</v>
      </c>
      <c r="AP136" s="160">
        <f>BS!BT16</f>
        <v>8135</v>
      </c>
      <c r="AQ136" s="161">
        <f>BS!BU16</f>
        <v>8507</v>
      </c>
      <c r="AR136" s="161">
        <f>BS!BV16</f>
        <v>8747</v>
      </c>
      <c r="AS136" s="161">
        <f>BS!BW16</f>
        <v>9081</v>
      </c>
      <c r="AT136" s="161">
        <f>BS!BX16</f>
        <v>8704</v>
      </c>
      <c r="AU136" s="160">
        <f>BS!BY16</f>
        <v>8704</v>
      </c>
      <c r="AV136" s="2036">
        <f>BS!BZ16</f>
        <v>9386</v>
      </c>
      <c r="AW136" s="2036">
        <f>BS!CA16</f>
        <v>9860</v>
      </c>
      <c r="AX136" s="2036">
        <f>BS!CB16</f>
        <v>10083</v>
      </c>
      <c r="AY136" s="2036">
        <f>BS!CC16</f>
        <v>9915.8594517945839</v>
      </c>
      <c r="AZ136" s="160">
        <f>BS!CD16</f>
        <v>9915.8594517945839</v>
      </c>
      <c r="BA136" s="2036">
        <f>BS!CE16</f>
        <v>10099.777881061296</v>
      </c>
      <c r="BB136" s="2036">
        <f>BS!CF16</f>
        <v>10670.495528899062</v>
      </c>
      <c r="BC136" s="2036">
        <f>BS!CG16</f>
        <v>10495.989520554194</v>
      </c>
      <c r="BD136" s="2036">
        <f>BS!CH16</f>
        <v>9556.3852142196629</v>
      </c>
      <c r="BE136" s="160">
        <f>BS!CI16</f>
        <v>9556.3852142196629</v>
      </c>
      <c r="BF136" s="160">
        <f>BS!CJ16</f>
        <v>9153.9317524390772</v>
      </c>
      <c r="BG136" s="147"/>
      <c r="BH136" s="147"/>
      <c r="BI136" s="147"/>
      <c r="BJ136" s="147"/>
      <c r="BK136" s="147"/>
      <c r="BL136" s="147"/>
      <c r="BM136" s="147"/>
      <c r="BN136" s="147"/>
      <c r="BO136" s="147"/>
      <c r="BP136" s="147"/>
      <c r="BQ136" s="147"/>
      <c r="BR136" s="147"/>
      <c r="BS136" s="147"/>
      <c r="BT136" s="147"/>
      <c r="BU136" s="147"/>
      <c r="BV136" s="147"/>
    </row>
    <row r="137" spans="1:74">
      <c r="A137" s="153" t="s">
        <v>8</v>
      </c>
      <c r="B137" s="151">
        <f>BS!AF17+BS!AF18+BS!AF14</f>
        <v>2222</v>
      </c>
      <c r="C137" s="152">
        <f>BS!AG17+BS!AG18+BS!AG14</f>
        <v>2144</v>
      </c>
      <c r="D137" s="152">
        <f>BS!AH17+BS!AH18+BS!AH14</f>
        <v>2152</v>
      </c>
      <c r="E137" s="152">
        <f>BS!AI17+BS!AI18+BS!AI14</f>
        <v>2209</v>
      </c>
      <c r="F137" s="152">
        <f>BS!AJ17+BS!AJ18+BS!AJ14</f>
        <v>2320</v>
      </c>
      <c r="G137" s="151">
        <f>BS!AK17+BS!AK18+BS!AK14</f>
        <v>2320</v>
      </c>
      <c r="H137" s="152">
        <f>BS!AL17+BS!AL18+BS!AL14</f>
        <v>2552</v>
      </c>
      <c r="I137" s="152">
        <f>BS!AM17+BS!AM18+BS!AM14</f>
        <v>2559</v>
      </c>
      <c r="J137" s="152">
        <f>BS!AN17+BS!AN18+BS!AN14</f>
        <v>2551</v>
      </c>
      <c r="K137" s="152">
        <f>BS!AO17+BS!AO18+BS!AO14</f>
        <v>2767</v>
      </c>
      <c r="L137" s="151">
        <f>BS!AP17+BS!AP18+BS!AP14</f>
        <v>2767</v>
      </c>
      <c r="M137" s="152">
        <f>BS!AQ17+BS!AQ18+BS!AQ14</f>
        <v>2624</v>
      </c>
      <c r="N137" s="152">
        <f>BS!AR17+BS!AR18+BS!AR14</f>
        <v>2440</v>
      </c>
      <c r="O137" s="152">
        <f>BS!AS17+BS!AS18+BS!AS14</f>
        <v>2445</v>
      </c>
      <c r="P137" s="152">
        <f>BS!AT17+BS!AT18+BS!AT14</f>
        <v>2736</v>
      </c>
      <c r="Q137" s="151">
        <f>BS!AU17+BS!AU18+BS!AU14</f>
        <v>2736</v>
      </c>
      <c r="R137" s="152">
        <f>BS!AV17+BS!AV18+BS!AV14</f>
        <v>2478</v>
      </c>
      <c r="S137" s="152">
        <f>BS!AW17+BS!AW18+BS!AW14</f>
        <v>2437</v>
      </c>
      <c r="T137" s="152">
        <f>BS!AX17+BS!AX18+BS!AX14</f>
        <v>2338</v>
      </c>
      <c r="U137" s="152">
        <f>BS!AY17+BS!AY18+BS!AY14</f>
        <v>2455</v>
      </c>
      <c r="V137" s="151">
        <f>BS!AZ17+BS!AZ18+BS!AZ14</f>
        <v>2455</v>
      </c>
      <c r="W137" s="152">
        <f>BS!BA17+BS!BA18+BS!BA14</f>
        <v>4363</v>
      </c>
      <c r="X137" s="152">
        <f>BS!BB17+BS!BB18+BS!BB14</f>
        <v>15136</v>
      </c>
      <c r="Y137" s="152">
        <f>BS!BC17+BS!BC18+BS!BC14</f>
        <v>4366</v>
      </c>
      <c r="Z137" s="152">
        <f>BS!BD17+BS!BD18+BS!BD14</f>
        <v>4155</v>
      </c>
      <c r="AA137" s="151">
        <f>BS!BE17+BS!BE18+BS!BE14</f>
        <v>4155</v>
      </c>
      <c r="AB137" s="152">
        <f>BS!BF17+BS!BF18+BS!BF14</f>
        <v>3442</v>
      </c>
      <c r="AC137" s="152">
        <f>BS!BG17+BS!BG18+BS!BG14</f>
        <v>2491</v>
      </c>
      <c r="AD137" s="152">
        <f>BS!BH17+BS!BH18+BS!BH14</f>
        <v>2830</v>
      </c>
      <c r="AE137" s="152">
        <f>BS!BI17+BS!BI18+BS!BI14</f>
        <v>3035</v>
      </c>
      <c r="AF137" s="151">
        <f>BS!BJ17+BS!BJ18+BS!BJ14</f>
        <v>3035</v>
      </c>
      <c r="AG137" s="152">
        <f>BS!BK17+BS!BK18+BS!BK14</f>
        <v>2814</v>
      </c>
      <c r="AH137" s="152">
        <f>BS!BL17+BS!BL18+BS!BL14</f>
        <v>2988</v>
      </c>
      <c r="AI137" s="152">
        <f>BS!BM17+BS!BM18+BS!BM14</f>
        <v>2955</v>
      </c>
      <c r="AJ137" s="152">
        <f>BS!BN17+BS!BN18+BS!BN14</f>
        <v>3341</v>
      </c>
      <c r="AK137" s="151">
        <f>BS!BO17+BS!BO18+BS!BO14</f>
        <v>3341</v>
      </c>
      <c r="AL137" s="152">
        <f>BS!BP17+BS!BP18+BS!BP14</f>
        <v>2829</v>
      </c>
      <c r="AM137" s="152">
        <f>BS!BQ17+BS!BQ18+BS!BQ14</f>
        <v>2925</v>
      </c>
      <c r="AN137" s="152">
        <f>BS!BR17+BS!BR18+BS!BR14</f>
        <v>7782</v>
      </c>
      <c r="AO137" s="152">
        <f>BS!BS17+BS!BS18+BS!BS14</f>
        <v>843</v>
      </c>
      <c r="AP137" s="151">
        <f>BS!BT17+BS!BT18+BS!BT14</f>
        <v>843</v>
      </c>
      <c r="AQ137" s="152">
        <f>BS!BU17+BS!BU18+BS!BU14</f>
        <v>906</v>
      </c>
      <c r="AR137" s="152">
        <f>BS!BV17+BS!BV18+BS!BV14</f>
        <v>894</v>
      </c>
      <c r="AS137" s="152">
        <f>BS!BW17+BS!BW18+BS!BW14</f>
        <v>860</v>
      </c>
      <c r="AT137" s="152">
        <f>BS!BX17+BS!BX18+BS!BX14</f>
        <v>1208</v>
      </c>
      <c r="AU137" s="151">
        <f>BS!BY17+BS!BY18+BS!BY14</f>
        <v>1208</v>
      </c>
      <c r="AV137" s="2032">
        <f>BS!BZ17+BS!BZ18+BS!BZ14</f>
        <v>923</v>
      </c>
      <c r="AW137" s="2032">
        <f>BS!CA17+BS!CA18+BS!CA14</f>
        <v>1027</v>
      </c>
      <c r="AX137" s="2032">
        <f>BS!CB17+BS!CB18+BS!CB14</f>
        <v>1229</v>
      </c>
      <c r="AY137" s="2032">
        <f>BS!CC17+BS!CC18+BS!CC14</f>
        <v>1031.7901361738352</v>
      </c>
      <c r="AZ137" s="151">
        <f>BS!CD17+BS!CD18+BS!CD14</f>
        <v>1031.7901361738352</v>
      </c>
      <c r="BA137" s="2032">
        <f>BS!CE17+BS!CE18+BS!CE14</f>
        <v>985.82157077086936</v>
      </c>
      <c r="BB137" s="2032">
        <f>BS!CF17+BS!CF18+BS!CF14</f>
        <v>1066.5177814131118</v>
      </c>
      <c r="BC137" s="2032">
        <f>BS!CG17+BS!CG18+BS!CG14</f>
        <v>1061.9778127181239</v>
      </c>
      <c r="BD137" s="2032">
        <f>BS!CH17+BS!CH18+BS!CH14</f>
        <v>1043.3238203578142</v>
      </c>
      <c r="BE137" s="151">
        <f>BS!CI17+BS!CI18+BS!CI14</f>
        <v>1043.3238203578142</v>
      </c>
      <c r="BF137" s="151">
        <f>BS!CJ17+BS!CJ18+BS!CJ14</f>
        <v>1088.5260564066652</v>
      </c>
      <c r="BG137" s="147"/>
      <c r="BH137" s="147"/>
      <c r="BI137" s="147"/>
      <c r="BJ137" s="147"/>
      <c r="BK137" s="147"/>
      <c r="BL137" s="147"/>
      <c r="BM137" s="147"/>
      <c r="BN137" s="147"/>
      <c r="BO137" s="147"/>
      <c r="BP137" s="147"/>
      <c r="BQ137" s="147"/>
      <c r="BR137" s="147"/>
      <c r="BS137" s="147"/>
      <c r="BT137" s="147"/>
      <c r="BU137" s="147"/>
      <c r="BV137" s="147"/>
    </row>
    <row r="138" spans="1:74">
      <c r="A138" s="179" t="s">
        <v>238</v>
      </c>
      <c r="B138" s="172">
        <f t="shared" ref="B138:AZ138" si="52">SUM(B134:B137)</f>
        <v>22071</v>
      </c>
      <c r="C138" s="173">
        <f t="shared" si="52"/>
        <v>23916</v>
      </c>
      <c r="D138" s="173">
        <f t="shared" si="52"/>
        <v>24779</v>
      </c>
      <c r="E138" s="173">
        <f t="shared" si="52"/>
        <v>24181</v>
      </c>
      <c r="F138" s="173">
        <f t="shared" si="52"/>
        <v>24099</v>
      </c>
      <c r="G138" s="172">
        <f t="shared" si="52"/>
        <v>24099</v>
      </c>
      <c r="H138" s="173">
        <f t="shared" si="52"/>
        <v>23222</v>
      </c>
      <c r="I138" s="173">
        <f t="shared" si="52"/>
        <v>23636</v>
      </c>
      <c r="J138" s="173">
        <f t="shared" si="52"/>
        <v>23729</v>
      </c>
      <c r="K138" s="173">
        <f t="shared" si="52"/>
        <v>23194</v>
      </c>
      <c r="L138" s="172">
        <f t="shared" si="52"/>
        <v>23194</v>
      </c>
      <c r="M138" s="173">
        <f t="shared" si="52"/>
        <v>24321</v>
      </c>
      <c r="N138" s="173">
        <f t="shared" si="52"/>
        <v>24401</v>
      </c>
      <c r="O138" s="173">
        <f t="shared" si="52"/>
        <v>25337</v>
      </c>
      <c r="P138" s="173">
        <f t="shared" si="52"/>
        <v>23510</v>
      </c>
      <c r="Q138" s="172">
        <f t="shared" si="52"/>
        <v>23510</v>
      </c>
      <c r="R138" s="173">
        <f t="shared" si="52"/>
        <v>25005</v>
      </c>
      <c r="S138" s="173">
        <f t="shared" si="52"/>
        <v>26429</v>
      </c>
      <c r="T138" s="173">
        <f t="shared" si="52"/>
        <v>26424</v>
      </c>
      <c r="U138" s="173">
        <f t="shared" si="52"/>
        <v>25758</v>
      </c>
      <c r="V138" s="172">
        <f t="shared" si="52"/>
        <v>25758</v>
      </c>
      <c r="W138" s="173">
        <f t="shared" si="52"/>
        <v>27847</v>
      </c>
      <c r="X138" s="173">
        <f t="shared" si="52"/>
        <v>39142</v>
      </c>
      <c r="Y138" s="173">
        <f t="shared" si="52"/>
        <v>31685</v>
      </c>
      <c r="Z138" s="173">
        <f t="shared" si="52"/>
        <v>29610</v>
      </c>
      <c r="AA138" s="172">
        <f t="shared" si="52"/>
        <v>29610</v>
      </c>
      <c r="AB138" s="173">
        <f t="shared" si="52"/>
        <v>29161</v>
      </c>
      <c r="AC138" s="173">
        <f t="shared" si="52"/>
        <v>28790</v>
      </c>
      <c r="AD138" s="173">
        <f t="shared" si="52"/>
        <v>29351</v>
      </c>
      <c r="AE138" s="173">
        <f t="shared" si="52"/>
        <v>29442</v>
      </c>
      <c r="AF138" s="172">
        <f t="shared" si="52"/>
        <v>29442</v>
      </c>
      <c r="AG138" s="173">
        <f t="shared" si="52"/>
        <v>29820</v>
      </c>
      <c r="AH138" s="173">
        <f t="shared" si="52"/>
        <v>29641</v>
      </c>
      <c r="AI138" s="173">
        <f t="shared" si="52"/>
        <v>29411</v>
      </c>
      <c r="AJ138" s="173">
        <f t="shared" si="52"/>
        <v>29758</v>
      </c>
      <c r="AK138" s="172">
        <f t="shared" si="52"/>
        <v>29758</v>
      </c>
      <c r="AL138" s="173">
        <f t="shared" si="52"/>
        <v>29958</v>
      </c>
      <c r="AM138" s="173">
        <f t="shared" si="52"/>
        <v>30669</v>
      </c>
      <c r="AN138" s="173">
        <f t="shared" si="52"/>
        <v>32359</v>
      </c>
      <c r="AO138" s="173">
        <f t="shared" si="52"/>
        <v>26706</v>
      </c>
      <c r="AP138" s="172">
        <f t="shared" si="52"/>
        <v>26706</v>
      </c>
      <c r="AQ138" s="173">
        <f t="shared" si="52"/>
        <v>27527</v>
      </c>
      <c r="AR138" s="173">
        <f t="shared" si="52"/>
        <v>27970</v>
      </c>
      <c r="AS138" s="173">
        <f t="shared" si="52"/>
        <v>28548</v>
      </c>
      <c r="AT138" s="173">
        <f t="shared" si="52"/>
        <v>28550</v>
      </c>
      <c r="AU138" s="172">
        <f t="shared" si="52"/>
        <v>28550</v>
      </c>
      <c r="AV138" s="2039">
        <f>SUM(AV134:AV137)</f>
        <v>29305</v>
      </c>
      <c r="AW138" s="2039">
        <f>SUM(AW134:AW137)</f>
        <v>32829</v>
      </c>
      <c r="AX138" s="2039">
        <f>SUM(AX134:AX137)</f>
        <v>32963</v>
      </c>
      <c r="AY138" s="2039">
        <f>SUM(AY134:AY137)</f>
        <v>32623.421766062256</v>
      </c>
      <c r="AZ138" s="172">
        <f t="shared" si="52"/>
        <v>32623.421766062256</v>
      </c>
      <c r="BA138" s="2039">
        <f t="shared" ref="BA138:BF138" si="53">SUM(BA134:BA137)</f>
        <v>33445.09906803404</v>
      </c>
      <c r="BB138" s="2039">
        <f t="shared" si="53"/>
        <v>37721.488370526691</v>
      </c>
      <c r="BC138" s="2039">
        <f t="shared" si="53"/>
        <v>37834.963271444511</v>
      </c>
      <c r="BD138" s="2039">
        <f t="shared" si="53"/>
        <v>38134.844144212642</v>
      </c>
      <c r="BE138" s="172">
        <f t="shared" si="53"/>
        <v>38134.844144212642</v>
      </c>
      <c r="BF138" s="172">
        <f t="shared" si="53"/>
        <v>42185.482983315946</v>
      </c>
      <c r="BG138" s="147"/>
      <c r="BH138" s="147"/>
      <c r="BI138" s="147"/>
      <c r="BJ138" s="147"/>
      <c r="BK138" s="147"/>
      <c r="BL138" s="147"/>
      <c r="BM138" s="147"/>
      <c r="BN138" s="147"/>
      <c r="BO138" s="147"/>
      <c r="BP138" s="147"/>
      <c r="BQ138" s="147"/>
      <c r="BR138" s="147"/>
      <c r="BS138" s="147"/>
      <c r="BT138" s="147"/>
      <c r="BU138" s="147"/>
      <c r="BV138" s="147"/>
    </row>
    <row r="139" spans="1:74">
      <c r="A139" s="147"/>
      <c r="B139" s="189"/>
      <c r="C139" s="190"/>
      <c r="D139" s="190"/>
      <c r="E139" s="190"/>
      <c r="F139" s="190"/>
      <c r="G139" s="189"/>
      <c r="H139" s="190"/>
      <c r="I139" s="190"/>
      <c r="J139" s="190"/>
      <c r="K139" s="190"/>
      <c r="L139" s="189"/>
      <c r="M139" s="190"/>
      <c r="N139" s="190"/>
      <c r="O139" s="190"/>
      <c r="P139" s="190"/>
      <c r="Q139" s="189"/>
      <c r="R139" s="190"/>
      <c r="S139" s="190"/>
      <c r="T139" s="190"/>
      <c r="U139" s="190"/>
      <c r="V139" s="189"/>
      <c r="W139" s="190"/>
      <c r="X139" s="190"/>
      <c r="Y139" s="190"/>
      <c r="Z139" s="190"/>
      <c r="AA139" s="189"/>
      <c r="AB139" s="190"/>
      <c r="AC139" s="190"/>
      <c r="AD139" s="190"/>
      <c r="AE139" s="190"/>
      <c r="AF139" s="189"/>
      <c r="AG139" s="190"/>
      <c r="AH139" s="190"/>
      <c r="AI139" s="190"/>
      <c r="AJ139" s="190"/>
      <c r="AK139" s="189"/>
      <c r="AL139" s="190"/>
      <c r="AM139" s="190"/>
      <c r="AN139" s="190"/>
      <c r="AO139" s="190"/>
      <c r="AP139" s="189"/>
      <c r="AQ139" s="190"/>
      <c r="AR139" s="190"/>
      <c r="AS139" s="190"/>
      <c r="AT139" s="190"/>
      <c r="AU139" s="189"/>
      <c r="AV139" s="2046"/>
      <c r="AW139" s="2046"/>
      <c r="AX139" s="2046"/>
      <c r="AY139" s="2046"/>
      <c r="AZ139" s="189"/>
      <c r="BA139" s="2046"/>
      <c r="BB139" s="2046"/>
      <c r="BC139" s="2046"/>
      <c r="BD139" s="2046"/>
      <c r="BE139" s="189"/>
      <c r="BF139" s="189"/>
      <c r="BG139" s="147"/>
      <c r="BH139" s="147"/>
      <c r="BI139" s="147"/>
      <c r="BJ139" s="147"/>
      <c r="BK139" s="147"/>
      <c r="BL139" s="147"/>
      <c r="BM139" s="147"/>
      <c r="BN139" s="147"/>
      <c r="BO139" s="147"/>
      <c r="BP139" s="147"/>
      <c r="BQ139" s="147"/>
      <c r="BR139" s="147"/>
      <c r="BS139" s="147"/>
      <c r="BT139" s="147"/>
      <c r="BU139" s="147"/>
      <c r="BV139" s="147"/>
    </row>
    <row r="140" spans="1:74">
      <c r="A140" s="147" t="s">
        <v>237</v>
      </c>
      <c r="B140" s="160">
        <f>BS!AF21</f>
        <v>6296</v>
      </c>
      <c r="C140" s="161">
        <f>BS!AG21</f>
        <v>6477</v>
      </c>
      <c r="D140" s="161">
        <f>BS!AH21</f>
        <v>6550</v>
      </c>
      <c r="E140" s="161">
        <f>BS!AI21</f>
        <v>6441</v>
      </c>
      <c r="F140" s="161">
        <f>BS!AJ21</f>
        <v>6348</v>
      </c>
      <c r="G140" s="160">
        <f>BS!AK21</f>
        <v>6348</v>
      </c>
      <c r="H140" s="161">
        <f>BS!AL21</f>
        <v>6130</v>
      </c>
      <c r="I140" s="161">
        <f>BS!AM21</f>
        <v>6179</v>
      </c>
      <c r="J140" s="161">
        <f>BS!AN21</f>
        <v>6278</v>
      </c>
      <c r="K140" s="161">
        <f>BS!AO21</f>
        <v>6364</v>
      </c>
      <c r="L140" s="160">
        <f>BS!AP21</f>
        <v>6364</v>
      </c>
      <c r="M140" s="161">
        <f>BS!AQ21</f>
        <v>6335</v>
      </c>
      <c r="N140" s="161">
        <f>BS!AR21</f>
        <v>6090</v>
      </c>
      <c r="O140" s="161">
        <f>BS!AS21</f>
        <v>6148</v>
      </c>
      <c r="P140" s="161">
        <f>BS!AT21</f>
        <v>6280</v>
      </c>
      <c r="Q140" s="160">
        <f>BS!AU21</f>
        <v>6280</v>
      </c>
      <c r="R140" s="161">
        <f>BS!AV21</f>
        <v>6382</v>
      </c>
      <c r="S140" s="161">
        <f>BS!AW21</f>
        <v>6329</v>
      </c>
      <c r="T140" s="161">
        <f>BS!AX21</f>
        <v>6137</v>
      </c>
      <c r="U140" s="161">
        <f>BS!AY21</f>
        <v>6201</v>
      </c>
      <c r="V140" s="160">
        <f>BS!AZ21</f>
        <v>6201</v>
      </c>
      <c r="W140" s="161">
        <f>BS!BA21</f>
        <v>5835</v>
      </c>
      <c r="X140" s="161">
        <f>BS!BB21</f>
        <v>5717</v>
      </c>
      <c r="Y140" s="161">
        <f>BS!BC21</f>
        <v>8239</v>
      </c>
      <c r="Z140" s="161">
        <f>BS!BD21</f>
        <v>8518</v>
      </c>
      <c r="AA140" s="160">
        <f>BS!BE21</f>
        <v>8518</v>
      </c>
      <c r="AB140" s="161">
        <f>BS!BF21</f>
        <v>8428</v>
      </c>
      <c r="AC140" s="161">
        <f>BS!BG21</f>
        <v>8399</v>
      </c>
      <c r="AD140" s="161">
        <f>BS!BH21</f>
        <v>8549</v>
      </c>
      <c r="AE140" s="161">
        <f>BS!BI21</f>
        <v>8866</v>
      </c>
      <c r="AF140" s="160">
        <f>BS!BJ21</f>
        <v>8866</v>
      </c>
      <c r="AG140" s="161">
        <f>BS!BK21</f>
        <v>8895</v>
      </c>
      <c r="AH140" s="161">
        <f>BS!BL21</f>
        <v>9026</v>
      </c>
      <c r="AI140" s="161">
        <f>BS!BM21</f>
        <v>9182</v>
      </c>
      <c r="AJ140" s="161">
        <f>BS!BN21</f>
        <v>9276</v>
      </c>
      <c r="AK140" s="160">
        <f>BS!BO21</f>
        <v>9276</v>
      </c>
      <c r="AL140" s="161">
        <f>BS!BP21</f>
        <v>9175</v>
      </c>
      <c r="AM140" s="161">
        <f>BS!BQ21</f>
        <v>9266</v>
      </c>
      <c r="AN140" s="161">
        <f>BS!BR21</f>
        <v>8515</v>
      </c>
      <c r="AO140" s="161">
        <f>BS!BS21</f>
        <v>8732</v>
      </c>
      <c r="AP140" s="160">
        <f>BS!BT21</f>
        <v>8732</v>
      </c>
      <c r="AQ140" s="161">
        <f>BS!BU21</f>
        <v>8763</v>
      </c>
      <c r="AR140" s="161">
        <f>BS!BV21</f>
        <v>8911</v>
      </c>
      <c r="AS140" s="161">
        <f>BS!BW21</f>
        <v>8989</v>
      </c>
      <c r="AT140" s="161">
        <f>BS!BX21</f>
        <v>9158</v>
      </c>
      <c r="AU140" s="160">
        <f>BS!BY21</f>
        <v>9158</v>
      </c>
      <c r="AV140" s="2036">
        <f>BS!BZ21</f>
        <v>9255</v>
      </c>
      <c r="AW140" s="2036">
        <f>BS!CA21</f>
        <v>9475</v>
      </c>
      <c r="AX140" s="2036">
        <f>BS!CB21</f>
        <v>9763</v>
      </c>
      <c r="AY140" s="2036">
        <f>BS!CC21</f>
        <v>9752.1735803075608</v>
      </c>
      <c r="AZ140" s="160">
        <f>BS!CD21</f>
        <v>9752.1735803075608</v>
      </c>
      <c r="BA140" s="2036">
        <f>BS!CE21</f>
        <v>9696.4516665780302</v>
      </c>
      <c r="BB140" s="2036">
        <f>BS!CF21</f>
        <v>9640.7297528484996</v>
      </c>
      <c r="BC140" s="2036">
        <f>BS!CG21</f>
        <v>9585.0078391189691</v>
      </c>
      <c r="BD140" s="2036">
        <f>BS!CH21</f>
        <v>9578.5548346383966</v>
      </c>
      <c r="BE140" s="160">
        <f>BS!CI21</f>
        <v>9578.5548346383966</v>
      </c>
      <c r="BF140" s="160">
        <f>BS!CJ21</f>
        <v>9378.6875142075842</v>
      </c>
      <c r="BG140" s="147"/>
      <c r="BH140" s="147"/>
      <c r="BI140" s="147"/>
      <c r="BJ140" s="147"/>
      <c r="BK140" s="147"/>
      <c r="BL140" s="147"/>
      <c r="BM140" s="147"/>
      <c r="BN140" s="147"/>
      <c r="BO140" s="147"/>
      <c r="BP140" s="147"/>
      <c r="BQ140" s="147"/>
      <c r="BR140" s="147"/>
      <c r="BS140" s="147"/>
      <c r="BT140" s="147"/>
      <c r="BU140" s="147"/>
      <c r="BV140" s="147"/>
    </row>
    <row r="141" spans="1:74">
      <c r="A141" s="147" t="s">
        <v>8</v>
      </c>
      <c r="B141" s="160">
        <f>BS!AF22+BS!AF24+BS!AF25+BS!AF27</f>
        <v>26208</v>
      </c>
      <c r="C141" s="161">
        <f>BS!AG22+BS!AG24+BS!AG25+BS!AG27</f>
        <v>26660</v>
      </c>
      <c r="D141" s="161">
        <f>BS!AH22+BS!AH24+BS!AH25+BS!AH27</f>
        <v>27157</v>
      </c>
      <c r="E141" s="161">
        <f>BS!AI22+BS!AI24+BS!AI25+BS!AI27</f>
        <v>26188</v>
      </c>
      <c r="F141" s="161">
        <f>BS!AJ22+BS!AJ24+BS!AJ25+BS!AJ27</f>
        <v>26022</v>
      </c>
      <c r="G141" s="160">
        <f>BS!AK22+BS!AK24+BS!AK25+BS!AK27</f>
        <v>26022</v>
      </c>
      <c r="H141" s="161">
        <f>BS!AL22+BS!AL24+BS!AL25+BS!AL27</f>
        <v>25446</v>
      </c>
      <c r="I141" s="161">
        <f>BS!AM22+BS!AM24+BS!AM25+BS!AM27</f>
        <v>26730</v>
      </c>
      <c r="J141" s="161">
        <f>BS!AN22+BS!AN24+BS!AN25+BS!AN27</f>
        <v>27570</v>
      </c>
      <c r="K141" s="161">
        <f>BS!AO22+BS!AO24+BS!AO25+BS!AO27</f>
        <v>26204</v>
      </c>
      <c r="L141" s="160">
        <f>BS!AP22+BS!AP24+BS!AP25+BS!AP27</f>
        <v>26204</v>
      </c>
      <c r="M141" s="161">
        <f>BS!AQ22+BS!AQ24+BS!AQ25+BS!AQ27</f>
        <v>27732</v>
      </c>
      <c r="N141" s="161">
        <f>BS!AR22+BS!AR24+BS!AR25+BS!AR27</f>
        <v>27852</v>
      </c>
      <c r="O141" s="161">
        <f>BS!AS22+BS!AS24+BS!AS25+BS!AS27</f>
        <v>29164</v>
      </c>
      <c r="P141" s="161">
        <f>BS!AT22+BS!AT24+BS!AT25+BS!AT27</f>
        <v>28703</v>
      </c>
      <c r="Q141" s="160">
        <f>BS!AU22+BS!AU24+BS!AU25+BS!AU27</f>
        <v>28703</v>
      </c>
      <c r="R141" s="161">
        <f>BS!AV22+BS!AV24+BS!AV25+BS!AV27</f>
        <v>29277</v>
      </c>
      <c r="S141" s="161">
        <f>BS!AW22+BS!AW24+BS!AW25+BS!AW27</f>
        <v>29389</v>
      </c>
      <c r="T141" s="161">
        <f>BS!AX22+BS!AX24+BS!AX25+BS!AX27</f>
        <v>29387</v>
      </c>
      <c r="U141" s="161">
        <f>BS!AY22+BS!AY24+BS!AY25+BS!AY27</f>
        <v>29493</v>
      </c>
      <c r="V141" s="160">
        <f>BS!AZ22+BS!AZ24+BS!AZ25+BS!AZ27</f>
        <v>29493</v>
      </c>
      <c r="W141" s="161">
        <f>BS!BA22+BS!BA24+BS!BA25+BS!BA27</f>
        <v>28042</v>
      </c>
      <c r="X141" s="161">
        <f>BS!BB22+BS!BB24+BS!BB25+BS!BB27</f>
        <v>28550</v>
      </c>
      <c r="Y141" s="161">
        <f>BS!BC22+BS!BC24+BS!BC25+BS!BC27</f>
        <v>50646</v>
      </c>
      <c r="Z141" s="161">
        <f>BS!BD22+BS!BD24+BS!BD25+BS!BD27</f>
        <v>49755</v>
      </c>
      <c r="AA141" s="160">
        <f>BS!BE22+BS!BE24+BS!BE25+BS!BE27</f>
        <v>49755</v>
      </c>
      <c r="AB141" s="161">
        <f>BS!BF22+BS!BF24+BS!BF25+BS!BF27</f>
        <v>49239</v>
      </c>
      <c r="AC141" s="161">
        <f>BS!BG22+BS!BG24+BS!BG25+BS!BG27</f>
        <v>49710</v>
      </c>
      <c r="AD141" s="161">
        <f>BS!BH22+BS!BH24+BS!BH25+BS!BH27</f>
        <v>50333</v>
      </c>
      <c r="AE141" s="161">
        <f>BS!BI22+BS!BI24+BS!BI25+BS!BI27</f>
        <v>50013</v>
      </c>
      <c r="AF141" s="160">
        <f>BS!BJ22+BS!BJ24+BS!BJ25+BS!BJ27</f>
        <v>50013</v>
      </c>
      <c r="AG141" s="161">
        <f>BS!BK22+BS!BK24+BS!BK25+BS!BK27</f>
        <v>50098</v>
      </c>
      <c r="AH141" s="161">
        <f>BS!BL22+BS!BL24+BS!BL25+BS!BL27</f>
        <v>50897</v>
      </c>
      <c r="AI141" s="161">
        <f>BS!BM22+BS!BM24+BS!BM25+BS!BM27</f>
        <v>50458</v>
      </c>
      <c r="AJ141" s="161">
        <f>BS!BN22+BS!BN24+BS!BN25+BS!BN27</f>
        <v>49403</v>
      </c>
      <c r="AK141" s="160">
        <f>BS!BO22+BS!BO24+BS!BO25+BS!BO27</f>
        <v>49403</v>
      </c>
      <c r="AL141" s="161">
        <f>BS!BP22+BS!BP24+BS!BP25+BS!BP27</f>
        <v>49223</v>
      </c>
      <c r="AM141" s="161">
        <f>BS!BQ22+BS!BQ24+BS!BQ25+BS!BQ27</f>
        <v>49765</v>
      </c>
      <c r="AN141" s="161">
        <f>BS!BR22+BS!BR24+BS!BR25+BS!BR27</f>
        <v>48098</v>
      </c>
      <c r="AO141" s="161">
        <f>BS!BS22+BS!BS24+BS!BS25+BS!BS27</f>
        <v>48796</v>
      </c>
      <c r="AP141" s="160">
        <f>BS!BT22+BS!BT24+BS!BT25+BS!BT27</f>
        <v>48796</v>
      </c>
      <c r="AQ141" s="161">
        <f>BS!BU22+BS!BU24+BS!BU25+BS!BU27</f>
        <v>48961</v>
      </c>
      <c r="AR141" s="161">
        <f>BS!BV22+BS!BV24+BS!BV25+BS!BV27</f>
        <v>49208</v>
      </c>
      <c r="AS141" s="161">
        <f>BS!BW22+BS!BW24+BS!BW25+BS!BW27</f>
        <v>49064</v>
      </c>
      <c r="AT141" s="161">
        <f>BS!BX22+BS!BX24+BS!BX25+BS!BX27</f>
        <v>48485</v>
      </c>
      <c r="AU141" s="160">
        <f>BS!BY22+BS!BY24+BS!BY25+BS!BY27</f>
        <v>48485</v>
      </c>
      <c r="AV141" s="2036">
        <f>BS!BZ22+BS!BZ24+BS!BZ25+BS!BZ27</f>
        <v>48243</v>
      </c>
      <c r="AW141" s="2036">
        <f>BS!CA22+BS!CA24+BS!CA25+BS!CA27</f>
        <v>48865</v>
      </c>
      <c r="AX141" s="2036">
        <f>BS!CB22+BS!CB24+BS!CB25+BS!CB27</f>
        <v>49949</v>
      </c>
      <c r="AY141" s="2036">
        <f>BS!CC22+BS!CC24+BS!CC25+BS!CC27</f>
        <v>49949</v>
      </c>
      <c r="AZ141" s="160">
        <f>BS!CD22+BS!CD24+BS!CD25+BS!CD27</f>
        <v>49949</v>
      </c>
      <c r="BA141" s="2036">
        <f>BS!CE22+BS!CE24+BS!CE25+BS!CE27</f>
        <v>49949</v>
      </c>
      <c r="BB141" s="2036">
        <f>BS!CF22+BS!CF24+BS!CF25+BS!CF27</f>
        <v>49949</v>
      </c>
      <c r="BC141" s="2036">
        <f>BS!CG22+BS!CG24+BS!CG25+BS!CG27</f>
        <v>49949</v>
      </c>
      <c r="BD141" s="2036">
        <f>BS!CH22+BS!CH24+BS!CH25+BS!CH27</f>
        <v>49949</v>
      </c>
      <c r="BE141" s="160">
        <f>BS!CI22+BS!CI24+BS!CI25+BS!CI27</f>
        <v>49949</v>
      </c>
      <c r="BF141" s="160">
        <f>BS!CJ22+BS!CJ24+BS!CJ25+BS!CJ27</f>
        <v>49949</v>
      </c>
      <c r="BG141" s="147"/>
      <c r="BH141" s="147"/>
      <c r="BI141" s="147"/>
      <c r="BJ141" s="147"/>
      <c r="BK141" s="147"/>
      <c r="BL141" s="147"/>
      <c r="BM141" s="147"/>
      <c r="BN141" s="147"/>
      <c r="BO141" s="147"/>
      <c r="BP141" s="147"/>
      <c r="BQ141" s="147"/>
      <c r="BR141" s="147"/>
      <c r="BS141" s="147"/>
      <c r="BT141" s="147"/>
      <c r="BU141" s="147"/>
      <c r="BV141" s="147"/>
    </row>
    <row r="142" spans="1:74">
      <c r="A142" s="150" t="s">
        <v>236</v>
      </c>
      <c r="B142" s="158">
        <f t="shared" ref="B142:AZ142" si="54">SUM(B138:B141)</f>
        <v>54575</v>
      </c>
      <c r="C142" s="159">
        <f t="shared" si="54"/>
        <v>57053</v>
      </c>
      <c r="D142" s="159">
        <f t="shared" si="54"/>
        <v>58486</v>
      </c>
      <c r="E142" s="159">
        <f t="shared" si="54"/>
        <v>56810</v>
      </c>
      <c r="F142" s="159">
        <f t="shared" si="54"/>
        <v>56469</v>
      </c>
      <c r="G142" s="158">
        <f t="shared" si="54"/>
        <v>56469</v>
      </c>
      <c r="H142" s="159">
        <f t="shared" si="54"/>
        <v>54798</v>
      </c>
      <c r="I142" s="159">
        <f t="shared" si="54"/>
        <v>56545</v>
      </c>
      <c r="J142" s="159">
        <f t="shared" si="54"/>
        <v>57577</v>
      </c>
      <c r="K142" s="159">
        <f t="shared" si="54"/>
        <v>55762</v>
      </c>
      <c r="L142" s="158">
        <f t="shared" si="54"/>
        <v>55762</v>
      </c>
      <c r="M142" s="159">
        <f t="shared" si="54"/>
        <v>58388</v>
      </c>
      <c r="N142" s="159">
        <f t="shared" si="54"/>
        <v>58343</v>
      </c>
      <c r="O142" s="159">
        <f t="shared" si="54"/>
        <v>60649</v>
      </c>
      <c r="P142" s="159">
        <f t="shared" si="54"/>
        <v>58493</v>
      </c>
      <c r="Q142" s="158">
        <f t="shared" si="54"/>
        <v>58493</v>
      </c>
      <c r="R142" s="159">
        <f t="shared" si="54"/>
        <v>60664</v>
      </c>
      <c r="S142" s="159">
        <f t="shared" si="54"/>
        <v>62147</v>
      </c>
      <c r="T142" s="159">
        <f t="shared" si="54"/>
        <v>61948</v>
      </c>
      <c r="U142" s="159">
        <f t="shared" si="54"/>
        <v>61452</v>
      </c>
      <c r="V142" s="158">
        <f t="shared" si="54"/>
        <v>61452</v>
      </c>
      <c r="W142" s="159">
        <f t="shared" si="54"/>
        <v>61724</v>
      </c>
      <c r="X142" s="159">
        <f t="shared" si="54"/>
        <v>73409</v>
      </c>
      <c r="Y142" s="159">
        <f t="shared" si="54"/>
        <v>90570</v>
      </c>
      <c r="Z142" s="159">
        <f t="shared" si="54"/>
        <v>87883</v>
      </c>
      <c r="AA142" s="158">
        <f t="shared" si="54"/>
        <v>87883</v>
      </c>
      <c r="AB142" s="159">
        <f t="shared" si="54"/>
        <v>86828</v>
      </c>
      <c r="AC142" s="159">
        <f t="shared" si="54"/>
        <v>86899</v>
      </c>
      <c r="AD142" s="159">
        <f t="shared" si="54"/>
        <v>88233</v>
      </c>
      <c r="AE142" s="159">
        <f t="shared" si="54"/>
        <v>88321</v>
      </c>
      <c r="AF142" s="158">
        <f t="shared" si="54"/>
        <v>88321</v>
      </c>
      <c r="AG142" s="159">
        <f t="shared" si="54"/>
        <v>88813</v>
      </c>
      <c r="AH142" s="159">
        <f t="shared" si="54"/>
        <v>89564</v>
      </c>
      <c r="AI142" s="159">
        <f t="shared" si="54"/>
        <v>89051</v>
      </c>
      <c r="AJ142" s="159">
        <f t="shared" si="54"/>
        <v>88437</v>
      </c>
      <c r="AK142" s="158">
        <f t="shared" si="54"/>
        <v>88437</v>
      </c>
      <c r="AL142" s="159">
        <f t="shared" si="54"/>
        <v>88356</v>
      </c>
      <c r="AM142" s="159">
        <f t="shared" si="54"/>
        <v>89700</v>
      </c>
      <c r="AN142" s="159">
        <f t="shared" si="54"/>
        <v>88972</v>
      </c>
      <c r="AO142" s="159">
        <f t="shared" si="54"/>
        <v>84234</v>
      </c>
      <c r="AP142" s="158">
        <f t="shared" si="54"/>
        <v>84234</v>
      </c>
      <c r="AQ142" s="159">
        <f t="shared" si="54"/>
        <v>85251</v>
      </c>
      <c r="AR142" s="159">
        <f t="shared" si="54"/>
        <v>86089</v>
      </c>
      <c r="AS142" s="159">
        <f t="shared" si="54"/>
        <v>86601</v>
      </c>
      <c r="AT142" s="159">
        <f t="shared" si="54"/>
        <v>86193</v>
      </c>
      <c r="AU142" s="158">
        <f t="shared" si="54"/>
        <v>86193</v>
      </c>
      <c r="AV142" s="2035">
        <f>SUM(AV138:AV141)</f>
        <v>86803</v>
      </c>
      <c r="AW142" s="2035">
        <f>SUM(AW138:AW141)</f>
        <v>91169</v>
      </c>
      <c r="AX142" s="2035">
        <f>SUM(AX138:AX141)</f>
        <v>92675</v>
      </c>
      <c r="AY142" s="2035">
        <f>SUM(AY138:AY141)</f>
        <v>92324.59534636981</v>
      </c>
      <c r="AZ142" s="158">
        <f t="shared" si="54"/>
        <v>92324.59534636981</v>
      </c>
      <c r="BA142" s="2035">
        <f t="shared" ref="BA142:BF142" si="55">SUM(BA138:BA141)</f>
        <v>93090.550734612072</v>
      </c>
      <c r="BB142" s="2035">
        <f t="shared" si="55"/>
        <v>97311.218123375191</v>
      </c>
      <c r="BC142" s="2035">
        <f t="shared" si="55"/>
        <v>97368.971110563478</v>
      </c>
      <c r="BD142" s="2035">
        <f t="shared" si="55"/>
        <v>97662.398978851037</v>
      </c>
      <c r="BE142" s="158">
        <f t="shared" si="55"/>
        <v>97662.398978851037</v>
      </c>
      <c r="BF142" s="158">
        <f t="shared" si="55"/>
        <v>101513.17049752353</v>
      </c>
      <c r="BG142" s="147"/>
      <c r="BH142" s="147"/>
      <c r="BI142" s="147"/>
      <c r="BJ142" s="147"/>
      <c r="BK142" s="147"/>
      <c r="BL142" s="147"/>
      <c r="BM142" s="147"/>
      <c r="BN142" s="147"/>
      <c r="BO142" s="147"/>
      <c r="BP142" s="147"/>
      <c r="BQ142" s="147"/>
      <c r="BR142" s="147"/>
      <c r="BS142" s="147"/>
      <c r="BT142" s="147"/>
      <c r="BU142" s="147"/>
      <c r="BV142" s="147"/>
    </row>
    <row r="143" spans="1:74">
      <c r="A143" s="147"/>
      <c r="B143" s="189"/>
      <c r="C143" s="147"/>
      <c r="D143" s="147"/>
      <c r="E143" s="147"/>
      <c r="F143" s="147"/>
      <c r="G143" s="157"/>
      <c r="H143" s="147"/>
      <c r="I143" s="147"/>
      <c r="J143" s="147"/>
      <c r="K143" s="147"/>
      <c r="L143" s="157"/>
      <c r="M143" s="147"/>
      <c r="N143" s="147"/>
      <c r="O143" s="147"/>
      <c r="P143" s="147"/>
      <c r="Q143" s="157"/>
      <c r="R143" s="147"/>
      <c r="S143" s="147"/>
      <c r="T143" s="147"/>
      <c r="U143" s="147"/>
      <c r="V143" s="157"/>
      <c r="W143" s="147"/>
      <c r="X143" s="147"/>
      <c r="Y143" s="147"/>
      <c r="Z143" s="147"/>
      <c r="AA143" s="157"/>
      <c r="AB143" s="147"/>
      <c r="AC143" s="147"/>
      <c r="AD143" s="147"/>
      <c r="AE143" s="147"/>
      <c r="AF143" s="157"/>
      <c r="AG143" s="147"/>
      <c r="AH143" s="147"/>
      <c r="AI143" s="147"/>
      <c r="AJ143" s="147"/>
      <c r="AK143" s="157"/>
      <c r="AL143" s="147"/>
      <c r="AM143" s="147"/>
      <c r="AN143" s="147"/>
      <c r="AO143" s="147"/>
      <c r="AP143" s="157"/>
      <c r="AQ143" s="147"/>
      <c r="AR143" s="147"/>
      <c r="AS143" s="147"/>
      <c r="AT143" s="147"/>
      <c r="AU143" s="157"/>
      <c r="AV143" s="2030"/>
      <c r="AW143" s="2030"/>
      <c r="AX143" s="2030"/>
      <c r="AY143" s="2030"/>
      <c r="AZ143" s="157"/>
      <c r="BA143" s="2030"/>
      <c r="BB143" s="2030"/>
      <c r="BC143" s="2030"/>
      <c r="BD143" s="2030"/>
      <c r="BE143" s="157"/>
      <c r="BF143" s="157"/>
      <c r="BG143" s="147"/>
      <c r="BH143" s="147"/>
      <c r="BI143" s="147"/>
      <c r="BJ143" s="147"/>
      <c r="BK143" s="147"/>
      <c r="BL143" s="147"/>
      <c r="BM143" s="147"/>
      <c r="BN143" s="147"/>
      <c r="BO143" s="147"/>
      <c r="BP143" s="147"/>
      <c r="BQ143" s="147"/>
      <c r="BR143" s="147"/>
      <c r="BS143" s="147"/>
      <c r="BT143" s="147"/>
      <c r="BU143" s="147"/>
      <c r="BV143" s="147"/>
    </row>
    <row r="144" spans="1:74">
      <c r="A144" s="147" t="s">
        <v>235</v>
      </c>
      <c r="B144" s="160">
        <f>BS!AF33+BS!AF34</f>
        <v>1133</v>
      </c>
      <c r="C144" s="161">
        <f>BS!AG33+BS!AG34</f>
        <v>2003</v>
      </c>
      <c r="D144" s="161">
        <f>BS!AH33+BS!AH34</f>
        <v>2624</v>
      </c>
      <c r="E144" s="161">
        <f>BS!AI33+BS!AI34</f>
        <v>2259</v>
      </c>
      <c r="F144" s="161">
        <f>BS!AJ33+BS!AJ34</f>
        <v>2139</v>
      </c>
      <c r="G144" s="160">
        <f>BS!AK33+BS!AK34</f>
        <v>2139</v>
      </c>
      <c r="H144" s="161">
        <f>BS!AL33+BS!AL34</f>
        <v>1512</v>
      </c>
      <c r="I144" s="161">
        <f>BS!AM33+BS!AM34</f>
        <v>2095</v>
      </c>
      <c r="J144" s="161">
        <f>BS!AN33+BS!AN34</f>
        <v>1703</v>
      </c>
      <c r="K144" s="161">
        <f>BS!AO33+BS!AO34</f>
        <v>1487</v>
      </c>
      <c r="L144" s="160">
        <f>BS!AP33+BS!AP34</f>
        <v>1487</v>
      </c>
      <c r="M144" s="161">
        <f>BS!AQ33+BS!AQ34</f>
        <v>1948</v>
      </c>
      <c r="N144" s="161">
        <f>BS!AR33+BS!AR34</f>
        <v>2026</v>
      </c>
      <c r="O144" s="161">
        <f>BS!AS33+BS!AS34</f>
        <v>2231</v>
      </c>
      <c r="P144" s="161">
        <f>BS!AT33+BS!AT34</f>
        <v>279</v>
      </c>
      <c r="Q144" s="160">
        <f>BS!AU33+BS!AU34</f>
        <v>279</v>
      </c>
      <c r="R144" s="161">
        <f>BS!AV33+BS!AV34</f>
        <v>501</v>
      </c>
      <c r="S144" s="161">
        <f>BS!AW33+BS!AW34</f>
        <v>1906</v>
      </c>
      <c r="T144" s="161">
        <f>BS!AX33+BS!AX34</f>
        <v>1863</v>
      </c>
      <c r="U144" s="161">
        <f>BS!AY33+BS!AY34</f>
        <v>759</v>
      </c>
      <c r="V144" s="160">
        <f>BS!AZ33+BS!AZ34</f>
        <v>759</v>
      </c>
      <c r="W144" s="161">
        <f>BS!BA33+BS!BA34</f>
        <v>300</v>
      </c>
      <c r="X144" s="161">
        <f>BS!BB33+BS!BB34</f>
        <v>271</v>
      </c>
      <c r="Y144" s="161">
        <f>BS!BC33+BS!BC34</f>
        <v>5291</v>
      </c>
      <c r="Z144" s="161">
        <f>BS!BD33+BS!BD34</f>
        <v>1624</v>
      </c>
      <c r="AA144" s="160">
        <f>BS!BE33+BS!BE34</f>
        <v>1624</v>
      </c>
      <c r="AB144" s="161">
        <f>BS!BF33+BS!BF34</f>
        <v>1252</v>
      </c>
      <c r="AC144" s="161">
        <f>BS!BG33+BS!BG34</f>
        <v>1281</v>
      </c>
      <c r="AD144" s="161">
        <f>BS!BH33+BS!BH34</f>
        <v>1403</v>
      </c>
      <c r="AE144" s="161">
        <f>BS!BI33+BS!BI34</f>
        <v>500</v>
      </c>
      <c r="AF144" s="160">
        <f>BS!BJ33+BS!BJ34</f>
        <v>500</v>
      </c>
      <c r="AG144" s="161">
        <f>BS!BK33+BS!BK34</f>
        <v>304</v>
      </c>
      <c r="AH144" s="161">
        <f>BS!BL33+BS!BL34</f>
        <v>2235</v>
      </c>
      <c r="AI144" s="161">
        <f>BS!BM33+BS!BM34</f>
        <v>2141</v>
      </c>
      <c r="AJ144" s="161">
        <f>BS!BN33+BS!BN34</f>
        <v>1922</v>
      </c>
      <c r="AK144" s="160">
        <f>BS!BO33+BS!BO34</f>
        <v>1922</v>
      </c>
      <c r="AL144" s="161">
        <f>BS!BP33+BS!BP34</f>
        <v>4184</v>
      </c>
      <c r="AM144" s="161">
        <f>BS!BQ33+BS!BQ34</f>
        <v>2954</v>
      </c>
      <c r="AN144" s="161">
        <f>BS!BR33+BS!BR34</f>
        <v>3239</v>
      </c>
      <c r="AO144" s="161">
        <f>BS!BS33+BS!BS34</f>
        <v>1105</v>
      </c>
      <c r="AP144" s="160">
        <f>BS!BT33+BS!BT34</f>
        <v>1105</v>
      </c>
      <c r="AQ144" s="161">
        <f>BS!BU33+BS!BU34</f>
        <v>1363</v>
      </c>
      <c r="AR144" s="161">
        <f>BS!BV33+BS!BV34</f>
        <v>2407</v>
      </c>
      <c r="AS144" s="161">
        <f>BS!BW33+BS!BW34</f>
        <v>2475</v>
      </c>
      <c r="AT144" s="161">
        <f>BS!BX33+BS!BX34</f>
        <v>2204</v>
      </c>
      <c r="AU144" s="160">
        <f>BS!BY33+BS!BY34</f>
        <v>2204</v>
      </c>
      <c r="AV144" s="2036">
        <f>BS!BZ33+BS!BZ34</f>
        <v>3684</v>
      </c>
      <c r="AW144" s="2036">
        <f>BS!CA33+BS!CA34</f>
        <v>2743</v>
      </c>
      <c r="AX144" s="2036">
        <f>BS!CB33+BS!CB34</f>
        <v>3197</v>
      </c>
      <c r="AY144" s="2036">
        <f>BS!CC33+BS!CC34</f>
        <v>3197</v>
      </c>
      <c r="AZ144" s="160">
        <f>BS!CD33+BS!CD34</f>
        <v>3197</v>
      </c>
      <c r="BA144" s="2036">
        <f>BS!CE33+BS!CE34</f>
        <v>3197</v>
      </c>
      <c r="BB144" s="2036">
        <f>BS!CF33+BS!CF34</f>
        <v>3197</v>
      </c>
      <c r="BC144" s="2036">
        <f>BS!CG33+BS!CG34</f>
        <v>3197</v>
      </c>
      <c r="BD144" s="2036">
        <f>BS!CH33+BS!CH34</f>
        <v>3197</v>
      </c>
      <c r="BE144" s="160">
        <f>BS!CI33+BS!CI34</f>
        <v>3197</v>
      </c>
      <c r="BF144" s="160">
        <f>BS!CJ33+BS!CJ34</f>
        <v>3197</v>
      </c>
      <c r="BG144" s="147"/>
      <c r="BH144" s="147"/>
      <c r="BI144" s="147"/>
      <c r="BJ144" s="147"/>
      <c r="BK144" s="147"/>
      <c r="BL144" s="147"/>
      <c r="BM144" s="147"/>
      <c r="BN144" s="147"/>
      <c r="BO144" s="147"/>
      <c r="BP144" s="147"/>
      <c r="BQ144" s="147"/>
      <c r="BR144" s="147"/>
      <c r="BS144" s="147"/>
      <c r="BT144" s="147"/>
      <c r="BU144" s="147"/>
      <c r="BV144" s="147"/>
    </row>
    <row r="145" spans="1:74">
      <c r="A145" s="147" t="s">
        <v>234</v>
      </c>
      <c r="B145" s="160">
        <f>BS!AF35</f>
        <v>5059</v>
      </c>
      <c r="C145" s="161">
        <f>BS!AG35</f>
        <v>5503</v>
      </c>
      <c r="D145" s="161">
        <f>BS!AH35</f>
        <v>5577</v>
      </c>
      <c r="E145" s="161">
        <f>BS!AI35</f>
        <v>5104</v>
      </c>
      <c r="F145" s="161">
        <f>BS!AJ35</f>
        <v>5226</v>
      </c>
      <c r="G145" s="160">
        <f>BS!AK35</f>
        <v>5226</v>
      </c>
      <c r="H145" s="161">
        <f>BS!AL35</f>
        <v>4813</v>
      </c>
      <c r="I145" s="161">
        <f>BS!AM35</f>
        <v>4599</v>
      </c>
      <c r="J145" s="161">
        <f>BS!AN35</f>
        <v>4430</v>
      </c>
      <c r="K145" s="161">
        <f>BS!AO35</f>
        <v>4634</v>
      </c>
      <c r="L145" s="160">
        <f>BS!AP35</f>
        <v>4634</v>
      </c>
      <c r="M145" s="161">
        <f>BS!AQ35</f>
        <v>4801</v>
      </c>
      <c r="N145" s="161">
        <f>BS!AR35</f>
        <v>5057</v>
      </c>
      <c r="O145" s="161">
        <f>BS!AS35</f>
        <v>4964</v>
      </c>
      <c r="P145" s="161">
        <f>BS!AT35</f>
        <v>5206</v>
      </c>
      <c r="Q145" s="160">
        <f>BS!AU35</f>
        <v>5206</v>
      </c>
      <c r="R145" s="161">
        <f>BS!AV35</f>
        <v>5635</v>
      </c>
      <c r="S145" s="161">
        <f>BS!AW35</f>
        <v>5686</v>
      </c>
      <c r="T145" s="161">
        <f>BS!AX35</f>
        <v>5597</v>
      </c>
      <c r="U145" s="161">
        <f>BS!AY35</f>
        <v>5570</v>
      </c>
      <c r="V145" s="160">
        <f>BS!AZ35</f>
        <v>5570</v>
      </c>
      <c r="W145" s="161">
        <f>BS!BA35</f>
        <v>5281</v>
      </c>
      <c r="X145" s="161">
        <f>BS!BB35</f>
        <v>5752</v>
      </c>
      <c r="Y145" s="161">
        <f>BS!BC35</f>
        <v>6156</v>
      </c>
      <c r="Z145" s="161">
        <f>BS!BD35</f>
        <v>6431</v>
      </c>
      <c r="AA145" s="160">
        <f>BS!BE35</f>
        <v>6431</v>
      </c>
      <c r="AB145" s="161">
        <f>BS!BF35</f>
        <v>6192</v>
      </c>
      <c r="AC145" s="161">
        <f>BS!BG35</f>
        <v>6645</v>
      </c>
      <c r="AD145" s="161">
        <f>BS!BH35</f>
        <v>6628</v>
      </c>
      <c r="AE145" s="161">
        <f>BS!BI35</f>
        <v>6965</v>
      </c>
      <c r="AF145" s="160">
        <f>BS!BJ35</f>
        <v>6965</v>
      </c>
      <c r="AG145" s="161">
        <f>BS!BK35</f>
        <v>6949</v>
      </c>
      <c r="AH145" s="161">
        <f>BS!BL35</f>
        <v>7297</v>
      </c>
      <c r="AI145" s="161">
        <f>BS!BM35</f>
        <v>7046</v>
      </c>
      <c r="AJ145" s="161">
        <f>BS!BN35</f>
        <v>6967</v>
      </c>
      <c r="AK145" s="160">
        <f>BS!BO35</f>
        <v>6967</v>
      </c>
      <c r="AL145" s="161">
        <f>BS!BP35</f>
        <v>6929</v>
      </c>
      <c r="AM145" s="161">
        <f>BS!BQ35</f>
        <v>7153</v>
      </c>
      <c r="AN145" s="161">
        <f>BS!BR35</f>
        <v>6333</v>
      </c>
      <c r="AO145" s="161">
        <f>BS!BS35</f>
        <v>6875</v>
      </c>
      <c r="AP145" s="160">
        <f>BS!BT35</f>
        <v>6875</v>
      </c>
      <c r="AQ145" s="161">
        <f>BS!BU35</f>
        <v>6579</v>
      </c>
      <c r="AR145" s="161">
        <f>BS!BV35</f>
        <v>7242</v>
      </c>
      <c r="AS145" s="161">
        <f>BS!BW35</f>
        <v>7432</v>
      </c>
      <c r="AT145" s="161">
        <f>BS!BX35</f>
        <v>7483</v>
      </c>
      <c r="AU145" s="160">
        <f>BS!BY35</f>
        <v>7483</v>
      </c>
      <c r="AV145" s="2036">
        <f>BS!BZ35</f>
        <v>7520</v>
      </c>
      <c r="AW145" s="2036">
        <f>BS!CA35</f>
        <v>8542</v>
      </c>
      <c r="AX145" s="2036">
        <f>BS!CB35</f>
        <v>8999</v>
      </c>
      <c r="AY145" s="2036">
        <f>BS!CC35</f>
        <v>7891.5085936095174</v>
      </c>
      <c r="AZ145" s="160">
        <f>BS!CD35</f>
        <v>7891.5085936095174</v>
      </c>
      <c r="BA145" s="2036">
        <f>BS!CE35</f>
        <v>7930.0365514883142</v>
      </c>
      <c r="BB145" s="2036">
        <f>BS!CF35</f>
        <v>9244.1554571861852</v>
      </c>
      <c r="BC145" s="2036">
        <f>BS!CG35</f>
        <v>8830.4788602093995</v>
      </c>
      <c r="BD145" s="2036">
        <f>BS!CH35</f>
        <v>8215.8123343297048</v>
      </c>
      <c r="BE145" s="160">
        <f>BS!CI35</f>
        <v>8215.8123343297048</v>
      </c>
      <c r="BF145" s="160">
        <f>BS!CJ35</f>
        <v>8317.7462983522855</v>
      </c>
      <c r="BG145" s="147"/>
      <c r="BH145" s="147"/>
      <c r="BI145" s="147"/>
      <c r="BJ145" s="147"/>
      <c r="BK145" s="147"/>
      <c r="BL145" s="147"/>
      <c r="BM145" s="147"/>
      <c r="BN145" s="147"/>
      <c r="BO145" s="147"/>
      <c r="BP145" s="147"/>
      <c r="BQ145" s="147"/>
      <c r="BR145" s="147"/>
      <c r="BS145" s="147"/>
      <c r="BT145" s="147"/>
      <c r="BU145" s="147"/>
      <c r="BV145" s="147"/>
    </row>
    <row r="146" spans="1:74">
      <c r="A146" s="153" t="s">
        <v>8</v>
      </c>
      <c r="B146" s="151">
        <f>BS!AF36</f>
        <v>11277</v>
      </c>
      <c r="C146" s="152">
        <f>BS!AG36</f>
        <v>12099</v>
      </c>
      <c r="D146" s="152">
        <f>BS!AH36</f>
        <v>12304</v>
      </c>
      <c r="E146" s="152">
        <f>BS!AI36</f>
        <v>12494</v>
      </c>
      <c r="F146" s="152">
        <f>BS!AJ36</f>
        <v>12069</v>
      </c>
      <c r="G146" s="151">
        <f>BS!AK36</f>
        <v>12069</v>
      </c>
      <c r="H146" s="152">
        <f>BS!AL36</f>
        <v>11614</v>
      </c>
      <c r="I146" s="152">
        <f>BS!AM36</f>
        <v>11877</v>
      </c>
      <c r="J146" s="152">
        <f>BS!AN36</f>
        <v>12067</v>
      </c>
      <c r="K146" s="152">
        <f>BS!AO36</f>
        <v>11792</v>
      </c>
      <c r="L146" s="151">
        <f>BS!AP36</f>
        <v>11792</v>
      </c>
      <c r="M146" s="152">
        <f>BS!AQ36</f>
        <v>11921</v>
      </c>
      <c r="N146" s="152">
        <f>BS!AR36</f>
        <v>11679</v>
      </c>
      <c r="O146" s="152">
        <f>BS!AS36</f>
        <v>12425</v>
      </c>
      <c r="P146" s="152">
        <f>BS!AT36</f>
        <v>12247</v>
      </c>
      <c r="Q146" s="151">
        <f>BS!AU36</f>
        <v>12247</v>
      </c>
      <c r="R146" s="152">
        <f>BS!AV36</f>
        <v>12780</v>
      </c>
      <c r="S146" s="152">
        <f>BS!AW36</f>
        <v>12622</v>
      </c>
      <c r="T146" s="152">
        <f>BS!AX36</f>
        <v>12604</v>
      </c>
      <c r="U146" s="152">
        <f>BS!AY36</f>
        <v>12287</v>
      </c>
      <c r="V146" s="151">
        <f>BS!AZ36</f>
        <v>12287</v>
      </c>
      <c r="W146" s="152">
        <f>BS!BA36+BS!BA38</f>
        <v>12749</v>
      </c>
      <c r="X146" s="152">
        <f>BS!BB36+BS!BB38</f>
        <v>13770</v>
      </c>
      <c r="Y146" s="152">
        <f>BS!BC36+BS!BC38</f>
        <v>15005</v>
      </c>
      <c r="Z146" s="152">
        <f>BS!BD36+BS!BD38</f>
        <v>15731</v>
      </c>
      <c r="AA146" s="151">
        <f>BS!BE36+BS!BE38</f>
        <v>15731</v>
      </c>
      <c r="AB146" s="152">
        <f>BS!BF36+BS!BF38</f>
        <v>15115</v>
      </c>
      <c r="AC146" s="152">
        <f>BS!BG36+BS!BG38</f>
        <v>15238</v>
      </c>
      <c r="AD146" s="152">
        <f>BS!BH36+BS!BH38</f>
        <v>15488</v>
      </c>
      <c r="AE146" s="152">
        <f>BS!BI36+BS!BI38</f>
        <v>15335</v>
      </c>
      <c r="AF146" s="151">
        <f>BS!BJ36+BS!BJ38</f>
        <v>15335</v>
      </c>
      <c r="AG146" s="152">
        <f>BS!BK36+BS!BK38</f>
        <v>15678</v>
      </c>
      <c r="AH146" s="152">
        <f>BS!BL36+BS!BL38</f>
        <v>14798</v>
      </c>
      <c r="AI146" s="152">
        <f>BS!BM36+BS!BM38</f>
        <v>14721</v>
      </c>
      <c r="AJ146" s="152">
        <f>BS!BN36+BS!BN38</f>
        <v>14006</v>
      </c>
      <c r="AK146" s="151">
        <f>BS!BO36+BS!BO38</f>
        <v>14006</v>
      </c>
      <c r="AL146" s="152">
        <f>BS!BP36+BS!BP38</f>
        <v>14616</v>
      </c>
      <c r="AM146" s="152">
        <f>BS!BQ36+BS!BQ38</f>
        <v>13622</v>
      </c>
      <c r="AN146" s="152">
        <f>BS!BR36+BS!BR38</f>
        <v>14117</v>
      </c>
      <c r="AO146" s="152">
        <f>BS!BS36+BS!BS38</f>
        <v>14638</v>
      </c>
      <c r="AP146" s="151">
        <f>BS!BT36+BS!BT38</f>
        <v>14638</v>
      </c>
      <c r="AQ146" s="152">
        <f>BS!BU36+BS!BU38</f>
        <v>12581</v>
      </c>
      <c r="AR146" s="152">
        <f>BS!BV36+BS!BV38</f>
        <v>12534</v>
      </c>
      <c r="AS146" s="152">
        <f>BS!BW36+BS!BW38</f>
        <v>12634</v>
      </c>
      <c r="AT146" s="152">
        <f>BS!BX36+BS!BX38</f>
        <v>12219</v>
      </c>
      <c r="AU146" s="151">
        <f>BS!BY36+BS!BY38</f>
        <v>12219</v>
      </c>
      <c r="AV146" s="2032">
        <f>BS!BZ36+BS!BZ38</f>
        <v>12522</v>
      </c>
      <c r="AW146" s="2032">
        <f>BS!CA36+BS!CA38</f>
        <v>12634</v>
      </c>
      <c r="AX146" s="2032">
        <f>BS!CB36+BS!CB38</f>
        <v>13053</v>
      </c>
      <c r="AY146" s="2032">
        <f>BS!CC36+BS!CC38</f>
        <v>13237.177169021348</v>
      </c>
      <c r="AZ146" s="151">
        <f>BS!CD36+BS!CD38</f>
        <v>13237.177169021348</v>
      </c>
      <c r="BA146" s="2032">
        <f>BS!CE36+BS!CE38</f>
        <v>12300.421000144419</v>
      </c>
      <c r="BB146" s="2032">
        <f>BS!CF36+BS!CF38</f>
        <v>13246.48837115933</v>
      </c>
      <c r="BC146" s="2032">
        <f>BS!CG36+BS!CG38</f>
        <v>12754.835043960489</v>
      </c>
      <c r="BD146" s="2032">
        <f>BS!CH36+BS!CH38</f>
        <v>12869.113328446227</v>
      </c>
      <c r="BE146" s="151">
        <f>BS!CI36+BS!CI38</f>
        <v>12869.113328446227</v>
      </c>
      <c r="BF146" s="151">
        <f>BS!CJ36+BS!CJ38</f>
        <v>12539.223658351566</v>
      </c>
      <c r="BG146" s="147"/>
      <c r="BH146" s="147"/>
      <c r="BI146" s="147"/>
      <c r="BJ146" s="147"/>
      <c r="BK146" s="147"/>
      <c r="BL146" s="147"/>
      <c r="BM146" s="147"/>
      <c r="BN146" s="147"/>
      <c r="BO146" s="147"/>
      <c r="BP146" s="147"/>
      <c r="BQ146" s="147"/>
      <c r="BR146" s="147"/>
      <c r="BS146" s="147"/>
      <c r="BT146" s="147"/>
      <c r="BU146" s="147"/>
      <c r="BV146" s="147"/>
    </row>
    <row r="147" spans="1:74">
      <c r="A147" s="179" t="s">
        <v>233</v>
      </c>
      <c r="B147" s="172">
        <f t="shared" ref="B147:AZ147" si="56">SUM(B144:B146)</f>
        <v>17469</v>
      </c>
      <c r="C147" s="173">
        <f t="shared" si="56"/>
        <v>19605</v>
      </c>
      <c r="D147" s="173">
        <f t="shared" si="56"/>
        <v>20505</v>
      </c>
      <c r="E147" s="173">
        <f t="shared" si="56"/>
        <v>19857</v>
      </c>
      <c r="F147" s="173">
        <f t="shared" si="56"/>
        <v>19434</v>
      </c>
      <c r="G147" s="172">
        <f t="shared" si="56"/>
        <v>19434</v>
      </c>
      <c r="H147" s="173">
        <f t="shared" si="56"/>
        <v>17939</v>
      </c>
      <c r="I147" s="173">
        <f t="shared" si="56"/>
        <v>18571</v>
      </c>
      <c r="J147" s="173">
        <f t="shared" si="56"/>
        <v>18200</v>
      </c>
      <c r="K147" s="173">
        <f t="shared" si="56"/>
        <v>17913</v>
      </c>
      <c r="L147" s="172">
        <f t="shared" si="56"/>
        <v>17913</v>
      </c>
      <c r="M147" s="173">
        <f t="shared" si="56"/>
        <v>18670</v>
      </c>
      <c r="N147" s="173">
        <f t="shared" si="56"/>
        <v>18762</v>
      </c>
      <c r="O147" s="173">
        <f t="shared" si="56"/>
        <v>19620</v>
      </c>
      <c r="P147" s="173">
        <f t="shared" si="56"/>
        <v>17732</v>
      </c>
      <c r="Q147" s="172">
        <f t="shared" si="56"/>
        <v>17732</v>
      </c>
      <c r="R147" s="173">
        <f t="shared" si="56"/>
        <v>18916</v>
      </c>
      <c r="S147" s="173">
        <f t="shared" si="56"/>
        <v>20214</v>
      </c>
      <c r="T147" s="173">
        <f t="shared" si="56"/>
        <v>20064</v>
      </c>
      <c r="U147" s="173">
        <f t="shared" si="56"/>
        <v>18616</v>
      </c>
      <c r="V147" s="172">
        <f t="shared" si="56"/>
        <v>18616</v>
      </c>
      <c r="W147" s="173">
        <f t="shared" si="56"/>
        <v>18330</v>
      </c>
      <c r="X147" s="173">
        <f t="shared" si="56"/>
        <v>19793</v>
      </c>
      <c r="Y147" s="173">
        <f t="shared" si="56"/>
        <v>26452</v>
      </c>
      <c r="Z147" s="173">
        <f t="shared" si="56"/>
        <v>23786</v>
      </c>
      <c r="AA147" s="172">
        <f t="shared" si="56"/>
        <v>23786</v>
      </c>
      <c r="AB147" s="173">
        <f t="shared" si="56"/>
        <v>22559</v>
      </c>
      <c r="AC147" s="173">
        <f t="shared" si="56"/>
        <v>23164</v>
      </c>
      <c r="AD147" s="173">
        <f t="shared" si="56"/>
        <v>23519</v>
      </c>
      <c r="AE147" s="173">
        <f t="shared" si="56"/>
        <v>22800</v>
      </c>
      <c r="AF147" s="172">
        <f t="shared" si="56"/>
        <v>22800</v>
      </c>
      <c r="AG147" s="173">
        <f t="shared" si="56"/>
        <v>22931</v>
      </c>
      <c r="AH147" s="173">
        <f t="shared" si="56"/>
        <v>24330</v>
      </c>
      <c r="AI147" s="173">
        <f t="shared" si="56"/>
        <v>23908</v>
      </c>
      <c r="AJ147" s="173">
        <f t="shared" si="56"/>
        <v>22895</v>
      </c>
      <c r="AK147" s="172">
        <f t="shared" si="56"/>
        <v>22895</v>
      </c>
      <c r="AL147" s="173">
        <f t="shared" si="56"/>
        <v>25729</v>
      </c>
      <c r="AM147" s="173">
        <f t="shared" si="56"/>
        <v>23729</v>
      </c>
      <c r="AN147" s="173">
        <f t="shared" si="56"/>
        <v>23689</v>
      </c>
      <c r="AO147" s="173">
        <f t="shared" si="56"/>
        <v>22618</v>
      </c>
      <c r="AP147" s="172">
        <f t="shared" si="56"/>
        <v>22618</v>
      </c>
      <c r="AQ147" s="173">
        <f t="shared" si="56"/>
        <v>20523</v>
      </c>
      <c r="AR147" s="173">
        <f t="shared" si="56"/>
        <v>22183</v>
      </c>
      <c r="AS147" s="173">
        <f t="shared" si="56"/>
        <v>22541</v>
      </c>
      <c r="AT147" s="173">
        <f t="shared" si="56"/>
        <v>21906</v>
      </c>
      <c r="AU147" s="172">
        <f t="shared" si="56"/>
        <v>21906</v>
      </c>
      <c r="AV147" s="2039">
        <f>SUM(AV144:AV146)</f>
        <v>23726</v>
      </c>
      <c r="AW147" s="2039">
        <f>SUM(AW144:AW146)</f>
        <v>23919</v>
      </c>
      <c r="AX147" s="2039">
        <f>SUM(AX144:AX146)</f>
        <v>25249</v>
      </c>
      <c r="AY147" s="2039">
        <f>SUM(AY144:AY146)</f>
        <v>24325.685762630863</v>
      </c>
      <c r="AZ147" s="172">
        <f t="shared" si="56"/>
        <v>24325.685762630863</v>
      </c>
      <c r="BA147" s="2039">
        <f t="shared" ref="BA147:BF147" si="57">SUM(BA144:BA146)</f>
        <v>23427.457551632731</v>
      </c>
      <c r="BB147" s="2039">
        <f t="shared" si="57"/>
        <v>25687.643828345514</v>
      </c>
      <c r="BC147" s="2039">
        <f t="shared" si="57"/>
        <v>24782.313904169889</v>
      </c>
      <c r="BD147" s="2039">
        <f t="shared" si="57"/>
        <v>24281.925662775931</v>
      </c>
      <c r="BE147" s="172">
        <f t="shared" si="57"/>
        <v>24281.925662775931</v>
      </c>
      <c r="BF147" s="172">
        <f t="shared" si="57"/>
        <v>24053.969956703851</v>
      </c>
      <c r="BG147" s="147"/>
      <c r="BH147" s="147"/>
      <c r="BI147" s="147"/>
      <c r="BJ147" s="147"/>
      <c r="BK147" s="147"/>
      <c r="BL147" s="147"/>
      <c r="BM147" s="147"/>
      <c r="BN147" s="147"/>
      <c r="BO147" s="147"/>
      <c r="BP147" s="147"/>
      <c r="BQ147" s="147"/>
      <c r="BR147" s="147"/>
      <c r="BS147" s="147"/>
      <c r="BT147" s="147"/>
      <c r="BU147" s="147"/>
      <c r="BV147" s="147"/>
    </row>
    <row r="148" spans="1:74">
      <c r="A148" s="147"/>
      <c r="B148" s="160"/>
      <c r="C148" s="161"/>
      <c r="D148" s="161"/>
      <c r="E148" s="161"/>
      <c r="F148" s="161"/>
      <c r="G148" s="160"/>
      <c r="H148" s="161"/>
      <c r="I148" s="161"/>
      <c r="J148" s="161"/>
      <c r="K148" s="161"/>
      <c r="L148" s="160"/>
      <c r="M148" s="161"/>
      <c r="N148" s="161"/>
      <c r="O148" s="161"/>
      <c r="P148" s="161"/>
      <c r="Q148" s="160"/>
      <c r="R148" s="161"/>
      <c r="S148" s="161"/>
      <c r="T148" s="161"/>
      <c r="U148" s="161"/>
      <c r="V148" s="160"/>
      <c r="W148" s="161"/>
      <c r="X148" s="161"/>
      <c r="Y148" s="161"/>
      <c r="Z148" s="161"/>
      <c r="AA148" s="160"/>
      <c r="AB148" s="161"/>
      <c r="AC148" s="161"/>
      <c r="AD148" s="161"/>
      <c r="AE148" s="161"/>
      <c r="AF148" s="160"/>
      <c r="AG148" s="161"/>
      <c r="AH148" s="161"/>
      <c r="AI148" s="161"/>
      <c r="AJ148" s="161"/>
      <c r="AK148" s="160"/>
      <c r="AL148" s="161"/>
      <c r="AM148" s="161"/>
      <c r="AN148" s="161"/>
      <c r="AO148" s="161"/>
      <c r="AP148" s="160"/>
      <c r="AQ148" s="161"/>
      <c r="AR148" s="161"/>
      <c r="AS148" s="161"/>
      <c r="AT148" s="161"/>
      <c r="AU148" s="160"/>
      <c r="AV148" s="2036"/>
      <c r="AW148" s="2036"/>
      <c r="AX148" s="2036"/>
      <c r="AY148" s="2036"/>
      <c r="AZ148" s="160"/>
      <c r="BA148" s="2036"/>
      <c r="BB148" s="2036"/>
      <c r="BC148" s="2036"/>
      <c r="BD148" s="2036"/>
      <c r="BE148" s="160"/>
      <c r="BF148" s="160"/>
      <c r="BG148" s="147"/>
      <c r="BH148" s="147"/>
      <c r="BI148" s="147"/>
      <c r="BJ148" s="147"/>
      <c r="BK148" s="147"/>
      <c r="BL148" s="147"/>
      <c r="BM148" s="147"/>
      <c r="BN148" s="147"/>
      <c r="BO148" s="147"/>
      <c r="BP148" s="147"/>
      <c r="BQ148" s="147"/>
      <c r="BR148" s="147"/>
      <c r="BS148" s="147"/>
      <c r="BT148" s="147"/>
      <c r="BU148" s="147"/>
      <c r="BV148" s="147"/>
    </row>
    <row r="149" spans="1:74">
      <c r="A149" s="147" t="s">
        <v>126</v>
      </c>
      <c r="B149" s="160">
        <f>BS!AF42</f>
        <v>8015</v>
      </c>
      <c r="C149" s="161">
        <f>BS!AG42</f>
        <v>8014</v>
      </c>
      <c r="D149" s="161">
        <f>BS!AH42</f>
        <v>8106</v>
      </c>
      <c r="E149" s="161">
        <f>BS!AI42</f>
        <v>8113</v>
      </c>
      <c r="F149" s="161">
        <f>BS!AJ42</f>
        <v>9337</v>
      </c>
      <c r="G149" s="160">
        <f>BS!AK42</f>
        <v>9337</v>
      </c>
      <c r="H149" s="161">
        <f>BS!AL42</f>
        <v>9315</v>
      </c>
      <c r="I149" s="161">
        <f>BS!AM42</f>
        <v>8721</v>
      </c>
      <c r="J149" s="161">
        <f>BS!AN42</f>
        <v>8729</v>
      </c>
      <c r="K149" s="161">
        <f>BS!AO42</f>
        <v>8257</v>
      </c>
      <c r="L149" s="160">
        <f>BS!AP42</f>
        <v>8257</v>
      </c>
      <c r="M149" s="161">
        <f>BS!AQ42</f>
        <v>10004</v>
      </c>
      <c r="N149" s="161">
        <f>BS!AR42</f>
        <v>10039</v>
      </c>
      <c r="O149" s="161">
        <f>BS!AS42</f>
        <v>10071</v>
      </c>
      <c r="P149" s="161">
        <f>BS!AT42</f>
        <v>10010</v>
      </c>
      <c r="Q149" s="160">
        <f>BS!AU42</f>
        <v>10010</v>
      </c>
      <c r="R149" s="161">
        <f>BS!AV42</f>
        <v>9986</v>
      </c>
      <c r="S149" s="161">
        <f>BS!AW42</f>
        <v>9492</v>
      </c>
      <c r="T149" s="161">
        <f>BS!AX42</f>
        <v>9501</v>
      </c>
      <c r="U149" s="161">
        <f>BS!AY42</f>
        <v>9501</v>
      </c>
      <c r="V149" s="160">
        <f>BS!AZ42</f>
        <v>9501</v>
      </c>
      <c r="W149" s="161">
        <f>BS!BA42</f>
        <v>9491</v>
      </c>
      <c r="X149" s="161">
        <f>BS!BB42</f>
        <v>20450</v>
      </c>
      <c r="Y149" s="161">
        <f>BS!BC42</f>
        <v>23409</v>
      </c>
      <c r="Z149" s="161">
        <f>BS!BD42</f>
        <v>21597</v>
      </c>
      <c r="AA149" s="160">
        <f>BS!BE42</f>
        <v>21597</v>
      </c>
      <c r="AB149" s="161">
        <f>BS!BF42</f>
        <v>21572</v>
      </c>
      <c r="AC149" s="161">
        <f>BS!BG42</f>
        <v>20375</v>
      </c>
      <c r="AD149" s="161">
        <f>BS!BH42</f>
        <v>19785</v>
      </c>
      <c r="AE149" s="161">
        <f>BS!BI42</f>
        <v>19741</v>
      </c>
      <c r="AF149" s="160">
        <f>BS!BJ42</f>
        <v>19741</v>
      </c>
      <c r="AG149" s="161">
        <f>BS!BK42</f>
        <v>19739</v>
      </c>
      <c r="AH149" s="161">
        <f>BS!BL42</f>
        <v>17837</v>
      </c>
      <c r="AI149" s="161">
        <f>BS!BM42</f>
        <v>17857</v>
      </c>
      <c r="AJ149" s="161">
        <f>BS!BN42</f>
        <v>17872</v>
      </c>
      <c r="AK149" s="160">
        <f>BS!BO42</f>
        <v>17872</v>
      </c>
      <c r="AL149" s="161">
        <f>BS!BP42</f>
        <v>17809</v>
      </c>
      <c r="AM149" s="161">
        <f>BS!BQ42</f>
        <v>19489</v>
      </c>
      <c r="AN149" s="161">
        <f>BS!BR42</f>
        <v>19428</v>
      </c>
      <c r="AO149" s="161">
        <f>BS!BS42</f>
        <v>19320</v>
      </c>
      <c r="AP149" s="160">
        <f>BS!BT42</f>
        <v>19320</v>
      </c>
      <c r="AQ149" s="161">
        <f>BS!BU42</f>
        <v>21688</v>
      </c>
      <c r="AR149" s="161">
        <f>BS!BV42</f>
        <v>20130</v>
      </c>
      <c r="AS149" s="161">
        <f>BS!BW42</f>
        <v>20190</v>
      </c>
      <c r="AT149" s="161">
        <f>BS!BX42</f>
        <v>21697</v>
      </c>
      <c r="AU149" s="160">
        <f>BS!BY42</f>
        <v>21697</v>
      </c>
      <c r="AV149" s="2036">
        <f>BS!BZ42</f>
        <v>20898</v>
      </c>
      <c r="AW149" s="2036">
        <f>BS!CA42</f>
        <v>23883</v>
      </c>
      <c r="AX149" s="2036">
        <f>BS!CB42</f>
        <v>24063</v>
      </c>
      <c r="AY149" s="2036">
        <f>BS!CC42</f>
        <v>24063</v>
      </c>
      <c r="AZ149" s="160">
        <f>BS!CD42</f>
        <v>24063</v>
      </c>
      <c r="BA149" s="2036">
        <f>BS!CE42</f>
        <v>25063</v>
      </c>
      <c r="BB149" s="2036">
        <f>BS!CF42</f>
        <v>26063</v>
      </c>
      <c r="BC149" s="2036">
        <f>BS!CG42</f>
        <v>26063</v>
      </c>
      <c r="BD149" s="2036">
        <f>BS!CH42</f>
        <v>26063</v>
      </c>
      <c r="BE149" s="160">
        <f>BS!CI42</f>
        <v>26063</v>
      </c>
      <c r="BF149" s="160">
        <f>BS!CJ42</f>
        <v>26063</v>
      </c>
      <c r="BG149" s="147"/>
      <c r="BH149" s="147"/>
      <c r="BI149" s="147"/>
      <c r="BJ149" s="147"/>
      <c r="BK149" s="147"/>
      <c r="BL149" s="147"/>
      <c r="BM149" s="147"/>
      <c r="BN149" s="147"/>
      <c r="BO149" s="147"/>
      <c r="BP149" s="147"/>
      <c r="BQ149" s="147"/>
      <c r="BR149" s="147"/>
      <c r="BS149" s="147"/>
      <c r="BT149" s="147"/>
      <c r="BU149" s="147"/>
      <c r="BV149" s="147"/>
    </row>
    <row r="150" spans="1:74">
      <c r="A150" s="147" t="s">
        <v>232</v>
      </c>
      <c r="B150" s="160">
        <f>BS!AF43</f>
        <v>2562</v>
      </c>
      <c r="C150" s="161">
        <f>BS!AG43</f>
        <v>2552</v>
      </c>
      <c r="D150" s="161">
        <f>BS!AH43</f>
        <v>2523</v>
      </c>
      <c r="E150" s="161">
        <f>BS!AI43</f>
        <v>2392</v>
      </c>
      <c r="F150" s="161">
        <f>BS!AJ43</f>
        <v>6574</v>
      </c>
      <c r="G150" s="160">
        <f>BS!AK43</f>
        <v>6574</v>
      </c>
      <c r="H150" s="161">
        <f>BS!AL43</f>
        <v>6525</v>
      </c>
      <c r="I150" s="161">
        <f>BS!AM43</f>
        <v>6589</v>
      </c>
      <c r="J150" s="161">
        <f>BS!AN43</f>
        <v>6663</v>
      </c>
      <c r="K150" s="161">
        <f>BS!AO43</f>
        <v>4150</v>
      </c>
      <c r="L150" s="160">
        <f>BS!AP43</f>
        <v>4150</v>
      </c>
      <c r="M150" s="161">
        <f>BS!AQ43</f>
        <v>4099</v>
      </c>
      <c r="N150" s="161">
        <f>BS!AR43</f>
        <v>3996</v>
      </c>
      <c r="O150" s="161">
        <f>BS!AS43</f>
        <v>3927</v>
      </c>
      <c r="P150" s="161">
        <f>BS!AT43</f>
        <v>3592</v>
      </c>
      <c r="Q150" s="160">
        <f>BS!AU43</f>
        <v>3592</v>
      </c>
      <c r="R150" s="161">
        <f>BS!AV43</f>
        <v>3583</v>
      </c>
      <c r="S150" s="161">
        <f>BS!AW43</f>
        <v>3528</v>
      </c>
      <c r="T150" s="161">
        <f>BS!AX43</f>
        <v>3409</v>
      </c>
      <c r="U150" s="161">
        <f>BS!AY43</f>
        <v>5007</v>
      </c>
      <c r="V150" s="160">
        <f>BS!AZ43</f>
        <v>5007</v>
      </c>
      <c r="W150" s="161">
        <f>BS!BA43</f>
        <v>5177</v>
      </c>
      <c r="X150" s="161">
        <f>BS!BB43</f>
        <v>5087</v>
      </c>
      <c r="Y150" s="161">
        <f>BS!BC43</f>
        <v>6632</v>
      </c>
      <c r="Z150" s="161">
        <f>BS!BD43</f>
        <v>7520</v>
      </c>
      <c r="AA150" s="160">
        <f>BS!BE43</f>
        <v>7520</v>
      </c>
      <c r="AB150" s="161">
        <f>BS!BF43</f>
        <v>7358</v>
      </c>
      <c r="AC150" s="161">
        <f>BS!BG43</f>
        <v>7231</v>
      </c>
      <c r="AD150" s="161">
        <f>BS!BH43</f>
        <v>7175</v>
      </c>
      <c r="AE150" s="161">
        <f>BS!BI43</f>
        <v>3444</v>
      </c>
      <c r="AF150" s="160">
        <f>BS!BJ43</f>
        <v>3444</v>
      </c>
      <c r="AG150" s="161">
        <f>BS!BK43</f>
        <v>3320</v>
      </c>
      <c r="AH150" s="161">
        <f>BS!BL43</f>
        <v>3207</v>
      </c>
      <c r="AI150" s="161">
        <f>BS!BM43</f>
        <v>3033</v>
      </c>
      <c r="AJ150" s="161">
        <f>BS!BN43</f>
        <v>6683</v>
      </c>
      <c r="AK150" s="160">
        <f>BS!BO43</f>
        <v>6683</v>
      </c>
      <c r="AL150" s="161">
        <f>BS!BP43</f>
        <v>6494</v>
      </c>
      <c r="AM150" s="161">
        <f>BS!BQ43</f>
        <v>6373</v>
      </c>
      <c r="AN150" s="161">
        <f>BS!BR43</f>
        <v>6285.5</v>
      </c>
      <c r="AO150" s="161">
        <f>BS!BS43</f>
        <v>6022</v>
      </c>
      <c r="AP150" s="160">
        <f>BS!BT43</f>
        <v>6022</v>
      </c>
      <c r="AQ150" s="161">
        <f>BS!BU43</f>
        <v>5869</v>
      </c>
      <c r="AR150" s="161">
        <f>BS!BV43</f>
        <v>5713</v>
      </c>
      <c r="AS150" s="161">
        <f>BS!BW43</f>
        <v>5760</v>
      </c>
      <c r="AT150" s="161">
        <f>BS!BX43</f>
        <v>5612</v>
      </c>
      <c r="AU150" s="160">
        <f>BS!BY43</f>
        <v>5612</v>
      </c>
      <c r="AV150" s="2036">
        <f>BS!BZ43</f>
        <v>5433</v>
      </c>
      <c r="AW150" s="2036">
        <f>BS!CA43</f>
        <v>5249</v>
      </c>
      <c r="AX150" s="2036">
        <f>BS!CB43</f>
        <v>3320</v>
      </c>
      <c r="AY150" s="2036">
        <f>BS!CC43</f>
        <v>3270</v>
      </c>
      <c r="AZ150" s="160">
        <f>BS!CD43</f>
        <v>3270</v>
      </c>
      <c r="BA150" s="2036">
        <f>BS!CE43</f>
        <v>3220</v>
      </c>
      <c r="BB150" s="2036">
        <f>BS!CF43</f>
        <v>3170</v>
      </c>
      <c r="BC150" s="2036">
        <f>BS!CG43</f>
        <v>3120</v>
      </c>
      <c r="BD150" s="2036">
        <f>BS!CH43</f>
        <v>3070</v>
      </c>
      <c r="BE150" s="160">
        <f>BS!CI43</f>
        <v>3070</v>
      </c>
      <c r="BF150" s="160">
        <f>BS!CJ43</f>
        <v>2870</v>
      </c>
      <c r="BG150" s="147"/>
      <c r="BH150" s="147"/>
      <c r="BI150" s="147"/>
      <c r="BJ150" s="147"/>
      <c r="BK150" s="147"/>
      <c r="BL150" s="147"/>
      <c r="BM150" s="147"/>
      <c r="BN150" s="147"/>
      <c r="BO150" s="147"/>
      <c r="BP150" s="147"/>
      <c r="BQ150" s="147"/>
      <c r="BR150" s="147"/>
      <c r="BS150" s="147"/>
      <c r="BT150" s="147"/>
      <c r="BU150" s="147"/>
      <c r="BV150" s="147"/>
    </row>
    <row r="151" spans="1:74">
      <c r="A151" s="147" t="s">
        <v>8</v>
      </c>
      <c r="B151" s="160">
        <f>BS!AF44+BS!AF45+BS!AF47</f>
        <v>4262</v>
      </c>
      <c r="C151" s="161">
        <f>BS!AG44+BS!AG45+BS!AG47</f>
        <v>4312</v>
      </c>
      <c r="D151" s="161">
        <f>BS!AH44+BS!AH45+BS!AH47</f>
        <v>4483</v>
      </c>
      <c r="E151" s="161">
        <f>BS!AI44+BS!AI45+BS!AI47</f>
        <v>4403</v>
      </c>
      <c r="F151" s="161">
        <f>BS!AJ44+BS!AJ45+BS!AJ47</f>
        <v>4198</v>
      </c>
      <c r="G151" s="160">
        <f>BS!AK44+BS!AK45+BS!AK47</f>
        <v>4198</v>
      </c>
      <c r="H151" s="161">
        <f>BS!AL44+BS!AL45+BS!AL47</f>
        <v>4233</v>
      </c>
      <c r="I151" s="161">
        <f>BS!AM44+BS!AM45+BS!AM47</f>
        <v>4258</v>
      </c>
      <c r="J151" s="161">
        <f>BS!AN44+BS!AN45+BS!AN47</f>
        <v>4339</v>
      </c>
      <c r="K151" s="161">
        <f>BS!AO44+BS!AO45+BS!AO47</f>
        <v>4054</v>
      </c>
      <c r="L151" s="160">
        <f>BS!AP44+BS!AP45+BS!AP47</f>
        <v>4054</v>
      </c>
      <c r="M151" s="161">
        <f>BS!AQ44+BS!AQ45+BS!AQ47</f>
        <v>4314</v>
      </c>
      <c r="N151" s="161">
        <f>BS!AR44+BS!AR45+BS!AR47</f>
        <v>4320</v>
      </c>
      <c r="O151" s="161">
        <f>BS!AS44+BS!AS45+BS!AS47</f>
        <v>4460</v>
      </c>
      <c r="P151" s="161">
        <f>BS!AT44+BS!AT45+BS!AT47</f>
        <v>4510</v>
      </c>
      <c r="Q151" s="160">
        <f>BS!AU44+BS!AU45+BS!AU47</f>
        <v>4510</v>
      </c>
      <c r="R151" s="161">
        <f>BS!AV44+BS!AV45+BS!AV47</f>
        <v>4734</v>
      </c>
      <c r="S151" s="161">
        <f>BS!AW44+BS!AW45+BS!AW47</f>
        <v>4826</v>
      </c>
      <c r="T151" s="161">
        <f>BS!AX44+BS!AX45+BS!AX47</f>
        <v>5059</v>
      </c>
      <c r="U151" s="161">
        <f>BS!AY44+BS!AY45+BS!AY47</f>
        <v>5150</v>
      </c>
      <c r="V151" s="160">
        <f>BS!AZ44+BS!AZ45+BS!AZ47</f>
        <v>5150</v>
      </c>
      <c r="W151" s="161">
        <f>BS!BA44+BS!BA45+BS!BA47</f>
        <v>4934</v>
      </c>
      <c r="X151" s="161">
        <f>BS!BB44+BS!BB45+BS!BB47</f>
        <v>5360</v>
      </c>
      <c r="Y151" s="161">
        <f>BS!BC44+BS!BC45+BS!BC47</f>
        <v>9129</v>
      </c>
      <c r="Z151" s="161">
        <f>BS!BD44+BS!BD45+BS!BD47</f>
        <v>9199</v>
      </c>
      <c r="AA151" s="160">
        <f>BS!BE44+BS!BE45+BS!BE47</f>
        <v>9199</v>
      </c>
      <c r="AB151" s="161">
        <f>BS!BF44+BS!BF45+BS!BF47</f>
        <v>9206</v>
      </c>
      <c r="AC151" s="161">
        <f>BS!BG44+BS!BG45+BS!BG47</f>
        <v>9431</v>
      </c>
      <c r="AD151" s="161">
        <f>BS!BH44+BS!BH45+BS!BH47</f>
        <v>9804</v>
      </c>
      <c r="AE151" s="161">
        <f>BS!BI44+BS!BI45+BS!BI47</f>
        <v>11279</v>
      </c>
      <c r="AF151" s="160">
        <f>BS!BJ44+BS!BJ45+BS!BJ47</f>
        <v>11279</v>
      </c>
      <c r="AG151" s="161">
        <f>BS!BK44+BS!BK45+BS!BK47</f>
        <v>11407</v>
      </c>
      <c r="AH151" s="161">
        <f>BS!BL44+BS!BL45+BS!BL47</f>
        <v>11429</v>
      </c>
      <c r="AI151" s="161">
        <f>BS!BM44+BS!BM45+BS!BM47</f>
        <v>11446</v>
      </c>
      <c r="AJ151" s="161">
        <f>BS!BN44+BS!BN45+BS!BN47</f>
        <v>11135</v>
      </c>
      <c r="AK151" s="160">
        <f>BS!BO44+BS!BO45+BS!BO47</f>
        <v>11135</v>
      </c>
      <c r="AL151" s="161">
        <f>BS!BP44+BS!BP45+BS!BP47</f>
        <v>10993</v>
      </c>
      <c r="AM151" s="161">
        <f>BS!BQ44+BS!BQ45+BS!BQ47</f>
        <v>11110</v>
      </c>
      <c r="AN151" s="161">
        <f>BS!BR44+BS!BR45+BS!BR47</f>
        <v>10549.5</v>
      </c>
      <c r="AO151" s="161">
        <f>BS!BS44+BS!BS45+BS!BS47</f>
        <v>10558</v>
      </c>
      <c r="AP151" s="160">
        <f>BS!BT44+BS!BT45+BS!BT47</f>
        <v>10558</v>
      </c>
      <c r="AQ151" s="161">
        <f>BS!BU44+BS!BU45+BS!BU47</f>
        <v>10461</v>
      </c>
      <c r="AR151" s="161">
        <f>BS!BV44+BS!BV45+BS!BV47</f>
        <v>10492</v>
      </c>
      <c r="AS151" s="161">
        <f>BS!BW44+BS!BW45+BS!BW47</f>
        <v>10492</v>
      </c>
      <c r="AT151" s="161">
        <f>BS!BX44+BS!BX45+BS!BX47</f>
        <v>11026</v>
      </c>
      <c r="AU151" s="160">
        <f>BS!BY44+BS!BY45+BS!BY47</f>
        <v>11026</v>
      </c>
      <c r="AV151" s="2036">
        <f>BS!BZ44+BS!BZ45+BS!BZ47</f>
        <v>10737</v>
      </c>
      <c r="AW151" s="2036">
        <f>BS!CA44+BS!CA45+BS!CA47</f>
        <v>11181</v>
      </c>
      <c r="AX151" s="2036">
        <f>BS!CB44+BS!CB45+BS!CB47</f>
        <v>11600</v>
      </c>
      <c r="AY151" s="2036">
        <f>BS!CC44+BS!CC45+BS!CC47</f>
        <v>11539.6875</v>
      </c>
      <c r="AZ151" s="160">
        <f>BS!CD44+BS!CD45+BS!CD47</f>
        <v>11539.6875</v>
      </c>
      <c r="BA151" s="2036">
        <f>BS!CE44+BS!CE45+BS!CE47</f>
        <v>11479.375</v>
      </c>
      <c r="BB151" s="2036">
        <f>BS!CF44+BS!CF45+BS!CF47</f>
        <v>11419.0625</v>
      </c>
      <c r="BC151" s="2036">
        <f>BS!CG44+BS!CG45+BS!CG47</f>
        <v>11358.75</v>
      </c>
      <c r="BD151" s="2036">
        <f>BS!CH44+BS!CH45+BS!CH47</f>
        <v>11298.4375</v>
      </c>
      <c r="BE151" s="160">
        <f>BS!CI44+BS!CI45+BS!CI47</f>
        <v>11298.4375</v>
      </c>
      <c r="BF151" s="160">
        <f>BS!CJ44+BS!CJ45+BS!CJ47</f>
        <v>11057.1875</v>
      </c>
      <c r="BG151" s="147"/>
      <c r="BH151" s="147"/>
      <c r="BI151" s="147"/>
      <c r="BJ151" s="147"/>
      <c r="BK151" s="147"/>
      <c r="BL151" s="147"/>
      <c r="BM151" s="147"/>
      <c r="BN151" s="147"/>
      <c r="BO151" s="147"/>
      <c r="BP151" s="147"/>
      <c r="BQ151" s="147"/>
      <c r="BR151" s="147"/>
      <c r="BS151" s="147"/>
      <c r="BT151" s="147"/>
      <c r="BU151" s="147"/>
      <c r="BV151" s="147"/>
    </row>
    <row r="152" spans="1:74">
      <c r="A152" s="150" t="s">
        <v>231</v>
      </c>
      <c r="B152" s="158">
        <f t="shared" ref="B152:AZ152" si="58">SUM(B147:B151)</f>
        <v>32308</v>
      </c>
      <c r="C152" s="159">
        <f t="shared" si="58"/>
        <v>34483</v>
      </c>
      <c r="D152" s="159">
        <f t="shared" si="58"/>
        <v>35617</v>
      </c>
      <c r="E152" s="159">
        <f t="shared" si="58"/>
        <v>34765</v>
      </c>
      <c r="F152" s="159">
        <f t="shared" si="58"/>
        <v>39543</v>
      </c>
      <c r="G152" s="158">
        <f t="shared" si="58"/>
        <v>39543</v>
      </c>
      <c r="H152" s="159">
        <f t="shared" si="58"/>
        <v>38012</v>
      </c>
      <c r="I152" s="159">
        <f t="shared" si="58"/>
        <v>38139</v>
      </c>
      <c r="J152" s="159">
        <f t="shared" si="58"/>
        <v>37931</v>
      </c>
      <c r="K152" s="159">
        <f t="shared" si="58"/>
        <v>34374</v>
      </c>
      <c r="L152" s="158">
        <f t="shared" si="58"/>
        <v>34374</v>
      </c>
      <c r="M152" s="159">
        <f t="shared" si="58"/>
        <v>37087</v>
      </c>
      <c r="N152" s="159">
        <f t="shared" si="58"/>
        <v>37117</v>
      </c>
      <c r="O152" s="159">
        <f t="shared" si="58"/>
        <v>38078</v>
      </c>
      <c r="P152" s="159">
        <f t="shared" si="58"/>
        <v>35844</v>
      </c>
      <c r="Q152" s="158">
        <f t="shared" si="58"/>
        <v>35844</v>
      </c>
      <c r="R152" s="159">
        <f t="shared" si="58"/>
        <v>37219</v>
      </c>
      <c r="S152" s="159">
        <f t="shared" si="58"/>
        <v>38060</v>
      </c>
      <c r="T152" s="159">
        <f t="shared" si="58"/>
        <v>38033</v>
      </c>
      <c r="U152" s="159">
        <f t="shared" si="58"/>
        <v>38274</v>
      </c>
      <c r="V152" s="158">
        <f t="shared" si="58"/>
        <v>38274</v>
      </c>
      <c r="W152" s="159">
        <f t="shared" si="58"/>
        <v>37932</v>
      </c>
      <c r="X152" s="159">
        <f t="shared" si="58"/>
        <v>50690</v>
      </c>
      <c r="Y152" s="159">
        <f t="shared" si="58"/>
        <v>65622</v>
      </c>
      <c r="Z152" s="159">
        <f t="shared" si="58"/>
        <v>62102</v>
      </c>
      <c r="AA152" s="158">
        <f t="shared" si="58"/>
        <v>62102</v>
      </c>
      <c r="AB152" s="159">
        <f t="shared" si="58"/>
        <v>60695</v>
      </c>
      <c r="AC152" s="159">
        <f t="shared" si="58"/>
        <v>60201</v>
      </c>
      <c r="AD152" s="159">
        <f t="shared" si="58"/>
        <v>60283</v>
      </c>
      <c r="AE152" s="159">
        <f t="shared" si="58"/>
        <v>57264</v>
      </c>
      <c r="AF152" s="158">
        <f t="shared" si="58"/>
        <v>57264</v>
      </c>
      <c r="AG152" s="159">
        <f t="shared" si="58"/>
        <v>57397</v>
      </c>
      <c r="AH152" s="159">
        <f t="shared" si="58"/>
        <v>56803</v>
      </c>
      <c r="AI152" s="159">
        <f t="shared" si="58"/>
        <v>56244</v>
      </c>
      <c r="AJ152" s="159">
        <f t="shared" si="58"/>
        <v>58585</v>
      </c>
      <c r="AK152" s="158">
        <f t="shared" si="58"/>
        <v>58585</v>
      </c>
      <c r="AL152" s="159">
        <f t="shared" si="58"/>
        <v>61025</v>
      </c>
      <c r="AM152" s="159">
        <f t="shared" si="58"/>
        <v>60701</v>
      </c>
      <c r="AN152" s="159">
        <f t="shared" si="58"/>
        <v>59952</v>
      </c>
      <c r="AO152" s="159">
        <f t="shared" si="58"/>
        <v>58518</v>
      </c>
      <c r="AP152" s="158">
        <f t="shared" si="58"/>
        <v>58518</v>
      </c>
      <c r="AQ152" s="159">
        <f t="shared" si="58"/>
        <v>58541</v>
      </c>
      <c r="AR152" s="159">
        <f t="shared" si="58"/>
        <v>58518</v>
      </c>
      <c r="AS152" s="159">
        <f t="shared" si="58"/>
        <v>58983</v>
      </c>
      <c r="AT152" s="159">
        <f t="shared" si="58"/>
        <v>60241</v>
      </c>
      <c r="AU152" s="158">
        <f t="shared" si="58"/>
        <v>60241</v>
      </c>
      <c r="AV152" s="2035">
        <f>SUM(AV147:AV151)</f>
        <v>60794</v>
      </c>
      <c r="AW152" s="2035">
        <f>SUM(AW147:AW151)</f>
        <v>64232</v>
      </c>
      <c r="AX152" s="2035">
        <f>SUM(AX147:AX151)</f>
        <v>64232</v>
      </c>
      <c r="AY152" s="2035">
        <f>SUM(AY147:AY151)</f>
        <v>63198.373262630863</v>
      </c>
      <c r="AZ152" s="158">
        <f t="shared" si="58"/>
        <v>63198.373262630863</v>
      </c>
      <c r="BA152" s="2035">
        <f t="shared" ref="BA152:BF152" si="59">SUM(BA147:BA151)</f>
        <v>63189.832551632731</v>
      </c>
      <c r="BB152" s="2035">
        <f t="shared" si="59"/>
        <v>66339.706328345521</v>
      </c>
      <c r="BC152" s="2035">
        <f t="shared" si="59"/>
        <v>65324.063904169889</v>
      </c>
      <c r="BD152" s="2035">
        <f t="shared" si="59"/>
        <v>64713.363162775931</v>
      </c>
      <c r="BE152" s="158">
        <f t="shared" si="59"/>
        <v>64713.363162775931</v>
      </c>
      <c r="BF152" s="158">
        <f t="shared" si="59"/>
        <v>64044.157456703848</v>
      </c>
      <c r="BG152" s="147"/>
      <c r="BH152" s="147"/>
      <c r="BI152" s="147"/>
      <c r="BJ152" s="147"/>
      <c r="BK152" s="147"/>
      <c r="BL152" s="147"/>
      <c r="BM152" s="147"/>
      <c r="BN152" s="147"/>
      <c r="BO152" s="147"/>
      <c r="BP152" s="147"/>
      <c r="BQ152" s="147"/>
      <c r="BR152" s="147"/>
      <c r="BS152" s="147"/>
      <c r="BT152" s="147"/>
      <c r="BU152" s="147"/>
      <c r="BV152" s="147"/>
    </row>
    <row r="153" spans="1:74">
      <c r="A153" s="179"/>
      <c r="B153" s="172"/>
      <c r="C153" s="173"/>
      <c r="D153" s="173"/>
      <c r="E153" s="173"/>
      <c r="F153" s="173"/>
      <c r="G153" s="172"/>
      <c r="H153" s="173"/>
      <c r="I153" s="173"/>
      <c r="J153" s="173"/>
      <c r="K153" s="173"/>
      <c r="L153" s="172"/>
      <c r="M153" s="173"/>
      <c r="N153" s="173"/>
      <c r="O153" s="173"/>
      <c r="P153" s="173"/>
      <c r="Q153" s="172"/>
      <c r="R153" s="173"/>
      <c r="S153" s="173"/>
      <c r="T153" s="173"/>
      <c r="U153" s="173"/>
      <c r="V153" s="172"/>
      <c r="W153" s="173"/>
      <c r="X153" s="173"/>
      <c r="Y153" s="173"/>
      <c r="Z153" s="173"/>
      <c r="AA153" s="172"/>
      <c r="AB153" s="173"/>
      <c r="AC153" s="173"/>
      <c r="AD153" s="173"/>
      <c r="AE153" s="173"/>
      <c r="AF153" s="172"/>
      <c r="AG153" s="173"/>
      <c r="AH153" s="173"/>
      <c r="AI153" s="173"/>
      <c r="AJ153" s="173"/>
      <c r="AK153" s="172"/>
      <c r="AL153" s="173"/>
      <c r="AM153" s="173"/>
      <c r="AN153" s="173"/>
      <c r="AO153" s="173"/>
      <c r="AP153" s="172"/>
      <c r="AQ153" s="173"/>
      <c r="AR153" s="173"/>
      <c r="AS153" s="173"/>
      <c r="AT153" s="173"/>
      <c r="AU153" s="172"/>
      <c r="AV153" s="2039"/>
      <c r="AW153" s="2039"/>
      <c r="AX153" s="2039"/>
      <c r="AY153" s="2039"/>
      <c r="AZ153" s="172"/>
      <c r="BA153" s="2039"/>
      <c r="BB153" s="2039"/>
      <c r="BC153" s="2039"/>
      <c r="BD153" s="2039"/>
      <c r="BE153" s="172"/>
      <c r="BF153" s="172"/>
      <c r="BG153" s="147"/>
      <c r="BH153" s="147"/>
      <c r="BI153" s="147"/>
      <c r="BJ153" s="147"/>
      <c r="BK153" s="147"/>
      <c r="BL153" s="147"/>
      <c r="BM153" s="147"/>
      <c r="BN153" s="147"/>
      <c r="BO153" s="147"/>
      <c r="BP153" s="147"/>
      <c r="BQ153" s="147"/>
      <c r="BR153" s="147"/>
      <c r="BS153" s="147"/>
      <c r="BT153" s="147"/>
      <c r="BU153" s="147"/>
      <c r="BV153" s="147"/>
    </row>
    <row r="154" spans="1:74">
      <c r="A154" s="147" t="s">
        <v>230</v>
      </c>
      <c r="B154" s="160">
        <f>BS!AF52</f>
        <v>912</v>
      </c>
      <c r="C154" s="161">
        <f>BS!AG52</f>
        <v>984</v>
      </c>
      <c r="D154" s="161">
        <f>BS!AH52</f>
        <v>957</v>
      </c>
      <c r="E154" s="161">
        <f>BS!AI52</f>
        <v>962</v>
      </c>
      <c r="F154" s="161">
        <f>BS!AJ52</f>
        <v>1009</v>
      </c>
      <c r="G154" s="160">
        <f>BS!AK52</f>
        <v>1009</v>
      </c>
      <c r="H154" s="161">
        <f>BS!AL52</f>
        <v>973</v>
      </c>
      <c r="I154" s="161">
        <f>BS!AM52</f>
        <v>1027</v>
      </c>
      <c r="J154" s="161">
        <f>BS!AN52</f>
        <v>1157</v>
      </c>
      <c r="K154" s="161">
        <f>BS!AO52</f>
        <v>1322</v>
      </c>
      <c r="L154" s="160">
        <f>BS!AP52</f>
        <v>1322</v>
      </c>
      <c r="M154" s="161">
        <f>BS!AQ52</f>
        <v>1337</v>
      </c>
      <c r="N154" s="161">
        <f>BS!AR52</f>
        <v>1293</v>
      </c>
      <c r="O154" s="161">
        <f>BS!AS52</f>
        <v>1317</v>
      </c>
      <c r="P154" s="161">
        <f>BS!AT52</f>
        <v>1264</v>
      </c>
      <c r="Q154" s="160">
        <f>BS!AU52</f>
        <v>1264</v>
      </c>
      <c r="R154" s="161">
        <f>BS!AV52</f>
        <v>1319</v>
      </c>
      <c r="S154" s="161">
        <f>BS!AW52</f>
        <v>1364</v>
      </c>
      <c r="T154" s="161">
        <f>BS!AX52</f>
        <v>1325</v>
      </c>
      <c r="U154" s="161">
        <f>BS!AY52</f>
        <v>1298</v>
      </c>
      <c r="V154" s="160">
        <f>BS!AZ52</f>
        <v>1298</v>
      </c>
      <c r="W154" s="161">
        <f>BS!BA52</f>
        <v>1300</v>
      </c>
      <c r="X154" s="161">
        <f>BS!BB52</f>
        <v>1359</v>
      </c>
      <c r="Y154" s="161">
        <f>BS!BC52</f>
        <v>1369</v>
      </c>
      <c r="Z154" s="161">
        <f>BS!BD52</f>
        <v>1393</v>
      </c>
      <c r="AA154" s="160">
        <f>BS!BE52</f>
        <v>1393</v>
      </c>
      <c r="AB154" s="161">
        <f>BS!BF52</f>
        <v>1624</v>
      </c>
      <c r="AC154" s="161">
        <f>BS!BG52</f>
        <v>1556</v>
      </c>
      <c r="AD154" s="161">
        <f>BS!BH52</f>
        <v>1466</v>
      </c>
      <c r="AE154" s="161">
        <f>BS!BI52</f>
        <v>1464</v>
      </c>
      <c r="AF154" s="160">
        <f>BS!BJ52</f>
        <v>1464</v>
      </c>
      <c r="AG154" s="161">
        <f>BS!BK52</f>
        <v>1515</v>
      </c>
      <c r="AH154" s="161">
        <f>BS!BL52</f>
        <v>1554</v>
      </c>
      <c r="AI154" s="161">
        <f>BS!BM52</f>
        <v>1481</v>
      </c>
      <c r="AJ154" s="161">
        <f>BS!BN52</f>
        <v>1491</v>
      </c>
      <c r="AK154" s="160">
        <f>BS!BO52</f>
        <v>1491</v>
      </c>
      <c r="AL154" s="161">
        <f>BS!BP52</f>
        <v>1652</v>
      </c>
      <c r="AM154" s="161">
        <f>BS!BQ52</f>
        <v>1695</v>
      </c>
      <c r="AN154" s="161">
        <f>BS!BR52</f>
        <v>1658</v>
      </c>
      <c r="AO154" s="161">
        <f>BS!BS52</f>
        <v>1608</v>
      </c>
      <c r="AP154" s="160">
        <f>BS!BT52</f>
        <v>1608</v>
      </c>
      <c r="AQ154" s="161">
        <f>BS!BU52</f>
        <v>1677</v>
      </c>
      <c r="AR154" s="161">
        <f>BS!BV52</f>
        <v>1872</v>
      </c>
      <c r="AS154" s="161">
        <f>BS!BW52</f>
        <v>1892</v>
      </c>
      <c r="AT154" s="161">
        <f>BS!BX52</f>
        <v>1886</v>
      </c>
      <c r="AU154" s="160">
        <f>BS!BY52</f>
        <v>1886</v>
      </c>
      <c r="AV154" s="2036">
        <f>BS!BZ52</f>
        <v>1985</v>
      </c>
      <c r="AW154" s="2036">
        <f>BS!CA52</f>
        <v>2119</v>
      </c>
      <c r="AX154" s="2036">
        <f>BS!CB52</f>
        <v>2239</v>
      </c>
      <c r="AY154" s="2036">
        <f>BS!CC52</f>
        <v>2335.9791853908923</v>
      </c>
      <c r="AZ154" s="160">
        <f>BS!CD52</f>
        <v>2335.9791853908923</v>
      </c>
      <c r="BA154" s="2036">
        <f>BS!CE52</f>
        <v>2420.4313634249725</v>
      </c>
      <c r="BB154" s="2036">
        <f>BS!CF52</f>
        <v>2516.0622057251312</v>
      </c>
      <c r="BC154" s="2036">
        <f>BS!CG52</f>
        <v>2624.5793099289499</v>
      </c>
      <c r="BD154" s="2036">
        <f>BS!CH52</f>
        <v>2721.2216676070088</v>
      </c>
      <c r="BE154" s="160">
        <f>BS!CI52</f>
        <v>2721.2216676070088</v>
      </c>
      <c r="BF154" s="160">
        <f>BS!CJ52</f>
        <v>3119.1045388626981</v>
      </c>
      <c r="BG154" s="147"/>
      <c r="BH154" s="147"/>
      <c r="BI154" s="147"/>
      <c r="BJ154" s="147"/>
      <c r="BK154" s="147"/>
      <c r="BL154" s="147"/>
      <c r="BM154" s="147"/>
      <c r="BN154" s="147"/>
      <c r="BO154" s="147"/>
      <c r="BP154" s="147"/>
      <c r="BQ154" s="147"/>
      <c r="BR154" s="147"/>
      <c r="BS154" s="147"/>
      <c r="BT154" s="147"/>
      <c r="BU154" s="147"/>
      <c r="BV154" s="147"/>
    </row>
    <row r="155" spans="1:74">
      <c r="A155" s="147"/>
      <c r="B155" s="157"/>
      <c r="C155" s="147"/>
      <c r="D155" s="147"/>
      <c r="E155" s="147"/>
      <c r="F155" s="147"/>
      <c r="G155" s="157"/>
      <c r="H155" s="147"/>
      <c r="I155" s="147"/>
      <c r="J155" s="147"/>
      <c r="K155" s="147"/>
      <c r="L155" s="157"/>
      <c r="M155" s="147"/>
      <c r="N155" s="147"/>
      <c r="O155" s="147"/>
      <c r="P155" s="147"/>
      <c r="Q155" s="157"/>
      <c r="R155" s="147"/>
      <c r="S155" s="147"/>
      <c r="T155" s="147"/>
      <c r="U155" s="147"/>
      <c r="V155" s="157"/>
      <c r="W155" s="147"/>
      <c r="X155" s="147"/>
      <c r="Y155" s="147"/>
      <c r="Z155" s="147"/>
      <c r="AA155" s="157"/>
      <c r="AB155" s="147"/>
      <c r="AC155" s="147"/>
      <c r="AD155" s="147"/>
      <c r="AE155" s="147"/>
      <c r="AF155" s="157"/>
      <c r="AG155" s="147"/>
      <c r="AH155" s="147"/>
      <c r="AI155" s="147"/>
      <c r="AJ155" s="147"/>
      <c r="AK155" s="157"/>
      <c r="AL155" s="147"/>
      <c r="AM155" s="147"/>
      <c r="AN155" s="147"/>
      <c r="AO155" s="147"/>
      <c r="AP155" s="157"/>
      <c r="AQ155" s="147"/>
      <c r="AR155" s="147"/>
      <c r="AS155" s="147"/>
      <c r="AT155" s="147"/>
      <c r="AU155" s="157"/>
      <c r="AV155" s="2030"/>
      <c r="AW155" s="2030"/>
      <c r="AX155" s="2030"/>
      <c r="AY155" s="2030"/>
      <c r="AZ155" s="157"/>
      <c r="BA155" s="2030"/>
      <c r="BB155" s="2030"/>
      <c r="BC155" s="2030"/>
      <c r="BD155" s="2030"/>
      <c r="BE155" s="157"/>
      <c r="BF155" s="157"/>
      <c r="BG155" s="147"/>
      <c r="BH155" s="147"/>
      <c r="BI155" s="147"/>
      <c r="BJ155" s="147"/>
      <c r="BK155" s="147"/>
      <c r="BL155" s="147"/>
      <c r="BM155" s="147"/>
      <c r="BN155" s="147"/>
      <c r="BO155" s="147"/>
      <c r="BP155" s="147"/>
      <c r="BQ155" s="147"/>
      <c r="BR155" s="147"/>
      <c r="BS155" s="147"/>
      <c r="BT155" s="147"/>
      <c r="BU155" s="147"/>
      <c r="BV155" s="147"/>
    </row>
    <row r="156" spans="1:74">
      <c r="A156" s="147" t="s">
        <v>229</v>
      </c>
      <c r="B156" s="160">
        <f>BS!AF56</f>
        <v>10358</v>
      </c>
      <c r="C156" s="161">
        <f>BS!AG56</f>
        <v>10498</v>
      </c>
      <c r="D156" s="161">
        <f>BS!AH56</f>
        <v>10864</v>
      </c>
      <c r="E156" s="161">
        <f>BS!AI56</f>
        <v>10769</v>
      </c>
      <c r="F156" s="161">
        <f>BS!AJ56</f>
        <v>10979</v>
      </c>
      <c r="G156" s="160">
        <f>BS!AK56</f>
        <v>10979</v>
      </c>
      <c r="H156" s="161">
        <f>BS!AL56</f>
        <v>11029</v>
      </c>
      <c r="I156" s="161">
        <f>BS!AM56</f>
        <v>11182</v>
      </c>
      <c r="J156" s="161">
        <f>BS!AN56</f>
        <v>11332</v>
      </c>
      <c r="K156" s="161">
        <f>BS!AO56</f>
        <v>11746</v>
      </c>
      <c r="L156" s="160">
        <f>BS!AP56</f>
        <v>11746</v>
      </c>
      <c r="M156" s="161">
        <f>BS!AQ56</f>
        <v>11937</v>
      </c>
      <c r="N156" s="161">
        <f>BS!AR56</f>
        <v>12205</v>
      </c>
      <c r="O156" s="161">
        <f>BS!AS56</f>
        <v>12316</v>
      </c>
      <c r="P156" s="161">
        <f>BS!AT56</f>
        <v>12597</v>
      </c>
      <c r="Q156" s="160">
        <f>BS!AU56</f>
        <v>12597</v>
      </c>
      <c r="R156" s="161">
        <f>BS!AV56</f>
        <v>12789</v>
      </c>
      <c r="S156" s="161">
        <f>BS!AW56</f>
        <v>13036</v>
      </c>
      <c r="T156" s="161">
        <f>BS!AX56</f>
        <v>13330</v>
      </c>
      <c r="U156" s="161">
        <f>BS!AY56</f>
        <v>13445</v>
      </c>
      <c r="V156" s="160">
        <f>BS!AZ56</f>
        <v>13445</v>
      </c>
      <c r="W156" s="161">
        <f>BS!BA56</f>
        <v>13653</v>
      </c>
      <c r="X156" s="161">
        <f>BS!BB56</f>
        <v>13538</v>
      </c>
      <c r="Y156" s="161">
        <f>BS!BC56</f>
        <v>13799</v>
      </c>
      <c r="Z156" s="161">
        <f>BS!BD56</f>
        <v>13976</v>
      </c>
      <c r="AA156" s="160">
        <f>BS!BE56</f>
        <v>13976</v>
      </c>
      <c r="AB156" s="161">
        <f>BS!BF56</f>
        <v>14221</v>
      </c>
      <c r="AC156" s="161">
        <f>BS!BG56</f>
        <v>14398</v>
      </c>
      <c r="AD156" s="161">
        <f>BS!BH56</f>
        <v>14536</v>
      </c>
      <c r="AE156" s="161">
        <f>BS!BI56</f>
        <v>14638</v>
      </c>
      <c r="AF156" s="160">
        <f>BS!BJ56</f>
        <v>14638</v>
      </c>
      <c r="AG156" s="161">
        <f>BS!BK56</f>
        <v>14813</v>
      </c>
      <c r="AH156" s="161">
        <f>BS!BL56</f>
        <v>14939</v>
      </c>
      <c r="AI156" s="161">
        <f>BS!BM56</f>
        <v>15069</v>
      </c>
      <c r="AJ156" s="161">
        <f>BS!BN56</f>
        <v>15185</v>
      </c>
      <c r="AK156" s="160">
        <f>BS!BO56</f>
        <v>15185</v>
      </c>
      <c r="AL156" s="161">
        <f>BS!BP56</f>
        <v>14919</v>
      </c>
      <c r="AM156" s="161">
        <f>BS!BQ56</f>
        <v>15031</v>
      </c>
      <c r="AN156" s="161">
        <f>BS!BR56</f>
        <v>16623</v>
      </c>
      <c r="AO156" s="161">
        <f>BS!BS56</f>
        <v>15928</v>
      </c>
      <c r="AP156" s="160">
        <f>BS!BT56</f>
        <v>15928</v>
      </c>
      <c r="AQ156" s="161">
        <f>BS!BU56</f>
        <v>16154</v>
      </c>
      <c r="AR156" s="161">
        <f>BS!BV56</f>
        <v>16241</v>
      </c>
      <c r="AS156" s="161">
        <f>BS!BW56</f>
        <v>17116</v>
      </c>
      <c r="AT156" s="161">
        <f>BS!BX56</f>
        <v>17190</v>
      </c>
      <c r="AU156" s="160">
        <f>BS!BY56</f>
        <v>17190</v>
      </c>
      <c r="AV156" s="2036">
        <f>BS!BZ56</f>
        <v>17266</v>
      </c>
      <c r="AW156" s="2036">
        <f>BS!CA56</f>
        <v>17282</v>
      </c>
      <c r="AX156" s="2036">
        <f>BS!CB56</f>
        <v>17398</v>
      </c>
      <c r="AY156" s="2036">
        <f>BS!CC56</f>
        <v>17409</v>
      </c>
      <c r="AZ156" s="160">
        <f>BS!CD56</f>
        <v>17409</v>
      </c>
      <c r="BA156" s="2036">
        <f>BS!CE56</f>
        <v>17547.033017500002</v>
      </c>
      <c r="BB156" s="2036">
        <f>BS!CF56</f>
        <v>17685.066035000003</v>
      </c>
      <c r="BC156" s="2036">
        <f>BS!CG56</f>
        <v>17825.066035000003</v>
      </c>
      <c r="BD156" s="2036">
        <f>BS!CH56</f>
        <v>17963.099052500005</v>
      </c>
      <c r="BE156" s="160">
        <f>BS!CI56</f>
        <v>17963.099052500005</v>
      </c>
      <c r="BF156" s="160">
        <f>BS!CJ56</f>
        <v>18572.608010250009</v>
      </c>
      <c r="BG156" s="147"/>
      <c r="BH156" s="147"/>
      <c r="BI156" s="147"/>
      <c r="BJ156" s="147"/>
      <c r="BK156" s="147"/>
      <c r="BL156" s="147"/>
      <c r="BM156" s="147"/>
      <c r="BN156" s="147"/>
      <c r="BO156" s="147"/>
      <c r="BP156" s="147"/>
      <c r="BQ156" s="147"/>
      <c r="BR156" s="147"/>
      <c r="BS156" s="147"/>
      <c r="BT156" s="147"/>
      <c r="BU156" s="147"/>
      <c r="BV156" s="147"/>
    </row>
    <row r="157" spans="1:74">
      <c r="A157" s="147" t="s">
        <v>228</v>
      </c>
      <c r="B157" s="160">
        <f>BS!AF61</f>
        <v>21751</v>
      </c>
      <c r="C157" s="161">
        <f>BS!AG61</f>
        <v>22440</v>
      </c>
      <c r="D157" s="161">
        <f>BS!AH61</f>
        <v>23410</v>
      </c>
      <c r="E157" s="161">
        <f>BS!AI61</f>
        <v>24380</v>
      </c>
      <c r="F157" s="161">
        <f>BS!AJ61</f>
        <v>25159</v>
      </c>
      <c r="G157" s="160">
        <f>BS!AK61</f>
        <v>25159</v>
      </c>
      <c r="H157" s="161">
        <f>BS!AL61</f>
        <v>25519</v>
      </c>
      <c r="I157" s="161">
        <f>BS!AM61</f>
        <v>26133</v>
      </c>
      <c r="J157" s="161">
        <f>BS!AN61</f>
        <v>26827</v>
      </c>
      <c r="K157" s="161">
        <f>BS!AO61</f>
        <v>27396</v>
      </c>
      <c r="L157" s="160">
        <f>BS!AP61</f>
        <v>27396</v>
      </c>
      <c r="M157" s="161">
        <f>BS!AQ61</f>
        <v>27854</v>
      </c>
      <c r="N157" s="161">
        <f>BS!AR61</f>
        <v>28569</v>
      </c>
      <c r="O157" s="161">
        <f>BS!AS61</f>
        <v>29384</v>
      </c>
      <c r="P157" s="161">
        <f>BS!AT61</f>
        <v>30191</v>
      </c>
      <c r="Q157" s="160">
        <f>BS!AU61</f>
        <v>30191</v>
      </c>
      <c r="R157" s="161">
        <f>BS!AV61</f>
        <v>30812</v>
      </c>
      <c r="S157" s="161">
        <f>BS!AW61</f>
        <v>31701</v>
      </c>
      <c r="T157" s="161">
        <f>BS!AX61</f>
        <v>32594</v>
      </c>
      <c r="U157" s="161">
        <f>BS!AY61</f>
        <v>33487</v>
      </c>
      <c r="V157" s="160">
        <f>BS!AZ61</f>
        <v>33487</v>
      </c>
      <c r="W157" s="161">
        <f>BS!BA61</f>
        <v>33389</v>
      </c>
      <c r="X157" s="161">
        <f>BS!BB61</f>
        <v>34285</v>
      </c>
      <c r="Y157" s="161">
        <f>BS!BC61</f>
        <v>35219</v>
      </c>
      <c r="Z157" s="161">
        <f>BS!BD61</f>
        <v>36776</v>
      </c>
      <c r="AA157" s="160">
        <f>BS!BE61</f>
        <v>36776</v>
      </c>
      <c r="AB157" s="161">
        <f>BS!BF61</f>
        <v>37551</v>
      </c>
      <c r="AC157" s="161">
        <f>BS!BG61</f>
        <v>38497</v>
      </c>
      <c r="AD157" s="161">
        <f>BS!BH61</f>
        <v>39599</v>
      </c>
      <c r="AE157" s="161">
        <f>BS!BI61</f>
        <v>40539</v>
      </c>
      <c r="AF157" s="160">
        <f>BS!BJ61</f>
        <v>40539</v>
      </c>
      <c r="AG157" s="161">
        <f>BS!BK61</f>
        <v>41205</v>
      </c>
      <c r="AH157" s="161">
        <f>BS!BL61</f>
        <v>42343</v>
      </c>
      <c r="AI157" s="161">
        <f>BS!BM61</f>
        <v>43668</v>
      </c>
      <c r="AJ157" s="161">
        <f>BS!BN61</f>
        <v>44611</v>
      </c>
      <c r="AK157" s="160">
        <f>BS!BO61</f>
        <v>44611</v>
      </c>
      <c r="AL157" s="161">
        <f>BS!BP61</f>
        <v>45462</v>
      </c>
      <c r="AM157" s="161">
        <f>BS!BQ61</f>
        <v>46443</v>
      </c>
      <c r="AN157" s="161">
        <f>BS!BR61</f>
        <v>47236</v>
      </c>
      <c r="AO157" s="161">
        <f>BS!BS61</f>
        <v>49956</v>
      </c>
      <c r="AP157" s="160">
        <f>BS!BT61</f>
        <v>49956</v>
      </c>
      <c r="AQ157" s="161">
        <f>BS!BU61</f>
        <v>50625</v>
      </c>
      <c r="AR157" s="161">
        <f>BS!BV61</f>
        <v>51451</v>
      </c>
      <c r="AS157" s="161">
        <f>BS!BW61</f>
        <v>52384</v>
      </c>
      <c r="AT157" s="161">
        <f>BS!BX61</f>
        <v>52873</v>
      </c>
      <c r="AU157" s="160">
        <f>BS!BY61</f>
        <v>52873</v>
      </c>
      <c r="AV157" s="2036">
        <f>BS!BZ61</f>
        <v>53741</v>
      </c>
      <c r="AW157" s="2036">
        <f>BS!CA61</f>
        <v>54640</v>
      </c>
      <c r="AX157" s="2036">
        <f>BS!CB61</f>
        <v>55385</v>
      </c>
      <c r="AY157" s="2036">
        <f>BS!CC61</f>
        <v>56005.742898348064</v>
      </c>
      <c r="AZ157" s="160">
        <f>BS!CD61</f>
        <v>56005.742898348064</v>
      </c>
      <c r="BA157" s="2036">
        <f>BS!CE61</f>
        <v>56599.387959949112</v>
      </c>
      <c r="BB157" s="2036">
        <f>BS!CF61</f>
        <v>57478.151870094021</v>
      </c>
      <c r="BC157" s="2036">
        <f>BS!CG61</f>
        <v>58344.664335148853</v>
      </c>
      <c r="BD157" s="2036">
        <f>BS!CH61</f>
        <v>59055.751727547038</v>
      </c>
      <c r="BE157" s="160">
        <f>BS!CI61</f>
        <v>59055.751727547038</v>
      </c>
      <c r="BF157" s="160">
        <f>BS!CJ61</f>
        <v>62712.936254864871</v>
      </c>
      <c r="BG157" s="147"/>
      <c r="BH157" s="147"/>
      <c r="BI157" s="147"/>
      <c r="BJ157" s="147"/>
      <c r="BK157" s="147"/>
      <c r="BL157" s="147"/>
      <c r="BM157" s="147"/>
      <c r="BN157" s="147"/>
      <c r="BO157" s="147"/>
      <c r="BP157" s="147"/>
      <c r="BQ157" s="147"/>
      <c r="BR157" s="147"/>
      <c r="BS157" s="147"/>
      <c r="BT157" s="147"/>
      <c r="BU157" s="147"/>
      <c r="BV157" s="147"/>
    </row>
    <row r="158" spans="1:74">
      <c r="A158" s="147" t="s">
        <v>227</v>
      </c>
      <c r="B158" s="160">
        <f>BS!AF60</f>
        <v>-11338</v>
      </c>
      <c r="C158" s="161">
        <f>BS!AG60</f>
        <v>-12157</v>
      </c>
      <c r="D158" s="161">
        <f>BS!AH60</f>
        <v>-13108</v>
      </c>
      <c r="E158" s="161">
        <f>BS!AI60</f>
        <v>-13824</v>
      </c>
      <c r="F158" s="161">
        <f>BS!AJ60</f>
        <v>-14316</v>
      </c>
      <c r="G158" s="160">
        <f>BS!AK60</f>
        <v>-14316</v>
      </c>
      <c r="H158" s="161">
        <f>BS!AL60</f>
        <v>-14514</v>
      </c>
      <c r="I158" s="161">
        <f>BS!AM60</f>
        <v>-14661</v>
      </c>
      <c r="J158" s="161">
        <f>BS!AN60</f>
        <v>-15090</v>
      </c>
      <c r="K158" s="161">
        <f>BS!AO60</f>
        <v>-15408</v>
      </c>
      <c r="L158" s="160">
        <f>BS!AP60</f>
        <v>-15408</v>
      </c>
      <c r="M158" s="161">
        <f>BS!AQ60</f>
        <v>-15905</v>
      </c>
      <c r="N158" s="161">
        <f>BS!AR60</f>
        <v>-16431</v>
      </c>
      <c r="O158" s="161">
        <f>BS!AS60</f>
        <v>-16920</v>
      </c>
      <c r="P158" s="161">
        <f>BS!AT60</f>
        <v>-17468</v>
      </c>
      <c r="Q158" s="160">
        <f>BS!AU60</f>
        <v>-17468</v>
      </c>
      <c r="R158" s="161">
        <f>BS!AV60</f>
        <v>-18212</v>
      </c>
      <c r="S158" s="161">
        <f>BS!AW60</f>
        <v>-18960</v>
      </c>
      <c r="T158" s="161">
        <f>BS!AX60</f>
        <v>-19412</v>
      </c>
      <c r="U158" s="161">
        <f>BS!AY60</f>
        <v>-19410</v>
      </c>
      <c r="V158" s="160">
        <f>BS!AZ60</f>
        <v>-19410</v>
      </c>
      <c r="W158" s="161">
        <f>BS!BA60</f>
        <v>-19400</v>
      </c>
      <c r="X158" s="161">
        <f>BS!BB60</f>
        <v>-19399</v>
      </c>
      <c r="Y158" s="161">
        <f>BS!BC60</f>
        <v>-19258</v>
      </c>
      <c r="Z158" s="161">
        <f>BS!BD60</f>
        <v>-19251</v>
      </c>
      <c r="AA158" s="160">
        <f>BS!BE60</f>
        <v>-19251</v>
      </c>
      <c r="AB158" s="161">
        <f>BS!BF60</f>
        <v>-19575</v>
      </c>
      <c r="AC158" s="161">
        <f>BS!BG60</f>
        <v>-19908</v>
      </c>
      <c r="AD158" s="161">
        <f>BS!BH60</f>
        <v>-20233</v>
      </c>
      <c r="AE158" s="161">
        <f>BS!BI60</f>
        <v>-20431</v>
      </c>
      <c r="AF158" s="160">
        <f>BS!BJ60</f>
        <v>-20431</v>
      </c>
      <c r="AG158" s="161">
        <f>BS!BK60</f>
        <v>-20760</v>
      </c>
      <c r="AH158" s="161">
        <f>BS!BL60</f>
        <v>-21094</v>
      </c>
      <c r="AI158" s="161">
        <f>BS!BM60</f>
        <v>-21519</v>
      </c>
      <c r="AJ158" s="161">
        <f>BS!BN60</f>
        <v>-21922</v>
      </c>
      <c r="AK158" s="160">
        <f>BS!BO60</f>
        <v>-21922</v>
      </c>
      <c r="AL158" s="161">
        <f>BS!BP60</f>
        <v>-24520</v>
      </c>
      <c r="AM158" s="161">
        <f>BS!BQ60</f>
        <v>-24520</v>
      </c>
      <c r="AN158" s="161">
        <f>BS!BR60</f>
        <v>-25946</v>
      </c>
      <c r="AO158" s="161">
        <f>BS!BS60</f>
        <v>-30907</v>
      </c>
      <c r="AP158" s="160">
        <f>BS!BT60</f>
        <v>-30907</v>
      </c>
      <c r="AQ158" s="161">
        <f>BS!BU60</f>
        <v>-31082</v>
      </c>
      <c r="AR158" s="161">
        <f>BS!BV60</f>
        <v>-31118</v>
      </c>
      <c r="AS158" s="161">
        <f>BS!BW60</f>
        <v>-32584</v>
      </c>
      <c r="AT158" s="161">
        <f>BS!BX60</f>
        <v>-34150</v>
      </c>
      <c r="AU158" s="160">
        <f>BS!BY60</f>
        <v>-34150</v>
      </c>
      <c r="AV158" s="2036">
        <f>BS!BZ60</f>
        <v>-35080</v>
      </c>
      <c r="AW158" s="2036">
        <f>BS!CA60</f>
        <v>-35516</v>
      </c>
      <c r="AX158" s="2036">
        <f>BS!CB60</f>
        <v>-35575</v>
      </c>
      <c r="AY158" s="2036">
        <f>BS!CC60</f>
        <v>-35575</v>
      </c>
      <c r="AZ158" s="160">
        <f>BS!CD60</f>
        <v>-35575</v>
      </c>
      <c r="BA158" s="2036">
        <f>BS!CE60</f>
        <v>-35575</v>
      </c>
      <c r="BB158" s="2036">
        <f>BS!CF60</f>
        <v>-35575</v>
      </c>
      <c r="BC158" s="2036">
        <f>BS!CG60</f>
        <v>-35575</v>
      </c>
      <c r="BD158" s="2036">
        <f>BS!CH60</f>
        <v>-35575</v>
      </c>
      <c r="BE158" s="160">
        <f>BS!CI60</f>
        <v>-35575</v>
      </c>
      <c r="BF158" s="160">
        <f>BS!CJ60</f>
        <v>-35575</v>
      </c>
      <c r="BG158" s="147"/>
      <c r="BH158" s="147"/>
      <c r="BI158" s="147"/>
      <c r="BJ158" s="147"/>
      <c r="BK158" s="147"/>
      <c r="BL158" s="147"/>
      <c r="BM158" s="147"/>
      <c r="BN158" s="147"/>
      <c r="BO158" s="147"/>
      <c r="BP158" s="147"/>
      <c r="BQ158" s="147"/>
      <c r="BR158" s="147"/>
      <c r="BS158" s="147"/>
      <c r="BT158" s="147"/>
      <c r="BU158" s="147"/>
      <c r="BV158" s="147"/>
    </row>
    <row r="159" spans="1:74">
      <c r="A159" s="147" t="s">
        <v>8</v>
      </c>
      <c r="B159" s="160">
        <f>BS!AF58+BS!AF57+BS!AF59</f>
        <v>584</v>
      </c>
      <c r="C159" s="161">
        <f>BS!AG58+BS!AG57+BS!AG59</f>
        <v>805</v>
      </c>
      <c r="D159" s="161">
        <f>BS!AH58+BS!AH57+BS!AH59</f>
        <v>746</v>
      </c>
      <c r="E159" s="161">
        <f>BS!AI58+BS!AI57+BS!AI59</f>
        <v>-242</v>
      </c>
      <c r="F159" s="161">
        <f>BS!AJ58+BS!AJ57+BS!AJ59</f>
        <v>-5905</v>
      </c>
      <c r="G159" s="160">
        <f>BS!AK58+BS!AK57+BS!AK59</f>
        <v>-5905</v>
      </c>
      <c r="H159" s="161">
        <f>BS!AL58+BS!AL57+BS!AL59</f>
        <v>-6221</v>
      </c>
      <c r="I159" s="161">
        <f>BS!AM58+BS!AM57+BS!AM59</f>
        <v>-5275</v>
      </c>
      <c r="J159" s="161">
        <f>BS!AN58+BS!AN57+BS!AN59</f>
        <v>-4580</v>
      </c>
      <c r="K159" s="161">
        <f>BS!AO58+BS!AO57+BS!AO59</f>
        <v>-3668</v>
      </c>
      <c r="L159" s="160">
        <f>BS!AP58+BS!AP57+BS!AP59</f>
        <v>-3668</v>
      </c>
      <c r="M159" s="161">
        <f>BS!AQ58+BS!AQ57+BS!AQ59</f>
        <v>-3922</v>
      </c>
      <c r="N159" s="161">
        <f>BS!AR58+BS!AR57+BS!AR59</f>
        <v>-4410</v>
      </c>
      <c r="O159" s="161">
        <f>BS!AS58+BS!AS57+BS!AS59</f>
        <v>-3526</v>
      </c>
      <c r="P159" s="161">
        <f>BS!AT58+BS!AT57+BS!AT59</f>
        <v>-3935</v>
      </c>
      <c r="Q159" s="160">
        <f>BS!AU58+BS!AU57+BS!AU59</f>
        <v>-3935</v>
      </c>
      <c r="R159" s="161">
        <f>BS!AV58+BS!AV57+BS!AV59</f>
        <v>-3263</v>
      </c>
      <c r="S159" s="161">
        <f>BS!AW58+BS!AW57+BS!AW59</f>
        <v>-3054</v>
      </c>
      <c r="T159" s="161">
        <f>BS!AX58+BS!AX57+BS!AX59</f>
        <v>-3922</v>
      </c>
      <c r="U159" s="161">
        <f>BS!AY58+BS!AY57+BS!AY59</f>
        <v>-5642</v>
      </c>
      <c r="V159" s="160">
        <f>BS!AZ58+BS!AZ57+BS!AZ59</f>
        <v>-5642</v>
      </c>
      <c r="W159" s="161">
        <f>BS!BA58+BS!BA57+BS!BA59</f>
        <v>-5150</v>
      </c>
      <c r="X159" s="161">
        <f>BS!BB58+BS!BB57+BS!BB59</f>
        <v>-5820</v>
      </c>
      <c r="Y159" s="161">
        <f>BS!BC58+BS!BC57+BS!BC59</f>
        <v>-4805</v>
      </c>
      <c r="Z159" s="161">
        <f>BS!BD58+BS!BD57+BS!BD59</f>
        <v>-5587</v>
      </c>
      <c r="AA159" s="160">
        <f>BS!BE58+BS!BE57+BS!BE59</f>
        <v>-5587</v>
      </c>
      <c r="AB159" s="161">
        <f>BS!BF58+BS!BF57+BS!BF59</f>
        <v>-6003</v>
      </c>
      <c r="AC159" s="161">
        <f>BS!BG58+BS!BG57+BS!BG59</f>
        <v>-6000</v>
      </c>
      <c r="AD159" s="161">
        <f>BS!BH58+BS!BH57+BS!BH59</f>
        <v>-5325</v>
      </c>
      <c r="AE159" s="161">
        <f>BS!BI58+BS!BI57+BS!BI59</f>
        <v>-2880</v>
      </c>
      <c r="AF159" s="160">
        <f>BS!BJ58+BS!BJ57+BS!BJ59</f>
        <v>-2880</v>
      </c>
      <c r="AG159" s="161">
        <f>BS!BK58+BS!BK57+BS!BK59</f>
        <v>-2941</v>
      </c>
      <c r="AH159" s="161">
        <f>BS!BL58+BS!BL57+BS!BL59</f>
        <v>-2403</v>
      </c>
      <c r="AI159" s="161">
        <f>BS!BM58+BS!BM57+BS!BM59</f>
        <v>-3169</v>
      </c>
      <c r="AJ159" s="161">
        <f>BS!BN58+BS!BN57+BS!BN59</f>
        <v>-6661</v>
      </c>
      <c r="AK159" s="160">
        <f>BS!BO58+BS!BO57+BS!BO59</f>
        <v>-6661</v>
      </c>
      <c r="AL159" s="161">
        <f>BS!BP58+BS!BP57+BS!BP59</f>
        <v>-7211</v>
      </c>
      <c r="AM159" s="161">
        <f>BS!BQ58+BS!BQ57+BS!BQ59</f>
        <v>-6577</v>
      </c>
      <c r="AN159" s="161">
        <f>BS!BR58+BS!BR57+BS!BR59</f>
        <v>-7388</v>
      </c>
      <c r="AO159" s="161">
        <f>BS!BS58+BS!BS57+BS!BS59</f>
        <v>-7619</v>
      </c>
      <c r="AP159" s="160">
        <f>BS!BT58+BS!BT57+BS!BT59</f>
        <v>-7619</v>
      </c>
      <c r="AQ159" s="161">
        <f>BS!BU58+BS!BU57+BS!BU59</f>
        <v>-7344</v>
      </c>
      <c r="AR159" s="161">
        <f>BS!BV58+BS!BV57+BS!BV59</f>
        <v>-7484</v>
      </c>
      <c r="AS159" s="161">
        <f>BS!BW58+BS!BW57+BS!BW59</f>
        <v>-7729</v>
      </c>
      <c r="AT159" s="161">
        <f>BS!BX58+BS!BX57+BS!BX59</f>
        <v>-8334</v>
      </c>
      <c r="AU159" s="160">
        <f>BS!BY58+BS!BY57+BS!BY59</f>
        <v>-8334</v>
      </c>
      <c r="AV159" s="2036">
        <f>BS!BZ58+BS!BZ57+BS!BZ59</f>
        <v>-8333</v>
      </c>
      <c r="AW159" s="2036">
        <f>BS!CA58+BS!CA57+BS!CA59</f>
        <v>-7964</v>
      </c>
      <c r="AX159" s="2036">
        <f>BS!CB58+BS!CB57+BS!CB59</f>
        <v>-7327</v>
      </c>
      <c r="AY159" s="2036">
        <f>BS!CC58+BS!CC57+BS!CC59</f>
        <v>-7327</v>
      </c>
      <c r="AZ159" s="160">
        <f>BS!CD58+BS!CD57+BS!CD59</f>
        <v>-7327</v>
      </c>
      <c r="BA159" s="2036">
        <f>BS!CE58+BS!CE57+BS!CE59</f>
        <v>-7327</v>
      </c>
      <c r="BB159" s="2036">
        <f>BS!CF58+BS!CF57+BS!CF59</f>
        <v>-7327</v>
      </c>
      <c r="BC159" s="2036">
        <f>BS!CG58+BS!CG57+BS!CG59</f>
        <v>-7327</v>
      </c>
      <c r="BD159" s="2036">
        <f>BS!CH58+BS!CH57+BS!CH59</f>
        <v>-7327</v>
      </c>
      <c r="BE159" s="160">
        <f>BS!CI58+BS!CI57+BS!CI59</f>
        <v>-7327</v>
      </c>
      <c r="BF159" s="160">
        <f>BS!CJ58+BS!CJ57+BS!CJ59</f>
        <v>-7327</v>
      </c>
      <c r="BG159" s="147"/>
      <c r="BH159" s="147"/>
      <c r="BI159" s="147"/>
      <c r="BJ159" s="147"/>
      <c r="BK159" s="147"/>
      <c r="BL159" s="147"/>
      <c r="BM159" s="147"/>
      <c r="BN159" s="147"/>
      <c r="BO159" s="147"/>
      <c r="BP159" s="147"/>
      <c r="BQ159" s="147"/>
      <c r="BR159" s="147"/>
      <c r="BS159" s="147"/>
      <c r="BT159" s="147"/>
      <c r="BU159" s="147"/>
      <c r="BV159" s="147"/>
    </row>
    <row r="160" spans="1:74">
      <c r="A160" s="150" t="s">
        <v>127</v>
      </c>
      <c r="B160" s="158">
        <f t="shared" ref="B160:AZ160" si="60">SUM(B156:B159)</f>
        <v>21355</v>
      </c>
      <c r="C160" s="159">
        <f t="shared" si="60"/>
        <v>21586</v>
      </c>
      <c r="D160" s="159">
        <f t="shared" si="60"/>
        <v>21912</v>
      </c>
      <c r="E160" s="159">
        <f t="shared" si="60"/>
        <v>21083</v>
      </c>
      <c r="F160" s="159">
        <f t="shared" si="60"/>
        <v>15917</v>
      </c>
      <c r="G160" s="158">
        <f t="shared" si="60"/>
        <v>15917</v>
      </c>
      <c r="H160" s="159">
        <f t="shared" si="60"/>
        <v>15813</v>
      </c>
      <c r="I160" s="159">
        <f t="shared" si="60"/>
        <v>17379</v>
      </c>
      <c r="J160" s="159">
        <f t="shared" si="60"/>
        <v>18489</v>
      </c>
      <c r="K160" s="159">
        <f t="shared" si="60"/>
        <v>20066</v>
      </c>
      <c r="L160" s="158">
        <f t="shared" si="60"/>
        <v>20066</v>
      </c>
      <c r="M160" s="159">
        <f t="shared" si="60"/>
        <v>19964</v>
      </c>
      <c r="N160" s="159">
        <f t="shared" si="60"/>
        <v>19933</v>
      </c>
      <c r="O160" s="159">
        <f t="shared" si="60"/>
        <v>21254</v>
      </c>
      <c r="P160" s="159">
        <f t="shared" si="60"/>
        <v>21385</v>
      </c>
      <c r="Q160" s="158">
        <f t="shared" si="60"/>
        <v>21385</v>
      </c>
      <c r="R160" s="159">
        <f t="shared" si="60"/>
        <v>22126</v>
      </c>
      <c r="S160" s="159">
        <f t="shared" si="60"/>
        <v>22723</v>
      </c>
      <c r="T160" s="159">
        <f t="shared" si="60"/>
        <v>22590</v>
      </c>
      <c r="U160" s="159">
        <f t="shared" si="60"/>
        <v>21880</v>
      </c>
      <c r="V160" s="158">
        <f t="shared" si="60"/>
        <v>21880</v>
      </c>
      <c r="W160" s="159">
        <f t="shared" si="60"/>
        <v>22492</v>
      </c>
      <c r="X160" s="159">
        <f t="shared" si="60"/>
        <v>22604</v>
      </c>
      <c r="Y160" s="159">
        <f t="shared" si="60"/>
        <v>24955</v>
      </c>
      <c r="Z160" s="159">
        <f t="shared" si="60"/>
        <v>25914</v>
      </c>
      <c r="AA160" s="158">
        <f t="shared" si="60"/>
        <v>25914</v>
      </c>
      <c r="AB160" s="159">
        <f t="shared" si="60"/>
        <v>26194</v>
      </c>
      <c r="AC160" s="159">
        <f t="shared" si="60"/>
        <v>26987</v>
      </c>
      <c r="AD160" s="159">
        <f t="shared" si="60"/>
        <v>28577</v>
      </c>
      <c r="AE160" s="159">
        <f t="shared" si="60"/>
        <v>31866</v>
      </c>
      <c r="AF160" s="158">
        <f t="shared" si="60"/>
        <v>31866</v>
      </c>
      <c r="AG160" s="159">
        <f t="shared" si="60"/>
        <v>32317</v>
      </c>
      <c r="AH160" s="159">
        <f t="shared" si="60"/>
        <v>33785</v>
      </c>
      <c r="AI160" s="159">
        <f t="shared" si="60"/>
        <v>34049</v>
      </c>
      <c r="AJ160" s="159">
        <f t="shared" si="60"/>
        <v>31213</v>
      </c>
      <c r="AK160" s="158">
        <f t="shared" si="60"/>
        <v>31213</v>
      </c>
      <c r="AL160" s="159">
        <f t="shared" si="60"/>
        <v>28650</v>
      </c>
      <c r="AM160" s="159">
        <f t="shared" si="60"/>
        <v>30377</v>
      </c>
      <c r="AN160" s="159">
        <f t="shared" si="60"/>
        <v>30525</v>
      </c>
      <c r="AO160" s="159">
        <f t="shared" si="60"/>
        <v>27358</v>
      </c>
      <c r="AP160" s="158">
        <f t="shared" si="60"/>
        <v>27358</v>
      </c>
      <c r="AQ160" s="159">
        <f t="shared" si="60"/>
        <v>28353</v>
      </c>
      <c r="AR160" s="159">
        <f t="shared" si="60"/>
        <v>29090</v>
      </c>
      <c r="AS160" s="159">
        <f t="shared" si="60"/>
        <v>29187</v>
      </c>
      <c r="AT160" s="159">
        <f t="shared" si="60"/>
        <v>27579</v>
      </c>
      <c r="AU160" s="158">
        <f t="shared" si="60"/>
        <v>27579</v>
      </c>
      <c r="AV160" s="2035">
        <f>SUM(AV156:AV159)</f>
        <v>27594</v>
      </c>
      <c r="AW160" s="2035">
        <f>SUM(AW156:AW159)</f>
        <v>28442</v>
      </c>
      <c r="AX160" s="2035">
        <f>SUM(AX156:AX159)</f>
        <v>29881</v>
      </c>
      <c r="AY160" s="2035">
        <f>SUM(AY156:AY159)</f>
        <v>30512.742898348064</v>
      </c>
      <c r="AZ160" s="158">
        <f t="shared" si="60"/>
        <v>30512.742898348064</v>
      </c>
      <c r="BA160" s="2035">
        <f t="shared" ref="BA160:BF160" si="61">SUM(BA156:BA159)</f>
        <v>31244.420977449117</v>
      </c>
      <c r="BB160" s="2035">
        <f t="shared" si="61"/>
        <v>32261.217905094032</v>
      </c>
      <c r="BC160" s="2035">
        <f t="shared" si="61"/>
        <v>33267.730370148856</v>
      </c>
      <c r="BD160" s="2035">
        <f t="shared" si="61"/>
        <v>34116.85078004704</v>
      </c>
      <c r="BE160" s="158">
        <f t="shared" si="61"/>
        <v>34116.85078004704</v>
      </c>
      <c r="BF160" s="158">
        <f t="shared" si="61"/>
        <v>38383.544265114877</v>
      </c>
      <c r="BG160" s="147"/>
      <c r="BH160" s="147"/>
      <c r="BI160" s="147"/>
      <c r="BJ160" s="147"/>
      <c r="BK160" s="147"/>
      <c r="BL160" s="147"/>
      <c r="BM160" s="147"/>
      <c r="BN160" s="147"/>
      <c r="BO160" s="147"/>
      <c r="BP160" s="147"/>
      <c r="BQ160" s="147"/>
      <c r="BR160" s="147"/>
      <c r="BS160" s="147"/>
      <c r="BT160" s="147"/>
      <c r="BU160" s="147"/>
      <c r="BV160" s="147"/>
    </row>
    <row r="161" spans="1:74">
      <c r="A161" s="188"/>
      <c r="B161" s="187"/>
      <c r="C161" s="187"/>
      <c r="D161" s="187"/>
      <c r="E161" s="187"/>
      <c r="F161" s="187"/>
      <c r="G161" s="187"/>
      <c r="H161" s="187"/>
      <c r="I161" s="187"/>
      <c r="J161" s="187"/>
      <c r="K161" s="187"/>
      <c r="L161" s="187"/>
      <c r="M161" s="187"/>
      <c r="N161" s="187"/>
      <c r="O161" s="187"/>
      <c r="P161" s="187"/>
      <c r="Q161" s="187"/>
      <c r="R161" s="187"/>
      <c r="S161" s="187"/>
      <c r="T161" s="187"/>
      <c r="U161" s="187"/>
      <c r="V161" s="187"/>
      <c r="W161" s="187"/>
      <c r="X161" s="187"/>
      <c r="Y161" s="187"/>
      <c r="Z161" s="187"/>
      <c r="AA161" s="187"/>
      <c r="AB161" s="187"/>
      <c r="AC161" s="187"/>
      <c r="AD161" s="187"/>
      <c r="AE161" s="187"/>
      <c r="AF161" s="187"/>
      <c r="AG161" s="187"/>
      <c r="AH161" s="187"/>
      <c r="AI161" s="187"/>
      <c r="AJ161" s="187"/>
      <c r="AK161" s="187"/>
      <c r="AL161" s="187"/>
      <c r="AM161" s="187"/>
      <c r="AN161" s="187"/>
      <c r="AO161" s="187"/>
      <c r="AP161" s="182"/>
      <c r="AQ161" s="187"/>
      <c r="AR161" s="187"/>
      <c r="AS161" s="187"/>
      <c r="AT161" s="187"/>
      <c r="AU161" s="182"/>
      <c r="AV161" s="2045"/>
      <c r="AW161" s="2045"/>
      <c r="AX161" s="2045"/>
      <c r="AY161" s="2045"/>
      <c r="AZ161" s="182"/>
      <c r="BA161" s="2045"/>
      <c r="BB161" s="2045"/>
      <c r="BC161" s="2045"/>
      <c r="BD161" s="2045"/>
      <c r="BE161" s="182"/>
      <c r="BF161" s="2043"/>
      <c r="BG161" s="182"/>
      <c r="BH161" s="182"/>
      <c r="BI161" s="182"/>
      <c r="BJ161" s="182"/>
      <c r="BK161" s="182"/>
      <c r="BL161" s="182"/>
      <c r="BM161" s="182"/>
      <c r="BN161" s="182"/>
      <c r="BO161" s="182"/>
      <c r="BP161" s="182"/>
      <c r="BQ161" s="182"/>
      <c r="BR161" s="182"/>
      <c r="BS161" s="182"/>
      <c r="BT161" s="182"/>
      <c r="BU161" s="182"/>
      <c r="BV161" s="182"/>
    </row>
    <row r="162" spans="1:74">
      <c r="A162" s="182"/>
      <c r="B162" s="182"/>
      <c r="C162" s="183"/>
      <c r="D162" s="183"/>
      <c r="E162" s="183"/>
      <c r="F162" s="183"/>
      <c r="G162" s="182"/>
      <c r="H162" s="182"/>
      <c r="I162" s="182"/>
      <c r="J162" s="182"/>
      <c r="K162" s="182"/>
      <c r="L162" s="182"/>
      <c r="M162" s="182"/>
      <c r="N162" s="186"/>
      <c r="O162" s="186"/>
      <c r="P162" s="186"/>
      <c r="Q162" s="186"/>
      <c r="R162" s="186"/>
      <c r="S162" s="186"/>
      <c r="T162" s="186"/>
      <c r="U162" s="186"/>
      <c r="V162" s="182"/>
      <c r="W162" s="182"/>
      <c r="X162" s="182"/>
      <c r="Y162" s="182"/>
      <c r="Z162" s="182"/>
      <c r="AA162" s="182"/>
      <c r="AB162" s="182"/>
      <c r="AC162" s="182"/>
      <c r="AD162" s="182"/>
      <c r="AE162" s="182"/>
      <c r="AF162" s="182"/>
      <c r="AG162" s="182"/>
      <c r="AH162" s="182"/>
      <c r="AI162" s="182"/>
      <c r="AJ162" s="182"/>
      <c r="AK162" s="182"/>
      <c r="AL162" s="182"/>
      <c r="AM162" s="182"/>
      <c r="AN162" s="182"/>
      <c r="AO162" s="182"/>
      <c r="AP162" s="182"/>
      <c r="AQ162" s="182"/>
      <c r="AR162" s="182"/>
      <c r="AS162" s="182"/>
      <c r="AT162" s="182"/>
      <c r="AU162" s="182"/>
      <c r="AV162" s="2043"/>
      <c r="AW162" s="2043"/>
      <c r="AX162" s="2043"/>
      <c r="AY162" s="2043"/>
      <c r="AZ162" s="182"/>
      <c r="BA162" s="2043"/>
      <c r="BB162" s="2043"/>
      <c r="BC162" s="2043"/>
      <c r="BD162" s="2043"/>
      <c r="BE162" s="182"/>
      <c r="BF162" s="2043"/>
      <c r="BG162" s="182"/>
      <c r="BH162" s="182"/>
      <c r="BI162" s="182"/>
      <c r="BJ162" s="182"/>
      <c r="BK162" s="182"/>
      <c r="BL162" s="182"/>
      <c r="BM162" s="182"/>
      <c r="BN162" s="182"/>
      <c r="BO162" s="182"/>
      <c r="BP162" s="182"/>
      <c r="BQ162" s="182"/>
      <c r="BR162" s="182"/>
      <c r="BS162" s="182"/>
      <c r="BT162" s="182"/>
      <c r="BU162" s="182"/>
      <c r="BV162" s="182"/>
    </row>
    <row r="163" spans="1:74">
      <c r="A163" s="182"/>
      <c r="B163" s="182"/>
      <c r="C163" s="183"/>
      <c r="D163" s="183"/>
      <c r="E163" s="183"/>
      <c r="F163" s="183"/>
      <c r="G163" s="182"/>
      <c r="H163" s="182"/>
      <c r="I163" s="182"/>
      <c r="J163" s="182"/>
      <c r="K163" s="182"/>
      <c r="L163" s="182"/>
      <c r="M163" s="182"/>
      <c r="N163" s="182"/>
      <c r="O163" s="182"/>
      <c r="P163" s="182"/>
      <c r="Q163" s="182"/>
      <c r="R163" s="182"/>
      <c r="S163" s="182"/>
      <c r="T163" s="182"/>
      <c r="U163" s="182"/>
      <c r="V163" s="182"/>
      <c r="W163" s="182"/>
      <c r="X163" s="182"/>
      <c r="Y163" s="182"/>
      <c r="Z163" s="182"/>
      <c r="AA163" s="182"/>
      <c r="AB163" s="182"/>
      <c r="AC163" s="182"/>
      <c r="AD163" s="182"/>
      <c r="AE163" s="182"/>
      <c r="AF163" s="182"/>
      <c r="AG163" s="182"/>
      <c r="AH163" s="182"/>
      <c r="AI163" s="182"/>
      <c r="AJ163" s="182"/>
      <c r="AK163" s="182"/>
      <c r="AL163" s="182"/>
      <c r="AM163" s="182"/>
      <c r="AN163" s="182"/>
      <c r="AO163" s="182"/>
      <c r="AP163" s="182"/>
      <c r="AQ163" s="182"/>
      <c r="AR163" s="182"/>
      <c r="AS163" s="182"/>
      <c r="AT163" s="182"/>
      <c r="AU163" s="182"/>
      <c r="AV163" s="2043"/>
      <c r="AW163" s="2043"/>
      <c r="AX163" s="2043"/>
      <c r="AY163" s="2043"/>
      <c r="AZ163" s="182"/>
      <c r="BA163" s="2043"/>
      <c r="BB163" s="2043"/>
      <c r="BC163" s="2043"/>
      <c r="BD163" s="2043"/>
      <c r="BE163" s="182"/>
      <c r="BF163" s="2043"/>
      <c r="BG163" s="182"/>
      <c r="BH163" s="182"/>
      <c r="BI163" s="182"/>
      <c r="BJ163" s="182"/>
      <c r="BK163" s="182"/>
      <c r="BL163" s="182"/>
      <c r="BM163" s="182"/>
      <c r="BN163" s="182"/>
      <c r="BO163" s="182"/>
      <c r="BP163" s="182"/>
      <c r="BQ163" s="182"/>
      <c r="BR163" s="182"/>
      <c r="BS163" s="182"/>
      <c r="BT163" s="182"/>
      <c r="BU163" s="182"/>
      <c r="BV163" s="182"/>
    </row>
    <row r="164" spans="1:74">
      <c r="A164" s="185" t="s">
        <v>226</v>
      </c>
      <c r="B164" s="182"/>
      <c r="C164" s="183"/>
      <c r="D164" s="183"/>
      <c r="E164" s="183"/>
      <c r="F164" s="183"/>
      <c r="G164" s="182"/>
      <c r="H164" s="182"/>
      <c r="I164" s="182"/>
      <c r="J164" s="182"/>
      <c r="K164" s="182"/>
      <c r="L164" s="182"/>
      <c r="M164" s="182"/>
      <c r="N164" s="182"/>
      <c r="O164" s="182"/>
      <c r="P164" s="182"/>
      <c r="Q164" s="182"/>
      <c r="R164" s="182"/>
      <c r="S164" s="182"/>
      <c r="T164" s="182"/>
      <c r="U164" s="182"/>
      <c r="V164" s="182"/>
      <c r="W164" s="182"/>
      <c r="X164" s="182"/>
      <c r="Y164" s="182"/>
      <c r="Z164" s="182"/>
      <c r="AA164" s="182"/>
      <c r="AB164" s="182"/>
      <c r="AC164" s="182"/>
      <c r="AD164" s="182"/>
      <c r="AE164" s="182"/>
      <c r="AF164" s="182"/>
      <c r="AG164" s="182"/>
      <c r="AH164" s="182"/>
      <c r="AI164" s="182"/>
      <c r="AJ164" s="182"/>
      <c r="AK164" s="182"/>
      <c r="AL164" s="182"/>
      <c r="AM164" s="182"/>
      <c r="AN164" s="182"/>
      <c r="AO164" s="182"/>
      <c r="AP164" s="182"/>
      <c r="AQ164" s="182"/>
      <c r="AR164" s="182"/>
      <c r="AS164" s="182"/>
      <c r="AT164" s="182"/>
      <c r="AU164" s="182"/>
      <c r="AV164" s="2043"/>
      <c r="AW164" s="2043"/>
      <c r="AX164" s="2043"/>
      <c r="AY164" s="2043"/>
      <c r="AZ164" s="182"/>
      <c r="BA164" s="2043"/>
      <c r="BB164" s="2043"/>
      <c r="BC164" s="2043"/>
      <c r="BD164" s="2043"/>
      <c r="BE164" s="182"/>
      <c r="BF164" s="2043"/>
      <c r="BG164" s="182"/>
      <c r="BH164" s="182"/>
      <c r="BI164" s="182"/>
      <c r="BJ164" s="182"/>
      <c r="BK164" s="182"/>
      <c r="BL164" s="182"/>
      <c r="BM164" s="182"/>
      <c r="BN164" s="182"/>
      <c r="BO164" s="182"/>
      <c r="BP164" s="182"/>
      <c r="BQ164" s="182"/>
      <c r="BR164" s="182"/>
      <c r="BS164" s="182"/>
      <c r="BT164" s="182"/>
      <c r="BU164" s="182"/>
      <c r="BV164" s="182"/>
    </row>
    <row r="165" spans="1:74">
      <c r="A165" s="184"/>
      <c r="B165" s="182"/>
      <c r="C165" s="183"/>
      <c r="D165" s="183"/>
      <c r="E165" s="183"/>
      <c r="F165" s="183"/>
      <c r="G165" s="182"/>
      <c r="H165" s="182"/>
      <c r="I165" s="182"/>
      <c r="J165" s="182"/>
      <c r="K165" s="182"/>
      <c r="L165" s="182"/>
      <c r="M165" s="182"/>
      <c r="N165" s="182"/>
      <c r="O165" s="182"/>
      <c r="P165" s="182"/>
      <c r="Q165" s="182"/>
      <c r="R165" s="182"/>
      <c r="S165" s="182"/>
      <c r="T165" s="182"/>
      <c r="U165" s="182"/>
      <c r="V165" s="182"/>
      <c r="W165" s="182"/>
      <c r="X165" s="182"/>
      <c r="Y165" s="182"/>
      <c r="Z165" s="182"/>
      <c r="AA165" s="182"/>
      <c r="AB165" s="182"/>
      <c r="AC165" s="182"/>
      <c r="AD165" s="182"/>
      <c r="AE165" s="182"/>
      <c r="AF165" s="182"/>
      <c r="AG165" s="182"/>
      <c r="AH165" s="182"/>
      <c r="AI165" s="182"/>
      <c r="AJ165" s="182"/>
      <c r="AK165" s="182"/>
      <c r="AL165" s="182"/>
      <c r="AM165" s="182"/>
      <c r="AN165" s="182"/>
      <c r="AO165" s="182"/>
      <c r="AP165" s="182"/>
      <c r="AQ165" s="182"/>
      <c r="AR165" s="182"/>
      <c r="AS165" s="182"/>
      <c r="AT165" s="182"/>
      <c r="AU165" s="182"/>
      <c r="AV165" s="2043"/>
      <c r="AW165" s="2043"/>
      <c r="AX165" s="2043"/>
      <c r="AY165" s="2043"/>
      <c r="AZ165" s="182"/>
      <c r="BA165" s="2043"/>
      <c r="BB165" s="2043"/>
      <c r="BC165" s="2043"/>
      <c r="BD165" s="2043"/>
      <c r="BE165" s="182"/>
      <c r="BF165" s="2043"/>
      <c r="BG165" s="182"/>
      <c r="BH165" s="182"/>
      <c r="BI165" s="182"/>
      <c r="BJ165" s="182"/>
      <c r="BK165" s="182"/>
      <c r="BL165" s="182"/>
      <c r="BM165" s="182"/>
      <c r="BN165" s="182"/>
      <c r="BO165" s="182"/>
      <c r="BP165" s="182"/>
      <c r="BQ165" s="182"/>
      <c r="BR165" s="182"/>
      <c r="BS165" s="182"/>
      <c r="BT165" s="182"/>
      <c r="BU165" s="182"/>
      <c r="BV165" s="182"/>
    </row>
    <row r="166" spans="1:74">
      <c r="A166" s="150" t="s">
        <v>225</v>
      </c>
      <c r="B166" s="180">
        <v>2007</v>
      </c>
      <c r="C166" s="181" t="s">
        <v>198</v>
      </c>
      <c r="D166" s="181" t="s">
        <v>197</v>
      </c>
      <c r="E166" s="181" t="s">
        <v>196</v>
      </c>
      <c r="F166" s="181" t="s">
        <v>195</v>
      </c>
      <c r="G166" s="180">
        <v>2008</v>
      </c>
      <c r="H166" s="181" t="s">
        <v>194</v>
      </c>
      <c r="I166" s="181" t="s">
        <v>193</v>
      </c>
      <c r="J166" s="181" t="s">
        <v>192</v>
      </c>
      <c r="K166" s="181" t="s">
        <v>191</v>
      </c>
      <c r="L166" s="180">
        <v>2009</v>
      </c>
      <c r="M166" s="181" t="s">
        <v>190</v>
      </c>
      <c r="N166" s="181" t="s">
        <v>189</v>
      </c>
      <c r="O166" s="181" t="s">
        <v>188</v>
      </c>
      <c r="P166" s="181" t="s">
        <v>187</v>
      </c>
      <c r="Q166" s="180">
        <v>2010</v>
      </c>
      <c r="R166" s="181" t="s">
        <v>186</v>
      </c>
      <c r="S166" s="181" t="s">
        <v>185</v>
      </c>
      <c r="T166" s="181" t="s">
        <v>184</v>
      </c>
      <c r="U166" s="181" t="s">
        <v>183</v>
      </c>
      <c r="V166" s="180">
        <v>2011</v>
      </c>
      <c r="W166" s="181" t="s">
        <v>182</v>
      </c>
      <c r="X166" s="181" t="s">
        <v>181</v>
      </c>
      <c r="Y166" s="181" t="s">
        <v>180</v>
      </c>
      <c r="Z166" s="181" t="s">
        <v>179</v>
      </c>
      <c r="AA166" s="180">
        <v>2012</v>
      </c>
      <c r="AB166" s="181" t="s">
        <v>178</v>
      </c>
      <c r="AC166" s="181" t="s">
        <v>177</v>
      </c>
      <c r="AD166" s="181" t="str">
        <f t="shared" ref="AD166:AZ166" si="62">+AD132</f>
        <v>3Q13</v>
      </c>
      <c r="AE166" s="181" t="str">
        <f t="shared" si="62"/>
        <v>4Q13</v>
      </c>
      <c r="AF166" s="180">
        <f t="shared" si="62"/>
        <v>2013</v>
      </c>
      <c r="AG166" s="181" t="str">
        <f t="shared" si="62"/>
        <v>1Q14</v>
      </c>
      <c r="AH166" s="181" t="str">
        <f t="shared" si="62"/>
        <v>2Q14</v>
      </c>
      <c r="AI166" s="181" t="str">
        <f t="shared" si="62"/>
        <v>3Q14</v>
      </c>
      <c r="AJ166" s="181" t="str">
        <f t="shared" si="62"/>
        <v>4Q14</v>
      </c>
      <c r="AK166" s="180">
        <f t="shared" si="62"/>
        <v>2014</v>
      </c>
      <c r="AL166" s="181" t="str">
        <f t="shared" si="62"/>
        <v>1Q15</v>
      </c>
      <c r="AM166" s="181" t="str">
        <f t="shared" si="62"/>
        <v>2Q15</v>
      </c>
      <c r="AN166" s="181" t="str">
        <f t="shared" si="62"/>
        <v>3Q15</v>
      </c>
      <c r="AO166" s="181" t="str">
        <f t="shared" si="62"/>
        <v>4Q15</v>
      </c>
      <c r="AP166" s="180">
        <f t="shared" si="62"/>
        <v>2015</v>
      </c>
      <c r="AQ166" s="181" t="str">
        <f t="shared" si="62"/>
        <v>1Q16</v>
      </c>
      <c r="AR166" s="181" t="str">
        <f t="shared" si="62"/>
        <v>2Q16</v>
      </c>
      <c r="AS166" s="181" t="str">
        <f t="shared" si="62"/>
        <v>3Q16</v>
      </c>
      <c r="AT166" s="181" t="str">
        <f t="shared" si="62"/>
        <v>4Q16</v>
      </c>
      <c r="AU166" s="180">
        <f t="shared" si="62"/>
        <v>2016</v>
      </c>
      <c r="AV166" s="2042" t="str">
        <f>+AV132</f>
        <v>1Q17</v>
      </c>
      <c r="AW166" s="2042" t="str">
        <f>+AW132</f>
        <v>2Q17</v>
      </c>
      <c r="AX166" s="2042" t="str">
        <f>+AX132</f>
        <v>3Q17</v>
      </c>
      <c r="AY166" s="2042" t="str">
        <f>+AY132</f>
        <v>4Q17E</v>
      </c>
      <c r="AZ166" s="180" t="str">
        <f t="shared" si="62"/>
        <v>2017E</v>
      </c>
      <c r="BA166" s="2042" t="str">
        <f t="shared" ref="BA166:BF166" si="63">+BA132</f>
        <v>1Q18E</v>
      </c>
      <c r="BB166" s="2042" t="str">
        <f t="shared" si="63"/>
        <v>2Q18E</v>
      </c>
      <c r="BC166" s="2042" t="str">
        <f t="shared" si="63"/>
        <v>3Q18E</v>
      </c>
      <c r="BD166" s="2042" t="str">
        <f t="shared" si="63"/>
        <v>4Q18E</v>
      </c>
      <c r="BE166" s="180" t="str">
        <f t="shared" si="63"/>
        <v>2018E</v>
      </c>
      <c r="BF166" s="180" t="str">
        <f t="shared" si="63"/>
        <v>2019E</v>
      </c>
      <c r="BG166" s="147"/>
      <c r="BH166" s="147"/>
      <c r="BI166" s="147"/>
      <c r="BJ166" s="147"/>
      <c r="BK166" s="147"/>
      <c r="BL166" s="147"/>
      <c r="BM166" s="147"/>
      <c r="BN166" s="147"/>
      <c r="BO166" s="147"/>
      <c r="BP166" s="147"/>
      <c r="BQ166" s="147"/>
      <c r="BR166" s="147"/>
      <c r="BS166" s="147"/>
      <c r="BT166" s="147"/>
      <c r="BU166" s="147"/>
      <c r="BV166" s="147"/>
    </row>
    <row r="167" spans="1:74">
      <c r="A167" s="179"/>
      <c r="B167" s="178"/>
      <c r="C167" s="179"/>
      <c r="D167" s="179"/>
      <c r="E167" s="179"/>
      <c r="F167" s="179"/>
      <c r="G167" s="178"/>
      <c r="H167" s="179"/>
      <c r="I167" s="179"/>
      <c r="J167" s="179"/>
      <c r="K167" s="179"/>
      <c r="L167" s="178"/>
      <c r="M167" s="179"/>
      <c r="N167" s="179"/>
      <c r="O167" s="179"/>
      <c r="P167" s="179"/>
      <c r="Q167" s="178"/>
      <c r="R167" s="179"/>
      <c r="S167" s="179"/>
      <c r="T167" s="179"/>
      <c r="U167" s="179"/>
      <c r="V167" s="178"/>
      <c r="W167" s="179"/>
      <c r="X167" s="179"/>
      <c r="Y167" s="179"/>
      <c r="Z167" s="179"/>
      <c r="AA167" s="178"/>
      <c r="AB167" s="179"/>
      <c r="AC167" s="179"/>
      <c r="AD167" s="179"/>
      <c r="AE167" s="179"/>
      <c r="AF167" s="178"/>
      <c r="AG167" s="179"/>
      <c r="AH167" s="179"/>
      <c r="AI167" s="179"/>
      <c r="AJ167" s="179"/>
      <c r="AK167" s="178"/>
      <c r="AL167" s="179"/>
      <c r="AM167" s="179"/>
      <c r="AN167" s="179"/>
      <c r="AO167" s="179"/>
      <c r="AP167" s="178"/>
      <c r="AQ167" s="179"/>
      <c r="AR167" s="179"/>
      <c r="AS167" s="179"/>
      <c r="AT167" s="179"/>
      <c r="AU167" s="178"/>
      <c r="AV167" s="2041"/>
      <c r="AW167" s="2041"/>
      <c r="AX167" s="2041"/>
      <c r="AY167" s="2041"/>
      <c r="AZ167" s="178"/>
      <c r="BA167" s="2041"/>
      <c r="BB167" s="2041"/>
      <c r="BC167" s="2041"/>
      <c r="BD167" s="2041"/>
      <c r="BE167" s="178"/>
      <c r="BF167" s="178"/>
      <c r="BG167" s="147"/>
      <c r="BH167" s="147"/>
      <c r="BI167" s="147"/>
      <c r="BJ167" s="147"/>
      <c r="BK167" s="147"/>
      <c r="BL167" s="147"/>
      <c r="BM167" s="147"/>
      <c r="BN167" s="147"/>
      <c r="BO167" s="147"/>
      <c r="BP167" s="147"/>
      <c r="BQ167" s="147"/>
      <c r="BR167" s="147"/>
      <c r="BS167" s="147"/>
      <c r="BT167" s="147"/>
      <c r="BU167" s="147"/>
      <c r="BV167" s="147"/>
    </row>
    <row r="168" spans="1:74">
      <c r="A168" s="147" t="s">
        <v>143</v>
      </c>
      <c r="B168" s="160">
        <f>CF!AE12</f>
        <v>4224</v>
      </c>
      <c r="C168" s="161">
        <f>CF!AF12</f>
        <v>1000</v>
      </c>
      <c r="D168" s="161">
        <f>CF!AG12</f>
        <v>1275</v>
      </c>
      <c r="E168" s="161">
        <f>CF!AH12</f>
        <v>1269</v>
      </c>
      <c r="F168" s="161">
        <f>CF!AI12</f>
        <v>1145</v>
      </c>
      <c r="G168" s="160">
        <f>CF!AJ12</f>
        <v>4689</v>
      </c>
      <c r="H168" s="161">
        <f>CF!AK12</f>
        <v>724.88499999999999</v>
      </c>
      <c r="I168" s="161">
        <f>CF!AL12</f>
        <v>973.6099999999999</v>
      </c>
      <c r="J168" s="161">
        <f>CF!AM12</f>
        <v>1057.33</v>
      </c>
      <c r="K168" s="161">
        <f>CF!AN12</f>
        <v>1073.4100000000001</v>
      </c>
      <c r="L168" s="160">
        <f>CF!AO12</f>
        <v>3829.2349999999997</v>
      </c>
      <c r="M168" s="161">
        <f>CF!AP12</f>
        <v>866</v>
      </c>
      <c r="N168" s="161">
        <f>CF!AQ12</f>
        <v>1110</v>
      </c>
      <c r="O168" s="161">
        <f>CF!AR12</f>
        <v>1198</v>
      </c>
      <c r="P168" s="161">
        <f>CF!AS12</f>
        <v>1199</v>
      </c>
      <c r="Q168" s="160">
        <f>CF!AT12</f>
        <v>4373</v>
      </c>
      <c r="R168" s="161">
        <f>CF!AU12</f>
        <v>971</v>
      </c>
      <c r="S168" s="161">
        <f>CF!AV12</f>
        <v>1285</v>
      </c>
      <c r="T168" s="161">
        <f>CF!AW12</f>
        <v>1287</v>
      </c>
      <c r="U168" s="161">
        <f>CF!AX12</f>
        <v>1278</v>
      </c>
      <c r="V168" s="160">
        <f>CF!AY12</f>
        <v>4821</v>
      </c>
      <c r="W168" s="161">
        <f>CF!AZ12</f>
        <v>1187</v>
      </c>
      <c r="X168" s="161">
        <f>CF!BA12</f>
        <v>1464</v>
      </c>
      <c r="Y168" s="161">
        <f>CF!BB12</f>
        <v>1245</v>
      </c>
      <c r="Z168" s="161">
        <f>CF!BC12</f>
        <v>944</v>
      </c>
      <c r="AA168" s="160">
        <f>CF!BD12</f>
        <v>4840</v>
      </c>
      <c r="AB168" s="161">
        <f>CF!BE12</f>
        <v>1270</v>
      </c>
      <c r="AC168" s="161">
        <f>CF!BF12</f>
        <v>1552</v>
      </c>
      <c r="AD168" s="161">
        <f>CF!BG12</f>
        <v>1415</v>
      </c>
      <c r="AE168" s="161">
        <f>CF!BH12</f>
        <v>1449</v>
      </c>
      <c r="AF168" s="160">
        <f>CF!BI12</f>
        <v>5686</v>
      </c>
      <c r="AG168" s="161">
        <f>CF!BJ12</f>
        <v>1213</v>
      </c>
      <c r="AH168" s="161">
        <f>CF!BK12</f>
        <v>1680</v>
      </c>
      <c r="AI168" s="161">
        <f>CF!BL12</f>
        <v>1854</v>
      </c>
      <c r="AJ168" s="161">
        <f>CF!BM12</f>
        <v>1473</v>
      </c>
      <c r="AK168" s="160">
        <f>CF!BN12</f>
        <v>6220</v>
      </c>
      <c r="AL168" s="161">
        <f>CF!BO12</f>
        <v>1366.74</v>
      </c>
      <c r="AM168" s="161">
        <f>CF!BP12</f>
        <v>1467.26</v>
      </c>
      <c r="AN168" s="161">
        <f>CF!BQ12</f>
        <v>1426</v>
      </c>
      <c r="AO168" s="161">
        <f>CF!BR12</f>
        <v>-256</v>
      </c>
      <c r="AP168" s="160">
        <f>CF!BS12</f>
        <v>4004</v>
      </c>
      <c r="AQ168" s="161">
        <f>CF!BT12</f>
        <v>1180</v>
      </c>
      <c r="AR168" s="161">
        <f>CF!BU12</f>
        <v>1420</v>
      </c>
      <c r="AS168" s="161">
        <f>CF!BV12</f>
        <v>1443</v>
      </c>
      <c r="AT168" s="161">
        <f>CF!BW12</f>
        <v>1024</v>
      </c>
      <c r="AU168" s="160">
        <f>CF!BX12</f>
        <v>5067</v>
      </c>
      <c r="AV168" s="2036">
        <f>CF!BY12</f>
        <v>1386</v>
      </c>
      <c r="AW168" s="2036">
        <f>CF!BZ12</f>
        <v>1439</v>
      </c>
      <c r="AX168" s="2036">
        <f>CF!CA12</f>
        <v>1330</v>
      </c>
      <c r="AY168" s="2036">
        <f>CF!CB12</f>
        <v>1173.1273385718785</v>
      </c>
      <c r="AZ168" s="160">
        <f>CF!CC12</f>
        <v>5328.1273385718787</v>
      </c>
      <c r="BA168" s="2036">
        <f>CF!CD12</f>
        <v>1147.2017145623613</v>
      </c>
      <c r="BB168" s="2036">
        <f>CF!CE12</f>
        <v>1433.7008932812248</v>
      </c>
      <c r="BC168" s="2036">
        <f>CF!CF12</f>
        <v>1450.6456440317102</v>
      </c>
      <c r="BD168" s="2036">
        <f>CF!CG12</f>
        <v>1296.6699180588207</v>
      </c>
      <c r="BE168" s="160">
        <f>CF!CH12</f>
        <v>5328.1420532696857</v>
      </c>
      <c r="BF168" s="160">
        <f>CF!CI12</f>
        <v>6072.9286860348584</v>
      </c>
      <c r="BG168" s="147"/>
      <c r="BH168" s="147"/>
      <c r="BI168" s="147"/>
      <c r="BJ168" s="147"/>
      <c r="BK168" s="147"/>
      <c r="BL168" s="147"/>
      <c r="BM168" s="147"/>
      <c r="BN168" s="147"/>
      <c r="BO168" s="147"/>
      <c r="BP168" s="147"/>
      <c r="BQ168" s="147"/>
      <c r="BR168" s="147"/>
      <c r="BS168" s="147"/>
      <c r="BT168" s="147"/>
      <c r="BU168" s="147"/>
      <c r="BV168" s="147"/>
    </row>
    <row r="169" spans="1:74">
      <c r="A169" s="162" t="s">
        <v>224</v>
      </c>
      <c r="B169" s="160">
        <f>CF!AE13</f>
        <v>1173</v>
      </c>
      <c r="C169" s="161">
        <f>CF!AF13</f>
        <v>319</v>
      </c>
      <c r="D169" s="161">
        <f>CF!AG13</f>
        <v>326</v>
      </c>
      <c r="E169" s="161">
        <f>CF!AH13</f>
        <v>326</v>
      </c>
      <c r="F169" s="161">
        <f>CF!AI13</f>
        <v>350</v>
      </c>
      <c r="G169" s="160">
        <f>CF!AJ13</f>
        <v>1321</v>
      </c>
      <c r="H169" s="161">
        <f>CF!AK13</f>
        <v>306</v>
      </c>
      <c r="I169" s="161">
        <f>CF!AL13</f>
        <v>303</v>
      </c>
      <c r="J169" s="161">
        <f>CF!AM13</f>
        <v>316</v>
      </c>
      <c r="K169" s="161">
        <f>CF!AN13</f>
        <v>333</v>
      </c>
      <c r="L169" s="160">
        <f>CF!AO13</f>
        <v>1258</v>
      </c>
      <c r="M169" s="161">
        <f>CF!AP13</f>
        <v>327</v>
      </c>
      <c r="N169" s="161">
        <f>CF!AQ13</f>
        <v>339</v>
      </c>
      <c r="O169" s="161">
        <f>CF!AR13</f>
        <v>342</v>
      </c>
      <c r="P169" s="161">
        <f>CF!AS13</f>
        <v>348</v>
      </c>
      <c r="Q169" s="160">
        <f>CF!AT13</f>
        <v>1356</v>
      </c>
      <c r="R169" s="161">
        <f>CF!AU13</f>
        <v>316</v>
      </c>
      <c r="S169" s="161">
        <f>CF!AV13</f>
        <v>322</v>
      </c>
      <c r="T169" s="161">
        <f>CF!AW13</f>
        <v>324</v>
      </c>
      <c r="U169" s="161">
        <f>CF!AX13</f>
        <v>301</v>
      </c>
      <c r="V169" s="160">
        <f>CF!AY13</f>
        <v>1263</v>
      </c>
      <c r="W169" s="161">
        <f>CF!AZ13</f>
        <v>320</v>
      </c>
      <c r="X169" s="161">
        <f>CF!BA13</f>
        <v>305</v>
      </c>
      <c r="Y169" s="161">
        <f>CF!BB13</f>
        <v>422</v>
      </c>
      <c r="Z169" s="161">
        <f>CF!BC13</f>
        <v>477</v>
      </c>
      <c r="AA169" s="160">
        <f>CF!BD13</f>
        <v>1524</v>
      </c>
      <c r="AB169" s="161">
        <f>CF!BE13</f>
        <v>444</v>
      </c>
      <c r="AC169" s="161">
        <f>CF!BF13</f>
        <v>439</v>
      </c>
      <c r="AD169" s="161">
        <f>CF!BG13</f>
        <v>452</v>
      </c>
      <c r="AE169" s="161">
        <f>CF!BH13</f>
        <v>486</v>
      </c>
      <c r="AF169" s="160">
        <f>CF!BI13</f>
        <v>1821</v>
      </c>
      <c r="AG169" s="161">
        <f>CF!BJ13</f>
        <v>467</v>
      </c>
      <c r="AH169" s="161">
        <f>CF!BK13</f>
        <v>468</v>
      </c>
      <c r="AI169" s="161">
        <f>CF!BL13</f>
        <v>483</v>
      </c>
      <c r="AJ169" s="161">
        <f>CF!BM13</f>
        <v>489</v>
      </c>
      <c r="AK169" s="160">
        <f>CF!BN13</f>
        <v>1907</v>
      </c>
      <c r="AL169" s="161">
        <f>CF!BO13</f>
        <v>457.10769910079182</v>
      </c>
      <c r="AM169" s="161">
        <f>CF!BP13</f>
        <v>457.89230089920818</v>
      </c>
      <c r="AN169" s="161">
        <f>CF!BQ13</f>
        <v>486</v>
      </c>
      <c r="AO169" s="161">
        <f>CF!BR13</f>
        <v>462</v>
      </c>
      <c r="AP169" s="160">
        <f>CF!BS13</f>
        <v>1863</v>
      </c>
      <c r="AQ169" s="161">
        <f>CF!BT13</f>
        <v>466</v>
      </c>
      <c r="AR169" s="161">
        <f>CF!BU13</f>
        <v>494</v>
      </c>
      <c r="AS169" s="161">
        <f>CF!BV13</f>
        <v>496</v>
      </c>
      <c r="AT169" s="161">
        <f>CF!BW13</f>
        <v>506</v>
      </c>
      <c r="AU169" s="160">
        <f>CF!BX13</f>
        <v>1962</v>
      </c>
      <c r="AV169" s="2036">
        <f>CF!BY13</f>
        <v>512</v>
      </c>
      <c r="AW169" s="2036">
        <f>CF!BZ13</f>
        <v>527</v>
      </c>
      <c r="AX169" s="2036">
        <f>CF!CA13</f>
        <v>543</v>
      </c>
      <c r="AY169" s="2036">
        <f>CF!CB13</f>
        <v>520.11578397840003</v>
      </c>
      <c r="AZ169" s="160">
        <f>CF!CC13</f>
        <v>2102.1157839784</v>
      </c>
      <c r="BA169" s="2036">
        <f>CF!CD13</f>
        <v>543.5908542005468</v>
      </c>
      <c r="BB169" s="2036">
        <f>CF!CE13</f>
        <v>543.5908542005468</v>
      </c>
      <c r="BC169" s="2036">
        <f>CF!CF13</f>
        <v>543.5908542005468</v>
      </c>
      <c r="BD169" s="2036">
        <f>CF!CG13</f>
        <v>494.32194495158967</v>
      </c>
      <c r="BE169" s="160">
        <f>CF!CH13</f>
        <v>2125.09450755323</v>
      </c>
      <c r="BF169" s="160">
        <f>CF!CI13</f>
        <v>2120.4848446520627</v>
      </c>
      <c r="BG169" s="147"/>
      <c r="BH169" s="147"/>
      <c r="BI169" s="147"/>
      <c r="BJ169" s="147"/>
      <c r="BK169" s="147"/>
      <c r="BL169" s="147"/>
      <c r="BM169" s="147"/>
      <c r="BN169" s="147"/>
      <c r="BO169" s="147"/>
      <c r="BP169" s="147"/>
      <c r="BQ169" s="147"/>
      <c r="BR169" s="147"/>
      <c r="BS169" s="147"/>
      <c r="BT169" s="147"/>
      <c r="BU169" s="147"/>
      <c r="BV169" s="147"/>
    </row>
    <row r="170" spans="1:74">
      <c r="A170" s="162" t="s">
        <v>223</v>
      </c>
      <c r="B170" s="160">
        <f>CF!AE19</f>
        <v>32</v>
      </c>
      <c r="C170" s="161">
        <f>CF!AF19</f>
        <v>-481</v>
      </c>
      <c r="D170" s="161">
        <f>CF!AG19</f>
        <v>-258</v>
      </c>
      <c r="E170" s="161">
        <f>CF!AH19</f>
        <v>49</v>
      </c>
      <c r="F170" s="161">
        <f>CF!AI19</f>
        <v>460</v>
      </c>
      <c r="G170" s="160">
        <f>CF!AJ19</f>
        <v>-230</v>
      </c>
      <c r="H170" s="161">
        <f>CF!AK19</f>
        <v>-718</v>
      </c>
      <c r="I170" s="161">
        <f>CF!AL19</f>
        <v>522</v>
      </c>
      <c r="J170" s="161">
        <f>CF!AM19</f>
        <v>480</v>
      </c>
      <c r="K170" s="161">
        <f>CF!AN19</f>
        <v>781</v>
      </c>
      <c r="L170" s="160">
        <f>CF!AO19</f>
        <v>1065</v>
      </c>
      <c r="M170" s="161">
        <f>CF!AP19</f>
        <v>-194</v>
      </c>
      <c r="N170" s="161">
        <f>CF!AQ19</f>
        <v>-203</v>
      </c>
      <c r="O170" s="161">
        <f>CF!AR19</f>
        <v>428</v>
      </c>
      <c r="P170" s="161">
        <f>CF!AS19</f>
        <v>494</v>
      </c>
      <c r="Q170" s="160">
        <f>CF!AT19</f>
        <v>525</v>
      </c>
      <c r="R170" s="161">
        <f>CF!AU19</f>
        <v>-272</v>
      </c>
      <c r="S170" s="161">
        <f>CF!AV19</f>
        <v>-519</v>
      </c>
      <c r="T170" s="161">
        <f>CF!AW19</f>
        <v>239</v>
      </c>
      <c r="U170" s="161">
        <f>CF!AX19</f>
        <v>261</v>
      </c>
      <c r="V170" s="160">
        <f>CF!AY19</f>
        <v>-291</v>
      </c>
      <c r="W170" s="161">
        <f>CF!AZ19</f>
        <v>-191</v>
      </c>
      <c r="X170" s="161">
        <f>CF!BA19</f>
        <v>90</v>
      </c>
      <c r="Y170" s="161">
        <f>CF!BB19</f>
        <v>-48</v>
      </c>
      <c r="Z170" s="161">
        <f>CF!BC19</f>
        <v>252</v>
      </c>
      <c r="AA170" s="160">
        <f>CF!BD19</f>
        <v>103</v>
      </c>
      <c r="AB170" s="161">
        <f>CF!BE19</f>
        <v>-198</v>
      </c>
      <c r="AC170" s="161">
        <f>CF!BF19</f>
        <v>-66</v>
      </c>
      <c r="AD170" s="161">
        <f>CF!BG19</f>
        <v>-200</v>
      </c>
      <c r="AE170" s="161">
        <f>CF!BH19</f>
        <v>264</v>
      </c>
      <c r="AF170" s="160">
        <f>CF!BI19</f>
        <v>-200</v>
      </c>
      <c r="AG170" s="161">
        <f>CF!BJ19</f>
        <v>-521</v>
      </c>
      <c r="AH170" s="161">
        <f>CF!BK19</f>
        <v>-478</v>
      </c>
      <c r="AI170" s="161">
        <f>CF!BL19</f>
        <v>-398</v>
      </c>
      <c r="AJ170" s="161">
        <f>CF!BM19</f>
        <v>149</v>
      </c>
      <c r="AK170" s="160">
        <f>CF!BN19</f>
        <v>-1248</v>
      </c>
      <c r="AL170" s="161">
        <f>CF!BO19</f>
        <v>-639</v>
      </c>
      <c r="AM170" s="161">
        <f>CF!BP19</f>
        <v>261</v>
      </c>
      <c r="AN170" s="161">
        <f>CF!BQ19</f>
        <v>-966</v>
      </c>
      <c r="AO170" s="161">
        <f>CF!BR19</f>
        <v>841</v>
      </c>
      <c r="AP170" s="160">
        <f>CF!BS19</f>
        <v>-503</v>
      </c>
      <c r="AQ170" s="161">
        <f>CF!BT19</f>
        <v>-640</v>
      </c>
      <c r="AR170" s="161">
        <f>CF!BU19</f>
        <v>3</v>
      </c>
      <c r="AS170" s="161">
        <f>CF!BV19</f>
        <v>-116</v>
      </c>
      <c r="AT170" s="161">
        <f>CF!BW19</f>
        <v>-462</v>
      </c>
      <c r="AU170" s="160">
        <f>CF!BX19</f>
        <v>-1215</v>
      </c>
      <c r="AV170" s="2036">
        <f>CF!BY19</f>
        <v>-475</v>
      </c>
      <c r="AW170" s="2036">
        <f>CF!BZ19</f>
        <v>-79</v>
      </c>
      <c r="AX170" s="2036">
        <f>CF!CA19</f>
        <v>196</v>
      </c>
      <c r="AY170" s="2036">
        <f>CF!CB19</f>
        <v>164.46068508009921</v>
      </c>
      <c r="AZ170" s="160">
        <f>CF!CC19</f>
        <v>-193.53931491990079</v>
      </c>
      <c r="BA170" s="2036">
        <f>CF!CD19</f>
        <v>143.92955194564456</v>
      </c>
      <c r="BB170" s="2036">
        <f>CF!CE19</f>
        <v>-1009.0376321016065</v>
      </c>
      <c r="BC170" s="2036">
        <f>CF!CF19</f>
        <v>588.31592007709878</v>
      </c>
      <c r="BD170" s="2036">
        <f>CF!CG19</f>
        <v>450.16318293477707</v>
      </c>
      <c r="BE170" s="160">
        <f>CF!CH19</f>
        <v>173.37102285591391</v>
      </c>
      <c r="BF170" s="160">
        <f>CF!CI19</f>
        <v>615.19743388769712</v>
      </c>
      <c r="BG170" s="147"/>
      <c r="BH170" s="147"/>
      <c r="BI170" s="147"/>
      <c r="BJ170" s="147"/>
      <c r="BK170" s="147"/>
      <c r="BL170" s="147"/>
      <c r="BM170" s="147"/>
      <c r="BN170" s="147"/>
      <c r="BO170" s="147"/>
      <c r="BP170" s="147"/>
      <c r="BQ170" s="147"/>
      <c r="BR170" s="147"/>
      <c r="BS170" s="147"/>
      <c r="BT170" s="147"/>
      <c r="BU170" s="147"/>
      <c r="BV170" s="147"/>
    </row>
    <row r="171" spans="1:74">
      <c r="A171" s="162" t="s">
        <v>8</v>
      </c>
      <c r="B171" s="160">
        <f>CF!AE14+CF!AE15+CF!AE16+CF!AE17+CF!AE18+CF!AE20</f>
        <v>-99</v>
      </c>
      <c r="C171" s="161">
        <f>CF!AF14+CF!AF15+CF!AF16+CF!AF17+CF!AF18+CF!AF20</f>
        <v>50</v>
      </c>
      <c r="D171" s="161">
        <f>CF!AG14+CF!AG15+CF!AG16+CF!AG17+CF!AG18+CF!AG20</f>
        <v>75</v>
      </c>
      <c r="E171" s="161">
        <f>CF!AH14+CF!AH15+CF!AH16+CF!AH17+CF!AH18+CF!AH20</f>
        <v>191</v>
      </c>
      <c r="F171" s="161">
        <f>CF!AI14+CF!AI15+CF!AI16+CF!AI17+CF!AI18+CF!AI20</f>
        <v>65</v>
      </c>
      <c r="G171" s="160">
        <f>CF!AJ14+CF!AJ15+CF!AJ16+CF!AJ17+CF!AJ18+CF!AJ20</f>
        <v>381</v>
      </c>
      <c r="H171" s="161">
        <f>CF!AK14+CF!AK15+CF!AK16+CF!AK17+CF!AK18+CF!AK20</f>
        <v>172.11500000000001</v>
      </c>
      <c r="I171" s="161">
        <f>CF!AL14+CF!AL15+CF!AL16+CF!AL17+CF!AL18+CF!AL20</f>
        <v>-258.6099999999999</v>
      </c>
      <c r="J171" s="161">
        <f>CF!AM14+CF!AM15+CF!AM16+CF!AM17+CF!AM18+CF!AM20</f>
        <v>-0.32999999999992724</v>
      </c>
      <c r="K171" s="161">
        <f>CF!AN14+CF!AN15+CF!AN16+CF!AN17+CF!AN18+CF!AN20</f>
        <v>-712.41000000000008</v>
      </c>
      <c r="L171" s="160">
        <f>CF!AO14+CF!AO15+CF!AO16+CF!AO17+CF!AO18+CF!AO20</f>
        <v>-799.2349999999999</v>
      </c>
      <c r="M171" s="161">
        <f>CF!AP14+CF!AP15+CF!AP16+CF!AP17+CF!AP18+CF!AP20</f>
        <v>155</v>
      </c>
      <c r="N171" s="161">
        <f>CF!AQ14+CF!AQ15+CF!AQ16+CF!AQ17+CF!AQ18+CF!AQ20</f>
        <v>154</v>
      </c>
      <c r="O171" s="161">
        <f>CF!AR14+CF!AR15+CF!AR16+CF!AR17+CF!AR18+CF!AR20</f>
        <v>-292</v>
      </c>
      <c r="P171" s="161">
        <f>CF!AS14+CF!AS15+CF!AS16+CF!AS17+CF!AS18+CF!AS20</f>
        <v>-365</v>
      </c>
      <c r="Q171" s="160">
        <f>CF!AT14+CF!AT15+CF!AT16+CF!AT17+CF!AT18+CF!AT20</f>
        <v>-348</v>
      </c>
      <c r="R171" s="161">
        <f>CF!AU14+CF!AU15+CF!AU16+CF!AU17+CF!AU18+CF!AU20</f>
        <v>305</v>
      </c>
      <c r="S171" s="161">
        <f>CF!AV14+CF!AV15+CF!AV16+CF!AV17+CF!AV18+CF!AV20</f>
        <v>235</v>
      </c>
      <c r="T171" s="161">
        <f>CF!AW14+CF!AW15+CF!AW16+CF!AW17+CF!AW18+CF!AW20</f>
        <v>57</v>
      </c>
      <c r="U171" s="161">
        <f>CF!AX14+CF!AX15+CF!AX16+CF!AX17+CF!AX18+CF!AX20</f>
        <v>70</v>
      </c>
      <c r="V171" s="160">
        <f>CF!AY14+CF!AY15+CF!AY16+CF!AY17+CF!AY18+CF!AY20</f>
        <v>667</v>
      </c>
      <c r="W171" s="161">
        <f>CF!AZ14+CF!AZ15+CF!AZ16+CF!AZ17+CF!AZ18+CF!AZ20</f>
        <v>-4</v>
      </c>
      <c r="X171" s="161">
        <f>CF!BA14+CF!BA15+CF!BA16+CF!BA17+CF!BA18+CF!BA20</f>
        <v>-145</v>
      </c>
      <c r="Y171" s="161">
        <f>CF!BB14+CF!BB15+CF!BB16+CF!BB17+CF!BB18+CF!BB20</f>
        <v>6</v>
      </c>
      <c r="Z171" s="161">
        <f>CF!BC14+CF!BC15+CF!BC16+CF!BC17+CF!BC18+CF!BC20</f>
        <v>281</v>
      </c>
      <c r="AA171" s="160">
        <f>CF!BD14+CF!BD15+CF!BD16+CF!BD17+CF!BD18+CF!BD20</f>
        <v>138</v>
      </c>
      <c r="AB171" s="161">
        <f>CF!BE14+CF!BE15+CF!BE16+CF!BE17+CF!BE18+CF!BE20</f>
        <v>-107</v>
      </c>
      <c r="AC171" s="161">
        <f>CF!BF14+CF!BF15+CF!BF16+CF!BF17+CF!BF18+CF!BF20</f>
        <v>14</v>
      </c>
      <c r="AD171" s="161">
        <f>CF!BG14+CF!BG15+CF!BG16+CF!BG17+CF!BG18+CF!BG20</f>
        <v>-124</v>
      </c>
      <c r="AE171" s="161">
        <f>CF!BH14+CF!BH15+CF!BH16+CF!BH17+CF!BH18+CF!BH20</f>
        <v>414</v>
      </c>
      <c r="AF171" s="160">
        <f>CF!BI14+CF!BI15+CF!BI16+CF!BI17+CF!BI18+CF!BI20</f>
        <v>197</v>
      </c>
      <c r="AG171" s="161">
        <f>CF!BJ14+CF!BJ15+CF!BJ16+CF!BJ17+CF!BJ18+CF!BJ20</f>
        <v>176</v>
      </c>
      <c r="AH171" s="161">
        <f>CF!BK14+CF!BK15+CF!BK16+CF!BK17+CF!BK18+CF!BK20</f>
        <v>72</v>
      </c>
      <c r="AI171" s="161">
        <f>CF!BL14+CF!BL15+CF!BL16+CF!BL17+CF!BL18+CF!BL20</f>
        <v>9</v>
      </c>
      <c r="AJ171" s="161">
        <f>CF!BM14+CF!BM15+CF!BM16+CF!BM17+CF!BM18+CF!BM20</f>
        <v>199</v>
      </c>
      <c r="AK171" s="160">
        <f>CF!BN14+CF!BN15+CF!BN16+CF!BN17+CF!BN18+CF!BN20</f>
        <v>456</v>
      </c>
      <c r="AL171" s="161">
        <f>CF!BO14+CF!BO15+CF!BO16+CF!BO17+CF!BO18+CF!BO20</f>
        <v>125.15230089920806</v>
      </c>
      <c r="AM171" s="161">
        <f>CF!BP14+CF!BP15+CF!BP16+CF!BP17+CF!BP18+CF!BP20</f>
        <v>-650.15230089920806</v>
      </c>
      <c r="AN171" s="161">
        <f>CF!BQ14+CF!BQ15+CF!BQ16+CF!BQ17+CF!BQ18+CF!BQ20</f>
        <v>75</v>
      </c>
      <c r="AO171" s="161">
        <f>CF!BR14+CF!BR15+CF!BR16+CF!BR17+CF!BR18+CF!BR20</f>
        <v>1607</v>
      </c>
      <c r="AP171" s="160">
        <f>CF!BS14+CF!BS15+CF!BS16+CF!BS17+CF!BS18+CF!BS20</f>
        <v>1157</v>
      </c>
      <c r="AQ171" s="161">
        <f>CF!BT14+CF!BT15+CF!BT16+CF!BT17+CF!BT18+CF!BT20</f>
        <v>-211</v>
      </c>
      <c r="AR171" s="161">
        <f>CF!BU14+CF!BU15+CF!BU16+CF!BU17+CF!BU18+CF!BU20</f>
        <v>-141</v>
      </c>
      <c r="AS171" s="161">
        <f>CF!BV14+CF!BV15+CF!BV16+CF!BV17+CF!BV18+CF!BV20</f>
        <v>128</v>
      </c>
      <c r="AT171" s="161">
        <f>CF!BW14+CF!BW15+CF!BW16+CF!BW17+CF!BW18+CF!BW20</f>
        <v>777</v>
      </c>
      <c r="AU171" s="160">
        <f>CF!BX14+CF!BX15+CF!BX16+CF!BX17+CF!BX18+CF!BX20</f>
        <v>553</v>
      </c>
      <c r="AV171" s="2036">
        <f>CF!BY14+CF!BY15+CF!BY16+CF!BY17+CF!BY18+CF!BY20</f>
        <v>-430</v>
      </c>
      <c r="AW171" s="2036">
        <f>CF!BZ14+CF!BZ15+CF!BZ16+CF!BZ17+CF!BZ18+CF!BZ20</f>
        <v>259</v>
      </c>
      <c r="AX171" s="2036">
        <f>CF!CA14+CF!CA15+CF!CA16+CF!CA17+CF!CA18+CF!CA20</f>
        <v>-2098</v>
      </c>
      <c r="AY171" s="2036">
        <f>CF!CB14+CF!CB15+CF!CB16+CF!CB17+CF!CB18+CF!CB20</f>
        <v>368.05371823840574</v>
      </c>
      <c r="AZ171" s="160">
        <f>CF!CC14+CF!CC15+CF!CC16+CF!CC17+CF!CC18+CF!CC20</f>
        <v>-1900.9462817615943</v>
      </c>
      <c r="BA171" s="2036">
        <f>CF!CD14+CF!CD15+CF!CD16+CF!CD17+CF!CD18+CF!CD20</f>
        <v>-916.64792543988369</v>
      </c>
      <c r="BB171" s="2036">
        <f>CF!CE14+CF!CE15+CF!CE16+CF!CE17+CF!CE18+CF!CE20</f>
        <v>850.68950267282821</v>
      </c>
      <c r="BC171" s="2036">
        <f>CF!CF14+CF!CF15+CF!CF16+CF!CF17+CF!CF18+CF!CF20</f>
        <v>-488.90875430003456</v>
      </c>
      <c r="BD171" s="2036">
        <f>CF!CG14+CF!CG15+CF!CG16+CF!CG17+CF!CG18+CF!CG20</f>
        <v>119.26213452410497</v>
      </c>
      <c r="BE171" s="160">
        <f>CF!CH14+CF!CH15+CF!CH16+CF!CH17+CF!CH18+CF!CH20</f>
        <v>-435.52892587854825</v>
      </c>
      <c r="BF171" s="160">
        <f>CF!CI14+CF!CI15+CF!CI16+CF!CI17+CF!CI18+CF!CI20</f>
        <v>-418.45903488782125</v>
      </c>
      <c r="BG171" s="147"/>
      <c r="BH171" s="147"/>
      <c r="BI171" s="147"/>
      <c r="BJ171" s="147"/>
      <c r="BK171" s="147"/>
      <c r="BL171" s="147"/>
      <c r="BM171" s="147"/>
      <c r="BN171" s="147"/>
      <c r="BO171" s="147"/>
      <c r="BP171" s="147"/>
      <c r="BQ171" s="147"/>
      <c r="BR171" s="147"/>
      <c r="BS171" s="147"/>
      <c r="BT171" s="147"/>
      <c r="BU171" s="147"/>
      <c r="BV171" s="147"/>
    </row>
    <row r="172" spans="1:74">
      <c r="A172" s="165" t="s">
        <v>104</v>
      </c>
      <c r="B172" s="176">
        <f t="shared" ref="B172:AZ172" si="64">SUM(B168:B171)</f>
        <v>5330</v>
      </c>
      <c r="C172" s="177">
        <f t="shared" si="64"/>
        <v>888</v>
      </c>
      <c r="D172" s="177">
        <f t="shared" si="64"/>
        <v>1418</v>
      </c>
      <c r="E172" s="177">
        <f t="shared" si="64"/>
        <v>1835</v>
      </c>
      <c r="F172" s="177">
        <f t="shared" si="64"/>
        <v>2020</v>
      </c>
      <c r="G172" s="176">
        <f t="shared" si="64"/>
        <v>6161</v>
      </c>
      <c r="H172" s="177">
        <f t="shared" si="64"/>
        <v>485</v>
      </c>
      <c r="I172" s="177">
        <f t="shared" si="64"/>
        <v>1540</v>
      </c>
      <c r="J172" s="177">
        <f t="shared" si="64"/>
        <v>1853</v>
      </c>
      <c r="K172" s="177">
        <f t="shared" si="64"/>
        <v>1474.9999999999998</v>
      </c>
      <c r="L172" s="176">
        <f t="shared" si="64"/>
        <v>5353</v>
      </c>
      <c r="M172" s="177">
        <f t="shared" si="64"/>
        <v>1154</v>
      </c>
      <c r="N172" s="177">
        <f t="shared" si="64"/>
        <v>1400</v>
      </c>
      <c r="O172" s="177">
        <f t="shared" si="64"/>
        <v>1676</v>
      </c>
      <c r="P172" s="177">
        <f t="shared" si="64"/>
        <v>1676</v>
      </c>
      <c r="Q172" s="176">
        <f t="shared" si="64"/>
        <v>5906</v>
      </c>
      <c r="R172" s="177">
        <f t="shared" si="64"/>
        <v>1320</v>
      </c>
      <c r="S172" s="177">
        <f t="shared" si="64"/>
        <v>1323</v>
      </c>
      <c r="T172" s="177">
        <f t="shared" si="64"/>
        <v>1907</v>
      </c>
      <c r="U172" s="177">
        <f t="shared" si="64"/>
        <v>1910</v>
      </c>
      <c r="V172" s="176">
        <f t="shared" si="64"/>
        <v>6460</v>
      </c>
      <c r="W172" s="177">
        <f t="shared" si="64"/>
        <v>1312</v>
      </c>
      <c r="X172" s="177">
        <f t="shared" si="64"/>
        <v>1714</v>
      </c>
      <c r="Y172" s="177">
        <f t="shared" si="64"/>
        <v>1625</v>
      </c>
      <c r="Z172" s="177">
        <f t="shared" si="64"/>
        <v>1954</v>
      </c>
      <c r="AA172" s="176">
        <f t="shared" si="64"/>
        <v>6605</v>
      </c>
      <c r="AB172" s="177">
        <f t="shared" si="64"/>
        <v>1409</v>
      </c>
      <c r="AC172" s="177">
        <f t="shared" si="64"/>
        <v>1939</v>
      </c>
      <c r="AD172" s="177">
        <f t="shared" si="64"/>
        <v>1543</v>
      </c>
      <c r="AE172" s="177">
        <f t="shared" si="64"/>
        <v>2613</v>
      </c>
      <c r="AF172" s="176">
        <f t="shared" si="64"/>
        <v>7504</v>
      </c>
      <c r="AG172" s="177">
        <f t="shared" si="64"/>
        <v>1335</v>
      </c>
      <c r="AH172" s="177">
        <f t="shared" si="64"/>
        <v>1742</v>
      </c>
      <c r="AI172" s="177">
        <f t="shared" si="64"/>
        <v>1948</v>
      </c>
      <c r="AJ172" s="177">
        <f t="shared" si="64"/>
        <v>2310</v>
      </c>
      <c r="AK172" s="176">
        <f t="shared" si="64"/>
        <v>7335</v>
      </c>
      <c r="AL172" s="177">
        <f t="shared" si="64"/>
        <v>1310</v>
      </c>
      <c r="AM172" s="177">
        <f t="shared" si="64"/>
        <v>1536</v>
      </c>
      <c r="AN172" s="177">
        <f t="shared" si="64"/>
        <v>1021</v>
      </c>
      <c r="AO172" s="177">
        <f t="shared" si="64"/>
        <v>2654</v>
      </c>
      <c r="AP172" s="176">
        <f t="shared" si="64"/>
        <v>6521</v>
      </c>
      <c r="AQ172" s="177">
        <f t="shared" si="64"/>
        <v>795</v>
      </c>
      <c r="AR172" s="177">
        <f t="shared" si="64"/>
        <v>1776</v>
      </c>
      <c r="AS172" s="177">
        <f t="shared" si="64"/>
        <v>1951</v>
      </c>
      <c r="AT172" s="177">
        <f t="shared" si="64"/>
        <v>1845</v>
      </c>
      <c r="AU172" s="176">
        <f t="shared" si="64"/>
        <v>6367</v>
      </c>
      <c r="AV172" s="2040">
        <f>SUM(AV168:AV171)</f>
        <v>993</v>
      </c>
      <c r="AW172" s="2040">
        <f>SUM(AW168:AW171)</f>
        <v>2146</v>
      </c>
      <c r="AX172" s="2040">
        <f>SUM(AX168:AX171)</f>
        <v>-29</v>
      </c>
      <c r="AY172" s="2040">
        <f>SUM(AY168:AY171)</f>
        <v>2225.7575258687834</v>
      </c>
      <c r="AZ172" s="176">
        <f t="shared" si="64"/>
        <v>5335.7575258687839</v>
      </c>
      <c r="BA172" s="2040">
        <f t="shared" ref="BA172:BF172" si="65">SUM(BA168:BA171)</f>
        <v>918.07419526866897</v>
      </c>
      <c r="BB172" s="2040">
        <f t="shared" si="65"/>
        <v>1818.9436180529933</v>
      </c>
      <c r="BC172" s="2040">
        <f t="shared" si="65"/>
        <v>2093.6436640093211</v>
      </c>
      <c r="BD172" s="2040">
        <f t="shared" si="65"/>
        <v>2360.4171804692924</v>
      </c>
      <c r="BE172" s="176">
        <f t="shared" si="65"/>
        <v>7191.0786578002817</v>
      </c>
      <c r="BF172" s="176">
        <f t="shared" si="65"/>
        <v>8390.1519296867973</v>
      </c>
      <c r="BG172" s="147"/>
      <c r="BH172" s="147"/>
      <c r="BI172" s="147"/>
      <c r="BJ172" s="147"/>
      <c r="BK172" s="147"/>
      <c r="BL172" s="147"/>
      <c r="BM172" s="147"/>
      <c r="BN172" s="147"/>
      <c r="BO172" s="147"/>
      <c r="BP172" s="147"/>
      <c r="BQ172" s="147"/>
      <c r="BR172" s="147"/>
      <c r="BS172" s="147"/>
      <c r="BT172" s="147"/>
      <c r="BU172" s="147"/>
      <c r="BV172" s="147"/>
    </row>
    <row r="173" spans="1:74">
      <c r="A173" s="147"/>
      <c r="B173" s="157"/>
      <c r="C173" s="147"/>
      <c r="D173" s="147"/>
      <c r="E173" s="147"/>
      <c r="F173" s="147"/>
      <c r="G173" s="157"/>
      <c r="H173" s="147"/>
      <c r="I173" s="147"/>
      <c r="J173" s="147"/>
      <c r="K173" s="147"/>
      <c r="L173" s="157"/>
      <c r="M173" s="147"/>
      <c r="N173" s="147"/>
      <c r="O173" s="147"/>
      <c r="P173" s="147"/>
      <c r="Q173" s="157"/>
      <c r="R173" s="147"/>
      <c r="S173" s="147"/>
      <c r="T173" s="147"/>
      <c r="U173" s="147"/>
      <c r="V173" s="157"/>
      <c r="W173" s="147"/>
      <c r="X173" s="147"/>
      <c r="Y173" s="147"/>
      <c r="Z173" s="147"/>
      <c r="AA173" s="157"/>
      <c r="AB173" s="147"/>
      <c r="AC173" s="147"/>
      <c r="AD173" s="147"/>
      <c r="AE173" s="147"/>
      <c r="AF173" s="157"/>
      <c r="AG173" s="147"/>
      <c r="AH173" s="147"/>
      <c r="AI173" s="147"/>
      <c r="AJ173" s="147"/>
      <c r="AK173" s="157"/>
      <c r="AL173" s="147"/>
      <c r="AM173" s="147"/>
      <c r="AN173" s="147"/>
      <c r="AO173" s="147"/>
      <c r="AP173" s="157"/>
      <c r="AQ173" s="147"/>
      <c r="AR173" s="147"/>
      <c r="AS173" s="147"/>
      <c r="AT173" s="147"/>
      <c r="AU173" s="157"/>
      <c r="AV173" s="2030"/>
      <c r="AW173" s="2030"/>
      <c r="AX173" s="2030"/>
      <c r="AY173" s="2030"/>
      <c r="AZ173" s="157"/>
      <c r="BA173" s="2030"/>
      <c r="BB173" s="2030"/>
      <c r="BC173" s="2030"/>
      <c r="BD173" s="2030"/>
      <c r="BE173" s="157"/>
      <c r="BF173" s="157"/>
      <c r="BG173" s="147"/>
      <c r="BH173" s="147"/>
      <c r="BI173" s="147"/>
      <c r="BJ173" s="147"/>
      <c r="BK173" s="147"/>
      <c r="BL173" s="147"/>
      <c r="BM173" s="147"/>
      <c r="BN173" s="147"/>
      <c r="BO173" s="147"/>
      <c r="BP173" s="147"/>
      <c r="BQ173" s="147"/>
      <c r="BR173" s="147"/>
      <c r="BS173" s="147"/>
      <c r="BT173" s="147"/>
      <c r="BU173" s="147"/>
      <c r="BV173" s="147"/>
    </row>
    <row r="174" spans="1:74">
      <c r="A174" s="175" t="s">
        <v>222</v>
      </c>
      <c r="B174" s="151">
        <f>CF!AE23</f>
        <v>-1153</v>
      </c>
      <c r="C174" s="152">
        <f>CF!AF23</f>
        <v>-237</v>
      </c>
      <c r="D174" s="152">
        <f>CF!AG23</f>
        <v>-305</v>
      </c>
      <c r="E174" s="152">
        <f>CF!AH23</f>
        <v>-268</v>
      </c>
      <c r="F174" s="152">
        <f>CF!AI23</f>
        <v>-406</v>
      </c>
      <c r="G174" s="151">
        <f>CF!AJ23</f>
        <v>-1216</v>
      </c>
      <c r="H174" s="152">
        <f>CF!AK23</f>
        <v>-167</v>
      </c>
      <c r="I174" s="152">
        <f>CF!AL23</f>
        <v>-173</v>
      </c>
      <c r="J174" s="152">
        <f>CF!AM23</f>
        <v>-161</v>
      </c>
      <c r="K174" s="152">
        <f>CF!AN23</f>
        <v>-325</v>
      </c>
      <c r="L174" s="151">
        <f>CF!AO23</f>
        <v>-826</v>
      </c>
      <c r="M174" s="152">
        <f>CF!AP23</f>
        <v>-147</v>
      </c>
      <c r="N174" s="152">
        <f>CF!AQ23</f>
        <v>-155</v>
      </c>
      <c r="O174" s="152">
        <f>CF!AR23</f>
        <v>-177</v>
      </c>
      <c r="P174" s="152">
        <f>CF!AS23</f>
        <v>-386</v>
      </c>
      <c r="Q174" s="151">
        <f>CF!AT23</f>
        <v>-865</v>
      </c>
      <c r="R174" s="152">
        <f>CF!AU23</f>
        <v>-171</v>
      </c>
      <c r="S174" s="152">
        <f>CF!AV23</f>
        <v>-200</v>
      </c>
      <c r="T174" s="152">
        <f>CF!AW23</f>
        <v>-199</v>
      </c>
      <c r="U174" s="152">
        <f>CF!AX23</f>
        <v>-359</v>
      </c>
      <c r="V174" s="151">
        <f>CF!AY23</f>
        <v>-929</v>
      </c>
      <c r="W174" s="152">
        <f>CF!AZ23</f>
        <v>-188</v>
      </c>
      <c r="X174" s="152">
        <f>CF!BA23</f>
        <v>-243</v>
      </c>
      <c r="Y174" s="152">
        <f>CF!BB23</f>
        <v>-317</v>
      </c>
      <c r="Z174" s="152">
        <f>CF!BC23</f>
        <v>-641</v>
      </c>
      <c r="AA174" s="151">
        <f>CF!BD23</f>
        <v>-1389</v>
      </c>
      <c r="AB174" s="152">
        <f>CF!BE23</f>
        <v>-295</v>
      </c>
      <c r="AC174" s="152">
        <f>CF!BF23</f>
        <v>-369</v>
      </c>
      <c r="AD174" s="152">
        <f>CF!BG23</f>
        <v>-383</v>
      </c>
      <c r="AE174" s="152">
        <f>CF!BH23</f>
        <v>-641</v>
      </c>
      <c r="AF174" s="151">
        <f>CF!BI23</f>
        <v>-1688</v>
      </c>
      <c r="AG174" s="152">
        <f>CF!BJ23</f>
        <v>-333</v>
      </c>
      <c r="AH174" s="152">
        <f>CF!BK23</f>
        <v>-406</v>
      </c>
      <c r="AI174" s="152">
        <f>CF!BL23</f>
        <v>-415</v>
      </c>
      <c r="AJ174" s="152">
        <f>CF!BM23</f>
        <v>-557</v>
      </c>
      <c r="AK174" s="151">
        <f>CF!BN23</f>
        <v>-1711</v>
      </c>
      <c r="AL174" s="152">
        <f>CF!BO23</f>
        <v>-348</v>
      </c>
      <c r="AM174" s="152">
        <f>CF!BP23</f>
        <v>-358</v>
      </c>
      <c r="AN174" s="152">
        <f>CF!BQ23</f>
        <v>-390</v>
      </c>
      <c r="AO174" s="152">
        <f>CF!BR23</f>
        <v>-608</v>
      </c>
      <c r="AP174" s="151">
        <f>CF!BS23</f>
        <v>-1704</v>
      </c>
      <c r="AQ174" s="152">
        <f>CF!BT23</f>
        <v>-286</v>
      </c>
      <c r="AR174" s="152">
        <f>CF!BU23</f>
        <v>-363</v>
      </c>
      <c r="AS174" s="152">
        <f>CF!BV23</f>
        <v>-394</v>
      </c>
      <c r="AT174" s="152">
        <f>CF!BW23</f>
        <v>-656</v>
      </c>
      <c r="AU174" s="151">
        <f>CF!BX23</f>
        <v>-1699</v>
      </c>
      <c r="AV174" s="2032">
        <f>CF!BY23</f>
        <v>-325</v>
      </c>
      <c r="AW174" s="2032">
        <f>CF!BZ23</f>
        <v>-446</v>
      </c>
      <c r="AX174" s="2032">
        <f>CF!CA23</f>
        <v>-443</v>
      </c>
      <c r="AY174" s="2032">
        <f>CF!CB23</f>
        <v>-459.7893642859608</v>
      </c>
      <c r="AZ174" s="151">
        <f>CF!CC23</f>
        <v>-1673.7893642859606</v>
      </c>
      <c r="BA174" s="2032">
        <f>CF!CD23</f>
        <v>-433.02519047101589</v>
      </c>
      <c r="BB174" s="2032">
        <f>CF!CE23</f>
        <v>-433.02519047101589</v>
      </c>
      <c r="BC174" s="2032">
        <f>CF!CF23</f>
        <v>-433.02519047101589</v>
      </c>
      <c r="BD174" s="2032">
        <f>CF!CG23</f>
        <v>-433.02519047101589</v>
      </c>
      <c r="BE174" s="151">
        <f>CF!CH23</f>
        <v>-1732.1007618840636</v>
      </c>
      <c r="BF174" s="151">
        <f>CF!CI23</f>
        <v>-1679.3050242212528</v>
      </c>
      <c r="BG174" s="147"/>
      <c r="BH174" s="147"/>
      <c r="BI174" s="147"/>
      <c r="BJ174" s="2282"/>
      <c r="BK174" s="147"/>
      <c r="BL174" s="147"/>
      <c r="BM174" s="147"/>
      <c r="BN174" s="147"/>
      <c r="BO174" s="147"/>
      <c r="BP174" s="147"/>
      <c r="BQ174" s="147"/>
      <c r="BR174" s="147"/>
      <c r="BS174" s="147"/>
      <c r="BT174" s="147"/>
      <c r="BU174" s="147"/>
      <c r="BV174" s="147"/>
    </row>
    <row r="175" spans="1:74">
      <c r="A175" s="174" t="s">
        <v>135</v>
      </c>
      <c r="B175" s="172">
        <f>CF!AE25</f>
        <v>4177</v>
      </c>
      <c r="C175" s="173">
        <f>CF!AF25</f>
        <v>651</v>
      </c>
      <c r="D175" s="173">
        <f>CF!AG25</f>
        <v>1113</v>
      </c>
      <c r="E175" s="173">
        <f>CF!AH25</f>
        <v>1567</v>
      </c>
      <c r="F175" s="173">
        <f>CF!AI25</f>
        <v>1614</v>
      </c>
      <c r="G175" s="172">
        <f>CF!AJ25</f>
        <v>4945</v>
      </c>
      <c r="H175" s="173">
        <f>CF!AK25</f>
        <v>318</v>
      </c>
      <c r="I175" s="173">
        <f>CF!AL25</f>
        <v>1367</v>
      </c>
      <c r="J175" s="173">
        <f>CF!AM25</f>
        <v>1692</v>
      </c>
      <c r="K175" s="173">
        <f>CF!AN25</f>
        <v>1150</v>
      </c>
      <c r="L175" s="172">
        <f>CF!AO25</f>
        <v>4527</v>
      </c>
      <c r="M175" s="173">
        <f>CF!AP25</f>
        <v>1007</v>
      </c>
      <c r="N175" s="173">
        <f>CF!AQ25</f>
        <v>1245</v>
      </c>
      <c r="O175" s="173">
        <f>CF!AR25</f>
        <v>1499</v>
      </c>
      <c r="P175" s="173">
        <f>CF!AS25</f>
        <v>1290</v>
      </c>
      <c r="Q175" s="172">
        <f>CF!AT25</f>
        <v>5041</v>
      </c>
      <c r="R175" s="173">
        <f>CF!AU25</f>
        <v>1149</v>
      </c>
      <c r="S175" s="173">
        <f>CF!AV25</f>
        <v>1123</v>
      </c>
      <c r="T175" s="173">
        <f>CF!AW25</f>
        <v>1708</v>
      </c>
      <c r="U175" s="173">
        <f>CF!AX25</f>
        <v>1551</v>
      </c>
      <c r="V175" s="172">
        <f>CF!AY25</f>
        <v>5531</v>
      </c>
      <c r="W175" s="173">
        <f>CF!AZ25</f>
        <v>1124</v>
      </c>
      <c r="X175" s="173">
        <f>CF!BA25</f>
        <v>1471</v>
      </c>
      <c r="Y175" s="173">
        <f>CF!BB25</f>
        <v>1308</v>
      </c>
      <c r="Z175" s="173">
        <f>CF!BC25</f>
        <v>1313</v>
      </c>
      <c r="AA175" s="172">
        <f>CF!BD25</f>
        <v>5216</v>
      </c>
      <c r="AB175" s="173">
        <f>CF!BE25</f>
        <v>1114</v>
      </c>
      <c r="AC175" s="173">
        <f>CF!BF25</f>
        <v>1570</v>
      </c>
      <c r="AD175" s="173">
        <f>CF!BG25</f>
        <v>1160</v>
      </c>
      <c r="AE175" s="173">
        <f>CF!BH25</f>
        <v>1972</v>
      </c>
      <c r="AF175" s="172">
        <f>CF!BI25</f>
        <v>5816</v>
      </c>
      <c r="AG175" s="173">
        <f>CF!BJ25</f>
        <v>1002</v>
      </c>
      <c r="AH175" s="173">
        <f>CF!BK25</f>
        <v>1336</v>
      </c>
      <c r="AI175" s="173">
        <f>CF!BL25</f>
        <v>1533</v>
      </c>
      <c r="AJ175" s="173">
        <f>CF!BM25</f>
        <v>1753</v>
      </c>
      <c r="AK175" s="172">
        <f>CF!BN25</f>
        <v>5624</v>
      </c>
      <c r="AL175" s="173">
        <f>CF!BO25</f>
        <v>962</v>
      </c>
      <c r="AM175" s="173">
        <f>CF!BP25</f>
        <v>1178</v>
      </c>
      <c r="AN175" s="173">
        <f>CF!BQ25</f>
        <v>631</v>
      </c>
      <c r="AO175" s="173">
        <f>CF!BR25</f>
        <v>2046</v>
      </c>
      <c r="AP175" s="172">
        <f>CF!BS25</f>
        <v>4817</v>
      </c>
      <c r="AQ175" s="173">
        <f>CF!BT25</f>
        <v>509</v>
      </c>
      <c r="AR175" s="173">
        <f>CF!BU25</f>
        <v>1413</v>
      </c>
      <c r="AS175" s="173">
        <f>CF!BV25</f>
        <v>1557</v>
      </c>
      <c r="AT175" s="173">
        <f>CF!BW25</f>
        <v>1189</v>
      </c>
      <c r="AU175" s="172">
        <f>CF!BX25</f>
        <v>4713</v>
      </c>
      <c r="AV175" s="2039">
        <f>CF!BY25</f>
        <v>668</v>
      </c>
      <c r="AW175" s="2039">
        <f>CF!BZ25</f>
        <v>1700</v>
      </c>
      <c r="AX175" s="2039">
        <f>CF!CA25</f>
        <v>-472</v>
      </c>
      <c r="AY175" s="2039">
        <f>CF!CB25</f>
        <v>1765.9681615828226</v>
      </c>
      <c r="AZ175" s="172">
        <f>CF!CC25</f>
        <v>3661.9681615828222</v>
      </c>
      <c r="BA175" s="2039">
        <f>CF!CD25</f>
        <v>485.04900479765308</v>
      </c>
      <c r="BB175" s="2039">
        <f>CF!CE25</f>
        <v>1385.9184275819775</v>
      </c>
      <c r="BC175" s="2039">
        <f>CF!CF25</f>
        <v>1660.6184735383054</v>
      </c>
      <c r="BD175" s="2039">
        <f>CF!CG25</f>
        <v>1927.3919899982766</v>
      </c>
      <c r="BE175" s="172">
        <f>CF!CH25</f>
        <v>5458.9778959162177</v>
      </c>
      <c r="BF175" s="172">
        <f>CF!CI25</f>
        <v>6710.8469054655443</v>
      </c>
      <c r="BG175" s="147"/>
      <c r="BH175" s="147"/>
      <c r="BI175" s="147"/>
      <c r="BJ175" s="147"/>
      <c r="BK175" s="147"/>
      <c r="BL175" s="147"/>
      <c r="BM175" s="147"/>
      <c r="BN175" s="147"/>
      <c r="BO175" s="147"/>
      <c r="BP175" s="147"/>
      <c r="BQ175" s="147"/>
      <c r="BR175" s="147"/>
      <c r="BS175" s="147"/>
      <c r="BT175" s="147"/>
      <c r="BU175" s="147"/>
      <c r="BV175" s="147"/>
    </row>
    <row r="176" spans="1:74" s="167" customFormat="1">
      <c r="A176" s="171" t="s">
        <v>32</v>
      </c>
      <c r="B176" s="169">
        <f t="shared" ref="B176:Z176" si="66">B175/B10</f>
        <v>7.6279698314432334E-2</v>
      </c>
      <c r="C176" s="170">
        <f t="shared" si="66"/>
        <v>4.6639919759277837E-2</v>
      </c>
      <c r="D176" s="170">
        <f t="shared" si="66"/>
        <v>6.9806823883592578E-2</v>
      </c>
      <c r="E176" s="170">
        <f t="shared" si="66"/>
        <v>0.1038780245276765</v>
      </c>
      <c r="F176" s="170">
        <f t="shared" si="66"/>
        <v>0.10927555856465809</v>
      </c>
      <c r="G176" s="169">
        <f t="shared" si="66"/>
        <v>8.2751811503254849E-2</v>
      </c>
      <c r="H176" s="170">
        <f t="shared" si="66"/>
        <v>2.6067710468071152E-2</v>
      </c>
      <c r="I176" s="170">
        <f t="shared" si="66"/>
        <v>0.1046707503828484</v>
      </c>
      <c r="J176" s="170">
        <f t="shared" si="66"/>
        <v>0.12830818230075075</v>
      </c>
      <c r="K176" s="170">
        <f t="shared" si="66"/>
        <v>8.2266256527648615E-2</v>
      </c>
      <c r="L176" s="169">
        <f t="shared" si="66"/>
        <v>8.6351931330472101E-2</v>
      </c>
      <c r="M176" s="170">
        <f t="shared" si="66"/>
        <v>8.3637873754152825E-2</v>
      </c>
      <c r="N176" s="170">
        <f t="shared" si="66"/>
        <v>9.0204318214751486E-2</v>
      </c>
      <c r="O176" s="170">
        <f t="shared" si="66"/>
        <v>0.11005873715124817</v>
      </c>
      <c r="P176" s="170">
        <f t="shared" si="66"/>
        <v>8.6786867599569426E-2</v>
      </c>
      <c r="Q176" s="169">
        <f t="shared" si="66"/>
        <v>9.2791665132717305E-2</v>
      </c>
      <c r="R176" s="170">
        <f t="shared" si="66"/>
        <v>9.0665193718930004E-2</v>
      </c>
      <c r="S176" s="170">
        <f t="shared" si="66"/>
        <v>7.7614209689681385E-2</v>
      </c>
      <c r="T176" s="170">
        <f t="shared" si="66"/>
        <v>0.11998595012293642</v>
      </c>
      <c r="U176" s="170">
        <f t="shared" si="66"/>
        <v>0.10788064269319052</v>
      </c>
      <c r="V176" s="169">
        <f t="shared" si="66"/>
        <v>9.9203644581554687E-2</v>
      </c>
      <c r="W176" s="170">
        <f t="shared" si="66"/>
        <v>9.0528350515463915E-2</v>
      </c>
      <c r="X176" s="170">
        <f t="shared" si="66"/>
        <v>0.10654016078800609</v>
      </c>
      <c r="Y176" s="170">
        <f t="shared" si="66"/>
        <v>8.6956521739130432E-2</v>
      </c>
      <c r="Z176" s="170">
        <f t="shared" si="66"/>
        <v>7.9851608587240774E-2</v>
      </c>
      <c r="AA176" s="169">
        <f t="shared" ref="AA176:AZ176" si="67">AA175/AA47</f>
        <v>1.0776859504132232</v>
      </c>
      <c r="AB176" s="170">
        <f t="shared" si="67"/>
        <v>0.87716535433070864</v>
      </c>
      <c r="AC176" s="170">
        <f t="shared" si="67"/>
        <v>1.0115979381443299</v>
      </c>
      <c r="AD176" s="170">
        <f t="shared" si="67"/>
        <v>0.81978798586572443</v>
      </c>
      <c r="AE176" s="170">
        <f t="shared" si="67"/>
        <v>1.3609385783298826</v>
      </c>
      <c r="AF176" s="169">
        <f t="shared" si="67"/>
        <v>1.0228631727048891</v>
      </c>
      <c r="AG176" s="170">
        <f t="shared" si="67"/>
        <v>0.82605111294311628</v>
      </c>
      <c r="AH176" s="170">
        <f t="shared" si="67"/>
        <v>0.79523809523809519</v>
      </c>
      <c r="AI176" s="170">
        <f t="shared" si="67"/>
        <v>0.82686084142394822</v>
      </c>
      <c r="AJ176" s="170">
        <f t="shared" si="67"/>
        <v>1.1900882552613714</v>
      </c>
      <c r="AK176" s="169">
        <f t="shared" si="67"/>
        <v>0.9041800643086817</v>
      </c>
      <c r="AL176" s="170">
        <f t="shared" si="67"/>
        <v>0.70386467067620762</v>
      </c>
      <c r="AM176" s="170">
        <f t="shared" si="67"/>
        <v>0.80285702602129139</v>
      </c>
      <c r="AN176" s="170">
        <f t="shared" si="67"/>
        <v>0.44249649368863953</v>
      </c>
      <c r="AO176" s="170">
        <f t="shared" si="67"/>
        <v>-7.9921875</v>
      </c>
      <c r="AP176" s="169">
        <f t="shared" si="67"/>
        <v>1.203046953046953</v>
      </c>
      <c r="AQ176" s="170">
        <f t="shared" si="67"/>
        <v>0.43135593220338986</v>
      </c>
      <c r="AR176" s="170">
        <f t="shared" si="67"/>
        <v>0.99507042253521127</v>
      </c>
      <c r="AS176" s="170">
        <f t="shared" si="67"/>
        <v>1.0790020790020789</v>
      </c>
      <c r="AT176" s="170">
        <f t="shared" si="67"/>
        <v>1.1611328125</v>
      </c>
      <c r="AU176" s="169">
        <f t="shared" si="67"/>
        <v>0.93013617525162817</v>
      </c>
      <c r="AV176" s="2038">
        <f>AV175/AV47</f>
        <v>0.48196248196248198</v>
      </c>
      <c r="AW176" s="2038">
        <f>AW175/AW47</f>
        <v>1.1813759555246699</v>
      </c>
      <c r="AX176" s="2038">
        <f>AX175/AX47</f>
        <v>-0.35488721804511281</v>
      </c>
      <c r="AY176" s="2038">
        <f>AY175/AY47</f>
        <v>1.5053507863286577</v>
      </c>
      <c r="AZ176" s="169">
        <f t="shared" si="67"/>
        <v>0.68728991048557697</v>
      </c>
      <c r="BA176" s="2038">
        <f t="shared" ref="BA176:BF176" si="68">BA175/BA47</f>
        <v>0.42281056473376294</v>
      </c>
      <c r="BB176" s="2038">
        <f t="shared" si="68"/>
        <v>0.96667194257660649</v>
      </c>
      <c r="BC176" s="2038">
        <f t="shared" si="68"/>
        <v>1.1447443973450524</v>
      </c>
      <c r="BD176" s="2038">
        <f t="shared" si="68"/>
        <v>1.4864168306485264</v>
      </c>
      <c r="BE176" s="169">
        <f t="shared" si="68"/>
        <v>1.0245556220796033</v>
      </c>
      <c r="BF176" s="169">
        <f t="shared" si="68"/>
        <v>1.1050429294349571</v>
      </c>
      <c r="BG176" s="168"/>
      <c r="BH176" s="168"/>
      <c r="BI176" s="168"/>
      <c r="BJ176" s="168"/>
      <c r="BK176" s="168"/>
      <c r="BL176" s="168"/>
      <c r="BM176" s="168"/>
      <c r="BN176" s="168"/>
      <c r="BO176" s="168"/>
      <c r="BP176" s="168"/>
      <c r="BQ176" s="168"/>
      <c r="BR176" s="168"/>
      <c r="BS176" s="168"/>
      <c r="BT176" s="168"/>
      <c r="BU176" s="168"/>
      <c r="BV176" s="168"/>
    </row>
    <row r="177" spans="1:74">
      <c r="A177" s="162"/>
      <c r="B177" s="157"/>
      <c r="C177" s="147"/>
      <c r="D177" s="147"/>
      <c r="E177" s="147"/>
      <c r="F177" s="147"/>
      <c r="G177" s="157"/>
      <c r="H177" s="147"/>
      <c r="I177" s="147"/>
      <c r="J177" s="147"/>
      <c r="K177" s="147"/>
      <c r="L177" s="157"/>
      <c r="M177" s="147"/>
      <c r="N177" s="147"/>
      <c r="O177" s="147"/>
      <c r="P177" s="147"/>
      <c r="Q177" s="157"/>
      <c r="R177" s="147"/>
      <c r="S177" s="147"/>
      <c r="T177" s="147"/>
      <c r="U177" s="147"/>
      <c r="V177" s="157"/>
      <c r="W177" s="147"/>
      <c r="X177" s="147"/>
      <c r="Y177" s="147"/>
      <c r="Z177" s="147"/>
      <c r="AA177" s="157"/>
      <c r="AB177" s="147"/>
      <c r="AC177" s="147"/>
      <c r="AD177" s="147"/>
      <c r="AE177" s="147"/>
      <c r="AF177" s="157"/>
      <c r="AG177" s="147"/>
      <c r="AH177" s="147"/>
      <c r="AI177" s="147"/>
      <c r="AJ177" s="147"/>
      <c r="AK177" s="157"/>
      <c r="AL177" s="147"/>
      <c r="AM177" s="147"/>
      <c r="AN177" s="147"/>
      <c r="AO177" s="147"/>
      <c r="AP177" s="157"/>
      <c r="AQ177" s="147"/>
      <c r="AR177" s="147"/>
      <c r="AS177" s="147"/>
      <c r="AT177" s="147"/>
      <c r="AU177" s="157"/>
      <c r="AV177" s="2030"/>
      <c r="AW177" s="2030"/>
      <c r="AX177" s="2030"/>
      <c r="AY177" s="2030"/>
      <c r="AZ177" s="157"/>
      <c r="BA177" s="2030"/>
      <c r="BB177" s="2030"/>
      <c r="BC177" s="2030"/>
      <c r="BD177" s="2030"/>
      <c r="BE177" s="157"/>
      <c r="BF177" s="157"/>
      <c r="BG177" s="147"/>
      <c r="BH177" s="147"/>
      <c r="BI177" s="147"/>
      <c r="BJ177" s="147"/>
      <c r="BK177" s="147"/>
      <c r="BL177" s="147"/>
      <c r="BM177" s="147"/>
      <c r="BN177" s="147"/>
      <c r="BO177" s="147"/>
      <c r="BP177" s="147"/>
      <c r="BQ177" s="147"/>
      <c r="BR177" s="147"/>
      <c r="BS177" s="147"/>
      <c r="BT177" s="147"/>
      <c r="BU177" s="147"/>
      <c r="BV177" s="147"/>
    </row>
    <row r="178" spans="1:74">
      <c r="A178" s="175" t="s">
        <v>221</v>
      </c>
      <c r="B178" s="151"/>
      <c r="C178" s="152"/>
      <c r="D178" s="152"/>
      <c r="E178" s="152"/>
      <c r="F178" s="152"/>
      <c r="G178" s="151"/>
      <c r="H178" s="152"/>
      <c r="I178" s="152"/>
      <c r="J178" s="152"/>
      <c r="K178" s="152"/>
      <c r="L178" s="151"/>
      <c r="M178" s="152"/>
      <c r="N178" s="152"/>
      <c r="O178" s="152"/>
      <c r="P178" s="152"/>
      <c r="Q178" s="151"/>
      <c r="R178" s="152"/>
      <c r="S178" s="152"/>
      <c r="T178" s="152"/>
      <c r="U178" s="152"/>
      <c r="V178" s="151"/>
      <c r="W178" s="152"/>
      <c r="X178" s="152"/>
      <c r="Y178" s="152"/>
      <c r="Z178" s="152"/>
      <c r="AA178" s="151">
        <f>CF!BD$28</f>
        <v>-1543</v>
      </c>
      <c r="AB178" s="152">
        <f>CF!BE$28</f>
        <v>-157</v>
      </c>
      <c r="AC178" s="152">
        <f>CF!BF$28</f>
        <v>-143</v>
      </c>
      <c r="AD178" s="152">
        <f>CF!BG$28</f>
        <v>-247</v>
      </c>
      <c r="AE178" s="152">
        <f>CF!BH$28</f>
        <v>-175</v>
      </c>
      <c r="AF178" s="151">
        <f>CF!BI$28</f>
        <v>-722</v>
      </c>
      <c r="AG178" s="152">
        <f>CF!BJ$28</f>
        <v>-142</v>
      </c>
      <c r="AH178" s="152">
        <f>CF!BK$28</f>
        <v>-165</v>
      </c>
      <c r="AI178" s="152">
        <f>CF!BL$28</f>
        <v>-152</v>
      </c>
      <c r="AJ178" s="152">
        <f>CF!BM$28</f>
        <v>-134</v>
      </c>
      <c r="AK178" s="151">
        <f>CF!BN$28</f>
        <v>-593</v>
      </c>
      <c r="AL178" s="152">
        <f>CF!BO$28</f>
        <v>-132</v>
      </c>
      <c r="AM178" s="152">
        <f>CF!BP$28</f>
        <v>-115</v>
      </c>
      <c r="AN178" s="152">
        <f>CF!BQ$28</f>
        <v>-84</v>
      </c>
      <c r="AO178" s="152">
        <f>CF!BR$28</f>
        <v>-106</v>
      </c>
      <c r="AP178" s="151">
        <f>CF!BS$28</f>
        <v>-437</v>
      </c>
      <c r="AQ178" s="152">
        <f>CF!BT$28</f>
        <v>-98</v>
      </c>
      <c r="AR178" s="152">
        <f>CF!BU$28</f>
        <v>-101</v>
      </c>
      <c r="AS178" s="152">
        <f>CF!BV$28</f>
        <v>-102</v>
      </c>
      <c r="AT178" s="152">
        <f>CF!BW$28</f>
        <v>-79</v>
      </c>
      <c r="AU178" s="151">
        <f>CF!BX$28</f>
        <v>-380</v>
      </c>
      <c r="AV178" s="2032">
        <f>CF!BY$28</f>
        <v>-101</v>
      </c>
      <c r="AW178" s="2032">
        <f>CF!BZ$28</f>
        <v>-94</v>
      </c>
      <c r="AX178" s="2032">
        <f>CF!CA$28</f>
        <v>-95</v>
      </c>
      <c r="AY178" s="2032">
        <f>CF!CB$28</f>
        <v>-95</v>
      </c>
      <c r="AZ178" s="151">
        <f>CF!CC$28</f>
        <v>-385</v>
      </c>
      <c r="BA178" s="2032">
        <f>CF!CD$28</f>
        <v>-96.477907894736845</v>
      </c>
      <c r="BB178" s="2032">
        <f>CF!CE$28</f>
        <v>-96.477907894736845</v>
      </c>
      <c r="BC178" s="2032">
        <f>CF!CF$28</f>
        <v>-96.477907894736845</v>
      </c>
      <c r="BD178" s="2032">
        <f>CF!CG$28</f>
        <v>-96.477907894736845</v>
      </c>
      <c r="BE178" s="151">
        <f>CF!CH$28</f>
        <v>-385.91163157894738</v>
      </c>
      <c r="BF178" s="151">
        <f>CF!CI$28</f>
        <v>-385.91163157894738</v>
      </c>
      <c r="BG178" s="147"/>
      <c r="BH178" s="147"/>
      <c r="BI178" s="147"/>
      <c r="BJ178" s="147"/>
      <c r="BK178" s="147"/>
      <c r="BL178" s="147"/>
      <c r="BM178" s="147"/>
      <c r="BN178" s="147"/>
      <c r="BO178" s="147"/>
      <c r="BP178" s="147"/>
      <c r="BQ178" s="147"/>
      <c r="BR178" s="147"/>
      <c r="BS178" s="147"/>
      <c r="BT178" s="147"/>
      <c r="BU178" s="147"/>
      <c r="BV178" s="147"/>
    </row>
    <row r="179" spans="1:74">
      <c r="A179" s="174" t="s">
        <v>220</v>
      </c>
      <c r="B179" s="172"/>
      <c r="C179" s="173"/>
      <c r="D179" s="173"/>
      <c r="E179" s="173"/>
      <c r="F179" s="173"/>
      <c r="G179" s="172"/>
      <c r="H179" s="173"/>
      <c r="I179" s="173"/>
      <c r="J179" s="173"/>
      <c r="K179" s="173"/>
      <c r="L179" s="172"/>
      <c r="M179" s="173"/>
      <c r="N179" s="173"/>
      <c r="O179" s="173"/>
      <c r="P179" s="173"/>
      <c r="Q179" s="172"/>
      <c r="R179" s="173"/>
      <c r="S179" s="173"/>
      <c r="T179" s="173"/>
      <c r="U179" s="173"/>
      <c r="V179" s="172"/>
      <c r="W179" s="173"/>
      <c r="X179" s="173"/>
      <c r="Y179" s="173"/>
      <c r="Z179" s="173"/>
      <c r="AA179" s="172">
        <f t="shared" ref="AA179:AZ179" si="69">AA178+AA175</f>
        <v>3673</v>
      </c>
      <c r="AB179" s="173">
        <f t="shared" si="69"/>
        <v>957</v>
      </c>
      <c r="AC179" s="173">
        <f t="shared" si="69"/>
        <v>1427</v>
      </c>
      <c r="AD179" s="173">
        <f t="shared" si="69"/>
        <v>913</v>
      </c>
      <c r="AE179" s="173">
        <f t="shared" si="69"/>
        <v>1797</v>
      </c>
      <c r="AF179" s="172">
        <f t="shared" si="69"/>
        <v>5094</v>
      </c>
      <c r="AG179" s="173">
        <f t="shared" si="69"/>
        <v>860</v>
      </c>
      <c r="AH179" s="173">
        <f t="shared" si="69"/>
        <v>1171</v>
      </c>
      <c r="AI179" s="173">
        <f t="shared" si="69"/>
        <v>1381</v>
      </c>
      <c r="AJ179" s="173">
        <f t="shared" si="69"/>
        <v>1619</v>
      </c>
      <c r="AK179" s="172">
        <f t="shared" si="69"/>
        <v>5031</v>
      </c>
      <c r="AL179" s="173">
        <f t="shared" si="69"/>
        <v>830</v>
      </c>
      <c r="AM179" s="173">
        <f t="shared" si="69"/>
        <v>1063</v>
      </c>
      <c r="AN179" s="173">
        <f t="shared" si="69"/>
        <v>547</v>
      </c>
      <c r="AO179" s="173">
        <f t="shared" si="69"/>
        <v>1940</v>
      </c>
      <c r="AP179" s="172">
        <f t="shared" si="69"/>
        <v>4380</v>
      </c>
      <c r="AQ179" s="173">
        <f t="shared" si="69"/>
        <v>411</v>
      </c>
      <c r="AR179" s="173">
        <f t="shared" si="69"/>
        <v>1312</v>
      </c>
      <c r="AS179" s="173">
        <f t="shared" si="69"/>
        <v>1455</v>
      </c>
      <c r="AT179" s="173">
        <f t="shared" si="69"/>
        <v>1110</v>
      </c>
      <c r="AU179" s="172">
        <f t="shared" si="69"/>
        <v>4333</v>
      </c>
      <c r="AV179" s="2039">
        <f>AV178+AV175</f>
        <v>567</v>
      </c>
      <c r="AW179" s="2039">
        <f>AW178+AW175</f>
        <v>1606</v>
      </c>
      <c r="AX179" s="2039">
        <f>AX178+AX175</f>
        <v>-567</v>
      </c>
      <c r="AY179" s="2039">
        <f>AY178+AY175</f>
        <v>1670.9681615828226</v>
      </c>
      <c r="AZ179" s="172">
        <f t="shared" si="69"/>
        <v>3276.9681615828222</v>
      </c>
      <c r="BA179" s="2039">
        <f t="shared" ref="BA179:BF179" si="70">BA178+BA175</f>
        <v>388.57109690291622</v>
      </c>
      <c r="BB179" s="2039">
        <f t="shared" si="70"/>
        <v>1289.4405196872408</v>
      </c>
      <c r="BC179" s="2039">
        <f t="shared" si="70"/>
        <v>1564.1405656435686</v>
      </c>
      <c r="BD179" s="2039">
        <f t="shared" si="70"/>
        <v>1830.9140821035398</v>
      </c>
      <c r="BE179" s="172">
        <f t="shared" si="70"/>
        <v>5073.0662643372707</v>
      </c>
      <c r="BF179" s="172">
        <f t="shared" si="70"/>
        <v>6324.9352738865973</v>
      </c>
      <c r="BG179" s="147"/>
      <c r="BH179" s="147"/>
      <c r="BI179" s="147"/>
      <c r="BJ179" s="147"/>
      <c r="BK179" s="147"/>
      <c r="BL179" s="147"/>
      <c r="BM179" s="147"/>
      <c r="BN179" s="147"/>
      <c r="BO179" s="147"/>
      <c r="BP179" s="147"/>
      <c r="BQ179" s="147"/>
      <c r="BR179" s="147"/>
      <c r="BS179" s="147"/>
      <c r="BT179" s="147"/>
      <c r="BU179" s="147"/>
      <c r="BV179" s="147"/>
    </row>
    <row r="180" spans="1:74" s="167" customFormat="1">
      <c r="A180" s="171" t="s">
        <v>219</v>
      </c>
      <c r="B180" s="169"/>
      <c r="C180" s="170"/>
      <c r="D180" s="170"/>
      <c r="E180" s="170"/>
      <c r="F180" s="170"/>
      <c r="G180" s="169"/>
      <c r="H180" s="170"/>
      <c r="I180" s="170"/>
      <c r="J180" s="170"/>
      <c r="K180" s="170"/>
      <c r="L180" s="169"/>
      <c r="M180" s="170"/>
      <c r="N180" s="170"/>
      <c r="O180" s="170"/>
      <c r="P180" s="170"/>
      <c r="Q180" s="169"/>
      <c r="R180" s="170"/>
      <c r="S180" s="170"/>
      <c r="T180" s="170"/>
      <c r="U180" s="170"/>
      <c r="V180" s="169"/>
      <c r="W180" s="170"/>
      <c r="X180" s="170"/>
      <c r="Y180" s="170"/>
      <c r="Z180" s="170"/>
      <c r="AA180" s="169">
        <f t="shared" ref="AA180:AZ180" si="71">AA179/AA47</f>
        <v>0.75888429752066111</v>
      </c>
      <c r="AB180" s="170">
        <f t="shared" si="71"/>
        <v>0.75354330708661421</v>
      </c>
      <c r="AC180" s="170">
        <f t="shared" si="71"/>
        <v>0.91945876288659789</v>
      </c>
      <c r="AD180" s="170">
        <f t="shared" si="71"/>
        <v>0.6452296819787986</v>
      </c>
      <c r="AE180" s="170">
        <f t="shared" si="71"/>
        <v>1.2401656314699794</v>
      </c>
      <c r="AF180" s="169">
        <f t="shared" si="71"/>
        <v>0.89588462891311993</v>
      </c>
      <c r="AG180" s="170">
        <f t="shared" si="71"/>
        <v>0.7089859851607585</v>
      </c>
      <c r="AH180" s="170">
        <f t="shared" si="71"/>
        <v>0.69702380952380949</v>
      </c>
      <c r="AI180" s="170">
        <f t="shared" si="71"/>
        <v>0.74487594390507017</v>
      </c>
      <c r="AJ180" s="170">
        <f t="shared" si="71"/>
        <v>1.0991174473862866</v>
      </c>
      <c r="AK180" s="169">
        <f t="shared" si="71"/>
        <v>0.80884244372990355</v>
      </c>
      <c r="AL180" s="170">
        <f t="shared" si="71"/>
        <v>0.60728448717385897</v>
      </c>
      <c r="AM180" s="170">
        <f t="shared" si="71"/>
        <v>0.72447964232651341</v>
      </c>
      <c r="AN180" s="170">
        <f t="shared" si="71"/>
        <v>0.38359046283309955</v>
      </c>
      <c r="AO180" s="170">
        <f t="shared" si="71"/>
        <v>-7.578125</v>
      </c>
      <c r="AP180" s="169">
        <f t="shared" si="71"/>
        <v>1.0939060939060938</v>
      </c>
      <c r="AQ180" s="170">
        <f t="shared" si="71"/>
        <v>0.34830508474576272</v>
      </c>
      <c r="AR180" s="170">
        <f t="shared" si="71"/>
        <v>0.92394366197183098</v>
      </c>
      <c r="AS180" s="170">
        <f t="shared" si="71"/>
        <v>1.0083160083160083</v>
      </c>
      <c r="AT180" s="170">
        <f t="shared" si="71"/>
        <v>1.083984375</v>
      </c>
      <c r="AU180" s="169">
        <f t="shared" si="71"/>
        <v>0.8551411091375567</v>
      </c>
      <c r="AV180" s="2038">
        <f>AV179/AV47</f>
        <v>0.40909090909090912</v>
      </c>
      <c r="AW180" s="2038">
        <f>AW179/AW47</f>
        <v>1.1160528144544823</v>
      </c>
      <c r="AX180" s="2038">
        <f>AX179/AX47</f>
        <v>-0.4263157894736842</v>
      </c>
      <c r="AY180" s="2038">
        <f>AY179/AY47</f>
        <v>1.4243706600657666</v>
      </c>
      <c r="AZ180" s="169">
        <f t="shared" si="71"/>
        <v>0.61503187768428269</v>
      </c>
      <c r="BA180" s="2038">
        <f t="shared" ref="BA180:BF180" si="72">BA179/BA47</f>
        <v>0.33871209567634736</v>
      </c>
      <c r="BB180" s="2038">
        <f t="shared" si="72"/>
        <v>0.89937903068203862</v>
      </c>
      <c r="BC180" s="2038">
        <f t="shared" si="72"/>
        <v>1.0782375227739474</v>
      </c>
      <c r="BD180" s="2038">
        <f t="shared" si="72"/>
        <v>1.4120124610004905</v>
      </c>
      <c r="BE180" s="169">
        <f t="shared" si="72"/>
        <v>0.95212669137154771</v>
      </c>
      <c r="BF180" s="169">
        <f t="shared" si="72"/>
        <v>1.0414967144981047</v>
      </c>
      <c r="BG180" s="168"/>
      <c r="BH180" s="168"/>
      <c r="BI180" s="168"/>
      <c r="BJ180" s="168"/>
      <c r="BK180" s="168"/>
      <c r="BL180" s="168"/>
      <c r="BM180" s="168"/>
      <c r="BN180" s="168"/>
      <c r="BO180" s="168"/>
      <c r="BP180" s="168"/>
      <c r="BQ180" s="168"/>
      <c r="BR180" s="168"/>
      <c r="BS180" s="168"/>
      <c r="BT180" s="168"/>
      <c r="BU180" s="168"/>
      <c r="BV180" s="168"/>
    </row>
    <row r="181" spans="1:74">
      <c r="A181" s="166"/>
      <c r="B181" s="157"/>
      <c r="C181" s="147"/>
      <c r="D181" s="147"/>
      <c r="E181" s="147"/>
      <c r="F181" s="147"/>
      <c r="G181" s="157"/>
      <c r="H181" s="147"/>
      <c r="I181" s="147"/>
      <c r="J181" s="147"/>
      <c r="K181" s="147"/>
      <c r="L181" s="157"/>
      <c r="M181" s="147"/>
      <c r="N181" s="147"/>
      <c r="O181" s="147"/>
      <c r="P181" s="147"/>
      <c r="Q181" s="157"/>
      <c r="R181" s="147"/>
      <c r="S181" s="147"/>
      <c r="T181" s="147"/>
      <c r="U181" s="147"/>
      <c r="V181" s="157"/>
      <c r="W181" s="147"/>
      <c r="X181" s="147"/>
      <c r="Y181" s="147"/>
      <c r="Z181" s="147"/>
      <c r="AA181" s="157"/>
      <c r="AB181" s="147"/>
      <c r="AC181" s="147"/>
      <c r="AD181" s="147"/>
      <c r="AE181" s="147"/>
      <c r="AF181" s="157"/>
      <c r="AG181" s="147"/>
      <c r="AH181" s="147"/>
      <c r="AI181" s="147"/>
      <c r="AJ181" s="147"/>
      <c r="AK181" s="157"/>
      <c r="AL181" s="147"/>
      <c r="AM181" s="147"/>
      <c r="AN181" s="147"/>
      <c r="AO181" s="147"/>
      <c r="AP181" s="157"/>
      <c r="AQ181" s="147"/>
      <c r="AR181" s="147"/>
      <c r="AS181" s="147"/>
      <c r="AT181" s="147"/>
      <c r="AU181" s="157"/>
      <c r="AV181" s="2030"/>
      <c r="AW181" s="2030"/>
      <c r="AX181" s="2030"/>
      <c r="AY181" s="2030"/>
      <c r="AZ181" s="157"/>
      <c r="BA181" s="2030"/>
      <c r="BB181" s="2030"/>
      <c r="BC181" s="2030"/>
      <c r="BD181" s="2030"/>
      <c r="BE181" s="157"/>
      <c r="BF181" s="157"/>
      <c r="BG181" s="147"/>
      <c r="BH181" s="147"/>
      <c r="BI181" s="147"/>
      <c r="BJ181" s="147"/>
      <c r="BK181" s="147"/>
      <c r="BL181" s="147"/>
      <c r="BM181" s="147"/>
      <c r="BN181" s="147"/>
      <c r="BO181" s="147"/>
      <c r="BP181" s="147"/>
      <c r="BQ181" s="147"/>
      <c r="BR181" s="147"/>
      <c r="BS181" s="147"/>
      <c r="BT181" s="147"/>
      <c r="BU181" s="147"/>
      <c r="BV181" s="147"/>
    </row>
    <row r="182" spans="1:74">
      <c r="A182" s="162" t="s">
        <v>218</v>
      </c>
      <c r="B182" s="160">
        <f>CF!AE32</f>
        <v>-2037</v>
      </c>
      <c r="C182" s="161">
        <f>CF!AF32</f>
        <v>-157</v>
      </c>
      <c r="D182" s="161">
        <f>CF!AG32</f>
        <v>-389</v>
      </c>
      <c r="E182" s="161">
        <f>CF!AH32</f>
        <v>-162</v>
      </c>
      <c r="F182" s="161">
        <f>CF!AI32</f>
        <v>-544</v>
      </c>
      <c r="G182" s="160">
        <f>CF!AJ32</f>
        <v>-1252</v>
      </c>
      <c r="H182" s="161">
        <f>CF!AK32</f>
        <v>-122</v>
      </c>
      <c r="I182" s="161">
        <f>CF!AL32</f>
        <v>-71</v>
      </c>
      <c r="J182" s="161">
        <f>CF!AM32</f>
        <v>-297</v>
      </c>
      <c r="K182" s="161">
        <f>CF!AN32</f>
        <v>-213</v>
      </c>
      <c r="L182" s="160">
        <f>CF!AO32</f>
        <v>-703</v>
      </c>
      <c r="M182" s="161">
        <f>CF!AP32</f>
        <v>-2108</v>
      </c>
      <c r="N182" s="161">
        <f>CF!AQ32</f>
        <v>-260</v>
      </c>
      <c r="O182" s="161">
        <f>CF!AR32</f>
        <v>-183</v>
      </c>
      <c r="P182" s="161">
        <f>CF!AS32</f>
        <v>-207</v>
      </c>
      <c r="Q182" s="160">
        <f>CF!AT32</f>
        <v>-2758</v>
      </c>
      <c r="R182" s="161">
        <f>CF!AU32</f>
        <v>-106</v>
      </c>
      <c r="S182" s="161">
        <f>CF!AV32</f>
        <v>-78</v>
      </c>
      <c r="T182" s="161">
        <f>CF!AW32</f>
        <v>-45</v>
      </c>
      <c r="U182" s="161">
        <f>CF!AX32</f>
        <v>-128</v>
      </c>
      <c r="V182" s="160">
        <f>CF!AY32</f>
        <v>-357</v>
      </c>
      <c r="W182" s="161">
        <f>CF!AZ32</f>
        <v>-72</v>
      </c>
      <c r="X182" s="161">
        <f>CF!BA32</f>
        <v>-137</v>
      </c>
      <c r="Y182" s="161">
        <f>CF!BB32</f>
        <v>-15799</v>
      </c>
      <c r="Z182" s="161">
        <f>CF!BC32</f>
        <v>-18</v>
      </c>
      <c r="AA182" s="160">
        <f>CF!BD32</f>
        <v>-16026</v>
      </c>
      <c r="AB182" s="161">
        <f>CF!BE32</f>
        <v>0</v>
      </c>
      <c r="AC182" s="161">
        <f>CF!BF32</f>
        <v>0</v>
      </c>
      <c r="AD182" s="161">
        <f>CF!BG32</f>
        <v>0</v>
      </c>
      <c r="AE182" s="161">
        <f>CF!BH32</f>
        <v>0</v>
      </c>
      <c r="AF182" s="160">
        <f>CF!BI32</f>
        <v>0</v>
      </c>
      <c r="AG182" s="161">
        <f>CF!BJ32</f>
        <v>0</v>
      </c>
      <c r="AH182" s="161">
        <f>CF!BK32</f>
        <v>0</v>
      </c>
      <c r="AI182" s="161">
        <f>CF!BL32</f>
        <v>-207</v>
      </c>
      <c r="AJ182" s="161">
        <f>CF!BM32</f>
        <v>-195</v>
      </c>
      <c r="AK182" s="160">
        <f>CF!BN32</f>
        <v>-402</v>
      </c>
      <c r="AL182" s="161">
        <f>CF!BO32</f>
        <v>-230</v>
      </c>
      <c r="AM182" s="161">
        <f>CF!BP32</f>
        <v>-19</v>
      </c>
      <c r="AN182" s="161">
        <f>CF!BQ32</f>
        <v>-67</v>
      </c>
      <c r="AO182" s="161">
        <f>CF!BR32</f>
        <v>-181</v>
      </c>
      <c r="AP182" s="160">
        <f>CF!BS32</f>
        <v>-497</v>
      </c>
      <c r="AQ182" s="161">
        <f>CF!BT32</f>
        <v>-63</v>
      </c>
      <c r="AR182" s="161">
        <f>CF!BU32</f>
        <v>-425</v>
      </c>
      <c r="AS182" s="161">
        <f>CF!BV32</f>
        <v>0</v>
      </c>
      <c r="AT182" s="161">
        <f>CF!BW32</f>
        <v>-112</v>
      </c>
      <c r="AU182" s="160">
        <f>CF!BX32</f>
        <v>-600</v>
      </c>
      <c r="AV182" s="2036">
        <f>CF!BY32</f>
        <v>-100</v>
      </c>
      <c r="AW182" s="2036">
        <f>CF!BZ32</f>
        <v>-49</v>
      </c>
      <c r="AX182" s="2036">
        <f>CF!CA32</f>
        <v>-10</v>
      </c>
      <c r="AY182" s="2036">
        <f>CF!CB32</f>
        <v>0</v>
      </c>
      <c r="AZ182" s="160">
        <f>CF!CC32</f>
        <v>-159</v>
      </c>
      <c r="BA182" s="2036">
        <f>CF!CD32</f>
        <v>0</v>
      </c>
      <c r="BB182" s="2036">
        <f>CF!CE32</f>
        <v>0</v>
      </c>
      <c r="BC182" s="2036">
        <f>CF!CF32</f>
        <v>0</v>
      </c>
      <c r="BD182" s="2036">
        <f>CF!CG32</f>
        <v>0</v>
      </c>
      <c r="BE182" s="160">
        <f>CF!CH32</f>
        <v>0</v>
      </c>
      <c r="BF182" s="160">
        <f>CF!CI32</f>
        <v>0</v>
      </c>
      <c r="BG182" s="147"/>
      <c r="BH182" s="147"/>
      <c r="BI182" s="147"/>
      <c r="BJ182" s="147"/>
      <c r="BK182" s="147"/>
      <c r="BL182" s="147"/>
      <c r="BM182" s="147"/>
      <c r="BN182" s="147"/>
      <c r="BO182" s="147"/>
      <c r="BP182" s="147"/>
      <c r="BQ182" s="147"/>
      <c r="BR182" s="147"/>
      <c r="BS182" s="147"/>
      <c r="BT182" s="147"/>
      <c r="BU182" s="147"/>
      <c r="BV182" s="147"/>
    </row>
    <row r="183" spans="1:74">
      <c r="A183" s="162" t="s">
        <v>22</v>
      </c>
      <c r="B183" s="160">
        <f>CF!AE33</f>
        <v>298</v>
      </c>
      <c r="C183" s="161">
        <f>CF!AF33</f>
        <v>31</v>
      </c>
      <c r="D183" s="161">
        <f>CF!AG33</f>
        <v>54</v>
      </c>
      <c r="E183" s="161">
        <f>CF!AH33</f>
        <v>185</v>
      </c>
      <c r="F183" s="161">
        <f>CF!AI33</f>
        <v>67</v>
      </c>
      <c r="G183" s="160">
        <f>CF!AJ33</f>
        <v>337</v>
      </c>
      <c r="H183" s="161">
        <f>CF!AK33</f>
        <v>0</v>
      </c>
      <c r="I183" s="161">
        <f>CF!AL33</f>
        <v>40</v>
      </c>
      <c r="J183" s="161">
        <f>CF!AM33</f>
        <v>0</v>
      </c>
      <c r="K183" s="161">
        <f>CF!AN33</f>
        <v>118</v>
      </c>
      <c r="L183" s="160">
        <f>CF!AO33</f>
        <v>158</v>
      </c>
      <c r="M183" s="161">
        <f>CF!AP33</f>
        <v>41</v>
      </c>
      <c r="N183" s="161">
        <f>CF!AQ33</f>
        <v>91</v>
      </c>
      <c r="O183" s="161">
        <f>CF!AR33</f>
        <v>68</v>
      </c>
      <c r="P183" s="161">
        <f>CF!AS33</f>
        <v>8</v>
      </c>
      <c r="Q183" s="160">
        <f>CF!AT33</f>
        <v>208</v>
      </c>
      <c r="R183" s="161">
        <f>CF!AU33</f>
        <v>49</v>
      </c>
      <c r="S183" s="161">
        <f>CF!AV33</f>
        <v>96</v>
      </c>
      <c r="T183" s="161">
        <f>CF!AW33</f>
        <v>237</v>
      </c>
      <c r="U183" s="161">
        <f>CF!AX33</f>
        <v>112</v>
      </c>
      <c r="V183" s="160">
        <f>CF!AY33</f>
        <v>494</v>
      </c>
      <c r="W183" s="161">
        <f>CF!AZ33</f>
        <v>52</v>
      </c>
      <c r="X183" s="161">
        <f>CF!BA33</f>
        <v>232</v>
      </c>
      <c r="Y183" s="161">
        <f>CF!BB33</f>
        <v>78</v>
      </c>
      <c r="Z183" s="161">
        <f>CF!BC33</f>
        <v>63</v>
      </c>
      <c r="AA183" s="160">
        <f>CF!BD33</f>
        <v>425</v>
      </c>
      <c r="AB183" s="161">
        <f>CF!BE33</f>
        <v>722</v>
      </c>
      <c r="AC183" s="161">
        <f>CF!BF33</f>
        <v>577</v>
      </c>
      <c r="AD183" s="161">
        <f>CF!BG33</f>
        <v>166</v>
      </c>
      <c r="AE183" s="161">
        <f>CF!BH33</f>
        <v>65</v>
      </c>
      <c r="AF183" s="160">
        <f>CF!BI33</f>
        <v>1530</v>
      </c>
      <c r="AG183" s="161">
        <f>CF!BJ33</f>
        <v>106</v>
      </c>
      <c r="AH183" s="161">
        <f>CF!BK33</f>
        <v>-34</v>
      </c>
      <c r="AI183" s="161">
        <f>CF!BL33</f>
        <v>0</v>
      </c>
      <c r="AJ183" s="161">
        <f>CF!BM33</f>
        <v>76</v>
      </c>
      <c r="AK183" s="160">
        <f>CF!BN33</f>
        <v>148</v>
      </c>
      <c r="AL183" s="161">
        <f>CF!BO33</f>
        <v>158</v>
      </c>
      <c r="AM183" s="161">
        <f>CF!BP33</f>
        <v>0</v>
      </c>
      <c r="AN183" s="161">
        <f>CF!BQ33</f>
        <v>0</v>
      </c>
      <c r="AO183" s="161">
        <f>CF!BR33</f>
        <v>0</v>
      </c>
      <c r="AP183" s="160">
        <f>CF!BS33</f>
        <v>158</v>
      </c>
      <c r="AQ183" s="161">
        <f>CF!BT33</f>
        <v>0</v>
      </c>
      <c r="AR183" s="161">
        <f>CF!BU33</f>
        <v>0</v>
      </c>
      <c r="AS183" s="161">
        <f>CF!BV33</f>
        <v>101</v>
      </c>
      <c r="AT183" s="161">
        <f>CF!BW33</f>
        <v>0</v>
      </c>
      <c r="AU183" s="160">
        <f>CF!BX33</f>
        <v>101</v>
      </c>
      <c r="AV183" s="2036">
        <f>CF!BY33</f>
        <v>596</v>
      </c>
      <c r="AW183" s="2036">
        <f>CF!BZ33</f>
        <v>0</v>
      </c>
      <c r="AX183" s="2036">
        <f>CF!CA33</f>
        <v>0</v>
      </c>
      <c r="AY183" s="2036">
        <f>CF!CB33</f>
        <v>0</v>
      </c>
      <c r="AZ183" s="160">
        <f>CF!CC33</f>
        <v>596</v>
      </c>
      <c r="BA183" s="2036">
        <f>CF!CD33</f>
        <v>0</v>
      </c>
      <c r="BB183" s="2036">
        <f>CF!CE33</f>
        <v>0</v>
      </c>
      <c r="BC183" s="2036">
        <f>CF!CF33</f>
        <v>0</v>
      </c>
      <c r="BD183" s="2036">
        <f>CF!CG33</f>
        <v>0</v>
      </c>
      <c r="BE183" s="160">
        <f>CF!CH33</f>
        <v>0</v>
      </c>
      <c r="BF183" s="160">
        <f>CF!CI33</f>
        <v>0</v>
      </c>
      <c r="BG183" s="147"/>
      <c r="BH183" s="147"/>
      <c r="BI183" s="147"/>
      <c r="BJ183" s="147"/>
      <c r="BK183" s="147"/>
      <c r="BL183" s="147"/>
      <c r="BM183" s="147"/>
      <c r="BN183" s="147"/>
      <c r="BO183" s="147"/>
      <c r="BP183" s="147"/>
      <c r="BQ183" s="147"/>
      <c r="BR183" s="147"/>
      <c r="BS183" s="147"/>
      <c r="BT183" s="147"/>
      <c r="BU183" s="147"/>
      <c r="BV183" s="147"/>
    </row>
    <row r="184" spans="1:74">
      <c r="A184" s="162" t="s">
        <v>8</v>
      </c>
      <c r="B184" s="160">
        <f>CF!AE34+CF!AE35</f>
        <v>-290</v>
      </c>
      <c r="C184" s="161">
        <f>CF!AF34+CF!AF35</f>
        <v>-69</v>
      </c>
      <c r="D184" s="161">
        <f>CF!AG34+CF!AG35</f>
        <v>-159</v>
      </c>
      <c r="E184" s="161">
        <f>CF!AH34+CF!AH35</f>
        <v>213</v>
      </c>
      <c r="F184" s="161">
        <f>CF!AI34+CF!AI35</f>
        <v>-190</v>
      </c>
      <c r="G184" s="160">
        <f>CF!AJ34+CF!AJ35</f>
        <v>-205</v>
      </c>
      <c r="H184" s="161">
        <f>CF!AK34+CF!AK35</f>
        <v>68</v>
      </c>
      <c r="I184" s="161">
        <f>CF!AL34+CF!AL35</f>
        <v>-102</v>
      </c>
      <c r="J184" s="161">
        <f>CF!AM34+CF!AM35</f>
        <v>254</v>
      </c>
      <c r="K184" s="161">
        <f>CF!AN34+CF!AN35</f>
        <v>47</v>
      </c>
      <c r="L184" s="160">
        <f>CF!AO34+CF!AO35</f>
        <v>267</v>
      </c>
      <c r="M184" s="161">
        <f>CF!AP34+CF!AP35</f>
        <v>90</v>
      </c>
      <c r="N184" s="161">
        <f>CF!AQ34+CF!AQ35</f>
        <v>89</v>
      </c>
      <c r="O184" s="161">
        <f>CF!AR34+CF!AR35</f>
        <v>-35</v>
      </c>
      <c r="P184" s="161">
        <f>CF!AS34+CF!AS35</f>
        <v>84</v>
      </c>
      <c r="Q184" s="160">
        <f>CF!AT34+CF!AT35</f>
        <v>228</v>
      </c>
      <c r="R184" s="161">
        <f>CF!AU34+CF!AU35</f>
        <v>26</v>
      </c>
      <c r="S184" s="161">
        <f>CF!AV34+CF!AV35</f>
        <v>82</v>
      </c>
      <c r="T184" s="161">
        <f>CF!AW34+CF!AW35</f>
        <v>21</v>
      </c>
      <c r="U184" s="161">
        <f>CF!AX34+CF!AX35</f>
        <v>-9</v>
      </c>
      <c r="V184" s="160">
        <f>CF!AY34+CF!AY35</f>
        <v>120</v>
      </c>
      <c r="W184" s="161">
        <f>CF!AZ34+CF!AZ35</f>
        <v>96</v>
      </c>
      <c r="X184" s="161">
        <f>CF!BA34+CF!BA35</f>
        <v>-10768</v>
      </c>
      <c r="Y184" s="161">
        <f>CF!BB34+CF!BB35</f>
        <v>10465</v>
      </c>
      <c r="Z184" s="161">
        <f>CF!BC34+CF!BC35</f>
        <v>-55</v>
      </c>
      <c r="AA184" s="160">
        <f>CF!BD34+CF!BD35</f>
        <v>-262</v>
      </c>
      <c r="AB184" s="161">
        <f>CF!BE34+CF!BE35</f>
        <v>69</v>
      </c>
      <c r="AC184" s="161">
        <f>CF!BF34+CF!BF35</f>
        <v>-296</v>
      </c>
      <c r="AD184" s="161">
        <f>CF!BG34+CF!BG35</f>
        <v>-243</v>
      </c>
      <c r="AE184" s="161">
        <f>CF!BH34+CF!BH35</f>
        <v>-113</v>
      </c>
      <c r="AF184" s="160">
        <f>CF!BI34+CF!BI35</f>
        <v>-583</v>
      </c>
      <c r="AG184" s="161">
        <f>CF!BJ34+CF!BJ35</f>
        <v>-73</v>
      </c>
      <c r="AH184" s="161">
        <f>CF!BK34+CF!BK35</f>
        <v>176</v>
      </c>
      <c r="AI184" s="161">
        <f>CF!BL34+CF!BL35</f>
        <v>170</v>
      </c>
      <c r="AJ184" s="161">
        <f>CF!BM34+CF!BM35</f>
        <v>-212</v>
      </c>
      <c r="AK184" s="160">
        <f>CF!BN34+CF!BN35</f>
        <v>61</v>
      </c>
      <c r="AL184" s="161">
        <f>CF!BO34+CF!BO35</f>
        <v>725</v>
      </c>
      <c r="AM184" s="161">
        <f>CF!BP34+CF!BP35</f>
        <v>-237</v>
      </c>
      <c r="AN184" s="161">
        <f>CF!BQ34+CF!BQ35</f>
        <v>-379</v>
      </c>
      <c r="AO184" s="161">
        <f>CF!BR34+CF!BR35</f>
        <v>-216</v>
      </c>
      <c r="AP184" s="160">
        <f>CF!BS34+CF!BS35</f>
        <v>-107</v>
      </c>
      <c r="AQ184" s="161">
        <f>CF!BT34+CF!BT35</f>
        <v>-36</v>
      </c>
      <c r="AR184" s="161">
        <f>CF!BU34+CF!BU35</f>
        <v>30</v>
      </c>
      <c r="AS184" s="161">
        <f>CF!BV34+CF!BV35</f>
        <v>-112</v>
      </c>
      <c r="AT184" s="161">
        <f>CF!BW34+CF!BW35</f>
        <v>8</v>
      </c>
      <c r="AU184" s="160">
        <f>CF!BX34+CF!BX35</f>
        <v>-110</v>
      </c>
      <c r="AV184" s="2036">
        <f>CF!BY34+CF!BY35</f>
        <v>-209</v>
      </c>
      <c r="AW184" s="2036">
        <f>CF!BZ34+CF!BZ35</f>
        <v>-262</v>
      </c>
      <c r="AX184" s="2036">
        <f>CF!CA34+CF!CA35</f>
        <v>-120</v>
      </c>
      <c r="AY184" s="2036">
        <f>CF!CB34+CF!CB35</f>
        <v>0</v>
      </c>
      <c r="AZ184" s="160">
        <f>CF!CC34+CF!CC35</f>
        <v>-591</v>
      </c>
      <c r="BA184" s="2036">
        <f>CF!CD34+CF!CD35</f>
        <v>0</v>
      </c>
      <c r="BB184" s="2036">
        <f>CF!CE34+CF!CE35</f>
        <v>0</v>
      </c>
      <c r="BC184" s="2036">
        <f>CF!CF34+CF!CF35</f>
        <v>0</v>
      </c>
      <c r="BD184" s="2036">
        <f>CF!CG34+CF!CG35</f>
        <v>0</v>
      </c>
      <c r="BE184" s="160">
        <f>CF!CH34+CF!CH35</f>
        <v>0</v>
      </c>
      <c r="BF184" s="160">
        <f>CF!CI34+CF!CI35</f>
        <v>0</v>
      </c>
      <c r="BG184" s="147"/>
      <c r="BH184" s="147"/>
      <c r="BI184" s="147"/>
      <c r="BJ184" s="147"/>
      <c r="BK184" s="147"/>
      <c r="BL184" s="147"/>
      <c r="BM184" s="147"/>
      <c r="BN184" s="147"/>
      <c r="BO184" s="147"/>
      <c r="BP184" s="147"/>
      <c r="BQ184" s="147"/>
      <c r="BR184" s="147"/>
      <c r="BS184" s="147"/>
      <c r="BT184" s="147"/>
      <c r="BU184" s="147"/>
      <c r="BV184" s="147"/>
    </row>
    <row r="185" spans="1:74">
      <c r="A185" s="165" t="s">
        <v>217</v>
      </c>
      <c r="B185" s="163">
        <f>CF!AE36</f>
        <v>2148</v>
      </c>
      <c r="C185" s="164">
        <f>CF!AF36</f>
        <v>456</v>
      </c>
      <c r="D185" s="164">
        <f>CF!AG36</f>
        <v>619</v>
      </c>
      <c r="E185" s="164">
        <f>CF!AH36</f>
        <v>1803</v>
      </c>
      <c r="F185" s="164">
        <f>CF!AI36</f>
        <v>947</v>
      </c>
      <c r="G185" s="163">
        <f>CF!AJ36</f>
        <v>3825</v>
      </c>
      <c r="H185" s="164">
        <f>CF!AK36</f>
        <v>264</v>
      </c>
      <c r="I185" s="164">
        <f>CF!AL36</f>
        <v>1234</v>
      </c>
      <c r="J185" s="164">
        <f>CF!AM36</f>
        <v>1649</v>
      </c>
      <c r="K185" s="164">
        <f>CF!AN36</f>
        <v>1102</v>
      </c>
      <c r="L185" s="163">
        <f>CF!AO36</f>
        <v>4249</v>
      </c>
      <c r="M185" s="164">
        <f>CF!AP36</f>
        <v>-970</v>
      </c>
      <c r="N185" s="164">
        <f>CF!AQ36</f>
        <v>1165</v>
      </c>
      <c r="O185" s="164">
        <f>CF!AR36</f>
        <v>1349</v>
      </c>
      <c r="P185" s="164">
        <f>CF!AS36</f>
        <v>1175</v>
      </c>
      <c r="Q185" s="163">
        <f>CF!AT36</f>
        <v>2719</v>
      </c>
      <c r="R185" s="164">
        <f>CF!AU36</f>
        <v>1118</v>
      </c>
      <c r="S185" s="164">
        <f>CF!AV36</f>
        <v>1223</v>
      </c>
      <c r="T185" s="164">
        <f>CF!AW36</f>
        <v>1921</v>
      </c>
      <c r="U185" s="164">
        <f>CF!AX36</f>
        <v>1526</v>
      </c>
      <c r="V185" s="163">
        <f>CF!AY36</f>
        <v>5788</v>
      </c>
      <c r="W185" s="164">
        <f>CF!AZ36</f>
        <v>1200</v>
      </c>
      <c r="X185" s="164">
        <f>CF!BA36</f>
        <v>-10446</v>
      </c>
      <c r="Y185" s="164">
        <f>CF!BB36</f>
        <v>-3948</v>
      </c>
      <c r="Z185" s="164">
        <f>CF!BC36</f>
        <v>1154</v>
      </c>
      <c r="AA185" s="163">
        <f>CF!BD36</f>
        <v>-12190</v>
      </c>
      <c r="AB185" s="164">
        <f>CF!BE36</f>
        <v>1748</v>
      </c>
      <c r="AC185" s="164">
        <f>CF!BF36</f>
        <v>1708</v>
      </c>
      <c r="AD185" s="164">
        <f>CF!BG36</f>
        <v>836</v>
      </c>
      <c r="AE185" s="164">
        <f>CF!BH36</f>
        <v>1749</v>
      </c>
      <c r="AF185" s="163">
        <f>CF!BI36</f>
        <v>6041</v>
      </c>
      <c r="AG185" s="164">
        <f>CF!BJ36</f>
        <v>893</v>
      </c>
      <c r="AH185" s="164">
        <f>CF!BK36</f>
        <v>1313</v>
      </c>
      <c r="AI185" s="164">
        <f>CF!BL36</f>
        <v>1344</v>
      </c>
      <c r="AJ185" s="164">
        <f>CF!BM36</f>
        <v>1288</v>
      </c>
      <c r="AK185" s="163">
        <f>CF!BN36</f>
        <v>4838</v>
      </c>
      <c r="AL185" s="164">
        <f>CF!BO36</f>
        <v>1483</v>
      </c>
      <c r="AM185" s="164">
        <f>CF!BP36</f>
        <v>807</v>
      </c>
      <c r="AN185" s="164">
        <f>CF!BQ36</f>
        <v>101</v>
      </c>
      <c r="AO185" s="164">
        <f>CF!BR36</f>
        <v>1543</v>
      </c>
      <c r="AP185" s="163">
        <f>CF!BS36</f>
        <v>3934</v>
      </c>
      <c r="AQ185" s="164">
        <f>CF!BT36</f>
        <v>312</v>
      </c>
      <c r="AR185" s="164">
        <f>CF!BU36</f>
        <v>917</v>
      </c>
      <c r="AS185" s="164">
        <f>CF!BV36</f>
        <v>1444</v>
      </c>
      <c r="AT185" s="164">
        <f>CF!BW36</f>
        <v>1006</v>
      </c>
      <c r="AU185" s="163">
        <f>CF!BX36</f>
        <v>3679</v>
      </c>
      <c r="AV185" s="2037">
        <f>CF!BY36</f>
        <v>854</v>
      </c>
      <c r="AW185" s="2037">
        <f>CF!BZ36</f>
        <v>1295</v>
      </c>
      <c r="AX185" s="2037">
        <f>CF!CA36</f>
        <v>-697</v>
      </c>
      <c r="AY185" s="2037">
        <f>CF!CB36</f>
        <v>1670.9681615828226</v>
      </c>
      <c r="AZ185" s="163">
        <f>CF!CC36</f>
        <v>3122.9681615828222</v>
      </c>
      <c r="BA185" s="2037">
        <f>CF!CD36</f>
        <v>388.57109690291622</v>
      </c>
      <c r="BB185" s="2037">
        <f>CF!CE36</f>
        <v>1289.4405196872408</v>
      </c>
      <c r="BC185" s="2037">
        <f>CF!CF36</f>
        <v>1564.1405656435686</v>
      </c>
      <c r="BD185" s="2037">
        <f>CF!CG36</f>
        <v>1830.9140821035398</v>
      </c>
      <c r="BE185" s="163">
        <f>CF!CH36</f>
        <v>5073.0662643372707</v>
      </c>
      <c r="BF185" s="163">
        <f>CF!CI36</f>
        <v>6324.9352738865973</v>
      </c>
      <c r="BG185" s="147"/>
      <c r="BH185" s="147"/>
      <c r="BI185" s="147"/>
      <c r="BJ185" s="147"/>
      <c r="BK185" s="147"/>
      <c r="BL185" s="147"/>
      <c r="BM185" s="147"/>
      <c r="BN185" s="147"/>
      <c r="BO185" s="147"/>
      <c r="BP185" s="147"/>
      <c r="BQ185" s="147"/>
      <c r="BR185" s="147"/>
      <c r="BS185" s="147"/>
      <c r="BT185" s="147"/>
      <c r="BU185" s="147"/>
      <c r="BV185" s="147"/>
    </row>
    <row r="186" spans="1:74">
      <c r="A186" s="147"/>
      <c r="B186" s="157"/>
      <c r="C186" s="147"/>
      <c r="D186" s="147"/>
      <c r="E186" s="147"/>
      <c r="F186" s="147"/>
      <c r="G186" s="157"/>
      <c r="H186" s="147"/>
      <c r="I186" s="147"/>
      <c r="J186" s="147"/>
      <c r="K186" s="147"/>
      <c r="L186" s="157"/>
      <c r="M186" s="147"/>
      <c r="N186" s="147"/>
      <c r="O186" s="147"/>
      <c r="P186" s="147"/>
      <c r="Q186" s="157"/>
      <c r="R186" s="147"/>
      <c r="S186" s="147"/>
      <c r="T186" s="147"/>
      <c r="U186" s="147"/>
      <c r="V186" s="157"/>
      <c r="W186" s="147"/>
      <c r="X186" s="147"/>
      <c r="Y186" s="147"/>
      <c r="Z186" s="147"/>
      <c r="AA186" s="157"/>
      <c r="AB186" s="147"/>
      <c r="AC186" s="147"/>
      <c r="AD186" s="147"/>
      <c r="AE186" s="147"/>
      <c r="AF186" s="157"/>
      <c r="AG186" s="147"/>
      <c r="AH186" s="147"/>
      <c r="AI186" s="147"/>
      <c r="AJ186" s="147"/>
      <c r="AK186" s="157"/>
      <c r="AL186" s="147"/>
      <c r="AM186" s="147"/>
      <c r="AN186" s="147"/>
      <c r="AO186" s="147"/>
      <c r="AP186" s="157"/>
      <c r="AQ186" s="147"/>
      <c r="AR186" s="147"/>
      <c r="AS186" s="147"/>
      <c r="AT186" s="147"/>
      <c r="AU186" s="157"/>
      <c r="AV186" s="2030"/>
      <c r="AW186" s="2030"/>
      <c r="AX186" s="2030"/>
      <c r="AY186" s="2030"/>
      <c r="AZ186" s="157"/>
      <c r="BA186" s="2030"/>
      <c r="BB186" s="2030"/>
      <c r="BC186" s="2030"/>
      <c r="BD186" s="2030"/>
      <c r="BE186" s="157"/>
      <c r="BF186" s="157"/>
      <c r="BG186" s="147"/>
      <c r="BH186" s="147"/>
      <c r="BI186" s="147"/>
      <c r="BJ186" s="147"/>
      <c r="BK186" s="147"/>
      <c r="BL186" s="147"/>
      <c r="BM186" s="147"/>
      <c r="BN186" s="147"/>
      <c r="BO186" s="147"/>
      <c r="BP186" s="147"/>
      <c r="BQ186" s="147"/>
      <c r="BR186" s="147"/>
      <c r="BS186" s="147"/>
      <c r="BT186" s="147"/>
      <c r="BU186" s="147"/>
      <c r="BV186" s="147"/>
    </row>
    <row r="187" spans="1:74">
      <c r="A187" s="162" t="s">
        <v>216</v>
      </c>
      <c r="B187" s="160">
        <f>CF!AE38</f>
        <v>415</v>
      </c>
      <c r="C187" s="161">
        <f>CF!AF38</f>
        <v>42</v>
      </c>
      <c r="D187" s="161">
        <f>CF!AG38</f>
        <v>60</v>
      </c>
      <c r="E187" s="161">
        <f>CF!AH38</f>
        <v>29</v>
      </c>
      <c r="F187" s="161">
        <f>CF!AI38</f>
        <v>32</v>
      </c>
      <c r="G187" s="160">
        <f>CF!AJ38</f>
        <v>163</v>
      </c>
      <c r="H187" s="161">
        <f>CF!AK38</f>
        <v>36</v>
      </c>
      <c r="I187" s="161">
        <f>CF!AL38</f>
        <v>65</v>
      </c>
      <c r="J187" s="161">
        <f>CF!AM38</f>
        <v>111</v>
      </c>
      <c r="K187" s="161">
        <f>CF!AN38</f>
        <v>130</v>
      </c>
      <c r="L187" s="160">
        <f>CF!AO38</f>
        <v>342</v>
      </c>
      <c r="M187" s="161">
        <f>CF!AP38</f>
        <v>99</v>
      </c>
      <c r="N187" s="161">
        <f>CF!AQ38</f>
        <v>63</v>
      </c>
      <c r="O187" s="161">
        <f>CF!AR38</f>
        <v>49</v>
      </c>
      <c r="P187" s="161">
        <f>CF!AS38</f>
        <v>175</v>
      </c>
      <c r="Q187" s="160">
        <f>CF!AT38</f>
        <v>386</v>
      </c>
      <c r="R187" s="161">
        <f>CF!AU38</f>
        <v>89</v>
      </c>
      <c r="S187" s="161">
        <f>CF!AV38</f>
        <v>79</v>
      </c>
      <c r="T187" s="161">
        <f>CF!AW38</f>
        <v>28</v>
      </c>
      <c r="U187" s="161">
        <f>CF!AX38</f>
        <v>30</v>
      </c>
      <c r="V187" s="160">
        <f>CF!AY38</f>
        <v>226</v>
      </c>
      <c r="W187" s="161">
        <f>CF!AZ38</f>
        <v>120</v>
      </c>
      <c r="X187" s="161">
        <f>CF!BA38</f>
        <v>18</v>
      </c>
      <c r="Y187" s="161">
        <f>CF!BB38</f>
        <v>322</v>
      </c>
      <c r="Z187" s="161">
        <f>CF!BC38</f>
        <v>62</v>
      </c>
      <c r="AA187" s="160">
        <f>CF!BD38</f>
        <v>522</v>
      </c>
      <c r="AB187" s="161">
        <f>CF!BE38</f>
        <v>153</v>
      </c>
      <c r="AC187" s="161">
        <f>CF!BF38</f>
        <v>69</v>
      </c>
      <c r="AD187" s="161">
        <f>CF!BG38</f>
        <v>114</v>
      </c>
      <c r="AE187" s="161">
        <f>CF!BH38</f>
        <v>42</v>
      </c>
      <c r="AF187" s="160">
        <f>CF!BI38</f>
        <v>378</v>
      </c>
      <c r="AG187" s="161">
        <f>CF!BJ38</f>
        <v>86</v>
      </c>
      <c r="AH187" s="161">
        <f>CF!BK38</f>
        <v>27</v>
      </c>
      <c r="AI187" s="161">
        <f>CF!BL38</f>
        <v>18</v>
      </c>
      <c r="AJ187" s="161">
        <f>CF!BM38</f>
        <v>56</v>
      </c>
      <c r="AK187" s="160">
        <f>CF!BN38</f>
        <v>187</v>
      </c>
      <c r="AL187" s="161">
        <f>CF!BO38</f>
        <v>24</v>
      </c>
      <c r="AM187" s="161">
        <f>CF!BP38</f>
        <v>2</v>
      </c>
      <c r="AN187" s="161">
        <f>CF!BQ38</f>
        <v>1100</v>
      </c>
      <c r="AO187" s="161">
        <f>CF!BR38</f>
        <v>0</v>
      </c>
      <c r="AP187" s="160">
        <f>CF!BS38</f>
        <v>1126</v>
      </c>
      <c r="AQ187" s="161">
        <f>CF!BT38</f>
        <v>2</v>
      </c>
      <c r="AR187" s="161">
        <f>CF!BU38</f>
        <v>3</v>
      </c>
      <c r="AS187" s="161">
        <f>CF!BV38</f>
        <v>6</v>
      </c>
      <c r="AT187" s="161">
        <f>CF!BW38</f>
        <v>2</v>
      </c>
      <c r="AU187" s="160">
        <f>CF!BX38</f>
        <v>13</v>
      </c>
      <c r="AV187" s="2036">
        <f>CF!BY38</f>
        <v>11</v>
      </c>
      <c r="AW187" s="2036">
        <f>CF!BZ38</f>
        <v>11</v>
      </c>
      <c r="AX187" s="2036">
        <f>CF!CA38</f>
        <v>15.97352460902925</v>
      </c>
      <c r="AY187" s="2036">
        <f>CF!CB38</f>
        <v>11</v>
      </c>
      <c r="AZ187" s="160">
        <f>CF!CC38</f>
        <v>48.973524609029248</v>
      </c>
      <c r="BA187" s="2036">
        <f>CF!CD38</f>
        <v>138.03301750000088</v>
      </c>
      <c r="BB187" s="2036">
        <f>CF!CE38</f>
        <v>138.03301750000088</v>
      </c>
      <c r="BC187" s="2036">
        <f>CF!CF38</f>
        <v>140</v>
      </c>
      <c r="BD187" s="2036">
        <f>CF!CG38</f>
        <v>138.03301750000088</v>
      </c>
      <c r="BE187" s="160">
        <f>CF!CH38</f>
        <v>554.0990525000027</v>
      </c>
      <c r="BF187" s="160">
        <f>CF!CI38</f>
        <v>609.50895775000311</v>
      </c>
      <c r="BG187" s="147"/>
      <c r="BH187" s="147"/>
      <c r="BI187" s="147"/>
      <c r="BJ187" s="147"/>
      <c r="BK187" s="147"/>
      <c r="BL187" s="147"/>
      <c r="BM187" s="147"/>
      <c r="BN187" s="147"/>
      <c r="BO187" s="147"/>
      <c r="BP187" s="147"/>
      <c r="BQ187" s="147"/>
      <c r="BR187" s="147"/>
      <c r="BS187" s="147"/>
      <c r="BT187" s="147"/>
      <c r="BU187" s="147"/>
      <c r="BV187" s="147"/>
    </row>
    <row r="188" spans="1:74">
      <c r="A188" s="147" t="s">
        <v>215</v>
      </c>
      <c r="B188" s="160">
        <f>CF!AE39</f>
        <v>-2001</v>
      </c>
      <c r="C188" s="161">
        <f>CF!AF39</f>
        <v>-801</v>
      </c>
      <c r="D188" s="161">
        <f>CF!AG39</f>
        <v>-719</v>
      </c>
      <c r="E188" s="161">
        <f>CF!AH39</f>
        <v>-950</v>
      </c>
      <c r="F188" s="161">
        <f>CF!AI39</f>
        <v>-690</v>
      </c>
      <c r="G188" s="160">
        <f>CF!AJ39</f>
        <v>-3160</v>
      </c>
      <c r="H188" s="161">
        <f>CF!AK39</f>
        <v>-200</v>
      </c>
      <c r="I188" s="161">
        <f>CF!AL39</f>
        <v>-150</v>
      </c>
      <c r="J188" s="161">
        <f>CF!AM39</f>
        <v>-430</v>
      </c>
      <c r="K188" s="161">
        <f>CF!AN39</f>
        <v>-320</v>
      </c>
      <c r="L188" s="160">
        <f>CF!AO39</f>
        <v>-1100</v>
      </c>
      <c r="M188" s="161">
        <f>CF!AP39</f>
        <v>-500</v>
      </c>
      <c r="N188" s="161">
        <f>CF!AQ39</f>
        <v>-650</v>
      </c>
      <c r="O188" s="161">
        <f>CF!AR39</f>
        <v>-494</v>
      </c>
      <c r="P188" s="161">
        <f>CF!AS39</f>
        <v>-556</v>
      </c>
      <c r="Q188" s="160">
        <f>CF!AT39</f>
        <v>-2200</v>
      </c>
      <c r="R188" s="161">
        <f>CF!AU39</f>
        <v>-727</v>
      </c>
      <c r="S188" s="161">
        <f>CF!AV39</f>
        <v>-773</v>
      </c>
      <c r="T188" s="161">
        <f>CF!AW39</f>
        <v>-675</v>
      </c>
      <c r="U188" s="161">
        <f>CF!AX39</f>
        <v>0</v>
      </c>
      <c r="V188" s="160">
        <f>CF!AY39</f>
        <v>-2175</v>
      </c>
      <c r="W188" s="161">
        <f>CF!AZ39</f>
        <v>0</v>
      </c>
      <c r="X188" s="161">
        <f>CF!BA39</f>
        <v>0</v>
      </c>
      <c r="Y188" s="161">
        <f>CF!BB39</f>
        <v>0</v>
      </c>
      <c r="Z188" s="161">
        <f>CF!BC39</f>
        <v>0</v>
      </c>
      <c r="AA188" s="160">
        <f>CF!BD39</f>
        <v>0</v>
      </c>
      <c r="AB188" s="161">
        <f>CF!BE39</f>
        <v>-335</v>
      </c>
      <c r="AC188" s="161">
        <f>CF!BF39</f>
        <v>-335</v>
      </c>
      <c r="AD188" s="161">
        <f>CF!BG39</f>
        <v>-330</v>
      </c>
      <c r="AE188" s="161">
        <f>CF!BH39</f>
        <v>-200</v>
      </c>
      <c r="AF188" s="160">
        <f>CF!BI39</f>
        <v>-1200</v>
      </c>
      <c r="AG188" s="161">
        <f>CF!BJ39</f>
        <v>-335</v>
      </c>
      <c r="AH188" s="161">
        <f>CF!BK39</f>
        <v>-335</v>
      </c>
      <c r="AI188" s="161">
        <f>CF!BL39</f>
        <v>-425</v>
      </c>
      <c r="AJ188" s="161">
        <f>CF!BM39</f>
        <v>-405</v>
      </c>
      <c r="AK188" s="160">
        <f>CF!BN39</f>
        <v>-1500</v>
      </c>
      <c r="AL188" s="161">
        <f>CF!BO39</f>
        <v>-3000</v>
      </c>
      <c r="AM188" s="161">
        <f>CF!BP39</f>
        <v>0</v>
      </c>
      <c r="AN188" s="161">
        <f>CF!BQ39</f>
        <v>-1000</v>
      </c>
      <c r="AO188" s="161">
        <f>CF!BR39</f>
        <v>-6000</v>
      </c>
      <c r="AP188" s="160">
        <f>CF!BS39</f>
        <v>-10000</v>
      </c>
      <c r="AQ188" s="161">
        <f>CF!BT39</f>
        <v>0</v>
      </c>
      <c r="AR188" s="161">
        <f>CF!BU39</f>
        <v>-36</v>
      </c>
      <c r="AS188" s="161">
        <f>CF!BV39</f>
        <v>-492</v>
      </c>
      <c r="AT188" s="161">
        <f>CF!BW39</f>
        <v>-1726</v>
      </c>
      <c r="AU188" s="160">
        <f>CF!BX39</f>
        <v>-2254</v>
      </c>
      <c r="AV188" s="2036">
        <f>CF!BY39</f>
        <v>-933</v>
      </c>
      <c r="AW188" s="2036">
        <f>CF!BZ39</f>
        <v>-437</v>
      </c>
      <c r="AX188" s="2036">
        <f>CF!CA39</f>
        <v>-60</v>
      </c>
      <c r="AY188" s="2036">
        <f>CF!CB39</f>
        <v>0</v>
      </c>
      <c r="AZ188" s="160">
        <f>CF!CC39</f>
        <v>-1430</v>
      </c>
      <c r="BA188" s="2036">
        <f>CF!CD39</f>
        <v>0</v>
      </c>
      <c r="BB188" s="2036">
        <f>CF!CE39</f>
        <v>0</v>
      </c>
      <c r="BC188" s="2036">
        <f>CF!CF39</f>
        <v>0</v>
      </c>
      <c r="BD188" s="2036">
        <f>CF!CG39</f>
        <v>0</v>
      </c>
      <c r="BE188" s="160">
        <f>CF!CH39</f>
        <v>0</v>
      </c>
      <c r="BF188" s="160">
        <f>CF!CI39</f>
        <v>0</v>
      </c>
      <c r="BG188" s="147"/>
      <c r="BH188" s="147"/>
      <c r="BI188" s="147"/>
      <c r="BJ188" s="147"/>
      <c r="BK188" s="147"/>
      <c r="BL188" s="147"/>
      <c r="BM188" s="147"/>
      <c r="BN188" s="147"/>
      <c r="BO188" s="147"/>
      <c r="BP188" s="147"/>
      <c r="BQ188" s="147"/>
      <c r="BR188" s="147"/>
      <c r="BS188" s="147"/>
      <c r="BT188" s="147"/>
      <c r="BU188" s="147"/>
      <c r="BV188" s="147"/>
    </row>
    <row r="189" spans="1:74">
      <c r="A189" s="147" t="s">
        <v>214</v>
      </c>
      <c r="B189" s="160">
        <f>CF!AE42</f>
        <v>-1080</v>
      </c>
      <c r="C189" s="161">
        <f>CF!AF42</f>
        <v>-293</v>
      </c>
      <c r="D189" s="161">
        <f>CF!AG42</f>
        <v>-290</v>
      </c>
      <c r="E189" s="161">
        <f>CF!AH42</f>
        <v>-286</v>
      </c>
      <c r="F189" s="161">
        <f>CF!AI42</f>
        <v>-341</v>
      </c>
      <c r="G189" s="160">
        <f>CF!AJ42</f>
        <v>-1210</v>
      </c>
      <c r="H189" s="161">
        <f>CF!AK42</f>
        <v>-339</v>
      </c>
      <c r="I189" s="161">
        <f>CF!AL42</f>
        <v>-340</v>
      </c>
      <c r="J189" s="161">
        <f>CF!AM42</f>
        <v>-339</v>
      </c>
      <c r="K189" s="161">
        <f>CF!AN42</f>
        <v>-338</v>
      </c>
      <c r="L189" s="160">
        <f>CF!AO42</f>
        <v>-1356</v>
      </c>
      <c r="M189" s="161">
        <f>CF!AP42</f>
        <v>-373</v>
      </c>
      <c r="N189" s="161">
        <f>CF!AQ42</f>
        <v>-371</v>
      </c>
      <c r="O189" s="161">
        <f>CF!AR42</f>
        <v>-370</v>
      </c>
      <c r="P189" s="161">
        <f>CF!AS42</f>
        <v>-368</v>
      </c>
      <c r="Q189" s="160">
        <f>CF!AT42</f>
        <v>-1482</v>
      </c>
      <c r="R189" s="161">
        <f>CF!AU42</f>
        <v>-368</v>
      </c>
      <c r="S189" s="161">
        <f>CF!AV42</f>
        <v>-413</v>
      </c>
      <c r="T189" s="161">
        <f>CF!AW42</f>
        <v>-411</v>
      </c>
      <c r="U189" s="161">
        <f>CF!AX42</f>
        <v>-410</v>
      </c>
      <c r="V189" s="160">
        <f>CF!AY42</f>
        <v>-1602</v>
      </c>
      <c r="W189" s="161">
        <f>CF!AZ42</f>
        <v>-412</v>
      </c>
      <c r="X189" s="161">
        <f>CF!BA42</f>
        <v>-413</v>
      </c>
      <c r="Y189" s="161">
        <f>CF!BB42</f>
        <v>-463</v>
      </c>
      <c r="Z189" s="161">
        <f>CF!BC42</f>
        <v>-464</v>
      </c>
      <c r="AA189" s="160">
        <f>CF!BD42</f>
        <v>-1752</v>
      </c>
      <c r="AB189" s="161">
        <f>CF!BE42</f>
        <v>-465</v>
      </c>
      <c r="AC189" s="161">
        <f>CF!BF42</f>
        <v>-465</v>
      </c>
      <c r="AD189" s="161">
        <f>CF!BG42</f>
        <v>-465</v>
      </c>
      <c r="AE189" s="161">
        <f>CF!BH42</f>
        <v>-512</v>
      </c>
      <c r="AF189" s="160">
        <f>CF!BI42</f>
        <v>-1907</v>
      </c>
      <c r="AG189" s="161">
        <f>CF!BJ42</f>
        <v>-514</v>
      </c>
      <c r="AH189" s="161">
        <f>CF!BK42</f>
        <v>-513</v>
      </c>
      <c r="AI189" s="161">
        <f>CF!BL42</f>
        <v>-511</v>
      </c>
      <c r="AJ189" s="161">
        <f>CF!BM42</f>
        <v>-510</v>
      </c>
      <c r="AK189" s="160">
        <f>CF!BN42</f>
        <v>-2048</v>
      </c>
      <c r="AL189" s="161">
        <f>CF!BO42</f>
        <v>-553</v>
      </c>
      <c r="AM189" s="161">
        <f>CF!BP42</f>
        <v>-543</v>
      </c>
      <c r="AN189" s="161">
        <f>CF!BQ42</f>
        <v>-547</v>
      </c>
      <c r="AO189" s="161">
        <f>CF!BR42</f>
        <v>-541</v>
      </c>
      <c r="AP189" s="160">
        <f>CF!BS42</f>
        <v>-2184</v>
      </c>
      <c r="AQ189" s="161">
        <f>CF!BT42</f>
        <v>-509</v>
      </c>
      <c r="AR189" s="161">
        <f>CF!BU42</f>
        <v>-526</v>
      </c>
      <c r="AS189" s="161">
        <f>CF!BV42</f>
        <v>-526</v>
      </c>
      <c r="AT189" s="161">
        <f>CF!BW42</f>
        <v>-508</v>
      </c>
      <c r="AU189" s="160">
        <f>CF!BX42</f>
        <v>-2069</v>
      </c>
      <c r="AV189" s="2036">
        <f>CF!BY42</f>
        <v>-505</v>
      </c>
      <c r="AW189" s="2036">
        <f>CF!BZ42</f>
        <v>-503</v>
      </c>
      <c r="AX189" s="2036">
        <f>CF!CA42</f>
        <v>-533</v>
      </c>
      <c r="AY189" s="2036">
        <f>CF!CB42</f>
        <v>-552.38444022381532</v>
      </c>
      <c r="AZ189" s="160">
        <f>CF!CC42</f>
        <v>-2093.3844402238155</v>
      </c>
      <c r="BA189" s="2036">
        <f>CF!CD42</f>
        <v>-553.55665296131531</v>
      </c>
      <c r="BB189" s="2036">
        <f>CF!CE42</f>
        <v>-554.93698313631535</v>
      </c>
      <c r="BC189" s="2036">
        <f>CF!CF42</f>
        <v>-584.13317897688114</v>
      </c>
      <c r="BD189" s="2036">
        <f>CF!CG42</f>
        <v>-585.58252566063118</v>
      </c>
      <c r="BE189" s="160">
        <f>CF!CH42</f>
        <v>-2278.2093407351431</v>
      </c>
      <c r="BF189" s="160">
        <f>CF!CI42</f>
        <v>-2415.7441587170242</v>
      </c>
      <c r="BG189" s="147"/>
      <c r="BH189" s="147"/>
      <c r="BI189" s="147"/>
      <c r="BJ189" s="147"/>
      <c r="BK189" s="147"/>
      <c r="BL189" s="147"/>
      <c r="BM189" s="147"/>
      <c r="BN189" s="147"/>
      <c r="BO189" s="147"/>
      <c r="BP189" s="147"/>
      <c r="BQ189" s="147"/>
      <c r="BR189" s="147"/>
      <c r="BS189" s="147"/>
      <c r="BT189" s="147"/>
      <c r="BU189" s="147"/>
      <c r="BV189" s="147"/>
    </row>
    <row r="190" spans="1:74">
      <c r="A190" s="147" t="s">
        <v>8</v>
      </c>
      <c r="B190" s="160">
        <f>CF!AE43+CF!AE41+CF!AE40+CF!AE47+CF!AE46</f>
        <v>-341</v>
      </c>
      <c r="C190" s="161">
        <f>CF!AF43+CF!AF41+CF!AF40+CF!AF47+CF!AF46</f>
        <v>-38</v>
      </c>
      <c r="D190" s="161">
        <f>CF!AG43+CF!AG41+CF!AG40+CF!AG47+CF!AG46</f>
        <v>-80</v>
      </c>
      <c r="E190" s="161">
        <f>CF!AH43+CF!AH41+CF!AH40+CF!AH47+CF!AH46</f>
        <v>-65</v>
      </c>
      <c r="F190" s="161">
        <f>CF!AI43+CF!AI41+CF!AI40+CF!AI47+CF!AI46</f>
        <v>-340</v>
      </c>
      <c r="G190" s="160">
        <f>CF!AJ43+CF!AJ41+CF!AJ40+CF!AJ47+CF!AJ46</f>
        <v>-523</v>
      </c>
      <c r="H190" s="161">
        <f>CF!AK43+CF!AK41+CF!AK40+CF!AK47+CF!AK46</f>
        <v>-167</v>
      </c>
      <c r="I190" s="161">
        <f>CF!AL43+CF!AL41+CF!AL40+CF!AL47+CF!AL46</f>
        <v>-54</v>
      </c>
      <c r="J190" s="161">
        <f>CF!AM43+CF!AM41+CF!AM40+CF!AM47+CF!AM46</f>
        <v>9</v>
      </c>
      <c r="K190" s="161">
        <f>CF!AN43+CF!AN41+CF!AN40+CF!AN47+CF!AN46</f>
        <v>-69</v>
      </c>
      <c r="L190" s="160">
        <f>CF!AO43+CF!AO41+CF!AO40+CF!AO47+CF!AO46</f>
        <v>-281</v>
      </c>
      <c r="M190" s="161">
        <f>CF!AP43+CF!AP41+CF!AP40+CF!AP47+CF!AP46</f>
        <v>-125</v>
      </c>
      <c r="N190" s="161">
        <f>CF!AQ43+CF!AQ41+CF!AQ40+CF!AQ47+CF!AQ46</f>
        <v>-111</v>
      </c>
      <c r="O190" s="161">
        <f>CF!AR43+CF!AR41+CF!AR40+CF!AR47+CF!AR46</f>
        <v>-37</v>
      </c>
      <c r="P190" s="161">
        <f>CF!AS43+CF!AS41+CF!AS40+CF!AS47+CF!AS46</f>
        <v>-61</v>
      </c>
      <c r="Q190" s="160">
        <f>CF!AT43+CF!AT41+CF!AT40+CF!AT47+CF!AT46</f>
        <v>-334</v>
      </c>
      <c r="R190" s="161">
        <f>CF!AU43+CF!AU41+CF!AU40+CF!AU47+CF!AU46</f>
        <v>47</v>
      </c>
      <c r="S190" s="161">
        <f>CF!AV43+CF!AV41+CF!AV40+CF!AV47+CF!AV46</f>
        <v>-71</v>
      </c>
      <c r="T190" s="161">
        <f>CF!AW43+CF!AW41+CF!AW40+CF!AW47+CF!AW46</f>
        <v>-259</v>
      </c>
      <c r="U190" s="161">
        <f>CF!AX43+CF!AX41+CF!AX40+CF!AX47+CF!AX46</f>
        <v>-48</v>
      </c>
      <c r="V190" s="160">
        <f>CF!AY43+CF!AY41+CF!AY40+CF!AY47+CF!AY46</f>
        <v>-331</v>
      </c>
      <c r="W190" s="161">
        <f>CF!AZ43+CF!AZ41+CF!AZ40+CF!AZ47+CF!AZ46</f>
        <v>-114</v>
      </c>
      <c r="X190" s="161">
        <f>CF!BA43+CF!BA41+CF!BA40+CF!BA47+CF!BA46</f>
        <v>-408</v>
      </c>
      <c r="Y190" s="161">
        <f>CF!BB43+CF!BB41+CF!BB40+CF!BB47+CF!BB46</f>
        <v>-3614</v>
      </c>
      <c r="Z190" s="161">
        <f>CF!BC43+CF!BC41+CF!BC40+CF!BC47+CF!BC46</f>
        <v>3304</v>
      </c>
      <c r="AA190" s="160">
        <f>CF!BD43+CF!BD41+CF!BD40+CF!BD47+CF!BD46</f>
        <v>-682</v>
      </c>
      <c r="AB190" s="161">
        <f>CF!BE43+CF!BE41+CF!BE40+CF!BE47+CF!BE46</f>
        <v>-756</v>
      </c>
      <c r="AC190" s="161">
        <f>CF!BF43+CF!BF41+CF!BF40+CF!BF47+CF!BF46</f>
        <v>333</v>
      </c>
      <c r="AD190" s="161">
        <f>CF!BG43+CF!BG41+CF!BG40+CF!BG47+CF!BG46</f>
        <v>25</v>
      </c>
      <c r="AE190" s="161">
        <f>CF!BH43+CF!BH41+CF!BH40+CF!BH47+CF!BH46</f>
        <v>-134</v>
      </c>
      <c r="AF190" s="160">
        <f>CF!BI43+CF!BI41+CF!BI40+CF!BI47+CF!BI46</f>
        <v>-532</v>
      </c>
      <c r="AG190" s="161">
        <f>CF!BJ43+CF!BJ41+CF!BJ40+CF!BJ47+CF!BJ46</f>
        <v>-74</v>
      </c>
      <c r="AH190" s="161">
        <f>CF!BK43+CF!BK41+CF!BK40+CF!BK47+CF!BK46</f>
        <v>-36</v>
      </c>
      <c r="AI190" s="161">
        <f>CF!BL43+CF!BL41+CF!BL40+CF!BL47+CF!BL46</f>
        <v>-279</v>
      </c>
      <c r="AJ190" s="161">
        <f>CF!BM43+CF!BM41+CF!BM40+CF!BM47+CF!BM46</f>
        <v>-25</v>
      </c>
      <c r="AK190" s="160">
        <f>CF!BN43+CF!BN41+CF!BN40+CF!BN47+CF!BN46</f>
        <v>-414</v>
      </c>
      <c r="AL190" s="161">
        <f>CF!BO43+CF!BO41+CF!BO40+CF!BO47+CF!BO46</f>
        <v>-107</v>
      </c>
      <c r="AM190" s="161">
        <f>CF!BP43+CF!BP41+CF!BP40+CF!BP47+CF!BP46</f>
        <v>-64</v>
      </c>
      <c r="AN190" s="161">
        <f>CF!BQ43+CF!BQ41+CF!BQ40+CF!BQ47+CF!BQ46</f>
        <v>-334</v>
      </c>
      <c r="AO190" s="161">
        <f>CF!BR43+CF!BR41+CF!BR40+CF!BR47+CF!BR46</f>
        <v>8838</v>
      </c>
      <c r="AP190" s="160">
        <f>CF!BS43+CF!BS41+CF!BS40+CF!BS47+CF!BS46</f>
        <v>8333</v>
      </c>
      <c r="AQ190" s="161">
        <f>CF!BT43+CF!BT41+CF!BT40+CF!BT47+CF!BT46</f>
        <v>-2291</v>
      </c>
      <c r="AR190" s="161">
        <f>CF!BU43+CF!BU41+CF!BU40+CF!BU47+CF!BU46</f>
        <v>-274</v>
      </c>
      <c r="AS190" s="161">
        <f>CF!BV43+CF!BV41+CF!BV40+CF!BV47+CF!BV46</f>
        <v>-238</v>
      </c>
      <c r="AT190" s="161">
        <f>CF!BW43+CF!BW41+CF!BW40+CF!BW47+CF!BW46</f>
        <v>40</v>
      </c>
      <c r="AU190" s="160">
        <f>CF!BX43+CF!BX41+CF!BX40+CF!BX47+CF!BX46</f>
        <v>-2763</v>
      </c>
      <c r="AV190" s="2036">
        <f>CF!BY43+CF!BY41+CF!BY40+CF!BY47+CF!BY46</f>
        <v>-109</v>
      </c>
      <c r="AW190" s="2036">
        <f>CF!BZ43+CF!BZ41+CF!BZ40+CF!BZ47+CF!BZ46</f>
        <v>-221</v>
      </c>
      <c r="AX190" s="2036">
        <f>CF!CA43+CF!CA41+CF!CA40+CF!CA47+CF!CA46</f>
        <v>-181.97352460902925</v>
      </c>
      <c r="AY190" s="2036">
        <f>CF!CB43+CF!CB41+CF!CB40+CF!CB47+CF!CB46</f>
        <v>0</v>
      </c>
      <c r="AZ190" s="160">
        <f>CF!CC43+CF!CC41+CF!CC40+CF!CC47+CF!CC46</f>
        <v>-511.97352460902925</v>
      </c>
      <c r="BA190" s="2036">
        <f>CF!CD43+CF!CD41+CF!CD40+CF!CD47+CF!CD46</f>
        <v>0</v>
      </c>
      <c r="BB190" s="2036">
        <f>CF!CE43+CF!CE41+CF!CE40+CF!CE47+CF!CE46</f>
        <v>0</v>
      </c>
      <c r="BC190" s="2036">
        <f>CF!CF43+CF!CF41+CF!CF40+CF!CF47+CF!CF46</f>
        <v>0</v>
      </c>
      <c r="BD190" s="2036">
        <f>CF!CG43+CF!CG41+CF!CG40+CF!CG47+CF!CG46</f>
        <v>0</v>
      </c>
      <c r="BE190" s="160">
        <f>CF!CH43+CF!CH41+CF!CH40+CF!CH47+CF!CH46</f>
        <v>0</v>
      </c>
      <c r="BF190" s="160">
        <f>CF!CI43+CF!CI41+CF!CI40+CF!CI47+CF!CI46</f>
        <v>0</v>
      </c>
      <c r="BG190" s="147"/>
      <c r="BH190" s="147"/>
      <c r="BI190" s="147"/>
      <c r="BJ190" s="147"/>
      <c r="BK190" s="147"/>
      <c r="BL190" s="147"/>
      <c r="BM190" s="147"/>
      <c r="BN190" s="147"/>
      <c r="BO190" s="147"/>
      <c r="BP190" s="147"/>
      <c r="BQ190" s="147"/>
      <c r="BR190" s="147"/>
      <c r="BS190" s="147"/>
      <c r="BT190" s="147"/>
      <c r="BU190" s="147"/>
      <c r="BV190" s="147"/>
    </row>
    <row r="191" spans="1:74">
      <c r="A191" s="150" t="s">
        <v>213</v>
      </c>
      <c r="B191" s="158">
        <f>CF!AE48</f>
        <v>-859</v>
      </c>
      <c r="C191" s="159">
        <f>CF!AF48</f>
        <v>-634</v>
      </c>
      <c r="D191" s="159">
        <f>CF!AG48</f>
        <v>-410</v>
      </c>
      <c r="E191" s="159">
        <f>CF!AH48</f>
        <v>531</v>
      </c>
      <c r="F191" s="159">
        <f>CF!AI48</f>
        <v>-392</v>
      </c>
      <c r="G191" s="158">
        <f>CF!AJ48</f>
        <v>-905</v>
      </c>
      <c r="H191" s="159">
        <f>CF!AK48</f>
        <v>-406</v>
      </c>
      <c r="I191" s="159">
        <f>CF!AL48</f>
        <v>755</v>
      </c>
      <c r="J191" s="159">
        <f>CF!AM48</f>
        <v>1000</v>
      </c>
      <c r="K191" s="159">
        <f>CF!AN48</f>
        <v>505</v>
      </c>
      <c r="L191" s="158">
        <f>CF!AO48</f>
        <v>1854</v>
      </c>
      <c r="M191" s="159">
        <f>CF!AP48</f>
        <v>-1869</v>
      </c>
      <c r="N191" s="159">
        <f>CF!AQ48</f>
        <v>96</v>
      </c>
      <c r="O191" s="159">
        <f>CF!AR48</f>
        <v>497</v>
      </c>
      <c r="P191" s="159">
        <f>CF!AS48</f>
        <v>365</v>
      </c>
      <c r="Q191" s="158">
        <f>CF!AT48</f>
        <v>-911</v>
      </c>
      <c r="R191" s="159">
        <f>CF!AU48</f>
        <v>159</v>
      </c>
      <c r="S191" s="159">
        <f>CF!AV48</f>
        <v>45</v>
      </c>
      <c r="T191" s="159">
        <f>CF!AW48</f>
        <v>604</v>
      </c>
      <c r="U191" s="159">
        <f>CF!AX48</f>
        <v>1098</v>
      </c>
      <c r="V191" s="158">
        <f>CF!AY48</f>
        <v>1906</v>
      </c>
      <c r="W191" s="159">
        <f>CF!AZ48</f>
        <v>794</v>
      </c>
      <c r="X191" s="159">
        <f>CF!BA48</f>
        <v>-11249</v>
      </c>
      <c r="Y191" s="159">
        <f>CF!BB48</f>
        <v>-7703</v>
      </c>
      <c r="Z191" s="159">
        <f>CF!BC48</f>
        <v>4056</v>
      </c>
      <c r="AA191" s="158">
        <f>CF!BD48</f>
        <v>-14102</v>
      </c>
      <c r="AB191" s="159">
        <f>CF!BE48</f>
        <v>345</v>
      </c>
      <c r="AC191" s="159">
        <f>CF!BF48</f>
        <v>1310</v>
      </c>
      <c r="AD191" s="159">
        <f>CF!BG48</f>
        <v>180</v>
      </c>
      <c r="AE191" s="159">
        <f>CF!BH48</f>
        <v>945</v>
      </c>
      <c r="AF191" s="158">
        <f>CF!BI48</f>
        <v>2780</v>
      </c>
      <c r="AG191" s="159">
        <f>CF!BJ48</f>
        <v>56</v>
      </c>
      <c r="AH191" s="159">
        <f>CF!BK48</f>
        <v>456</v>
      </c>
      <c r="AI191" s="159">
        <f>CF!BL48</f>
        <v>147</v>
      </c>
      <c r="AJ191" s="159">
        <f>CF!BM48</f>
        <v>404</v>
      </c>
      <c r="AK191" s="158">
        <f>CF!BN48</f>
        <v>1063</v>
      </c>
      <c r="AL191" s="159">
        <f>CF!BO48</f>
        <v>-2153</v>
      </c>
      <c r="AM191" s="159">
        <f>CF!BP48</f>
        <v>202</v>
      </c>
      <c r="AN191" s="159">
        <f>CF!BQ48</f>
        <v>-680</v>
      </c>
      <c r="AO191" s="159">
        <f>CF!BR48</f>
        <v>3840</v>
      </c>
      <c r="AP191" s="158">
        <f>CF!BS48</f>
        <v>1209</v>
      </c>
      <c r="AQ191" s="159">
        <f>CF!BT48</f>
        <v>-2486</v>
      </c>
      <c r="AR191" s="159">
        <f>CF!BU48</f>
        <v>84</v>
      </c>
      <c r="AS191" s="159">
        <f>CF!BV48</f>
        <v>194</v>
      </c>
      <c r="AT191" s="159">
        <f>CF!BW48</f>
        <v>-1186</v>
      </c>
      <c r="AU191" s="158">
        <f>CF!BX48</f>
        <v>-3394</v>
      </c>
      <c r="AV191" s="2035">
        <f>CF!BY48</f>
        <v>-682</v>
      </c>
      <c r="AW191" s="2035">
        <f>CF!BZ48</f>
        <v>145</v>
      </c>
      <c r="AX191" s="2035">
        <f>CF!CA48</f>
        <v>-1456</v>
      </c>
      <c r="AY191" s="2035">
        <f>CF!CB48</f>
        <v>1129.5837213590073</v>
      </c>
      <c r="AZ191" s="158">
        <f>CF!CC48</f>
        <v>-863.41627864099337</v>
      </c>
      <c r="BA191" s="2035">
        <f>CF!CD48</f>
        <v>-26.95253855839826</v>
      </c>
      <c r="BB191" s="2035">
        <f>CF!CE48</f>
        <v>872.53655405092627</v>
      </c>
      <c r="BC191" s="2035">
        <f>CF!CF48</f>
        <v>1120.0073866666876</v>
      </c>
      <c r="BD191" s="2035">
        <f>CF!CG48</f>
        <v>1383.3645739429094</v>
      </c>
      <c r="BE191" s="158">
        <f>CF!CH48</f>
        <v>3348.9559761021301</v>
      </c>
      <c r="BF191" s="158">
        <f>CF!CI48</f>
        <v>4518.7000729195761</v>
      </c>
      <c r="BG191" s="147"/>
      <c r="BH191" s="147"/>
      <c r="BI191" s="147"/>
      <c r="BJ191" s="147"/>
      <c r="BK191" s="147"/>
      <c r="BL191" s="147"/>
      <c r="BM191" s="147"/>
      <c r="BN191" s="147"/>
      <c r="BO191" s="147"/>
      <c r="BP191" s="147"/>
      <c r="BQ191" s="147"/>
      <c r="BR191" s="147"/>
      <c r="BS191" s="147"/>
      <c r="BT191" s="147"/>
      <c r="BU191" s="147"/>
      <c r="BV191" s="147"/>
    </row>
    <row r="192" spans="1:74">
      <c r="A192" s="147"/>
      <c r="B192" s="157"/>
      <c r="C192" s="147"/>
      <c r="D192" s="147"/>
      <c r="E192" s="147"/>
      <c r="F192" s="147"/>
      <c r="G192" s="157"/>
      <c r="H192" s="147"/>
      <c r="I192" s="147"/>
      <c r="J192" s="147"/>
      <c r="K192" s="147"/>
      <c r="L192" s="157"/>
      <c r="M192" s="147"/>
      <c r="N192" s="147"/>
      <c r="O192" s="147"/>
      <c r="P192" s="147"/>
      <c r="Q192" s="157"/>
      <c r="R192" s="147"/>
      <c r="S192" s="147"/>
      <c r="T192" s="147"/>
      <c r="U192" s="147"/>
      <c r="V192" s="157"/>
      <c r="W192" s="147"/>
      <c r="X192" s="147"/>
      <c r="Y192" s="147"/>
      <c r="Z192" s="147"/>
      <c r="AA192" s="157"/>
      <c r="AB192" s="147"/>
      <c r="AC192" s="147"/>
      <c r="AD192" s="147"/>
      <c r="AE192" s="147"/>
      <c r="AF192" s="157"/>
      <c r="AG192" s="147"/>
      <c r="AH192" s="147"/>
      <c r="AI192" s="147"/>
      <c r="AJ192" s="147"/>
      <c r="AK192" s="157"/>
      <c r="AL192" s="147"/>
      <c r="AM192" s="147"/>
      <c r="AN192" s="147"/>
      <c r="AO192" s="147"/>
      <c r="AP192" s="157"/>
      <c r="AQ192" s="147"/>
      <c r="AR192" s="147"/>
      <c r="AS192" s="147"/>
      <c r="AT192" s="147"/>
      <c r="AU192" s="157"/>
      <c r="AV192" s="2030"/>
      <c r="AW192" s="2030"/>
      <c r="AX192" s="2030"/>
      <c r="AY192" s="2030"/>
      <c r="AZ192" s="157"/>
      <c r="BA192" s="2030"/>
      <c r="BB192" s="2030"/>
      <c r="BC192" s="2030"/>
      <c r="BD192" s="2030"/>
      <c r="BE192" s="157"/>
      <c r="BF192" s="157"/>
      <c r="BG192" s="147"/>
      <c r="BH192" s="147"/>
      <c r="BI192" s="147"/>
      <c r="BJ192" s="147"/>
      <c r="BK192" s="147"/>
      <c r="BL192" s="147"/>
      <c r="BM192" s="147"/>
      <c r="BN192" s="147"/>
      <c r="BO192" s="147"/>
      <c r="BP192" s="147"/>
      <c r="BQ192" s="147"/>
      <c r="BR192" s="147"/>
      <c r="BS192" s="147"/>
      <c r="BT192" s="147"/>
      <c r="BU192" s="147"/>
      <c r="BV192" s="147"/>
    </row>
    <row r="193" spans="1:74">
      <c r="A193" s="156" t="s">
        <v>139</v>
      </c>
      <c r="B193" s="154">
        <f>CF!AE60</f>
        <v>2904</v>
      </c>
      <c r="C193" s="155">
        <f>CF!AF60</f>
        <v>3139</v>
      </c>
      <c r="D193" s="155">
        <f>CF!AG60</f>
        <v>3442</v>
      </c>
      <c r="E193" s="155">
        <f>CF!AH60</f>
        <v>3615</v>
      </c>
      <c r="F193" s="155">
        <f>CF!AI60</f>
        <v>4327</v>
      </c>
      <c r="G193" s="154">
        <f>CF!AJ60</f>
        <v>4327</v>
      </c>
      <c r="H193" s="155">
        <f>CF!AK60</f>
        <v>3272</v>
      </c>
      <c r="I193" s="155">
        <f>CF!AL60</f>
        <v>4016</v>
      </c>
      <c r="J193" s="155">
        <f>CF!AM60</f>
        <v>4632</v>
      </c>
      <c r="K193" s="155">
        <f>CF!AN60</f>
        <v>4449</v>
      </c>
      <c r="L193" s="154">
        <f>CF!AO60</f>
        <v>4449</v>
      </c>
      <c r="M193" s="155">
        <f>CF!AP60</f>
        <v>4788</v>
      </c>
      <c r="N193" s="155">
        <f>CF!AQ60</f>
        <v>4997</v>
      </c>
      <c r="O193" s="155">
        <f>CF!AR60</f>
        <v>5731</v>
      </c>
      <c r="P193" s="155">
        <f>CF!AS60</f>
        <v>4083</v>
      </c>
      <c r="Q193" s="154">
        <f>CF!AT60</f>
        <v>4083</v>
      </c>
      <c r="R193" s="155">
        <f>CF!AU60</f>
        <v>4440</v>
      </c>
      <c r="S193" s="155">
        <f>CF!AV60</f>
        <v>5396</v>
      </c>
      <c r="T193" s="155">
        <f>CF!AW60</f>
        <v>5966</v>
      </c>
      <c r="U193" s="155">
        <f>CF!AX60</f>
        <v>5960</v>
      </c>
      <c r="V193" s="154">
        <f>CF!AY60</f>
        <v>5960</v>
      </c>
      <c r="W193" s="155">
        <f>CF!AZ60</f>
        <v>6285</v>
      </c>
      <c r="X193" s="155">
        <f>CF!BA60</f>
        <v>5966</v>
      </c>
      <c r="Y193" s="155">
        <f>CF!BB60</f>
        <v>6242</v>
      </c>
      <c r="Z193" s="155">
        <f>CF!BC60</f>
        <v>4819</v>
      </c>
      <c r="AA193" s="154">
        <f>CF!BD60</f>
        <v>4819</v>
      </c>
      <c r="AB193" s="155">
        <f>CF!BE60</f>
        <v>4767</v>
      </c>
      <c r="AC193" s="155">
        <f>CF!BF60</f>
        <v>4909</v>
      </c>
      <c r="AD193" s="155">
        <f>CF!BG60</f>
        <v>4621</v>
      </c>
      <c r="AE193" s="155">
        <f>CF!BH60</f>
        <v>4619</v>
      </c>
      <c r="AF193" s="154">
        <f>CF!BI60</f>
        <v>4619</v>
      </c>
      <c r="AG193" s="155">
        <f>CF!BJ60</f>
        <v>4477</v>
      </c>
      <c r="AH193" s="155">
        <f>CF!BK60</f>
        <v>4962</v>
      </c>
      <c r="AI193" s="155">
        <f>CF!BL60</f>
        <v>5035</v>
      </c>
      <c r="AJ193" s="155">
        <f>CF!BM60</f>
        <v>5235</v>
      </c>
      <c r="AK193" s="154">
        <f>CF!BN60</f>
        <v>5235</v>
      </c>
      <c r="AL193" s="155">
        <f>CF!BO60</f>
        <v>5281</v>
      </c>
      <c r="AM193" s="155">
        <f>CF!BP60</f>
        <v>5933</v>
      </c>
      <c r="AN193" s="155">
        <f>CF!BQ60</f>
        <v>5477</v>
      </c>
      <c r="AO193" s="155">
        <f>CF!BR60</f>
        <v>7075</v>
      </c>
      <c r="AP193" s="154">
        <f>CF!BS60</f>
        <v>7075</v>
      </c>
      <c r="AQ193" s="155">
        <f>CF!BT60</f>
        <v>7215</v>
      </c>
      <c r="AR193" s="155">
        <f>CF!BU60</f>
        <v>6785</v>
      </c>
      <c r="AS193" s="155">
        <f>CF!BV60</f>
        <v>7107</v>
      </c>
      <c r="AT193" s="155">
        <f>CF!BW60</f>
        <v>7157</v>
      </c>
      <c r="AU193" s="154">
        <f>CF!BX60</f>
        <v>7157</v>
      </c>
      <c r="AV193" s="2034">
        <f>CF!BY60</f>
        <v>7156</v>
      </c>
      <c r="AW193" s="2034">
        <f>CF!BZ60</f>
        <v>9345</v>
      </c>
      <c r="AX193" s="2034">
        <f>CF!CA60</f>
        <v>8523</v>
      </c>
      <c r="AY193" s="2034">
        <f>CF!CB60</f>
        <v>9652.5837213590057</v>
      </c>
      <c r="AZ193" s="154">
        <f>CF!CC60</f>
        <v>9652.5837213590057</v>
      </c>
      <c r="BA193" s="2034">
        <f>CF!CD60</f>
        <v>10625.631182800607</v>
      </c>
      <c r="BB193" s="2034">
        <f>CF!CE60</f>
        <v>12498.167736851534</v>
      </c>
      <c r="BC193" s="2034">
        <f>CF!CF60</f>
        <v>13618.175123518222</v>
      </c>
      <c r="BD193" s="2034">
        <f>CF!CG60</f>
        <v>15001.539697461132</v>
      </c>
      <c r="BE193" s="154">
        <f>CF!CH60</f>
        <v>15001.539697461136</v>
      </c>
      <c r="BF193" s="154">
        <f>CF!CI60</f>
        <v>19520.239770380711</v>
      </c>
      <c r="BG193" s="147"/>
      <c r="BH193" s="147"/>
      <c r="BI193" s="147"/>
      <c r="BJ193" s="147"/>
      <c r="BK193" s="147"/>
      <c r="BL193" s="147"/>
      <c r="BM193" s="147"/>
      <c r="BN193" s="147"/>
      <c r="BO193" s="147"/>
      <c r="BP193" s="147"/>
      <c r="BQ193" s="147"/>
      <c r="BR193" s="147"/>
      <c r="BS193" s="147"/>
      <c r="BT193" s="147"/>
      <c r="BU193" s="147"/>
      <c r="BV193" s="147"/>
    </row>
    <row r="194" spans="1:74">
      <c r="A194" s="153" t="s">
        <v>106</v>
      </c>
      <c r="B194" s="151">
        <f>-CF!AE64</f>
        <v>9148</v>
      </c>
      <c r="C194" s="152">
        <f>-CF!AF64</f>
        <v>10017</v>
      </c>
      <c r="D194" s="152">
        <f>-CF!AG64</f>
        <v>10730</v>
      </c>
      <c r="E194" s="152">
        <f>-CF!AH64</f>
        <v>10372</v>
      </c>
      <c r="F194" s="152">
        <f>-CF!AI64</f>
        <v>11476</v>
      </c>
      <c r="G194" s="151">
        <f>-CF!AJ64</f>
        <v>11476</v>
      </c>
      <c r="H194" s="152">
        <f>-CF!AK64</f>
        <v>10827</v>
      </c>
      <c r="I194" s="152">
        <f>-CF!AL64</f>
        <v>10816</v>
      </c>
      <c r="J194" s="152">
        <f>-CF!AM64</f>
        <v>10432</v>
      </c>
      <c r="K194" s="152">
        <f>-CF!AN64</f>
        <v>9744</v>
      </c>
      <c r="L194" s="151">
        <f>-CF!AO64</f>
        <v>9744</v>
      </c>
      <c r="M194" s="152">
        <f>-CF!AP64</f>
        <v>11952</v>
      </c>
      <c r="N194" s="152">
        <f>-CF!AQ64</f>
        <v>12065</v>
      </c>
      <c r="O194" s="152">
        <f>-CF!AR64</f>
        <v>12302</v>
      </c>
      <c r="P194" s="152">
        <f>-CF!AS64</f>
        <v>10289</v>
      </c>
      <c r="Q194" s="151">
        <f>-CF!AT64</f>
        <v>10289</v>
      </c>
      <c r="R194" s="152">
        <f>-CF!AU64</f>
        <v>10487</v>
      </c>
      <c r="S194" s="152">
        <f>-CF!AV64</f>
        <v>11398</v>
      </c>
      <c r="T194" s="152">
        <f>-CF!AW64</f>
        <v>11364</v>
      </c>
      <c r="U194" s="152">
        <f>-CF!AX64</f>
        <v>10260</v>
      </c>
      <c r="V194" s="151">
        <f>-CF!AY64</f>
        <v>10260</v>
      </c>
      <c r="W194" s="152">
        <f>-CF!AZ64</f>
        <v>9791</v>
      </c>
      <c r="X194" s="152">
        <f>-CF!BA64</f>
        <v>20721</v>
      </c>
      <c r="Y194" s="152">
        <f>-CF!BB64</f>
        <v>28700</v>
      </c>
      <c r="Z194" s="152">
        <f>-CF!BC64</f>
        <v>23221</v>
      </c>
      <c r="AA194" s="151">
        <f>-CF!BD64</f>
        <v>23221</v>
      </c>
      <c r="AB194" s="152">
        <f>-CF!BE64</f>
        <v>22824</v>
      </c>
      <c r="AC194" s="152">
        <f>-CF!BF64</f>
        <v>21656</v>
      </c>
      <c r="AD194" s="152">
        <f>-CF!BG64</f>
        <v>21188</v>
      </c>
      <c r="AE194" s="152">
        <f>-CF!BH64</f>
        <v>20241</v>
      </c>
      <c r="AF194" s="151">
        <f>-CF!BI64</f>
        <v>20241</v>
      </c>
      <c r="AG194" s="152">
        <f>-CF!BJ64</f>
        <v>20043</v>
      </c>
      <c r="AH194" s="152">
        <f>-CF!BK64</f>
        <v>20072</v>
      </c>
      <c r="AI194" s="152">
        <f>-CF!BL64</f>
        <v>19998</v>
      </c>
      <c r="AJ194" s="152">
        <f>-CF!BM64</f>
        <v>19794</v>
      </c>
      <c r="AK194" s="151">
        <f>-CF!BN64</f>
        <v>19794</v>
      </c>
      <c r="AL194" s="152">
        <f>-CF!BO64</f>
        <v>21993</v>
      </c>
      <c r="AM194" s="152">
        <f>-CF!BP64</f>
        <v>22443</v>
      </c>
      <c r="AN194" s="152">
        <f>-CF!BQ64</f>
        <v>22667</v>
      </c>
      <c r="AO194" s="152">
        <f>-CF!BR64</f>
        <v>20425</v>
      </c>
      <c r="AP194" s="151">
        <f>-CF!BS64</f>
        <v>20425</v>
      </c>
      <c r="AQ194" s="152">
        <f>-CF!BT64</f>
        <v>23051</v>
      </c>
      <c r="AR194" s="152">
        <f>-CF!BU64</f>
        <v>22537</v>
      </c>
      <c r="AS194" s="152">
        <f>-CF!BV64</f>
        <v>22665</v>
      </c>
      <c r="AT194" s="152">
        <f>-CF!BW64</f>
        <v>23901</v>
      </c>
      <c r="AU194" s="151">
        <f>-CF!BX64</f>
        <v>23901</v>
      </c>
      <c r="AV194" s="2032">
        <f>-CF!BY64</f>
        <v>24582</v>
      </c>
      <c r="AW194" s="2032">
        <f>-CF!BZ64</f>
        <v>26626</v>
      </c>
      <c r="AX194" s="2032">
        <f>-CF!CA64</f>
        <v>27260</v>
      </c>
      <c r="AY194" s="2032">
        <f>-CF!CB64</f>
        <v>27260</v>
      </c>
      <c r="AZ194" s="151">
        <f>-CF!CC64</f>
        <v>27260</v>
      </c>
      <c r="BA194" s="2032">
        <f>-CF!CD64</f>
        <v>28260</v>
      </c>
      <c r="BB194" s="2032">
        <f>-CF!CE64</f>
        <v>29260</v>
      </c>
      <c r="BC194" s="2032">
        <f>-CF!CF64</f>
        <v>29260</v>
      </c>
      <c r="BD194" s="2032">
        <f>-CF!CG64</f>
        <v>29260</v>
      </c>
      <c r="BE194" s="151">
        <f>-CF!CH64</f>
        <v>29260</v>
      </c>
      <c r="BF194" s="151">
        <f>-CF!CI64</f>
        <v>29260</v>
      </c>
      <c r="BG194" s="147"/>
      <c r="BH194" s="147"/>
      <c r="BI194" s="147"/>
      <c r="BJ194" s="147"/>
      <c r="BK194" s="147"/>
      <c r="BL194" s="147"/>
      <c r="BM194" s="147"/>
      <c r="BN194" s="147"/>
      <c r="BO194" s="147"/>
      <c r="BP194" s="147"/>
      <c r="BQ194" s="147"/>
      <c r="BR194" s="147"/>
      <c r="BS194" s="147"/>
      <c r="BT194" s="147"/>
      <c r="BU194" s="147"/>
      <c r="BV194" s="147"/>
    </row>
    <row r="195" spans="1:74">
      <c r="A195" s="150" t="s">
        <v>105</v>
      </c>
      <c r="B195" s="148">
        <f t="shared" ref="B195:AZ195" si="73">+B194-B193</f>
        <v>6244</v>
      </c>
      <c r="C195" s="149">
        <f t="shared" si="73"/>
        <v>6878</v>
      </c>
      <c r="D195" s="149">
        <f t="shared" si="73"/>
        <v>7288</v>
      </c>
      <c r="E195" s="149">
        <f t="shared" si="73"/>
        <v>6757</v>
      </c>
      <c r="F195" s="149">
        <f t="shared" si="73"/>
        <v>7149</v>
      </c>
      <c r="G195" s="148">
        <f t="shared" si="73"/>
        <v>7149</v>
      </c>
      <c r="H195" s="149">
        <f t="shared" si="73"/>
        <v>7555</v>
      </c>
      <c r="I195" s="149">
        <f t="shared" si="73"/>
        <v>6800</v>
      </c>
      <c r="J195" s="149">
        <f t="shared" si="73"/>
        <v>5800</v>
      </c>
      <c r="K195" s="149">
        <f t="shared" si="73"/>
        <v>5295</v>
      </c>
      <c r="L195" s="148">
        <f t="shared" si="73"/>
        <v>5295</v>
      </c>
      <c r="M195" s="149">
        <f t="shared" si="73"/>
        <v>7164</v>
      </c>
      <c r="N195" s="149">
        <f t="shared" si="73"/>
        <v>7068</v>
      </c>
      <c r="O195" s="149">
        <f t="shared" si="73"/>
        <v>6571</v>
      </c>
      <c r="P195" s="149">
        <f t="shared" si="73"/>
        <v>6206</v>
      </c>
      <c r="Q195" s="148">
        <f t="shared" si="73"/>
        <v>6206</v>
      </c>
      <c r="R195" s="149">
        <f t="shared" si="73"/>
        <v>6047</v>
      </c>
      <c r="S195" s="149">
        <f t="shared" si="73"/>
        <v>6002</v>
      </c>
      <c r="T195" s="149">
        <f t="shared" si="73"/>
        <v>5398</v>
      </c>
      <c r="U195" s="149">
        <f t="shared" si="73"/>
        <v>4300</v>
      </c>
      <c r="V195" s="148">
        <f t="shared" si="73"/>
        <v>4300</v>
      </c>
      <c r="W195" s="149">
        <f t="shared" si="73"/>
        <v>3506</v>
      </c>
      <c r="X195" s="149">
        <f t="shared" si="73"/>
        <v>14755</v>
      </c>
      <c r="Y195" s="149">
        <f t="shared" si="73"/>
        <v>22458</v>
      </c>
      <c r="Z195" s="149">
        <f t="shared" si="73"/>
        <v>18402</v>
      </c>
      <c r="AA195" s="148">
        <f t="shared" si="73"/>
        <v>18402</v>
      </c>
      <c r="AB195" s="149">
        <f t="shared" si="73"/>
        <v>18057</v>
      </c>
      <c r="AC195" s="149">
        <f t="shared" si="73"/>
        <v>16747</v>
      </c>
      <c r="AD195" s="149">
        <f t="shared" si="73"/>
        <v>16567</v>
      </c>
      <c r="AE195" s="149">
        <f t="shared" si="73"/>
        <v>15622</v>
      </c>
      <c r="AF195" s="148">
        <f t="shared" si="73"/>
        <v>15622</v>
      </c>
      <c r="AG195" s="149">
        <f t="shared" si="73"/>
        <v>15566</v>
      </c>
      <c r="AH195" s="149">
        <f t="shared" si="73"/>
        <v>15110</v>
      </c>
      <c r="AI195" s="149">
        <f t="shared" si="73"/>
        <v>14963</v>
      </c>
      <c r="AJ195" s="149">
        <f t="shared" si="73"/>
        <v>14559</v>
      </c>
      <c r="AK195" s="148">
        <f t="shared" si="73"/>
        <v>14559</v>
      </c>
      <c r="AL195" s="149">
        <f t="shared" si="73"/>
        <v>16712</v>
      </c>
      <c r="AM195" s="149">
        <f t="shared" si="73"/>
        <v>16510</v>
      </c>
      <c r="AN195" s="149">
        <f t="shared" si="73"/>
        <v>17190</v>
      </c>
      <c r="AO195" s="149">
        <f t="shared" si="73"/>
        <v>13350</v>
      </c>
      <c r="AP195" s="148">
        <f t="shared" si="73"/>
        <v>13350</v>
      </c>
      <c r="AQ195" s="149">
        <f t="shared" si="73"/>
        <v>15836</v>
      </c>
      <c r="AR195" s="149">
        <f t="shared" si="73"/>
        <v>15752</v>
      </c>
      <c r="AS195" s="149">
        <f t="shared" si="73"/>
        <v>15558</v>
      </c>
      <c r="AT195" s="149">
        <f t="shared" si="73"/>
        <v>16744</v>
      </c>
      <c r="AU195" s="148">
        <f t="shared" si="73"/>
        <v>16744</v>
      </c>
      <c r="AV195" s="2031">
        <f>+AV194-AV193</f>
        <v>17426</v>
      </c>
      <c r="AW195" s="2031">
        <f>+AW194-AW193</f>
        <v>17281</v>
      </c>
      <c r="AX195" s="2031">
        <f>+AX194-AX193</f>
        <v>18737</v>
      </c>
      <c r="AY195" s="2031">
        <f>+AY194-AY193</f>
        <v>17607.416278640994</v>
      </c>
      <c r="AZ195" s="148">
        <f t="shared" si="73"/>
        <v>17607.416278640994</v>
      </c>
      <c r="BA195" s="2031">
        <f t="shared" ref="BA195:BF195" si="74">+BA194-BA193</f>
        <v>17634.368817199393</v>
      </c>
      <c r="BB195" s="2031">
        <f t="shared" si="74"/>
        <v>16761.832263148466</v>
      </c>
      <c r="BC195" s="2031">
        <f t="shared" si="74"/>
        <v>15641.824876481778</v>
      </c>
      <c r="BD195" s="2031">
        <f t="shared" si="74"/>
        <v>14258.460302538868</v>
      </c>
      <c r="BE195" s="148">
        <f t="shared" si="74"/>
        <v>14258.460302538864</v>
      </c>
      <c r="BF195" s="148">
        <f t="shared" si="74"/>
        <v>9739.760229619289</v>
      </c>
      <c r="BG195" s="147"/>
      <c r="BH195" s="147"/>
      <c r="BI195" s="147"/>
      <c r="BJ195" s="147"/>
      <c r="BK195" s="147"/>
      <c r="BL195" s="147"/>
      <c r="BM195" s="147"/>
      <c r="BN195" s="147"/>
      <c r="BO195" s="147"/>
      <c r="BP195" s="147"/>
      <c r="BQ195" s="147"/>
      <c r="BR195" s="147"/>
      <c r="BS195" s="147"/>
      <c r="BT195" s="147"/>
      <c r="BU195" s="147"/>
      <c r="BV195" s="147"/>
    </row>
  </sheetData>
  <pageMargins left="0" right="0" top="0" bottom="0" header="0" footer="0"/>
  <pageSetup paperSize="5" scale="29" orientation="landscape"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G65536"/>
  <sheetViews>
    <sheetView showGridLines="0" zoomScale="85" zoomScaleNormal="85" workbookViewId="0">
      <pane xSplit="4" ySplit="9" topLeftCell="CJ21" activePane="bottomRight" state="frozen"/>
      <selection activeCell="BN5" sqref="BN5"/>
      <selection pane="topRight" activeCell="BN5" sqref="BN5"/>
      <selection pane="bottomLeft" activeCell="BN5" sqref="BN5"/>
      <selection pane="bottomRight" activeCell="CP65" sqref="CP65"/>
    </sheetView>
  </sheetViews>
  <sheetFormatPr defaultRowHeight="12.75" outlineLevelRow="1" outlineLevelCol="1"/>
  <cols>
    <col min="1" max="1" width="2" customWidth="1"/>
    <col min="2" max="2" width="1.140625" customWidth="1"/>
    <col min="3" max="3" width="2.28515625" customWidth="1"/>
    <col min="4" max="4" width="25.28515625" customWidth="1"/>
    <col min="5" max="5" width="1.85546875" customWidth="1"/>
    <col min="6" max="9" width="9.28515625" hidden="1" customWidth="1" outlineLevel="1"/>
    <col min="10" max="10" width="9.28515625" customWidth="1" collapsed="1"/>
    <col min="11" max="14" width="9.28515625" hidden="1" customWidth="1" outlineLevel="1"/>
    <col min="15" max="15" width="9.28515625" customWidth="1" collapsed="1"/>
    <col min="16" max="19" width="9.28515625" hidden="1" customWidth="1" outlineLevel="1"/>
    <col min="20" max="20" width="9.28515625" customWidth="1" collapsed="1"/>
    <col min="21" max="24" width="9.28515625" hidden="1" customWidth="1" outlineLevel="1"/>
    <col min="25" max="25" width="9.28515625" customWidth="1" collapsed="1"/>
    <col min="26" max="29" width="9.28515625" hidden="1" customWidth="1" outlineLevel="1"/>
    <col min="30" max="30" width="9.28515625" customWidth="1" collapsed="1"/>
    <col min="31" max="34" width="9.28515625" hidden="1" customWidth="1" outlineLevel="1"/>
    <col min="35" max="35" width="9.28515625" customWidth="1" collapsed="1"/>
    <col min="36" max="39" width="9.28515625" hidden="1" customWidth="1" outlineLevel="1"/>
    <col min="40" max="40" width="9.28515625" customWidth="1" collapsed="1"/>
    <col min="41" max="41" width="9.28515625" hidden="1" customWidth="1" outlineLevel="1"/>
    <col min="42" max="42" width="9.85546875" hidden="1" customWidth="1" outlineLevel="1"/>
    <col min="43" max="44" width="9.28515625" hidden="1" customWidth="1" outlineLevel="1"/>
    <col min="45" max="45" width="9.28515625" customWidth="1" collapsed="1"/>
    <col min="46" max="49" width="9.28515625" hidden="1" customWidth="1" outlineLevel="1"/>
    <col min="50" max="50" width="9.28515625" customWidth="1" collapsed="1"/>
    <col min="51" max="54" width="9.28515625" hidden="1" customWidth="1" outlineLevel="1"/>
    <col min="55" max="55" width="9.28515625" customWidth="1" collapsed="1"/>
    <col min="56" max="59" width="9.28515625" hidden="1" customWidth="1" outlineLevel="1"/>
    <col min="60" max="60" width="9.28515625" customWidth="1" collapsed="1"/>
    <col min="61" max="64" width="9.140625" hidden="1" customWidth="1" outlineLevel="1"/>
    <col min="65" max="65" width="9.28515625" customWidth="1" collapsed="1"/>
    <col min="66" max="69" width="9.85546875" hidden="1" customWidth="1" outlineLevel="1"/>
    <col min="70" max="70" width="9.28515625" customWidth="1" collapsed="1"/>
    <col min="71" max="74" width="9.85546875" hidden="1" customWidth="1" outlineLevel="1"/>
    <col min="75" max="75" width="9.28515625" customWidth="1" collapsed="1"/>
    <col min="76" max="79" width="9.85546875" hidden="1" customWidth="1" outlineLevel="1"/>
    <col min="80" max="80" width="9.28515625" customWidth="1" collapsed="1"/>
    <col min="81" max="84" width="9.85546875" hidden="1" customWidth="1" outlineLevel="1"/>
    <col min="85" max="85" width="9.28515625" customWidth="1" collapsed="1"/>
    <col min="86" max="89" width="9.85546875" customWidth="1" outlineLevel="1"/>
    <col min="90" max="90" width="9.28515625" customWidth="1"/>
    <col min="91" max="94" width="9.85546875" customWidth="1" outlineLevel="1"/>
    <col min="95" max="95" width="9.28515625" customWidth="1"/>
    <col min="96" max="99" width="9.85546875" style="2029" customWidth="1" outlineLevel="1"/>
    <col min="100" max="100" width="9.28515625" customWidth="1"/>
    <col min="101" max="101" width="9.28515625" customWidth="1" collapsed="1"/>
    <col min="102" max="103" width="9.28515625" style="2029" customWidth="1" collapsed="1"/>
    <col min="104" max="104" width="7.7109375" customWidth="1"/>
    <col min="105" max="105" width="25.7109375" customWidth="1" outlineLevel="1"/>
    <col min="106" max="107" width="6.7109375" customWidth="1" outlineLevel="1"/>
    <col min="108" max="108" width="10" bestFit="1" customWidth="1" outlineLevel="1"/>
    <col min="109" max="110" width="6.7109375" customWidth="1" outlineLevel="1"/>
  </cols>
  <sheetData>
    <row r="1" spans="1:111" hidden="1" outlineLevel="1">
      <c r="A1" s="268"/>
      <c r="B1" s="116"/>
      <c r="C1" s="116"/>
      <c r="D1" s="116"/>
      <c r="E1" s="116"/>
      <c r="F1" s="116"/>
      <c r="G1" s="116"/>
      <c r="H1" s="116"/>
      <c r="I1" s="116"/>
      <c r="J1" s="302"/>
      <c r="K1" s="116"/>
      <c r="L1" s="116"/>
      <c r="M1" s="116"/>
      <c r="N1" s="116"/>
      <c r="O1" s="302"/>
      <c r="P1" s="116"/>
      <c r="Q1" s="116"/>
      <c r="R1" s="116"/>
      <c r="S1" s="116"/>
      <c r="T1" s="302"/>
      <c r="U1" s="116"/>
      <c r="V1" s="116"/>
      <c r="W1" s="116"/>
      <c r="X1" s="116"/>
      <c r="Y1" s="302"/>
      <c r="Z1" s="116"/>
      <c r="AA1" s="116"/>
      <c r="AB1" s="116"/>
      <c r="AC1" s="116"/>
      <c r="AD1" s="302"/>
      <c r="AE1" s="116"/>
      <c r="AF1" s="116"/>
      <c r="AG1" s="116"/>
      <c r="AH1" s="116"/>
      <c r="AI1" s="302"/>
      <c r="AJ1" s="116"/>
      <c r="AK1" s="116"/>
      <c r="AL1" s="116"/>
      <c r="AM1" s="116"/>
      <c r="AN1" s="302"/>
      <c r="AO1" s="302"/>
      <c r="AP1" s="302"/>
      <c r="AQ1" s="302"/>
      <c r="AR1" s="302"/>
      <c r="AS1" s="302"/>
      <c r="AT1" s="302"/>
      <c r="AU1" s="302"/>
      <c r="AV1" s="302"/>
      <c r="AW1" s="302"/>
      <c r="AX1" s="302"/>
      <c r="AY1" s="302"/>
      <c r="AZ1" s="302"/>
      <c r="BA1" s="302"/>
      <c r="BB1" s="302"/>
      <c r="BC1" s="302"/>
      <c r="BD1" s="302"/>
      <c r="BE1" s="302"/>
      <c r="BF1" s="302"/>
      <c r="BG1" s="302"/>
      <c r="BH1" s="302"/>
      <c r="BI1" s="116"/>
      <c r="BJ1" s="116"/>
      <c r="BK1" s="116"/>
      <c r="BL1" s="116"/>
      <c r="BM1" s="302"/>
      <c r="BN1" s="116"/>
      <c r="BO1" s="116"/>
      <c r="BP1" s="116"/>
      <c r="BQ1" s="116"/>
      <c r="BR1" s="302"/>
      <c r="BS1" s="116"/>
      <c r="BT1" s="116"/>
      <c r="BU1" s="116"/>
      <c r="BV1" s="116"/>
      <c r="BW1" s="302"/>
      <c r="BX1" s="116"/>
      <c r="BY1" s="116"/>
      <c r="BZ1" s="116"/>
      <c r="CA1" s="116"/>
      <c r="CB1" s="302"/>
      <c r="CC1" s="116"/>
      <c r="CD1" s="116"/>
      <c r="CE1" s="116"/>
      <c r="CF1" s="116"/>
      <c r="CG1" s="302"/>
      <c r="CH1" s="116"/>
      <c r="CI1" s="116"/>
      <c r="CJ1" s="116"/>
      <c r="CK1" s="116"/>
      <c r="CL1" s="302"/>
      <c r="CM1" s="116"/>
      <c r="CN1" s="116"/>
      <c r="CO1" s="116"/>
      <c r="CP1" s="116"/>
      <c r="CQ1" s="302"/>
      <c r="CR1" s="116"/>
      <c r="CS1" s="116"/>
      <c r="CT1" s="116"/>
      <c r="CU1" s="116"/>
      <c r="CV1" s="302"/>
      <c r="CW1" s="302"/>
      <c r="CX1" s="302"/>
      <c r="CY1" s="302"/>
      <c r="CZ1" s="256"/>
      <c r="DG1" s="256"/>
    </row>
    <row r="2" spans="1:111" hidden="1" outlineLevel="1">
      <c r="A2" s="268"/>
      <c r="B2" s="520" t="s">
        <v>0</v>
      </c>
      <c r="C2" s="518"/>
      <c r="D2" s="518"/>
      <c r="E2" s="518"/>
      <c r="F2" s="518"/>
      <c r="G2" s="519"/>
      <c r="H2" s="518"/>
      <c r="I2" s="518"/>
      <c r="J2" s="516"/>
      <c r="K2" s="518"/>
      <c r="L2" s="518"/>
      <c r="M2" s="518"/>
      <c r="N2" s="518"/>
      <c r="O2" s="516"/>
      <c r="P2" s="518"/>
      <c r="Q2" s="518"/>
      <c r="R2" s="518"/>
      <c r="S2" s="518"/>
      <c r="T2" s="516"/>
      <c r="U2" s="518"/>
      <c r="V2" s="518"/>
      <c r="W2" s="518"/>
      <c r="X2" s="518"/>
      <c r="Y2" s="516"/>
      <c r="Z2" s="518"/>
      <c r="AA2" s="518"/>
      <c r="AB2" s="518"/>
      <c r="AC2" s="518"/>
      <c r="AD2" s="516"/>
      <c r="AE2" s="518"/>
      <c r="AF2" s="518"/>
      <c r="AG2" s="518"/>
      <c r="AH2" s="518"/>
      <c r="AI2" s="516"/>
      <c r="AJ2" s="518"/>
      <c r="AK2" s="518"/>
      <c r="AL2" s="518"/>
      <c r="AM2" s="518"/>
      <c r="AN2" s="516"/>
      <c r="AO2" s="518"/>
      <c r="AP2" s="518"/>
      <c r="AQ2" s="518"/>
      <c r="AR2" s="518"/>
      <c r="AS2" s="516"/>
      <c r="AT2" s="517"/>
      <c r="AU2" s="517"/>
      <c r="AV2" s="517"/>
      <c r="AW2" s="517"/>
      <c r="AX2" s="516"/>
      <c r="AY2" s="517"/>
      <c r="AZ2" s="517"/>
      <c r="BA2" s="517"/>
      <c r="BB2" s="517"/>
      <c r="BC2" s="516"/>
      <c r="BD2" s="517"/>
      <c r="BE2" s="517"/>
      <c r="BF2" s="517"/>
      <c r="BG2" s="517"/>
      <c r="BH2" s="516"/>
      <c r="BI2" s="517"/>
      <c r="BJ2" s="517"/>
      <c r="BK2" s="517"/>
      <c r="BL2" s="517"/>
      <c r="BM2" s="516"/>
      <c r="BN2" s="517"/>
      <c r="BO2" s="517"/>
      <c r="BP2" s="517"/>
      <c r="BQ2" s="517"/>
      <c r="BR2" s="516"/>
      <c r="BS2" s="517"/>
      <c r="BT2" s="517"/>
      <c r="BU2" s="517"/>
      <c r="BV2" s="517"/>
      <c r="BW2" s="516"/>
      <c r="BX2" s="517"/>
      <c r="BY2" s="517"/>
      <c r="BZ2" s="517"/>
      <c r="CA2" s="517"/>
      <c r="CB2" s="516"/>
      <c r="CC2" s="517"/>
      <c r="CD2" s="517"/>
      <c r="CE2" s="517"/>
      <c r="CF2" s="517"/>
      <c r="CG2" s="516" t="s">
        <v>123</v>
      </c>
      <c r="CH2" s="517"/>
      <c r="CI2" s="517"/>
      <c r="CJ2" s="517"/>
      <c r="CK2" s="517"/>
      <c r="CL2" s="516"/>
      <c r="CM2" s="517"/>
      <c r="CN2" s="517"/>
      <c r="CO2" s="517"/>
      <c r="CP2" s="517"/>
      <c r="CQ2" s="516"/>
      <c r="CR2" s="517"/>
      <c r="CS2" s="517"/>
      <c r="CT2" s="517"/>
      <c r="CU2" s="517"/>
      <c r="CV2" s="516"/>
      <c r="CW2" s="516"/>
      <c r="CX2" s="516"/>
      <c r="CY2" s="516"/>
      <c r="CZ2" s="256"/>
      <c r="DG2" s="256"/>
    </row>
    <row r="3" spans="1:111" hidden="1" outlineLevel="1">
      <c r="A3" s="268"/>
      <c r="B3" s="515" t="s">
        <v>3</v>
      </c>
      <c r="C3" s="116"/>
      <c r="D3" s="116"/>
      <c r="E3" s="116"/>
      <c r="F3" s="305"/>
      <c r="G3" s="513"/>
      <c r="H3" s="305"/>
      <c r="I3" s="305"/>
      <c r="J3" s="305"/>
      <c r="K3" s="305"/>
      <c r="L3" s="305"/>
      <c r="M3" s="305"/>
      <c r="N3" s="305"/>
      <c r="O3" s="305"/>
      <c r="P3" s="305"/>
      <c r="Q3" s="305"/>
      <c r="R3" s="305"/>
      <c r="S3" s="305"/>
      <c r="T3" s="305"/>
      <c r="U3" s="305"/>
      <c r="V3" s="305"/>
      <c r="W3" s="305"/>
      <c r="X3" s="305"/>
      <c r="Y3" s="305"/>
      <c r="Z3" s="305"/>
      <c r="AA3" s="305"/>
      <c r="AB3" s="305"/>
      <c r="AC3" s="305"/>
      <c r="AD3" s="305"/>
      <c r="AE3" s="305"/>
      <c r="AF3" s="305"/>
      <c r="AG3" s="305"/>
      <c r="AH3" s="305"/>
      <c r="AI3" s="305"/>
      <c r="AJ3" s="305"/>
      <c r="AK3" s="305"/>
      <c r="AL3" s="305"/>
      <c r="AM3" s="305"/>
      <c r="AN3" s="305"/>
      <c r="AO3" s="305"/>
      <c r="AP3" s="305"/>
      <c r="AQ3" s="512"/>
      <c r="AR3" s="305"/>
      <c r="AS3" s="305"/>
      <c r="AT3" s="509"/>
      <c r="AU3" s="509"/>
      <c r="AV3" s="509"/>
      <c r="AW3" s="509"/>
      <c r="AX3" s="305"/>
      <c r="AY3" s="509"/>
      <c r="AZ3" s="509"/>
      <c r="BA3" s="509"/>
      <c r="BB3" s="509"/>
      <c r="BC3" s="305"/>
      <c r="BD3" s="509"/>
      <c r="BE3" s="509"/>
      <c r="BF3" s="510"/>
      <c r="BG3" s="509"/>
      <c r="BH3" s="305"/>
      <c r="BI3" s="509"/>
      <c r="BJ3" s="509"/>
      <c r="BK3" s="509"/>
      <c r="BL3" s="509"/>
      <c r="BM3" s="305"/>
      <c r="BN3" s="509"/>
      <c r="BO3" s="509"/>
      <c r="BP3" s="509"/>
      <c r="BQ3" s="509"/>
      <c r="BR3" s="305"/>
      <c r="BS3" s="509"/>
      <c r="BT3" s="509"/>
      <c r="BU3" s="509"/>
      <c r="BV3" s="509"/>
      <c r="BW3" s="305"/>
      <c r="BX3" s="509"/>
      <c r="BY3" s="509"/>
      <c r="BZ3" s="509"/>
      <c r="CA3" s="509"/>
      <c r="CB3" s="305"/>
      <c r="CC3" s="509"/>
      <c r="CD3" s="509"/>
      <c r="CE3" s="509"/>
      <c r="CF3" s="509"/>
      <c r="CG3" s="305" t="s">
        <v>5</v>
      </c>
      <c r="CH3" s="509"/>
      <c r="CI3" s="509"/>
      <c r="CJ3" s="509"/>
      <c r="CK3" s="509"/>
      <c r="CL3" s="305"/>
      <c r="CM3" s="509"/>
      <c r="CN3" s="509"/>
      <c r="CO3" s="509"/>
      <c r="CP3" s="509"/>
      <c r="CQ3" s="305"/>
      <c r="CR3" s="509"/>
      <c r="CS3" s="509"/>
      <c r="CT3" s="509"/>
      <c r="CU3" s="509"/>
      <c r="CV3" s="305"/>
      <c r="CW3" s="305"/>
      <c r="CX3" s="305"/>
      <c r="CY3" s="305"/>
      <c r="CZ3" s="256"/>
      <c r="DG3" s="256"/>
    </row>
    <row r="4" spans="1:111" hidden="1" outlineLevel="1">
      <c r="A4" s="268"/>
      <c r="B4" s="514" t="s">
        <v>4</v>
      </c>
      <c r="C4" s="116"/>
      <c r="D4" s="116"/>
      <c r="E4" s="116"/>
      <c r="F4" s="305"/>
      <c r="G4" s="513"/>
      <c r="H4" s="305"/>
      <c r="I4" s="305"/>
      <c r="J4" s="305"/>
      <c r="K4" s="305"/>
      <c r="L4" s="305"/>
      <c r="M4" s="305"/>
      <c r="N4" s="305"/>
      <c r="O4" s="305"/>
      <c r="P4" s="305"/>
      <c r="Q4" s="305"/>
      <c r="R4" s="305"/>
      <c r="S4" s="305"/>
      <c r="T4" s="305"/>
      <c r="U4" s="305"/>
      <c r="V4" s="305"/>
      <c r="W4" s="305"/>
      <c r="X4" s="305"/>
      <c r="Y4" s="305"/>
      <c r="Z4" s="305"/>
      <c r="AA4" s="305"/>
      <c r="AB4" s="305"/>
      <c r="AC4" s="305"/>
      <c r="AD4" s="305"/>
      <c r="AE4" s="305"/>
      <c r="AF4" s="305"/>
      <c r="AG4" s="305"/>
      <c r="AH4" s="305"/>
      <c r="AI4" s="305"/>
      <c r="AJ4" s="305"/>
      <c r="AK4" s="305"/>
      <c r="AL4" s="305"/>
      <c r="AM4" s="512"/>
      <c r="AN4" s="305"/>
      <c r="AO4" s="305"/>
      <c r="AP4" s="305"/>
      <c r="AQ4" s="511"/>
      <c r="AR4" s="305"/>
      <c r="AS4" s="305"/>
      <c r="AT4" s="509"/>
      <c r="AU4" s="509"/>
      <c r="AV4" s="509"/>
      <c r="AW4" s="509"/>
      <c r="AX4" s="305"/>
      <c r="AY4" s="509"/>
      <c r="AZ4" s="509"/>
      <c r="BA4" s="509"/>
      <c r="BB4" s="509"/>
      <c r="BC4" s="305"/>
      <c r="BD4" s="509"/>
      <c r="BE4" s="509"/>
      <c r="BF4" s="510"/>
      <c r="BG4" s="509"/>
      <c r="BH4" s="305"/>
      <c r="BI4" s="509"/>
      <c r="BJ4" s="509"/>
      <c r="BK4" s="509"/>
      <c r="BL4" s="509"/>
      <c r="BM4" s="305"/>
      <c r="BN4" s="509"/>
      <c r="BO4" s="509"/>
      <c r="BP4" s="509"/>
      <c r="BQ4" s="509"/>
      <c r="BR4" s="305"/>
      <c r="BS4" s="509"/>
      <c r="BT4" s="509"/>
      <c r="BU4" s="509"/>
      <c r="BV4" s="509"/>
      <c r="BW4" s="305"/>
      <c r="BX4" s="509"/>
      <c r="BY4" s="509"/>
      <c r="BZ4" s="509"/>
      <c r="CA4" s="509"/>
      <c r="CB4" s="305"/>
      <c r="CC4" s="509"/>
      <c r="CD4" s="509"/>
      <c r="CE4" s="509"/>
      <c r="CF4" s="509"/>
      <c r="CG4" s="305" t="s">
        <v>6</v>
      </c>
      <c r="CH4" s="509"/>
      <c r="CI4" s="509"/>
      <c r="CJ4" s="509"/>
      <c r="CK4" s="509"/>
      <c r="CL4" s="305"/>
      <c r="CM4" s="509"/>
      <c r="CN4" s="509"/>
      <c r="CO4" s="509"/>
      <c r="CP4" s="509"/>
      <c r="CQ4" s="305"/>
      <c r="CR4" s="509"/>
      <c r="CS4" s="509"/>
      <c r="CT4" s="509"/>
      <c r="CU4" s="509"/>
      <c r="CV4" s="305"/>
      <c r="CW4" s="305"/>
      <c r="CX4" s="305"/>
      <c r="CY4" s="305"/>
      <c r="CZ4" s="256"/>
      <c r="DG4" s="256"/>
    </row>
    <row r="5" spans="1:111" hidden="1" outlineLevel="1">
      <c r="A5" s="268"/>
      <c r="B5" s="508"/>
      <c r="C5" s="507"/>
      <c r="D5" s="507"/>
      <c r="E5" s="507"/>
      <c r="F5" s="505"/>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6"/>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5"/>
      <c r="CG5" s="505"/>
      <c r="CH5" s="505"/>
      <c r="CI5" s="505"/>
      <c r="CJ5" s="505"/>
      <c r="CK5" s="505"/>
      <c r="CL5" s="505"/>
      <c r="CM5" s="505"/>
      <c r="CN5" s="505"/>
      <c r="CO5" s="505"/>
      <c r="CP5" s="505"/>
      <c r="CQ5" s="505"/>
      <c r="CR5" s="505"/>
      <c r="CS5" s="505"/>
      <c r="CT5" s="505"/>
      <c r="CU5" s="505"/>
      <c r="CV5" s="505"/>
      <c r="CW5" s="505"/>
      <c r="CX5" s="505"/>
      <c r="CY5" s="505"/>
      <c r="CZ5" s="256"/>
      <c r="DG5" s="256"/>
    </row>
    <row r="6" spans="1:111" ht="13.5" hidden="1" outlineLevel="1" thickBot="1">
      <c r="A6" s="268"/>
      <c r="B6" s="504"/>
      <c r="C6" s="504"/>
      <c r="D6" s="504"/>
      <c r="E6" s="504"/>
      <c r="F6" s="504"/>
      <c r="G6" s="504"/>
      <c r="H6" s="504"/>
      <c r="I6" s="504"/>
      <c r="J6" s="504"/>
      <c r="K6" s="504"/>
      <c r="L6" s="504"/>
      <c r="M6" s="504"/>
      <c r="N6" s="504"/>
      <c r="O6" s="504"/>
      <c r="P6" s="504"/>
      <c r="Q6" s="504"/>
      <c r="R6" s="504"/>
      <c r="S6" s="504"/>
      <c r="T6" s="504"/>
      <c r="U6" s="504"/>
      <c r="V6" s="504"/>
      <c r="W6" s="504"/>
      <c r="X6" s="504"/>
      <c r="Y6" s="504"/>
      <c r="Z6" s="504"/>
      <c r="AA6" s="504"/>
      <c r="AB6" s="504"/>
      <c r="AC6" s="504"/>
      <c r="AD6" s="504"/>
      <c r="AE6" s="504"/>
      <c r="AF6" s="504"/>
      <c r="AG6" s="504"/>
      <c r="AH6" s="504"/>
      <c r="AI6" s="504"/>
      <c r="AJ6" s="504"/>
      <c r="AK6" s="504"/>
      <c r="AL6" s="504"/>
      <c r="AM6" s="504"/>
      <c r="AN6" s="504"/>
      <c r="AO6" s="504"/>
      <c r="AP6" s="504"/>
      <c r="AQ6" s="504"/>
      <c r="AR6" s="504"/>
      <c r="AS6" s="504"/>
      <c r="AT6" s="504"/>
      <c r="AU6" s="504"/>
      <c r="AV6" s="504"/>
      <c r="AW6" s="504"/>
      <c r="AX6" s="504"/>
      <c r="AY6" s="504"/>
      <c r="AZ6" s="504"/>
      <c r="BA6" s="504"/>
      <c r="BB6" s="504"/>
      <c r="BC6" s="504"/>
      <c r="BD6" s="504"/>
      <c r="BE6" s="504"/>
      <c r="BF6" s="504"/>
      <c r="BG6" s="504"/>
      <c r="BH6" s="504"/>
      <c r="BI6" s="504"/>
      <c r="BJ6" s="504"/>
      <c r="BK6" s="504"/>
      <c r="BL6" s="504"/>
      <c r="BM6" s="504"/>
      <c r="BN6" s="504"/>
      <c r="BO6" s="504"/>
      <c r="BP6" s="504"/>
      <c r="BQ6" s="504"/>
      <c r="BR6" s="504"/>
      <c r="BS6" s="504"/>
      <c r="BT6" s="504"/>
      <c r="BU6" s="504"/>
      <c r="BV6" s="504"/>
      <c r="BW6" s="504"/>
      <c r="BX6" s="504"/>
      <c r="BY6" s="504"/>
      <c r="BZ6" s="504"/>
      <c r="CA6" s="504"/>
      <c r="CB6" s="504"/>
      <c r="CC6" s="504"/>
      <c r="CD6" s="504"/>
      <c r="CE6" s="504"/>
      <c r="CF6" s="504"/>
      <c r="CG6" s="504"/>
      <c r="CH6" s="504"/>
      <c r="CI6" s="504"/>
      <c r="CJ6" s="504"/>
      <c r="CK6" s="504"/>
      <c r="CL6" s="504"/>
      <c r="CM6" s="504"/>
      <c r="CN6" s="504"/>
      <c r="CO6" s="504"/>
      <c r="CP6" s="504"/>
      <c r="CQ6" s="504"/>
      <c r="CR6" s="504"/>
      <c r="CS6" s="504"/>
      <c r="CT6" s="504"/>
      <c r="CU6" s="504"/>
      <c r="CV6" s="504"/>
      <c r="CW6" s="504"/>
      <c r="CX6" s="504"/>
      <c r="CY6" s="504"/>
      <c r="CZ6" s="256"/>
      <c r="DG6" s="256"/>
    </row>
    <row r="7" spans="1:111" hidden="1" outlineLevel="1">
      <c r="A7" s="268"/>
      <c r="B7" s="489"/>
      <c r="C7" s="489"/>
      <c r="D7" s="489"/>
      <c r="E7" s="489"/>
      <c r="F7" s="489"/>
      <c r="G7" s="503"/>
      <c r="H7" s="489"/>
      <c r="I7" s="489"/>
      <c r="J7" s="489"/>
      <c r="K7" s="489"/>
      <c r="L7" s="489"/>
      <c r="M7" s="489"/>
      <c r="N7" s="489"/>
      <c r="O7" s="489"/>
      <c r="P7" s="489"/>
      <c r="Q7" s="489"/>
      <c r="R7" s="489"/>
      <c r="S7" s="489"/>
      <c r="T7" s="489"/>
      <c r="U7" s="489"/>
      <c r="V7" s="489"/>
      <c r="W7" s="489"/>
      <c r="X7" s="489"/>
      <c r="Y7" s="489"/>
      <c r="Z7" s="268"/>
      <c r="AA7" s="489"/>
      <c r="AB7" s="489"/>
      <c r="AC7" s="489"/>
      <c r="AD7" s="489"/>
      <c r="AE7" s="489"/>
      <c r="AF7" s="489"/>
      <c r="AG7" s="489"/>
      <c r="AH7" s="489"/>
      <c r="AI7" s="489"/>
      <c r="AJ7" s="489"/>
      <c r="AK7" s="489"/>
      <c r="AL7" s="489"/>
      <c r="AM7" s="489"/>
      <c r="AN7" s="489"/>
      <c r="AO7" s="489"/>
      <c r="AP7" s="489"/>
      <c r="AQ7" s="489"/>
      <c r="AR7" s="489"/>
      <c r="AS7" s="489"/>
      <c r="AT7" s="489"/>
      <c r="AU7" s="489"/>
      <c r="AV7" s="489"/>
      <c r="AW7" s="489"/>
      <c r="AX7" s="489"/>
      <c r="AY7" s="489"/>
      <c r="AZ7" s="489"/>
      <c r="BA7" s="489"/>
      <c r="BB7" s="489"/>
      <c r="BC7" s="489"/>
      <c r="BD7" s="489"/>
      <c r="BE7" s="489"/>
      <c r="BF7" s="489"/>
      <c r="BG7" s="489"/>
      <c r="BH7" s="489"/>
      <c r="BI7" s="489"/>
      <c r="BJ7" s="489"/>
      <c r="BK7" s="489"/>
      <c r="BL7" s="489"/>
      <c r="BM7" s="489"/>
      <c r="BN7" s="489"/>
      <c r="BO7" s="489"/>
      <c r="BP7" s="489"/>
      <c r="BQ7" s="489"/>
      <c r="BR7" s="489"/>
      <c r="BS7" s="489"/>
      <c r="BT7" s="489"/>
      <c r="BU7" s="489"/>
      <c r="BV7" s="489"/>
      <c r="BW7" s="489"/>
      <c r="BX7" s="489"/>
      <c r="BY7" s="489"/>
      <c r="BZ7" s="489"/>
      <c r="CA7" s="489"/>
      <c r="CB7" s="489"/>
      <c r="CC7" s="489"/>
      <c r="CD7" s="489"/>
      <c r="CE7" s="489"/>
      <c r="CF7" s="489"/>
      <c r="CG7" s="489"/>
      <c r="CH7" s="489"/>
      <c r="CI7" s="489"/>
      <c r="CJ7" s="489"/>
      <c r="CK7" s="489"/>
      <c r="CL7" s="489"/>
      <c r="CM7" s="489"/>
      <c r="CN7" s="489"/>
      <c r="CO7" s="489"/>
      <c r="CP7" s="489"/>
      <c r="CQ7" s="489"/>
      <c r="CR7" s="489"/>
      <c r="CS7" s="489"/>
      <c r="CT7" s="489"/>
      <c r="CU7" s="489"/>
      <c r="CV7" s="489"/>
      <c r="CW7" s="489"/>
      <c r="CX7" s="489"/>
      <c r="CY7" s="489"/>
      <c r="CZ7" s="256"/>
      <c r="DG7" s="256"/>
    </row>
    <row r="8" spans="1:111" ht="13.5" collapsed="1" thickBot="1">
      <c r="A8" s="116"/>
      <c r="B8" s="276"/>
      <c r="C8" s="276"/>
      <c r="D8" s="276"/>
      <c r="E8" s="276"/>
      <c r="F8" s="500"/>
      <c r="G8" s="500"/>
      <c r="H8" s="500"/>
      <c r="I8" s="500"/>
      <c r="J8" s="500"/>
      <c r="K8" s="500"/>
      <c r="L8" s="500"/>
      <c r="M8" s="500"/>
      <c r="N8" s="500"/>
      <c r="O8" s="500"/>
      <c r="P8" s="500"/>
      <c r="Q8" s="500"/>
      <c r="R8" s="500"/>
      <c r="S8" s="500"/>
      <c r="T8" s="500"/>
      <c r="U8" s="502"/>
      <c r="V8" s="500"/>
      <c r="W8" s="500"/>
      <c r="X8" s="500"/>
      <c r="Y8" s="500"/>
      <c r="Z8" s="500"/>
      <c r="AA8" s="501"/>
      <c r="AB8" s="501"/>
      <c r="AC8" s="501"/>
      <c r="AD8" s="500"/>
      <c r="AE8" s="501"/>
      <c r="AF8" s="501"/>
      <c r="AG8" s="501"/>
      <c r="AH8" s="501"/>
      <c r="AI8" s="500"/>
      <c r="AJ8" s="501"/>
      <c r="AK8" s="501"/>
      <c r="AL8" s="501"/>
      <c r="AM8" s="501"/>
      <c r="AN8" s="500"/>
      <c r="AO8" s="501"/>
      <c r="AP8" s="501"/>
      <c r="AQ8" s="501"/>
      <c r="AR8" s="501"/>
      <c r="AS8" s="500"/>
      <c r="AT8" s="501"/>
      <c r="AU8" s="501"/>
      <c r="AV8" s="501"/>
      <c r="AW8" s="501"/>
      <c r="AX8" s="500"/>
      <c r="AY8" s="501"/>
      <c r="AZ8" s="501"/>
      <c r="BA8" s="501"/>
      <c r="BB8" s="501"/>
      <c r="BC8" s="500"/>
      <c r="BD8" s="501"/>
      <c r="BE8" s="501"/>
      <c r="BF8" s="501"/>
      <c r="BG8" s="501"/>
      <c r="BH8" s="500"/>
      <c r="BI8" s="501"/>
      <c r="BJ8" s="501"/>
      <c r="BK8" s="501"/>
      <c r="BL8" s="501"/>
      <c r="BM8" s="500"/>
      <c r="BN8" s="501"/>
      <c r="BO8" s="501"/>
      <c r="BP8" s="501"/>
      <c r="BQ8" s="501"/>
      <c r="BR8" s="500"/>
      <c r="BS8" s="501"/>
      <c r="BT8" s="501"/>
      <c r="BU8" s="501"/>
      <c r="BV8" s="501"/>
      <c r="BW8" s="500"/>
      <c r="BX8" s="501"/>
      <c r="BY8" s="501"/>
      <c r="BZ8" s="501"/>
      <c r="CA8" s="501"/>
      <c r="CB8" s="500"/>
      <c r="CC8" s="501"/>
      <c r="CD8" s="501"/>
      <c r="CE8" s="501"/>
      <c r="CF8" s="501"/>
      <c r="CG8" s="500"/>
      <c r="CH8" s="501"/>
      <c r="CI8" s="501"/>
      <c r="CJ8" s="501"/>
      <c r="CK8" s="501"/>
      <c r="CL8" s="500"/>
      <c r="CM8" s="501"/>
      <c r="CN8" s="501"/>
      <c r="CO8" s="501"/>
      <c r="CP8" s="501"/>
      <c r="CQ8" s="500"/>
      <c r="CR8" s="501"/>
      <c r="CS8" s="501"/>
      <c r="CT8" s="501"/>
      <c r="CU8" s="501"/>
      <c r="CV8" s="500"/>
      <c r="CW8" s="500"/>
      <c r="CX8" s="500"/>
      <c r="CY8" s="500"/>
      <c r="CZ8" s="256"/>
      <c r="DG8" s="256"/>
    </row>
    <row r="9" spans="1:111" ht="12.75" customHeight="1">
      <c r="A9" s="116"/>
      <c r="B9" s="499" t="s">
        <v>272</v>
      </c>
      <c r="C9" s="498"/>
      <c r="D9" s="497"/>
      <c r="E9" s="496"/>
      <c r="F9" s="494" t="s">
        <v>327</v>
      </c>
      <c r="G9" s="494" t="s">
        <v>326</v>
      </c>
      <c r="H9" s="494" t="s">
        <v>325</v>
      </c>
      <c r="I9" s="494" t="s">
        <v>324</v>
      </c>
      <c r="J9" s="492">
        <v>2000</v>
      </c>
      <c r="K9" s="494" t="s">
        <v>323</v>
      </c>
      <c r="L9" s="494" t="s">
        <v>322</v>
      </c>
      <c r="M9" s="494" t="s">
        <v>321</v>
      </c>
      <c r="N9" s="494" t="s">
        <v>320</v>
      </c>
      <c r="O9" s="492">
        <f>+J9+1</f>
        <v>2001</v>
      </c>
      <c r="P9" s="494" t="s">
        <v>319</v>
      </c>
      <c r="Q9" s="494" t="s">
        <v>318</v>
      </c>
      <c r="R9" s="494" t="s">
        <v>317</v>
      </c>
      <c r="S9" s="494" t="s">
        <v>316</v>
      </c>
      <c r="T9" s="492">
        <v>2002</v>
      </c>
      <c r="U9" s="494" t="s">
        <v>315</v>
      </c>
      <c r="V9" s="494" t="s">
        <v>314</v>
      </c>
      <c r="W9" s="494" t="s">
        <v>313</v>
      </c>
      <c r="X9" s="494" t="s">
        <v>312</v>
      </c>
      <c r="Y9" s="492">
        <v>2003</v>
      </c>
      <c r="Z9" s="494" t="s">
        <v>121</v>
      </c>
      <c r="AA9" s="494" t="s">
        <v>120</v>
      </c>
      <c r="AB9" s="494" t="s">
        <v>119</v>
      </c>
      <c r="AC9" s="494" t="s">
        <v>118</v>
      </c>
      <c r="AD9" s="492">
        <v>2004</v>
      </c>
      <c r="AE9" s="494" t="s">
        <v>117</v>
      </c>
      <c r="AF9" s="494" t="s">
        <v>116</v>
      </c>
      <c r="AG9" s="494" t="s">
        <v>115</v>
      </c>
      <c r="AH9" s="494" t="s">
        <v>114</v>
      </c>
      <c r="AI9" s="492">
        <v>2005</v>
      </c>
      <c r="AJ9" s="494" t="s">
        <v>206</v>
      </c>
      <c r="AK9" s="494" t="s">
        <v>205</v>
      </c>
      <c r="AL9" s="494" t="s">
        <v>204</v>
      </c>
      <c r="AM9" s="494" t="s">
        <v>203</v>
      </c>
      <c r="AN9" s="492">
        <v>2006</v>
      </c>
      <c r="AO9" s="494" t="s">
        <v>202</v>
      </c>
      <c r="AP9" s="494" t="s">
        <v>201</v>
      </c>
      <c r="AQ9" s="494" t="s">
        <v>200</v>
      </c>
      <c r="AR9" s="494" t="s">
        <v>199</v>
      </c>
      <c r="AS9" s="492">
        <v>2007</v>
      </c>
      <c r="AT9" s="495" t="s">
        <v>198</v>
      </c>
      <c r="AU9" s="494" t="s">
        <v>197</v>
      </c>
      <c r="AV9" s="494" t="s">
        <v>196</v>
      </c>
      <c r="AW9" s="494" t="s">
        <v>195</v>
      </c>
      <c r="AX9" s="492">
        <v>2008</v>
      </c>
      <c r="AY9" s="494" t="s">
        <v>194</v>
      </c>
      <c r="AZ9" s="494" t="s">
        <v>193</v>
      </c>
      <c r="BA9" s="494" t="s">
        <v>192</v>
      </c>
      <c r="BB9" s="494" t="s">
        <v>191</v>
      </c>
      <c r="BC9" s="492">
        <v>2009</v>
      </c>
      <c r="BD9" s="494" t="s">
        <v>190</v>
      </c>
      <c r="BE9" s="494" t="s">
        <v>189</v>
      </c>
      <c r="BF9" s="494" t="s">
        <v>188</v>
      </c>
      <c r="BG9" s="494" t="s">
        <v>187</v>
      </c>
      <c r="BH9" s="492">
        <v>2010</v>
      </c>
      <c r="BI9" s="494" t="s">
        <v>186</v>
      </c>
      <c r="BJ9" s="494" t="s">
        <v>185</v>
      </c>
      <c r="BK9" s="494" t="s">
        <v>184</v>
      </c>
      <c r="BL9" s="494" t="s">
        <v>183</v>
      </c>
      <c r="BM9" s="492">
        <v>2011</v>
      </c>
      <c r="BN9" s="494" t="s">
        <v>182</v>
      </c>
      <c r="BO9" s="494" t="s">
        <v>181</v>
      </c>
      <c r="BP9" s="494" t="s">
        <v>180</v>
      </c>
      <c r="BQ9" s="494" t="s">
        <v>179</v>
      </c>
      <c r="BR9" s="492">
        <v>2012</v>
      </c>
      <c r="BS9" s="493" t="s">
        <v>178</v>
      </c>
      <c r="BT9" s="493" t="s">
        <v>177</v>
      </c>
      <c r="BU9" s="493" t="s">
        <v>176</v>
      </c>
      <c r="BV9" s="493" t="s">
        <v>175</v>
      </c>
      <c r="BW9" s="492">
        <v>2013</v>
      </c>
      <c r="BX9" s="493" t="s">
        <v>174</v>
      </c>
      <c r="BY9" s="493" t="s">
        <v>152</v>
      </c>
      <c r="BZ9" s="493" t="s">
        <v>140</v>
      </c>
      <c r="CA9" s="493" t="s">
        <v>132</v>
      </c>
      <c r="CB9" s="492">
        <v>2014</v>
      </c>
      <c r="CC9" s="493" t="s">
        <v>131</v>
      </c>
      <c r="CD9" s="493" t="s">
        <v>130</v>
      </c>
      <c r="CE9" s="493" t="s">
        <v>129</v>
      </c>
      <c r="CF9" s="493" t="s">
        <v>128</v>
      </c>
      <c r="CG9" s="492">
        <v>2015</v>
      </c>
      <c r="CH9" s="493" t="s">
        <v>1386</v>
      </c>
      <c r="CI9" s="493" t="s">
        <v>1410</v>
      </c>
      <c r="CJ9" s="493" t="s">
        <v>1419</v>
      </c>
      <c r="CK9" s="493" t="s">
        <v>1426</v>
      </c>
      <c r="CL9" s="492">
        <v>2016</v>
      </c>
      <c r="CM9" s="493" t="s">
        <v>1454</v>
      </c>
      <c r="CN9" s="493" t="s">
        <v>1458</v>
      </c>
      <c r="CO9" s="493" t="s">
        <v>1468</v>
      </c>
      <c r="CP9" s="493" t="s">
        <v>1363</v>
      </c>
      <c r="CQ9" s="492" t="s">
        <v>137</v>
      </c>
      <c r="CR9" s="493" t="s">
        <v>1448</v>
      </c>
      <c r="CS9" s="493" t="s">
        <v>1449</v>
      </c>
      <c r="CT9" s="493" t="s">
        <v>1450</v>
      </c>
      <c r="CU9" s="493" t="s">
        <v>1451</v>
      </c>
      <c r="CV9" s="492" t="s">
        <v>311</v>
      </c>
      <c r="CW9" s="492" t="s">
        <v>1254</v>
      </c>
      <c r="CX9" s="492" t="s">
        <v>1452</v>
      </c>
      <c r="CY9" s="492" t="s">
        <v>1453</v>
      </c>
      <c r="CZ9" s="256"/>
      <c r="DG9" s="256"/>
    </row>
    <row r="10" spans="1:111" ht="12" customHeight="1">
      <c r="A10" s="116"/>
      <c r="B10" s="116"/>
      <c r="C10" s="116"/>
      <c r="D10" s="116"/>
      <c r="E10" s="264"/>
      <c r="F10" s="489"/>
      <c r="G10" s="489"/>
      <c r="H10" s="489"/>
      <c r="I10" s="489"/>
      <c r="J10" s="488"/>
      <c r="K10" s="489"/>
      <c r="L10" s="489"/>
      <c r="M10" s="489"/>
      <c r="N10" s="489"/>
      <c r="O10" s="488"/>
      <c r="P10" s="489"/>
      <c r="Q10" s="489"/>
      <c r="R10" s="489"/>
      <c r="S10" s="489"/>
      <c r="T10" s="488"/>
      <c r="U10" s="489"/>
      <c r="V10" s="489"/>
      <c r="W10" s="489"/>
      <c r="X10" s="489"/>
      <c r="Y10" s="488"/>
      <c r="Z10" s="489"/>
      <c r="AA10" s="489"/>
      <c r="AB10" s="489"/>
      <c r="AC10" s="489"/>
      <c r="AD10" s="488"/>
      <c r="AE10" s="489"/>
      <c r="AF10" s="489"/>
      <c r="AG10" s="489"/>
      <c r="AH10" s="489"/>
      <c r="AI10" s="488"/>
      <c r="AJ10" s="489"/>
      <c r="AK10" s="489"/>
      <c r="AL10" s="489"/>
      <c r="AM10" s="489"/>
      <c r="AN10" s="488"/>
      <c r="AO10" s="489"/>
      <c r="AP10" s="489"/>
      <c r="AQ10" s="489"/>
      <c r="AR10" s="489"/>
      <c r="AS10" s="488"/>
      <c r="AT10" s="491"/>
      <c r="AU10" s="490"/>
      <c r="AV10" s="490"/>
      <c r="AW10" s="490"/>
      <c r="AX10" s="488"/>
      <c r="AY10" s="490"/>
      <c r="AZ10" s="490"/>
      <c r="BA10" s="490"/>
      <c r="BB10" s="490"/>
      <c r="BC10" s="488"/>
      <c r="BD10" s="490"/>
      <c r="BE10" s="490"/>
      <c r="BF10" s="490"/>
      <c r="BG10" s="490"/>
      <c r="BH10" s="488"/>
      <c r="BI10" s="489"/>
      <c r="BJ10" s="489"/>
      <c r="BK10" s="489"/>
      <c r="BL10" s="489"/>
      <c r="BM10" s="488"/>
      <c r="BN10" s="489"/>
      <c r="BO10" s="489"/>
      <c r="BP10" s="489"/>
      <c r="BQ10" s="489"/>
      <c r="BR10" s="488"/>
      <c r="BS10" s="489"/>
      <c r="BT10" s="489"/>
      <c r="BU10" s="489"/>
      <c r="BV10" s="489"/>
      <c r="BW10" s="488"/>
      <c r="BX10" s="489"/>
      <c r="BY10" s="489"/>
      <c r="BZ10" s="489"/>
      <c r="CA10" s="489"/>
      <c r="CB10" s="488"/>
      <c r="CC10" s="489"/>
      <c r="CD10" s="489"/>
      <c r="CE10" s="489"/>
      <c r="CF10" s="489"/>
      <c r="CG10" s="488"/>
      <c r="CH10" s="489"/>
      <c r="CI10" s="489"/>
      <c r="CJ10" s="489"/>
      <c r="CK10" s="489"/>
      <c r="CL10" s="488"/>
      <c r="CM10" s="489"/>
      <c r="CN10" s="489"/>
      <c r="CO10" s="489"/>
      <c r="CP10" s="489"/>
      <c r="CQ10" s="488"/>
      <c r="CR10" s="489"/>
      <c r="CS10" s="489"/>
      <c r="CT10" s="489"/>
      <c r="CU10" s="489"/>
      <c r="CV10" s="488"/>
      <c r="CW10" s="488"/>
      <c r="CX10" s="488"/>
      <c r="CY10" s="488"/>
      <c r="CZ10" s="256"/>
      <c r="DG10" s="256"/>
    </row>
    <row r="11" spans="1:111" ht="12" customHeight="1">
      <c r="A11" s="256"/>
      <c r="B11" s="256"/>
      <c r="C11" s="419" t="str">
        <f>+Otis!C10</f>
        <v>Otis</v>
      </c>
      <c r="D11" s="419"/>
      <c r="E11" s="256"/>
      <c r="F11" s="272">
        <v>1543</v>
      </c>
      <c r="G11" s="272">
        <v>1534</v>
      </c>
      <c r="H11" s="272">
        <v>1504</v>
      </c>
      <c r="I11" s="272">
        <v>1572</v>
      </c>
      <c r="J11" s="385">
        <v>6153</v>
      </c>
      <c r="K11" s="272">
        <v>1548</v>
      </c>
      <c r="L11" s="272">
        <v>1537</v>
      </c>
      <c r="M11" s="272">
        <v>1554</v>
      </c>
      <c r="N11" s="272">
        <v>1699</v>
      </c>
      <c r="O11" s="385">
        <v>6338</v>
      </c>
      <c r="P11" s="272">
        <v>1536</v>
      </c>
      <c r="Q11" s="272">
        <v>1680</v>
      </c>
      <c r="R11" s="272">
        <v>1745</v>
      </c>
      <c r="S11" s="272">
        <v>1850</v>
      </c>
      <c r="T11" s="385">
        <v>6811</v>
      </c>
      <c r="U11" s="272">
        <v>1820</v>
      </c>
      <c r="V11" s="272">
        <v>1956</v>
      </c>
      <c r="W11" s="272">
        <v>1941</v>
      </c>
      <c r="X11" s="272">
        <v>2210</v>
      </c>
      <c r="Y11" s="385">
        <v>7927</v>
      </c>
      <c r="Z11" s="272">
        <v>2102</v>
      </c>
      <c r="AA11" s="272">
        <v>2193</v>
      </c>
      <c r="AB11" s="272">
        <v>2228</v>
      </c>
      <c r="AC11" s="272">
        <v>2414</v>
      </c>
      <c r="AD11" s="385">
        <v>8999</v>
      </c>
      <c r="AE11" s="272">
        <v>2322</v>
      </c>
      <c r="AF11" s="272">
        <v>2415</v>
      </c>
      <c r="AG11" s="272">
        <v>2362</v>
      </c>
      <c r="AH11" s="272">
        <v>2476</v>
      </c>
      <c r="AI11" s="385">
        <v>9575</v>
      </c>
      <c r="AJ11" s="272">
        <f>'Divisional Summary'!AJ12</f>
        <v>2348</v>
      </c>
      <c r="AK11" s="272">
        <f>'Divisional Summary'!AK12</f>
        <v>2529</v>
      </c>
      <c r="AL11" s="272">
        <f>'Divisional Summary'!AL12</f>
        <v>2565</v>
      </c>
      <c r="AM11" s="272">
        <f>'Divisional Summary'!AM12</f>
        <v>2848</v>
      </c>
      <c r="AN11" s="385">
        <f>'Divisional Summary'!AN12</f>
        <v>10290</v>
      </c>
      <c r="AO11" s="272">
        <f>'Divisional Summary'!AO12</f>
        <v>2728</v>
      </c>
      <c r="AP11" s="272">
        <f>'Divisional Summary'!AP12</f>
        <v>2858</v>
      </c>
      <c r="AQ11" s="272">
        <f>'Divisional Summary'!AQ12</f>
        <v>2936</v>
      </c>
      <c r="AR11" s="272">
        <f>'Divisional Summary'!AR12</f>
        <v>3363</v>
      </c>
      <c r="AS11" s="385">
        <f>'Divisional Summary'!AS12</f>
        <v>11885</v>
      </c>
      <c r="AT11" s="317">
        <f>'Divisional Summary'!AT12</f>
        <v>3057</v>
      </c>
      <c r="AU11" s="272">
        <f>'Divisional Summary'!AU12</f>
        <v>3404</v>
      </c>
      <c r="AV11" s="272">
        <f>'Divisional Summary'!AV12</f>
        <v>3245</v>
      </c>
      <c r="AW11" s="272">
        <f>'Divisional Summary'!AW12</f>
        <v>3243</v>
      </c>
      <c r="AX11" s="385">
        <f>'Divisional Summary'!AX12</f>
        <v>12949</v>
      </c>
      <c r="AY11" s="272">
        <f>'Divisional Summary'!AY12</f>
        <v>2660</v>
      </c>
      <c r="AZ11" s="272">
        <f>'Divisional Summary'!AZ12</f>
        <v>2907</v>
      </c>
      <c r="BA11" s="272">
        <f>'Divisional Summary'!BA12</f>
        <v>2961</v>
      </c>
      <c r="BB11" s="272">
        <f>'Divisional Summary'!BB12</f>
        <v>3195</v>
      </c>
      <c r="BC11" s="385">
        <f>'Divisional Summary'!BC12</f>
        <v>11723</v>
      </c>
      <c r="BD11" s="272">
        <f>'Divisional Summary'!BD12</f>
        <v>2726</v>
      </c>
      <c r="BE11" s="272">
        <f>'Divisional Summary'!BE12</f>
        <v>2838</v>
      </c>
      <c r="BF11" s="272">
        <f>'Divisional Summary'!BF12</f>
        <v>2908</v>
      </c>
      <c r="BG11" s="272">
        <f>'Divisional Summary'!BG12</f>
        <v>3107</v>
      </c>
      <c r="BH11" s="385">
        <f>'Divisional Summary'!BH12</f>
        <v>11579</v>
      </c>
      <c r="BI11" s="272">
        <f>'Divisional Summary'!BI12</f>
        <v>2772</v>
      </c>
      <c r="BJ11" s="272">
        <f>'Divisional Summary'!BJ12</f>
        <v>3192</v>
      </c>
      <c r="BK11" s="272">
        <f>'Divisional Summary'!BK12</f>
        <v>3262</v>
      </c>
      <c r="BL11" s="272">
        <f>'Divisional Summary'!BL12</f>
        <v>3211</v>
      </c>
      <c r="BM11" s="385">
        <f>'Divisional Summary'!BM12</f>
        <v>12437</v>
      </c>
      <c r="BN11" s="272">
        <f>'Divisional Summary'!BN12</f>
        <v>2770</v>
      </c>
      <c r="BO11" s="272">
        <f>'Divisional Summary'!BO12</f>
        <v>3027</v>
      </c>
      <c r="BP11" s="272">
        <f>'Divisional Summary'!BP12</f>
        <v>3054</v>
      </c>
      <c r="BQ11" s="272">
        <f>'Divisional Summary'!BQ12</f>
        <v>3205</v>
      </c>
      <c r="BR11" s="385">
        <f>'Divisional Summary'!BR12</f>
        <v>12056</v>
      </c>
      <c r="BS11" s="272">
        <f>'Divisional Summary'!BS12</f>
        <v>2814</v>
      </c>
      <c r="BT11" s="272">
        <f>'Divisional Summary'!BT12</f>
        <v>3138</v>
      </c>
      <c r="BU11" s="272">
        <f>'Divisional Summary'!BU12</f>
        <v>3188</v>
      </c>
      <c r="BV11" s="272">
        <f>'Divisional Summary'!BV12</f>
        <v>3344</v>
      </c>
      <c r="BW11" s="385">
        <f>'Divisional Summary'!BW12</f>
        <v>12484</v>
      </c>
      <c r="BX11" s="272">
        <f>'Divisional Summary'!BX12</f>
        <v>2955</v>
      </c>
      <c r="BY11" s="272">
        <f>'Divisional Summary'!BY12</f>
        <v>3365</v>
      </c>
      <c r="BZ11" s="272">
        <f>'Divisional Summary'!BZ12</f>
        <v>3326</v>
      </c>
      <c r="CA11" s="272">
        <f>'Divisional Summary'!CA12</f>
        <v>3336</v>
      </c>
      <c r="CB11" s="385">
        <f>'Divisional Summary'!CB12</f>
        <v>12982</v>
      </c>
      <c r="CC11" s="272">
        <f>'Divisional Summary'!CC12</f>
        <v>2745</v>
      </c>
      <c r="CD11" s="272">
        <f>'Divisional Summary'!CD12</f>
        <v>3098</v>
      </c>
      <c r="CE11" s="272">
        <f>'Divisional Summary'!CE12</f>
        <v>3043</v>
      </c>
      <c r="CF11" s="272">
        <f>'Divisional Summary'!CF12</f>
        <v>3094</v>
      </c>
      <c r="CG11" s="385">
        <f>'Divisional Summary'!CG12</f>
        <v>11913.275066396131</v>
      </c>
      <c r="CH11" s="272">
        <f>'Divisional Summary'!CH12</f>
        <v>2715</v>
      </c>
      <c r="CI11" s="272">
        <f>'Divisional Summary'!CI12</f>
        <v>3097</v>
      </c>
      <c r="CJ11" s="272">
        <f>'Divisional Summary'!CJ12</f>
        <v>3018</v>
      </c>
      <c r="CK11" s="272">
        <f>'Divisional Summary'!CK12</f>
        <v>3063</v>
      </c>
      <c r="CL11" s="385">
        <f>'Divisional Summary'!CL12</f>
        <v>11893</v>
      </c>
      <c r="CM11" s="272">
        <f>'Divisional Summary'!CM12</f>
        <v>2804</v>
      </c>
      <c r="CN11" s="272">
        <f>'Divisional Summary'!CN12</f>
        <v>3131</v>
      </c>
      <c r="CO11" s="272">
        <f>'Divisional Summary'!CO12</f>
        <v>3156</v>
      </c>
      <c r="CP11" s="272">
        <f>'Divisional Summary'!CP12</f>
        <v>3124.2629834128365</v>
      </c>
      <c r="CQ11" s="385">
        <f>'Divisional Summary'!CQ12</f>
        <v>12215.262983412837</v>
      </c>
      <c r="CR11" s="272">
        <f>'Divisional Summary'!CR12</f>
        <v>2942.0060385099764</v>
      </c>
      <c r="CS11" s="272">
        <f>'Divisional Summary'!CS12</f>
        <v>3361.5456019177473</v>
      </c>
      <c r="CT11" s="272">
        <f>'Divisional Summary'!CT12</f>
        <v>3388.3864323386811</v>
      </c>
      <c r="CU11" s="272">
        <f>'Divisional Summary'!CU12</f>
        <v>3179.6285345856759</v>
      </c>
      <c r="CV11" s="385">
        <f>'Divisional Summary'!CV12</f>
        <v>12871.566607352081</v>
      </c>
      <c r="CW11" s="385">
        <f>'Divisional Summary'!CW12</f>
        <v>13144.879780553303</v>
      </c>
      <c r="CX11" s="385">
        <f>'Divisional Summary'!CX12</f>
        <v>13406.89531142759</v>
      </c>
      <c r="CY11" s="385">
        <f>'Divisional Summary'!CY12</f>
        <v>13651.751823350522</v>
      </c>
      <c r="CZ11" s="256"/>
      <c r="DG11" s="256"/>
    </row>
    <row r="12" spans="1:111" ht="12" customHeight="1">
      <c r="A12" s="256"/>
      <c r="B12" s="256"/>
      <c r="C12" s="116" t="s">
        <v>310</v>
      </c>
      <c r="D12" s="419"/>
      <c r="E12" s="256"/>
      <c r="F12" s="272"/>
      <c r="G12" s="272"/>
      <c r="H12" s="272"/>
      <c r="I12" s="272"/>
      <c r="J12" s="385"/>
      <c r="K12" s="272"/>
      <c r="L12" s="272"/>
      <c r="M12" s="272"/>
      <c r="N12" s="272"/>
      <c r="O12" s="385"/>
      <c r="P12" s="272"/>
      <c r="Q12" s="272"/>
      <c r="R12" s="272"/>
      <c r="S12" s="272"/>
      <c r="T12" s="385"/>
      <c r="U12" s="272"/>
      <c r="V12" s="272"/>
      <c r="W12" s="272"/>
      <c r="X12" s="272"/>
      <c r="Y12" s="385"/>
      <c r="Z12" s="272"/>
      <c r="AA12" s="272"/>
      <c r="AB12" s="272"/>
      <c r="AC12" s="272"/>
      <c r="AD12" s="385"/>
      <c r="AE12" s="272"/>
      <c r="AF12" s="272"/>
      <c r="AG12" s="272"/>
      <c r="AH12" s="272"/>
      <c r="AI12" s="385"/>
      <c r="AJ12" s="272"/>
      <c r="AK12" s="272"/>
      <c r="AL12" s="272"/>
      <c r="AM12" s="272"/>
      <c r="AN12" s="385"/>
      <c r="AO12" s="272"/>
      <c r="AP12" s="272"/>
      <c r="AQ12" s="272"/>
      <c r="AR12" s="272"/>
      <c r="AS12" s="385"/>
      <c r="AT12" s="317"/>
      <c r="AU12" s="272"/>
      <c r="AV12" s="272"/>
      <c r="AW12" s="272"/>
      <c r="AX12" s="385"/>
      <c r="AY12" s="272"/>
      <c r="AZ12" s="272"/>
      <c r="BA12" s="272"/>
      <c r="BB12" s="272"/>
      <c r="BC12" s="385"/>
      <c r="BD12" s="272"/>
      <c r="BE12" s="272"/>
      <c r="BF12" s="272"/>
      <c r="BG12" s="272"/>
      <c r="BH12" s="385"/>
      <c r="BI12" s="272">
        <f>'Divisional Summary'!BI13</f>
        <v>4393</v>
      </c>
      <c r="BJ12" s="272">
        <f>'Divisional Summary'!BJ13</f>
        <v>5140</v>
      </c>
      <c r="BK12" s="272">
        <f>'Divisional Summary'!BK13</f>
        <v>4921</v>
      </c>
      <c r="BL12" s="272">
        <f>'Divisional Summary'!BL13</f>
        <v>4410</v>
      </c>
      <c r="BM12" s="385">
        <f>'Divisional Summary'!BM13</f>
        <v>18864</v>
      </c>
      <c r="BN12" s="272">
        <f>'Divisional Summary'!BN13</f>
        <v>4112</v>
      </c>
      <c r="BO12" s="272">
        <f>'Divisional Summary'!BO13</f>
        <v>4572</v>
      </c>
      <c r="BP12" s="272">
        <f>'Divisional Summary'!BP13</f>
        <v>4259</v>
      </c>
      <c r="BQ12" s="272">
        <f>'Divisional Summary'!BQ13</f>
        <v>4147</v>
      </c>
      <c r="BR12" s="385">
        <f>'Divisional Summary'!BR13</f>
        <v>17090</v>
      </c>
      <c r="BS12" s="272">
        <f>'Divisional Summary'!BS13</f>
        <v>3837</v>
      </c>
      <c r="BT12" s="272">
        <f>'Divisional Summary'!BT13</f>
        <v>4543</v>
      </c>
      <c r="BU12" s="272">
        <f>'Divisional Summary'!BU13</f>
        <v>4237</v>
      </c>
      <c r="BV12" s="272">
        <f>'Divisional Summary'!BV13</f>
        <v>4192</v>
      </c>
      <c r="BW12" s="385">
        <f>'Divisional Summary'!BW13</f>
        <v>16809</v>
      </c>
      <c r="BX12" s="272">
        <f>'Divisional Summary'!BX13</f>
        <v>3851</v>
      </c>
      <c r="BY12" s="272">
        <f>'Divisional Summary'!BY13</f>
        <v>4429</v>
      </c>
      <c r="BZ12" s="272">
        <f>'Divisional Summary'!BZ13</f>
        <v>4351</v>
      </c>
      <c r="CA12" s="272">
        <f>'Divisional Summary'!CA13</f>
        <v>4192</v>
      </c>
      <c r="CB12" s="385">
        <f>'Divisional Summary'!CB13</f>
        <v>16823</v>
      </c>
      <c r="CC12" s="272">
        <f>'Divisional Summary'!CC13</f>
        <v>3852</v>
      </c>
      <c r="CD12" s="272">
        <f>'Divisional Summary'!CD13</f>
        <v>4454</v>
      </c>
      <c r="CE12" s="272">
        <f>'Divisional Summary'!CE13</f>
        <v>4279</v>
      </c>
      <c r="CF12" s="272">
        <f>'Divisional Summary'!CF13</f>
        <v>4122</v>
      </c>
      <c r="CG12" s="385">
        <f>'Divisional Summary'!CG13</f>
        <v>16707</v>
      </c>
      <c r="CH12" s="272">
        <f>'Divisional Summary'!CH13</f>
        <v>3728</v>
      </c>
      <c r="CI12" s="272">
        <f>'Divisional Summary'!CI13</f>
        <v>4459</v>
      </c>
      <c r="CJ12" s="272">
        <f>'Divisional Summary'!CJ13</f>
        <v>4415</v>
      </c>
      <c r="CK12" s="272">
        <f>'Divisional Summary'!CK13</f>
        <v>4249</v>
      </c>
      <c r="CL12" s="385">
        <f>'Divisional Summary'!CL13</f>
        <v>16851</v>
      </c>
      <c r="CM12" s="272">
        <f>'Divisional Summary'!CM13</f>
        <v>3892</v>
      </c>
      <c r="CN12" s="272">
        <f>'Divisional Summary'!CN13</f>
        <v>4712</v>
      </c>
      <c r="CO12" s="272">
        <f>'Divisional Summary'!CO13</f>
        <v>4688</v>
      </c>
      <c r="CP12" s="272">
        <f>'Divisional Summary'!CP13</f>
        <v>4549.0007467082942</v>
      </c>
      <c r="CQ12" s="385">
        <f>'Divisional Summary'!CQ13</f>
        <v>17841.000746708294</v>
      </c>
      <c r="CR12" s="272">
        <f>'Divisional Summary'!CR13</f>
        <v>4169.5508099162616</v>
      </c>
      <c r="CS12" s="272">
        <f>'Divisional Summary'!CS13</f>
        <v>5000.9075992614135</v>
      </c>
      <c r="CT12" s="272">
        <f>'Divisional Summary'!CT13</f>
        <v>4975.4360834757017</v>
      </c>
      <c r="CU12" s="272">
        <f>'Divisional Summary'!CU13</f>
        <v>4697.990500689335</v>
      </c>
      <c r="CV12" s="385">
        <f>'Divisional Summary'!CV13</f>
        <v>18843.884993342712</v>
      </c>
      <c r="CW12" s="385">
        <f>'Divisional Summary'!CW13</f>
        <v>19341.643816188036</v>
      </c>
      <c r="CX12" s="385">
        <f>'Divisional Summary'!CX13</f>
        <v>19749.982372980827</v>
      </c>
      <c r="CY12" s="385">
        <f>'Divisional Summary'!CY13</f>
        <v>20168.096124287287</v>
      </c>
      <c r="CZ12" s="256"/>
      <c r="DG12" s="256"/>
    </row>
    <row r="13" spans="1:111" ht="12" hidden="1" customHeight="1" outlineLevel="1">
      <c r="A13" s="256"/>
      <c r="B13" s="256"/>
      <c r="C13" s="419" t="s">
        <v>309</v>
      </c>
      <c r="D13" s="419"/>
      <c r="E13" s="485"/>
      <c r="F13" s="272">
        <v>1846</v>
      </c>
      <c r="G13" s="272">
        <v>2522</v>
      </c>
      <c r="H13" s="272">
        <v>2111</v>
      </c>
      <c r="I13" s="272">
        <v>1951</v>
      </c>
      <c r="J13" s="385">
        <v>8430</v>
      </c>
      <c r="K13" s="272">
        <v>2085</v>
      </c>
      <c r="L13" s="272">
        <v>2613</v>
      </c>
      <c r="M13" s="272">
        <v>2230</v>
      </c>
      <c r="N13" s="272">
        <v>1967</v>
      </c>
      <c r="O13" s="385">
        <v>8895</v>
      </c>
      <c r="P13" s="272">
        <v>1896</v>
      </c>
      <c r="Q13" s="272">
        <v>2541</v>
      </c>
      <c r="R13" s="272">
        <v>2340</v>
      </c>
      <c r="S13" s="272">
        <v>1996</v>
      </c>
      <c r="T13" s="385">
        <v>8773</v>
      </c>
      <c r="U13" s="272">
        <v>1957</v>
      </c>
      <c r="V13" s="272">
        <v>2640</v>
      </c>
      <c r="W13" s="272">
        <v>2453</v>
      </c>
      <c r="X13" s="272">
        <v>2196</v>
      </c>
      <c r="Y13" s="385">
        <v>9246</v>
      </c>
      <c r="Z13" s="272">
        <v>2230</v>
      </c>
      <c r="AA13" s="272">
        <v>3018</v>
      </c>
      <c r="AB13" s="272">
        <v>2675</v>
      </c>
      <c r="AC13" s="272">
        <v>2697</v>
      </c>
      <c r="AD13" s="385">
        <v>10636</v>
      </c>
      <c r="AE13" s="272">
        <v>2705</v>
      </c>
      <c r="AF13" s="272">
        <v>3413</v>
      </c>
      <c r="AG13" s="272">
        <v>3351</v>
      </c>
      <c r="AH13" s="272">
        <v>3043</v>
      </c>
      <c r="AI13" s="385">
        <v>12512</v>
      </c>
      <c r="AJ13" s="272">
        <f>'Divisional Summary'!AJ14</f>
        <v>2904</v>
      </c>
      <c r="AK13" s="272">
        <f>'Divisional Summary'!AK14</f>
        <v>3751</v>
      </c>
      <c r="AL13" s="272">
        <f>'Divisional Summary'!AL14</f>
        <v>3607</v>
      </c>
      <c r="AM13" s="487">
        <f>'Divisional Summary'!AM14</f>
        <v>3219</v>
      </c>
      <c r="AN13" s="385">
        <f>'Divisional Summary'!AN14</f>
        <v>13481</v>
      </c>
      <c r="AO13" s="272">
        <f>'Divisional Summary'!AO14</f>
        <v>3130</v>
      </c>
      <c r="AP13" s="272">
        <f>'Divisional Summary'!AP14</f>
        <v>4055</v>
      </c>
      <c r="AQ13" s="272">
        <f>'Divisional Summary'!AQ14</f>
        <v>3738</v>
      </c>
      <c r="AR13" s="272">
        <f>'Divisional Summary'!AR14</f>
        <v>3721</v>
      </c>
      <c r="AS13" s="385">
        <f>'Divisional Summary'!AS14</f>
        <v>14644</v>
      </c>
      <c r="AT13" s="317">
        <f>'Divisional Summary'!AT14</f>
        <v>3409</v>
      </c>
      <c r="AU13" s="272">
        <f>'Divisional Summary'!AU14</f>
        <v>4356</v>
      </c>
      <c r="AV13" s="272">
        <f>'Divisional Summary'!AV14</f>
        <v>3917</v>
      </c>
      <c r="AW13" s="272">
        <f>'Divisional Summary'!AW14</f>
        <v>3262</v>
      </c>
      <c r="AX13" s="385">
        <f>'Divisional Summary'!AX14</f>
        <v>14944</v>
      </c>
      <c r="AY13" s="272">
        <f>'Divisional Summary'!AY14</f>
        <v>2490</v>
      </c>
      <c r="AZ13" s="272">
        <f>'Divisional Summary'!AZ14</f>
        <v>3093</v>
      </c>
      <c r="BA13" s="272">
        <f>'Divisional Summary'!BA14</f>
        <v>2943</v>
      </c>
      <c r="BB13" s="272">
        <f>'Divisional Summary'!BB14</f>
        <v>2809</v>
      </c>
      <c r="BC13" s="385">
        <f>'Divisional Summary'!BC14</f>
        <v>11335</v>
      </c>
      <c r="BD13" s="272">
        <f>'Divisional Summary'!BD14</f>
        <v>2467</v>
      </c>
      <c r="BE13" s="272">
        <f>'Divisional Summary'!BE14</f>
        <v>3093</v>
      </c>
      <c r="BF13" s="272">
        <f>'Divisional Summary'!BF14</f>
        <v>2936</v>
      </c>
      <c r="BG13" s="272">
        <f>'Divisional Summary'!BG14</f>
        <v>2890</v>
      </c>
      <c r="BH13" s="385">
        <f>'Divisional Summary'!BH14</f>
        <v>11386</v>
      </c>
      <c r="BI13" s="272">
        <f>'Divisional Summary'!BI14</f>
        <v>2766</v>
      </c>
      <c r="BJ13" s="272">
        <f>'Divisional Summary'!BJ14</f>
        <v>3393</v>
      </c>
      <c r="BK13" s="272">
        <f>'Divisional Summary'!BK14</f>
        <v>3175</v>
      </c>
      <c r="BL13" s="272">
        <f>'Divisional Summary'!BL14</f>
        <v>2635</v>
      </c>
      <c r="BM13" s="385">
        <f>'Divisional Summary'!BM14</f>
        <v>11969</v>
      </c>
      <c r="BN13" s="272">
        <f>'Divisional Summary'!BN14</f>
        <v>11190</v>
      </c>
      <c r="BO13" s="272">
        <f>'Divisional Summary'!BO14</f>
        <v>11546.2</v>
      </c>
      <c r="BP13" s="272">
        <f>'Divisional Summary'!BP14</f>
        <v>11944.666000000001</v>
      </c>
      <c r="BQ13" s="272">
        <f>'Divisional Summary'!BQ14</f>
        <v>12395.439060000001</v>
      </c>
      <c r="BR13" s="385">
        <f>'Divisional Summary'!BR14</f>
        <v>11190</v>
      </c>
      <c r="BS13" s="272">
        <f>'Divisional Summary'!BS14</f>
        <v>11546.2</v>
      </c>
      <c r="BT13" s="272">
        <f>'Divisional Summary'!BT14</f>
        <v>11944.666000000001</v>
      </c>
      <c r="BU13" s="272">
        <f>'Divisional Summary'!BU14</f>
        <v>12395.439060000001</v>
      </c>
      <c r="BV13" s="272">
        <f>'Divisional Summary'!BV14</f>
        <v>13008.737276999998</v>
      </c>
      <c r="BW13" s="385">
        <f>'Divisional Summary'!BW14</f>
        <v>11546.2</v>
      </c>
      <c r="BX13" s="272"/>
      <c r="BY13" s="272"/>
      <c r="BZ13" s="272"/>
      <c r="CA13" s="272"/>
      <c r="CB13" s="385">
        <f>'Divisional Summary'!CB14</f>
        <v>0</v>
      </c>
      <c r="CC13" s="272"/>
      <c r="CD13" s="272"/>
      <c r="CE13" s="272"/>
      <c r="CF13" s="272"/>
      <c r="CG13" s="385">
        <f>'Divisional Summary'!CG14</f>
        <v>0</v>
      </c>
      <c r="CH13" s="272"/>
      <c r="CI13" s="272"/>
      <c r="CJ13" s="272"/>
      <c r="CK13" s="272"/>
      <c r="CL13" s="385">
        <f>'Divisional Summary'!CL14</f>
        <v>0</v>
      </c>
      <c r="CM13" s="272"/>
      <c r="CN13" s="272"/>
      <c r="CO13" s="272"/>
      <c r="CP13" s="272"/>
      <c r="CQ13" s="385">
        <f>'Divisional Summary'!CQ14</f>
        <v>0</v>
      </c>
      <c r="CR13" s="272"/>
      <c r="CS13" s="272"/>
      <c r="CT13" s="272"/>
      <c r="CU13" s="272"/>
      <c r="CV13" s="385">
        <f>'Divisional Summary'!CV14</f>
        <v>0</v>
      </c>
      <c r="CW13" s="385">
        <f>'Divisional Summary'!CW14</f>
        <v>0</v>
      </c>
      <c r="CX13" s="385">
        <f>'Divisional Summary'!CX14</f>
        <v>0</v>
      </c>
      <c r="CY13" s="385">
        <f>'Divisional Summary'!CY14</f>
        <v>0</v>
      </c>
      <c r="CZ13" s="256"/>
      <c r="DG13" s="256"/>
    </row>
    <row r="14" spans="1:111" ht="12" hidden="1" customHeight="1" outlineLevel="1">
      <c r="A14" s="256"/>
      <c r="B14" s="256"/>
      <c r="C14" s="419" t="s">
        <v>308</v>
      </c>
      <c r="D14" s="486"/>
      <c r="E14" s="485"/>
      <c r="F14" s="272">
        <v>0</v>
      </c>
      <c r="G14" s="272">
        <v>0</v>
      </c>
      <c r="H14" s="272">
        <v>0</v>
      </c>
      <c r="I14" s="272">
        <v>0</v>
      </c>
      <c r="J14" s="385">
        <v>0</v>
      </c>
      <c r="K14" s="272">
        <v>0</v>
      </c>
      <c r="L14" s="272">
        <v>0</v>
      </c>
      <c r="M14" s="272">
        <v>0</v>
      </c>
      <c r="N14" s="272">
        <v>0</v>
      </c>
      <c r="O14" s="385">
        <v>0</v>
      </c>
      <c r="P14" s="272">
        <v>0</v>
      </c>
      <c r="Q14" s="272">
        <v>0</v>
      </c>
      <c r="R14" s="272">
        <v>0</v>
      </c>
      <c r="S14" s="272">
        <v>0</v>
      </c>
      <c r="T14" s="385">
        <v>0</v>
      </c>
      <c r="U14" s="272">
        <v>0</v>
      </c>
      <c r="V14" s="272">
        <v>0</v>
      </c>
      <c r="W14" s="272">
        <v>416</v>
      </c>
      <c r="X14" s="272">
        <v>720</v>
      </c>
      <c r="Y14" s="385">
        <v>1136</v>
      </c>
      <c r="Z14" s="272">
        <v>703</v>
      </c>
      <c r="AA14" s="272">
        <v>707</v>
      </c>
      <c r="AB14" s="272">
        <v>696</v>
      </c>
      <c r="AC14" s="272">
        <v>773</v>
      </c>
      <c r="AD14" s="385">
        <v>2881</v>
      </c>
      <c r="AE14" s="272">
        <v>764</v>
      </c>
      <c r="AF14" s="272">
        <v>1162</v>
      </c>
      <c r="AG14" s="272">
        <v>1121</v>
      </c>
      <c r="AH14" s="272">
        <v>1203</v>
      </c>
      <c r="AI14" s="385">
        <v>4250</v>
      </c>
      <c r="AJ14" s="272">
        <f>'Divisional Summary'!AJ15</f>
        <v>1112</v>
      </c>
      <c r="AK14" s="272">
        <f>'Divisional Summary'!AK15</f>
        <v>1167</v>
      </c>
      <c r="AL14" s="272">
        <f>'Divisional Summary'!AL15</f>
        <v>1142</v>
      </c>
      <c r="AM14" s="272">
        <f>'Divisional Summary'!AM15</f>
        <v>1326</v>
      </c>
      <c r="AN14" s="385">
        <f>'Divisional Summary'!AN15</f>
        <v>4747</v>
      </c>
      <c r="AO14" s="272">
        <f>'Divisional Summary'!AO15</f>
        <v>1246</v>
      </c>
      <c r="AP14" s="272">
        <f>'Divisional Summary'!AP15</f>
        <v>1349</v>
      </c>
      <c r="AQ14" s="272">
        <f>'Divisional Summary'!AQ15</f>
        <v>1471</v>
      </c>
      <c r="AR14" s="272">
        <f>'Divisional Summary'!AR15</f>
        <v>1688</v>
      </c>
      <c r="AS14" s="385">
        <f>'Divisional Summary'!AS15</f>
        <v>5754</v>
      </c>
      <c r="AT14" s="317">
        <f>'Divisional Summary'!AT15</f>
        <v>1598</v>
      </c>
      <c r="AU14" s="272">
        <f>'Divisional Summary'!AU15</f>
        <v>1738</v>
      </c>
      <c r="AV14" s="272">
        <f>'Divisional Summary'!AV15</f>
        <v>1624</v>
      </c>
      <c r="AW14" s="272">
        <f>'Divisional Summary'!AW15</f>
        <v>1502</v>
      </c>
      <c r="AX14" s="385">
        <f>'Divisional Summary'!AX15</f>
        <v>6462</v>
      </c>
      <c r="AY14" s="272">
        <f>'Divisional Summary'!AY15</f>
        <v>1281</v>
      </c>
      <c r="AZ14" s="272">
        <f>'Divisional Summary'!AZ15</f>
        <v>1323</v>
      </c>
      <c r="BA14" s="272">
        <f>'Divisional Summary'!BA15</f>
        <v>1374</v>
      </c>
      <c r="BB14" s="272">
        <f>'Divisional Summary'!BB15</f>
        <v>1525</v>
      </c>
      <c r="BC14" s="385">
        <f>'Divisional Summary'!BC15</f>
        <v>5503</v>
      </c>
      <c r="BD14" s="272">
        <f>'Divisional Summary'!BD15</f>
        <v>1415</v>
      </c>
      <c r="BE14" s="272">
        <f>'Divisional Summary'!BE15</f>
        <v>1615</v>
      </c>
      <c r="BF14" s="272">
        <f>'Divisional Summary'!BF15</f>
        <v>1657</v>
      </c>
      <c r="BG14" s="272">
        <f>'Divisional Summary'!BG15</f>
        <v>1803</v>
      </c>
      <c r="BH14" s="385">
        <f>'Divisional Summary'!BH15</f>
        <v>6490</v>
      </c>
      <c r="BI14" s="272">
        <f>'Divisional Summary'!BI15</f>
        <v>1628</v>
      </c>
      <c r="BJ14" s="272">
        <f>'Divisional Summary'!BJ15</f>
        <v>1746</v>
      </c>
      <c r="BK14" s="272">
        <f>'Divisional Summary'!BK15</f>
        <v>1746</v>
      </c>
      <c r="BL14" s="272">
        <f>'Divisional Summary'!BL15</f>
        <v>1775</v>
      </c>
      <c r="BM14" s="385">
        <f>'Divisional Summary'!BM15</f>
        <v>6895</v>
      </c>
      <c r="BN14" s="272">
        <f>'Divisional Summary'!BN15</f>
        <v>5900</v>
      </c>
      <c r="BO14" s="272">
        <f>'Divisional Summary'!BO15</f>
        <v>5263</v>
      </c>
      <c r="BP14" s="272">
        <f>'Divisional Summary'!BP15</f>
        <v>5058.38</v>
      </c>
      <c r="BQ14" s="272">
        <f>'Divisional Summary'!BQ15</f>
        <v>5210.5639999999994</v>
      </c>
      <c r="BR14" s="385">
        <f>'Divisional Summary'!BR15</f>
        <v>5900</v>
      </c>
      <c r="BS14" s="272">
        <f>'Divisional Summary'!BS15</f>
        <v>5263</v>
      </c>
      <c r="BT14" s="272">
        <f>'Divisional Summary'!BT15</f>
        <v>5058.38</v>
      </c>
      <c r="BU14" s="272">
        <f>'Divisional Summary'!BU15</f>
        <v>5210.5639999999994</v>
      </c>
      <c r="BV14" s="272">
        <f>'Divisional Summary'!BV15</f>
        <v>5477.5097000000005</v>
      </c>
      <c r="BW14" s="385">
        <f>'Divisional Summary'!BW15</f>
        <v>5263</v>
      </c>
      <c r="BX14" s="272"/>
      <c r="BY14" s="272"/>
      <c r="BZ14" s="272"/>
      <c r="CA14" s="272"/>
      <c r="CB14" s="385">
        <f>'Divisional Summary'!CB15</f>
        <v>0</v>
      </c>
      <c r="CC14" s="272"/>
      <c r="CD14" s="272"/>
      <c r="CE14" s="272"/>
      <c r="CF14" s="272"/>
      <c r="CG14" s="385">
        <f>'Divisional Summary'!CG15</f>
        <v>0</v>
      </c>
      <c r="CH14" s="272"/>
      <c r="CI14" s="272"/>
      <c r="CJ14" s="272"/>
      <c r="CK14" s="272"/>
      <c r="CL14" s="385">
        <f>'Divisional Summary'!CL15</f>
        <v>0</v>
      </c>
      <c r="CM14" s="272"/>
      <c r="CN14" s="272"/>
      <c r="CO14" s="272"/>
      <c r="CP14" s="272"/>
      <c r="CQ14" s="385">
        <f>'Divisional Summary'!CQ15</f>
        <v>0</v>
      </c>
      <c r="CR14" s="272"/>
      <c r="CS14" s="272"/>
      <c r="CT14" s="272"/>
      <c r="CU14" s="272"/>
      <c r="CV14" s="385">
        <f>'Divisional Summary'!CV15</f>
        <v>0</v>
      </c>
      <c r="CW14" s="385">
        <f>'Divisional Summary'!CW15</f>
        <v>0</v>
      </c>
      <c r="CX14" s="385">
        <f>'Divisional Summary'!CX15</f>
        <v>0</v>
      </c>
      <c r="CY14" s="385">
        <f>'Divisional Summary'!CY15</f>
        <v>0</v>
      </c>
      <c r="CZ14" s="256"/>
      <c r="DG14" s="256"/>
    </row>
    <row r="15" spans="1:111" ht="12" customHeight="1" collapsed="1">
      <c r="A15" s="256"/>
      <c r="B15" s="256"/>
      <c r="C15" s="419" t="str">
        <f>Pratt!C10</f>
        <v>Pratt &amp; Whitney</v>
      </c>
      <c r="D15" s="486"/>
      <c r="E15" s="485"/>
      <c r="F15" s="272">
        <v>1824</v>
      </c>
      <c r="G15" s="272">
        <v>1790</v>
      </c>
      <c r="H15" s="272">
        <v>1782</v>
      </c>
      <c r="I15" s="272">
        <v>1970</v>
      </c>
      <c r="J15" s="385">
        <v>7366</v>
      </c>
      <c r="K15" s="272">
        <v>1878</v>
      </c>
      <c r="L15" s="272">
        <v>1957</v>
      </c>
      <c r="M15" s="272">
        <v>1894</v>
      </c>
      <c r="N15" s="272">
        <v>1950</v>
      </c>
      <c r="O15" s="385">
        <v>7679</v>
      </c>
      <c r="P15" s="272">
        <v>1840</v>
      </c>
      <c r="Q15" s="272">
        <v>1875</v>
      </c>
      <c r="R15" s="272">
        <v>1882</v>
      </c>
      <c r="S15" s="272">
        <v>2048</v>
      </c>
      <c r="T15" s="385">
        <v>7645</v>
      </c>
      <c r="U15" s="272">
        <v>1731</v>
      </c>
      <c r="V15" s="272">
        <v>1948</v>
      </c>
      <c r="W15" s="272">
        <v>1859</v>
      </c>
      <c r="X15" s="272">
        <v>1967</v>
      </c>
      <c r="Y15" s="385">
        <v>7505</v>
      </c>
      <c r="Z15" s="272">
        <v>1939</v>
      </c>
      <c r="AA15" s="272">
        <v>2080</v>
      </c>
      <c r="AB15" s="272">
        <v>2100</v>
      </c>
      <c r="AC15" s="272">
        <v>2162</v>
      </c>
      <c r="AD15" s="385">
        <v>8303</v>
      </c>
      <c r="AE15" s="272">
        <v>2013</v>
      </c>
      <c r="AF15" s="272">
        <v>2273</v>
      </c>
      <c r="AG15" s="272">
        <v>2414</v>
      </c>
      <c r="AH15" s="272">
        <v>2595</v>
      </c>
      <c r="AI15" s="385">
        <v>9295</v>
      </c>
      <c r="AJ15" s="272">
        <f>'Divisional Summary'!AJ16</f>
        <v>2568</v>
      </c>
      <c r="AK15" s="272">
        <f>'Divisional Summary'!AK16</f>
        <v>2727</v>
      </c>
      <c r="AL15" s="272">
        <f>'Divisional Summary'!AL16</f>
        <v>2771</v>
      </c>
      <c r="AM15" s="272">
        <f>'Divisional Summary'!AM16</f>
        <v>3046</v>
      </c>
      <c r="AN15" s="385">
        <f>'Divisional Summary'!AN16</f>
        <v>11112</v>
      </c>
      <c r="AO15" s="272">
        <f>'Divisional Summary'!AO16</f>
        <v>2767</v>
      </c>
      <c r="AP15" s="272">
        <f>'Divisional Summary'!AP16</f>
        <v>3108</v>
      </c>
      <c r="AQ15" s="272">
        <f>'Divisional Summary'!AQ16</f>
        <v>3036</v>
      </c>
      <c r="AR15" s="272">
        <f>'Divisional Summary'!AR16</f>
        <v>3218</v>
      </c>
      <c r="AS15" s="385">
        <f>'Divisional Summary'!AS16</f>
        <v>12129</v>
      </c>
      <c r="AT15" s="317">
        <f>'Divisional Summary'!AT16</f>
        <v>3464</v>
      </c>
      <c r="AU15" s="272">
        <f>'Divisional Summary'!AU16</f>
        <v>3569</v>
      </c>
      <c r="AV15" s="272">
        <f>'Divisional Summary'!AV16</f>
        <v>3421</v>
      </c>
      <c r="AW15" s="272">
        <f>'Divisional Summary'!AW16</f>
        <v>3587</v>
      </c>
      <c r="AX15" s="385">
        <f>'Divisional Summary'!AX16</f>
        <v>14041</v>
      </c>
      <c r="AY15" s="272">
        <f>'Divisional Summary'!AY16</f>
        <v>3158</v>
      </c>
      <c r="AZ15" s="272">
        <f>'Divisional Summary'!AZ16</f>
        <v>3053</v>
      </c>
      <c r="BA15" s="272">
        <f>'Divisional Summary'!BA16</f>
        <v>2972</v>
      </c>
      <c r="BB15" s="272">
        <f>'Divisional Summary'!BB16</f>
        <v>3209</v>
      </c>
      <c r="BC15" s="385">
        <f>'Divisional Summary'!BC16</f>
        <v>12392</v>
      </c>
      <c r="BD15" s="272">
        <f>'Divisional Summary'!BD16</f>
        <v>2841</v>
      </c>
      <c r="BE15" s="272">
        <f>'Divisional Summary'!BE16</f>
        <v>3279</v>
      </c>
      <c r="BF15" s="272">
        <f>'Divisional Summary'!BF16</f>
        <v>3230</v>
      </c>
      <c r="BG15" s="272">
        <f>'Divisional Summary'!BG16</f>
        <v>3585</v>
      </c>
      <c r="BH15" s="385">
        <f>'Divisional Summary'!BH16</f>
        <v>12935</v>
      </c>
      <c r="BI15" s="272">
        <f>'Divisional Summary'!BI16</f>
        <v>2873</v>
      </c>
      <c r="BJ15" s="272">
        <f>'Divisional Summary'!BJ16</f>
        <v>3276</v>
      </c>
      <c r="BK15" s="272">
        <f>'Divisional Summary'!BK16</f>
        <v>3081</v>
      </c>
      <c r="BL15" s="272">
        <f>'Divisional Summary'!BL16</f>
        <v>3481</v>
      </c>
      <c r="BM15" s="385">
        <f>'Divisional Summary'!BM16</f>
        <v>12711</v>
      </c>
      <c r="BN15" s="272">
        <f>'Divisional Summary'!BN16</f>
        <v>3052</v>
      </c>
      <c r="BO15" s="272">
        <f>'Divisional Summary'!BO16</f>
        <v>3447</v>
      </c>
      <c r="BP15" s="272">
        <f>'Divisional Summary'!BP16</f>
        <v>3574</v>
      </c>
      <c r="BQ15" s="272">
        <f>'Divisional Summary'!BQ16</f>
        <v>3891</v>
      </c>
      <c r="BR15" s="385">
        <f>'Divisional Summary'!BR16</f>
        <v>13964</v>
      </c>
      <c r="BS15" s="272">
        <f>'Divisional Summary'!BS16</f>
        <v>3402</v>
      </c>
      <c r="BT15" s="272">
        <f>'Divisional Summary'!BT16</f>
        <v>3624</v>
      </c>
      <c r="BU15" s="272">
        <f>'Divisional Summary'!BU16</f>
        <v>3386</v>
      </c>
      <c r="BV15" s="272">
        <f>'Divisional Summary'!BV16</f>
        <v>4089</v>
      </c>
      <c r="BW15" s="385">
        <f>'Divisional Summary'!BW16</f>
        <v>14501</v>
      </c>
      <c r="BX15" s="272">
        <f>'Divisional Summary'!BX16</f>
        <v>3329</v>
      </c>
      <c r="BY15" s="272">
        <f>'Divisional Summary'!BY16</f>
        <v>3592</v>
      </c>
      <c r="BZ15" s="272">
        <f>'Divisional Summary'!BZ16</f>
        <v>3564</v>
      </c>
      <c r="CA15" s="272">
        <f>'Divisional Summary'!CA16</f>
        <v>4023</v>
      </c>
      <c r="CB15" s="385">
        <f>'Divisional Summary'!CB16</f>
        <v>14508</v>
      </c>
      <c r="CC15" s="272">
        <f>'Divisional Summary'!CC16</f>
        <v>3332</v>
      </c>
      <c r="CD15" s="272">
        <f>'Divisional Summary'!CD16</f>
        <v>3677</v>
      </c>
      <c r="CE15" s="272">
        <f>'Divisional Summary'!CE16</f>
        <v>3234</v>
      </c>
      <c r="CF15" s="272">
        <f>'Divisional Summary'!CF16</f>
        <v>3839</v>
      </c>
      <c r="CG15" s="385">
        <f>'Divisional Summary'!CG16</f>
        <v>14082</v>
      </c>
      <c r="CH15" s="272">
        <f>'Divisional Summary'!CH16</f>
        <v>3588</v>
      </c>
      <c r="CI15" s="272">
        <f>'Divisional Summary'!CI16</f>
        <v>3813</v>
      </c>
      <c r="CJ15" s="272">
        <f>'Divisional Summary'!CJ16</f>
        <v>3501</v>
      </c>
      <c r="CK15" s="272">
        <f>'Divisional Summary'!CK16</f>
        <v>3992</v>
      </c>
      <c r="CL15" s="385">
        <f>'Divisional Summary'!CL16</f>
        <v>14894</v>
      </c>
      <c r="CM15" s="272">
        <f>'Divisional Summary'!CM16</f>
        <v>3758</v>
      </c>
      <c r="CN15" s="272">
        <f>'Divisional Summary'!CN16</f>
        <v>4070</v>
      </c>
      <c r="CO15" s="272">
        <f>'Divisional Summary'!CO16</f>
        <v>3871</v>
      </c>
      <c r="CP15" s="272">
        <f>'Divisional Summary'!CP16</f>
        <v>4190.5484314727373</v>
      </c>
      <c r="CQ15" s="385">
        <f>'Divisional Summary'!CQ16</f>
        <v>15889.548431472736</v>
      </c>
      <c r="CR15" s="272">
        <f>'Divisional Summary'!CR16</f>
        <v>4063.5811618776229</v>
      </c>
      <c r="CS15" s="272">
        <f>'Divisional Summary'!CS16</f>
        <v>4400.9513913895489</v>
      </c>
      <c r="CT15" s="272">
        <f>'Divisional Summary'!CT16</f>
        <v>3844.4697385918776</v>
      </c>
      <c r="CU15" s="272">
        <f>'Divisional Summary'!CU16</f>
        <v>4503.3944207153208</v>
      </c>
      <c r="CV15" s="385">
        <f>'Divisional Summary'!CV16</f>
        <v>17022.184420715319</v>
      </c>
      <c r="CW15" s="385">
        <f>'Divisional Summary'!CW16</f>
        <v>18249.319934002597</v>
      </c>
      <c r="CX15" s="385">
        <f>'Divisional Summary'!CX16</f>
        <v>19749.449086533736</v>
      </c>
      <c r="CY15" s="385">
        <f>'Divisional Summary'!CY16</f>
        <v>20794.943444881155</v>
      </c>
      <c r="CZ15" s="256"/>
      <c r="DG15" s="256"/>
    </row>
    <row r="16" spans="1:111" ht="12" hidden="1" customHeight="1">
      <c r="A16" s="256"/>
      <c r="B16" s="256"/>
      <c r="C16" s="419" t="s">
        <v>307</v>
      </c>
      <c r="D16" s="486"/>
      <c r="E16" s="485"/>
      <c r="F16" s="272">
        <v>1257</v>
      </c>
      <c r="G16" s="272">
        <v>1201</v>
      </c>
      <c r="H16" s="272">
        <v>1163</v>
      </c>
      <c r="I16" s="272">
        <v>1371</v>
      </c>
      <c r="J16" s="385">
        <v>4992</v>
      </c>
      <c r="K16" s="272">
        <v>1254</v>
      </c>
      <c r="L16" s="272">
        <v>1337</v>
      </c>
      <c r="M16" s="272">
        <v>1257</v>
      </c>
      <c r="N16" s="272">
        <v>1444</v>
      </c>
      <c r="O16" s="385">
        <v>5292</v>
      </c>
      <c r="P16" s="272">
        <v>0</v>
      </c>
      <c r="Q16" s="272">
        <v>0</v>
      </c>
      <c r="R16" s="272">
        <v>0</v>
      </c>
      <c r="S16" s="272">
        <v>0</v>
      </c>
      <c r="T16" s="385">
        <v>0</v>
      </c>
      <c r="U16" s="272">
        <v>0</v>
      </c>
      <c r="V16" s="272">
        <v>0</v>
      </c>
      <c r="W16" s="272">
        <v>0</v>
      </c>
      <c r="X16" s="272">
        <v>0</v>
      </c>
      <c r="Y16" s="385">
        <v>0</v>
      </c>
      <c r="Z16" s="272">
        <v>0</v>
      </c>
      <c r="AA16" s="272">
        <v>0</v>
      </c>
      <c r="AB16" s="272">
        <v>0</v>
      </c>
      <c r="AC16" s="272">
        <v>0</v>
      </c>
      <c r="AD16" s="385">
        <v>0</v>
      </c>
      <c r="AE16" s="272">
        <v>0</v>
      </c>
      <c r="AF16" s="272">
        <v>0</v>
      </c>
      <c r="AG16" s="272">
        <v>0</v>
      </c>
      <c r="AH16" s="272">
        <v>0</v>
      </c>
      <c r="AI16" s="385">
        <v>0</v>
      </c>
      <c r="AJ16" s="272">
        <f>'Divisional Summary'!AJ17</f>
        <v>0</v>
      </c>
      <c r="AK16" s="272">
        <f>'Divisional Summary'!AK17</f>
        <v>0</v>
      </c>
      <c r="AL16" s="272">
        <f>'Divisional Summary'!AL17</f>
        <v>0</v>
      </c>
      <c r="AM16" s="272">
        <f>'Divisional Summary'!AM17</f>
        <v>0</v>
      </c>
      <c r="AN16" s="385">
        <f>'Divisional Summary'!AN17</f>
        <v>0</v>
      </c>
      <c r="AO16" s="272">
        <f>'Divisional Summary'!AO17</f>
        <v>0</v>
      </c>
      <c r="AP16" s="272">
        <f>'Divisional Summary'!AP17</f>
        <v>0</v>
      </c>
      <c r="AQ16" s="272">
        <f>'Divisional Summary'!AQ17</f>
        <v>0</v>
      </c>
      <c r="AR16" s="272">
        <f>'Divisional Summary'!AR17</f>
        <v>0</v>
      </c>
      <c r="AS16" s="385">
        <f>'Divisional Summary'!AS17</f>
        <v>0</v>
      </c>
      <c r="AT16" s="317">
        <f>'Divisional Summary'!AT17</f>
        <v>0</v>
      </c>
      <c r="AU16" s="272">
        <f>'Divisional Summary'!AU17</f>
        <v>0</v>
      </c>
      <c r="AV16" s="272">
        <f>'Divisional Summary'!AV17</f>
        <v>0</v>
      </c>
      <c r="AW16" s="272">
        <f>'Divisional Summary'!AW17</f>
        <v>0</v>
      </c>
      <c r="AX16" s="385">
        <f>'Divisional Summary'!AX17</f>
        <v>0</v>
      </c>
      <c r="AY16" s="272">
        <f>'Divisional Summary'!AY17</f>
        <v>0</v>
      </c>
      <c r="AZ16" s="272">
        <f>'Divisional Summary'!AZ17</f>
        <v>0</v>
      </c>
      <c r="BA16" s="272">
        <f>'Divisional Summary'!BA17</f>
        <v>0</v>
      </c>
      <c r="BB16" s="272">
        <f>'Divisional Summary'!BB17</f>
        <v>0</v>
      </c>
      <c r="BC16" s="385">
        <f>'Divisional Summary'!BC17</f>
        <v>0</v>
      </c>
      <c r="BD16" s="272">
        <f>'Divisional Summary'!BD17</f>
        <v>0</v>
      </c>
      <c r="BE16" s="272">
        <f>'Divisional Summary'!BE17</f>
        <v>0</v>
      </c>
      <c r="BF16" s="272">
        <f>'Divisional Summary'!BF17</f>
        <v>0</v>
      </c>
      <c r="BG16" s="272">
        <f>'Divisional Summary'!BG17</f>
        <v>0</v>
      </c>
      <c r="BH16" s="385">
        <f>'Divisional Summary'!BH17</f>
        <v>0</v>
      </c>
      <c r="BI16" s="272">
        <f>'Divisional Summary'!BI17</f>
        <v>0</v>
      </c>
      <c r="BJ16" s="272">
        <f>'Divisional Summary'!BJ17</f>
        <v>0</v>
      </c>
      <c r="BK16" s="272">
        <f>'Divisional Summary'!BK17</f>
        <v>0</v>
      </c>
      <c r="BL16" s="272">
        <f>'Divisional Summary'!BL17</f>
        <v>0</v>
      </c>
      <c r="BM16" s="385">
        <f>'Divisional Summary'!BM17</f>
        <v>0</v>
      </c>
      <c r="BN16" s="272">
        <f>'Divisional Summary'!BN17</f>
        <v>0</v>
      </c>
      <c r="BO16" s="272">
        <f>'Divisional Summary'!BO17</f>
        <v>0</v>
      </c>
      <c r="BP16" s="272">
        <f>'Divisional Summary'!BP17</f>
        <v>0</v>
      </c>
      <c r="BQ16" s="272">
        <f>'Divisional Summary'!BQ17</f>
        <v>0</v>
      </c>
      <c r="BR16" s="385">
        <f>'Divisional Summary'!BR17</f>
        <v>0</v>
      </c>
      <c r="BS16" s="272">
        <f>'Divisional Summary'!BS17</f>
        <v>0</v>
      </c>
      <c r="BT16" s="272">
        <f>'Divisional Summary'!BT17</f>
        <v>0</v>
      </c>
      <c r="BU16" s="272">
        <f>'Divisional Summary'!BU17</f>
        <v>0</v>
      </c>
      <c r="BV16" s="272">
        <f>'Divisional Summary'!BV17</f>
        <v>0</v>
      </c>
      <c r="BW16" s="385">
        <f>'Divisional Summary'!BW17</f>
        <v>0</v>
      </c>
      <c r="BX16" s="272"/>
      <c r="BY16" s="272"/>
      <c r="BZ16" s="272"/>
      <c r="CA16" s="272"/>
      <c r="CB16" s="385">
        <f>'Divisional Summary'!CB17</f>
        <v>0</v>
      </c>
      <c r="CC16" s="272"/>
      <c r="CD16" s="272"/>
      <c r="CE16" s="272"/>
      <c r="CF16" s="272"/>
      <c r="CG16" s="385">
        <f>'Divisional Summary'!CG17</f>
        <v>0</v>
      </c>
      <c r="CH16" s="272"/>
      <c r="CI16" s="272"/>
      <c r="CJ16" s="272"/>
      <c r="CK16" s="272"/>
      <c r="CL16" s="385">
        <f>'Divisional Summary'!CL17</f>
        <v>0</v>
      </c>
      <c r="CM16" s="272"/>
      <c r="CN16" s="272"/>
      <c r="CO16" s="272"/>
      <c r="CP16" s="272"/>
      <c r="CQ16" s="385">
        <f>'Divisional Summary'!CQ17</f>
        <v>0</v>
      </c>
      <c r="CR16" s="272"/>
      <c r="CS16" s="272"/>
      <c r="CT16" s="272"/>
      <c r="CU16" s="272"/>
      <c r="CV16" s="385">
        <f>'Divisional Summary'!CV17</f>
        <v>0</v>
      </c>
      <c r="CW16" s="385">
        <f>'Divisional Summary'!CW17</f>
        <v>0</v>
      </c>
      <c r="CX16" s="385">
        <f>'Divisional Summary'!CX17</f>
        <v>0</v>
      </c>
      <c r="CY16" s="385">
        <f>'Divisional Summary'!CY17</f>
        <v>0</v>
      </c>
      <c r="CZ16" s="256"/>
      <c r="DG16" s="256"/>
    </row>
    <row r="17" spans="1:111" ht="12" customHeight="1">
      <c r="A17" s="256"/>
      <c r="B17" s="256"/>
      <c r="C17" s="419" t="s">
        <v>164</v>
      </c>
      <c r="D17" s="486"/>
      <c r="E17" s="485"/>
      <c r="F17" s="272"/>
      <c r="G17" s="272"/>
      <c r="H17" s="272"/>
      <c r="I17" s="272"/>
      <c r="J17" s="385"/>
      <c r="K17" s="272"/>
      <c r="L17" s="272"/>
      <c r="M17" s="272"/>
      <c r="N17" s="272"/>
      <c r="O17" s="385"/>
      <c r="P17" s="272"/>
      <c r="Q17" s="272"/>
      <c r="R17" s="272"/>
      <c r="S17" s="272"/>
      <c r="T17" s="385"/>
      <c r="U17" s="272"/>
      <c r="V17" s="272"/>
      <c r="W17" s="272"/>
      <c r="X17" s="272"/>
      <c r="Y17" s="385"/>
      <c r="Z17" s="272"/>
      <c r="AA17" s="272"/>
      <c r="AB17" s="272"/>
      <c r="AC17" s="272"/>
      <c r="AD17" s="385"/>
      <c r="AE17" s="272"/>
      <c r="AF17" s="272"/>
      <c r="AG17" s="272"/>
      <c r="AH17" s="272"/>
      <c r="AI17" s="385"/>
      <c r="AJ17" s="272"/>
      <c r="AK17" s="272"/>
      <c r="AL17" s="272"/>
      <c r="AM17" s="272"/>
      <c r="AN17" s="385"/>
      <c r="AO17" s="272"/>
      <c r="AP17" s="272"/>
      <c r="AQ17" s="272"/>
      <c r="AR17" s="272"/>
      <c r="AS17" s="385"/>
      <c r="AT17" s="317"/>
      <c r="AU17" s="272"/>
      <c r="AV17" s="272"/>
      <c r="AW17" s="272"/>
      <c r="AX17" s="385"/>
      <c r="AY17" s="272"/>
      <c r="AZ17" s="272"/>
      <c r="BA17" s="272"/>
      <c r="BB17" s="272"/>
      <c r="BC17" s="385"/>
      <c r="BD17" s="272"/>
      <c r="BE17" s="272"/>
      <c r="BF17" s="272"/>
      <c r="BG17" s="272"/>
      <c r="BH17" s="385"/>
      <c r="BI17" s="272">
        <f>'Divisional Summary'!BI18</f>
        <v>1138</v>
      </c>
      <c r="BJ17" s="272">
        <f>'Divisional Summary'!BJ18</f>
        <v>1171</v>
      </c>
      <c r="BK17" s="272">
        <f>'Divisional Summary'!BK18</f>
        <v>1187</v>
      </c>
      <c r="BL17" s="272">
        <f>'Divisional Summary'!BL18</f>
        <v>1264</v>
      </c>
      <c r="BM17" s="385">
        <f>'Divisional Summary'!BM18</f>
        <v>4760</v>
      </c>
      <c r="BN17" s="272">
        <f>'Divisional Summary'!BN18</f>
        <v>1236</v>
      </c>
      <c r="BO17" s="272">
        <f>'Divisional Summary'!BO18</f>
        <v>1254</v>
      </c>
      <c r="BP17" s="272">
        <f>'Divisional Summary'!BP18</f>
        <v>2670</v>
      </c>
      <c r="BQ17" s="272">
        <f>'Divisional Summary'!BQ18</f>
        <v>3174</v>
      </c>
      <c r="BR17" s="385">
        <f>'Divisional Summary'!BR18</f>
        <v>8334</v>
      </c>
      <c r="BS17" s="272">
        <f>'Divisional Summary'!BS18</f>
        <v>3263</v>
      </c>
      <c r="BT17" s="272">
        <f>'Divisional Summary'!BT18</f>
        <v>3321</v>
      </c>
      <c r="BU17" s="272">
        <f>'Divisional Summary'!BU18</f>
        <v>3312</v>
      </c>
      <c r="BV17" s="272">
        <f>'Divisional Summary'!BV18</f>
        <v>3451</v>
      </c>
      <c r="BW17" s="385">
        <f>'Divisional Summary'!BW18</f>
        <v>13347</v>
      </c>
      <c r="BX17" s="272">
        <f>'Divisional Summary'!BX18</f>
        <v>3450</v>
      </c>
      <c r="BY17" s="272">
        <f>'Divisional Summary'!BY18</f>
        <v>3636</v>
      </c>
      <c r="BZ17" s="272">
        <f>'Divisional Summary'!BZ18</f>
        <v>3535</v>
      </c>
      <c r="CA17" s="272">
        <f>'Divisional Summary'!CA18</f>
        <v>3594</v>
      </c>
      <c r="CB17" s="385">
        <f>'Divisional Summary'!CB18</f>
        <v>14215</v>
      </c>
      <c r="CC17" s="272">
        <f>'Divisional Summary'!CC18</f>
        <v>3548</v>
      </c>
      <c r="CD17" s="272">
        <f>'Divisional Summary'!CD18</f>
        <v>3632</v>
      </c>
      <c r="CE17" s="272">
        <f>'Divisional Summary'!CE18</f>
        <v>3457</v>
      </c>
      <c r="CF17" s="272">
        <f>'Divisional Summary'!CF18</f>
        <v>3457</v>
      </c>
      <c r="CG17" s="385">
        <f>'Divisional Summary'!CG18</f>
        <v>14094</v>
      </c>
      <c r="CH17" s="272">
        <f>'Divisional Summary'!CH18</f>
        <v>3505</v>
      </c>
      <c r="CI17" s="272">
        <f>'Divisional Summary'!CI18</f>
        <v>3716</v>
      </c>
      <c r="CJ17" s="272">
        <f>'Divisional Summary'!CJ18</f>
        <v>3646</v>
      </c>
      <c r="CK17" s="272">
        <f>'Divisional Summary'!CK18</f>
        <v>3598</v>
      </c>
      <c r="CL17" s="385">
        <f>'Divisional Summary'!CL18</f>
        <v>14465</v>
      </c>
      <c r="CM17" s="272">
        <f>'Divisional Summary'!CM18</f>
        <v>3611</v>
      </c>
      <c r="CN17" s="272">
        <f>'Divisional Summary'!CN18</f>
        <v>3640</v>
      </c>
      <c r="CO17" s="272">
        <f>'Divisional Summary'!CO18</f>
        <v>3637</v>
      </c>
      <c r="CP17" s="272">
        <f>'Divisional Summary'!CP18</f>
        <v>3741.9324932500022</v>
      </c>
      <c r="CQ17" s="385">
        <f>'Divisional Summary'!CQ18</f>
        <v>14629.932493250002</v>
      </c>
      <c r="CR17" s="272">
        <f>'Divisional Summary'!CR18</f>
        <v>3774.9011912988894</v>
      </c>
      <c r="CS17" s="272">
        <f>'Divisional Summary'!CS18</f>
        <v>3878.0174844441863</v>
      </c>
      <c r="CT17" s="272">
        <f>'Divisional Summary'!CT18</f>
        <v>3874.8213161877766</v>
      </c>
      <c r="CU17" s="272">
        <f>'Divisional Summary'!CU18</f>
        <v>3904.6494536700006</v>
      </c>
      <c r="CV17" s="385">
        <f>'Divisional Summary'!CV18</f>
        <v>15432.389445600853</v>
      </c>
      <c r="CW17" s="385">
        <f>'Divisional Summary'!CW18</f>
        <v>16214.362530079052</v>
      </c>
      <c r="CX17" s="385">
        <f>'Divisional Summary'!CX18</f>
        <v>16957.492508960622</v>
      </c>
      <c r="CY17" s="385">
        <f>'Divisional Summary'!CY18</f>
        <v>17765.244045271582</v>
      </c>
      <c r="CZ17" s="256"/>
      <c r="DG17" s="256"/>
    </row>
    <row r="18" spans="1:111" ht="12" hidden="1" customHeight="1" outlineLevel="1">
      <c r="A18" s="256"/>
      <c r="B18" s="256"/>
      <c r="C18" s="317" t="s">
        <v>306</v>
      </c>
      <c r="D18" s="486"/>
      <c r="E18" s="485"/>
      <c r="F18" s="272">
        <v>0</v>
      </c>
      <c r="G18" s="272">
        <v>0</v>
      </c>
      <c r="H18" s="272">
        <v>0</v>
      </c>
      <c r="I18" s="272">
        <v>0</v>
      </c>
      <c r="J18" s="385">
        <v>0</v>
      </c>
      <c r="K18" s="272">
        <v>0</v>
      </c>
      <c r="L18" s="272">
        <v>0</v>
      </c>
      <c r="M18" s="272">
        <v>0</v>
      </c>
      <c r="N18" s="272">
        <v>0</v>
      </c>
      <c r="O18" s="385">
        <v>0</v>
      </c>
      <c r="P18" s="272">
        <v>741.24236505681813</v>
      </c>
      <c r="Q18" s="272">
        <v>845.46999289772725</v>
      </c>
      <c r="R18" s="272">
        <v>919.65553977272737</v>
      </c>
      <c r="S18" s="272">
        <v>946.63210227272737</v>
      </c>
      <c r="T18" s="385">
        <v>3453</v>
      </c>
      <c r="U18" s="272">
        <v>820.13905683192263</v>
      </c>
      <c r="V18" s="272">
        <v>866.84401451027804</v>
      </c>
      <c r="W18" s="272">
        <v>886.77146311970978</v>
      </c>
      <c r="X18" s="272">
        <v>1031.2454655380895</v>
      </c>
      <c r="Y18" s="385">
        <v>3605</v>
      </c>
      <c r="Z18" s="272">
        <v>926</v>
      </c>
      <c r="AA18" s="272">
        <v>935</v>
      </c>
      <c r="AB18" s="272">
        <v>980</v>
      </c>
      <c r="AC18" s="272">
        <v>1080</v>
      </c>
      <c r="AD18" s="385">
        <v>3928</v>
      </c>
      <c r="AE18" s="272">
        <v>1028</v>
      </c>
      <c r="AF18" s="272">
        <v>1126</v>
      </c>
      <c r="AG18" s="272">
        <v>1077</v>
      </c>
      <c r="AH18" s="272">
        <v>1151</v>
      </c>
      <c r="AI18" s="385">
        <v>4382</v>
      </c>
      <c r="AJ18" s="272">
        <f>'Divisional Summary'!AJ19</f>
        <v>1164</v>
      </c>
      <c r="AK18" s="272">
        <f>'Divisional Summary'!AK19</f>
        <v>1281</v>
      </c>
      <c r="AL18" s="272">
        <f>'Divisional Summary'!AL19</f>
        <v>1253</v>
      </c>
      <c r="AM18" s="272">
        <f>'Divisional Summary'!AM19</f>
        <v>1297</v>
      </c>
      <c r="AN18" s="385">
        <f>'Divisional Summary'!AN19</f>
        <v>4995</v>
      </c>
      <c r="AO18" s="272">
        <f>'Divisional Summary'!AO19</f>
        <v>1313</v>
      </c>
      <c r="AP18" s="272">
        <f>'Divisional Summary'!AP19</f>
        <v>1404</v>
      </c>
      <c r="AQ18" s="272">
        <f>'Divisional Summary'!AQ19</f>
        <v>1427</v>
      </c>
      <c r="AR18" s="272">
        <f>'Divisional Summary'!AR19</f>
        <v>1492</v>
      </c>
      <c r="AS18" s="385">
        <f>'Divisional Summary'!AS19</f>
        <v>5636</v>
      </c>
      <c r="AT18" s="317">
        <f>'Divisional Summary'!AT19</f>
        <v>1461</v>
      </c>
      <c r="AU18" s="272">
        <f>'Divisional Summary'!AU19</f>
        <v>1650</v>
      </c>
      <c r="AV18" s="272">
        <f>'Divisional Summary'!AV19</f>
        <v>1532</v>
      </c>
      <c r="AW18" s="272">
        <f>'Divisional Summary'!AW19</f>
        <v>1564</v>
      </c>
      <c r="AX18" s="385">
        <f>'Divisional Summary'!AX19</f>
        <v>6207</v>
      </c>
      <c r="AY18" s="272">
        <f>'Divisional Summary'!AY19</f>
        <v>1376</v>
      </c>
      <c r="AZ18" s="272">
        <f>'Divisional Summary'!AZ19</f>
        <v>1402</v>
      </c>
      <c r="BA18" s="272">
        <f>'Divisional Summary'!BA19</f>
        <v>1379</v>
      </c>
      <c r="BB18" s="272">
        <f>'Divisional Summary'!BB19</f>
        <v>1403</v>
      </c>
      <c r="BC18" s="385">
        <f>'Divisional Summary'!BC19</f>
        <v>5560</v>
      </c>
      <c r="BD18" s="272">
        <f>'Divisional Summary'!BD19</f>
        <v>1326</v>
      </c>
      <c r="BE18" s="272">
        <f>'Divisional Summary'!BE19</f>
        <v>1379</v>
      </c>
      <c r="BF18" s="272">
        <f>'Divisional Summary'!BF19</f>
        <v>1420</v>
      </c>
      <c r="BG18" s="272">
        <f>'Divisional Summary'!BG19</f>
        <v>1483</v>
      </c>
      <c r="BH18" s="385">
        <f>'Divisional Summary'!BH19</f>
        <v>5608</v>
      </c>
      <c r="BI18" s="272">
        <f>'Divisional Summary'!BI19</f>
        <v>1138</v>
      </c>
      <c r="BJ18" s="272">
        <f>'Divisional Summary'!BJ19</f>
        <v>1171</v>
      </c>
      <c r="BK18" s="272">
        <f>'Divisional Summary'!BK19</f>
        <v>1531</v>
      </c>
      <c r="BL18" s="272">
        <f>'Divisional Summary'!BL19</f>
        <v>1647</v>
      </c>
      <c r="BM18" s="385">
        <f>'Divisional Summary'!BM19</f>
        <v>5487</v>
      </c>
      <c r="BN18" s="272">
        <f>'Divisional Summary'!BN19</f>
        <v>1236</v>
      </c>
      <c r="BO18" s="272">
        <f>'Divisional Summary'!BO19</f>
        <v>1254</v>
      </c>
      <c r="BP18" s="272">
        <f>'Divisional Summary'!BP19</f>
        <v>1622.8600000000001</v>
      </c>
      <c r="BQ18" s="272">
        <f>'Divisional Summary'!BQ19</f>
        <v>1745.8200000000002</v>
      </c>
      <c r="BR18" s="385">
        <f>'Divisional Summary'!BR19</f>
        <v>5858.68</v>
      </c>
      <c r="BS18" s="272">
        <f>'Divisional Summary'!BS19</f>
        <v>6327.3744000000006</v>
      </c>
      <c r="BT18" s="272">
        <f>'Divisional Summary'!BT19</f>
        <v>6833.5643520000012</v>
      </c>
      <c r="BU18" s="272">
        <f>'Divisional Summary'!BU19</f>
        <v>7448.5851436800021</v>
      </c>
      <c r="BV18" s="272">
        <f>'Divisional Summary'!BV19</f>
        <v>0</v>
      </c>
      <c r="BW18" s="385">
        <f>'Divisional Summary'!BW19</f>
        <v>6327.3744000000006</v>
      </c>
      <c r="BX18" s="272"/>
      <c r="BY18" s="272"/>
      <c r="BZ18" s="272"/>
      <c r="CA18" s="272"/>
      <c r="CB18" s="385">
        <f>'Divisional Summary'!CB19</f>
        <v>0</v>
      </c>
      <c r="CC18" s="272"/>
      <c r="CD18" s="272"/>
      <c r="CE18" s="272"/>
      <c r="CF18" s="272"/>
      <c r="CG18" s="385">
        <f>'Divisional Summary'!CG19</f>
        <v>0</v>
      </c>
      <c r="CH18" s="272"/>
      <c r="CI18" s="272"/>
      <c r="CJ18" s="272"/>
      <c r="CK18" s="272"/>
      <c r="CL18" s="385">
        <f>'Divisional Summary'!CL19</f>
        <v>0</v>
      </c>
      <c r="CM18" s="272"/>
      <c r="CN18" s="272"/>
      <c r="CO18" s="272"/>
      <c r="CP18" s="272"/>
      <c r="CQ18" s="385">
        <f>'Divisional Summary'!CQ19</f>
        <v>0</v>
      </c>
      <c r="CR18" s="272"/>
      <c r="CS18" s="272"/>
      <c r="CT18" s="272"/>
      <c r="CU18" s="272"/>
      <c r="CV18" s="385">
        <f>'Divisional Summary'!CV19</f>
        <v>0</v>
      </c>
      <c r="CW18" s="385">
        <f>'Divisional Summary'!CW19</f>
        <v>0</v>
      </c>
      <c r="CX18" s="385">
        <f>'Divisional Summary'!CX19</f>
        <v>0</v>
      </c>
      <c r="CY18" s="385">
        <f>'Divisional Summary'!CY19</f>
        <v>0</v>
      </c>
      <c r="CZ18" s="256"/>
      <c r="DG18" s="256"/>
    </row>
    <row r="19" spans="1:111" ht="12" customHeight="1" collapsed="1">
      <c r="A19" s="256"/>
      <c r="B19" s="256"/>
      <c r="C19" s="317" t="s">
        <v>163</v>
      </c>
      <c r="D19" s="486"/>
      <c r="E19" s="485"/>
      <c r="F19" s="272">
        <v>0</v>
      </c>
      <c r="G19" s="272">
        <v>0</v>
      </c>
      <c r="H19" s="272">
        <v>0</v>
      </c>
      <c r="I19" s="272">
        <v>0</v>
      </c>
      <c r="J19" s="385">
        <v>0</v>
      </c>
      <c r="K19" s="272">
        <v>0</v>
      </c>
      <c r="L19" s="272">
        <v>0</v>
      </c>
      <c r="M19" s="272">
        <v>0</v>
      </c>
      <c r="N19" s="272">
        <v>0</v>
      </c>
      <c r="O19" s="385">
        <v>0</v>
      </c>
      <c r="P19" s="272">
        <v>467.75763494318181</v>
      </c>
      <c r="Q19" s="272">
        <v>533.53000710227275</v>
      </c>
      <c r="R19" s="272">
        <v>580.34446022727275</v>
      </c>
      <c r="S19" s="272">
        <v>597.36789772727275</v>
      </c>
      <c r="T19" s="385">
        <v>2179</v>
      </c>
      <c r="U19" s="272">
        <v>496.86094316807737</v>
      </c>
      <c r="V19" s="272">
        <v>525.15598548972184</v>
      </c>
      <c r="W19" s="272">
        <v>537.22853688029022</v>
      </c>
      <c r="X19" s="272">
        <v>624.75453446191057</v>
      </c>
      <c r="Y19" s="385">
        <v>2184</v>
      </c>
      <c r="Z19" s="272">
        <v>560</v>
      </c>
      <c r="AA19" s="272">
        <v>623</v>
      </c>
      <c r="AB19" s="272">
        <v>679</v>
      </c>
      <c r="AC19" s="272">
        <v>644</v>
      </c>
      <c r="AD19" s="385">
        <v>2506</v>
      </c>
      <c r="AE19" s="272">
        <v>605</v>
      </c>
      <c r="AF19" s="272">
        <v>704</v>
      </c>
      <c r="AG19" s="272">
        <v>639</v>
      </c>
      <c r="AH19" s="272">
        <v>854</v>
      </c>
      <c r="AI19" s="385">
        <v>2802</v>
      </c>
      <c r="AJ19" s="272">
        <f>'Divisional Summary'!AJ20</f>
        <v>512</v>
      </c>
      <c r="AK19" s="272">
        <f>'Divisional Summary'!AK20</f>
        <v>767</v>
      </c>
      <c r="AL19" s="272">
        <f>'Divisional Summary'!AL20</f>
        <v>867</v>
      </c>
      <c r="AM19" s="272">
        <f>'Divisional Summary'!AM20</f>
        <v>1084</v>
      </c>
      <c r="AN19" s="385">
        <f>'Divisional Summary'!AN20</f>
        <v>3230</v>
      </c>
      <c r="AO19" s="272">
        <f>'Divisional Summary'!AO20</f>
        <v>1006</v>
      </c>
      <c r="AP19" s="272">
        <f>'Divisional Summary'!AP20</f>
        <v>1198</v>
      </c>
      <c r="AQ19" s="272">
        <f>'Divisional Summary'!AQ20</f>
        <v>1307</v>
      </c>
      <c r="AR19" s="272">
        <f>'Divisional Summary'!AR20</f>
        <v>1278</v>
      </c>
      <c r="AS19" s="385">
        <f>'Divisional Summary'!AS20</f>
        <v>4789</v>
      </c>
      <c r="AT19" s="317">
        <f>'Divisional Summary'!AT20</f>
        <v>1023</v>
      </c>
      <c r="AU19" s="272">
        <f>'Divisional Summary'!AU20</f>
        <v>1307</v>
      </c>
      <c r="AV19" s="272">
        <f>'Divisional Summary'!AV20</f>
        <v>1438</v>
      </c>
      <c r="AW19" s="272">
        <f>'Divisional Summary'!AW20</f>
        <v>1600</v>
      </c>
      <c r="AX19" s="385">
        <f>'Divisional Summary'!AX20</f>
        <v>5368</v>
      </c>
      <c r="AY19" s="272">
        <f>'Divisional Summary'!AY20</f>
        <v>1321</v>
      </c>
      <c r="AZ19" s="272">
        <f>'Divisional Summary'!AZ20</f>
        <v>1382</v>
      </c>
      <c r="BA19" s="272">
        <f>'Divisional Summary'!BA20</f>
        <v>1640</v>
      </c>
      <c r="BB19" s="272">
        <f>'Divisional Summary'!BB20</f>
        <v>1944</v>
      </c>
      <c r="BC19" s="385">
        <f>'Divisional Summary'!BC20</f>
        <v>6287</v>
      </c>
      <c r="BD19" s="272">
        <f>'Divisional Summary'!BD20</f>
        <v>1358</v>
      </c>
      <c r="BE19" s="272">
        <f>'Divisional Summary'!BE20</f>
        <v>1692</v>
      </c>
      <c r="BF19" s="272">
        <f>'Divisional Summary'!BF20</f>
        <v>1547</v>
      </c>
      <c r="BG19" s="272">
        <f>'Divisional Summary'!BG20</f>
        <v>2087</v>
      </c>
      <c r="BH19" s="385">
        <f>'Divisional Summary'!BH20</f>
        <v>6684</v>
      </c>
      <c r="BI19" s="272">
        <f>'Divisional Summary'!BI20</f>
        <v>1582</v>
      </c>
      <c r="BJ19" s="272">
        <f>'Divisional Summary'!BJ20</f>
        <v>1786</v>
      </c>
      <c r="BK19" s="272">
        <f>'Divisional Summary'!BK20</f>
        <v>1877</v>
      </c>
      <c r="BL19" s="272">
        <f>'Divisional Summary'!BL20</f>
        <v>2110</v>
      </c>
      <c r="BM19" s="385">
        <f>'Divisional Summary'!BM20</f>
        <v>7355</v>
      </c>
      <c r="BN19" s="272">
        <f>'Divisional Summary'!BN20</f>
        <v>1346</v>
      </c>
      <c r="BO19" s="272">
        <f>'Divisional Summary'!BO20</f>
        <v>1620</v>
      </c>
      <c r="BP19" s="272">
        <f>'Divisional Summary'!BP20</f>
        <v>1649</v>
      </c>
      <c r="BQ19" s="272">
        <f>'Divisional Summary'!BQ20</f>
        <v>2176</v>
      </c>
      <c r="BR19" s="385">
        <f>'Divisional Summary'!BR20</f>
        <v>6791</v>
      </c>
      <c r="BS19" s="272">
        <f>'Divisional Summary'!BS20</f>
        <v>1249</v>
      </c>
      <c r="BT19" s="272">
        <f>'Divisional Summary'!BT20</f>
        <v>1566</v>
      </c>
      <c r="BU19" s="272">
        <f>'Divisional Summary'!BU20</f>
        <v>1541</v>
      </c>
      <c r="BV19" s="272">
        <f>'Divisional Summary'!BV20</f>
        <v>1897</v>
      </c>
      <c r="BW19" s="385">
        <f>'Divisional Summary'!BW20</f>
        <v>6253</v>
      </c>
      <c r="BX19" s="272">
        <f>'Divisional Summary'!BX20</f>
        <v>1361</v>
      </c>
      <c r="BY19" s="272">
        <f>'Divisional Summary'!BY20</f>
        <v>2384</v>
      </c>
      <c r="BZ19" s="272">
        <f>'Divisional Summary'!BZ20</f>
        <v>1620</v>
      </c>
      <c r="CA19" s="272">
        <f>'Divisional Summary'!CA20</f>
        <v>2086</v>
      </c>
      <c r="CB19" s="385">
        <f>'Divisional Summary'!CB20</f>
        <v>7451</v>
      </c>
      <c r="CC19" s="272">
        <f>'Divisional Summary'!CC20</f>
        <v>0</v>
      </c>
      <c r="CD19" s="272">
        <f>'Divisional Summary'!CD20</f>
        <v>0</v>
      </c>
      <c r="CE19" s="272">
        <f>'Divisional Summary'!CE20</f>
        <v>0</v>
      </c>
      <c r="CF19" s="272">
        <f>'Divisional Summary'!CF20</f>
        <v>0</v>
      </c>
      <c r="CG19" s="385">
        <f>'Divisional Summary'!CG20</f>
        <v>0</v>
      </c>
      <c r="CH19" s="272">
        <f>'Divisional Summary'!CH20</f>
        <v>0</v>
      </c>
      <c r="CI19" s="272">
        <f>'Divisional Summary'!CI20</f>
        <v>0</v>
      </c>
      <c r="CJ19" s="272">
        <f>'Divisional Summary'!CJ20</f>
        <v>0</v>
      </c>
      <c r="CK19" s="272">
        <f>'Divisional Summary'!CK20</f>
        <v>0</v>
      </c>
      <c r="CL19" s="385">
        <f>'Divisional Summary'!CL20</f>
        <v>0</v>
      </c>
      <c r="CM19" s="272">
        <f>'Divisional Summary'!CM20</f>
        <v>0</v>
      </c>
      <c r="CN19" s="272">
        <f>'Divisional Summary'!CN20</f>
        <v>0</v>
      </c>
      <c r="CO19" s="272">
        <f>'Divisional Summary'!CO20</f>
        <v>0</v>
      </c>
      <c r="CP19" s="272">
        <f>'Divisional Summary'!CP20</f>
        <v>0</v>
      </c>
      <c r="CQ19" s="385">
        <f>'Divisional Summary'!CQ20</f>
        <v>0</v>
      </c>
      <c r="CR19" s="272">
        <f>'Divisional Summary'!CR20</f>
        <v>0</v>
      </c>
      <c r="CS19" s="272">
        <f>'Divisional Summary'!CS20</f>
        <v>0</v>
      </c>
      <c r="CT19" s="272">
        <f>'Divisional Summary'!CT20</f>
        <v>0</v>
      </c>
      <c r="CU19" s="272">
        <f>'Divisional Summary'!CU20</f>
        <v>0</v>
      </c>
      <c r="CV19" s="385">
        <f>'Divisional Summary'!CV20</f>
        <v>0</v>
      </c>
      <c r="CW19" s="385">
        <f>'Divisional Summary'!CW20</f>
        <v>0</v>
      </c>
      <c r="CX19" s="385">
        <f>'Divisional Summary'!CX20</f>
        <v>0</v>
      </c>
      <c r="CY19" s="385">
        <f>'Divisional Summary'!CY20</f>
        <v>0</v>
      </c>
      <c r="CZ19" s="256"/>
      <c r="DG19" s="256"/>
    </row>
    <row r="20" spans="1:111" ht="12" customHeight="1">
      <c r="A20" s="256"/>
      <c r="B20" s="256"/>
      <c r="C20" s="419" t="s">
        <v>305</v>
      </c>
      <c r="D20" s="486"/>
      <c r="E20" s="485"/>
      <c r="F20" s="272">
        <v>-80</v>
      </c>
      <c r="G20" s="272">
        <v>-86</v>
      </c>
      <c r="H20" s="272">
        <v>-95</v>
      </c>
      <c r="I20" s="272">
        <v>-97</v>
      </c>
      <c r="J20" s="385">
        <v>-358</v>
      </c>
      <c r="K20" s="272">
        <v>-94</v>
      </c>
      <c r="L20" s="272">
        <v>-112</v>
      </c>
      <c r="M20" s="272">
        <v>-15</v>
      </c>
      <c r="N20" s="272">
        <v>0</v>
      </c>
      <c r="O20" s="385">
        <v>-307</v>
      </c>
      <c r="P20" s="272">
        <v>-107</v>
      </c>
      <c r="Q20" s="272">
        <v>-151</v>
      </c>
      <c r="R20" s="272">
        <v>-168</v>
      </c>
      <c r="S20" s="272">
        <v>-223</v>
      </c>
      <c r="T20" s="385">
        <v>-649</v>
      </c>
      <c r="U20" s="272">
        <v>-123</v>
      </c>
      <c r="V20" s="272">
        <v>-146</v>
      </c>
      <c r="W20" s="272">
        <v>-139</v>
      </c>
      <c r="X20" s="272">
        <v>-161</v>
      </c>
      <c r="Y20" s="385">
        <v>-569</v>
      </c>
      <c r="Z20" s="272">
        <v>186</v>
      </c>
      <c r="AA20" s="272">
        <v>66</v>
      </c>
      <c r="AB20" s="272">
        <v>-19</v>
      </c>
      <c r="AC20" s="272">
        <v>68</v>
      </c>
      <c r="AD20" s="385">
        <v>192</v>
      </c>
      <c r="AE20" s="272">
        <v>-30</v>
      </c>
      <c r="AF20" s="272">
        <v>59</v>
      </c>
      <c r="AG20" s="272">
        <v>-59</v>
      </c>
      <c r="AH20" s="272">
        <v>-61</v>
      </c>
      <c r="AI20" s="385">
        <v>-91</v>
      </c>
      <c r="AJ20" s="272">
        <f>'Divisional Summary'!AJ21</f>
        <v>7</v>
      </c>
      <c r="AK20" s="272">
        <f>'Divisional Summary'!AK21</f>
        <v>42</v>
      </c>
      <c r="AL20" s="272">
        <f>'Divisional Summary'!AL21</f>
        <v>-42</v>
      </c>
      <c r="AM20" s="272">
        <f>'Divisional Summary'!AM21</f>
        <v>-33</v>
      </c>
      <c r="AN20" s="385">
        <f>'Divisional Summary'!AN21</f>
        <v>-26</v>
      </c>
      <c r="AO20" s="272">
        <f>'Divisional Summary'!AO21</f>
        <v>88</v>
      </c>
      <c r="AP20" s="272">
        <f>'Divisional Summary'!AP21</f>
        <v>-68</v>
      </c>
      <c r="AQ20" s="272">
        <f>'Divisional Summary'!AQ21</f>
        <v>-52</v>
      </c>
      <c r="AR20" s="272">
        <f>'Divisional Summary'!AR21</f>
        <v>-46</v>
      </c>
      <c r="AS20" s="385">
        <f>'Divisional Summary'!AS21</f>
        <v>-78</v>
      </c>
      <c r="AT20" s="317">
        <f>'Divisional Summary'!AT21</f>
        <v>-54</v>
      </c>
      <c r="AU20" s="272">
        <f>'Divisional Summary'!AU21</f>
        <v>-80</v>
      </c>
      <c r="AV20" s="272">
        <f>'Divisional Summary'!AV21</f>
        <v>-92</v>
      </c>
      <c r="AW20" s="272">
        <f>'Divisional Summary'!AW21</f>
        <v>12</v>
      </c>
      <c r="AX20" s="385">
        <f>'Divisional Summary'!AX21</f>
        <v>-214</v>
      </c>
      <c r="AY20" s="272">
        <f>'Divisional Summary'!AY21</f>
        <v>-87</v>
      </c>
      <c r="AZ20" s="272">
        <f>'Divisional Summary'!AZ21</f>
        <v>-100</v>
      </c>
      <c r="BA20" s="272">
        <f>'Divisional Summary'!BA21</f>
        <v>-82</v>
      </c>
      <c r="BB20" s="272">
        <f>'Divisional Summary'!BB21</f>
        <v>-106</v>
      </c>
      <c r="BC20" s="385">
        <f>'Divisional Summary'!BC21</f>
        <v>-375</v>
      </c>
      <c r="BD20" s="272">
        <f>'Divisional Summary'!BD21</f>
        <v>-93</v>
      </c>
      <c r="BE20" s="272">
        <f>'Divisional Summary'!BE21</f>
        <v>-94</v>
      </c>
      <c r="BF20" s="272">
        <f>'Divisional Summary'!BF21</f>
        <v>-78</v>
      </c>
      <c r="BG20" s="272">
        <f>'Divisional Summary'!BG21</f>
        <v>-91</v>
      </c>
      <c r="BH20" s="385">
        <f>'Divisional Summary'!BH21</f>
        <v>-356</v>
      </c>
      <c r="BI20" s="272">
        <f>'Divisional Summary'!BI21</f>
        <v>-85</v>
      </c>
      <c r="BJ20" s="272">
        <f>'Divisional Summary'!BJ21</f>
        <v>-96</v>
      </c>
      <c r="BK20" s="272">
        <f>'Divisional Summary'!BK21</f>
        <v>-93</v>
      </c>
      <c r="BL20" s="272">
        <f>'Divisional Summary'!BL21</f>
        <v>-99</v>
      </c>
      <c r="BM20" s="385">
        <f>'Divisional Summary'!BM21</f>
        <v>-373</v>
      </c>
      <c r="BN20" s="272">
        <f>'Divisional Summary'!BN21</f>
        <v>-100</v>
      </c>
      <c r="BO20" s="272">
        <f>'Divisional Summary'!BO21</f>
        <v>-113</v>
      </c>
      <c r="BP20" s="272">
        <f>'Divisional Summary'!BP21</f>
        <v>-164</v>
      </c>
      <c r="BQ20" s="272">
        <f>'Divisional Summary'!BQ21</f>
        <v>-150</v>
      </c>
      <c r="BR20" s="385">
        <f>'Divisional Summary'!BR21</f>
        <v>-527</v>
      </c>
      <c r="BS20" s="272">
        <f>'Divisional Summary'!BS21</f>
        <v>-166</v>
      </c>
      <c r="BT20" s="272">
        <f>'Divisional Summary'!BT21</f>
        <v>-186</v>
      </c>
      <c r="BU20" s="272">
        <f>'Divisional Summary'!BU21</f>
        <v>-202</v>
      </c>
      <c r="BV20" s="272">
        <f>'Divisional Summary'!BV21</f>
        <v>-214</v>
      </c>
      <c r="BW20" s="385">
        <f>'Divisional Summary'!BW21</f>
        <v>-768</v>
      </c>
      <c r="BX20" s="272">
        <f>'Divisional Summary'!BX21</f>
        <v>-201</v>
      </c>
      <c r="BY20" s="272">
        <f>'Divisional Summary'!BY21</f>
        <v>-215</v>
      </c>
      <c r="BZ20" s="272">
        <f>'Divisional Summary'!BZ21</f>
        <v>-228</v>
      </c>
      <c r="CA20" s="272">
        <f>'Divisional Summary'!CA21</f>
        <v>-235</v>
      </c>
      <c r="CB20" s="385">
        <f>'Divisional Summary'!CB21</f>
        <v>-879</v>
      </c>
      <c r="CC20" s="272">
        <f>'Divisional Summary'!CC21</f>
        <v>-157</v>
      </c>
      <c r="CD20" s="272">
        <f>'Divisional Summary'!CD21</f>
        <v>-164</v>
      </c>
      <c r="CE20" s="272">
        <f>'Divisional Summary'!CE21</f>
        <v>-225</v>
      </c>
      <c r="CF20" s="272">
        <f>'Divisional Summary'!CF21</f>
        <v>-212</v>
      </c>
      <c r="CG20" s="385">
        <f>'Divisional Summary'!CG21</f>
        <v>-756.66387461710849</v>
      </c>
      <c r="CH20" s="272">
        <f>'Divisional Summary'!CH21</f>
        <v>-179</v>
      </c>
      <c r="CI20" s="272">
        <f>'Divisional Summary'!CI21</f>
        <v>-211</v>
      </c>
      <c r="CJ20" s="272">
        <f>'Divisional Summary'!CJ21</f>
        <v>-226</v>
      </c>
      <c r="CK20" s="272">
        <f>'Divisional Summary'!CK21</f>
        <v>-243</v>
      </c>
      <c r="CL20" s="385">
        <f>'Divisional Summary'!CL21</f>
        <v>-859</v>
      </c>
      <c r="CM20" s="272">
        <f>'Divisional Summary'!CM21</f>
        <v>-250</v>
      </c>
      <c r="CN20" s="272">
        <f>'Divisional Summary'!CN21</f>
        <v>-273</v>
      </c>
      <c r="CO20" s="272">
        <f>'Divisional Summary'!CO21</f>
        <v>-290</v>
      </c>
      <c r="CP20" s="272">
        <f>'Divisional Summary'!CP21</f>
        <v>-254.47563757395389</v>
      </c>
      <c r="CQ20" s="385">
        <f>'Divisional Summary'!CQ21</f>
        <v>-1067.4756375739539</v>
      </c>
      <c r="CR20" s="272">
        <f>'Divisional Summary'!CR21</f>
        <v>-282.70365985115831</v>
      </c>
      <c r="CS20" s="272">
        <f>'Divisional Summary'!CS21</f>
        <v>-282.70365985115831</v>
      </c>
      <c r="CT20" s="272">
        <f>'Divisional Summary'!CT21</f>
        <v>-282.70365985115831</v>
      </c>
      <c r="CU20" s="272">
        <f>'Divisional Summary'!CU21</f>
        <v>-282.70365985115831</v>
      </c>
      <c r="CV20" s="385">
        <f>'Divisional Summary'!CV21</f>
        <v>-1130.8146394046332</v>
      </c>
      <c r="CW20" s="385">
        <f>'Divisional Summary'!CW21</f>
        <v>-1179.8074346044345</v>
      </c>
      <c r="CX20" s="385">
        <f>'Divisional Summary'!CX21</f>
        <v>-1231.1516012573225</v>
      </c>
      <c r="CY20" s="385">
        <f>'Divisional Summary'!CY21</f>
        <v>-1275.492772178452</v>
      </c>
      <c r="CZ20" s="256"/>
      <c r="DG20" s="256"/>
    </row>
    <row r="21" spans="1:111" ht="12" customHeight="1" thickBot="1">
      <c r="A21" s="371"/>
      <c r="B21" s="371"/>
      <c r="C21" s="380" t="s">
        <v>304</v>
      </c>
      <c r="D21" s="380"/>
      <c r="E21" s="379"/>
      <c r="F21" s="379">
        <v>6390</v>
      </c>
      <c r="G21" s="379">
        <v>6961</v>
      </c>
      <c r="H21" s="379">
        <v>6465</v>
      </c>
      <c r="I21" s="379">
        <v>6767</v>
      </c>
      <c r="J21" s="420">
        <v>26583</v>
      </c>
      <c r="K21" s="379">
        <v>6671</v>
      </c>
      <c r="L21" s="379">
        <v>7332</v>
      </c>
      <c r="M21" s="379">
        <v>6920</v>
      </c>
      <c r="N21" s="379">
        <v>7060</v>
      </c>
      <c r="O21" s="420">
        <v>27897</v>
      </c>
      <c r="P21" s="379">
        <v>6374</v>
      </c>
      <c r="Q21" s="379">
        <v>7324</v>
      </c>
      <c r="R21" s="379">
        <v>7299</v>
      </c>
      <c r="S21" s="379">
        <v>7215</v>
      </c>
      <c r="T21" s="420">
        <v>28212</v>
      </c>
      <c r="U21" s="379">
        <v>6702</v>
      </c>
      <c r="V21" s="379">
        <v>7790</v>
      </c>
      <c r="W21" s="379">
        <v>7954</v>
      </c>
      <c r="X21" s="379">
        <v>8588</v>
      </c>
      <c r="Y21" s="420">
        <v>31034</v>
      </c>
      <c r="Z21" s="379">
        <v>8646</v>
      </c>
      <c r="AA21" s="379">
        <v>9622</v>
      </c>
      <c r="AB21" s="379">
        <v>9339</v>
      </c>
      <c r="AC21" s="379">
        <v>9838</v>
      </c>
      <c r="AD21" s="420">
        <v>37445</v>
      </c>
      <c r="AE21" s="379">
        <v>9407</v>
      </c>
      <c r="AF21" s="379">
        <v>11152</v>
      </c>
      <c r="AG21" s="379">
        <v>10905</v>
      </c>
      <c r="AH21" s="379">
        <v>11261</v>
      </c>
      <c r="AI21" s="420">
        <v>42725</v>
      </c>
      <c r="AJ21" s="379">
        <f t="shared" ref="AJ21:BH21" si="0">AJ11+AJ13+AJ15+AJ16+AJ14+AJ18+AJ19+AJ20</f>
        <v>10615</v>
      </c>
      <c r="AK21" s="379">
        <f t="shared" si="0"/>
        <v>12264</v>
      </c>
      <c r="AL21" s="379">
        <f t="shared" si="0"/>
        <v>12163</v>
      </c>
      <c r="AM21" s="379">
        <f t="shared" si="0"/>
        <v>12787</v>
      </c>
      <c r="AN21" s="420">
        <f t="shared" si="0"/>
        <v>47829</v>
      </c>
      <c r="AO21" s="379">
        <f t="shared" si="0"/>
        <v>12278</v>
      </c>
      <c r="AP21" s="379">
        <f t="shared" si="0"/>
        <v>13904</v>
      </c>
      <c r="AQ21" s="379">
        <f t="shared" si="0"/>
        <v>13863</v>
      </c>
      <c r="AR21" s="379">
        <f t="shared" si="0"/>
        <v>14714</v>
      </c>
      <c r="AS21" s="420">
        <f t="shared" si="0"/>
        <v>54759</v>
      </c>
      <c r="AT21" s="380">
        <f t="shared" si="0"/>
        <v>13958</v>
      </c>
      <c r="AU21" s="379">
        <f t="shared" si="0"/>
        <v>15944</v>
      </c>
      <c r="AV21" s="379">
        <f t="shared" si="0"/>
        <v>15085</v>
      </c>
      <c r="AW21" s="379">
        <f t="shared" si="0"/>
        <v>14770</v>
      </c>
      <c r="AX21" s="420">
        <f t="shared" si="0"/>
        <v>59757</v>
      </c>
      <c r="AY21" s="379">
        <f t="shared" si="0"/>
        <v>12199</v>
      </c>
      <c r="AZ21" s="379">
        <f t="shared" si="0"/>
        <v>13060</v>
      </c>
      <c r="BA21" s="379">
        <f t="shared" si="0"/>
        <v>13187</v>
      </c>
      <c r="BB21" s="379">
        <f t="shared" si="0"/>
        <v>13979</v>
      </c>
      <c r="BC21" s="420">
        <f t="shared" si="0"/>
        <v>52425</v>
      </c>
      <c r="BD21" s="379">
        <f t="shared" si="0"/>
        <v>12040</v>
      </c>
      <c r="BE21" s="379">
        <f t="shared" si="0"/>
        <v>13802</v>
      </c>
      <c r="BF21" s="379">
        <f t="shared" si="0"/>
        <v>13620</v>
      </c>
      <c r="BG21" s="379">
        <f t="shared" si="0"/>
        <v>14864</v>
      </c>
      <c r="BH21" s="420">
        <f t="shared" si="0"/>
        <v>54326</v>
      </c>
      <c r="BI21" s="379">
        <f t="shared" ref="BI21:CV21" si="1">BI11+BI12+BI15+BI17+BI19+BI20</f>
        <v>12673</v>
      </c>
      <c r="BJ21" s="379">
        <f t="shared" si="1"/>
        <v>14469</v>
      </c>
      <c r="BK21" s="379">
        <f t="shared" si="1"/>
        <v>14235</v>
      </c>
      <c r="BL21" s="379">
        <f t="shared" si="1"/>
        <v>14377</v>
      </c>
      <c r="BM21" s="420">
        <f t="shared" si="1"/>
        <v>55754</v>
      </c>
      <c r="BN21" s="379">
        <f t="shared" si="1"/>
        <v>12416</v>
      </c>
      <c r="BO21" s="379">
        <f t="shared" si="1"/>
        <v>13807</v>
      </c>
      <c r="BP21" s="379">
        <f t="shared" si="1"/>
        <v>15042</v>
      </c>
      <c r="BQ21" s="379">
        <f t="shared" si="1"/>
        <v>16443</v>
      </c>
      <c r="BR21" s="420">
        <f t="shared" si="1"/>
        <v>57708</v>
      </c>
      <c r="BS21" s="379">
        <f t="shared" si="1"/>
        <v>14399</v>
      </c>
      <c r="BT21" s="379">
        <f t="shared" si="1"/>
        <v>16006</v>
      </c>
      <c r="BU21" s="379">
        <f t="shared" si="1"/>
        <v>15462</v>
      </c>
      <c r="BV21" s="379">
        <f t="shared" si="1"/>
        <v>16759</v>
      </c>
      <c r="BW21" s="420">
        <f t="shared" si="1"/>
        <v>62626</v>
      </c>
      <c r="BX21" s="379">
        <f t="shared" si="1"/>
        <v>14745</v>
      </c>
      <c r="BY21" s="379">
        <f t="shared" si="1"/>
        <v>17191</v>
      </c>
      <c r="BZ21" s="379">
        <f t="shared" si="1"/>
        <v>16168</v>
      </c>
      <c r="CA21" s="379">
        <f t="shared" si="1"/>
        <v>16996</v>
      </c>
      <c r="CB21" s="420">
        <f t="shared" si="1"/>
        <v>65100</v>
      </c>
      <c r="CC21" s="379">
        <f t="shared" si="1"/>
        <v>13320</v>
      </c>
      <c r="CD21" s="379">
        <f t="shared" si="1"/>
        <v>14697</v>
      </c>
      <c r="CE21" s="379">
        <f t="shared" si="1"/>
        <v>13788</v>
      </c>
      <c r="CF21" s="379">
        <f t="shared" si="1"/>
        <v>14300</v>
      </c>
      <c r="CG21" s="420">
        <f t="shared" si="1"/>
        <v>56039.611191779026</v>
      </c>
      <c r="CH21" s="379">
        <f t="shared" si="1"/>
        <v>13357</v>
      </c>
      <c r="CI21" s="379">
        <f t="shared" si="1"/>
        <v>14874</v>
      </c>
      <c r="CJ21" s="379">
        <f t="shared" si="1"/>
        <v>14354</v>
      </c>
      <c r="CK21" s="379">
        <f t="shared" si="1"/>
        <v>14659</v>
      </c>
      <c r="CL21" s="420">
        <f t="shared" si="1"/>
        <v>57244</v>
      </c>
      <c r="CM21" s="379">
        <f>CM11+CM12+CM15+CM17+CM19+CM20</f>
        <v>13815</v>
      </c>
      <c r="CN21" s="379">
        <f>CN11+CN12+CN15+CN17+CN19+CN20</f>
        <v>15280</v>
      </c>
      <c r="CO21" s="379">
        <f>CO11+CO12+CO15+CO17+CO19+CO20</f>
        <v>15062</v>
      </c>
      <c r="CP21" s="379">
        <f>CP11+CP12+CP15+CP17+CP19+CP20</f>
        <v>15351.269017269917</v>
      </c>
      <c r="CQ21" s="420">
        <f t="shared" si="1"/>
        <v>59508.269017269915</v>
      </c>
      <c r="CR21" s="379">
        <f>CR11+CR12+CR15+CR17+CR19+CR20</f>
        <v>14667.335541751592</v>
      </c>
      <c r="CS21" s="379">
        <f>CS11+CS12+CS15+CS17+CS19+CS20</f>
        <v>16358.718417161737</v>
      </c>
      <c r="CT21" s="379">
        <f>CT11+CT12+CT15+CT17+CT19+CT20</f>
        <v>15800.409910742877</v>
      </c>
      <c r="CU21" s="379">
        <f>CU11+CU12+CU15+CU17+CU19+CU20</f>
        <v>16002.959249809173</v>
      </c>
      <c r="CV21" s="420">
        <f t="shared" si="1"/>
        <v>63039.210827606337</v>
      </c>
      <c r="CW21" s="420">
        <f>CW11+CW12+CW15+CW17+CW19+CW20</f>
        <v>65770.398626218564</v>
      </c>
      <c r="CX21" s="420">
        <f>CX11+CX12+CX15+CX17+CX19+CX20</f>
        <v>68632.667678645448</v>
      </c>
      <c r="CY21" s="420">
        <f>CY11+CY12+CY15+CY17+CY19+CY20</f>
        <v>71104.542665612098</v>
      </c>
      <c r="CZ21" s="256"/>
      <c r="DG21" s="256"/>
    </row>
    <row r="22" spans="1:111" ht="12" customHeight="1" thickTop="1">
      <c r="A22" s="482"/>
      <c r="B22" s="482"/>
      <c r="C22" s="484"/>
      <c r="D22" s="483" t="s">
        <v>282</v>
      </c>
      <c r="E22" s="482"/>
      <c r="F22" s="287" t="s">
        <v>284</v>
      </c>
      <c r="G22" s="287" t="s">
        <v>284</v>
      </c>
      <c r="H22" s="287" t="s">
        <v>284</v>
      </c>
      <c r="I22" s="287" t="s">
        <v>284</v>
      </c>
      <c r="J22" s="286" t="s">
        <v>284</v>
      </c>
      <c r="K22" s="287">
        <v>4.3974960876369318E-2</v>
      </c>
      <c r="L22" s="287">
        <v>5.3296940094814005E-2</v>
      </c>
      <c r="M22" s="287">
        <v>7.0378963650425286E-2</v>
      </c>
      <c r="N22" s="287">
        <v>4.3298359686714916E-2</v>
      </c>
      <c r="O22" s="286">
        <v>4.943008689764139E-2</v>
      </c>
      <c r="P22" s="287">
        <v>-4.4521061310148435E-2</v>
      </c>
      <c r="Q22" s="287">
        <v>-1.0911074740862503E-3</v>
      </c>
      <c r="R22" s="287">
        <v>5.4768786127167735E-2</v>
      </c>
      <c r="S22" s="287">
        <v>2.1954674220963089E-2</v>
      </c>
      <c r="T22" s="286">
        <v>1.1291536724378881E-2</v>
      </c>
      <c r="U22" s="287">
        <v>5.1459052400376626E-2</v>
      </c>
      <c r="V22" s="287">
        <v>6.3626433642818059E-2</v>
      </c>
      <c r="W22" s="287">
        <v>8.9738320317851672E-2</v>
      </c>
      <c r="X22" s="287">
        <v>0.19029799029799022</v>
      </c>
      <c r="Y22" s="286">
        <v>0.10002835672763366</v>
      </c>
      <c r="Z22" s="287">
        <v>0.29006266786034018</v>
      </c>
      <c r="AA22" s="287">
        <v>0.23517329910141216</v>
      </c>
      <c r="AB22" s="287">
        <v>0.17412622579834047</v>
      </c>
      <c r="AC22" s="287">
        <v>0.14555193292966928</v>
      </c>
      <c r="AD22" s="286">
        <v>0.20657988013146866</v>
      </c>
      <c r="AE22" s="287">
        <v>8.8017580383992655E-2</v>
      </c>
      <c r="AF22" s="287">
        <v>0.1590106007067138</v>
      </c>
      <c r="AG22" s="287">
        <v>0.16768390619980722</v>
      </c>
      <c r="AH22" s="287">
        <v>0.1446432201667005</v>
      </c>
      <c r="AI22" s="286">
        <v>0.14100680998798243</v>
      </c>
      <c r="AJ22" s="287">
        <f t="shared" ref="AJ22:BO22" si="2">IF(ISERROR(AJ21/AE21-1),"-",AJ21/AE21-1)</f>
        <v>0.12841501009886258</v>
      </c>
      <c r="AK22" s="287">
        <f t="shared" si="2"/>
        <v>9.9713055954088858E-2</v>
      </c>
      <c r="AL22" s="287">
        <f t="shared" si="2"/>
        <v>0.11535992663915628</v>
      </c>
      <c r="AM22" s="287">
        <f t="shared" si="2"/>
        <v>0.13551194387709797</v>
      </c>
      <c r="AN22" s="286">
        <f t="shared" si="2"/>
        <v>0.11946167349327097</v>
      </c>
      <c r="AO22" s="287">
        <f t="shared" si="2"/>
        <v>0.15666509656146954</v>
      </c>
      <c r="AP22" s="287">
        <f t="shared" si="2"/>
        <v>0.1337247227658187</v>
      </c>
      <c r="AQ22" s="287">
        <f t="shared" si="2"/>
        <v>0.13976814930527004</v>
      </c>
      <c r="AR22" s="287">
        <f t="shared" si="2"/>
        <v>0.1506999296160163</v>
      </c>
      <c r="AS22" s="286">
        <f t="shared" si="2"/>
        <v>0.14489117481026148</v>
      </c>
      <c r="AT22" s="337">
        <f t="shared" si="2"/>
        <v>0.13683010262257689</v>
      </c>
      <c r="AU22" s="287">
        <f t="shared" si="2"/>
        <v>0.14672036823935564</v>
      </c>
      <c r="AV22" s="287">
        <f t="shared" si="2"/>
        <v>8.8148308446945212E-2</v>
      </c>
      <c r="AW22" s="287">
        <f t="shared" si="2"/>
        <v>3.8058991436726863E-3</v>
      </c>
      <c r="AX22" s="286">
        <f t="shared" si="2"/>
        <v>9.1272667506711258E-2</v>
      </c>
      <c r="AY22" s="287">
        <f t="shared" si="2"/>
        <v>-0.12602091990256481</v>
      </c>
      <c r="AZ22" s="287">
        <f t="shared" si="2"/>
        <v>-0.18088309081786247</v>
      </c>
      <c r="BA22" s="287">
        <f t="shared" si="2"/>
        <v>-0.12582035134239311</v>
      </c>
      <c r="BB22" s="287">
        <f t="shared" si="2"/>
        <v>-5.35545023696683E-2</v>
      </c>
      <c r="BC22" s="286">
        <f t="shared" si="2"/>
        <v>-0.12269692253627185</v>
      </c>
      <c r="BD22" s="287">
        <f t="shared" si="2"/>
        <v>-1.3033855234035552E-2</v>
      </c>
      <c r="BE22" s="287">
        <f t="shared" si="2"/>
        <v>5.6814701378254284E-2</v>
      </c>
      <c r="BF22" s="287">
        <f t="shared" si="2"/>
        <v>3.2835368165617718E-2</v>
      </c>
      <c r="BG22" s="287">
        <f t="shared" si="2"/>
        <v>6.3309249588668681E-2</v>
      </c>
      <c r="BH22" s="286">
        <f t="shared" si="2"/>
        <v>3.6261325703385694E-2</v>
      </c>
      <c r="BI22" s="287">
        <f t="shared" si="2"/>
        <v>5.2574750830564732E-2</v>
      </c>
      <c r="BJ22" s="287">
        <f t="shared" si="2"/>
        <v>4.8326329517461186E-2</v>
      </c>
      <c r="BK22" s="287">
        <f t="shared" si="2"/>
        <v>4.5154185022026505E-2</v>
      </c>
      <c r="BL22" s="287">
        <f t="shared" si="2"/>
        <v>-3.2763724434876185E-2</v>
      </c>
      <c r="BM22" s="286">
        <f t="shared" si="2"/>
        <v>2.6285756359754053E-2</v>
      </c>
      <c r="BN22" s="287">
        <f t="shared" si="2"/>
        <v>-2.0279334017201944E-2</v>
      </c>
      <c r="BO22" s="287">
        <f t="shared" si="2"/>
        <v>-4.575298914921555E-2</v>
      </c>
      <c r="BP22" s="287">
        <f t="shared" ref="BP22:CL22" si="3">IF(ISERROR(BP21/BK21-1),"-",BP21/BK21-1)</f>
        <v>5.6691253951527854E-2</v>
      </c>
      <c r="BQ22" s="287">
        <f t="shared" si="3"/>
        <v>0.14370174584405637</v>
      </c>
      <c r="BR22" s="286">
        <f t="shared" si="3"/>
        <v>3.5046812784732984E-2</v>
      </c>
      <c r="BS22" s="287">
        <f t="shared" si="3"/>
        <v>0.15971327319587636</v>
      </c>
      <c r="BT22" s="287">
        <f t="shared" si="3"/>
        <v>0.1592670384587529</v>
      </c>
      <c r="BU22" s="287">
        <f t="shared" si="3"/>
        <v>2.7921818907060247E-2</v>
      </c>
      <c r="BV22" s="287">
        <f t="shared" si="3"/>
        <v>1.9217904275375508E-2</v>
      </c>
      <c r="BW22" s="286">
        <f t="shared" si="3"/>
        <v>8.5222152907742377E-2</v>
      </c>
      <c r="BX22" s="287">
        <f t="shared" si="3"/>
        <v>2.4029446489339579E-2</v>
      </c>
      <c r="BY22" s="287">
        <f t="shared" si="3"/>
        <v>7.403473697363494E-2</v>
      </c>
      <c r="BZ22" s="287">
        <f t="shared" si="3"/>
        <v>4.5660328547406648E-2</v>
      </c>
      <c r="CA22" s="287">
        <f t="shared" si="3"/>
        <v>1.4141655230025751E-2</v>
      </c>
      <c r="CB22" s="286">
        <f t="shared" si="3"/>
        <v>3.9504359211828932E-2</v>
      </c>
      <c r="CC22" s="287">
        <f t="shared" si="3"/>
        <v>-9.6642929806714184E-2</v>
      </c>
      <c r="CD22" s="287">
        <f t="shared" si="3"/>
        <v>-0.14507591181432145</v>
      </c>
      <c r="CE22" s="287">
        <f t="shared" si="3"/>
        <v>-0.1472043542800594</v>
      </c>
      <c r="CF22" s="287">
        <f t="shared" si="3"/>
        <v>-0.15862555895504826</v>
      </c>
      <c r="CG22" s="286">
        <f t="shared" si="3"/>
        <v>-0.13917647938895505</v>
      </c>
      <c r="CH22" s="287">
        <f t="shared" si="3"/>
        <v>2.7777777777777679E-3</v>
      </c>
      <c r="CI22" s="287">
        <f t="shared" si="3"/>
        <v>1.2043274137579107E-2</v>
      </c>
      <c r="CJ22" s="287">
        <f t="shared" si="3"/>
        <v>4.1050188569770718E-2</v>
      </c>
      <c r="CK22" s="287">
        <f t="shared" si="3"/>
        <v>2.5104895104895109E-2</v>
      </c>
      <c r="CL22" s="286">
        <f t="shared" si="3"/>
        <v>2.1491740977632956E-2</v>
      </c>
      <c r="CM22" s="287">
        <f t="shared" ref="CM22:CV22" si="4">IF(ISERROR(CM21/CH21-1),"-",CM21/CH21-1)</f>
        <v>3.4289136782211571E-2</v>
      </c>
      <c r="CN22" s="287">
        <f t="shared" si="4"/>
        <v>2.729595266908702E-2</v>
      </c>
      <c r="CO22" s="287">
        <f t="shared" si="4"/>
        <v>4.9324230179740747E-2</v>
      </c>
      <c r="CP22" s="287">
        <f t="shared" si="4"/>
        <v>4.7224845983349306E-2</v>
      </c>
      <c r="CQ22" s="286">
        <f t="shared" si="4"/>
        <v>3.9554695990320576E-2</v>
      </c>
      <c r="CR22" s="287">
        <f t="shared" si="4"/>
        <v>6.16963837677591E-2</v>
      </c>
      <c r="CS22" s="287">
        <f t="shared" si="4"/>
        <v>7.0596755049851856E-2</v>
      </c>
      <c r="CT22" s="287">
        <f t="shared" si="4"/>
        <v>4.9024691989302704E-2</v>
      </c>
      <c r="CU22" s="287">
        <f t="shared" si="4"/>
        <v>4.2451880154410482E-2</v>
      </c>
      <c r="CV22" s="286">
        <f t="shared" si="4"/>
        <v>5.9335313707607806E-2</v>
      </c>
      <c r="CW22" s="286">
        <f>IF(ISERROR(CW21/CV21-1),"-",CW21/CV21-1)</f>
        <v>4.3325221917533518E-2</v>
      </c>
      <c r="CX22" s="286">
        <f>IF(ISERROR(CX21/CW21-1),"-",CX21/CW21-1)</f>
        <v>4.3519107565297199E-2</v>
      </c>
      <c r="CY22" s="286">
        <f>IF(ISERROR(CY21/CX21-1),"-",CY21/CX21-1)</f>
        <v>3.6016012062077385E-2</v>
      </c>
      <c r="CZ22" s="256"/>
      <c r="DG22" s="256"/>
    </row>
    <row r="23" spans="1:111" ht="12" customHeight="1">
      <c r="A23" s="482"/>
      <c r="B23" s="482"/>
      <c r="C23" s="484"/>
      <c r="D23" s="483" t="s">
        <v>303</v>
      </c>
      <c r="E23" s="482"/>
      <c r="F23" s="287"/>
      <c r="G23" s="287"/>
      <c r="H23" s="287"/>
      <c r="I23" s="287"/>
      <c r="J23" s="286"/>
      <c r="K23" s="287"/>
      <c r="L23" s="287"/>
      <c r="M23" s="287"/>
      <c r="N23" s="287"/>
      <c r="O23" s="286"/>
      <c r="P23" s="287"/>
      <c r="Q23" s="287"/>
      <c r="R23" s="287"/>
      <c r="S23" s="287"/>
      <c r="T23" s="286"/>
      <c r="U23" s="287"/>
      <c r="V23" s="287"/>
      <c r="W23" s="287"/>
      <c r="X23" s="287"/>
      <c r="Y23" s="286">
        <f>'Divisional Summary'!Y26</f>
        <v>2.0028356727633659E-2</v>
      </c>
      <c r="Z23" s="287">
        <f>'Divisional Summary'!Z26</f>
        <v>0.12006266786034019</v>
      </c>
      <c r="AA23" s="287">
        <f>'Divisional Summary'!AA26</f>
        <v>0.10517329910141217</v>
      </c>
      <c r="AB23" s="287">
        <f>'Divisional Summary'!AB26</f>
        <v>9.4126225798340471E-2</v>
      </c>
      <c r="AC23" s="287">
        <f>'Divisional Summary'!AC26</f>
        <v>8.5551932929669255E-2</v>
      </c>
      <c r="AD23" s="286">
        <f>'Divisional Summary'!AD26</f>
        <v>9.6579880131468648E-2</v>
      </c>
      <c r="AE23" s="287">
        <f>'Divisional Summary'!AE26</f>
        <v>0.06</v>
      </c>
      <c r="AF23" s="287">
        <f>'Divisional Summary'!AF26</f>
        <v>0.06</v>
      </c>
      <c r="AG23" s="287">
        <f>'Divisional Summary'!AG26</f>
        <v>0.09</v>
      </c>
      <c r="AH23" s="287">
        <f>'Divisional Summary'!AH26</f>
        <v>8.3743830613608114E-2</v>
      </c>
      <c r="AI23" s="286">
        <f>'Divisional Summary'!AI26</f>
        <v>7.0000000000000007E-2</v>
      </c>
      <c r="AJ23" s="287">
        <f>'Divisional Summary'!AJ26</f>
        <v>0.09</v>
      </c>
      <c r="AK23" s="287">
        <f>'Divisional Summary'!AK26</f>
        <v>0.08</v>
      </c>
      <c r="AL23" s="287">
        <f>'Divisional Summary'!AL26</f>
        <v>0.08</v>
      </c>
      <c r="AM23" s="287">
        <f>'Divisional Summary'!AM26</f>
        <v>0.10977643124708311</v>
      </c>
      <c r="AN23" s="286">
        <f>'Divisional Summary'!AN26</f>
        <v>8.9461673493270971E-2</v>
      </c>
      <c r="AO23" s="287">
        <f>'Divisional Summary'!AO26</f>
        <v>0.1</v>
      </c>
      <c r="AP23" s="287">
        <f>'Divisional Summary'!AP26</f>
        <v>0.1</v>
      </c>
      <c r="AQ23" s="287">
        <f>'Divisional Summary'!AQ26</f>
        <v>0.09</v>
      </c>
      <c r="AR23" s="287">
        <f>'Divisional Summary'!AR26</f>
        <v>0.08</v>
      </c>
      <c r="AS23" s="286">
        <f>'Divisional Summary'!AS26</f>
        <v>0.09</v>
      </c>
      <c r="AT23" s="337">
        <f>'Divisional Summary'!AT26</f>
        <v>7.0000000000000007E-2</v>
      </c>
      <c r="AU23" s="287">
        <f>'Divisional Summary'!AU26</f>
        <v>0.06</v>
      </c>
      <c r="AV23" s="287">
        <f>'Divisional Summary'!AV26</f>
        <v>0.04</v>
      </c>
      <c r="AW23" s="287">
        <f>'Divisional Summary'!AW26</f>
        <v>0.03</v>
      </c>
      <c r="AX23" s="286">
        <f>'Divisional Summary'!AX26</f>
        <v>0.05</v>
      </c>
      <c r="AY23" s="287">
        <f>'Divisional Summary'!AY26</f>
        <v>-5.6020919902564817E-2</v>
      </c>
      <c r="AZ23" s="287">
        <f>'Divisional Summary'!AZ26</f>
        <v>-0.12088309081786246</v>
      </c>
      <c r="BA23" s="287">
        <f>'Divisional Summary'!BA26</f>
        <v>-7.0000000000000007E-2</v>
      </c>
      <c r="BB23" s="287">
        <f>'Divisional Summary'!BB26</f>
        <v>-8.3970963941393265E-2</v>
      </c>
      <c r="BC23" s="286">
        <f>'Divisional Summary'!BC26</f>
        <v>-7.0000000000000007E-2</v>
      </c>
      <c r="BD23" s="287">
        <f>'Divisional Summary'!BD26</f>
        <v>-4.3033855234035551E-2</v>
      </c>
      <c r="BE23" s="287">
        <f>'Divisional Summary'!BE26</f>
        <v>4.6814701378254282E-2</v>
      </c>
      <c r="BF23" s="287">
        <f>'Divisional Summary'!BF26</f>
        <v>3.2835368165617718E-2</v>
      </c>
      <c r="BG23" s="287">
        <f>'Divisional Summary'!BG26</f>
        <v>6.3309249588668681E-2</v>
      </c>
      <c r="BH23" s="286">
        <f>'Divisional Summary'!BH26</f>
        <v>0.02</v>
      </c>
      <c r="BI23" s="287">
        <f>'Divisional Summary'!BI26</f>
        <v>0.09</v>
      </c>
      <c r="BJ23" s="287">
        <f>'Divisional Summary'!BJ26</f>
        <v>0.06</v>
      </c>
      <c r="BK23" s="287">
        <f>'Divisional Summary'!BK26</f>
        <v>0.06</v>
      </c>
      <c r="BL23" s="287">
        <f>'Divisional Summary'!BL26</f>
        <v>0.02</v>
      </c>
      <c r="BM23" s="286">
        <f>'Divisional Summary'!BM26</f>
        <v>0.06</v>
      </c>
      <c r="BN23" s="287">
        <f>'Divisional Summary'!BN26</f>
        <v>1.4720665982798057E-2</v>
      </c>
      <c r="BO23" s="287">
        <f>'Divisional Summary'!BO26</f>
        <v>1.4247010850784447E-2</v>
      </c>
      <c r="BP23" s="287">
        <f>'Divisional Summary'!BP26</f>
        <v>-2.3308746048472148E-2</v>
      </c>
      <c r="BQ23" s="287">
        <f>'Divisional Summary'!BQ26</f>
        <v>3.701745844056378E-3</v>
      </c>
      <c r="BR23" s="286">
        <f>'Divisional Summary'!BR26</f>
        <v>-4.9531872152670138E-3</v>
      </c>
      <c r="BS23" s="287">
        <f>'Divisional Summary'!BS26</f>
        <v>-2.0286726804123634E-2</v>
      </c>
      <c r="BT23" s="287">
        <f>'Divisional Summary'!BT26</f>
        <v>-5.2357499818931974E-3</v>
      </c>
      <c r="BU23" s="287">
        <f>'Divisional Summary'!BU26</f>
        <v>1.2389974737401941E-2</v>
      </c>
      <c r="BV23" s="287">
        <f>'Divisional Summary'!BV26</f>
        <v>3.9217904275375512E-2</v>
      </c>
      <c r="BW23" s="286">
        <f>'Divisional Summary'!BW26</f>
        <v>1.2467075622097494E-2</v>
      </c>
      <c r="BX23" s="287">
        <f>'Divisional Summary'!BX26</f>
        <v>5.0574345440655595E-2</v>
      </c>
      <c r="BY23" s="287">
        <f>'Divisional Summary'!BY26</f>
        <v>3.1073347494689485E-2</v>
      </c>
      <c r="BZ23" s="287">
        <f>'Divisional Summary'!BZ26</f>
        <v>5.0054973483378611E-2</v>
      </c>
      <c r="CA23" s="287">
        <f>'Divisional Summary'!CA26</f>
        <v>3.9218927143624328E-2</v>
      </c>
      <c r="CB23" s="286">
        <f>'Divisional Summary'!CB26</f>
        <v>4.2400806272280447E-2</v>
      </c>
      <c r="CC23" s="287">
        <f>'Divisional Summary'!CC26</f>
        <v>2.9595795184808416E-2</v>
      </c>
      <c r="CD23" s="287">
        <f>'Divisional Summary'!CD26</f>
        <v>3.1568844162643245E-2</v>
      </c>
      <c r="CE23" s="287">
        <f>'Divisional Summary'!CE26</f>
        <v>-8.4531172686788704E-3</v>
      </c>
      <c r="CF23" s="287">
        <f>'Divisional Summary'!CF26</f>
        <v>1.0421275594257472E-2</v>
      </c>
      <c r="CG23" s="286">
        <f>'Divisional Summary'!CG26</f>
        <v>1.5661136712749619E-2</v>
      </c>
      <c r="CH23" s="287">
        <f>'Divisional Summary'!CH26</f>
        <v>2.0638888888888887E-2</v>
      </c>
      <c r="CI23" s="287">
        <f>'Divisional Summary'!CI26</f>
        <v>1.6135265700483091E-2</v>
      </c>
      <c r="CJ23" s="287">
        <f>'Divisional Summary'!CJ26</f>
        <v>4.5535248041775458E-2</v>
      </c>
      <c r="CK23" s="287">
        <f>'Divisional Summary'!CK26</f>
        <v>0</v>
      </c>
      <c r="CL23" s="286">
        <f>'Divisional Summary'!CL26</f>
        <v>2.030322676062361E-2</v>
      </c>
      <c r="CM23" s="287">
        <f>'Divisional Summary'!CM26</f>
        <v>3.5075354609929076E-2</v>
      </c>
      <c r="CN23" s="287">
        <f>'Divisional Summary'!CN26</f>
        <v>2.9535299966854493E-2</v>
      </c>
      <c r="CO23" s="287">
        <f>'Divisional Summary'!CO26</f>
        <v>0.06</v>
      </c>
      <c r="CP23" s="287">
        <f>'Divisional Summary'!CP26</f>
        <v>3.3963988227660634E-2</v>
      </c>
      <c r="CQ23" s="286">
        <f>'Divisional Summary'!CQ26</f>
        <v>3.8087976092328911E-2</v>
      </c>
      <c r="CR23" s="287">
        <f>'Divisional Summary'!CR26</f>
        <v>4.5743032935215353E-2</v>
      </c>
      <c r="CS23" s="287">
        <f>'Divisional Summary'!CS26</f>
        <v>5.1172913340558478E-2</v>
      </c>
      <c r="CT23" s="287">
        <f>'Divisional Summary'!CT26</f>
        <v>2.9322175868734399E-2</v>
      </c>
      <c r="CU23" s="287">
        <f>'Divisional Summary'!CU26</f>
        <v>4.2451880154410482E-2</v>
      </c>
      <c r="CV23" s="286">
        <f>'Divisional Summary'!CV26</f>
        <v>4.6205960627278213E-2</v>
      </c>
      <c r="CW23" s="286">
        <f>'Divisional Summary'!CW26</f>
        <v>4.3325221917533518E-2</v>
      </c>
      <c r="CX23" s="286">
        <f>'Divisional Summary'!CX26</f>
        <v>4.429976524299651E-2</v>
      </c>
      <c r="CY23" s="286">
        <f>'Divisional Summary'!CY26</f>
        <v>3.6662077156454052E-2</v>
      </c>
      <c r="CZ23" s="256"/>
      <c r="DG23" s="256"/>
    </row>
    <row r="24" spans="1:111" ht="12" customHeight="1">
      <c r="A24" s="457"/>
      <c r="B24" s="457"/>
      <c r="C24" s="458"/>
      <c r="D24" s="338"/>
      <c r="E24" s="457"/>
      <c r="F24" s="457"/>
      <c r="G24" s="457"/>
      <c r="H24" s="457"/>
      <c r="I24" s="457"/>
      <c r="J24" s="480"/>
      <c r="K24" s="457"/>
      <c r="L24" s="457"/>
      <c r="M24" s="457"/>
      <c r="N24" s="457"/>
      <c r="O24" s="480"/>
      <c r="P24" s="457"/>
      <c r="Q24" s="457"/>
      <c r="R24" s="457"/>
      <c r="S24" s="457"/>
      <c r="T24" s="480"/>
      <c r="U24" s="457"/>
      <c r="V24" s="457"/>
      <c r="W24" s="457"/>
      <c r="X24" s="457"/>
      <c r="Y24" s="480"/>
      <c r="Z24" s="457"/>
      <c r="AA24" s="457"/>
      <c r="AB24" s="457"/>
      <c r="AC24" s="457"/>
      <c r="AD24" s="480"/>
      <c r="AE24" s="457"/>
      <c r="AF24" s="457"/>
      <c r="AG24" s="457"/>
      <c r="AH24" s="457"/>
      <c r="AI24" s="480"/>
      <c r="AJ24" s="457"/>
      <c r="AK24" s="457"/>
      <c r="AL24" s="457"/>
      <c r="AM24" s="481">
        <f>AM21/AL21-1</f>
        <v>5.1303132450875699E-2</v>
      </c>
      <c r="AN24" s="480"/>
      <c r="AO24" s="468"/>
      <c r="AP24" s="468"/>
      <c r="AQ24" s="468"/>
      <c r="AR24" s="481">
        <f>AR21/AQ21-1</f>
        <v>6.1386424294885611E-2</v>
      </c>
      <c r="AS24" s="480"/>
      <c r="AT24" s="470"/>
      <c r="AU24" s="468"/>
      <c r="AV24" s="468"/>
      <c r="AW24" s="481">
        <f>AW21/AV21-1</f>
        <v>-2.0881670533642649E-2</v>
      </c>
      <c r="AX24" s="480"/>
      <c r="AY24" s="468"/>
      <c r="AZ24" s="468"/>
      <c r="BA24" s="468"/>
      <c r="BB24" s="481"/>
      <c r="BC24" s="480"/>
      <c r="BD24" s="468"/>
      <c r="BE24" s="468"/>
      <c r="BF24" s="468"/>
      <c r="BG24" s="481"/>
      <c r="BH24" s="480"/>
      <c r="BI24" s="468"/>
      <c r="BJ24" s="468"/>
      <c r="BK24" s="468"/>
      <c r="BL24" s="468"/>
      <c r="BM24" s="480"/>
      <c r="BN24" s="468"/>
      <c r="BO24" s="468"/>
      <c r="BP24" s="468"/>
      <c r="BQ24" s="468"/>
      <c r="BR24" s="480"/>
      <c r="BS24" s="468"/>
      <c r="BT24" s="468"/>
      <c r="BU24" s="468"/>
      <c r="BV24" s="477"/>
      <c r="BW24" s="299"/>
      <c r="BX24" s="477"/>
      <c r="BY24" s="477"/>
      <c r="BZ24" s="479"/>
      <c r="CA24" s="477"/>
      <c r="CB24" s="476"/>
      <c r="CC24" s="477"/>
      <c r="CD24" s="477"/>
      <c r="CE24" s="477"/>
      <c r="CF24" s="477"/>
      <c r="CG24" s="478"/>
      <c r="CH24" s="477"/>
      <c r="CI24" s="477"/>
      <c r="CJ24" s="477"/>
      <c r="CK24" s="477"/>
      <c r="CL24" s="476"/>
      <c r="CM24" s="477"/>
      <c r="CN24" s="477"/>
      <c r="CO24" s="477"/>
      <c r="CP24" s="477"/>
      <c r="CQ24" s="475"/>
      <c r="CR24" s="477"/>
      <c r="CS24" s="477"/>
      <c r="CT24" s="477"/>
      <c r="CU24" s="477"/>
      <c r="CV24" s="475"/>
      <c r="CW24" s="475"/>
      <c r="CX24" s="475"/>
      <c r="CY24" s="475"/>
      <c r="CZ24" s="256"/>
      <c r="DG24" s="256"/>
    </row>
    <row r="25" spans="1:111" ht="12" customHeight="1">
      <c r="A25" s="371"/>
      <c r="B25" s="371"/>
      <c r="C25" s="317" t="s">
        <v>302</v>
      </c>
      <c r="D25" s="316"/>
      <c r="E25" s="371"/>
      <c r="F25" s="373">
        <v>4628</v>
      </c>
      <c r="G25" s="373">
        <v>4987</v>
      </c>
      <c r="H25" s="373">
        <v>4525</v>
      </c>
      <c r="I25" s="373">
        <v>4830</v>
      </c>
      <c r="J25" s="473">
        <v>18970</v>
      </c>
      <c r="K25" s="389">
        <v>4812</v>
      </c>
      <c r="L25" s="389">
        <v>5184</v>
      </c>
      <c r="M25" s="389">
        <v>4923</v>
      </c>
      <c r="N25" s="389">
        <v>5168</v>
      </c>
      <c r="O25" s="473">
        <v>20087</v>
      </c>
      <c r="P25" s="389">
        <v>4485</v>
      </c>
      <c r="Q25" s="389">
        <v>5190</v>
      </c>
      <c r="R25" s="389">
        <v>5238</v>
      </c>
      <c r="S25" s="389">
        <v>5248</v>
      </c>
      <c r="T25" s="473">
        <v>20161</v>
      </c>
      <c r="U25" s="389">
        <v>4866</v>
      </c>
      <c r="V25" s="389">
        <v>5619</v>
      </c>
      <c r="W25" s="389">
        <v>5713</v>
      </c>
      <c r="X25" s="389">
        <v>6310</v>
      </c>
      <c r="Y25" s="473">
        <v>22508</v>
      </c>
      <c r="Z25" s="389">
        <v>6275</v>
      </c>
      <c r="AA25" s="389">
        <v>6976</v>
      </c>
      <c r="AB25" s="389">
        <v>6802</v>
      </c>
      <c r="AC25" s="389">
        <v>7168</v>
      </c>
      <c r="AD25" s="473">
        <v>27221</v>
      </c>
      <c r="AE25" s="389">
        <v>6815</v>
      </c>
      <c r="AF25" s="389">
        <v>7990</v>
      </c>
      <c r="AG25" s="389">
        <v>7891</v>
      </c>
      <c r="AH25" s="389">
        <v>8239</v>
      </c>
      <c r="AI25" s="473">
        <v>30935</v>
      </c>
      <c r="AJ25" s="389">
        <f>5673+1977</f>
        <v>7650</v>
      </c>
      <c r="AK25" s="389">
        <v>8775</v>
      </c>
      <c r="AL25" s="389">
        <v>8794</v>
      </c>
      <c r="AM25" s="389">
        <v>9521</v>
      </c>
      <c r="AN25" s="473">
        <v>34740</v>
      </c>
      <c r="AO25" s="389">
        <v>8996</v>
      </c>
      <c r="AP25" s="389">
        <v>10129</v>
      </c>
      <c r="AQ25" s="389">
        <v>10068</v>
      </c>
      <c r="AR25" s="389">
        <v>10729</v>
      </c>
      <c r="AS25" s="473">
        <f>SUM(AO25:AR25)</f>
        <v>39922</v>
      </c>
      <c r="AT25" s="389">
        <v>10238</v>
      </c>
      <c r="AU25" s="389">
        <f>8556+2803+Pratt!AY12-3292</f>
        <v>11636</v>
      </c>
      <c r="AV25" s="389">
        <f>10664+Pratt!AZ12-3150</f>
        <v>10935</v>
      </c>
      <c r="AW25" s="389">
        <f>10557+Pratt!BA12-3316</f>
        <v>10828</v>
      </c>
      <c r="AX25" s="473">
        <f>SUM(AT25:AW25)</f>
        <v>43637</v>
      </c>
      <c r="AY25" s="389">
        <v>9107</v>
      </c>
      <c r="AZ25" s="389">
        <v>9601</v>
      </c>
      <c r="BA25" s="389">
        <v>9836</v>
      </c>
      <c r="BB25" s="389">
        <v>10317</v>
      </c>
      <c r="BC25" s="473">
        <f>SUM(AY25:BB25)</f>
        <v>38861</v>
      </c>
      <c r="BD25" s="389">
        <v>8732</v>
      </c>
      <c r="BE25" s="389">
        <v>10015</v>
      </c>
      <c r="BF25" s="389">
        <f>7124+2543</f>
        <v>9667</v>
      </c>
      <c r="BG25" s="389">
        <v>11000</v>
      </c>
      <c r="BH25" s="473">
        <f>SUM(BD25:BG25)</f>
        <v>39414</v>
      </c>
      <c r="BI25" s="389">
        <f>19620-BJ25</f>
        <v>9152</v>
      </c>
      <c r="BJ25" s="389">
        <v>10468</v>
      </c>
      <c r="BK25" s="389">
        <v>10338</v>
      </c>
      <c r="BL25" s="389">
        <v>10411</v>
      </c>
      <c r="BM25" s="473">
        <f>SUM(BI25:BL25)</f>
        <v>40369</v>
      </c>
      <c r="BN25" s="389">
        <f>18864-BO25</f>
        <v>8930</v>
      </c>
      <c r="BO25" s="389">
        <v>9934</v>
      </c>
      <c r="BP25" s="389">
        <v>11003</v>
      </c>
      <c r="BQ25" s="389">
        <v>12286</v>
      </c>
      <c r="BR25" s="473">
        <f>SUM(BN25:BQ25)</f>
        <v>42153</v>
      </c>
      <c r="BS25" s="389">
        <v>10465</v>
      </c>
      <c r="BT25" s="389">
        <v>11552</v>
      </c>
      <c r="BU25" s="389">
        <v>11020</v>
      </c>
      <c r="BV25" s="389">
        <v>12284</v>
      </c>
      <c r="BW25" s="473">
        <f>SUM(BS25:BV25)</f>
        <v>45321</v>
      </c>
      <c r="BX25" s="389">
        <v>10690</v>
      </c>
      <c r="BY25" s="389">
        <v>12931</v>
      </c>
      <c r="BZ25" s="389">
        <v>11466</v>
      </c>
      <c r="CA25" s="474">
        <v>12360</v>
      </c>
      <c r="CB25" s="473">
        <f>'Divisional Summary'!CB28</f>
        <v>47447</v>
      </c>
      <c r="CC25" s="389">
        <v>9506</v>
      </c>
      <c r="CD25" s="1881">
        <f>29778-CC25-CE25</f>
        <v>10472</v>
      </c>
      <c r="CE25" s="1881">
        <v>9800</v>
      </c>
      <c r="CF25" s="1881">
        <v>10653</v>
      </c>
      <c r="CG25" s="473">
        <f>'Divisional Summary'!CG28</f>
        <v>40365.611191779026</v>
      </c>
      <c r="CH25" s="1881">
        <v>9654</v>
      </c>
      <c r="CI25" s="1881">
        <v>10741</v>
      </c>
      <c r="CJ25" s="1881">
        <v>10342</v>
      </c>
      <c r="CK25" s="1881">
        <v>10723</v>
      </c>
      <c r="CL25" s="473">
        <f>'Divisional Summary'!CL28</f>
        <v>41460</v>
      </c>
      <c r="CM25" s="1881">
        <v>10077</v>
      </c>
      <c r="CN25" s="1881">
        <v>11100</v>
      </c>
      <c r="CO25" s="1881">
        <v>11043</v>
      </c>
      <c r="CP25" s="389">
        <f>'Divisional Summary'!CP28</f>
        <v>11294.877684407164</v>
      </c>
      <c r="CQ25" s="473">
        <f>'Divisional Summary'!CQ28</f>
        <v>43514.877684407162</v>
      </c>
      <c r="CR25" s="389">
        <f>'Divisional Summary'!CR28</f>
        <v>10835.981162356449</v>
      </c>
      <c r="CS25" s="389">
        <f>'Divisional Summary'!CS28</f>
        <v>11985.695238282675</v>
      </c>
      <c r="CT25" s="389">
        <f>'Divisional Summary'!CT28</f>
        <v>11473.660274593192</v>
      </c>
      <c r="CU25" s="389">
        <f>'Divisional Summary'!CU28</f>
        <v>11711.87568273678</v>
      </c>
      <c r="CV25" s="473">
        <f>'Divisional Summary'!CV28</f>
        <v>46217.000066110049</v>
      </c>
      <c r="CW25" s="473">
        <f>'Divisional Summary'!CW28</f>
        <v>47990.291108502897</v>
      </c>
      <c r="CX25" s="473">
        <f>'Divisional Summary'!CX28</f>
        <v>50051.953958522368</v>
      </c>
      <c r="CY25" s="473">
        <f>'Divisional Summary'!CY28</f>
        <v>51835.188315000269</v>
      </c>
      <c r="CZ25" s="256"/>
      <c r="DG25" s="256"/>
    </row>
    <row r="26" spans="1:111" ht="12" customHeight="1">
      <c r="A26" s="457"/>
      <c r="B26" s="457"/>
      <c r="C26" s="284"/>
      <c r="D26" s="326" t="s">
        <v>282</v>
      </c>
      <c r="E26" s="472"/>
      <c r="F26" s="336" t="s">
        <v>284</v>
      </c>
      <c r="G26" s="336" t="s">
        <v>284</v>
      </c>
      <c r="H26" s="336" t="s">
        <v>284</v>
      </c>
      <c r="I26" s="336" t="s">
        <v>284</v>
      </c>
      <c r="J26" s="323" t="s">
        <v>284</v>
      </c>
      <c r="K26" s="324">
        <v>3.9757994814174635E-2</v>
      </c>
      <c r="L26" s="324">
        <v>3.9502707038299611E-2</v>
      </c>
      <c r="M26" s="324">
        <v>8.7955801104972364E-2</v>
      </c>
      <c r="N26" s="324">
        <v>6.9979296066252639E-2</v>
      </c>
      <c r="O26" s="323">
        <v>5.8882445967316732E-2</v>
      </c>
      <c r="P26" s="324">
        <v>-6.7955112219451386E-2</v>
      </c>
      <c r="Q26" s="324">
        <v>1.1574074074074403E-3</v>
      </c>
      <c r="R26" s="324">
        <v>6.3985374771480696E-2</v>
      </c>
      <c r="S26" s="324">
        <v>1.5479876160990669E-2</v>
      </c>
      <c r="T26" s="323">
        <v>3.6839747100114728E-3</v>
      </c>
      <c r="U26" s="324">
        <v>8.494983277591972E-2</v>
      </c>
      <c r="V26" s="324">
        <v>8.2658959537572185E-2</v>
      </c>
      <c r="W26" s="324">
        <v>9.0683466972126814E-2</v>
      </c>
      <c r="X26" s="324">
        <v>0.20236280487804881</v>
      </c>
      <c r="Y26" s="323">
        <v>0.1164128763454193</v>
      </c>
      <c r="Z26" s="324">
        <v>0.28956021372790786</v>
      </c>
      <c r="AA26" s="324">
        <v>0.24150204662751373</v>
      </c>
      <c r="AB26" s="324">
        <v>0.19061788902503074</v>
      </c>
      <c r="AC26" s="324">
        <v>0.13597464342313792</v>
      </c>
      <c r="AD26" s="323">
        <v>0.20939221610094183</v>
      </c>
      <c r="AE26" s="324">
        <v>8.605577689243038E-2</v>
      </c>
      <c r="AF26" s="324">
        <v>0.14535550458715596</v>
      </c>
      <c r="AG26" s="324">
        <v>0.1600999705968833</v>
      </c>
      <c r="AH26" s="324">
        <v>0.1494140625</v>
      </c>
      <c r="AI26" s="323">
        <v>0.13643877888394984</v>
      </c>
      <c r="AJ26" s="324">
        <f t="shared" ref="AJ26:BO26" si="5">IF(ISERROR(AJ25/AE25-1),"-",AJ25/AE25-1)</f>
        <v>0.12252384446074838</v>
      </c>
      <c r="AK26" s="324">
        <f t="shared" si="5"/>
        <v>9.824780976220282E-2</v>
      </c>
      <c r="AL26" s="324">
        <f t="shared" si="5"/>
        <v>0.11443416550500563</v>
      </c>
      <c r="AM26" s="324">
        <f t="shared" si="5"/>
        <v>0.15560140793785648</v>
      </c>
      <c r="AN26" s="323">
        <f t="shared" si="5"/>
        <v>0.12299983837077733</v>
      </c>
      <c r="AO26" s="324">
        <f t="shared" si="5"/>
        <v>0.17594771241830065</v>
      </c>
      <c r="AP26" s="324">
        <f t="shared" si="5"/>
        <v>0.15430199430199432</v>
      </c>
      <c r="AQ26" s="324">
        <f t="shared" si="5"/>
        <v>0.14487150329770304</v>
      </c>
      <c r="AR26" s="324">
        <f t="shared" si="5"/>
        <v>0.12687742884150821</v>
      </c>
      <c r="AS26" s="323">
        <f t="shared" si="5"/>
        <v>0.1491652274035693</v>
      </c>
      <c r="AT26" s="325">
        <f t="shared" si="5"/>
        <v>0.13806136060471319</v>
      </c>
      <c r="AU26" s="324">
        <f t="shared" si="5"/>
        <v>0.14878072860104652</v>
      </c>
      <c r="AV26" s="324">
        <f t="shared" si="5"/>
        <v>8.6114421930870044E-2</v>
      </c>
      <c r="AW26" s="324">
        <f t="shared" si="5"/>
        <v>9.2273278031502759E-3</v>
      </c>
      <c r="AX26" s="323">
        <f t="shared" si="5"/>
        <v>9.3056460097189486E-2</v>
      </c>
      <c r="AY26" s="324">
        <f t="shared" si="5"/>
        <v>-0.11047079507716351</v>
      </c>
      <c r="AZ26" s="324">
        <f t="shared" si="5"/>
        <v>-0.17488827775867999</v>
      </c>
      <c r="BA26" s="324">
        <f t="shared" si="5"/>
        <v>-0.10050297210791037</v>
      </c>
      <c r="BB26" s="324">
        <f t="shared" si="5"/>
        <v>-4.7192463982268174E-2</v>
      </c>
      <c r="BC26" s="323">
        <f t="shared" si="5"/>
        <v>-0.10944840387744348</v>
      </c>
      <c r="BD26" s="324">
        <f t="shared" si="5"/>
        <v>-4.1177116503788302E-2</v>
      </c>
      <c r="BE26" s="324">
        <f t="shared" si="5"/>
        <v>4.3120508280387382E-2</v>
      </c>
      <c r="BF26" s="324">
        <f t="shared" si="5"/>
        <v>-1.7181781211874747E-2</v>
      </c>
      <c r="BG26" s="324">
        <f t="shared" si="5"/>
        <v>6.620141514006006E-2</v>
      </c>
      <c r="BH26" s="323">
        <f t="shared" si="5"/>
        <v>1.4230205089935888E-2</v>
      </c>
      <c r="BI26" s="324">
        <f t="shared" si="5"/>
        <v>4.8098946404031118E-2</v>
      </c>
      <c r="BJ26" s="324">
        <f t="shared" si="5"/>
        <v>4.5232151772341522E-2</v>
      </c>
      <c r="BK26" s="324">
        <f t="shared" si="5"/>
        <v>6.9411399606910118E-2</v>
      </c>
      <c r="BL26" s="324">
        <f t="shared" si="5"/>
        <v>-5.3545454545454563E-2</v>
      </c>
      <c r="BM26" s="323">
        <f t="shared" si="5"/>
        <v>2.4229969046531741E-2</v>
      </c>
      <c r="BN26" s="324">
        <f t="shared" si="5"/>
        <v>-2.4256993006993022E-2</v>
      </c>
      <c r="BO26" s="324">
        <f t="shared" si="5"/>
        <v>-5.1012609858616775E-2</v>
      </c>
      <c r="BP26" s="324">
        <f t="shared" ref="BP26:CL26" si="6">IF(ISERROR(BP25/BK25-1),"-",BP25/BK25-1)</f>
        <v>6.4325788353646773E-2</v>
      </c>
      <c r="BQ26" s="324">
        <f t="shared" si="6"/>
        <v>0.1800979732974739</v>
      </c>
      <c r="BR26" s="323">
        <f t="shared" si="6"/>
        <v>4.4192325794545351E-2</v>
      </c>
      <c r="BS26" s="324">
        <f t="shared" si="6"/>
        <v>0.17189249720044786</v>
      </c>
      <c r="BT26" s="324">
        <f t="shared" si="6"/>
        <v>0.16287497483390379</v>
      </c>
      <c r="BU26" s="324">
        <f t="shared" si="6"/>
        <v>1.5450331727711042E-3</v>
      </c>
      <c r="BV26" s="324">
        <f t="shared" si="6"/>
        <v>-1.6278691193227779E-4</v>
      </c>
      <c r="BW26" s="323">
        <f t="shared" si="6"/>
        <v>7.5154793253149332E-2</v>
      </c>
      <c r="BX26" s="324">
        <f t="shared" si="6"/>
        <v>2.1500238891543288E-2</v>
      </c>
      <c r="BY26" s="324">
        <f t="shared" si="6"/>
        <v>0.11937326869806086</v>
      </c>
      <c r="BZ26" s="324">
        <f t="shared" si="6"/>
        <v>4.0471869328493559E-2</v>
      </c>
      <c r="CA26" s="324">
        <f t="shared" si="6"/>
        <v>6.1869098013676016E-3</v>
      </c>
      <c r="CB26" s="323">
        <f t="shared" si="6"/>
        <v>4.6909821054257339E-2</v>
      </c>
      <c r="CC26" s="324">
        <f t="shared" si="6"/>
        <v>-0.11075771749298413</v>
      </c>
      <c r="CD26" s="324">
        <f t="shared" si="6"/>
        <v>-0.19016317376846337</v>
      </c>
      <c r="CE26" s="324">
        <f t="shared" si="6"/>
        <v>-0.14529914529914534</v>
      </c>
      <c r="CF26" s="324">
        <f t="shared" si="6"/>
        <v>-0.13810679611650489</v>
      </c>
      <c r="CG26" s="323">
        <f t="shared" si="6"/>
        <v>-0.14924839943981649</v>
      </c>
      <c r="CH26" s="324">
        <f t="shared" si="6"/>
        <v>1.5569114243635607E-2</v>
      </c>
      <c r="CI26" s="324">
        <f t="shared" si="6"/>
        <v>2.5687547746371386E-2</v>
      </c>
      <c r="CJ26" s="324">
        <f t="shared" si="6"/>
        <v>5.53061224489797E-2</v>
      </c>
      <c r="CK26" s="324">
        <f t="shared" si="6"/>
        <v>6.5709189899558762E-3</v>
      </c>
      <c r="CL26" s="323">
        <f t="shared" si="6"/>
        <v>2.7111909764514053E-2</v>
      </c>
      <c r="CM26" s="324">
        <f t="shared" ref="CM26:CV26" si="7">IF(ISERROR(CM25/CH25-1),"-",CM25/CH25-1)</f>
        <v>4.3816034804226245E-2</v>
      </c>
      <c r="CN26" s="324">
        <f t="shared" si="7"/>
        <v>3.3423331160971959E-2</v>
      </c>
      <c r="CO26" s="324">
        <f t="shared" si="7"/>
        <v>6.7781860375169201E-2</v>
      </c>
      <c r="CP26" s="324">
        <f t="shared" si="7"/>
        <v>5.333187395385286E-2</v>
      </c>
      <c r="CQ26" s="323">
        <f t="shared" si="7"/>
        <v>4.9562896391875499E-2</v>
      </c>
      <c r="CR26" s="324">
        <f t="shared" si="7"/>
        <v>7.5318166354713556E-2</v>
      </c>
      <c r="CS26" s="324">
        <f t="shared" si="7"/>
        <v>7.9792363809249922E-2</v>
      </c>
      <c r="CT26" s="324">
        <f t="shared" si="7"/>
        <v>3.8998485429067475E-2</v>
      </c>
      <c r="CU26" s="324">
        <f t="shared" si="7"/>
        <v>3.6919213291286113E-2</v>
      </c>
      <c r="CV26" s="323">
        <f t="shared" si="7"/>
        <v>6.2096517915093408E-2</v>
      </c>
      <c r="CW26" s="323">
        <f>IF(ISERROR(CW25/CV25-1),"-",CW25/CV25-1)</f>
        <v>3.8368804549327784E-2</v>
      </c>
      <c r="CX26" s="323">
        <f>IF(ISERROR(CX25/CW25-1),"-",CX25/CW25-1)</f>
        <v>4.2959998833059565E-2</v>
      </c>
      <c r="CY26" s="323">
        <f>IF(ISERROR(CY25/CX25-1),"-",CY25/CX25-1)</f>
        <v>3.5627667162717591E-2</v>
      </c>
      <c r="CZ26" s="256"/>
      <c r="DG26" s="256"/>
    </row>
    <row r="27" spans="1:111" ht="12" customHeight="1">
      <c r="A27" s="457"/>
      <c r="B27" s="457"/>
      <c r="C27" s="470"/>
      <c r="D27" s="471"/>
      <c r="E27" s="468"/>
      <c r="F27" s="468"/>
      <c r="G27" s="468"/>
      <c r="H27" s="468"/>
      <c r="I27" s="468"/>
      <c r="J27" s="467"/>
      <c r="K27" s="468"/>
      <c r="L27" s="468"/>
      <c r="M27" s="468"/>
      <c r="N27" s="468"/>
      <c r="O27" s="467"/>
      <c r="P27" s="468"/>
      <c r="Q27" s="468"/>
      <c r="R27" s="468"/>
      <c r="S27" s="468"/>
      <c r="T27" s="467"/>
      <c r="U27" s="468"/>
      <c r="V27" s="468"/>
      <c r="W27" s="468"/>
      <c r="X27" s="468"/>
      <c r="Y27" s="467"/>
      <c r="Z27" s="468"/>
      <c r="AA27" s="468"/>
      <c r="AB27" s="468"/>
      <c r="AC27" s="468"/>
      <c r="AD27" s="467"/>
      <c r="AE27" s="468"/>
      <c r="AF27" s="468"/>
      <c r="AG27" s="468"/>
      <c r="AH27" s="468"/>
      <c r="AI27" s="467"/>
      <c r="AJ27" s="468"/>
      <c r="AK27" s="468"/>
      <c r="AL27" s="468"/>
      <c r="AM27" s="468"/>
      <c r="AN27" s="467"/>
      <c r="AO27" s="468"/>
      <c r="AP27" s="468"/>
      <c r="AQ27" s="468"/>
      <c r="AR27" s="468"/>
      <c r="AS27" s="467"/>
      <c r="AT27" s="470"/>
      <c r="AU27" s="468"/>
      <c r="AV27" s="468"/>
      <c r="AW27" s="468"/>
      <c r="AX27" s="467"/>
      <c r="AY27" s="468"/>
      <c r="AZ27" s="468"/>
      <c r="BA27" s="468"/>
      <c r="BB27" s="468"/>
      <c r="BC27" s="467"/>
      <c r="BD27" s="468"/>
      <c r="BE27" s="468"/>
      <c r="BF27" s="468"/>
      <c r="BG27" s="468"/>
      <c r="BH27" s="467"/>
      <c r="BI27" s="468"/>
      <c r="BJ27" s="468"/>
      <c r="BK27" s="468"/>
      <c r="BL27" s="468"/>
      <c r="BM27" s="467"/>
      <c r="BN27" s="468"/>
      <c r="BO27" s="468"/>
      <c r="BP27" s="468"/>
      <c r="BQ27" s="469"/>
      <c r="BR27" s="467"/>
      <c r="BS27" s="468"/>
      <c r="BT27" s="468"/>
      <c r="BU27" s="468"/>
      <c r="BV27" s="468"/>
      <c r="BW27" s="467"/>
      <c r="BX27" s="468"/>
      <c r="BY27" s="468"/>
      <c r="BZ27" s="468"/>
      <c r="CA27" s="468"/>
      <c r="CB27" s="467"/>
      <c r="CC27" s="468"/>
      <c r="CD27" s="468"/>
      <c r="CE27" s="468"/>
      <c r="CF27" s="468"/>
      <c r="CG27" s="467"/>
      <c r="CH27" s="468"/>
      <c r="CI27" s="468"/>
      <c r="CJ27" s="468"/>
      <c r="CK27" s="468"/>
      <c r="CL27" s="467"/>
      <c r="CM27" s="468"/>
      <c r="CN27" s="468"/>
      <c r="CO27" s="468"/>
      <c r="CP27" s="468"/>
      <c r="CQ27" s="467"/>
      <c r="CR27" s="468"/>
      <c r="CS27" s="468"/>
      <c r="CT27" s="468"/>
      <c r="CU27" s="468"/>
      <c r="CV27" s="467"/>
      <c r="CW27" s="467"/>
      <c r="CX27" s="467"/>
      <c r="CY27" s="467"/>
      <c r="CZ27" s="256"/>
      <c r="DG27" s="256"/>
    </row>
    <row r="28" spans="1:111" ht="12" customHeight="1">
      <c r="A28" s="465"/>
      <c r="B28" s="465"/>
      <c r="C28" s="466" t="s">
        <v>91</v>
      </c>
      <c r="D28" s="466"/>
      <c r="E28" s="465"/>
      <c r="F28" s="465">
        <v>1762</v>
      </c>
      <c r="G28" s="465">
        <v>1974</v>
      </c>
      <c r="H28" s="465">
        <v>1940</v>
      </c>
      <c r="I28" s="465">
        <v>1937</v>
      </c>
      <c r="J28" s="464">
        <v>7613</v>
      </c>
      <c r="K28" s="465">
        <v>1859</v>
      </c>
      <c r="L28" s="465">
        <v>2148</v>
      </c>
      <c r="M28" s="465">
        <v>1997</v>
      </c>
      <c r="N28" s="465">
        <v>1892</v>
      </c>
      <c r="O28" s="464">
        <v>7810</v>
      </c>
      <c r="P28" s="465">
        <v>1889</v>
      </c>
      <c r="Q28" s="465">
        <v>2134</v>
      </c>
      <c r="R28" s="465">
        <v>2061</v>
      </c>
      <c r="S28" s="465">
        <v>1967</v>
      </c>
      <c r="T28" s="464">
        <v>8051</v>
      </c>
      <c r="U28" s="465">
        <v>1836</v>
      </c>
      <c r="V28" s="465">
        <v>2171</v>
      </c>
      <c r="W28" s="465">
        <v>2241</v>
      </c>
      <c r="X28" s="465">
        <v>2278</v>
      </c>
      <c r="Y28" s="464">
        <v>8526</v>
      </c>
      <c r="Z28" s="465">
        <v>2371</v>
      </c>
      <c r="AA28" s="465">
        <v>2646</v>
      </c>
      <c r="AB28" s="465">
        <v>2537</v>
      </c>
      <c r="AC28" s="465">
        <v>2670</v>
      </c>
      <c r="AD28" s="464">
        <v>10224</v>
      </c>
      <c r="AE28" s="465">
        <v>2592</v>
      </c>
      <c r="AF28" s="465">
        <v>3162</v>
      </c>
      <c r="AG28" s="465">
        <v>3014</v>
      </c>
      <c r="AH28" s="465">
        <v>3022</v>
      </c>
      <c r="AI28" s="464">
        <v>11790</v>
      </c>
      <c r="AJ28" s="465">
        <f t="shared" ref="AJ28:BO28" si="8">AJ21-AJ25</f>
        <v>2965</v>
      </c>
      <c r="AK28" s="465">
        <f t="shared" si="8"/>
        <v>3489</v>
      </c>
      <c r="AL28" s="465">
        <f t="shared" si="8"/>
        <v>3369</v>
      </c>
      <c r="AM28" s="465">
        <f t="shared" si="8"/>
        <v>3266</v>
      </c>
      <c r="AN28" s="464">
        <f t="shared" si="8"/>
        <v>13089</v>
      </c>
      <c r="AO28" s="465">
        <f t="shared" si="8"/>
        <v>3282</v>
      </c>
      <c r="AP28" s="465">
        <f t="shared" si="8"/>
        <v>3775</v>
      </c>
      <c r="AQ28" s="465">
        <f t="shared" si="8"/>
        <v>3795</v>
      </c>
      <c r="AR28" s="465">
        <f t="shared" si="8"/>
        <v>3985</v>
      </c>
      <c r="AS28" s="464">
        <f t="shared" si="8"/>
        <v>14837</v>
      </c>
      <c r="AT28" s="466">
        <f t="shared" si="8"/>
        <v>3720</v>
      </c>
      <c r="AU28" s="465">
        <f t="shared" si="8"/>
        <v>4308</v>
      </c>
      <c r="AV28" s="465">
        <f t="shared" si="8"/>
        <v>4150</v>
      </c>
      <c r="AW28" s="465">
        <f t="shared" si="8"/>
        <v>3942</v>
      </c>
      <c r="AX28" s="464">
        <f t="shared" si="8"/>
        <v>16120</v>
      </c>
      <c r="AY28" s="465">
        <f t="shared" si="8"/>
        <v>3092</v>
      </c>
      <c r="AZ28" s="465">
        <f t="shared" si="8"/>
        <v>3459</v>
      </c>
      <c r="BA28" s="465">
        <f t="shared" si="8"/>
        <v>3351</v>
      </c>
      <c r="BB28" s="465">
        <f t="shared" si="8"/>
        <v>3662</v>
      </c>
      <c r="BC28" s="464">
        <f t="shared" si="8"/>
        <v>13564</v>
      </c>
      <c r="BD28" s="465">
        <f t="shared" si="8"/>
        <v>3308</v>
      </c>
      <c r="BE28" s="465">
        <f t="shared" si="8"/>
        <v>3787</v>
      </c>
      <c r="BF28" s="465">
        <f t="shared" si="8"/>
        <v>3953</v>
      </c>
      <c r="BG28" s="465">
        <f t="shared" si="8"/>
        <v>3864</v>
      </c>
      <c r="BH28" s="464">
        <f t="shared" si="8"/>
        <v>14912</v>
      </c>
      <c r="BI28" s="465">
        <f t="shared" si="8"/>
        <v>3521</v>
      </c>
      <c r="BJ28" s="465">
        <f t="shared" si="8"/>
        <v>4001</v>
      </c>
      <c r="BK28" s="465">
        <f t="shared" si="8"/>
        <v>3897</v>
      </c>
      <c r="BL28" s="465">
        <f t="shared" si="8"/>
        <v>3966</v>
      </c>
      <c r="BM28" s="464">
        <f t="shared" si="8"/>
        <v>15385</v>
      </c>
      <c r="BN28" s="465">
        <f t="shared" si="8"/>
        <v>3486</v>
      </c>
      <c r="BO28" s="465">
        <f t="shared" si="8"/>
        <v>3873</v>
      </c>
      <c r="BP28" s="465">
        <f t="shared" ref="BP28:CV28" si="9">BP21-BP25</f>
        <v>4039</v>
      </c>
      <c r="BQ28" s="465">
        <f t="shared" si="9"/>
        <v>4157</v>
      </c>
      <c r="BR28" s="464">
        <f t="shared" si="9"/>
        <v>15555</v>
      </c>
      <c r="BS28" s="465">
        <f t="shared" si="9"/>
        <v>3934</v>
      </c>
      <c r="BT28" s="465">
        <f t="shared" si="9"/>
        <v>4454</v>
      </c>
      <c r="BU28" s="465">
        <f t="shared" si="9"/>
        <v>4442</v>
      </c>
      <c r="BV28" s="465">
        <f t="shared" si="9"/>
        <v>4475</v>
      </c>
      <c r="BW28" s="464">
        <f t="shared" si="9"/>
        <v>17305</v>
      </c>
      <c r="BX28" s="465">
        <f t="shared" si="9"/>
        <v>4055</v>
      </c>
      <c r="BY28" s="465">
        <f t="shared" si="9"/>
        <v>4260</v>
      </c>
      <c r="BZ28" s="465">
        <f t="shared" si="9"/>
        <v>4702</v>
      </c>
      <c r="CA28" s="465">
        <f t="shared" si="9"/>
        <v>4636</v>
      </c>
      <c r="CB28" s="464">
        <f t="shared" si="9"/>
        <v>17653</v>
      </c>
      <c r="CC28" s="465">
        <f t="shared" si="9"/>
        <v>3814</v>
      </c>
      <c r="CD28" s="465">
        <f t="shared" si="9"/>
        <v>4225</v>
      </c>
      <c r="CE28" s="465">
        <f t="shared" si="9"/>
        <v>3988</v>
      </c>
      <c r="CF28" s="465">
        <f t="shared" si="9"/>
        <v>3647</v>
      </c>
      <c r="CG28" s="464">
        <f t="shared" si="9"/>
        <v>15674</v>
      </c>
      <c r="CH28" s="465">
        <f t="shared" si="9"/>
        <v>3703</v>
      </c>
      <c r="CI28" s="465">
        <f t="shared" si="9"/>
        <v>4133</v>
      </c>
      <c r="CJ28" s="465">
        <f t="shared" si="9"/>
        <v>4012</v>
      </c>
      <c r="CK28" s="465">
        <f t="shared" si="9"/>
        <v>3936</v>
      </c>
      <c r="CL28" s="464">
        <f t="shared" si="9"/>
        <v>15784</v>
      </c>
      <c r="CM28" s="465">
        <f>CM21-CM25</f>
        <v>3738</v>
      </c>
      <c r="CN28" s="465">
        <f>CN21-CN25</f>
        <v>4180</v>
      </c>
      <c r="CO28" s="465">
        <f>CO21-CO25</f>
        <v>4019</v>
      </c>
      <c r="CP28" s="465">
        <f>CP21-CP25</f>
        <v>4056.3913328627532</v>
      </c>
      <c r="CQ28" s="464">
        <f t="shared" si="9"/>
        <v>15993.391332862753</v>
      </c>
      <c r="CR28" s="465">
        <f>CR21-CR25</f>
        <v>3831.354379395143</v>
      </c>
      <c r="CS28" s="465">
        <f>CS21-CS25</f>
        <v>4373.0231788790625</v>
      </c>
      <c r="CT28" s="465">
        <f>CT21-CT25</f>
        <v>4326.7496361496851</v>
      </c>
      <c r="CU28" s="465">
        <f>CU21-CU25</f>
        <v>4291.0835670723936</v>
      </c>
      <c r="CV28" s="464">
        <f t="shared" si="9"/>
        <v>16822.210761496288</v>
      </c>
      <c r="CW28" s="464">
        <f>CW21-CW25</f>
        <v>17780.107517715667</v>
      </c>
      <c r="CX28" s="464">
        <f>CX21-CX25</f>
        <v>18580.71372012308</v>
      </c>
      <c r="CY28" s="464">
        <f>CY21-CY25</f>
        <v>19269.354350611829</v>
      </c>
      <c r="CZ28" s="256"/>
      <c r="DG28" s="256"/>
    </row>
    <row r="29" spans="1:111" ht="12" customHeight="1">
      <c r="A29" s="457"/>
      <c r="B29" s="457"/>
      <c r="C29" s="458"/>
      <c r="D29" s="326" t="s">
        <v>293</v>
      </c>
      <c r="E29" s="457"/>
      <c r="F29" s="287">
        <v>0.27574334898278563</v>
      </c>
      <c r="G29" s="287">
        <v>0.2835799454101422</v>
      </c>
      <c r="H29" s="287">
        <v>0.30007733952049498</v>
      </c>
      <c r="I29" s="287">
        <v>0.28624205704152506</v>
      </c>
      <c r="J29" s="286">
        <v>0.28638603618854153</v>
      </c>
      <c r="K29" s="287">
        <v>0.27866886523759554</v>
      </c>
      <c r="L29" s="287">
        <v>0.29296235679214405</v>
      </c>
      <c r="M29" s="287">
        <v>0.28858381502890174</v>
      </c>
      <c r="N29" s="287">
        <v>0.26798866855524078</v>
      </c>
      <c r="O29" s="286">
        <v>0.27995841846793562</v>
      </c>
      <c r="P29" s="287">
        <v>0.29636021336680263</v>
      </c>
      <c r="Q29" s="287">
        <v>0.29137083560895688</v>
      </c>
      <c r="R29" s="287">
        <v>0.28236744759556104</v>
      </c>
      <c r="S29" s="287">
        <v>0.2726264726264726</v>
      </c>
      <c r="T29" s="286">
        <v>0.28537501772295476</v>
      </c>
      <c r="U29" s="287">
        <v>0.27394807520143238</v>
      </c>
      <c r="V29" s="287">
        <v>0.27869062901155328</v>
      </c>
      <c r="W29" s="287">
        <v>0.2817450339451848</v>
      </c>
      <c r="X29" s="287">
        <v>0.26525384257102935</v>
      </c>
      <c r="Y29" s="286">
        <v>0.27473094025907069</v>
      </c>
      <c r="Z29" s="287">
        <v>0.27423085820032383</v>
      </c>
      <c r="AA29" s="287">
        <v>0.27499480357514028</v>
      </c>
      <c r="AB29" s="287">
        <v>0.27165649427133526</v>
      </c>
      <c r="AC29" s="287">
        <v>0.27139662533035169</v>
      </c>
      <c r="AD29" s="286">
        <v>0.27304045934036586</v>
      </c>
      <c r="AE29" s="287">
        <v>0.27553949186775806</v>
      </c>
      <c r="AF29" s="287">
        <v>0.28353658536585363</v>
      </c>
      <c r="AG29" s="287">
        <v>0.27638697845025217</v>
      </c>
      <c r="AH29" s="287">
        <v>0.26835982594796198</v>
      </c>
      <c r="AI29" s="286">
        <v>0.27595084844938561</v>
      </c>
      <c r="AJ29" s="287">
        <f>IF(ISERROR(AJ28/AJ21),"-",AJ28/AJ21)</f>
        <v>0.2793217145548752</v>
      </c>
      <c r="AK29" s="287">
        <f>IF(ISERROR(AK28/AK21),"-",AK28/AK21)</f>
        <v>0.2844911937377691</v>
      </c>
      <c r="AL29" s="287">
        <f>IF(ISERROR(AL28/AL21),"-",AL28/AL21)</f>
        <v>0.27698758529967937</v>
      </c>
      <c r="AM29" s="287">
        <f>IF(ISERROR(AM28/AM21),"-",AM28/AM21)</f>
        <v>0.25541565652615938</v>
      </c>
      <c r="AN29" s="286">
        <f>IF(ISERROR(AN28/AN$21),"-",AN28/AN$21)</f>
        <v>0.27366242237972777</v>
      </c>
      <c r="AO29" s="287">
        <f>IF(ISERROR(AO28/AO21),"-",AO28/AO21)</f>
        <v>0.26730737905196283</v>
      </c>
      <c r="AP29" s="287">
        <f>IF(ISERROR(AP28/AP21),"-",AP28/AP21)</f>
        <v>0.27150460299194479</v>
      </c>
      <c r="AQ29" s="287">
        <f>IF(ISERROR(AQ28/AQ21),"-",AQ28/AQ21)</f>
        <v>0.27375027050421985</v>
      </c>
      <c r="AR29" s="287">
        <f>IF(ISERROR(AR28/AR21),"-",AR28/AR21)</f>
        <v>0.27083050156313715</v>
      </c>
      <c r="AS29" s="286">
        <f>IF(ISERROR(AS28/AS$21),"-",AS28/AS$21)</f>
        <v>0.27095089391698168</v>
      </c>
      <c r="AT29" s="337">
        <f>IF(ISERROR(AT28/AT21),"-",AT28/AT21)</f>
        <v>0.26651382719587335</v>
      </c>
      <c r="AU29" s="287">
        <f>IF(ISERROR(AU28/AU21),"-",AU28/AU21)</f>
        <v>0.27019568489713996</v>
      </c>
      <c r="AV29" s="287">
        <f>IF(ISERROR(AV28/AV21),"-",AV28/AV21)</f>
        <v>0.27510772290354657</v>
      </c>
      <c r="AW29" s="287">
        <f>IF(ISERROR(AW28/AW21),"-",AW28/AW21)</f>
        <v>0.26689234935680434</v>
      </c>
      <c r="AX29" s="286">
        <f>IF(ISERROR(AX28/AX$21),"-",AX28/AX$21)</f>
        <v>0.26975919139180349</v>
      </c>
      <c r="AY29" s="287">
        <f>IF(ISERROR(AY28/AY21),"-",AY28/AY21)</f>
        <v>0.25346339863923273</v>
      </c>
      <c r="AZ29" s="287">
        <f>IF(ISERROR(AZ28/AZ21),"-",AZ28/AZ21)</f>
        <v>0.26485451761102602</v>
      </c>
      <c r="BA29" s="287">
        <f>IF(ISERROR(BA28/BA21),"-",BA28/BA21)</f>
        <v>0.2541139000530826</v>
      </c>
      <c r="BB29" s="287">
        <f>IF(ISERROR(BB28/BB21),"-",BB28/BB21)</f>
        <v>0.26196437513412979</v>
      </c>
      <c r="BC29" s="286">
        <f>IF(ISERROR(BC28/BC$21),"-",BC28/BC$21)</f>
        <v>0.25873152122079163</v>
      </c>
      <c r="BD29" s="287">
        <f>IF(ISERROR(BD28/BD21),"-",BD28/BD21)</f>
        <v>0.27475083056478405</v>
      </c>
      <c r="BE29" s="287">
        <f>IF(ISERROR(BE28/BE21),"-",BE28/BE21)</f>
        <v>0.27438052456165773</v>
      </c>
      <c r="BF29" s="287">
        <f>IF(ISERROR(BF28/BF21),"-",BF28/BF21)</f>
        <v>0.29023494860499266</v>
      </c>
      <c r="BG29" s="287">
        <f>IF(ISERROR(BG28/BG21),"-",BG28/BG21)</f>
        <v>0.25995694294940797</v>
      </c>
      <c r="BH29" s="286">
        <f>IF(ISERROR(BH28/BH$21),"-",BH28/BH$21)</f>
        <v>0.2744910355998969</v>
      </c>
      <c r="BI29" s="287">
        <f>IF(ISERROR(BI28/BI21),"-",BI28/BI21)</f>
        <v>0.27783476682711278</v>
      </c>
      <c r="BJ29" s="287">
        <f>IF(ISERROR(BJ28/BJ21),"-",BJ28/BJ21)</f>
        <v>0.27652221991844633</v>
      </c>
      <c r="BK29" s="287">
        <f>IF(ISERROR(BK28/BK21),"-",BK28/BK21)</f>
        <v>0.27376185458377239</v>
      </c>
      <c r="BL29" s="287">
        <f>IF(ISERROR(BL28/BL21),"-",BL28/BL21)</f>
        <v>0.27585727203171734</v>
      </c>
      <c r="BM29" s="286">
        <f>IF(ISERROR(BM28/BM$21),"-",BM28/BM$21)</f>
        <v>0.2759443268644402</v>
      </c>
      <c r="BN29" s="287">
        <f>IF(ISERROR(BN28/BN21),"-",BN28/BN21)</f>
        <v>0.28076675257731959</v>
      </c>
      <c r="BO29" s="287">
        <f>IF(ISERROR(BO28/BO21),"-",BO28/BO21)</f>
        <v>0.28050988628956325</v>
      </c>
      <c r="BP29" s="287">
        <f>IF(ISERROR(BP28/BP21),"-",BP28/BP21)</f>
        <v>0.26851482515622921</v>
      </c>
      <c r="BQ29" s="287">
        <f>IF(ISERROR(BQ28/BQ21),"-",BQ28/BQ21)</f>
        <v>0.25281274706562062</v>
      </c>
      <c r="BR29" s="286">
        <f>IF(ISERROR(BR28/BR$21),"-",BR28/BR$21)</f>
        <v>0.26954668330214182</v>
      </c>
      <c r="BS29" s="287">
        <f>IF(ISERROR(BS28/BS21),"-",BS28/BS21)</f>
        <v>0.27321341759844436</v>
      </c>
      <c r="BT29" s="287">
        <f>IF(ISERROR(BT28/BT21),"-",BT28/BT21)</f>
        <v>0.27827064850680994</v>
      </c>
      <c r="BU29" s="287">
        <f>IF(ISERROR(BU28/BU21),"-",BU28/BU21)</f>
        <v>0.28728495666796017</v>
      </c>
      <c r="BV29" s="287">
        <f>IF(ISERROR(BV28/BV21),"-",BV28/BV21)</f>
        <v>0.26702070529267857</v>
      </c>
      <c r="BW29" s="286">
        <f>IF(ISERROR(BW28/BW$21),"-",BW28/BW$21)</f>
        <v>0.27632293296713822</v>
      </c>
      <c r="BX29" s="287">
        <f>IF(ISERROR(BX28/BX21),"-",BX28/BX21)</f>
        <v>0.27500847744998302</v>
      </c>
      <c r="BY29" s="287">
        <f>IF(ISERROR(BY28/BY21),"-",BY28/BY21)</f>
        <v>0.24780408353208075</v>
      </c>
      <c r="BZ29" s="287">
        <f>IF(ISERROR(BZ28/BZ21),"-",BZ28/BZ21)</f>
        <v>0.2908213755566551</v>
      </c>
      <c r="CA29" s="287">
        <f>IF(ISERROR(CA28/CA21),"-",CA28/CA21)</f>
        <v>0.27277006354436339</v>
      </c>
      <c r="CB29" s="286">
        <f>IF(ISERROR(CB28/CB$21),"-",CB28/CB$21)</f>
        <v>0.27116743471582183</v>
      </c>
      <c r="CC29" s="287">
        <f>IF(ISERROR(CC28/CC21),"-",CC28/CC21)</f>
        <v>0.28633633633633632</v>
      </c>
      <c r="CD29" s="287">
        <f>IF(ISERROR(CD28/CD21),"-",CD28/CD21)</f>
        <v>0.28747363407498128</v>
      </c>
      <c r="CE29" s="287">
        <f>IF(ISERROR(CE28/CE21),"-",CE28/CE21)</f>
        <v>0.28923701769654775</v>
      </c>
      <c r="CF29" s="287">
        <f>IF(ISERROR(CF28/CF21),"-",CF28/CF21)</f>
        <v>0.25503496503496503</v>
      </c>
      <c r="CG29" s="286">
        <f>IF(ISERROR(CG28/CG$21),"-",CG28/CG$21)</f>
        <v>0.27969501691152643</v>
      </c>
      <c r="CH29" s="287">
        <f>IF(ISERROR(CH28/CH21),"-",CH28/CH21)</f>
        <v>0.27723291158194208</v>
      </c>
      <c r="CI29" s="287">
        <f>IF(ISERROR(CI28/CI21),"-",CI28/CI21)</f>
        <v>0.27786741965846445</v>
      </c>
      <c r="CJ29" s="287">
        <f>IF(ISERROR(CJ28/CJ21),"-",CJ28/CJ21)</f>
        <v>0.27950397101853142</v>
      </c>
      <c r="CK29" s="287">
        <f>IF(ISERROR(CK28/CK21),"-",CK28/CK21)</f>
        <v>0.26850399072242309</v>
      </c>
      <c r="CL29" s="286">
        <f>IF(ISERROR(CL28/CL$21),"-",CL28/CL$21)</f>
        <v>0.27573195444064008</v>
      </c>
      <c r="CM29" s="287">
        <f>IF(ISERROR(CM28/CM21),"-",CM28/CM21)</f>
        <v>0.27057546145494027</v>
      </c>
      <c r="CN29" s="287">
        <f>IF(ISERROR(CN28/CN21),"-",CN28/CN21)</f>
        <v>0.27356020942408377</v>
      </c>
      <c r="CO29" s="287">
        <f>IF(ISERROR(CO28/CO21),"-",CO28/CO21)</f>
        <v>0.26683043420528485</v>
      </c>
      <c r="CP29" s="287">
        <f>IF(ISERROR(CP28/CP21),"-",CP28/CP21)</f>
        <v>0.26423817655070614</v>
      </c>
      <c r="CQ29" s="286">
        <f>IF(ISERROR(CQ28/CQ$21),"-",CQ28/CQ$21)</f>
        <v>0.26875914216596192</v>
      </c>
      <c r="CR29" s="287">
        <f>IF(ISERROR(CR28/CR21),"-",CR28/CR21)</f>
        <v>0.2612167948629065</v>
      </c>
      <c r="CS29" s="287">
        <f>IF(ISERROR(CS28/CS21),"-",CS28/CS21)</f>
        <v>0.26732064623664992</v>
      </c>
      <c r="CT29" s="287">
        <f>IF(ISERROR(CT28/CT21),"-",CT28/CT21)</f>
        <v>0.27383780930948376</v>
      </c>
      <c r="CU29" s="287">
        <f>IF(ISERROR(CU28/CU21),"-",CU28/CU21)</f>
        <v>0.26814312903556026</v>
      </c>
      <c r="CV29" s="286">
        <f>IF(ISERROR(CV28/CV$21),"-",CV28/CV$21)</f>
        <v>0.26685313062531946</v>
      </c>
      <c r="CW29" s="286">
        <f>IF(ISERROR(CW28/CW$21),"-",CW28/CW$21)</f>
        <v>0.27033601573197469</v>
      </c>
      <c r="CX29" s="286">
        <f>IF(ISERROR(CX28/CX$21),"-",CX28/CX$21)</f>
        <v>0.27072696353757397</v>
      </c>
      <c r="CY29" s="286">
        <f>IF(ISERROR(CY28/CY$21),"-",CY28/CY$21)</f>
        <v>0.27100032752100045</v>
      </c>
      <c r="CZ29" s="256"/>
      <c r="DG29" s="256"/>
    </row>
    <row r="30" spans="1:111" ht="12" customHeight="1">
      <c r="A30" s="434"/>
      <c r="B30" s="434"/>
      <c r="C30" s="433"/>
      <c r="D30" s="338"/>
      <c r="E30" s="463"/>
      <c r="F30" s="463"/>
      <c r="G30" s="463"/>
      <c r="H30" s="463"/>
      <c r="I30" s="463"/>
      <c r="J30" s="462"/>
      <c r="K30" s="463"/>
      <c r="L30" s="463"/>
      <c r="M30" s="463"/>
      <c r="N30" s="268"/>
      <c r="O30" s="462"/>
      <c r="P30" s="463"/>
      <c r="Q30" s="463"/>
      <c r="R30" s="463"/>
      <c r="S30" s="463"/>
      <c r="T30" s="462"/>
      <c r="U30" s="463"/>
      <c r="V30" s="463"/>
      <c r="W30" s="463"/>
      <c r="X30" s="463"/>
      <c r="Y30" s="462"/>
      <c r="Z30" s="463"/>
      <c r="AA30" s="463"/>
      <c r="AB30" s="463"/>
      <c r="AC30" s="463"/>
      <c r="AD30" s="462"/>
      <c r="AE30" s="463"/>
      <c r="AF30" s="463"/>
      <c r="AG30" s="463"/>
      <c r="AH30" s="463"/>
      <c r="AI30" s="462"/>
      <c r="AJ30" s="463"/>
      <c r="AK30" s="463"/>
      <c r="AL30" s="463"/>
      <c r="AM30" s="463"/>
      <c r="AN30" s="462"/>
      <c r="AO30" s="463"/>
      <c r="AP30" s="463"/>
      <c r="AQ30" s="463"/>
      <c r="AR30" s="463"/>
      <c r="AS30" s="462"/>
      <c r="AT30" s="338"/>
      <c r="AU30" s="463"/>
      <c r="AV30" s="463"/>
      <c r="AW30" s="463"/>
      <c r="AX30" s="462"/>
      <c r="AY30" s="463"/>
      <c r="AZ30" s="463"/>
      <c r="BA30" s="463"/>
      <c r="BB30" s="463"/>
      <c r="BC30" s="462"/>
      <c r="BD30" s="463"/>
      <c r="BE30" s="463"/>
      <c r="BF30" s="463"/>
      <c r="BG30" s="463"/>
      <c r="BH30" s="462"/>
      <c r="BI30" s="463"/>
      <c r="BJ30" s="463"/>
      <c r="BK30" s="463"/>
      <c r="BL30" s="463"/>
      <c r="BM30" s="462"/>
      <c r="BN30" s="463"/>
      <c r="BO30" s="463"/>
      <c r="BP30" s="463"/>
      <c r="BQ30" s="463"/>
      <c r="BR30" s="462"/>
      <c r="BS30" s="463"/>
      <c r="BT30" s="463"/>
      <c r="BU30" s="463"/>
      <c r="BV30" s="463"/>
      <c r="BW30" s="462"/>
      <c r="BX30" s="463"/>
      <c r="BY30" s="463"/>
      <c r="BZ30" s="463"/>
      <c r="CA30" s="463"/>
      <c r="CB30" s="462"/>
      <c r="CC30" s="463"/>
      <c r="CD30" s="463"/>
      <c r="CE30" s="463"/>
      <c r="CF30" s="463"/>
      <c r="CG30" s="462"/>
      <c r="CH30" s="463"/>
      <c r="CI30" s="463"/>
      <c r="CJ30" s="463"/>
      <c r="CK30" s="463"/>
      <c r="CL30" s="462"/>
      <c r="CM30" s="463"/>
      <c r="CN30" s="463"/>
      <c r="CO30" s="463"/>
      <c r="CP30" s="463"/>
      <c r="CQ30" s="462"/>
      <c r="CR30" s="463"/>
      <c r="CS30" s="463"/>
      <c r="CT30" s="463"/>
      <c r="CU30" s="463"/>
      <c r="CV30" s="462"/>
      <c r="CW30" s="462"/>
      <c r="CX30" s="462"/>
      <c r="CY30" s="462"/>
      <c r="CZ30" s="256"/>
      <c r="DG30" s="256"/>
    </row>
    <row r="31" spans="1:111" ht="12" customHeight="1">
      <c r="A31" s="429"/>
      <c r="B31" s="429"/>
      <c r="C31" s="436" t="s">
        <v>267</v>
      </c>
      <c r="D31" s="460"/>
      <c r="E31" s="438"/>
      <c r="F31" s="437">
        <v>781</v>
      </c>
      <c r="G31" s="437">
        <v>787</v>
      </c>
      <c r="H31" s="437">
        <v>761</v>
      </c>
      <c r="I31" s="437">
        <v>842</v>
      </c>
      <c r="J31" s="444">
        <v>3171</v>
      </c>
      <c r="K31" s="437">
        <v>785</v>
      </c>
      <c r="L31" s="437">
        <v>821</v>
      </c>
      <c r="M31" s="437">
        <v>857</v>
      </c>
      <c r="N31" s="437">
        <v>860</v>
      </c>
      <c r="O31" s="444">
        <v>3323</v>
      </c>
      <c r="P31" s="437">
        <v>754</v>
      </c>
      <c r="Q31" s="437">
        <v>798</v>
      </c>
      <c r="R31" s="437">
        <v>789</v>
      </c>
      <c r="S31" s="437">
        <v>862</v>
      </c>
      <c r="T31" s="444">
        <v>3203</v>
      </c>
      <c r="U31" s="437">
        <v>764</v>
      </c>
      <c r="V31" s="437">
        <v>857</v>
      </c>
      <c r="W31" s="437">
        <v>933</v>
      </c>
      <c r="X31" s="437">
        <v>1100</v>
      </c>
      <c r="Y31" s="444">
        <v>3654</v>
      </c>
      <c r="Z31" s="437">
        <v>1140</v>
      </c>
      <c r="AA31" s="437">
        <v>1114</v>
      </c>
      <c r="AB31" s="437">
        <v>1108</v>
      </c>
      <c r="AC31" s="437">
        <v>1305</v>
      </c>
      <c r="AD31" s="444">
        <v>4498</v>
      </c>
      <c r="AE31" s="437">
        <v>1213</v>
      </c>
      <c r="AF31" s="437">
        <v>1355</v>
      </c>
      <c r="AG31" s="437">
        <v>1295</v>
      </c>
      <c r="AH31" s="437">
        <v>1378</v>
      </c>
      <c r="AI31" s="444">
        <v>5241</v>
      </c>
      <c r="AJ31" s="437">
        <v>1314</v>
      </c>
      <c r="AK31" s="437">
        <v>1378</v>
      </c>
      <c r="AL31" s="437">
        <v>1338</v>
      </c>
      <c r="AM31" s="437">
        <v>1432</v>
      </c>
      <c r="AN31" s="444">
        <v>5462</v>
      </c>
      <c r="AO31" s="437">
        <v>1396</v>
      </c>
      <c r="AP31" s="437">
        <v>1494</v>
      </c>
      <c r="AQ31" s="437">
        <v>1508</v>
      </c>
      <c r="AR31" s="437">
        <v>1711</v>
      </c>
      <c r="AS31" s="444">
        <v>6109</v>
      </c>
      <c r="AT31" s="445">
        <v>1635</v>
      </c>
      <c r="AU31" s="437">
        <v>1775</v>
      </c>
      <c r="AV31" s="437">
        <v>1665</v>
      </c>
      <c r="AW31" s="437">
        <v>1649</v>
      </c>
      <c r="AX31" s="444">
        <f>SUM(AT31:AW31)</f>
        <v>6724</v>
      </c>
      <c r="AY31" s="437">
        <v>1483</v>
      </c>
      <c r="AZ31" s="437">
        <v>1574</v>
      </c>
      <c r="BA31" s="437">
        <v>1424</v>
      </c>
      <c r="BB31" s="437">
        <v>1555</v>
      </c>
      <c r="BC31" s="444">
        <f>SUM(AY31:BB31)</f>
        <v>6036</v>
      </c>
      <c r="BD31" s="437">
        <v>1424</v>
      </c>
      <c r="BE31" s="437">
        <v>1491</v>
      </c>
      <c r="BF31" s="437">
        <v>1478</v>
      </c>
      <c r="BG31" s="437">
        <v>1631</v>
      </c>
      <c r="BH31" s="444">
        <f>SUM(BD31:BG31)</f>
        <v>6024</v>
      </c>
      <c r="BI31" s="437">
        <f>3026-BJ31</f>
        <v>1450</v>
      </c>
      <c r="BJ31" s="437">
        <v>1576</v>
      </c>
      <c r="BK31" s="437">
        <v>1512</v>
      </c>
      <c r="BL31" s="437">
        <v>1623</v>
      </c>
      <c r="BM31" s="444">
        <f>SUM(BI31:BL31)</f>
        <v>6161</v>
      </c>
      <c r="BN31" s="437">
        <f>3038-BO31</f>
        <v>1529</v>
      </c>
      <c r="BO31" s="437">
        <v>1509</v>
      </c>
      <c r="BP31" s="437">
        <v>1619</v>
      </c>
      <c r="BQ31" s="437">
        <v>1795</v>
      </c>
      <c r="BR31" s="444">
        <f>SUM(BN31:BQ31)</f>
        <v>6452</v>
      </c>
      <c r="BS31" s="437">
        <v>1627</v>
      </c>
      <c r="BT31" s="437">
        <v>1737</v>
      </c>
      <c r="BU31" s="437">
        <v>1633</v>
      </c>
      <c r="BV31" s="437">
        <v>1721</v>
      </c>
      <c r="BW31" s="444">
        <f>SUM(BS31:BV31)</f>
        <v>6718</v>
      </c>
      <c r="BX31" s="437">
        <v>1596</v>
      </c>
      <c r="BY31" s="437">
        <v>1623</v>
      </c>
      <c r="BZ31" s="437">
        <v>1580</v>
      </c>
      <c r="CA31" s="459">
        <v>1701</v>
      </c>
      <c r="CB31" s="444">
        <f>'Divisional Summary'!CB35</f>
        <v>6500</v>
      </c>
      <c r="CC31" s="437">
        <v>1476</v>
      </c>
      <c r="CD31" s="1879">
        <f>4261-CE31-CC31</f>
        <v>1426</v>
      </c>
      <c r="CE31" s="1879">
        <v>1359</v>
      </c>
      <c r="CF31" s="1879">
        <v>1625</v>
      </c>
      <c r="CG31" s="444">
        <f>'Divisional Summary'!CG35</f>
        <v>5886</v>
      </c>
      <c r="CH31" s="1879">
        <v>1363</v>
      </c>
      <c r="CI31" s="1879">
        <v>1451</v>
      </c>
      <c r="CJ31" s="1879">
        <v>1390</v>
      </c>
      <c r="CK31" s="1879">
        <v>1856</v>
      </c>
      <c r="CL31" s="444">
        <f>'Divisional Summary'!CL35</f>
        <v>6060</v>
      </c>
      <c r="CM31" s="1879">
        <v>1482</v>
      </c>
      <c r="CN31" s="1879">
        <v>1538</v>
      </c>
      <c r="CO31" s="1879">
        <v>1524</v>
      </c>
      <c r="CP31" s="437">
        <f>'Divisional Summary'!CP35</f>
        <v>1744.4623883261268</v>
      </c>
      <c r="CQ31" s="444">
        <f>'Divisional Summary'!CQ35</f>
        <v>6288.4623883261265</v>
      </c>
      <c r="CR31" s="437">
        <f>'Divisional Summary'!CR35</f>
        <v>1602.7687118273222</v>
      </c>
      <c r="CS31" s="437">
        <f>'Divisional Summary'!CS35</f>
        <v>1679.2952461009957</v>
      </c>
      <c r="CT31" s="437">
        <f>'Divisional Summary'!CT35</f>
        <v>1630.3144504131831</v>
      </c>
      <c r="CU31" s="437">
        <f>'Divisional Summary'!CU35</f>
        <v>1818.5180965692241</v>
      </c>
      <c r="CV31" s="444">
        <f>'Divisional Summary'!CV35</f>
        <v>6730.8965049107255</v>
      </c>
      <c r="CW31" s="444">
        <f>'Divisional Summary'!CW35</f>
        <v>6905.8918557529487</v>
      </c>
      <c r="CX31" s="444">
        <f>'Divisional Summary'!CX35</f>
        <v>7206.4301062577715</v>
      </c>
      <c r="CY31" s="444">
        <f>'Divisional Summary'!CY35</f>
        <v>7465.9769798892703</v>
      </c>
      <c r="CZ31" s="256"/>
      <c r="DG31" s="256"/>
    </row>
    <row r="32" spans="1:111" ht="12" customHeight="1">
      <c r="A32" s="457"/>
      <c r="B32" s="457"/>
      <c r="C32" s="458"/>
      <c r="D32" s="326" t="s">
        <v>301</v>
      </c>
      <c r="E32" s="457"/>
      <c r="F32" s="287">
        <v>0.12222222222222222</v>
      </c>
      <c r="G32" s="287">
        <v>0.11305846861083178</v>
      </c>
      <c r="H32" s="287">
        <v>0.1177107501933488</v>
      </c>
      <c r="I32" s="287">
        <v>0.12442736810994533</v>
      </c>
      <c r="J32" s="286">
        <v>0.11928676221645412</v>
      </c>
      <c r="K32" s="287">
        <v>0.11767351221705891</v>
      </c>
      <c r="L32" s="287">
        <v>0.11197490452809601</v>
      </c>
      <c r="M32" s="287">
        <v>0.12384393063583815</v>
      </c>
      <c r="N32" s="287">
        <v>0.12181303116147309</v>
      </c>
      <c r="O32" s="286">
        <v>0.11911675090511524</v>
      </c>
      <c r="P32" s="287">
        <v>0.11829306557891434</v>
      </c>
      <c r="Q32" s="287">
        <v>0.10895685417804478</v>
      </c>
      <c r="R32" s="287">
        <v>0.10809699958898479</v>
      </c>
      <c r="S32" s="287">
        <v>0.11947331947331948</v>
      </c>
      <c r="T32" s="286">
        <v>0.11353324826315044</v>
      </c>
      <c r="U32" s="287">
        <v>0.11399582214264399</v>
      </c>
      <c r="V32" s="287">
        <v>0.11001283697047497</v>
      </c>
      <c r="W32" s="287">
        <v>0.1172994719637918</v>
      </c>
      <c r="X32" s="287">
        <v>0.12808570097810898</v>
      </c>
      <c r="Y32" s="286">
        <v>0.11774183153960173</v>
      </c>
      <c r="Z32" s="287">
        <v>0.131852879944483</v>
      </c>
      <c r="AA32" s="287">
        <v>0.11577634587403866</v>
      </c>
      <c r="AB32" s="287">
        <v>0.1186422529178713</v>
      </c>
      <c r="AC32" s="287">
        <v>0.13264891238056514</v>
      </c>
      <c r="AD32" s="286">
        <v>0.12012284684203499</v>
      </c>
      <c r="AE32" s="287">
        <v>0.12894652918039759</v>
      </c>
      <c r="AF32" s="287">
        <v>0.12150286944045911</v>
      </c>
      <c r="AG32" s="287">
        <v>0.11875286565795506</v>
      </c>
      <c r="AH32" s="287">
        <v>0.12236923896634402</v>
      </c>
      <c r="AI32" s="286">
        <v>0.12266822703335284</v>
      </c>
      <c r="AJ32" s="287">
        <f t="shared" ref="AJ32:BO32" si="10">AJ31/AJ21</f>
        <v>0.12378709373528027</v>
      </c>
      <c r="AK32" s="287">
        <f t="shared" si="10"/>
        <v>0.11236138290932811</v>
      </c>
      <c r="AL32" s="287">
        <f t="shared" si="10"/>
        <v>0.11000575515908904</v>
      </c>
      <c r="AM32" s="287">
        <f t="shared" si="10"/>
        <v>0.11198873856260265</v>
      </c>
      <c r="AN32" s="286">
        <f t="shared" si="10"/>
        <v>0.11419849881870832</v>
      </c>
      <c r="AO32" s="287">
        <f t="shared" si="10"/>
        <v>0.11369929956018895</v>
      </c>
      <c r="AP32" s="287">
        <f t="shared" si="10"/>
        <v>0.10745109321058688</v>
      </c>
      <c r="AQ32" s="287">
        <f t="shared" si="10"/>
        <v>0.10877876361537907</v>
      </c>
      <c r="AR32" s="287">
        <f t="shared" si="10"/>
        <v>0.11628381133614245</v>
      </c>
      <c r="AS32" s="286">
        <f t="shared" si="10"/>
        <v>0.11156156978761482</v>
      </c>
      <c r="AT32" s="337">
        <f t="shared" si="10"/>
        <v>0.11713712566270239</v>
      </c>
      <c r="AU32" s="287">
        <f t="shared" si="10"/>
        <v>0.11132714500752634</v>
      </c>
      <c r="AV32" s="287">
        <f t="shared" si="10"/>
        <v>0.11037454424925422</v>
      </c>
      <c r="AW32" s="287">
        <f t="shared" si="10"/>
        <v>0.11164522681110359</v>
      </c>
      <c r="AX32" s="286">
        <f t="shared" si="10"/>
        <v>0.11252238231504259</v>
      </c>
      <c r="AY32" s="287">
        <f t="shared" si="10"/>
        <v>0.12156734158537585</v>
      </c>
      <c r="AZ32" s="287">
        <f t="shared" si="10"/>
        <v>0.12052067381316998</v>
      </c>
      <c r="BA32" s="287">
        <f t="shared" si="10"/>
        <v>0.10798513687722758</v>
      </c>
      <c r="BB32" s="287">
        <f t="shared" si="10"/>
        <v>0.11123828600042922</v>
      </c>
      <c r="BC32" s="286">
        <f t="shared" si="10"/>
        <v>0.11513590844062947</v>
      </c>
      <c r="BD32" s="287">
        <f t="shared" si="10"/>
        <v>0.11827242524916944</v>
      </c>
      <c r="BE32" s="287">
        <f t="shared" si="10"/>
        <v>0.10802782205477467</v>
      </c>
      <c r="BF32" s="287">
        <f t="shared" si="10"/>
        <v>0.10851688693098385</v>
      </c>
      <c r="BG32" s="287">
        <f t="shared" si="10"/>
        <v>0.10972820236813778</v>
      </c>
      <c r="BH32" s="286">
        <f t="shared" si="10"/>
        <v>0.11088613187055922</v>
      </c>
      <c r="BI32" s="287">
        <f t="shared" si="10"/>
        <v>0.11441647597254005</v>
      </c>
      <c r="BJ32" s="287">
        <f t="shared" si="10"/>
        <v>0.10892252401686364</v>
      </c>
      <c r="BK32" s="287">
        <f t="shared" si="10"/>
        <v>0.10621707060063225</v>
      </c>
      <c r="BL32" s="287">
        <f t="shared" si="10"/>
        <v>0.11288864158030187</v>
      </c>
      <c r="BM32" s="286">
        <f t="shared" si="10"/>
        <v>0.11050328227571116</v>
      </c>
      <c r="BN32" s="287">
        <f t="shared" si="10"/>
        <v>0.12314755154639176</v>
      </c>
      <c r="BO32" s="287">
        <f t="shared" si="10"/>
        <v>0.10929238791917144</v>
      </c>
      <c r="BP32" s="287">
        <f t="shared" ref="BP32:CV32" si="11">BP31/BP21</f>
        <v>0.10763196383459646</v>
      </c>
      <c r="BQ32" s="287">
        <f t="shared" si="11"/>
        <v>0.10916499422246549</v>
      </c>
      <c r="BR32" s="286">
        <f t="shared" si="11"/>
        <v>0.1118042559090594</v>
      </c>
      <c r="BS32" s="287">
        <f t="shared" si="11"/>
        <v>0.112993957913744</v>
      </c>
      <c r="BT32" s="287">
        <f t="shared" si="11"/>
        <v>0.10852180432337873</v>
      </c>
      <c r="BU32" s="287">
        <f t="shared" si="11"/>
        <v>0.10561376277325055</v>
      </c>
      <c r="BV32" s="287">
        <f t="shared" si="11"/>
        <v>0.10269109135389939</v>
      </c>
      <c r="BW32" s="286">
        <f t="shared" si="11"/>
        <v>0.10727174017181362</v>
      </c>
      <c r="BX32" s="287">
        <f t="shared" si="11"/>
        <v>0.10824008138351984</v>
      </c>
      <c r="BY32" s="287">
        <f t="shared" si="11"/>
        <v>9.4409865627363157E-2</v>
      </c>
      <c r="BZ32" s="287">
        <f t="shared" si="11"/>
        <v>9.7723899059871347E-2</v>
      </c>
      <c r="CA32" s="287">
        <f t="shared" si="11"/>
        <v>0.1000823723228995</v>
      </c>
      <c r="CB32" s="286">
        <f t="shared" si="11"/>
        <v>9.9846390168970817E-2</v>
      </c>
      <c r="CC32" s="287">
        <f t="shared" si="11"/>
        <v>0.11081081081081082</v>
      </c>
      <c r="CD32" s="287">
        <f t="shared" si="11"/>
        <v>9.7026604068857589E-2</v>
      </c>
      <c r="CE32" s="287">
        <f t="shared" si="11"/>
        <v>9.8563968668407317E-2</v>
      </c>
      <c r="CF32" s="287">
        <f t="shared" si="11"/>
        <v>0.11363636363636363</v>
      </c>
      <c r="CG32" s="286">
        <f t="shared" si="11"/>
        <v>0.10503284863731303</v>
      </c>
      <c r="CH32" s="287">
        <f t="shared" si="11"/>
        <v>0.10204387212697462</v>
      </c>
      <c r="CI32" s="287">
        <f t="shared" si="11"/>
        <v>9.7552776657254273E-2</v>
      </c>
      <c r="CJ32" s="287">
        <f t="shared" si="11"/>
        <v>9.6837118573220013E-2</v>
      </c>
      <c r="CK32" s="287">
        <f t="shared" si="11"/>
        <v>0.12661163790163041</v>
      </c>
      <c r="CL32" s="286">
        <f t="shared" si="11"/>
        <v>0.10586262315701209</v>
      </c>
      <c r="CM32" s="287">
        <f>CM31/CM21</f>
        <v>0.10727470141150923</v>
      </c>
      <c r="CN32" s="287">
        <f>CN31/CN21</f>
        <v>0.1006544502617801</v>
      </c>
      <c r="CO32" s="287">
        <f>CO31/CO21</f>
        <v>0.10118178196786615</v>
      </c>
      <c r="CP32" s="287">
        <f>CP31/CP21</f>
        <v>0.11363636363636363</v>
      </c>
      <c r="CQ32" s="286">
        <f t="shared" si="11"/>
        <v>0.10567375748236181</v>
      </c>
      <c r="CR32" s="287">
        <f>CR31/CR21</f>
        <v>0.10927470141150923</v>
      </c>
      <c r="CS32" s="287">
        <f>CS31/CS21</f>
        <v>0.10265445026178011</v>
      </c>
      <c r="CT32" s="287">
        <f>CT31/CT21</f>
        <v>0.10318178196786615</v>
      </c>
      <c r="CU32" s="287">
        <f>CU31/CU21</f>
        <v>0.11363636363636363</v>
      </c>
      <c r="CV32" s="286">
        <f t="shared" si="11"/>
        <v>0.10677317207091541</v>
      </c>
      <c r="CW32" s="286">
        <f>CW31/CW21</f>
        <v>0.105</v>
      </c>
      <c r="CX32" s="286">
        <f>CX31/CX21</f>
        <v>0.105</v>
      </c>
      <c r="CY32" s="286">
        <f>CY31/CY21</f>
        <v>0.105</v>
      </c>
      <c r="CZ32" s="256"/>
      <c r="DG32" s="256"/>
    </row>
    <row r="33" spans="1:111" ht="12" customHeight="1">
      <c r="A33" s="457"/>
      <c r="B33" s="457"/>
      <c r="C33" s="458"/>
      <c r="D33" s="326"/>
      <c r="E33" s="457"/>
      <c r="F33" s="287"/>
      <c r="G33" s="287"/>
      <c r="H33" s="287"/>
      <c r="I33" s="287"/>
      <c r="J33" s="286"/>
      <c r="K33" s="287"/>
      <c r="L33" s="287"/>
      <c r="M33" s="287"/>
      <c r="N33" s="287"/>
      <c r="O33" s="286"/>
      <c r="P33" s="287"/>
      <c r="Q33" s="287"/>
      <c r="R33" s="287"/>
      <c r="S33" s="287"/>
      <c r="T33" s="286"/>
      <c r="U33" s="287"/>
      <c r="V33" s="287"/>
      <c r="W33" s="287"/>
      <c r="X33" s="287"/>
      <c r="Y33" s="286"/>
      <c r="Z33" s="287"/>
      <c r="AA33" s="287"/>
      <c r="AB33" s="287"/>
      <c r="AC33" s="287"/>
      <c r="AD33" s="286"/>
      <c r="AE33" s="287"/>
      <c r="AF33" s="287"/>
      <c r="AG33" s="287"/>
      <c r="AH33" s="287"/>
      <c r="AI33" s="286"/>
      <c r="AJ33" s="287"/>
      <c r="AK33" s="287"/>
      <c r="AL33" s="456">
        <f>SUM(AJ34:AL34)</f>
        <v>1123</v>
      </c>
      <c r="AM33" s="287"/>
      <c r="AN33" s="286"/>
      <c r="AO33" s="287"/>
      <c r="AP33" s="287"/>
      <c r="AQ33" s="456"/>
      <c r="AR33" s="287"/>
      <c r="AS33" s="286"/>
      <c r="AT33" s="337"/>
      <c r="AU33" s="287"/>
      <c r="AV33" s="287"/>
      <c r="AW33" s="287"/>
      <c r="AX33" s="286"/>
      <c r="AY33" s="287"/>
      <c r="AZ33" s="287"/>
      <c r="BA33" s="287"/>
      <c r="BB33" s="287"/>
      <c r="BC33" s="286"/>
      <c r="BD33" s="287"/>
      <c r="BE33" s="287"/>
      <c r="BF33" s="287"/>
      <c r="BG33" s="287"/>
      <c r="BH33" s="286"/>
      <c r="BI33" s="287"/>
      <c r="BJ33" s="287"/>
      <c r="BK33" s="287"/>
      <c r="BL33" s="287"/>
      <c r="BM33" s="286"/>
      <c r="BN33" s="287"/>
      <c r="BO33" s="287"/>
      <c r="BP33" s="287"/>
      <c r="BQ33" s="287"/>
      <c r="BR33" s="286"/>
      <c r="BS33" s="287"/>
      <c r="BT33" s="287"/>
      <c r="BU33" s="287"/>
      <c r="BV33" s="287"/>
      <c r="BW33" s="286"/>
      <c r="BX33" s="287"/>
      <c r="BY33" s="287"/>
      <c r="BZ33" s="287"/>
      <c r="CA33" s="287"/>
      <c r="CB33" s="286"/>
      <c r="CC33" s="287"/>
      <c r="CD33" s="287"/>
      <c r="CE33" s="287"/>
      <c r="CF33" s="287"/>
      <c r="CG33" s="286"/>
      <c r="CH33" s="287"/>
      <c r="CI33" s="287"/>
      <c r="CJ33" s="287"/>
      <c r="CK33" s="287"/>
      <c r="CL33" s="286"/>
      <c r="CM33" s="287"/>
      <c r="CN33" s="287"/>
      <c r="CO33" s="287"/>
      <c r="CP33" s="287"/>
      <c r="CQ33" s="286"/>
      <c r="CR33" s="287"/>
      <c r="CS33" s="287"/>
      <c r="CT33" s="287"/>
      <c r="CU33" s="287"/>
      <c r="CV33" s="286"/>
      <c r="CW33" s="286"/>
      <c r="CX33" s="286"/>
      <c r="CY33" s="286"/>
      <c r="CZ33" s="256"/>
      <c r="DG33" s="256"/>
    </row>
    <row r="34" spans="1:111" ht="12" customHeight="1">
      <c r="A34" s="429"/>
      <c r="B34" s="429"/>
      <c r="C34" s="436" t="s">
        <v>266</v>
      </c>
      <c r="D34" s="455"/>
      <c r="E34" s="438"/>
      <c r="F34" s="429">
        <v>314</v>
      </c>
      <c r="G34" s="437">
        <v>309</v>
      </c>
      <c r="H34" s="437">
        <v>329</v>
      </c>
      <c r="I34" s="437">
        <v>350</v>
      </c>
      <c r="J34" s="444">
        <v>1302</v>
      </c>
      <c r="K34" s="437">
        <v>297</v>
      </c>
      <c r="L34" s="437">
        <v>338</v>
      </c>
      <c r="M34" s="437">
        <v>318</v>
      </c>
      <c r="N34" s="437">
        <v>301</v>
      </c>
      <c r="O34" s="444">
        <v>1254</v>
      </c>
      <c r="P34" s="437">
        <v>338</v>
      </c>
      <c r="Q34" s="437">
        <v>305</v>
      </c>
      <c r="R34" s="437">
        <v>270</v>
      </c>
      <c r="S34" s="437">
        <v>278</v>
      </c>
      <c r="T34" s="444">
        <v>1191</v>
      </c>
      <c r="U34" s="437">
        <v>235</v>
      </c>
      <c r="V34" s="437">
        <v>281</v>
      </c>
      <c r="W34" s="437">
        <v>260</v>
      </c>
      <c r="X34" s="437">
        <v>251</v>
      </c>
      <c r="Y34" s="444">
        <v>1027</v>
      </c>
      <c r="Z34" s="437">
        <v>311</v>
      </c>
      <c r="AA34" s="437">
        <v>315</v>
      </c>
      <c r="AB34" s="437">
        <v>299</v>
      </c>
      <c r="AC34" s="437">
        <v>331</v>
      </c>
      <c r="AD34" s="444">
        <v>1256</v>
      </c>
      <c r="AE34" s="429">
        <v>291</v>
      </c>
      <c r="AF34" s="429">
        <v>318</v>
      </c>
      <c r="AG34" s="429">
        <v>335</v>
      </c>
      <c r="AH34" s="429">
        <v>423</v>
      </c>
      <c r="AI34" s="444">
        <v>1367</v>
      </c>
      <c r="AJ34" s="429">
        <v>369</v>
      </c>
      <c r="AK34" s="429">
        <v>370</v>
      </c>
      <c r="AL34" s="429">
        <v>384</v>
      </c>
      <c r="AM34" s="429">
        <v>406</v>
      </c>
      <c r="AN34" s="444">
        <v>1529</v>
      </c>
      <c r="AO34" s="429">
        <v>382</v>
      </c>
      <c r="AP34" s="429">
        <v>416</v>
      </c>
      <c r="AQ34" s="429">
        <v>399</v>
      </c>
      <c r="AR34" s="429">
        <v>481</v>
      </c>
      <c r="AS34" s="444">
        <v>1678</v>
      </c>
      <c r="AT34" s="436">
        <v>411</v>
      </c>
      <c r="AU34" s="429">
        <v>434</v>
      </c>
      <c r="AV34" s="429">
        <v>436</v>
      </c>
      <c r="AW34" s="429">
        <v>490</v>
      </c>
      <c r="AX34" s="444">
        <f>SUM(AT34:AW34)</f>
        <v>1771</v>
      </c>
      <c r="AY34" s="429">
        <v>409</v>
      </c>
      <c r="AZ34" s="429">
        <v>384</v>
      </c>
      <c r="BA34" s="429">
        <v>344</v>
      </c>
      <c r="BB34" s="429">
        <v>421</v>
      </c>
      <c r="BC34" s="444">
        <f>SUM(AY34:BB34)</f>
        <v>1558</v>
      </c>
      <c r="BD34" s="429">
        <v>397</v>
      </c>
      <c r="BE34" s="429">
        <v>459</v>
      </c>
      <c r="BF34" s="429">
        <v>433</v>
      </c>
      <c r="BG34" s="429">
        <v>457</v>
      </c>
      <c r="BH34" s="444">
        <f>SUM(BD34:BG34)</f>
        <v>1746</v>
      </c>
      <c r="BI34" s="429">
        <f>962-BJ34</f>
        <v>468</v>
      </c>
      <c r="BJ34" s="429">
        <v>494</v>
      </c>
      <c r="BK34" s="429">
        <v>465</v>
      </c>
      <c r="BL34" s="429">
        <v>524</v>
      </c>
      <c r="BM34" s="444">
        <f>SUM(BI34:BL34)</f>
        <v>1951</v>
      </c>
      <c r="BN34" s="429">
        <f>1069-BO34</f>
        <v>544</v>
      </c>
      <c r="BO34" s="429">
        <v>525</v>
      </c>
      <c r="BP34" s="429">
        <v>590</v>
      </c>
      <c r="BQ34" s="429">
        <v>712</v>
      </c>
      <c r="BR34" s="444">
        <f>SUM(BN34:BQ34)</f>
        <v>2371</v>
      </c>
      <c r="BS34" s="429">
        <v>610</v>
      </c>
      <c r="BT34" s="429">
        <v>631</v>
      </c>
      <c r="BU34" s="429">
        <v>630</v>
      </c>
      <c r="BV34" s="429">
        <v>658</v>
      </c>
      <c r="BW34" s="444">
        <f>SUM(BS34:BV34)</f>
        <v>2529</v>
      </c>
      <c r="BX34" s="429">
        <v>624</v>
      </c>
      <c r="BY34" s="429">
        <v>666</v>
      </c>
      <c r="BZ34" s="429">
        <v>677</v>
      </c>
      <c r="CA34" s="454">
        <v>668</v>
      </c>
      <c r="CB34" s="444">
        <f>'Divisional Summary'!CB38</f>
        <v>2635</v>
      </c>
      <c r="CC34" s="429">
        <v>564</v>
      </c>
      <c r="CD34" s="1880">
        <f>1668-CE34-CC34</f>
        <v>558</v>
      </c>
      <c r="CE34" s="1880">
        <v>546</v>
      </c>
      <c r="CF34" s="1880">
        <v>611</v>
      </c>
      <c r="CG34" s="444">
        <f>'Divisional Summary'!CG38</f>
        <v>2279</v>
      </c>
      <c r="CH34" s="1880">
        <v>541</v>
      </c>
      <c r="CI34" s="1880">
        <v>588</v>
      </c>
      <c r="CJ34" s="1880">
        <v>582</v>
      </c>
      <c r="CK34" s="1880">
        <v>626</v>
      </c>
      <c r="CL34" s="444">
        <f>'Divisional Summary'!CL38</f>
        <v>2337</v>
      </c>
      <c r="CM34" s="1880">
        <v>577</v>
      </c>
      <c r="CN34" s="1880">
        <v>609</v>
      </c>
      <c r="CO34" s="1880">
        <v>582</v>
      </c>
      <c r="CP34" s="429">
        <f>'Divisional Summary'!CP38</f>
        <v>593.17743779385819</v>
      </c>
      <c r="CQ34" s="444">
        <f>'Divisional Summary'!CQ38</f>
        <v>2361.1774377938582</v>
      </c>
      <c r="CR34" s="429">
        <f>'Divisional Summary'!CR38</f>
        <v>575.93047457961802</v>
      </c>
      <c r="CS34" s="429">
        <f>'Divisional Summary'!CS38</f>
        <v>627.45534619961722</v>
      </c>
      <c r="CT34" s="429">
        <f>'Divisional Summary'!CT38</f>
        <v>586.83175587165988</v>
      </c>
      <c r="CU34" s="429">
        <f>'Divisional Summary'!CU38</f>
        <v>594.35449641866956</v>
      </c>
      <c r="CV34" s="444">
        <f>'Divisional Summary'!CV38</f>
        <v>2384.5720730695648</v>
      </c>
      <c r="CW34" s="444">
        <f>'Divisional Summary'!CW38</f>
        <v>2224.8025928087827</v>
      </c>
      <c r="CX34" s="444">
        <f>'Divisional Summary'!CX38</f>
        <v>2047.0933454421984</v>
      </c>
      <c r="CY34" s="444">
        <f>'Divisional Summary'!CY38</f>
        <v>2120.8214840638429</v>
      </c>
      <c r="CZ34" s="256"/>
      <c r="DG34" s="256"/>
    </row>
    <row r="35" spans="1:111" ht="12" customHeight="1">
      <c r="A35" s="434"/>
      <c r="B35" s="434"/>
      <c r="C35" s="433"/>
      <c r="D35" s="326" t="s">
        <v>301</v>
      </c>
      <c r="E35" s="268"/>
      <c r="F35" s="400"/>
      <c r="G35" s="452"/>
      <c r="H35" s="452"/>
      <c r="I35" s="452"/>
      <c r="J35" s="453">
        <v>4.8978670578941431E-2</v>
      </c>
      <c r="K35" s="451">
        <v>4.4521061310148401E-2</v>
      </c>
      <c r="L35" s="451">
        <v>4.6099290780141841E-2</v>
      </c>
      <c r="M35" s="451">
        <v>4.5953757225433524E-2</v>
      </c>
      <c r="N35" s="451">
        <v>4.263456090651558E-2</v>
      </c>
      <c r="O35" s="453">
        <v>4.4951070007527689E-2</v>
      </c>
      <c r="P35" s="451">
        <v>5.3027925949168497E-2</v>
      </c>
      <c r="Q35" s="451">
        <v>4.1643910431458223E-2</v>
      </c>
      <c r="R35" s="451">
        <v>3.6991368680641186E-2</v>
      </c>
      <c r="S35" s="451">
        <v>3.8530838530838531E-2</v>
      </c>
      <c r="T35" s="453">
        <v>4.2216078264568267E-2</v>
      </c>
      <c r="U35" s="451">
        <v>3.5064159952253059E-2</v>
      </c>
      <c r="V35" s="451">
        <v>3.6071887034659821E-2</v>
      </c>
      <c r="W35" s="451">
        <v>3.2687955745536838E-2</v>
      </c>
      <c r="X35" s="451">
        <v>2.9226828132277595E-2</v>
      </c>
      <c r="Y35" s="453">
        <v>3.3092736998131082E-2</v>
      </c>
      <c r="Z35" s="451">
        <v>3.5970390932222991E-2</v>
      </c>
      <c r="AA35" s="451">
        <v>3.2737476616088133E-2</v>
      </c>
      <c r="AB35" s="451">
        <v>3.201627583253025E-2</v>
      </c>
      <c r="AC35" s="451">
        <v>3.3645049806871316E-2</v>
      </c>
      <c r="AD35" s="453">
        <v>3.354252904259581E-2</v>
      </c>
      <c r="AE35" s="259">
        <v>3.0934410545338579E-2</v>
      </c>
      <c r="AF35" s="259">
        <v>2.851506456241033E-2</v>
      </c>
      <c r="AG35" s="259">
        <v>3.0719853278312701E-2</v>
      </c>
      <c r="AH35" s="259">
        <v>3.7563271467898056E-2</v>
      </c>
      <c r="AI35" s="453">
        <v>3.1995318899941484E-2</v>
      </c>
      <c r="AJ35" s="259">
        <f t="shared" ref="AJ35:BO35" si="12">AJ34/AJ21</f>
        <v>3.4762129062647196E-2</v>
      </c>
      <c r="AK35" s="259">
        <f t="shared" si="12"/>
        <v>3.0169602087410305E-2</v>
      </c>
      <c r="AL35" s="259">
        <f t="shared" si="12"/>
        <v>3.1571158431308068E-2</v>
      </c>
      <c r="AM35" s="259">
        <f t="shared" si="12"/>
        <v>3.1750997106436224E-2</v>
      </c>
      <c r="AN35" s="453">
        <f t="shared" si="12"/>
        <v>3.1968052854962473E-2</v>
      </c>
      <c r="AO35" s="259">
        <f t="shared" si="12"/>
        <v>3.1112559048705E-2</v>
      </c>
      <c r="AP35" s="259">
        <f t="shared" si="12"/>
        <v>2.9919447640966629E-2</v>
      </c>
      <c r="AQ35" s="259">
        <f t="shared" si="12"/>
        <v>2.8781648993724301E-2</v>
      </c>
      <c r="AR35" s="259">
        <f t="shared" si="12"/>
        <v>3.2689955144760093E-2</v>
      </c>
      <c r="AS35" s="453">
        <f t="shared" si="12"/>
        <v>3.0643364561076719E-2</v>
      </c>
      <c r="AT35" s="406">
        <f t="shared" si="12"/>
        <v>2.944547929502794E-2</v>
      </c>
      <c r="AU35" s="259">
        <f t="shared" si="12"/>
        <v>2.7220270948319115E-2</v>
      </c>
      <c r="AV35" s="259">
        <f t="shared" si="12"/>
        <v>2.8902883659264168E-2</v>
      </c>
      <c r="AW35" s="259">
        <f t="shared" si="12"/>
        <v>3.3175355450236969E-2</v>
      </c>
      <c r="AX35" s="453">
        <f t="shared" si="12"/>
        <v>2.9636695282561038E-2</v>
      </c>
      <c r="AY35" s="259">
        <f t="shared" si="12"/>
        <v>3.3527338306418561E-2</v>
      </c>
      <c r="AZ35" s="259">
        <f t="shared" si="12"/>
        <v>2.9402756508422664E-2</v>
      </c>
      <c r="BA35" s="259">
        <f t="shared" si="12"/>
        <v>2.608629711079093E-2</v>
      </c>
      <c r="BB35" s="259">
        <f t="shared" si="12"/>
        <v>3.0116603476643536E-2</v>
      </c>
      <c r="BC35" s="453">
        <f t="shared" si="12"/>
        <v>2.9718645684310919E-2</v>
      </c>
      <c r="BD35" s="259">
        <f t="shared" si="12"/>
        <v>3.2973421926910301E-2</v>
      </c>
      <c r="BE35" s="259">
        <f t="shared" si="12"/>
        <v>3.3256049847848135E-2</v>
      </c>
      <c r="BF35" s="259">
        <f t="shared" si="12"/>
        <v>3.1791483113069015E-2</v>
      </c>
      <c r="BG35" s="259">
        <f t="shared" si="12"/>
        <v>3.0745425188374597E-2</v>
      </c>
      <c r="BH35" s="453">
        <f t="shared" si="12"/>
        <v>3.2139307145749731E-2</v>
      </c>
      <c r="BI35" s="259">
        <f t="shared" si="12"/>
        <v>3.6928903969068096E-2</v>
      </c>
      <c r="BJ35" s="259">
        <f t="shared" si="12"/>
        <v>3.4141958670260555E-2</v>
      </c>
      <c r="BK35" s="259">
        <f t="shared" si="12"/>
        <v>3.2665964172813484E-2</v>
      </c>
      <c r="BL35" s="259">
        <f t="shared" si="12"/>
        <v>3.6447103011754883E-2</v>
      </c>
      <c r="BM35" s="453">
        <f t="shared" si="12"/>
        <v>3.4993004986189333E-2</v>
      </c>
      <c r="BN35" s="259">
        <f t="shared" si="12"/>
        <v>4.3814432989690719E-2</v>
      </c>
      <c r="BO35" s="259">
        <f t="shared" si="12"/>
        <v>3.802419062794235E-2</v>
      </c>
      <c r="BP35" s="259">
        <f t="shared" ref="BP35:CV35" si="13">BP34/BP21</f>
        <v>3.9223507512298895E-2</v>
      </c>
      <c r="BQ35" s="259">
        <f t="shared" si="13"/>
        <v>4.3301100772365139E-2</v>
      </c>
      <c r="BR35" s="453">
        <f t="shared" si="13"/>
        <v>4.1086157898384976E-2</v>
      </c>
      <c r="BS35" s="259">
        <f t="shared" si="13"/>
        <v>4.2364053059240223E-2</v>
      </c>
      <c r="BT35" s="259">
        <f t="shared" si="13"/>
        <v>3.9422716481319509E-2</v>
      </c>
      <c r="BU35" s="259">
        <f t="shared" si="13"/>
        <v>4.0745052386495922E-2</v>
      </c>
      <c r="BV35" s="259">
        <f t="shared" si="13"/>
        <v>3.9262485828510052E-2</v>
      </c>
      <c r="BW35" s="453">
        <f t="shared" si="13"/>
        <v>4.0382588701178425E-2</v>
      </c>
      <c r="BX35" s="259">
        <f t="shared" si="13"/>
        <v>4.2319430315361138E-2</v>
      </c>
      <c r="BY35" s="259">
        <f t="shared" si="13"/>
        <v>3.8741201791635156E-2</v>
      </c>
      <c r="BZ35" s="259">
        <f t="shared" si="13"/>
        <v>4.1872835230084116E-2</v>
      </c>
      <c r="CA35" s="259">
        <f t="shared" si="13"/>
        <v>3.9303365497764177E-2</v>
      </c>
      <c r="CB35" s="453">
        <f t="shared" si="13"/>
        <v>4.0476190476190478E-2</v>
      </c>
      <c r="CC35" s="259">
        <f t="shared" si="13"/>
        <v>4.234234234234234E-2</v>
      </c>
      <c r="CD35" s="259">
        <f t="shared" si="13"/>
        <v>3.7966932026944275E-2</v>
      </c>
      <c r="CE35" s="259">
        <f t="shared" si="13"/>
        <v>3.959965187119234E-2</v>
      </c>
      <c r="CF35" s="259">
        <f t="shared" si="13"/>
        <v>4.2727272727272725E-2</v>
      </c>
      <c r="CG35" s="453">
        <f t="shared" si="13"/>
        <v>4.066766259674421E-2</v>
      </c>
      <c r="CH35" s="259">
        <f t="shared" si="13"/>
        <v>4.0503106985101442E-2</v>
      </c>
      <c r="CI35" s="259">
        <f t="shared" si="13"/>
        <v>3.953206938281565E-2</v>
      </c>
      <c r="CJ35" s="259">
        <f t="shared" si="13"/>
        <v>4.0546189215549672E-2</v>
      </c>
      <c r="CK35" s="259">
        <f t="shared" si="13"/>
        <v>4.2704140800873182E-2</v>
      </c>
      <c r="CL35" s="453">
        <f t="shared" si="13"/>
        <v>4.0825239326392287E-2</v>
      </c>
      <c r="CM35" s="259">
        <f>CM34/CM21</f>
        <v>4.17661961635903E-2</v>
      </c>
      <c r="CN35" s="259">
        <f>CN34/CN21</f>
        <v>3.9856020942408379E-2</v>
      </c>
      <c r="CO35" s="259">
        <f>CO34/CO21</f>
        <v>3.8640286814500067E-2</v>
      </c>
      <c r="CP35" s="259">
        <f>CP34/CP21</f>
        <v>3.8640286814500067E-2</v>
      </c>
      <c r="CQ35" s="453">
        <f t="shared" si="13"/>
        <v>3.9678140143996121E-2</v>
      </c>
      <c r="CR35" s="259">
        <f>CR34/CR21</f>
        <v>3.9266196163590297E-2</v>
      </c>
      <c r="CS35" s="259">
        <f>CS34/CS21</f>
        <v>3.8356020942408378E-2</v>
      </c>
      <c r="CT35" s="259">
        <f>CT34/CT21</f>
        <v>3.7140286814500066E-2</v>
      </c>
      <c r="CU35" s="259">
        <f>CU34/CU21</f>
        <v>3.7140286814500066E-2</v>
      </c>
      <c r="CV35" s="453">
        <f t="shared" si="13"/>
        <v>3.7826807184986287E-2</v>
      </c>
      <c r="CW35" s="453">
        <f>CW34/CW21</f>
        <v>3.3826807184986291E-2</v>
      </c>
      <c r="CX35" s="453">
        <f>CX34/CX21</f>
        <v>2.982680718498629E-2</v>
      </c>
      <c r="CY35" s="453">
        <f>CY34/CY21</f>
        <v>2.9826807184986287E-2</v>
      </c>
      <c r="CZ35" s="256"/>
      <c r="DG35" s="256"/>
    </row>
    <row r="36" spans="1:111" ht="12" customHeight="1">
      <c r="A36" s="434"/>
      <c r="B36" s="434"/>
      <c r="C36" s="433"/>
      <c r="D36" s="326"/>
      <c r="E36" s="268"/>
      <c r="F36" s="400"/>
      <c r="G36" s="452"/>
      <c r="H36" s="452"/>
      <c r="I36" s="452"/>
      <c r="J36" s="453"/>
      <c r="K36" s="451"/>
      <c r="L36" s="451"/>
      <c r="M36" s="451"/>
      <c r="N36" s="451"/>
      <c r="O36" s="453"/>
      <c r="P36" s="451"/>
      <c r="Q36" s="451"/>
      <c r="R36" s="451"/>
      <c r="S36" s="451"/>
      <c r="T36" s="453"/>
      <c r="U36" s="451"/>
      <c r="V36" s="451"/>
      <c r="W36" s="451"/>
      <c r="X36" s="451"/>
      <c r="Y36" s="453"/>
      <c r="Z36" s="451"/>
      <c r="AA36" s="451"/>
      <c r="AB36" s="451"/>
      <c r="AC36" s="451"/>
      <c r="AD36" s="453"/>
      <c r="AE36" s="259"/>
      <c r="AF36" s="259"/>
      <c r="AG36" s="259"/>
      <c r="AH36" s="259"/>
      <c r="AI36" s="453"/>
      <c r="AJ36" s="259"/>
      <c r="AK36" s="259"/>
      <c r="AL36" s="259"/>
      <c r="AM36" s="259"/>
      <c r="AN36" s="453"/>
      <c r="AO36" s="259"/>
      <c r="AP36" s="259"/>
      <c r="AQ36" s="259"/>
      <c r="AR36" s="259"/>
      <c r="AS36" s="453"/>
      <c r="AT36" s="406"/>
      <c r="AU36" s="259"/>
      <c r="AV36" s="259"/>
      <c r="AW36" s="259"/>
      <c r="AX36" s="453"/>
      <c r="AY36" s="259"/>
      <c r="AZ36" s="259"/>
      <c r="BA36" s="259"/>
      <c r="BB36" s="259"/>
      <c r="BC36" s="453"/>
      <c r="BD36" s="259"/>
      <c r="BE36" s="259"/>
      <c r="BF36" s="259"/>
      <c r="BG36" s="259"/>
      <c r="BH36" s="453"/>
      <c r="BI36" s="259"/>
      <c r="BJ36" s="259"/>
      <c r="BK36" s="259"/>
      <c r="BL36" s="259"/>
      <c r="BM36" s="453"/>
      <c r="BN36" s="259"/>
      <c r="BO36" s="259"/>
      <c r="BP36" s="259"/>
      <c r="BQ36" s="259"/>
      <c r="BR36" s="453"/>
      <c r="BS36" s="259"/>
      <c r="BT36" s="259"/>
      <c r="BU36" s="259"/>
      <c r="BV36" s="259"/>
      <c r="BW36" s="453"/>
      <c r="BX36" s="259"/>
      <c r="BY36" s="259"/>
      <c r="BZ36" s="259"/>
      <c r="CA36" s="259"/>
      <c r="CB36" s="453"/>
      <c r="CC36" s="259"/>
      <c r="CD36" s="259"/>
      <c r="CE36" s="259"/>
      <c r="CF36" s="259"/>
      <c r="CG36" s="281"/>
      <c r="CH36" s="259"/>
      <c r="CI36" s="259"/>
      <c r="CJ36" s="259"/>
      <c r="CK36" s="259"/>
      <c r="CL36" s="281"/>
      <c r="CM36" s="259"/>
      <c r="CN36" s="259"/>
      <c r="CO36" s="259"/>
      <c r="CP36" s="259"/>
      <c r="CQ36" s="453"/>
      <c r="CR36" s="259"/>
      <c r="CS36" s="259"/>
      <c r="CT36" s="259"/>
      <c r="CU36" s="259"/>
      <c r="CV36" s="453"/>
      <c r="CW36" s="453"/>
      <c r="CX36" s="453"/>
      <c r="CY36" s="453"/>
      <c r="CZ36" s="256"/>
      <c r="DG36" s="256"/>
    </row>
    <row r="37" spans="1:111" ht="12" customHeight="1">
      <c r="A37" s="434"/>
      <c r="B37" s="434"/>
      <c r="C37" s="433" t="s">
        <v>300</v>
      </c>
      <c r="D37" s="326"/>
      <c r="E37" s="268"/>
      <c r="F37" s="400"/>
      <c r="G37" s="452"/>
      <c r="H37" s="452"/>
      <c r="I37" s="452"/>
      <c r="J37" s="448"/>
      <c r="K37" s="451"/>
      <c r="L37" s="451"/>
      <c r="M37" s="451"/>
      <c r="N37" s="451"/>
      <c r="O37" s="448"/>
      <c r="P37" s="451"/>
      <c r="Q37" s="451"/>
      <c r="R37" s="451"/>
      <c r="S37" s="451"/>
      <c r="T37" s="448"/>
      <c r="U37" s="451"/>
      <c r="V37" s="451"/>
      <c r="W37" s="451"/>
      <c r="X37" s="451"/>
      <c r="Y37" s="448"/>
      <c r="Z37" s="451"/>
      <c r="AA37" s="451"/>
      <c r="AB37" s="451"/>
      <c r="AC37" s="451"/>
      <c r="AD37" s="448"/>
      <c r="AE37" s="259"/>
      <c r="AF37" s="259"/>
      <c r="AG37" s="259"/>
      <c r="AH37" s="259"/>
      <c r="AI37" s="448"/>
      <c r="AJ37" s="259"/>
      <c r="AK37" s="259"/>
      <c r="AL37" s="259"/>
      <c r="AM37" s="259"/>
      <c r="AN37" s="448"/>
      <c r="AO37" s="259"/>
      <c r="AP37" s="259"/>
      <c r="AQ37" s="259"/>
      <c r="AR37" s="259"/>
      <c r="AS37" s="448"/>
      <c r="AT37" s="406"/>
      <c r="AU37" s="259"/>
      <c r="AV37" s="259"/>
      <c r="AW37" s="259"/>
      <c r="AX37" s="448"/>
      <c r="AY37" s="449">
        <f>1200-1233+3.5</f>
        <v>-29.5</v>
      </c>
      <c r="AZ37" s="449">
        <f>1501-1620+3.5</f>
        <v>-115.5</v>
      </c>
      <c r="BA37" s="449">
        <f>1583-1752+3.5</f>
        <v>-165.5</v>
      </c>
      <c r="BB37" s="449">
        <f>1686-1786+3.5</f>
        <v>-96.5</v>
      </c>
      <c r="BC37" s="448">
        <f>SUM(AY37:BB37)</f>
        <v>-407</v>
      </c>
      <c r="BD37" s="449">
        <v>-36</v>
      </c>
      <c r="BE37" s="449">
        <v>-45</v>
      </c>
      <c r="BF37" s="449">
        <v>114</v>
      </c>
      <c r="BG37" s="449">
        <v>-77</v>
      </c>
      <c r="BH37" s="448">
        <f>SUM(BD37:BG37)</f>
        <v>-44</v>
      </c>
      <c r="BI37" s="449">
        <f>-316-BJ37</f>
        <v>-97</v>
      </c>
      <c r="BJ37" s="449">
        <v>-219</v>
      </c>
      <c r="BK37" s="449">
        <v>-231</v>
      </c>
      <c r="BL37" s="449">
        <v>-26</v>
      </c>
      <c r="BM37" s="448">
        <f>SUM(BI37:BL37)</f>
        <v>-573</v>
      </c>
      <c r="BN37" s="449">
        <f>-640-BO37</f>
        <v>-300</v>
      </c>
      <c r="BO37" s="449">
        <v>-340</v>
      </c>
      <c r="BP37" s="449">
        <v>-211</v>
      </c>
      <c r="BQ37" s="449">
        <v>-101</v>
      </c>
      <c r="BR37" s="448">
        <f>SUM(BN37:BQ37)</f>
        <v>-952</v>
      </c>
      <c r="BS37" s="449">
        <v>-309</v>
      </c>
      <c r="BT37" s="449">
        <v>-421</v>
      </c>
      <c r="BU37" s="449">
        <v>-187</v>
      </c>
      <c r="BV37" s="449">
        <v>-234</v>
      </c>
      <c r="BW37" s="448">
        <f>SUM(BS37:BV37)</f>
        <v>-1151</v>
      </c>
      <c r="BX37" s="449">
        <v>-263</v>
      </c>
      <c r="BY37" s="449">
        <v>-384</v>
      </c>
      <c r="BZ37" s="449">
        <v>-301</v>
      </c>
      <c r="CA37" s="450">
        <v>-303</v>
      </c>
      <c r="CB37" s="448">
        <f>-'Divisional Summary'!CB41</f>
        <v>-1251</v>
      </c>
      <c r="CC37" s="449">
        <v>-408</v>
      </c>
      <c r="CD37" s="1882">
        <f>-808-CE37-CC37</f>
        <v>-181</v>
      </c>
      <c r="CE37" s="1882">
        <v>-219</v>
      </c>
      <c r="CF37" s="1882">
        <v>1019</v>
      </c>
      <c r="CG37" s="448">
        <f>-'Divisional Summary'!CG41</f>
        <v>211</v>
      </c>
      <c r="CH37" s="1882">
        <v>-146</v>
      </c>
      <c r="CI37" s="1882">
        <v>-243</v>
      </c>
      <c r="CJ37" s="1882">
        <v>-211</v>
      </c>
      <c r="CK37" s="1882">
        <v>-185</v>
      </c>
      <c r="CL37" s="448">
        <f>-'Divisional Summary'!CL41</f>
        <v>-785</v>
      </c>
      <c r="CM37" s="1882">
        <v>-588</v>
      </c>
      <c r="CN37" s="1882">
        <v>-257</v>
      </c>
      <c r="CO37" s="1882">
        <v>-250</v>
      </c>
      <c r="CP37" s="449">
        <f>-'Divisional Summary'!CP41</f>
        <v>-250</v>
      </c>
      <c r="CQ37" s="448">
        <f>-'Divisional Summary'!CQ41</f>
        <v>-1345</v>
      </c>
      <c r="CR37" s="449">
        <f>-'Divisional Summary'!CR41</f>
        <v>-257</v>
      </c>
      <c r="CS37" s="449">
        <f>-'Divisional Summary'!CS41</f>
        <v>-257</v>
      </c>
      <c r="CT37" s="449">
        <f>-'Divisional Summary'!CT41</f>
        <v>-257</v>
      </c>
      <c r="CU37" s="449">
        <f>-'Divisional Summary'!CU41</f>
        <v>-257</v>
      </c>
      <c r="CV37" s="448">
        <f>-'Divisional Summary'!CV41</f>
        <v>-1028</v>
      </c>
      <c r="CW37" s="448">
        <f>-'Divisional Summary'!CW41</f>
        <v>-1072.5383281312245</v>
      </c>
      <c r="CX37" s="2233">
        <f>-'Divisional Summary'!CX41</f>
        <v>-1119.2142390010713</v>
      </c>
      <c r="CY37" s="2233">
        <f>-'Divisional Summary'!CY41</f>
        <v>-1159.5238725329828</v>
      </c>
      <c r="CZ37" s="256"/>
      <c r="DG37" s="256"/>
    </row>
    <row r="38" spans="1:111" ht="12" customHeight="1">
      <c r="A38" s="434"/>
      <c r="B38" s="434"/>
      <c r="C38" s="433"/>
      <c r="D38" s="433"/>
      <c r="E38" s="431"/>
      <c r="F38" s="431"/>
      <c r="G38" s="431"/>
      <c r="H38" s="431"/>
      <c r="I38" s="431"/>
      <c r="J38" s="430"/>
      <c r="K38" s="431"/>
      <c r="L38" s="431"/>
      <c r="M38" s="431"/>
      <c r="N38" s="431"/>
      <c r="O38" s="430"/>
      <c r="P38" s="431"/>
      <c r="Q38" s="431"/>
      <c r="R38" s="431"/>
      <c r="S38" s="431"/>
      <c r="T38" s="430"/>
      <c r="U38" s="431"/>
      <c r="V38" s="431"/>
      <c r="W38" s="431"/>
      <c r="X38" s="431"/>
      <c r="Y38" s="430"/>
      <c r="Z38" s="431"/>
      <c r="AA38" s="431"/>
      <c r="AB38" s="431"/>
      <c r="AC38" s="431"/>
      <c r="AD38" s="430"/>
      <c r="AE38" s="431"/>
      <c r="AF38" s="431"/>
      <c r="AG38" s="431"/>
      <c r="AH38" s="431"/>
      <c r="AI38" s="430"/>
      <c r="AJ38" s="431"/>
      <c r="AK38" s="431"/>
      <c r="AL38" s="431"/>
      <c r="AM38" s="431"/>
      <c r="AN38" s="430"/>
      <c r="AO38" s="431"/>
      <c r="AP38" s="431"/>
      <c r="AQ38" s="431"/>
      <c r="AR38" s="431"/>
      <c r="AS38" s="430"/>
      <c r="AT38" s="432"/>
      <c r="AU38" s="431"/>
      <c r="AV38" s="431"/>
      <c r="AW38" s="431"/>
      <c r="AX38" s="430"/>
      <c r="AY38" s="431"/>
      <c r="AZ38" s="431"/>
      <c r="BA38" s="431"/>
      <c r="BB38" s="431"/>
      <c r="BC38" s="430"/>
      <c r="BD38" s="431"/>
      <c r="BE38" s="431"/>
      <c r="BF38" s="431"/>
      <c r="BG38" s="431"/>
      <c r="BH38" s="430"/>
      <c r="BI38" s="431"/>
      <c r="BJ38" s="431"/>
      <c r="BK38" s="431"/>
      <c r="BL38" s="431"/>
      <c r="BM38" s="430"/>
      <c r="BN38" s="431"/>
      <c r="BO38" s="431"/>
      <c r="BP38" s="431"/>
      <c r="BQ38" s="431"/>
      <c r="BR38" s="430"/>
      <c r="BS38" s="431"/>
      <c r="BT38" s="431"/>
      <c r="BU38" s="431"/>
      <c r="BV38" s="447"/>
      <c r="BW38" s="446"/>
      <c r="BX38" s="447"/>
      <c r="BY38" s="447"/>
      <c r="BZ38" s="447"/>
      <c r="CA38" s="447"/>
      <c r="CB38" s="446"/>
      <c r="CC38" s="447"/>
      <c r="CD38" s="447"/>
      <c r="CE38" s="447"/>
      <c r="CF38" s="447"/>
      <c r="CG38" s="446"/>
      <c r="CH38" s="447"/>
      <c r="CI38" s="447"/>
      <c r="CJ38" s="447"/>
      <c r="CK38" s="447"/>
      <c r="CL38" s="446"/>
      <c r="CM38" s="447"/>
      <c r="CN38" s="447"/>
      <c r="CO38" s="447"/>
      <c r="CP38" s="447"/>
      <c r="CQ38" s="446"/>
      <c r="CR38" s="447"/>
      <c r="CS38" s="447"/>
      <c r="CT38" s="447"/>
      <c r="CU38" s="447"/>
      <c r="CV38" s="446"/>
      <c r="CW38" s="446"/>
      <c r="CX38" s="446"/>
      <c r="CY38" s="446"/>
      <c r="CZ38" s="256"/>
      <c r="DG38" s="256"/>
    </row>
    <row r="39" spans="1:111" ht="12" customHeight="1" thickBot="1">
      <c r="A39" s="441"/>
      <c r="B39" s="441"/>
      <c r="C39" s="427" t="s">
        <v>299</v>
      </c>
      <c r="D39" s="427"/>
      <c r="E39" s="426"/>
      <c r="F39" s="426">
        <v>667</v>
      </c>
      <c r="G39" s="426">
        <v>878</v>
      </c>
      <c r="H39" s="426">
        <v>850</v>
      </c>
      <c r="I39" s="426">
        <v>745</v>
      </c>
      <c r="J39" s="425">
        <v>3140</v>
      </c>
      <c r="K39" s="426">
        <v>777</v>
      </c>
      <c r="L39" s="426">
        <v>989</v>
      </c>
      <c r="M39" s="426">
        <v>822</v>
      </c>
      <c r="N39" s="426">
        <v>731</v>
      </c>
      <c r="O39" s="425">
        <v>3233</v>
      </c>
      <c r="P39" s="426">
        <v>797</v>
      </c>
      <c r="Q39" s="426">
        <v>1031</v>
      </c>
      <c r="R39" s="426">
        <v>1002</v>
      </c>
      <c r="S39" s="426">
        <v>827</v>
      </c>
      <c r="T39" s="425">
        <v>3657</v>
      </c>
      <c r="U39" s="426">
        <v>837</v>
      </c>
      <c r="V39" s="426">
        <v>1033</v>
      </c>
      <c r="W39" s="426">
        <v>1048</v>
      </c>
      <c r="X39" s="426">
        <v>927</v>
      </c>
      <c r="Y39" s="425">
        <v>3845</v>
      </c>
      <c r="Z39" s="426">
        <v>920</v>
      </c>
      <c r="AA39" s="426">
        <v>1217</v>
      </c>
      <c r="AB39" s="426">
        <v>1130</v>
      </c>
      <c r="AC39" s="426">
        <v>1034</v>
      </c>
      <c r="AD39" s="425">
        <v>4470</v>
      </c>
      <c r="AE39" s="426">
        <v>1088</v>
      </c>
      <c r="AF39" s="426">
        <v>1489</v>
      </c>
      <c r="AG39" s="426">
        <v>1384</v>
      </c>
      <c r="AH39" s="426">
        <v>1221</v>
      </c>
      <c r="AI39" s="425">
        <v>5182</v>
      </c>
      <c r="AJ39" s="426">
        <f t="shared" ref="AJ39:AW39" si="14">AJ28-AJ31-AJ34</f>
        <v>1282</v>
      </c>
      <c r="AK39" s="426">
        <f t="shared" si="14"/>
        <v>1741</v>
      </c>
      <c r="AL39" s="426">
        <f t="shared" si="14"/>
        <v>1647</v>
      </c>
      <c r="AM39" s="426">
        <f t="shared" si="14"/>
        <v>1428</v>
      </c>
      <c r="AN39" s="425">
        <f t="shared" si="14"/>
        <v>6098</v>
      </c>
      <c r="AO39" s="426">
        <f t="shared" si="14"/>
        <v>1504</v>
      </c>
      <c r="AP39" s="426">
        <f t="shared" si="14"/>
        <v>1865</v>
      </c>
      <c r="AQ39" s="426">
        <f t="shared" si="14"/>
        <v>1888</v>
      </c>
      <c r="AR39" s="426">
        <f t="shared" si="14"/>
        <v>1793</v>
      </c>
      <c r="AS39" s="425">
        <f t="shared" si="14"/>
        <v>7050</v>
      </c>
      <c r="AT39" s="427">
        <f t="shared" si="14"/>
        <v>1674</v>
      </c>
      <c r="AU39" s="426">
        <f t="shared" si="14"/>
        <v>2099</v>
      </c>
      <c r="AV39" s="426">
        <f t="shared" si="14"/>
        <v>2049</v>
      </c>
      <c r="AW39" s="426">
        <f t="shared" si="14"/>
        <v>1803</v>
      </c>
      <c r="AX39" s="425">
        <f t="shared" ref="AX39:CV39" si="15">AX28-AX31-AX34-AX37</f>
        <v>7625</v>
      </c>
      <c r="AY39" s="426">
        <f t="shared" si="15"/>
        <v>1229.5</v>
      </c>
      <c r="AZ39" s="426">
        <f t="shared" si="15"/>
        <v>1616.5</v>
      </c>
      <c r="BA39" s="426">
        <f t="shared" si="15"/>
        <v>1748.5</v>
      </c>
      <c r="BB39" s="426">
        <f t="shared" si="15"/>
        <v>1782.5</v>
      </c>
      <c r="BC39" s="425">
        <f t="shared" si="15"/>
        <v>6377</v>
      </c>
      <c r="BD39" s="426">
        <f t="shared" si="15"/>
        <v>1523</v>
      </c>
      <c r="BE39" s="426">
        <f t="shared" si="15"/>
        <v>1882</v>
      </c>
      <c r="BF39" s="426">
        <f t="shared" si="15"/>
        <v>1928</v>
      </c>
      <c r="BG39" s="426">
        <f t="shared" si="15"/>
        <v>1853</v>
      </c>
      <c r="BH39" s="425">
        <f t="shared" si="15"/>
        <v>7186</v>
      </c>
      <c r="BI39" s="426">
        <f t="shared" si="15"/>
        <v>1700</v>
      </c>
      <c r="BJ39" s="426">
        <f t="shared" si="15"/>
        <v>2150</v>
      </c>
      <c r="BK39" s="426">
        <f t="shared" si="15"/>
        <v>2151</v>
      </c>
      <c r="BL39" s="426">
        <f t="shared" si="15"/>
        <v>1845</v>
      </c>
      <c r="BM39" s="425">
        <f t="shared" si="15"/>
        <v>7846</v>
      </c>
      <c r="BN39" s="426">
        <f t="shared" si="15"/>
        <v>1713</v>
      </c>
      <c r="BO39" s="426">
        <f t="shared" si="15"/>
        <v>2179</v>
      </c>
      <c r="BP39" s="426">
        <f t="shared" si="15"/>
        <v>2041</v>
      </c>
      <c r="BQ39" s="426">
        <f t="shared" si="15"/>
        <v>1751</v>
      </c>
      <c r="BR39" s="425">
        <f t="shared" si="15"/>
        <v>7684</v>
      </c>
      <c r="BS39" s="426">
        <f t="shared" si="15"/>
        <v>2006</v>
      </c>
      <c r="BT39" s="426">
        <f t="shared" si="15"/>
        <v>2507</v>
      </c>
      <c r="BU39" s="426">
        <f t="shared" si="15"/>
        <v>2366</v>
      </c>
      <c r="BV39" s="426">
        <f t="shared" si="15"/>
        <v>2330</v>
      </c>
      <c r="BW39" s="425">
        <f t="shared" si="15"/>
        <v>9209</v>
      </c>
      <c r="BX39" s="426">
        <f t="shared" si="15"/>
        <v>2098</v>
      </c>
      <c r="BY39" s="426">
        <f t="shared" si="15"/>
        <v>2355</v>
      </c>
      <c r="BZ39" s="426">
        <f t="shared" si="15"/>
        <v>2746</v>
      </c>
      <c r="CA39" s="426">
        <f t="shared" si="15"/>
        <v>2570</v>
      </c>
      <c r="CB39" s="425">
        <f t="shared" si="15"/>
        <v>9769</v>
      </c>
      <c r="CC39" s="426">
        <f t="shared" si="15"/>
        <v>2182</v>
      </c>
      <c r="CD39" s="426">
        <f t="shared" si="15"/>
        <v>2422</v>
      </c>
      <c r="CE39" s="426">
        <f t="shared" si="15"/>
        <v>2302</v>
      </c>
      <c r="CF39" s="426">
        <f t="shared" si="15"/>
        <v>392</v>
      </c>
      <c r="CG39" s="425">
        <f t="shared" si="15"/>
        <v>7298</v>
      </c>
      <c r="CH39" s="426">
        <f t="shared" si="15"/>
        <v>1945</v>
      </c>
      <c r="CI39" s="426">
        <f t="shared" si="15"/>
        <v>2337</v>
      </c>
      <c r="CJ39" s="426">
        <f t="shared" si="15"/>
        <v>2251</v>
      </c>
      <c r="CK39" s="426">
        <f t="shared" si="15"/>
        <v>1639</v>
      </c>
      <c r="CL39" s="425">
        <f t="shared" si="15"/>
        <v>8172</v>
      </c>
      <c r="CM39" s="426">
        <f>CM28-CM31-CM34-CM37</f>
        <v>2267</v>
      </c>
      <c r="CN39" s="426">
        <f>CN28-CN31-CN34-CN37</f>
        <v>2290</v>
      </c>
      <c r="CO39" s="426">
        <f>CO28-CO31-CO34-CO37</f>
        <v>2163</v>
      </c>
      <c r="CP39" s="426">
        <f>CP28-CP31-CP34-CP37</f>
        <v>1968.7515067427685</v>
      </c>
      <c r="CQ39" s="425">
        <f t="shared" si="15"/>
        <v>8688.7515067427685</v>
      </c>
      <c r="CR39" s="426">
        <f>CR28-CR31-CR34-CR37</f>
        <v>1909.6551929882025</v>
      </c>
      <c r="CS39" s="426">
        <f>CS28-CS31-CS34-CS37</f>
        <v>2323.2725865784496</v>
      </c>
      <c r="CT39" s="426">
        <f>CT28-CT31-CT34-CT37</f>
        <v>2366.6034298648419</v>
      </c>
      <c r="CU39" s="426">
        <f>CU28-CU31-CU34-CU37</f>
        <v>2135.2109740844999</v>
      </c>
      <c r="CV39" s="425">
        <f t="shared" si="15"/>
        <v>8734.7421835159985</v>
      </c>
      <c r="CW39" s="425">
        <f>CW28-CW31-CW34-CW37</f>
        <v>9721.9513972851601</v>
      </c>
      <c r="CX39" s="425">
        <f>CX28-CX31-CX34-CX37</f>
        <v>10446.40450742418</v>
      </c>
      <c r="CY39" s="425">
        <f>CY28-CY31-CY34-CY37</f>
        <v>10842.0797591917</v>
      </c>
      <c r="CZ39" s="256"/>
      <c r="DG39" s="256"/>
    </row>
    <row r="40" spans="1:111" ht="12" customHeight="1" thickTop="1">
      <c r="A40" s="268"/>
      <c r="B40" s="268"/>
      <c r="C40" s="424"/>
      <c r="D40" s="326" t="s">
        <v>293</v>
      </c>
      <c r="E40" s="268"/>
      <c r="F40" s="287">
        <v>0.10438184663536776</v>
      </c>
      <c r="G40" s="287">
        <v>0.12613130297371067</v>
      </c>
      <c r="H40" s="287">
        <v>0.13147718484145399</v>
      </c>
      <c r="I40" s="287">
        <v>0.11009309886212502</v>
      </c>
      <c r="J40" s="286">
        <v>0.11812060339314599</v>
      </c>
      <c r="K40" s="287">
        <v>0.11647429171038824</v>
      </c>
      <c r="L40" s="287">
        <v>0.13488816148390617</v>
      </c>
      <c r="M40" s="287">
        <v>0.11878612716763005</v>
      </c>
      <c r="N40" s="287">
        <v>0.10354107648725212</v>
      </c>
      <c r="O40" s="286">
        <v>0.11589059755529268</v>
      </c>
      <c r="P40" s="287">
        <v>0.12503922183871979</v>
      </c>
      <c r="Q40" s="287">
        <v>0.14077007099945385</v>
      </c>
      <c r="R40" s="287">
        <v>0.13727907932593506</v>
      </c>
      <c r="S40" s="287">
        <v>0.11462231462231462</v>
      </c>
      <c r="T40" s="286">
        <v>0.12962569119523606</v>
      </c>
      <c r="U40" s="287">
        <v>0.12488809310653537</v>
      </c>
      <c r="V40" s="287">
        <v>0.13260590500641847</v>
      </c>
      <c r="W40" s="287">
        <v>0.13175760623585617</v>
      </c>
      <c r="X40" s="287">
        <v>0.10794131346064276</v>
      </c>
      <c r="Y40" s="286">
        <v>0.12389637172133788</v>
      </c>
      <c r="Z40" s="287">
        <v>0.10640758732361785</v>
      </c>
      <c r="AA40" s="287">
        <v>0.12648098108501352</v>
      </c>
      <c r="AB40" s="287">
        <v>0.12099796552093373</v>
      </c>
      <c r="AC40" s="287">
        <v>0.10510266314291522</v>
      </c>
      <c r="AD40" s="286">
        <v>0.11937508345573508</v>
      </c>
      <c r="AE40" s="287">
        <v>0.11565855214202189</v>
      </c>
      <c r="AF40" s="287">
        <v>0.13351865136298421</v>
      </c>
      <c r="AG40" s="287">
        <v>0.12691425951398441</v>
      </c>
      <c r="AH40" s="287">
        <v>0.10842731551371992</v>
      </c>
      <c r="AI40" s="286">
        <v>0.12128730251609128</v>
      </c>
      <c r="AJ40" s="287">
        <f t="shared" ref="AJ40:BO40" si="16">IF(ISERROR(AJ39/AJ$21),"-",AJ39/AJ$21)</f>
        <v>0.12077249175694772</v>
      </c>
      <c r="AK40" s="287">
        <f t="shared" si="16"/>
        <v>0.14196020874103066</v>
      </c>
      <c r="AL40" s="287">
        <f t="shared" si="16"/>
        <v>0.13541067170928225</v>
      </c>
      <c r="AM40" s="287">
        <f t="shared" si="16"/>
        <v>0.11167592085712051</v>
      </c>
      <c r="AN40" s="286">
        <f t="shared" si="16"/>
        <v>0.127495870706057</v>
      </c>
      <c r="AO40" s="287">
        <f t="shared" si="16"/>
        <v>0.1224955204430689</v>
      </c>
      <c r="AP40" s="287">
        <f t="shared" si="16"/>
        <v>0.13413406214039125</v>
      </c>
      <c r="AQ40" s="287">
        <f t="shared" si="16"/>
        <v>0.13618985789511651</v>
      </c>
      <c r="AR40" s="287">
        <f t="shared" si="16"/>
        <v>0.1218567350822346</v>
      </c>
      <c r="AS40" s="286">
        <f t="shared" si="16"/>
        <v>0.12874595956829013</v>
      </c>
      <c r="AT40" s="337">
        <f t="shared" si="16"/>
        <v>0.119931222238143</v>
      </c>
      <c r="AU40" s="287">
        <f t="shared" si="16"/>
        <v>0.13164826894129453</v>
      </c>
      <c r="AV40" s="287">
        <f t="shared" si="16"/>
        <v>0.13583029499502816</v>
      </c>
      <c r="AW40" s="287">
        <f t="shared" si="16"/>
        <v>0.12207176709546377</v>
      </c>
      <c r="AX40" s="286">
        <f t="shared" si="16"/>
        <v>0.12760011379419983</v>
      </c>
      <c r="AY40" s="287">
        <f t="shared" si="16"/>
        <v>0.10078694974997951</v>
      </c>
      <c r="AZ40" s="287">
        <f t="shared" si="16"/>
        <v>0.12377488514548239</v>
      </c>
      <c r="BA40" s="287">
        <f t="shared" si="16"/>
        <v>0.13259270493668007</v>
      </c>
      <c r="BB40" s="287">
        <f t="shared" si="16"/>
        <v>0.12751269761785536</v>
      </c>
      <c r="BC40" s="286">
        <f t="shared" si="16"/>
        <v>0.12164043872198378</v>
      </c>
      <c r="BD40" s="287">
        <f t="shared" si="16"/>
        <v>0.12649501661129567</v>
      </c>
      <c r="BE40" s="287">
        <f t="shared" si="16"/>
        <v>0.1363570497029416</v>
      </c>
      <c r="BF40" s="287">
        <f t="shared" si="16"/>
        <v>0.14155653450807637</v>
      </c>
      <c r="BG40" s="287">
        <f t="shared" si="16"/>
        <v>0.12466361679224973</v>
      </c>
      <c r="BH40" s="286">
        <f t="shared" si="16"/>
        <v>0.13227552184957478</v>
      </c>
      <c r="BI40" s="287">
        <f t="shared" si="16"/>
        <v>0.13414345458849522</v>
      </c>
      <c r="BJ40" s="287">
        <f t="shared" si="16"/>
        <v>0.14859354481995993</v>
      </c>
      <c r="BK40" s="287">
        <f t="shared" si="16"/>
        <v>0.15110642781875658</v>
      </c>
      <c r="BL40" s="287">
        <f t="shared" si="16"/>
        <v>0.12832997148222855</v>
      </c>
      <c r="BM40" s="286">
        <f t="shared" si="16"/>
        <v>0.14072532912436775</v>
      </c>
      <c r="BN40" s="287">
        <f t="shared" si="16"/>
        <v>0.13796713917525774</v>
      </c>
      <c r="BO40" s="287">
        <f t="shared" si="16"/>
        <v>0.15781849786340263</v>
      </c>
      <c r="BP40" s="287">
        <f t="shared" ref="BP40:CV40" si="17">IF(ISERROR(BP39/BP$21),"-",BP39/BP$21)</f>
        <v>0.13568674378407128</v>
      </c>
      <c r="BQ40" s="287">
        <f t="shared" si="17"/>
        <v>0.10648908350057776</v>
      </c>
      <c r="BR40" s="286">
        <f t="shared" si="17"/>
        <v>0.13315311568586677</v>
      </c>
      <c r="BS40" s="287">
        <f t="shared" si="17"/>
        <v>0.13931523022432113</v>
      </c>
      <c r="BT40" s="287">
        <f t="shared" si="17"/>
        <v>0.15662876421341998</v>
      </c>
      <c r="BU40" s="287">
        <f t="shared" si="17"/>
        <v>0.15302030785150691</v>
      </c>
      <c r="BV40" s="287">
        <f t="shared" si="17"/>
        <v>0.13902977504624381</v>
      </c>
      <c r="BW40" s="286">
        <f t="shared" si="17"/>
        <v>0.14704755213489604</v>
      </c>
      <c r="BX40" s="287">
        <f t="shared" si="17"/>
        <v>0.14228552051542895</v>
      </c>
      <c r="BY40" s="287">
        <f t="shared" si="17"/>
        <v>0.13699028561456575</v>
      </c>
      <c r="BZ40" s="287">
        <f t="shared" si="17"/>
        <v>0.16984166254329539</v>
      </c>
      <c r="CA40" s="287">
        <f t="shared" si="17"/>
        <v>0.15121204989409273</v>
      </c>
      <c r="CB40" s="286">
        <f t="shared" si="17"/>
        <v>0.15006144393241166</v>
      </c>
      <c r="CC40" s="287">
        <f t="shared" si="17"/>
        <v>0.16381381381381382</v>
      </c>
      <c r="CD40" s="287">
        <f t="shared" si="17"/>
        <v>0.16479553650404843</v>
      </c>
      <c r="CE40" s="287">
        <f t="shared" si="17"/>
        <v>0.16695677400638237</v>
      </c>
      <c r="CF40" s="287">
        <f t="shared" si="17"/>
        <v>2.7412587412587414E-2</v>
      </c>
      <c r="CG40" s="286">
        <f t="shared" si="17"/>
        <v>0.13022931181704223</v>
      </c>
      <c r="CH40" s="287">
        <f t="shared" si="17"/>
        <v>0.14561653065808192</v>
      </c>
      <c r="CI40" s="287">
        <f t="shared" si="17"/>
        <v>0.15711980637353773</v>
      </c>
      <c r="CJ40" s="287">
        <f t="shared" si="17"/>
        <v>0.15682039849519297</v>
      </c>
      <c r="CK40" s="287">
        <f t="shared" si="17"/>
        <v>0.11180844532369193</v>
      </c>
      <c r="CL40" s="286">
        <f t="shared" si="17"/>
        <v>0.1427573195444064</v>
      </c>
      <c r="CM40" s="287">
        <f>IF(ISERROR(CM39/CM$21),"-",CM39/CM$21)</f>
        <v>0.16409699601882013</v>
      </c>
      <c r="CN40" s="287">
        <f>IF(ISERROR(CN39/CN$21),"-",CN39/CN$21)</f>
        <v>0.14986910994764399</v>
      </c>
      <c r="CO40" s="287">
        <f>IF(ISERROR(CO39/CO$21),"-",CO39/CO$21)</f>
        <v>0.14360642676935334</v>
      </c>
      <c r="CP40" s="287">
        <f>IF(ISERROR(CP39/CP$21),"-",CP39/CP$21)</f>
        <v>0.12824682471057972</v>
      </c>
      <c r="CQ40" s="286">
        <f t="shared" si="17"/>
        <v>0.14600914545541901</v>
      </c>
      <c r="CR40" s="287">
        <f>IF(ISERROR(CR39/CR$21),"-",CR39/CR$21)</f>
        <v>0.13019782547090683</v>
      </c>
      <c r="CS40" s="287">
        <f>IF(ISERROR(CS39/CS$21),"-",CS39/CS$21)</f>
        <v>0.14202045217314407</v>
      </c>
      <c r="CT40" s="287">
        <f>IF(ISERROR(CT39/CT$21),"-",CT39/CT$21)</f>
        <v>0.14978114132695769</v>
      </c>
      <c r="CU40" s="287">
        <f>IF(ISERROR(CU39/CU$21),"-",CU39/CU$21)</f>
        <v>0.13342600832467663</v>
      </c>
      <c r="CV40" s="286">
        <f t="shared" si="17"/>
        <v>0.13856046211306394</v>
      </c>
      <c r="CW40" s="286">
        <f>IF(ISERROR(CW39/CW$21),"-",CW39/CW$21)</f>
        <v>0.14781651929063455</v>
      </c>
      <c r="CX40" s="286">
        <f>IF(ISERROR(CX39/CX$21),"-",CX39/CX$21)</f>
        <v>0.15220746709623387</v>
      </c>
      <c r="CY40" s="286">
        <f>IF(ISERROR(CY39/CY$21),"-",CY39/CY$21)</f>
        <v>0.15248083107966034</v>
      </c>
      <c r="CZ40" s="256"/>
      <c r="DG40" s="256"/>
    </row>
    <row r="41" spans="1:111" ht="12" customHeight="1">
      <c r="A41" s="268"/>
      <c r="B41" s="268"/>
      <c r="C41" s="326"/>
      <c r="D41" s="326" t="s">
        <v>282</v>
      </c>
      <c r="E41" s="268"/>
      <c r="F41" s="287" t="s">
        <v>284</v>
      </c>
      <c r="G41" s="287" t="s">
        <v>284</v>
      </c>
      <c r="H41" s="287" t="s">
        <v>284</v>
      </c>
      <c r="I41" s="287" t="s">
        <v>284</v>
      </c>
      <c r="J41" s="323" t="s">
        <v>284</v>
      </c>
      <c r="K41" s="324">
        <v>0.16491754122938529</v>
      </c>
      <c r="L41" s="324">
        <v>0.12642369020501132</v>
      </c>
      <c r="M41" s="324">
        <v>-3.2941176470588251E-2</v>
      </c>
      <c r="N41" s="324">
        <v>-1.8791946308724827E-2</v>
      </c>
      <c r="O41" s="323">
        <v>2.9617834394904508E-2</v>
      </c>
      <c r="P41" s="324">
        <v>2.5740025740025763E-2</v>
      </c>
      <c r="Q41" s="324">
        <v>4.2467138523761383E-2</v>
      </c>
      <c r="R41" s="324">
        <v>0.21897810218978098</v>
      </c>
      <c r="S41" s="324">
        <v>0.13132694938440492</v>
      </c>
      <c r="T41" s="323">
        <v>0.13114754098360648</v>
      </c>
      <c r="U41" s="324">
        <v>5.0188205771643624E-2</v>
      </c>
      <c r="V41" s="324">
        <v>1.9398642095054264E-3</v>
      </c>
      <c r="W41" s="324">
        <v>4.5908183632734634E-2</v>
      </c>
      <c r="X41" s="324">
        <v>0.12091898428053205</v>
      </c>
      <c r="Y41" s="323">
        <v>5.1408258135083429E-2</v>
      </c>
      <c r="Z41" s="324">
        <v>9.916367980884111E-2</v>
      </c>
      <c r="AA41" s="324">
        <v>0.17812197483059045</v>
      </c>
      <c r="AB41" s="324">
        <v>7.8244274809160297E-2</v>
      </c>
      <c r="AC41" s="324">
        <v>0.11542610571736778</v>
      </c>
      <c r="AD41" s="323">
        <v>0.16254876462938883</v>
      </c>
      <c r="AE41" s="324">
        <v>0.18260869565217397</v>
      </c>
      <c r="AF41" s="324">
        <v>0.22350041084634342</v>
      </c>
      <c r="AG41" s="324">
        <v>0.22477876106194694</v>
      </c>
      <c r="AH41" s="324">
        <v>0.18085106382978733</v>
      </c>
      <c r="AI41" s="323">
        <v>0.15928411633109629</v>
      </c>
      <c r="AJ41" s="324">
        <f t="shared" ref="AJ41:BO41" si="18">IF(ISERROR(AJ39/AE39-1),"-",AJ39/AE39-1)</f>
        <v>0.17830882352941169</v>
      </c>
      <c r="AK41" s="324">
        <f t="shared" si="18"/>
        <v>0.16924110141034254</v>
      </c>
      <c r="AL41" s="324">
        <f t="shared" si="18"/>
        <v>0.19002890173410414</v>
      </c>
      <c r="AM41" s="324">
        <f t="shared" si="18"/>
        <v>0.16953316953316944</v>
      </c>
      <c r="AN41" s="323">
        <f t="shared" si="18"/>
        <v>0.17676572751833275</v>
      </c>
      <c r="AO41" s="324">
        <f t="shared" si="18"/>
        <v>0.17316692667706701</v>
      </c>
      <c r="AP41" s="324">
        <f t="shared" si="18"/>
        <v>7.1223434807581754E-2</v>
      </c>
      <c r="AQ41" s="324">
        <f t="shared" si="18"/>
        <v>0.1463266545233759</v>
      </c>
      <c r="AR41" s="324">
        <f t="shared" si="18"/>
        <v>0.25560224089635852</v>
      </c>
      <c r="AS41" s="323">
        <f t="shared" si="18"/>
        <v>0.15611675959330928</v>
      </c>
      <c r="AT41" s="325">
        <f t="shared" si="18"/>
        <v>0.11303191489361697</v>
      </c>
      <c r="AU41" s="324">
        <f t="shared" si="18"/>
        <v>0.12546916890080428</v>
      </c>
      <c r="AV41" s="324">
        <f t="shared" si="18"/>
        <v>8.5275423728813582E-2</v>
      </c>
      <c r="AW41" s="324">
        <f t="shared" si="18"/>
        <v>5.5772448410484898E-3</v>
      </c>
      <c r="AX41" s="323">
        <f t="shared" si="18"/>
        <v>8.1560283687943214E-2</v>
      </c>
      <c r="AY41" s="324">
        <f t="shared" si="18"/>
        <v>-0.26553166069295098</v>
      </c>
      <c r="AZ41" s="324">
        <f t="shared" si="18"/>
        <v>-0.22987136731777036</v>
      </c>
      <c r="BA41" s="324">
        <f t="shared" si="18"/>
        <v>-0.14665690580771107</v>
      </c>
      <c r="BB41" s="324">
        <f t="shared" si="18"/>
        <v>-1.136993899057126E-2</v>
      </c>
      <c r="BC41" s="323">
        <f t="shared" si="18"/>
        <v>-0.16367213114754098</v>
      </c>
      <c r="BD41" s="324">
        <f t="shared" si="18"/>
        <v>0.23871492476616507</v>
      </c>
      <c r="BE41" s="324">
        <f t="shared" si="18"/>
        <v>0.16424373646767698</v>
      </c>
      <c r="BF41" s="324">
        <f t="shared" si="18"/>
        <v>0.10265942236202452</v>
      </c>
      <c r="BG41" s="324">
        <f t="shared" si="18"/>
        <v>3.9551192145862446E-2</v>
      </c>
      <c r="BH41" s="323">
        <f t="shared" si="18"/>
        <v>0.12686216089070101</v>
      </c>
      <c r="BI41" s="324">
        <f t="shared" si="18"/>
        <v>0.11621799080761663</v>
      </c>
      <c r="BJ41" s="324">
        <f t="shared" si="18"/>
        <v>0.14240170031880983</v>
      </c>
      <c r="BK41" s="324">
        <f t="shared" si="18"/>
        <v>0.11566390041493779</v>
      </c>
      <c r="BL41" s="324">
        <f t="shared" si="18"/>
        <v>-4.317323259579009E-3</v>
      </c>
      <c r="BM41" s="323">
        <f t="shared" si="18"/>
        <v>9.1845254661842457E-2</v>
      </c>
      <c r="BN41" s="324">
        <f t="shared" si="18"/>
        <v>7.6470588235293402E-3</v>
      </c>
      <c r="BO41" s="324">
        <f t="shared" si="18"/>
        <v>1.3488372093023226E-2</v>
      </c>
      <c r="BP41" s="324">
        <f t="shared" ref="BP41:CL41" si="19">IF(ISERROR(BP39/BK39-1),"-",BP39/BK39-1)</f>
        <v>-5.113900511390046E-2</v>
      </c>
      <c r="BQ41" s="324">
        <f t="shared" si="19"/>
        <v>-5.0948509485094884E-2</v>
      </c>
      <c r="BR41" s="323">
        <f t="shared" si="19"/>
        <v>-2.0647463675758315E-2</v>
      </c>
      <c r="BS41" s="324">
        <f t="shared" si="19"/>
        <v>0.17104495037945133</v>
      </c>
      <c r="BT41" s="324">
        <f t="shared" si="19"/>
        <v>0.15052776502983023</v>
      </c>
      <c r="BU41" s="324">
        <f t="shared" si="19"/>
        <v>0.15923566878980888</v>
      </c>
      <c r="BV41" s="324">
        <f t="shared" si="19"/>
        <v>0.33066818960593936</v>
      </c>
      <c r="BW41" s="323">
        <f t="shared" si="19"/>
        <v>0.19846434148880787</v>
      </c>
      <c r="BX41" s="324">
        <f t="shared" si="19"/>
        <v>4.5862412761714877E-2</v>
      </c>
      <c r="BY41" s="324">
        <f t="shared" si="19"/>
        <v>-6.0630235341045058E-2</v>
      </c>
      <c r="BZ41" s="324">
        <f t="shared" si="19"/>
        <v>0.16060862214708371</v>
      </c>
      <c r="CA41" s="324">
        <f t="shared" si="19"/>
        <v>0.10300429184549365</v>
      </c>
      <c r="CB41" s="323">
        <f t="shared" si="19"/>
        <v>6.0810077098490511E-2</v>
      </c>
      <c r="CC41" s="324">
        <f t="shared" si="19"/>
        <v>4.0038131553860712E-2</v>
      </c>
      <c r="CD41" s="324">
        <f t="shared" si="19"/>
        <v>2.845010615711252E-2</v>
      </c>
      <c r="CE41" s="324">
        <f t="shared" si="19"/>
        <v>-0.16168973051711577</v>
      </c>
      <c r="CF41" s="324">
        <f t="shared" si="19"/>
        <v>-0.84747081712062255</v>
      </c>
      <c r="CG41" s="323">
        <f t="shared" si="19"/>
        <v>-0.25294298290510797</v>
      </c>
      <c r="CH41" s="324">
        <f t="shared" si="19"/>
        <v>-0.10861594867094404</v>
      </c>
      <c r="CI41" s="324">
        <f t="shared" si="19"/>
        <v>-3.509496284062763E-2</v>
      </c>
      <c r="CJ41" s="324">
        <f t="shared" si="19"/>
        <v>-2.2154648132059029E-2</v>
      </c>
      <c r="CK41" s="324">
        <f t="shared" si="19"/>
        <v>3.1811224489795915</v>
      </c>
      <c r="CL41" s="323">
        <f t="shared" si="19"/>
        <v>0.1197588380378185</v>
      </c>
      <c r="CM41" s="324">
        <f t="shared" ref="CM41:CV41" si="20">IF(ISERROR(CM39/CH39-1),"-",CM39/CH39-1)</f>
        <v>0.16555269922879168</v>
      </c>
      <c r="CN41" s="324">
        <f t="shared" si="20"/>
        <v>-2.0111253744116375E-2</v>
      </c>
      <c r="CO41" s="324">
        <f t="shared" si="20"/>
        <v>-3.9093736117281175E-2</v>
      </c>
      <c r="CP41" s="324">
        <f t="shared" si="20"/>
        <v>0.20119066915361095</v>
      </c>
      <c r="CQ41" s="323">
        <f t="shared" si="20"/>
        <v>6.3234398769306033E-2</v>
      </c>
      <c r="CR41" s="324">
        <f t="shared" si="20"/>
        <v>-0.15762894001402628</v>
      </c>
      <c r="CS41" s="324">
        <f t="shared" si="20"/>
        <v>1.4529513789715898E-2</v>
      </c>
      <c r="CT41" s="324">
        <f t="shared" si="20"/>
        <v>9.4130110894517838E-2</v>
      </c>
      <c r="CU41" s="324">
        <f t="shared" si="20"/>
        <v>8.4550775845313675E-2</v>
      </c>
      <c r="CV41" s="323">
        <f t="shared" si="20"/>
        <v>5.2931283323662814E-3</v>
      </c>
      <c r="CW41" s="323">
        <f>IF(ISERROR(CW39/CV39-1),"-",CW39/CV39-1)</f>
        <v>0.11302099054877646</v>
      </c>
      <c r="CX41" s="323">
        <f>IF(ISERROR(CX39/CW39-1),"-",CX39/CW39-1)</f>
        <v>7.4517252816273416E-2</v>
      </c>
      <c r="CY41" s="323">
        <f>IF(ISERROR(CY39/CX39-1),"-",CY39/CX39-1)</f>
        <v>3.7876692548743929E-2</v>
      </c>
      <c r="CZ41" s="256"/>
      <c r="DG41" s="256"/>
    </row>
    <row r="42" spans="1:111" ht="12" customHeight="1">
      <c r="A42" s="434"/>
      <c r="B42" s="434"/>
      <c r="C42" s="433"/>
      <c r="D42" s="433"/>
      <c r="E42" s="431"/>
      <c r="F42" s="431"/>
      <c r="G42" s="431"/>
      <c r="H42" s="431"/>
      <c r="I42" s="431"/>
      <c r="J42" s="430"/>
      <c r="K42" s="431"/>
      <c r="L42" s="431"/>
      <c r="M42" s="431"/>
      <c r="N42" s="431"/>
      <c r="O42" s="430"/>
      <c r="P42" s="431"/>
      <c r="Q42" s="431"/>
      <c r="R42" s="431"/>
      <c r="S42" s="431"/>
      <c r="T42" s="430"/>
      <c r="U42" s="431"/>
      <c r="V42" s="431"/>
      <c r="W42" s="431"/>
      <c r="X42" s="431"/>
      <c r="Y42" s="430"/>
      <c r="Z42" s="431"/>
      <c r="AA42" s="431"/>
      <c r="AB42" s="431"/>
      <c r="AC42" s="431"/>
      <c r="AD42" s="430"/>
      <c r="AE42" s="431"/>
      <c r="AF42" s="431"/>
      <c r="AG42" s="431"/>
      <c r="AH42" s="431"/>
      <c r="AI42" s="430"/>
      <c r="AJ42" s="431"/>
      <c r="AK42" s="431"/>
      <c r="AL42" s="431"/>
      <c r="AM42" s="431"/>
      <c r="AN42" s="430"/>
      <c r="AO42" s="431"/>
      <c r="AP42" s="431"/>
      <c r="AQ42" s="431"/>
      <c r="AR42" s="431"/>
      <c r="AS42" s="430"/>
      <c r="AT42" s="432"/>
      <c r="AU42" s="431"/>
      <c r="AV42" s="431"/>
      <c r="AW42" s="431"/>
      <c r="AX42" s="430"/>
      <c r="AY42" s="431"/>
      <c r="AZ42" s="431"/>
      <c r="BA42" s="431"/>
      <c r="BB42" s="431"/>
      <c r="BC42" s="430"/>
      <c r="BD42" s="431"/>
      <c r="BE42" s="431"/>
      <c r="BF42" s="431"/>
      <c r="BG42" s="431"/>
      <c r="BH42" s="430"/>
      <c r="BI42" s="431"/>
      <c r="BJ42" s="431"/>
      <c r="BK42" s="431"/>
      <c r="BL42" s="431"/>
      <c r="BM42" s="430"/>
      <c r="BN42" s="431"/>
      <c r="BO42" s="431"/>
      <c r="BP42" s="431"/>
      <c r="BQ42" s="431"/>
      <c r="BR42" s="430"/>
      <c r="BS42" s="431"/>
      <c r="BT42" s="431"/>
      <c r="BU42" s="431"/>
      <c r="BV42" s="431"/>
      <c r="BW42" s="430"/>
      <c r="BX42" s="431"/>
      <c r="BY42" s="431"/>
      <c r="BZ42" s="431"/>
      <c r="CA42" s="431"/>
      <c r="CB42" s="430"/>
      <c r="CC42" s="431"/>
      <c r="CD42" s="431"/>
      <c r="CE42" s="431"/>
      <c r="CF42" s="431"/>
      <c r="CG42" s="430"/>
      <c r="CH42" s="431"/>
      <c r="CI42" s="431"/>
      <c r="CJ42" s="431"/>
      <c r="CK42" s="431"/>
      <c r="CL42" s="430"/>
      <c r="CM42" s="431"/>
      <c r="CN42" s="431"/>
      <c r="CO42" s="431"/>
      <c r="CP42" s="431"/>
      <c r="CQ42" s="430"/>
      <c r="CR42" s="431"/>
      <c r="CS42" s="431"/>
      <c r="CT42" s="431"/>
      <c r="CU42" s="431"/>
      <c r="CV42" s="430"/>
      <c r="CW42" s="430"/>
      <c r="CX42" s="430"/>
      <c r="CY42" s="430"/>
      <c r="CZ42" s="256"/>
      <c r="DG42" s="256"/>
    </row>
    <row r="43" spans="1:111">
      <c r="A43" s="429"/>
      <c r="B43" s="429"/>
      <c r="C43" s="440" t="s">
        <v>250</v>
      </c>
      <c r="D43" s="439"/>
      <c r="E43" s="438"/>
      <c r="F43" s="437">
        <v>0</v>
      </c>
      <c r="G43" s="437">
        <v>0</v>
      </c>
      <c r="H43" s="437">
        <v>0</v>
      </c>
      <c r="I43" s="437">
        <v>0</v>
      </c>
      <c r="J43" s="444">
        <v>0</v>
      </c>
      <c r="K43" s="437">
        <v>0</v>
      </c>
      <c r="L43" s="437">
        <v>0</v>
      </c>
      <c r="M43" s="437">
        <v>0</v>
      </c>
      <c r="N43" s="437">
        <v>0</v>
      </c>
      <c r="O43" s="444">
        <v>0</v>
      </c>
      <c r="P43" s="437">
        <v>0</v>
      </c>
      <c r="Q43" s="437">
        <v>0</v>
      </c>
      <c r="R43" s="437">
        <v>0</v>
      </c>
      <c r="S43" s="437">
        <v>0</v>
      </c>
      <c r="T43" s="444">
        <v>0</v>
      </c>
      <c r="U43" s="437">
        <v>0</v>
      </c>
      <c r="V43" s="437">
        <v>0</v>
      </c>
      <c r="W43" s="437">
        <v>0</v>
      </c>
      <c r="X43" s="437">
        <v>0</v>
      </c>
      <c r="Y43" s="444">
        <v>182</v>
      </c>
      <c r="Z43" s="437">
        <v>259</v>
      </c>
      <c r="AA43" s="437">
        <v>156</v>
      </c>
      <c r="AB43" s="437">
        <v>58</v>
      </c>
      <c r="AC43" s="437">
        <v>159</v>
      </c>
      <c r="AD43" s="444">
        <v>632</v>
      </c>
      <c r="AE43" s="437">
        <v>50</v>
      </c>
      <c r="AF43" s="437">
        <v>70</v>
      </c>
      <c r="AG43" s="437">
        <v>50</v>
      </c>
      <c r="AH43" s="437">
        <v>97</v>
      </c>
      <c r="AI43" s="444">
        <v>267</v>
      </c>
      <c r="AJ43" s="437">
        <f>'Divisional Summary'!AJ117</f>
        <v>31</v>
      </c>
      <c r="AK43" s="437">
        <f>'Divisional Summary'!AK117</f>
        <v>82</v>
      </c>
      <c r="AL43" s="437">
        <f>'Divisional Summary'!AL117</f>
        <v>93</v>
      </c>
      <c r="AM43" s="437">
        <f>'Divisional Summary'!AM117</f>
        <v>82</v>
      </c>
      <c r="AN43" s="444">
        <f>'Divisional Summary'!AN117</f>
        <v>288</v>
      </c>
      <c r="AO43" s="437">
        <f>'Divisional Summary'!AO117</f>
        <v>35</v>
      </c>
      <c r="AP43" s="437">
        <f>'Divisional Summary'!AP117</f>
        <v>25</v>
      </c>
      <c r="AQ43" s="437">
        <f>'Divisional Summary'!AQ117</f>
        <v>43</v>
      </c>
      <c r="AR43" s="437">
        <f>'Divisional Summary'!AR117</f>
        <v>63</v>
      </c>
      <c r="AS43" s="444">
        <f>'Divisional Summary'!AS117</f>
        <v>166</v>
      </c>
      <c r="AT43" s="445">
        <f>'Divisional Summary'!AT117</f>
        <v>34</v>
      </c>
      <c r="AU43" s="437">
        <f>'Divisional Summary'!AU117</f>
        <v>94</v>
      </c>
      <c r="AV43" s="437">
        <f>'Divisional Summary'!AV117</f>
        <v>93</v>
      </c>
      <c r="AW43" s="437">
        <f>'Divisional Summary'!AW117</f>
        <v>136</v>
      </c>
      <c r="AX43" s="444">
        <f>'Divisional Summary'!AX117</f>
        <v>357</v>
      </c>
      <c r="AY43" s="437">
        <f>'Divisional Summary'!AY117</f>
        <v>163</v>
      </c>
      <c r="AZ43" s="437">
        <f>'Divisional Summary'!AZ117</f>
        <v>301</v>
      </c>
      <c r="BA43" s="437">
        <f>'Divisional Summary'!BA117</f>
        <v>231</v>
      </c>
      <c r="BB43" s="437">
        <f>'Divisional Summary'!BB117</f>
        <v>135</v>
      </c>
      <c r="BC43" s="444">
        <f>'Divisional Summary'!BC117</f>
        <v>830</v>
      </c>
      <c r="BD43" s="437">
        <f>'Divisional Summary'!BD117</f>
        <v>67</v>
      </c>
      <c r="BE43" s="437">
        <f>'Divisional Summary'!BE117</f>
        <v>85</v>
      </c>
      <c r="BF43" s="437">
        <f>'Divisional Summary'!BF117</f>
        <v>58</v>
      </c>
      <c r="BG43" s="437">
        <f>'Divisional Summary'!BG117</f>
        <v>233</v>
      </c>
      <c r="BH43" s="444">
        <f>'Divisional Summary'!BH117</f>
        <v>443</v>
      </c>
      <c r="BI43" s="437">
        <f>'Divisional Summary'!BI117</f>
        <v>30</v>
      </c>
      <c r="BJ43" s="437">
        <f>'Divisional Summary'!BJ117</f>
        <v>57</v>
      </c>
      <c r="BK43" s="437">
        <f>'Divisional Summary'!BK117</f>
        <v>80</v>
      </c>
      <c r="BL43" s="437">
        <f>'Divisional Summary'!BL117</f>
        <v>148</v>
      </c>
      <c r="BM43" s="444">
        <f>'Divisional Summary'!BM117</f>
        <v>315</v>
      </c>
      <c r="BN43" s="437">
        <f>'Divisional Summary'!BN117</f>
        <v>111</v>
      </c>
      <c r="BO43" s="437">
        <f>'Divisional Summary'!BO117</f>
        <v>93</v>
      </c>
      <c r="BP43" s="437">
        <f>'Divisional Summary'!BP117</f>
        <v>128</v>
      </c>
      <c r="BQ43" s="437">
        <f>'Divisional Summary'!BQ117</f>
        <v>258</v>
      </c>
      <c r="BR43" s="444">
        <f>'Divisional Summary'!BR117</f>
        <v>590</v>
      </c>
      <c r="BS43" s="437">
        <f>'Divisional Summary'!BS117</f>
        <v>52</v>
      </c>
      <c r="BT43" s="437">
        <f>'Divisional Summary'!BT117</f>
        <v>190</v>
      </c>
      <c r="BU43" s="437">
        <f>'Divisional Summary'!BU117</f>
        <v>103</v>
      </c>
      <c r="BV43" s="437">
        <f>'Divisional Summary'!BV117</f>
        <v>136</v>
      </c>
      <c r="BW43" s="444">
        <f>'Divisional Summary'!BW117</f>
        <v>481</v>
      </c>
      <c r="BX43" s="437">
        <f>'Divisional Summary'!BX117</f>
        <v>125</v>
      </c>
      <c r="BY43" s="437">
        <f>'Divisional Summary'!BY117</f>
        <v>55</v>
      </c>
      <c r="BZ43" s="437">
        <f>'Divisional Summary'!BZ117</f>
        <v>63</v>
      </c>
      <c r="CA43" s="437">
        <f>'Divisional Summary'!CA117</f>
        <v>125</v>
      </c>
      <c r="CB43" s="444">
        <f>'Divisional Summary'!CB117</f>
        <v>368</v>
      </c>
      <c r="CC43" s="437">
        <f>'Divisional Summary'!CC117</f>
        <v>93</v>
      </c>
      <c r="CD43" s="437">
        <f>'Divisional Summary'!CD117</f>
        <v>39</v>
      </c>
      <c r="CE43" s="437">
        <f>'Divisional Summary'!CE117</f>
        <v>73</v>
      </c>
      <c r="CF43" s="437">
        <f>'Divisional Summary'!CF117</f>
        <v>191</v>
      </c>
      <c r="CG43" s="444">
        <f>'Divisional Summary'!CG117</f>
        <v>396</v>
      </c>
      <c r="CH43" s="437">
        <f>'Divisional Summary'!CH117</f>
        <v>62</v>
      </c>
      <c r="CI43" s="437">
        <f>'Divisional Summary'!CI117</f>
        <v>116</v>
      </c>
      <c r="CJ43" s="437">
        <f>'Divisional Summary'!CJ117</f>
        <v>23</v>
      </c>
      <c r="CK43" s="437">
        <f>'Divisional Summary'!CK117</f>
        <v>89</v>
      </c>
      <c r="CL43" s="444">
        <f>'Divisional Summary'!CL117</f>
        <v>290</v>
      </c>
      <c r="CM43" s="437">
        <f>'Divisional Summary'!CM117</f>
        <v>52</v>
      </c>
      <c r="CN43" s="437">
        <f>'Divisional Summary'!CN117</f>
        <v>60</v>
      </c>
      <c r="CO43" s="437">
        <f>'Divisional Summary'!CO117</f>
        <v>65</v>
      </c>
      <c r="CP43" s="437">
        <f>'Divisional Summary'!CP117</f>
        <v>113</v>
      </c>
      <c r="CQ43" s="444">
        <f>'Divisional Summary'!CQ117</f>
        <v>290</v>
      </c>
      <c r="CR43" s="437">
        <f>'Divisional Summary'!CR117</f>
        <v>85.5</v>
      </c>
      <c r="CS43" s="437">
        <f>'Divisional Summary'!CS117</f>
        <v>75.5</v>
      </c>
      <c r="CT43" s="437">
        <f>'Divisional Summary'!CT117</f>
        <v>70.5</v>
      </c>
      <c r="CU43" s="437">
        <f>'Divisional Summary'!CU117</f>
        <v>71.5</v>
      </c>
      <c r="CV43" s="444">
        <f>'Divisional Summary'!CV117</f>
        <v>303</v>
      </c>
      <c r="CW43" s="444">
        <f>'Divisional Summary'!CW117</f>
        <v>303</v>
      </c>
      <c r="CX43" s="444">
        <f>'Divisional Summary'!CX117</f>
        <v>303</v>
      </c>
      <c r="CY43" s="444">
        <f>'Divisional Summary'!CY117</f>
        <v>303</v>
      </c>
      <c r="CZ43" s="256"/>
      <c r="DG43" s="256"/>
    </row>
    <row r="44" spans="1:111">
      <c r="A44" s="429"/>
      <c r="B44" s="429"/>
      <c r="C44" s="440" t="s">
        <v>298</v>
      </c>
      <c r="D44" s="440"/>
      <c r="E44" s="438"/>
      <c r="F44" s="437"/>
      <c r="G44" s="437"/>
      <c r="H44" s="437"/>
      <c r="I44" s="437"/>
      <c r="J44" s="444">
        <f>'Divisional Summary'!J130</f>
        <v>0</v>
      </c>
      <c r="K44" s="437">
        <f>'Divisional Summary'!K130</f>
        <v>0</v>
      </c>
      <c r="L44" s="437">
        <f>'Divisional Summary'!L130</f>
        <v>0</v>
      </c>
      <c r="M44" s="437">
        <f>'Divisional Summary'!M130</f>
        <v>0</v>
      </c>
      <c r="N44" s="437">
        <f>'Divisional Summary'!N130</f>
        <v>0</v>
      </c>
      <c r="O44" s="444">
        <f>'Divisional Summary'!O130</f>
        <v>0</v>
      </c>
      <c r="P44" s="437">
        <f>'Divisional Summary'!P130</f>
        <v>0</v>
      </c>
      <c r="Q44" s="437">
        <f>'Divisional Summary'!Q130</f>
        <v>0</v>
      </c>
      <c r="R44" s="437">
        <f>'Divisional Summary'!R130</f>
        <v>0</v>
      </c>
      <c r="S44" s="437">
        <f>'Divisional Summary'!S130</f>
        <v>0</v>
      </c>
      <c r="T44" s="444">
        <f>'Divisional Summary'!T130</f>
        <v>0</v>
      </c>
      <c r="U44" s="437">
        <f>'Divisional Summary'!U130</f>
        <v>0</v>
      </c>
      <c r="V44" s="437">
        <f>'Divisional Summary'!V130</f>
        <v>0</v>
      </c>
      <c r="W44" s="437">
        <f>'Divisional Summary'!W130</f>
        <v>0</v>
      </c>
      <c r="X44" s="437">
        <f>'Divisional Summary'!X130</f>
        <v>50</v>
      </c>
      <c r="Y44" s="444">
        <f>'Divisional Summary'!Y130</f>
        <v>50</v>
      </c>
      <c r="Z44" s="437">
        <f>'Divisional Summary'!Z130</f>
        <v>250</v>
      </c>
      <c r="AA44" s="437">
        <f>'Divisional Summary'!AA130</f>
        <v>125</v>
      </c>
      <c r="AB44" s="437">
        <f>'Divisional Summary'!AB130</f>
        <v>0</v>
      </c>
      <c r="AC44" s="437">
        <f>'Divisional Summary'!AC130</f>
        <v>100</v>
      </c>
      <c r="AD44" s="444">
        <f>'Divisional Summary'!AD130</f>
        <v>475</v>
      </c>
      <c r="AE44" s="437">
        <f>'Divisional Summary'!AE130</f>
        <v>30</v>
      </c>
      <c r="AF44" s="437">
        <f>'Divisional Summary'!AF130</f>
        <v>120</v>
      </c>
      <c r="AG44" s="437">
        <f>'Divisional Summary'!AG130</f>
        <v>0</v>
      </c>
      <c r="AH44" s="437">
        <f>'Divisional Summary'!AH130</f>
        <v>0</v>
      </c>
      <c r="AI44" s="444">
        <f>'Divisional Summary'!AI130</f>
        <v>150</v>
      </c>
      <c r="AJ44" s="437">
        <f>'Divisional Summary'!AJ130</f>
        <v>50</v>
      </c>
      <c r="AK44" s="437">
        <f>'Divisional Summary'!AK130</f>
        <v>140</v>
      </c>
      <c r="AL44" s="437">
        <f>'Divisional Summary'!AL130</f>
        <v>60</v>
      </c>
      <c r="AM44" s="437">
        <f>'Divisional Summary'!AM130</f>
        <v>0</v>
      </c>
      <c r="AN44" s="444">
        <f>'Divisional Summary'!AN130</f>
        <v>250</v>
      </c>
      <c r="AO44" s="437">
        <f>'Divisional Summary'!AO130</f>
        <v>59</v>
      </c>
      <c r="AP44" s="437">
        <f>'Divisional Summary'!AP130</f>
        <v>0</v>
      </c>
      <c r="AQ44" s="437">
        <f>'Divisional Summary'!AQ130</f>
        <v>28</v>
      </c>
      <c r="AR44" s="437">
        <f>'Divisional Summary'!AR130</f>
        <v>47</v>
      </c>
      <c r="AS44" s="444">
        <f>'Divisional Summary'!AS130</f>
        <v>134</v>
      </c>
      <c r="AT44" s="445">
        <f>'Divisional Summary'!AT130</f>
        <v>0</v>
      </c>
      <c r="AU44" s="437">
        <f>'Divisional Summary'!AU130</f>
        <v>0</v>
      </c>
      <c r="AV44" s="437">
        <f>'Divisional Summary'!AV130</f>
        <v>37</v>
      </c>
      <c r="AW44" s="437">
        <f>'Divisional Summary'!AW130</f>
        <v>142</v>
      </c>
      <c r="AX44" s="444">
        <f>'Divisional Summary'!AX130</f>
        <v>179</v>
      </c>
      <c r="AY44" s="437">
        <f>'Divisional Summary'!AY130</f>
        <v>0</v>
      </c>
      <c r="AZ44" s="437">
        <f>'Divisional Summary'!AZ130</f>
        <v>52</v>
      </c>
      <c r="BA44" s="437">
        <f>'Divisional Summary'!BA130</f>
        <v>74</v>
      </c>
      <c r="BB44" s="437">
        <f>'Divisional Summary'!BB130</f>
        <v>10</v>
      </c>
      <c r="BC44" s="444">
        <f>'Divisional Summary'!BC130</f>
        <v>136</v>
      </c>
      <c r="BD44" s="437">
        <f>'Divisional Summary'!BD130</f>
        <v>0</v>
      </c>
      <c r="BE44" s="437">
        <f>'Divisional Summary'!BE130</f>
        <v>-75</v>
      </c>
      <c r="BF44" s="437">
        <f>'Divisional Summary'!BF130</f>
        <v>-135</v>
      </c>
      <c r="BG44" s="437">
        <f>'Divisional Summary'!BG130</f>
        <v>39</v>
      </c>
      <c r="BH44" s="444">
        <f>'Divisional Summary'!BH130</f>
        <v>-171</v>
      </c>
      <c r="BI44" s="437">
        <f>'Divisional Summary'!BI130</f>
        <v>0</v>
      </c>
      <c r="BJ44" s="437">
        <f>'Divisional Summary'!BJ130</f>
        <v>73</v>
      </c>
      <c r="BK44" s="437">
        <f>'Divisional Summary'!BK130</f>
        <v>49</v>
      </c>
      <c r="BL44" s="437">
        <f>'Divisional Summary'!BL130</f>
        <v>-10</v>
      </c>
      <c r="BM44" s="444">
        <f>'Divisional Summary'!BM130</f>
        <v>112</v>
      </c>
      <c r="BN44" s="437">
        <f>'Divisional Summary'!BN130</f>
        <v>102</v>
      </c>
      <c r="BO44" s="437">
        <f>'Divisional Summary'!BO130</f>
        <v>110</v>
      </c>
      <c r="BP44" s="437">
        <f>'Divisional Summary'!BP130</f>
        <v>34</v>
      </c>
      <c r="BQ44" s="373">
        <f>'Divisional Summary'!BQ130</f>
        <v>-65</v>
      </c>
      <c r="BR44" s="444">
        <f>'Divisional Summary'!BR130</f>
        <v>181</v>
      </c>
      <c r="BS44" s="443">
        <f>'Divisional Summary'!BS130</f>
        <v>38</v>
      </c>
      <c r="BT44" s="443">
        <f>'Divisional Summary'!BT130</f>
        <v>193</v>
      </c>
      <c r="BU44" s="443">
        <f>'Divisional Summary'!BU130</f>
        <v>-25</v>
      </c>
      <c r="BV44" s="443">
        <f>'Divisional Summary'!BV130</f>
        <v>17</v>
      </c>
      <c r="BW44" s="444">
        <f>'Divisional Summary'!BW130</f>
        <v>223</v>
      </c>
      <c r="BX44" s="443">
        <f>'Divisional Summary'!BX130</f>
        <v>0</v>
      </c>
      <c r="BY44" s="443">
        <f>'Divisional Summary'!BY130</f>
        <v>-328</v>
      </c>
      <c r="BZ44" s="443">
        <f>'Divisional Summary'!BZ130</f>
        <v>113</v>
      </c>
      <c r="CA44" s="443">
        <f>'Divisional Summary'!CA130</f>
        <v>0</v>
      </c>
      <c r="CB44" s="442">
        <f>'Divisional Summary'!CB130</f>
        <v>-215</v>
      </c>
      <c r="CC44" s="443">
        <f>'Divisional Summary'!CC130</f>
        <v>126</v>
      </c>
      <c r="CD44" s="443">
        <f>'Divisional Summary'!CD130</f>
        <v>-28</v>
      </c>
      <c r="CE44" s="443">
        <f>'Divisional Summary'!CE130</f>
        <v>0</v>
      </c>
      <c r="CF44" s="443">
        <f>'Divisional Summary'!CF130</f>
        <v>-1572</v>
      </c>
      <c r="CG44" s="442">
        <f>'Divisional Summary'!CG130</f>
        <v>-1474</v>
      </c>
      <c r="CH44" s="443">
        <f>'Divisional Summary'!CH130</f>
        <v>0</v>
      </c>
      <c r="CI44" s="443">
        <f>'Divisional Summary'!CI130</f>
        <v>-12</v>
      </c>
      <c r="CJ44" s="443">
        <f>'Divisional Summary'!CJ130</f>
        <v>-106</v>
      </c>
      <c r="CK44" s="443">
        <f>'Divisional Summary'!CK130</f>
        <v>-432</v>
      </c>
      <c r="CL44" s="442">
        <f>'Divisional Summary'!CL130</f>
        <v>-550</v>
      </c>
      <c r="CM44" s="443">
        <f>'Divisional Summary'!CM130</f>
        <v>380</v>
      </c>
      <c r="CN44" s="443">
        <f>'Divisional Summary'!CN130</f>
        <v>0</v>
      </c>
      <c r="CO44" s="443">
        <f>'Divisional Summary'!CO130</f>
        <v>-103</v>
      </c>
      <c r="CP44" s="443">
        <f>'Divisional Summary'!CP130</f>
        <v>0</v>
      </c>
      <c r="CQ44" s="442">
        <f>'Divisional Summary'!CQ130</f>
        <v>277</v>
      </c>
      <c r="CR44" s="443">
        <f>'Divisional Summary'!CR130</f>
        <v>0</v>
      </c>
      <c r="CS44" s="443">
        <f>'Divisional Summary'!CS130</f>
        <v>0</v>
      </c>
      <c r="CT44" s="443">
        <f>'Divisional Summary'!CT130</f>
        <v>0</v>
      </c>
      <c r="CU44" s="443">
        <f>'Divisional Summary'!CU130</f>
        <v>0</v>
      </c>
      <c r="CV44" s="442">
        <f>'Divisional Summary'!CV130</f>
        <v>0</v>
      </c>
      <c r="CW44" s="442">
        <f>'Divisional Summary'!CW130</f>
        <v>0</v>
      </c>
      <c r="CX44" s="442">
        <f>'Divisional Summary'!CX130</f>
        <v>0</v>
      </c>
      <c r="CY44" s="442">
        <f>'Divisional Summary'!CY130</f>
        <v>0</v>
      </c>
      <c r="CZ44" s="256"/>
      <c r="DG44" s="256"/>
    </row>
    <row r="45" spans="1:111" ht="12" customHeight="1">
      <c r="A45" s="434"/>
      <c r="B45" s="434"/>
      <c r="C45" s="433"/>
      <c r="D45" s="433"/>
      <c r="E45" s="431"/>
      <c r="F45" s="431"/>
      <c r="G45" s="431"/>
      <c r="H45" s="431"/>
      <c r="I45" s="431"/>
      <c r="J45" s="430"/>
      <c r="K45" s="431"/>
      <c r="L45" s="431"/>
      <c r="M45" s="431"/>
      <c r="N45" s="431"/>
      <c r="O45" s="430"/>
      <c r="P45" s="431"/>
      <c r="Q45" s="431"/>
      <c r="R45" s="431"/>
      <c r="S45" s="431"/>
      <c r="T45" s="430"/>
      <c r="U45" s="431"/>
      <c r="V45" s="431"/>
      <c r="W45" s="431"/>
      <c r="X45" s="431"/>
      <c r="Y45" s="430"/>
      <c r="Z45" s="431"/>
      <c r="AA45" s="431"/>
      <c r="AB45" s="431"/>
      <c r="AC45" s="431"/>
      <c r="AD45" s="430"/>
      <c r="AE45" s="431"/>
      <c r="AF45" s="431"/>
      <c r="AG45" s="431"/>
      <c r="AH45" s="431"/>
      <c r="AI45" s="430"/>
      <c r="AJ45" s="431"/>
      <c r="AK45" s="431"/>
      <c r="AL45" s="431"/>
      <c r="AM45" s="431"/>
      <c r="AN45" s="430"/>
      <c r="AO45" s="431"/>
      <c r="AP45" s="431"/>
      <c r="AQ45" s="431"/>
      <c r="AR45" s="431"/>
      <c r="AS45" s="430"/>
      <c r="AT45" s="432"/>
      <c r="AU45" s="431"/>
      <c r="AV45" s="431"/>
      <c r="AW45" s="431"/>
      <c r="AX45" s="430"/>
      <c r="AY45" s="431"/>
      <c r="AZ45" s="431"/>
      <c r="BA45" s="431"/>
      <c r="BB45" s="431"/>
      <c r="BC45" s="430"/>
      <c r="BD45" s="431"/>
      <c r="BE45" s="431"/>
      <c r="BF45" s="431"/>
      <c r="BG45" s="431"/>
      <c r="BH45" s="430"/>
      <c r="BI45" s="431"/>
      <c r="BJ45" s="431"/>
      <c r="BK45" s="431"/>
      <c r="BL45" s="431"/>
      <c r="BM45" s="430"/>
      <c r="BN45" s="431"/>
      <c r="BO45" s="431"/>
      <c r="BP45" s="431"/>
      <c r="BQ45" s="431"/>
      <c r="BR45" s="430"/>
      <c r="BS45" s="431"/>
      <c r="BT45" s="431"/>
      <c r="BU45" s="431"/>
      <c r="BV45" s="431"/>
      <c r="BW45" s="430"/>
      <c r="BX45" s="431"/>
      <c r="BY45" s="431"/>
      <c r="BZ45" s="431"/>
      <c r="CA45" s="431"/>
      <c r="CB45" s="430"/>
      <c r="CC45" s="431"/>
      <c r="CD45" s="431"/>
      <c r="CE45" s="431"/>
      <c r="CF45" s="431"/>
      <c r="CG45" s="430"/>
      <c r="CH45" s="431"/>
      <c r="CI45" s="431"/>
      <c r="CJ45" s="431"/>
      <c r="CK45" s="431"/>
      <c r="CL45" s="430"/>
      <c r="CM45" s="431"/>
      <c r="CN45" s="431"/>
      <c r="CO45" s="431"/>
      <c r="CP45" s="431"/>
      <c r="CQ45" s="2238"/>
      <c r="CR45" s="431"/>
      <c r="CS45" s="431"/>
      <c r="CT45" s="431"/>
      <c r="CU45" s="431"/>
      <c r="CV45" s="430"/>
      <c r="CW45" s="430"/>
      <c r="CX45" s="430"/>
      <c r="CY45" s="430"/>
      <c r="CZ45" s="256"/>
      <c r="DG45" s="256"/>
    </row>
    <row r="46" spans="1:111" ht="13.5" customHeight="1" thickBot="1">
      <c r="A46" s="441"/>
      <c r="B46" s="441"/>
      <c r="C46" s="427" t="s">
        <v>297</v>
      </c>
      <c r="D46" s="427"/>
      <c r="E46" s="426"/>
      <c r="F46" s="426"/>
      <c r="G46" s="426"/>
      <c r="H46" s="426"/>
      <c r="I46" s="426"/>
      <c r="J46" s="425">
        <f t="shared" ref="J46:AO46" si="21">J39+J43-J44</f>
        <v>3140</v>
      </c>
      <c r="K46" s="426">
        <f t="shared" si="21"/>
        <v>777</v>
      </c>
      <c r="L46" s="426">
        <f t="shared" si="21"/>
        <v>989</v>
      </c>
      <c r="M46" s="426">
        <f t="shared" si="21"/>
        <v>822</v>
      </c>
      <c r="N46" s="426">
        <f t="shared" si="21"/>
        <v>731</v>
      </c>
      <c r="O46" s="425">
        <f t="shared" si="21"/>
        <v>3233</v>
      </c>
      <c r="P46" s="426">
        <f t="shared" si="21"/>
        <v>797</v>
      </c>
      <c r="Q46" s="426">
        <f t="shared" si="21"/>
        <v>1031</v>
      </c>
      <c r="R46" s="426">
        <f t="shared" si="21"/>
        <v>1002</v>
      </c>
      <c r="S46" s="426">
        <f t="shared" si="21"/>
        <v>827</v>
      </c>
      <c r="T46" s="425">
        <f t="shared" si="21"/>
        <v>3657</v>
      </c>
      <c r="U46" s="426">
        <f t="shared" si="21"/>
        <v>837</v>
      </c>
      <c r="V46" s="426">
        <f t="shared" si="21"/>
        <v>1033</v>
      </c>
      <c r="W46" s="426">
        <f t="shared" si="21"/>
        <v>1048</v>
      </c>
      <c r="X46" s="426">
        <f t="shared" si="21"/>
        <v>877</v>
      </c>
      <c r="Y46" s="425">
        <f t="shared" si="21"/>
        <v>3977</v>
      </c>
      <c r="Z46" s="426">
        <f t="shared" si="21"/>
        <v>929</v>
      </c>
      <c r="AA46" s="426">
        <f t="shared" si="21"/>
        <v>1248</v>
      </c>
      <c r="AB46" s="426">
        <f t="shared" si="21"/>
        <v>1188</v>
      </c>
      <c r="AC46" s="426">
        <f t="shared" si="21"/>
        <v>1093</v>
      </c>
      <c r="AD46" s="425">
        <f t="shared" si="21"/>
        <v>4627</v>
      </c>
      <c r="AE46" s="426">
        <f t="shared" si="21"/>
        <v>1108</v>
      </c>
      <c r="AF46" s="426">
        <f t="shared" si="21"/>
        <v>1439</v>
      </c>
      <c r="AG46" s="426">
        <f t="shared" si="21"/>
        <v>1434</v>
      </c>
      <c r="AH46" s="426">
        <f t="shared" si="21"/>
        <v>1318</v>
      </c>
      <c r="AI46" s="425">
        <f t="shared" si="21"/>
        <v>5299</v>
      </c>
      <c r="AJ46" s="426">
        <f t="shared" si="21"/>
        <v>1263</v>
      </c>
      <c r="AK46" s="426">
        <f t="shared" si="21"/>
        <v>1683</v>
      </c>
      <c r="AL46" s="426">
        <f t="shared" si="21"/>
        <v>1680</v>
      </c>
      <c r="AM46" s="426">
        <f t="shared" si="21"/>
        <v>1510</v>
      </c>
      <c r="AN46" s="425">
        <f t="shared" si="21"/>
        <v>6136</v>
      </c>
      <c r="AO46" s="426">
        <f t="shared" si="21"/>
        <v>1480</v>
      </c>
      <c r="AP46" s="426">
        <f t="shared" ref="AP46:BU46" si="22">AP39+AP43-AP44</f>
        <v>1890</v>
      </c>
      <c r="AQ46" s="426">
        <f t="shared" si="22"/>
        <v>1903</v>
      </c>
      <c r="AR46" s="426">
        <f t="shared" si="22"/>
        <v>1809</v>
      </c>
      <c r="AS46" s="425">
        <f t="shared" si="22"/>
        <v>7082</v>
      </c>
      <c r="AT46" s="427">
        <f t="shared" si="22"/>
        <v>1708</v>
      </c>
      <c r="AU46" s="426">
        <f t="shared" si="22"/>
        <v>2193</v>
      </c>
      <c r="AV46" s="426">
        <f t="shared" si="22"/>
        <v>2105</v>
      </c>
      <c r="AW46" s="426">
        <f t="shared" si="22"/>
        <v>1797</v>
      </c>
      <c r="AX46" s="425">
        <f t="shared" si="22"/>
        <v>7803</v>
      </c>
      <c r="AY46" s="426">
        <f t="shared" si="22"/>
        <v>1392.5</v>
      </c>
      <c r="AZ46" s="426">
        <f t="shared" si="22"/>
        <v>1865.5</v>
      </c>
      <c r="BA46" s="426">
        <f t="shared" si="22"/>
        <v>1905.5</v>
      </c>
      <c r="BB46" s="426">
        <f t="shared" si="22"/>
        <v>1907.5</v>
      </c>
      <c r="BC46" s="425">
        <f t="shared" si="22"/>
        <v>7071</v>
      </c>
      <c r="BD46" s="426">
        <f t="shared" si="22"/>
        <v>1590</v>
      </c>
      <c r="BE46" s="426">
        <f t="shared" si="22"/>
        <v>2042</v>
      </c>
      <c r="BF46" s="426">
        <f t="shared" si="22"/>
        <v>2121</v>
      </c>
      <c r="BG46" s="426">
        <f t="shared" si="22"/>
        <v>2047</v>
      </c>
      <c r="BH46" s="425">
        <f t="shared" si="22"/>
        <v>7800</v>
      </c>
      <c r="BI46" s="426">
        <f t="shared" si="22"/>
        <v>1730</v>
      </c>
      <c r="BJ46" s="426">
        <f t="shared" si="22"/>
        <v>2134</v>
      </c>
      <c r="BK46" s="426">
        <f t="shared" si="22"/>
        <v>2182</v>
      </c>
      <c r="BL46" s="426">
        <f t="shared" si="22"/>
        <v>2003</v>
      </c>
      <c r="BM46" s="425">
        <f t="shared" si="22"/>
        <v>8049</v>
      </c>
      <c r="BN46" s="426">
        <f t="shared" si="22"/>
        <v>1722</v>
      </c>
      <c r="BO46" s="426">
        <f t="shared" si="22"/>
        <v>2162</v>
      </c>
      <c r="BP46" s="426">
        <f t="shared" si="22"/>
        <v>2135</v>
      </c>
      <c r="BQ46" s="426">
        <f t="shared" si="22"/>
        <v>2074</v>
      </c>
      <c r="BR46" s="425">
        <f t="shared" si="22"/>
        <v>8093</v>
      </c>
      <c r="BS46" s="426">
        <f t="shared" si="22"/>
        <v>2020</v>
      </c>
      <c r="BT46" s="426">
        <f t="shared" si="22"/>
        <v>2504</v>
      </c>
      <c r="BU46" s="426">
        <f t="shared" si="22"/>
        <v>2494</v>
      </c>
      <c r="BV46" s="426">
        <f t="shared" ref="BV46:CV46" si="23">BV39+BV43-BV44</f>
        <v>2449</v>
      </c>
      <c r="BW46" s="425">
        <f t="shared" si="23"/>
        <v>9467</v>
      </c>
      <c r="BX46" s="426">
        <f t="shared" si="23"/>
        <v>2223</v>
      </c>
      <c r="BY46" s="426">
        <f t="shared" si="23"/>
        <v>2738</v>
      </c>
      <c r="BZ46" s="426">
        <f t="shared" si="23"/>
        <v>2696</v>
      </c>
      <c r="CA46" s="426">
        <f t="shared" si="23"/>
        <v>2695</v>
      </c>
      <c r="CB46" s="425">
        <f t="shared" si="23"/>
        <v>10352</v>
      </c>
      <c r="CC46" s="426">
        <f t="shared" si="23"/>
        <v>2149</v>
      </c>
      <c r="CD46" s="426">
        <f t="shared" si="23"/>
        <v>2489</v>
      </c>
      <c r="CE46" s="426">
        <f t="shared" si="23"/>
        <v>2375</v>
      </c>
      <c r="CF46" s="426">
        <f t="shared" si="23"/>
        <v>2155</v>
      </c>
      <c r="CG46" s="425">
        <f t="shared" si="23"/>
        <v>9168</v>
      </c>
      <c r="CH46" s="426">
        <f t="shared" si="23"/>
        <v>2007</v>
      </c>
      <c r="CI46" s="426">
        <f t="shared" si="23"/>
        <v>2465</v>
      </c>
      <c r="CJ46" s="426">
        <f t="shared" si="23"/>
        <v>2380</v>
      </c>
      <c r="CK46" s="426">
        <f t="shared" si="23"/>
        <v>2160</v>
      </c>
      <c r="CL46" s="425">
        <f t="shared" si="23"/>
        <v>9012</v>
      </c>
      <c r="CM46" s="426">
        <f>CM39+CM43-CM44</f>
        <v>1939</v>
      </c>
      <c r="CN46" s="426">
        <f>CN39+CN43-CN44</f>
        <v>2350</v>
      </c>
      <c r="CO46" s="426">
        <f>CO39+CO43-CO44</f>
        <v>2331</v>
      </c>
      <c r="CP46" s="426">
        <f>CP39+CP43-CP44</f>
        <v>2081.7515067427685</v>
      </c>
      <c r="CQ46" s="425">
        <f t="shared" si="23"/>
        <v>8701.7515067427685</v>
      </c>
      <c r="CR46" s="426">
        <f>CR39+CR43-CR44</f>
        <v>1995.1551929882025</v>
      </c>
      <c r="CS46" s="426">
        <f>CS39+CS43-CS44</f>
        <v>2398.7725865784496</v>
      </c>
      <c r="CT46" s="426">
        <f>CT39+CT43-CT44</f>
        <v>2437.1034298648419</v>
      </c>
      <c r="CU46" s="426">
        <f>CU39+CU43-CU44</f>
        <v>2206.7109740844999</v>
      </c>
      <c r="CV46" s="425">
        <f t="shared" si="23"/>
        <v>9037.7421835159985</v>
      </c>
      <c r="CW46" s="425">
        <f>CW39+CW43-CW44</f>
        <v>10024.95139728516</v>
      </c>
      <c r="CX46" s="425">
        <f>CX39+CX43-CX44</f>
        <v>10749.40450742418</v>
      </c>
      <c r="CY46" s="425">
        <f>CY39+CY43-CY44</f>
        <v>11145.0797591917</v>
      </c>
      <c r="CZ46" s="256"/>
      <c r="DG46" s="256"/>
    </row>
    <row r="47" spans="1:111" ht="12" customHeight="1" thickTop="1">
      <c r="A47" s="268"/>
      <c r="B47" s="268"/>
      <c r="C47" s="424"/>
      <c r="D47" s="326" t="s">
        <v>293</v>
      </c>
      <c r="E47" s="268"/>
      <c r="F47" s="287"/>
      <c r="G47" s="287"/>
      <c r="H47" s="287"/>
      <c r="I47" s="287"/>
      <c r="J47" s="286">
        <f t="shared" ref="J47:AO47" si="24">J46/J21</f>
        <v>0.11812060339314599</v>
      </c>
      <c r="K47" s="287">
        <f t="shared" si="24"/>
        <v>0.11647429171038824</v>
      </c>
      <c r="L47" s="287">
        <f t="shared" si="24"/>
        <v>0.13488816148390617</v>
      </c>
      <c r="M47" s="287">
        <f t="shared" si="24"/>
        <v>0.11878612716763005</v>
      </c>
      <c r="N47" s="287">
        <f t="shared" si="24"/>
        <v>0.10354107648725212</v>
      </c>
      <c r="O47" s="286">
        <f t="shared" si="24"/>
        <v>0.11589059755529268</v>
      </c>
      <c r="P47" s="287">
        <f t="shared" si="24"/>
        <v>0.12503922183871979</v>
      </c>
      <c r="Q47" s="287">
        <f t="shared" si="24"/>
        <v>0.14077007099945385</v>
      </c>
      <c r="R47" s="287">
        <f t="shared" si="24"/>
        <v>0.13727907932593506</v>
      </c>
      <c r="S47" s="287">
        <f t="shared" si="24"/>
        <v>0.11462231462231462</v>
      </c>
      <c r="T47" s="286">
        <f t="shared" si="24"/>
        <v>0.12962569119523606</v>
      </c>
      <c r="U47" s="287">
        <f t="shared" si="24"/>
        <v>0.12488809310653537</v>
      </c>
      <c r="V47" s="287">
        <f t="shared" si="24"/>
        <v>0.13260590500641847</v>
      </c>
      <c r="W47" s="287">
        <f t="shared" si="24"/>
        <v>0.13175760623585617</v>
      </c>
      <c r="X47" s="287">
        <f t="shared" si="24"/>
        <v>0.10211923614345599</v>
      </c>
      <c r="Y47" s="286">
        <f t="shared" si="24"/>
        <v>0.12814977121866339</v>
      </c>
      <c r="Z47" s="287">
        <f t="shared" si="24"/>
        <v>0.10744853111265325</v>
      </c>
      <c r="AA47" s="287">
        <f t="shared" si="24"/>
        <v>0.12970276449802537</v>
      </c>
      <c r="AB47" s="287">
        <f t="shared" si="24"/>
        <v>0.12720848056537101</v>
      </c>
      <c r="AC47" s="287">
        <f t="shared" si="24"/>
        <v>0.11109981703598293</v>
      </c>
      <c r="AD47" s="286">
        <f t="shared" si="24"/>
        <v>0.12356789958605956</v>
      </c>
      <c r="AE47" s="287">
        <f t="shared" si="24"/>
        <v>0.11778462846816201</v>
      </c>
      <c r="AF47" s="287">
        <f t="shared" si="24"/>
        <v>0.1290351506456241</v>
      </c>
      <c r="AG47" s="287">
        <f t="shared" si="24"/>
        <v>0.13149931224209077</v>
      </c>
      <c r="AH47" s="287">
        <f t="shared" si="24"/>
        <v>0.11704111535387621</v>
      </c>
      <c r="AI47" s="286">
        <f t="shared" si="24"/>
        <v>0.12402574605032182</v>
      </c>
      <c r="AJ47" s="287">
        <f t="shared" si="24"/>
        <v>0.11898257183231277</v>
      </c>
      <c r="AK47" s="287">
        <f t="shared" si="24"/>
        <v>0.13723091976516635</v>
      </c>
      <c r="AL47" s="287">
        <f t="shared" si="24"/>
        <v>0.13812381813697278</v>
      </c>
      <c r="AM47" s="287">
        <f t="shared" si="24"/>
        <v>0.11808868381950419</v>
      </c>
      <c r="AN47" s="286">
        <f t="shared" si="24"/>
        <v>0.12829036776850863</v>
      </c>
      <c r="AO47" s="287">
        <f t="shared" si="24"/>
        <v>0.12054080469131781</v>
      </c>
      <c r="AP47" s="287">
        <f t="shared" ref="AP47:BU47" si="25">AP46/AP21</f>
        <v>0.13593210586881474</v>
      </c>
      <c r="AQ47" s="287">
        <f t="shared" si="25"/>
        <v>0.13727187477457981</v>
      </c>
      <c r="AR47" s="287">
        <f t="shared" si="25"/>
        <v>0.12294413483756966</v>
      </c>
      <c r="AS47" s="286">
        <f t="shared" si="25"/>
        <v>0.12933033839186253</v>
      </c>
      <c r="AT47" s="337">
        <f t="shared" si="25"/>
        <v>0.12236710130391174</v>
      </c>
      <c r="AU47" s="287">
        <f t="shared" si="25"/>
        <v>0.13754390366281988</v>
      </c>
      <c r="AV47" s="287">
        <f t="shared" si="25"/>
        <v>0.13954259197878688</v>
      </c>
      <c r="AW47" s="287">
        <f t="shared" si="25"/>
        <v>0.12166553825321598</v>
      </c>
      <c r="AX47" s="286">
        <f t="shared" si="25"/>
        <v>0.13057884431949396</v>
      </c>
      <c r="AY47" s="287">
        <f t="shared" si="25"/>
        <v>0.11414870071317321</v>
      </c>
      <c r="AZ47" s="287">
        <f t="shared" si="25"/>
        <v>0.14284073506891271</v>
      </c>
      <c r="BA47" s="287">
        <f t="shared" si="25"/>
        <v>0.14449836960643059</v>
      </c>
      <c r="BB47" s="287">
        <f t="shared" si="25"/>
        <v>0.13645468202303454</v>
      </c>
      <c r="BC47" s="286">
        <f t="shared" si="25"/>
        <v>0.13487839771101573</v>
      </c>
      <c r="BD47" s="287">
        <f t="shared" si="25"/>
        <v>0.13205980066445183</v>
      </c>
      <c r="BE47" s="287">
        <f t="shared" si="25"/>
        <v>0.14794957252572091</v>
      </c>
      <c r="BF47" s="287">
        <f t="shared" si="25"/>
        <v>0.15572687224669604</v>
      </c>
      <c r="BG47" s="287">
        <f t="shared" si="25"/>
        <v>0.13771528525296017</v>
      </c>
      <c r="BH47" s="286">
        <f t="shared" si="25"/>
        <v>0.1435776607885727</v>
      </c>
      <c r="BI47" s="287">
        <f t="shared" si="25"/>
        <v>0.13651069202240984</v>
      </c>
      <c r="BJ47" s="287">
        <f t="shared" si="25"/>
        <v>0.14748773239339277</v>
      </c>
      <c r="BK47" s="287">
        <f t="shared" si="25"/>
        <v>0.15328415876361082</v>
      </c>
      <c r="BL47" s="287">
        <f t="shared" si="25"/>
        <v>0.13931974681783404</v>
      </c>
      <c r="BM47" s="286">
        <f t="shared" si="25"/>
        <v>0.14436632349248485</v>
      </c>
      <c r="BN47" s="287">
        <f t="shared" si="25"/>
        <v>0.13869201030927836</v>
      </c>
      <c r="BO47" s="287">
        <f t="shared" si="25"/>
        <v>0.15658723835735497</v>
      </c>
      <c r="BP47" s="287">
        <f t="shared" si="25"/>
        <v>0.14193591277755618</v>
      </c>
      <c r="BQ47" s="287">
        <f t="shared" si="25"/>
        <v>0.12613270084534453</v>
      </c>
      <c r="BR47" s="286">
        <f t="shared" si="25"/>
        <v>0.14024052124488806</v>
      </c>
      <c r="BS47" s="287">
        <f t="shared" si="25"/>
        <v>0.14028751996666436</v>
      </c>
      <c r="BT47" s="287">
        <f t="shared" si="25"/>
        <v>0.15644133449956266</v>
      </c>
      <c r="BU47" s="287">
        <f t="shared" si="25"/>
        <v>0.16129866770146165</v>
      </c>
      <c r="BV47" s="287">
        <f t="shared" ref="BV47:CV47" si="26">BV46/BV21</f>
        <v>0.14613043737693179</v>
      </c>
      <c r="BW47" s="286">
        <f t="shared" si="26"/>
        <v>0.15116724683038993</v>
      </c>
      <c r="BX47" s="287">
        <f t="shared" si="26"/>
        <v>0.15076297049847406</v>
      </c>
      <c r="BY47" s="287">
        <f t="shared" si="26"/>
        <v>0.15926938514338898</v>
      </c>
      <c r="BZ47" s="287">
        <f t="shared" si="26"/>
        <v>0.16674913409203365</v>
      </c>
      <c r="CA47" s="287">
        <f t="shared" si="26"/>
        <v>0.15856672158154861</v>
      </c>
      <c r="CB47" s="286">
        <f t="shared" si="26"/>
        <v>0.1590168970814132</v>
      </c>
      <c r="CC47" s="287">
        <f t="shared" si="26"/>
        <v>0.16133633633633634</v>
      </c>
      <c r="CD47" s="287">
        <f t="shared" si="26"/>
        <v>0.16935428999115465</v>
      </c>
      <c r="CE47" s="287">
        <f t="shared" si="26"/>
        <v>0.17225123295619379</v>
      </c>
      <c r="CF47" s="287">
        <f t="shared" si="26"/>
        <v>0.15069930069930071</v>
      </c>
      <c r="CG47" s="286">
        <f t="shared" si="26"/>
        <v>0.16359856546158441</v>
      </c>
      <c r="CH47" s="287">
        <f t="shared" si="26"/>
        <v>0.15025829153252976</v>
      </c>
      <c r="CI47" s="287">
        <f t="shared" si="26"/>
        <v>0.16572542691945677</v>
      </c>
      <c r="CJ47" s="287">
        <f t="shared" si="26"/>
        <v>0.16580744043472204</v>
      </c>
      <c r="CK47" s="287">
        <f t="shared" si="26"/>
        <v>0.14734975100620779</v>
      </c>
      <c r="CL47" s="286">
        <f t="shared" si="26"/>
        <v>0.15743134651666552</v>
      </c>
      <c r="CM47" s="287">
        <f>CM46/CM21</f>
        <v>0.14035468693449149</v>
      </c>
      <c r="CN47" s="287">
        <f>CN46/CN21</f>
        <v>0.15379581151832461</v>
      </c>
      <c r="CO47" s="287">
        <f>CO46/CO21</f>
        <v>0.15476032399415748</v>
      </c>
      <c r="CP47" s="287">
        <f>CP46/CP21</f>
        <v>0.13560777968263296</v>
      </c>
      <c r="CQ47" s="286">
        <f t="shared" si="26"/>
        <v>0.14622760249029307</v>
      </c>
      <c r="CR47" s="287">
        <f>CR46/CR21</f>
        <v>0.13602710508045951</v>
      </c>
      <c r="CS47" s="287">
        <f>CS46/CS21</f>
        <v>0.14663572814248857</v>
      </c>
      <c r="CT47" s="287">
        <f>CT46/CT21</f>
        <v>0.15424305088489051</v>
      </c>
      <c r="CU47" s="287">
        <f>CU46/CU21</f>
        <v>0.13789393196828978</v>
      </c>
      <c r="CV47" s="286">
        <f t="shared" si="26"/>
        <v>0.14336699436532541</v>
      </c>
      <c r="CW47" s="286">
        <f>CW46/CW21</f>
        <v>0.15242345502964363</v>
      </c>
      <c r="CX47" s="286">
        <f>CX46/CX21</f>
        <v>0.15662227436292381</v>
      </c>
      <c r="CY47" s="286">
        <f>CY46/CY21</f>
        <v>0.15674216219355186</v>
      </c>
      <c r="CZ47" s="256"/>
      <c r="DG47" s="256"/>
    </row>
    <row r="48" spans="1:111" ht="12" customHeight="1">
      <c r="A48" s="268"/>
      <c r="B48" s="268"/>
      <c r="C48" s="424"/>
      <c r="D48" s="326"/>
      <c r="E48" s="268"/>
      <c r="F48" s="287"/>
      <c r="G48" s="287"/>
      <c r="H48" s="287"/>
      <c r="I48" s="287"/>
      <c r="J48" s="286"/>
      <c r="K48" s="287"/>
      <c r="L48" s="287"/>
      <c r="M48" s="287"/>
      <c r="N48" s="287"/>
      <c r="O48" s="286"/>
      <c r="P48" s="287"/>
      <c r="Q48" s="287"/>
      <c r="R48" s="287"/>
      <c r="S48" s="287"/>
      <c r="T48" s="286"/>
      <c r="U48" s="287"/>
      <c r="V48" s="287"/>
      <c r="W48" s="287"/>
      <c r="X48" s="287"/>
      <c r="Y48" s="286"/>
      <c r="Z48" s="287"/>
      <c r="AA48" s="287"/>
      <c r="AB48" s="287"/>
      <c r="AC48" s="287"/>
      <c r="AD48" s="286"/>
      <c r="AE48" s="287"/>
      <c r="AF48" s="287"/>
      <c r="AG48" s="287"/>
      <c r="AH48" s="287"/>
      <c r="AI48" s="286"/>
      <c r="AJ48" s="287"/>
      <c r="AK48" s="287"/>
      <c r="AL48" s="287"/>
      <c r="AM48" s="287"/>
      <c r="AN48" s="286"/>
      <c r="AO48" s="287"/>
      <c r="AP48" s="287"/>
      <c r="AQ48" s="287"/>
      <c r="AR48" s="287"/>
      <c r="AS48" s="286"/>
      <c r="AT48" s="337"/>
      <c r="AU48" s="287"/>
      <c r="AV48" s="287"/>
      <c r="AW48" s="287"/>
      <c r="AX48" s="286"/>
      <c r="AY48" s="287"/>
      <c r="AZ48" s="287"/>
      <c r="BA48" s="287"/>
      <c r="BB48" s="287"/>
      <c r="BC48" s="286"/>
      <c r="BD48" s="287"/>
      <c r="BE48" s="287"/>
      <c r="BF48" s="287"/>
      <c r="BG48" s="287"/>
      <c r="BH48" s="286"/>
      <c r="BI48" s="287"/>
      <c r="BJ48" s="287"/>
      <c r="BK48" s="287"/>
      <c r="BL48" s="287"/>
      <c r="BM48" s="286"/>
      <c r="BN48" s="287"/>
      <c r="BO48" s="287"/>
      <c r="BP48" s="287"/>
      <c r="BQ48" s="287"/>
      <c r="BR48" s="286"/>
      <c r="BS48" s="287"/>
      <c r="BT48" s="287"/>
      <c r="BU48" s="287"/>
      <c r="BV48" s="287"/>
      <c r="BW48" s="286"/>
      <c r="BX48" s="287"/>
      <c r="BY48" s="287"/>
      <c r="BZ48" s="287"/>
      <c r="CA48" s="287"/>
      <c r="CB48" s="286"/>
      <c r="CC48" s="287"/>
      <c r="CD48" s="287"/>
      <c r="CE48" s="287"/>
      <c r="CF48" s="287"/>
      <c r="CG48" s="286"/>
      <c r="CH48" s="287"/>
      <c r="CI48" s="287"/>
      <c r="CJ48" s="287"/>
      <c r="CK48" s="287"/>
      <c r="CL48" s="286"/>
      <c r="CM48" s="287"/>
      <c r="CN48" s="287"/>
      <c r="CO48" s="287"/>
      <c r="CP48" s="287"/>
      <c r="CQ48" s="286"/>
      <c r="CR48" s="287"/>
      <c r="CS48" s="287"/>
      <c r="CT48" s="287"/>
      <c r="CU48" s="287"/>
      <c r="CV48" s="286"/>
      <c r="CW48" s="286"/>
      <c r="CX48" s="286"/>
      <c r="CY48" s="286"/>
      <c r="CZ48" s="256"/>
      <c r="DG48" s="256"/>
    </row>
    <row r="49" spans="1:111">
      <c r="A49" s="429"/>
      <c r="B49" s="429"/>
      <c r="C49" s="440" t="s">
        <v>224</v>
      </c>
      <c r="D49" s="439"/>
      <c r="E49" s="438"/>
      <c r="F49" s="437">
        <v>212</v>
      </c>
      <c r="G49" s="437">
        <v>217</v>
      </c>
      <c r="H49" s="437">
        <v>210</v>
      </c>
      <c r="I49" s="437">
        <v>220</v>
      </c>
      <c r="J49" s="435">
        <v>859</v>
      </c>
      <c r="K49" s="437">
        <v>222</v>
      </c>
      <c r="L49" s="437">
        <v>225</v>
      </c>
      <c r="M49" s="437">
        <v>220</v>
      </c>
      <c r="N49" s="437">
        <v>238</v>
      </c>
      <c r="O49" s="435">
        <v>905</v>
      </c>
      <c r="P49" s="437">
        <v>175</v>
      </c>
      <c r="Q49" s="437">
        <v>189</v>
      </c>
      <c r="R49" s="437">
        <v>173</v>
      </c>
      <c r="S49" s="437">
        <v>190</v>
      </c>
      <c r="T49" s="435">
        <v>727</v>
      </c>
      <c r="U49" s="437">
        <v>180</v>
      </c>
      <c r="V49" s="437">
        <v>187</v>
      </c>
      <c r="W49" s="437">
        <v>203</v>
      </c>
      <c r="X49" s="437">
        <v>229</v>
      </c>
      <c r="Y49" s="435">
        <v>799</v>
      </c>
      <c r="Z49" s="437">
        <v>262</v>
      </c>
      <c r="AA49" s="437">
        <v>252</v>
      </c>
      <c r="AB49" s="437">
        <v>230</v>
      </c>
      <c r="AC49" s="437">
        <v>234</v>
      </c>
      <c r="AD49" s="435">
        <v>978</v>
      </c>
      <c r="AE49" s="429">
        <v>226</v>
      </c>
      <c r="AF49" s="429">
        <v>237</v>
      </c>
      <c r="AG49" s="429">
        <v>265</v>
      </c>
      <c r="AH49" s="429">
        <v>256</v>
      </c>
      <c r="AI49" s="435">
        <v>984</v>
      </c>
      <c r="AJ49" s="429">
        <f>'Divisional Summary'!AJ75</f>
        <v>264</v>
      </c>
      <c r="AK49" s="429">
        <f>'Divisional Summary'!AK75</f>
        <v>256</v>
      </c>
      <c r="AL49" s="429">
        <f>'Divisional Summary'!AL75</f>
        <v>252</v>
      </c>
      <c r="AM49" s="429">
        <f>'Divisional Summary'!AM75</f>
        <v>261</v>
      </c>
      <c r="AN49" s="435">
        <f>'Divisional Summary'!AN75</f>
        <v>1033</v>
      </c>
      <c r="AO49" s="429">
        <f>'Divisional Summary'!AO75</f>
        <v>278</v>
      </c>
      <c r="AP49" s="429">
        <f>'Divisional Summary'!AP75</f>
        <v>277</v>
      </c>
      <c r="AQ49" s="429">
        <f>'Divisional Summary'!AQ75</f>
        <v>308</v>
      </c>
      <c r="AR49" s="429">
        <f>'Divisional Summary'!AR75</f>
        <v>310</v>
      </c>
      <c r="AS49" s="435">
        <f>'Divisional Summary'!AS75</f>
        <v>1173</v>
      </c>
      <c r="AT49" s="436">
        <f>'Divisional Summary'!AT75</f>
        <v>319</v>
      </c>
      <c r="AU49" s="429">
        <f>'Divisional Summary'!AU75</f>
        <v>326</v>
      </c>
      <c r="AV49" s="429">
        <f>'Divisional Summary'!AV75</f>
        <v>326</v>
      </c>
      <c r="AW49" s="429">
        <f>'Divisional Summary'!AW75</f>
        <v>350</v>
      </c>
      <c r="AX49" s="435">
        <f>'Divisional Summary'!AX75</f>
        <v>1321</v>
      </c>
      <c r="AY49" s="429">
        <f>'Divisional Summary'!AY75</f>
        <v>306</v>
      </c>
      <c r="AZ49" s="429">
        <f>'Divisional Summary'!AZ75</f>
        <v>303</v>
      </c>
      <c r="BA49" s="429">
        <f>'Divisional Summary'!BA75</f>
        <v>316</v>
      </c>
      <c r="BB49" s="429">
        <f>'Divisional Summary'!BB75</f>
        <v>333</v>
      </c>
      <c r="BC49" s="435">
        <f>'Divisional Summary'!BC75</f>
        <v>1258</v>
      </c>
      <c r="BD49" s="436">
        <f>'Divisional Summary'!BD75</f>
        <v>327</v>
      </c>
      <c r="BE49" s="429">
        <f>'Divisional Summary'!BE75</f>
        <v>339</v>
      </c>
      <c r="BF49" s="429">
        <f>'Divisional Summary'!BF75</f>
        <v>342</v>
      </c>
      <c r="BG49" s="429">
        <f>'Divisional Summary'!BG75</f>
        <v>348</v>
      </c>
      <c r="BH49" s="435">
        <f>'Divisional Summary'!BH75</f>
        <v>1356</v>
      </c>
      <c r="BI49" s="436">
        <f>'Divisional Summary'!BI75</f>
        <v>316</v>
      </c>
      <c r="BJ49" s="429">
        <f>'Divisional Summary'!BJ75</f>
        <v>322</v>
      </c>
      <c r="BK49" s="429">
        <f>'Divisional Summary'!BK75</f>
        <v>324</v>
      </c>
      <c r="BL49" s="429">
        <f>'Divisional Summary'!BL75</f>
        <v>301</v>
      </c>
      <c r="BM49" s="435">
        <f>'Divisional Summary'!BM75</f>
        <v>1263</v>
      </c>
      <c r="BN49" s="436">
        <f>'Divisional Summary'!BN75</f>
        <v>320</v>
      </c>
      <c r="BO49" s="429">
        <f>'Divisional Summary'!BO75</f>
        <v>305</v>
      </c>
      <c r="BP49" s="429">
        <f>'Divisional Summary'!BP75</f>
        <v>422</v>
      </c>
      <c r="BQ49" s="429">
        <f>'Divisional Summary'!BQ75</f>
        <v>477</v>
      </c>
      <c r="BR49" s="435">
        <f>'Divisional Summary'!BR75</f>
        <v>1524</v>
      </c>
      <c r="BS49" s="429">
        <f>'Divisional Summary'!BS75</f>
        <v>444</v>
      </c>
      <c r="BT49" s="429">
        <f>'Divisional Summary'!BT75</f>
        <v>439</v>
      </c>
      <c r="BU49" s="429">
        <f>'Divisional Summary'!BU75</f>
        <v>452</v>
      </c>
      <c r="BV49" s="429">
        <f>'Divisional Summary'!BV75</f>
        <v>486</v>
      </c>
      <c r="BW49" s="435">
        <f>'Divisional Summary'!BW75</f>
        <v>1821</v>
      </c>
      <c r="BX49" s="429">
        <f>'Divisional Summary'!BX75</f>
        <v>467</v>
      </c>
      <c r="BY49" s="429">
        <f>'Divisional Summary'!BY75</f>
        <v>468</v>
      </c>
      <c r="BZ49" s="429">
        <v>483</v>
      </c>
      <c r="CA49" s="429">
        <f>'Divisional Summary'!CA75</f>
        <v>489</v>
      </c>
      <c r="CB49" s="435">
        <f>'Divisional Summary'!CB75</f>
        <v>1907</v>
      </c>
      <c r="CC49" s="429">
        <f>'Divisional Summary'!CC75</f>
        <v>457.10769910079182</v>
      </c>
      <c r="CD49" s="429">
        <f>'Divisional Summary'!CD75</f>
        <v>457.89230089920818</v>
      </c>
      <c r="CE49" s="429">
        <f>'Divisional Summary'!CE75</f>
        <v>486</v>
      </c>
      <c r="CF49" s="429">
        <f>'Divisional Summary'!CF75</f>
        <v>462</v>
      </c>
      <c r="CG49" s="435">
        <f>'Divisional Summary'!CG75</f>
        <v>1863</v>
      </c>
      <c r="CH49" s="429">
        <f>'Divisional Summary'!CH75</f>
        <v>466</v>
      </c>
      <c r="CI49" s="429">
        <f>'Divisional Summary'!CI75</f>
        <v>494</v>
      </c>
      <c r="CJ49" s="429">
        <f>'Divisional Summary'!CJ75</f>
        <v>496</v>
      </c>
      <c r="CK49" s="429">
        <f>'Divisional Summary'!CK75</f>
        <v>506</v>
      </c>
      <c r="CL49" s="435">
        <f>'Divisional Summary'!CL75</f>
        <v>1962</v>
      </c>
      <c r="CM49" s="429">
        <f>'Divisional Summary'!CM75</f>
        <v>512</v>
      </c>
      <c r="CN49" s="429">
        <f>'Divisional Summary'!CN75</f>
        <v>527</v>
      </c>
      <c r="CO49" s="429">
        <f>'Divisional Summary'!CO75</f>
        <v>543</v>
      </c>
      <c r="CP49" s="429">
        <f>'Divisional Summary'!CP75</f>
        <v>520.11578397840003</v>
      </c>
      <c r="CQ49" s="435">
        <f>'Divisional Summary'!CQ75</f>
        <v>2102.1157839784</v>
      </c>
      <c r="CR49" s="429">
        <f>'Divisional Summary'!CR75</f>
        <v>543.5908542005468</v>
      </c>
      <c r="CS49" s="429">
        <f>'Divisional Summary'!CS75</f>
        <v>543.5908542005468</v>
      </c>
      <c r="CT49" s="429">
        <f>'Divisional Summary'!CT75</f>
        <v>543.5908542005468</v>
      </c>
      <c r="CU49" s="429">
        <f>'Divisional Summary'!CU75</f>
        <v>494.32194495158967</v>
      </c>
      <c r="CV49" s="435">
        <f>'Divisional Summary'!CV75</f>
        <v>2125.09450755323</v>
      </c>
      <c r="CW49" s="435">
        <f>'Divisional Summary'!CW75</f>
        <v>2120.4848446520627</v>
      </c>
      <c r="CX49" s="435">
        <f>'Divisional Summary'!CX75</f>
        <v>2116.7573284030182</v>
      </c>
      <c r="CY49" s="435">
        <f>'Divisional Summary'!CY75</f>
        <v>2122.2463536474265</v>
      </c>
      <c r="CZ49" s="256"/>
      <c r="DG49" s="256"/>
    </row>
    <row r="50" spans="1:111" ht="12" customHeight="1">
      <c r="A50" s="434"/>
      <c r="B50" s="434"/>
      <c r="C50" s="433"/>
      <c r="D50" s="433"/>
      <c r="E50" s="431"/>
      <c r="F50" s="431"/>
      <c r="G50" s="431"/>
      <c r="H50" s="431"/>
      <c r="I50" s="431"/>
      <c r="J50" s="430"/>
      <c r="K50" s="431"/>
      <c r="L50" s="431"/>
      <c r="M50" s="431"/>
      <c r="N50" s="431"/>
      <c r="O50" s="430"/>
      <c r="P50" s="431"/>
      <c r="Q50" s="431"/>
      <c r="R50" s="431"/>
      <c r="S50" s="431"/>
      <c r="T50" s="430"/>
      <c r="U50" s="431"/>
      <c r="V50" s="431"/>
      <c r="W50" s="431"/>
      <c r="X50" s="431"/>
      <c r="Y50" s="430"/>
      <c r="Z50" s="431"/>
      <c r="AA50" s="431"/>
      <c r="AB50" s="431"/>
      <c r="AC50" s="431"/>
      <c r="AD50" s="430"/>
      <c r="AE50" s="431"/>
      <c r="AF50" s="431"/>
      <c r="AG50" s="431"/>
      <c r="AH50" s="431"/>
      <c r="AI50" s="430"/>
      <c r="AJ50" s="431"/>
      <c r="AK50" s="431"/>
      <c r="AL50" s="431"/>
      <c r="AM50" s="431"/>
      <c r="AN50" s="430"/>
      <c r="AO50" s="431"/>
      <c r="AP50" s="431"/>
      <c r="AQ50" s="431"/>
      <c r="AR50" s="431"/>
      <c r="AS50" s="430"/>
      <c r="AT50" s="432"/>
      <c r="AU50" s="431"/>
      <c r="AV50" s="431"/>
      <c r="AW50" s="431"/>
      <c r="AX50" s="430"/>
      <c r="AY50" s="431"/>
      <c r="AZ50" s="431"/>
      <c r="BA50" s="431"/>
      <c r="BB50" s="431"/>
      <c r="BC50" s="430"/>
      <c r="BD50" s="431"/>
      <c r="BE50" s="431"/>
      <c r="BF50" s="431"/>
      <c r="BG50" s="431"/>
      <c r="BH50" s="430"/>
      <c r="BI50" s="431"/>
      <c r="BJ50" s="431"/>
      <c r="BK50" s="431"/>
      <c r="BL50" s="431"/>
      <c r="BM50" s="430"/>
      <c r="BN50" s="431"/>
      <c r="BO50" s="431"/>
      <c r="BP50" s="431"/>
      <c r="BQ50" s="431"/>
      <c r="BR50" s="430"/>
      <c r="BS50" s="431"/>
      <c r="BT50" s="431"/>
      <c r="BU50" s="431"/>
      <c r="BV50" s="431"/>
      <c r="BW50" s="430"/>
      <c r="BX50" s="431"/>
      <c r="BY50" s="431"/>
      <c r="BZ50" s="431"/>
      <c r="CA50" s="431"/>
      <c r="CB50" s="430"/>
      <c r="CC50" s="431"/>
      <c r="CD50" s="431"/>
      <c r="CE50" s="431"/>
      <c r="CF50" s="431"/>
      <c r="CG50" s="430"/>
      <c r="CH50" s="431"/>
      <c r="CI50" s="431"/>
      <c r="CJ50" s="431"/>
      <c r="CK50" s="431"/>
      <c r="CL50" s="430"/>
      <c r="CM50" s="431"/>
      <c r="CN50" s="431"/>
      <c r="CO50" s="431"/>
      <c r="CP50" s="431"/>
      <c r="CQ50" s="430"/>
      <c r="CR50" s="431"/>
      <c r="CS50" s="431"/>
      <c r="CT50" s="431"/>
      <c r="CU50" s="431"/>
      <c r="CV50" s="430"/>
      <c r="CW50" s="430"/>
      <c r="CX50" s="430"/>
      <c r="CY50" s="430"/>
      <c r="CZ50" s="256"/>
      <c r="DG50" s="256"/>
    </row>
    <row r="51" spans="1:111" ht="12" customHeight="1" thickBot="1">
      <c r="A51" s="429"/>
      <c r="B51" s="429"/>
      <c r="C51" s="427" t="s">
        <v>296</v>
      </c>
      <c r="D51" s="427"/>
      <c r="E51" s="428"/>
      <c r="F51" s="426">
        <v>879</v>
      </c>
      <c r="G51" s="426">
        <v>1095</v>
      </c>
      <c r="H51" s="426">
        <v>1060</v>
      </c>
      <c r="I51" s="426">
        <v>965</v>
      </c>
      <c r="J51" s="425">
        <f t="shared" ref="J51:AO51" si="27">J39+J49+J43-J44</f>
        <v>3999</v>
      </c>
      <c r="K51" s="426">
        <f t="shared" si="27"/>
        <v>999</v>
      </c>
      <c r="L51" s="426">
        <f t="shared" si="27"/>
        <v>1214</v>
      </c>
      <c r="M51" s="426">
        <f t="shared" si="27"/>
        <v>1042</v>
      </c>
      <c r="N51" s="426">
        <f t="shared" si="27"/>
        <v>969</v>
      </c>
      <c r="O51" s="425">
        <f t="shared" si="27"/>
        <v>4138</v>
      </c>
      <c r="P51" s="426">
        <f t="shared" si="27"/>
        <v>972</v>
      </c>
      <c r="Q51" s="426">
        <f t="shared" si="27"/>
        <v>1220</v>
      </c>
      <c r="R51" s="426">
        <f t="shared" si="27"/>
        <v>1175</v>
      </c>
      <c r="S51" s="426">
        <f t="shared" si="27"/>
        <v>1017</v>
      </c>
      <c r="T51" s="425">
        <f t="shared" si="27"/>
        <v>4384</v>
      </c>
      <c r="U51" s="426">
        <f t="shared" si="27"/>
        <v>1017</v>
      </c>
      <c r="V51" s="426">
        <f t="shared" si="27"/>
        <v>1220</v>
      </c>
      <c r="W51" s="426">
        <f t="shared" si="27"/>
        <v>1251</v>
      </c>
      <c r="X51" s="426">
        <f t="shared" si="27"/>
        <v>1106</v>
      </c>
      <c r="Y51" s="425">
        <f t="shared" si="27"/>
        <v>4776</v>
      </c>
      <c r="Z51" s="426">
        <f t="shared" si="27"/>
        <v>1191</v>
      </c>
      <c r="AA51" s="426">
        <f t="shared" si="27"/>
        <v>1500</v>
      </c>
      <c r="AB51" s="426">
        <f t="shared" si="27"/>
        <v>1418</v>
      </c>
      <c r="AC51" s="426">
        <f t="shared" si="27"/>
        <v>1327</v>
      </c>
      <c r="AD51" s="425">
        <f t="shared" si="27"/>
        <v>5605</v>
      </c>
      <c r="AE51" s="426">
        <f t="shared" si="27"/>
        <v>1334</v>
      </c>
      <c r="AF51" s="426">
        <f t="shared" si="27"/>
        <v>1676</v>
      </c>
      <c r="AG51" s="426">
        <f t="shared" si="27"/>
        <v>1699</v>
      </c>
      <c r="AH51" s="426">
        <f t="shared" si="27"/>
        <v>1574</v>
      </c>
      <c r="AI51" s="425">
        <f t="shared" si="27"/>
        <v>6283</v>
      </c>
      <c r="AJ51" s="426">
        <f t="shared" si="27"/>
        <v>1527</v>
      </c>
      <c r="AK51" s="426">
        <f t="shared" si="27"/>
        <v>1939</v>
      </c>
      <c r="AL51" s="426">
        <f t="shared" si="27"/>
        <v>1932</v>
      </c>
      <c r="AM51" s="426">
        <f t="shared" si="27"/>
        <v>1771</v>
      </c>
      <c r="AN51" s="425">
        <f t="shared" si="27"/>
        <v>7169</v>
      </c>
      <c r="AO51" s="426">
        <f t="shared" si="27"/>
        <v>1758</v>
      </c>
      <c r="AP51" s="426">
        <f t="shared" ref="AP51:BU51" si="28">AP39+AP49+AP43-AP44</f>
        <v>2167</v>
      </c>
      <c r="AQ51" s="426">
        <f t="shared" si="28"/>
        <v>2211</v>
      </c>
      <c r="AR51" s="426">
        <f t="shared" si="28"/>
        <v>2119</v>
      </c>
      <c r="AS51" s="425">
        <f t="shared" si="28"/>
        <v>8255</v>
      </c>
      <c r="AT51" s="427">
        <f t="shared" si="28"/>
        <v>2027</v>
      </c>
      <c r="AU51" s="426">
        <f t="shared" si="28"/>
        <v>2519</v>
      </c>
      <c r="AV51" s="426">
        <f t="shared" si="28"/>
        <v>2431</v>
      </c>
      <c r="AW51" s="426">
        <f t="shared" si="28"/>
        <v>2147</v>
      </c>
      <c r="AX51" s="425">
        <f t="shared" si="28"/>
        <v>9124</v>
      </c>
      <c r="AY51" s="426">
        <f t="shared" si="28"/>
        <v>1698.5</v>
      </c>
      <c r="AZ51" s="426">
        <f t="shared" si="28"/>
        <v>2168.5</v>
      </c>
      <c r="BA51" s="426">
        <f t="shared" si="28"/>
        <v>2221.5</v>
      </c>
      <c r="BB51" s="426">
        <f t="shared" si="28"/>
        <v>2240.5</v>
      </c>
      <c r="BC51" s="425">
        <f t="shared" si="28"/>
        <v>8329</v>
      </c>
      <c r="BD51" s="426">
        <f t="shared" si="28"/>
        <v>1917</v>
      </c>
      <c r="BE51" s="426">
        <f t="shared" si="28"/>
        <v>2381</v>
      </c>
      <c r="BF51" s="426">
        <f t="shared" si="28"/>
        <v>2463</v>
      </c>
      <c r="BG51" s="426">
        <f t="shared" si="28"/>
        <v>2395</v>
      </c>
      <c r="BH51" s="425">
        <f t="shared" si="28"/>
        <v>9156</v>
      </c>
      <c r="BI51" s="426">
        <f t="shared" si="28"/>
        <v>2046</v>
      </c>
      <c r="BJ51" s="426">
        <f t="shared" si="28"/>
        <v>2456</v>
      </c>
      <c r="BK51" s="426">
        <f t="shared" si="28"/>
        <v>2506</v>
      </c>
      <c r="BL51" s="426">
        <f t="shared" si="28"/>
        <v>2304</v>
      </c>
      <c r="BM51" s="425">
        <f t="shared" si="28"/>
        <v>9312</v>
      </c>
      <c r="BN51" s="426">
        <f t="shared" si="28"/>
        <v>2042</v>
      </c>
      <c r="BO51" s="426">
        <f t="shared" si="28"/>
        <v>2467</v>
      </c>
      <c r="BP51" s="426">
        <f t="shared" si="28"/>
        <v>2557</v>
      </c>
      <c r="BQ51" s="426">
        <f t="shared" si="28"/>
        <v>2551</v>
      </c>
      <c r="BR51" s="425">
        <f t="shared" si="28"/>
        <v>9617</v>
      </c>
      <c r="BS51" s="426">
        <f t="shared" si="28"/>
        <v>2464</v>
      </c>
      <c r="BT51" s="426">
        <f t="shared" si="28"/>
        <v>2943</v>
      </c>
      <c r="BU51" s="426">
        <f t="shared" si="28"/>
        <v>2946</v>
      </c>
      <c r="BV51" s="426">
        <f t="shared" ref="BV51:CV51" si="29">BV39+BV49+BV43-BV44</f>
        <v>2935</v>
      </c>
      <c r="BW51" s="425">
        <f t="shared" si="29"/>
        <v>11288</v>
      </c>
      <c r="BX51" s="426">
        <f t="shared" si="29"/>
        <v>2690</v>
      </c>
      <c r="BY51" s="426">
        <f t="shared" si="29"/>
        <v>3206</v>
      </c>
      <c r="BZ51" s="426">
        <f t="shared" si="29"/>
        <v>3179</v>
      </c>
      <c r="CA51" s="426">
        <f t="shared" si="29"/>
        <v>3184</v>
      </c>
      <c r="CB51" s="425">
        <f t="shared" si="29"/>
        <v>12259</v>
      </c>
      <c r="CC51" s="426">
        <f t="shared" si="29"/>
        <v>2606.1076991007917</v>
      </c>
      <c r="CD51" s="426">
        <f t="shared" si="29"/>
        <v>2946.8923008992083</v>
      </c>
      <c r="CE51" s="426">
        <f t="shared" si="29"/>
        <v>2861</v>
      </c>
      <c r="CF51" s="426">
        <f t="shared" si="29"/>
        <v>2617</v>
      </c>
      <c r="CG51" s="425">
        <f t="shared" si="29"/>
        <v>11031</v>
      </c>
      <c r="CH51" s="426">
        <f t="shared" si="29"/>
        <v>2473</v>
      </c>
      <c r="CI51" s="426">
        <f t="shared" si="29"/>
        <v>2959</v>
      </c>
      <c r="CJ51" s="426">
        <f t="shared" si="29"/>
        <v>2876</v>
      </c>
      <c r="CK51" s="426">
        <f t="shared" si="29"/>
        <v>2666</v>
      </c>
      <c r="CL51" s="425">
        <f t="shared" si="29"/>
        <v>10974</v>
      </c>
      <c r="CM51" s="426">
        <f>CM39+CM49+CM43-CM44</f>
        <v>2451</v>
      </c>
      <c r="CN51" s="426">
        <f>CN39+CN49+CN43-CN44</f>
        <v>2877</v>
      </c>
      <c r="CO51" s="426">
        <f>CO39+CO49+CO43-CO44</f>
        <v>2874</v>
      </c>
      <c r="CP51" s="426">
        <f>CP39+CP49+CP43-CP44</f>
        <v>2601.8672907211685</v>
      </c>
      <c r="CQ51" s="425">
        <f t="shared" si="29"/>
        <v>10803.867290721169</v>
      </c>
      <c r="CR51" s="426">
        <f>CR39+CR49+CR43-CR44</f>
        <v>2538.7460471887493</v>
      </c>
      <c r="CS51" s="426">
        <f>CS39+CS49+CS43-CS44</f>
        <v>2942.3634407789964</v>
      </c>
      <c r="CT51" s="426">
        <f>CT39+CT49+CT43-CT44</f>
        <v>2980.6942840653887</v>
      </c>
      <c r="CU51" s="426">
        <f>CU39+CU49+CU43-CU44</f>
        <v>2701.0329190360894</v>
      </c>
      <c r="CV51" s="425">
        <f t="shared" si="29"/>
        <v>11162.836691069228</v>
      </c>
      <c r="CW51" s="425">
        <f>CW39+CW49+CW43-CW44</f>
        <v>12145.436241937223</v>
      </c>
      <c r="CX51" s="425">
        <f>CX39+CX49+CX43-CX44</f>
        <v>12866.161835827199</v>
      </c>
      <c r="CY51" s="425">
        <f>CY39+CY49+CY43-CY44</f>
        <v>13267.326112839126</v>
      </c>
      <c r="CZ51" s="256"/>
      <c r="DG51" s="256"/>
    </row>
    <row r="52" spans="1:111" ht="12" customHeight="1" thickTop="1">
      <c r="A52" s="268"/>
      <c r="B52" s="268"/>
      <c r="C52" s="424"/>
      <c r="D52" s="326" t="s">
        <v>293</v>
      </c>
      <c r="E52" s="268"/>
      <c r="F52" s="287">
        <v>0.13755868544600938</v>
      </c>
      <c r="G52" s="287">
        <v>0.15730498491596034</v>
      </c>
      <c r="H52" s="287">
        <v>0.16395978344934262</v>
      </c>
      <c r="I52" s="287">
        <v>0.14260381262006797</v>
      </c>
      <c r="J52" s="286">
        <f t="shared" ref="J52:AO52" si="30">IF(ISERROR(J51/J$21),"-",J51/J$21)</f>
        <v>0.15043448820674868</v>
      </c>
      <c r="K52" s="287">
        <f t="shared" si="30"/>
        <v>0.14975266077049917</v>
      </c>
      <c r="L52" s="287">
        <f t="shared" si="30"/>
        <v>0.16557555919258046</v>
      </c>
      <c r="M52" s="287">
        <f t="shared" si="30"/>
        <v>0.15057803468208092</v>
      </c>
      <c r="N52" s="287">
        <f t="shared" si="30"/>
        <v>0.13725212464589234</v>
      </c>
      <c r="O52" s="286">
        <f t="shared" si="30"/>
        <v>0.14833136179517512</v>
      </c>
      <c r="P52" s="287">
        <f t="shared" si="30"/>
        <v>0.15249450894257924</v>
      </c>
      <c r="Q52" s="287">
        <f t="shared" si="30"/>
        <v>0.16657564172583289</v>
      </c>
      <c r="R52" s="287">
        <f t="shared" si="30"/>
        <v>0.16098095629538292</v>
      </c>
      <c r="S52" s="287">
        <f t="shared" si="30"/>
        <v>0.14095634095634096</v>
      </c>
      <c r="T52" s="286">
        <f t="shared" si="30"/>
        <v>0.1553948674322983</v>
      </c>
      <c r="U52" s="287">
        <f t="shared" si="30"/>
        <v>0.15174574753804834</v>
      </c>
      <c r="V52" s="287">
        <f t="shared" si="30"/>
        <v>0.15661103979460847</v>
      </c>
      <c r="W52" s="287">
        <f t="shared" si="30"/>
        <v>0.15727935629871762</v>
      </c>
      <c r="X52" s="287">
        <f t="shared" si="30"/>
        <v>0.12878435025617141</v>
      </c>
      <c r="Y52" s="286">
        <f t="shared" si="30"/>
        <v>0.15389572726686859</v>
      </c>
      <c r="Z52" s="287">
        <f t="shared" si="30"/>
        <v>0.13775156141568357</v>
      </c>
      <c r="AA52" s="287">
        <f t="shared" si="30"/>
        <v>0.15589274579089588</v>
      </c>
      <c r="AB52" s="287">
        <f t="shared" si="30"/>
        <v>0.15183638505193275</v>
      </c>
      <c r="AC52" s="287">
        <f t="shared" si="30"/>
        <v>0.13488513925594633</v>
      </c>
      <c r="AD52" s="286">
        <f t="shared" si="30"/>
        <v>0.14968620643610628</v>
      </c>
      <c r="AE52" s="287">
        <f t="shared" si="30"/>
        <v>0.14180929095354522</v>
      </c>
      <c r="AF52" s="287">
        <f t="shared" si="30"/>
        <v>0.15028694404591106</v>
      </c>
      <c r="AG52" s="287">
        <f t="shared" si="30"/>
        <v>0.15580009170105455</v>
      </c>
      <c r="AH52" s="287">
        <f t="shared" si="30"/>
        <v>0.13977444276707218</v>
      </c>
      <c r="AI52" s="286">
        <f t="shared" si="30"/>
        <v>0.14705675833820947</v>
      </c>
      <c r="AJ52" s="287">
        <f t="shared" si="30"/>
        <v>0.1438530381535563</v>
      </c>
      <c r="AK52" s="287">
        <f t="shared" si="30"/>
        <v>0.15810502283105024</v>
      </c>
      <c r="AL52" s="287">
        <f t="shared" si="30"/>
        <v>0.15884239085751869</v>
      </c>
      <c r="AM52" s="287">
        <f t="shared" si="30"/>
        <v>0.13850003910221317</v>
      </c>
      <c r="AN52" s="286">
        <f t="shared" si="30"/>
        <v>0.14988814317673377</v>
      </c>
      <c r="AO52" s="287">
        <f t="shared" si="30"/>
        <v>0.14318292881576805</v>
      </c>
      <c r="AP52" s="287">
        <f t="shared" ref="AP52:BU52" si="31">IF(ISERROR(AP51/AP$21),"-",AP51/AP$21)</f>
        <v>0.15585443037974683</v>
      </c>
      <c r="AQ52" s="287">
        <f t="shared" si="31"/>
        <v>0.15948928803289331</v>
      </c>
      <c r="AR52" s="287">
        <f t="shared" si="31"/>
        <v>0.14401250509718636</v>
      </c>
      <c r="AS52" s="286">
        <f t="shared" si="31"/>
        <v>0.15075147464343761</v>
      </c>
      <c r="AT52" s="337">
        <f t="shared" si="31"/>
        <v>0.14522137842097721</v>
      </c>
      <c r="AU52" s="287">
        <f t="shared" si="31"/>
        <v>0.15799046663321625</v>
      </c>
      <c r="AV52" s="287">
        <f t="shared" si="31"/>
        <v>0.16115346370566788</v>
      </c>
      <c r="AW52" s="287">
        <f t="shared" si="31"/>
        <v>0.14536222071767096</v>
      </c>
      <c r="AX52" s="286">
        <f t="shared" si="31"/>
        <v>0.15268504108305303</v>
      </c>
      <c r="AY52" s="287">
        <f t="shared" si="31"/>
        <v>0.13923272399376999</v>
      </c>
      <c r="AZ52" s="287">
        <f t="shared" si="31"/>
        <v>0.16604134762633996</v>
      </c>
      <c r="BA52" s="287">
        <f t="shared" si="31"/>
        <v>0.1684613634640176</v>
      </c>
      <c r="BB52" s="287">
        <f t="shared" si="31"/>
        <v>0.16027612847843192</v>
      </c>
      <c r="BC52" s="286">
        <f t="shared" si="31"/>
        <v>0.15887458273724367</v>
      </c>
      <c r="BD52" s="287">
        <f t="shared" si="31"/>
        <v>0.15921926910299003</v>
      </c>
      <c r="BE52" s="287">
        <f t="shared" si="31"/>
        <v>0.17251123025648457</v>
      </c>
      <c r="BF52" s="287">
        <f t="shared" si="31"/>
        <v>0.18083700440528636</v>
      </c>
      <c r="BG52" s="287">
        <f t="shared" si="31"/>
        <v>0.16112755651237889</v>
      </c>
      <c r="BH52" s="286">
        <f t="shared" si="31"/>
        <v>0.1685380848948938</v>
      </c>
      <c r="BI52" s="287">
        <f t="shared" si="31"/>
        <v>0.1614455929929772</v>
      </c>
      <c r="BJ52" s="287">
        <f t="shared" si="31"/>
        <v>0.16974220747805654</v>
      </c>
      <c r="BK52" s="287">
        <f t="shared" si="31"/>
        <v>0.17604495960660344</v>
      </c>
      <c r="BL52" s="287">
        <f t="shared" si="31"/>
        <v>0.16025596438756348</v>
      </c>
      <c r="BM52" s="286">
        <f t="shared" si="31"/>
        <v>0.1670194066793414</v>
      </c>
      <c r="BN52" s="287">
        <f t="shared" si="31"/>
        <v>0.16446520618556701</v>
      </c>
      <c r="BO52" s="287">
        <f t="shared" si="31"/>
        <v>0.1786774824364453</v>
      </c>
      <c r="BP52" s="287">
        <f t="shared" si="31"/>
        <v>0.16999069272703099</v>
      </c>
      <c r="BQ52" s="287">
        <f t="shared" si="31"/>
        <v>0.15514200571671835</v>
      </c>
      <c r="BR52" s="286">
        <f t="shared" si="31"/>
        <v>0.16664933804671797</v>
      </c>
      <c r="BS52" s="287">
        <f t="shared" si="31"/>
        <v>0.17112299465240641</v>
      </c>
      <c r="BT52" s="287">
        <f t="shared" si="31"/>
        <v>0.18386854929401475</v>
      </c>
      <c r="BU52" s="287">
        <f t="shared" si="31"/>
        <v>0.19053162592161427</v>
      </c>
      <c r="BV52" s="287">
        <f t="shared" ref="BV52:CV52" si="32">IF(ISERROR(BV51/BV$21),"-",BV51/BV$21)</f>
        <v>0.17512978101318694</v>
      </c>
      <c r="BW52" s="286">
        <f t="shared" si="32"/>
        <v>0.18024462683230608</v>
      </c>
      <c r="BX52" s="287">
        <f t="shared" si="32"/>
        <v>0.18243472363513055</v>
      </c>
      <c r="BY52" s="287">
        <f t="shared" si="32"/>
        <v>0.18649293234832179</v>
      </c>
      <c r="BZ52" s="287">
        <f t="shared" si="32"/>
        <v>0.19662295893122217</v>
      </c>
      <c r="CA52" s="287">
        <f t="shared" si="32"/>
        <v>0.18733819722287598</v>
      </c>
      <c r="CB52" s="286">
        <f t="shared" si="32"/>
        <v>0.18831029185867895</v>
      </c>
      <c r="CC52" s="287">
        <f t="shared" si="32"/>
        <v>0.19565373116372309</v>
      </c>
      <c r="CD52" s="287">
        <f t="shared" si="32"/>
        <v>0.20050978437090619</v>
      </c>
      <c r="CE52" s="287">
        <f t="shared" si="32"/>
        <v>0.20749927473165072</v>
      </c>
      <c r="CF52" s="287">
        <f t="shared" si="32"/>
        <v>0.183006993006993</v>
      </c>
      <c r="CG52" s="286">
        <f t="shared" si="32"/>
        <v>0.1968429074614679</v>
      </c>
      <c r="CH52" s="287">
        <f t="shared" si="32"/>
        <v>0.18514636520176686</v>
      </c>
      <c r="CI52" s="287">
        <f t="shared" si="32"/>
        <v>0.19893774371386311</v>
      </c>
      <c r="CJ52" s="287">
        <f t="shared" si="32"/>
        <v>0.20036226835725232</v>
      </c>
      <c r="CK52" s="287">
        <f t="shared" si="32"/>
        <v>0.18186779452895832</v>
      </c>
      <c r="CL52" s="286">
        <f t="shared" si="32"/>
        <v>0.19170568094472784</v>
      </c>
      <c r="CM52" s="287">
        <f>IF(ISERROR(CM51/CM$21),"-",CM51/CM$21)</f>
        <v>0.17741585233441912</v>
      </c>
      <c r="CN52" s="287">
        <f>IF(ISERROR(CN51/CN$21),"-",CN51/CN$21)</f>
        <v>0.18828534031413613</v>
      </c>
      <c r="CO52" s="287">
        <f>IF(ISERROR(CO51/CO$21),"-",CO51/CO$21)</f>
        <v>0.19081131323861372</v>
      </c>
      <c r="CP52" s="287">
        <f>IF(ISERROR(CP51/CP$21),"-",CP51/CP$21)</f>
        <v>0.16948874309961684</v>
      </c>
      <c r="CQ52" s="286">
        <f t="shared" si="32"/>
        <v>0.18155237026951287</v>
      </c>
      <c r="CR52" s="287">
        <f>IF(ISERROR(CR51/CR$21),"-",CR51/CR$21)</f>
        <v>0.17308842768081714</v>
      </c>
      <c r="CS52" s="287">
        <f>IF(ISERROR(CS51/CS$21),"-",CS51/CS$21)</f>
        <v>0.17986515604377651</v>
      </c>
      <c r="CT52" s="287">
        <f>IF(ISERROR(CT51/CT$21),"-",CT51/CT$21)</f>
        <v>0.18864664277088034</v>
      </c>
      <c r="CU52" s="287">
        <f>IF(ISERROR(CU51/CU$21),"-",CU51/CU$21)</f>
        <v>0.16878334043550713</v>
      </c>
      <c r="CV52" s="286">
        <f t="shared" si="32"/>
        <v>0.17707767188895013</v>
      </c>
      <c r="CW52" s="286">
        <f>IF(ISERROR(CW51/CW$21),"-",CW51/CW$21)</f>
        <v>0.18466417257041823</v>
      </c>
      <c r="CX52" s="286">
        <f>IF(ISERROR(CX51/CX$21),"-",CX51/CX$21)</f>
        <v>0.18746410814263614</v>
      </c>
      <c r="CY52" s="286">
        <f>IF(ISERROR(CY51/CY$21),"-",CY51/CY$21)</f>
        <v>0.1865890084580423</v>
      </c>
      <c r="CZ52" s="256"/>
      <c r="DG52" s="256"/>
    </row>
    <row r="53" spans="1:111" ht="12" customHeight="1">
      <c r="A53" s="268"/>
      <c r="B53" s="268"/>
      <c r="C53" s="326"/>
      <c r="D53" s="326"/>
      <c r="E53" s="268"/>
      <c r="F53" s="259"/>
      <c r="G53" s="259"/>
      <c r="H53" s="259"/>
      <c r="I53" s="259"/>
      <c r="J53" s="423"/>
      <c r="K53" s="259"/>
      <c r="L53" s="259"/>
      <c r="M53" s="259"/>
      <c r="N53" s="259"/>
      <c r="O53" s="423"/>
      <c r="P53" s="259"/>
      <c r="Q53" s="259"/>
      <c r="R53" s="259"/>
      <c r="S53" s="259"/>
      <c r="T53" s="423"/>
      <c r="U53" s="259"/>
      <c r="V53" s="259"/>
      <c r="W53" s="259"/>
      <c r="X53" s="259"/>
      <c r="Y53" s="423"/>
      <c r="Z53" s="259"/>
      <c r="AA53" s="259"/>
      <c r="AB53" s="259"/>
      <c r="AC53" s="259"/>
      <c r="AD53" s="423"/>
      <c r="AE53" s="259"/>
      <c r="AF53" s="259"/>
      <c r="AG53" s="259"/>
      <c r="AH53" s="259"/>
      <c r="AI53" s="423"/>
      <c r="AJ53" s="259"/>
      <c r="AK53" s="259"/>
      <c r="AL53" s="259"/>
      <c r="AM53" s="259"/>
      <c r="AN53" s="423"/>
      <c r="AO53" s="259"/>
      <c r="AP53" s="259"/>
      <c r="AQ53" s="259"/>
      <c r="AR53" s="259"/>
      <c r="AS53" s="423"/>
      <c r="AT53" s="406"/>
      <c r="AU53" s="259"/>
      <c r="AV53" s="257"/>
      <c r="AW53" s="257"/>
      <c r="AX53" s="423"/>
      <c r="AY53" s="259"/>
      <c r="AZ53" s="257"/>
      <c r="BA53" s="257"/>
      <c r="BB53" s="259"/>
      <c r="BC53" s="423"/>
      <c r="BD53" s="257"/>
      <c r="BE53" s="257"/>
      <c r="BF53" s="259"/>
      <c r="BG53" s="257"/>
      <c r="BH53" s="423"/>
      <c r="BI53" s="257"/>
      <c r="BJ53" s="257"/>
      <c r="BK53" s="257"/>
      <c r="BL53" s="257"/>
      <c r="BM53" s="423"/>
      <c r="BN53" s="257"/>
      <c r="BO53" s="257"/>
      <c r="BP53" s="257"/>
      <c r="BQ53" s="257"/>
      <c r="BR53" s="423"/>
      <c r="BS53" s="257"/>
      <c r="BT53" s="257"/>
      <c r="BU53" s="257"/>
      <c r="BV53" s="257"/>
      <c r="BW53" s="423"/>
      <c r="BX53" s="257"/>
      <c r="BY53" s="257"/>
      <c r="BZ53" s="257"/>
      <c r="CA53" s="257"/>
      <c r="CB53" s="423"/>
      <c r="CC53" s="257"/>
      <c r="CD53" s="257"/>
      <c r="CE53" s="257"/>
      <c r="CF53" s="1931"/>
      <c r="CG53" s="423"/>
      <c r="CH53" s="257"/>
      <c r="CI53" s="257"/>
      <c r="CJ53" s="257"/>
      <c r="CK53" s="257"/>
      <c r="CL53" s="423"/>
      <c r="CM53" s="257"/>
      <c r="CN53" s="257"/>
      <c r="CO53" s="257"/>
      <c r="CP53" s="257"/>
      <c r="CQ53" s="423"/>
      <c r="CR53" s="257"/>
      <c r="CS53" s="257"/>
      <c r="CT53" s="257"/>
      <c r="CU53" s="257"/>
      <c r="CV53" s="423"/>
      <c r="CW53" s="423"/>
      <c r="CX53" s="423"/>
      <c r="CY53" s="423"/>
      <c r="CZ53" s="256"/>
      <c r="DG53" s="256"/>
    </row>
    <row r="54" spans="1:111" ht="12" customHeight="1" outlineLevel="1">
      <c r="A54" s="272"/>
      <c r="B54" s="272"/>
      <c r="C54" s="317" t="s">
        <v>138</v>
      </c>
      <c r="D54" s="411"/>
      <c r="E54" s="272"/>
      <c r="F54" s="272">
        <v>0</v>
      </c>
      <c r="G54" s="272">
        <v>0</v>
      </c>
      <c r="H54" s="272">
        <v>0</v>
      </c>
      <c r="I54" s="272">
        <v>0</v>
      </c>
      <c r="J54" s="385">
        <v>0</v>
      </c>
      <c r="K54" s="272">
        <v>0</v>
      </c>
      <c r="L54" s="272">
        <v>0</v>
      </c>
      <c r="M54" s="272">
        <v>0</v>
      </c>
      <c r="N54" s="272">
        <v>0</v>
      </c>
      <c r="O54" s="385">
        <v>0</v>
      </c>
      <c r="P54" s="272">
        <v>0</v>
      </c>
      <c r="Q54" s="272">
        <v>0</v>
      </c>
      <c r="R54" s="272">
        <v>0</v>
      </c>
      <c r="S54" s="272">
        <v>0</v>
      </c>
      <c r="T54" s="385">
        <v>0</v>
      </c>
      <c r="U54" s="272">
        <v>0</v>
      </c>
      <c r="V54" s="272">
        <v>0</v>
      </c>
      <c r="W54" s="272">
        <v>0</v>
      </c>
      <c r="X54" s="272">
        <v>0</v>
      </c>
      <c r="Y54" s="385">
        <v>0</v>
      </c>
      <c r="Z54" s="272">
        <v>0</v>
      </c>
      <c r="AA54" s="272">
        <v>0</v>
      </c>
      <c r="AB54" s="272">
        <v>0</v>
      </c>
      <c r="AC54" s="272">
        <v>0</v>
      </c>
      <c r="AD54" s="385">
        <v>0</v>
      </c>
      <c r="AE54" s="272">
        <v>0</v>
      </c>
      <c r="AF54" s="272">
        <v>0</v>
      </c>
      <c r="AG54" s="272">
        <v>0</v>
      </c>
      <c r="AH54" s="272">
        <v>0</v>
      </c>
      <c r="AI54" s="385">
        <v>0</v>
      </c>
      <c r="AJ54" s="272">
        <v>0</v>
      </c>
      <c r="AK54" s="272">
        <v>0</v>
      </c>
      <c r="AL54" s="272">
        <v>0</v>
      </c>
      <c r="AM54" s="272">
        <v>0</v>
      </c>
      <c r="AN54" s="385">
        <f>SUM(AJ54:AM54)</f>
        <v>0</v>
      </c>
      <c r="AO54" s="272">
        <v>0</v>
      </c>
      <c r="AP54" s="272">
        <v>0</v>
      </c>
      <c r="AQ54" s="272">
        <v>0</v>
      </c>
      <c r="AR54" s="272">
        <v>0</v>
      </c>
      <c r="AS54" s="385">
        <v>0</v>
      </c>
      <c r="AT54" s="317">
        <v>0</v>
      </c>
      <c r="AU54" s="272">
        <v>0</v>
      </c>
      <c r="AV54" s="272">
        <v>0</v>
      </c>
      <c r="AW54" s="272">
        <v>0</v>
      </c>
      <c r="AX54" s="385">
        <v>0</v>
      </c>
      <c r="AY54" s="272">
        <f>CF!AE57+CF!AK67</f>
        <v>21.635000000000002</v>
      </c>
      <c r="AZ54" s="272">
        <f>CF!AF57+CF!AL67</f>
        <v>16.36</v>
      </c>
      <c r="BA54" s="272">
        <f>CF!AG57+CF!AM67</f>
        <v>20.080000000000002</v>
      </c>
      <c r="BB54" s="272">
        <f>CF!AH57+CF!AN67</f>
        <v>23.16</v>
      </c>
      <c r="BC54" s="385">
        <f>SUM(AY54:BB54)</f>
        <v>81.234999999999999</v>
      </c>
      <c r="BD54" s="272">
        <f>CF!AJ57+CF!AP67</f>
        <v>26</v>
      </c>
      <c r="BE54" s="272">
        <f>CF!AK57+CF!AQ67</f>
        <v>26</v>
      </c>
      <c r="BF54" s="272">
        <f>CF!AL57+CF!AR67</f>
        <v>26</v>
      </c>
      <c r="BG54" s="272">
        <f>CF!AM57+CF!AS67</f>
        <v>24</v>
      </c>
      <c r="BH54" s="385">
        <f>SUM(BD54:BG54)</f>
        <v>102</v>
      </c>
      <c r="BI54" s="272">
        <f>CF!AO57+CF!AU67</f>
        <v>17</v>
      </c>
      <c r="BJ54" s="272">
        <f>CF!AP57+CF!AV67</f>
        <v>23</v>
      </c>
      <c r="BK54" s="272">
        <f>CF!AQ57+CF!AW67</f>
        <v>27</v>
      </c>
      <c r="BL54" s="272">
        <f>CF!AR57+CF!AX67</f>
        <v>112</v>
      </c>
      <c r="BM54" s="385">
        <f>SUM(BI54:BL54)</f>
        <v>179</v>
      </c>
      <c r="BN54" s="272">
        <f>CF!AT57+CF!AZ67</f>
        <v>35</v>
      </c>
      <c r="BO54" s="272">
        <f>CF!AU57+CF!BA67</f>
        <v>22</v>
      </c>
      <c r="BP54" s="272">
        <f>CF!AV57+CF!BB67</f>
        <v>44</v>
      </c>
      <c r="BQ54" s="272">
        <f>CF!AW57+CF!BC67</f>
        <v>19</v>
      </c>
      <c r="BR54" s="385">
        <f>SUM(BN54:BQ54)</f>
        <v>120</v>
      </c>
      <c r="BS54" s="272">
        <f>CF!BE67</f>
        <v>19</v>
      </c>
      <c r="BT54" s="272">
        <f>CF!BF67</f>
        <v>55</v>
      </c>
      <c r="BU54" s="272">
        <f>CF!BG67</f>
        <v>22</v>
      </c>
      <c r="BV54" s="272">
        <f>CF!BH67</f>
        <v>41</v>
      </c>
      <c r="BW54" s="385">
        <f>SUM(BS54:BV54)</f>
        <v>137</v>
      </c>
      <c r="BX54" s="272">
        <v>18</v>
      </c>
      <c r="BY54" s="272">
        <f>CF!BK67</f>
        <v>39</v>
      </c>
      <c r="BZ54" s="272">
        <f>CF!BL67</f>
        <v>51</v>
      </c>
      <c r="CA54" s="272">
        <f>CF!BM67</f>
        <v>106</v>
      </c>
      <c r="CB54" s="385">
        <f>SUM(BX54:CA54)</f>
        <v>214</v>
      </c>
      <c r="CC54" s="272">
        <f>CF!BO67</f>
        <v>22</v>
      </c>
      <c r="CD54" s="272">
        <f>CF!BP67</f>
        <v>28</v>
      </c>
      <c r="CE54" s="272">
        <f>CF!BQ67</f>
        <v>39</v>
      </c>
      <c r="CF54" s="272">
        <f>CF!BR67</f>
        <v>32</v>
      </c>
      <c r="CG54" s="385">
        <f>CF!BS67</f>
        <v>121</v>
      </c>
      <c r="CH54" s="272">
        <f>CF!BT67</f>
        <v>18</v>
      </c>
      <c r="CI54" s="272">
        <f>CF!BU67</f>
        <v>23</v>
      </c>
      <c r="CJ54" s="272">
        <f>CF!BV67</f>
        <v>27</v>
      </c>
      <c r="CK54" s="272">
        <f>CF!BW67</f>
        <v>54</v>
      </c>
      <c r="CL54" s="385">
        <f>CF!BX67</f>
        <v>122</v>
      </c>
      <c r="CM54" s="272">
        <f>CF!BY67</f>
        <v>23</v>
      </c>
      <c r="CN54" s="272">
        <f>CF!BZ67</f>
        <v>25</v>
      </c>
      <c r="CO54" s="272">
        <f>CF!CA67</f>
        <v>32.647428731134717</v>
      </c>
      <c r="CP54" s="272">
        <f>CF!CB67</f>
        <v>29.775712688652881</v>
      </c>
      <c r="CQ54" s="385">
        <f>CF!CC67</f>
        <v>110.42314141978758</v>
      </c>
      <c r="CR54" s="272">
        <f>CF!CD67</f>
        <v>36.197188955096273</v>
      </c>
      <c r="CS54" s="272">
        <f>CF!CE67</f>
        <v>39.846116935502273</v>
      </c>
      <c r="CT54" s="272">
        <f>CF!CF67</f>
        <v>46.868129013193247</v>
      </c>
      <c r="CU54" s="272">
        <f>CF!CG67</f>
        <v>51.068156713193332</v>
      </c>
      <c r="CV54" s="385">
        <f>CF!CH67</f>
        <v>173.97959161698512</v>
      </c>
      <c r="CW54" s="385">
        <f>CF!CI67</f>
        <v>262.52694470556992</v>
      </c>
      <c r="CX54" s="385">
        <f>CF!CJ67</f>
        <v>390.40479540761424</v>
      </c>
      <c r="CY54" s="385">
        <f>CF!CK67</f>
        <v>492.28962553307372</v>
      </c>
      <c r="CZ54" s="256"/>
      <c r="DG54" s="256"/>
    </row>
    <row r="55" spans="1:111" ht="12" customHeight="1" outlineLevel="1">
      <c r="A55" s="272"/>
      <c r="B55" s="272"/>
      <c r="C55" s="317" t="s">
        <v>295</v>
      </c>
      <c r="D55" s="411"/>
      <c r="E55" s="272"/>
      <c r="F55" s="272">
        <v>0</v>
      </c>
      <c r="G55" s="272">
        <v>0</v>
      </c>
      <c r="H55" s="272">
        <v>0</v>
      </c>
      <c r="I55" s="272">
        <v>0</v>
      </c>
      <c r="J55" s="385">
        <v>0</v>
      </c>
      <c r="K55" s="272">
        <v>0</v>
      </c>
      <c r="L55" s="272">
        <v>0</v>
      </c>
      <c r="M55" s="272">
        <v>0</v>
      </c>
      <c r="N55" s="272">
        <v>0</v>
      </c>
      <c r="O55" s="385">
        <v>0</v>
      </c>
      <c r="P55" s="272">
        <v>0</v>
      </c>
      <c r="Q55" s="272">
        <v>0</v>
      </c>
      <c r="R55" s="272">
        <v>0</v>
      </c>
      <c r="S55" s="272">
        <v>0</v>
      </c>
      <c r="T55" s="385">
        <v>0</v>
      </c>
      <c r="U55" s="272">
        <v>0</v>
      </c>
      <c r="V55" s="272">
        <v>0</v>
      </c>
      <c r="W55" s="272">
        <v>0</v>
      </c>
      <c r="X55" s="272">
        <v>0</v>
      </c>
      <c r="Y55" s="385">
        <v>0</v>
      </c>
      <c r="Z55" s="272">
        <v>0</v>
      </c>
      <c r="AA55" s="272">
        <v>0</v>
      </c>
      <c r="AB55" s="272">
        <v>0</v>
      </c>
      <c r="AC55" s="272">
        <v>0</v>
      </c>
      <c r="AD55" s="385">
        <v>0</v>
      </c>
      <c r="AE55" s="272">
        <v>0</v>
      </c>
      <c r="AF55" s="272">
        <v>0</v>
      </c>
      <c r="AG55" s="272">
        <v>0</v>
      </c>
      <c r="AH55" s="272">
        <v>0</v>
      </c>
      <c r="AI55" s="385">
        <v>0</v>
      </c>
      <c r="AJ55" s="272">
        <v>0</v>
      </c>
      <c r="AK55" s="272">
        <v>0</v>
      </c>
      <c r="AL55" s="272">
        <v>0</v>
      </c>
      <c r="AM55" s="272">
        <v>0</v>
      </c>
      <c r="AN55" s="385">
        <v>0</v>
      </c>
      <c r="AO55" s="272">
        <v>0</v>
      </c>
      <c r="AP55" s="272">
        <v>0</v>
      </c>
      <c r="AQ55" s="272">
        <v>0</v>
      </c>
      <c r="AR55" s="272">
        <v>0</v>
      </c>
      <c r="AS55" s="385">
        <v>0</v>
      </c>
      <c r="AT55" s="317">
        <v>0</v>
      </c>
      <c r="AU55" s="272">
        <v>0</v>
      </c>
      <c r="AV55" s="272">
        <v>0</v>
      </c>
      <c r="AW55" s="272">
        <v>0</v>
      </c>
      <c r="AX55" s="385">
        <v>0</v>
      </c>
      <c r="AY55" s="272">
        <v>0</v>
      </c>
      <c r="AZ55" s="272">
        <v>0</v>
      </c>
      <c r="BA55" s="272">
        <v>0</v>
      </c>
      <c r="BB55" s="272">
        <v>0</v>
      </c>
      <c r="BC55" s="385">
        <f>SUM(AY55:BB55)</f>
        <v>0</v>
      </c>
      <c r="BD55" s="272">
        <v>0</v>
      </c>
      <c r="BE55" s="272">
        <v>0</v>
      </c>
      <c r="BF55" s="272">
        <v>0</v>
      </c>
      <c r="BG55" s="272">
        <v>0</v>
      </c>
      <c r="BH55" s="385">
        <f>SUM(BD55:BG55)</f>
        <v>0</v>
      </c>
      <c r="BI55" s="272">
        <v>0</v>
      </c>
      <c r="BJ55" s="272">
        <v>0</v>
      </c>
      <c r="BK55" s="272">
        <v>0</v>
      </c>
      <c r="BL55" s="272">
        <v>0</v>
      </c>
      <c r="BM55" s="385">
        <f>SUM(BI55:BL55)</f>
        <v>0</v>
      </c>
      <c r="BN55" s="272">
        <v>0</v>
      </c>
      <c r="BO55" s="272">
        <v>0</v>
      </c>
      <c r="BP55" s="272">
        <v>0</v>
      </c>
      <c r="BQ55" s="272">
        <v>0</v>
      </c>
      <c r="BR55" s="385">
        <f>SUM(BN55:BQ55)</f>
        <v>0</v>
      </c>
      <c r="BS55" s="272">
        <v>0</v>
      </c>
      <c r="BT55" s="272">
        <v>0</v>
      </c>
      <c r="BU55" s="272">
        <v>0</v>
      </c>
      <c r="BV55" s="272">
        <v>0</v>
      </c>
      <c r="BW55" s="385">
        <v>0</v>
      </c>
      <c r="BX55" s="272">
        <v>0</v>
      </c>
      <c r="BY55" s="272">
        <v>0</v>
      </c>
      <c r="BZ55" s="272">
        <v>0</v>
      </c>
      <c r="CA55" s="272">
        <v>0</v>
      </c>
      <c r="CB55" s="385">
        <f>SUM(BX55:CA55)</f>
        <v>0</v>
      </c>
      <c r="CC55" s="272">
        <v>0</v>
      </c>
      <c r="CD55" s="272">
        <v>0</v>
      </c>
      <c r="CE55" s="272">
        <v>0</v>
      </c>
      <c r="CF55" s="272">
        <v>0</v>
      </c>
      <c r="CG55" s="385">
        <v>0</v>
      </c>
      <c r="CH55" s="272">
        <v>0</v>
      </c>
      <c r="CI55" s="272">
        <v>0</v>
      </c>
      <c r="CJ55" s="272">
        <v>0</v>
      </c>
      <c r="CK55" s="272">
        <v>0</v>
      </c>
      <c r="CL55" s="385">
        <v>0</v>
      </c>
      <c r="CM55" s="272">
        <v>0</v>
      </c>
      <c r="CN55" s="272">
        <v>0</v>
      </c>
      <c r="CO55" s="272">
        <v>0</v>
      </c>
      <c r="CP55" s="272">
        <v>0</v>
      </c>
      <c r="CQ55" s="385">
        <v>0</v>
      </c>
      <c r="CR55" s="272">
        <v>0</v>
      </c>
      <c r="CS55" s="272">
        <v>0</v>
      </c>
      <c r="CT55" s="272">
        <v>0</v>
      </c>
      <c r="CU55" s="272">
        <v>0</v>
      </c>
      <c r="CV55" s="385">
        <v>0</v>
      </c>
      <c r="CW55" s="385">
        <v>0</v>
      </c>
      <c r="CX55" s="385">
        <v>0</v>
      </c>
      <c r="CY55" s="385">
        <v>0</v>
      </c>
      <c r="CZ55" s="256"/>
      <c r="DG55" s="256"/>
    </row>
    <row r="56" spans="1:111" ht="12" customHeight="1" outlineLevel="1">
      <c r="A56" s="272"/>
      <c r="B56" s="272"/>
      <c r="C56" s="317" t="s">
        <v>294</v>
      </c>
      <c r="D56" s="317"/>
      <c r="E56" s="272"/>
      <c r="F56" s="373"/>
      <c r="G56" s="373"/>
      <c r="H56" s="373"/>
      <c r="I56" s="373">
        <v>0</v>
      </c>
      <c r="J56" s="372">
        <v>0</v>
      </c>
      <c r="K56" s="373">
        <v>0</v>
      </c>
      <c r="L56" s="373">
        <v>0</v>
      </c>
      <c r="M56" s="373">
        <v>0</v>
      </c>
      <c r="N56" s="373">
        <v>0</v>
      </c>
      <c r="O56" s="372">
        <v>0</v>
      </c>
      <c r="P56" s="373">
        <v>0</v>
      </c>
      <c r="Q56" s="373">
        <v>0</v>
      </c>
      <c r="R56" s="373"/>
      <c r="S56" s="373">
        <v>0</v>
      </c>
      <c r="T56" s="372">
        <v>0</v>
      </c>
      <c r="U56" s="373">
        <v>0</v>
      </c>
      <c r="V56" s="373">
        <v>0</v>
      </c>
      <c r="W56" s="373">
        <v>0</v>
      </c>
      <c r="X56" s="373">
        <v>0</v>
      </c>
      <c r="Y56" s="372">
        <v>0</v>
      </c>
      <c r="Z56" s="373">
        <v>0</v>
      </c>
      <c r="AA56" s="373">
        <v>0</v>
      </c>
      <c r="AB56" s="373">
        <v>0</v>
      </c>
      <c r="AC56" s="373">
        <v>0</v>
      </c>
      <c r="AD56" s="372">
        <v>0</v>
      </c>
      <c r="AE56" s="272">
        <v>0</v>
      </c>
      <c r="AF56" s="272">
        <v>0</v>
      </c>
      <c r="AG56" s="272">
        <v>0</v>
      </c>
      <c r="AH56" s="272">
        <v>0</v>
      </c>
      <c r="AI56" s="372">
        <v>0</v>
      </c>
      <c r="AJ56" s="272">
        <f>AE56</f>
        <v>0</v>
      </c>
      <c r="AK56" s="272">
        <f>AF56</f>
        <v>0</v>
      </c>
      <c r="AL56" s="272">
        <f>AG56</f>
        <v>0</v>
      </c>
      <c r="AM56" s="272">
        <f>AH56</f>
        <v>0</v>
      </c>
      <c r="AN56" s="372">
        <f>SUM(AJ56:AM56)</f>
        <v>0</v>
      </c>
      <c r="AO56" s="272">
        <f t="shared" ref="AO56:AX56" si="33">AJ56</f>
        <v>0</v>
      </c>
      <c r="AP56" s="272">
        <f t="shared" si="33"/>
        <v>0</v>
      </c>
      <c r="AQ56" s="272">
        <f t="shared" si="33"/>
        <v>0</v>
      </c>
      <c r="AR56" s="272">
        <f t="shared" si="33"/>
        <v>0</v>
      </c>
      <c r="AS56" s="372">
        <f t="shared" si="33"/>
        <v>0</v>
      </c>
      <c r="AT56" s="317">
        <f t="shared" si="33"/>
        <v>0</v>
      </c>
      <c r="AU56" s="272">
        <f t="shared" si="33"/>
        <v>0</v>
      </c>
      <c r="AV56" s="272">
        <f t="shared" si="33"/>
        <v>0</v>
      </c>
      <c r="AW56" s="272">
        <f t="shared" si="33"/>
        <v>0</v>
      </c>
      <c r="AX56" s="372">
        <f t="shared" si="33"/>
        <v>0</v>
      </c>
      <c r="AY56" s="272">
        <v>0</v>
      </c>
      <c r="AZ56" s="272">
        <v>0</v>
      </c>
      <c r="BA56" s="272">
        <v>0</v>
      </c>
      <c r="BB56" s="272">
        <v>0</v>
      </c>
      <c r="BC56" s="372">
        <f>SUM(AY56:BB56)</f>
        <v>0</v>
      </c>
      <c r="BD56" s="272">
        <v>0</v>
      </c>
      <c r="BE56" s="272">
        <v>0</v>
      </c>
      <c r="BF56" s="272">
        <v>0</v>
      </c>
      <c r="BG56" s="272">
        <v>0</v>
      </c>
      <c r="BH56" s="372">
        <f>SUM(BD56:BG56)</f>
        <v>0</v>
      </c>
      <c r="BI56" s="272">
        <v>0</v>
      </c>
      <c r="BJ56" s="272">
        <v>0</v>
      </c>
      <c r="BK56" s="272">
        <v>0</v>
      </c>
      <c r="BL56" s="272">
        <v>0</v>
      </c>
      <c r="BM56" s="372">
        <f>SUM(BI56:BL56)</f>
        <v>0</v>
      </c>
      <c r="BN56" s="272">
        <v>0</v>
      </c>
      <c r="BO56" s="272">
        <v>0</v>
      </c>
      <c r="BP56" s="272">
        <v>0</v>
      </c>
      <c r="BQ56" s="272">
        <v>0</v>
      </c>
      <c r="BR56" s="372">
        <f>SUM(BN56:BQ56)</f>
        <v>0</v>
      </c>
      <c r="BS56" s="272">
        <v>0</v>
      </c>
      <c r="BT56" s="422">
        <v>0</v>
      </c>
      <c r="BU56" s="422">
        <v>0</v>
      </c>
      <c r="BV56" s="422">
        <v>0</v>
      </c>
      <c r="BW56" s="372">
        <f>SUM(BS56:BV56)</f>
        <v>0</v>
      </c>
      <c r="BX56" s="422">
        <v>0</v>
      </c>
      <c r="BY56" s="422">
        <v>0</v>
      </c>
      <c r="BZ56" s="422">
        <v>0</v>
      </c>
      <c r="CA56" s="422">
        <v>0</v>
      </c>
      <c r="CB56" s="385">
        <f>SUM(BX56:CA56)</f>
        <v>0</v>
      </c>
      <c r="CC56" s="422">
        <v>0</v>
      </c>
      <c r="CD56" s="422">
        <f>CC56</f>
        <v>0</v>
      </c>
      <c r="CE56" s="422">
        <v>0</v>
      </c>
      <c r="CF56" s="422">
        <v>0</v>
      </c>
      <c r="CG56" s="385">
        <f>SUM(CC56:CF56)</f>
        <v>0</v>
      </c>
      <c r="CH56" s="422">
        <v>0</v>
      </c>
      <c r="CI56" s="422">
        <v>0</v>
      </c>
      <c r="CJ56" s="422">
        <v>0</v>
      </c>
      <c r="CK56" s="422">
        <v>0</v>
      </c>
      <c r="CL56" s="385">
        <v>0</v>
      </c>
      <c r="CM56" s="422">
        <v>0</v>
      </c>
      <c r="CN56" s="422">
        <v>0</v>
      </c>
      <c r="CO56" s="422">
        <v>0</v>
      </c>
      <c r="CP56" s="422">
        <v>0</v>
      </c>
      <c r="CQ56" s="421">
        <v>0</v>
      </c>
      <c r="CR56" s="422">
        <v>0</v>
      </c>
      <c r="CS56" s="422">
        <v>0</v>
      </c>
      <c r="CT56" s="422">
        <v>0</v>
      </c>
      <c r="CU56" s="422">
        <v>0</v>
      </c>
      <c r="CV56" s="421">
        <v>0</v>
      </c>
      <c r="CW56" s="421">
        <v>0</v>
      </c>
      <c r="CX56" s="421">
        <v>0</v>
      </c>
      <c r="CY56" s="421">
        <v>0</v>
      </c>
      <c r="CZ56" s="256"/>
      <c r="DG56" s="256"/>
    </row>
    <row r="57" spans="1:111" ht="12" customHeight="1" outlineLevel="1">
      <c r="A57" s="272"/>
      <c r="B57" s="272"/>
      <c r="C57" s="317"/>
      <c r="D57" s="411"/>
      <c r="E57" s="272"/>
      <c r="F57" s="272"/>
      <c r="G57" s="272"/>
      <c r="H57" s="272"/>
      <c r="I57" s="272"/>
      <c r="J57" s="300"/>
      <c r="K57" s="272"/>
      <c r="L57" s="272"/>
      <c r="M57" s="272"/>
      <c r="N57" s="272"/>
      <c r="O57" s="300"/>
      <c r="P57" s="272"/>
      <c r="Q57" s="272"/>
      <c r="R57" s="272"/>
      <c r="S57" s="272"/>
      <c r="T57" s="300"/>
      <c r="U57" s="272"/>
      <c r="V57" s="272"/>
      <c r="W57" s="272"/>
      <c r="X57" s="272"/>
      <c r="Y57" s="300"/>
      <c r="Z57" s="272"/>
      <c r="AA57" s="272"/>
      <c r="AB57" s="272"/>
      <c r="AC57" s="272"/>
      <c r="AD57" s="300"/>
      <c r="AE57" s="272"/>
      <c r="AF57" s="272"/>
      <c r="AG57" s="272"/>
      <c r="AH57" s="272"/>
      <c r="AI57" s="300"/>
      <c r="AJ57" s="272"/>
      <c r="AK57" s="272"/>
      <c r="AL57" s="272"/>
      <c r="AM57" s="272"/>
      <c r="AN57" s="300"/>
      <c r="AO57" s="272"/>
      <c r="AP57" s="272"/>
      <c r="AQ57" s="272"/>
      <c r="AR57" s="272"/>
      <c r="AS57" s="300"/>
      <c r="AT57" s="317"/>
      <c r="AU57" s="272"/>
      <c r="AV57" s="272"/>
      <c r="AW57" s="272"/>
      <c r="AX57" s="300"/>
      <c r="AY57" s="272"/>
      <c r="AZ57" s="272"/>
      <c r="BA57" s="272"/>
      <c r="BB57" s="272"/>
      <c r="BC57" s="300"/>
      <c r="BD57" s="272"/>
      <c r="BE57" s="272"/>
      <c r="BF57" s="272"/>
      <c r="BG57" s="272"/>
      <c r="BH57" s="300"/>
      <c r="BI57" s="371"/>
      <c r="BJ57" s="371"/>
      <c r="BK57" s="371"/>
      <c r="BL57" s="371"/>
      <c r="BM57" s="300"/>
      <c r="BN57" s="371"/>
      <c r="BO57" s="371"/>
      <c r="BP57" s="371"/>
      <c r="BQ57" s="371"/>
      <c r="BR57" s="300"/>
      <c r="BS57" s="371"/>
      <c r="BT57" s="371"/>
      <c r="BU57" s="371"/>
      <c r="BV57" s="371"/>
      <c r="BW57" s="300"/>
      <c r="BX57" s="371"/>
      <c r="BY57" s="371"/>
      <c r="BZ57" s="371"/>
      <c r="CA57" s="371"/>
      <c r="CB57" s="300"/>
      <c r="CC57" s="371"/>
      <c r="CD57" s="371"/>
      <c r="CE57" s="371"/>
      <c r="CF57" s="371"/>
      <c r="CG57" s="300"/>
      <c r="CH57" s="371"/>
      <c r="CI57" s="371"/>
      <c r="CJ57" s="371"/>
      <c r="CK57" s="371"/>
      <c r="CL57" s="300"/>
      <c r="CM57" s="371"/>
      <c r="CN57" s="371"/>
      <c r="CO57" s="371"/>
      <c r="CP57" s="371"/>
      <c r="CQ57" s="300"/>
      <c r="CR57" s="371"/>
      <c r="CS57" s="371"/>
      <c r="CT57" s="371"/>
      <c r="CU57" s="371"/>
      <c r="CV57" s="300"/>
      <c r="CW57" s="300"/>
      <c r="CX57" s="300"/>
      <c r="CY57" s="300"/>
      <c r="CZ57" s="256"/>
      <c r="DG57" s="256"/>
    </row>
    <row r="58" spans="1:111" ht="12" customHeight="1" thickBot="1">
      <c r="A58" s="371"/>
      <c r="B58" s="371"/>
      <c r="C58" s="380" t="s">
        <v>112</v>
      </c>
      <c r="D58" s="380"/>
      <c r="E58" s="379"/>
      <c r="F58" s="379">
        <v>667</v>
      </c>
      <c r="G58" s="379">
        <v>878</v>
      </c>
      <c r="H58" s="379">
        <v>850</v>
      </c>
      <c r="I58" s="379">
        <v>745</v>
      </c>
      <c r="J58" s="420">
        <v>3140</v>
      </c>
      <c r="K58" s="379">
        <v>777</v>
      </c>
      <c r="L58" s="379">
        <v>989</v>
      </c>
      <c r="M58" s="379">
        <v>822</v>
      </c>
      <c r="N58" s="379">
        <v>731</v>
      </c>
      <c r="O58" s="420">
        <v>3233</v>
      </c>
      <c r="P58" s="379">
        <v>797</v>
      </c>
      <c r="Q58" s="379">
        <v>1031</v>
      </c>
      <c r="R58" s="379">
        <v>1002</v>
      </c>
      <c r="S58" s="379">
        <v>827</v>
      </c>
      <c r="T58" s="420">
        <v>3657</v>
      </c>
      <c r="U58" s="379">
        <v>837</v>
      </c>
      <c r="V58" s="379">
        <v>1033</v>
      </c>
      <c r="W58" s="379">
        <v>1048</v>
      </c>
      <c r="X58" s="379">
        <v>927</v>
      </c>
      <c r="Y58" s="420">
        <v>3845</v>
      </c>
      <c r="Z58" s="379">
        <v>920</v>
      </c>
      <c r="AA58" s="379">
        <v>1217</v>
      </c>
      <c r="AB58" s="379">
        <v>1130</v>
      </c>
      <c r="AC58" s="379">
        <v>1034</v>
      </c>
      <c r="AD58" s="420">
        <v>4470</v>
      </c>
      <c r="AE58" s="379">
        <v>1088</v>
      </c>
      <c r="AF58" s="379">
        <v>1489</v>
      </c>
      <c r="AG58" s="379">
        <v>1384</v>
      </c>
      <c r="AH58" s="379">
        <v>1221</v>
      </c>
      <c r="AI58" s="420">
        <v>5182</v>
      </c>
      <c r="AJ58" s="379">
        <f t="shared" ref="AJ58:BO58" si="34">AJ39+SUM(AJ54:AJ56)</f>
        <v>1282</v>
      </c>
      <c r="AK58" s="379">
        <f t="shared" si="34"/>
        <v>1741</v>
      </c>
      <c r="AL58" s="379">
        <f t="shared" si="34"/>
        <v>1647</v>
      </c>
      <c r="AM58" s="379">
        <f t="shared" si="34"/>
        <v>1428</v>
      </c>
      <c r="AN58" s="420">
        <f t="shared" si="34"/>
        <v>6098</v>
      </c>
      <c r="AO58" s="379">
        <f t="shared" si="34"/>
        <v>1504</v>
      </c>
      <c r="AP58" s="379">
        <f t="shared" si="34"/>
        <v>1865</v>
      </c>
      <c r="AQ58" s="379">
        <f t="shared" si="34"/>
        <v>1888</v>
      </c>
      <c r="AR58" s="379">
        <f t="shared" si="34"/>
        <v>1793</v>
      </c>
      <c r="AS58" s="420">
        <f t="shared" si="34"/>
        <v>7050</v>
      </c>
      <c r="AT58" s="380">
        <f t="shared" si="34"/>
        <v>1674</v>
      </c>
      <c r="AU58" s="379">
        <f t="shared" si="34"/>
        <v>2099</v>
      </c>
      <c r="AV58" s="379">
        <f t="shared" si="34"/>
        <v>2049</v>
      </c>
      <c r="AW58" s="379">
        <f t="shared" si="34"/>
        <v>1803</v>
      </c>
      <c r="AX58" s="420">
        <f t="shared" si="34"/>
        <v>7625</v>
      </c>
      <c r="AY58" s="379">
        <f t="shared" si="34"/>
        <v>1251.135</v>
      </c>
      <c r="AZ58" s="379">
        <f t="shared" si="34"/>
        <v>1632.86</v>
      </c>
      <c r="BA58" s="379">
        <f t="shared" si="34"/>
        <v>1768.58</v>
      </c>
      <c r="BB58" s="379">
        <f t="shared" si="34"/>
        <v>1805.66</v>
      </c>
      <c r="BC58" s="420">
        <f t="shared" si="34"/>
        <v>6458.2349999999997</v>
      </c>
      <c r="BD58" s="379">
        <f t="shared" si="34"/>
        <v>1549</v>
      </c>
      <c r="BE58" s="379">
        <f t="shared" si="34"/>
        <v>1908</v>
      </c>
      <c r="BF58" s="379">
        <f t="shared" si="34"/>
        <v>1954</v>
      </c>
      <c r="BG58" s="379">
        <f t="shared" si="34"/>
        <v>1877</v>
      </c>
      <c r="BH58" s="420">
        <f t="shared" si="34"/>
        <v>7288</v>
      </c>
      <c r="BI58" s="379">
        <f t="shared" si="34"/>
        <v>1717</v>
      </c>
      <c r="BJ58" s="379">
        <f t="shared" si="34"/>
        <v>2173</v>
      </c>
      <c r="BK58" s="379">
        <f t="shared" si="34"/>
        <v>2178</v>
      </c>
      <c r="BL58" s="379">
        <f t="shared" si="34"/>
        <v>1957</v>
      </c>
      <c r="BM58" s="420">
        <f t="shared" si="34"/>
        <v>8025</v>
      </c>
      <c r="BN58" s="379">
        <f t="shared" si="34"/>
        <v>1748</v>
      </c>
      <c r="BO58" s="379">
        <f t="shared" si="34"/>
        <v>2201</v>
      </c>
      <c r="BP58" s="379">
        <f t="shared" ref="BP58:CV58" si="35">BP39+SUM(BP54:BP56)</f>
        <v>2085</v>
      </c>
      <c r="BQ58" s="379">
        <f t="shared" si="35"/>
        <v>1770</v>
      </c>
      <c r="BR58" s="420">
        <f t="shared" si="35"/>
        <v>7804</v>
      </c>
      <c r="BS58" s="379">
        <f t="shared" si="35"/>
        <v>2025</v>
      </c>
      <c r="BT58" s="379">
        <f t="shared" si="35"/>
        <v>2562</v>
      </c>
      <c r="BU58" s="379">
        <f t="shared" si="35"/>
        <v>2388</v>
      </c>
      <c r="BV58" s="379">
        <f t="shared" si="35"/>
        <v>2371</v>
      </c>
      <c r="BW58" s="420">
        <f t="shared" si="35"/>
        <v>9346</v>
      </c>
      <c r="BX58" s="379">
        <f t="shared" si="35"/>
        <v>2116</v>
      </c>
      <c r="BY58" s="379">
        <f t="shared" si="35"/>
        <v>2394</v>
      </c>
      <c r="BZ58" s="379">
        <f t="shared" si="35"/>
        <v>2797</v>
      </c>
      <c r="CA58" s="379">
        <f t="shared" si="35"/>
        <v>2676</v>
      </c>
      <c r="CB58" s="420">
        <f t="shared" si="35"/>
        <v>9983</v>
      </c>
      <c r="CC58" s="379">
        <f t="shared" si="35"/>
        <v>2204</v>
      </c>
      <c r="CD58" s="379">
        <f t="shared" si="35"/>
        <v>2450</v>
      </c>
      <c r="CE58" s="379">
        <f t="shared" si="35"/>
        <v>2341</v>
      </c>
      <c r="CF58" s="379">
        <f t="shared" si="35"/>
        <v>424</v>
      </c>
      <c r="CG58" s="420">
        <f t="shared" si="35"/>
        <v>7419</v>
      </c>
      <c r="CH58" s="379">
        <f t="shared" si="35"/>
        <v>1963</v>
      </c>
      <c r="CI58" s="379">
        <f t="shared" si="35"/>
        <v>2360</v>
      </c>
      <c r="CJ58" s="379">
        <f t="shared" si="35"/>
        <v>2278</v>
      </c>
      <c r="CK58" s="379">
        <f t="shared" si="35"/>
        <v>1693</v>
      </c>
      <c r="CL58" s="420">
        <f t="shared" si="35"/>
        <v>8294</v>
      </c>
      <c r="CM58" s="379">
        <f>CM39+SUM(CM54:CM56)</f>
        <v>2290</v>
      </c>
      <c r="CN58" s="379">
        <f>CN39+SUM(CN54:CN56)</f>
        <v>2315</v>
      </c>
      <c r="CO58" s="379">
        <f>CO39+SUM(CO54:CO56)</f>
        <v>2195.6474287311348</v>
      </c>
      <c r="CP58" s="379">
        <f>CP39+SUM(CP54:CP56)</f>
        <v>1998.5272194314214</v>
      </c>
      <c r="CQ58" s="420">
        <f t="shared" si="35"/>
        <v>8799.174648162556</v>
      </c>
      <c r="CR58" s="379">
        <f>CR39+SUM(CR54:CR56)</f>
        <v>1945.8523819432987</v>
      </c>
      <c r="CS58" s="379">
        <f>CS39+SUM(CS54:CS56)</f>
        <v>2363.1187035139519</v>
      </c>
      <c r="CT58" s="379">
        <f>CT39+SUM(CT54:CT56)</f>
        <v>2413.471558878035</v>
      </c>
      <c r="CU58" s="379">
        <f>CU39+SUM(CU54:CU56)</f>
        <v>2186.2791307976931</v>
      </c>
      <c r="CV58" s="420">
        <f t="shared" si="35"/>
        <v>8908.7217751329845</v>
      </c>
      <c r="CW58" s="420">
        <f>CW39+SUM(CW54:CW56)</f>
        <v>9984.4783419907308</v>
      </c>
      <c r="CX58" s="420">
        <f>CX39+SUM(CX54:CX56)</f>
        <v>10836.809302831794</v>
      </c>
      <c r="CY58" s="420">
        <f>CY39+SUM(CY54:CY56)</f>
        <v>11334.369384724774</v>
      </c>
      <c r="CZ58" s="256"/>
      <c r="DG58" s="256"/>
    </row>
    <row r="59" spans="1:111" ht="12" customHeight="1" thickTop="1">
      <c r="A59" s="371"/>
      <c r="B59" s="371"/>
      <c r="C59" s="370"/>
      <c r="D59" s="419" t="s">
        <v>293</v>
      </c>
      <c r="E59" s="369"/>
      <c r="F59" s="369"/>
      <c r="G59" s="369"/>
      <c r="H59" s="369"/>
      <c r="I59" s="369"/>
      <c r="J59" s="416">
        <f t="shared" ref="J59:AO59" si="36">J58/J21</f>
        <v>0.11812060339314599</v>
      </c>
      <c r="K59" s="417">
        <f t="shared" si="36"/>
        <v>0.11647429171038824</v>
      </c>
      <c r="L59" s="417">
        <f t="shared" si="36"/>
        <v>0.13488816148390617</v>
      </c>
      <c r="M59" s="417">
        <f t="shared" si="36"/>
        <v>0.11878612716763005</v>
      </c>
      <c r="N59" s="417">
        <f t="shared" si="36"/>
        <v>0.10354107648725212</v>
      </c>
      <c r="O59" s="416">
        <f t="shared" si="36"/>
        <v>0.11589059755529268</v>
      </c>
      <c r="P59" s="417">
        <f t="shared" si="36"/>
        <v>0.12503922183871979</v>
      </c>
      <c r="Q59" s="417">
        <f t="shared" si="36"/>
        <v>0.14077007099945385</v>
      </c>
      <c r="R59" s="417">
        <f t="shared" si="36"/>
        <v>0.13727907932593506</v>
      </c>
      <c r="S59" s="417">
        <f t="shared" si="36"/>
        <v>0.11462231462231462</v>
      </c>
      <c r="T59" s="416">
        <f t="shared" si="36"/>
        <v>0.12962569119523606</v>
      </c>
      <c r="U59" s="417">
        <f t="shared" si="36"/>
        <v>0.12488809310653537</v>
      </c>
      <c r="V59" s="417">
        <f t="shared" si="36"/>
        <v>0.13260590500641847</v>
      </c>
      <c r="W59" s="417">
        <f t="shared" si="36"/>
        <v>0.13175760623585617</v>
      </c>
      <c r="X59" s="417">
        <f t="shared" si="36"/>
        <v>0.10794131346064276</v>
      </c>
      <c r="Y59" s="416">
        <f t="shared" si="36"/>
        <v>0.12389637172133788</v>
      </c>
      <c r="Z59" s="417">
        <f t="shared" si="36"/>
        <v>0.10640758732361785</v>
      </c>
      <c r="AA59" s="417">
        <f t="shared" si="36"/>
        <v>0.12648098108501352</v>
      </c>
      <c r="AB59" s="417">
        <f t="shared" si="36"/>
        <v>0.12099796552093373</v>
      </c>
      <c r="AC59" s="417">
        <f t="shared" si="36"/>
        <v>0.10510266314291522</v>
      </c>
      <c r="AD59" s="416">
        <f t="shared" si="36"/>
        <v>0.11937508345573508</v>
      </c>
      <c r="AE59" s="417">
        <f t="shared" si="36"/>
        <v>0.11565855214202189</v>
      </c>
      <c r="AF59" s="417">
        <f t="shared" si="36"/>
        <v>0.13351865136298421</v>
      </c>
      <c r="AG59" s="417">
        <f t="shared" si="36"/>
        <v>0.12691425951398441</v>
      </c>
      <c r="AH59" s="417">
        <f t="shared" si="36"/>
        <v>0.10842731551371992</v>
      </c>
      <c r="AI59" s="416">
        <f t="shared" si="36"/>
        <v>0.12128730251609128</v>
      </c>
      <c r="AJ59" s="417">
        <f t="shared" si="36"/>
        <v>0.12077249175694772</v>
      </c>
      <c r="AK59" s="417">
        <f t="shared" si="36"/>
        <v>0.14196020874103066</v>
      </c>
      <c r="AL59" s="417">
        <f t="shared" si="36"/>
        <v>0.13541067170928225</v>
      </c>
      <c r="AM59" s="417">
        <f t="shared" si="36"/>
        <v>0.11167592085712051</v>
      </c>
      <c r="AN59" s="416">
        <f t="shared" si="36"/>
        <v>0.127495870706057</v>
      </c>
      <c r="AO59" s="417">
        <f t="shared" si="36"/>
        <v>0.1224955204430689</v>
      </c>
      <c r="AP59" s="417">
        <f t="shared" ref="AP59:BU59" si="37">AP58/AP21</f>
        <v>0.13413406214039125</v>
      </c>
      <c r="AQ59" s="417">
        <f t="shared" si="37"/>
        <v>0.13618985789511651</v>
      </c>
      <c r="AR59" s="417">
        <f t="shared" si="37"/>
        <v>0.1218567350822346</v>
      </c>
      <c r="AS59" s="416">
        <f t="shared" si="37"/>
        <v>0.12874595956829013</v>
      </c>
      <c r="AT59" s="418">
        <f t="shared" si="37"/>
        <v>0.119931222238143</v>
      </c>
      <c r="AU59" s="417">
        <f t="shared" si="37"/>
        <v>0.13164826894129453</v>
      </c>
      <c r="AV59" s="417">
        <f t="shared" si="37"/>
        <v>0.13583029499502816</v>
      </c>
      <c r="AW59" s="417">
        <f t="shared" si="37"/>
        <v>0.12207176709546377</v>
      </c>
      <c r="AX59" s="416">
        <f t="shared" si="37"/>
        <v>0.12760011379419983</v>
      </c>
      <c r="AY59" s="417">
        <f t="shared" si="37"/>
        <v>0.10256045577506354</v>
      </c>
      <c r="AZ59" s="417">
        <f t="shared" si="37"/>
        <v>0.12502756508422663</v>
      </c>
      <c r="BA59" s="417">
        <f t="shared" si="37"/>
        <v>0.13411541669826343</v>
      </c>
      <c r="BB59" s="417">
        <f t="shared" si="37"/>
        <v>0.12916946848844696</v>
      </c>
      <c r="BC59" s="416">
        <f t="shared" si="37"/>
        <v>0.12318998569384834</v>
      </c>
      <c r="BD59" s="417">
        <f t="shared" si="37"/>
        <v>0.1286544850498339</v>
      </c>
      <c r="BE59" s="417">
        <f t="shared" si="37"/>
        <v>0.13824083466164325</v>
      </c>
      <c r="BF59" s="417">
        <f t="shared" si="37"/>
        <v>0.14346549192364169</v>
      </c>
      <c r="BG59" s="417">
        <f t="shared" si="37"/>
        <v>0.12627825618945102</v>
      </c>
      <c r="BH59" s="416">
        <f t="shared" si="37"/>
        <v>0.1341530758752715</v>
      </c>
      <c r="BI59" s="417">
        <f t="shared" si="37"/>
        <v>0.13548488913438017</v>
      </c>
      <c r="BJ59" s="417">
        <f t="shared" si="37"/>
        <v>0.15018315018315018</v>
      </c>
      <c r="BK59" s="417">
        <f t="shared" si="37"/>
        <v>0.15300316122233931</v>
      </c>
      <c r="BL59" s="417">
        <f t="shared" si="37"/>
        <v>0.13612019197329067</v>
      </c>
      <c r="BM59" s="416">
        <f t="shared" si="37"/>
        <v>0.14393586110413603</v>
      </c>
      <c r="BN59" s="417">
        <f t="shared" si="37"/>
        <v>0.1407860824742268</v>
      </c>
      <c r="BO59" s="417">
        <f t="shared" si="37"/>
        <v>0.15941189251828783</v>
      </c>
      <c r="BP59" s="417">
        <f t="shared" si="37"/>
        <v>0.13861188671719185</v>
      </c>
      <c r="BQ59" s="417">
        <f t="shared" si="37"/>
        <v>0.10764459040321109</v>
      </c>
      <c r="BR59" s="416">
        <f t="shared" si="37"/>
        <v>0.13523255007971166</v>
      </c>
      <c r="BS59" s="417">
        <f t="shared" si="37"/>
        <v>0.1406347663032155</v>
      </c>
      <c r="BT59" s="417">
        <f t="shared" si="37"/>
        <v>0.16006497563413719</v>
      </c>
      <c r="BU59" s="417">
        <f t="shared" si="37"/>
        <v>0.15444315095071789</v>
      </c>
      <c r="BV59" s="417">
        <f t="shared" ref="BV59:CV59" si="38">BV58/BV21</f>
        <v>0.1414762217316069</v>
      </c>
      <c r="BW59" s="416">
        <f t="shared" si="38"/>
        <v>0.14923514195382109</v>
      </c>
      <c r="BX59" s="417">
        <f t="shared" si="38"/>
        <v>0.14350627331298746</v>
      </c>
      <c r="BY59" s="417">
        <f t="shared" si="38"/>
        <v>0.13925891454831016</v>
      </c>
      <c r="BZ59" s="417">
        <f t="shared" si="38"/>
        <v>0.17299604156358239</v>
      </c>
      <c r="CA59" s="417">
        <f t="shared" si="38"/>
        <v>0.1574488114850553</v>
      </c>
      <c r="CB59" s="416">
        <f t="shared" si="38"/>
        <v>0.15334869431643625</v>
      </c>
      <c r="CC59" s="417">
        <f t="shared" si="38"/>
        <v>0.16546546546546548</v>
      </c>
      <c r="CD59" s="417">
        <f t="shared" si="38"/>
        <v>0.16670068721507791</v>
      </c>
      <c r="CE59" s="417">
        <f t="shared" si="38"/>
        <v>0.1697853205686104</v>
      </c>
      <c r="CF59" s="417">
        <f t="shared" si="38"/>
        <v>2.9650349650349652E-2</v>
      </c>
      <c r="CG59" s="416">
        <f t="shared" si="38"/>
        <v>0.13238849881757142</v>
      </c>
      <c r="CH59" s="417">
        <f t="shared" si="38"/>
        <v>0.14696413865388935</v>
      </c>
      <c r="CI59" s="417">
        <f t="shared" si="38"/>
        <v>0.15866612881538256</v>
      </c>
      <c r="CJ59" s="417">
        <f t="shared" si="38"/>
        <v>0.15870140727323395</v>
      </c>
      <c r="CK59" s="417">
        <f t="shared" si="38"/>
        <v>0.11549218909884712</v>
      </c>
      <c r="CL59" s="416">
        <f t="shared" si="38"/>
        <v>0.14488854727132974</v>
      </c>
      <c r="CM59" s="417">
        <f>CM58/CM21</f>
        <v>0.16576185305826999</v>
      </c>
      <c r="CN59" s="417">
        <f>CN58/CN21</f>
        <v>0.15150523560209425</v>
      </c>
      <c r="CO59" s="417">
        <f>CO58/CO21</f>
        <v>0.14577396286888428</v>
      </c>
      <c r="CP59" s="417">
        <f>CP58/CP21</f>
        <v>0.13018645020050865</v>
      </c>
      <c r="CQ59" s="416">
        <f t="shared" si="38"/>
        <v>0.14786473869049938</v>
      </c>
      <c r="CR59" s="417">
        <f>CR58/CR21</f>
        <v>0.13266570307908307</v>
      </c>
      <c r="CS59" s="417">
        <f>CS58/CS21</f>
        <v>0.1444562247024701</v>
      </c>
      <c r="CT59" s="417">
        <f>CT58/CT21</f>
        <v>0.15274740165045264</v>
      </c>
      <c r="CU59" s="417">
        <f>CU58/CU21</f>
        <v>0.13661717790250347</v>
      </c>
      <c r="CV59" s="416">
        <f t="shared" si="38"/>
        <v>0.14132032520990329</v>
      </c>
      <c r="CW59" s="416">
        <f>CW58/CW21</f>
        <v>0.1518080861685783</v>
      </c>
      <c r="CX59" s="416">
        <f>CX58/CX21</f>
        <v>0.15789579029001649</v>
      </c>
      <c r="CY59" s="416">
        <f>CY58/CY21</f>
        <v>0.15940429345038673</v>
      </c>
      <c r="CZ59" s="256"/>
      <c r="DG59" s="256"/>
    </row>
    <row r="60" spans="1:111" ht="12" customHeight="1">
      <c r="A60" s="272"/>
      <c r="B60" s="272"/>
      <c r="C60" s="317"/>
      <c r="D60" s="411"/>
      <c r="E60" s="272"/>
      <c r="F60" s="272"/>
      <c r="G60" s="272"/>
      <c r="H60" s="272"/>
      <c r="I60" s="272"/>
      <c r="J60" s="300"/>
      <c r="K60" s="272"/>
      <c r="L60" s="272"/>
      <c r="M60" s="272"/>
      <c r="N60" s="272"/>
      <c r="O60" s="300"/>
      <c r="P60" s="272"/>
      <c r="Q60" s="272"/>
      <c r="R60" s="272"/>
      <c r="S60" s="272"/>
      <c r="T60" s="300"/>
      <c r="U60" s="272"/>
      <c r="V60" s="272"/>
      <c r="W60" s="272"/>
      <c r="X60" s="272"/>
      <c r="Y60" s="300"/>
      <c r="Z60" s="272"/>
      <c r="AA60" s="272"/>
      <c r="AB60" s="272"/>
      <c r="AC60" s="272"/>
      <c r="AD60" s="300"/>
      <c r="AE60" s="272"/>
      <c r="AF60" s="272"/>
      <c r="AG60" s="272"/>
      <c r="AH60" s="272"/>
      <c r="AI60" s="300"/>
      <c r="AJ60" s="272"/>
      <c r="AK60" s="272"/>
      <c r="AL60" s="272"/>
      <c r="AM60" s="272"/>
      <c r="AN60" s="300"/>
      <c r="AO60" s="272"/>
      <c r="AP60" s="272"/>
      <c r="AQ60" s="272"/>
      <c r="AR60" s="272"/>
      <c r="AS60" s="300"/>
      <c r="AT60" s="317"/>
      <c r="AU60" s="272"/>
      <c r="AV60" s="272"/>
      <c r="AW60" s="272"/>
      <c r="AX60" s="300"/>
      <c r="AY60" s="272"/>
      <c r="AZ60" s="272"/>
      <c r="BA60" s="272"/>
      <c r="BB60" s="272"/>
      <c r="BC60" s="300"/>
      <c r="BD60" s="272"/>
      <c r="BE60" s="272"/>
      <c r="BF60" s="272"/>
      <c r="BG60" s="272"/>
      <c r="BH60" s="300"/>
      <c r="BI60" s="272"/>
      <c r="BJ60" s="272"/>
      <c r="BK60" s="272"/>
      <c r="BL60" s="272"/>
      <c r="BM60" s="300"/>
      <c r="BN60" s="272"/>
      <c r="BO60" s="272"/>
      <c r="BP60" s="272"/>
      <c r="BQ60" s="272"/>
      <c r="BR60" s="300"/>
      <c r="BS60" s="272"/>
      <c r="BT60" s="272"/>
      <c r="BU60" s="272"/>
      <c r="BV60" s="272"/>
      <c r="BW60" s="300"/>
      <c r="BX60" s="272"/>
      <c r="BY60" s="272"/>
      <c r="BZ60" s="272"/>
      <c r="CA60" s="272"/>
      <c r="CB60" s="300"/>
      <c r="CC60" s="272"/>
      <c r="CD60" s="272"/>
      <c r="CE60" s="272"/>
      <c r="CF60" s="272"/>
      <c r="CG60" s="300"/>
      <c r="CH60" s="272"/>
      <c r="CI60" s="272"/>
      <c r="CJ60" s="272"/>
      <c r="CK60" s="272"/>
      <c r="CL60" s="300"/>
      <c r="CM60" s="272"/>
      <c r="CN60" s="272"/>
      <c r="CO60" s="272"/>
      <c r="CP60" s="272"/>
      <c r="CQ60" s="300"/>
      <c r="CR60" s="272"/>
      <c r="CS60" s="272"/>
      <c r="CT60" s="272"/>
      <c r="CU60" s="272"/>
      <c r="CV60" s="300"/>
      <c r="CW60" s="300"/>
      <c r="CX60" s="300"/>
      <c r="CY60" s="300"/>
      <c r="CZ60" s="256"/>
      <c r="DG60" s="256"/>
    </row>
    <row r="61" spans="1:111" ht="12" customHeight="1">
      <c r="A61" s="272"/>
      <c r="B61" s="272"/>
      <c r="C61" s="317" t="s">
        <v>145</v>
      </c>
      <c r="D61" s="411"/>
      <c r="E61" s="272"/>
      <c r="F61" s="373">
        <v>-86</v>
      </c>
      <c r="G61" s="373">
        <v>-93</v>
      </c>
      <c r="H61" s="373">
        <v>-97</v>
      </c>
      <c r="I61" s="373">
        <v>-106</v>
      </c>
      <c r="J61" s="385">
        <v>-382</v>
      </c>
      <c r="K61" s="373">
        <v>-107</v>
      </c>
      <c r="L61" s="373">
        <v>-109</v>
      </c>
      <c r="M61" s="373">
        <v>-100</v>
      </c>
      <c r="N61" s="373">
        <v>-110</v>
      </c>
      <c r="O61" s="385">
        <v>-426</v>
      </c>
      <c r="P61" s="373">
        <v>-99</v>
      </c>
      <c r="Q61" s="373">
        <v>-96</v>
      </c>
      <c r="R61" s="373">
        <v>-93</v>
      </c>
      <c r="S61" s="373">
        <v>-93</v>
      </c>
      <c r="T61" s="385">
        <v>-381</v>
      </c>
      <c r="U61" s="373">
        <v>-91</v>
      </c>
      <c r="V61" s="373">
        <v>-93</v>
      </c>
      <c r="W61" s="373">
        <v>-95</v>
      </c>
      <c r="X61" s="373">
        <v>-96</v>
      </c>
      <c r="Y61" s="385">
        <v>-375</v>
      </c>
      <c r="Z61" s="373">
        <v>-87</v>
      </c>
      <c r="AA61" s="373">
        <v>-91</v>
      </c>
      <c r="AB61" s="373">
        <v>-89</v>
      </c>
      <c r="AC61" s="373">
        <v>-96</v>
      </c>
      <c r="AD61" s="385">
        <v>-363</v>
      </c>
      <c r="AE61" s="272">
        <v>-100</v>
      </c>
      <c r="AF61" s="272">
        <v>-120</v>
      </c>
      <c r="AG61" s="272">
        <v>-135</v>
      </c>
      <c r="AH61" s="272">
        <v>-143</v>
      </c>
      <c r="AI61" s="385">
        <v>-498</v>
      </c>
      <c r="AJ61" s="272">
        <v>-142</v>
      </c>
      <c r="AK61" s="272">
        <v>-155</v>
      </c>
      <c r="AL61" s="272">
        <v>-156</v>
      </c>
      <c r="AM61" s="272">
        <v>-153</v>
      </c>
      <c r="AN61" s="385">
        <v>-606</v>
      </c>
      <c r="AO61" s="272">
        <v>-150</v>
      </c>
      <c r="AP61" s="272">
        <v>-163</v>
      </c>
      <c r="AQ61" s="272">
        <v>-179</v>
      </c>
      <c r="AR61" s="272">
        <v>-174</v>
      </c>
      <c r="AS61" s="385">
        <v>-666</v>
      </c>
      <c r="AT61" s="317">
        <v>-165</v>
      </c>
      <c r="AU61" s="272">
        <v>-176</v>
      </c>
      <c r="AV61" s="272">
        <v>-177</v>
      </c>
      <c r="AW61" s="272">
        <v>-171</v>
      </c>
      <c r="AX61" s="385">
        <f>SUM(AT61:AW61)</f>
        <v>-689</v>
      </c>
      <c r="AY61" s="272">
        <f>CF!AK70</f>
        <v>-173.25</v>
      </c>
      <c r="AZ61" s="272">
        <f>CF!AL70</f>
        <v>-175.25</v>
      </c>
      <c r="BA61" s="272">
        <f>CF!AM70</f>
        <v>-168.25</v>
      </c>
      <c r="BB61" s="272">
        <f>CF!AN70</f>
        <v>-181.25</v>
      </c>
      <c r="BC61" s="385">
        <f>SUM(AY61:BB61)</f>
        <v>-698</v>
      </c>
      <c r="BD61" s="272">
        <f>CF!AP70</f>
        <v>-197</v>
      </c>
      <c r="BE61" s="272">
        <f>CF!AQ70</f>
        <v>-175</v>
      </c>
      <c r="BF61" s="272">
        <f>CF!AR70</f>
        <v>-187</v>
      </c>
      <c r="BG61" s="272">
        <f>CF!AS70</f>
        <v>-191</v>
      </c>
      <c r="BH61" s="385">
        <f>SUM(BD61:BG61)</f>
        <v>-750</v>
      </c>
      <c r="BI61" s="272">
        <f>CF!AU70</f>
        <v>-166</v>
      </c>
      <c r="BJ61" s="272">
        <f>CF!AV70</f>
        <v>-164</v>
      </c>
      <c r="BK61" s="272">
        <f>CF!AW70</f>
        <v>-166</v>
      </c>
      <c r="BL61" s="272">
        <f>CF!AX70</f>
        <v>-179</v>
      </c>
      <c r="BM61" s="385">
        <f>SUM(BI61:BL61)</f>
        <v>-675</v>
      </c>
      <c r="BN61" s="272">
        <f>CF!AZ70</f>
        <v>-164</v>
      </c>
      <c r="BO61" s="272">
        <f>CF!BA70</f>
        <v>-190</v>
      </c>
      <c r="BP61" s="272">
        <f>CF!BB70</f>
        <v>-260</v>
      </c>
      <c r="BQ61" s="272">
        <f>CF!BC70</f>
        <v>-279</v>
      </c>
      <c r="BR61" s="385">
        <f>SUM(BN61:BQ61)</f>
        <v>-893</v>
      </c>
      <c r="BS61" s="272">
        <f>CF!BE70</f>
        <v>-255</v>
      </c>
      <c r="BT61" s="272">
        <f>CF!BF70</f>
        <v>-272</v>
      </c>
      <c r="BU61" s="272">
        <f>CF!BG70</f>
        <v>-248</v>
      </c>
      <c r="BV61" s="272">
        <f>-218-BV54</f>
        <v>-259</v>
      </c>
      <c r="BW61" s="385">
        <f>SUM(BS61:BV61)</f>
        <v>-1034</v>
      </c>
      <c r="BX61" s="272">
        <v>-243</v>
      </c>
      <c r="BY61" s="272">
        <f>-206-BY54</f>
        <v>-245</v>
      </c>
      <c r="BZ61" s="272">
        <f>-186-BZ54</f>
        <v>-237</v>
      </c>
      <c r="CA61" s="401">
        <f>-265-CA54</f>
        <v>-371</v>
      </c>
      <c r="CB61" s="385">
        <f>CF!BN70</f>
        <v>-1096</v>
      </c>
      <c r="CC61" s="272">
        <f>-217-CC54</f>
        <v>-239</v>
      </c>
      <c r="CD61" s="272">
        <f>-216-CD54</f>
        <v>-244</v>
      </c>
      <c r="CE61" s="1877">
        <f>-184-CE54</f>
        <v>-223</v>
      </c>
      <c r="CF61" s="1877">
        <f>-206-CF54</f>
        <v>-238</v>
      </c>
      <c r="CG61" s="385">
        <f>CF!BS70</f>
        <v>-944</v>
      </c>
      <c r="CH61" s="1877">
        <f>-223-CH54</f>
        <v>-241</v>
      </c>
      <c r="CI61" s="1877">
        <f>-225-CI54</f>
        <v>-248</v>
      </c>
      <c r="CJ61" s="1877">
        <f>-225-CJ54</f>
        <v>-252</v>
      </c>
      <c r="CK61" s="1877">
        <f>-366-CK54</f>
        <v>-420</v>
      </c>
      <c r="CL61" s="385">
        <f>CF!BX70</f>
        <v>-1161</v>
      </c>
      <c r="CM61" s="1877">
        <f>-213-CM54</f>
        <v>-236</v>
      </c>
      <c r="CN61" s="1877">
        <f>-226-CN54</f>
        <v>-251</v>
      </c>
      <c r="CO61" s="1877">
        <f>-223-CO54</f>
        <v>-255.64742873113471</v>
      </c>
      <c r="CP61" s="272">
        <f>CF!CB70</f>
        <v>-258.65526879748847</v>
      </c>
      <c r="CQ61" s="385">
        <f>CF!CC70</f>
        <v>-1001.3026975286232</v>
      </c>
      <c r="CR61" s="272">
        <f>CF!CD70</f>
        <v>-258.65526879748847</v>
      </c>
      <c r="CS61" s="272">
        <f>CF!CE70</f>
        <v>-268.14372326548147</v>
      </c>
      <c r="CT61" s="272">
        <f>CF!CF70</f>
        <v>-277.63217773347446</v>
      </c>
      <c r="CU61" s="272">
        <f>CF!CG70</f>
        <v>-277.63217773347446</v>
      </c>
      <c r="CV61" s="385">
        <f>CF!CH70</f>
        <v>-1082.0633475299189</v>
      </c>
      <c r="CW61" s="385">
        <f>CF!CI70</f>
        <v>-1120.352921044778</v>
      </c>
      <c r="CX61" s="385">
        <f>CF!CJ70</f>
        <v>-1120.352921044778</v>
      </c>
      <c r="CY61" s="385">
        <f>CF!CK70</f>
        <v>-1120.352921044778</v>
      </c>
      <c r="CZ61" s="256"/>
      <c r="DG61" s="256"/>
    </row>
    <row r="62" spans="1:111">
      <c r="A62" s="272"/>
      <c r="B62" s="272"/>
      <c r="C62" s="415"/>
      <c r="D62" s="415"/>
      <c r="E62" s="414"/>
      <c r="F62" s="414"/>
      <c r="G62" s="414"/>
      <c r="H62" s="414"/>
      <c r="I62" s="414"/>
      <c r="J62" s="413"/>
      <c r="K62" s="414"/>
      <c r="L62" s="414"/>
      <c r="M62" s="414"/>
      <c r="N62" s="414"/>
      <c r="O62" s="413"/>
      <c r="P62" s="414"/>
      <c r="Q62" s="414"/>
      <c r="R62" s="414"/>
      <c r="S62" s="414"/>
      <c r="T62" s="413"/>
      <c r="U62" s="414"/>
      <c r="V62" s="414"/>
      <c r="W62" s="414"/>
      <c r="X62" s="414"/>
      <c r="Y62" s="413"/>
      <c r="Z62" s="414"/>
      <c r="AA62" s="414"/>
      <c r="AB62" s="414"/>
      <c r="AC62" s="414"/>
      <c r="AD62" s="413"/>
      <c r="AE62" s="414"/>
      <c r="AF62" s="414"/>
      <c r="AG62" s="414"/>
      <c r="AH62" s="414"/>
      <c r="AI62" s="413"/>
      <c r="AJ62" s="414"/>
      <c r="AK62" s="414"/>
      <c r="AL62" s="414"/>
      <c r="AM62" s="414"/>
      <c r="AN62" s="413"/>
      <c r="AO62" s="414"/>
      <c r="AP62" s="414"/>
      <c r="AQ62" s="414"/>
      <c r="AR62" s="414"/>
      <c r="AS62" s="413"/>
      <c r="AT62" s="415"/>
      <c r="AU62" s="414"/>
      <c r="AV62" s="414"/>
      <c r="AW62" s="414"/>
      <c r="AX62" s="413"/>
      <c r="AY62" s="414"/>
      <c r="AZ62" s="414"/>
      <c r="BA62" s="414"/>
      <c r="BB62" s="414"/>
      <c r="BC62" s="413"/>
      <c r="BD62" s="414"/>
      <c r="BE62" s="414"/>
      <c r="BF62" s="414"/>
      <c r="BG62" s="414"/>
      <c r="BH62" s="413"/>
      <c r="BI62" s="414"/>
      <c r="BJ62" s="414"/>
      <c r="BK62" s="414"/>
      <c r="BL62" s="414"/>
      <c r="BM62" s="413"/>
      <c r="BN62" s="414"/>
      <c r="BO62" s="414"/>
      <c r="BP62" s="414"/>
      <c r="BQ62" s="414"/>
      <c r="BR62" s="413"/>
      <c r="BS62" s="414"/>
      <c r="BT62" s="414"/>
      <c r="BU62" s="414"/>
      <c r="BV62" s="414"/>
      <c r="BW62" s="413"/>
      <c r="BX62" s="414"/>
      <c r="BY62" s="414"/>
      <c r="BZ62" s="414"/>
      <c r="CA62" s="414"/>
      <c r="CB62" s="413"/>
      <c r="CC62" s="414"/>
      <c r="CD62" s="414"/>
      <c r="CE62" s="414"/>
      <c r="CF62" s="414"/>
      <c r="CG62" s="413"/>
      <c r="CH62" s="414"/>
      <c r="CI62" s="414"/>
      <c r="CJ62" s="414"/>
      <c r="CK62" s="414"/>
      <c r="CL62" s="413"/>
      <c r="CM62" s="414"/>
      <c r="CN62" s="414"/>
      <c r="CO62" s="414"/>
      <c r="CP62" s="414"/>
      <c r="CQ62" s="413"/>
      <c r="CR62" s="414"/>
      <c r="CS62" s="414"/>
      <c r="CT62" s="414"/>
      <c r="CU62" s="414"/>
      <c r="CV62" s="413"/>
      <c r="CW62" s="413"/>
      <c r="CX62" s="413"/>
      <c r="CY62" s="413"/>
      <c r="CZ62" s="256"/>
      <c r="DG62" s="256"/>
    </row>
    <row r="63" spans="1:111" ht="12" customHeight="1">
      <c r="A63" s="272"/>
      <c r="B63" s="272"/>
      <c r="C63" s="370" t="s">
        <v>292</v>
      </c>
      <c r="D63" s="370"/>
      <c r="E63" s="256"/>
      <c r="F63" s="369">
        <v>581</v>
      </c>
      <c r="G63" s="369">
        <v>785</v>
      </c>
      <c r="H63" s="369">
        <v>753</v>
      </c>
      <c r="I63" s="369">
        <v>639</v>
      </c>
      <c r="J63" s="412">
        <v>2758</v>
      </c>
      <c r="K63" s="369">
        <v>670</v>
      </c>
      <c r="L63" s="369">
        <v>880</v>
      </c>
      <c r="M63" s="369">
        <v>722</v>
      </c>
      <c r="N63" s="369">
        <v>621</v>
      </c>
      <c r="O63" s="412">
        <v>2807</v>
      </c>
      <c r="P63" s="369">
        <v>698</v>
      </c>
      <c r="Q63" s="369">
        <v>935</v>
      </c>
      <c r="R63" s="369">
        <v>909</v>
      </c>
      <c r="S63" s="369">
        <v>734</v>
      </c>
      <c r="T63" s="412">
        <v>3276</v>
      </c>
      <c r="U63" s="369">
        <v>746</v>
      </c>
      <c r="V63" s="369">
        <v>940</v>
      </c>
      <c r="W63" s="369">
        <v>953</v>
      </c>
      <c r="X63" s="369">
        <v>831</v>
      </c>
      <c r="Y63" s="412">
        <v>3470</v>
      </c>
      <c r="Z63" s="369">
        <v>833</v>
      </c>
      <c r="AA63" s="369">
        <v>1126</v>
      </c>
      <c r="AB63" s="369">
        <v>1041</v>
      </c>
      <c r="AC63" s="369">
        <v>938</v>
      </c>
      <c r="AD63" s="412">
        <v>4107</v>
      </c>
      <c r="AE63" s="369">
        <v>988</v>
      </c>
      <c r="AF63" s="369">
        <v>1369</v>
      </c>
      <c r="AG63" s="369">
        <v>1249</v>
      </c>
      <c r="AH63" s="369">
        <v>1078</v>
      </c>
      <c r="AI63" s="412">
        <v>4684</v>
      </c>
      <c r="AJ63" s="369">
        <f t="shared" ref="AJ63:BO63" si="39">AJ58+AJ61</f>
        <v>1140</v>
      </c>
      <c r="AK63" s="369">
        <f t="shared" si="39"/>
        <v>1586</v>
      </c>
      <c r="AL63" s="369">
        <f t="shared" si="39"/>
        <v>1491</v>
      </c>
      <c r="AM63" s="369">
        <f t="shared" si="39"/>
        <v>1275</v>
      </c>
      <c r="AN63" s="412">
        <f t="shared" si="39"/>
        <v>5492</v>
      </c>
      <c r="AO63" s="369">
        <f t="shared" si="39"/>
        <v>1354</v>
      </c>
      <c r="AP63" s="369">
        <f t="shared" si="39"/>
        <v>1702</v>
      </c>
      <c r="AQ63" s="369">
        <f t="shared" si="39"/>
        <v>1709</v>
      </c>
      <c r="AR63" s="369">
        <f t="shared" si="39"/>
        <v>1619</v>
      </c>
      <c r="AS63" s="412">
        <f t="shared" si="39"/>
        <v>6384</v>
      </c>
      <c r="AT63" s="370">
        <f t="shared" si="39"/>
        <v>1509</v>
      </c>
      <c r="AU63" s="369">
        <f t="shared" si="39"/>
        <v>1923</v>
      </c>
      <c r="AV63" s="369">
        <f t="shared" si="39"/>
        <v>1872</v>
      </c>
      <c r="AW63" s="369">
        <f t="shared" si="39"/>
        <v>1632</v>
      </c>
      <c r="AX63" s="412">
        <f t="shared" si="39"/>
        <v>6936</v>
      </c>
      <c r="AY63" s="369">
        <f t="shared" si="39"/>
        <v>1077.885</v>
      </c>
      <c r="AZ63" s="369">
        <f t="shared" si="39"/>
        <v>1457.61</v>
      </c>
      <c r="BA63" s="369">
        <f t="shared" si="39"/>
        <v>1600.33</v>
      </c>
      <c r="BB63" s="369">
        <f t="shared" si="39"/>
        <v>1624.41</v>
      </c>
      <c r="BC63" s="412">
        <f t="shared" si="39"/>
        <v>5760.2349999999997</v>
      </c>
      <c r="BD63" s="369">
        <f t="shared" si="39"/>
        <v>1352</v>
      </c>
      <c r="BE63" s="369">
        <f t="shared" si="39"/>
        <v>1733</v>
      </c>
      <c r="BF63" s="369">
        <f t="shared" si="39"/>
        <v>1767</v>
      </c>
      <c r="BG63" s="369">
        <f t="shared" si="39"/>
        <v>1686</v>
      </c>
      <c r="BH63" s="412">
        <f t="shared" si="39"/>
        <v>6538</v>
      </c>
      <c r="BI63" s="369">
        <f t="shared" si="39"/>
        <v>1551</v>
      </c>
      <c r="BJ63" s="369">
        <f t="shared" si="39"/>
        <v>2009</v>
      </c>
      <c r="BK63" s="369">
        <f t="shared" si="39"/>
        <v>2012</v>
      </c>
      <c r="BL63" s="369">
        <f t="shared" si="39"/>
        <v>1778</v>
      </c>
      <c r="BM63" s="412">
        <f t="shared" si="39"/>
        <v>7350</v>
      </c>
      <c r="BN63" s="369">
        <f t="shared" si="39"/>
        <v>1584</v>
      </c>
      <c r="BO63" s="369">
        <f t="shared" si="39"/>
        <v>2011</v>
      </c>
      <c r="BP63" s="369">
        <f t="shared" ref="BP63:CV63" si="40">BP58+BP61</f>
        <v>1825</v>
      </c>
      <c r="BQ63" s="369">
        <f t="shared" si="40"/>
        <v>1491</v>
      </c>
      <c r="BR63" s="412">
        <f t="shared" si="40"/>
        <v>6911</v>
      </c>
      <c r="BS63" s="369">
        <f t="shared" si="40"/>
        <v>1770</v>
      </c>
      <c r="BT63" s="369">
        <f t="shared" si="40"/>
        <v>2290</v>
      </c>
      <c r="BU63" s="369">
        <f t="shared" si="40"/>
        <v>2140</v>
      </c>
      <c r="BV63" s="369">
        <f t="shared" si="40"/>
        <v>2112</v>
      </c>
      <c r="BW63" s="412">
        <f t="shared" si="40"/>
        <v>8312</v>
      </c>
      <c r="BX63" s="369">
        <f t="shared" si="40"/>
        <v>1873</v>
      </c>
      <c r="BY63" s="369">
        <f t="shared" si="40"/>
        <v>2149</v>
      </c>
      <c r="BZ63" s="369">
        <f t="shared" si="40"/>
        <v>2560</v>
      </c>
      <c r="CA63" s="369">
        <f t="shared" si="40"/>
        <v>2305</v>
      </c>
      <c r="CB63" s="412">
        <f t="shared" si="40"/>
        <v>8887</v>
      </c>
      <c r="CC63" s="369">
        <f t="shared" si="40"/>
        <v>1965</v>
      </c>
      <c r="CD63" s="369">
        <f t="shared" si="40"/>
        <v>2206</v>
      </c>
      <c r="CE63" s="369">
        <f t="shared" si="40"/>
        <v>2118</v>
      </c>
      <c r="CF63" s="369">
        <f t="shared" si="40"/>
        <v>186</v>
      </c>
      <c r="CG63" s="412">
        <f t="shared" si="40"/>
        <v>6475</v>
      </c>
      <c r="CH63" s="369">
        <f t="shared" si="40"/>
        <v>1722</v>
      </c>
      <c r="CI63" s="369">
        <f t="shared" si="40"/>
        <v>2112</v>
      </c>
      <c r="CJ63" s="369">
        <f t="shared" si="40"/>
        <v>2026</v>
      </c>
      <c r="CK63" s="369">
        <f t="shared" si="40"/>
        <v>1273</v>
      </c>
      <c r="CL63" s="412">
        <f t="shared" si="40"/>
        <v>7133</v>
      </c>
      <c r="CM63" s="369">
        <f>CM58+CM61</f>
        <v>2054</v>
      </c>
      <c r="CN63" s="369">
        <f>CN58+CN61</f>
        <v>2064</v>
      </c>
      <c r="CO63" s="369">
        <f>CO58+CO61</f>
        <v>1940</v>
      </c>
      <c r="CP63" s="369">
        <f>CP58+CP61</f>
        <v>1739.871950633933</v>
      </c>
      <c r="CQ63" s="412">
        <f t="shared" si="40"/>
        <v>7797.871950633933</v>
      </c>
      <c r="CR63" s="369">
        <f>CR58+CR61</f>
        <v>1687.1971131458104</v>
      </c>
      <c r="CS63" s="369">
        <f>CS58+CS61</f>
        <v>2094.9749802484703</v>
      </c>
      <c r="CT63" s="369">
        <f>CT58+CT61</f>
        <v>2135.8393811445603</v>
      </c>
      <c r="CU63" s="369">
        <f>CU58+CU61</f>
        <v>1908.6469530642187</v>
      </c>
      <c r="CV63" s="412">
        <f t="shared" si="40"/>
        <v>7826.6584276030653</v>
      </c>
      <c r="CW63" s="412">
        <f>CW58+CW61</f>
        <v>8864.125420945953</v>
      </c>
      <c r="CX63" s="412">
        <f>CX58+CX61</f>
        <v>9716.4563817870167</v>
      </c>
      <c r="CY63" s="412">
        <f>CY58+CY61</f>
        <v>10214.016463679996</v>
      </c>
      <c r="CZ63" s="256"/>
      <c r="DG63" s="256"/>
    </row>
    <row r="64" spans="1:111" ht="12" customHeight="1">
      <c r="A64" s="272"/>
      <c r="B64" s="272"/>
      <c r="C64" s="411"/>
      <c r="D64" s="411"/>
      <c r="E64" s="272"/>
      <c r="F64" s="272"/>
      <c r="G64" s="272"/>
      <c r="H64" s="272"/>
      <c r="I64" s="272"/>
      <c r="J64" s="300"/>
      <c r="K64" s="272"/>
      <c r="L64" s="272"/>
      <c r="M64" s="272"/>
      <c r="N64" s="272"/>
      <c r="O64" s="300"/>
      <c r="P64" s="272"/>
      <c r="Q64" s="272"/>
      <c r="R64" s="272"/>
      <c r="S64" s="272"/>
      <c r="T64" s="300"/>
      <c r="U64" s="272"/>
      <c r="V64" s="272"/>
      <c r="W64" s="272"/>
      <c r="X64" s="272"/>
      <c r="Y64" s="300"/>
      <c r="Z64" s="272"/>
      <c r="AA64" s="272"/>
      <c r="AB64" s="272"/>
      <c r="AC64" s="272"/>
      <c r="AD64" s="300"/>
      <c r="AE64" s="272"/>
      <c r="AF64" s="272"/>
      <c r="AG64" s="272"/>
      <c r="AH64" s="272"/>
      <c r="AI64" s="300"/>
      <c r="AJ64" s="272"/>
      <c r="AK64" s="272"/>
      <c r="AL64" s="272"/>
      <c r="AM64" s="272"/>
      <c r="AN64" s="300"/>
      <c r="AO64" s="272"/>
      <c r="AP64" s="272"/>
      <c r="AQ64" s="272"/>
      <c r="AR64" s="272"/>
      <c r="AS64" s="300"/>
      <c r="AT64" s="317"/>
      <c r="AU64" s="272"/>
      <c r="AV64" s="272"/>
      <c r="AW64" s="272"/>
      <c r="AX64" s="300"/>
      <c r="AY64" s="272"/>
      <c r="AZ64" s="272"/>
      <c r="BA64" s="272"/>
      <c r="BB64" s="272"/>
      <c r="BC64" s="300"/>
      <c r="BD64" s="272"/>
      <c r="BE64" s="272"/>
      <c r="BF64" s="272"/>
      <c r="BG64" s="272"/>
      <c r="BH64" s="300"/>
      <c r="BI64" s="272"/>
      <c r="BJ64" s="272"/>
      <c r="BK64" s="272"/>
      <c r="BL64" s="272"/>
      <c r="BM64" s="300"/>
      <c r="BN64" s="272"/>
      <c r="BO64" s="272"/>
      <c r="BP64" s="272"/>
      <c r="BQ64" s="272"/>
      <c r="BR64" s="300"/>
      <c r="BS64" s="272"/>
      <c r="BT64" s="272"/>
      <c r="BU64" s="272"/>
      <c r="BV64" s="272"/>
      <c r="BW64" s="300"/>
      <c r="BX64" s="272"/>
      <c r="BY64" s="272"/>
      <c r="BZ64" s="272"/>
      <c r="CA64" s="272"/>
      <c r="CB64" s="300"/>
      <c r="CC64" s="272"/>
      <c r="CD64" s="272"/>
      <c r="CE64" s="272"/>
      <c r="CF64" s="272"/>
      <c r="CG64" s="300"/>
      <c r="CH64" s="272"/>
      <c r="CI64" s="272"/>
      <c r="CJ64" s="272"/>
      <c r="CK64" s="272"/>
      <c r="CL64" s="300"/>
      <c r="CM64" s="272"/>
      <c r="CN64" s="272"/>
      <c r="CO64" s="272"/>
      <c r="CP64" s="272"/>
      <c r="CQ64" s="300"/>
      <c r="CR64" s="272"/>
      <c r="CS64" s="272"/>
      <c r="CT64" s="272"/>
      <c r="CU64" s="272"/>
      <c r="CV64" s="300"/>
      <c r="CW64" s="300"/>
      <c r="CX64" s="300"/>
      <c r="CY64" s="300"/>
      <c r="CZ64" s="256"/>
      <c r="DG64" s="256"/>
    </row>
    <row r="65" spans="1:111" ht="12" customHeight="1">
      <c r="A65" s="272"/>
      <c r="B65" s="272"/>
      <c r="C65" s="317" t="s">
        <v>259</v>
      </c>
      <c r="D65" s="317"/>
      <c r="E65" s="272"/>
      <c r="F65" s="373">
        <v>-177</v>
      </c>
      <c r="G65" s="373">
        <v>-252</v>
      </c>
      <c r="H65" s="373">
        <v>-230</v>
      </c>
      <c r="I65" s="373">
        <v>-194</v>
      </c>
      <c r="J65" s="409">
        <v>-853</v>
      </c>
      <c r="K65" s="373">
        <v>-204</v>
      </c>
      <c r="L65" s="373">
        <v>-261</v>
      </c>
      <c r="M65" s="373">
        <v>-129</v>
      </c>
      <c r="N65" s="373">
        <v>-161</v>
      </c>
      <c r="O65" s="409">
        <v>-755</v>
      </c>
      <c r="P65" s="373">
        <v>-198</v>
      </c>
      <c r="Q65" s="373">
        <v>-266</v>
      </c>
      <c r="R65" s="373">
        <v>-258</v>
      </c>
      <c r="S65" s="373">
        <v>-165</v>
      </c>
      <c r="T65" s="409">
        <v>-887</v>
      </c>
      <c r="U65" s="373">
        <v>-209</v>
      </c>
      <c r="V65" s="373">
        <v>-263</v>
      </c>
      <c r="W65" s="373">
        <v>-267</v>
      </c>
      <c r="X65" s="373">
        <v>-202</v>
      </c>
      <c r="Y65" s="409">
        <v>-941</v>
      </c>
      <c r="Z65" s="373">
        <v>-230</v>
      </c>
      <c r="AA65" s="373">
        <v>-248</v>
      </c>
      <c r="AB65" s="373">
        <v>-287</v>
      </c>
      <c r="AC65" s="373">
        <v>-266</v>
      </c>
      <c r="AD65" s="409">
        <v>-1085</v>
      </c>
      <c r="AE65" s="373">
        <v>-277</v>
      </c>
      <c r="AF65" s="373">
        <v>-326</v>
      </c>
      <c r="AG65" s="373">
        <v>-356</v>
      </c>
      <c r="AH65" s="373">
        <v>-294</v>
      </c>
      <c r="AI65" s="409">
        <v>-1253</v>
      </c>
      <c r="AJ65" s="373">
        <v>-319</v>
      </c>
      <c r="AK65" s="373">
        <v>-415</v>
      </c>
      <c r="AL65" s="373">
        <v>-423</v>
      </c>
      <c r="AM65" s="373">
        <v>-337</v>
      </c>
      <c r="AN65" s="409">
        <v>-1494</v>
      </c>
      <c r="AO65" s="373">
        <v>-442</v>
      </c>
      <c r="AP65" s="373">
        <v>-479</v>
      </c>
      <c r="AQ65" s="373">
        <v>-434</v>
      </c>
      <c r="AR65" s="373">
        <v>-481</v>
      </c>
      <c r="AS65" s="409">
        <v>-1836</v>
      </c>
      <c r="AT65" s="388">
        <v>-430</v>
      </c>
      <c r="AU65" s="373">
        <v>-548</v>
      </c>
      <c r="AV65" s="373">
        <v>-502</v>
      </c>
      <c r="AW65" s="373">
        <v>-403</v>
      </c>
      <c r="AX65" s="409">
        <f>SUM(AT65:AW65)</f>
        <v>-1883</v>
      </c>
      <c r="AY65" s="373">
        <v>-276</v>
      </c>
      <c r="AZ65" s="373">
        <v>-394</v>
      </c>
      <c r="BA65" s="373">
        <v>-456</v>
      </c>
      <c r="BB65" s="373">
        <v>-455</v>
      </c>
      <c r="BC65" s="409">
        <f>SUM(AY65:BB65)</f>
        <v>-1581</v>
      </c>
      <c r="BD65" s="373">
        <v>-405</v>
      </c>
      <c r="BE65" s="373">
        <v>-521</v>
      </c>
      <c r="BF65" s="373">
        <v>-468</v>
      </c>
      <c r="BG65" s="373">
        <v>-433</v>
      </c>
      <c r="BH65" s="409">
        <f>SUM(BD65:BG65)</f>
        <v>-1827</v>
      </c>
      <c r="BI65" s="373">
        <f>-1103-BJ65</f>
        <v>-491</v>
      </c>
      <c r="BJ65" s="373">
        <v>-612</v>
      </c>
      <c r="BK65" s="373">
        <v>-628</v>
      </c>
      <c r="BL65" s="373">
        <v>-403</v>
      </c>
      <c r="BM65" s="409">
        <f>SUM(BI65:BL65)</f>
        <v>-2134</v>
      </c>
      <c r="BN65" s="373">
        <f>-773-BO65</f>
        <v>-320</v>
      </c>
      <c r="BO65" s="373">
        <v>-453</v>
      </c>
      <c r="BP65" s="373">
        <v>-484</v>
      </c>
      <c r="BQ65" s="373">
        <v>-454</v>
      </c>
      <c r="BR65" s="409">
        <f>SUM(BN65:BQ65)</f>
        <v>-1711</v>
      </c>
      <c r="BS65" s="373">
        <v>-418</v>
      </c>
      <c r="BT65" s="373">
        <v>-645</v>
      </c>
      <c r="BU65" s="373">
        <v>-614</v>
      </c>
      <c r="BV65" s="373">
        <v>-561</v>
      </c>
      <c r="BW65" s="409">
        <f>SUM(BS65:BV65)</f>
        <v>-2238</v>
      </c>
      <c r="BX65" s="373">
        <v>-567</v>
      </c>
      <c r="BY65" s="373">
        <v>-359</v>
      </c>
      <c r="BZ65" s="373">
        <v>-608</v>
      </c>
      <c r="CA65" s="410">
        <v>-730</v>
      </c>
      <c r="CB65" s="409">
        <f>SUM(BX65:CA65)</f>
        <v>-2264</v>
      </c>
      <c r="CC65" s="373">
        <v>-526.26</v>
      </c>
      <c r="CD65" s="1883">
        <f>-1748-CC65-CE65</f>
        <v>-629.74</v>
      </c>
      <c r="CE65" s="410">
        <v>-592</v>
      </c>
      <c r="CF65" s="410">
        <v>-363</v>
      </c>
      <c r="CG65" s="409">
        <f>SUM(CC65:CF65)</f>
        <v>-2111</v>
      </c>
      <c r="CH65" s="1883">
        <v>-461</v>
      </c>
      <c r="CI65" s="1883">
        <v>-593</v>
      </c>
      <c r="CJ65" s="1883">
        <v>-492</v>
      </c>
      <c r="CK65" s="1883">
        <v>-149</v>
      </c>
      <c r="CL65" s="409">
        <f>SUM(CH65:CK65)</f>
        <v>-1695</v>
      </c>
      <c r="CM65" s="1883">
        <v>-586</v>
      </c>
      <c r="CN65" s="1883">
        <v>-532</v>
      </c>
      <c r="CO65" s="373">
        <v>-506</v>
      </c>
      <c r="CP65" s="373">
        <f t="shared" ref="CP65:CW65" si="41">-CP63*CP66</f>
        <v>-469.76542667116195</v>
      </c>
      <c r="CQ65" s="409">
        <f>SUM(CM65:CP65)</f>
        <v>-2093.765426671162</v>
      </c>
      <c r="CR65" s="373">
        <f>-CR63*CR66</f>
        <v>-455.54322054936881</v>
      </c>
      <c r="CS65" s="373">
        <f>-CS63*CS66</f>
        <v>-565.64324466708706</v>
      </c>
      <c r="CT65" s="373">
        <f>-CT63*CT66</f>
        <v>-576.67663290903135</v>
      </c>
      <c r="CU65" s="373">
        <f>-CU63*CU66</f>
        <v>-515.33467732733902</v>
      </c>
      <c r="CV65" s="409">
        <f>SUM(CR65:CU65)</f>
        <v>-2113.1977754528261</v>
      </c>
      <c r="CW65" s="409">
        <f t="shared" si="41"/>
        <v>-2393.3138636554054</v>
      </c>
      <c r="CX65" s="409">
        <f>-CX63*CX66</f>
        <v>-2623.4432230824923</v>
      </c>
      <c r="CY65" s="409">
        <f>-CY63*CY66</f>
        <v>-2757.7844451935971</v>
      </c>
      <c r="CZ65" s="256"/>
      <c r="DG65" s="256"/>
    </row>
    <row r="66" spans="1:111" ht="12" customHeight="1">
      <c r="A66" s="261"/>
      <c r="B66" s="261"/>
      <c r="C66" s="283"/>
      <c r="D66" s="326" t="s">
        <v>291</v>
      </c>
      <c r="E66" s="408"/>
      <c r="F66" s="259">
        <v>-0.30464716006884679</v>
      </c>
      <c r="G66" s="259">
        <v>-0.32101910828025476</v>
      </c>
      <c r="H66" s="259">
        <v>-0.3054448871181939</v>
      </c>
      <c r="I66" s="259">
        <v>-0.30359937402190923</v>
      </c>
      <c r="J66" s="405">
        <v>0.30928208846990574</v>
      </c>
      <c r="K66" s="407">
        <v>0.30447761194029849</v>
      </c>
      <c r="L66" s="407">
        <v>0.29659090909090907</v>
      </c>
      <c r="M66" s="407">
        <v>0.17867036011080331</v>
      </c>
      <c r="N66" s="407">
        <v>0.25925925925925924</v>
      </c>
      <c r="O66" s="405">
        <v>0.26897043106519414</v>
      </c>
      <c r="P66" s="407">
        <v>0.28366762177650429</v>
      </c>
      <c r="Q66" s="407">
        <v>0.28449197860962566</v>
      </c>
      <c r="R66" s="407">
        <v>0.28382838283828382</v>
      </c>
      <c r="S66" s="407">
        <v>0.22479564032697547</v>
      </c>
      <c r="T66" s="405">
        <v>0.27075702075702074</v>
      </c>
      <c r="U66" s="407">
        <v>0.28016085790884721</v>
      </c>
      <c r="V66" s="407">
        <v>0.27978723404255318</v>
      </c>
      <c r="W66" s="407">
        <v>0.28016789087093391</v>
      </c>
      <c r="X66" s="407">
        <v>0.2430806257521059</v>
      </c>
      <c r="Y66" s="405">
        <v>0.2711815561959654</v>
      </c>
      <c r="Z66" s="407">
        <v>0.27611044417767105</v>
      </c>
      <c r="AA66" s="407">
        <v>0.2202486678507993</v>
      </c>
      <c r="AB66" s="407">
        <v>0.27569644572526419</v>
      </c>
      <c r="AC66" s="407">
        <v>0.28358208955223879</v>
      </c>
      <c r="AD66" s="405">
        <v>0.26418310202093986</v>
      </c>
      <c r="AE66" s="407">
        <v>0.28036437246963564</v>
      </c>
      <c r="AF66" s="407">
        <v>0.2381300219138057</v>
      </c>
      <c r="AG66" s="407">
        <v>0.28502802241793435</v>
      </c>
      <c r="AH66" s="407">
        <v>0.27272727272727271</v>
      </c>
      <c r="AI66" s="405">
        <v>0.26750640478223742</v>
      </c>
      <c r="AJ66" s="407">
        <f t="shared" ref="AJ66:CI66" si="42">-AJ65/AJ63</f>
        <v>0.27982456140350875</v>
      </c>
      <c r="AK66" s="407">
        <f t="shared" si="42"/>
        <v>0.26166456494325346</v>
      </c>
      <c r="AL66" s="407">
        <f t="shared" si="42"/>
        <v>0.28370221327967809</v>
      </c>
      <c r="AM66" s="407">
        <f t="shared" si="42"/>
        <v>0.26431372549019611</v>
      </c>
      <c r="AN66" s="405">
        <f t="shared" si="42"/>
        <v>0.27203204661325564</v>
      </c>
      <c r="AO66" s="407">
        <f t="shared" si="42"/>
        <v>0.32644017725258495</v>
      </c>
      <c r="AP66" s="407">
        <f t="shared" si="42"/>
        <v>0.28143360752056407</v>
      </c>
      <c r="AQ66" s="407">
        <f t="shared" si="42"/>
        <v>0.25394967817437097</v>
      </c>
      <c r="AR66" s="407">
        <f t="shared" si="42"/>
        <v>0.29709697344039532</v>
      </c>
      <c r="AS66" s="405">
        <f t="shared" si="42"/>
        <v>0.28759398496240601</v>
      </c>
      <c r="AT66" s="406">
        <f t="shared" si="42"/>
        <v>0.28495692511597082</v>
      </c>
      <c r="AU66" s="259">
        <f t="shared" si="42"/>
        <v>0.28497139885595424</v>
      </c>
      <c r="AV66" s="259">
        <f t="shared" si="42"/>
        <v>0.26816239316239315</v>
      </c>
      <c r="AW66" s="406">
        <f t="shared" si="42"/>
        <v>0.24693627450980393</v>
      </c>
      <c r="AX66" s="405">
        <f t="shared" si="42"/>
        <v>0.27148212226066898</v>
      </c>
      <c r="AY66" s="259">
        <f t="shared" si="42"/>
        <v>0.25605700051489722</v>
      </c>
      <c r="AZ66" s="259">
        <f t="shared" si="42"/>
        <v>0.27030550009947796</v>
      </c>
      <c r="BA66" s="259">
        <f t="shared" si="42"/>
        <v>0.28494123087113282</v>
      </c>
      <c r="BB66" s="259">
        <f t="shared" si="42"/>
        <v>0.28010169846282651</v>
      </c>
      <c r="BC66" s="405">
        <f t="shared" si="42"/>
        <v>0.27446796875474699</v>
      </c>
      <c r="BD66" s="259">
        <f t="shared" si="42"/>
        <v>0.29955621301775148</v>
      </c>
      <c r="BE66" s="259">
        <f t="shared" si="42"/>
        <v>0.30063473744950953</v>
      </c>
      <c r="BF66" s="259">
        <f t="shared" si="42"/>
        <v>0.26485568760611206</v>
      </c>
      <c r="BG66" s="259">
        <f t="shared" si="42"/>
        <v>0.2568208778173191</v>
      </c>
      <c r="BH66" s="405">
        <f t="shared" si="42"/>
        <v>0.27944325481798715</v>
      </c>
      <c r="BI66" s="259">
        <f t="shared" si="42"/>
        <v>0.31656995486782719</v>
      </c>
      <c r="BJ66" s="259">
        <f t="shared" si="42"/>
        <v>0.30462916874066698</v>
      </c>
      <c r="BK66" s="259">
        <f t="shared" si="42"/>
        <v>0.31212723658051689</v>
      </c>
      <c r="BL66" s="259">
        <f t="shared" si="42"/>
        <v>0.2266591676040495</v>
      </c>
      <c r="BM66" s="404">
        <f t="shared" si="42"/>
        <v>0.29034013605442177</v>
      </c>
      <c r="BN66" s="259">
        <f t="shared" si="42"/>
        <v>0.20202020202020202</v>
      </c>
      <c r="BO66" s="259">
        <f t="shared" si="42"/>
        <v>0.22526106414719047</v>
      </c>
      <c r="BP66" s="259">
        <f t="shared" si="42"/>
        <v>0.2652054794520548</v>
      </c>
      <c r="BQ66" s="259">
        <f t="shared" si="42"/>
        <v>0.30449362843729039</v>
      </c>
      <c r="BR66" s="404">
        <f t="shared" si="42"/>
        <v>0.24757632759369122</v>
      </c>
      <c r="BS66" s="259">
        <f t="shared" si="42"/>
        <v>0.23615819209039549</v>
      </c>
      <c r="BT66" s="259">
        <f t="shared" si="42"/>
        <v>0.2816593886462882</v>
      </c>
      <c r="BU66" s="259">
        <f t="shared" si="42"/>
        <v>0.28691588785046729</v>
      </c>
      <c r="BV66" s="259">
        <f t="shared" si="42"/>
        <v>0.265625</v>
      </c>
      <c r="BW66" s="404">
        <f t="shared" si="42"/>
        <v>0.26924927815206928</v>
      </c>
      <c r="BX66" s="259">
        <f t="shared" si="42"/>
        <v>0.30272290443139349</v>
      </c>
      <c r="BY66" s="259">
        <f t="shared" si="42"/>
        <v>0.16705444392740809</v>
      </c>
      <c r="BZ66" s="259">
        <f t="shared" si="42"/>
        <v>0.23749999999999999</v>
      </c>
      <c r="CA66" s="259">
        <f t="shared" si="42"/>
        <v>0.31670281995661603</v>
      </c>
      <c r="CB66" s="404">
        <f t="shared" si="42"/>
        <v>0.25475413525374141</v>
      </c>
      <c r="CC66" s="259">
        <f t="shared" si="42"/>
        <v>0.26781679389312979</v>
      </c>
      <c r="CD66" s="259">
        <f t="shared" si="42"/>
        <v>0.28546690843155031</v>
      </c>
      <c r="CE66" s="259">
        <f t="shared" si="42"/>
        <v>0.27950897072710101</v>
      </c>
      <c r="CF66" s="259">
        <f t="shared" si="42"/>
        <v>1.9516129032258065</v>
      </c>
      <c r="CG66" s="404">
        <f>-CG65/CG63</f>
        <v>0.326023166023166</v>
      </c>
      <c r="CH66" s="259">
        <f t="shared" si="42"/>
        <v>0.26771196283391407</v>
      </c>
      <c r="CI66" s="259">
        <f t="shared" si="42"/>
        <v>0.28077651515151514</v>
      </c>
      <c r="CJ66" s="259">
        <f t="shared" ref="CJ66:CO66" si="43">-CJ65/CJ63</f>
        <v>0.24284304047384009</v>
      </c>
      <c r="CK66" s="259">
        <f t="shared" si="43"/>
        <v>0.11704634721131187</v>
      </c>
      <c r="CL66" s="404">
        <f t="shared" si="43"/>
        <v>0.2376279265386233</v>
      </c>
      <c r="CM66" s="259">
        <f t="shared" si="43"/>
        <v>0.28529698149951316</v>
      </c>
      <c r="CN66" s="259">
        <f t="shared" si="43"/>
        <v>0.25775193798449614</v>
      </c>
      <c r="CO66" s="259">
        <f t="shared" si="43"/>
        <v>0.26082474226804125</v>
      </c>
      <c r="CP66" s="257">
        <v>0.27</v>
      </c>
      <c r="CQ66" s="404">
        <f>-CQ65/CQ63</f>
        <v>0.26850472025267713</v>
      </c>
      <c r="CR66" s="257">
        <v>0.27</v>
      </c>
      <c r="CS66" s="257">
        <f>CR66</f>
        <v>0.27</v>
      </c>
      <c r="CT66" s="257">
        <f>CS66</f>
        <v>0.27</v>
      </c>
      <c r="CU66" s="257">
        <f>CT66</f>
        <v>0.27</v>
      </c>
      <c r="CV66" s="404">
        <f>-CV65/CV63</f>
        <v>0.2699999999999998</v>
      </c>
      <c r="CW66" s="403">
        <f>CV66</f>
        <v>0.2699999999999998</v>
      </c>
      <c r="CX66" s="403">
        <f>CW66</f>
        <v>0.2699999999999998</v>
      </c>
      <c r="CY66" s="403">
        <f>CX66</f>
        <v>0.2699999999999998</v>
      </c>
      <c r="CZ66" s="256"/>
      <c r="DG66" s="256"/>
    </row>
    <row r="67" spans="1:111" ht="12" customHeight="1">
      <c r="A67" s="268"/>
      <c r="B67" s="268"/>
      <c r="C67" s="283"/>
      <c r="D67" s="283"/>
      <c r="E67" s="268"/>
      <c r="F67" s="268"/>
      <c r="G67" s="268"/>
      <c r="H67" s="268"/>
      <c r="I67" s="268"/>
      <c r="J67" s="298"/>
      <c r="K67" s="268"/>
      <c r="L67" s="268"/>
      <c r="M67" s="268"/>
      <c r="N67" s="268"/>
      <c r="O67" s="298"/>
      <c r="P67" s="268"/>
      <c r="Q67" s="268"/>
      <c r="R67" s="268"/>
      <c r="S67" s="268"/>
      <c r="T67" s="298"/>
      <c r="U67" s="268"/>
      <c r="V67" s="268"/>
      <c r="W67" s="268"/>
      <c r="X67" s="268"/>
      <c r="Y67" s="298"/>
      <c r="Z67" s="268"/>
      <c r="AA67" s="268"/>
      <c r="AB67" s="268"/>
      <c r="AC67" s="268"/>
      <c r="AD67" s="298"/>
      <c r="AE67" s="268"/>
      <c r="AF67" s="268"/>
      <c r="AG67" s="268"/>
      <c r="AH67" s="268"/>
      <c r="AI67" s="298"/>
      <c r="AJ67" s="268"/>
      <c r="AK67" s="268"/>
      <c r="AL67" s="268"/>
      <c r="AM67" s="268"/>
      <c r="AN67" s="298"/>
      <c r="AO67" s="400"/>
      <c r="AP67" s="268"/>
      <c r="AQ67" s="268"/>
      <c r="AR67" s="268"/>
      <c r="AS67" s="298"/>
      <c r="AT67" s="284"/>
      <c r="AU67" s="268"/>
      <c r="AV67" s="268"/>
      <c r="AW67" s="268"/>
      <c r="AX67" s="298"/>
      <c r="AY67" s="400"/>
      <c r="AZ67" s="268"/>
      <c r="BA67" s="268"/>
      <c r="BB67" s="268"/>
      <c r="BC67" s="298"/>
      <c r="BD67" s="400"/>
      <c r="BE67" s="268"/>
      <c r="BF67" s="268"/>
      <c r="BG67" s="268"/>
      <c r="BH67" s="298"/>
      <c r="BI67" s="271"/>
      <c r="BJ67" s="271"/>
      <c r="BK67" s="271"/>
      <c r="BL67" s="271"/>
      <c r="BM67" s="298"/>
      <c r="BN67" s="271"/>
      <c r="BO67" s="271"/>
      <c r="BP67" s="271"/>
      <c r="BQ67" s="371"/>
      <c r="BR67" s="298"/>
      <c r="BS67" s="271"/>
      <c r="BT67" s="271"/>
      <c r="BU67" s="271"/>
      <c r="BV67" s="271"/>
      <c r="BW67" s="298"/>
      <c r="BX67" s="271"/>
      <c r="BY67" s="271"/>
      <c r="BZ67" s="271"/>
      <c r="CA67" s="319"/>
      <c r="CB67" s="298"/>
      <c r="CC67" s="271"/>
      <c r="CD67" s="271"/>
      <c r="CE67" s="271"/>
      <c r="CF67" s="371"/>
      <c r="CG67" s="298"/>
      <c r="CH67" s="271"/>
      <c r="CI67" s="271"/>
      <c r="CJ67" s="271"/>
      <c r="CK67" s="271"/>
      <c r="CL67" s="2255">
        <f>(CL65-52)/CL63</f>
        <v>-0.24491798682181409</v>
      </c>
      <c r="CM67" s="271"/>
      <c r="CN67" s="271"/>
      <c r="CO67" s="271"/>
      <c r="CP67" s="271"/>
      <c r="CQ67" s="298"/>
      <c r="CR67" s="271"/>
      <c r="CS67" s="271"/>
      <c r="CT67" s="271"/>
      <c r="CU67" s="271"/>
      <c r="CV67" s="298"/>
      <c r="CW67" s="298"/>
      <c r="CX67" s="298"/>
      <c r="CY67" s="298"/>
      <c r="CZ67" s="256"/>
      <c r="DG67" s="256"/>
    </row>
    <row r="68" spans="1:111" ht="12" customHeight="1">
      <c r="A68" s="272"/>
      <c r="B68" s="272"/>
      <c r="C68" s="317" t="s">
        <v>144</v>
      </c>
      <c r="D68" s="317"/>
      <c r="E68" s="272"/>
      <c r="F68" s="373">
        <v>-27</v>
      </c>
      <c r="G68" s="373">
        <v>-24</v>
      </c>
      <c r="H68" s="373">
        <v>-27</v>
      </c>
      <c r="I68" s="373">
        <v>-19</v>
      </c>
      <c r="J68" s="372">
        <v>-97</v>
      </c>
      <c r="K68" s="373">
        <v>-26</v>
      </c>
      <c r="L68" s="373">
        <v>-31</v>
      </c>
      <c r="M68" s="373">
        <v>-28</v>
      </c>
      <c r="N68" s="373">
        <v>-29</v>
      </c>
      <c r="O68" s="372">
        <v>-114</v>
      </c>
      <c r="P68" s="373">
        <v>-33</v>
      </c>
      <c r="Q68" s="373">
        <v>-45</v>
      </c>
      <c r="R68" s="373">
        <v>-39</v>
      </c>
      <c r="S68" s="373">
        <v>-36</v>
      </c>
      <c r="T68" s="372">
        <v>-153</v>
      </c>
      <c r="U68" s="373">
        <v>-35</v>
      </c>
      <c r="V68" s="373">
        <v>-45</v>
      </c>
      <c r="W68" s="373">
        <v>-47</v>
      </c>
      <c r="X68" s="373">
        <v>-41</v>
      </c>
      <c r="Y68" s="372">
        <v>-168</v>
      </c>
      <c r="Z68" s="373">
        <v>-52</v>
      </c>
      <c r="AA68" s="373">
        <v>-61</v>
      </c>
      <c r="AB68" s="373">
        <v>-61</v>
      </c>
      <c r="AC68" s="373">
        <v>-60</v>
      </c>
      <c r="AD68" s="372">
        <v>-234</v>
      </c>
      <c r="AE68" s="272">
        <v>-60</v>
      </c>
      <c r="AF68" s="272">
        <v>-72</v>
      </c>
      <c r="AG68" s="272">
        <v>-72</v>
      </c>
      <c r="AH68" s="272">
        <v>-63</v>
      </c>
      <c r="AI68" s="372">
        <v>-267</v>
      </c>
      <c r="AJ68" s="272">
        <v>-53</v>
      </c>
      <c r="AK68" s="272">
        <v>-68</v>
      </c>
      <c r="AL68" s="272">
        <v>-72</v>
      </c>
      <c r="AM68" s="272">
        <v>-73</v>
      </c>
      <c r="AN68" s="372">
        <v>-266</v>
      </c>
      <c r="AO68" s="272">
        <v>-93</v>
      </c>
      <c r="AP68" s="402">
        <v>-75</v>
      </c>
      <c r="AQ68" s="272">
        <v>-78</v>
      </c>
      <c r="AR68" s="272">
        <v>-78</v>
      </c>
      <c r="AS68" s="372">
        <v>-324</v>
      </c>
      <c r="AT68" s="317">
        <v>-79</v>
      </c>
      <c r="AU68" s="272">
        <v>-100</v>
      </c>
      <c r="AV68" s="272">
        <v>-101</v>
      </c>
      <c r="AW68" s="272">
        <v>-84</v>
      </c>
      <c r="AX68" s="372">
        <f>SUM(AT68:AW68)</f>
        <v>-364</v>
      </c>
      <c r="AY68" s="272">
        <v>-77</v>
      </c>
      <c r="AZ68" s="272">
        <v>-90</v>
      </c>
      <c r="BA68" s="272">
        <v>-87</v>
      </c>
      <c r="BB68" s="272">
        <v>-96</v>
      </c>
      <c r="BC68" s="372">
        <f>SUM(AY68:BB68)</f>
        <v>-350</v>
      </c>
      <c r="BD68" s="272">
        <v>-81</v>
      </c>
      <c r="BE68" s="272">
        <v>-102</v>
      </c>
      <c r="BF68" s="272">
        <v>-101</v>
      </c>
      <c r="BG68" s="272">
        <v>-54</v>
      </c>
      <c r="BH68" s="372">
        <f>SUM(BD68:BG68)</f>
        <v>-338</v>
      </c>
      <c r="BI68" s="272">
        <f>-201-BJ68</f>
        <v>-89</v>
      </c>
      <c r="BJ68" s="272">
        <v>-112</v>
      </c>
      <c r="BK68" s="272">
        <v>-97</v>
      </c>
      <c r="BL68" s="272">
        <v>-97</v>
      </c>
      <c r="BM68" s="372">
        <f>SUM(BI68:BL68)</f>
        <v>-395</v>
      </c>
      <c r="BN68" s="272">
        <f>-171-BO68</f>
        <v>-77</v>
      </c>
      <c r="BO68" s="272">
        <v>-94</v>
      </c>
      <c r="BP68" s="272">
        <v>-96</v>
      </c>
      <c r="BQ68" s="272">
        <v>-93</v>
      </c>
      <c r="BR68" s="372">
        <f>SUM(BN68:BQ68)</f>
        <v>-360</v>
      </c>
      <c r="BS68" s="272">
        <v>-82</v>
      </c>
      <c r="BT68" s="272">
        <v>-93</v>
      </c>
      <c r="BU68" s="272">
        <v>-111</v>
      </c>
      <c r="BV68" s="272">
        <v>-102</v>
      </c>
      <c r="BW68" s="385">
        <f>SUM(BS68:BV68)</f>
        <v>-388</v>
      </c>
      <c r="BX68" s="272">
        <v>-93</v>
      </c>
      <c r="BY68" s="272">
        <v>-110</v>
      </c>
      <c r="BZ68" s="272">
        <v>-98</v>
      </c>
      <c r="CA68" s="401">
        <v>-102</v>
      </c>
      <c r="CB68" s="372">
        <f>SUM(BX68:CA68)</f>
        <v>-403</v>
      </c>
      <c r="CC68" s="272">
        <v>-72</v>
      </c>
      <c r="CD68" s="1877">
        <f>-281-CE68-CC68</f>
        <v>-109</v>
      </c>
      <c r="CE68" s="1877">
        <v>-100</v>
      </c>
      <c r="CF68" s="1877">
        <v>-79</v>
      </c>
      <c r="CG68" s="372">
        <f>SUM(CC68:CF68)</f>
        <v>-360</v>
      </c>
      <c r="CH68" s="1877">
        <v>-81</v>
      </c>
      <c r="CI68" s="1877">
        <v>-99</v>
      </c>
      <c r="CJ68" s="1877">
        <v>-91</v>
      </c>
      <c r="CK68" s="1877">
        <v>-100</v>
      </c>
      <c r="CL68" s="372">
        <f>SUM(CH68:CK68)</f>
        <v>-371</v>
      </c>
      <c r="CM68" s="1877">
        <v>-82</v>
      </c>
      <c r="CN68" s="1877">
        <v>-93</v>
      </c>
      <c r="CO68" s="1877">
        <v>-104</v>
      </c>
      <c r="CP68" s="272">
        <f>Otis!CT35/Otis!CO35*IS!CK68</f>
        <v>-96.979185390892525</v>
      </c>
      <c r="CQ68" s="372">
        <f>SUM(CM68:CP68)</f>
        <v>-375.97918539089255</v>
      </c>
      <c r="CR68" s="272">
        <f>Otis!CV35/Otis!CQ35*IS!CM68</f>
        <v>-84.452178034080163</v>
      </c>
      <c r="CS68" s="272">
        <f>Otis!CW35/Otis!CR35*IS!CN68</f>
        <v>-95.630842300158534</v>
      </c>
      <c r="CT68" s="272">
        <f>Otis!CX35/Otis!CS35*IS!CO68</f>
        <v>-108.51710420381875</v>
      </c>
      <c r="CU68" s="272">
        <f>Otis!CY35/Otis!CT35*IS!CP68</f>
        <v>-96.642357678058886</v>
      </c>
      <c r="CV68" s="372">
        <f>CQ68*Otis!CZ35/Otis!CU35</f>
        <v>-385.31859888055311</v>
      </c>
      <c r="CW68" s="372">
        <f>CV68*Otis!DA35/Otis!CZ35</f>
        <v>-397.88287125568939</v>
      </c>
      <c r="CX68" s="372">
        <f>CW68*Otis!DB35/Otis!DA35</f>
        <v>-411.38777822226632</v>
      </c>
      <c r="CY68" s="372">
        <f>CX68*Otis!DC35/Otis!DB35</f>
        <v>-416.85636494069911</v>
      </c>
      <c r="CZ68" s="256"/>
      <c r="DG68" s="256"/>
    </row>
    <row r="69" spans="1:111" ht="12" customHeight="1">
      <c r="A69" s="268"/>
      <c r="B69" s="268"/>
      <c r="C69" s="326"/>
      <c r="D69" s="326"/>
      <c r="E69" s="268"/>
      <c r="F69" s="400"/>
      <c r="G69" s="400"/>
      <c r="H69" s="400"/>
      <c r="I69" s="400"/>
      <c r="J69" s="399"/>
      <c r="K69" s="400"/>
      <c r="L69" s="400"/>
      <c r="M69" s="400"/>
      <c r="N69" s="400"/>
      <c r="O69" s="399"/>
      <c r="P69" s="400"/>
      <c r="Q69" s="400"/>
      <c r="R69" s="400"/>
      <c r="S69" s="400"/>
      <c r="T69" s="399"/>
      <c r="U69" s="400"/>
      <c r="V69" s="400"/>
      <c r="W69" s="400"/>
      <c r="X69" s="400"/>
      <c r="Y69" s="399"/>
      <c r="Z69" s="400"/>
      <c r="AA69" s="400"/>
      <c r="AB69" s="400"/>
      <c r="AC69" s="400"/>
      <c r="AD69" s="399"/>
      <c r="AE69" s="400"/>
      <c r="AF69" s="400"/>
      <c r="AG69" s="400"/>
      <c r="AH69" s="400"/>
      <c r="AI69" s="399"/>
      <c r="AJ69" s="400"/>
      <c r="AK69" s="400"/>
      <c r="AL69" s="400"/>
      <c r="AM69" s="400"/>
      <c r="AN69" s="399"/>
      <c r="AO69" s="400"/>
      <c r="AP69" s="400"/>
      <c r="AQ69" s="400"/>
      <c r="AR69" s="400"/>
      <c r="AS69" s="399"/>
      <c r="AT69" s="284"/>
      <c r="AU69" s="400"/>
      <c r="AV69" s="400"/>
      <c r="AW69" s="400"/>
      <c r="AX69" s="399"/>
      <c r="AY69" s="400"/>
      <c r="AZ69" s="400"/>
      <c r="BA69" s="400"/>
      <c r="BB69" s="400"/>
      <c r="BC69" s="399"/>
      <c r="BD69" s="400"/>
      <c r="BE69" s="400"/>
      <c r="BF69" s="400"/>
      <c r="BG69" s="400"/>
      <c r="BH69" s="399"/>
      <c r="BI69" s="400"/>
      <c r="BJ69" s="400"/>
      <c r="BK69" s="400"/>
      <c r="BL69" s="400"/>
      <c r="BM69" s="399"/>
      <c r="BN69" s="400"/>
      <c r="BO69" s="400"/>
      <c r="BP69" s="400"/>
      <c r="BQ69" s="400"/>
      <c r="BR69" s="399"/>
      <c r="BS69" s="400"/>
      <c r="BT69" s="400"/>
      <c r="BU69" s="400"/>
      <c r="BV69" s="400"/>
      <c r="BW69" s="399"/>
      <c r="BX69" s="400"/>
      <c r="BY69" s="400"/>
      <c r="BZ69" s="400"/>
      <c r="CA69" s="400"/>
      <c r="CB69" s="399"/>
      <c r="CC69" s="400"/>
      <c r="CD69" s="400"/>
      <c r="CE69" s="400"/>
      <c r="CF69" s="400"/>
      <c r="CG69" s="399"/>
      <c r="CH69" s="400"/>
      <c r="CI69" s="400"/>
      <c r="CJ69" s="400"/>
      <c r="CK69" s="400"/>
      <c r="CL69" s="399"/>
      <c r="CM69" s="400"/>
      <c r="CN69" s="400"/>
      <c r="CO69" s="400"/>
      <c r="CP69" s="400"/>
      <c r="CQ69" s="399"/>
      <c r="CR69" s="400"/>
      <c r="CS69" s="400"/>
      <c r="CT69" s="400"/>
      <c r="CU69" s="400"/>
      <c r="CV69" s="399"/>
      <c r="CW69" s="399"/>
      <c r="CX69" s="399"/>
      <c r="CY69" s="399"/>
      <c r="CZ69" s="256"/>
      <c r="DG69" s="256"/>
    </row>
    <row r="70" spans="1:111" ht="12" customHeight="1" thickBot="1">
      <c r="A70" s="272"/>
      <c r="B70" s="272"/>
      <c r="C70" s="380" t="s">
        <v>1353</v>
      </c>
      <c r="D70" s="398"/>
      <c r="E70" s="397"/>
      <c r="F70" s="395">
        <v>377</v>
      </c>
      <c r="G70" s="395">
        <v>509</v>
      </c>
      <c r="H70" s="395">
        <v>496</v>
      </c>
      <c r="I70" s="395">
        <v>426</v>
      </c>
      <c r="J70" s="394">
        <v>1808</v>
      </c>
      <c r="K70" s="395">
        <v>440</v>
      </c>
      <c r="L70" s="395">
        <v>588</v>
      </c>
      <c r="M70" s="395">
        <v>565</v>
      </c>
      <c r="N70" s="395">
        <v>431</v>
      </c>
      <c r="O70" s="394">
        <v>1938</v>
      </c>
      <c r="P70" s="395">
        <v>467</v>
      </c>
      <c r="Q70" s="395">
        <v>624</v>
      </c>
      <c r="R70" s="395">
        <v>612</v>
      </c>
      <c r="S70" s="395">
        <v>533</v>
      </c>
      <c r="T70" s="394">
        <v>2236</v>
      </c>
      <c r="U70" s="395">
        <v>502</v>
      </c>
      <c r="V70" s="395">
        <v>632</v>
      </c>
      <c r="W70" s="395">
        <v>639</v>
      </c>
      <c r="X70" s="395">
        <v>588</v>
      </c>
      <c r="Y70" s="394">
        <v>2361</v>
      </c>
      <c r="Z70" s="395">
        <v>551</v>
      </c>
      <c r="AA70" s="395">
        <v>817</v>
      </c>
      <c r="AB70" s="395">
        <v>693</v>
      </c>
      <c r="AC70" s="395">
        <v>612</v>
      </c>
      <c r="AD70" s="394">
        <v>2788</v>
      </c>
      <c r="AE70" s="395">
        <v>651</v>
      </c>
      <c r="AF70" s="395">
        <v>971</v>
      </c>
      <c r="AG70" s="395">
        <v>821</v>
      </c>
      <c r="AH70" s="395">
        <v>721</v>
      </c>
      <c r="AI70" s="394">
        <v>3164</v>
      </c>
      <c r="AJ70" s="395">
        <f t="shared" ref="AJ70:BO70" si="44">AJ63+AJ65+AJ68</f>
        <v>768</v>
      </c>
      <c r="AK70" s="395">
        <f t="shared" si="44"/>
        <v>1103</v>
      </c>
      <c r="AL70" s="395">
        <f t="shared" si="44"/>
        <v>996</v>
      </c>
      <c r="AM70" s="395">
        <f t="shared" si="44"/>
        <v>865</v>
      </c>
      <c r="AN70" s="394">
        <f t="shared" si="44"/>
        <v>3732</v>
      </c>
      <c r="AO70" s="395">
        <f t="shared" si="44"/>
        <v>819</v>
      </c>
      <c r="AP70" s="395">
        <f t="shared" si="44"/>
        <v>1148</v>
      </c>
      <c r="AQ70" s="395">
        <f t="shared" si="44"/>
        <v>1197</v>
      </c>
      <c r="AR70" s="395">
        <f t="shared" si="44"/>
        <v>1060</v>
      </c>
      <c r="AS70" s="394">
        <f t="shared" si="44"/>
        <v>4224</v>
      </c>
      <c r="AT70" s="396">
        <f t="shared" si="44"/>
        <v>1000</v>
      </c>
      <c r="AU70" s="395">
        <f t="shared" si="44"/>
        <v>1275</v>
      </c>
      <c r="AV70" s="395">
        <f t="shared" si="44"/>
        <v>1269</v>
      </c>
      <c r="AW70" s="395">
        <f t="shared" si="44"/>
        <v>1145</v>
      </c>
      <c r="AX70" s="394">
        <f t="shared" si="44"/>
        <v>4689</v>
      </c>
      <c r="AY70" s="395">
        <f t="shared" si="44"/>
        <v>724.88499999999999</v>
      </c>
      <c r="AZ70" s="395">
        <f t="shared" si="44"/>
        <v>973.6099999999999</v>
      </c>
      <c r="BA70" s="395">
        <f t="shared" si="44"/>
        <v>1057.33</v>
      </c>
      <c r="BB70" s="395">
        <f t="shared" si="44"/>
        <v>1073.4100000000001</v>
      </c>
      <c r="BC70" s="394">
        <f t="shared" si="44"/>
        <v>3829.2349999999997</v>
      </c>
      <c r="BD70" s="395">
        <f t="shared" si="44"/>
        <v>866</v>
      </c>
      <c r="BE70" s="395">
        <f t="shared" si="44"/>
        <v>1110</v>
      </c>
      <c r="BF70" s="395">
        <f t="shared" si="44"/>
        <v>1198</v>
      </c>
      <c r="BG70" s="395">
        <f t="shared" si="44"/>
        <v>1199</v>
      </c>
      <c r="BH70" s="394">
        <f t="shared" si="44"/>
        <v>4373</v>
      </c>
      <c r="BI70" s="395">
        <f t="shared" si="44"/>
        <v>971</v>
      </c>
      <c r="BJ70" s="395">
        <f t="shared" si="44"/>
        <v>1285</v>
      </c>
      <c r="BK70" s="395">
        <f t="shared" si="44"/>
        <v>1287</v>
      </c>
      <c r="BL70" s="395">
        <f t="shared" si="44"/>
        <v>1278</v>
      </c>
      <c r="BM70" s="394">
        <f t="shared" si="44"/>
        <v>4821</v>
      </c>
      <c r="BN70" s="395">
        <f t="shared" si="44"/>
        <v>1187</v>
      </c>
      <c r="BO70" s="395">
        <f t="shared" si="44"/>
        <v>1464</v>
      </c>
      <c r="BP70" s="395">
        <f t="shared" ref="BP70:CV70" si="45">BP63+BP65+BP68</f>
        <v>1245</v>
      </c>
      <c r="BQ70" s="395">
        <f t="shared" si="45"/>
        <v>944</v>
      </c>
      <c r="BR70" s="394">
        <f t="shared" si="45"/>
        <v>4840</v>
      </c>
      <c r="BS70" s="395">
        <f t="shared" si="45"/>
        <v>1270</v>
      </c>
      <c r="BT70" s="395">
        <f t="shared" si="45"/>
        <v>1552</v>
      </c>
      <c r="BU70" s="395">
        <f t="shared" si="45"/>
        <v>1415</v>
      </c>
      <c r="BV70" s="395">
        <f t="shared" si="45"/>
        <v>1449</v>
      </c>
      <c r="BW70" s="394">
        <f t="shared" si="45"/>
        <v>5686</v>
      </c>
      <c r="BX70" s="395">
        <f t="shared" si="45"/>
        <v>1213</v>
      </c>
      <c r="BY70" s="395">
        <f t="shared" si="45"/>
        <v>1680</v>
      </c>
      <c r="BZ70" s="395">
        <f t="shared" si="45"/>
        <v>1854</v>
      </c>
      <c r="CA70" s="395">
        <f t="shared" si="45"/>
        <v>1473</v>
      </c>
      <c r="CB70" s="394">
        <f t="shared" si="45"/>
        <v>6220</v>
      </c>
      <c r="CC70" s="395">
        <f>CC63+CC65+CC68</f>
        <v>1366.74</v>
      </c>
      <c r="CD70" s="395">
        <f>CD63+CD65+CD68</f>
        <v>1467.26</v>
      </c>
      <c r="CE70" s="395">
        <f t="shared" si="45"/>
        <v>1426</v>
      </c>
      <c r="CF70" s="395">
        <f t="shared" si="45"/>
        <v>-256</v>
      </c>
      <c r="CG70" s="394">
        <f t="shared" si="45"/>
        <v>4004</v>
      </c>
      <c r="CH70" s="395">
        <f t="shared" si="45"/>
        <v>1180</v>
      </c>
      <c r="CI70" s="395">
        <f t="shared" si="45"/>
        <v>1420</v>
      </c>
      <c r="CJ70" s="395">
        <f t="shared" si="45"/>
        <v>1443</v>
      </c>
      <c r="CK70" s="395">
        <f t="shared" si="45"/>
        <v>1024</v>
      </c>
      <c r="CL70" s="394">
        <f t="shared" si="45"/>
        <v>5067</v>
      </c>
      <c r="CM70" s="395">
        <f>CM63+CM65+CM68</f>
        <v>1386</v>
      </c>
      <c r="CN70" s="395">
        <f>CN63+CN65+CN68</f>
        <v>1439</v>
      </c>
      <c r="CO70" s="395">
        <f>CO63+CO65+CO68</f>
        <v>1330</v>
      </c>
      <c r="CP70" s="395">
        <f>CP63+CP65+CP68</f>
        <v>1173.1273385718785</v>
      </c>
      <c r="CQ70" s="394">
        <f t="shared" si="45"/>
        <v>5328.1273385718787</v>
      </c>
      <c r="CR70" s="395">
        <f>CR63+CR65+CR68</f>
        <v>1147.2017145623613</v>
      </c>
      <c r="CS70" s="395">
        <f>CS63+CS65+CS68</f>
        <v>1433.7008932812248</v>
      </c>
      <c r="CT70" s="395">
        <f>CT63+CT65+CT68</f>
        <v>1450.6456440317102</v>
      </c>
      <c r="CU70" s="395">
        <f>CU63+CU65+CU68</f>
        <v>1296.6699180588207</v>
      </c>
      <c r="CV70" s="394">
        <f t="shared" si="45"/>
        <v>5328.1420532696857</v>
      </c>
      <c r="CW70" s="394">
        <f>CW63+CW65+CW68</f>
        <v>6072.9286860348584</v>
      </c>
      <c r="CX70" s="394">
        <f>CX63+CX65+CX68</f>
        <v>6681.6253804822582</v>
      </c>
      <c r="CY70" s="394">
        <f>CY63+CY65+CY68</f>
        <v>7039.3756535457005</v>
      </c>
      <c r="CZ70" s="256"/>
      <c r="DG70" s="256"/>
    </row>
    <row r="71" spans="1:111" ht="12" customHeight="1" thickTop="1">
      <c r="A71" s="268"/>
      <c r="B71" s="268"/>
      <c r="C71" s="283"/>
      <c r="D71" s="326" t="s">
        <v>282</v>
      </c>
      <c r="E71" s="268"/>
      <c r="F71" s="287" t="s">
        <v>284</v>
      </c>
      <c r="G71" s="287" t="s">
        <v>284</v>
      </c>
      <c r="H71" s="287" t="s">
        <v>284</v>
      </c>
      <c r="I71" s="287" t="s">
        <v>284</v>
      </c>
      <c r="J71" s="286" t="s">
        <v>284</v>
      </c>
      <c r="K71" s="287">
        <v>0.16710875331564989</v>
      </c>
      <c r="L71" s="287">
        <v>0.15520628683693527</v>
      </c>
      <c r="M71" s="287">
        <v>0.13911290322580649</v>
      </c>
      <c r="N71" s="287">
        <v>1.1737089201877993E-2</v>
      </c>
      <c r="O71" s="286">
        <v>7.1902654867256555E-2</v>
      </c>
      <c r="P71" s="287">
        <v>6.1363636363636287E-2</v>
      </c>
      <c r="Q71" s="287">
        <v>6.1224489795918435E-2</v>
      </c>
      <c r="R71" s="287">
        <v>8.3185840707964642E-2</v>
      </c>
      <c r="S71" s="287">
        <v>0.23665893271461713</v>
      </c>
      <c r="T71" s="286">
        <v>0.15376676986584115</v>
      </c>
      <c r="U71" s="287">
        <v>7.4946466809421741E-2</v>
      </c>
      <c r="V71" s="287">
        <v>1.2820512820512775E-2</v>
      </c>
      <c r="W71" s="287">
        <v>4.4117647058823595E-2</v>
      </c>
      <c r="X71" s="287">
        <v>0.1031894934333959</v>
      </c>
      <c r="Y71" s="286">
        <v>5.5903398926654635E-2</v>
      </c>
      <c r="Z71" s="287">
        <v>9.7609561752987961E-2</v>
      </c>
      <c r="AA71" s="287">
        <v>0.29272151898734178</v>
      </c>
      <c r="AB71" s="287">
        <v>8.4507042253521236E-2</v>
      </c>
      <c r="AC71" s="287">
        <v>4.081632653061229E-2</v>
      </c>
      <c r="AD71" s="286">
        <v>0.18085556967386696</v>
      </c>
      <c r="AE71" s="287">
        <v>0.18148820326678772</v>
      </c>
      <c r="AF71" s="287">
        <v>0.18849449204406366</v>
      </c>
      <c r="AG71" s="287">
        <v>0.18470418470418482</v>
      </c>
      <c r="AH71" s="287">
        <v>0.17810457516339873</v>
      </c>
      <c r="AI71" s="286">
        <v>0.13486370157819216</v>
      </c>
      <c r="AJ71" s="287">
        <f t="shared" ref="AJ71:BO71" si="46">IF(ISERROR(AJ70/AE70-1),"-",AJ70/AE70-1)</f>
        <v>0.17972350230414746</v>
      </c>
      <c r="AK71" s="287">
        <f t="shared" si="46"/>
        <v>0.13594232749742541</v>
      </c>
      <c r="AL71" s="287">
        <f t="shared" si="46"/>
        <v>0.21315468940316684</v>
      </c>
      <c r="AM71" s="287">
        <f t="shared" si="46"/>
        <v>0.19972260748959769</v>
      </c>
      <c r="AN71" s="286">
        <f t="shared" si="46"/>
        <v>0.17951959544879892</v>
      </c>
      <c r="AO71" s="287">
        <f t="shared" si="46"/>
        <v>6.640625E-2</v>
      </c>
      <c r="AP71" s="287">
        <f t="shared" si="46"/>
        <v>4.0797824116047154E-2</v>
      </c>
      <c r="AQ71" s="287">
        <f t="shared" si="46"/>
        <v>0.20180722891566272</v>
      </c>
      <c r="AR71" s="287">
        <f t="shared" si="46"/>
        <v>0.22543352601156075</v>
      </c>
      <c r="AS71" s="286">
        <f t="shared" si="46"/>
        <v>0.13183279742765275</v>
      </c>
      <c r="AT71" s="337">
        <f t="shared" si="46"/>
        <v>0.2210012210012211</v>
      </c>
      <c r="AU71" s="287">
        <f t="shared" si="46"/>
        <v>0.11062717770034847</v>
      </c>
      <c r="AV71" s="287">
        <f t="shared" si="46"/>
        <v>6.0150375939849621E-2</v>
      </c>
      <c r="AW71" s="287">
        <f t="shared" si="46"/>
        <v>8.0188679245283057E-2</v>
      </c>
      <c r="AX71" s="286">
        <f t="shared" si="46"/>
        <v>0.11008522727272729</v>
      </c>
      <c r="AY71" s="287">
        <f t="shared" si="46"/>
        <v>-0.275115</v>
      </c>
      <c r="AZ71" s="287">
        <f t="shared" si="46"/>
        <v>-0.23638431372549029</v>
      </c>
      <c r="BA71" s="287">
        <f t="shared" si="46"/>
        <v>-0.1668006304176517</v>
      </c>
      <c r="BB71" s="287">
        <f t="shared" si="46"/>
        <v>-6.2524017467248783E-2</v>
      </c>
      <c r="BC71" s="286">
        <f t="shared" si="46"/>
        <v>-0.18335785881851152</v>
      </c>
      <c r="BD71" s="287">
        <f t="shared" si="46"/>
        <v>0.19467225835822233</v>
      </c>
      <c r="BE71" s="287">
        <f t="shared" si="46"/>
        <v>0.14008689310915057</v>
      </c>
      <c r="BF71" s="287">
        <f t="shared" si="46"/>
        <v>0.1330426640689284</v>
      </c>
      <c r="BG71" s="287">
        <f t="shared" si="46"/>
        <v>0.11700095955878909</v>
      </c>
      <c r="BH71" s="286">
        <f t="shared" si="46"/>
        <v>0.14200355945769849</v>
      </c>
      <c r="BI71" s="287">
        <f t="shared" si="46"/>
        <v>0.1212471131639723</v>
      </c>
      <c r="BJ71" s="287">
        <f t="shared" si="46"/>
        <v>0.1576576576576576</v>
      </c>
      <c r="BK71" s="287">
        <f t="shared" si="46"/>
        <v>7.4290484140233648E-2</v>
      </c>
      <c r="BL71" s="287">
        <f t="shared" si="46"/>
        <v>6.5888240200166814E-2</v>
      </c>
      <c r="BM71" s="286">
        <f t="shared" si="46"/>
        <v>0.10244683283786871</v>
      </c>
      <c r="BN71" s="287">
        <f t="shared" si="46"/>
        <v>0.22245108135942337</v>
      </c>
      <c r="BO71" s="287">
        <f t="shared" si="46"/>
        <v>0.13929961089494158</v>
      </c>
      <c r="BP71" s="287">
        <f t="shared" ref="BP71:CL71" si="47">IF(ISERROR(BP70/BK70-1),"-",BP70/BK70-1)</f>
        <v>-3.2634032634032639E-2</v>
      </c>
      <c r="BQ71" s="287">
        <f t="shared" si="47"/>
        <v>-0.26134585289514867</v>
      </c>
      <c r="BR71" s="286">
        <f t="shared" si="47"/>
        <v>3.9410910599460003E-3</v>
      </c>
      <c r="BS71" s="287">
        <f t="shared" si="47"/>
        <v>6.992417860151634E-2</v>
      </c>
      <c r="BT71" s="287">
        <f t="shared" si="47"/>
        <v>6.0109289617486406E-2</v>
      </c>
      <c r="BU71" s="287">
        <f t="shared" si="47"/>
        <v>0.13654618473895574</v>
      </c>
      <c r="BV71" s="287">
        <f t="shared" si="47"/>
        <v>0.53495762711864403</v>
      </c>
      <c r="BW71" s="286">
        <f t="shared" si="47"/>
        <v>0.17479338842975212</v>
      </c>
      <c r="BX71" s="287">
        <f t="shared" si="47"/>
        <v>-4.4881889763779492E-2</v>
      </c>
      <c r="BY71" s="287">
        <f t="shared" si="47"/>
        <v>8.247422680412364E-2</v>
      </c>
      <c r="BZ71" s="287">
        <f t="shared" si="47"/>
        <v>0.31024734982332158</v>
      </c>
      <c r="CA71" s="287">
        <f t="shared" si="47"/>
        <v>1.6563146997929712E-2</v>
      </c>
      <c r="CB71" s="286">
        <f t="shared" si="47"/>
        <v>9.3914878649314026E-2</v>
      </c>
      <c r="CC71" s="287">
        <f t="shared" si="47"/>
        <v>0.1267436108821105</v>
      </c>
      <c r="CD71" s="287">
        <f t="shared" si="47"/>
        <v>-0.12663095238095234</v>
      </c>
      <c r="CE71" s="287">
        <f t="shared" si="47"/>
        <v>-0.23085221143473567</v>
      </c>
      <c r="CF71" s="287">
        <f t="shared" si="47"/>
        <v>-1.1737949762389681</v>
      </c>
      <c r="CG71" s="286">
        <f t="shared" si="47"/>
        <v>-0.35627009646302255</v>
      </c>
      <c r="CH71" s="287">
        <f t="shared" si="47"/>
        <v>-0.13663169293354993</v>
      </c>
      <c r="CI71" s="287">
        <f t="shared" si="47"/>
        <v>-3.2209696986219227E-2</v>
      </c>
      <c r="CJ71" s="287">
        <f t="shared" si="47"/>
        <v>1.1921458625525849E-2</v>
      </c>
      <c r="CK71" s="287">
        <f t="shared" si="47"/>
        <v>-5</v>
      </c>
      <c r="CL71" s="286">
        <f t="shared" si="47"/>
        <v>0.26548451548451557</v>
      </c>
      <c r="CM71" s="287">
        <f t="shared" ref="CM71:CV71" si="48">IF(ISERROR(CM70/CH70-1),"-",CM70/CH70-1)</f>
        <v>0.1745762711864407</v>
      </c>
      <c r="CN71" s="287">
        <f t="shared" si="48"/>
        <v>1.3380281690140938E-2</v>
      </c>
      <c r="CO71" s="287">
        <f t="shared" si="48"/>
        <v>-7.8309078309078295E-2</v>
      </c>
      <c r="CP71" s="287">
        <f t="shared" si="48"/>
        <v>0.14563216657410005</v>
      </c>
      <c r="CQ71" s="286">
        <f t="shared" si="48"/>
        <v>5.1534900053656685E-2</v>
      </c>
      <c r="CR71" s="287">
        <f t="shared" si="48"/>
        <v>-0.17229313523639156</v>
      </c>
      <c r="CS71" s="287">
        <f t="shared" si="48"/>
        <v>-3.6824925078354775E-3</v>
      </c>
      <c r="CT71" s="287">
        <f t="shared" si="48"/>
        <v>9.0711010550158067E-2</v>
      </c>
      <c r="CU71" s="287">
        <f t="shared" si="48"/>
        <v>0.10531045984942988</v>
      </c>
      <c r="CV71" s="286">
        <f t="shared" si="48"/>
        <v>2.7617016020720087E-6</v>
      </c>
      <c r="CW71" s="286">
        <f>IF(ISERROR(CW70/CV70-1),"-",CW70/CV70-1)</f>
        <v>0.13978355406423981</v>
      </c>
      <c r="CX71" s="286">
        <f>IF(ISERROR(CX70/CW70-1),"-",CX70/CW70-1)</f>
        <v>0.10023116125949949</v>
      </c>
      <c r="CY71" s="286">
        <f>IF(ISERROR(CY70/CX70-1),"-",CY70/CX70-1)</f>
        <v>5.3542402138927025E-2</v>
      </c>
      <c r="CZ71" s="256"/>
      <c r="DG71" s="256"/>
    </row>
    <row r="72" spans="1:111" ht="12" customHeight="1">
      <c r="A72" s="268"/>
      <c r="B72" s="268"/>
      <c r="C72" s="283"/>
      <c r="D72" s="326"/>
      <c r="E72" s="268"/>
      <c r="F72" s="287"/>
      <c r="G72" s="287"/>
      <c r="H72" s="287"/>
      <c r="I72" s="287"/>
      <c r="J72" s="335"/>
      <c r="K72" s="287"/>
      <c r="L72" s="287"/>
      <c r="M72" s="287"/>
      <c r="N72" s="287"/>
      <c r="O72" s="335"/>
      <c r="P72" s="287"/>
      <c r="Q72" s="287"/>
      <c r="R72" s="287"/>
      <c r="S72" s="287"/>
      <c r="T72" s="335"/>
      <c r="U72" s="287"/>
      <c r="V72" s="287"/>
      <c r="W72" s="287"/>
      <c r="X72" s="287"/>
      <c r="Y72" s="335"/>
      <c r="Z72" s="287"/>
      <c r="AA72" s="287"/>
      <c r="AB72" s="287"/>
      <c r="AC72" s="287"/>
      <c r="AD72" s="335"/>
      <c r="AE72" s="287"/>
      <c r="AF72" s="287"/>
      <c r="AG72" s="287"/>
      <c r="AH72" s="287"/>
      <c r="AI72" s="335"/>
      <c r="AJ72" s="287"/>
      <c r="AK72" s="393"/>
      <c r="AL72" s="287"/>
      <c r="AM72" s="287"/>
      <c r="AN72" s="335"/>
      <c r="AO72" s="287"/>
      <c r="AP72" s="287"/>
      <c r="AQ72" s="287"/>
      <c r="AR72" s="287"/>
      <c r="AS72" s="335"/>
      <c r="AT72" s="337"/>
      <c r="AU72" s="287"/>
      <c r="AV72" s="336"/>
      <c r="AW72" s="336"/>
      <c r="AX72" s="335"/>
      <c r="AY72" s="287"/>
      <c r="AZ72" s="336"/>
      <c r="BA72" s="336"/>
      <c r="BB72" s="287"/>
      <c r="BC72" s="335"/>
      <c r="BD72" s="336"/>
      <c r="BE72" s="287"/>
      <c r="BF72" s="287"/>
      <c r="BG72" s="336"/>
      <c r="BH72" s="335"/>
      <c r="BI72" s="336"/>
      <c r="BJ72" s="336"/>
      <c r="BK72" s="336"/>
      <c r="BL72" s="336"/>
      <c r="BM72" s="335"/>
      <c r="BN72" s="336"/>
      <c r="BO72" s="336"/>
      <c r="BP72" s="336"/>
      <c r="BQ72" s="336"/>
      <c r="BR72" s="335"/>
      <c r="BS72" s="336"/>
      <c r="BT72" s="336"/>
      <c r="BU72" s="336"/>
      <c r="BV72" s="336"/>
      <c r="BW72" s="335"/>
      <c r="BX72" s="336"/>
      <c r="BY72" s="336"/>
      <c r="BZ72" s="336"/>
      <c r="CA72" s="336"/>
      <c r="CB72" s="335"/>
      <c r="CC72" s="336"/>
      <c r="CD72" s="336"/>
      <c r="CE72" s="336"/>
      <c r="CF72" s="1925"/>
      <c r="CG72" s="335"/>
      <c r="CH72" s="336"/>
      <c r="CI72" s="336"/>
      <c r="CJ72" s="336"/>
      <c r="CK72" s="336"/>
      <c r="CL72" s="335"/>
      <c r="CM72" s="336"/>
      <c r="CN72" s="336"/>
      <c r="CO72" s="336"/>
      <c r="CP72" s="336"/>
      <c r="CQ72" s="335"/>
      <c r="CR72" s="336"/>
      <c r="CS72" s="336"/>
      <c r="CT72" s="336"/>
      <c r="CU72" s="336"/>
      <c r="CV72" s="335"/>
      <c r="CW72" s="335"/>
      <c r="CX72" s="335"/>
      <c r="CY72" s="335"/>
      <c r="CZ72" s="256"/>
      <c r="DG72" s="256"/>
    </row>
    <row r="73" spans="1:111" ht="12" customHeight="1" outlineLevel="1">
      <c r="A73" s="272"/>
      <c r="B73" s="272"/>
      <c r="C73" s="317" t="s">
        <v>290</v>
      </c>
      <c r="D73" s="317"/>
      <c r="E73" s="272"/>
      <c r="F73" s="373"/>
      <c r="G73" s="373"/>
      <c r="H73" s="373"/>
      <c r="I73" s="373">
        <v>0</v>
      </c>
      <c r="J73" s="383">
        <v>0</v>
      </c>
      <c r="K73" s="373">
        <v>0</v>
      </c>
      <c r="L73" s="373">
        <v>0</v>
      </c>
      <c r="M73" s="373">
        <v>0</v>
      </c>
      <c r="N73" s="373">
        <v>0</v>
      </c>
      <c r="O73" s="383">
        <v>0</v>
      </c>
      <c r="P73" s="373">
        <v>0</v>
      </c>
      <c r="Q73" s="373">
        <v>0</v>
      </c>
      <c r="R73" s="373">
        <v>0</v>
      </c>
      <c r="S73" s="373">
        <v>0</v>
      </c>
      <c r="T73" s="383">
        <v>0</v>
      </c>
      <c r="U73" s="373">
        <v>0</v>
      </c>
      <c r="V73" s="373">
        <v>0</v>
      </c>
      <c r="W73" s="373">
        <v>0</v>
      </c>
      <c r="X73" s="373">
        <v>0</v>
      </c>
      <c r="Y73" s="383">
        <v>0</v>
      </c>
      <c r="Z73" s="373">
        <v>0</v>
      </c>
      <c r="AA73" s="373">
        <v>0</v>
      </c>
      <c r="AB73" s="373">
        <v>0</v>
      </c>
      <c r="AC73" s="373">
        <v>0</v>
      </c>
      <c r="AD73" s="383">
        <v>0</v>
      </c>
      <c r="AE73" s="384">
        <v>0</v>
      </c>
      <c r="AF73" s="384">
        <v>0</v>
      </c>
      <c r="AG73" s="384">
        <v>0</v>
      </c>
      <c r="AH73" s="384">
        <v>0</v>
      </c>
      <c r="AI73" s="383">
        <v>0</v>
      </c>
      <c r="AJ73" s="384">
        <v>0</v>
      </c>
      <c r="AK73" s="384">
        <v>0</v>
      </c>
      <c r="AL73" s="384">
        <v>0</v>
      </c>
      <c r="AM73" s="384">
        <v>0</v>
      </c>
      <c r="AN73" s="383">
        <v>0</v>
      </c>
      <c r="AO73" s="384">
        <v>0</v>
      </c>
      <c r="AP73" s="384">
        <v>0</v>
      </c>
      <c r="AQ73" s="384">
        <v>0</v>
      </c>
      <c r="AR73" s="384">
        <v>0</v>
      </c>
      <c r="AS73" s="383">
        <v>0</v>
      </c>
      <c r="AT73" s="386">
        <v>0</v>
      </c>
      <c r="AU73" s="384">
        <v>0</v>
      </c>
      <c r="AV73" s="384">
        <v>0</v>
      </c>
      <c r="AW73" s="384">
        <v>0</v>
      </c>
      <c r="AX73" s="383">
        <v>0</v>
      </c>
      <c r="AY73" s="384">
        <v>0</v>
      </c>
      <c r="AZ73" s="384">
        <v>0</v>
      </c>
      <c r="BA73" s="384">
        <v>0</v>
      </c>
      <c r="BB73" s="384">
        <v>0</v>
      </c>
      <c r="BC73" s="383">
        <v>0</v>
      </c>
      <c r="BD73" s="384">
        <v>0</v>
      </c>
      <c r="BE73" s="384">
        <v>0</v>
      </c>
      <c r="BF73" s="384">
        <v>0</v>
      </c>
      <c r="BG73" s="392">
        <v>0</v>
      </c>
      <c r="BH73" s="383">
        <v>0</v>
      </c>
      <c r="BI73" s="384">
        <f>74-BJ73</f>
        <v>41</v>
      </c>
      <c r="BJ73" s="384">
        <v>33</v>
      </c>
      <c r="BK73" s="384">
        <v>37</v>
      </c>
      <c r="BL73" s="384">
        <v>47</v>
      </c>
      <c r="BM73" s="383">
        <f>SUM(BI73:BL73)</f>
        <v>158</v>
      </c>
      <c r="BN73" s="384">
        <f>-993-BO73</f>
        <v>-857</v>
      </c>
      <c r="BO73" s="384">
        <v>-136</v>
      </c>
      <c r="BP73" s="384">
        <v>170</v>
      </c>
      <c r="BQ73" s="384">
        <v>1113</v>
      </c>
      <c r="BR73" s="383">
        <f>SUM(BN73:BQ73)</f>
        <v>290</v>
      </c>
      <c r="BS73" s="391">
        <v>0</v>
      </c>
      <c r="BT73" s="391">
        <v>0</v>
      </c>
      <c r="BU73" s="391">
        <v>0</v>
      </c>
      <c r="BV73" s="391">
        <v>0</v>
      </c>
      <c r="BW73" s="383">
        <v>0</v>
      </c>
      <c r="BX73" s="391">
        <v>0</v>
      </c>
      <c r="BY73" s="391">
        <v>0</v>
      </c>
      <c r="BZ73" s="391">
        <v>0</v>
      </c>
      <c r="CA73" s="391">
        <v>0</v>
      </c>
      <c r="CB73" s="385">
        <f>SUM(BX73:CA73)</f>
        <v>0</v>
      </c>
      <c r="CC73" s="390">
        <f>2968-CD70-CC70-CD73</f>
        <v>59.259999999999991</v>
      </c>
      <c r="CD73" s="390">
        <f>1542-CD70</f>
        <v>74.740000000000009</v>
      </c>
      <c r="CE73" s="1885">
        <v>-64</v>
      </c>
      <c r="CF73" s="1885">
        <v>3534</v>
      </c>
      <c r="CG73" s="383">
        <f>SUM(CC73:CF73)</f>
        <v>3604</v>
      </c>
      <c r="CH73" s="390">
        <v>0</v>
      </c>
      <c r="CI73" s="390">
        <v>-47</v>
      </c>
      <c r="CJ73" s="390">
        <v>37</v>
      </c>
      <c r="CK73" s="390">
        <v>-11</v>
      </c>
      <c r="CL73" s="383">
        <f>SUM(CH73:CK73)</f>
        <v>-21</v>
      </c>
      <c r="CM73" s="390">
        <v>0</v>
      </c>
      <c r="CN73" s="390">
        <v>0</v>
      </c>
      <c r="CO73" s="390">
        <v>0</v>
      </c>
      <c r="CP73" s="390">
        <v>0</v>
      </c>
      <c r="CQ73" s="383">
        <v>0</v>
      </c>
      <c r="CR73" s="390">
        <v>0</v>
      </c>
      <c r="CS73" s="390">
        <v>0</v>
      </c>
      <c r="CT73" s="390">
        <v>0</v>
      </c>
      <c r="CU73" s="390">
        <v>0</v>
      </c>
      <c r="CV73" s="383">
        <v>0</v>
      </c>
      <c r="CW73" s="383">
        <v>0</v>
      </c>
      <c r="CX73" s="383">
        <v>0</v>
      </c>
      <c r="CY73" s="383">
        <v>0</v>
      </c>
      <c r="CZ73" s="256"/>
      <c r="DG73" s="256"/>
    </row>
    <row r="74" spans="1:111" ht="12" customHeight="1" outlineLevel="1">
      <c r="A74" s="272"/>
      <c r="B74" s="272"/>
      <c r="C74" s="317" t="s">
        <v>289</v>
      </c>
      <c r="D74" s="317"/>
      <c r="E74" s="272"/>
      <c r="F74" s="389">
        <v>0</v>
      </c>
      <c r="G74" s="389">
        <v>0</v>
      </c>
      <c r="H74" s="389">
        <v>0</v>
      </c>
      <c r="I74" s="389">
        <v>0</v>
      </c>
      <c r="J74" s="387">
        <v>0</v>
      </c>
      <c r="K74" s="389">
        <v>0</v>
      </c>
      <c r="L74" s="389">
        <v>0</v>
      </c>
      <c r="M74" s="389">
        <v>0</v>
      </c>
      <c r="N74" s="389">
        <v>0</v>
      </c>
      <c r="O74" s="387">
        <v>0</v>
      </c>
      <c r="P74" s="373">
        <v>0</v>
      </c>
      <c r="Q74" s="373">
        <v>0</v>
      </c>
      <c r="R74" s="373">
        <v>0</v>
      </c>
      <c r="S74" s="373">
        <v>0</v>
      </c>
      <c r="T74" s="387">
        <v>0</v>
      </c>
      <c r="U74" s="373">
        <v>0</v>
      </c>
      <c r="V74" s="373">
        <v>0</v>
      </c>
      <c r="W74" s="373">
        <v>0</v>
      </c>
      <c r="X74" s="373">
        <v>0</v>
      </c>
      <c r="Y74" s="387">
        <v>0</v>
      </c>
      <c r="Z74" s="373">
        <v>0</v>
      </c>
      <c r="AA74" s="373">
        <v>0</v>
      </c>
      <c r="AB74" s="373">
        <v>0</v>
      </c>
      <c r="AC74" s="373">
        <v>0</v>
      </c>
      <c r="AD74" s="387">
        <v>0</v>
      </c>
      <c r="AE74" s="373">
        <v>0</v>
      </c>
      <c r="AF74" s="373">
        <v>0</v>
      </c>
      <c r="AG74" s="373">
        <v>0</v>
      </c>
      <c r="AH74" s="373">
        <v>-95</v>
      </c>
      <c r="AI74" s="387">
        <v>-95</v>
      </c>
      <c r="AJ74" s="373">
        <v>0</v>
      </c>
      <c r="AK74" s="373">
        <v>0</v>
      </c>
      <c r="AL74" s="373">
        <v>0</v>
      </c>
      <c r="AM74" s="373">
        <v>0</v>
      </c>
      <c r="AN74" s="387">
        <v>0</v>
      </c>
      <c r="AO74" s="373">
        <v>0</v>
      </c>
      <c r="AP74" s="373">
        <v>0</v>
      </c>
      <c r="AQ74" s="373">
        <v>0</v>
      </c>
      <c r="AR74" s="373">
        <v>0</v>
      </c>
      <c r="AS74" s="387">
        <v>0</v>
      </c>
      <c r="AT74" s="388">
        <v>0</v>
      </c>
      <c r="AU74" s="373">
        <v>0</v>
      </c>
      <c r="AV74" s="373">
        <v>0</v>
      </c>
      <c r="AW74" s="373">
        <v>0</v>
      </c>
      <c r="AX74" s="387">
        <v>0</v>
      </c>
      <c r="AY74" s="373">
        <v>0</v>
      </c>
      <c r="AZ74" s="373">
        <v>0</v>
      </c>
      <c r="BA74" s="373">
        <v>0</v>
      </c>
      <c r="BB74" s="373">
        <v>0</v>
      </c>
      <c r="BC74" s="387">
        <v>0</v>
      </c>
      <c r="BD74" s="373">
        <v>0</v>
      </c>
      <c r="BE74" s="373">
        <v>0</v>
      </c>
      <c r="BF74" s="373">
        <v>0</v>
      </c>
      <c r="BG74" s="373">
        <v>0</v>
      </c>
      <c r="BH74" s="387">
        <v>0</v>
      </c>
      <c r="BI74" s="373">
        <v>0</v>
      </c>
      <c r="BJ74" s="373">
        <v>0</v>
      </c>
      <c r="BK74" s="373">
        <v>0</v>
      </c>
      <c r="BL74" s="373">
        <v>0</v>
      </c>
      <c r="BM74" s="387">
        <f>SUM(BI74:BL74)</f>
        <v>0</v>
      </c>
      <c r="BN74" s="373">
        <v>0</v>
      </c>
      <c r="BO74" s="373">
        <v>0</v>
      </c>
      <c r="BP74" s="373">
        <v>0</v>
      </c>
      <c r="BQ74" s="373">
        <v>0</v>
      </c>
      <c r="BR74" s="387">
        <f>SUM(BN74:BQ74)</f>
        <v>0</v>
      </c>
      <c r="BS74" s="384">
        <v>0</v>
      </c>
      <c r="BT74" s="384">
        <v>0</v>
      </c>
      <c r="BU74" s="384">
        <v>0</v>
      </c>
      <c r="BV74" s="384">
        <v>0</v>
      </c>
      <c r="BW74" s="387">
        <v>0</v>
      </c>
      <c r="BX74" s="384">
        <v>0</v>
      </c>
      <c r="BY74" s="384">
        <v>0</v>
      </c>
      <c r="BZ74" s="384">
        <v>0</v>
      </c>
      <c r="CA74" s="384">
        <v>0</v>
      </c>
      <c r="CB74" s="385">
        <f>SUM(BX74:CA74)</f>
        <v>0</v>
      </c>
      <c r="CC74" s="384">
        <v>0</v>
      </c>
      <c r="CD74" s="384">
        <v>0</v>
      </c>
      <c r="CE74" s="384">
        <v>0</v>
      </c>
      <c r="CF74" s="384">
        <v>0</v>
      </c>
      <c r="CG74" s="387">
        <v>0</v>
      </c>
      <c r="CH74" s="384">
        <v>0</v>
      </c>
      <c r="CI74" s="384">
        <v>0</v>
      </c>
      <c r="CJ74" s="384">
        <v>0</v>
      </c>
      <c r="CK74" s="384">
        <v>0</v>
      </c>
      <c r="CL74" s="387">
        <v>0</v>
      </c>
      <c r="CM74" s="384">
        <v>0</v>
      </c>
      <c r="CN74" s="384">
        <v>0</v>
      </c>
      <c r="CO74" s="384">
        <v>0</v>
      </c>
      <c r="CP74" s="384">
        <v>0</v>
      </c>
      <c r="CQ74" s="387">
        <v>0</v>
      </c>
      <c r="CR74" s="384">
        <v>0</v>
      </c>
      <c r="CS74" s="384">
        <v>0</v>
      </c>
      <c r="CT74" s="384">
        <v>0</v>
      </c>
      <c r="CU74" s="384">
        <v>0</v>
      </c>
      <c r="CV74" s="387">
        <v>0</v>
      </c>
      <c r="CW74" s="387">
        <v>0</v>
      </c>
      <c r="CX74" s="387">
        <v>0</v>
      </c>
      <c r="CY74" s="387">
        <v>0</v>
      </c>
      <c r="CZ74" s="256"/>
      <c r="DG74" s="256"/>
    </row>
    <row r="75" spans="1:111" ht="12" customHeight="1" outlineLevel="1">
      <c r="A75" s="272"/>
      <c r="B75" s="272"/>
      <c r="C75" s="317" t="s">
        <v>8</v>
      </c>
      <c r="D75" s="317"/>
      <c r="E75" s="272"/>
      <c r="F75" s="384">
        <v>0</v>
      </c>
      <c r="G75" s="384">
        <v>0</v>
      </c>
      <c r="H75" s="384">
        <v>0</v>
      </c>
      <c r="I75" s="384">
        <v>0</v>
      </c>
      <c r="J75" s="383">
        <v>0</v>
      </c>
      <c r="K75" s="384">
        <v>0</v>
      </c>
      <c r="L75" s="384">
        <v>0</v>
      </c>
      <c r="M75" s="384">
        <v>0</v>
      </c>
      <c r="N75" s="384">
        <v>0</v>
      </c>
      <c r="O75" s="383">
        <v>0</v>
      </c>
      <c r="P75" s="384">
        <v>0</v>
      </c>
      <c r="Q75" s="384">
        <v>0</v>
      </c>
      <c r="R75" s="384">
        <v>0</v>
      </c>
      <c r="S75" s="384">
        <v>0</v>
      </c>
      <c r="T75" s="383" t="s">
        <v>288</v>
      </c>
      <c r="U75" s="384">
        <v>0</v>
      </c>
      <c r="V75" s="384">
        <v>0</v>
      </c>
      <c r="W75" s="384">
        <v>0</v>
      </c>
      <c r="X75" s="384">
        <v>0</v>
      </c>
      <c r="Y75" s="383">
        <v>0</v>
      </c>
      <c r="Z75" s="384">
        <v>0</v>
      </c>
      <c r="AA75" s="384">
        <v>0</v>
      </c>
      <c r="AB75" s="384">
        <v>0</v>
      </c>
      <c r="AC75" s="384">
        <v>0</v>
      </c>
      <c r="AD75" s="383">
        <v>0</v>
      </c>
      <c r="AE75" s="384">
        <v>0</v>
      </c>
      <c r="AF75" s="384">
        <v>0</v>
      </c>
      <c r="AG75" s="384">
        <v>0</v>
      </c>
      <c r="AH75" s="384">
        <v>0</v>
      </c>
      <c r="AI75" s="383">
        <v>0</v>
      </c>
      <c r="AJ75" s="384">
        <v>0</v>
      </c>
      <c r="AK75" s="384">
        <v>0</v>
      </c>
      <c r="AL75" s="384">
        <v>0</v>
      </c>
      <c r="AM75" s="384">
        <v>0</v>
      </c>
      <c r="AN75" s="383">
        <v>0</v>
      </c>
      <c r="AO75" s="384">
        <v>0</v>
      </c>
      <c r="AP75" s="384">
        <v>0</v>
      </c>
      <c r="AQ75" s="384">
        <v>0</v>
      </c>
      <c r="AR75" s="384">
        <v>0</v>
      </c>
      <c r="AS75" s="383">
        <v>0</v>
      </c>
      <c r="AT75" s="386">
        <v>0</v>
      </c>
      <c r="AU75" s="384">
        <v>0</v>
      </c>
      <c r="AV75" s="384">
        <v>0</v>
      </c>
      <c r="AW75" s="384">
        <v>0</v>
      </c>
      <c r="AX75" s="383">
        <v>0</v>
      </c>
      <c r="AY75" s="384">
        <v>0</v>
      </c>
      <c r="AZ75" s="384">
        <v>0</v>
      </c>
      <c r="BA75" s="384">
        <v>0</v>
      </c>
      <c r="BB75" s="384">
        <v>0</v>
      </c>
      <c r="BC75" s="383">
        <v>0</v>
      </c>
      <c r="BD75" s="384">
        <v>0</v>
      </c>
      <c r="BE75" s="384">
        <v>0</v>
      </c>
      <c r="BF75" s="384">
        <v>0</v>
      </c>
      <c r="BG75" s="384">
        <v>0</v>
      </c>
      <c r="BH75" s="383">
        <v>0</v>
      </c>
      <c r="BI75" s="384">
        <v>0</v>
      </c>
      <c r="BJ75" s="384">
        <v>0</v>
      </c>
      <c r="BK75" s="384">
        <v>0</v>
      </c>
      <c r="BL75" s="384">
        <v>0</v>
      </c>
      <c r="BM75" s="383">
        <f>SUM(BI75:BL75)</f>
        <v>0</v>
      </c>
      <c r="BN75" s="384">
        <v>0</v>
      </c>
      <c r="BO75" s="384">
        <v>0</v>
      </c>
      <c r="BP75" s="384">
        <v>0</v>
      </c>
      <c r="BQ75" s="384">
        <v>0</v>
      </c>
      <c r="BR75" s="383">
        <f>SUM(BN75:BQ75)</f>
        <v>0</v>
      </c>
      <c r="BS75" s="384">
        <v>0</v>
      </c>
      <c r="BT75" s="384">
        <v>0</v>
      </c>
      <c r="BU75" s="384">
        <v>0</v>
      </c>
      <c r="BV75" s="384">
        <v>0</v>
      </c>
      <c r="BW75" s="383">
        <v>0</v>
      </c>
      <c r="BX75" s="384">
        <v>0</v>
      </c>
      <c r="BY75" s="384">
        <v>0</v>
      </c>
      <c r="BZ75" s="384">
        <v>0</v>
      </c>
      <c r="CA75" s="384">
        <v>0</v>
      </c>
      <c r="CB75" s="385">
        <f>SUM(BX75:CA75)</f>
        <v>0</v>
      </c>
      <c r="CC75" s="384">
        <v>0</v>
      </c>
      <c r="CD75" s="384">
        <v>0</v>
      </c>
      <c r="CE75" s="384">
        <v>0</v>
      </c>
      <c r="CF75" s="384">
        <v>0</v>
      </c>
      <c r="CG75" s="383">
        <f>SUM(CC75:CF75)</f>
        <v>0</v>
      </c>
      <c r="CH75" s="384">
        <v>0</v>
      </c>
      <c r="CI75" s="384">
        <v>0</v>
      </c>
      <c r="CJ75" s="384">
        <v>0</v>
      </c>
      <c r="CK75" s="384">
        <v>0</v>
      </c>
      <c r="CL75" s="383">
        <f>SUM(CH75:CK75)</f>
        <v>0</v>
      </c>
      <c r="CM75" s="384">
        <v>0</v>
      </c>
      <c r="CN75" s="384">
        <v>0</v>
      </c>
      <c r="CO75" s="384">
        <v>0</v>
      </c>
      <c r="CP75" s="384">
        <v>0</v>
      </c>
      <c r="CQ75" s="383">
        <v>0</v>
      </c>
      <c r="CR75" s="384">
        <v>0</v>
      </c>
      <c r="CS75" s="384">
        <v>0</v>
      </c>
      <c r="CT75" s="384">
        <v>0</v>
      </c>
      <c r="CU75" s="384">
        <v>0</v>
      </c>
      <c r="CV75" s="383">
        <v>0</v>
      </c>
      <c r="CW75" s="383">
        <v>0</v>
      </c>
      <c r="CX75" s="383">
        <v>0</v>
      </c>
      <c r="CY75" s="383">
        <v>0</v>
      </c>
      <c r="CZ75" s="256"/>
      <c r="DG75" s="256"/>
    </row>
    <row r="76" spans="1:111" ht="12" customHeight="1" outlineLevel="1">
      <c r="A76" s="272"/>
      <c r="B76" s="272"/>
      <c r="C76" s="317"/>
      <c r="D76" s="317"/>
      <c r="E76" s="272"/>
      <c r="F76" s="313"/>
      <c r="G76" s="313"/>
      <c r="H76" s="313"/>
      <c r="I76" s="313"/>
      <c r="J76" s="381"/>
      <c r="K76" s="313"/>
      <c r="L76" s="313"/>
      <c r="M76" s="313"/>
      <c r="N76" s="313"/>
      <c r="O76" s="381"/>
      <c r="P76" s="313"/>
      <c r="Q76" s="313"/>
      <c r="R76" s="313"/>
      <c r="S76" s="313"/>
      <c r="T76" s="381"/>
      <c r="U76" s="313"/>
      <c r="V76" s="313"/>
      <c r="W76" s="313"/>
      <c r="X76" s="313"/>
      <c r="Y76" s="381"/>
      <c r="Z76" s="313"/>
      <c r="AA76" s="313"/>
      <c r="AB76" s="313"/>
      <c r="AC76" s="313"/>
      <c r="AD76" s="381"/>
      <c r="AE76" s="313"/>
      <c r="AF76" s="313"/>
      <c r="AG76" s="313"/>
      <c r="AH76" s="313"/>
      <c r="AI76" s="381"/>
      <c r="AJ76" s="313"/>
      <c r="AK76" s="313"/>
      <c r="AL76" s="313"/>
      <c r="AM76" s="313"/>
      <c r="AN76" s="381"/>
      <c r="AO76" s="313"/>
      <c r="AP76" s="313"/>
      <c r="AQ76" s="313"/>
      <c r="AR76" s="313"/>
      <c r="AS76" s="381"/>
      <c r="AT76" s="314"/>
      <c r="AU76" s="313"/>
      <c r="AV76" s="382"/>
      <c r="AW76" s="382"/>
      <c r="AX76" s="381"/>
      <c r="AY76" s="313"/>
      <c r="AZ76" s="382"/>
      <c r="BA76" s="382"/>
      <c r="BB76" s="313"/>
      <c r="BC76" s="381"/>
      <c r="BD76" s="382"/>
      <c r="BE76" s="313"/>
      <c r="BF76" s="313"/>
      <c r="BG76" s="382"/>
      <c r="BH76" s="381"/>
      <c r="BI76" s="382"/>
      <c r="BJ76" s="382"/>
      <c r="BK76" s="382"/>
      <c r="BL76" s="382"/>
      <c r="BM76" s="381"/>
      <c r="BN76" s="382"/>
      <c r="BO76" s="382"/>
      <c r="BP76" s="382"/>
      <c r="BQ76" s="382"/>
      <c r="BR76" s="381"/>
      <c r="BS76" s="382"/>
      <c r="BT76" s="382"/>
      <c r="BU76" s="382"/>
      <c r="BV76" s="382"/>
      <c r="BW76" s="381"/>
      <c r="BX76" s="382"/>
      <c r="BY76" s="382"/>
      <c r="BZ76" s="382"/>
      <c r="CA76" s="382"/>
      <c r="CB76" s="381"/>
      <c r="CC76" s="382"/>
      <c r="CD76" s="382"/>
      <c r="CE76" s="382"/>
      <c r="CF76" s="382"/>
      <c r="CG76" s="381"/>
      <c r="CH76" s="382"/>
      <c r="CI76" s="382"/>
      <c r="CJ76" s="382"/>
      <c r="CK76" s="382"/>
      <c r="CL76" s="381"/>
      <c r="CM76" s="382"/>
      <c r="CN76" s="382"/>
      <c r="CO76" s="382"/>
      <c r="CP76" s="382"/>
      <c r="CQ76" s="381"/>
      <c r="CR76" s="382"/>
      <c r="CS76" s="382"/>
      <c r="CT76" s="382"/>
      <c r="CU76" s="382"/>
      <c r="CV76" s="381"/>
      <c r="CW76" s="381"/>
      <c r="CX76" s="381"/>
      <c r="CY76" s="381"/>
      <c r="CZ76" s="256"/>
      <c r="DG76" s="256"/>
    </row>
    <row r="77" spans="1:111" ht="12" customHeight="1" thickBot="1">
      <c r="A77" s="371"/>
      <c r="B77" s="371"/>
      <c r="C77" s="380" t="s">
        <v>287</v>
      </c>
      <c r="D77" s="380"/>
      <c r="E77" s="379"/>
      <c r="F77" s="378">
        <v>377</v>
      </c>
      <c r="G77" s="378">
        <v>509</v>
      </c>
      <c r="H77" s="378">
        <v>496</v>
      </c>
      <c r="I77" s="378">
        <v>426</v>
      </c>
      <c r="J77" s="374">
        <v>1808</v>
      </c>
      <c r="K77" s="375">
        <v>440</v>
      </c>
      <c r="L77" s="375">
        <v>588</v>
      </c>
      <c r="M77" s="375">
        <v>565</v>
      </c>
      <c r="N77" s="375">
        <v>431</v>
      </c>
      <c r="O77" s="374">
        <v>1938</v>
      </c>
      <c r="P77" s="375">
        <v>467</v>
      </c>
      <c r="Q77" s="375">
        <v>624</v>
      </c>
      <c r="R77" s="375">
        <v>612</v>
      </c>
      <c r="S77" s="375">
        <v>533</v>
      </c>
      <c r="T77" s="374">
        <v>2236</v>
      </c>
      <c r="U77" s="375">
        <v>502</v>
      </c>
      <c r="V77" s="375">
        <v>632</v>
      </c>
      <c r="W77" s="375">
        <v>639</v>
      </c>
      <c r="X77" s="375">
        <v>588</v>
      </c>
      <c r="Y77" s="374">
        <v>2361</v>
      </c>
      <c r="Z77" s="375">
        <v>551</v>
      </c>
      <c r="AA77" s="375">
        <v>817</v>
      </c>
      <c r="AB77" s="375">
        <v>693</v>
      </c>
      <c r="AC77" s="375">
        <v>612</v>
      </c>
      <c r="AD77" s="374">
        <v>2788</v>
      </c>
      <c r="AE77" s="375">
        <v>651</v>
      </c>
      <c r="AF77" s="375">
        <v>971</v>
      </c>
      <c r="AG77" s="375">
        <v>821</v>
      </c>
      <c r="AH77" s="375">
        <v>626</v>
      </c>
      <c r="AI77" s="374">
        <v>3069</v>
      </c>
      <c r="AJ77" s="375">
        <f t="shared" ref="AJ77:BO77" si="49">AJ70+SUM(AJ73:AJ75)</f>
        <v>768</v>
      </c>
      <c r="AK77" s="375">
        <f t="shared" si="49"/>
        <v>1103</v>
      </c>
      <c r="AL77" s="375">
        <f t="shared" si="49"/>
        <v>996</v>
      </c>
      <c r="AM77" s="375">
        <f t="shared" si="49"/>
        <v>865</v>
      </c>
      <c r="AN77" s="374">
        <f t="shared" si="49"/>
        <v>3732</v>
      </c>
      <c r="AO77" s="375">
        <f t="shared" si="49"/>
        <v>819</v>
      </c>
      <c r="AP77" s="377">
        <f t="shared" si="49"/>
        <v>1148</v>
      </c>
      <c r="AQ77" s="375">
        <f t="shared" si="49"/>
        <v>1197</v>
      </c>
      <c r="AR77" s="375">
        <f t="shared" si="49"/>
        <v>1060</v>
      </c>
      <c r="AS77" s="374">
        <f t="shared" si="49"/>
        <v>4224</v>
      </c>
      <c r="AT77" s="376">
        <f t="shared" si="49"/>
        <v>1000</v>
      </c>
      <c r="AU77" s="375">
        <f t="shared" si="49"/>
        <v>1275</v>
      </c>
      <c r="AV77" s="375">
        <f t="shared" si="49"/>
        <v>1269</v>
      </c>
      <c r="AW77" s="375">
        <f t="shared" si="49"/>
        <v>1145</v>
      </c>
      <c r="AX77" s="374">
        <f t="shared" si="49"/>
        <v>4689</v>
      </c>
      <c r="AY77" s="375">
        <f t="shared" si="49"/>
        <v>724.88499999999999</v>
      </c>
      <c r="AZ77" s="375">
        <f t="shared" si="49"/>
        <v>973.6099999999999</v>
      </c>
      <c r="BA77" s="375">
        <f t="shared" si="49"/>
        <v>1057.33</v>
      </c>
      <c r="BB77" s="375">
        <f t="shared" si="49"/>
        <v>1073.4100000000001</v>
      </c>
      <c r="BC77" s="374">
        <f t="shared" si="49"/>
        <v>3829.2349999999997</v>
      </c>
      <c r="BD77" s="375">
        <f t="shared" si="49"/>
        <v>866</v>
      </c>
      <c r="BE77" s="375">
        <f t="shared" si="49"/>
        <v>1110</v>
      </c>
      <c r="BF77" s="375">
        <f t="shared" si="49"/>
        <v>1198</v>
      </c>
      <c r="BG77" s="375">
        <f t="shared" si="49"/>
        <v>1199</v>
      </c>
      <c r="BH77" s="374">
        <f t="shared" si="49"/>
        <v>4373</v>
      </c>
      <c r="BI77" s="375">
        <f t="shared" si="49"/>
        <v>1012</v>
      </c>
      <c r="BJ77" s="375">
        <f t="shared" si="49"/>
        <v>1318</v>
      </c>
      <c r="BK77" s="375">
        <f t="shared" si="49"/>
        <v>1324</v>
      </c>
      <c r="BL77" s="375">
        <f t="shared" si="49"/>
        <v>1325</v>
      </c>
      <c r="BM77" s="374">
        <f t="shared" si="49"/>
        <v>4979</v>
      </c>
      <c r="BN77" s="375">
        <f t="shared" si="49"/>
        <v>330</v>
      </c>
      <c r="BO77" s="375">
        <f t="shared" si="49"/>
        <v>1328</v>
      </c>
      <c r="BP77" s="375">
        <f t="shared" ref="BP77:CV77" si="50">BP70+SUM(BP73:BP75)</f>
        <v>1415</v>
      </c>
      <c r="BQ77" s="375">
        <f t="shared" si="50"/>
        <v>2057</v>
      </c>
      <c r="BR77" s="374">
        <f t="shared" si="50"/>
        <v>5130</v>
      </c>
      <c r="BS77" s="375">
        <f t="shared" si="50"/>
        <v>1270</v>
      </c>
      <c r="BT77" s="375">
        <f t="shared" si="50"/>
        <v>1552</v>
      </c>
      <c r="BU77" s="375">
        <f t="shared" si="50"/>
        <v>1415</v>
      </c>
      <c r="BV77" s="375">
        <f t="shared" si="50"/>
        <v>1449</v>
      </c>
      <c r="BW77" s="374">
        <f t="shared" si="50"/>
        <v>5686</v>
      </c>
      <c r="BX77" s="375">
        <f t="shared" si="50"/>
        <v>1213</v>
      </c>
      <c r="BY77" s="375">
        <f t="shared" si="50"/>
        <v>1680</v>
      </c>
      <c r="BZ77" s="375">
        <f t="shared" si="50"/>
        <v>1854</v>
      </c>
      <c r="CA77" s="375">
        <f t="shared" si="50"/>
        <v>1473</v>
      </c>
      <c r="CB77" s="374">
        <f t="shared" si="50"/>
        <v>6220</v>
      </c>
      <c r="CC77" s="375">
        <f t="shared" si="50"/>
        <v>1426</v>
      </c>
      <c r="CD77" s="375">
        <f t="shared" si="50"/>
        <v>1542</v>
      </c>
      <c r="CE77" s="375">
        <f t="shared" si="50"/>
        <v>1362</v>
      </c>
      <c r="CF77" s="375">
        <f t="shared" si="50"/>
        <v>3278</v>
      </c>
      <c r="CG77" s="374">
        <f t="shared" si="50"/>
        <v>7608</v>
      </c>
      <c r="CH77" s="375">
        <f t="shared" si="50"/>
        <v>1180</v>
      </c>
      <c r="CI77" s="375">
        <f t="shared" si="50"/>
        <v>1373</v>
      </c>
      <c r="CJ77" s="375">
        <f t="shared" si="50"/>
        <v>1480</v>
      </c>
      <c r="CK77" s="375">
        <f t="shared" si="50"/>
        <v>1013</v>
      </c>
      <c r="CL77" s="374">
        <f t="shared" si="50"/>
        <v>5046</v>
      </c>
      <c r="CM77" s="375">
        <f>CM70+SUM(CM73:CM75)</f>
        <v>1386</v>
      </c>
      <c r="CN77" s="375">
        <f>CN70+SUM(CN73:CN75)</f>
        <v>1439</v>
      </c>
      <c r="CO77" s="375">
        <f>CO70+SUM(CO73:CO75)</f>
        <v>1330</v>
      </c>
      <c r="CP77" s="375">
        <f>CP70+SUM(CP73:CP75)</f>
        <v>1173.1273385718785</v>
      </c>
      <c r="CQ77" s="374">
        <f t="shared" si="50"/>
        <v>5328.1273385718787</v>
      </c>
      <c r="CR77" s="375">
        <f>CR70+SUM(CR73:CR75)</f>
        <v>1147.2017145623613</v>
      </c>
      <c r="CS77" s="375">
        <f>CS70+SUM(CS73:CS75)</f>
        <v>1433.7008932812248</v>
      </c>
      <c r="CT77" s="375">
        <f>CT70+SUM(CT73:CT75)</f>
        <v>1450.6456440317102</v>
      </c>
      <c r="CU77" s="375">
        <f>CU70+SUM(CU73:CU75)</f>
        <v>1296.6699180588207</v>
      </c>
      <c r="CV77" s="374">
        <f t="shared" si="50"/>
        <v>5328.1420532696857</v>
      </c>
      <c r="CW77" s="374">
        <f>CW70+SUM(CW73:CW75)</f>
        <v>6072.9286860348584</v>
      </c>
      <c r="CX77" s="374">
        <f>CX70+SUM(CX73:CX75)</f>
        <v>6681.6253804822582</v>
      </c>
      <c r="CY77" s="374">
        <f>CY70+SUM(CY73:CY75)</f>
        <v>7039.3756535457005</v>
      </c>
      <c r="CZ77" s="256"/>
      <c r="DG77" s="256"/>
    </row>
    <row r="78" spans="1:111" ht="12" customHeight="1" thickTop="1">
      <c r="A78" s="371"/>
      <c r="B78" s="371"/>
      <c r="C78" s="370"/>
      <c r="D78" s="370"/>
      <c r="E78" s="369"/>
      <c r="F78" s="368"/>
      <c r="G78" s="368"/>
      <c r="H78" s="368"/>
      <c r="I78" s="368"/>
      <c r="J78" s="364"/>
      <c r="K78" s="365"/>
      <c r="L78" s="365"/>
      <c r="M78" s="365"/>
      <c r="N78" s="365"/>
      <c r="O78" s="364"/>
      <c r="P78" s="365"/>
      <c r="Q78" s="365"/>
      <c r="R78" s="365"/>
      <c r="S78" s="365"/>
      <c r="T78" s="364"/>
      <c r="U78" s="365"/>
      <c r="V78" s="365"/>
      <c r="W78" s="365"/>
      <c r="X78" s="365"/>
      <c r="Y78" s="364"/>
      <c r="Z78" s="365"/>
      <c r="AA78" s="365"/>
      <c r="AB78" s="365"/>
      <c r="AC78" s="365"/>
      <c r="AD78" s="364"/>
      <c r="AE78" s="365"/>
      <c r="AF78" s="365"/>
      <c r="AG78" s="365"/>
      <c r="AH78" s="365"/>
      <c r="AI78" s="364"/>
      <c r="AJ78" s="365"/>
      <c r="AK78" s="365"/>
      <c r="AL78" s="365"/>
      <c r="AM78" s="365"/>
      <c r="AN78" s="364"/>
      <c r="AO78" s="365"/>
      <c r="AP78" s="367"/>
      <c r="AQ78" s="365"/>
      <c r="AR78" s="365"/>
      <c r="AS78" s="364"/>
      <c r="AT78" s="366"/>
      <c r="AU78" s="365"/>
      <c r="AV78" s="365"/>
      <c r="AW78" s="365"/>
      <c r="AX78" s="364"/>
      <c r="AY78" s="365"/>
      <c r="AZ78" s="365"/>
      <c r="BA78" s="365"/>
      <c r="BB78" s="365"/>
      <c r="BC78" s="364"/>
      <c r="BD78" s="365"/>
      <c r="BE78" s="365"/>
      <c r="BF78" s="365"/>
      <c r="BG78" s="365"/>
      <c r="BH78" s="364"/>
      <c r="BI78" s="365"/>
      <c r="BJ78" s="365"/>
      <c r="BK78" s="365"/>
      <c r="BL78" s="365"/>
      <c r="BM78" s="364"/>
      <c r="BN78" s="365"/>
      <c r="BO78" s="365"/>
      <c r="BP78" s="365"/>
      <c r="BQ78" s="365"/>
      <c r="BR78" s="364"/>
      <c r="BS78" s="365"/>
      <c r="BT78" s="365"/>
      <c r="BU78" s="365"/>
      <c r="BV78" s="365"/>
      <c r="BW78" s="364"/>
      <c r="BX78" s="365"/>
      <c r="BY78" s="365"/>
      <c r="BZ78" s="365"/>
      <c r="CA78" s="365"/>
      <c r="CB78" s="364"/>
      <c r="CC78" s="365"/>
      <c r="CD78" s="365"/>
      <c r="CE78" s="365"/>
      <c r="CF78" s="365"/>
      <c r="CG78" s="372"/>
      <c r="CH78" s="365"/>
      <c r="CI78" s="365"/>
      <c r="CJ78" s="365"/>
      <c r="CK78" s="365"/>
      <c r="CL78" s="364"/>
      <c r="CM78" s="365"/>
      <c r="CN78" s="365"/>
      <c r="CO78" s="365"/>
      <c r="CP78" s="365"/>
      <c r="CQ78" s="364"/>
      <c r="CR78" s="365"/>
      <c r="CS78" s="365"/>
      <c r="CT78" s="365"/>
      <c r="CU78" s="365"/>
      <c r="CV78" s="364"/>
      <c r="CW78" s="364"/>
      <c r="CX78" s="364"/>
      <c r="CY78" s="364"/>
      <c r="CZ78" s="1026">
        <f>6.92/6.86-1</f>
        <v>8.7463556851310464E-3</v>
      </c>
      <c r="DG78" s="256"/>
    </row>
    <row r="79" spans="1:111" ht="12" customHeight="1">
      <c r="A79" s="272"/>
      <c r="B79" s="272"/>
      <c r="C79" s="317" t="s">
        <v>264</v>
      </c>
      <c r="D79" s="317"/>
      <c r="E79" s="272"/>
      <c r="F79" s="373">
        <f>-('Divisional Summary'!F117-'Divisional Summary'!F130)*(1-CF!$H$130)</f>
        <v>0</v>
      </c>
      <c r="G79" s="373">
        <f>-('Divisional Summary'!G117-'Divisional Summary'!G130)*(1-CF!$H$130)</f>
        <v>0</v>
      </c>
      <c r="H79" s="373">
        <f>-('Divisional Summary'!H117-'Divisional Summary'!H130)*(1-CF!$H$130)</f>
        <v>0</v>
      </c>
      <c r="I79" s="373">
        <f>-('Divisional Summary'!I117-'Divisional Summary'!I130)*(1-CF!$H$130)</f>
        <v>0</v>
      </c>
      <c r="J79" s="372">
        <f>SUM(F79:I79)</f>
        <v>0</v>
      </c>
      <c r="K79" s="373">
        <f>-('Divisional Summary'!K117-'Divisional Summary'!K130)*(1-CF!$I$130)</f>
        <v>0</v>
      </c>
      <c r="L79" s="373">
        <f>-('Divisional Summary'!L117-'Divisional Summary'!L130)*(1-CF!$I$130)</f>
        <v>0</v>
      </c>
      <c r="M79" s="373">
        <f>-('Divisional Summary'!M117-'Divisional Summary'!M130)*(1-CF!$I$130)</f>
        <v>-159.488</v>
      </c>
      <c r="N79" s="373">
        <f>-('Divisional Summary'!N117-'Divisional Summary'!N130)*(1-CF!$I$130)</f>
        <v>-88.287999999999997</v>
      </c>
      <c r="O79" s="372">
        <f>SUM(K79:N79)</f>
        <v>-247.77600000000001</v>
      </c>
      <c r="P79" s="373">
        <f>-('Divisional Summary'!P117-'Divisional Summary'!P130)*(1-CF!$J$130)</f>
        <v>-74.88</v>
      </c>
      <c r="Q79" s="373">
        <f>-('Divisional Summary'!Q117-'Divisional Summary'!Q130)*(1-CF!$J$130)</f>
        <v>-20.88</v>
      </c>
      <c r="R79" s="373">
        <f>-('Divisional Summary'!R117-'Divisional Summary'!R130)*(1-CF!$J$130)</f>
        <v>-45.36</v>
      </c>
      <c r="S79" s="373">
        <f>-('Divisional Summary'!S117-'Divisional Summary'!S130)*(1-CF!$J$130)</f>
        <v>-90</v>
      </c>
      <c r="T79" s="372">
        <f>SUM(P79:S79)</f>
        <v>-231.12</v>
      </c>
      <c r="U79" s="373">
        <f>-('Divisional Summary'!U117-'Divisional Summary'!U130)*(1-CF!$K$130)</f>
        <v>-7.6119999999999992</v>
      </c>
      <c r="V79" s="373">
        <f>-('Divisional Summary'!V117-'Divisional Summary'!V130)*(1-CF!$K$130)</f>
        <v>-7.6119999999999992</v>
      </c>
      <c r="W79" s="373">
        <f>-('Divisional Summary'!W117-'Divisional Summary'!W130)*(1-CF!$K$130)</f>
        <v>-15.223999999999998</v>
      </c>
      <c r="X79" s="373">
        <f>-('Divisional Summary'!X117-'Divisional Summary'!X130)*(1-CF!$K$130)</f>
        <v>-60.895999999999994</v>
      </c>
      <c r="Y79" s="372">
        <f>SUM(U79:X79)</f>
        <v>-91.343999999999994</v>
      </c>
      <c r="Z79" s="373">
        <f>-('Divisional Summary'!Z117-'Divisional Summary'!Z130)*(1-CF!L130)</f>
        <v>-6.5610000000000008</v>
      </c>
      <c r="AA79" s="373">
        <f>0.07*AA99</f>
        <v>70.7</v>
      </c>
      <c r="AB79" s="373">
        <f>-('Divisional Summary'!AB117-'Divisional Summary'!AB130)*(1-CF!N130)</f>
        <v>-42.282000000000004</v>
      </c>
      <c r="AC79" s="373">
        <f>(-0.22+0.14)/2*AC99</f>
        <v>-40.319999999999993</v>
      </c>
      <c r="AD79" s="372">
        <f>SUM(Z79:AC79)</f>
        <v>-18.463000000000001</v>
      </c>
      <c r="AE79" s="272">
        <f>-0.02*AE99</f>
        <v>-20.32</v>
      </c>
      <c r="AF79" s="272">
        <f>(0.14-0.05)*AF99</f>
        <v>91.62</v>
      </c>
      <c r="AG79" s="272">
        <f>-('Divisional Summary'!AG117-'Divisional Summary'!AG130)*(1-CF!S130)</f>
        <v>-34.950000000000003</v>
      </c>
      <c r="AH79" s="272">
        <f>-('Divisional Summary'!AH117-'Divisional Summary'!AH130)*(1-CF!T130)</f>
        <v>-67.803000000000011</v>
      </c>
      <c r="AI79" s="372">
        <f>SUM(AE79:AH79)</f>
        <v>-31.453000000000003</v>
      </c>
      <c r="AJ79" s="272">
        <f>(-0.02+0.02)*AJ99</f>
        <v>0</v>
      </c>
      <c r="AK79" s="272">
        <f>0.07*AK99</f>
        <v>70.63000000000001</v>
      </c>
      <c r="AL79" s="272">
        <f>-0.02*AL99</f>
        <v>-20.12</v>
      </c>
      <c r="AM79" s="272">
        <f>-0.05*AM99</f>
        <v>-49.900000000000006</v>
      </c>
      <c r="AN79" s="372">
        <f>SUM(AJ79:AM79)</f>
        <v>0.60999999999999943</v>
      </c>
      <c r="AO79" s="272">
        <f>-0.07*AO99</f>
        <v>-69.510000000000005</v>
      </c>
      <c r="AP79" s="272">
        <f>-0.02*AP99</f>
        <v>-19.8</v>
      </c>
      <c r="AQ79" s="272">
        <f>0.04*AQ99</f>
        <v>39.56</v>
      </c>
      <c r="AR79" s="272">
        <f>-0.04*AR99</f>
        <v>-39.36</v>
      </c>
      <c r="AS79" s="372">
        <f>SUM(AO79:AR79)</f>
        <v>-89.11</v>
      </c>
      <c r="AT79" s="272">
        <f>-0.02*AT99</f>
        <v>-19.5</v>
      </c>
      <c r="AU79" s="272">
        <f>-0.06*AU99</f>
        <v>-57.96</v>
      </c>
      <c r="AV79" s="272">
        <f>-0.03*AV99</f>
        <v>-28.529999999999998</v>
      </c>
      <c r="AW79" s="272">
        <f>0.06*AW99</f>
        <v>55.98</v>
      </c>
      <c r="AX79" s="372">
        <f>SUM(AT79:AW79)</f>
        <v>-50.010000000000012</v>
      </c>
      <c r="AY79" s="272">
        <f>-0.09*AY99</f>
        <v>-83.34</v>
      </c>
      <c r="AZ79" s="272">
        <f>-0.16*AZ99</f>
        <v>-148.64000000000001</v>
      </c>
      <c r="BA79" s="272">
        <f>-0.13*BA99</f>
        <v>-120.77000000000001</v>
      </c>
      <c r="BB79" s="272">
        <f>-0.08*BB99</f>
        <v>-74.48</v>
      </c>
      <c r="BC79" s="372">
        <f>SUM(AY79:BB79)</f>
        <v>-427.23</v>
      </c>
      <c r="BD79" s="272">
        <f>-67+22</f>
        <v>-45</v>
      </c>
      <c r="BE79" s="272">
        <f>-85-51+25</f>
        <v>-111</v>
      </c>
      <c r="BF79" s="272">
        <f>-58-135+9+102</f>
        <v>-82</v>
      </c>
      <c r="BG79" s="272">
        <f>-233+39+72+93</f>
        <v>-29</v>
      </c>
      <c r="BH79" s="372">
        <f>SUM(BD79:BG79)</f>
        <v>-267</v>
      </c>
      <c r="BI79" s="272">
        <f>-30+10</f>
        <v>-20</v>
      </c>
      <c r="BJ79" s="272">
        <f>-57+73-8</f>
        <v>8</v>
      </c>
      <c r="BK79" s="272">
        <f>-80+41+8-4+17</f>
        <v>-18</v>
      </c>
      <c r="BL79" s="272">
        <f>-148+35-45+89+17+63</f>
        <v>11</v>
      </c>
      <c r="BM79" s="372">
        <f>SUM(BI79:BL79)</f>
        <v>-19</v>
      </c>
      <c r="BN79" s="272">
        <f>-111+112-10+15-23+203</f>
        <v>186</v>
      </c>
      <c r="BO79" s="272">
        <f>-93+110+19</f>
        <v>36</v>
      </c>
      <c r="BP79" s="272">
        <f>-128+34+25+34+34</f>
        <v>-1</v>
      </c>
      <c r="BQ79" s="272">
        <f>-258-65+92</f>
        <v>-231</v>
      </c>
      <c r="BR79" s="372">
        <f>SUM(BN79:BQ79)</f>
        <v>-10</v>
      </c>
      <c r="BS79" s="272">
        <f>+'Divisional Summary'!BS175</f>
        <v>97</v>
      </c>
      <c r="BT79" s="272">
        <f>+'Divisional Summary'!BT175</f>
        <v>50</v>
      </c>
      <c r="BU79" s="272">
        <f>+'Divisional Summary'!BU175</f>
        <v>-70</v>
      </c>
      <c r="BV79" s="272">
        <f>+'Divisional Summary'!BV175</f>
        <v>-79</v>
      </c>
      <c r="BW79" s="372">
        <f>SUM(BS79:BV79)</f>
        <v>-2</v>
      </c>
      <c r="BX79" s="272">
        <f>-+'Divisional Summary'!BX175</f>
        <v>83</v>
      </c>
      <c r="BY79" s="272">
        <f>-+'Divisional Summary'!BY175</f>
        <v>1</v>
      </c>
      <c r="BZ79" s="272">
        <v>-196</v>
      </c>
      <c r="CA79" s="272">
        <v>-237</v>
      </c>
      <c r="CB79" s="372">
        <f>SUM(BX79:CA79)</f>
        <v>-349</v>
      </c>
      <c r="CC79" s="272">
        <f>-'Divisional Summary'!CC175</f>
        <v>-63</v>
      </c>
      <c r="CD79" s="272">
        <f>-'Divisional Summary'!CD175</f>
        <v>44</v>
      </c>
      <c r="CE79" s="272">
        <f>-'Divisional Summary'!CE175</f>
        <v>52.595845136921625</v>
      </c>
      <c r="CF79" s="272">
        <f>-'Divisional Summary'!CF175</f>
        <v>1554</v>
      </c>
      <c r="CG79" s="372">
        <f>SUM(CC79:CF79)</f>
        <v>1587.5958451369215</v>
      </c>
      <c r="CH79" s="272">
        <f>0.05*CH99</f>
        <v>41.550000000000004</v>
      </c>
      <c r="CI79" s="272">
        <f>0.11*CI99</f>
        <v>91.575000000000003</v>
      </c>
      <c r="CJ79" s="272">
        <f>0.02*CJ99</f>
        <v>16.62</v>
      </c>
      <c r="CK79" s="272">
        <f>0.3*CK99</f>
        <v>243</v>
      </c>
      <c r="CL79" s="372">
        <f>SUM(CH79:CK79)</f>
        <v>392.745</v>
      </c>
      <c r="CM79" s="272">
        <f>-0.25*CM99</f>
        <v>-200.5</v>
      </c>
      <c r="CN79" s="272">
        <f>0.05*CN99</f>
        <v>39.900000000000006</v>
      </c>
      <c r="CO79" s="272">
        <f>0.06*CO99</f>
        <v>47.82</v>
      </c>
      <c r="CP79" s="272">
        <f t="shared" ref="CP79:CW79" si="51">(CP43-CP44)*(1-CP66)</f>
        <v>82.49</v>
      </c>
      <c r="CQ79" s="372">
        <f>SUM(CM79:CP79)</f>
        <v>-30.290000000000006</v>
      </c>
      <c r="CR79" s="272">
        <f>(CR43-CR44)*(1-CR66)</f>
        <v>62.414999999999999</v>
      </c>
      <c r="CS79" s="272">
        <f>(CS43-CS44)*(1-CS66)</f>
        <v>55.115000000000002</v>
      </c>
      <c r="CT79" s="272">
        <f>(CT43-CT44)*(1-CT66)</f>
        <v>51.464999999999996</v>
      </c>
      <c r="CU79" s="272">
        <f>(CU43-CU44)*(1-CU66)</f>
        <v>52.195</v>
      </c>
      <c r="CV79" s="2280">
        <f t="shared" si="51"/>
        <v>221.19000000000005</v>
      </c>
      <c r="CW79" s="2280">
        <f t="shared" si="51"/>
        <v>221.19000000000005</v>
      </c>
      <c r="CX79" s="2280">
        <f>(CX43-CX44)*(1-CX66)</f>
        <v>221.19000000000005</v>
      </c>
      <c r="CY79" s="2280">
        <f>(CY43-CY44)*(1-CY66)</f>
        <v>221.19000000000005</v>
      </c>
      <c r="CZ79" s="256"/>
      <c r="DG79" s="256"/>
    </row>
    <row r="80" spans="1:111" ht="12" customHeight="1">
      <c r="A80" s="371"/>
      <c r="B80" s="371"/>
      <c r="C80" s="370"/>
      <c r="D80" s="370"/>
      <c r="E80" s="369"/>
      <c r="F80" s="368"/>
      <c r="G80" s="368"/>
      <c r="H80" s="368"/>
      <c r="I80" s="368"/>
      <c r="J80" s="364"/>
      <c r="K80" s="365"/>
      <c r="L80" s="365"/>
      <c r="M80" s="365"/>
      <c r="N80" s="365"/>
      <c r="O80" s="364"/>
      <c r="P80" s="365"/>
      <c r="Q80" s="365"/>
      <c r="R80" s="365"/>
      <c r="S80" s="365"/>
      <c r="T80" s="364"/>
      <c r="U80" s="365"/>
      <c r="V80" s="365"/>
      <c r="W80" s="365"/>
      <c r="X80" s="365"/>
      <c r="Y80" s="364"/>
      <c r="Z80" s="365"/>
      <c r="AA80" s="365"/>
      <c r="AB80" s="365"/>
      <c r="AC80" s="365"/>
      <c r="AD80" s="364"/>
      <c r="AE80" s="365"/>
      <c r="AF80" s="365"/>
      <c r="AG80" s="365"/>
      <c r="AH80" s="365"/>
      <c r="AI80" s="364"/>
      <c r="AJ80" s="365"/>
      <c r="AK80" s="365"/>
      <c r="AL80" s="365"/>
      <c r="AM80" s="365"/>
      <c r="AN80" s="364"/>
      <c r="AO80" s="365"/>
      <c r="AP80" s="367"/>
      <c r="AQ80" s="365"/>
      <c r="AR80" s="365"/>
      <c r="AS80" s="364"/>
      <c r="AT80" s="366"/>
      <c r="AU80" s="365"/>
      <c r="AV80" s="365"/>
      <c r="AW80" s="365"/>
      <c r="AX80" s="364"/>
      <c r="AY80" s="365"/>
      <c r="AZ80" s="365"/>
      <c r="BA80" s="365"/>
      <c r="BB80" s="365"/>
      <c r="BC80" s="364"/>
      <c r="BD80" s="365"/>
      <c r="BE80" s="365"/>
      <c r="BF80" s="365"/>
      <c r="BG80" s="365"/>
      <c r="BH80" s="364"/>
      <c r="BI80" s="365"/>
      <c r="BJ80" s="365"/>
      <c r="BK80" s="365"/>
      <c r="BL80" s="365"/>
      <c r="BM80" s="364"/>
      <c r="BN80" s="365"/>
      <c r="BO80" s="365"/>
      <c r="BP80" s="365"/>
      <c r="BQ80" s="365"/>
      <c r="BR80" s="364"/>
      <c r="BS80" s="365"/>
      <c r="BT80" s="365"/>
      <c r="BU80" s="365"/>
      <c r="BV80" s="365"/>
      <c r="BW80" s="364"/>
      <c r="BX80" s="365"/>
      <c r="BY80" s="365"/>
      <c r="BZ80" s="365"/>
      <c r="CA80" s="365"/>
      <c r="CB80" s="364"/>
      <c r="CC80" s="365"/>
      <c r="CD80" s="365"/>
      <c r="CE80" s="365"/>
      <c r="CF80" s="365"/>
      <c r="CG80" s="364"/>
      <c r="CH80" s="365"/>
      <c r="CI80" s="365"/>
      <c r="CJ80" s="365"/>
      <c r="CK80" s="365"/>
      <c r="CL80" s="364"/>
      <c r="CM80" s="365"/>
      <c r="CN80" s="365"/>
      <c r="CO80" s="365"/>
      <c r="CP80" s="365"/>
      <c r="CQ80" s="364"/>
      <c r="CR80" s="365"/>
      <c r="CS80" s="365"/>
      <c r="CT80" s="365"/>
      <c r="CU80" s="365"/>
      <c r="CV80" s="364"/>
      <c r="CW80" s="364"/>
      <c r="CX80" s="364"/>
      <c r="CY80" s="364"/>
      <c r="CZ80" s="256">
        <f>12.5*10.5*6</f>
        <v>787.5</v>
      </c>
      <c r="DG80" s="256"/>
    </row>
    <row r="81" spans="1:111" ht="12" customHeight="1">
      <c r="A81" s="272"/>
      <c r="B81" s="272"/>
      <c r="C81" s="363" t="s">
        <v>1309</v>
      </c>
      <c r="D81" s="362"/>
      <c r="E81" s="361"/>
      <c r="F81" s="360">
        <v>377</v>
      </c>
      <c r="G81" s="360">
        <v>509</v>
      </c>
      <c r="H81" s="360">
        <v>496</v>
      </c>
      <c r="I81" s="360">
        <v>426</v>
      </c>
      <c r="J81" s="359">
        <f t="shared" ref="J81:AO81" si="52">J70-J79</f>
        <v>1808</v>
      </c>
      <c r="K81" s="360">
        <f t="shared" si="52"/>
        <v>440</v>
      </c>
      <c r="L81" s="360">
        <f t="shared" si="52"/>
        <v>588</v>
      </c>
      <c r="M81" s="360">
        <f t="shared" si="52"/>
        <v>724.48800000000006</v>
      </c>
      <c r="N81" s="360">
        <f t="shared" si="52"/>
        <v>519.28800000000001</v>
      </c>
      <c r="O81" s="359">
        <f t="shared" si="52"/>
        <v>2185.7759999999998</v>
      </c>
      <c r="P81" s="360">
        <f t="shared" si="52"/>
        <v>541.88</v>
      </c>
      <c r="Q81" s="360">
        <f t="shared" si="52"/>
        <v>644.88</v>
      </c>
      <c r="R81" s="360">
        <f t="shared" si="52"/>
        <v>657.36</v>
      </c>
      <c r="S81" s="360">
        <f t="shared" si="52"/>
        <v>623</v>
      </c>
      <c r="T81" s="359">
        <f t="shared" si="52"/>
        <v>2467.12</v>
      </c>
      <c r="U81" s="360">
        <f t="shared" si="52"/>
        <v>509.61200000000002</v>
      </c>
      <c r="V81" s="360">
        <f t="shared" si="52"/>
        <v>639.61199999999997</v>
      </c>
      <c r="W81" s="360">
        <f t="shared" si="52"/>
        <v>654.22400000000005</v>
      </c>
      <c r="X81" s="360">
        <f t="shared" si="52"/>
        <v>648.89599999999996</v>
      </c>
      <c r="Y81" s="359">
        <f t="shared" si="52"/>
        <v>2452.3440000000001</v>
      </c>
      <c r="Z81" s="360">
        <f t="shared" si="52"/>
        <v>557.56100000000004</v>
      </c>
      <c r="AA81" s="360">
        <f t="shared" si="52"/>
        <v>746.3</v>
      </c>
      <c r="AB81" s="360">
        <f t="shared" si="52"/>
        <v>735.28200000000004</v>
      </c>
      <c r="AC81" s="360">
        <f t="shared" si="52"/>
        <v>652.31999999999994</v>
      </c>
      <c r="AD81" s="359">
        <f t="shared" si="52"/>
        <v>2806.4630000000002</v>
      </c>
      <c r="AE81" s="360">
        <f t="shared" si="52"/>
        <v>671.32</v>
      </c>
      <c r="AF81" s="360">
        <f t="shared" si="52"/>
        <v>879.38</v>
      </c>
      <c r="AG81" s="360">
        <f t="shared" si="52"/>
        <v>855.95</v>
      </c>
      <c r="AH81" s="360">
        <f t="shared" si="52"/>
        <v>788.803</v>
      </c>
      <c r="AI81" s="359">
        <f t="shared" si="52"/>
        <v>3195.453</v>
      </c>
      <c r="AJ81" s="360">
        <f t="shared" si="52"/>
        <v>768</v>
      </c>
      <c r="AK81" s="360">
        <f t="shared" si="52"/>
        <v>1032.3699999999999</v>
      </c>
      <c r="AL81" s="360">
        <f t="shared" si="52"/>
        <v>1016.12</v>
      </c>
      <c r="AM81" s="360">
        <f t="shared" si="52"/>
        <v>914.9</v>
      </c>
      <c r="AN81" s="359">
        <f t="shared" si="52"/>
        <v>3731.39</v>
      </c>
      <c r="AO81" s="360">
        <f t="shared" si="52"/>
        <v>888.51</v>
      </c>
      <c r="AP81" s="360">
        <f t="shared" ref="AP81:BU81" si="53">AP70-AP79</f>
        <v>1167.8</v>
      </c>
      <c r="AQ81" s="360">
        <f t="shared" si="53"/>
        <v>1157.44</v>
      </c>
      <c r="AR81" s="360">
        <f t="shared" si="53"/>
        <v>1099.3599999999999</v>
      </c>
      <c r="AS81" s="359">
        <f t="shared" si="53"/>
        <v>4313.1099999999997</v>
      </c>
      <c r="AT81" s="360">
        <f t="shared" si="53"/>
        <v>1019.5</v>
      </c>
      <c r="AU81" s="360">
        <f t="shared" si="53"/>
        <v>1332.96</v>
      </c>
      <c r="AV81" s="360">
        <f t="shared" si="53"/>
        <v>1297.53</v>
      </c>
      <c r="AW81" s="360">
        <f t="shared" si="53"/>
        <v>1089.02</v>
      </c>
      <c r="AX81" s="359">
        <f t="shared" si="53"/>
        <v>4739.01</v>
      </c>
      <c r="AY81" s="360">
        <f t="shared" si="53"/>
        <v>808.22500000000002</v>
      </c>
      <c r="AZ81" s="360">
        <f t="shared" si="53"/>
        <v>1122.25</v>
      </c>
      <c r="BA81" s="360">
        <f t="shared" si="53"/>
        <v>1178.0999999999999</v>
      </c>
      <c r="BB81" s="360">
        <f t="shared" si="53"/>
        <v>1147.8900000000001</v>
      </c>
      <c r="BC81" s="359">
        <f t="shared" si="53"/>
        <v>4256.4650000000001</v>
      </c>
      <c r="BD81" s="360">
        <f t="shared" si="53"/>
        <v>911</v>
      </c>
      <c r="BE81" s="360">
        <f t="shared" si="53"/>
        <v>1221</v>
      </c>
      <c r="BF81" s="360">
        <f t="shared" si="53"/>
        <v>1280</v>
      </c>
      <c r="BG81" s="360">
        <f t="shared" si="53"/>
        <v>1228</v>
      </c>
      <c r="BH81" s="359">
        <f t="shared" si="53"/>
        <v>4640</v>
      </c>
      <c r="BI81" s="360">
        <f t="shared" si="53"/>
        <v>991</v>
      </c>
      <c r="BJ81" s="360">
        <f t="shared" si="53"/>
        <v>1277</v>
      </c>
      <c r="BK81" s="360">
        <f t="shared" si="53"/>
        <v>1305</v>
      </c>
      <c r="BL81" s="360">
        <f t="shared" si="53"/>
        <v>1267</v>
      </c>
      <c r="BM81" s="359">
        <f t="shared" si="53"/>
        <v>4840</v>
      </c>
      <c r="BN81" s="360">
        <f t="shared" si="53"/>
        <v>1001</v>
      </c>
      <c r="BO81" s="360">
        <f t="shared" si="53"/>
        <v>1428</v>
      </c>
      <c r="BP81" s="360">
        <f t="shared" si="53"/>
        <v>1246</v>
      </c>
      <c r="BQ81" s="360">
        <f t="shared" si="53"/>
        <v>1175</v>
      </c>
      <c r="BR81" s="359">
        <f t="shared" si="53"/>
        <v>4850</v>
      </c>
      <c r="BS81" s="360">
        <f t="shared" si="53"/>
        <v>1173</v>
      </c>
      <c r="BT81" s="360">
        <f t="shared" si="53"/>
        <v>1502</v>
      </c>
      <c r="BU81" s="360">
        <f t="shared" si="53"/>
        <v>1485</v>
      </c>
      <c r="BV81" s="360">
        <f t="shared" ref="BV81:CB81" si="54">BV70-BV79</f>
        <v>1528</v>
      </c>
      <c r="BW81" s="359">
        <f t="shared" si="54"/>
        <v>5688</v>
      </c>
      <c r="BX81" s="360">
        <f t="shared" si="54"/>
        <v>1130</v>
      </c>
      <c r="BY81" s="360">
        <f t="shared" si="54"/>
        <v>1679</v>
      </c>
      <c r="BZ81" s="360">
        <f t="shared" si="54"/>
        <v>2050</v>
      </c>
      <c r="CA81" s="360">
        <f t="shared" si="54"/>
        <v>1710</v>
      </c>
      <c r="CB81" s="359">
        <f t="shared" si="54"/>
        <v>6569</v>
      </c>
      <c r="CC81" s="360">
        <f t="shared" ref="CC81:CH81" si="55">CC70+CC79</f>
        <v>1303.74</v>
      </c>
      <c r="CD81" s="360">
        <f t="shared" si="55"/>
        <v>1511.26</v>
      </c>
      <c r="CE81" s="360">
        <f t="shared" si="55"/>
        <v>1478.5958451369215</v>
      </c>
      <c r="CF81" s="360">
        <f t="shared" si="55"/>
        <v>1298</v>
      </c>
      <c r="CG81" s="359">
        <f t="shared" si="55"/>
        <v>5591.5958451369215</v>
      </c>
      <c r="CH81" s="360">
        <f t="shared" si="55"/>
        <v>1221.55</v>
      </c>
      <c r="CI81" s="2221">
        <f t="shared" ref="CI81:CY81" si="56">CI70+CI79</f>
        <v>1511.575</v>
      </c>
      <c r="CJ81" s="360">
        <f t="shared" si="56"/>
        <v>1459.62</v>
      </c>
      <c r="CK81" s="360">
        <f t="shared" si="56"/>
        <v>1267</v>
      </c>
      <c r="CL81" s="359">
        <f t="shared" si="56"/>
        <v>5459.7449999999999</v>
      </c>
      <c r="CM81" s="360">
        <f t="shared" si="56"/>
        <v>1185.5</v>
      </c>
      <c r="CN81" s="360">
        <f t="shared" si="56"/>
        <v>1478.9</v>
      </c>
      <c r="CO81" s="360">
        <f t="shared" si="56"/>
        <v>1377.82</v>
      </c>
      <c r="CP81" s="360">
        <f t="shared" si="56"/>
        <v>1255.6173385718785</v>
      </c>
      <c r="CQ81" s="359">
        <f t="shared" si="56"/>
        <v>5297.8373385718787</v>
      </c>
      <c r="CR81" s="360">
        <f t="shared" si="56"/>
        <v>1209.6167145623613</v>
      </c>
      <c r="CS81" s="360">
        <f t="shared" si="56"/>
        <v>1488.8158932812248</v>
      </c>
      <c r="CT81" s="360">
        <f t="shared" si="56"/>
        <v>1502.1106440317101</v>
      </c>
      <c r="CU81" s="360">
        <f t="shared" si="56"/>
        <v>1348.8649180588206</v>
      </c>
      <c r="CV81" s="359">
        <f t="shared" si="56"/>
        <v>5549.3320532696853</v>
      </c>
      <c r="CW81" s="359">
        <f t="shared" si="56"/>
        <v>6294.1186860348589</v>
      </c>
      <c r="CX81" s="359">
        <f t="shared" si="56"/>
        <v>6902.8153804822578</v>
      </c>
      <c r="CY81" s="359">
        <f t="shared" si="56"/>
        <v>7260.5656535457001</v>
      </c>
      <c r="CZ81" s="256"/>
      <c r="DG81" s="256"/>
    </row>
    <row r="82" spans="1:111" ht="21.75" customHeight="1" thickBot="1">
      <c r="A82" s="272"/>
      <c r="B82" s="272"/>
      <c r="C82" s="351"/>
      <c r="D82" s="350"/>
      <c r="E82" s="349"/>
      <c r="F82" s="347"/>
      <c r="G82" s="347"/>
      <c r="H82" s="347"/>
      <c r="I82" s="347"/>
      <c r="J82" s="348"/>
      <c r="K82" s="347"/>
      <c r="L82" s="347"/>
      <c r="M82" s="347"/>
      <c r="N82" s="347"/>
      <c r="O82" s="348"/>
      <c r="P82" s="347"/>
      <c r="Q82" s="347"/>
      <c r="R82" s="347"/>
      <c r="S82" s="347"/>
      <c r="T82" s="348"/>
      <c r="U82" s="347"/>
      <c r="V82" s="347"/>
      <c r="W82" s="347"/>
      <c r="X82" s="347"/>
      <c r="Y82" s="348"/>
      <c r="Z82" s="347"/>
      <c r="AA82" s="347"/>
      <c r="AB82" s="347"/>
      <c r="AC82" s="347"/>
      <c r="AD82" s="348"/>
      <c r="AE82" s="347"/>
      <c r="AF82" s="347"/>
      <c r="AG82" s="347"/>
      <c r="AH82" s="347"/>
      <c r="AI82" s="348"/>
      <c r="AJ82" s="347"/>
      <c r="AK82" s="347"/>
      <c r="AL82" s="347"/>
      <c r="AM82" s="347"/>
      <c r="AN82" s="348"/>
      <c r="AO82" s="347"/>
      <c r="AP82" s="347"/>
      <c r="AQ82" s="347"/>
      <c r="AR82" s="347"/>
      <c r="AS82" s="348"/>
      <c r="AT82" s="347"/>
      <c r="AU82" s="347"/>
      <c r="AV82" s="347"/>
      <c r="AW82" s="347"/>
      <c r="AX82" s="348"/>
      <c r="AY82" s="347"/>
      <c r="AZ82" s="347"/>
      <c r="BA82" s="347"/>
      <c r="BB82" s="347"/>
      <c r="BC82" s="348"/>
      <c r="BD82" s="347"/>
      <c r="BE82" s="347"/>
      <c r="BF82" s="347"/>
      <c r="BG82" s="347"/>
      <c r="BH82" s="348"/>
      <c r="BI82" s="347"/>
      <c r="BJ82" s="347"/>
      <c r="BK82" s="347"/>
      <c r="BL82" s="347"/>
      <c r="BM82" s="348"/>
      <c r="BN82" s="347"/>
      <c r="BO82" s="347"/>
      <c r="BP82" s="347"/>
      <c r="BQ82" s="347"/>
      <c r="BR82" s="348"/>
      <c r="BS82" s="347"/>
      <c r="BT82" s="346"/>
      <c r="BU82" s="345"/>
      <c r="BV82" s="345"/>
      <c r="BW82" s="343"/>
      <c r="BX82" s="344"/>
      <c r="BY82" s="344"/>
      <c r="BZ82" s="344"/>
      <c r="CA82" s="344"/>
      <c r="CB82" s="343"/>
      <c r="CC82" s="358"/>
      <c r="CD82" s="358"/>
      <c r="CE82" s="341"/>
      <c r="CF82" s="341"/>
      <c r="CG82" s="340"/>
      <c r="CH82" s="341"/>
      <c r="CI82" s="2104"/>
      <c r="CJ82" s="2104"/>
      <c r="CK82" s="2104"/>
      <c r="CL82" s="2103"/>
      <c r="CM82" s="2104"/>
      <c r="CN82" s="2104"/>
      <c r="CO82" s="2104"/>
      <c r="CP82" s="2104"/>
      <c r="CQ82" s="2102"/>
      <c r="CR82" s="2104"/>
      <c r="CS82" s="2104"/>
      <c r="CT82" s="2104"/>
      <c r="CU82" s="2104"/>
      <c r="CV82" s="2102">
        <f>CV83/6.86-1</f>
        <v>8.0217308879970695E-3</v>
      </c>
      <c r="CW82" s="2102">
        <f>CW83/7.66-1</f>
        <v>1.3938761964695567E-2</v>
      </c>
      <c r="CX82" s="2102"/>
      <c r="CY82" s="2102"/>
      <c r="CZ82" s="256"/>
      <c r="DG82" s="256"/>
    </row>
    <row r="83" spans="1:111" ht="12" customHeight="1" thickBot="1">
      <c r="A83" s="355"/>
      <c r="B83" s="355"/>
      <c r="C83" s="357" t="s">
        <v>142</v>
      </c>
      <c r="D83" s="356"/>
      <c r="E83" s="355"/>
      <c r="F83" s="353">
        <v>0.79704016913319242</v>
      </c>
      <c r="G83" s="353">
        <v>1.0806794055201698</v>
      </c>
      <c r="H83" s="353">
        <v>1.0553191489361702</v>
      </c>
      <c r="I83" s="353">
        <v>0.45307195548408502</v>
      </c>
      <c r="J83" s="352">
        <f t="shared" ref="J83:AO83" si="57">J70/J99</f>
        <v>1.7794925296746127</v>
      </c>
      <c r="K83" s="353">
        <f t="shared" si="57"/>
        <v>0.43307086614173229</v>
      </c>
      <c r="L83" s="353">
        <f t="shared" si="57"/>
        <v>0.57988165680473369</v>
      </c>
      <c r="M83" s="353">
        <f t="shared" si="57"/>
        <v>0.56051587301587302</v>
      </c>
      <c r="N83" s="353">
        <f t="shared" si="57"/>
        <v>0.42640674652641741</v>
      </c>
      <c r="O83" s="352">
        <f t="shared" si="57"/>
        <v>1.9173463451698305</v>
      </c>
      <c r="P83" s="353">
        <f t="shared" si="57"/>
        <v>0.46055226824457596</v>
      </c>
      <c r="Q83" s="353">
        <f t="shared" si="57"/>
        <v>0.61538461538461542</v>
      </c>
      <c r="R83" s="353">
        <f t="shared" si="57"/>
        <v>0.60594059405940592</v>
      </c>
      <c r="S83" s="353">
        <f t="shared" si="57"/>
        <v>0.52711841275052962</v>
      </c>
      <c r="T83" s="352">
        <f t="shared" si="57"/>
        <v>2.2113260242217341</v>
      </c>
      <c r="U83" s="353">
        <f t="shared" si="57"/>
        <v>0.50099800399201599</v>
      </c>
      <c r="V83" s="353">
        <f t="shared" si="57"/>
        <v>0.63200000000000001</v>
      </c>
      <c r="W83" s="353">
        <f t="shared" si="57"/>
        <v>0.6339285714285714</v>
      </c>
      <c r="X83" s="353">
        <f t="shared" si="57"/>
        <v>0.58460112903578598</v>
      </c>
      <c r="Y83" s="352">
        <f t="shared" si="57"/>
        <v>2.3473524926079774</v>
      </c>
      <c r="Z83" s="353">
        <f t="shared" si="57"/>
        <v>0.54232283464566933</v>
      </c>
      <c r="AA83" s="353">
        <f t="shared" si="57"/>
        <v>0.80891089108910896</v>
      </c>
      <c r="AB83" s="353">
        <f t="shared" si="57"/>
        <v>0.68613861386138619</v>
      </c>
      <c r="AC83" s="353">
        <f t="shared" si="57"/>
        <v>0.6071428571428571</v>
      </c>
      <c r="AD83" s="352">
        <f t="shared" si="57"/>
        <v>2.7576656775469832</v>
      </c>
      <c r="AE83" s="353">
        <f t="shared" si="57"/>
        <v>0.64074803149606296</v>
      </c>
      <c r="AF83" s="353">
        <f t="shared" si="57"/>
        <v>0.9538310412573674</v>
      </c>
      <c r="AG83" s="353">
        <f t="shared" si="57"/>
        <v>0.80886699507389159</v>
      </c>
      <c r="AH83" s="353">
        <f t="shared" si="57"/>
        <v>0.71386138613861383</v>
      </c>
      <c r="AI83" s="352">
        <f t="shared" si="57"/>
        <v>3.1203155818540433</v>
      </c>
      <c r="AJ83" s="353">
        <f t="shared" si="57"/>
        <v>0.76114965312190286</v>
      </c>
      <c r="AK83" s="353">
        <f t="shared" si="57"/>
        <v>1.0931615460852329</v>
      </c>
      <c r="AL83" s="353">
        <f t="shared" si="57"/>
        <v>0.99005964214711728</v>
      </c>
      <c r="AM83" s="353">
        <f t="shared" si="57"/>
        <v>0.86673346693386777</v>
      </c>
      <c r="AN83" s="352">
        <f t="shared" si="57"/>
        <v>3.7097415506958251</v>
      </c>
      <c r="AO83" s="353">
        <f t="shared" si="57"/>
        <v>0.82477341389728098</v>
      </c>
      <c r="AP83" s="353">
        <f t="shared" ref="AP83:BU83" si="58">AP70/AP99</f>
        <v>1.1595959595959595</v>
      </c>
      <c r="AQ83" s="353">
        <f t="shared" si="58"/>
        <v>1.2103134479271991</v>
      </c>
      <c r="AR83" s="353">
        <f t="shared" si="58"/>
        <v>1.0772357723577235</v>
      </c>
      <c r="AS83" s="352">
        <f t="shared" si="58"/>
        <v>4.2709807886754296</v>
      </c>
      <c r="AT83" s="354">
        <f t="shared" si="58"/>
        <v>1.0256410256410255</v>
      </c>
      <c r="AU83" s="353">
        <f t="shared" si="58"/>
        <v>1.3198757763975155</v>
      </c>
      <c r="AV83" s="353">
        <f t="shared" si="58"/>
        <v>1.334384858044164</v>
      </c>
      <c r="AW83" s="353">
        <f t="shared" si="58"/>
        <v>1.227224008574491</v>
      </c>
      <c r="AX83" s="352">
        <f t="shared" si="58"/>
        <v>4.9048117154811717</v>
      </c>
      <c r="AY83" s="353">
        <f t="shared" si="58"/>
        <v>0.78281317494600433</v>
      </c>
      <c r="AZ83" s="353">
        <f t="shared" si="58"/>
        <v>1.0480193756727663</v>
      </c>
      <c r="BA83" s="353">
        <f t="shared" si="58"/>
        <v>1.1381377825618944</v>
      </c>
      <c r="BB83" s="353">
        <f t="shared" si="58"/>
        <v>1.1529645542427498</v>
      </c>
      <c r="BC83" s="352">
        <f t="shared" si="58"/>
        <v>4.1218891280947254</v>
      </c>
      <c r="BD83" s="353">
        <f t="shared" si="58"/>
        <v>0.9321851453175457</v>
      </c>
      <c r="BE83" s="353">
        <f t="shared" si="58"/>
        <v>1.2</v>
      </c>
      <c r="BF83" s="353">
        <f t="shared" si="58"/>
        <v>1.3035908596300327</v>
      </c>
      <c r="BG83" s="353">
        <f t="shared" si="58"/>
        <v>1.3089519650655022</v>
      </c>
      <c r="BH83" s="352">
        <f t="shared" si="58"/>
        <v>4.7393519020266606</v>
      </c>
      <c r="BI83" s="353">
        <f t="shared" si="58"/>
        <v>1.0613181768499289</v>
      </c>
      <c r="BJ83" s="353">
        <f t="shared" si="58"/>
        <v>1.4123983293031437</v>
      </c>
      <c r="BK83" s="353">
        <f t="shared" si="58"/>
        <v>1.4269874708947776</v>
      </c>
      <c r="BL83" s="353">
        <f t="shared" si="58"/>
        <v>1.421579532814238</v>
      </c>
      <c r="BM83" s="352">
        <f t="shared" si="58"/>
        <v>5.3164975738861937</v>
      </c>
      <c r="BN83" s="353">
        <f t="shared" si="58"/>
        <v>1.3131983626507358</v>
      </c>
      <c r="BO83" s="353">
        <f t="shared" si="58"/>
        <v>1.6180371352785146</v>
      </c>
      <c r="BP83" s="353">
        <f t="shared" si="58"/>
        <v>1.3723544973544972</v>
      </c>
      <c r="BQ83" s="353">
        <f t="shared" si="58"/>
        <v>1.0362239297475302</v>
      </c>
      <c r="BR83" s="352">
        <f t="shared" si="58"/>
        <v>5.3386278402823732</v>
      </c>
      <c r="BS83" s="353">
        <f t="shared" si="58"/>
        <v>1.3894967177242887</v>
      </c>
      <c r="BT83" s="353">
        <f t="shared" si="58"/>
        <v>1.6980306345733041</v>
      </c>
      <c r="BU83" s="353">
        <f t="shared" si="58"/>
        <v>1.545603495357728</v>
      </c>
      <c r="BV83" s="353">
        <f t="shared" ref="BV83:CB83" si="59">BV70/BV99</f>
        <v>1.5801526717557253</v>
      </c>
      <c r="BW83" s="352">
        <f t="shared" si="59"/>
        <v>6.213358830760825</v>
      </c>
      <c r="BX83" s="353">
        <f t="shared" si="59"/>
        <v>1.3227917121046893</v>
      </c>
      <c r="BY83" s="353">
        <f t="shared" si="59"/>
        <v>1.8360655737704918</v>
      </c>
      <c r="BZ83" s="353">
        <f t="shared" si="59"/>
        <v>2.0373626373626372</v>
      </c>
      <c r="CA83" s="353">
        <f t="shared" si="59"/>
        <v>1.6240352811466372</v>
      </c>
      <c r="CB83" s="352">
        <f t="shared" si="59"/>
        <v>6.8183063853110442</v>
      </c>
      <c r="CC83" s="353">
        <f t="shared" ref="CC83:CH83" si="60">CC81/CC99</f>
        <v>1.4421902654867256</v>
      </c>
      <c r="CD83" s="353">
        <f t="shared" si="60"/>
        <v>1.6999550056242969</v>
      </c>
      <c r="CE83" s="353">
        <f t="shared" si="60"/>
        <v>1.6707297685162954</v>
      </c>
      <c r="CF83" s="353">
        <f t="shared" si="60"/>
        <v>1.5270588235294118</v>
      </c>
      <c r="CG83" s="352">
        <f t="shared" si="60"/>
        <v>6.3396778289534259</v>
      </c>
      <c r="CH83" s="353">
        <f t="shared" si="60"/>
        <v>1.4699759326113115</v>
      </c>
      <c r="CI83" s="2222">
        <f t="shared" ref="CI83:CY83" si="61">CI81/CI99</f>
        <v>1.8157057057057058</v>
      </c>
      <c r="CJ83" s="353">
        <f t="shared" si="61"/>
        <v>1.7564620938628157</v>
      </c>
      <c r="CK83" s="353">
        <f t="shared" si="61"/>
        <v>1.5641975308641975</v>
      </c>
      <c r="CL83" s="352">
        <f t="shared" si="61"/>
        <v>6.6088606445755786</v>
      </c>
      <c r="CM83" s="353">
        <f t="shared" si="61"/>
        <v>1.4781795511221945</v>
      </c>
      <c r="CN83" s="353">
        <f t="shared" si="61"/>
        <v>1.8532581453634087</v>
      </c>
      <c r="CO83" s="353">
        <f t="shared" si="61"/>
        <v>1.7287578419071516</v>
      </c>
      <c r="CP83" s="353">
        <f t="shared" si="61"/>
        <v>1.5732174976059914</v>
      </c>
      <c r="CQ83" s="352">
        <f t="shared" si="61"/>
        <v>6.6324097946942819</v>
      </c>
      <c r="CR83" s="353">
        <f t="shared" si="61"/>
        <v>1.5128809309962821</v>
      </c>
      <c r="CS83" s="353">
        <f t="shared" si="61"/>
        <v>1.8574973115646864</v>
      </c>
      <c r="CT83" s="353">
        <f t="shared" si="61"/>
        <v>1.8694849692793254</v>
      </c>
      <c r="CU83" s="353">
        <f t="shared" si="61"/>
        <v>1.6746497387951951</v>
      </c>
      <c r="CV83" s="2323">
        <f t="shared" si="61"/>
        <v>6.9150290738916596</v>
      </c>
      <c r="CW83" s="352">
        <f t="shared" si="61"/>
        <v>7.7667709166495689</v>
      </c>
      <c r="CX83" s="352">
        <f t="shared" si="61"/>
        <v>8.4357798881358388</v>
      </c>
      <c r="CY83" s="352">
        <f t="shared" si="61"/>
        <v>8.7882662556922639</v>
      </c>
      <c r="CZ83" s="256"/>
      <c r="DG83" s="256"/>
    </row>
    <row r="84" spans="1:111" ht="12" customHeight="1">
      <c r="A84" s="268"/>
      <c r="B84" s="268"/>
      <c r="C84" s="283"/>
      <c r="D84" s="326" t="s">
        <v>282</v>
      </c>
      <c r="E84" s="268"/>
      <c r="F84" s="287" t="s">
        <v>284</v>
      </c>
      <c r="G84" s="287" t="s">
        <v>284</v>
      </c>
      <c r="H84" s="287" t="s">
        <v>284</v>
      </c>
      <c r="I84" s="287" t="s">
        <v>284</v>
      </c>
      <c r="J84" s="323" t="str">
        <f t="shared" ref="J84:AO84" si="62">IF(ISERROR(J83/E83-1),"-",J83/E83-1)</f>
        <v>-</v>
      </c>
      <c r="K84" s="324">
        <f t="shared" si="62"/>
        <v>-0.45665114141899377</v>
      </c>
      <c r="L84" s="324">
        <f t="shared" si="62"/>
        <v>-0.46341009753432305</v>
      </c>
      <c r="M84" s="324">
        <f t="shared" si="62"/>
        <v>-0.46886600742447515</v>
      </c>
      <c r="N84" s="324">
        <f t="shared" si="62"/>
        <v>-5.8854247399129256E-2</v>
      </c>
      <c r="O84" s="323">
        <f t="shared" si="62"/>
        <v>7.7468049568280462E-2</v>
      </c>
      <c r="P84" s="324">
        <f t="shared" si="62"/>
        <v>6.3457055764748027E-2</v>
      </c>
      <c r="Q84" s="324">
        <f t="shared" si="62"/>
        <v>6.1224489795918435E-2</v>
      </c>
      <c r="R84" s="324">
        <f t="shared" si="62"/>
        <v>8.1040918251117144E-2</v>
      </c>
      <c r="S84" s="324">
        <f t="shared" si="62"/>
        <v>0.23618684986700322</v>
      </c>
      <c r="T84" s="323">
        <f t="shared" si="62"/>
        <v>0.15332633031715726</v>
      </c>
      <c r="U84" s="324">
        <f t="shared" si="62"/>
        <v>8.7820077190372992E-2</v>
      </c>
      <c r="V84" s="324">
        <f t="shared" si="62"/>
        <v>2.6999999999999913E-2</v>
      </c>
      <c r="W84" s="324">
        <f t="shared" si="62"/>
        <v>4.6189309056956063E-2</v>
      </c>
      <c r="X84" s="324">
        <f t="shared" si="62"/>
        <v>0.10905086010050136</v>
      </c>
      <c r="Y84" s="323">
        <f t="shared" si="62"/>
        <v>6.1513529391993282E-2</v>
      </c>
      <c r="Z84" s="324">
        <f t="shared" si="62"/>
        <v>8.2485020547730326E-2</v>
      </c>
      <c r="AA84" s="324">
        <f t="shared" si="62"/>
        <v>0.27992229602707108</v>
      </c>
      <c r="AB84" s="324">
        <f t="shared" si="62"/>
        <v>8.2359503555989644E-2</v>
      </c>
      <c r="AC84" s="324">
        <f t="shared" si="62"/>
        <v>3.8559159378036778E-2</v>
      </c>
      <c r="AD84" s="323">
        <f t="shared" si="62"/>
        <v>0.17479828284465948</v>
      </c>
      <c r="AE84" s="324">
        <f t="shared" si="62"/>
        <v>0.1814882032667875</v>
      </c>
      <c r="AF84" s="324">
        <f t="shared" si="62"/>
        <v>0.17915465320678203</v>
      </c>
      <c r="AG84" s="324">
        <f t="shared" si="62"/>
        <v>0.17886820349874522</v>
      </c>
      <c r="AH84" s="324">
        <f t="shared" si="62"/>
        <v>0.17577169481654042</v>
      </c>
      <c r="AI84" s="323">
        <f t="shared" si="62"/>
        <v>0.1315061166622804</v>
      </c>
      <c r="AJ84" s="324">
        <f t="shared" si="62"/>
        <v>0.18790790717642603</v>
      </c>
      <c r="AK84" s="324">
        <f t="shared" si="62"/>
        <v>0.14607461783189191</v>
      </c>
      <c r="AL84" s="324">
        <f t="shared" si="62"/>
        <v>0.22400796197238004</v>
      </c>
      <c r="AM84" s="324">
        <f t="shared" si="62"/>
        <v>0.21414812982414211</v>
      </c>
      <c r="AN84" s="323">
        <f t="shared" si="62"/>
        <v>0.18889947294739784</v>
      </c>
      <c r="AO84" s="324">
        <f t="shared" si="62"/>
        <v>8.3589029456193398E-2</v>
      </c>
      <c r="AP84" s="324">
        <f t="shared" ref="AP84:BU84" si="63">IF(ISERROR(AP83/AK83-1),"-",AP83/AK83-1)</f>
        <v>6.0772731851607587E-2</v>
      </c>
      <c r="AQ84" s="324">
        <f t="shared" si="63"/>
        <v>0.22246518937225135</v>
      </c>
      <c r="AR84" s="324">
        <f t="shared" si="63"/>
        <v>0.24286855585318845</v>
      </c>
      <c r="AS84" s="323">
        <f t="shared" si="63"/>
        <v>0.15128796179192983</v>
      </c>
      <c r="AT84" s="325">
        <f t="shared" si="63"/>
        <v>0.24354278200432034</v>
      </c>
      <c r="AU84" s="324">
        <f t="shared" si="63"/>
        <v>0.13822039950656828</v>
      </c>
      <c r="AV84" s="324">
        <f t="shared" si="63"/>
        <v>0.1025118000047438</v>
      </c>
      <c r="AW84" s="324">
        <f t="shared" si="63"/>
        <v>0.13923436267669742</v>
      </c>
      <c r="AX84" s="323">
        <f t="shared" si="63"/>
        <v>0.14840406879992396</v>
      </c>
      <c r="AY84" s="324">
        <f t="shared" si="63"/>
        <v>-0.23675715442764567</v>
      </c>
      <c r="AZ84" s="324">
        <f t="shared" si="63"/>
        <v>-0.20597120243145706</v>
      </c>
      <c r="BA84" s="324">
        <f t="shared" si="63"/>
        <v>-0.14706932134250461</v>
      </c>
      <c r="BB84" s="324">
        <f t="shared" si="63"/>
        <v>-6.0510105582108786E-2</v>
      </c>
      <c r="BC84" s="323">
        <f t="shared" si="63"/>
        <v>-0.15962337247631531</v>
      </c>
      <c r="BD84" s="324">
        <f t="shared" si="63"/>
        <v>0.19081432856804503</v>
      </c>
      <c r="BE84" s="324">
        <f t="shared" si="63"/>
        <v>0.14501699859286576</v>
      </c>
      <c r="BF84" s="324">
        <f t="shared" si="63"/>
        <v>0.14537174637653383</v>
      </c>
      <c r="BG84" s="324">
        <f t="shared" si="63"/>
        <v>0.13529245998824524</v>
      </c>
      <c r="BH84" s="323">
        <f t="shared" si="63"/>
        <v>0.14980091767226811</v>
      </c>
      <c r="BI84" s="324">
        <f t="shared" si="63"/>
        <v>0.13852723590483151</v>
      </c>
      <c r="BJ84" s="324">
        <f t="shared" si="63"/>
        <v>0.17699860775261977</v>
      </c>
      <c r="BK84" s="324">
        <f t="shared" si="63"/>
        <v>9.4659003132137265E-2</v>
      </c>
      <c r="BL84" s="324">
        <f t="shared" si="63"/>
        <v>8.6044080114964228E-2</v>
      </c>
      <c r="BM84" s="323">
        <f t="shared" si="63"/>
        <v>0.12177734082432923</v>
      </c>
      <c r="BN84" s="324">
        <f t="shared" si="63"/>
        <v>0.23732768484980249</v>
      </c>
      <c r="BO84" s="324">
        <f t="shared" si="63"/>
        <v>0.14559547523454652</v>
      </c>
      <c r="BP84" s="324">
        <f t="shared" si="63"/>
        <v>-3.828553134108692E-2</v>
      </c>
      <c r="BQ84" s="324">
        <f t="shared" si="63"/>
        <v>-0.2710756550524025</v>
      </c>
      <c r="BR84" s="323">
        <f t="shared" si="63"/>
        <v>4.1625649384060548E-3</v>
      </c>
      <c r="BS84" s="324">
        <f t="shared" si="63"/>
        <v>5.8101165249355047E-2</v>
      </c>
      <c r="BT84" s="324">
        <f t="shared" si="63"/>
        <v>4.9438605301861616E-2</v>
      </c>
      <c r="BU84" s="324">
        <f t="shared" si="63"/>
        <v>0.12624216143657119</v>
      </c>
      <c r="BV84" s="324">
        <f t="shared" ref="BV84:CL84" si="64">IF(ISERROR(BV83/BQ83-1),"-",BV83/BQ83-1)</f>
        <v>0.52491428386595951</v>
      </c>
      <c r="BW84" s="323">
        <f t="shared" si="64"/>
        <v>0.16384940412557114</v>
      </c>
      <c r="BX84" s="324">
        <f t="shared" si="64"/>
        <v>-4.8006594595522811E-2</v>
      </c>
      <c r="BY84" s="324">
        <f t="shared" si="64"/>
        <v>8.129119486226144E-2</v>
      </c>
      <c r="BZ84" s="324">
        <f t="shared" si="64"/>
        <v>0.31816642721236343</v>
      </c>
      <c r="CA84" s="324">
        <f t="shared" si="64"/>
        <v>2.777111995270265E-2</v>
      </c>
      <c r="CB84" s="323">
        <f t="shared" si="64"/>
        <v>9.7362404301401639E-2</v>
      </c>
      <c r="CC84" s="324">
        <f t="shared" si="64"/>
        <v>9.0262550248414897E-2</v>
      </c>
      <c r="CD84" s="324">
        <f t="shared" si="64"/>
        <v>-7.4131648722481125E-2</v>
      </c>
      <c r="CE84" s="324">
        <f t="shared" si="64"/>
        <v>-0.17995464436363062</v>
      </c>
      <c r="CF84" s="324">
        <f t="shared" si="64"/>
        <v>-5.9713270236811611E-2</v>
      </c>
      <c r="CG84" s="323">
        <f t="shared" si="64"/>
        <v>-7.0197572433639444E-2</v>
      </c>
      <c r="CH84" s="324">
        <f t="shared" si="64"/>
        <v>1.9266297789916509E-2</v>
      </c>
      <c r="CI84" s="324">
        <f t="shared" si="64"/>
        <v>6.8090449275685527E-2</v>
      </c>
      <c r="CJ84" s="324">
        <f t="shared" si="64"/>
        <v>5.1314298076256648E-2</v>
      </c>
      <c r="CK84" s="324">
        <f t="shared" si="64"/>
        <v>2.4320416975784243E-2</v>
      </c>
      <c r="CL84" s="323">
        <f t="shared" si="64"/>
        <v>4.2460014985744143E-2</v>
      </c>
      <c r="CM84" s="324">
        <f t="shared" ref="CM84:CV84" si="65">IF(ISERROR(CM83/CH83-1),"-",CM83/CH83-1)</f>
        <v>5.5807842352286752E-3</v>
      </c>
      <c r="CN84" s="324">
        <f t="shared" si="65"/>
        <v>2.0682007849453621E-2</v>
      </c>
      <c r="CO84" s="324">
        <f t="shared" si="65"/>
        <v>-1.5772758235127471E-2</v>
      </c>
      <c r="CP84" s="324">
        <f t="shared" si="65"/>
        <v>5.7665138601838972E-3</v>
      </c>
      <c r="CQ84" s="323">
        <f t="shared" si="65"/>
        <v>3.5632692812235245E-3</v>
      </c>
      <c r="CR84" s="324">
        <f t="shared" si="65"/>
        <v>2.3475754246325087E-2</v>
      </c>
      <c r="CS84" s="324">
        <f t="shared" si="65"/>
        <v>2.2874126909322445E-3</v>
      </c>
      <c r="CT84" s="324">
        <f t="shared" si="65"/>
        <v>8.1403608973321884E-2</v>
      </c>
      <c r="CU84" s="324">
        <f t="shared" si="65"/>
        <v>6.4474391712243229E-2</v>
      </c>
      <c r="CV84" s="323">
        <f t="shared" si="65"/>
        <v>4.2611854204706034E-2</v>
      </c>
      <c r="CW84" s="323">
        <f>IF(ISERROR(CW83/CV83-1),"-",CW83/CV83-1)</f>
        <v>0.12317256133799059</v>
      </c>
      <c r="CX84" s="323">
        <f>IF(ISERROR(CX83/CW83-1),"-",CX83/CW83-1)</f>
        <v>8.6137337983295037E-2</v>
      </c>
      <c r="CY84" s="323">
        <f>IF(ISERROR(CY83/CX83-1),"-",CY83/CX83-1)</f>
        <v>4.1784680519244555E-2</v>
      </c>
      <c r="CZ84" s="256"/>
      <c r="DG84" s="256"/>
    </row>
    <row r="85" spans="1:111" ht="21.75" customHeight="1" thickBot="1">
      <c r="A85" s="272"/>
      <c r="B85" s="272"/>
      <c r="C85" s="351"/>
      <c r="D85" s="350"/>
      <c r="E85" s="349"/>
      <c r="F85" s="347"/>
      <c r="G85" s="347"/>
      <c r="H85" s="347"/>
      <c r="I85" s="347"/>
      <c r="J85" s="348"/>
      <c r="K85" s="347"/>
      <c r="L85" s="347"/>
      <c r="M85" s="347"/>
      <c r="N85" s="347"/>
      <c r="O85" s="348"/>
      <c r="P85" s="347"/>
      <c r="Q85" s="347"/>
      <c r="R85" s="347"/>
      <c r="S85" s="347"/>
      <c r="T85" s="348"/>
      <c r="U85" s="347"/>
      <c r="V85" s="347"/>
      <c r="W85" s="347"/>
      <c r="X85" s="347"/>
      <c r="Y85" s="348"/>
      <c r="Z85" s="347"/>
      <c r="AA85" s="347"/>
      <c r="AB85" s="347"/>
      <c r="AC85" s="347"/>
      <c r="AD85" s="348"/>
      <c r="AE85" s="347"/>
      <c r="AF85" s="347"/>
      <c r="AG85" s="347"/>
      <c r="AH85" s="347"/>
      <c r="AI85" s="348"/>
      <c r="AJ85" s="347"/>
      <c r="AK85" s="347"/>
      <c r="AL85" s="347"/>
      <c r="AM85" s="347"/>
      <c r="AN85" s="348"/>
      <c r="AO85" s="347"/>
      <c r="AP85" s="347"/>
      <c r="AQ85" s="347"/>
      <c r="AR85" s="347"/>
      <c r="AS85" s="348"/>
      <c r="AT85" s="347"/>
      <c r="AU85" s="347"/>
      <c r="AV85" s="347"/>
      <c r="AW85" s="347"/>
      <c r="AX85" s="348"/>
      <c r="AY85" s="347"/>
      <c r="AZ85" s="347"/>
      <c r="BA85" s="347"/>
      <c r="BB85" s="347"/>
      <c r="BC85" s="348"/>
      <c r="BD85" s="347"/>
      <c r="BE85" s="347"/>
      <c r="BF85" s="347"/>
      <c r="BG85" s="347"/>
      <c r="BH85" s="348"/>
      <c r="BI85" s="347"/>
      <c r="BJ85" s="347"/>
      <c r="BK85" s="347"/>
      <c r="BL85" s="347"/>
      <c r="BM85" s="348"/>
      <c r="BN85" s="347"/>
      <c r="BO85" s="347"/>
      <c r="BP85" s="347"/>
      <c r="BQ85" s="347"/>
      <c r="BR85" s="348"/>
      <c r="BS85" s="347"/>
      <c r="BT85" s="346"/>
      <c r="BU85" s="345"/>
      <c r="BV85" s="345"/>
      <c r="BW85" s="343"/>
      <c r="BX85" s="344"/>
      <c r="BY85" s="344"/>
      <c r="BZ85" s="344"/>
      <c r="CA85" s="344"/>
      <c r="CB85" s="343"/>
      <c r="CC85" s="341"/>
      <c r="CD85" s="341"/>
      <c r="CE85" s="341"/>
      <c r="CF85" s="341"/>
      <c r="CG85" s="342"/>
      <c r="CH85" s="341"/>
      <c r="CI85" s="341"/>
      <c r="CJ85" s="341"/>
      <c r="CK85" s="341"/>
      <c r="CL85" s="340"/>
      <c r="CM85" s="341"/>
      <c r="CN85" s="341"/>
      <c r="CO85" s="341"/>
      <c r="CP85" s="341"/>
      <c r="CQ85" s="2133"/>
      <c r="CR85" s="341"/>
      <c r="CS85" s="341"/>
      <c r="CT85" s="341"/>
      <c r="CU85" s="341"/>
      <c r="CV85" s="340"/>
      <c r="CW85" s="340"/>
      <c r="CX85" s="340"/>
      <c r="CY85" s="340"/>
      <c r="CZ85" s="256"/>
      <c r="DG85" s="256"/>
    </row>
    <row r="86" spans="1:111" s="327" customFormat="1" ht="12" hidden="1" customHeight="1">
      <c r="A86" s="332"/>
      <c r="B86" s="332"/>
      <c r="C86" s="334" t="s">
        <v>286</v>
      </c>
      <c r="D86" s="333"/>
      <c r="E86" s="332"/>
      <c r="F86" s="329">
        <v>0.73776908023483367</v>
      </c>
      <c r="G86" s="329">
        <v>0.99803921568627452</v>
      </c>
      <c r="H86" s="329">
        <v>0.97637795275590555</v>
      </c>
      <c r="I86" s="329">
        <v>0.41928308497864214</v>
      </c>
      <c r="J86" s="328">
        <f t="shared" ref="J86:AO86" si="66">J81/J99</f>
        <v>1.7794925296746127</v>
      </c>
      <c r="K86" s="329">
        <f t="shared" si="66"/>
        <v>0.43307086614173229</v>
      </c>
      <c r="L86" s="329">
        <f t="shared" si="66"/>
        <v>0.57988165680473369</v>
      </c>
      <c r="M86" s="329">
        <f t="shared" si="66"/>
        <v>0.71873809523809529</v>
      </c>
      <c r="N86" s="329">
        <f t="shared" si="66"/>
        <v>0.51375384359677556</v>
      </c>
      <c r="O86" s="328">
        <f t="shared" si="66"/>
        <v>2.1624817466253514</v>
      </c>
      <c r="P86" s="329">
        <f t="shared" si="66"/>
        <v>0.53439842209072974</v>
      </c>
      <c r="Q86" s="329">
        <f t="shared" si="66"/>
        <v>0.63597633136094678</v>
      </c>
      <c r="R86" s="329">
        <f t="shared" si="66"/>
        <v>0.65085148514851487</v>
      </c>
      <c r="S86" s="329">
        <f t="shared" si="66"/>
        <v>0.6161252741905815</v>
      </c>
      <c r="T86" s="328">
        <f t="shared" si="66"/>
        <v>2.4398956443997872</v>
      </c>
      <c r="U86" s="329">
        <f t="shared" si="66"/>
        <v>0.50859481037924159</v>
      </c>
      <c r="V86" s="329">
        <f t="shared" si="66"/>
        <v>0.63961199999999996</v>
      </c>
      <c r="W86" s="329">
        <f t="shared" si="66"/>
        <v>0.64903174603174607</v>
      </c>
      <c r="X86" s="329">
        <f t="shared" si="66"/>
        <v>0.64514512623606346</v>
      </c>
      <c r="Y86" s="328">
        <f t="shared" si="66"/>
        <v>2.4381684884083938</v>
      </c>
      <c r="Z86" s="329">
        <f t="shared" si="66"/>
        <v>0.54878051181102361</v>
      </c>
      <c r="AA86" s="329">
        <f t="shared" si="66"/>
        <v>0.7389108910891089</v>
      </c>
      <c r="AB86" s="329">
        <f t="shared" si="66"/>
        <v>0.72800198019801987</v>
      </c>
      <c r="AC86" s="329">
        <f t="shared" si="66"/>
        <v>0.64714285714285713</v>
      </c>
      <c r="AD86" s="328">
        <f t="shared" si="66"/>
        <v>2.7759277942631062</v>
      </c>
      <c r="AE86" s="329">
        <f t="shared" si="66"/>
        <v>0.66074803149606309</v>
      </c>
      <c r="AF86" s="329">
        <f t="shared" si="66"/>
        <v>0.86383104125736743</v>
      </c>
      <c r="AG86" s="329">
        <f t="shared" si="66"/>
        <v>0.8433004926108375</v>
      </c>
      <c r="AH86" s="329">
        <f t="shared" si="66"/>
        <v>0.78099306930693069</v>
      </c>
      <c r="AI86" s="328">
        <f t="shared" si="66"/>
        <v>3.1513343195266272</v>
      </c>
      <c r="AJ86" s="329">
        <f t="shared" si="66"/>
        <v>0.76114965312190286</v>
      </c>
      <c r="AK86" s="329">
        <f t="shared" si="66"/>
        <v>1.0231615460852328</v>
      </c>
      <c r="AL86" s="329">
        <f t="shared" si="66"/>
        <v>1.0100596421471173</v>
      </c>
      <c r="AM86" s="329">
        <f t="shared" si="66"/>
        <v>0.9167334669338677</v>
      </c>
      <c r="AN86" s="328">
        <f t="shared" si="66"/>
        <v>3.7091351888667989</v>
      </c>
      <c r="AO86" s="329">
        <f t="shared" si="66"/>
        <v>0.89477341389728093</v>
      </c>
      <c r="AP86" s="329">
        <f t="shared" ref="AP86:BR86" si="67">AP81/AP99</f>
        <v>1.1795959595959595</v>
      </c>
      <c r="AQ86" s="329">
        <f t="shared" si="67"/>
        <v>1.1703134479271993</v>
      </c>
      <c r="AR86" s="329">
        <f t="shared" si="67"/>
        <v>1.1172357723577235</v>
      </c>
      <c r="AS86" s="328">
        <f t="shared" si="67"/>
        <v>4.3610819009100101</v>
      </c>
      <c r="AT86" s="330">
        <f t="shared" si="67"/>
        <v>1.0456410256410256</v>
      </c>
      <c r="AU86" s="329">
        <f t="shared" si="67"/>
        <v>1.3798757763975156</v>
      </c>
      <c r="AV86" s="329">
        <f t="shared" si="67"/>
        <v>1.364384858044164</v>
      </c>
      <c r="AW86" s="329">
        <f t="shared" si="67"/>
        <v>1.1672240085744909</v>
      </c>
      <c r="AX86" s="328">
        <f t="shared" si="67"/>
        <v>4.9571234309623433</v>
      </c>
      <c r="AY86" s="329">
        <f t="shared" si="67"/>
        <v>0.8728131749460043</v>
      </c>
      <c r="AZ86" s="329">
        <f t="shared" si="67"/>
        <v>1.2080193756727664</v>
      </c>
      <c r="BA86" s="329">
        <f t="shared" si="67"/>
        <v>1.2681377825618945</v>
      </c>
      <c r="BB86" s="329">
        <f t="shared" si="67"/>
        <v>1.2329645542427499</v>
      </c>
      <c r="BC86" s="328">
        <f t="shared" si="67"/>
        <v>4.5817707212055971</v>
      </c>
      <c r="BD86" s="329">
        <f t="shared" si="67"/>
        <v>0.9806243272335845</v>
      </c>
      <c r="BE86" s="329">
        <f t="shared" si="67"/>
        <v>1.32</v>
      </c>
      <c r="BF86" s="329">
        <f t="shared" si="67"/>
        <v>1.3928182807399347</v>
      </c>
      <c r="BG86" s="329">
        <f t="shared" si="67"/>
        <v>1.3406113537117903</v>
      </c>
      <c r="BH86" s="328">
        <f t="shared" si="67"/>
        <v>5.0287200606914491</v>
      </c>
      <c r="BI86" s="329">
        <f t="shared" si="67"/>
        <v>1.0831784894523993</v>
      </c>
      <c r="BJ86" s="329">
        <f t="shared" si="67"/>
        <v>1.4036051879533964</v>
      </c>
      <c r="BK86" s="329">
        <f t="shared" si="67"/>
        <v>1.4469453376205788</v>
      </c>
      <c r="BL86" s="329">
        <f t="shared" si="67"/>
        <v>1.4093437152391546</v>
      </c>
      <c r="BM86" s="328">
        <f t="shared" si="67"/>
        <v>5.3374503749448614</v>
      </c>
      <c r="BN86" s="329">
        <f t="shared" si="67"/>
        <v>1.1074233875428698</v>
      </c>
      <c r="BO86" s="329">
        <f t="shared" si="67"/>
        <v>1.5782493368700266</v>
      </c>
      <c r="BP86" s="329">
        <f t="shared" si="67"/>
        <v>1.3734567901234567</v>
      </c>
      <c r="BQ86" s="329">
        <f t="shared" si="67"/>
        <v>1.2897914379802415</v>
      </c>
      <c r="BR86" s="328">
        <f t="shared" si="67"/>
        <v>5.3496580630928747</v>
      </c>
      <c r="BS86" s="329">
        <f>(BS77-+'Divisional Summary'!BS175)/BS99</f>
        <v>1.2833698030634573</v>
      </c>
      <c r="BT86" s="329">
        <f>(BT77-+'Divisional Summary'!BT175)/BT99</f>
        <v>1.6433260393873086</v>
      </c>
      <c r="BU86" s="329">
        <f>(BU77-+'Divisional Summary'!BU175)/BU99</f>
        <v>1.6220644456581104</v>
      </c>
      <c r="BV86" s="329">
        <f>(BV77-+'Divisional Summary'!BV175)/BV99</f>
        <v>1.6663031624863687</v>
      </c>
      <c r="BW86" s="328">
        <f>(BW77-+'Divisional Summary'!BW175)/BW99</f>
        <v>6.2155443245458271</v>
      </c>
      <c r="BX86" s="329">
        <f>(BX77-+'Divisional Summary'!BX175)/BX99</f>
        <v>1.4133042529989095</v>
      </c>
      <c r="BY86" s="329">
        <f>(BY77-+'Divisional Summary'!BY175)/BY99</f>
        <v>1.8371584699453551</v>
      </c>
      <c r="BZ86" s="329">
        <f>(BZ77-+'Divisional Summary'!BZ175)/BZ99</f>
        <v>1.8219780219780219</v>
      </c>
      <c r="CA86" s="329">
        <f>(CA77-+'Divisional Summary'!CA175)/CA99</f>
        <v>1.6008820286659315</v>
      </c>
      <c r="CB86" s="328">
        <f>(CB77-+'Divisional Summary'!CB175)/CB99</f>
        <v>6.6722195508553712</v>
      </c>
      <c r="CC86" s="329">
        <f>(CC77-+'Divisional Summary'!CC175)/CC99</f>
        <v>1.5077433628318584</v>
      </c>
      <c r="CD86" s="329">
        <f>(CD77-+'Divisional Summary'!CD175)/CD99</f>
        <v>1.7840269966254219</v>
      </c>
      <c r="CE86" s="329">
        <f>(CE77-+'Divisional Summary'!CE175)/CE99</f>
        <v>1.5984133843355046</v>
      </c>
      <c r="CF86" s="329">
        <f>(CF77-+'Divisional Summary'!CF175)/CF99</f>
        <v>5.6847058823529411</v>
      </c>
      <c r="CG86" s="328">
        <f>(CG77-+'Divisional Summary'!CG175)/CG99</f>
        <v>10.425845629406941</v>
      </c>
      <c r="CH86" s="329">
        <f>(CH77-+'Divisional Summary'!CH175)/CH99</f>
        <v>1.4199759326113117</v>
      </c>
      <c r="CI86" s="329">
        <f>(CI77-+'Divisional Summary'!CI175)/CI99</f>
        <v>1.6492492492492492</v>
      </c>
      <c r="CJ86" s="329">
        <f>(CJ77-+'Divisional Summary'!CJ175)/CJ99</f>
        <v>1.7809867629362215</v>
      </c>
      <c r="CK86" s="329">
        <f>(CK77-+'Divisional Summary'!CK175)/CK99</f>
        <v>1.2506172839506173</v>
      </c>
      <c r="CL86" s="328">
        <f>(CL77-+'Divisional Summary'!CL175)/CL99</f>
        <v>6.1080344984112571</v>
      </c>
      <c r="CM86" s="329">
        <f>(CM77-+'Divisional Summary'!CM175)/CM99</f>
        <v>1.7281795511221945</v>
      </c>
      <c r="CN86" s="329">
        <f>(CN77-+'Divisional Summary'!CN175)/CN99</f>
        <v>1.8032581453634084</v>
      </c>
      <c r="CO86" s="329">
        <f>(CO77-+'Divisional Summary'!CO175)/CO99</f>
        <v>1.6687578419071518</v>
      </c>
      <c r="CP86" s="329">
        <f>(CP77-+'Divisional Summary'!CP175)/CP99</f>
        <v>1.4698621938913086</v>
      </c>
      <c r="CQ86" s="328">
        <f>(CQ77-+'Divisional Summary'!CQ175)/CQ99</f>
        <v>6.6703301157314403</v>
      </c>
      <c r="CR86" s="329">
        <f>(CR77-+'Divisional Summary'!CR175)/CR99</f>
        <v>1.4348178039153239</v>
      </c>
      <c r="CS86" s="329">
        <f>(CS77-+'Divisional Summary'!CS175)/CS99</f>
        <v>1.7887339642704418</v>
      </c>
      <c r="CT86" s="329">
        <f>(CT77-+'Divisional Summary'!CT175)/CT99</f>
        <v>1.8054330671599703</v>
      </c>
      <c r="CU86" s="329">
        <f>(CU77-+'Divisional Summary'!CU175)/CU99</f>
        <v>1.6098483328529261</v>
      </c>
      <c r="CV86" s="328">
        <f>(CV77-+'Divisional Summary'!CV175)/CV99</f>
        <v>6.6394039597028467</v>
      </c>
      <c r="CW86" s="328">
        <f>(CW77-+'Divisional Summary'!CW175)/CW99</f>
        <v>7.4938284850323509</v>
      </c>
      <c r="CX86" s="328">
        <f>(CX77-+'Divisional Summary'!CX175)/CX99</f>
        <v>8.1654684209144168</v>
      </c>
      <c r="CY86" s="328">
        <f>(CY77-+'Divisional Summary'!CY175)/CY99</f>
        <v>8.520535515987806</v>
      </c>
      <c r="CZ86" s="256"/>
      <c r="DA86"/>
      <c r="DB86"/>
      <c r="DC86"/>
      <c r="DD86"/>
      <c r="DE86"/>
      <c r="DF86"/>
      <c r="DG86" s="256"/>
    </row>
    <row r="87" spans="1:111" hidden="1">
      <c r="A87" s="268"/>
      <c r="B87" s="268"/>
      <c r="C87" s="268"/>
      <c r="D87" s="326" t="s">
        <v>282</v>
      </c>
      <c r="E87" s="268"/>
      <c r="F87" s="287" t="s">
        <v>284</v>
      </c>
      <c r="G87" s="287" t="s">
        <v>284</v>
      </c>
      <c r="H87" s="287" t="s">
        <v>284</v>
      </c>
      <c r="I87" s="287" t="s">
        <v>284</v>
      </c>
      <c r="J87" s="323" t="str">
        <f t="shared" ref="J87:AO87" si="68">IF(ISERROR(J86/E86-1),"-",J86/E86-1)</f>
        <v>-</v>
      </c>
      <c r="K87" s="324">
        <f t="shared" si="68"/>
        <v>-0.4129994360784478</v>
      </c>
      <c r="L87" s="324">
        <f t="shared" si="68"/>
        <v>-0.41897908650213322</v>
      </c>
      <c r="M87" s="324">
        <f t="shared" si="68"/>
        <v>-0.26387307987711217</v>
      </c>
      <c r="N87" s="324">
        <f t="shared" si="68"/>
        <v>0.22531497692768987</v>
      </c>
      <c r="O87" s="323">
        <f t="shared" si="68"/>
        <v>0.21522384082206281</v>
      </c>
      <c r="P87" s="324">
        <f t="shared" si="68"/>
        <v>0.23397453828223047</v>
      </c>
      <c r="Q87" s="324">
        <f t="shared" si="68"/>
        <v>9.673469387755107E-2</v>
      </c>
      <c r="R87" s="324">
        <f t="shared" si="68"/>
        <v>-9.4452500207452772E-2</v>
      </c>
      <c r="S87" s="324">
        <f t="shared" si="68"/>
        <v>0.19926163447674972</v>
      </c>
      <c r="T87" s="323">
        <f t="shared" si="68"/>
        <v>0.12828496620022456</v>
      </c>
      <c r="U87" s="324">
        <f t="shared" si="68"/>
        <v>-4.8285344126834384E-2</v>
      </c>
      <c r="V87" s="324">
        <f t="shared" si="68"/>
        <v>5.7166728693709423E-3</v>
      </c>
      <c r="W87" s="324">
        <f t="shared" si="68"/>
        <v>-2.7959360288677404E-3</v>
      </c>
      <c r="X87" s="324">
        <f t="shared" si="68"/>
        <v>4.7100570713652479E-2</v>
      </c>
      <c r="Y87" s="323">
        <f t="shared" si="68"/>
        <v>-7.0788109129082954E-4</v>
      </c>
      <c r="Z87" s="324">
        <f t="shared" si="68"/>
        <v>7.9013195989587226E-2</v>
      </c>
      <c r="AA87" s="324">
        <f t="shared" si="68"/>
        <v>0.15524863681280054</v>
      </c>
      <c r="AB87" s="324">
        <f t="shared" si="68"/>
        <v>0.12167391602815547</v>
      </c>
      <c r="AC87" s="324">
        <f t="shared" si="68"/>
        <v>3.0965604877912778E-3</v>
      </c>
      <c r="AD87" s="323">
        <f t="shared" si="68"/>
        <v>0.13852992828858901</v>
      </c>
      <c r="AE87" s="324">
        <f t="shared" si="68"/>
        <v>0.20402969361199963</v>
      </c>
      <c r="AF87" s="324">
        <f t="shared" si="68"/>
        <v>0.16905983072483055</v>
      </c>
      <c r="AG87" s="324">
        <f t="shared" si="68"/>
        <v>0.15837664669738394</v>
      </c>
      <c r="AH87" s="324">
        <f t="shared" si="68"/>
        <v>0.20683255742792817</v>
      </c>
      <c r="AI87" s="323">
        <f t="shared" si="68"/>
        <v>0.13523641574516376</v>
      </c>
      <c r="AJ87" s="324">
        <f t="shared" si="68"/>
        <v>0.15195145023513845</v>
      </c>
      <c r="AK87" s="324">
        <f t="shared" si="68"/>
        <v>0.18444637575879241</v>
      </c>
      <c r="AL87" s="324">
        <f t="shared" si="68"/>
        <v>0.19774582251220751</v>
      </c>
      <c r="AM87" s="324">
        <f t="shared" si="68"/>
        <v>0.17380486839325715</v>
      </c>
      <c r="AN87" s="323">
        <f t="shared" si="68"/>
        <v>0.17700466303554907</v>
      </c>
      <c r="AO87" s="324">
        <f t="shared" si="68"/>
        <v>0.17555517528952658</v>
      </c>
      <c r="AP87" s="324">
        <f t="shared" ref="AP87:BU87" si="69">IF(ISERROR(AP86/AK86-1),"-",AP86/AK86-1)</f>
        <v>0.1528931712780528</v>
      </c>
      <c r="AQ87" s="324">
        <f t="shared" si="69"/>
        <v>0.15865776543593513</v>
      </c>
      <c r="AR87" s="324">
        <f t="shared" si="69"/>
        <v>0.21871384939666427</v>
      </c>
      <c r="AS87" s="323">
        <f t="shared" si="69"/>
        <v>0.1757678485270826</v>
      </c>
      <c r="AT87" s="325">
        <f t="shared" si="69"/>
        <v>0.16860985071809931</v>
      </c>
      <c r="AU87" s="324">
        <f t="shared" si="69"/>
        <v>0.16978679451407808</v>
      </c>
      <c r="AV87" s="324">
        <f t="shared" si="69"/>
        <v>0.16582857392666406</v>
      </c>
      <c r="AW87" s="324">
        <f t="shared" si="69"/>
        <v>4.4742781652324259E-2</v>
      </c>
      <c r="AX87" s="323">
        <f t="shared" si="69"/>
        <v>0.13667285861518885</v>
      </c>
      <c r="AY87" s="324">
        <f t="shared" si="69"/>
        <v>-0.16528411420073152</v>
      </c>
      <c r="AZ87" s="324">
        <f t="shared" si="69"/>
        <v>-0.12454483487884682</v>
      </c>
      <c r="BA87" s="324">
        <f t="shared" si="69"/>
        <v>-7.0542468215485044E-2</v>
      </c>
      <c r="BB87" s="324">
        <f t="shared" si="69"/>
        <v>5.632213284281784E-2</v>
      </c>
      <c r="BC87" s="323">
        <f t="shared" si="69"/>
        <v>-7.5719863542691224E-2</v>
      </c>
      <c r="BD87" s="324">
        <f t="shared" si="69"/>
        <v>0.12352145382572832</v>
      </c>
      <c r="BE87" s="324">
        <f t="shared" si="69"/>
        <v>9.2697705502339023E-2</v>
      </c>
      <c r="BF87" s="324">
        <f t="shared" si="69"/>
        <v>9.8317785253713152E-2</v>
      </c>
      <c r="BG87" s="324">
        <f t="shared" si="69"/>
        <v>8.7307294519227918E-2</v>
      </c>
      <c r="BH87" s="323">
        <f t="shared" si="69"/>
        <v>9.7549477414323071E-2</v>
      </c>
      <c r="BI87" s="324">
        <f t="shared" si="69"/>
        <v>0.10458047936474091</v>
      </c>
      <c r="BJ87" s="324">
        <f t="shared" si="69"/>
        <v>6.3337263601057847E-2</v>
      </c>
      <c r="BK87" s="324">
        <f t="shared" si="69"/>
        <v>3.8861535369774769E-2</v>
      </c>
      <c r="BL87" s="324">
        <f t="shared" si="69"/>
        <v>5.1269416253310718E-2</v>
      </c>
      <c r="BM87" s="323">
        <f t="shared" si="69"/>
        <v>6.1393418310694781E-2</v>
      </c>
      <c r="BN87" s="324">
        <f t="shared" si="69"/>
        <v>2.2383105209860199E-2</v>
      </c>
      <c r="BO87" s="324">
        <f t="shared" si="69"/>
        <v>0.12442540852337514</v>
      </c>
      <c r="BP87" s="324">
        <f t="shared" si="69"/>
        <v>-5.0788751714677671E-2</v>
      </c>
      <c r="BQ87" s="324">
        <f t="shared" si="69"/>
        <v>-8.4828332482843605E-2</v>
      </c>
      <c r="BR87" s="323">
        <f t="shared" si="69"/>
        <v>2.287175953020304E-3</v>
      </c>
      <c r="BS87" s="324">
        <f t="shared" si="69"/>
        <v>0.15887908590315591</v>
      </c>
      <c r="BT87" s="324">
        <f t="shared" si="69"/>
        <v>4.1233473695823974E-2</v>
      </c>
      <c r="BU87" s="324">
        <f t="shared" si="69"/>
        <v>0.18100871998478163</v>
      </c>
      <c r="BV87" s="324">
        <f t="shared" ref="BV87:CL87" si="70">IF(ISERROR(BV86/BQ86-1),"-",BV86/BQ86-1)</f>
        <v>0.29191674980858018</v>
      </c>
      <c r="BW87" s="323">
        <f t="shared" si="70"/>
        <v>0.16185824425427753</v>
      </c>
      <c r="BX87" s="324">
        <f t="shared" si="70"/>
        <v>0.10124474615601309</v>
      </c>
      <c r="BY87" s="324">
        <f t="shared" si="70"/>
        <v>0.11795129262986315</v>
      </c>
      <c r="BZ87" s="324">
        <f t="shared" si="70"/>
        <v>0.12324638324638326</v>
      </c>
      <c r="CA87" s="324">
        <f t="shared" si="70"/>
        <v>-3.9261243267893264E-2</v>
      </c>
      <c r="CB87" s="323">
        <f t="shared" si="70"/>
        <v>7.3473086581666847E-2</v>
      </c>
      <c r="CC87" s="324">
        <f t="shared" si="70"/>
        <v>6.6821499781492433E-2</v>
      </c>
      <c r="CD87" s="324">
        <f t="shared" si="70"/>
        <v>-2.8920462871944608E-2</v>
      </c>
      <c r="CE87" s="324">
        <f t="shared" si="70"/>
        <v>-0.12270435479776287</v>
      </c>
      <c r="CF87" s="324">
        <f t="shared" si="70"/>
        <v>2.5509836331226707</v>
      </c>
      <c r="CG87" s="323">
        <f t="shared" si="70"/>
        <v>0.5625753244391305</v>
      </c>
      <c r="CH87" s="324">
        <f t="shared" si="70"/>
        <v>-5.8211120263664151E-2</v>
      </c>
      <c r="CI87" s="324">
        <f t="shared" si="70"/>
        <v>-7.5546921448560789E-2</v>
      </c>
      <c r="CJ87" s="324">
        <f t="shared" si="70"/>
        <v>0.11422162776534606</v>
      </c>
      <c r="CK87" s="324">
        <f t="shared" si="70"/>
        <v>-0.78000316817921678</v>
      </c>
      <c r="CL87" s="323">
        <f t="shared" si="70"/>
        <v>-0.41414493216904613</v>
      </c>
      <c r="CM87" s="324">
        <f t="shared" ref="CM87:CV87" si="71">IF(ISERROR(CM86/CH86-1),"-",CM86/CH86-1)</f>
        <v>0.21704848049368097</v>
      </c>
      <c r="CN87" s="324">
        <f t="shared" si="71"/>
        <v>9.3381213412263353E-2</v>
      </c>
      <c r="CO87" s="324">
        <f t="shared" si="71"/>
        <v>-6.301502255078173E-2</v>
      </c>
      <c r="CP87" s="324">
        <f t="shared" si="71"/>
        <v>0.17530935543135229</v>
      </c>
      <c r="CQ87" s="323">
        <f t="shared" si="71"/>
        <v>9.2058356492000781E-2</v>
      </c>
      <c r="CR87" s="324">
        <f t="shared" si="71"/>
        <v>-0.1697518912409165</v>
      </c>
      <c r="CS87" s="324">
        <f t="shared" si="71"/>
        <v>-8.0544103628821251E-3</v>
      </c>
      <c r="CT87" s="324">
        <f t="shared" si="71"/>
        <v>8.1902371824433384E-2</v>
      </c>
      <c r="CU87" s="324">
        <f t="shared" si="71"/>
        <v>9.5237594070651355E-2</v>
      </c>
      <c r="CV87" s="323">
        <f t="shared" si="71"/>
        <v>-4.63637563539121E-3</v>
      </c>
      <c r="CW87" s="323">
        <f>IF(ISERROR(CW86/CV86-1),"-",CW86/CV86-1)</f>
        <v>0.12868994423525715</v>
      </c>
      <c r="CX87" s="323">
        <f>IF(ISERROR(CX86/CW86-1),"-",CX86/CW86-1)</f>
        <v>8.9625741665098513E-2</v>
      </c>
      <c r="CY87" s="323">
        <f>IF(ISERROR(CY86/CX86-1),"-",CY86/CX86-1)</f>
        <v>4.3483983621067868E-2</v>
      </c>
      <c r="CZ87" s="256"/>
      <c r="DG87" s="256"/>
    </row>
    <row r="88" spans="1:111" ht="12" hidden="1" customHeight="1">
      <c r="A88" s="268"/>
      <c r="B88" s="268"/>
      <c r="C88" s="339"/>
      <c r="D88" s="338"/>
      <c r="E88" s="268"/>
      <c r="F88" s="287"/>
      <c r="G88" s="287"/>
      <c r="H88" s="287"/>
      <c r="I88" s="287"/>
      <c r="J88" s="335"/>
      <c r="K88" s="287"/>
      <c r="L88" s="287"/>
      <c r="M88" s="287"/>
      <c r="N88" s="287"/>
      <c r="O88" s="335"/>
      <c r="P88" s="287"/>
      <c r="Q88" s="287"/>
      <c r="R88" s="287"/>
      <c r="S88" s="287"/>
      <c r="T88" s="335"/>
      <c r="U88" s="287"/>
      <c r="V88" s="287"/>
      <c r="W88" s="287"/>
      <c r="X88" s="287"/>
      <c r="Y88" s="335"/>
      <c r="Z88" s="287"/>
      <c r="AA88" s="287"/>
      <c r="AB88" s="287"/>
      <c r="AC88" s="287"/>
      <c r="AD88" s="335"/>
      <c r="AE88" s="287"/>
      <c r="AF88" s="287"/>
      <c r="AG88" s="287"/>
      <c r="AH88" s="287"/>
      <c r="AI88" s="335"/>
      <c r="AJ88" s="287"/>
      <c r="AK88" s="287"/>
      <c r="AL88" s="287"/>
      <c r="AM88" s="287"/>
      <c r="AN88" s="335"/>
      <c r="AO88" s="287"/>
      <c r="AP88" s="287"/>
      <c r="AQ88" s="287"/>
      <c r="AR88" s="287"/>
      <c r="AS88" s="335"/>
      <c r="AT88" s="337"/>
      <c r="AU88" s="287"/>
      <c r="AV88" s="336"/>
      <c r="AW88" s="336"/>
      <c r="AX88" s="335"/>
      <c r="AY88" s="287"/>
      <c r="AZ88" s="336"/>
      <c r="BA88" s="336"/>
      <c r="BB88" s="287"/>
      <c r="BC88" s="335"/>
      <c r="BD88" s="336"/>
      <c r="BE88" s="336"/>
      <c r="BF88" s="287"/>
      <c r="BG88" s="287"/>
      <c r="BH88" s="335"/>
      <c r="BI88" s="336"/>
      <c r="BJ88" s="336"/>
      <c r="BK88" s="336"/>
      <c r="BL88" s="336"/>
      <c r="BM88" s="335"/>
      <c r="BN88" s="336"/>
      <c r="BO88" s="336"/>
      <c r="BP88" s="336"/>
      <c r="BQ88" s="336"/>
      <c r="BR88" s="335"/>
      <c r="BS88" s="336"/>
      <c r="BT88" s="336"/>
      <c r="BU88" s="336"/>
      <c r="BV88" s="336"/>
      <c r="BW88" s="335"/>
      <c r="BX88" s="336"/>
      <c r="BY88" s="336"/>
      <c r="BZ88" s="336"/>
      <c r="CA88" s="336"/>
      <c r="CB88" s="335"/>
      <c r="CC88" s="336"/>
      <c r="CD88" s="336"/>
      <c r="CE88" s="336"/>
      <c r="CF88" s="336"/>
      <c r="CG88" s="335"/>
      <c r="CH88" s="336"/>
      <c r="CI88" s="336"/>
      <c r="CJ88" s="336"/>
      <c r="CK88" s="336"/>
      <c r="CL88" s="335"/>
      <c r="CM88" s="336"/>
      <c r="CN88" s="336"/>
      <c r="CO88" s="336"/>
      <c r="CP88" s="336"/>
      <c r="CQ88" s="335"/>
      <c r="CR88" s="336"/>
      <c r="CS88" s="336"/>
      <c r="CT88" s="336"/>
      <c r="CU88" s="336"/>
      <c r="CV88" s="335"/>
      <c r="CW88" s="335"/>
      <c r="CX88" s="335"/>
      <c r="CY88" s="335"/>
      <c r="CZ88" s="256"/>
      <c r="DG88" s="256"/>
    </row>
    <row r="89" spans="1:111" s="327" customFormat="1" ht="12" customHeight="1">
      <c r="A89" s="332"/>
      <c r="B89" s="332"/>
      <c r="C89" s="334" t="s">
        <v>285</v>
      </c>
      <c r="D89" s="333"/>
      <c r="E89" s="332"/>
      <c r="F89" s="329"/>
      <c r="G89" s="329"/>
      <c r="H89" s="329"/>
      <c r="I89" s="329"/>
      <c r="J89" s="328">
        <f t="shared" ref="J89:AO89" si="72">J77/J99</f>
        <v>1.7794925296746127</v>
      </c>
      <c r="K89" s="329">
        <f t="shared" si="72"/>
        <v>0.43307086614173229</v>
      </c>
      <c r="L89" s="329">
        <f t="shared" si="72"/>
        <v>0.57988165680473369</v>
      </c>
      <c r="M89" s="329">
        <f t="shared" si="72"/>
        <v>0.56051587301587302</v>
      </c>
      <c r="N89" s="329">
        <f t="shared" si="72"/>
        <v>0.42640674652641741</v>
      </c>
      <c r="O89" s="328">
        <f t="shared" si="72"/>
        <v>1.9173463451698305</v>
      </c>
      <c r="P89" s="329">
        <f t="shared" si="72"/>
        <v>0.46055226824457596</v>
      </c>
      <c r="Q89" s="329">
        <f t="shared" si="72"/>
        <v>0.61538461538461542</v>
      </c>
      <c r="R89" s="329">
        <f t="shared" si="72"/>
        <v>0.60594059405940592</v>
      </c>
      <c r="S89" s="329">
        <f t="shared" si="72"/>
        <v>0.52711841275052962</v>
      </c>
      <c r="T89" s="328">
        <f t="shared" si="72"/>
        <v>2.2113260242217341</v>
      </c>
      <c r="U89" s="329">
        <f t="shared" si="72"/>
        <v>0.50099800399201599</v>
      </c>
      <c r="V89" s="329">
        <f t="shared" si="72"/>
        <v>0.63200000000000001</v>
      </c>
      <c r="W89" s="329">
        <f t="shared" si="72"/>
        <v>0.6339285714285714</v>
      </c>
      <c r="X89" s="329">
        <f t="shared" si="72"/>
        <v>0.58460112903578598</v>
      </c>
      <c r="Y89" s="328">
        <f t="shared" si="72"/>
        <v>2.3473524926079774</v>
      </c>
      <c r="Z89" s="329">
        <f t="shared" si="72"/>
        <v>0.54232283464566933</v>
      </c>
      <c r="AA89" s="329">
        <f t="shared" si="72"/>
        <v>0.80891089108910896</v>
      </c>
      <c r="AB89" s="329">
        <f t="shared" si="72"/>
        <v>0.68613861386138619</v>
      </c>
      <c r="AC89" s="329">
        <f t="shared" si="72"/>
        <v>0.6071428571428571</v>
      </c>
      <c r="AD89" s="328">
        <f t="shared" si="72"/>
        <v>2.7576656775469832</v>
      </c>
      <c r="AE89" s="329">
        <f t="shared" si="72"/>
        <v>0.64074803149606296</v>
      </c>
      <c r="AF89" s="329">
        <f t="shared" si="72"/>
        <v>0.9538310412573674</v>
      </c>
      <c r="AG89" s="329">
        <f t="shared" si="72"/>
        <v>0.80886699507389159</v>
      </c>
      <c r="AH89" s="329">
        <f t="shared" si="72"/>
        <v>0.6198019801980198</v>
      </c>
      <c r="AI89" s="328">
        <f t="shared" si="72"/>
        <v>3.026627218934911</v>
      </c>
      <c r="AJ89" s="329">
        <f t="shared" si="72"/>
        <v>0.76114965312190286</v>
      </c>
      <c r="AK89" s="329">
        <f t="shared" si="72"/>
        <v>1.0931615460852329</v>
      </c>
      <c r="AL89" s="329">
        <f t="shared" si="72"/>
        <v>0.99005964214711728</v>
      </c>
      <c r="AM89" s="329">
        <f t="shared" si="72"/>
        <v>0.86673346693386777</v>
      </c>
      <c r="AN89" s="328">
        <f t="shared" si="72"/>
        <v>3.7097415506958251</v>
      </c>
      <c r="AO89" s="329">
        <f t="shared" si="72"/>
        <v>0.82477341389728098</v>
      </c>
      <c r="AP89" s="329">
        <f t="shared" ref="AP89:BU89" si="73">AP77/AP99</f>
        <v>1.1595959595959595</v>
      </c>
      <c r="AQ89" s="329">
        <f t="shared" si="73"/>
        <v>1.2103134479271991</v>
      </c>
      <c r="AR89" s="329">
        <f t="shared" si="73"/>
        <v>1.0772357723577235</v>
      </c>
      <c r="AS89" s="328">
        <f t="shared" si="73"/>
        <v>4.2709807886754296</v>
      </c>
      <c r="AT89" s="330">
        <f t="shared" si="73"/>
        <v>1.0256410256410255</v>
      </c>
      <c r="AU89" s="329">
        <f t="shared" si="73"/>
        <v>1.3198757763975155</v>
      </c>
      <c r="AV89" s="329">
        <f t="shared" si="73"/>
        <v>1.334384858044164</v>
      </c>
      <c r="AW89" s="329">
        <f t="shared" si="73"/>
        <v>1.227224008574491</v>
      </c>
      <c r="AX89" s="328">
        <f t="shared" si="73"/>
        <v>4.9048117154811717</v>
      </c>
      <c r="AY89" s="329">
        <f t="shared" si="73"/>
        <v>0.78281317494600433</v>
      </c>
      <c r="AZ89" s="329">
        <f t="shared" si="73"/>
        <v>1.0480193756727663</v>
      </c>
      <c r="BA89" s="329">
        <f t="shared" si="73"/>
        <v>1.1381377825618944</v>
      </c>
      <c r="BB89" s="329">
        <f t="shared" si="73"/>
        <v>1.1529645542427498</v>
      </c>
      <c r="BC89" s="328">
        <f t="shared" si="73"/>
        <v>4.1218891280947254</v>
      </c>
      <c r="BD89" s="329">
        <f t="shared" si="73"/>
        <v>0.9321851453175457</v>
      </c>
      <c r="BE89" s="329">
        <f t="shared" si="73"/>
        <v>1.2</v>
      </c>
      <c r="BF89" s="329">
        <f t="shared" si="73"/>
        <v>1.3035908596300327</v>
      </c>
      <c r="BG89" s="329">
        <f t="shared" si="73"/>
        <v>1.3089519650655022</v>
      </c>
      <c r="BH89" s="328">
        <f t="shared" si="73"/>
        <v>4.7393519020266606</v>
      </c>
      <c r="BI89" s="329">
        <f t="shared" si="73"/>
        <v>1.106131817684993</v>
      </c>
      <c r="BJ89" s="329">
        <f t="shared" si="73"/>
        <v>1.4486700373708508</v>
      </c>
      <c r="BK89" s="329">
        <f t="shared" si="73"/>
        <v>1.4680119747200355</v>
      </c>
      <c r="BL89" s="329">
        <f t="shared" si="73"/>
        <v>1.4738598442714126</v>
      </c>
      <c r="BM89" s="328">
        <f t="shared" si="73"/>
        <v>5.4907366563740627</v>
      </c>
      <c r="BN89" s="329">
        <f t="shared" si="73"/>
        <v>0.36508463325589113</v>
      </c>
      <c r="BO89" s="329">
        <f t="shared" si="73"/>
        <v>1.4677276746242265</v>
      </c>
      <c r="BP89" s="329">
        <f t="shared" si="73"/>
        <v>1.5597442680776012</v>
      </c>
      <c r="BQ89" s="329">
        <f t="shared" si="73"/>
        <v>2.2579582875960482</v>
      </c>
      <c r="BR89" s="328">
        <f t="shared" si="73"/>
        <v>5.6585043017868957</v>
      </c>
      <c r="BS89" s="329">
        <f t="shared" si="73"/>
        <v>1.3894967177242887</v>
      </c>
      <c r="BT89" s="329">
        <f t="shared" si="73"/>
        <v>1.6980306345733041</v>
      </c>
      <c r="BU89" s="329">
        <f t="shared" si="73"/>
        <v>1.545603495357728</v>
      </c>
      <c r="BV89" s="329">
        <f t="shared" ref="BV89:CV89" si="74">BV77/BV99</f>
        <v>1.5801526717557253</v>
      </c>
      <c r="BW89" s="328">
        <f t="shared" si="74"/>
        <v>6.213358830760825</v>
      </c>
      <c r="BX89" s="329">
        <f t="shared" si="74"/>
        <v>1.3227917121046893</v>
      </c>
      <c r="BY89" s="329">
        <f t="shared" si="74"/>
        <v>1.8360655737704918</v>
      </c>
      <c r="BZ89" s="329">
        <f t="shared" si="74"/>
        <v>2.0373626373626372</v>
      </c>
      <c r="CA89" s="329">
        <f t="shared" si="74"/>
        <v>1.6240352811466372</v>
      </c>
      <c r="CB89" s="328">
        <f t="shared" si="74"/>
        <v>6.8183063853110442</v>
      </c>
      <c r="CC89" s="329">
        <f t="shared" si="74"/>
        <v>1.5774336283185841</v>
      </c>
      <c r="CD89" s="329">
        <f t="shared" si="74"/>
        <v>1.734533183352081</v>
      </c>
      <c r="CE89" s="329">
        <f t="shared" si="74"/>
        <v>1.5389830508474576</v>
      </c>
      <c r="CF89" s="329">
        <f t="shared" si="74"/>
        <v>3.8564705882352941</v>
      </c>
      <c r="CG89" s="328">
        <f t="shared" si="74"/>
        <v>8.6258503401360542</v>
      </c>
      <c r="CH89" s="329">
        <f t="shared" si="74"/>
        <v>1.4199759326113117</v>
      </c>
      <c r="CI89" s="329">
        <f t="shared" si="74"/>
        <v>1.6492492492492492</v>
      </c>
      <c r="CJ89" s="329">
        <f t="shared" si="74"/>
        <v>1.7809867629362215</v>
      </c>
      <c r="CK89" s="329">
        <f t="shared" si="74"/>
        <v>1.2506172839506173</v>
      </c>
      <c r="CL89" s="328">
        <f t="shared" si="74"/>
        <v>6.1080344984112571</v>
      </c>
      <c r="CM89" s="329">
        <f>CM77/CM99</f>
        <v>1.7281795511221945</v>
      </c>
      <c r="CN89" s="329">
        <f>CN77/CN99</f>
        <v>1.8032581453634084</v>
      </c>
      <c r="CO89" s="329">
        <f>CO77/CO99</f>
        <v>1.6687578419071518</v>
      </c>
      <c r="CP89" s="329">
        <f>CP77/CP99</f>
        <v>1.4698621938913086</v>
      </c>
      <c r="CQ89" s="328">
        <f t="shared" si="74"/>
        <v>6.6703301157314403</v>
      </c>
      <c r="CR89" s="329">
        <f>CR77/CR99</f>
        <v>1.4348178039153239</v>
      </c>
      <c r="CS89" s="329">
        <f>CS77/CS99</f>
        <v>1.7887339642704418</v>
      </c>
      <c r="CT89" s="329">
        <f>CT77/CT99</f>
        <v>1.8054330671599703</v>
      </c>
      <c r="CU89" s="329">
        <f>CU77/CU99</f>
        <v>1.6098483328529261</v>
      </c>
      <c r="CV89" s="328">
        <f t="shared" si="74"/>
        <v>6.6394039597028467</v>
      </c>
      <c r="CW89" s="328">
        <f>CW77/CW99</f>
        <v>7.4938284850323509</v>
      </c>
      <c r="CX89" s="328">
        <f>CX77/CX99</f>
        <v>8.1654684209144168</v>
      </c>
      <c r="CY89" s="328">
        <f>CY77/CY99</f>
        <v>8.520535515987806</v>
      </c>
      <c r="CZ89" s="256"/>
      <c r="DA89"/>
      <c r="DB89"/>
      <c r="DC89"/>
      <c r="DD89"/>
      <c r="DE89"/>
      <c r="DF89"/>
      <c r="DG89" s="256"/>
    </row>
    <row r="90" spans="1:111">
      <c r="A90" s="268"/>
      <c r="B90" s="268"/>
      <c r="C90" s="268"/>
      <c r="D90" s="326" t="s">
        <v>282</v>
      </c>
      <c r="E90" s="268"/>
      <c r="F90" s="287" t="s">
        <v>284</v>
      </c>
      <c r="G90" s="287" t="s">
        <v>284</v>
      </c>
      <c r="H90" s="287" t="s">
        <v>284</v>
      </c>
      <c r="I90" s="287" t="s">
        <v>284</v>
      </c>
      <c r="J90" s="323" t="str">
        <f t="shared" ref="J90:AO90" si="75">IF(ISERROR(J89/E89-1),"-",J89/E89-1)</f>
        <v>-</v>
      </c>
      <c r="K90" s="324" t="str">
        <f t="shared" si="75"/>
        <v>-</v>
      </c>
      <c r="L90" s="324" t="str">
        <f t="shared" si="75"/>
        <v>-</v>
      </c>
      <c r="M90" s="324" t="str">
        <f t="shared" si="75"/>
        <v>-</v>
      </c>
      <c r="N90" s="324" t="str">
        <f t="shared" si="75"/>
        <v>-</v>
      </c>
      <c r="O90" s="323">
        <f t="shared" si="75"/>
        <v>7.7468049568280462E-2</v>
      </c>
      <c r="P90" s="324">
        <f t="shared" si="75"/>
        <v>6.3457055764748027E-2</v>
      </c>
      <c r="Q90" s="324">
        <f t="shared" si="75"/>
        <v>6.1224489795918435E-2</v>
      </c>
      <c r="R90" s="324">
        <f t="shared" si="75"/>
        <v>8.1040918251117144E-2</v>
      </c>
      <c r="S90" s="324">
        <f t="shared" si="75"/>
        <v>0.23618684986700322</v>
      </c>
      <c r="T90" s="323">
        <f t="shared" si="75"/>
        <v>0.15332633031715726</v>
      </c>
      <c r="U90" s="324">
        <f t="shared" si="75"/>
        <v>8.7820077190372992E-2</v>
      </c>
      <c r="V90" s="324">
        <f t="shared" si="75"/>
        <v>2.6999999999999913E-2</v>
      </c>
      <c r="W90" s="324">
        <f t="shared" si="75"/>
        <v>4.6189309056956063E-2</v>
      </c>
      <c r="X90" s="324">
        <f t="shared" si="75"/>
        <v>0.10905086010050136</v>
      </c>
      <c r="Y90" s="323">
        <f t="shared" si="75"/>
        <v>6.1513529391993282E-2</v>
      </c>
      <c r="Z90" s="324">
        <f t="shared" si="75"/>
        <v>8.2485020547730326E-2</v>
      </c>
      <c r="AA90" s="324">
        <f t="shared" si="75"/>
        <v>0.27992229602707108</v>
      </c>
      <c r="AB90" s="324">
        <f t="shared" si="75"/>
        <v>8.2359503555989644E-2</v>
      </c>
      <c r="AC90" s="324">
        <f t="shared" si="75"/>
        <v>3.8559159378036778E-2</v>
      </c>
      <c r="AD90" s="323">
        <f t="shared" si="75"/>
        <v>0.17479828284465948</v>
      </c>
      <c r="AE90" s="324">
        <f t="shared" si="75"/>
        <v>0.1814882032667875</v>
      </c>
      <c r="AF90" s="324">
        <f t="shared" si="75"/>
        <v>0.17915465320678203</v>
      </c>
      <c r="AG90" s="324">
        <f t="shared" si="75"/>
        <v>0.17886820349874522</v>
      </c>
      <c r="AH90" s="324">
        <f t="shared" si="75"/>
        <v>2.0850320326150307E-2</v>
      </c>
      <c r="AI90" s="323">
        <f t="shared" si="75"/>
        <v>9.7532323652508968E-2</v>
      </c>
      <c r="AJ90" s="324">
        <f t="shared" si="75"/>
        <v>0.18790790717642603</v>
      </c>
      <c r="AK90" s="324">
        <f t="shared" si="75"/>
        <v>0.14607461783189191</v>
      </c>
      <c r="AL90" s="324">
        <f t="shared" si="75"/>
        <v>0.22400796197238004</v>
      </c>
      <c r="AM90" s="324">
        <f t="shared" si="75"/>
        <v>0.3984038364268474</v>
      </c>
      <c r="AN90" s="323">
        <f t="shared" si="75"/>
        <v>0.22570150941856215</v>
      </c>
      <c r="AO90" s="324">
        <f t="shared" si="75"/>
        <v>8.3589029456193398E-2</v>
      </c>
      <c r="AP90" s="324">
        <f t="shared" ref="AP90:BU90" si="76">IF(ISERROR(AP89/AK89-1),"-",AP89/AK89-1)</f>
        <v>6.0772731851607587E-2</v>
      </c>
      <c r="AQ90" s="324">
        <f t="shared" si="76"/>
        <v>0.22246518937225135</v>
      </c>
      <c r="AR90" s="324">
        <f t="shared" si="76"/>
        <v>0.24286855585318845</v>
      </c>
      <c r="AS90" s="323">
        <f t="shared" si="76"/>
        <v>0.15128796179192983</v>
      </c>
      <c r="AT90" s="325">
        <f t="shared" si="76"/>
        <v>0.24354278200432034</v>
      </c>
      <c r="AU90" s="324">
        <f t="shared" si="76"/>
        <v>0.13822039950656828</v>
      </c>
      <c r="AV90" s="324">
        <f t="shared" si="76"/>
        <v>0.1025118000047438</v>
      </c>
      <c r="AW90" s="324">
        <f t="shared" si="76"/>
        <v>0.13923436267669742</v>
      </c>
      <c r="AX90" s="323">
        <f t="shared" si="76"/>
        <v>0.14840406879992396</v>
      </c>
      <c r="AY90" s="324">
        <f t="shared" si="76"/>
        <v>-0.23675715442764567</v>
      </c>
      <c r="AZ90" s="324">
        <f t="shared" si="76"/>
        <v>-0.20597120243145706</v>
      </c>
      <c r="BA90" s="324">
        <f t="shared" si="76"/>
        <v>-0.14706932134250461</v>
      </c>
      <c r="BB90" s="324">
        <f t="shared" si="76"/>
        <v>-6.0510105582108786E-2</v>
      </c>
      <c r="BC90" s="323">
        <f t="shared" si="76"/>
        <v>-0.15962337247631531</v>
      </c>
      <c r="BD90" s="324">
        <f t="shared" si="76"/>
        <v>0.19081432856804503</v>
      </c>
      <c r="BE90" s="324">
        <f t="shared" si="76"/>
        <v>0.14501699859286576</v>
      </c>
      <c r="BF90" s="324">
        <f t="shared" si="76"/>
        <v>0.14537174637653383</v>
      </c>
      <c r="BG90" s="324">
        <f t="shared" si="76"/>
        <v>0.13529245998824524</v>
      </c>
      <c r="BH90" s="323">
        <f t="shared" si="76"/>
        <v>0.14980091767226811</v>
      </c>
      <c r="BI90" s="324">
        <f t="shared" si="76"/>
        <v>0.18660099148886666</v>
      </c>
      <c r="BJ90" s="324">
        <f t="shared" si="76"/>
        <v>0.20722503114237578</v>
      </c>
      <c r="BK90" s="324">
        <f t="shared" si="76"/>
        <v>0.1261293862835664</v>
      </c>
      <c r="BL90" s="324">
        <f t="shared" si="76"/>
        <v>0.12598466835080391</v>
      </c>
      <c r="BM90" s="323">
        <f t="shared" si="76"/>
        <v>0.15854166769639799</v>
      </c>
      <c r="BN90" s="324">
        <f t="shared" si="76"/>
        <v>-0.66994473224721862</v>
      </c>
      <c r="BO90" s="324">
        <f t="shared" si="76"/>
        <v>1.3155264319515414E-2</v>
      </c>
      <c r="BP90" s="324">
        <f t="shared" si="76"/>
        <v>6.2487428534130363E-2</v>
      </c>
      <c r="BQ90" s="324">
        <f t="shared" si="76"/>
        <v>0.53200339664063967</v>
      </c>
      <c r="BR90" s="323">
        <f t="shared" si="76"/>
        <v>3.0554669785169075E-2</v>
      </c>
      <c r="BS90" s="324">
        <f t="shared" si="76"/>
        <v>2.8059578277302566</v>
      </c>
      <c r="BT90" s="324">
        <f t="shared" si="76"/>
        <v>0.15691123355566661</v>
      </c>
      <c r="BU90" s="324">
        <f t="shared" si="76"/>
        <v>-9.0660841070452358E-3</v>
      </c>
      <c r="BV90" s="324">
        <f t="shared" ref="BV90:CL90" si="77">IF(ISERROR(BV89/BQ89-1),"-",BV89/BQ89-1)</f>
        <v>-0.3001851803745913</v>
      </c>
      <c r="BW90" s="323">
        <f t="shared" si="77"/>
        <v>9.8056747752000906E-2</v>
      </c>
      <c r="BX90" s="324">
        <f t="shared" si="77"/>
        <v>-4.8006594595522811E-2</v>
      </c>
      <c r="BY90" s="324">
        <f t="shared" si="77"/>
        <v>8.129119486226144E-2</v>
      </c>
      <c r="BZ90" s="324">
        <f t="shared" si="77"/>
        <v>0.31816642721236343</v>
      </c>
      <c r="CA90" s="324">
        <f t="shared" si="77"/>
        <v>2.777111995270265E-2</v>
      </c>
      <c r="CB90" s="323">
        <f t="shared" si="77"/>
        <v>9.7362404301401639E-2</v>
      </c>
      <c r="CC90" s="324">
        <f t="shared" si="77"/>
        <v>0.19250341069096577</v>
      </c>
      <c r="CD90" s="324">
        <f t="shared" si="77"/>
        <v>-5.5298891210027401E-2</v>
      </c>
      <c r="CE90" s="324">
        <f t="shared" si="77"/>
        <v>-0.24461996964876676</v>
      </c>
      <c r="CF90" s="324">
        <f t="shared" si="77"/>
        <v>1.374622419232459</v>
      </c>
      <c r="CG90" s="323">
        <f t="shared" si="77"/>
        <v>0.26510160334230148</v>
      </c>
      <c r="CH90" s="324">
        <f t="shared" si="77"/>
        <v>-9.9818903870528941E-2</v>
      </c>
      <c r="CI90" s="324">
        <f t="shared" si="77"/>
        <v>-4.916823438224216E-2</v>
      </c>
      <c r="CJ90" s="324">
        <f t="shared" si="77"/>
        <v>0.15724910807529824</v>
      </c>
      <c r="CK90" s="324">
        <f t="shared" si="77"/>
        <v>-0.67570936810310411</v>
      </c>
      <c r="CL90" s="323">
        <f t="shared" si="77"/>
        <v>-0.29189189963213347</v>
      </c>
      <c r="CM90" s="324">
        <f t="shared" ref="CM90:CV90" si="78">IF(ISERROR(CM89/CH89-1),"-",CM89/CH89-1)</f>
        <v>0.21704848049368097</v>
      </c>
      <c r="CN90" s="324">
        <f t="shared" si="78"/>
        <v>9.3381213412263353E-2</v>
      </c>
      <c r="CO90" s="324">
        <f t="shared" si="78"/>
        <v>-6.301502255078173E-2</v>
      </c>
      <c r="CP90" s="324">
        <f t="shared" si="78"/>
        <v>0.17530935543135229</v>
      </c>
      <c r="CQ90" s="323">
        <f t="shared" si="78"/>
        <v>9.2058356492000781E-2</v>
      </c>
      <c r="CR90" s="324">
        <f t="shared" si="78"/>
        <v>-0.1697518912409165</v>
      </c>
      <c r="CS90" s="324">
        <f t="shared" si="78"/>
        <v>-8.0544103628821251E-3</v>
      </c>
      <c r="CT90" s="324">
        <f t="shared" si="78"/>
        <v>8.1902371824433384E-2</v>
      </c>
      <c r="CU90" s="324">
        <f t="shared" si="78"/>
        <v>9.5237594070651355E-2</v>
      </c>
      <c r="CV90" s="323">
        <f t="shared" si="78"/>
        <v>-4.63637563539121E-3</v>
      </c>
      <c r="CW90" s="323">
        <f>IF(ISERROR(CW89/CV89-1),"-",CW89/CV89-1)</f>
        <v>0.12868994423525715</v>
      </c>
      <c r="CX90" s="323">
        <f>IF(ISERROR(CX89/CW89-1),"-",CX89/CW89-1)</f>
        <v>8.9625741665098513E-2</v>
      </c>
      <c r="CY90" s="323">
        <f>IF(ISERROR(CY89/CX89-1),"-",CY89/CX89-1)</f>
        <v>4.3483983621067868E-2</v>
      </c>
      <c r="CZ90" s="256"/>
      <c r="DG90" s="256"/>
    </row>
    <row r="91" spans="1:111">
      <c r="A91" s="268"/>
      <c r="B91" s="268"/>
      <c r="C91" s="268"/>
      <c r="D91" s="326"/>
      <c r="E91" s="268"/>
      <c r="F91" s="287"/>
      <c r="G91" s="287"/>
      <c r="H91" s="287"/>
      <c r="I91" s="287"/>
      <c r="J91" s="323"/>
      <c r="K91" s="324"/>
      <c r="L91" s="324"/>
      <c r="M91" s="324"/>
      <c r="N91" s="324"/>
      <c r="O91" s="323"/>
      <c r="P91" s="324"/>
      <c r="Q91" s="324"/>
      <c r="R91" s="324"/>
      <c r="S91" s="324"/>
      <c r="T91" s="323"/>
      <c r="U91" s="324"/>
      <c r="V91" s="324"/>
      <c r="W91" s="324"/>
      <c r="X91" s="324"/>
      <c r="Y91" s="323"/>
      <c r="Z91" s="324"/>
      <c r="AA91" s="324"/>
      <c r="AB91" s="324"/>
      <c r="AC91" s="324"/>
      <c r="AD91" s="323"/>
      <c r="AE91" s="324"/>
      <c r="AF91" s="324"/>
      <c r="AG91" s="324"/>
      <c r="AH91" s="324"/>
      <c r="AI91" s="323"/>
      <c r="AJ91" s="324"/>
      <c r="AK91" s="324"/>
      <c r="AL91" s="324"/>
      <c r="AM91" s="324"/>
      <c r="AN91" s="323"/>
      <c r="AO91" s="324"/>
      <c r="AP91" s="324"/>
      <c r="AQ91" s="324"/>
      <c r="AR91" s="324"/>
      <c r="AS91" s="323"/>
      <c r="AT91" s="325"/>
      <c r="AU91" s="324"/>
      <c r="AV91" s="324"/>
      <c r="AW91" s="324"/>
      <c r="AX91" s="323"/>
      <c r="AY91" s="324"/>
      <c r="AZ91" s="324"/>
      <c r="BA91" s="324"/>
      <c r="BB91" s="324"/>
      <c r="BC91" s="323"/>
      <c r="BD91" s="324"/>
      <c r="BE91" s="324"/>
      <c r="BF91" s="324"/>
      <c r="BG91" s="324"/>
      <c r="BH91" s="323"/>
      <c r="BI91" s="324"/>
      <c r="BJ91" s="324"/>
      <c r="BK91" s="324"/>
      <c r="BL91" s="324"/>
      <c r="BM91" s="323"/>
      <c r="BN91" s="324"/>
      <c r="BO91" s="324"/>
      <c r="BP91" s="324"/>
      <c r="BQ91" s="324"/>
      <c r="BR91" s="323"/>
      <c r="BS91" s="324"/>
      <c r="BT91" s="324"/>
      <c r="BU91" s="324"/>
      <c r="BV91" s="324"/>
      <c r="BW91" s="323"/>
      <c r="BX91" s="324"/>
      <c r="BY91" s="324"/>
      <c r="BZ91" s="324"/>
      <c r="CA91" s="324"/>
      <c r="CB91" s="323"/>
      <c r="CC91" s="324"/>
      <c r="CD91" s="324"/>
      <c r="CE91" s="324"/>
      <c r="CF91" s="324"/>
      <c r="CG91" s="323"/>
      <c r="CH91" s="324"/>
      <c r="CI91" s="324"/>
      <c r="CJ91" s="324"/>
      <c r="CK91" s="324"/>
      <c r="CL91" s="323"/>
      <c r="CM91" s="324"/>
      <c r="CN91" s="324"/>
      <c r="CO91" s="324"/>
      <c r="CP91" s="324"/>
      <c r="CQ91" s="323"/>
      <c r="CR91" s="324"/>
      <c r="CS91" s="324"/>
      <c r="CT91" s="324"/>
      <c r="CU91" s="324"/>
      <c r="CV91" s="323"/>
      <c r="CW91" s="323"/>
      <c r="CX91" s="323"/>
      <c r="CY91" s="323"/>
      <c r="CZ91" s="256"/>
      <c r="DG91" s="256"/>
    </row>
    <row r="92" spans="1:111" s="327" customFormat="1">
      <c r="A92" s="332"/>
      <c r="B92" s="332"/>
      <c r="C92" s="334" t="s">
        <v>283</v>
      </c>
      <c r="D92" s="333"/>
      <c r="E92" s="332"/>
      <c r="F92" s="331"/>
      <c r="G92" s="331"/>
      <c r="H92" s="331"/>
      <c r="I92" s="331"/>
      <c r="J92" s="328">
        <f t="shared" ref="J92:AO92" si="79">J77/J97</f>
        <v>1.9228969378291685</v>
      </c>
      <c r="K92" s="329">
        <f t="shared" si="79"/>
        <v>0.46709129511677283</v>
      </c>
      <c r="L92" s="329">
        <f t="shared" si="79"/>
        <v>0.62420382165605093</v>
      </c>
      <c r="M92" s="329">
        <f t="shared" si="79"/>
        <v>0.60106382978723405</v>
      </c>
      <c r="N92" s="329">
        <f t="shared" si="79"/>
        <v>0.45826493029269411</v>
      </c>
      <c r="O92" s="328">
        <f t="shared" si="79"/>
        <v>2.0605972967685409</v>
      </c>
      <c r="P92" s="329">
        <f t="shared" si="79"/>
        <v>0.49365750528541225</v>
      </c>
      <c r="Q92" s="329">
        <f t="shared" si="79"/>
        <v>0.65961945031712477</v>
      </c>
      <c r="R92" s="329">
        <f t="shared" si="79"/>
        <v>0.64693446088794926</v>
      </c>
      <c r="S92" s="329">
        <f t="shared" si="79"/>
        <v>0.56409160085597998</v>
      </c>
      <c r="T92" s="328">
        <f t="shared" si="79"/>
        <v>2.3664330572494769</v>
      </c>
      <c r="U92" s="329">
        <f t="shared" si="79"/>
        <v>0.53404255319148941</v>
      </c>
      <c r="V92" s="329">
        <f t="shared" si="79"/>
        <v>0.67521367521367526</v>
      </c>
      <c r="W92" s="329">
        <f t="shared" si="79"/>
        <v>0.67978723404255315</v>
      </c>
      <c r="X92" s="329">
        <f t="shared" si="79"/>
        <v>0.60357216177376305</v>
      </c>
      <c r="Y92" s="328">
        <f t="shared" si="79"/>
        <v>2.4916890929238562</v>
      </c>
      <c r="Z92" s="329">
        <f t="shared" si="79"/>
        <v>0.55321285140562249</v>
      </c>
      <c r="AA92" s="329">
        <f t="shared" si="79"/>
        <v>0.82358870967741937</v>
      </c>
      <c r="AB92" s="329">
        <f t="shared" si="79"/>
        <v>0.69858870967741937</v>
      </c>
      <c r="AC92" s="329">
        <f t="shared" si="79"/>
        <v>0.61818181818181817</v>
      </c>
      <c r="AD92" s="328">
        <f t="shared" si="79"/>
        <v>2.8076535750251761</v>
      </c>
      <c r="AE92" s="329">
        <f t="shared" si="79"/>
        <v>0.65625</v>
      </c>
      <c r="AF92" s="329">
        <f t="shared" si="79"/>
        <v>0.97587939698492465</v>
      </c>
      <c r="AG92" s="329">
        <f t="shared" si="79"/>
        <v>0.8276209677419355</v>
      </c>
      <c r="AH92" s="329">
        <f t="shared" si="79"/>
        <v>0.63424518743667679</v>
      </c>
      <c r="AI92" s="328">
        <f t="shared" si="79"/>
        <v>3.0968718466195764</v>
      </c>
      <c r="AJ92" s="329">
        <f t="shared" si="79"/>
        <v>0.78048780487804881</v>
      </c>
      <c r="AK92" s="329">
        <f t="shared" si="79"/>
        <v>1.1220752797558495</v>
      </c>
      <c r="AL92" s="329">
        <f t="shared" si="79"/>
        <v>1.0163265306122449</v>
      </c>
      <c r="AM92" s="329">
        <f t="shared" si="79"/>
        <v>0.88991769547325106</v>
      </c>
      <c r="AN92" s="328">
        <f t="shared" si="79"/>
        <v>3.8081632653061224</v>
      </c>
      <c r="AO92" s="329">
        <f t="shared" si="79"/>
        <v>0.84607438016528924</v>
      </c>
      <c r="AP92" s="329">
        <f t="shared" ref="AP92:BU92" si="80">AP77/AP97</f>
        <v>1.1884057971014492</v>
      </c>
      <c r="AQ92" s="329">
        <f t="shared" si="80"/>
        <v>1.2429906542056075</v>
      </c>
      <c r="AR92" s="329">
        <f t="shared" si="80"/>
        <v>1.105318039624609</v>
      </c>
      <c r="AS92" s="328">
        <f t="shared" si="80"/>
        <v>4.381742738589212</v>
      </c>
      <c r="AT92" s="330">
        <f t="shared" si="80"/>
        <v>1.0504201680672269</v>
      </c>
      <c r="AU92" s="329">
        <f t="shared" si="80"/>
        <v>1.351848301389674</v>
      </c>
      <c r="AV92" s="329">
        <f t="shared" si="80"/>
        <v>1.360128617363344</v>
      </c>
      <c r="AW92" s="329">
        <f t="shared" si="80"/>
        <v>1.2418655097613882</v>
      </c>
      <c r="AX92" s="328">
        <f t="shared" si="80"/>
        <v>4.9989339019189769</v>
      </c>
      <c r="AY92" s="329">
        <f t="shared" si="80"/>
        <v>0.78963507625272333</v>
      </c>
      <c r="AZ92" s="329">
        <f t="shared" si="80"/>
        <v>1.059423286180631</v>
      </c>
      <c r="BA92" s="329">
        <f t="shared" si="80"/>
        <v>1.1530316248636858</v>
      </c>
      <c r="BB92" s="329">
        <f t="shared" si="80"/>
        <v>1.1731256830601093</v>
      </c>
      <c r="BC92" s="328">
        <f t="shared" si="80"/>
        <v>4.1758287895310788</v>
      </c>
      <c r="BD92" s="329">
        <f t="shared" si="80"/>
        <v>0.94748358862144422</v>
      </c>
      <c r="BE92" s="329">
        <f t="shared" si="80"/>
        <v>1.2197802197802199</v>
      </c>
      <c r="BF92" s="329">
        <f t="shared" si="80"/>
        <v>1.3222958057395144</v>
      </c>
      <c r="BG92" s="329">
        <f t="shared" si="80"/>
        <v>1.3292682926829269</v>
      </c>
      <c r="BH92" s="328">
        <f t="shared" si="80"/>
        <v>4.8166097587840069</v>
      </c>
      <c r="BI92" s="329">
        <f t="shared" si="80"/>
        <v>1.1260709914320686</v>
      </c>
      <c r="BJ92" s="329">
        <f t="shared" si="80"/>
        <v>1.4760891477209095</v>
      </c>
      <c r="BK92" s="329">
        <f t="shared" si="80"/>
        <v>1.4896489648964897</v>
      </c>
      <c r="BL92" s="329">
        <f t="shared" si="80"/>
        <v>1.492117117117117</v>
      </c>
      <c r="BM92" s="328">
        <f t="shared" si="80"/>
        <v>5.579961896223244</v>
      </c>
      <c r="BN92" s="329">
        <f t="shared" si="80"/>
        <v>0.37041194297900998</v>
      </c>
      <c r="BO92" s="329">
        <f t="shared" si="80"/>
        <v>1.4864562346093575</v>
      </c>
      <c r="BP92" s="329">
        <f t="shared" si="80"/>
        <v>1.5787124846591545</v>
      </c>
      <c r="BQ92" s="329">
        <f t="shared" si="80"/>
        <v>2.2855555555555553</v>
      </c>
      <c r="BR92" s="328">
        <f t="shared" si="80"/>
        <v>5.7305630026809649</v>
      </c>
      <c r="BS92" s="329">
        <f t="shared" si="80"/>
        <v>1.409544950055494</v>
      </c>
      <c r="BT92" s="329">
        <f t="shared" si="80"/>
        <v>1.7225305216426192</v>
      </c>
      <c r="BU92" s="329">
        <f t="shared" si="80"/>
        <v>1.5708259325044405</v>
      </c>
      <c r="BV92" s="329">
        <f t="shared" ref="BV92:CV92" si="81">BV77/BV97</f>
        <v>1.6082130965593784</v>
      </c>
      <c r="BW92" s="328">
        <f t="shared" si="81"/>
        <v>6.3111160441755922</v>
      </c>
      <c r="BX92" s="329">
        <f t="shared" si="81"/>
        <v>1.3462819089900111</v>
      </c>
      <c r="BY92" s="329">
        <f t="shared" si="81"/>
        <v>1.8666666666666667</v>
      </c>
      <c r="BZ92" s="329">
        <f t="shared" si="81"/>
        <v>2.0645879732739423</v>
      </c>
      <c r="CA92" s="329">
        <f t="shared" si="81"/>
        <v>1.6458100558659219</v>
      </c>
      <c r="CB92" s="328">
        <f t="shared" si="81"/>
        <v>6.9226488592097937</v>
      </c>
      <c r="CC92" s="329">
        <f t="shared" si="81"/>
        <v>1.6022471910112359</v>
      </c>
      <c r="CD92" s="329">
        <f t="shared" si="81"/>
        <v>1.758266818700114</v>
      </c>
      <c r="CE92" s="329">
        <f t="shared" si="81"/>
        <v>1.5547945205479452</v>
      </c>
      <c r="CF92" s="329">
        <f t="shared" si="81"/>
        <v>3.8564705882352941</v>
      </c>
      <c r="CG92" s="328">
        <f t="shared" si="81"/>
        <v>8.7122817062696818</v>
      </c>
      <c r="CH92" s="329">
        <f t="shared" si="81"/>
        <v>1.4303030303030304</v>
      </c>
      <c r="CI92" s="329">
        <f t="shared" si="81"/>
        <v>1.6642424242424243</v>
      </c>
      <c r="CJ92" s="329">
        <f t="shared" si="81"/>
        <v>1.8004866180048662</v>
      </c>
      <c r="CK92" s="329">
        <f t="shared" si="81"/>
        <v>1.2630922693266833</v>
      </c>
      <c r="CL92" s="328">
        <f t="shared" si="81"/>
        <v>6.164935858277337</v>
      </c>
      <c r="CM92" s="329">
        <f>CM77/CM97</f>
        <v>1.7455919395465995</v>
      </c>
      <c r="CN92" s="329">
        <f>CN77/CN97</f>
        <v>1.8238276299112801</v>
      </c>
      <c r="CO92" s="329">
        <f>CO77/CO97</f>
        <v>1.6878172588832487</v>
      </c>
      <c r="CP92" s="329">
        <f>CP77/CP97</f>
        <v>1.4866261197864028</v>
      </c>
      <c r="CQ92" s="328">
        <f t="shared" si="81"/>
        <v>6.7442075341806582</v>
      </c>
      <c r="CR92" s="329">
        <f>CR77/CR97</f>
        <v>1.4506937924017191</v>
      </c>
      <c r="CS92" s="329">
        <f>CS77/CS97</f>
        <v>1.808476738430558</v>
      </c>
      <c r="CT92" s="329">
        <f>CT77/CT97</f>
        <v>1.8253107112162621</v>
      </c>
      <c r="CU92" s="329">
        <f>CU77/CU97</f>
        <v>1.6275287393489706</v>
      </c>
      <c r="CV92" s="328">
        <f t="shared" si="81"/>
        <v>6.7125939565976687</v>
      </c>
      <c r="CW92" s="328">
        <f>CW77/CW97</f>
        <v>7.5756244837969042</v>
      </c>
      <c r="CX92" s="328">
        <f>CX77/CX97</f>
        <v>8.2537270417089044</v>
      </c>
      <c r="CY92" s="328">
        <f>CY77/CY97</f>
        <v>8.6117432944621886</v>
      </c>
      <c r="CZ92" s="256"/>
      <c r="DA92"/>
      <c r="DB92"/>
      <c r="DC92"/>
      <c r="DD92"/>
      <c r="DE92"/>
      <c r="DF92"/>
      <c r="DG92" s="256"/>
    </row>
    <row r="93" spans="1:111">
      <c r="A93" s="268"/>
      <c r="B93" s="268"/>
      <c r="C93" s="268"/>
      <c r="D93" s="326" t="s">
        <v>282</v>
      </c>
      <c r="E93" s="268"/>
      <c r="F93" s="287"/>
      <c r="G93" s="287"/>
      <c r="H93" s="287"/>
      <c r="I93" s="287"/>
      <c r="J93" s="323" t="str">
        <f t="shared" ref="J93:AO93" si="82">IF(ISERROR(J92/E92-1),"-",J92/E92-1)</f>
        <v>-</v>
      </c>
      <c r="K93" s="324" t="str">
        <f t="shared" si="82"/>
        <v>-</v>
      </c>
      <c r="L93" s="324" t="str">
        <f t="shared" si="82"/>
        <v>-</v>
      </c>
      <c r="M93" s="324" t="str">
        <f t="shared" si="82"/>
        <v>-</v>
      </c>
      <c r="N93" s="324" t="str">
        <f t="shared" si="82"/>
        <v>-</v>
      </c>
      <c r="O93" s="323">
        <f t="shared" si="82"/>
        <v>7.1610888878333556E-2</v>
      </c>
      <c r="P93" s="324">
        <f t="shared" si="82"/>
        <v>5.6875840861041693E-2</v>
      </c>
      <c r="Q93" s="324">
        <f t="shared" si="82"/>
        <v>5.6737282650904053E-2</v>
      </c>
      <c r="R93" s="324">
        <f t="shared" si="82"/>
        <v>7.6315740238358076E-2</v>
      </c>
      <c r="S93" s="324">
        <f t="shared" si="82"/>
        <v>0.23092901849524972</v>
      </c>
      <c r="T93" s="323">
        <f t="shared" si="82"/>
        <v>0.14842092676747276</v>
      </c>
      <c r="U93" s="324">
        <f t="shared" si="82"/>
        <v>8.1807827235865105E-2</v>
      </c>
      <c r="V93" s="324">
        <f t="shared" si="82"/>
        <v>2.3641244795090888E-2</v>
      </c>
      <c r="W93" s="324">
        <f t="shared" si="82"/>
        <v>5.0782227784730738E-2</v>
      </c>
      <c r="X93" s="324">
        <f t="shared" si="82"/>
        <v>6.9989627319168246E-2</v>
      </c>
      <c r="Y93" s="323">
        <f t="shared" si="82"/>
        <v>5.2930310152092597E-2</v>
      </c>
      <c r="Z93" s="324">
        <f t="shared" si="82"/>
        <v>3.5896574345189336E-2</v>
      </c>
      <c r="AA93" s="324">
        <f t="shared" si="82"/>
        <v>0.21974530420579819</v>
      </c>
      <c r="AB93" s="324">
        <f t="shared" si="82"/>
        <v>2.7657882780554477E-2</v>
      </c>
      <c r="AC93" s="324">
        <f t="shared" si="82"/>
        <v>2.4205318491032912E-2</v>
      </c>
      <c r="AD93" s="323">
        <f t="shared" si="82"/>
        <v>0.126807346469761</v>
      </c>
      <c r="AE93" s="324">
        <f t="shared" si="82"/>
        <v>0.18625226860254074</v>
      </c>
      <c r="AF93" s="324">
        <f t="shared" si="82"/>
        <v>0.18491109156553875</v>
      </c>
      <c r="AG93" s="324">
        <f t="shared" si="82"/>
        <v>0.18470418470418459</v>
      </c>
      <c r="AH93" s="324">
        <f t="shared" si="82"/>
        <v>2.5984862029918343E-2</v>
      </c>
      <c r="AI93" s="323">
        <f t="shared" si="82"/>
        <v>0.10301066846959817</v>
      </c>
      <c r="AJ93" s="324">
        <f t="shared" si="82"/>
        <v>0.18931475029036005</v>
      </c>
      <c r="AK93" s="324">
        <f t="shared" si="82"/>
        <v>0.14980937523900129</v>
      </c>
      <c r="AL93" s="324">
        <f t="shared" si="82"/>
        <v>0.22800964478361374</v>
      </c>
      <c r="AM93" s="324">
        <f t="shared" si="82"/>
        <v>0.40311304382124402</v>
      </c>
      <c r="AN93" s="323">
        <f t="shared" si="82"/>
        <v>0.22968061124743144</v>
      </c>
      <c r="AO93" s="324">
        <f t="shared" si="82"/>
        <v>8.4032799586776896E-2</v>
      </c>
      <c r="AP93" s="324">
        <f t="shared" ref="AP93:BU93" si="83">IF(ISERROR(AP92/AK92-1),"-",AP92/AK92-1)</f>
        <v>5.9114141931753794E-2</v>
      </c>
      <c r="AQ93" s="324">
        <f t="shared" si="83"/>
        <v>0.22302293285290697</v>
      </c>
      <c r="AR93" s="324">
        <f t="shared" si="83"/>
        <v>0.24204524221401136</v>
      </c>
      <c r="AS93" s="323">
        <f t="shared" si="83"/>
        <v>0.15061840402396243</v>
      </c>
      <c r="AT93" s="325">
        <f t="shared" si="83"/>
        <v>0.24152224992561133</v>
      </c>
      <c r="AU93" s="324">
        <f t="shared" si="83"/>
        <v>0.13753088775472566</v>
      </c>
      <c r="AV93" s="324">
        <f t="shared" si="83"/>
        <v>9.423881246524668E-2</v>
      </c>
      <c r="AW93" s="324">
        <f t="shared" si="83"/>
        <v>0.1235368149633691</v>
      </c>
      <c r="AX93" s="323">
        <f t="shared" si="83"/>
        <v>0.14085518026749377</v>
      </c>
      <c r="AY93" s="324">
        <f t="shared" si="83"/>
        <v>-0.24826740740740738</v>
      </c>
      <c r="AZ93" s="324">
        <f t="shared" si="83"/>
        <v>-0.21631496293514274</v>
      </c>
      <c r="BA93" s="324">
        <f t="shared" si="83"/>
        <v>-0.15226280063213637</v>
      </c>
      <c r="BB93" s="324">
        <f t="shared" si="83"/>
        <v>-5.5352070059894398E-2</v>
      </c>
      <c r="BC93" s="323">
        <f t="shared" si="83"/>
        <v>-0.1646561303945081</v>
      </c>
      <c r="BD93" s="324">
        <f t="shared" si="83"/>
        <v>0.19990058334009642</v>
      </c>
      <c r="BE93" s="324">
        <f t="shared" si="83"/>
        <v>0.15136247776627432</v>
      </c>
      <c r="BF93" s="324">
        <f t="shared" si="83"/>
        <v>0.14679925270552707</v>
      </c>
      <c r="BG93" s="324">
        <f t="shared" si="83"/>
        <v>0.13309964301141042</v>
      </c>
      <c r="BH93" s="323">
        <f t="shared" si="83"/>
        <v>0.1534500099379994</v>
      </c>
      <c r="BI93" s="324">
        <f t="shared" si="83"/>
        <v>0.18848601174239099</v>
      </c>
      <c r="BJ93" s="324">
        <f t="shared" si="83"/>
        <v>0.21012713912254721</v>
      </c>
      <c r="BK93" s="324">
        <f t="shared" si="83"/>
        <v>0.1265625727848243</v>
      </c>
      <c r="BL93" s="324">
        <f t="shared" si="83"/>
        <v>0.1225101248037026</v>
      </c>
      <c r="BM93" s="323">
        <f t="shared" si="83"/>
        <v>0.15848328506313369</v>
      </c>
      <c r="BN93" s="324">
        <f t="shared" si="83"/>
        <v>-0.6710580897675531</v>
      </c>
      <c r="BO93" s="324">
        <f t="shared" si="83"/>
        <v>7.0233474072043389E-3</v>
      </c>
      <c r="BP93" s="324">
        <f t="shared" si="83"/>
        <v>5.9788260094453483E-2</v>
      </c>
      <c r="BQ93" s="324">
        <f t="shared" si="83"/>
        <v>0.53175345911949679</v>
      </c>
      <c r="BR93" s="323">
        <f t="shared" si="83"/>
        <v>2.6989629904041745E-2</v>
      </c>
      <c r="BS93" s="324">
        <f t="shared" si="83"/>
        <v>2.8053442303164835</v>
      </c>
      <c r="BT93" s="324">
        <f t="shared" si="83"/>
        <v>0.15881684340023794</v>
      </c>
      <c r="BU93" s="324">
        <f t="shared" si="83"/>
        <v>-4.9955595026643929E-3</v>
      </c>
      <c r="BV93" s="324">
        <f t="shared" ref="BV93:CL93" si="84">IF(ISERROR(BV92/BQ92-1),"-",BV92/BQ92-1)</f>
        <v>-0.29635790622098168</v>
      </c>
      <c r="BW93" s="323">
        <f t="shared" si="84"/>
        <v>0.10130820326432555</v>
      </c>
      <c r="BX93" s="324">
        <f t="shared" si="84"/>
        <v>-4.4881889763779603E-2</v>
      </c>
      <c r="BY93" s="324">
        <f t="shared" si="84"/>
        <v>8.3676975945017329E-2</v>
      </c>
      <c r="BZ93" s="324">
        <f t="shared" si="84"/>
        <v>0.31433275358669066</v>
      </c>
      <c r="CA93" s="324">
        <f t="shared" si="84"/>
        <v>2.3378095469424265E-2</v>
      </c>
      <c r="CB93" s="323">
        <f t="shared" si="84"/>
        <v>9.689772945920927E-2</v>
      </c>
      <c r="CC93" s="324">
        <f t="shared" si="84"/>
        <v>0.19012755078410848</v>
      </c>
      <c r="CD93" s="324">
        <f t="shared" si="84"/>
        <v>-5.8071347124938888E-2</v>
      </c>
      <c r="CE93" s="324">
        <f t="shared" si="84"/>
        <v>-0.2469226108672844</v>
      </c>
      <c r="CF93" s="324">
        <f t="shared" si="84"/>
        <v>1.3432051435645538</v>
      </c>
      <c r="CG93" s="323">
        <f t="shared" si="84"/>
        <v>0.25851850692657719</v>
      </c>
      <c r="CH93" s="324">
        <f t="shared" si="84"/>
        <v>-0.10731437800161492</v>
      </c>
      <c r="CI93" s="324">
        <f t="shared" si="84"/>
        <v>-5.347561215265495E-2</v>
      </c>
      <c r="CJ93" s="324">
        <f t="shared" si="84"/>
        <v>0.158022230082425</v>
      </c>
      <c r="CK93" s="324">
        <f t="shared" si="84"/>
        <v>-0.67247454883231217</v>
      </c>
      <c r="CL93" s="323">
        <f t="shared" si="84"/>
        <v>-0.29238561537320129</v>
      </c>
      <c r="CM93" s="324">
        <f t="shared" ref="CM93:CV93" si="85">IF(ISERROR(CM92/CH92-1),"-",CM92/CH92-1)</f>
        <v>0.22043504247961399</v>
      </c>
      <c r="CN93" s="324">
        <f t="shared" si="85"/>
        <v>9.5890600638605994E-2</v>
      </c>
      <c r="CO93" s="324">
        <f t="shared" si="85"/>
        <v>-6.2577171079709171E-2</v>
      </c>
      <c r="CP93" s="324">
        <f t="shared" si="85"/>
        <v>0.17697349266406226</v>
      </c>
      <c r="CQ93" s="323">
        <f t="shared" si="85"/>
        <v>9.3962320001361066E-2</v>
      </c>
      <c r="CR93" s="324">
        <f t="shared" si="85"/>
        <v>-0.16893876539180019</v>
      </c>
      <c r="CS93" s="324">
        <f t="shared" si="85"/>
        <v>-8.4168543282069352E-3</v>
      </c>
      <c r="CT93" s="324">
        <f t="shared" si="85"/>
        <v>8.1462286043920695E-2</v>
      </c>
      <c r="CU93" s="324">
        <f t="shared" si="85"/>
        <v>9.4780131794544697E-2</v>
      </c>
      <c r="CV93" s="323">
        <f t="shared" si="85"/>
        <v>-4.6875155342962493E-3</v>
      </c>
      <c r="CW93" s="323">
        <f>IF(ISERROR(CW92/CV92-1),"-",CW92/CV92-1)</f>
        <v>0.1285688562095999</v>
      </c>
      <c r="CX93" s="323">
        <f>IF(ISERROR(CX92/CW92-1),"-",CX92/CW92-1)</f>
        <v>8.9511110187992626E-2</v>
      </c>
      <c r="CY93" s="323">
        <f>IF(ISERROR(CY92/CX92-1),"-",CY92/CX92-1)</f>
        <v>4.3376313627056629E-2</v>
      </c>
      <c r="CZ93" s="256"/>
      <c r="DG93" s="256"/>
    </row>
    <row r="94" spans="1:111" ht="13.5" thickBot="1">
      <c r="A94" s="268"/>
      <c r="B94" s="268"/>
      <c r="C94" s="268"/>
      <c r="D94" s="326"/>
      <c r="E94" s="268"/>
      <c r="F94" s="287"/>
      <c r="G94" s="287"/>
      <c r="H94" s="287"/>
      <c r="I94" s="287"/>
      <c r="J94" s="323"/>
      <c r="K94" s="324"/>
      <c r="L94" s="324"/>
      <c r="M94" s="324"/>
      <c r="N94" s="324"/>
      <c r="O94" s="323"/>
      <c r="P94" s="324"/>
      <c r="Q94" s="324"/>
      <c r="R94" s="324"/>
      <c r="S94" s="324"/>
      <c r="T94" s="323"/>
      <c r="U94" s="324"/>
      <c r="V94" s="324"/>
      <c r="W94" s="324"/>
      <c r="X94" s="324"/>
      <c r="Y94" s="323"/>
      <c r="Z94" s="324"/>
      <c r="AA94" s="324"/>
      <c r="AB94" s="324"/>
      <c r="AC94" s="324"/>
      <c r="AD94" s="323"/>
      <c r="AE94" s="324"/>
      <c r="AF94" s="324"/>
      <c r="AG94" s="324"/>
      <c r="AH94" s="324"/>
      <c r="AI94" s="323"/>
      <c r="AJ94" s="324"/>
      <c r="AK94" s="324"/>
      <c r="AL94" s="324"/>
      <c r="AM94" s="324"/>
      <c r="AN94" s="323"/>
      <c r="AO94" s="324"/>
      <c r="AP94" s="324"/>
      <c r="AQ94" s="324"/>
      <c r="AR94" s="324"/>
      <c r="AS94" s="323"/>
      <c r="AT94" s="325"/>
      <c r="AU94" s="324"/>
      <c r="AV94" s="324"/>
      <c r="AW94" s="324"/>
      <c r="AX94" s="323"/>
      <c r="AY94" s="324"/>
      <c r="AZ94" s="324"/>
      <c r="BA94" s="324"/>
      <c r="BB94" s="324"/>
      <c r="BC94" s="323"/>
      <c r="BD94" s="324"/>
      <c r="BE94" s="324"/>
      <c r="BF94" s="324"/>
      <c r="BG94" s="324"/>
      <c r="BH94" s="323"/>
      <c r="BI94" s="324"/>
      <c r="BJ94" s="324"/>
      <c r="BK94" s="324"/>
      <c r="BL94" s="324"/>
      <c r="BM94" s="323"/>
      <c r="BN94" s="324"/>
      <c r="BO94" s="324"/>
      <c r="BP94" s="324"/>
      <c r="BQ94" s="324"/>
      <c r="BR94" s="323"/>
      <c r="BS94" s="324"/>
      <c r="BT94" s="324"/>
      <c r="BU94" s="324"/>
      <c r="BV94" s="324"/>
      <c r="BW94" s="323"/>
      <c r="BX94" s="324"/>
      <c r="BY94" s="324"/>
      <c r="BZ94" s="324"/>
      <c r="CA94" s="324"/>
      <c r="CB94" s="323"/>
      <c r="CC94" s="324"/>
      <c r="CD94" s="324"/>
      <c r="CE94" s="324"/>
      <c r="CF94" s="324"/>
      <c r="CG94" s="323"/>
      <c r="CH94" s="324"/>
      <c r="CI94" s="324"/>
      <c r="CJ94" s="324"/>
      <c r="CK94" s="324"/>
      <c r="CL94" s="323"/>
      <c r="CM94" s="324"/>
      <c r="CN94" s="324"/>
      <c r="CO94" s="324"/>
      <c r="CP94" s="324"/>
      <c r="CQ94" s="323"/>
      <c r="CR94" s="324"/>
      <c r="CS94" s="324"/>
      <c r="CT94" s="324"/>
      <c r="CU94" s="324"/>
      <c r="CV94" s="323"/>
      <c r="CW94" s="323"/>
      <c r="CX94" s="323"/>
      <c r="CY94" s="323"/>
      <c r="CZ94" s="256"/>
      <c r="DG94" s="256"/>
    </row>
    <row r="95" spans="1:111">
      <c r="A95" s="295"/>
      <c r="B95" s="295"/>
      <c r="C95" s="295"/>
      <c r="D95" s="295"/>
      <c r="E95" s="295"/>
      <c r="F95" s="295"/>
      <c r="G95" s="295"/>
      <c r="H95" s="295"/>
      <c r="I95" s="295"/>
      <c r="J95" s="294"/>
      <c r="K95" s="295"/>
      <c r="L95" s="295"/>
      <c r="M95" s="295"/>
      <c r="N95" s="295"/>
      <c r="O95" s="294"/>
      <c r="P95" s="295"/>
      <c r="Q95" s="295"/>
      <c r="R95" s="295"/>
      <c r="S95" s="295"/>
      <c r="T95" s="294"/>
      <c r="U95" s="295"/>
      <c r="V95" s="295"/>
      <c r="W95" s="295"/>
      <c r="X95" s="295"/>
      <c r="Y95" s="294"/>
      <c r="Z95" s="295"/>
      <c r="AA95" s="295"/>
      <c r="AB95" s="295"/>
      <c r="AC95" s="295"/>
      <c r="AD95" s="294"/>
      <c r="AE95" s="295"/>
      <c r="AF95" s="295"/>
      <c r="AG95" s="295"/>
      <c r="AH95" s="295"/>
      <c r="AI95" s="294"/>
      <c r="AJ95" s="295"/>
      <c r="AK95" s="295"/>
      <c r="AL95" s="295"/>
      <c r="AM95" s="295"/>
      <c r="AN95" s="294"/>
      <c r="AO95" s="296"/>
      <c r="AP95" s="296"/>
      <c r="AQ95" s="296"/>
      <c r="AR95" s="296"/>
      <c r="AS95" s="294"/>
      <c r="AT95" s="296"/>
      <c r="AU95" s="296"/>
      <c r="AV95" s="296"/>
      <c r="AW95" s="296"/>
      <c r="AX95" s="294"/>
      <c r="AY95" s="296"/>
      <c r="AZ95" s="296"/>
      <c r="BA95" s="296"/>
      <c r="BB95" s="296"/>
      <c r="BC95" s="294"/>
      <c r="BD95" s="296"/>
      <c r="BE95" s="296"/>
      <c r="BF95" s="296"/>
      <c r="BG95" s="296"/>
      <c r="BH95" s="294"/>
      <c r="BI95" s="295"/>
      <c r="BJ95" s="295"/>
      <c r="BK95" s="295"/>
      <c r="BL95" s="295"/>
      <c r="BM95" s="294"/>
      <c r="BN95" s="295"/>
      <c r="BO95" s="295"/>
      <c r="BP95" s="295"/>
      <c r="BQ95" s="295"/>
      <c r="BR95" s="294"/>
      <c r="BS95" s="295"/>
      <c r="BT95" s="295"/>
      <c r="BU95" s="322"/>
      <c r="BV95" s="321"/>
      <c r="BW95" s="294"/>
      <c r="BX95" s="295"/>
      <c r="BY95" s="295"/>
      <c r="BZ95" s="295"/>
      <c r="CA95" s="295"/>
      <c r="CB95" s="294"/>
      <c r="CC95" s="295"/>
      <c r="CD95" s="295"/>
      <c r="CE95" s="295"/>
      <c r="CF95" s="295"/>
      <c r="CG95" s="294"/>
      <c r="CH95" s="295"/>
      <c r="CI95" s="295"/>
      <c r="CJ95" s="295"/>
      <c r="CK95" s="295"/>
      <c r="CL95" s="294"/>
      <c r="CM95" s="295"/>
      <c r="CN95" s="295"/>
      <c r="CO95" s="295"/>
      <c r="CP95" s="295"/>
      <c r="CQ95" s="2314"/>
      <c r="CR95" s="295"/>
      <c r="CS95" s="295"/>
      <c r="CT95" s="295"/>
      <c r="CU95" s="295"/>
      <c r="CV95" s="294"/>
      <c r="CW95" s="294"/>
      <c r="CX95" s="294"/>
      <c r="CY95" s="294"/>
      <c r="CZ95" s="256"/>
      <c r="DG95" s="256"/>
    </row>
    <row r="96" spans="1:111">
      <c r="A96" s="268"/>
      <c r="B96" s="268"/>
      <c r="C96" s="320" t="s">
        <v>133</v>
      </c>
      <c r="D96" s="268"/>
      <c r="E96" s="268"/>
      <c r="F96" s="268"/>
      <c r="G96" s="268"/>
      <c r="H96" s="268"/>
      <c r="I96" s="268"/>
      <c r="J96" s="298"/>
      <c r="K96" s="268"/>
      <c r="L96" s="268"/>
      <c r="M96" s="268"/>
      <c r="N96" s="268"/>
      <c r="O96" s="298"/>
      <c r="P96" s="268"/>
      <c r="Q96" s="268"/>
      <c r="R96" s="268"/>
      <c r="S96" s="268"/>
      <c r="T96" s="298"/>
      <c r="U96" s="268"/>
      <c r="V96" s="268"/>
      <c r="W96" s="268"/>
      <c r="X96" s="268"/>
      <c r="Y96" s="298"/>
      <c r="Z96" s="268"/>
      <c r="AA96" s="268"/>
      <c r="AB96" s="268"/>
      <c r="AC96" s="268"/>
      <c r="AD96" s="298"/>
      <c r="AE96" s="268"/>
      <c r="AF96" s="268"/>
      <c r="AG96" s="268"/>
      <c r="AH96" s="268"/>
      <c r="AI96" s="298"/>
      <c r="AJ96" s="319"/>
      <c r="AK96" s="319"/>
      <c r="AL96" s="319"/>
      <c r="AM96" s="319"/>
      <c r="AN96" s="318"/>
      <c r="AO96" s="319"/>
      <c r="AP96" s="319"/>
      <c r="AQ96" s="319"/>
      <c r="AR96" s="319"/>
      <c r="AS96" s="318"/>
      <c r="AT96" s="319"/>
      <c r="AU96" s="319"/>
      <c r="AV96" s="319"/>
      <c r="AW96" s="319"/>
      <c r="AX96" s="318"/>
      <c r="AY96" s="319"/>
      <c r="AZ96" s="319"/>
      <c r="BA96" s="319"/>
      <c r="BB96" s="319"/>
      <c r="BC96" s="318"/>
      <c r="BD96" s="319"/>
      <c r="BE96" s="319"/>
      <c r="BF96" s="319"/>
      <c r="BG96" s="319"/>
      <c r="BH96" s="318"/>
      <c r="BI96" s="116"/>
      <c r="BJ96" s="116"/>
      <c r="BK96" s="116"/>
      <c r="BL96" s="116"/>
      <c r="BM96" s="298"/>
      <c r="BN96" s="116"/>
      <c r="BO96" s="116"/>
      <c r="BP96" s="116"/>
      <c r="BQ96" s="116"/>
      <c r="BR96" s="298"/>
      <c r="BS96" s="116"/>
      <c r="BT96" s="116"/>
      <c r="BU96" s="116"/>
      <c r="BV96" s="116"/>
      <c r="BW96" s="298"/>
      <c r="BX96" s="116"/>
      <c r="BY96" s="116"/>
      <c r="BZ96" s="116"/>
      <c r="CA96" s="116"/>
      <c r="CB96" s="298"/>
      <c r="CC96" s="116"/>
      <c r="CD96" s="116"/>
      <c r="CE96" s="256"/>
      <c r="CF96" s="256"/>
      <c r="CG96" s="298"/>
      <c r="CH96" s="116"/>
      <c r="CI96" s="116"/>
      <c r="CJ96" s="116"/>
      <c r="CK96" s="116"/>
      <c r="CL96" s="298"/>
      <c r="CM96" s="116"/>
      <c r="CN96" s="116"/>
      <c r="CO96" s="116"/>
      <c r="CP96" s="116"/>
      <c r="CQ96" s="476"/>
      <c r="CR96" s="1922"/>
      <c r="CS96" s="1026"/>
      <c r="CT96" s="116"/>
      <c r="CU96" s="116"/>
      <c r="CV96" s="298"/>
      <c r="CW96" s="298"/>
      <c r="CX96" s="298"/>
      <c r="CY96" s="298"/>
      <c r="CZ96" s="256"/>
      <c r="DG96" s="256"/>
    </row>
    <row r="97" spans="1:111" ht="12" customHeight="1">
      <c r="A97" s="272"/>
      <c r="B97" s="272"/>
      <c r="C97" s="317" t="s">
        <v>281</v>
      </c>
      <c r="D97" s="316"/>
      <c r="E97" s="272"/>
      <c r="F97" s="315">
        <v>473</v>
      </c>
      <c r="G97" s="315">
        <v>471</v>
      </c>
      <c r="H97" s="315">
        <v>470</v>
      </c>
      <c r="I97" s="315">
        <v>940.24800000000005</v>
      </c>
      <c r="J97" s="304">
        <v>940.24800000000005</v>
      </c>
      <c r="K97" s="315">
        <v>942</v>
      </c>
      <c r="L97" s="315">
        <v>942</v>
      </c>
      <c r="M97" s="315">
        <v>940</v>
      </c>
      <c r="N97" s="315">
        <v>940.50400000000002</v>
      </c>
      <c r="O97" s="304">
        <v>940.50400000000002</v>
      </c>
      <c r="P97" s="315">
        <v>946</v>
      </c>
      <c r="Q97" s="315">
        <v>946</v>
      </c>
      <c r="R97" s="315">
        <v>946</v>
      </c>
      <c r="S97" s="315">
        <v>944.88199999999995</v>
      </c>
      <c r="T97" s="304">
        <v>944.88199999999995</v>
      </c>
      <c r="U97" s="315">
        <v>940</v>
      </c>
      <c r="V97" s="315">
        <v>936</v>
      </c>
      <c r="W97" s="315">
        <v>940</v>
      </c>
      <c r="X97" s="315">
        <v>974.2</v>
      </c>
      <c r="Y97" s="304">
        <v>947.55</v>
      </c>
      <c r="Z97" s="315">
        <v>996</v>
      </c>
      <c r="AA97" s="315">
        <v>992</v>
      </c>
      <c r="AB97" s="315">
        <v>992</v>
      </c>
      <c r="AC97" s="315">
        <v>990</v>
      </c>
      <c r="AD97" s="304">
        <v>993</v>
      </c>
      <c r="AE97" s="313">
        <v>992</v>
      </c>
      <c r="AF97" s="313">
        <v>995</v>
      </c>
      <c r="AG97" s="313">
        <v>992</v>
      </c>
      <c r="AH97" s="313">
        <v>987</v>
      </c>
      <c r="AI97" s="304">
        <v>991</v>
      </c>
      <c r="AJ97" s="313">
        <v>984</v>
      </c>
      <c r="AK97" s="313">
        <v>983</v>
      </c>
      <c r="AL97" s="313">
        <v>980</v>
      </c>
      <c r="AM97" s="313">
        <v>972</v>
      </c>
      <c r="AN97" s="304">
        <v>980</v>
      </c>
      <c r="AO97" s="313">
        <v>968</v>
      </c>
      <c r="AP97" s="313">
        <v>966</v>
      </c>
      <c r="AQ97" s="313">
        <v>963</v>
      </c>
      <c r="AR97" s="313">
        <v>959</v>
      </c>
      <c r="AS97" s="304">
        <f>AVERAGE(AO97:AR97)</f>
        <v>964</v>
      </c>
      <c r="AT97" s="314">
        <v>952</v>
      </c>
      <c r="AU97" s="313">
        <f>AT97+CF!AG79-CF!AF79</f>
        <v>943.15316199999995</v>
      </c>
      <c r="AV97" s="313">
        <v>933</v>
      </c>
      <c r="AW97" s="313">
        <v>922</v>
      </c>
      <c r="AX97" s="304">
        <v>938</v>
      </c>
      <c r="AY97" s="313">
        <v>918</v>
      </c>
      <c r="AZ97" s="313">
        <v>919</v>
      </c>
      <c r="BA97" s="313">
        <v>917</v>
      </c>
      <c r="BB97" s="313">
        <v>915</v>
      </c>
      <c r="BC97" s="304">
        <v>917</v>
      </c>
      <c r="BD97" s="313">
        <v>914</v>
      </c>
      <c r="BE97" s="313">
        <v>910</v>
      </c>
      <c r="BF97" s="313">
        <v>906</v>
      </c>
      <c r="BG97" s="313">
        <v>902</v>
      </c>
      <c r="BH97" s="304">
        <v>907.9</v>
      </c>
      <c r="BI97" s="313">
        <v>898.7</v>
      </c>
      <c r="BJ97" s="313">
        <v>892.9</v>
      </c>
      <c r="BK97" s="313">
        <v>888.8</v>
      </c>
      <c r="BL97" s="313">
        <v>888</v>
      </c>
      <c r="BM97" s="304">
        <v>892.3</v>
      </c>
      <c r="BN97" s="313">
        <v>890.9</v>
      </c>
      <c r="BO97" s="313">
        <v>893.4</v>
      </c>
      <c r="BP97" s="313">
        <v>896.3</v>
      </c>
      <c r="BQ97" s="313">
        <v>900</v>
      </c>
      <c r="BR97" s="304">
        <v>895.2</v>
      </c>
      <c r="BS97" s="313">
        <v>901</v>
      </c>
      <c r="BT97" s="313">
        <v>901</v>
      </c>
      <c r="BU97" s="313">
        <v>900.8</v>
      </c>
      <c r="BV97" s="313">
        <v>901</v>
      </c>
      <c r="BW97" s="304">
        <f>AVERAGE(BS97:BV97)</f>
        <v>900.95</v>
      </c>
      <c r="BX97" s="313">
        <v>901</v>
      </c>
      <c r="BY97" s="313">
        <v>900</v>
      </c>
      <c r="BZ97" s="313">
        <v>898</v>
      </c>
      <c r="CA97" s="313">
        <v>895</v>
      </c>
      <c r="CB97" s="304">
        <f>AVERAGE(BX97:CA97)</f>
        <v>898.5</v>
      </c>
      <c r="CC97" s="313">
        <v>890</v>
      </c>
      <c r="CD97" s="313">
        <v>877</v>
      </c>
      <c r="CE97" s="1884">
        <v>876</v>
      </c>
      <c r="CF97" s="1878">
        <v>850</v>
      </c>
      <c r="CG97" s="304">
        <f>AVERAGE(CC97:CF97)</f>
        <v>873.25</v>
      </c>
      <c r="CH97" s="1884">
        <v>825</v>
      </c>
      <c r="CI97" s="1884">
        <v>825</v>
      </c>
      <c r="CJ97" s="1884">
        <v>822</v>
      </c>
      <c r="CK97" s="1884">
        <v>802</v>
      </c>
      <c r="CL97" s="304">
        <f>AVERAGE(CH97:CK97)</f>
        <v>818.5</v>
      </c>
      <c r="CM97" s="313">
        <v>794</v>
      </c>
      <c r="CN97" s="1884">
        <v>789</v>
      </c>
      <c r="CO97" s="1884">
        <v>788</v>
      </c>
      <c r="CP97" s="313">
        <f>CO97+CF!CB80-CF!CA80</f>
        <v>789.12062889116487</v>
      </c>
      <c r="CQ97" s="304">
        <f>AVERAGE(CM97:CP97)</f>
        <v>790.03015722279122</v>
      </c>
      <c r="CR97" s="313">
        <f>CP97+CF!CD80-CF!CB80</f>
        <v>790.79521851616482</v>
      </c>
      <c r="CS97" s="313">
        <f>CR97+CF!CE80-CF!CD80</f>
        <v>792.76711876616491</v>
      </c>
      <c r="CT97" s="313">
        <f>CS97+CF!CF80-CF!CE80</f>
        <v>794.73901901616478</v>
      </c>
      <c r="CU97" s="313">
        <f>CT97+CF!CG80-CF!CF80</f>
        <v>796.71091926616486</v>
      </c>
      <c r="CV97" s="304">
        <f>AVERAGE(CR97:CU97)</f>
        <v>793.75306889116473</v>
      </c>
      <c r="CW97" s="304">
        <f>CV97+CF!CI80-CF!CH80</f>
        <v>801.64066989116463</v>
      </c>
      <c r="CX97" s="304">
        <f>CW97+CF!CJ80-CF!CI80</f>
        <v>809.52827089116477</v>
      </c>
      <c r="CY97" s="304">
        <f>CX97+CF!CK80-CF!CJ80</f>
        <v>817.41587189116467</v>
      </c>
      <c r="CZ97" s="256"/>
      <c r="DG97" s="256"/>
    </row>
    <row r="98" spans="1:111" ht="12" customHeight="1">
      <c r="A98" s="272"/>
      <c r="B98" s="272"/>
      <c r="C98" s="317" t="s">
        <v>280</v>
      </c>
      <c r="D98" s="316"/>
      <c r="E98" s="272"/>
      <c r="F98" s="315">
        <f t="shared" ref="F98:AK98" si="86">F99-F97</f>
        <v>38</v>
      </c>
      <c r="G98" s="315">
        <f t="shared" si="86"/>
        <v>39</v>
      </c>
      <c r="H98" s="315">
        <f t="shared" si="86"/>
        <v>38</v>
      </c>
      <c r="I98" s="315">
        <f t="shared" si="86"/>
        <v>75.771999999999935</v>
      </c>
      <c r="J98" s="304">
        <f t="shared" si="86"/>
        <v>75.771999999999935</v>
      </c>
      <c r="K98" s="315">
        <f t="shared" si="86"/>
        <v>74</v>
      </c>
      <c r="L98" s="315">
        <f t="shared" si="86"/>
        <v>72</v>
      </c>
      <c r="M98" s="315">
        <f t="shared" si="86"/>
        <v>68</v>
      </c>
      <c r="N98" s="315">
        <f t="shared" si="86"/>
        <v>70.268000000000029</v>
      </c>
      <c r="O98" s="304">
        <f t="shared" si="86"/>
        <v>70.268000000000029</v>
      </c>
      <c r="P98" s="315">
        <f t="shared" si="86"/>
        <v>68</v>
      </c>
      <c r="Q98" s="315">
        <f t="shared" si="86"/>
        <v>68</v>
      </c>
      <c r="R98" s="315">
        <f t="shared" si="86"/>
        <v>64</v>
      </c>
      <c r="S98" s="315">
        <f t="shared" si="86"/>
        <v>66.276000000000067</v>
      </c>
      <c r="T98" s="304">
        <f t="shared" si="86"/>
        <v>66.276000000000067</v>
      </c>
      <c r="U98" s="315">
        <f t="shared" si="86"/>
        <v>62</v>
      </c>
      <c r="V98" s="315">
        <f t="shared" si="86"/>
        <v>64</v>
      </c>
      <c r="W98" s="315">
        <f t="shared" si="86"/>
        <v>68</v>
      </c>
      <c r="X98" s="315">
        <f t="shared" si="86"/>
        <v>31.613999999999919</v>
      </c>
      <c r="Y98" s="304">
        <f t="shared" si="86"/>
        <v>58.26400000000001</v>
      </c>
      <c r="Z98" s="315">
        <f t="shared" si="86"/>
        <v>20</v>
      </c>
      <c r="AA98" s="315">
        <f t="shared" si="86"/>
        <v>18</v>
      </c>
      <c r="AB98" s="315">
        <f t="shared" si="86"/>
        <v>18</v>
      </c>
      <c r="AC98" s="315">
        <f t="shared" si="86"/>
        <v>18</v>
      </c>
      <c r="AD98" s="304">
        <f t="shared" si="86"/>
        <v>18</v>
      </c>
      <c r="AE98" s="313">
        <f t="shared" si="86"/>
        <v>24</v>
      </c>
      <c r="AF98" s="313">
        <f t="shared" si="86"/>
        <v>23</v>
      </c>
      <c r="AG98" s="313">
        <f t="shared" si="86"/>
        <v>23</v>
      </c>
      <c r="AH98" s="313">
        <f t="shared" si="86"/>
        <v>23</v>
      </c>
      <c r="AI98" s="304">
        <f t="shared" si="86"/>
        <v>23</v>
      </c>
      <c r="AJ98" s="313">
        <f t="shared" si="86"/>
        <v>25</v>
      </c>
      <c r="AK98" s="313">
        <f t="shared" si="86"/>
        <v>26</v>
      </c>
      <c r="AL98" s="313">
        <f t="shared" ref="AL98:BQ98" si="87">AL99-AL97</f>
        <v>26</v>
      </c>
      <c r="AM98" s="313">
        <f t="shared" si="87"/>
        <v>26</v>
      </c>
      <c r="AN98" s="304">
        <f t="shared" si="87"/>
        <v>26</v>
      </c>
      <c r="AO98" s="313">
        <f t="shared" si="87"/>
        <v>25</v>
      </c>
      <c r="AP98" s="313">
        <f t="shared" si="87"/>
        <v>24</v>
      </c>
      <c r="AQ98" s="313">
        <f t="shared" si="87"/>
        <v>26</v>
      </c>
      <c r="AR98" s="313">
        <f t="shared" si="87"/>
        <v>25</v>
      </c>
      <c r="AS98" s="304">
        <f t="shared" si="87"/>
        <v>25</v>
      </c>
      <c r="AT98" s="314">
        <f t="shared" si="87"/>
        <v>23</v>
      </c>
      <c r="AU98" s="313">
        <f t="shared" si="87"/>
        <v>22.846838000000048</v>
      </c>
      <c r="AV98" s="313">
        <f t="shared" si="87"/>
        <v>18</v>
      </c>
      <c r="AW98" s="313">
        <f t="shared" si="87"/>
        <v>11</v>
      </c>
      <c r="AX98" s="304">
        <f t="shared" si="87"/>
        <v>18</v>
      </c>
      <c r="AY98" s="313">
        <f t="shared" si="87"/>
        <v>8</v>
      </c>
      <c r="AZ98" s="313">
        <f t="shared" si="87"/>
        <v>10</v>
      </c>
      <c r="BA98" s="313">
        <f t="shared" si="87"/>
        <v>12</v>
      </c>
      <c r="BB98" s="313">
        <f t="shared" si="87"/>
        <v>16</v>
      </c>
      <c r="BC98" s="304">
        <f t="shared" si="87"/>
        <v>12</v>
      </c>
      <c r="BD98" s="313">
        <f t="shared" si="87"/>
        <v>15</v>
      </c>
      <c r="BE98" s="313">
        <f t="shared" si="87"/>
        <v>15</v>
      </c>
      <c r="BF98" s="313">
        <f t="shared" si="87"/>
        <v>13</v>
      </c>
      <c r="BG98" s="313">
        <f t="shared" si="87"/>
        <v>14</v>
      </c>
      <c r="BH98" s="304">
        <f t="shared" si="87"/>
        <v>14.800000000000068</v>
      </c>
      <c r="BI98" s="313">
        <f t="shared" si="87"/>
        <v>16.199999999999932</v>
      </c>
      <c r="BJ98" s="313">
        <f t="shared" si="87"/>
        <v>16.899999999999977</v>
      </c>
      <c r="BK98" s="313">
        <f t="shared" si="87"/>
        <v>13.100000000000023</v>
      </c>
      <c r="BL98" s="313">
        <f t="shared" si="87"/>
        <v>11</v>
      </c>
      <c r="BM98" s="304">
        <f t="shared" si="87"/>
        <v>14.5</v>
      </c>
      <c r="BN98" s="313">
        <f t="shared" si="87"/>
        <v>13</v>
      </c>
      <c r="BO98" s="313">
        <f t="shared" si="87"/>
        <v>11.399999999999977</v>
      </c>
      <c r="BP98" s="313">
        <f t="shared" si="87"/>
        <v>10.900000000000091</v>
      </c>
      <c r="BQ98" s="313">
        <f t="shared" si="87"/>
        <v>11</v>
      </c>
      <c r="BR98" s="304">
        <f t="shared" ref="BR98:CV98" si="88">BR99-BR97</f>
        <v>11.399999999999977</v>
      </c>
      <c r="BS98" s="313">
        <f t="shared" si="88"/>
        <v>13</v>
      </c>
      <c r="BT98" s="313">
        <f t="shared" si="88"/>
        <v>13</v>
      </c>
      <c r="BU98" s="313">
        <f t="shared" si="88"/>
        <v>14.700000000000045</v>
      </c>
      <c r="BV98" s="313">
        <f t="shared" si="88"/>
        <v>16</v>
      </c>
      <c r="BW98" s="304">
        <f t="shared" si="88"/>
        <v>14.174999999999955</v>
      </c>
      <c r="BX98" s="313">
        <f t="shared" si="88"/>
        <v>16</v>
      </c>
      <c r="BY98" s="313">
        <f t="shared" si="88"/>
        <v>15</v>
      </c>
      <c r="BZ98" s="313">
        <f t="shared" si="88"/>
        <v>12</v>
      </c>
      <c r="CA98" s="313">
        <f t="shared" si="88"/>
        <v>12</v>
      </c>
      <c r="CB98" s="304">
        <f t="shared" si="88"/>
        <v>13.75</v>
      </c>
      <c r="CC98" s="313">
        <f t="shared" si="88"/>
        <v>14</v>
      </c>
      <c r="CD98" s="313">
        <f t="shared" si="88"/>
        <v>12</v>
      </c>
      <c r="CE98" s="313">
        <f t="shared" si="88"/>
        <v>9</v>
      </c>
      <c r="CF98" s="313">
        <f t="shared" si="88"/>
        <v>0</v>
      </c>
      <c r="CG98" s="304">
        <f t="shared" si="88"/>
        <v>8.75</v>
      </c>
      <c r="CH98" s="313">
        <f t="shared" si="88"/>
        <v>6</v>
      </c>
      <c r="CI98" s="313">
        <f t="shared" si="88"/>
        <v>7.5</v>
      </c>
      <c r="CJ98" s="313">
        <f t="shared" si="88"/>
        <v>9</v>
      </c>
      <c r="CK98" s="313">
        <f t="shared" si="88"/>
        <v>8</v>
      </c>
      <c r="CL98" s="304">
        <f t="shared" si="88"/>
        <v>7.625</v>
      </c>
      <c r="CM98" s="313">
        <f t="shared" si="88"/>
        <v>8</v>
      </c>
      <c r="CN98" s="313">
        <f t="shared" si="88"/>
        <v>9</v>
      </c>
      <c r="CO98" s="313">
        <f t="shared" si="88"/>
        <v>9</v>
      </c>
      <c r="CP98" s="313">
        <f>CO98</f>
        <v>9</v>
      </c>
      <c r="CQ98" s="304">
        <f t="shared" si="88"/>
        <v>8.75</v>
      </c>
      <c r="CR98" s="313">
        <f>CQ98</f>
        <v>8.75</v>
      </c>
      <c r="CS98" s="313">
        <f>CR98</f>
        <v>8.75</v>
      </c>
      <c r="CT98" s="313">
        <f>CS98</f>
        <v>8.75</v>
      </c>
      <c r="CU98" s="313">
        <f>CT98</f>
        <v>8.75</v>
      </c>
      <c r="CV98" s="304">
        <f t="shared" si="88"/>
        <v>8.75</v>
      </c>
      <c r="CW98" s="304">
        <f>CW99-CW97</f>
        <v>8.75</v>
      </c>
      <c r="CX98" s="304">
        <f>CX99-CX97</f>
        <v>8.75</v>
      </c>
      <c r="CY98" s="304">
        <f>CY99-CY97</f>
        <v>8.75</v>
      </c>
      <c r="CZ98" s="256"/>
      <c r="DG98" s="256"/>
    </row>
    <row r="99" spans="1:111" ht="12" customHeight="1">
      <c r="A99" s="312"/>
      <c r="B99" s="312"/>
      <c r="C99" s="311" t="s">
        <v>279</v>
      </c>
      <c r="D99" s="291"/>
      <c r="E99" s="310"/>
      <c r="F99" s="309">
        <v>511</v>
      </c>
      <c r="G99" s="309">
        <v>510</v>
      </c>
      <c r="H99" s="309">
        <v>508</v>
      </c>
      <c r="I99" s="309">
        <v>1016.02</v>
      </c>
      <c r="J99" s="306">
        <v>1016.02</v>
      </c>
      <c r="K99" s="308">
        <v>1016</v>
      </c>
      <c r="L99" s="308">
        <v>1014</v>
      </c>
      <c r="M99" s="308">
        <v>1008</v>
      </c>
      <c r="N99" s="308">
        <v>1010.772</v>
      </c>
      <c r="O99" s="306">
        <v>1010.772</v>
      </c>
      <c r="P99" s="308">
        <v>1014</v>
      </c>
      <c r="Q99" s="308">
        <v>1014</v>
      </c>
      <c r="R99" s="308">
        <v>1010</v>
      </c>
      <c r="S99" s="308">
        <v>1011.158</v>
      </c>
      <c r="T99" s="306">
        <v>1011.158</v>
      </c>
      <c r="U99" s="308">
        <v>1002</v>
      </c>
      <c r="V99" s="308">
        <v>1000</v>
      </c>
      <c r="W99" s="308">
        <v>1008</v>
      </c>
      <c r="X99" s="308">
        <v>1005.814</v>
      </c>
      <c r="Y99" s="306">
        <v>1005.814</v>
      </c>
      <c r="Z99" s="308">
        <v>1016</v>
      </c>
      <c r="AA99" s="308">
        <v>1010</v>
      </c>
      <c r="AB99" s="308">
        <v>1010</v>
      </c>
      <c r="AC99" s="308">
        <v>1008</v>
      </c>
      <c r="AD99" s="306">
        <v>1011</v>
      </c>
      <c r="AE99" s="305">
        <v>1016</v>
      </c>
      <c r="AF99" s="305">
        <v>1018</v>
      </c>
      <c r="AG99" s="305">
        <v>1015</v>
      </c>
      <c r="AH99" s="305">
        <v>1010</v>
      </c>
      <c r="AI99" s="306">
        <v>1014</v>
      </c>
      <c r="AJ99" s="305">
        <v>1009</v>
      </c>
      <c r="AK99" s="305">
        <v>1009</v>
      </c>
      <c r="AL99" s="305">
        <v>1006</v>
      </c>
      <c r="AM99" s="305">
        <v>998</v>
      </c>
      <c r="AN99" s="306">
        <v>1006</v>
      </c>
      <c r="AO99" s="305">
        <v>993</v>
      </c>
      <c r="AP99" s="305">
        <v>990</v>
      </c>
      <c r="AQ99" s="305">
        <v>989</v>
      </c>
      <c r="AR99" s="305">
        <v>984</v>
      </c>
      <c r="AS99" s="306">
        <f>AVERAGE(AO99:AR99)</f>
        <v>989</v>
      </c>
      <c r="AT99" s="307">
        <v>975</v>
      </c>
      <c r="AU99" s="305">
        <v>966</v>
      </c>
      <c r="AV99" s="305">
        <v>951</v>
      </c>
      <c r="AW99" s="305">
        <v>933</v>
      </c>
      <c r="AX99" s="306">
        <v>956</v>
      </c>
      <c r="AY99" s="305">
        <v>926</v>
      </c>
      <c r="AZ99" s="305">
        <v>929</v>
      </c>
      <c r="BA99" s="305">
        <v>929</v>
      </c>
      <c r="BB99" s="305">
        <v>931</v>
      </c>
      <c r="BC99" s="306">
        <v>929</v>
      </c>
      <c r="BD99" s="305">
        <v>929</v>
      </c>
      <c r="BE99" s="305">
        <v>925</v>
      </c>
      <c r="BF99" s="305">
        <v>919</v>
      </c>
      <c r="BG99" s="305">
        <v>916</v>
      </c>
      <c r="BH99" s="306">
        <v>922.7</v>
      </c>
      <c r="BI99" s="305">
        <v>914.9</v>
      </c>
      <c r="BJ99" s="305">
        <v>909.8</v>
      </c>
      <c r="BK99" s="305">
        <v>901.9</v>
      </c>
      <c r="BL99" s="305">
        <v>899</v>
      </c>
      <c r="BM99" s="306">
        <v>906.8</v>
      </c>
      <c r="BN99" s="305">
        <v>903.9</v>
      </c>
      <c r="BO99" s="305">
        <v>904.8</v>
      </c>
      <c r="BP99" s="305">
        <v>907.2</v>
      </c>
      <c r="BQ99" s="305">
        <v>911</v>
      </c>
      <c r="BR99" s="304">
        <v>906.6</v>
      </c>
      <c r="BS99" s="305">
        <v>914</v>
      </c>
      <c r="BT99" s="305">
        <v>914</v>
      </c>
      <c r="BU99" s="305">
        <v>915.5</v>
      </c>
      <c r="BV99" s="305">
        <v>917</v>
      </c>
      <c r="BW99" s="304">
        <f>AVERAGE(BS99:BV99)</f>
        <v>915.125</v>
      </c>
      <c r="BX99" s="305">
        <v>917</v>
      </c>
      <c r="BY99" s="305">
        <v>915</v>
      </c>
      <c r="BZ99" s="305">
        <v>910</v>
      </c>
      <c r="CA99" s="305">
        <v>907</v>
      </c>
      <c r="CB99" s="304">
        <f>AVERAGE(BX99:CA99)</f>
        <v>912.25</v>
      </c>
      <c r="CC99" s="305">
        <v>904</v>
      </c>
      <c r="CD99" s="305">
        <v>889</v>
      </c>
      <c r="CE99" s="1878">
        <v>885</v>
      </c>
      <c r="CF99" s="1878">
        <v>850</v>
      </c>
      <c r="CG99" s="304">
        <f>AVERAGE(CC99:CF99)</f>
        <v>882</v>
      </c>
      <c r="CH99" s="1878">
        <v>831</v>
      </c>
      <c r="CI99" s="1878">
        <v>832.5</v>
      </c>
      <c r="CJ99" s="1878">
        <v>831</v>
      </c>
      <c r="CK99" s="1878">
        <v>810</v>
      </c>
      <c r="CL99" s="304">
        <f>AVERAGE(CH99:CK99)</f>
        <v>826.125</v>
      </c>
      <c r="CM99" s="305">
        <v>802</v>
      </c>
      <c r="CN99" s="1878">
        <v>798</v>
      </c>
      <c r="CO99" s="1878">
        <v>797</v>
      </c>
      <c r="CP99" s="305">
        <f>CP98+CP97</f>
        <v>798.12062889116487</v>
      </c>
      <c r="CQ99" s="304">
        <f>AVERAGE(CM99:CP99)</f>
        <v>798.78015722279122</v>
      </c>
      <c r="CR99" s="305">
        <f>CR98+CR97</f>
        <v>799.54521851616482</v>
      </c>
      <c r="CS99" s="305">
        <f>CS98+CS97</f>
        <v>801.51711876616491</v>
      </c>
      <c r="CT99" s="305">
        <f>CT98+CT97</f>
        <v>803.48901901616478</v>
      </c>
      <c r="CU99" s="305">
        <f>CU98+CU97</f>
        <v>805.46091926616486</v>
      </c>
      <c r="CV99" s="304">
        <f>AVERAGE(CR99:CU99)</f>
        <v>802.50306889116473</v>
      </c>
      <c r="CW99" s="303">
        <f>CW97+(CV99-CV97)</f>
        <v>810.39066989116463</v>
      </c>
      <c r="CX99" s="303">
        <f>CX97+(CW99-CW97)</f>
        <v>818.27827089116477</v>
      </c>
      <c r="CY99" s="303">
        <f>CY97+(CX99-CX97)</f>
        <v>826.16587189116467</v>
      </c>
      <c r="CZ99" s="256"/>
      <c r="DG99" s="256"/>
    </row>
    <row r="100" spans="1:111" ht="13.5" thickBot="1">
      <c r="A100" s="268"/>
      <c r="B100" s="268"/>
      <c r="C100" s="268"/>
      <c r="D100" s="268"/>
      <c r="E100" s="268"/>
      <c r="F100" s="268"/>
      <c r="G100" s="268"/>
      <c r="H100" s="268"/>
      <c r="I100" s="268"/>
      <c r="J100" s="298"/>
      <c r="K100" s="268"/>
      <c r="L100" s="268"/>
      <c r="M100" s="268"/>
      <c r="N100" s="268"/>
      <c r="O100" s="298"/>
      <c r="P100" s="268"/>
      <c r="Q100" s="268"/>
      <c r="R100" s="268"/>
      <c r="S100" s="268"/>
      <c r="T100" s="298"/>
      <c r="U100" s="268"/>
      <c r="V100" s="268"/>
      <c r="W100" s="268"/>
      <c r="X100" s="268"/>
      <c r="Y100" s="298"/>
      <c r="Z100" s="268"/>
      <c r="AA100" s="268"/>
      <c r="AB100" s="268"/>
      <c r="AC100" s="268"/>
      <c r="AD100" s="298"/>
      <c r="AE100" s="268"/>
      <c r="AF100" s="268"/>
      <c r="AG100" s="268"/>
      <c r="AH100" s="268"/>
      <c r="AI100" s="298"/>
      <c r="AJ100" s="268"/>
      <c r="AK100" s="268"/>
      <c r="AL100" s="268"/>
      <c r="AM100" s="268"/>
      <c r="AN100" s="298"/>
      <c r="AO100" s="302"/>
      <c r="AP100" s="302"/>
      <c r="AQ100" s="302"/>
      <c r="AR100" s="302"/>
      <c r="AS100" s="298"/>
      <c r="AT100" s="271"/>
      <c r="AU100" s="271"/>
      <c r="AV100" s="271"/>
      <c r="AW100" s="271"/>
      <c r="AX100" s="298"/>
      <c r="AY100" s="271"/>
      <c r="AZ100" s="271"/>
      <c r="BA100" s="271"/>
      <c r="BB100" s="271"/>
      <c r="BC100" s="298"/>
      <c r="BD100" s="271"/>
      <c r="BE100" s="271"/>
      <c r="BF100" s="271"/>
      <c r="BG100" s="271"/>
      <c r="BH100" s="298"/>
      <c r="BI100" s="116"/>
      <c r="BJ100" s="116"/>
      <c r="BK100" s="116"/>
      <c r="BL100" s="116"/>
      <c r="BM100" s="298"/>
      <c r="BN100" s="116"/>
      <c r="BO100" s="116"/>
      <c r="BP100" s="116"/>
      <c r="BQ100" s="116"/>
      <c r="BR100" s="298"/>
      <c r="BS100" s="116"/>
      <c r="BT100" s="116"/>
      <c r="BU100" s="116"/>
      <c r="BV100" s="116"/>
      <c r="BW100" s="301"/>
      <c r="BX100" s="116"/>
      <c r="BY100" s="116"/>
      <c r="BZ100" s="116"/>
      <c r="CA100" s="116"/>
      <c r="CB100" s="301"/>
      <c r="CC100" s="116"/>
      <c r="CD100" s="116"/>
      <c r="CE100" s="116"/>
      <c r="CF100" s="116"/>
      <c r="CG100" s="298"/>
      <c r="CH100" s="116"/>
      <c r="CI100" s="116"/>
      <c r="CJ100" s="116"/>
      <c r="CK100" s="116"/>
      <c r="CL100" s="300"/>
      <c r="CM100" s="116"/>
      <c r="CN100" s="116"/>
      <c r="CO100" s="116"/>
      <c r="CP100" s="116"/>
      <c r="CQ100" s="299"/>
      <c r="CR100" s="116"/>
      <c r="CS100" s="116"/>
      <c r="CT100" s="116"/>
      <c r="CU100" s="116"/>
      <c r="CV100" s="298"/>
      <c r="CW100" s="298"/>
      <c r="CX100" s="298"/>
      <c r="CY100" s="298"/>
      <c r="CZ100" s="256"/>
      <c r="DG100" s="256"/>
    </row>
    <row r="101" spans="1:111">
      <c r="A101" s="295"/>
      <c r="B101" s="295"/>
      <c r="C101" s="295"/>
      <c r="D101" s="295"/>
      <c r="E101" s="295"/>
      <c r="F101" s="295"/>
      <c r="G101" s="295"/>
      <c r="H101" s="295"/>
      <c r="I101" s="295"/>
      <c r="J101" s="294"/>
      <c r="K101" s="295"/>
      <c r="L101" s="295"/>
      <c r="M101" s="295"/>
      <c r="N101" s="295"/>
      <c r="O101" s="294"/>
      <c r="P101" s="295"/>
      <c r="Q101" s="295"/>
      <c r="R101" s="295"/>
      <c r="S101" s="295"/>
      <c r="T101" s="294"/>
      <c r="U101" s="295"/>
      <c r="V101" s="295"/>
      <c r="W101" s="295"/>
      <c r="X101" s="295"/>
      <c r="Y101" s="294"/>
      <c r="Z101" s="295"/>
      <c r="AA101" s="295"/>
      <c r="AB101" s="295"/>
      <c r="AC101" s="295"/>
      <c r="AD101" s="294"/>
      <c r="AE101" s="295"/>
      <c r="AF101" s="295"/>
      <c r="AG101" s="295"/>
      <c r="AH101" s="295"/>
      <c r="AI101" s="294"/>
      <c r="AJ101" s="295"/>
      <c r="AK101" s="295"/>
      <c r="AL101" s="295"/>
      <c r="AM101" s="295"/>
      <c r="AN101" s="294"/>
      <c r="AO101" s="296"/>
      <c r="AP101" s="296"/>
      <c r="AQ101" s="296"/>
      <c r="AR101" s="296"/>
      <c r="AS101" s="294"/>
      <c r="AT101" s="297"/>
      <c r="AU101" s="296"/>
      <c r="AV101" s="296"/>
      <c r="AW101" s="296"/>
      <c r="AX101" s="294"/>
      <c r="AY101" s="296"/>
      <c r="AZ101" s="296"/>
      <c r="BA101" s="296"/>
      <c r="BB101" s="296"/>
      <c r="BC101" s="294"/>
      <c r="BD101" s="296"/>
      <c r="BE101" s="296"/>
      <c r="BF101" s="296"/>
      <c r="BG101" s="296"/>
      <c r="BH101" s="294"/>
      <c r="BI101" s="295"/>
      <c r="BJ101" s="295"/>
      <c r="BK101" s="295"/>
      <c r="BL101" s="295"/>
      <c r="BM101" s="294"/>
      <c r="BN101" s="295"/>
      <c r="BO101" s="295"/>
      <c r="BP101" s="295"/>
      <c r="BQ101" s="295"/>
      <c r="BR101" s="294"/>
      <c r="BS101" s="295"/>
      <c r="BT101" s="295"/>
      <c r="BU101" s="295"/>
      <c r="BV101" s="295"/>
      <c r="BW101" s="294"/>
      <c r="BX101" s="295"/>
      <c r="BY101" s="295"/>
      <c r="BZ101" s="295"/>
      <c r="CA101" s="295"/>
      <c r="CB101" s="294"/>
      <c r="CC101" s="295"/>
      <c r="CD101" s="295"/>
      <c r="CE101" s="295"/>
      <c r="CF101" s="295"/>
      <c r="CG101" s="294"/>
      <c r="CH101" s="295"/>
      <c r="CI101" s="295"/>
      <c r="CJ101" s="295"/>
      <c r="CK101" s="295"/>
      <c r="CL101" s="294"/>
      <c r="CM101" s="295"/>
      <c r="CN101" s="295"/>
      <c r="CO101" s="295"/>
      <c r="CP101" s="295"/>
      <c r="CQ101" s="294"/>
      <c r="CR101" s="295"/>
      <c r="CS101" s="295"/>
      <c r="CT101" s="295"/>
      <c r="CU101" s="295"/>
      <c r="CV101" s="294"/>
      <c r="CW101" s="294"/>
      <c r="CX101" s="294"/>
      <c r="CY101" s="294"/>
      <c r="CZ101" s="256"/>
      <c r="DG101" s="256"/>
    </row>
    <row r="102" spans="1:111" ht="12" customHeight="1">
      <c r="A102" s="268"/>
      <c r="B102" s="268"/>
      <c r="C102" s="293" t="s">
        <v>122</v>
      </c>
      <c r="D102" s="291"/>
      <c r="E102" s="265"/>
      <c r="F102" s="265"/>
      <c r="G102" s="265"/>
      <c r="H102" s="265"/>
      <c r="I102" s="265"/>
      <c r="J102" s="292"/>
      <c r="K102" s="268"/>
      <c r="L102" s="268"/>
      <c r="M102" s="268"/>
      <c r="N102" s="268"/>
      <c r="O102" s="292"/>
      <c r="P102" s="268"/>
      <c r="Q102" s="268"/>
      <c r="R102" s="268"/>
      <c r="S102" s="268"/>
      <c r="T102" s="292"/>
      <c r="U102" s="268"/>
      <c r="V102" s="268"/>
      <c r="W102" s="268"/>
      <c r="X102" s="268"/>
      <c r="Y102" s="292"/>
      <c r="Z102" s="268"/>
      <c r="AA102" s="268"/>
      <c r="AB102" s="268"/>
      <c r="AC102" s="268"/>
      <c r="AD102" s="292"/>
      <c r="AE102" s="268"/>
      <c r="AF102" s="268"/>
      <c r="AG102" s="268"/>
      <c r="AH102" s="268"/>
      <c r="AI102" s="292"/>
      <c r="AJ102" s="268"/>
      <c r="AK102" s="268"/>
      <c r="AL102" s="268"/>
      <c r="AM102" s="268"/>
      <c r="AN102" s="292"/>
      <c r="AO102" s="268"/>
      <c r="AP102" s="268"/>
      <c r="AQ102" s="268"/>
      <c r="AR102" s="272"/>
      <c r="AS102" s="292"/>
      <c r="AT102" s="272"/>
      <c r="AU102" s="268"/>
      <c r="AV102" s="268"/>
      <c r="AW102" s="272"/>
      <c r="AX102" s="292"/>
      <c r="AY102" s="268"/>
      <c r="AZ102" s="268"/>
      <c r="BA102" s="268"/>
      <c r="BB102" s="268"/>
      <c r="BC102" s="292"/>
      <c r="BD102" s="268"/>
      <c r="BE102" s="268"/>
      <c r="BF102" s="268"/>
      <c r="BG102" s="268"/>
      <c r="BH102" s="292"/>
      <c r="BI102" s="268"/>
      <c r="BJ102" s="268"/>
      <c r="BK102" s="268"/>
      <c r="BL102" s="268"/>
      <c r="BM102" s="292"/>
      <c r="BN102" s="268"/>
      <c r="BO102" s="268"/>
      <c r="BP102" s="268"/>
      <c r="BQ102" s="268"/>
      <c r="BR102" s="292"/>
      <c r="BS102" s="268"/>
      <c r="BT102" s="268"/>
      <c r="BU102" s="268"/>
      <c r="BV102" s="268"/>
      <c r="BW102" s="292"/>
      <c r="BX102" s="268"/>
      <c r="BY102" s="268"/>
      <c r="BZ102" s="268"/>
      <c r="CA102" s="268"/>
      <c r="CB102" s="292"/>
      <c r="CC102" s="268"/>
      <c r="CD102" s="268"/>
      <c r="CE102" s="268"/>
      <c r="CF102" s="268"/>
      <c r="CG102" s="292"/>
      <c r="CH102" s="268"/>
      <c r="CI102" s="268"/>
      <c r="CJ102" s="268"/>
      <c r="CK102" s="268"/>
      <c r="CL102" s="292"/>
      <c r="CM102" s="268"/>
      <c r="CN102" s="268"/>
      <c r="CO102" s="268"/>
      <c r="CP102" s="268"/>
      <c r="CQ102" s="292"/>
      <c r="CR102" s="268"/>
      <c r="CS102" s="268"/>
      <c r="CT102" s="268"/>
      <c r="CU102" s="268"/>
      <c r="CV102" s="292"/>
      <c r="CW102" s="292"/>
      <c r="CX102" s="292"/>
      <c r="CY102" s="292"/>
      <c r="CZ102" s="256"/>
      <c r="DG102" s="256"/>
    </row>
    <row r="103" spans="1:111" ht="12" customHeight="1">
      <c r="A103" s="268"/>
      <c r="B103" s="268"/>
      <c r="C103" s="291"/>
      <c r="D103" s="291"/>
      <c r="E103" s="265"/>
      <c r="F103" s="265"/>
      <c r="G103" s="265"/>
      <c r="H103" s="265"/>
      <c r="I103" s="265"/>
      <c r="J103" s="289"/>
      <c r="K103" s="265"/>
      <c r="L103" s="265"/>
      <c r="M103" s="265"/>
      <c r="N103" s="265"/>
      <c r="O103" s="289"/>
      <c r="P103" s="265"/>
      <c r="Q103" s="265"/>
      <c r="R103" s="265"/>
      <c r="S103" s="265"/>
      <c r="T103" s="289"/>
      <c r="U103" s="265"/>
      <c r="V103" s="265"/>
      <c r="W103" s="265"/>
      <c r="X103" s="265"/>
      <c r="Y103" s="289"/>
      <c r="Z103" s="265"/>
      <c r="AA103" s="265"/>
      <c r="AB103" s="265"/>
      <c r="AC103" s="265"/>
      <c r="AD103" s="289"/>
      <c r="AE103" s="265"/>
      <c r="AF103" s="265"/>
      <c r="AG103" s="265"/>
      <c r="AH103" s="265"/>
      <c r="AI103" s="289"/>
      <c r="AJ103" s="265"/>
      <c r="AK103" s="265"/>
      <c r="AL103" s="265"/>
      <c r="AM103" s="265"/>
      <c r="AN103" s="289"/>
      <c r="AO103" s="265"/>
      <c r="AP103" s="265"/>
      <c r="AQ103" s="265"/>
      <c r="AR103" s="265"/>
      <c r="AS103" s="289"/>
      <c r="AT103" s="265"/>
      <c r="AU103" s="265"/>
      <c r="AV103" s="265"/>
      <c r="AW103" s="265"/>
      <c r="AX103" s="289"/>
      <c r="AY103" s="265"/>
      <c r="AZ103" s="265"/>
      <c r="BA103" s="265"/>
      <c r="BB103" s="265"/>
      <c r="BC103" s="289"/>
      <c r="BD103" s="265"/>
      <c r="BE103" s="265"/>
      <c r="BF103" s="265"/>
      <c r="BG103" s="290"/>
      <c r="BH103" s="289"/>
      <c r="BI103" s="290"/>
      <c r="BJ103" s="265"/>
      <c r="BK103" s="265"/>
      <c r="BL103" s="265"/>
      <c r="BM103" s="289"/>
      <c r="BN103" s="265"/>
      <c r="BO103" s="265"/>
      <c r="BP103" s="265"/>
      <c r="BQ103" s="265"/>
      <c r="BR103" s="289"/>
      <c r="BS103" s="265"/>
      <c r="BT103" s="265"/>
      <c r="BU103" s="265"/>
      <c r="BV103" s="265"/>
      <c r="BW103" s="289"/>
      <c r="BX103" s="265"/>
      <c r="BY103" s="265"/>
      <c r="BZ103" s="265"/>
      <c r="CA103" s="265"/>
      <c r="CB103" s="289"/>
      <c r="CC103" s="265"/>
      <c r="CD103" s="265"/>
      <c r="CE103" s="265"/>
      <c r="CF103" s="265"/>
      <c r="CG103" s="289"/>
      <c r="CH103" s="265"/>
      <c r="CI103" s="265"/>
      <c r="CJ103" s="265"/>
      <c r="CK103" s="265"/>
      <c r="CL103" s="289"/>
      <c r="CM103" s="265"/>
      <c r="CN103" s="265"/>
      <c r="CO103" s="265"/>
      <c r="CP103" s="265"/>
      <c r="CQ103" s="289"/>
      <c r="CR103" s="265"/>
      <c r="CS103" s="265"/>
      <c r="CT103" s="265"/>
      <c r="CU103" s="265"/>
      <c r="CV103" s="289"/>
      <c r="CW103" s="289"/>
      <c r="CX103" s="289"/>
      <c r="CY103" s="289"/>
      <c r="CZ103" s="256"/>
      <c r="DG103" s="256"/>
    </row>
    <row r="104" spans="1:111" ht="12" customHeight="1">
      <c r="A104" s="268"/>
      <c r="B104" s="268"/>
      <c r="C104" s="284" t="s">
        <v>278</v>
      </c>
      <c r="D104" s="283"/>
      <c r="E104" s="268"/>
      <c r="F104" s="287">
        <v>0.27574334898278563</v>
      </c>
      <c r="G104" s="287">
        <v>0.2835799454101422</v>
      </c>
      <c r="H104" s="287">
        <v>0.30007733952049498</v>
      </c>
      <c r="I104" s="287">
        <v>0.28624205704152506</v>
      </c>
      <c r="J104" s="286">
        <v>0.28638603618854153</v>
      </c>
      <c r="K104" s="259">
        <v>0.27866886523759554</v>
      </c>
      <c r="L104" s="259">
        <v>0.29296235679214405</v>
      </c>
      <c r="M104" s="259">
        <v>0.28858381502890174</v>
      </c>
      <c r="N104" s="259">
        <v>0.26798866855524078</v>
      </c>
      <c r="O104" s="286">
        <v>0.27995841846793562</v>
      </c>
      <c r="P104" s="259">
        <v>0.29636021336680263</v>
      </c>
      <c r="Q104" s="259">
        <v>0.29137083560895688</v>
      </c>
      <c r="R104" s="259">
        <v>0.28236744759556104</v>
      </c>
      <c r="S104" s="259">
        <v>0.2726264726264726</v>
      </c>
      <c r="T104" s="286">
        <v>0.28537501772295476</v>
      </c>
      <c r="U104" s="259">
        <v>0.27394807520143238</v>
      </c>
      <c r="V104" s="259">
        <v>0.27869062901155328</v>
      </c>
      <c r="W104" s="259">
        <v>0.2817450339451848</v>
      </c>
      <c r="X104" s="259">
        <v>0.26525384257102935</v>
      </c>
      <c r="Y104" s="286">
        <v>0.27473094025907069</v>
      </c>
      <c r="Z104" s="259">
        <v>0.27423085820032383</v>
      </c>
      <c r="AA104" s="259">
        <v>0.27499480357514028</v>
      </c>
      <c r="AB104" s="259">
        <v>0.27165649427133526</v>
      </c>
      <c r="AC104" s="259">
        <v>0.27139662533035169</v>
      </c>
      <c r="AD104" s="286">
        <v>0.27304045934036586</v>
      </c>
      <c r="AE104" s="259">
        <v>0.27553949186775806</v>
      </c>
      <c r="AF104" s="259">
        <v>0.28353658536585363</v>
      </c>
      <c r="AG104" s="259">
        <v>0.27638697845025217</v>
      </c>
      <c r="AH104" s="259">
        <v>0.26835982594796198</v>
      </c>
      <c r="AI104" s="286">
        <v>0.27595084844938561</v>
      </c>
      <c r="AJ104" s="259">
        <f t="shared" ref="AJ104:BO104" si="89">AJ29</f>
        <v>0.2793217145548752</v>
      </c>
      <c r="AK104" s="259">
        <f t="shared" si="89"/>
        <v>0.2844911937377691</v>
      </c>
      <c r="AL104" s="259">
        <f t="shared" si="89"/>
        <v>0.27698758529967937</v>
      </c>
      <c r="AM104" s="259">
        <f t="shared" si="89"/>
        <v>0.25541565652615938</v>
      </c>
      <c r="AN104" s="286">
        <f t="shared" si="89"/>
        <v>0.27366242237972777</v>
      </c>
      <c r="AO104" s="259">
        <f t="shared" si="89"/>
        <v>0.26730737905196283</v>
      </c>
      <c r="AP104" s="259">
        <f t="shared" si="89"/>
        <v>0.27150460299194479</v>
      </c>
      <c r="AQ104" s="259">
        <f t="shared" si="89"/>
        <v>0.27375027050421985</v>
      </c>
      <c r="AR104" s="259">
        <f t="shared" si="89"/>
        <v>0.27083050156313715</v>
      </c>
      <c r="AS104" s="286">
        <f t="shared" si="89"/>
        <v>0.27095089391698168</v>
      </c>
      <c r="AT104" s="259">
        <f t="shared" si="89"/>
        <v>0.26651382719587335</v>
      </c>
      <c r="AU104" s="259">
        <f t="shared" si="89"/>
        <v>0.27019568489713996</v>
      </c>
      <c r="AV104" s="259">
        <f t="shared" si="89"/>
        <v>0.27510772290354657</v>
      </c>
      <c r="AW104" s="259">
        <f t="shared" si="89"/>
        <v>0.26689234935680434</v>
      </c>
      <c r="AX104" s="286">
        <f t="shared" si="89"/>
        <v>0.26975919139180349</v>
      </c>
      <c r="AY104" s="259">
        <f t="shared" si="89"/>
        <v>0.25346339863923273</v>
      </c>
      <c r="AZ104" s="259">
        <f t="shared" si="89"/>
        <v>0.26485451761102602</v>
      </c>
      <c r="BA104" s="259">
        <f t="shared" si="89"/>
        <v>0.2541139000530826</v>
      </c>
      <c r="BB104" s="259">
        <f t="shared" si="89"/>
        <v>0.26196437513412979</v>
      </c>
      <c r="BC104" s="286">
        <f t="shared" si="89"/>
        <v>0.25873152122079163</v>
      </c>
      <c r="BD104" s="259">
        <f t="shared" si="89"/>
        <v>0.27475083056478405</v>
      </c>
      <c r="BE104" s="259">
        <f t="shared" si="89"/>
        <v>0.27438052456165773</v>
      </c>
      <c r="BF104" s="259">
        <f t="shared" si="89"/>
        <v>0.29023494860499266</v>
      </c>
      <c r="BG104" s="259">
        <f t="shared" si="89"/>
        <v>0.25995694294940797</v>
      </c>
      <c r="BH104" s="286">
        <f t="shared" si="89"/>
        <v>0.2744910355998969</v>
      </c>
      <c r="BI104" s="259">
        <f t="shared" si="89"/>
        <v>0.27783476682711278</v>
      </c>
      <c r="BJ104" s="259">
        <f t="shared" si="89"/>
        <v>0.27652221991844633</v>
      </c>
      <c r="BK104" s="259">
        <f t="shared" si="89"/>
        <v>0.27376185458377239</v>
      </c>
      <c r="BL104" s="259">
        <f t="shared" si="89"/>
        <v>0.27585727203171734</v>
      </c>
      <c r="BM104" s="286">
        <f t="shared" si="89"/>
        <v>0.2759443268644402</v>
      </c>
      <c r="BN104" s="259">
        <f t="shared" si="89"/>
        <v>0.28076675257731959</v>
      </c>
      <c r="BO104" s="259">
        <f t="shared" si="89"/>
        <v>0.28050988628956325</v>
      </c>
      <c r="BP104" s="259">
        <f t="shared" ref="BP104:CV104" si="90">BP29</f>
        <v>0.26851482515622921</v>
      </c>
      <c r="BQ104" s="259">
        <f t="shared" si="90"/>
        <v>0.25281274706562062</v>
      </c>
      <c r="BR104" s="286">
        <f t="shared" si="90"/>
        <v>0.26954668330214182</v>
      </c>
      <c r="BS104" s="259">
        <f t="shared" si="90"/>
        <v>0.27321341759844436</v>
      </c>
      <c r="BT104" s="259">
        <f t="shared" si="90"/>
        <v>0.27827064850680994</v>
      </c>
      <c r="BU104" s="259">
        <f t="shared" si="90"/>
        <v>0.28728495666796017</v>
      </c>
      <c r="BV104" s="259">
        <f t="shared" si="90"/>
        <v>0.26702070529267857</v>
      </c>
      <c r="BW104" s="286">
        <f t="shared" si="90"/>
        <v>0.27632293296713822</v>
      </c>
      <c r="BX104" s="259">
        <f t="shared" si="90"/>
        <v>0.27500847744998302</v>
      </c>
      <c r="BY104" s="259">
        <f t="shared" si="90"/>
        <v>0.24780408353208075</v>
      </c>
      <c r="BZ104" s="259">
        <f t="shared" si="90"/>
        <v>0.2908213755566551</v>
      </c>
      <c r="CA104" s="259">
        <f t="shared" si="90"/>
        <v>0.27277006354436339</v>
      </c>
      <c r="CB104" s="286">
        <f t="shared" si="90"/>
        <v>0.27116743471582183</v>
      </c>
      <c r="CC104" s="259">
        <f t="shared" si="90"/>
        <v>0.28633633633633632</v>
      </c>
      <c r="CD104" s="259">
        <f t="shared" si="90"/>
        <v>0.28747363407498128</v>
      </c>
      <c r="CE104" s="259">
        <f t="shared" si="90"/>
        <v>0.28923701769654775</v>
      </c>
      <c r="CF104" s="259">
        <f t="shared" si="90"/>
        <v>0.25503496503496503</v>
      </c>
      <c r="CG104" s="286">
        <f t="shared" si="90"/>
        <v>0.27969501691152643</v>
      </c>
      <c r="CH104" s="259">
        <f t="shared" si="90"/>
        <v>0.27723291158194208</v>
      </c>
      <c r="CI104" s="259">
        <f t="shared" si="90"/>
        <v>0.27786741965846445</v>
      </c>
      <c r="CJ104" s="259">
        <f t="shared" si="90"/>
        <v>0.27950397101853142</v>
      </c>
      <c r="CK104" s="259">
        <f t="shared" si="90"/>
        <v>0.26850399072242309</v>
      </c>
      <c r="CL104" s="286">
        <f t="shared" si="90"/>
        <v>0.27573195444064008</v>
      </c>
      <c r="CM104" s="259">
        <f>CM29</f>
        <v>0.27057546145494027</v>
      </c>
      <c r="CN104" s="259">
        <f>CN29</f>
        <v>0.27356020942408377</v>
      </c>
      <c r="CO104" s="259">
        <f>CO29</f>
        <v>0.26683043420528485</v>
      </c>
      <c r="CP104" s="259">
        <f>CP29</f>
        <v>0.26423817655070614</v>
      </c>
      <c r="CQ104" s="286">
        <f t="shared" si="90"/>
        <v>0.26875914216596192</v>
      </c>
      <c r="CR104" s="259">
        <f>CR29</f>
        <v>0.2612167948629065</v>
      </c>
      <c r="CS104" s="259">
        <f>CS29</f>
        <v>0.26732064623664992</v>
      </c>
      <c r="CT104" s="259">
        <f>CT29</f>
        <v>0.27383780930948376</v>
      </c>
      <c r="CU104" s="259">
        <f>CU29</f>
        <v>0.26814312903556026</v>
      </c>
      <c r="CV104" s="286">
        <f t="shared" si="90"/>
        <v>0.26685313062531946</v>
      </c>
      <c r="CW104" s="286">
        <f>CW29</f>
        <v>0.27033601573197469</v>
      </c>
      <c r="CX104" s="286">
        <f>CX29</f>
        <v>0.27072696353757397</v>
      </c>
      <c r="CY104" s="286">
        <f>CY29</f>
        <v>0.27100032752100045</v>
      </c>
      <c r="CZ104" s="256"/>
      <c r="DG104" s="256"/>
    </row>
    <row r="105" spans="1:111" ht="12" customHeight="1">
      <c r="A105" s="268"/>
      <c r="B105" s="268"/>
      <c r="C105" s="284" t="s">
        <v>224</v>
      </c>
      <c r="D105" s="283"/>
      <c r="E105" s="268"/>
      <c r="F105" s="287"/>
      <c r="G105" s="287"/>
      <c r="H105" s="287"/>
      <c r="I105" s="287"/>
      <c r="J105" s="288"/>
      <c r="K105" s="259"/>
      <c r="L105" s="259"/>
      <c r="M105" s="259"/>
      <c r="N105" s="259"/>
      <c r="O105" s="288"/>
      <c r="P105" s="259"/>
      <c r="Q105" s="259"/>
      <c r="R105" s="259"/>
      <c r="S105" s="259"/>
      <c r="T105" s="288"/>
      <c r="U105" s="259"/>
      <c r="V105" s="259"/>
      <c r="W105" s="259"/>
      <c r="X105" s="259"/>
      <c r="Y105" s="288"/>
      <c r="Z105" s="259"/>
      <c r="AA105" s="259"/>
      <c r="AB105" s="259"/>
      <c r="AC105" s="259"/>
      <c r="AD105" s="288"/>
      <c r="AE105" s="259"/>
      <c r="AF105" s="259"/>
      <c r="AG105" s="259"/>
      <c r="AH105" s="259"/>
      <c r="AI105" s="288"/>
      <c r="AJ105" s="259"/>
      <c r="AK105" s="259"/>
      <c r="AL105" s="259"/>
      <c r="AM105" s="259"/>
      <c r="AN105" s="288"/>
      <c r="AO105" s="259"/>
      <c r="AP105" s="259"/>
      <c r="AQ105" s="259"/>
      <c r="AR105" s="259"/>
      <c r="AS105" s="288"/>
      <c r="AT105" s="259"/>
      <c r="AU105" s="259"/>
      <c r="AV105" s="259"/>
      <c r="AW105" s="259"/>
      <c r="AX105" s="288"/>
      <c r="AY105" s="259"/>
      <c r="AZ105" s="259"/>
      <c r="BA105" s="259"/>
      <c r="BB105" s="259"/>
      <c r="BC105" s="288"/>
      <c r="BD105" s="259"/>
      <c r="BE105" s="259"/>
      <c r="BF105" s="259"/>
      <c r="BG105" s="259"/>
      <c r="BH105" s="288"/>
      <c r="BI105" s="259"/>
      <c r="BJ105" s="259"/>
      <c r="BK105" s="259"/>
      <c r="BL105" s="259"/>
      <c r="BM105" s="288"/>
      <c r="BN105" s="259"/>
      <c r="BO105" s="259"/>
      <c r="BP105" s="259"/>
      <c r="BQ105" s="259"/>
      <c r="BR105" s="288"/>
      <c r="BS105" s="259"/>
      <c r="BT105" s="259"/>
      <c r="BU105" s="259"/>
      <c r="BV105" s="259"/>
      <c r="BW105" s="288"/>
      <c r="BX105" s="259"/>
      <c r="BY105" s="259"/>
      <c r="BZ105" s="259"/>
      <c r="CA105" s="259"/>
      <c r="CB105" s="288"/>
      <c r="CC105" s="259"/>
      <c r="CD105" s="259"/>
      <c r="CE105" s="259"/>
      <c r="CF105" s="259"/>
      <c r="CG105" s="288"/>
      <c r="CH105" s="259"/>
      <c r="CI105" s="259"/>
      <c r="CJ105" s="259"/>
      <c r="CK105" s="259"/>
      <c r="CL105" s="288"/>
      <c r="CM105" s="259"/>
      <c r="CN105" s="259"/>
      <c r="CO105" s="259"/>
      <c r="CP105" s="259"/>
      <c r="CQ105" s="288"/>
      <c r="CR105" s="259"/>
      <c r="CS105" s="259"/>
      <c r="CT105" s="259"/>
      <c r="CU105" s="259"/>
      <c r="CV105" s="288"/>
      <c r="CW105" s="288"/>
      <c r="CX105" s="288"/>
      <c r="CY105" s="288"/>
      <c r="CZ105" s="256"/>
      <c r="DG105" s="256"/>
    </row>
    <row r="106" spans="1:111" ht="12" customHeight="1">
      <c r="A106" s="268"/>
      <c r="B106" s="268"/>
      <c r="C106" s="284" t="s">
        <v>277</v>
      </c>
      <c r="D106" s="283"/>
      <c r="E106" s="268"/>
      <c r="F106" s="287">
        <v>0.10438184663536776</v>
      </c>
      <c r="G106" s="287">
        <v>0.12613130297371067</v>
      </c>
      <c r="H106" s="287">
        <v>0.13147718484145399</v>
      </c>
      <c r="I106" s="287">
        <v>0.11009309886212502</v>
      </c>
      <c r="J106" s="286">
        <v>0.11812060339314599</v>
      </c>
      <c r="K106" s="259">
        <v>0.11647429171038824</v>
      </c>
      <c r="L106" s="259">
        <v>0.13488816148390617</v>
      </c>
      <c r="M106" s="259">
        <v>0.11878612716763005</v>
      </c>
      <c r="N106" s="259">
        <v>0.10354107648725212</v>
      </c>
      <c r="O106" s="286">
        <v>0.11589059755529268</v>
      </c>
      <c r="P106" s="259">
        <v>0.12503922183871979</v>
      </c>
      <c r="Q106" s="259">
        <v>0.14077007099945385</v>
      </c>
      <c r="R106" s="259">
        <v>0.13727907932593506</v>
      </c>
      <c r="S106" s="259">
        <v>0.11462231462231462</v>
      </c>
      <c r="T106" s="286">
        <v>0.12962569119523606</v>
      </c>
      <c r="U106" s="259">
        <v>0.12488809310653537</v>
      </c>
      <c r="V106" s="259">
        <v>0.13260590500641847</v>
      </c>
      <c r="W106" s="259">
        <v>0.13175760623585617</v>
      </c>
      <c r="X106" s="259">
        <v>0.10794131346064276</v>
      </c>
      <c r="Y106" s="286">
        <v>0.12389637172133788</v>
      </c>
      <c r="Z106" s="259">
        <v>0.10640758732361785</v>
      </c>
      <c r="AA106" s="259">
        <v>0.12648098108501352</v>
      </c>
      <c r="AB106" s="259">
        <v>0.12099796552093373</v>
      </c>
      <c r="AC106" s="259">
        <v>0.10510266314291522</v>
      </c>
      <c r="AD106" s="286">
        <v>0.11937508345573508</v>
      </c>
      <c r="AE106" s="259">
        <v>0.11565855214202189</v>
      </c>
      <c r="AF106" s="259">
        <v>0.13351865136298421</v>
      </c>
      <c r="AG106" s="259">
        <v>0.12691425951398441</v>
      </c>
      <c r="AH106" s="259">
        <v>0.10842731551371992</v>
      </c>
      <c r="AI106" s="286">
        <v>0.12128730251609128</v>
      </c>
      <c r="AJ106" s="259">
        <f t="shared" ref="AJ106:BO106" si="91">AJ40</f>
        <v>0.12077249175694772</v>
      </c>
      <c r="AK106" s="259">
        <f t="shared" si="91"/>
        <v>0.14196020874103066</v>
      </c>
      <c r="AL106" s="259">
        <f t="shared" si="91"/>
        <v>0.13541067170928225</v>
      </c>
      <c r="AM106" s="259">
        <f t="shared" si="91"/>
        <v>0.11167592085712051</v>
      </c>
      <c r="AN106" s="286">
        <f t="shared" si="91"/>
        <v>0.127495870706057</v>
      </c>
      <c r="AO106" s="259">
        <f t="shared" si="91"/>
        <v>0.1224955204430689</v>
      </c>
      <c r="AP106" s="259">
        <f t="shared" si="91"/>
        <v>0.13413406214039125</v>
      </c>
      <c r="AQ106" s="259">
        <f t="shared" si="91"/>
        <v>0.13618985789511651</v>
      </c>
      <c r="AR106" s="259">
        <f t="shared" si="91"/>
        <v>0.1218567350822346</v>
      </c>
      <c r="AS106" s="286">
        <f t="shared" si="91"/>
        <v>0.12874595956829013</v>
      </c>
      <c r="AT106" s="259">
        <f t="shared" si="91"/>
        <v>0.119931222238143</v>
      </c>
      <c r="AU106" s="259">
        <f t="shared" si="91"/>
        <v>0.13164826894129453</v>
      </c>
      <c r="AV106" s="259">
        <f t="shared" si="91"/>
        <v>0.13583029499502816</v>
      </c>
      <c r="AW106" s="259">
        <f t="shared" si="91"/>
        <v>0.12207176709546377</v>
      </c>
      <c r="AX106" s="286">
        <f t="shared" si="91"/>
        <v>0.12760011379419983</v>
      </c>
      <c r="AY106" s="259">
        <f t="shared" si="91"/>
        <v>0.10078694974997951</v>
      </c>
      <c r="AZ106" s="259">
        <f t="shared" si="91"/>
        <v>0.12377488514548239</v>
      </c>
      <c r="BA106" s="259">
        <f t="shared" si="91"/>
        <v>0.13259270493668007</v>
      </c>
      <c r="BB106" s="259">
        <f t="shared" si="91"/>
        <v>0.12751269761785536</v>
      </c>
      <c r="BC106" s="286">
        <f t="shared" si="91"/>
        <v>0.12164043872198378</v>
      </c>
      <c r="BD106" s="259">
        <f t="shared" si="91"/>
        <v>0.12649501661129567</v>
      </c>
      <c r="BE106" s="259">
        <f t="shared" si="91"/>
        <v>0.1363570497029416</v>
      </c>
      <c r="BF106" s="259">
        <f t="shared" si="91"/>
        <v>0.14155653450807637</v>
      </c>
      <c r="BG106" s="259">
        <f t="shared" si="91"/>
        <v>0.12466361679224973</v>
      </c>
      <c r="BH106" s="286">
        <f t="shared" si="91"/>
        <v>0.13227552184957478</v>
      </c>
      <c r="BI106" s="259">
        <f t="shared" si="91"/>
        <v>0.13414345458849522</v>
      </c>
      <c r="BJ106" s="259">
        <f t="shared" si="91"/>
        <v>0.14859354481995993</v>
      </c>
      <c r="BK106" s="259">
        <f t="shared" si="91"/>
        <v>0.15110642781875658</v>
      </c>
      <c r="BL106" s="259">
        <f t="shared" si="91"/>
        <v>0.12832997148222855</v>
      </c>
      <c r="BM106" s="286">
        <f t="shared" si="91"/>
        <v>0.14072532912436775</v>
      </c>
      <c r="BN106" s="259">
        <f t="shared" si="91"/>
        <v>0.13796713917525774</v>
      </c>
      <c r="BO106" s="259">
        <f t="shared" si="91"/>
        <v>0.15781849786340263</v>
      </c>
      <c r="BP106" s="259">
        <f t="shared" ref="BP106:CV106" si="92">BP40</f>
        <v>0.13568674378407128</v>
      </c>
      <c r="BQ106" s="259">
        <f t="shared" si="92"/>
        <v>0.10648908350057776</v>
      </c>
      <c r="BR106" s="286">
        <f t="shared" si="92"/>
        <v>0.13315311568586677</v>
      </c>
      <c r="BS106" s="259">
        <f t="shared" si="92"/>
        <v>0.13931523022432113</v>
      </c>
      <c r="BT106" s="259">
        <f t="shared" si="92"/>
        <v>0.15662876421341998</v>
      </c>
      <c r="BU106" s="259">
        <f t="shared" si="92"/>
        <v>0.15302030785150691</v>
      </c>
      <c r="BV106" s="259">
        <f t="shared" si="92"/>
        <v>0.13902977504624381</v>
      </c>
      <c r="BW106" s="286">
        <f t="shared" si="92"/>
        <v>0.14704755213489604</v>
      </c>
      <c r="BX106" s="259">
        <f t="shared" si="92"/>
        <v>0.14228552051542895</v>
      </c>
      <c r="BY106" s="259">
        <f t="shared" si="92"/>
        <v>0.13699028561456575</v>
      </c>
      <c r="BZ106" s="259">
        <f t="shared" si="92"/>
        <v>0.16984166254329539</v>
      </c>
      <c r="CA106" s="259">
        <f t="shared" si="92"/>
        <v>0.15121204989409273</v>
      </c>
      <c r="CB106" s="286">
        <f t="shared" si="92"/>
        <v>0.15006144393241166</v>
      </c>
      <c r="CC106" s="259">
        <f t="shared" si="92"/>
        <v>0.16381381381381382</v>
      </c>
      <c r="CD106" s="259">
        <f t="shared" si="92"/>
        <v>0.16479553650404843</v>
      </c>
      <c r="CE106" s="259">
        <f t="shared" si="92"/>
        <v>0.16695677400638237</v>
      </c>
      <c r="CF106" s="259">
        <f t="shared" si="92"/>
        <v>2.7412587412587414E-2</v>
      </c>
      <c r="CG106" s="286">
        <f t="shared" si="92"/>
        <v>0.13022931181704223</v>
      </c>
      <c r="CH106" s="259">
        <f t="shared" si="92"/>
        <v>0.14561653065808192</v>
      </c>
      <c r="CI106" s="259">
        <f t="shared" si="92"/>
        <v>0.15711980637353773</v>
      </c>
      <c r="CJ106" s="259">
        <f t="shared" si="92"/>
        <v>0.15682039849519297</v>
      </c>
      <c r="CK106" s="259">
        <f t="shared" si="92"/>
        <v>0.11180844532369193</v>
      </c>
      <c r="CL106" s="286">
        <f t="shared" si="92"/>
        <v>0.1427573195444064</v>
      </c>
      <c r="CM106" s="259">
        <f>CM40</f>
        <v>0.16409699601882013</v>
      </c>
      <c r="CN106" s="259">
        <f>CN40</f>
        <v>0.14986910994764399</v>
      </c>
      <c r="CO106" s="259">
        <f>CO40</f>
        <v>0.14360642676935334</v>
      </c>
      <c r="CP106" s="259">
        <f>CP40</f>
        <v>0.12824682471057972</v>
      </c>
      <c r="CQ106" s="286">
        <f t="shared" si="92"/>
        <v>0.14600914545541901</v>
      </c>
      <c r="CR106" s="259">
        <f>CR40</f>
        <v>0.13019782547090683</v>
      </c>
      <c r="CS106" s="259">
        <f>CS40</f>
        <v>0.14202045217314407</v>
      </c>
      <c r="CT106" s="259">
        <f>CT40</f>
        <v>0.14978114132695769</v>
      </c>
      <c r="CU106" s="259">
        <f>CU40</f>
        <v>0.13342600832467663</v>
      </c>
      <c r="CV106" s="286">
        <f t="shared" si="92"/>
        <v>0.13856046211306394</v>
      </c>
      <c r="CW106" s="286">
        <f>CW40</f>
        <v>0.14781651929063455</v>
      </c>
      <c r="CX106" s="286">
        <f>CX40</f>
        <v>0.15220746709623387</v>
      </c>
      <c r="CY106" s="286">
        <f>CY40</f>
        <v>0.15248083107966034</v>
      </c>
      <c r="CZ106" s="256"/>
      <c r="DG106" s="256"/>
    </row>
    <row r="107" spans="1:111" ht="12" customHeight="1">
      <c r="A107" s="268"/>
      <c r="B107" s="268"/>
      <c r="C107" s="284" t="s">
        <v>276</v>
      </c>
      <c r="D107" s="283"/>
      <c r="E107" s="268"/>
      <c r="F107" s="287">
        <v>1.1545682006804909E-4</v>
      </c>
      <c r="G107" s="287">
        <v>1.4337583905850806E-4</v>
      </c>
      <c r="H107" s="287">
        <v>1.5102520537601014E-4</v>
      </c>
      <c r="I107" s="287">
        <v>6.1959965269490485E-5</v>
      </c>
      <c r="J107" s="286">
        <v>6.8013392017454766E-2</v>
      </c>
      <c r="K107" s="287">
        <v>6.5957127866886525E-2</v>
      </c>
      <c r="L107" s="287">
        <v>8.0196399345335512E-2</v>
      </c>
      <c r="M107" s="287">
        <v>8.164739884393063E-2</v>
      </c>
      <c r="N107" s="287">
        <v>6.1048158640226627E-2</v>
      </c>
      <c r="O107" s="286">
        <v>6.9469835466179158E-2</v>
      </c>
      <c r="P107" s="287">
        <v>7.3266394728584872E-2</v>
      </c>
      <c r="Q107" s="287">
        <v>8.5199344620425999E-2</v>
      </c>
      <c r="R107" s="287">
        <v>8.3847102342786681E-2</v>
      </c>
      <c r="S107" s="287">
        <v>7.3873873873873869E-2</v>
      </c>
      <c r="T107" s="286">
        <v>7.9257053735998867E-2</v>
      </c>
      <c r="U107" s="287">
        <v>7.4903014025663975E-2</v>
      </c>
      <c r="V107" s="287">
        <v>8.1129653401797175E-2</v>
      </c>
      <c r="W107" s="287">
        <v>8.0336937389992452E-2</v>
      </c>
      <c r="X107" s="287">
        <v>6.8467629250116444E-2</v>
      </c>
      <c r="Y107" s="286">
        <v>7.6077850099890446E-2</v>
      </c>
      <c r="Z107" s="287">
        <v>6.3728891973166779E-2</v>
      </c>
      <c r="AA107" s="287">
        <v>8.4909582207441284E-2</v>
      </c>
      <c r="AB107" s="287">
        <v>7.4204946996466431E-2</v>
      </c>
      <c r="AC107" s="287">
        <v>6.2207765806058142E-2</v>
      </c>
      <c r="AD107" s="286">
        <v>7.4455868607290698E-2</v>
      </c>
      <c r="AE107" s="287">
        <v>6.9203784415860531E-2</v>
      </c>
      <c r="AF107" s="287">
        <v>8.7069583931133426E-2</v>
      </c>
      <c r="AG107" s="287">
        <v>7.5286565795506646E-2</v>
      </c>
      <c r="AH107" s="287">
        <v>6.4026285409821512E-2</v>
      </c>
      <c r="AI107" s="286">
        <v>7.4055002925687535E-2</v>
      </c>
      <c r="AJ107" s="287">
        <f t="shared" ref="AJ107:BO107" si="93">IF(ISERROR(AJ81/AJ$21),"-",AJ81/AJ$21)</f>
        <v>7.2350447479981164E-2</v>
      </c>
      <c r="AK107" s="287">
        <f t="shared" si="93"/>
        <v>8.4178897586431822E-2</v>
      </c>
      <c r="AL107" s="287">
        <f t="shared" si="93"/>
        <v>8.3541889336512368E-2</v>
      </c>
      <c r="AM107" s="287">
        <f t="shared" si="93"/>
        <v>7.1549229686400248E-2</v>
      </c>
      <c r="AN107" s="286">
        <f t="shared" si="93"/>
        <v>7.8015220891091183E-2</v>
      </c>
      <c r="AO107" s="287">
        <f t="shared" si="93"/>
        <v>7.2366020524515393E-2</v>
      </c>
      <c r="AP107" s="287">
        <f t="shared" si="93"/>
        <v>8.3990218642117379E-2</v>
      </c>
      <c r="AQ107" s="287">
        <f t="shared" si="93"/>
        <v>8.3491307797734976E-2</v>
      </c>
      <c r="AR107" s="287">
        <f t="shared" si="93"/>
        <v>7.4715237189071623E-2</v>
      </c>
      <c r="AS107" s="286">
        <f t="shared" si="93"/>
        <v>7.8765317116820971E-2</v>
      </c>
      <c r="AT107" s="287">
        <f t="shared" si="93"/>
        <v>7.3040550222094852E-2</v>
      </c>
      <c r="AU107" s="287">
        <f t="shared" si="93"/>
        <v>8.3602609131961866E-2</v>
      </c>
      <c r="AV107" s="287">
        <f t="shared" si="93"/>
        <v>8.6014584023864762E-2</v>
      </c>
      <c r="AW107" s="287">
        <f t="shared" si="93"/>
        <v>7.3731888964116449E-2</v>
      </c>
      <c r="AX107" s="286">
        <f t="shared" si="93"/>
        <v>7.9304683970078824E-2</v>
      </c>
      <c r="AY107" s="287">
        <f t="shared" si="93"/>
        <v>6.625338142470695E-2</v>
      </c>
      <c r="AZ107" s="287">
        <f t="shared" si="93"/>
        <v>8.5930321592649309E-2</v>
      </c>
      <c r="BA107" s="287">
        <f t="shared" si="93"/>
        <v>8.9337984378554627E-2</v>
      </c>
      <c r="BB107" s="287">
        <f t="shared" si="93"/>
        <v>8.2115315830889199E-2</v>
      </c>
      <c r="BC107" s="286">
        <f t="shared" si="93"/>
        <v>8.1191511683357184E-2</v>
      </c>
      <c r="BD107" s="287">
        <f t="shared" si="93"/>
        <v>7.5664451827242518E-2</v>
      </c>
      <c r="BE107" s="287">
        <f t="shared" si="93"/>
        <v>8.8465439791334588E-2</v>
      </c>
      <c r="BF107" s="287">
        <f t="shared" si="93"/>
        <v>9.3979441997063137E-2</v>
      </c>
      <c r="BG107" s="287">
        <f t="shared" si="93"/>
        <v>8.2615715823466093E-2</v>
      </c>
      <c r="BH107" s="286">
        <f t="shared" si="93"/>
        <v>8.5410300776791959E-2</v>
      </c>
      <c r="BI107" s="287">
        <f t="shared" si="93"/>
        <v>7.8197743233646339E-2</v>
      </c>
      <c r="BJ107" s="287">
        <f t="shared" si="93"/>
        <v>8.8257654295390148E-2</v>
      </c>
      <c r="BK107" s="287">
        <f t="shared" si="93"/>
        <v>9.1675447839831406E-2</v>
      </c>
      <c r="BL107" s="287">
        <f t="shared" si="93"/>
        <v>8.812686930514016E-2</v>
      </c>
      <c r="BM107" s="286">
        <f t="shared" si="93"/>
        <v>8.6809914983678307E-2</v>
      </c>
      <c r="BN107" s="287">
        <f t="shared" si="93"/>
        <v>8.0621778350515469E-2</v>
      </c>
      <c r="BO107" s="287">
        <f t="shared" si="93"/>
        <v>0.10342579850800318</v>
      </c>
      <c r="BP107" s="287">
        <f t="shared" ref="BP107:CV107" si="94">IF(ISERROR(BP81/BP$21),"-",BP81/BP$21)</f>
        <v>8.2834729424278691E-2</v>
      </c>
      <c r="BQ107" s="287">
        <f t="shared" si="94"/>
        <v>7.1458979504956513E-2</v>
      </c>
      <c r="BR107" s="286">
        <f t="shared" si="94"/>
        <v>8.4043806751230327E-2</v>
      </c>
      <c r="BS107" s="287">
        <f t="shared" si="94"/>
        <v>8.146399055489964E-2</v>
      </c>
      <c r="BT107" s="287">
        <f t="shared" si="94"/>
        <v>9.3839810071223287E-2</v>
      </c>
      <c r="BU107" s="287">
        <f t="shared" si="94"/>
        <v>9.6041909196740397E-2</v>
      </c>
      <c r="BV107" s="287">
        <f t="shared" si="94"/>
        <v>9.1174891103287789E-2</v>
      </c>
      <c r="BW107" s="286">
        <f t="shared" si="94"/>
        <v>9.0824897007632618E-2</v>
      </c>
      <c r="BX107" s="287">
        <f t="shared" si="94"/>
        <v>7.6636147846727704E-2</v>
      </c>
      <c r="BY107" s="287">
        <f t="shared" si="94"/>
        <v>9.7667384096329468E-2</v>
      </c>
      <c r="BZ107" s="287">
        <f t="shared" si="94"/>
        <v>0.12679366650173182</v>
      </c>
      <c r="CA107" s="287">
        <f t="shared" si="94"/>
        <v>0.10061190868439633</v>
      </c>
      <c r="CB107" s="286">
        <f t="shared" si="94"/>
        <v>0.1009062980030722</v>
      </c>
      <c r="CC107" s="287">
        <f t="shared" si="94"/>
        <v>9.7878378378378372E-2</v>
      </c>
      <c r="CD107" s="287">
        <f t="shared" si="94"/>
        <v>0.10282778798394231</v>
      </c>
      <c r="CE107" s="287">
        <f t="shared" si="94"/>
        <v>0.10723787678683794</v>
      </c>
      <c r="CF107" s="287">
        <f t="shared" si="94"/>
        <v>9.0769230769230769E-2</v>
      </c>
      <c r="CG107" s="286">
        <f t="shared" si="94"/>
        <v>9.9779347611840763E-2</v>
      </c>
      <c r="CH107" s="287">
        <f t="shared" si="94"/>
        <v>9.1453919293254471E-2</v>
      </c>
      <c r="CI107" s="287">
        <f t="shared" si="94"/>
        <v>0.10162531934919995</v>
      </c>
      <c r="CJ107" s="287">
        <f t="shared" si="94"/>
        <v>0.10168733454089451</v>
      </c>
      <c r="CK107" s="287">
        <f t="shared" si="94"/>
        <v>8.64315437615117E-2</v>
      </c>
      <c r="CL107" s="286">
        <f t="shared" si="94"/>
        <v>9.5376720704353296E-2</v>
      </c>
      <c r="CM107" s="287">
        <f>IF(ISERROR(CM81/CM$21),"-",CM81/CM$21)</f>
        <v>8.5812522620340212E-2</v>
      </c>
      <c r="CN107" s="287">
        <f>IF(ISERROR(CN81/CN$21),"-",CN81/CN$21)</f>
        <v>9.6786649214659695E-2</v>
      </c>
      <c r="CO107" s="287">
        <f>IF(ISERROR(CO81/CO$21),"-",CO81/CO$21)</f>
        <v>9.1476563537378833E-2</v>
      </c>
      <c r="CP107" s="287">
        <f>IF(ISERROR(CP81/CP$21),"-",CP81/CP$21)</f>
        <v>8.1792413197849009E-2</v>
      </c>
      <c r="CQ107" s="286">
        <f t="shared" si="94"/>
        <v>8.9026910479187218E-2</v>
      </c>
      <c r="CR107" s="287">
        <f>IF(ISERROR(CR81/CR$21),"-",CR81/CR$21)</f>
        <v>8.247010584295307E-2</v>
      </c>
      <c r="CS107" s="287">
        <f>IF(ISERROR(CS81/CS$21),"-",CS81/CS$21)</f>
        <v>9.1010545894556497E-2</v>
      </c>
      <c r="CT107" s="287">
        <f>IF(ISERROR(CT81/CT$21),"-",CT81/CT$21)</f>
        <v>9.5067827513158884E-2</v>
      </c>
      <c r="CU107" s="287">
        <f>IF(ISERROR(CU81/CU$21),"-",CU81/CU$21)</f>
        <v>8.4288467964130143E-2</v>
      </c>
      <c r="CV107" s="286">
        <f t="shared" si="94"/>
        <v>8.8029846510062973E-2</v>
      </c>
      <c r="CW107" s="286">
        <f>IF(ISERROR(CW81/CW$21),"-",CW81/CW$21)</f>
        <v>9.5698350891943437E-2</v>
      </c>
      <c r="CX107" s="286">
        <f>IF(ISERROR(CX81/CX$21),"-",CX81/CX$21)</f>
        <v>0.10057623598142636</v>
      </c>
      <c r="CY107" s="286">
        <f>IF(ISERROR(CY81/CY$21),"-",CY81/CY$21)</f>
        <v>0.10211113638252943</v>
      </c>
      <c r="CZ107" s="256"/>
      <c r="DG107" s="256"/>
    </row>
    <row r="108" spans="1:111" ht="12" customHeight="1">
      <c r="A108" s="268"/>
      <c r="B108" s="268"/>
      <c r="C108" s="284"/>
      <c r="D108" s="283"/>
      <c r="E108" s="268"/>
      <c r="F108" s="259"/>
      <c r="G108" s="259"/>
      <c r="H108" s="259"/>
      <c r="I108" s="259"/>
      <c r="J108" s="285"/>
      <c r="K108" s="259"/>
      <c r="L108" s="259"/>
      <c r="M108" s="259"/>
      <c r="N108" s="259"/>
      <c r="O108" s="285"/>
      <c r="P108" s="259"/>
      <c r="Q108" s="259"/>
      <c r="R108" s="259"/>
      <c r="S108" s="259"/>
      <c r="T108" s="285"/>
      <c r="U108" s="259"/>
      <c r="V108" s="259"/>
      <c r="W108" s="259"/>
      <c r="X108" s="259"/>
      <c r="Y108" s="285"/>
      <c r="Z108" s="259"/>
      <c r="AA108" s="259"/>
      <c r="AB108" s="259"/>
      <c r="AC108" s="259"/>
      <c r="AD108" s="285"/>
      <c r="AE108" s="259"/>
      <c r="AF108" s="259"/>
      <c r="AG108" s="259"/>
      <c r="AH108" s="259"/>
      <c r="AI108" s="285"/>
      <c r="AJ108" s="259"/>
      <c r="AK108" s="259"/>
      <c r="AL108" s="259"/>
      <c r="AM108" s="259"/>
      <c r="AN108" s="285"/>
      <c r="AO108" s="259"/>
      <c r="AP108" s="259"/>
      <c r="AQ108" s="259"/>
      <c r="AR108" s="259"/>
      <c r="AS108" s="285"/>
      <c r="AT108" s="259"/>
      <c r="AU108" s="259"/>
      <c r="AV108" s="259"/>
      <c r="AW108" s="259"/>
      <c r="AX108" s="285"/>
      <c r="AY108" s="259"/>
      <c r="AZ108" s="259"/>
      <c r="BA108" s="259"/>
      <c r="BB108" s="259"/>
      <c r="BC108" s="285"/>
      <c r="BD108" s="259"/>
      <c r="BE108" s="259"/>
      <c r="BF108" s="259"/>
      <c r="BG108" s="259"/>
      <c r="BH108" s="285"/>
      <c r="BI108" s="259"/>
      <c r="BJ108" s="259"/>
      <c r="BK108" s="259"/>
      <c r="BL108" s="259"/>
      <c r="BM108" s="285"/>
      <c r="BN108" s="259"/>
      <c r="BO108" s="259"/>
      <c r="BP108" s="259"/>
      <c r="BQ108" s="259"/>
      <c r="BR108" s="285"/>
      <c r="BS108" s="259"/>
      <c r="BT108" s="259"/>
      <c r="BU108" s="259"/>
      <c r="BV108" s="259"/>
      <c r="BW108" s="285"/>
      <c r="BX108" s="259"/>
      <c r="BY108" s="259"/>
      <c r="BZ108" s="259"/>
      <c r="CA108" s="259"/>
      <c r="CB108" s="285"/>
      <c r="CC108" s="259"/>
      <c r="CD108" s="259"/>
      <c r="CE108" s="259"/>
      <c r="CF108" s="259"/>
      <c r="CG108" s="285"/>
      <c r="CH108" s="259"/>
      <c r="CI108" s="259"/>
      <c r="CJ108" s="259"/>
      <c r="CK108" s="259"/>
      <c r="CL108" s="285"/>
      <c r="CM108" s="259"/>
      <c r="CN108" s="259"/>
      <c r="CO108" s="259"/>
      <c r="CP108" s="259"/>
      <c r="CQ108" s="285"/>
      <c r="CR108" s="259"/>
      <c r="CS108" s="259"/>
      <c r="CT108" s="259"/>
      <c r="CU108" s="259"/>
      <c r="CV108" s="285"/>
      <c r="CW108" s="285"/>
      <c r="CX108" s="285"/>
      <c r="CY108" s="285"/>
      <c r="CZ108" s="256"/>
      <c r="DG108" s="256"/>
    </row>
    <row r="109" spans="1:111" ht="12" customHeight="1">
      <c r="A109" s="268"/>
      <c r="B109" s="268"/>
      <c r="C109" s="284" t="s">
        <v>275</v>
      </c>
      <c r="D109" s="283"/>
      <c r="E109" s="268"/>
      <c r="F109" s="282">
        <v>10.220930232558139</v>
      </c>
      <c r="G109" s="282">
        <v>11.774193548387096</v>
      </c>
      <c r="H109" s="282">
        <v>10.927835051546392</v>
      </c>
      <c r="I109" s="282">
        <v>9.1037735849056602</v>
      </c>
      <c r="J109" s="281">
        <v>10.468586387434556</v>
      </c>
      <c r="K109" s="282">
        <v>9.3364485981308416</v>
      </c>
      <c r="L109" s="282">
        <v>11.137614678899082</v>
      </c>
      <c r="M109" s="282">
        <v>10.42</v>
      </c>
      <c r="N109" s="282">
        <v>8.8090909090909086</v>
      </c>
      <c r="O109" s="281">
        <v>9.713615023474178</v>
      </c>
      <c r="P109" s="282">
        <v>9.8181818181818183</v>
      </c>
      <c r="Q109" s="282">
        <v>12.708333333333334</v>
      </c>
      <c r="R109" s="282">
        <v>12.634408602150538</v>
      </c>
      <c r="S109" s="282">
        <v>10.935483870967742</v>
      </c>
      <c r="T109" s="281">
        <v>11.506561679790027</v>
      </c>
      <c r="U109" s="282">
        <v>11.175824175824175</v>
      </c>
      <c r="V109" s="282">
        <v>13.118279569892474</v>
      </c>
      <c r="W109" s="282">
        <v>13.168421052631579</v>
      </c>
      <c r="X109" s="282">
        <v>12.041666666666666</v>
      </c>
      <c r="Y109" s="281">
        <v>12.869333333333334</v>
      </c>
      <c r="Z109" s="282">
        <v>16.563218390804597</v>
      </c>
      <c r="AA109" s="282">
        <v>17.857142857142858</v>
      </c>
      <c r="AB109" s="282">
        <v>15.932584269662922</v>
      </c>
      <c r="AC109" s="282">
        <v>14.864583333333334</v>
      </c>
      <c r="AD109" s="281">
        <v>16.749311294765839</v>
      </c>
      <c r="AE109" s="282">
        <v>13.64</v>
      </c>
      <c r="AF109" s="282">
        <v>14.966666666666667</v>
      </c>
      <c r="AG109" s="282">
        <v>12.585185185185185</v>
      </c>
      <c r="AH109" s="282">
        <v>11.006993006993007</v>
      </c>
      <c r="AI109" s="281">
        <v>12.917670682730924</v>
      </c>
      <c r="AJ109" s="282">
        <f t="shared" ref="AJ109:BO109" si="95">AJ51/-AJ61</f>
        <v>10.753521126760564</v>
      </c>
      <c r="AK109" s="282">
        <f t="shared" si="95"/>
        <v>12.509677419354839</v>
      </c>
      <c r="AL109" s="282">
        <f t="shared" si="95"/>
        <v>12.384615384615385</v>
      </c>
      <c r="AM109" s="282">
        <f t="shared" si="95"/>
        <v>11.57516339869281</v>
      </c>
      <c r="AN109" s="281">
        <f t="shared" si="95"/>
        <v>11.830033003300331</v>
      </c>
      <c r="AO109" s="282">
        <f t="shared" si="95"/>
        <v>11.72</v>
      </c>
      <c r="AP109" s="282">
        <f t="shared" si="95"/>
        <v>13.294478527607362</v>
      </c>
      <c r="AQ109" s="282">
        <f t="shared" si="95"/>
        <v>12.351955307262569</v>
      </c>
      <c r="AR109" s="282">
        <f t="shared" si="95"/>
        <v>12.178160919540231</v>
      </c>
      <c r="AS109" s="281">
        <f t="shared" si="95"/>
        <v>12.394894894894895</v>
      </c>
      <c r="AT109" s="282">
        <f t="shared" si="95"/>
        <v>12.284848484848485</v>
      </c>
      <c r="AU109" s="282">
        <f t="shared" si="95"/>
        <v>14.3125</v>
      </c>
      <c r="AV109" s="282">
        <f t="shared" si="95"/>
        <v>13.734463276836157</v>
      </c>
      <c r="AW109" s="282">
        <f t="shared" si="95"/>
        <v>12.555555555555555</v>
      </c>
      <c r="AX109" s="281">
        <f t="shared" si="95"/>
        <v>13.242380261248186</v>
      </c>
      <c r="AY109" s="282">
        <f t="shared" si="95"/>
        <v>9.803751803751803</v>
      </c>
      <c r="AZ109" s="282">
        <f t="shared" si="95"/>
        <v>12.373751783166904</v>
      </c>
      <c r="BA109" s="282">
        <f t="shared" si="95"/>
        <v>13.203566121842496</v>
      </c>
      <c r="BB109" s="282">
        <f t="shared" si="95"/>
        <v>12.361379310344828</v>
      </c>
      <c r="BC109" s="281">
        <f t="shared" si="95"/>
        <v>11.932664756446991</v>
      </c>
      <c r="BD109" s="282">
        <f t="shared" si="95"/>
        <v>9.7309644670050766</v>
      </c>
      <c r="BE109" s="282">
        <f t="shared" si="95"/>
        <v>13.605714285714285</v>
      </c>
      <c r="BF109" s="282">
        <f t="shared" si="95"/>
        <v>13.171122994652407</v>
      </c>
      <c r="BG109" s="282">
        <f t="shared" si="95"/>
        <v>12.539267015706807</v>
      </c>
      <c r="BH109" s="281">
        <f t="shared" si="95"/>
        <v>12.208</v>
      </c>
      <c r="BI109" s="282">
        <f t="shared" si="95"/>
        <v>12.325301204819278</v>
      </c>
      <c r="BJ109" s="282">
        <f t="shared" si="95"/>
        <v>14.975609756097562</v>
      </c>
      <c r="BK109" s="282">
        <f t="shared" si="95"/>
        <v>15.096385542168674</v>
      </c>
      <c r="BL109" s="282">
        <f t="shared" si="95"/>
        <v>12.871508379888269</v>
      </c>
      <c r="BM109" s="281">
        <f t="shared" si="95"/>
        <v>13.795555555555556</v>
      </c>
      <c r="BN109" s="282">
        <f t="shared" si="95"/>
        <v>12.451219512195122</v>
      </c>
      <c r="BO109" s="282">
        <f t="shared" si="95"/>
        <v>12.98421052631579</v>
      </c>
      <c r="BP109" s="282">
        <f t="shared" ref="BP109:CV109" si="96">BP51/-BP61</f>
        <v>9.8346153846153843</v>
      </c>
      <c r="BQ109" s="282">
        <f t="shared" si="96"/>
        <v>9.1433691756272406</v>
      </c>
      <c r="BR109" s="281">
        <f t="shared" si="96"/>
        <v>10.769316909294513</v>
      </c>
      <c r="BS109" s="282">
        <f t="shared" si="96"/>
        <v>9.6627450980392151</v>
      </c>
      <c r="BT109" s="282">
        <f t="shared" si="96"/>
        <v>10.819852941176471</v>
      </c>
      <c r="BU109" s="282">
        <f t="shared" si="96"/>
        <v>11.879032258064516</v>
      </c>
      <c r="BV109" s="282">
        <f t="shared" si="96"/>
        <v>11.332046332046332</v>
      </c>
      <c r="BW109" s="281">
        <f t="shared" si="96"/>
        <v>10.916827852998066</v>
      </c>
      <c r="BX109" s="282">
        <f t="shared" si="96"/>
        <v>11.069958847736626</v>
      </c>
      <c r="BY109" s="282">
        <f t="shared" si="96"/>
        <v>13.085714285714285</v>
      </c>
      <c r="BZ109" s="282">
        <f t="shared" si="96"/>
        <v>13.413502109704641</v>
      </c>
      <c r="CA109" s="282">
        <f t="shared" si="96"/>
        <v>8.5822102425876015</v>
      </c>
      <c r="CB109" s="281">
        <f t="shared" si="96"/>
        <v>11.18521897810219</v>
      </c>
      <c r="CC109" s="282">
        <f t="shared" si="96"/>
        <v>10.904216314229254</v>
      </c>
      <c r="CD109" s="282">
        <f t="shared" si="96"/>
        <v>12.077427462701673</v>
      </c>
      <c r="CE109" s="282">
        <f t="shared" si="96"/>
        <v>12.829596412556054</v>
      </c>
      <c r="CF109" s="282">
        <f t="shared" si="96"/>
        <v>10.995798319327731</v>
      </c>
      <c r="CG109" s="281">
        <f t="shared" si="96"/>
        <v>11.685381355932204</v>
      </c>
      <c r="CH109" s="282">
        <f t="shared" si="96"/>
        <v>10.261410788381744</v>
      </c>
      <c r="CI109" s="282">
        <f t="shared" si="96"/>
        <v>11.931451612903226</v>
      </c>
      <c r="CJ109" s="282">
        <f t="shared" si="96"/>
        <v>11.412698412698413</v>
      </c>
      <c r="CK109" s="282">
        <f t="shared" si="96"/>
        <v>6.3476190476190473</v>
      </c>
      <c r="CL109" s="281">
        <f t="shared" si="96"/>
        <v>9.4521963824289408</v>
      </c>
      <c r="CM109" s="282">
        <f>CM51/-CM61</f>
        <v>10.385593220338983</v>
      </c>
      <c r="CN109" s="282">
        <f>CN51/-CN61</f>
        <v>11.46215139442231</v>
      </c>
      <c r="CO109" s="282">
        <f>CO51/-CO61</f>
        <v>11.242045399261949</v>
      </c>
      <c r="CP109" s="282">
        <f>CP51/-CP61</f>
        <v>10.059208547413252</v>
      </c>
      <c r="CQ109" s="281">
        <f t="shared" si="96"/>
        <v>10.78981143003695</v>
      </c>
      <c r="CR109" s="282">
        <f>CR51/-CR61</f>
        <v>9.8151723681934158</v>
      </c>
      <c r="CS109" s="282">
        <f>CS51/-CS61</f>
        <v>10.973083408205852</v>
      </c>
      <c r="CT109" s="282">
        <f>CT51/-CT61</f>
        <v>10.736126872609272</v>
      </c>
      <c r="CU109" s="282">
        <f>CU51/-CU61</f>
        <v>9.7288179673073341</v>
      </c>
      <c r="CV109" s="281">
        <f t="shared" si="96"/>
        <v>10.316250630382411</v>
      </c>
      <c r="CW109" s="281">
        <f>CW51/-CW61</f>
        <v>10.840723502207744</v>
      </c>
      <c r="CX109" s="281">
        <f>CX51/-CX61</f>
        <v>11.484025787007313</v>
      </c>
      <c r="CY109" s="281">
        <f>CY51/-CY61</f>
        <v>11.84209534658665</v>
      </c>
      <c r="CZ109" s="256"/>
      <c r="DG109" s="256"/>
    </row>
    <row r="110" spans="1:111" ht="12" customHeight="1">
      <c r="A110" s="268"/>
      <c r="B110" s="116"/>
      <c r="C110" s="280" t="s">
        <v>274</v>
      </c>
      <c r="D110" s="279"/>
      <c r="E110" s="116"/>
      <c r="F110" s="278">
        <v>7.7558139534883717</v>
      </c>
      <c r="G110" s="278">
        <v>9.4408602150537639</v>
      </c>
      <c r="H110" s="278">
        <v>8.7628865979381452</v>
      </c>
      <c r="I110" s="278">
        <v>7.0283018867924527</v>
      </c>
      <c r="J110" s="277">
        <v>8.2198952879581153</v>
      </c>
      <c r="K110" s="278">
        <v>7.2616822429906538</v>
      </c>
      <c r="L110" s="278">
        <v>9.0733944954128436</v>
      </c>
      <c r="M110" s="278">
        <v>8.2200000000000006</v>
      </c>
      <c r="N110" s="278">
        <v>6.6454545454545455</v>
      </c>
      <c r="O110" s="277">
        <v>7.589201877934272</v>
      </c>
      <c r="P110" s="278">
        <v>8.0505050505050502</v>
      </c>
      <c r="Q110" s="278">
        <v>10.739583333333334</v>
      </c>
      <c r="R110" s="278">
        <v>10.774193548387096</v>
      </c>
      <c r="S110" s="278">
        <v>8.89247311827957</v>
      </c>
      <c r="T110" s="277">
        <v>9.5984251968503944</v>
      </c>
      <c r="U110" s="278">
        <v>9.1978021978021971</v>
      </c>
      <c r="V110" s="278">
        <v>11.10752688172043</v>
      </c>
      <c r="W110" s="278">
        <v>11.031578947368422</v>
      </c>
      <c r="X110" s="278">
        <v>9.65625</v>
      </c>
      <c r="Y110" s="277">
        <v>10.253333333333334</v>
      </c>
      <c r="Z110" s="278">
        <v>10.574712643678161</v>
      </c>
      <c r="AA110" s="278">
        <v>13.373626373626374</v>
      </c>
      <c r="AB110" s="278">
        <v>12.696629213483146</v>
      </c>
      <c r="AC110" s="278">
        <v>10.770833333333334</v>
      </c>
      <c r="AD110" s="277">
        <v>12.314049586776859</v>
      </c>
      <c r="AE110" s="278">
        <v>10.88</v>
      </c>
      <c r="AF110" s="278">
        <v>12.408333333333333</v>
      </c>
      <c r="AG110" s="278">
        <v>10.251851851851852</v>
      </c>
      <c r="AH110" s="278">
        <v>8.5384615384615383</v>
      </c>
      <c r="AI110" s="277">
        <v>10.405622489959839</v>
      </c>
      <c r="AJ110" s="278">
        <f t="shared" ref="AJ110:BO110" si="97">AJ39/-AJ61</f>
        <v>9.0281690140845079</v>
      </c>
      <c r="AK110" s="278">
        <f t="shared" si="97"/>
        <v>11.232258064516129</v>
      </c>
      <c r="AL110" s="278">
        <f t="shared" si="97"/>
        <v>10.557692307692308</v>
      </c>
      <c r="AM110" s="278">
        <f t="shared" si="97"/>
        <v>9.3333333333333339</v>
      </c>
      <c r="AN110" s="277">
        <f t="shared" si="97"/>
        <v>10.062706270627062</v>
      </c>
      <c r="AO110" s="278">
        <f t="shared" si="97"/>
        <v>10.026666666666667</v>
      </c>
      <c r="AP110" s="278">
        <f t="shared" si="97"/>
        <v>11.441717791411042</v>
      </c>
      <c r="AQ110" s="278">
        <f t="shared" si="97"/>
        <v>10.547486033519553</v>
      </c>
      <c r="AR110" s="278">
        <f t="shared" si="97"/>
        <v>10.304597701149426</v>
      </c>
      <c r="AS110" s="277">
        <f t="shared" si="97"/>
        <v>10.585585585585585</v>
      </c>
      <c r="AT110" s="278">
        <f t="shared" si="97"/>
        <v>10.145454545454545</v>
      </c>
      <c r="AU110" s="278">
        <f t="shared" si="97"/>
        <v>11.926136363636363</v>
      </c>
      <c r="AV110" s="278">
        <f t="shared" si="97"/>
        <v>11.576271186440678</v>
      </c>
      <c r="AW110" s="278">
        <f t="shared" si="97"/>
        <v>10.543859649122806</v>
      </c>
      <c r="AX110" s="277">
        <f t="shared" si="97"/>
        <v>11.066763425253992</v>
      </c>
      <c r="AY110" s="278">
        <f t="shared" si="97"/>
        <v>7.0966810966810963</v>
      </c>
      <c r="AZ110" s="278">
        <f t="shared" si="97"/>
        <v>9.2239657631954355</v>
      </c>
      <c r="BA110" s="278">
        <f t="shared" si="97"/>
        <v>10.392273402674592</v>
      </c>
      <c r="BB110" s="278">
        <f t="shared" si="97"/>
        <v>9.8344827586206893</v>
      </c>
      <c r="BC110" s="277">
        <f t="shared" si="97"/>
        <v>9.1361031518624642</v>
      </c>
      <c r="BD110" s="278">
        <f t="shared" si="97"/>
        <v>7.7309644670050766</v>
      </c>
      <c r="BE110" s="278">
        <f t="shared" si="97"/>
        <v>10.754285714285714</v>
      </c>
      <c r="BF110" s="278">
        <f t="shared" si="97"/>
        <v>10.310160427807487</v>
      </c>
      <c r="BG110" s="278">
        <f t="shared" si="97"/>
        <v>9.7015706806282722</v>
      </c>
      <c r="BH110" s="277">
        <f t="shared" si="97"/>
        <v>9.5813333333333333</v>
      </c>
      <c r="BI110" s="278">
        <f t="shared" si="97"/>
        <v>10.240963855421686</v>
      </c>
      <c r="BJ110" s="278">
        <f t="shared" si="97"/>
        <v>13.109756097560975</v>
      </c>
      <c r="BK110" s="278">
        <f t="shared" si="97"/>
        <v>12.957831325301205</v>
      </c>
      <c r="BL110" s="278">
        <f t="shared" si="97"/>
        <v>10.307262569832401</v>
      </c>
      <c r="BM110" s="277">
        <f t="shared" si="97"/>
        <v>11.623703703703704</v>
      </c>
      <c r="BN110" s="278">
        <f t="shared" si="97"/>
        <v>10.445121951219512</v>
      </c>
      <c r="BO110" s="278">
        <f t="shared" si="97"/>
        <v>11.468421052631578</v>
      </c>
      <c r="BP110" s="278">
        <f t="shared" ref="BP110:CV110" si="98">BP39/-BP61</f>
        <v>7.85</v>
      </c>
      <c r="BQ110" s="278">
        <f t="shared" si="98"/>
        <v>6.2759856630824373</v>
      </c>
      <c r="BR110" s="277">
        <f t="shared" si="98"/>
        <v>8.604703247480403</v>
      </c>
      <c r="BS110" s="278">
        <f t="shared" si="98"/>
        <v>7.8666666666666663</v>
      </c>
      <c r="BT110" s="278">
        <f t="shared" si="98"/>
        <v>9.2169117647058822</v>
      </c>
      <c r="BU110" s="278">
        <f t="shared" si="98"/>
        <v>9.5403225806451619</v>
      </c>
      <c r="BV110" s="278">
        <f t="shared" si="98"/>
        <v>8.9961389961389955</v>
      </c>
      <c r="BW110" s="277">
        <f t="shared" si="98"/>
        <v>8.9061895551257262</v>
      </c>
      <c r="BX110" s="278">
        <f t="shared" si="98"/>
        <v>8.6337448559670786</v>
      </c>
      <c r="BY110" s="278">
        <f t="shared" si="98"/>
        <v>9.612244897959183</v>
      </c>
      <c r="BZ110" s="278">
        <f t="shared" si="98"/>
        <v>11.586497890295359</v>
      </c>
      <c r="CA110" s="278">
        <f t="shared" si="98"/>
        <v>6.92722371967655</v>
      </c>
      <c r="CB110" s="277">
        <f t="shared" si="98"/>
        <v>8.9133211678832112</v>
      </c>
      <c r="CC110" s="278">
        <f t="shared" si="98"/>
        <v>9.1297071129707117</v>
      </c>
      <c r="CD110" s="278">
        <f t="shared" si="98"/>
        <v>9.9262295081967213</v>
      </c>
      <c r="CE110" s="278">
        <f t="shared" si="98"/>
        <v>10.32286995515695</v>
      </c>
      <c r="CF110" s="278">
        <f t="shared" si="98"/>
        <v>1.6470588235294117</v>
      </c>
      <c r="CG110" s="277">
        <f t="shared" si="98"/>
        <v>7.7309322033898304</v>
      </c>
      <c r="CH110" s="278">
        <f t="shared" si="98"/>
        <v>8.0705394190871367</v>
      </c>
      <c r="CI110" s="278">
        <f t="shared" si="98"/>
        <v>9.4233870967741939</v>
      </c>
      <c r="CJ110" s="278">
        <f t="shared" si="98"/>
        <v>8.9325396825396819</v>
      </c>
      <c r="CK110" s="278">
        <f t="shared" si="98"/>
        <v>3.9023809523809523</v>
      </c>
      <c r="CL110" s="277">
        <f t="shared" si="98"/>
        <v>7.0387596899224807</v>
      </c>
      <c r="CM110" s="278">
        <f>CM39/-CM61</f>
        <v>9.6059322033898304</v>
      </c>
      <c r="CN110" s="278">
        <f>CN39/-CN61</f>
        <v>9.1235059760956183</v>
      </c>
      <c r="CO110" s="278">
        <f>CO39/-CO61</f>
        <v>8.4608713286720931</v>
      </c>
      <c r="CP110" s="278">
        <f>CP39/-CP61</f>
        <v>7.6114881243118324</v>
      </c>
      <c r="CQ110" s="277">
        <f t="shared" si="98"/>
        <v>8.6774474174373157</v>
      </c>
      <c r="CR110" s="278">
        <f>CR39/-CR61</f>
        <v>7.383012926302877</v>
      </c>
      <c r="CS110" s="278">
        <f>CS39/-CS61</f>
        <v>8.664281073915884</v>
      </c>
      <c r="CT110" s="278">
        <f>CT39/-CT61</f>
        <v>8.5242404147287623</v>
      </c>
      <c r="CU110" s="278">
        <f>CU39/-CU61</f>
        <v>7.690790712790835</v>
      </c>
      <c r="CV110" s="277">
        <f t="shared" si="98"/>
        <v>8.0723020546396285</v>
      </c>
      <c r="CW110" s="277">
        <f>CW39/-CW61</f>
        <v>8.6775793722383625</v>
      </c>
      <c r="CX110" s="277">
        <f>CX39/-CX61</f>
        <v>9.3242087481527278</v>
      </c>
      <c r="CY110" s="277">
        <f>CY39/-CY61</f>
        <v>9.6773789361668179</v>
      </c>
      <c r="CZ110" s="256"/>
      <c r="DG110" s="256"/>
    </row>
    <row r="111" spans="1:111" ht="12" customHeight="1" thickBot="1">
      <c r="A111" s="268"/>
      <c r="B111" s="276"/>
      <c r="C111" s="276"/>
      <c r="D111" s="276"/>
      <c r="E111" s="276"/>
      <c r="F111" s="276"/>
      <c r="G111" s="276"/>
      <c r="H111" s="276"/>
      <c r="I111" s="276"/>
      <c r="J111" s="275"/>
      <c r="K111" s="276"/>
      <c r="L111" s="276"/>
      <c r="M111" s="276"/>
      <c r="N111" s="276"/>
      <c r="O111" s="275"/>
      <c r="P111" s="276"/>
      <c r="Q111" s="276"/>
      <c r="R111" s="276"/>
      <c r="S111" s="276"/>
      <c r="T111" s="275"/>
      <c r="U111" s="276"/>
      <c r="V111" s="276"/>
      <c r="W111" s="276"/>
      <c r="X111" s="276"/>
      <c r="Y111" s="275"/>
      <c r="Z111" s="276"/>
      <c r="AA111" s="276"/>
      <c r="AB111" s="276"/>
      <c r="AC111" s="276"/>
      <c r="AD111" s="275"/>
      <c r="AE111" s="276"/>
      <c r="AF111" s="276"/>
      <c r="AG111" s="276"/>
      <c r="AH111" s="276"/>
      <c r="AI111" s="275"/>
      <c r="AJ111" s="276"/>
      <c r="AK111" s="276"/>
      <c r="AL111" s="276"/>
      <c r="AM111" s="276"/>
      <c r="AN111" s="275"/>
      <c r="AO111" s="276"/>
      <c r="AP111" s="276"/>
      <c r="AQ111" s="276"/>
      <c r="AR111" s="276"/>
      <c r="AS111" s="275"/>
      <c r="AT111" s="276"/>
      <c r="AU111" s="276"/>
      <c r="AV111" s="276"/>
      <c r="AW111" s="276"/>
      <c r="AX111" s="275"/>
      <c r="AY111" s="276"/>
      <c r="AZ111" s="276"/>
      <c r="BA111" s="276"/>
      <c r="BB111" s="276"/>
      <c r="BC111" s="275"/>
      <c r="BD111" s="276"/>
      <c r="BE111" s="276"/>
      <c r="BF111" s="276"/>
      <c r="BG111" s="276"/>
      <c r="BH111" s="275"/>
      <c r="BI111" s="276"/>
      <c r="BJ111" s="276"/>
      <c r="BK111" s="276"/>
      <c r="BL111" s="276"/>
      <c r="BM111" s="275"/>
      <c r="BN111" s="276"/>
      <c r="BO111" s="276"/>
      <c r="BP111" s="276"/>
      <c r="BQ111" s="276"/>
      <c r="BR111" s="275"/>
      <c r="BS111" s="276"/>
      <c r="BT111" s="276"/>
      <c r="BU111" s="276"/>
      <c r="BV111" s="276"/>
      <c r="BW111" s="275"/>
      <c r="BX111" s="276"/>
      <c r="BY111" s="276"/>
      <c r="BZ111" s="276"/>
      <c r="CA111" s="276"/>
      <c r="CB111" s="275"/>
      <c r="CC111" s="276"/>
      <c r="CD111" s="276"/>
      <c r="CE111" s="276"/>
      <c r="CF111" s="276"/>
      <c r="CG111" s="275"/>
      <c r="CH111" s="276"/>
      <c r="CI111" s="276"/>
      <c r="CJ111" s="276"/>
      <c r="CK111" s="276"/>
      <c r="CL111" s="275"/>
      <c r="CM111" s="276"/>
      <c r="CN111" s="276"/>
      <c r="CO111" s="276"/>
      <c r="CP111" s="276"/>
      <c r="CQ111" s="275"/>
      <c r="CR111" s="276"/>
      <c r="CS111" s="276"/>
      <c r="CT111" s="276"/>
      <c r="CU111" s="276"/>
      <c r="CV111" s="275"/>
      <c r="CW111" s="275"/>
      <c r="CX111" s="275"/>
      <c r="CY111" s="275"/>
      <c r="CZ111" s="256"/>
      <c r="DG111" s="256"/>
    </row>
    <row r="112" spans="1:111" ht="12" customHeight="1">
      <c r="A112" s="268"/>
      <c r="B112" s="268"/>
      <c r="C112" s="268"/>
      <c r="D112" s="268"/>
      <c r="E112" s="268"/>
      <c r="F112" s="268"/>
      <c r="G112" s="268"/>
      <c r="H112" s="268"/>
      <c r="I112" s="268"/>
      <c r="J112" s="271"/>
      <c r="K112" s="268"/>
      <c r="L112" s="268"/>
      <c r="M112" s="268"/>
      <c r="N112" s="268"/>
      <c r="O112" s="268"/>
      <c r="P112" s="268"/>
      <c r="Q112" s="268"/>
      <c r="R112" s="268"/>
      <c r="S112" s="268"/>
      <c r="T112" s="268"/>
      <c r="U112" s="268"/>
      <c r="V112" s="268"/>
      <c r="W112" s="268"/>
      <c r="X112" s="268"/>
      <c r="Y112" s="268"/>
      <c r="Z112" s="268"/>
      <c r="AA112" s="268"/>
      <c r="AB112" s="268"/>
      <c r="AC112" s="268"/>
      <c r="AD112" s="268"/>
      <c r="AE112" s="268"/>
      <c r="AF112" s="268"/>
      <c r="AG112" s="268"/>
      <c r="AH112" s="268"/>
      <c r="AI112" s="268"/>
      <c r="AJ112" s="268"/>
      <c r="AK112" s="268"/>
      <c r="AL112" s="268"/>
      <c r="AM112" s="268"/>
      <c r="AN112" s="268"/>
      <c r="AO112" s="116"/>
      <c r="AP112" s="116"/>
      <c r="AQ112" s="116"/>
      <c r="AR112" s="116"/>
      <c r="AS112" s="268"/>
      <c r="AT112" s="268"/>
      <c r="AU112" s="268"/>
      <c r="AV112" s="268"/>
      <c r="AW112" s="268"/>
      <c r="AX112" s="268"/>
      <c r="AY112" s="268"/>
      <c r="AZ112" s="268"/>
      <c r="BA112" s="268"/>
      <c r="BB112" s="268"/>
      <c r="BC112" s="268"/>
      <c r="BD112" s="268"/>
      <c r="BE112" s="268"/>
      <c r="BF112" s="268"/>
      <c r="BG112" s="268"/>
      <c r="BH112" s="268"/>
      <c r="BI112" s="268"/>
      <c r="BJ112" s="268"/>
      <c r="BK112" s="268"/>
      <c r="BL112" s="268"/>
      <c r="BM112" s="268"/>
      <c r="BN112" s="268"/>
      <c r="BO112" s="268"/>
      <c r="BP112" s="268"/>
      <c r="BQ112" s="268"/>
      <c r="BR112" s="268"/>
      <c r="BS112" s="268"/>
      <c r="BT112" s="268"/>
      <c r="BU112" s="268"/>
      <c r="BV112" s="268"/>
      <c r="BW112" s="268"/>
      <c r="BX112" s="268"/>
      <c r="BY112" s="268"/>
      <c r="BZ112" s="268"/>
      <c r="CA112" s="268"/>
      <c r="CB112" s="268"/>
      <c r="CC112" s="268"/>
      <c r="CD112" s="268"/>
      <c r="CE112" s="268"/>
      <c r="CF112" s="268"/>
      <c r="CG112" s="268"/>
      <c r="CH112" s="268"/>
      <c r="CI112" s="268"/>
      <c r="CJ112" s="268"/>
      <c r="CK112" s="268"/>
      <c r="CL112" s="268"/>
      <c r="CM112" s="268"/>
      <c r="CN112" s="268"/>
      <c r="CO112" s="268"/>
      <c r="CP112" s="268"/>
      <c r="CQ112" s="268"/>
      <c r="CR112" s="268"/>
      <c r="CS112" s="268"/>
      <c r="CT112" s="268"/>
      <c r="CU112" s="268"/>
      <c r="CV112" s="268"/>
      <c r="CW112" s="268"/>
      <c r="CX112" s="268"/>
      <c r="CY112" s="268"/>
      <c r="CZ112" s="256"/>
      <c r="DG112" s="256"/>
    </row>
    <row r="113" spans="1:111" ht="12" customHeight="1">
      <c r="A113" s="268"/>
      <c r="B113" s="268"/>
      <c r="C113" s="268" t="s">
        <v>273</v>
      </c>
      <c r="D113" s="268"/>
      <c r="E113" s="268"/>
      <c r="F113" s="268"/>
      <c r="G113" s="268"/>
      <c r="H113" s="268"/>
      <c r="I113" s="268"/>
      <c r="J113" s="271"/>
      <c r="K113" s="268"/>
      <c r="L113" s="268"/>
      <c r="M113" s="268"/>
      <c r="N113" s="268"/>
      <c r="O113" s="268"/>
      <c r="P113" s="274"/>
      <c r="Q113" s="274"/>
      <c r="R113" s="274"/>
      <c r="S113" s="274"/>
      <c r="T113" s="268"/>
      <c r="U113" s="274"/>
      <c r="V113" s="274"/>
      <c r="W113" s="274"/>
      <c r="X113" s="274"/>
      <c r="Y113" s="268"/>
      <c r="Z113" s="268"/>
      <c r="AA113" s="268"/>
      <c r="AB113" s="268"/>
      <c r="AC113" s="268"/>
      <c r="AD113" s="268"/>
      <c r="AE113" s="268"/>
      <c r="AF113" s="268"/>
      <c r="AG113" s="268"/>
      <c r="AH113" s="268"/>
      <c r="AI113" s="268"/>
      <c r="AJ113" s="272">
        <f t="shared" ref="AJ113:BO113" si="99">AJ77-AJ68</f>
        <v>821</v>
      </c>
      <c r="AK113" s="272">
        <f t="shared" si="99"/>
        <v>1171</v>
      </c>
      <c r="AL113" s="272">
        <f t="shared" si="99"/>
        <v>1068</v>
      </c>
      <c r="AM113" s="272">
        <f t="shared" si="99"/>
        <v>938</v>
      </c>
      <c r="AN113" s="268">
        <f t="shared" si="99"/>
        <v>3998</v>
      </c>
      <c r="AO113" s="272">
        <f t="shared" si="99"/>
        <v>912</v>
      </c>
      <c r="AP113" s="272">
        <f t="shared" si="99"/>
        <v>1223</v>
      </c>
      <c r="AQ113" s="272">
        <f t="shared" si="99"/>
        <v>1275</v>
      </c>
      <c r="AR113" s="272">
        <f t="shared" si="99"/>
        <v>1138</v>
      </c>
      <c r="AS113" s="268">
        <f t="shared" si="99"/>
        <v>4548</v>
      </c>
      <c r="AT113" s="272">
        <f t="shared" si="99"/>
        <v>1079</v>
      </c>
      <c r="AU113" s="272">
        <f t="shared" si="99"/>
        <v>1375</v>
      </c>
      <c r="AV113" s="272">
        <f t="shared" si="99"/>
        <v>1370</v>
      </c>
      <c r="AW113" s="272">
        <f t="shared" si="99"/>
        <v>1229</v>
      </c>
      <c r="AX113" s="268">
        <f t="shared" si="99"/>
        <v>5053</v>
      </c>
      <c r="AY113" s="272">
        <f t="shared" si="99"/>
        <v>801.88499999999999</v>
      </c>
      <c r="AZ113" s="272">
        <f t="shared" si="99"/>
        <v>1063.6099999999999</v>
      </c>
      <c r="BA113" s="272">
        <f t="shared" si="99"/>
        <v>1144.33</v>
      </c>
      <c r="BB113" s="272">
        <f t="shared" si="99"/>
        <v>1169.4100000000001</v>
      </c>
      <c r="BC113" s="273">
        <f t="shared" si="99"/>
        <v>4179.2349999999997</v>
      </c>
      <c r="BD113" s="272">
        <f t="shared" si="99"/>
        <v>947</v>
      </c>
      <c r="BE113" s="272">
        <f t="shared" si="99"/>
        <v>1212</v>
      </c>
      <c r="BF113" s="272">
        <f t="shared" si="99"/>
        <v>1299</v>
      </c>
      <c r="BG113" s="272">
        <f t="shared" si="99"/>
        <v>1253</v>
      </c>
      <c r="BH113" s="268">
        <f t="shared" si="99"/>
        <v>4711</v>
      </c>
      <c r="BI113" s="272">
        <f t="shared" si="99"/>
        <v>1101</v>
      </c>
      <c r="BJ113" s="272">
        <f t="shared" si="99"/>
        <v>1430</v>
      </c>
      <c r="BK113" s="272">
        <f t="shared" si="99"/>
        <v>1421</v>
      </c>
      <c r="BL113" s="272">
        <f t="shared" si="99"/>
        <v>1422</v>
      </c>
      <c r="BM113" s="268">
        <f t="shared" si="99"/>
        <v>5374</v>
      </c>
      <c r="BN113" s="272">
        <f t="shared" si="99"/>
        <v>407</v>
      </c>
      <c r="BO113" s="272">
        <f t="shared" si="99"/>
        <v>1422</v>
      </c>
      <c r="BP113" s="272">
        <f t="shared" ref="BP113:CV113" si="100">BP77-BP68</f>
        <v>1511</v>
      </c>
      <c r="BQ113" s="272">
        <f t="shared" si="100"/>
        <v>2150</v>
      </c>
      <c r="BR113" s="268">
        <f t="shared" si="100"/>
        <v>5490</v>
      </c>
      <c r="BS113" s="272">
        <f t="shared" si="100"/>
        <v>1352</v>
      </c>
      <c r="BT113" s="272">
        <f t="shared" si="100"/>
        <v>1645</v>
      </c>
      <c r="BU113" s="272">
        <f t="shared" si="100"/>
        <v>1526</v>
      </c>
      <c r="BV113" s="272">
        <f t="shared" si="100"/>
        <v>1551</v>
      </c>
      <c r="BW113" s="272">
        <f t="shared" si="100"/>
        <v>6074</v>
      </c>
      <c r="BX113" s="272">
        <f t="shared" si="100"/>
        <v>1306</v>
      </c>
      <c r="BY113" s="272">
        <f t="shared" si="100"/>
        <v>1790</v>
      </c>
      <c r="BZ113" s="272">
        <f t="shared" si="100"/>
        <v>1952</v>
      </c>
      <c r="CA113" s="272">
        <f t="shared" si="100"/>
        <v>1575</v>
      </c>
      <c r="CB113" s="272">
        <f t="shared" si="100"/>
        <v>6623</v>
      </c>
      <c r="CC113" s="272">
        <f t="shared" si="100"/>
        <v>1498</v>
      </c>
      <c r="CD113" s="272">
        <f t="shared" si="100"/>
        <v>1651</v>
      </c>
      <c r="CE113" s="272">
        <f t="shared" si="100"/>
        <v>1462</v>
      </c>
      <c r="CF113" s="272">
        <f t="shared" si="100"/>
        <v>3357</v>
      </c>
      <c r="CG113" s="272">
        <f t="shared" si="100"/>
        <v>7968</v>
      </c>
      <c r="CH113" s="272">
        <f t="shared" si="100"/>
        <v>1261</v>
      </c>
      <c r="CI113" s="272">
        <f t="shared" si="100"/>
        <v>1472</v>
      </c>
      <c r="CJ113" s="272">
        <f t="shared" si="100"/>
        <v>1571</v>
      </c>
      <c r="CK113" s="272">
        <f t="shared" si="100"/>
        <v>1113</v>
      </c>
      <c r="CL113" s="272">
        <f t="shared" si="100"/>
        <v>5417</v>
      </c>
      <c r="CM113" s="272">
        <f>CM77-CM68</f>
        <v>1468</v>
      </c>
      <c r="CN113" s="272">
        <f>CN77-CN68</f>
        <v>1532</v>
      </c>
      <c r="CO113" s="272">
        <f>CO77-CO68</f>
        <v>1434</v>
      </c>
      <c r="CP113" s="272">
        <f>CP77-CP68</f>
        <v>1270.106523962771</v>
      </c>
      <c r="CQ113" s="272">
        <f t="shared" si="100"/>
        <v>5704.1065239627715</v>
      </c>
      <c r="CR113" s="272">
        <f>CR77-CR68</f>
        <v>1231.6538925964414</v>
      </c>
      <c r="CS113" s="272">
        <f>CS77-CS68</f>
        <v>1529.3317355813833</v>
      </c>
      <c r="CT113" s="272">
        <f>CT77-CT68</f>
        <v>1559.1627482355289</v>
      </c>
      <c r="CU113" s="272">
        <f>CU77-CU68</f>
        <v>1393.3122757368797</v>
      </c>
      <c r="CV113" s="272">
        <f t="shared" si="100"/>
        <v>5713.4606521502392</v>
      </c>
      <c r="CW113" s="272">
        <f>CW77-CW68</f>
        <v>6470.8115572905481</v>
      </c>
      <c r="CX113" s="272">
        <f>CX77-CX68</f>
        <v>7093.0131587045244</v>
      </c>
      <c r="CY113" s="272">
        <f>CY77-CY68</f>
        <v>7456.2320184863993</v>
      </c>
      <c r="CZ113" s="256"/>
      <c r="DG113" s="256"/>
    </row>
    <row r="114" spans="1:111" ht="12" customHeight="1">
      <c r="A114" s="268"/>
      <c r="B114" s="268"/>
      <c r="C114" s="268"/>
      <c r="D114" s="268"/>
      <c r="E114" s="268"/>
      <c r="F114" s="268"/>
      <c r="G114" s="268"/>
      <c r="H114" s="268"/>
      <c r="I114" s="268"/>
      <c r="J114" s="271"/>
      <c r="K114" s="268"/>
      <c r="L114" s="268"/>
      <c r="M114" s="268"/>
      <c r="N114" s="268"/>
      <c r="O114" s="268"/>
      <c r="P114" s="268"/>
      <c r="Q114" s="268"/>
      <c r="R114" s="268"/>
      <c r="S114" s="268"/>
      <c r="T114" s="268"/>
      <c r="U114" s="259"/>
      <c r="V114" s="259"/>
      <c r="W114" s="259"/>
      <c r="X114" s="259"/>
      <c r="Y114" s="268"/>
      <c r="Z114" s="268"/>
      <c r="AA114" s="268"/>
      <c r="AB114" s="268"/>
      <c r="AC114" s="268"/>
      <c r="AD114" s="268"/>
      <c r="AE114" s="268"/>
      <c r="AF114" s="268"/>
      <c r="AG114" s="268"/>
      <c r="AH114" s="268"/>
      <c r="AI114" s="268"/>
      <c r="AJ114" s="268"/>
      <c r="AK114" s="268"/>
      <c r="AL114" s="268"/>
      <c r="AM114" s="268"/>
      <c r="AN114" s="268"/>
      <c r="AO114" s="116"/>
      <c r="AP114" s="116"/>
      <c r="AQ114" s="116"/>
      <c r="AR114" s="116"/>
      <c r="AS114" s="268"/>
      <c r="AT114" s="268"/>
      <c r="AU114" s="268"/>
      <c r="AV114" s="268"/>
      <c r="AW114" s="268"/>
      <c r="AX114" s="268"/>
      <c r="AY114" s="268"/>
      <c r="AZ114" s="268"/>
      <c r="BA114" s="268"/>
      <c r="BB114" s="268"/>
      <c r="BC114" s="268"/>
      <c r="BD114" s="268"/>
      <c r="BE114" s="268"/>
      <c r="BF114" s="268"/>
      <c r="BG114" s="268"/>
      <c r="BH114" s="268"/>
      <c r="BI114" s="268"/>
      <c r="BJ114" s="268"/>
      <c r="BK114" s="268"/>
      <c r="BL114" s="268"/>
      <c r="BM114" s="268"/>
      <c r="BN114" s="268"/>
      <c r="BO114" s="268"/>
      <c r="BP114" s="268"/>
      <c r="BQ114" s="268"/>
      <c r="BR114" s="268"/>
      <c r="BS114" s="268"/>
      <c r="BT114" s="268"/>
      <c r="BU114" s="268"/>
      <c r="BV114" s="268"/>
      <c r="BW114" s="268"/>
      <c r="BX114" s="268"/>
      <c r="BY114" s="268"/>
      <c r="BZ114" s="268"/>
      <c r="CA114" s="268"/>
      <c r="CB114" s="268"/>
      <c r="CC114" s="268"/>
      <c r="CD114" s="268"/>
      <c r="CE114" s="268"/>
      <c r="CF114" s="268"/>
      <c r="CG114" s="268"/>
      <c r="CH114" s="268"/>
      <c r="CI114" s="268"/>
      <c r="CJ114" s="268"/>
      <c r="CK114" s="268"/>
      <c r="CL114" s="268"/>
      <c r="CM114" s="268"/>
      <c r="CN114" s="268"/>
      <c r="CO114" s="268"/>
      <c r="CP114" s="268"/>
      <c r="CQ114" s="268"/>
      <c r="CR114" s="268"/>
      <c r="CS114" s="268"/>
      <c r="CT114" s="268"/>
      <c r="CU114" s="268"/>
      <c r="CV114" s="268"/>
      <c r="CW114" s="268"/>
      <c r="CX114" s="268"/>
      <c r="CY114" s="268"/>
      <c r="CZ114" s="256"/>
      <c r="DG114" s="256"/>
    </row>
    <row r="115" spans="1:111">
      <c r="A115" s="268"/>
      <c r="B115" s="268"/>
      <c r="C115" s="268"/>
      <c r="D115" s="268"/>
      <c r="E115" s="268"/>
      <c r="F115" s="268"/>
      <c r="G115" s="268"/>
      <c r="H115" s="268"/>
      <c r="I115" s="268"/>
      <c r="J115" s="271"/>
      <c r="K115" s="268"/>
      <c r="L115" s="268"/>
      <c r="M115" s="268"/>
      <c r="N115" s="268"/>
      <c r="O115" s="268"/>
      <c r="P115" s="268"/>
      <c r="Q115" s="268"/>
      <c r="R115" s="268"/>
      <c r="S115" s="268"/>
      <c r="T115" s="268"/>
      <c r="U115" s="268"/>
      <c r="V115" s="268"/>
      <c r="W115" s="268"/>
      <c r="X115" s="268"/>
      <c r="Y115" s="268"/>
      <c r="Z115" s="268"/>
      <c r="AA115" s="268"/>
      <c r="AB115" s="268"/>
      <c r="AC115" s="268"/>
      <c r="AD115" s="268"/>
      <c r="AE115" s="268"/>
      <c r="AF115" s="268"/>
      <c r="AG115" s="268"/>
      <c r="AH115" s="268"/>
      <c r="AI115" s="268"/>
      <c r="AJ115" s="268"/>
      <c r="AK115" s="268"/>
      <c r="AL115" s="268"/>
      <c r="AM115" s="268"/>
      <c r="AN115" s="268"/>
      <c r="AO115" s="269">
        <v>0.82477341389728098</v>
      </c>
      <c r="AP115" s="269">
        <v>1.1553092874493947</v>
      </c>
      <c r="AQ115" s="269">
        <v>1.1295227539815837</v>
      </c>
      <c r="AR115" s="269">
        <v>1.0854213142405944</v>
      </c>
      <c r="AS115" s="268"/>
      <c r="AT115" s="270"/>
      <c r="AU115" s="270"/>
      <c r="AV115" s="270"/>
      <c r="AW115" s="270"/>
      <c r="AX115" s="268"/>
      <c r="AY115" s="270"/>
      <c r="AZ115" s="270"/>
      <c r="BA115" s="270"/>
      <c r="BB115" s="270"/>
      <c r="BC115" s="268"/>
      <c r="BD115" s="270"/>
      <c r="BE115" s="270"/>
      <c r="BF115" s="270"/>
      <c r="BG115" s="270"/>
      <c r="BH115" s="268"/>
      <c r="BI115" s="269"/>
      <c r="BJ115" s="269"/>
      <c r="BK115" s="269"/>
      <c r="BL115" s="269"/>
      <c r="BM115" s="268"/>
      <c r="BN115" s="116"/>
      <c r="BO115" s="116"/>
      <c r="BP115" s="116"/>
      <c r="BQ115" s="116"/>
      <c r="BR115" s="268"/>
      <c r="BS115" s="116"/>
      <c r="BT115" s="116"/>
      <c r="BU115" s="116"/>
      <c r="BV115" s="116"/>
      <c r="BW115" s="268"/>
      <c r="BX115" s="116"/>
      <c r="BY115" s="116"/>
      <c r="BZ115" s="116"/>
      <c r="CA115" s="116"/>
      <c r="CB115" s="268"/>
      <c r="CC115" s="116"/>
      <c r="CD115" s="116"/>
      <c r="CE115" s="116"/>
      <c r="CF115" s="116"/>
      <c r="CG115" s="268"/>
      <c r="CH115" s="116"/>
      <c r="CI115" s="116"/>
      <c r="CJ115" s="116"/>
      <c r="CK115" s="116"/>
      <c r="CL115" s="268"/>
      <c r="CM115" s="116"/>
      <c r="CN115" s="116"/>
      <c r="CO115" s="116"/>
      <c r="CP115" s="116"/>
      <c r="CQ115" s="268"/>
      <c r="CR115" s="116"/>
      <c r="CS115" s="116"/>
      <c r="CT115" s="116"/>
      <c r="CU115" s="116"/>
      <c r="CV115" s="268"/>
      <c r="CW115" s="268"/>
      <c r="CX115" s="268"/>
      <c r="CY115" s="268"/>
      <c r="CZ115" s="256"/>
      <c r="DG115" s="256"/>
    </row>
    <row r="116" spans="1:111">
      <c r="A116" s="264"/>
      <c r="B116" s="264"/>
      <c r="C116" s="267"/>
      <c r="D116" s="267"/>
      <c r="E116" s="264"/>
      <c r="F116" s="264"/>
      <c r="G116" s="264"/>
      <c r="H116" s="264"/>
      <c r="I116" s="264"/>
      <c r="J116" s="266"/>
      <c r="K116" s="264"/>
      <c r="L116" s="264"/>
      <c r="M116" s="264"/>
      <c r="N116" s="264"/>
      <c r="O116" s="264"/>
      <c r="P116" s="264"/>
      <c r="Q116" s="264"/>
      <c r="R116" s="264"/>
      <c r="S116" s="264"/>
      <c r="T116" s="264"/>
      <c r="U116" s="264"/>
      <c r="V116" s="264"/>
      <c r="W116" s="264"/>
      <c r="X116" s="264"/>
      <c r="Y116" s="264"/>
      <c r="Z116" s="264"/>
      <c r="AA116" s="264"/>
      <c r="AB116" s="264"/>
      <c r="AC116" s="264"/>
      <c r="AD116" s="264"/>
      <c r="AE116" s="264"/>
      <c r="AF116" s="264"/>
      <c r="AG116" s="264"/>
      <c r="AH116" s="264"/>
      <c r="AI116" s="264"/>
      <c r="AJ116" s="264"/>
      <c r="AK116" s="264"/>
      <c r="AL116" s="264"/>
      <c r="AM116" s="264"/>
      <c r="AN116" s="264"/>
      <c r="AO116" s="265"/>
      <c r="AP116" s="265"/>
      <c r="AQ116" s="265"/>
      <c r="AR116" s="265"/>
      <c r="AS116" s="264"/>
      <c r="AT116" s="264"/>
      <c r="AU116" s="264"/>
      <c r="AV116" s="264"/>
      <c r="AW116" s="264"/>
      <c r="AX116" s="264"/>
      <c r="AY116" s="264"/>
      <c r="AZ116" s="264"/>
      <c r="BA116" s="264"/>
      <c r="BB116" s="264"/>
      <c r="BC116" s="264"/>
      <c r="BD116" s="264"/>
      <c r="BE116" s="264"/>
      <c r="BF116" s="264"/>
      <c r="BG116" s="264"/>
      <c r="BH116" s="264"/>
      <c r="BI116" s="265"/>
      <c r="BJ116" s="265"/>
      <c r="BK116" s="265"/>
      <c r="BL116" s="265"/>
      <c r="BM116" s="264"/>
      <c r="BN116" s="265"/>
      <c r="BO116" s="265"/>
      <c r="BP116" s="265"/>
      <c r="BQ116" s="265"/>
      <c r="BR116" s="264"/>
      <c r="BS116" s="265"/>
      <c r="BT116" s="265"/>
      <c r="BU116" s="265"/>
      <c r="BV116" s="265"/>
      <c r="BW116" s="264"/>
      <c r="BX116" s="265"/>
      <c r="BY116" s="265"/>
      <c r="BZ116" s="265"/>
      <c r="CA116" s="265"/>
      <c r="CB116" s="264"/>
      <c r="CC116" s="265"/>
      <c r="CD116" s="265"/>
      <c r="CE116" s="265"/>
      <c r="CF116" s="265"/>
      <c r="CG116" s="264"/>
      <c r="CH116" s="265"/>
      <c r="CI116" s="265"/>
      <c r="CJ116" s="265"/>
      <c r="CK116" s="265"/>
      <c r="CL116" s="264"/>
      <c r="CM116" s="265"/>
      <c r="CN116" s="265"/>
      <c r="CO116" s="265"/>
      <c r="CP116" s="265"/>
      <c r="CQ116" s="264"/>
      <c r="CR116" s="265"/>
      <c r="CS116" s="265"/>
      <c r="CT116" s="265"/>
      <c r="CU116" s="265"/>
      <c r="CV116" s="264"/>
      <c r="CW116" s="264"/>
      <c r="CX116" s="264"/>
      <c r="CY116" s="264"/>
      <c r="CZ116" s="256"/>
      <c r="DG116" s="256"/>
    </row>
    <row r="117" spans="1:111" ht="12" customHeight="1">
      <c r="A117" s="261"/>
      <c r="B117" s="261"/>
      <c r="C117" s="263"/>
      <c r="D117" s="262"/>
      <c r="E117" s="261"/>
      <c r="F117" s="257"/>
      <c r="G117" s="257"/>
      <c r="H117" s="257"/>
      <c r="I117" s="257"/>
      <c r="J117" s="260"/>
      <c r="K117" s="257"/>
      <c r="L117" s="257"/>
      <c r="M117" s="257"/>
      <c r="N117" s="257"/>
      <c r="O117" s="257"/>
      <c r="P117" s="257"/>
      <c r="Q117" s="257"/>
      <c r="R117" s="257"/>
      <c r="S117" s="257"/>
      <c r="T117" s="257"/>
      <c r="U117" s="257"/>
      <c r="V117" s="257"/>
      <c r="W117" s="257"/>
      <c r="X117" s="257"/>
      <c r="Y117" s="257"/>
      <c r="Z117" s="257"/>
      <c r="AA117" s="257"/>
      <c r="AB117" s="257"/>
      <c r="AC117" s="257"/>
      <c r="AD117" s="257"/>
      <c r="AE117" s="257"/>
      <c r="AF117" s="257"/>
      <c r="AG117" s="257"/>
      <c r="AH117" s="257"/>
      <c r="AI117" s="257"/>
      <c r="AJ117" s="257"/>
      <c r="AK117" s="257"/>
      <c r="AL117" s="257"/>
      <c r="AM117" s="259"/>
      <c r="AN117" s="257"/>
      <c r="AO117" s="258"/>
      <c r="AP117" s="258"/>
      <c r="AQ117" s="258"/>
      <c r="AR117" s="258"/>
      <c r="AS117" s="257"/>
      <c r="AT117" s="257"/>
      <c r="AU117" s="257"/>
      <c r="AV117" s="257"/>
      <c r="AW117" s="257"/>
      <c r="AX117" s="257"/>
      <c r="AY117" s="257"/>
      <c r="AZ117" s="257"/>
      <c r="BA117" s="257"/>
      <c r="BB117" s="257"/>
      <c r="BC117" s="257"/>
      <c r="BD117" s="257"/>
      <c r="BE117" s="257"/>
      <c r="BF117" s="259"/>
      <c r="BG117" s="257"/>
      <c r="BH117" s="257"/>
      <c r="BI117" s="258"/>
      <c r="BJ117" s="258"/>
      <c r="BK117" s="258"/>
      <c r="BL117" s="258"/>
      <c r="BM117" s="257"/>
      <c r="BN117" s="258"/>
      <c r="BO117" s="258"/>
      <c r="BP117" s="258"/>
      <c r="BQ117" s="258"/>
      <c r="BR117" s="257"/>
      <c r="BS117" s="258"/>
      <c r="BT117" s="258"/>
      <c r="BU117" s="258"/>
      <c r="BV117" s="258"/>
      <c r="BW117" s="257"/>
      <c r="BX117" s="258"/>
      <c r="BY117" s="258"/>
      <c r="BZ117" s="258"/>
      <c r="CA117" s="258"/>
      <c r="CB117" s="257"/>
      <c r="CC117" s="258"/>
      <c r="CD117" s="258"/>
      <c r="CE117" s="258"/>
      <c r="CF117" s="258"/>
      <c r="CG117" s="257"/>
      <c r="CH117" s="258"/>
      <c r="CI117" s="258"/>
      <c r="CJ117" s="258"/>
      <c r="CK117" s="258"/>
      <c r="CL117" s="257"/>
      <c r="CM117" s="258"/>
      <c r="CN117" s="258"/>
      <c r="CO117" s="258"/>
      <c r="CP117" s="258"/>
      <c r="CQ117" s="257"/>
      <c r="CR117" s="258"/>
      <c r="CS117" s="258"/>
      <c r="CT117" s="258"/>
      <c r="CU117" s="258"/>
      <c r="CV117" s="257"/>
      <c r="CW117" s="257"/>
      <c r="CX117" s="257"/>
      <c r="CY117" s="257"/>
      <c r="CZ117" s="256"/>
      <c r="DG117" s="256"/>
    </row>
    <row r="118" spans="1:111">
      <c r="CR118"/>
      <c r="CS118"/>
      <c r="CT118"/>
      <c r="CU118"/>
      <c r="CX118"/>
      <c r="CY118"/>
    </row>
    <row r="119" spans="1:111">
      <c r="CZ119" s="256"/>
      <c r="DG119" s="256"/>
    </row>
    <row r="120" spans="1:111">
      <c r="CZ120" s="256"/>
      <c r="DG120" s="256"/>
    </row>
    <row r="121" spans="1:111">
      <c r="CZ121" s="256"/>
      <c r="DG121" s="256"/>
    </row>
    <row r="122" spans="1:111">
      <c r="CZ122" s="256"/>
      <c r="DG122" s="256"/>
    </row>
    <row r="123" spans="1:111">
      <c r="CZ123" s="256"/>
      <c r="DG123" s="256"/>
    </row>
    <row r="124" spans="1:111">
      <c r="CZ124" s="256"/>
      <c r="DG124" s="256"/>
    </row>
    <row r="125" spans="1:111">
      <c r="CZ125" s="256"/>
      <c r="DG125" s="256"/>
    </row>
    <row r="126" spans="1:111">
      <c r="CZ126" s="256"/>
      <c r="DG126" s="256"/>
    </row>
    <row r="127" spans="1:111">
      <c r="CZ127" s="256"/>
      <c r="DG127" s="256"/>
    </row>
    <row r="128" spans="1:111">
      <c r="CZ128" s="256"/>
      <c r="DG128" s="256"/>
    </row>
    <row r="129" spans="104:111">
      <c r="CZ129" s="256"/>
      <c r="DG129" s="256"/>
    </row>
    <row r="130" spans="104:111">
      <c r="CZ130" s="256"/>
      <c r="DG130" s="256"/>
    </row>
    <row r="131" spans="104:111">
      <c r="CZ131" s="256"/>
      <c r="DG131" s="256"/>
    </row>
    <row r="132" spans="104:111">
      <c r="CZ132" s="256"/>
      <c r="DG132" s="256"/>
    </row>
    <row r="133" spans="104:111">
      <c r="CZ133" s="256"/>
      <c r="DG133" s="256"/>
    </row>
    <row r="134" spans="104:111">
      <c r="CZ134" s="256"/>
      <c r="DG134" s="256"/>
    </row>
    <row r="135" spans="104:111">
      <c r="CZ135" s="256"/>
      <c r="DG135" s="256"/>
    </row>
    <row r="136" spans="104:111">
      <c r="CZ136" s="256"/>
      <c r="DG136" s="256"/>
    </row>
    <row r="137" spans="104:111">
      <c r="CZ137" s="256"/>
      <c r="DG137" s="256"/>
    </row>
    <row r="138" spans="104:111">
      <c r="CZ138" s="256"/>
      <c r="DG138" s="256"/>
    </row>
    <row r="139" spans="104:111">
      <c r="CZ139" s="256"/>
      <c r="DG139" s="256"/>
    </row>
    <row r="140" spans="104:111">
      <c r="CZ140" s="256"/>
      <c r="DG140" s="256"/>
    </row>
    <row r="141" spans="104:111">
      <c r="CZ141" s="256"/>
      <c r="DG141" s="256"/>
    </row>
    <row r="142" spans="104:111">
      <c r="CZ142" s="256"/>
      <c r="DG142" s="256"/>
    </row>
    <row r="143" spans="104:111">
      <c r="CZ143" s="256"/>
      <c r="DG143" s="256"/>
    </row>
    <row r="144" spans="104:111">
      <c r="CZ144" s="256"/>
      <c r="DG144" s="256"/>
    </row>
    <row r="145" spans="104:111">
      <c r="CZ145" s="256"/>
      <c r="DG145" s="256"/>
    </row>
    <row r="146" spans="104:111">
      <c r="CZ146" s="256"/>
      <c r="DG146" s="256"/>
    </row>
    <row r="147" spans="104:111">
      <c r="CZ147" s="256"/>
      <c r="DG147" s="256"/>
    </row>
    <row r="148" spans="104:111">
      <c r="CZ148" s="256"/>
      <c r="DG148" s="256"/>
    </row>
    <row r="149" spans="104:111">
      <c r="CZ149" s="256"/>
      <c r="DG149" s="256"/>
    </row>
    <row r="150" spans="104:111">
      <c r="CZ150" s="256"/>
      <c r="DG150" s="256"/>
    </row>
    <row r="151" spans="104:111">
      <c r="CZ151" s="256"/>
      <c r="DG151" s="256"/>
    </row>
    <row r="152" spans="104:111">
      <c r="CZ152" s="256"/>
      <c r="DG152" s="256"/>
    </row>
    <row r="153" spans="104:111">
      <c r="CZ153" s="256"/>
      <c r="DG153" s="256"/>
    </row>
    <row r="154" spans="104:111">
      <c r="CZ154" s="256"/>
      <c r="DG154" s="256"/>
    </row>
    <row r="155" spans="104:111">
      <c r="CZ155" s="256"/>
      <c r="DG155" s="256"/>
    </row>
    <row r="156" spans="104:111">
      <c r="CZ156" s="256"/>
      <c r="DG156" s="256"/>
    </row>
    <row r="157" spans="104:111">
      <c r="CZ157" s="256"/>
      <c r="DG157" s="256"/>
    </row>
    <row r="158" spans="104:111">
      <c r="CZ158" s="256"/>
      <c r="DG158" s="256"/>
    </row>
    <row r="159" spans="104:111">
      <c r="CZ159" s="256"/>
      <c r="DG159" s="256"/>
    </row>
    <row r="160" spans="104:111">
      <c r="CZ160" s="256"/>
      <c r="DG160" s="256"/>
    </row>
    <row r="161" spans="104:111">
      <c r="CZ161" s="256"/>
      <c r="DG161" s="256"/>
    </row>
    <row r="162" spans="104:111">
      <c r="CZ162" s="256"/>
      <c r="DG162" s="256"/>
    </row>
    <row r="163" spans="104:111">
      <c r="CZ163" s="256"/>
      <c r="DG163" s="256"/>
    </row>
    <row r="164" spans="104:111">
      <c r="CZ164" s="256"/>
      <c r="DG164" s="256"/>
    </row>
    <row r="165" spans="104:111">
      <c r="CZ165" s="256"/>
      <c r="DG165" s="256"/>
    </row>
    <row r="166" spans="104:111">
      <c r="CZ166" s="256"/>
      <c r="DG166" s="256"/>
    </row>
    <row r="167" spans="104:111">
      <c r="CZ167" s="256"/>
      <c r="DG167" s="256"/>
    </row>
    <row r="168" spans="104:111">
      <c r="CZ168" s="256"/>
      <c r="DG168" s="256"/>
    </row>
    <row r="169" spans="104:111">
      <c r="CZ169" s="256"/>
      <c r="DG169" s="256"/>
    </row>
    <row r="170" spans="104:111">
      <c r="CZ170" s="256"/>
      <c r="DG170" s="256"/>
    </row>
    <row r="171" spans="104:111">
      <c r="CZ171" s="256"/>
      <c r="DG171" s="256"/>
    </row>
    <row r="172" spans="104:111">
      <c r="CZ172" s="256"/>
      <c r="DG172" s="256"/>
    </row>
    <row r="173" spans="104:111">
      <c r="CZ173" s="256"/>
      <c r="DG173" s="256"/>
    </row>
    <row r="174" spans="104:111">
      <c r="CZ174" s="256"/>
      <c r="DG174" s="256"/>
    </row>
    <row r="175" spans="104:111">
      <c r="CZ175" s="256"/>
      <c r="DG175" s="256"/>
    </row>
    <row r="176" spans="104:111">
      <c r="CZ176" s="256"/>
      <c r="DG176" s="256"/>
    </row>
    <row r="177" spans="104:111">
      <c r="CZ177" s="256"/>
      <c r="DG177" s="256"/>
    </row>
    <row r="178" spans="104:111">
      <c r="CZ178" s="256"/>
      <c r="DG178" s="256"/>
    </row>
    <row r="179" spans="104:111">
      <c r="CZ179" s="256"/>
      <c r="DG179" s="256"/>
    </row>
    <row r="180" spans="104:111">
      <c r="CZ180" s="256"/>
      <c r="DG180" s="256"/>
    </row>
    <row r="181" spans="104:111">
      <c r="CZ181" s="256"/>
      <c r="DG181" s="256"/>
    </row>
    <row r="182" spans="104:111">
      <c r="CZ182" s="256"/>
      <c r="DG182" s="256"/>
    </row>
    <row r="183" spans="104:111">
      <c r="CZ183" s="256"/>
      <c r="DG183" s="256"/>
    </row>
    <row r="184" spans="104:111">
      <c r="CZ184" s="256"/>
      <c r="DG184" s="256"/>
    </row>
    <row r="185" spans="104:111">
      <c r="CZ185" s="256"/>
      <c r="DG185" s="256"/>
    </row>
    <row r="186" spans="104:111">
      <c r="CZ186" s="256"/>
      <c r="DG186" s="256"/>
    </row>
    <row r="187" spans="104:111">
      <c r="CZ187" s="256"/>
      <c r="DG187" s="256"/>
    </row>
    <row r="188" spans="104:111">
      <c r="CZ188" s="256"/>
      <c r="DG188" s="256"/>
    </row>
    <row r="189" spans="104:111">
      <c r="CZ189" s="256"/>
      <c r="DG189" s="256"/>
    </row>
    <row r="190" spans="104:111">
      <c r="CZ190" s="256"/>
      <c r="DG190" s="256"/>
    </row>
    <row r="191" spans="104:111">
      <c r="CZ191" s="256"/>
      <c r="DG191" s="256"/>
    </row>
    <row r="192" spans="104:111">
      <c r="CZ192" s="256"/>
      <c r="DG192" s="256"/>
    </row>
    <row r="193" spans="104:111">
      <c r="CZ193" s="256"/>
      <c r="DG193" s="256"/>
    </row>
    <row r="194" spans="104:111">
      <c r="CZ194" s="256"/>
      <c r="DG194" s="256"/>
    </row>
    <row r="195" spans="104:111">
      <c r="CZ195" s="256"/>
      <c r="DG195" s="256"/>
    </row>
    <row r="196" spans="104:111">
      <c r="CZ196" s="256"/>
      <c r="DG196" s="256"/>
    </row>
    <row r="197" spans="104:111">
      <c r="CZ197" s="256"/>
      <c r="DG197" s="256"/>
    </row>
    <row r="198" spans="104:111">
      <c r="CZ198" s="256"/>
      <c r="DG198" s="256"/>
    </row>
    <row r="199" spans="104:111">
      <c r="CZ199" s="256"/>
      <c r="DG199" s="256"/>
    </row>
    <row r="200" spans="104:111">
      <c r="CZ200" s="256"/>
      <c r="DG200" s="256"/>
    </row>
    <row r="201" spans="104:111">
      <c r="CZ201" s="256"/>
      <c r="DG201" s="256"/>
    </row>
    <row r="202" spans="104:111">
      <c r="CZ202" s="256"/>
      <c r="DG202" s="256"/>
    </row>
    <row r="203" spans="104:111">
      <c r="CZ203" s="256"/>
      <c r="DG203" s="256"/>
    </row>
    <row r="204" spans="104:111">
      <c r="CZ204" s="256"/>
      <c r="DG204" s="256"/>
    </row>
    <row r="205" spans="104:111">
      <c r="CZ205" s="256"/>
      <c r="DG205" s="256"/>
    </row>
    <row r="206" spans="104:111">
      <c r="CZ206" s="256"/>
      <c r="DG206" s="256"/>
    </row>
    <row r="207" spans="104:111">
      <c r="CZ207" s="256"/>
      <c r="DG207" s="256"/>
    </row>
    <row r="208" spans="104:111">
      <c r="CZ208" s="256"/>
      <c r="DG208" s="256"/>
    </row>
    <row r="209" spans="104:111">
      <c r="CZ209" s="256"/>
      <c r="DG209" s="256"/>
    </row>
    <row r="210" spans="104:111">
      <c r="CZ210" s="256"/>
      <c r="DG210" s="256"/>
    </row>
    <row r="211" spans="104:111">
      <c r="CZ211" s="256"/>
      <c r="DG211" s="256"/>
    </row>
    <row r="212" spans="104:111">
      <c r="CZ212" s="256"/>
      <c r="DG212" s="256"/>
    </row>
    <row r="213" spans="104:111">
      <c r="CZ213" s="256"/>
      <c r="DG213" s="256"/>
    </row>
    <row r="214" spans="104:111">
      <c r="CZ214" s="256"/>
      <c r="DG214" s="256"/>
    </row>
    <row r="215" spans="104:111">
      <c r="CZ215" s="256"/>
      <c r="DG215" s="256"/>
    </row>
    <row r="216" spans="104:111">
      <c r="CZ216" s="256"/>
      <c r="DG216" s="256"/>
    </row>
    <row r="217" spans="104:111">
      <c r="CZ217" s="256"/>
      <c r="DG217" s="256"/>
    </row>
    <row r="218" spans="104:111">
      <c r="CZ218" s="256"/>
      <c r="DG218" s="256"/>
    </row>
    <row r="219" spans="104:111">
      <c r="CZ219" s="256"/>
      <c r="DG219" s="256"/>
    </row>
    <row r="220" spans="104:111">
      <c r="CZ220" s="256"/>
      <c r="DG220" s="256"/>
    </row>
    <row r="221" spans="104:111">
      <c r="CZ221" s="256"/>
      <c r="DG221" s="256"/>
    </row>
    <row r="222" spans="104:111">
      <c r="CZ222" s="256"/>
      <c r="DG222" s="256"/>
    </row>
    <row r="223" spans="104:111">
      <c r="CZ223" s="256"/>
      <c r="DG223" s="256"/>
    </row>
    <row r="224" spans="104:111">
      <c r="CZ224" s="256"/>
      <c r="DG224" s="256"/>
    </row>
    <row r="225" spans="104:111">
      <c r="CZ225" s="256"/>
      <c r="DG225" s="256"/>
    </row>
    <row r="226" spans="104:111">
      <c r="CZ226" s="256"/>
      <c r="DG226" s="256"/>
    </row>
    <row r="227" spans="104:111">
      <c r="CZ227" s="256"/>
      <c r="DG227" s="256"/>
    </row>
    <row r="228" spans="104:111">
      <c r="CZ228" s="256"/>
      <c r="DG228" s="256"/>
    </row>
    <row r="229" spans="104:111">
      <c r="CZ229" s="256"/>
      <c r="DG229" s="256"/>
    </row>
    <row r="230" spans="104:111">
      <c r="CZ230" s="256"/>
      <c r="DG230" s="256"/>
    </row>
    <row r="231" spans="104:111">
      <c r="CZ231" s="256"/>
      <c r="DG231" s="256"/>
    </row>
    <row r="232" spans="104:111">
      <c r="CZ232" s="256"/>
      <c r="DG232" s="256"/>
    </row>
    <row r="233" spans="104:111">
      <c r="CZ233" s="256"/>
      <c r="DG233" s="256"/>
    </row>
    <row r="234" spans="104:111">
      <c r="CZ234" s="256"/>
      <c r="DG234" s="256"/>
    </row>
    <row r="235" spans="104:111">
      <c r="CZ235" s="256"/>
      <c r="DG235" s="256"/>
    </row>
    <row r="236" spans="104:111">
      <c r="CZ236" s="256"/>
      <c r="DG236" s="256"/>
    </row>
    <row r="237" spans="104:111">
      <c r="CZ237" s="256"/>
      <c r="DG237" s="256"/>
    </row>
    <row r="238" spans="104:111">
      <c r="CZ238" s="256"/>
      <c r="DG238" s="256"/>
    </row>
    <row r="239" spans="104:111">
      <c r="CZ239" s="256"/>
      <c r="DG239" s="256"/>
    </row>
    <row r="240" spans="104:111">
      <c r="CZ240" s="256"/>
      <c r="DG240" s="256"/>
    </row>
    <row r="241" spans="104:111">
      <c r="CZ241" s="256"/>
      <c r="DG241" s="256"/>
    </row>
    <row r="242" spans="104:111">
      <c r="CZ242" s="256"/>
      <c r="DG242" s="256"/>
    </row>
    <row r="243" spans="104:111">
      <c r="CZ243" s="256"/>
      <c r="DG243" s="256"/>
    </row>
    <row r="244" spans="104:111">
      <c r="CZ244" s="256"/>
      <c r="DG244" s="256"/>
    </row>
    <row r="245" spans="104:111">
      <c r="CZ245" s="256"/>
      <c r="DG245" s="256"/>
    </row>
    <row r="246" spans="104:111">
      <c r="CZ246" s="256"/>
      <c r="DG246" s="256"/>
    </row>
    <row r="247" spans="104:111">
      <c r="CZ247" s="256"/>
      <c r="DG247" s="256"/>
    </row>
    <row r="248" spans="104:111">
      <c r="CZ248" s="256"/>
      <c r="DG248" s="256"/>
    </row>
    <row r="249" spans="104:111">
      <c r="CZ249" s="256"/>
      <c r="DG249" s="256"/>
    </row>
    <row r="250" spans="104:111">
      <c r="CZ250" s="256"/>
      <c r="DG250" s="256"/>
    </row>
    <row r="251" spans="104:111">
      <c r="CZ251" s="256"/>
      <c r="DG251" s="256"/>
    </row>
    <row r="252" spans="104:111">
      <c r="CZ252" s="256"/>
      <c r="DG252" s="256"/>
    </row>
    <row r="253" spans="104:111">
      <c r="CZ253" s="256"/>
      <c r="DG253" s="256"/>
    </row>
    <row r="254" spans="104:111">
      <c r="CZ254" s="256"/>
      <c r="DG254" s="256"/>
    </row>
    <row r="255" spans="104:111">
      <c r="CZ255" s="256"/>
      <c r="DG255" s="256"/>
    </row>
    <row r="256" spans="104:111">
      <c r="CZ256" s="256"/>
      <c r="DG256" s="256"/>
    </row>
    <row r="257" spans="104:111">
      <c r="CZ257" s="256"/>
      <c r="DG257" s="256"/>
    </row>
    <row r="258" spans="104:111">
      <c r="CZ258" s="256"/>
      <c r="DG258" s="256"/>
    </row>
    <row r="259" spans="104:111">
      <c r="CZ259" s="256"/>
      <c r="DG259" s="256"/>
    </row>
    <row r="260" spans="104:111">
      <c r="CZ260" s="256"/>
      <c r="DG260" s="256"/>
    </row>
    <row r="261" spans="104:111">
      <c r="CZ261" s="256"/>
      <c r="DG261" s="256"/>
    </row>
    <row r="262" spans="104:111">
      <c r="CZ262" s="256"/>
      <c r="DG262" s="256"/>
    </row>
    <row r="263" spans="104:111">
      <c r="CZ263" s="256"/>
      <c r="DG263" s="256"/>
    </row>
    <row r="264" spans="104:111">
      <c r="CZ264" s="256"/>
      <c r="DG264" s="256"/>
    </row>
    <row r="265" spans="104:111">
      <c r="CZ265" s="256"/>
      <c r="DG265" s="256"/>
    </row>
    <row r="266" spans="104:111">
      <c r="CZ266" s="256"/>
      <c r="DG266" s="256"/>
    </row>
    <row r="267" spans="104:111">
      <c r="CZ267" s="256"/>
      <c r="DG267" s="256"/>
    </row>
    <row r="268" spans="104:111">
      <c r="CZ268" s="256"/>
      <c r="DG268" s="256"/>
    </row>
    <row r="269" spans="104:111">
      <c r="CZ269" s="256"/>
      <c r="DG269" s="256"/>
    </row>
    <row r="270" spans="104:111">
      <c r="CZ270" s="256"/>
      <c r="DG270" s="256"/>
    </row>
    <row r="271" spans="104:111">
      <c r="CZ271" s="256"/>
      <c r="DG271" s="256"/>
    </row>
    <row r="272" spans="104:111">
      <c r="CZ272" s="256"/>
      <c r="DG272" s="256"/>
    </row>
    <row r="273" spans="104:111">
      <c r="CZ273" s="256"/>
      <c r="DG273" s="256"/>
    </row>
    <row r="274" spans="104:111">
      <c r="CZ274" s="256"/>
      <c r="DG274" s="256"/>
    </row>
    <row r="275" spans="104:111">
      <c r="CZ275" s="256"/>
      <c r="DG275" s="256"/>
    </row>
    <row r="276" spans="104:111">
      <c r="CZ276" s="256"/>
      <c r="DG276" s="256"/>
    </row>
    <row r="277" spans="104:111">
      <c r="CZ277" s="256"/>
      <c r="DG277" s="256"/>
    </row>
    <row r="278" spans="104:111">
      <c r="CZ278" s="256"/>
      <c r="DG278" s="256"/>
    </row>
    <row r="279" spans="104:111">
      <c r="CZ279" s="256"/>
      <c r="DG279" s="256"/>
    </row>
    <row r="280" spans="104:111">
      <c r="CZ280" s="256"/>
      <c r="DG280" s="256"/>
    </row>
    <row r="281" spans="104:111">
      <c r="CZ281" s="256"/>
      <c r="DG281" s="256"/>
    </row>
    <row r="282" spans="104:111">
      <c r="CZ282" s="256"/>
      <c r="DG282" s="256"/>
    </row>
    <row r="283" spans="104:111">
      <c r="CZ283" s="256"/>
      <c r="DG283" s="256"/>
    </row>
    <row r="284" spans="104:111">
      <c r="CZ284" s="256"/>
      <c r="DG284" s="256"/>
    </row>
    <row r="285" spans="104:111">
      <c r="CZ285" s="256"/>
      <c r="DG285" s="256"/>
    </row>
    <row r="286" spans="104:111">
      <c r="CZ286" s="256"/>
      <c r="DG286" s="256"/>
    </row>
    <row r="287" spans="104:111">
      <c r="CZ287" s="256"/>
      <c r="DG287" s="256"/>
    </row>
    <row r="288" spans="104:111">
      <c r="CZ288" s="256"/>
      <c r="DG288" s="256"/>
    </row>
    <row r="289" spans="104:111">
      <c r="CZ289" s="256"/>
      <c r="DG289" s="256"/>
    </row>
    <row r="290" spans="104:111">
      <c r="CZ290" s="256"/>
      <c r="DG290" s="256"/>
    </row>
    <row r="291" spans="104:111">
      <c r="CZ291" s="256"/>
      <c r="DG291" s="256"/>
    </row>
    <row r="292" spans="104:111">
      <c r="CZ292" s="256"/>
      <c r="DG292" s="256"/>
    </row>
    <row r="293" spans="104:111">
      <c r="CZ293" s="256"/>
      <c r="DG293" s="256"/>
    </row>
    <row r="294" spans="104:111">
      <c r="CZ294" s="256"/>
      <c r="DG294" s="256"/>
    </row>
    <row r="295" spans="104:111">
      <c r="CZ295" s="256"/>
      <c r="DG295" s="256"/>
    </row>
    <row r="296" spans="104:111">
      <c r="CZ296" s="256"/>
      <c r="DG296" s="256"/>
    </row>
    <row r="297" spans="104:111">
      <c r="CZ297" s="256"/>
      <c r="DG297" s="256"/>
    </row>
    <row r="298" spans="104:111">
      <c r="CZ298" s="256"/>
      <c r="DG298" s="256"/>
    </row>
    <row r="299" spans="104:111">
      <c r="CZ299" s="256"/>
      <c r="DG299" s="256"/>
    </row>
    <row r="300" spans="104:111">
      <c r="CZ300" s="256"/>
      <c r="DG300" s="256"/>
    </row>
    <row r="301" spans="104:111">
      <c r="CZ301" s="256"/>
      <c r="DG301" s="256"/>
    </row>
    <row r="302" spans="104:111">
      <c r="CZ302" s="256"/>
      <c r="DG302" s="256"/>
    </row>
    <row r="303" spans="104:111">
      <c r="CZ303" s="256"/>
      <c r="DG303" s="256"/>
    </row>
    <row r="304" spans="104:111">
      <c r="CZ304" s="256"/>
      <c r="DG304" s="256"/>
    </row>
    <row r="305" spans="104:111">
      <c r="CZ305" s="256"/>
      <c r="DG305" s="256"/>
    </row>
    <row r="306" spans="104:111">
      <c r="CZ306" s="256"/>
      <c r="DG306" s="256"/>
    </row>
    <row r="307" spans="104:111">
      <c r="CZ307" s="256"/>
      <c r="DG307" s="256"/>
    </row>
    <row r="308" spans="104:111">
      <c r="CZ308" s="256"/>
      <c r="DG308" s="256"/>
    </row>
    <row r="309" spans="104:111">
      <c r="CZ309" s="256"/>
      <c r="DG309" s="256"/>
    </row>
    <row r="310" spans="104:111">
      <c r="CZ310" s="256"/>
      <c r="DG310" s="256"/>
    </row>
    <row r="311" spans="104:111">
      <c r="CZ311" s="256"/>
      <c r="DG311" s="256"/>
    </row>
    <row r="312" spans="104:111">
      <c r="CZ312" s="256"/>
      <c r="DG312" s="256"/>
    </row>
    <row r="313" spans="104:111">
      <c r="CZ313" s="256"/>
      <c r="DG313" s="256"/>
    </row>
    <row r="314" spans="104:111">
      <c r="CZ314" s="256"/>
      <c r="DG314" s="256"/>
    </row>
    <row r="315" spans="104:111">
      <c r="CZ315" s="256"/>
      <c r="DG315" s="256"/>
    </row>
    <row r="316" spans="104:111">
      <c r="CZ316" s="256"/>
      <c r="DG316" s="256"/>
    </row>
    <row r="317" spans="104:111">
      <c r="CZ317" s="256"/>
      <c r="DG317" s="256"/>
    </row>
    <row r="318" spans="104:111">
      <c r="CZ318" s="256"/>
      <c r="DG318" s="256"/>
    </row>
    <row r="319" spans="104:111">
      <c r="CZ319" s="256"/>
      <c r="DG319" s="256"/>
    </row>
    <row r="320" spans="104:111">
      <c r="CZ320" s="256"/>
      <c r="DG320" s="256"/>
    </row>
    <row r="321" spans="104:111">
      <c r="CZ321" s="256"/>
      <c r="DG321" s="256"/>
    </row>
    <row r="322" spans="104:111">
      <c r="CZ322" s="256"/>
      <c r="DG322" s="256"/>
    </row>
    <row r="323" spans="104:111">
      <c r="CZ323" s="256"/>
      <c r="DG323" s="256"/>
    </row>
    <row r="324" spans="104:111">
      <c r="CZ324" s="256"/>
      <c r="DG324" s="256"/>
    </row>
    <row r="325" spans="104:111">
      <c r="CZ325" s="256"/>
      <c r="DG325" s="256"/>
    </row>
    <row r="326" spans="104:111">
      <c r="CZ326" s="256"/>
      <c r="DG326" s="256"/>
    </row>
    <row r="327" spans="104:111">
      <c r="CZ327" s="256"/>
      <c r="DG327" s="256"/>
    </row>
    <row r="328" spans="104:111">
      <c r="CZ328" s="256"/>
      <c r="DG328" s="256"/>
    </row>
    <row r="329" spans="104:111">
      <c r="CZ329" s="256"/>
      <c r="DG329" s="256"/>
    </row>
    <row r="330" spans="104:111">
      <c r="CZ330" s="256"/>
      <c r="DG330" s="256"/>
    </row>
    <row r="331" spans="104:111">
      <c r="CZ331" s="256"/>
      <c r="DG331" s="256"/>
    </row>
    <row r="332" spans="104:111">
      <c r="CZ332" s="256"/>
      <c r="DG332" s="256"/>
    </row>
    <row r="333" spans="104:111">
      <c r="CZ333" s="256"/>
      <c r="DG333" s="256"/>
    </row>
    <row r="334" spans="104:111">
      <c r="CZ334" s="256"/>
      <c r="DG334" s="256"/>
    </row>
    <row r="335" spans="104:111">
      <c r="CZ335" s="256"/>
      <c r="DG335" s="256"/>
    </row>
    <row r="336" spans="104:111">
      <c r="CZ336" s="256"/>
      <c r="DG336" s="256"/>
    </row>
    <row r="337" spans="104:111">
      <c r="CZ337" s="256"/>
      <c r="DG337" s="256"/>
    </row>
    <row r="338" spans="104:111">
      <c r="CZ338" s="256"/>
      <c r="DG338" s="256"/>
    </row>
    <row r="339" spans="104:111">
      <c r="CZ339" s="256"/>
      <c r="DG339" s="256"/>
    </row>
    <row r="340" spans="104:111">
      <c r="CZ340" s="256"/>
      <c r="DG340" s="256"/>
    </row>
    <row r="341" spans="104:111">
      <c r="CZ341" s="256"/>
      <c r="DG341" s="256"/>
    </row>
    <row r="342" spans="104:111">
      <c r="CZ342" s="256"/>
      <c r="DG342" s="256"/>
    </row>
    <row r="343" spans="104:111">
      <c r="CZ343" s="256"/>
      <c r="DG343" s="256"/>
    </row>
    <row r="344" spans="104:111">
      <c r="CZ344" s="256"/>
      <c r="DG344" s="256"/>
    </row>
    <row r="345" spans="104:111">
      <c r="CZ345" s="256"/>
      <c r="DG345" s="256"/>
    </row>
    <row r="346" spans="104:111">
      <c r="CZ346" s="256"/>
      <c r="DG346" s="256"/>
    </row>
    <row r="347" spans="104:111">
      <c r="CZ347" s="256"/>
      <c r="DG347" s="256"/>
    </row>
    <row r="348" spans="104:111">
      <c r="CZ348" s="256"/>
      <c r="DG348" s="256"/>
    </row>
    <row r="349" spans="104:111">
      <c r="CZ349" s="256"/>
      <c r="DG349" s="256"/>
    </row>
    <row r="350" spans="104:111">
      <c r="CZ350" s="256"/>
      <c r="DG350" s="256"/>
    </row>
    <row r="351" spans="104:111">
      <c r="CZ351" s="256"/>
      <c r="DG351" s="256"/>
    </row>
    <row r="352" spans="104:111">
      <c r="CZ352" s="256"/>
      <c r="DG352" s="256"/>
    </row>
    <row r="353" spans="104:111">
      <c r="CZ353" s="256"/>
      <c r="DG353" s="256"/>
    </row>
    <row r="354" spans="104:111">
      <c r="CZ354" s="256"/>
      <c r="DG354" s="256"/>
    </row>
    <row r="355" spans="104:111">
      <c r="CZ355" s="256"/>
      <c r="DG355" s="256"/>
    </row>
    <row r="356" spans="104:111">
      <c r="CZ356" s="256"/>
      <c r="DG356" s="256"/>
    </row>
    <row r="357" spans="104:111">
      <c r="CZ357" s="256"/>
      <c r="DG357" s="256"/>
    </row>
    <row r="358" spans="104:111">
      <c r="CZ358" s="256"/>
      <c r="DG358" s="256"/>
    </row>
    <row r="359" spans="104:111">
      <c r="CZ359" s="256"/>
      <c r="DG359" s="256"/>
    </row>
    <row r="360" spans="104:111">
      <c r="CZ360" s="256"/>
      <c r="DG360" s="256"/>
    </row>
    <row r="361" spans="104:111">
      <c r="CZ361" s="256"/>
      <c r="DG361" s="256"/>
    </row>
    <row r="362" spans="104:111">
      <c r="CZ362" s="256"/>
      <c r="DG362" s="256"/>
    </row>
    <row r="363" spans="104:111">
      <c r="CZ363" s="256"/>
      <c r="DG363" s="256"/>
    </row>
    <row r="364" spans="104:111">
      <c r="CZ364" s="256"/>
      <c r="DG364" s="256"/>
    </row>
    <row r="365" spans="104:111">
      <c r="CZ365" s="256"/>
      <c r="DG365" s="256"/>
    </row>
    <row r="366" spans="104:111">
      <c r="CZ366" s="256"/>
      <c r="DG366" s="256"/>
    </row>
    <row r="367" spans="104:111">
      <c r="CZ367" s="256"/>
      <c r="DG367" s="256"/>
    </row>
    <row r="368" spans="104:111">
      <c r="CZ368" s="256"/>
      <c r="DG368" s="256"/>
    </row>
    <row r="369" spans="104:111">
      <c r="CZ369" s="256"/>
      <c r="DG369" s="256"/>
    </row>
    <row r="370" spans="104:111">
      <c r="CZ370" s="256"/>
      <c r="DG370" s="256"/>
    </row>
    <row r="371" spans="104:111">
      <c r="CZ371" s="256"/>
      <c r="DG371" s="256"/>
    </row>
    <row r="372" spans="104:111">
      <c r="CZ372" s="256"/>
      <c r="DG372" s="256"/>
    </row>
    <row r="373" spans="104:111">
      <c r="CZ373" s="256"/>
      <c r="DG373" s="256"/>
    </row>
    <row r="374" spans="104:111">
      <c r="CZ374" s="256"/>
      <c r="DG374" s="256"/>
    </row>
    <row r="375" spans="104:111">
      <c r="CZ375" s="256"/>
      <c r="DG375" s="256"/>
    </row>
    <row r="376" spans="104:111">
      <c r="CZ376" s="256"/>
      <c r="DG376" s="256"/>
    </row>
    <row r="377" spans="104:111">
      <c r="CZ377" s="256"/>
      <c r="DG377" s="256"/>
    </row>
    <row r="378" spans="104:111">
      <c r="CZ378" s="256"/>
      <c r="DG378" s="256"/>
    </row>
    <row r="379" spans="104:111">
      <c r="CZ379" s="256"/>
      <c r="DG379" s="256"/>
    </row>
    <row r="380" spans="104:111">
      <c r="CZ380" s="256"/>
      <c r="DG380" s="256"/>
    </row>
    <row r="381" spans="104:111">
      <c r="CZ381" s="256"/>
      <c r="DG381" s="256"/>
    </row>
    <row r="382" spans="104:111">
      <c r="CZ382" s="256"/>
      <c r="DG382" s="256"/>
    </row>
    <row r="383" spans="104:111">
      <c r="CZ383" s="256"/>
      <c r="DG383" s="256"/>
    </row>
    <row r="384" spans="104:111">
      <c r="CZ384" s="256"/>
      <c r="DG384" s="256"/>
    </row>
    <row r="385" spans="104:111">
      <c r="CZ385" s="256"/>
      <c r="DG385" s="256"/>
    </row>
    <row r="386" spans="104:111">
      <c r="CZ386" s="256"/>
      <c r="DG386" s="256"/>
    </row>
    <row r="387" spans="104:111">
      <c r="CZ387" s="256"/>
      <c r="DG387" s="256"/>
    </row>
    <row r="388" spans="104:111">
      <c r="CZ388" s="256"/>
      <c r="DG388" s="256"/>
    </row>
    <row r="389" spans="104:111">
      <c r="CZ389" s="256"/>
      <c r="DG389" s="256"/>
    </row>
    <row r="390" spans="104:111">
      <c r="CZ390" s="256"/>
      <c r="DG390" s="256"/>
    </row>
    <row r="391" spans="104:111">
      <c r="CZ391" s="256"/>
      <c r="DG391" s="256"/>
    </row>
    <row r="392" spans="104:111">
      <c r="CZ392" s="256"/>
      <c r="DG392" s="256"/>
    </row>
    <row r="393" spans="104:111">
      <c r="CZ393" s="256"/>
      <c r="DG393" s="256"/>
    </row>
    <row r="394" spans="104:111">
      <c r="CZ394" s="256"/>
      <c r="DG394" s="256"/>
    </row>
    <row r="395" spans="104:111">
      <c r="CZ395" s="256"/>
      <c r="DG395" s="256"/>
    </row>
    <row r="396" spans="104:111">
      <c r="CZ396" s="256"/>
      <c r="DG396" s="256"/>
    </row>
    <row r="397" spans="104:111">
      <c r="CZ397" s="256"/>
      <c r="DG397" s="256"/>
    </row>
    <row r="398" spans="104:111">
      <c r="CZ398" s="256"/>
      <c r="DG398" s="256"/>
    </row>
    <row r="399" spans="104:111">
      <c r="CZ399" s="256"/>
      <c r="DG399" s="256"/>
    </row>
    <row r="400" spans="104:111">
      <c r="CZ400" s="256"/>
      <c r="DG400" s="256"/>
    </row>
    <row r="401" spans="104:111">
      <c r="CZ401" s="256"/>
      <c r="DG401" s="256"/>
    </row>
    <row r="402" spans="104:111">
      <c r="CZ402" s="256"/>
      <c r="DG402" s="256"/>
    </row>
    <row r="403" spans="104:111">
      <c r="CZ403" s="256"/>
      <c r="DG403" s="256"/>
    </row>
    <row r="404" spans="104:111">
      <c r="CZ404" s="256"/>
      <c r="DG404" s="256"/>
    </row>
    <row r="405" spans="104:111">
      <c r="CZ405" s="256"/>
      <c r="DG405" s="256"/>
    </row>
    <row r="406" spans="104:111">
      <c r="CZ406" s="256"/>
      <c r="DG406" s="256"/>
    </row>
    <row r="407" spans="104:111">
      <c r="CZ407" s="256"/>
      <c r="DG407" s="256"/>
    </row>
    <row r="408" spans="104:111">
      <c r="CZ408" s="256"/>
      <c r="DG408" s="256"/>
    </row>
    <row r="409" spans="104:111">
      <c r="CZ409" s="256"/>
      <c r="DG409" s="256"/>
    </row>
    <row r="410" spans="104:111">
      <c r="CZ410" s="256"/>
      <c r="DG410" s="256"/>
    </row>
    <row r="411" spans="104:111">
      <c r="CZ411" s="256"/>
      <c r="DG411" s="256"/>
    </row>
    <row r="412" spans="104:111">
      <c r="CZ412" s="256"/>
      <c r="DG412" s="256"/>
    </row>
    <row r="413" spans="104:111">
      <c r="CZ413" s="256"/>
      <c r="DG413" s="256"/>
    </row>
    <row r="414" spans="104:111">
      <c r="CZ414" s="256"/>
      <c r="DG414" s="256"/>
    </row>
    <row r="415" spans="104:111">
      <c r="CZ415" s="256"/>
      <c r="DG415" s="256"/>
    </row>
    <row r="416" spans="104:111">
      <c r="CZ416" s="256"/>
      <c r="DG416" s="256"/>
    </row>
    <row r="417" spans="104:111">
      <c r="CZ417" s="256"/>
      <c r="DG417" s="256"/>
    </row>
    <row r="418" spans="104:111">
      <c r="CZ418" s="256"/>
      <c r="DG418" s="256"/>
    </row>
    <row r="419" spans="104:111">
      <c r="CZ419" s="256"/>
      <c r="DG419" s="256"/>
    </row>
    <row r="420" spans="104:111">
      <c r="CZ420" s="256"/>
      <c r="DG420" s="256"/>
    </row>
    <row r="421" spans="104:111">
      <c r="CZ421" s="256"/>
      <c r="DG421" s="256"/>
    </row>
    <row r="422" spans="104:111">
      <c r="CZ422" s="256"/>
      <c r="DG422" s="256"/>
    </row>
    <row r="423" spans="104:111">
      <c r="CZ423" s="256"/>
      <c r="DG423" s="256"/>
    </row>
    <row r="424" spans="104:111">
      <c r="CZ424" s="256"/>
      <c r="DG424" s="256"/>
    </row>
    <row r="425" spans="104:111">
      <c r="CZ425" s="256"/>
      <c r="DG425" s="256"/>
    </row>
    <row r="426" spans="104:111">
      <c r="CZ426" s="256"/>
      <c r="DG426" s="256"/>
    </row>
    <row r="427" spans="104:111">
      <c r="CZ427" s="256"/>
      <c r="DG427" s="256"/>
    </row>
    <row r="428" spans="104:111">
      <c r="CZ428" s="256"/>
      <c r="DG428" s="256"/>
    </row>
    <row r="429" spans="104:111">
      <c r="CZ429" s="256"/>
      <c r="DG429" s="256"/>
    </row>
    <row r="430" spans="104:111">
      <c r="CZ430" s="256"/>
      <c r="DG430" s="256"/>
    </row>
    <row r="431" spans="104:111">
      <c r="CZ431" s="256"/>
      <c r="DG431" s="256"/>
    </row>
    <row r="432" spans="104:111">
      <c r="CZ432" s="256"/>
      <c r="DG432" s="256"/>
    </row>
    <row r="433" spans="104:111">
      <c r="CZ433" s="256"/>
      <c r="DG433" s="256"/>
    </row>
    <row r="434" spans="104:111">
      <c r="CZ434" s="256"/>
      <c r="DG434" s="256"/>
    </row>
    <row r="435" spans="104:111">
      <c r="CZ435" s="256"/>
      <c r="DG435" s="256"/>
    </row>
    <row r="436" spans="104:111">
      <c r="CZ436" s="256"/>
      <c r="DG436" s="256"/>
    </row>
    <row r="437" spans="104:111">
      <c r="CZ437" s="256"/>
      <c r="DG437" s="256"/>
    </row>
    <row r="438" spans="104:111">
      <c r="CZ438" s="256"/>
      <c r="DG438" s="256"/>
    </row>
    <row r="439" spans="104:111">
      <c r="CZ439" s="256"/>
      <c r="DG439" s="256"/>
    </row>
    <row r="440" spans="104:111">
      <c r="CZ440" s="256"/>
      <c r="DG440" s="256"/>
    </row>
    <row r="441" spans="104:111">
      <c r="CZ441" s="256"/>
      <c r="DG441" s="256"/>
    </row>
    <row r="442" spans="104:111">
      <c r="CZ442" s="256"/>
      <c r="DG442" s="256"/>
    </row>
    <row r="443" spans="104:111">
      <c r="CZ443" s="256"/>
      <c r="DG443" s="256"/>
    </row>
    <row r="444" spans="104:111">
      <c r="CZ444" s="256"/>
      <c r="DG444" s="256"/>
    </row>
    <row r="445" spans="104:111">
      <c r="CZ445" s="256"/>
      <c r="DG445" s="256"/>
    </row>
    <row r="446" spans="104:111">
      <c r="CZ446" s="256"/>
      <c r="DG446" s="256"/>
    </row>
    <row r="447" spans="104:111">
      <c r="CZ447" s="256"/>
      <c r="DG447" s="256"/>
    </row>
    <row r="448" spans="104:111">
      <c r="CZ448" s="256"/>
      <c r="DG448" s="256"/>
    </row>
    <row r="449" spans="104:111">
      <c r="CZ449" s="256"/>
      <c r="DG449" s="256"/>
    </row>
    <row r="450" spans="104:111">
      <c r="CZ450" s="256"/>
      <c r="DG450" s="256"/>
    </row>
    <row r="451" spans="104:111">
      <c r="CZ451" s="256"/>
      <c r="DG451" s="256"/>
    </row>
    <row r="452" spans="104:111">
      <c r="CZ452" s="256"/>
      <c r="DG452" s="256"/>
    </row>
    <row r="453" spans="104:111">
      <c r="CZ453" s="256"/>
      <c r="DG453" s="256"/>
    </row>
    <row r="454" spans="104:111">
      <c r="CZ454" s="256"/>
      <c r="DG454" s="256"/>
    </row>
    <row r="455" spans="104:111">
      <c r="CZ455" s="256"/>
      <c r="DG455" s="256"/>
    </row>
    <row r="456" spans="104:111">
      <c r="CZ456" s="256"/>
      <c r="DG456" s="256"/>
    </row>
    <row r="457" spans="104:111">
      <c r="CZ457" s="256"/>
      <c r="DG457" s="256"/>
    </row>
    <row r="458" spans="104:111">
      <c r="CZ458" s="256"/>
      <c r="DG458" s="256"/>
    </row>
    <row r="459" spans="104:111">
      <c r="CZ459" s="256"/>
      <c r="DG459" s="256"/>
    </row>
    <row r="460" spans="104:111">
      <c r="CZ460" s="256"/>
      <c r="DG460" s="256"/>
    </row>
    <row r="461" spans="104:111">
      <c r="CZ461" s="256"/>
      <c r="DG461" s="256"/>
    </row>
    <row r="462" spans="104:111">
      <c r="CZ462" s="256"/>
      <c r="DG462" s="256"/>
    </row>
    <row r="463" spans="104:111">
      <c r="CZ463" s="256"/>
      <c r="DG463" s="256"/>
    </row>
    <row r="464" spans="104:111">
      <c r="CZ464" s="256"/>
      <c r="DG464" s="256"/>
    </row>
    <row r="465" spans="104:111">
      <c r="CZ465" s="256"/>
      <c r="DG465" s="256"/>
    </row>
    <row r="466" spans="104:111">
      <c r="CZ466" s="256"/>
      <c r="DG466" s="256"/>
    </row>
    <row r="467" spans="104:111">
      <c r="CZ467" s="256"/>
      <c r="DG467" s="256"/>
    </row>
    <row r="468" spans="104:111">
      <c r="CZ468" s="256"/>
      <c r="DG468" s="256"/>
    </row>
    <row r="469" spans="104:111">
      <c r="CZ469" s="256"/>
      <c r="DG469" s="256"/>
    </row>
    <row r="470" spans="104:111">
      <c r="CZ470" s="256"/>
      <c r="DG470" s="256"/>
    </row>
    <row r="471" spans="104:111">
      <c r="CZ471" s="256"/>
      <c r="DG471" s="256"/>
    </row>
    <row r="472" spans="104:111">
      <c r="CZ472" s="256"/>
      <c r="DG472" s="256"/>
    </row>
    <row r="473" spans="104:111">
      <c r="CZ473" s="256"/>
      <c r="DG473" s="256"/>
    </row>
    <row r="474" spans="104:111">
      <c r="CZ474" s="256"/>
      <c r="DG474" s="256"/>
    </row>
    <row r="475" spans="104:111">
      <c r="CZ475" s="256"/>
      <c r="DG475" s="256"/>
    </row>
    <row r="476" spans="104:111">
      <c r="CZ476" s="256"/>
      <c r="DG476" s="256"/>
    </row>
    <row r="477" spans="104:111">
      <c r="CZ477" s="256"/>
      <c r="DG477" s="256"/>
    </row>
    <row r="478" spans="104:111">
      <c r="CZ478" s="256"/>
      <c r="DG478" s="256"/>
    </row>
    <row r="479" spans="104:111">
      <c r="CZ479" s="256"/>
      <c r="DG479" s="256"/>
    </row>
    <row r="480" spans="104:111">
      <c r="CZ480" s="256"/>
      <c r="DG480" s="256"/>
    </row>
    <row r="481" spans="104:111">
      <c r="CZ481" s="256"/>
      <c r="DG481" s="256"/>
    </row>
    <row r="482" spans="104:111">
      <c r="CZ482" s="256"/>
      <c r="DG482" s="256"/>
    </row>
    <row r="483" spans="104:111">
      <c r="CZ483" s="256"/>
      <c r="DG483" s="256"/>
    </row>
    <row r="484" spans="104:111">
      <c r="CZ484" s="256"/>
      <c r="DG484" s="256"/>
    </row>
    <row r="485" spans="104:111">
      <c r="CZ485" s="256"/>
      <c r="DG485" s="256"/>
    </row>
    <row r="486" spans="104:111">
      <c r="CZ486" s="256"/>
      <c r="DG486" s="256"/>
    </row>
    <row r="487" spans="104:111">
      <c r="CZ487" s="256"/>
      <c r="DG487" s="256"/>
    </row>
    <row r="488" spans="104:111">
      <c r="CZ488" s="256"/>
      <c r="DG488" s="256"/>
    </row>
    <row r="489" spans="104:111">
      <c r="CZ489" s="256"/>
      <c r="DG489" s="256"/>
    </row>
    <row r="490" spans="104:111">
      <c r="CZ490" s="256"/>
      <c r="DG490" s="256"/>
    </row>
    <row r="491" spans="104:111">
      <c r="CZ491" s="256"/>
      <c r="DG491" s="256"/>
    </row>
    <row r="492" spans="104:111">
      <c r="CZ492" s="256"/>
      <c r="DG492" s="256"/>
    </row>
    <row r="493" spans="104:111">
      <c r="CZ493" s="256"/>
      <c r="DG493" s="256"/>
    </row>
    <row r="494" spans="104:111">
      <c r="CZ494" s="256"/>
      <c r="DG494" s="256"/>
    </row>
    <row r="495" spans="104:111">
      <c r="CZ495" s="256"/>
      <c r="DG495" s="256"/>
    </row>
    <row r="496" spans="104:111">
      <c r="CZ496" s="256"/>
      <c r="DG496" s="256"/>
    </row>
    <row r="497" spans="104:111">
      <c r="CZ497" s="256"/>
      <c r="DG497" s="256"/>
    </row>
    <row r="498" spans="104:111">
      <c r="CZ498" s="256"/>
      <c r="DG498" s="256"/>
    </row>
    <row r="499" spans="104:111">
      <c r="CZ499" s="256"/>
      <c r="DG499" s="256"/>
    </row>
    <row r="500" spans="104:111">
      <c r="CZ500" s="256"/>
      <c r="DG500" s="256"/>
    </row>
    <row r="501" spans="104:111">
      <c r="CZ501" s="256"/>
      <c r="DG501" s="256"/>
    </row>
    <row r="502" spans="104:111">
      <c r="CZ502" s="256"/>
      <c r="DG502" s="256"/>
    </row>
    <row r="503" spans="104:111">
      <c r="CZ503" s="256"/>
      <c r="DG503" s="256"/>
    </row>
    <row r="504" spans="104:111">
      <c r="CZ504" s="256"/>
      <c r="DG504" s="256"/>
    </row>
    <row r="505" spans="104:111">
      <c r="CZ505" s="256"/>
      <c r="DG505" s="256"/>
    </row>
    <row r="506" spans="104:111">
      <c r="CZ506" s="256"/>
      <c r="DG506" s="256"/>
    </row>
    <row r="507" spans="104:111">
      <c r="CZ507" s="256"/>
      <c r="DG507" s="256"/>
    </row>
    <row r="508" spans="104:111">
      <c r="CZ508" s="256"/>
      <c r="DG508" s="256"/>
    </row>
    <row r="509" spans="104:111">
      <c r="CZ509" s="256"/>
      <c r="DG509" s="256"/>
    </row>
    <row r="510" spans="104:111">
      <c r="CZ510" s="256"/>
      <c r="DG510" s="256"/>
    </row>
    <row r="511" spans="104:111">
      <c r="CZ511" s="256"/>
      <c r="DG511" s="256"/>
    </row>
    <row r="512" spans="104:111">
      <c r="CZ512" s="256"/>
      <c r="DG512" s="256"/>
    </row>
    <row r="513" spans="104:111">
      <c r="CZ513" s="256"/>
      <c r="DG513" s="256"/>
    </row>
    <row r="514" spans="104:111">
      <c r="CZ514" s="256"/>
      <c r="DG514" s="256"/>
    </row>
    <row r="515" spans="104:111">
      <c r="CZ515" s="256"/>
      <c r="DG515" s="256"/>
    </row>
    <row r="516" spans="104:111">
      <c r="CZ516" s="256"/>
      <c r="DG516" s="256"/>
    </row>
    <row r="517" spans="104:111">
      <c r="CZ517" s="256"/>
      <c r="DG517" s="256"/>
    </row>
    <row r="518" spans="104:111">
      <c r="CZ518" s="256"/>
      <c r="DG518" s="256"/>
    </row>
    <row r="519" spans="104:111">
      <c r="CZ519" s="256"/>
      <c r="DG519" s="256"/>
    </row>
    <row r="520" spans="104:111">
      <c r="CZ520" s="256"/>
      <c r="DG520" s="256"/>
    </row>
    <row r="521" spans="104:111">
      <c r="CZ521" s="256"/>
      <c r="DG521" s="256"/>
    </row>
    <row r="522" spans="104:111">
      <c r="CZ522" s="256"/>
      <c r="DG522" s="256"/>
    </row>
    <row r="523" spans="104:111">
      <c r="CZ523" s="256"/>
      <c r="DG523" s="256"/>
    </row>
    <row r="524" spans="104:111">
      <c r="CZ524" s="256"/>
      <c r="DG524" s="256"/>
    </row>
    <row r="525" spans="104:111">
      <c r="CZ525" s="256"/>
      <c r="DG525" s="256"/>
    </row>
    <row r="526" spans="104:111">
      <c r="CZ526" s="256"/>
      <c r="DG526" s="256"/>
    </row>
    <row r="527" spans="104:111">
      <c r="CZ527" s="256"/>
      <c r="DG527" s="256"/>
    </row>
    <row r="528" spans="104:111">
      <c r="CZ528" s="256"/>
      <c r="DG528" s="256"/>
    </row>
    <row r="529" spans="104:111">
      <c r="CZ529" s="256"/>
      <c r="DG529" s="256"/>
    </row>
    <row r="530" spans="104:111">
      <c r="CZ530" s="256"/>
      <c r="DG530" s="256"/>
    </row>
    <row r="531" spans="104:111">
      <c r="CZ531" s="256"/>
      <c r="DG531" s="256"/>
    </row>
    <row r="532" spans="104:111">
      <c r="CZ532" s="256"/>
      <c r="DG532" s="256"/>
    </row>
    <row r="533" spans="104:111">
      <c r="CZ533" s="256"/>
      <c r="DG533" s="256"/>
    </row>
    <row r="534" spans="104:111">
      <c r="CZ534" s="256"/>
      <c r="DG534" s="256"/>
    </row>
    <row r="535" spans="104:111">
      <c r="CZ535" s="256"/>
      <c r="DG535" s="256"/>
    </row>
    <row r="536" spans="104:111">
      <c r="CZ536" s="256"/>
      <c r="DG536" s="256"/>
    </row>
    <row r="537" spans="104:111">
      <c r="CZ537" s="256"/>
      <c r="DG537" s="256"/>
    </row>
    <row r="538" spans="104:111">
      <c r="CZ538" s="256"/>
      <c r="DG538" s="256"/>
    </row>
    <row r="539" spans="104:111">
      <c r="CZ539" s="256"/>
      <c r="DG539" s="256"/>
    </row>
    <row r="540" spans="104:111">
      <c r="CZ540" s="256"/>
      <c r="DG540" s="256"/>
    </row>
    <row r="541" spans="104:111">
      <c r="CZ541" s="256"/>
      <c r="DG541" s="256"/>
    </row>
    <row r="542" spans="104:111">
      <c r="CZ542" s="256"/>
      <c r="DG542" s="256"/>
    </row>
    <row r="543" spans="104:111">
      <c r="CZ543" s="256"/>
      <c r="DG543" s="256"/>
    </row>
    <row r="544" spans="104:111">
      <c r="CZ544" s="256"/>
      <c r="DG544" s="256"/>
    </row>
    <row r="545" spans="104:111">
      <c r="CZ545" s="256"/>
      <c r="DG545" s="256"/>
    </row>
    <row r="546" spans="104:111">
      <c r="CZ546" s="256"/>
      <c r="DG546" s="256"/>
    </row>
    <row r="547" spans="104:111">
      <c r="CZ547" s="256"/>
      <c r="DG547" s="256"/>
    </row>
    <row r="548" spans="104:111">
      <c r="CZ548" s="256"/>
      <c r="DG548" s="256"/>
    </row>
    <row r="549" spans="104:111">
      <c r="CZ549" s="256"/>
      <c r="DG549" s="256"/>
    </row>
    <row r="550" spans="104:111">
      <c r="CZ550" s="256"/>
      <c r="DG550" s="256"/>
    </row>
    <row r="551" spans="104:111">
      <c r="CZ551" s="256"/>
      <c r="DG551" s="256"/>
    </row>
    <row r="552" spans="104:111">
      <c r="CZ552" s="256"/>
      <c r="DG552" s="256"/>
    </row>
    <row r="553" spans="104:111">
      <c r="CZ553" s="256"/>
      <c r="DG553" s="256"/>
    </row>
    <row r="554" spans="104:111">
      <c r="CZ554" s="256"/>
      <c r="DG554" s="256"/>
    </row>
    <row r="555" spans="104:111">
      <c r="CZ555" s="256"/>
      <c r="DG555" s="256"/>
    </row>
    <row r="556" spans="104:111">
      <c r="CZ556" s="256"/>
      <c r="DG556" s="256"/>
    </row>
    <row r="557" spans="104:111">
      <c r="CZ557" s="256"/>
      <c r="DG557" s="256"/>
    </row>
    <row r="558" spans="104:111">
      <c r="CZ558" s="256"/>
      <c r="DG558" s="256"/>
    </row>
    <row r="559" spans="104:111">
      <c r="CZ559" s="256"/>
      <c r="DG559" s="256"/>
    </row>
    <row r="560" spans="104:111">
      <c r="CZ560" s="256"/>
      <c r="DG560" s="256"/>
    </row>
    <row r="561" spans="104:111">
      <c r="CZ561" s="256"/>
      <c r="DG561" s="256"/>
    </row>
    <row r="562" spans="104:111">
      <c r="CZ562" s="256"/>
      <c r="DG562" s="256"/>
    </row>
    <row r="563" spans="104:111">
      <c r="CZ563" s="256"/>
      <c r="DG563" s="256"/>
    </row>
    <row r="564" spans="104:111">
      <c r="CZ564" s="256"/>
      <c r="DG564" s="256"/>
    </row>
    <row r="565" spans="104:111">
      <c r="CZ565" s="256"/>
      <c r="DG565" s="256"/>
    </row>
    <row r="566" spans="104:111">
      <c r="CZ566" s="256"/>
      <c r="DG566" s="256"/>
    </row>
    <row r="567" spans="104:111">
      <c r="CZ567" s="256"/>
      <c r="DG567" s="256"/>
    </row>
    <row r="568" spans="104:111">
      <c r="CZ568" s="256"/>
      <c r="DG568" s="256"/>
    </row>
    <row r="569" spans="104:111">
      <c r="CZ569" s="256"/>
      <c r="DG569" s="256"/>
    </row>
    <row r="570" spans="104:111">
      <c r="CZ570" s="256"/>
      <c r="DG570" s="256"/>
    </row>
    <row r="571" spans="104:111">
      <c r="CZ571" s="256"/>
      <c r="DG571" s="256"/>
    </row>
    <row r="572" spans="104:111">
      <c r="CZ572" s="256"/>
      <c r="DG572" s="256"/>
    </row>
    <row r="573" spans="104:111">
      <c r="CZ573" s="256"/>
      <c r="DG573" s="256"/>
    </row>
    <row r="574" spans="104:111">
      <c r="CZ574" s="256"/>
      <c r="DG574" s="256"/>
    </row>
    <row r="575" spans="104:111">
      <c r="CZ575" s="256"/>
      <c r="DG575" s="256"/>
    </row>
    <row r="576" spans="104:111">
      <c r="CZ576" s="256"/>
      <c r="DG576" s="256"/>
    </row>
    <row r="577" spans="104:111">
      <c r="CZ577" s="256"/>
      <c r="DG577" s="256"/>
    </row>
    <row r="578" spans="104:111">
      <c r="CZ578" s="256"/>
      <c r="DG578" s="256"/>
    </row>
    <row r="579" spans="104:111">
      <c r="CZ579" s="256"/>
      <c r="DG579" s="256"/>
    </row>
    <row r="580" spans="104:111">
      <c r="CZ580" s="256"/>
      <c r="DG580" s="256"/>
    </row>
    <row r="581" spans="104:111">
      <c r="CZ581" s="256"/>
      <c r="DG581" s="256"/>
    </row>
    <row r="582" spans="104:111">
      <c r="CZ582" s="256"/>
      <c r="DG582" s="256"/>
    </row>
    <row r="583" spans="104:111">
      <c r="CZ583" s="256"/>
      <c r="DG583" s="256"/>
    </row>
    <row r="584" spans="104:111">
      <c r="CZ584" s="256"/>
      <c r="DG584" s="256"/>
    </row>
    <row r="585" spans="104:111">
      <c r="CZ585" s="256"/>
      <c r="DG585" s="256"/>
    </row>
    <row r="586" spans="104:111">
      <c r="CZ586" s="256"/>
      <c r="DG586" s="256"/>
    </row>
    <row r="587" spans="104:111">
      <c r="CZ587" s="256"/>
      <c r="DG587" s="256"/>
    </row>
    <row r="588" spans="104:111">
      <c r="CZ588" s="256"/>
      <c r="DG588" s="256"/>
    </row>
    <row r="589" spans="104:111">
      <c r="CZ589" s="256"/>
      <c r="DG589" s="256"/>
    </row>
    <row r="590" spans="104:111">
      <c r="CZ590" s="256"/>
      <c r="DG590" s="256"/>
    </row>
    <row r="591" spans="104:111">
      <c r="CZ591" s="256"/>
      <c r="DG591" s="256"/>
    </row>
    <row r="592" spans="104:111">
      <c r="CZ592" s="256"/>
      <c r="DG592" s="256"/>
    </row>
    <row r="593" spans="104:111">
      <c r="CZ593" s="256"/>
      <c r="DG593" s="256"/>
    </row>
    <row r="594" spans="104:111">
      <c r="CZ594" s="256"/>
      <c r="DG594" s="256"/>
    </row>
    <row r="595" spans="104:111">
      <c r="CZ595" s="256"/>
      <c r="DG595" s="256"/>
    </row>
    <row r="596" spans="104:111">
      <c r="CZ596" s="256"/>
      <c r="DG596" s="256"/>
    </row>
    <row r="597" spans="104:111">
      <c r="CZ597" s="256"/>
      <c r="DG597" s="256"/>
    </row>
    <row r="598" spans="104:111">
      <c r="CZ598" s="256"/>
      <c r="DG598" s="256"/>
    </row>
    <row r="599" spans="104:111">
      <c r="CZ599" s="256"/>
      <c r="DG599" s="256"/>
    </row>
    <row r="600" spans="104:111">
      <c r="CZ600" s="256"/>
      <c r="DG600" s="256"/>
    </row>
    <row r="601" spans="104:111">
      <c r="CZ601" s="256"/>
      <c r="DG601" s="256"/>
    </row>
    <row r="602" spans="104:111">
      <c r="CZ602" s="256"/>
      <c r="DG602" s="256"/>
    </row>
    <row r="603" spans="104:111">
      <c r="CZ603" s="256"/>
      <c r="DG603" s="256"/>
    </row>
    <row r="604" spans="104:111">
      <c r="CZ604" s="256"/>
      <c r="DG604" s="256"/>
    </row>
    <row r="605" spans="104:111">
      <c r="CZ605" s="256"/>
      <c r="DG605" s="256"/>
    </row>
    <row r="606" spans="104:111">
      <c r="CZ606" s="256"/>
      <c r="DG606" s="256"/>
    </row>
    <row r="607" spans="104:111">
      <c r="CZ607" s="256"/>
      <c r="DG607" s="256"/>
    </row>
    <row r="608" spans="104:111">
      <c r="CZ608" s="256"/>
      <c r="DG608" s="256"/>
    </row>
    <row r="609" spans="104:111">
      <c r="CZ609" s="256"/>
      <c r="DG609" s="256"/>
    </row>
    <row r="610" spans="104:111">
      <c r="CZ610" s="256"/>
      <c r="DG610" s="256"/>
    </row>
    <row r="611" spans="104:111">
      <c r="CZ611" s="256"/>
      <c r="DG611" s="256"/>
    </row>
    <row r="612" spans="104:111">
      <c r="CZ612" s="256"/>
      <c r="DG612" s="256"/>
    </row>
    <row r="613" spans="104:111">
      <c r="CZ613" s="256"/>
      <c r="DG613" s="256"/>
    </row>
    <row r="614" spans="104:111">
      <c r="CZ614" s="256"/>
      <c r="DG614" s="256"/>
    </row>
    <row r="615" spans="104:111">
      <c r="CZ615" s="256"/>
      <c r="DG615" s="256"/>
    </row>
    <row r="616" spans="104:111">
      <c r="CZ616" s="256"/>
      <c r="DG616" s="256"/>
    </row>
    <row r="617" spans="104:111">
      <c r="CZ617" s="256"/>
      <c r="DG617" s="256"/>
    </row>
    <row r="618" spans="104:111">
      <c r="CZ618" s="256"/>
      <c r="DG618" s="256"/>
    </row>
    <row r="619" spans="104:111">
      <c r="CZ619" s="256"/>
      <c r="DG619" s="256"/>
    </row>
    <row r="620" spans="104:111">
      <c r="CZ620" s="256"/>
      <c r="DG620" s="256"/>
    </row>
    <row r="621" spans="104:111">
      <c r="CZ621" s="256"/>
      <c r="DG621" s="256"/>
    </row>
    <row r="622" spans="104:111">
      <c r="CZ622" s="256"/>
      <c r="DG622" s="256"/>
    </row>
    <row r="623" spans="104:111">
      <c r="CZ623" s="256"/>
      <c r="DG623" s="256"/>
    </row>
    <row r="624" spans="104:111">
      <c r="CZ624" s="256"/>
      <c r="DG624" s="256"/>
    </row>
    <row r="625" spans="104:111">
      <c r="CZ625" s="256"/>
      <c r="DG625" s="256"/>
    </row>
    <row r="626" spans="104:111">
      <c r="CZ626" s="256"/>
      <c r="DG626" s="256"/>
    </row>
    <row r="627" spans="104:111">
      <c r="CZ627" s="256"/>
      <c r="DG627" s="256"/>
    </row>
    <row r="628" spans="104:111">
      <c r="CZ628" s="256"/>
      <c r="DG628" s="256"/>
    </row>
    <row r="629" spans="104:111">
      <c r="CZ629" s="256"/>
      <c r="DG629" s="256"/>
    </row>
    <row r="630" spans="104:111">
      <c r="CZ630" s="256"/>
      <c r="DG630" s="256"/>
    </row>
    <row r="631" spans="104:111">
      <c r="CZ631" s="256"/>
      <c r="DG631" s="256"/>
    </row>
    <row r="632" spans="104:111">
      <c r="CZ632" s="256"/>
      <c r="DG632" s="256"/>
    </row>
    <row r="633" spans="104:111">
      <c r="CZ633" s="256"/>
      <c r="DG633" s="256"/>
    </row>
    <row r="634" spans="104:111">
      <c r="CZ634" s="256"/>
      <c r="DG634" s="256"/>
    </row>
    <row r="635" spans="104:111">
      <c r="CZ635" s="256"/>
      <c r="DG635" s="256"/>
    </row>
    <row r="636" spans="104:111">
      <c r="CZ636" s="256"/>
      <c r="DG636" s="256"/>
    </row>
    <row r="637" spans="104:111">
      <c r="CZ637" s="256"/>
      <c r="DG637" s="256"/>
    </row>
    <row r="638" spans="104:111">
      <c r="CZ638" s="256"/>
      <c r="DG638" s="256"/>
    </row>
    <row r="639" spans="104:111">
      <c r="CZ639" s="256"/>
      <c r="DG639" s="256"/>
    </row>
    <row r="640" spans="104:111">
      <c r="CZ640" s="256"/>
      <c r="DG640" s="256"/>
    </row>
    <row r="641" spans="104:111">
      <c r="CZ641" s="256"/>
      <c r="DG641" s="256"/>
    </row>
    <row r="642" spans="104:111">
      <c r="CZ642" s="256"/>
      <c r="DG642" s="256"/>
    </row>
    <row r="643" spans="104:111">
      <c r="CZ643" s="256"/>
      <c r="DG643" s="256"/>
    </row>
    <row r="644" spans="104:111">
      <c r="CZ644" s="256"/>
      <c r="DG644" s="256"/>
    </row>
    <row r="645" spans="104:111">
      <c r="CZ645" s="256"/>
      <c r="DG645" s="256"/>
    </row>
    <row r="646" spans="104:111">
      <c r="CZ646" s="256"/>
      <c r="DG646" s="256"/>
    </row>
    <row r="647" spans="104:111">
      <c r="CZ647" s="256"/>
      <c r="DG647" s="256"/>
    </row>
    <row r="648" spans="104:111">
      <c r="CZ648" s="256"/>
      <c r="DG648" s="256"/>
    </row>
    <row r="649" spans="104:111">
      <c r="CZ649" s="256"/>
      <c r="DG649" s="256"/>
    </row>
    <row r="650" spans="104:111">
      <c r="CZ650" s="256"/>
      <c r="DG650" s="256"/>
    </row>
    <row r="651" spans="104:111">
      <c r="CZ651" s="256"/>
      <c r="DG651" s="256"/>
    </row>
    <row r="652" spans="104:111">
      <c r="CZ652" s="256"/>
      <c r="DG652" s="256"/>
    </row>
    <row r="653" spans="104:111">
      <c r="CZ653" s="256"/>
      <c r="DG653" s="256"/>
    </row>
    <row r="654" spans="104:111">
      <c r="CZ654" s="256"/>
      <c r="DG654" s="256"/>
    </row>
    <row r="655" spans="104:111">
      <c r="CZ655" s="256"/>
      <c r="DG655" s="256"/>
    </row>
    <row r="656" spans="104:111">
      <c r="CZ656" s="256"/>
      <c r="DG656" s="256"/>
    </row>
    <row r="657" spans="104:111">
      <c r="CZ657" s="256"/>
      <c r="DG657" s="256"/>
    </row>
    <row r="658" spans="104:111">
      <c r="CZ658" s="256"/>
      <c r="DG658" s="256"/>
    </row>
    <row r="659" spans="104:111">
      <c r="CZ659" s="256"/>
      <c r="DG659" s="256"/>
    </row>
    <row r="660" spans="104:111">
      <c r="CZ660" s="256"/>
      <c r="DG660" s="256"/>
    </row>
    <row r="661" spans="104:111">
      <c r="CZ661" s="256"/>
      <c r="DG661" s="256"/>
    </row>
    <row r="662" spans="104:111">
      <c r="CZ662" s="256"/>
      <c r="DG662" s="256"/>
    </row>
    <row r="663" spans="104:111">
      <c r="CZ663" s="256"/>
      <c r="DG663" s="256"/>
    </row>
    <row r="664" spans="104:111">
      <c r="CZ664" s="256"/>
      <c r="DG664" s="256"/>
    </row>
    <row r="665" spans="104:111">
      <c r="CZ665" s="256"/>
      <c r="DG665" s="256"/>
    </row>
    <row r="666" spans="104:111">
      <c r="CZ666" s="256"/>
      <c r="DG666" s="256"/>
    </row>
    <row r="667" spans="104:111">
      <c r="CZ667" s="256"/>
      <c r="DG667" s="256"/>
    </row>
    <row r="668" spans="104:111">
      <c r="CZ668" s="256"/>
      <c r="DG668" s="256"/>
    </row>
    <row r="669" spans="104:111">
      <c r="CZ669" s="256"/>
      <c r="DG669" s="256"/>
    </row>
    <row r="670" spans="104:111">
      <c r="CZ670" s="256"/>
      <c r="DG670" s="256"/>
    </row>
    <row r="671" spans="104:111">
      <c r="CZ671" s="256"/>
      <c r="DG671" s="256"/>
    </row>
    <row r="672" spans="104:111">
      <c r="CZ672" s="256"/>
      <c r="DG672" s="256"/>
    </row>
    <row r="673" spans="104:111">
      <c r="CZ673" s="256"/>
      <c r="DG673" s="256"/>
    </row>
    <row r="674" spans="104:111">
      <c r="CZ674" s="256"/>
      <c r="DG674" s="256"/>
    </row>
    <row r="675" spans="104:111">
      <c r="CZ675" s="256"/>
      <c r="DG675" s="256"/>
    </row>
    <row r="676" spans="104:111">
      <c r="CZ676" s="256"/>
      <c r="DG676" s="256"/>
    </row>
    <row r="677" spans="104:111">
      <c r="CZ677" s="256"/>
      <c r="DG677" s="256"/>
    </row>
    <row r="678" spans="104:111">
      <c r="CZ678" s="256"/>
      <c r="DG678" s="256"/>
    </row>
    <row r="679" spans="104:111">
      <c r="CZ679" s="256"/>
      <c r="DG679" s="256"/>
    </row>
    <row r="680" spans="104:111">
      <c r="CZ680" s="256"/>
      <c r="DG680" s="256"/>
    </row>
    <row r="681" spans="104:111">
      <c r="CZ681" s="256"/>
      <c r="DG681" s="256"/>
    </row>
    <row r="682" spans="104:111">
      <c r="CZ682" s="256"/>
      <c r="DG682" s="256"/>
    </row>
    <row r="683" spans="104:111">
      <c r="CZ683" s="256"/>
      <c r="DG683" s="256"/>
    </row>
    <row r="684" spans="104:111">
      <c r="CZ684" s="256"/>
      <c r="DG684" s="256"/>
    </row>
    <row r="685" spans="104:111">
      <c r="CZ685" s="256"/>
      <c r="DG685" s="256"/>
    </row>
    <row r="686" spans="104:111">
      <c r="CZ686" s="256"/>
      <c r="DG686" s="256"/>
    </row>
    <row r="687" spans="104:111">
      <c r="CZ687" s="256"/>
      <c r="DG687" s="256"/>
    </row>
    <row r="688" spans="104:111">
      <c r="CZ688" s="256"/>
      <c r="DG688" s="256"/>
    </row>
    <row r="689" spans="104:111">
      <c r="CZ689" s="256"/>
      <c r="DG689" s="256"/>
    </row>
    <row r="690" spans="104:111">
      <c r="CZ690" s="256"/>
      <c r="DG690" s="256"/>
    </row>
    <row r="691" spans="104:111">
      <c r="CZ691" s="256"/>
      <c r="DG691" s="256"/>
    </row>
    <row r="692" spans="104:111">
      <c r="CZ692" s="256"/>
      <c r="DG692" s="256"/>
    </row>
    <row r="693" spans="104:111">
      <c r="CZ693" s="256"/>
      <c r="DG693" s="256"/>
    </row>
    <row r="694" spans="104:111">
      <c r="CZ694" s="256"/>
      <c r="DG694" s="256"/>
    </row>
    <row r="695" spans="104:111">
      <c r="CZ695" s="256"/>
      <c r="DG695" s="256"/>
    </row>
    <row r="696" spans="104:111">
      <c r="CZ696" s="256"/>
      <c r="DG696" s="256"/>
    </row>
    <row r="697" spans="104:111">
      <c r="CZ697" s="256"/>
      <c r="DG697" s="256"/>
    </row>
    <row r="698" spans="104:111">
      <c r="CZ698" s="256"/>
      <c r="DG698" s="256"/>
    </row>
    <row r="699" spans="104:111">
      <c r="CZ699" s="256"/>
      <c r="DG699" s="256"/>
    </row>
    <row r="700" spans="104:111">
      <c r="CZ700" s="256"/>
      <c r="DG700" s="256"/>
    </row>
    <row r="701" spans="104:111">
      <c r="CZ701" s="256"/>
      <c r="DG701" s="256"/>
    </row>
    <row r="702" spans="104:111">
      <c r="CZ702" s="256"/>
      <c r="DG702" s="256"/>
    </row>
    <row r="703" spans="104:111">
      <c r="CZ703" s="256"/>
      <c r="DG703" s="256"/>
    </row>
    <row r="704" spans="104:111">
      <c r="CZ704" s="256"/>
      <c r="DG704" s="256"/>
    </row>
    <row r="705" spans="104:111">
      <c r="CZ705" s="256"/>
      <c r="DG705" s="256"/>
    </row>
    <row r="706" spans="104:111">
      <c r="CZ706" s="256"/>
      <c r="DG706" s="256"/>
    </row>
    <row r="707" spans="104:111">
      <c r="CZ707" s="256"/>
      <c r="DG707" s="256"/>
    </row>
    <row r="708" spans="104:111">
      <c r="CZ708" s="256"/>
      <c r="DG708" s="256"/>
    </row>
    <row r="709" spans="104:111">
      <c r="CZ709" s="256"/>
      <c r="DG709" s="256"/>
    </row>
    <row r="710" spans="104:111">
      <c r="CZ710" s="256"/>
      <c r="DG710" s="256"/>
    </row>
    <row r="711" spans="104:111">
      <c r="CZ711" s="256"/>
      <c r="DG711" s="256"/>
    </row>
    <row r="712" spans="104:111">
      <c r="CZ712" s="256"/>
      <c r="DG712" s="256"/>
    </row>
    <row r="713" spans="104:111">
      <c r="CZ713" s="256"/>
      <c r="DG713" s="256"/>
    </row>
    <row r="714" spans="104:111">
      <c r="CZ714" s="256"/>
      <c r="DG714" s="256"/>
    </row>
    <row r="715" spans="104:111">
      <c r="CZ715" s="256"/>
      <c r="DG715" s="256"/>
    </row>
    <row r="716" spans="104:111">
      <c r="CZ716" s="256"/>
      <c r="DG716" s="256"/>
    </row>
    <row r="717" spans="104:111">
      <c r="CZ717" s="256"/>
      <c r="DG717" s="256"/>
    </row>
    <row r="718" spans="104:111">
      <c r="CZ718" s="256"/>
      <c r="DG718" s="256"/>
    </row>
    <row r="719" spans="104:111">
      <c r="CZ719" s="256"/>
      <c r="DG719" s="256"/>
    </row>
    <row r="720" spans="104:111">
      <c r="CZ720" s="256"/>
      <c r="DG720" s="256"/>
    </row>
    <row r="721" spans="104:111">
      <c r="CZ721" s="256"/>
      <c r="DG721" s="256"/>
    </row>
    <row r="722" spans="104:111">
      <c r="CZ722" s="256"/>
      <c r="DG722" s="256"/>
    </row>
    <row r="723" spans="104:111">
      <c r="CZ723" s="256"/>
      <c r="DG723" s="256"/>
    </row>
    <row r="724" spans="104:111">
      <c r="CZ724" s="256"/>
      <c r="DG724" s="256"/>
    </row>
    <row r="725" spans="104:111">
      <c r="CZ725" s="256"/>
      <c r="DG725" s="256"/>
    </row>
    <row r="726" spans="104:111">
      <c r="CZ726" s="256"/>
      <c r="DG726" s="256"/>
    </row>
    <row r="727" spans="104:111">
      <c r="CZ727" s="256"/>
      <c r="DG727" s="256"/>
    </row>
    <row r="728" spans="104:111">
      <c r="CZ728" s="256"/>
      <c r="DG728" s="256"/>
    </row>
    <row r="729" spans="104:111">
      <c r="CZ729" s="256"/>
      <c r="DG729" s="256"/>
    </row>
    <row r="730" spans="104:111">
      <c r="CZ730" s="256"/>
      <c r="DG730" s="256"/>
    </row>
    <row r="731" spans="104:111">
      <c r="CZ731" s="256"/>
      <c r="DG731" s="256"/>
    </row>
    <row r="732" spans="104:111">
      <c r="CZ732" s="256"/>
      <c r="DG732" s="256"/>
    </row>
    <row r="733" spans="104:111">
      <c r="CZ733" s="256"/>
      <c r="DG733" s="256"/>
    </row>
    <row r="734" spans="104:111">
      <c r="CZ734" s="256"/>
      <c r="DG734" s="256"/>
    </row>
    <row r="735" spans="104:111">
      <c r="CZ735" s="256"/>
      <c r="DG735" s="256"/>
    </row>
    <row r="736" spans="104:111">
      <c r="CZ736" s="256"/>
      <c r="DG736" s="256"/>
    </row>
    <row r="737" spans="104:111">
      <c r="CZ737" s="256"/>
      <c r="DG737" s="256"/>
    </row>
    <row r="738" spans="104:111">
      <c r="CZ738" s="256"/>
      <c r="DG738" s="256"/>
    </row>
    <row r="739" spans="104:111">
      <c r="CZ739" s="256"/>
      <c r="DG739" s="256"/>
    </row>
    <row r="740" spans="104:111">
      <c r="CZ740" s="256"/>
      <c r="DG740" s="256"/>
    </row>
    <row r="741" spans="104:111">
      <c r="CZ741" s="256"/>
      <c r="DG741" s="256"/>
    </row>
    <row r="742" spans="104:111">
      <c r="CZ742" s="256"/>
      <c r="DG742" s="256"/>
    </row>
    <row r="743" spans="104:111">
      <c r="CZ743" s="256"/>
      <c r="DG743" s="256"/>
    </row>
    <row r="744" spans="104:111">
      <c r="CZ744" s="256"/>
      <c r="DG744" s="256"/>
    </row>
    <row r="745" spans="104:111">
      <c r="CZ745" s="256"/>
      <c r="DG745" s="256"/>
    </row>
    <row r="746" spans="104:111">
      <c r="CZ746" s="256"/>
      <c r="DG746" s="256"/>
    </row>
    <row r="747" spans="104:111">
      <c r="CZ747" s="256"/>
      <c r="DG747" s="256"/>
    </row>
    <row r="748" spans="104:111">
      <c r="CZ748" s="256"/>
      <c r="DG748" s="256"/>
    </row>
    <row r="749" spans="104:111">
      <c r="CZ749" s="256"/>
      <c r="DG749" s="256"/>
    </row>
    <row r="750" spans="104:111">
      <c r="CZ750" s="256"/>
      <c r="DG750" s="256"/>
    </row>
    <row r="751" spans="104:111">
      <c r="CZ751" s="256"/>
      <c r="DG751" s="256"/>
    </row>
    <row r="752" spans="104:111">
      <c r="CZ752" s="256"/>
      <c r="DG752" s="256"/>
    </row>
    <row r="753" spans="104:111">
      <c r="CZ753" s="256"/>
      <c r="DG753" s="256"/>
    </row>
    <row r="754" spans="104:111">
      <c r="CZ754" s="256"/>
      <c r="DG754" s="256"/>
    </row>
    <row r="755" spans="104:111">
      <c r="CZ755" s="256"/>
      <c r="DG755" s="256"/>
    </row>
    <row r="756" spans="104:111">
      <c r="CZ756" s="256"/>
      <c r="DG756" s="256"/>
    </row>
    <row r="757" spans="104:111">
      <c r="CZ757" s="256"/>
      <c r="DG757" s="256"/>
    </row>
    <row r="758" spans="104:111">
      <c r="CZ758" s="256"/>
      <c r="DG758" s="256"/>
    </row>
    <row r="759" spans="104:111">
      <c r="CZ759" s="256"/>
      <c r="DG759" s="256"/>
    </row>
    <row r="760" spans="104:111">
      <c r="CZ760" s="256"/>
      <c r="DG760" s="256"/>
    </row>
    <row r="761" spans="104:111">
      <c r="CZ761" s="256"/>
      <c r="DG761" s="256"/>
    </row>
    <row r="762" spans="104:111">
      <c r="CZ762" s="256"/>
      <c r="DG762" s="256"/>
    </row>
    <row r="763" spans="104:111">
      <c r="CZ763" s="256"/>
      <c r="DG763" s="256"/>
    </row>
    <row r="764" spans="104:111">
      <c r="CZ764" s="256"/>
      <c r="DG764" s="256"/>
    </row>
    <row r="765" spans="104:111">
      <c r="CZ765" s="256"/>
      <c r="DG765" s="256"/>
    </row>
    <row r="766" spans="104:111">
      <c r="CZ766" s="256"/>
      <c r="DG766" s="256"/>
    </row>
    <row r="767" spans="104:111">
      <c r="CZ767" s="256"/>
      <c r="DG767" s="256"/>
    </row>
    <row r="768" spans="104:111">
      <c r="CZ768" s="256"/>
      <c r="DG768" s="256"/>
    </row>
    <row r="769" spans="104:111">
      <c r="CZ769" s="256"/>
      <c r="DG769" s="256"/>
    </row>
    <row r="770" spans="104:111">
      <c r="CZ770" s="256"/>
      <c r="DG770" s="256"/>
    </row>
    <row r="771" spans="104:111">
      <c r="CZ771" s="256"/>
      <c r="DG771" s="256"/>
    </row>
    <row r="772" spans="104:111">
      <c r="CZ772" s="256"/>
      <c r="DG772" s="256"/>
    </row>
    <row r="773" spans="104:111">
      <c r="CZ773" s="256"/>
      <c r="DG773" s="256"/>
    </row>
    <row r="774" spans="104:111">
      <c r="CZ774" s="256"/>
      <c r="DG774" s="256"/>
    </row>
    <row r="775" spans="104:111">
      <c r="CZ775" s="256"/>
      <c r="DG775" s="256"/>
    </row>
    <row r="776" spans="104:111">
      <c r="CZ776" s="256"/>
      <c r="DG776" s="256"/>
    </row>
    <row r="777" spans="104:111">
      <c r="CZ777" s="256"/>
      <c r="DG777" s="256"/>
    </row>
    <row r="778" spans="104:111">
      <c r="CZ778" s="256"/>
      <c r="DG778" s="256"/>
    </row>
    <row r="779" spans="104:111">
      <c r="CZ779" s="256"/>
      <c r="DG779" s="256"/>
    </row>
    <row r="780" spans="104:111">
      <c r="CZ780" s="256"/>
      <c r="DG780" s="256"/>
    </row>
    <row r="781" spans="104:111">
      <c r="CZ781" s="256"/>
      <c r="DG781" s="256"/>
    </row>
    <row r="782" spans="104:111">
      <c r="CZ782" s="256"/>
      <c r="DG782" s="256"/>
    </row>
    <row r="783" spans="104:111">
      <c r="CZ783" s="256"/>
      <c r="DG783" s="256"/>
    </row>
    <row r="784" spans="104:111">
      <c r="CZ784" s="256"/>
      <c r="DG784" s="256"/>
    </row>
    <row r="785" spans="104:111">
      <c r="CZ785" s="256"/>
      <c r="DG785" s="256"/>
    </row>
    <row r="786" spans="104:111">
      <c r="CZ786" s="256"/>
      <c r="DG786" s="256"/>
    </row>
    <row r="787" spans="104:111">
      <c r="CZ787" s="256"/>
      <c r="DG787" s="256"/>
    </row>
    <row r="788" spans="104:111">
      <c r="CZ788" s="256"/>
      <c r="DG788" s="256"/>
    </row>
    <row r="789" spans="104:111">
      <c r="CZ789" s="256"/>
      <c r="DG789" s="256"/>
    </row>
    <row r="790" spans="104:111">
      <c r="CZ790" s="256"/>
      <c r="DG790" s="256"/>
    </row>
    <row r="791" spans="104:111">
      <c r="CZ791" s="256"/>
      <c r="DG791" s="256"/>
    </row>
    <row r="792" spans="104:111">
      <c r="CZ792" s="256"/>
      <c r="DG792" s="256"/>
    </row>
    <row r="793" spans="104:111">
      <c r="CZ793" s="256"/>
      <c r="DG793" s="256"/>
    </row>
    <row r="794" spans="104:111">
      <c r="CZ794" s="256"/>
      <c r="DG794" s="256"/>
    </row>
    <row r="795" spans="104:111">
      <c r="CZ795" s="256"/>
      <c r="DG795" s="256"/>
    </row>
    <row r="796" spans="104:111">
      <c r="CZ796" s="256"/>
      <c r="DG796" s="256"/>
    </row>
    <row r="797" spans="104:111">
      <c r="CZ797" s="256"/>
      <c r="DG797" s="256"/>
    </row>
    <row r="798" spans="104:111">
      <c r="CZ798" s="256"/>
      <c r="DG798" s="256"/>
    </row>
    <row r="799" spans="104:111">
      <c r="CZ799" s="256"/>
      <c r="DG799" s="256"/>
    </row>
    <row r="800" spans="104:111">
      <c r="CZ800" s="256"/>
      <c r="DG800" s="256"/>
    </row>
    <row r="801" spans="104:111">
      <c r="CZ801" s="256"/>
      <c r="DG801" s="256"/>
    </row>
    <row r="802" spans="104:111">
      <c r="CZ802" s="256"/>
      <c r="DG802" s="256"/>
    </row>
    <row r="803" spans="104:111">
      <c r="CZ803" s="256"/>
      <c r="DG803" s="256"/>
    </row>
    <row r="804" spans="104:111">
      <c r="CZ804" s="256"/>
      <c r="DG804" s="256"/>
    </row>
    <row r="805" spans="104:111">
      <c r="CZ805" s="256"/>
      <c r="DG805" s="256"/>
    </row>
    <row r="806" spans="104:111">
      <c r="CZ806" s="256"/>
      <c r="DG806" s="256"/>
    </row>
    <row r="807" spans="104:111">
      <c r="CZ807" s="256"/>
      <c r="DG807" s="256"/>
    </row>
    <row r="808" spans="104:111">
      <c r="CZ808" s="256"/>
      <c r="DG808" s="256"/>
    </row>
    <row r="809" spans="104:111">
      <c r="CZ809" s="256"/>
      <c r="DG809" s="256"/>
    </row>
    <row r="810" spans="104:111">
      <c r="CZ810" s="256"/>
      <c r="DG810" s="256"/>
    </row>
    <row r="811" spans="104:111">
      <c r="CZ811" s="256"/>
      <c r="DG811" s="256"/>
    </row>
    <row r="812" spans="104:111">
      <c r="CZ812" s="256"/>
      <c r="DG812" s="256"/>
    </row>
    <row r="813" spans="104:111">
      <c r="CZ813" s="256"/>
      <c r="DG813" s="256"/>
    </row>
    <row r="814" spans="104:111">
      <c r="CZ814" s="256"/>
      <c r="DG814" s="256"/>
    </row>
    <row r="815" spans="104:111">
      <c r="CZ815" s="256"/>
      <c r="DG815" s="256"/>
    </row>
    <row r="816" spans="104:111">
      <c r="CZ816" s="256"/>
      <c r="DG816" s="256"/>
    </row>
    <row r="817" spans="104:111">
      <c r="CZ817" s="256"/>
      <c r="DG817" s="256"/>
    </row>
    <row r="818" spans="104:111">
      <c r="CZ818" s="256"/>
      <c r="DG818" s="256"/>
    </row>
    <row r="819" spans="104:111">
      <c r="CZ819" s="256"/>
      <c r="DG819" s="256"/>
    </row>
    <row r="820" spans="104:111">
      <c r="CZ820" s="256"/>
      <c r="DG820" s="256"/>
    </row>
    <row r="821" spans="104:111">
      <c r="CZ821" s="256"/>
      <c r="DG821" s="256"/>
    </row>
    <row r="822" spans="104:111">
      <c r="CZ822" s="256"/>
      <c r="DG822" s="256"/>
    </row>
    <row r="823" spans="104:111">
      <c r="CZ823" s="256"/>
      <c r="DG823" s="256"/>
    </row>
    <row r="824" spans="104:111">
      <c r="CZ824" s="256"/>
      <c r="DG824" s="256"/>
    </row>
    <row r="825" spans="104:111">
      <c r="CZ825" s="256"/>
      <c r="DG825" s="256"/>
    </row>
    <row r="826" spans="104:111">
      <c r="CZ826" s="256"/>
      <c r="DG826" s="256"/>
    </row>
    <row r="827" spans="104:111">
      <c r="CZ827" s="256"/>
      <c r="DG827" s="256"/>
    </row>
    <row r="828" spans="104:111">
      <c r="CZ828" s="256"/>
      <c r="DG828" s="256"/>
    </row>
    <row r="829" spans="104:111">
      <c r="CZ829" s="256"/>
      <c r="DG829" s="256"/>
    </row>
    <row r="830" spans="104:111">
      <c r="CZ830" s="256"/>
      <c r="DG830" s="256"/>
    </row>
    <row r="831" spans="104:111">
      <c r="CZ831" s="256"/>
      <c r="DG831" s="256"/>
    </row>
    <row r="832" spans="104:111">
      <c r="CZ832" s="256"/>
      <c r="DG832" s="256"/>
    </row>
    <row r="833" spans="104:111">
      <c r="CZ833" s="256"/>
      <c r="DG833" s="256"/>
    </row>
    <row r="834" spans="104:111">
      <c r="CZ834" s="256"/>
      <c r="DG834" s="256"/>
    </row>
    <row r="835" spans="104:111">
      <c r="CZ835" s="256"/>
      <c r="DG835" s="256"/>
    </row>
    <row r="836" spans="104:111">
      <c r="CZ836" s="256"/>
      <c r="DG836" s="256"/>
    </row>
    <row r="837" spans="104:111">
      <c r="CZ837" s="256"/>
      <c r="DG837" s="256"/>
    </row>
    <row r="838" spans="104:111">
      <c r="CZ838" s="256"/>
      <c r="DG838" s="256"/>
    </row>
    <row r="839" spans="104:111">
      <c r="CZ839" s="256"/>
      <c r="DG839" s="256"/>
    </row>
    <row r="840" spans="104:111">
      <c r="CZ840" s="256"/>
      <c r="DG840" s="256"/>
    </row>
    <row r="841" spans="104:111">
      <c r="CZ841" s="256"/>
      <c r="DG841" s="256"/>
    </row>
    <row r="842" spans="104:111">
      <c r="CZ842" s="256"/>
      <c r="DG842" s="256"/>
    </row>
    <row r="843" spans="104:111">
      <c r="CZ843" s="256"/>
      <c r="DG843" s="256"/>
    </row>
    <row r="844" spans="104:111">
      <c r="CZ844" s="256"/>
      <c r="DG844" s="256"/>
    </row>
    <row r="845" spans="104:111">
      <c r="CZ845" s="256"/>
      <c r="DG845" s="256"/>
    </row>
    <row r="846" spans="104:111">
      <c r="CZ846" s="256"/>
      <c r="DG846" s="256"/>
    </row>
    <row r="847" spans="104:111">
      <c r="CZ847" s="256"/>
      <c r="DG847" s="256"/>
    </row>
    <row r="848" spans="104:111">
      <c r="CZ848" s="256"/>
      <c r="DG848" s="256"/>
    </row>
    <row r="849" spans="104:111">
      <c r="CZ849" s="256"/>
      <c r="DG849" s="256"/>
    </row>
    <row r="850" spans="104:111">
      <c r="CZ850" s="256"/>
      <c r="DG850" s="256"/>
    </row>
    <row r="851" spans="104:111">
      <c r="CZ851" s="256"/>
      <c r="DG851" s="256"/>
    </row>
    <row r="852" spans="104:111">
      <c r="CZ852" s="256"/>
      <c r="DG852" s="256"/>
    </row>
    <row r="853" spans="104:111">
      <c r="CZ853" s="256"/>
      <c r="DG853" s="256"/>
    </row>
    <row r="854" spans="104:111">
      <c r="CZ854" s="256"/>
      <c r="DG854" s="256"/>
    </row>
    <row r="855" spans="104:111">
      <c r="CZ855" s="256"/>
      <c r="DG855" s="256"/>
    </row>
    <row r="856" spans="104:111">
      <c r="CZ856" s="256"/>
      <c r="DG856" s="256"/>
    </row>
    <row r="857" spans="104:111">
      <c r="CZ857" s="256"/>
      <c r="DG857" s="256"/>
    </row>
    <row r="858" spans="104:111">
      <c r="CZ858" s="256"/>
      <c r="DG858" s="256"/>
    </row>
    <row r="859" spans="104:111">
      <c r="CZ859" s="256"/>
      <c r="DG859" s="256"/>
    </row>
    <row r="860" spans="104:111">
      <c r="CZ860" s="256"/>
      <c r="DG860" s="256"/>
    </row>
    <row r="861" spans="104:111">
      <c r="CZ861" s="256"/>
      <c r="DG861" s="256"/>
    </row>
    <row r="862" spans="104:111">
      <c r="CZ862" s="256"/>
      <c r="DG862" s="256"/>
    </row>
    <row r="863" spans="104:111">
      <c r="CZ863" s="256"/>
      <c r="DG863" s="256"/>
    </row>
    <row r="864" spans="104:111">
      <c r="CZ864" s="256"/>
      <c r="DG864" s="256"/>
    </row>
    <row r="865" spans="104:111">
      <c r="CZ865" s="256"/>
      <c r="DG865" s="256"/>
    </row>
    <row r="866" spans="104:111">
      <c r="CZ866" s="256"/>
      <c r="DG866" s="256"/>
    </row>
    <row r="867" spans="104:111">
      <c r="CZ867" s="256"/>
      <c r="DG867" s="256"/>
    </row>
    <row r="868" spans="104:111">
      <c r="CZ868" s="256"/>
      <c r="DG868" s="256"/>
    </row>
    <row r="869" spans="104:111">
      <c r="CZ869" s="256"/>
      <c r="DG869" s="256"/>
    </row>
    <row r="870" spans="104:111">
      <c r="CZ870" s="256"/>
      <c r="DG870" s="256"/>
    </row>
    <row r="871" spans="104:111">
      <c r="CZ871" s="256"/>
      <c r="DG871" s="256"/>
    </row>
    <row r="872" spans="104:111">
      <c r="CZ872" s="256"/>
      <c r="DG872" s="256"/>
    </row>
    <row r="873" spans="104:111">
      <c r="CZ873" s="256"/>
      <c r="DG873" s="256"/>
    </row>
    <row r="874" spans="104:111">
      <c r="CZ874" s="256"/>
      <c r="DG874" s="256"/>
    </row>
    <row r="875" spans="104:111">
      <c r="CZ875" s="256"/>
      <c r="DG875" s="256"/>
    </row>
    <row r="876" spans="104:111">
      <c r="CZ876" s="256"/>
      <c r="DG876" s="256"/>
    </row>
    <row r="877" spans="104:111">
      <c r="CZ877" s="256"/>
      <c r="DG877" s="256"/>
    </row>
    <row r="878" spans="104:111">
      <c r="CZ878" s="256"/>
      <c r="DG878" s="256"/>
    </row>
    <row r="879" spans="104:111">
      <c r="CZ879" s="256"/>
      <c r="DG879" s="256"/>
    </row>
    <row r="880" spans="104:111">
      <c r="CZ880" s="256"/>
      <c r="DG880" s="256"/>
    </row>
    <row r="881" spans="104:111">
      <c r="CZ881" s="256"/>
      <c r="DG881" s="256"/>
    </row>
    <row r="882" spans="104:111">
      <c r="CZ882" s="256"/>
      <c r="DG882" s="256"/>
    </row>
    <row r="883" spans="104:111">
      <c r="CZ883" s="256"/>
      <c r="DG883" s="256"/>
    </row>
    <row r="884" spans="104:111">
      <c r="CZ884" s="256"/>
      <c r="DG884" s="256"/>
    </row>
    <row r="885" spans="104:111">
      <c r="CZ885" s="256"/>
      <c r="DG885" s="256"/>
    </row>
    <row r="886" spans="104:111">
      <c r="CZ886" s="256"/>
      <c r="DG886" s="256"/>
    </row>
    <row r="887" spans="104:111">
      <c r="CZ887" s="256"/>
      <c r="DG887" s="256"/>
    </row>
    <row r="888" spans="104:111">
      <c r="CZ888" s="256"/>
      <c r="DG888" s="256"/>
    </row>
    <row r="889" spans="104:111">
      <c r="CZ889" s="256"/>
      <c r="DG889" s="256"/>
    </row>
    <row r="890" spans="104:111">
      <c r="CZ890" s="256"/>
      <c r="DG890" s="256"/>
    </row>
    <row r="891" spans="104:111">
      <c r="CZ891" s="256"/>
      <c r="DG891" s="256"/>
    </row>
    <row r="892" spans="104:111">
      <c r="CZ892" s="256"/>
      <c r="DG892" s="256"/>
    </row>
    <row r="893" spans="104:111">
      <c r="CZ893" s="256"/>
      <c r="DG893" s="256"/>
    </row>
    <row r="894" spans="104:111">
      <c r="CZ894" s="256"/>
      <c r="DG894" s="256"/>
    </row>
    <row r="895" spans="104:111">
      <c r="CZ895" s="256"/>
      <c r="DG895" s="256"/>
    </row>
    <row r="896" spans="104:111">
      <c r="CZ896" s="256"/>
      <c r="DG896" s="256"/>
    </row>
    <row r="897" spans="104:111">
      <c r="CZ897" s="256"/>
      <c r="DG897" s="256"/>
    </row>
    <row r="898" spans="104:111">
      <c r="CZ898" s="256"/>
      <c r="DG898" s="256"/>
    </row>
    <row r="899" spans="104:111">
      <c r="CZ899" s="256"/>
      <c r="DG899" s="256"/>
    </row>
    <row r="900" spans="104:111">
      <c r="CZ900" s="256"/>
      <c r="DG900" s="256"/>
    </row>
    <row r="901" spans="104:111">
      <c r="CZ901" s="256"/>
      <c r="DG901" s="256"/>
    </row>
    <row r="902" spans="104:111">
      <c r="CZ902" s="256"/>
      <c r="DG902" s="256"/>
    </row>
    <row r="903" spans="104:111">
      <c r="CZ903" s="256"/>
      <c r="DG903" s="256"/>
    </row>
    <row r="904" spans="104:111">
      <c r="CZ904" s="256"/>
      <c r="DG904" s="256"/>
    </row>
    <row r="905" spans="104:111">
      <c r="CZ905" s="256"/>
      <c r="DG905" s="256"/>
    </row>
    <row r="906" spans="104:111">
      <c r="CZ906" s="256"/>
      <c r="DG906" s="256"/>
    </row>
    <row r="907" spans="104:111">
      <c r="CZ907" s="256"/>
      <c r="DG907" s="256"/>
    </row>
    <row r="908" spans="104:111">
      <c r="CZ908" s="256"/>
      <c r="DG908" s="256"/>
    </row>
    <row r="909" spans="104:111">
      <c r="CZ909" s="256"/>
      <c r="DG909" s="256"/>
    </row>
    <row r="910" spans="104:111">
      <c r="CZ910" s="256"/>
      <c r="DG910" s="256"/>
    </row>
    <row r="911" spans="104:111">
      <c r="CZ911" s="256"/>
      <c r="DG911" s="256"/>
    </row>
    <row r="912" spans="104:111">
      <c r="CZ912" s="256"/>
      <c r="DG912" s="256"/>
    </row>
    <row r="913" spans="104:111">
      <c r="CZ913" s="256"/>
      <c r="DG913" s="256"/>
    </row>
    <row r="914" spans="104:111">
      <c r="CZ914" s="256"/>
      <c r="DG914" s="256"/>
    </row>
    <row r="915" spans="104:111">
      <c r="CZ915" s="256"/>
      <c r="DG915" s="256"/>
    </row>
    <row r="916" spans="104:111">
      <c r="CZ916" s="256"/>
      <c r="DG916" s="256"/>
    </row>
    <row r="917" spans="104:111">
      <c r="CZ917" s="256"/>
      <c r="DG917" s="256"/>
    </row>
    <row r="918" spans="104:111">
      <c r="CZ918" s="256"/>
      <c r="DG918" s="256"/>
    </row>
    <row r="919" spans="104:111">
      <c r="CZ919" s="256"/>
      <c r="DG919" s="256"/>
    </row>
    <row r="920" spans="104:111">
      <c r="CZ920" s="256"/>
      <c r="DG920" s="256"/>
    </row>
    <row r="921" spans="104:111">
      <c r="CZ921" s="256"/>
      <c r="DG921" s="256"/>
    </row>
    <row r="922" spans="104:111">
      <c r="CZ922" s="256"/>
      <c r="DG922" s="256"/>
    </row>
    <row r="923" spans="104:111">
      <c r="CZ923" s="256"/>
      <c r="DG923" s="256"/>
    </row>
    <row r="924" spans="104:111">
      <c r="CZ924" s="256"/>
      <c r="DG924" s="256"/>
    </row>
    <row r="925" spans="104:111">
      <c r="CZ925" s="256"/>
      <c r="DG925" s="256"/>
    </row>
    <row r="926" spans="104:111">
      <c r="CZ926" s="256"/>
      <c r="DG926" s="256"/>
    </row>
    <row r="927" spans="104:111">
      <c r="CZ927" s="256"/>
      <c r="DG927" s="256"/>
    </row>
    <row r="928" spans="104:111">
      <c r="CZ928" s="256"/>
      <c r="DG928" s="256"/>
    </row>
    <row r="929" spans="104:111">
      <c r="CZ929" s="256"/>
      <c r="DG929" s="256"/>
    </row>
    <row r="930" spans="104:111">
      <c r="CZ930" s="256"/>
      <c r="DG930" s="256"/>
    </row>
    <row r="931" spans="104:111">
      <c r="CZ931" s="256"/>
      <c r="DG931" s="256"/>
    </row>
    <row r="932" spans="104:111">
      <c r="CZ932" s="256"/>
      <c r="DG932" s="256"/>
    </row>
    <row r="933" spans="104:111">
      <c r="CZ933" s="256"/>
      <c r="DG933" s="256"/>
    </row>
    <row r="934" spans="104:111">
      <c r="CZ934" s="256"/>
      <c r="DG934" s="256"/>
    </row>
    <row r="935" spans="104:111">
      <c r="CZ935" s="256"/>
      <c r="DG935" s="256"/>
    </row>
    <row r="936" spans="104:111">
      <c r="CZ936" s="256"/>
      <c r="DG936" s="256"/>
    </row>
    <row r="937" spans="104:111">
      <c r="CZ937" s="256"/>
      <c r="DG937" s="256"/>
    </row>
    <row r="938" spans="104:111">
      <c r="CZ938" s="256"/>
      <c r="DG938" s="256"/>
    </row>
    <row r="939" spans="104:111">
      <c r="CZ939" s="256"/>
      <c r="DG939" s="256"/>
    </row>
    <row r="940" spans="104:111">
      <c r="CZ940" s="256"/>
      <c r="DG940" s="256"/>
    </row>
    <row r="941" spans="104:111">
      <c r="CZ941" s="256"/>
      <c r="DG941" s="256"/>
    </row>
    <row r="942" spans="104:111">
      <c r="CZ942" s="256"/>
      <c r="DG942" s="256"/>
    </row>
    <row r="943" spans="104:111">
      <c r="CZ943" s="256"/>
      <c r="DG943" s="256"/>
    </row>
    <row r="944" spans="104:111">
      <c r="CZ944" s="256"/>
      <c r="DG944" s="256"/>
    </row>
    <row r="945" spans="104:111">
      <c r="CZ945" s="256"/>
      <c r="DG945" s="256"/>
    </row>
    <row r="946" spans="104:111">
      <c r="CZ946" s="256"/>
      <c r="DG946" s="256"/>
    </row>
    <row r="947" spans="104:111">
      <c r="CZ947" s="256"/>
      <c r="DG947" s="256"/>
    </row>
    <row r="948" spans="104:111">
      <c r="CZ948" s="256"/>
      <c r="DG948" s="256"/>
    </row>
    <row r="949" spans="104:111">
      <c r="CZ949" s="256"/>
      <c r="DG949" s="256"/>
    </row>
    <row r="950" spans="104:111">
      <c r="CZ950" s="256"/>
      <c r="DG950" s="256"/>
    </row>
    <row r="951" spans="104:111">
      <c r="CZ951" s="256"/>
      <c r="DG951" s="256"/>
    </row>
    <row r="952" spans="104:111">
      <c r="CZ952" s="256"/>
      <c r="DG952" s="256"/>
    </row>
    <row r="953" spans="104:111">
      <c r="CZ953" s="256"/>
      <c r="DG953" s="256"/>
    </row>
    <row r="954" spans="104:111">
      <c r="CZ954" s="256"/>
      <c r="DG954" s="256"/>
    </row>
    <row r="955" spans="104:111">
      <c r="CZ955" s="256"/>
      <c r="DG955" s="256"/>
    </row>
    <row r="956" spans="104:111">
      <c r="CZ956" s="256"/>
      <c r="DG956" s="256"/>
    </row>
    <row r="957" spans="104:111">
      <c r="CZ957" s="256"/>
      <c r="DG957" s="256"/>
    </row>
    <row r="958" spans="104:111">
      <c r="CZ958" s="256"/>
      <c r="DG958" s="256"/>
    </row>
    <row r="959" spans="104:111">
      <c r="CZ959" s="256"/>
      <c r="DG959" s="256"/>
    </row>
    <row r="960" spans="104:111">
      <c r="CZ960" s="256"/>
      <c r="DG960" s="256"/>
    </row>
    <row r="961" spans="104:111">
      <c r="CZ961" s="256"/>
      <c r="DG961" s="256"/>
    </row>
    <row r="962" spans="104:111">
      <c r="CZ962" s="256"/>
      <c r="DG962" s="256"/>
    </row>
    <row r="963" spans="104:111">
      <c r="CZ963" s="256"/>
      <c r="DG963" s="256"/>
    </row>
    <row r="964" spans="104:111">
      <c r="CZ964" s="256"/>
      <c r="DG964" s="256"/>
    </row>
    <row r="965" spans="104:111">
      <c r="CZ965" s="256"/>
      <c r="DG965" s="256"/>
    </row>
    <row r="966" spans="104:111">
      <c r="CZ966" s="256"/>
      <c r="DG966" s="256"/>
    </row>
    <row r="967" spans="104:111">
      <c r="CZ967" s="256"/>
      <c r="DG967" s="256"/>
    </row>
    <row r="968" spans="104:111">
      <c r="CZ968" s="256"/>
      <c r="DG968" s="256"/>
    </row>
    <row r="969" spans="104:111">
      <c r="CZ969" s="256"/>
      <c r="DG969" s="256"/>
    </row>
    <row r="970" spans="104:111">
      <c r="CZ970" s="256"/>
      <c r="DG970" s="256"/>
    </row>
    <row r="971" spans="104:111">
      <c r="CZ971" s="256"/>
      <c r="DG971" s="256"/>
    </row>
    <row r="972" spans="104:111">
      <c r="CZ972" s="256"/>
      <c r="DG972" s="256"/>
    </row>
    <row r="973" spans="104:111">
      <c r="CZ973" s="256"/>
      <c r="DG973" s="256"/>
    </row>
    <row r="974" spans="104:111">
      <c r="CZ974" s="256"/>
      <c r="DG974" s="256"/>
    </row>
    <row r="975" spans="104:111">
      <c r="CZ975" s="256"/>
      <c r="DG975" s="256"/>
    </row>
    <row r="976" spans="104:111">
      <c r="CZ976" s="256"/>
      <c r="DG976" s="256"/>
    </row>
    <row r="977" spans="104:111">
      <c r="CZ977" s="256"/>
      <c r="DG977" s="256"/>
    </row>
    <row r="978" spans="104:111">
      <c r="CZ978" s="256"/>
      <c r="DG978" s="256"/>
    </row>
    <row r="979" spans="104:111">
      <c r="CZ979" s="256"/>
      <c r="DG979" s="256"/>
    </row>
    <row r="980" spans="104:111">
      <c r="CZ980" s="256"/>
      <c r="DG980" s="256"/>
    </row>
    <row r="981" spans="104:111">
      <c r="CZ981" s="256"/>
      <c r="DG981" s="256"/>
    </row>
    <row r="982" spans="104:111">
      <c r="CZ982" s="256"/>
      <c r="DG982" s="256"/>
    </row>
    <row r="983" spans="104:111">
      <c r="CZ983" s="256"/>
      <c r="DG983" s="256"/>
    </row>
    <row r="984" spans="104:111">
      <c r="CZ984" s="256"/>
      <c r="DG984" s="256"/>
    </row>
    <row r="985" spans="104:111">
      <c r="CZ985" s="256"/>
      <c r="DG985" s="256"/>
    </row>
    <row r="986" spans="104:111">
      <c r="CZ986" s="256"/>
      <c r="DG986" s="256"/>
    </row>
    <row r="987" spans="104:111">
      <c r="CZ987" s="256"/>
      <c r="DG987" s="256"/>
    </row>
    <row r="988" spans="104:111">
      <c r="CZ988" s="256"/>
      <c r="DG988" s="256"/>
    </row>
    <row r="989" spans="104:111">
      <c r="CZ989" s="256"/>
      <c r="DG989" s="256"/>
    </row>
    <row r="990" spans="104:111">
      <c r="CZ990" s="256"/>
      <c r="DG990" s="256"/>
    </row>
    <row r="991" spans="104:111">
      <c r="CZ991" s="256"/>
      <c r="DG991" s="256"/>
    </row>
    <row r="992" spans="104:111">
      <c r="CZ992" s="256"/>
      <c r="DG992" s="256"/>
    </row>
    <row r="993" spans="104:111">
      <c r="CZ993" s="256"/>
      <c r="DG993" s="256"/>
    </row>
    <row r="994" spans="104:111">
      <c r="CZ994" s="256"/>
      <c r="DG994" s="256"/>
    </row>
    <row r="995" spans="104:111">
      <c r="CZ995" s="256"/>
      <c r="DG995" s="256"/>
    </row>
    <row r="996" spans="104:111">
      <c r="CZ996" s="256"/>
      <c r="DG996" s="256"/>
    </row>
    <row r="997" spans="104:111">
      <c r="CZ997" s="256"/>
      <c r="DG997" s="256"/>
    </row>
    <row r="998" spans="104:111">
      <c r="CZ998" s="256"/>
      <c r="DG998" s="256"/>
    </row>
    <row r="999" spans="104:111">
      <c r="CZ999" s="256"/>
      <c r="DG999" s="256"/>
    </row>
    <row r="1000" spans="104:111">
      <c r="CZ1000" s="256"/>
      <c r="DG1000" s="256"/>
    </row>
    <row r="1001" spans="104:111">
      <c r="CZ1001" s="256"/>
      <c r="DG1001" s="256"/>
    </row>
    <row r="1002" spans="104:111">
      <c r="CZ1002" s="256"/>
      <c r="DG1002" s="256"/>
    </row>
    <row r="1003" spans="104:111">
      <c r="CZ1003" s="256"/>
      <c r="DG1003" s="256"/>
    </row>
    <row r="1004" spans="104:111">
      <c r="CZ1004" s="256"/>
      <c r="DG1004" s="256"/>
    </row>
    <row r="1005" spans="104:111">
      <c r="CZ1005" s="256"/>
      <c r="DG1005" s="256"/>
    </row>
    <row r="1006" spans="104:111">
      <c r="CZ1006" s="256"/>
      <c r="DG1006" s="256"/>
    </row>
    <row r="1007" spans="104:111">
      <c r="CZ1007" s="256"/>
      <c r="DG1007" s="256"/>
    </row>
    <row r="1008" spans="104:111">
      <c r="CZ1008" s="256"/>
      <c r="DG1008" s="256"/>
    </row>
    <row r="1009" spans="104:111">
      <c r="CZ1009" s="256"/>
      <c r="DG1009" s="256"/>
    </row>
    <row r="1010" spans="104:111">
      <c r="CZ1010" s="256"/>
      <c r="DG1010" s="256"/>
    </row>
    <row r="1011" spans="104:111">
      <c r="CZ1011" s="256"/>
      <c r="DG1011" s="256"/>
    </row>
    <row r="1012" spans="104:111">
      <c r="CZ1012" s="256"/>
      <c r="DG1012" s="256"/>
    </row>
    <row r="1013" spans="104:111">
      <c r="CZ1013" s="256"/>
      <c r="DG1013" s="256"/>
    </row>
    <row r="1014" spans="104:111">
      <c r="CZ1014" s="256"/>
      <c r="DG1014" s="256"/>
    </row>
    <row r="1015" spans="104:111">
      <c r="CZ1015" s="256"/>
      <c r="DG1015" s="256"/>
    </row>
    <row r="1016" spans="104:111">
      <c r="CZ1016" s="256"/>
      <c r="DG1016" s="256"/>
    </row>
    <row r="1017" spans="104:111">
      <c r="CZ1017" s="256"/>
      <c r="DG1017" s="256"/>
    </row>
    <row r="1018" spans="104:111">
      <c r="CZ1018" s="256"/>
      <c r="DG1018" s="256"/>
    </row>
    <row r="1019" spans="104:111">
      <c r="CZ1019" s="256"/>
      <c r="DG1019" s="256"/>
    </row>
    <row r="1020" spans="104:111">
      <c r="CZ1020" s="256"/>
      <c r="DG1020" s="256"/>
    </row>
    <row r="1021" spans="104:111">
      <c r="CZ1021" s="256"/>
      <c r="DG1021" s="256"/>
    </row>
    <row r="1022" spans="104:111">
      <c r="CZ1022" s="256"/>
      <c r="DG1022" s="256"/>
    </row>
    <row r="1023" spans="104:111">
      <c r="CZ1023" s="256"/>
      <c r="DG1023" s="256"/>
    </row>
    <row r="1024" spans="104:111">
      <c r="CZ1024" s="256"/>
      <c r="DG1024" s="256"/>
    </row>
    <row r="1025" spans="104:111">
      <c r="CZ1025" s="256"/>
      <c r="DG1025" s="256"/>
    </row>
    <row r="1026" spans="104:111">
      <c r="CZ1026" s="256"/>
      <c r="DG1026" s="256"/>
    </row>
    <row r="1027" spans="104:111">
      <c r="CZ1027" s="256"/>
      <c r="DG1027" s="256"/>
    </row>
    <row r="1028" spans="104:111">
      <c r="CZ1028" s="256"/>
      <c r="DG1028" s="256"/>
    </row>
    <row r="1029" spans="104:111">
      <c r="CZ1029" s="256"/>
      <c r="DG1029" s="256"/>
    </row>
    <row r="1030" spans="104:111">
      <c r="CZ1030" s="256"/>
      <c r="DG1030" s="256"/>
    </row>
    <row r="1031" spans="104:111">
      <c r="CZ1031" s="256"/>
      <c r="DG1031" s="256"/>
    </row>
    <row r="1032" spans="104:111">
      <c r="CZ1032" s="256"/>
      <c r="DG1032" s="256"/>
    </row>
    <row r="1033" spans="104:111">
      <c r="CZ1033" s="256"/>
      <c r="DG1033" s="256"/>
    </row>
    <row r="1034" spans="104:111">
      <c r="CZ1034" s="256"/>
      <c r="DG1034" s="256"/>
    </row>
    <row r="1035" spans="104:111">
      <c r="CZ1035" s="256"/>
      <c r="DG1035" s="256"/>
    </row>
    <row r="1036" spans="104:111">
      <c r="CZ1036" s="256"/>
      <c r="DG1036" s="256"/>
    </row>
    <row r="1037" spans="104:111">
      <c r="CZ1037" s="256"/>
      <c r="DG1037" s="256"/>
    </row>
    <row r="1038" spans="104:111">
      <c r="CZ1038" s="256"/>
      <c r="DG1038" s="256"/>
    </row>
    <row r="1039" spans="104:111">
      <c r="CZ1039" s="256"/>
      <c r="DG1039" s="256"/>
    </row>
    <row r="1040" spans="104:111">
      <c r="CZ1040" s="256"/>
      <c r="DG1040" s="256"/>
    </row>
    <row r="1041" spans="104:111">
      <c r="CZ1041" s="256"/>
      <c r="DG1041" s="256"/>
    </row>
    <row r="1042" spans="104:111">
      <c r="CZ1042" s="256"/>
      <c r="DG1042" s="256"/>
    </row>
    <row r="1043" spans="104:111">
      <c r="CZ1043" s="256"/>
      <c r="DG1043" s="256"/>
    </row>
    <row r="1044" spans="104:111">
      <c r="CZ1044" s="256"/>
      <c r="DG1044" s="256"/>
    </row>
    <row r="1045" spans="104:111">
      <c r="CZ1045" s="256"/>
      <c r="DG1045" s="256"/>
    </row>
    <row r="1046" spans="104:111">
      <c r="CZ1046" s="256"/>
      <c r="DG1046" s="256"/>
    </row>
    <row r="1047" spans="104:111">
      <c r="CZ1047" s="256"/>
      <c r="DG1047" s="256"/>
    </row>
    <row r="1048" spans="104:111">
      <c r="CZ1048" s="256"/>
      <c r="DG1048" s="256"/>
    </row>
    <row r="1049" spans="104:111">
      <c r="CZ1049" s="256"/>
      <c r="DG1049" s="256"/>
    </row>
    <row r="1050" spans="104:111">
      <c r="CZ1050" s="256"/>
      <c r="DG1050" s="256"/>
    </row>
    <row r="1051" spans="104:111">
      <c r="CZ1051" s="256"/>
      <c r="DG1051" s="256"/>
    </row>
    <row r="1052" spans="104:111">
      <c r="CZ1052" s="256"/>
      <c r="DG1052" s="256"/>
    </row>
    <row r="1053" spans="104:111">
      <c r="CZ1053" s="256"/>
      <c r="DG1053" s="256"/>
    </row>
    <row r="1054" spans="104:111">
      <c r="CZ1054" s="256"/>
      <c r="DG1054" s="256"/>
    </row>
    <row r="1055" spans="104:111">
      <c r="CZ1055" s="256"/>
      <c r="DG1055" s="256"/>
    </row>
    <row r="1056" spans="104:111">
      <c r="CZ1056" s="256"/>
      <c r="DG1056" s="256"/>
    </row>
    <row r="1057" spans="104:111">
      <c r="CZ1057" s="256"/>
      <c r="DG1057" s="256"/>
    </row>
    <row r="1058" spans="104:111">
      <c r="CZ1058" s="256"/>
      <c r="DG1058" s="256"/>
    </row>
    <row r="1059" spans="104:111">
      <c r="CZ1059" s="256"/>
      <c r="DG1059" s="256"/>
    </row>
    <row r="1060" spans="104:111">
      <c r="CZ1060" s="256"/>
      <c r="DG1060" s="256"/>
    </row>
    <row r="1061" spans="104:111">
      <c r="CZ1061" s="256"/>
      <c r="DG1061" s="256"/>
    </row>
    <row r="1062" spans="104:111">
      <c r="CZ1062" s="256"/>
      <c r="DG1062" s="256"/>
    </row>
    <row r="1063" spans="104:111">
      <c r="CZ1063" s="256"/>
      <c r="DG1063" s="256"/>
    </row>
    <row r="1064" spans="104:111">
      <c r="CZ1064" s="256"/>
      <c r="DG1064" s="256"/>
    </row>
    <row r="1065" spans="104:111">
      <c r="CZ1065" s="256"/>
      <c r="DG1065" s="256"/>
    </row>
    <row r="1066" spans="104:111">
      <c r="CZ1066" s="256"/>
      <c r="DG1066" s="256"/>
    </row>
    <row r="1067" spans="104:111">
      <c r="CZ1067" s="256"/>
      <c r="DG1067" s="256"/>
    </row>
    <row r="1068" spans="104:111">
      <c r="CZ1068" s="256"/>
      <c r="DG1068" s="256"/>
    </row>
    <row r="1069" spans="104:111">
      <c r="CZ1069" s="256"/>
      <c r="DG1069" s="256"/>
    </row>
    <row r="1070" spans="104:111">
      <c r="CZ1070" s="256"/>
      <c r="DG1070" s="256"/>
    </row>
    <row r="1071" spans="104:111">
      <c r="CZ1071" s="256"/>
      <c r="DG1071" s="256"/>
    </row>
    <row r="1072" spans="104:111">
      <c r="CZ1072" s="256"/>
      <c r="DG1072" s="256"/>
    </row>
    <row r="1073" spans="104:111">
      <c r="CZ1073" s="256"/>
      <c r="DG1073" s="256"/>
    </row>
    <row r="1074" spans="104:111">
      <c r="CZ1074" s="256"/>
      <c r="DG1074" s="256"/>
    </row>
    <row r="1075" spans="104:111">
      <c r="CZ1075" s="256"/>
      <c r="DG1075" s="256"/>
    </row>
    <row r="1076" spans="104:111">
      <c r="CZ1076" s="256"/>
      <c r="DG1076" s="256"/>
    </row>
    <row r="1077" spans="104:111">
      <c r="CZ1077" s="256"/>
      <c r="DG1077" s="256"/>
    </row>
    <row r="1078" spans="104:111">
      <c r="CZ1078" s="256"/>
      <c r="DG1078" s="256"/>
    </row>
    <row r="1079" spans="104:111">
      <c r="CZ1079" s="256"/>
      <c r="DG1079" s="256"/>
    </row>
    <row r="1080" spans="104:111">
      <c r="CZ1080" s="256"/>
      <c r="DG1080" s="256"/>
    </row>
    <row r="1081" spans="104:111">
      <c r="CZ1081" s="256"/>
      <c r="DG1081" s="256"/>
    </row>
    <row r="1082" spans="104:111">
      <c r="CZ1082" s="256"/>
      <c r="DG1082" s="256"/>
    </row>
    <row r="1083" spans="104:111">
      <c r="CZ1083" s="256"/>
      <c r="DG1083" s="256"/>
    </row>
    <row r="1084" spans="104:111">
      <c r="CZ1084" s="256"/>
      <c r="DG1084" s="256"/>
    </row>
    <row r="1085" spans="104:111">
      <c r="CZ1085" s="256"/>
      <c r="DG1085" s="256"/>
    </row>
    <row r="1086" spans="104:111">
      <c r="CZ1086" s="256"/>
      <c r="DG1086" s="256"/>
    </row>
    <row r="1087" spans="104:111">
      <c r="CZ1087" s="256"/>
      <c r="DG1087" s="256"/>
    </row>
    <row r="1088" spans="104:111">
      <c r="CZ1088" s="256"/>
      <c r="DG1088" s="256"/>
    </row>
    <row r="1089" spans="104:111">
      <c r="CZ1089" s="256"/>
      <c r="DG1089" s="256"/>
    </row>
    <row r="1090" spans="104:111">
      <c r="CZ1090" s="256"/>
      <c r="DG1090" s="256"/>
    </row>
    <row r="1091" spans="104:111">
      <c r="CZ1091" s="256"/>
      <c r="DG1091" s="256"/>
    </row>
    <row r="1092" spans="104:111">
      <c r="CZ1092" s="256"/>
      <c r="DG1092" s="256"/>
    </row>
    <row r="1093" spans="104:111">
      <c r="CZ1093" s="256"/>
      <c r="DG1093" s="256"/>
    </row>
    <row r="1094" spans="104:111">
      <c r="CZ1094" s="256"/>
      <c r="DG1094" s="256"/>
    </row>
    <row r="1095" spans="104:111">
      <c r="CZ1095" s="256"/>
      <c r="DG1095" s="256"/>
    </row>
    <row r="1096" spans="104:111">
      <c r="CZ1096" s="256"/>
      <c r="DG1096" s="256"/>
    </row>
    <row r="1097" spans="104:111">
      <c r="CZ1097" s="256"/>
      <c r="DG1097" s="256"/>
    </row>
    <row r="1098" spans="104:111">
      <c r="CZ1098" s="256"/>
      <c r="DG1098" s="256"/>
    </row>
    <row r="1099" spans="104:111">
      <c r="CZ1099" s="256"/>
      <c r="DG1099" s="256"/>
    </row>
    <row r="1100" spans="104:111">
      <c r="CZ1100" s="256"/>
      <c r="DG1100" s="256"/>
    </row>
    <row r="1101" spans="104:111">
      <c r="CZ1101" s="256"/>
      <c r="DG1101" s="256"/>
    </row>
    <row r="1102" spans="104:111">
      <c r="CZ1102" s="256"/>
      <c r="DG1102" s="256"/>
    </row>
    <row r="1103" spans="104:111">
      <c r="CZ1103" s="256"/>
      <c r="DG1103" s="256"/>
    </row>
    <row r="1104" spans="104:111">
      <c r="CZ1104" s="256"/>
      <c r="DG1104" s="256"/>
    </row>
    <row r="1105" spans="104:111">
      <c r="CZ1105" s="256"/>
      <c r="DG1105" s="256"/>
    </row>
    <row r="1106" spans="104:111">
      <c r="CZ1106" s="256"/>
      <c r="DG1106" s="256"/>
    </row>
    <row r="1107" spans="104:111">
      <c r="CZ1107" s="256"/>
      <c r="DG1107" s="256"/>
    </row>
    <row r="1108" spans="104:111">
      <c r="CZ1108" s="256"/>
      <c r="DG1108" s="256"/>
    </row>
    <row r="1109" spans="104:111">
      <c r="CZ1109" s="256"/>
      <c r="DG1109" s="256"/>
    </row>
    <row r="1110" spans="104:111">
      <c r="CZ1110" s="256"/>
      <c r="DG1110" s="256"/>
    </row>
    <row r="1111" spans="104:111">
      <c r="CZ1111" s="256"/>
      <c r="DG1111" s="256"/>
    </row>
    <row r="1112" spans="104:111">
      <c r="CZ1112" s="256"/>
      <c r="DG1112" s="256"/>
    </row>
    <row r="1113" spans="104:111">
      <c r="CZ1113" s="256"/>
      <c r="DG1113" s="256"/>
    </row>
    <row r="1114" spans="104:111">
      <c r="CZ1114" s="256"/>
      <c r="DG1114" s="256"/>
    </row>
    <row r="1115" spans="104:111">
      <c r="CZ1115" s="256"/>
      <c r="DG1115" s="256"/>
    </row>
    <row r="1116" spans="104:111">
      <c r="CZ1116" s="256"/>
      <c r="DG1116" s="256"/>
    </row>
    <row r="1117" spans="104:111">
      <c r="CZ1117" s="256"/>
      <c r="DG1117" s="256"/>
    </row>
    <row r="1118" spans="104:111">
      <c r="CZ1118" s="256"/>
      <c r="DG1118" s="256"/>
    </row>
    <row r="1119" spans="104:111">
      <c r="CZ1119" s="256"/>
      <c r="DG1119" s="256"/>
    </row>
    <row r="1120" spans="104:111">
      <c r="CZ1120" s="256"/>
      <c r="DG1120" s="256"/>
    </row>
    <row r="1121" spans="104:111">
      <c r="CZ1121" s="256"/>
      <c r="DG1121" s="256"/>
    </row>
    <row r="1122" spans="104:111">
      <c r="CZ1122" s="256"/>
      <c r="DG1122" s="256"/>
    </row>
    <row r="1123" spans="104:111">
      <c r="CZ1123" s="256"/>
      <c r="DG1123" s="256"/>
    </row>
    <row r="1124" spans="104:111">
      <c r="CZ1124" s="256"/>
      <c r="DG1124" s="256"/>
    </row>
    <row r="1125" spans="104:111">
      <c r="CZ1125" s="256"/>
      <c r="DG1125" s="256"/>
    </row>
    <row r="1126" spans="104:111">
      <c r="CZ1126" s="256"/>
      <c r="DG1126" s="256"/>
    </row>
    <row r="1127" spans="104:111">
      <c r="CZ1127" s="256"/>
      <c r="DG1127" s="256"/>
    </row>
    <row r="1128" spans="104:111">
      <c r="CZ1128" s="256"/>
      <c r="DG1128" s="256"/>
    </row>
    <row r="1129" spans="104:111">
      <c r="CZ1129" s="256"/>
      <c r="DG1129" s="256"/>
    </row>
    <row r="1130" spans="104:111">
      <c r="CZ1130" s="256"/>
      <c r="DG1130" s="256"/>
    </row>
    <row r="1131" spans="104:111">
      <c r="CZ1131" s="256"/>
      <c r="DG1131" s="256"/>
    </row>
    <row r="1132" spans="104:111">
      <c r="CZ1132" s="256"/>
      <c r="DG1132" s="256"/>
    </row>
    <row r="1133" spans="104:111">
      <c r="CZ1133" s="256"/>
      <c r="DG1133" s="256"/>
    </row>
    <row r="1134" spans="104:111">
      <c r="CZ1134" s="256"/>
      <c r="DG1134" s="256"/>
    </row>
    <row r="1135" spans="104:111">
      <c r="CZ1135" s="256"/>
      <c r="DG1135" s="256"/>
    </row>
    <row r="1136" spans="104:111">
      <c r="CZ1136" s="256"/>
      <c r="DG1136" s="256"/>
    </row>
    <row r="1137" spans="104:111">
      <c r="CZ1137" s="256"/>
      <c r="DG1137" s="256"/>
    </row>
    <row r="1138" spans="104:111">
      <c r="CZ1138" s="256"/>
      <c r="DG1138" s="256"/>
    </row>
    <row r="1139" spans="104:111">
      <c r="CZ1139" s="256"/>
      <c r="DG1139" s="256"/>
    </row>
    <row r="1140" spans="104:111">
      <c r="CZ1140" s="256"/>
      <c r="DG1140" s="256"/>
    </row>
    <row r="1141" spans="104:111">
      <c r="CZ1141" s="256"/>
      <c r="DG1141" s="256"/>
    </row>
    <row r="1142" spans="104:111">
      <c r="CZ1142" s="256"/>
      <c r="DG1142" s="256"/>
    </row>
    <row r="1143" spans="104:111">
      <c r="CZ1143" s="256"/>
      <c r="DG1143" s="256"/>
    </row>
    <row r="1144" spans="104:111">
      <c r="CZ1144" s="256"/>
      <c r="DG1144" s="256"/>
    </row>
    <row r="1145" spans="104:111">
      <c r="CZ1145" s="256"/>
      <c r="DG1145" s="256"/>
    </row>
    <row r="1146" spans="104:111">
      <c r="CZ1146" s="256"/>
      <c r="DG1146" s="256"/>
    </row>
    <row r="1147" spans="104:111">
      <c r="CZ1147" s="256"/>
      <c r="DG1147" s="256"/>
    </row>
    <row r="1148" spans="104:111">
      <c r="CZ1148" s="256"/>
      <c r="DG1148" s="256"/>
    </row>
    <row r="1149" spans="104:111">
      <c r="CZ1149" s="256"/>
      <c r="DG1149" s="256"/>
    </row>
    <row r="1150" spans="104:111">
      <c r="CZ1150" s="256"/>
      <c r="DG1150" s="256"/>
    </row>
    <row r="1151" spans="104:111">
      <c r="CZ1151" s="256"/>
      <c r="DG1151" s="256"/>
    </row>
    <row r="1152" spans="104:111">
      <c r="CZ1152" s="256"/>
      <c r="DG1152" s="256"/>
    </row>
    <row r="1153" spans="104:111">
      <c r="CZ1153" s="256"/>
      <c r="DG1153" s="256"/>
    </row>
    <row r="1154" spans="104:111">
      <c r="CZ1154" s="256"/>
      <c r="DG1154" s="256"/>
    </row>
    <row r="1155" spans="104:111">
      <c r="CZ1155" s="256"/>
      <c r="DG1155" s="256"/>
    </row>
    <row r="1156" spans="104:111">
      <c r="CZ1156" s="256"/>
      <c r="DG1156" s="256"/>
    </row>
    <row r="1157" spans="104:111">
      <c r="CZ1157" s="256"/>
      <c r="DG1157" s="256"/>
    </row>
    <row r="1158" spans="104:111">
      <c r="CZ1158" s="256"/>
      <c r="DG1158" s="256"/>
    </row>
    <row r="1159" spans="104:111">
      <c r="CZ1159" s="256"/>
      <c r="DG1159" s="256"/>
    </row>
    <row r="1160" spans="104:111">
      <c r="CZ1160" s="256"/>
      <c r="DG1160" s="256"/>
    </row>
    <row r="1161" spans="104:111">
      <c r="CZ1161" s="256"/>
      <c r="DG1161" s="256"/>
    </row>
    <row r="1162" spans="104:111">
      <c r="CZ1162" s="256"/>
      <c r="DG1162" s="256"/>
    </row>
    <row r="1163" spans="104:111">
      <c r="CZ1163" s="256"/>
      <c r="DG1163" s="256"/>
    </row>
    <row r="1164" spans="104:111">
      <c r="CZ1164" s="256"/>
      <c r="DG1164" s="256"/>
    </row>
    <row r="1165" spans="104:111">
      <c r="CZ1165" s="256"/>
      <c r="DG1165" s="256"/>
    </row>
    <row r="1166" spans="104:111">
      <c r="CZ1166" s="256"/>
      <c r="DG1166" s="256"/>
    </row>
    <row r="1167" spans="104:111">
      <c r="CZ1167" s="256"/>
      <c r="DG1167" s="256"/>
    </row>
    <row r="1168" spans="104:111">
      <c r="CZ1168" s="256"/>
      <c r="DG1168" s="256"/>
    </row>
    <row r="1169" spans="104:111">
      <c r="CZ1169" s="256"/>
      <c r="DG1169" s="256"/>
    </row>
    <row r="1170" spans="104:111">
      <c r="CZ1170" s="256"/>
      <c r="DG1170" s="256"/>
    </row>
    <row r="1171" spans="104:111">
      <c r="CZ1171" s="256"/>
      <c r="DG1171" s="256"/>
    </row>
    <row r="1172" spans="104:111">
      <c r="CZ1172" s="256"/>
      <c r="DG1172" s="256"/>
    </row>
    <row r="1173" spans="104:111">
      <c r="CZ1173" s="256"/>
      <c r="DG1173" s="256"/>
    </row>
    <row r="1174" spans="104:111">
      <c r="CZ1174" s="256"/>
      <c r="DG1174" s="256"/>
    </row>
    <row r="1175" spans="104:111">
      <c r="CZ1175" s="256"/>
      <c r="DG1175" s="256"/>
    </row>
    <row r="1176" spans="104:111">
      <c r="CZ1176" s="256"/>
      <c r="DG1176" s="256"/>
    </row>
    <row r="1177" spans="104:111">
      <c r="CZ1177" s="256"/>
      <c r="DG1177" s="256"/>
    </row>
    <row r="1178" spans="104:111">
      <c r="CZ1178" s="256"/>
      <c r="DG1178" s="256"/>
    </row>
    <row r="1179" spans="104:111">
      <c r="CZ1179" s="256"/>
      <c r="DG1179" s="256"/>
    </row>
    <row r="1180" spans="104:111">
      <c r="CZ1180" s="256"/>
      <c r="DG1180" s="256"/>
    </row>
    <row r="1181" spans="104:111">
      <c r="CZ1181" s="256"/>
      <c r="DG1181" s="256"/>
    </row>
    <row r="1182" spans="104:111">
      <c r="CZ1182" s="256"/>
      <c r="DG1182" s="256"/>
    </row>
    <row r="1183" spans="104:111">
      <c r="CZ1183" s="256"/>
      <c r="DG1183" s="256"/>
    </row>
    <row r="1184" spans="104:111">
      <c r="CZ1184" s="256"/>
      <c r="DG1184" s="256"/>
    </row>
    <row r="1185" spans="104:111">
      <c r="CZ1185" s="256"/>
      <c r="DG1185" s="256"/>
    </row>
    <row r="1186" spans="104:111">
      <c r="CZ1186" s="256"/>
      <c r="DG1186" s="256"/>
    </row>
    <row r="1187" spans="104:111">
      <c r="CZ1187" s="256"/>
      <c r="DG1187" s="256"/>
    </row>
    <row r="1188" spans="104:111">
      <c r="CZ1188" s="256"/>
      <c r="DG1188" s="256"/>
    </row>
    <row r="1189" spans="104:111">
      <c r="CZ1189" s="256"/>
      <c r="DG1189" s="256"/>
    </row>
    <row r="1190" spans="104:111">
      <c r="CZ1190" s="256"/>
      <c r="DG1190" s="256"/>
    </row>
    <row r="1191" spans="104:111">
      <c r="CZ1191" s="256"/>
      <c r="DG1191" s="256"/>
    </row>
    <row r="1192" spans="104:111">
      <c r="CZ1192" s="256"/>
      <c r="DG1192" s="256"/>
    </row>
    <row r="1193" spans="104:111">
      <c r="CZ1193" s="256"/>
      <c r="DG1193" s="256"/>
    </row>
    <row r="1194" spans="104:111">
      <c r="CZ1194" s="256"/>
      <c r="DG1194" s="256"/>
    </row>
    <row r="1195" spans="104:111">
      <c r="CZ1195" s="256"/>
      <c r="DG1195" s="256"/>
    </row>
    <row r="1196" spans="104:111">
      <c r="CZ1196" s="256"/>
      <c r="DG1196" s="256"/>
    </row>
    <row r="1197" spans="104:111">
      <c r="CZ1197" s="256"/>
      <c r="DG1197" s="256"/>
    </row>
    <row r="1198" spans="104:111">
      <c r="CZ1198" s="256"/>
      <c r="DG1198" s="256"/>
    </row>
    <row r="1199" spans="104:111">
      <c r="CZ1199" s="256"/>
      <c r="DG1199" s="256"/>
    </row>
    <row r="1200" spans="104:111">
      <c r="CZ1200" s="256"/>
      <c r="DG1200" s="256"/>
    </row>
    <row r="1201" spans="104:111">
      <c r="CZ1201" s="256"/>
      <c r="DG1201" s="256"/>
    </row>
    <row r="1202" spans="104:111">
      <c r="CZ1202" s="256"/>
      <c r="DG1202" s="256"/>
    </row>
    <row r="1203" spans="104:111">
      <c r="CZ1203" s="256"/>
      <c r="DG1203" s="256"/>
    </row>
    <row r="1204" spans="104:111">
      <c r="CZ1204" s="256"/>
      <c r="DG1204" s="256"/>
    </row>
    <row r="1205" spans="104:111">
      <c r="CZ1205" s="256"/>
      <c r="DG1205" s="256"/>
    </row>
    <row r="1206" spans="104:111">
      <c r="CZ1206" s="256"/>
      <c r="DG1206" s="256"/>
    </row>
    <row r="1207" spans="104:111">
      <c r="CZ1207" s="256"/>
      <c r="DG1207" s="256"/>
    </row>
    <row r="1208" spans="104:111">
      <c r="CZ1208" s="256"/>
      <c r="DG1208" s="256"/>
    </row>
    <row r="1209" spans="104:111">
      <c r="CZ1209" s="256"/>
      <c r="DG1209" s="256"/>
    </row>
    <row r="1210" spans="104:111">
      <c r="CZ1210" s="256"/>
      <c r="DG1210" s="256"/>
    </row>
    <row r="1211" spans="104:111">
      <c r="CZ1211" s="256"/>
      <c r="DG1211" s="256"/>
    </row>
    <row r="1212" spans="104:111">
      <c r="CZ1212" s="256"/>
      <c r="DG1212" s="256"/>
    </row>
    <row r="1213" spans="104:111">
      <c r="CZ1213" s="256"/>
      <c r="DG1213" s="256"/>
    </row>
    <row r="1214" spans="104:111">
      <c r="CZ1214" s="256"/>
      <c r="DG1214" s="256"/>
    </row>
    <row r="1215" spans="104:111">
      <c r="CZ1215" s="256"/>
      <c r="DG1215" s="256"/>
    </row>
    <row r="1216" spans="104:111">
      <c r="CZ1216" s="256"/>
      <c r="DG1216" s="256"/>
    </row>
    <row r="1217" spans="104:111">
      <c r="CZ1217" s="256"/>
      <c r="DG1217" s="256"/>
    </row>
    <row r="1218" spans="104:111">
      <c r="CZ1218" s="256"/>
      <c r="DG1218" s="256"/>
    </row>
    <row r="1219" spans="104:111">
      <c r="CZ1219" s="256"/>
      <c r="DG1219" s="256"/>
    </row>
    <row r="1220" spans="104:111">
      <c r="CZ1220" s="256"/>
      <c r="DG1220" s="256"/>
    </row>
    <row r="1221" spans="104:111">
      <c r="CZ1221" s="256"/>
      <c r="DG1221" s="256"/>
    </row>
    <row r="1222" spans="104:111">
      <c r="CZ1222" s="256"/>
      <c r="DG1222" s="256"/>
    </row>
    <row r="1223" spans="104:111">
      <c r="CZ1223" s="256"/>
      <c r="DG1223" s="256"/>
    </row>
    <row r="1224" spans="104:111">
      <c r="CZ1224" s="256"/>
      <c r="DG1224" s="256"/>
    </row>
    <row r="1225" spans="104:111">
      <c r="CZ1225" s="256"/>
      <c r="DG1225" s="256"/>
    </row>
    <row r="1226" spans="104:111">
      <c r="CZ1226" s="256"/>
      <c r="DG1226" s="256"/>
    </row>
    <row r="1227" spans="104:111">
      <c r="CZ1227" s="256"/>
      <c r="DG1227" s="256"/>
    </row>
    <row r="1228" spans="104:111">
      <c r="CZ1228" s="256"/>
      <c r="DG1228" s="256"/>
    </row>
    <row r="1229" spans="104:111">
      <c r="CZ1229" s="256"/>
      <c r="DG1229" s="256"/>
    </row>
    <row r="1230" spans="104:111">
      <c r="CZ1230" s="256"/>
      <c r="DG1230" s="256"/>
    </row>
    <row r="1231" spans="104:111">
      <c r="CZ1231" s="256"/>
      <c r="DG1231" s="256"/>
    </row>
    <row r="1232" spans="104:111">
      <c r="CZ1232" s="256"/>
      <c r="DG1232" s="256"/>
    </row>
    <row r="1233" spans="104:111">
      <c r="CZ1233" s="256"/>
      <c r="DG1233" s="256"/>
    </row>
    <row r="1234" spans="104:111">
      <c r="CZ1234" s="256"/>
      <c r="DG1234" s="256"/>
    </row>
    <row r="1235" spans="104:111">
      <c r="CZ1235" s="256"/>
      <c r="DG1235" s="256"/>
    </row>
    <row r="1236" spans="104:111">
      <c r="CZ1236" s="256"/>
      <c r="DG1236" s="256"/>
    </row>
    <row r="1237" spans="104:111">
      <c r="CZ1237" s="256"/>
      <c r="DG1237" s="256"/>
    </row>
    <row r="1238" spans="104:111">
      <c r="CZ1238" s="256"/>
      <c r="DG1238" s="256"/>
    </row>
    <row r="1239" spans="104:111">
      <c r="CZ1239" s="256"/>
      <c r="DG1239" s="256"/>
    </row>
    <row r="1240" spans="104:111">
      <c r="CZ1240" s="256"/>
      <c r="DG1240" s="256"/>
    </row>
    <row r="1241" spans="104:111">
      <c r="CZ1241" s="256"/>
      <c r="DG1241" s="256"/>
    </row>
    <row r="1242" spans="104:111">
      <c r="CZ1242" s="256"/>
      <c r="DG1242" s="256"/>
    </row>
    <row r="1243" spans="104:111">
      <c r="CZ1243" s="256"/>
      <c r="DG1243" s="256"/>
    </row>
    <row r="1244" spans="104:111">
      <c r="CZ1244" s="256"/>
      <c r="DG1244" s="256"/>
    </row>
    <row r="1245" spans="104:111">
      <c r="CZ1245" s="256"/>
      <c r="DG1245" s="256"/>
    </row>
    <row r="1246" spans="104:111">
      <c r="CZ1246" s="256"/>
      <c r="DG1246" s="256"/>
    </row>
    <row r="1247" spans="104:111">
      <c r="CZ1247" s="256"/>
      <c r="DG1247" s="256"/>
    </row>
    <row r="1248" spans="104:111">
      <c r="CZ1248" s="256"/>
      <c r="DG1248" s="256"/>
    </row>
    <row r="1249" spans="104:111">
      <c r="CZ1249" s="256"/>
      <c r="DG1249" s="256"/>
    </row>
    <row r="1250" spans="104:111">
      <c r="CZ1250" s="256"/>
      <c r="DG1250" s="256"/>
    </row>
    <row r="1251" spans="104:111">
      <c r="CZ1251" s="256"/>
      <c r="DG1251" s="256"/>
    </row>
    <row r="1252" spans="104:111">
      <c r="CZ1252" s="256"/>
      <c r="DG1252" s="256"/>
    </row>
    <row r="1253" spans="104:111">
      <c r="CZ1253" s="256"/>
      <c r="DG1253" s="256"/>
    </row>
    <row r="1254" spans="104:111">
      <c r="CZ1254" s="256"/>
      <c r="DG1254" s="256"/>
    </row>
    <row r="1255" spans="104:111">
      <c r="CZ1255" s="256"/>
      <c r="DG1255" s="256"/>
    </row>
    <row r="1256" spans="104:111">
      <c r="CZ1256" s="256"/>
      <c r="DG1256" s="256"/>
    </row>
    <row r="1257" spans="104:111">
      <c r="CZ1257" s="256"/>
      <c r="DG1257" s="256"/>
    </row>
    <row r="1258" spans="104:111">
      <c r="CZ1258" s="256"/>
      <c r="DG1258" s="256"/>
    </row>
    <row r="1259" spans="104:111">
      <c r="CZ1259" s="256"/>
      <c r="DG1259" s="256"/>
    </row>
    <row r="1260" spans="104:111">
      <c r="CZ1260" s="256"/>
      <c r="DG1260" s="256"/>
    </row>
    <row r="1261" spans="104:111">
      <c r="CZ1261" s="256"/>
      <c r="DG1261" s="256"/>
    </row>
    <row r="1262" spans="104:111">
      <c r="CZ1262" s="256"/>
      <c r="DG1262" s="256"/>
    </row>
    <row r="1263" spans="104:111">
      <c r="CZ1263" s="256"/>
      <c r="DG1263" s="256"/>
    </row>
    <row r="1264" spans="104:111">
      <c r="CZ1264" s="256"/>
      <c r="DG1264" s="256"/>
    </row>
    <row r="1265" spans="104:111">
      <c r="CZ1265" s="256"/>
      <c r="DG1265" s="256"/>
    </row>
    <row r="1266" spans="104:111">
      <c r="CZ1266" s="256"/>
      <c r="DG1266" s="256"/>
    </row>
    <row r="1267" spans="104:111">
      <c r="CZ1267" s="256"/>
      <c r="DG1267" s="256"/>
    </row>
    <row r="1268" spans="104:111">
      <c r="CZ1268" s="256"/>
      <c r="DG1268" s="256"/>
    </row>
    <row r="1269" spans="104:111">
      <c r="CZ1269" s="256"/>
      <c r="DG1269" s="256"/>
    </row>
    <row r="1270" spans="104:111">
      <c r="CZ1270" s="256"/>
      <c r="DG1270" s="256"/>
    </row>
    <row r="1271" spans="104:111">
      <c r="CZ1271" s="256"/>
      <c r="DG1271" s="256"/>
    </row>
    <row r="1272" spans="104:111">
      <c r="CZ1272" s="256"/>
      <c r="DG1272" s="256"/>
    </row>
    <row r="1273" spans="104:111">
      <c r="CZ1273" s="256"/>
      <c r="DG1273" s="256"/>
    </row>
    <row r="1274" spans="104:111">
      <c r="CZ1274" s="256"/>
      <c r="DG1274" s="256"/>
    </row>
    <row r="1275" spans="104:111">
      <c r="CZ1275" s="256"/>
      <c r="DG1275" s="256"/>
    </row>
    <row r="1276" spans="104:111">
      <c r="CZ1276" s="256"/>
      <c r="DG1276" s="256"/>
    </row>
    <row r="1277" spans="104:111">
      <c r="CZ1277" s="256"/>
      <c r="DG1277" s="256"/>
    </row>
    <row r="1278" spans="104:111">
      <c r="CZ1278" s="256"/>
      <c r="DG1278" s="256"/>
    </row>
    <row r="1279" spans="104:111">
      <c r="CZ1279" s="256"/>
      <c r="DG1279" s="256"/>
    </row>
    <row r="1280" spans="104:111">
      <c r="CZ1280" s="256"/>
      <c r="DG1280" s="256"/>
    </row>
    <row r="1281" spans="104:111">
      <c r="CZ1281" s="256"/>
      <c r="DG1281" s="256"/>
    </row>
    <row r="1282" spans="104:111">
      <c r="CZ1282" s="256"/>
      <c r="DG1282" s="256"/>
    </row>
    <row r="1283" spans="104:111">
      <c r="CZ1283" s="256"/>
      <c r="DG1283" s="256"/>
    </row>
    <row r="1284" spans="104:111">
      <c r="CZ1284" s="256"/>
      <c r="DG1284" s="256"/>
    </row>
    <row r="1285" spans="104:111">
      <c r="CZ1285" s="256"/>
      <c r="DG1285" s="256"/>
    </row>
    <row r="1286" spans="104:111">
      <c r="CZ1286" s="256"/>
      <c r="DG1286" s="256"/>
    </row>
    <row r="1287" spans="104:111">
      <c r="CZ1287" s="256"/>
      <c r="DG1287" s="256"/>
    </row>
    <row r="1288" spans="104:111">
      <c r="CZ1288" s="256"/>
      <c r="DG1288" s="256"/>
    </row>
    <row r="1289" spans="104:111">
      <c r="CZ1289" s="256"/>
      <c r="DG1289" s="256"/>
    </row>
    <row r="1290" spans="104:111">
      <c r="CZ1290" s="256"/>
      <c r="DG1290" s="256"/>
    </row>
    <row r="1291" spans="104:111">
      <c r="CZ1291" s="256"/>
      <c r="DG1291" s="256"/>
    </row>
    <row r="1292" spans="104:111">
      <c r="CZ1292" s="256"/>
      <c r="DG1292" s="256"/>
    </row>
    <row r="1293" spans="104:111">
      <c r="CZ1293" s="256"/>
      <c r="DG1293" s="256"/>
    </row>
    <row r="1294" spans="104:111">
      <c r="CZ1294" s="256"/>
      <c r="DG1294" s="256"/>
    </row>
    <row r="1295" spans="104:111">
      <c r="CZ1295" s="256"/>
      <c r="DG1295" s="256"/>
    </row>
    <row r="1296" spans="104:111">
      <c r="CZ1296" s="256"/>
      <c r="DG1296" s="256"/>
    </row>
    <row r="1297" spans="104:111">
      <c r="CZ1297" s="256"/>
      <c r="DG1297" s="256"/>
    </row>
    <row r="1298" spans="104:111">
      <c r="CZ1298" s="256"/>
      <c r="DG1298" s="256"/>
    </row>
    <row r="1299" spans="104:111">
      <c r="CZ1299" s="256"/>
      <c r="DG1299" s="256"/>
    </row>
    <row r="1300" spans="104:111">
      <c r="CZ1300" s="256"/>
      <c r="DG1300" s="256"/>
    </row>
    <row r="1301" spans="104:111">
      <c r="CZ1301" s="256"/>
      <c r="DG1301" s="256"/>
    </row>
    <row r="1302" spans="104:111">
      <c r="CZ1302" s="256"/>
      <c r="DG1302" s="256"/>
    </row>
    <row r="1303" spans="104:111">
      <c r="CZ1303" s="256"/>
      <c r="DG1303" s="256"/>
    </row>
    <row r="1304" spans="104:111">
      <c r="CZ1304" s="256"/>
      <c r="DG1304" s="256"/>
    </row>
    <row r="1305" spans="104:111">
      <c r="CZ1305" s="256"/>
      <c r="DG1305" s="256"/>
    </row>
    <row r="1306" spans="104:111">
      <c r="CZ1306" s="256"/>
      <c r="DG1306" s="256"/>
    </row>
    <row r="1307" spans="104:111">
      <c r="CZ1307" s="256"/>
      <c r="DG1307" s="256"/>
    </row>
    <row r="1308" spans="104:111">
      <c r="CZ1308" s="256"/>
      <c r="DG1308" s="256"/>
    </row>
    <row r="1309" spans="104:111">
      <c r="CZ1309" s="256"/>
      <c r="DG1309" s="256"/>
    </row>
    <row r="1310" spans="104:111">
      <c r="CZ1310" s="256"/>
      <c r="DG1310" s="256"/>
    </row>
    <row r="1311" spans="104:111">
      <c r="CZ1311" s="256"/>
      <c r="DG1311" s="256"/>
    </row>
    <row r="1312" spans="104:111">
      <c r="CZ1312" s="256"/>
      <c r="DG1312" s="256"/>
    </row>
    <row r="1313" spans="104:111">
      <c r="CZ1313" s="256"/>
      <c r="DG1313" s="256"/>
    </row>
    <row r="1314" spans="104:111">
      <c r="CZ1314" s="256"/>
      <c r="DG1314" s="256"/>
    </row>
    <row r="1315" spans="104:111">
      <c r="CZ1315" s="256"/>
      <c r="DG1315" s="256"/>
    </row>
    <row r="1316" spans="104:111">
      <c r="CZ1316" s="256"/>
      <c r="DG1316" s="256"/>
    </row>
    <row r="1317" spans="104:111">
      <c r="CZ1317" s="256"/>
      <c r="DG1317" s="256"/>
    </row>
    <row r="1318" spans="104:111">
      <c r="CZ1318" s="256"/>
      <c r="DG1318" s="256"/>
    </row>
    <row r="1319" spans="104:111">
      <c r="CZ1319" s="256"/>
      <c r="DG1319" s="256"/>
    </row>
    <row r="1320" spans="104:111">
      <c r="CZ1320" s="256"/>
      <c r="DG1320" s="256"/>
    </row>
    <row r="1321" spans="104:111">
      <c r="CZ1321" s="256"/>
      <c r="DG1321" s="256"/>
    </row>
    <row r="1322" spans="104:111">
      <c r="CZ1322" s="256"/>
      <c r="DG1322" s="256"/>
    </row>
    <row r="1323" spans="104:111">
      <c r="CZ1323" s="256"/>
      <c r="DG1323" s="256"/>
    </row>
    <row r="1324" spans="104:111">
      <c r="CZ1324" s="256"/>
      <c r="DG1324" s="256"/>
    </row>
    <row r="1325" spans="104:111">
      <c r="CZ1325" s="256"/>
      <c r="DG1325" s="256"/>
    </row>
    <row r="1326" spans="104:111">
      <c r="CZ1326" s="256"/>
      <c r="DG1326" s="256"/>
    </row>
    <row r="1327" spans="104:111">
      <c r="CZ1327" s="256"/>
      <c r="DG1327" s="256"/>
    </row>
    <row r="1328" spans="104:111">
      <c r="CZ1328" s="256"/>
      <c r="DG1328" s="256"/>
    </row>
    <row r="1329" spans="104:111">
      <c r="CZ1329" s="256"/>
      <c r="DG1329" s="256"/>
    </row>
    <row r="1330" spans="104:111">
      <c r="CZ1330" s="256"/>
      <c r="DG1330" s="256"/>
    </row>
    <row r="1331" spans="104:111">
      <c r="CZ1331" s="256"/>
      <c r="DG1331" s="256"/>
    </row>
    <row r="1332" spans="104:111">
      <c r="CZ1332" s="256"/>
      <c r="DG1332" s="256"/>
    </row>
    <row r="1333" spans="104:111">
      <c r="CZ1333" s="256"/>
      <c r="DG1333" s="256"/>
    </row>
    <row r="1334" spans="104:111">
      <c r="CZ1334" s="256"/>
      <c r="DG1334" s="256"/>
    </row>
    <row r="1335" spans="104:111">
      <c r="CZ1335" s="256"/>
      <c r="DG1335" s="256"/>
    </row>
    <row r="1336" spans="104:111">
      <c r="CZ1336" s="256"/>
      <c r="DG1336" s="256"/>
    </row>
    <row r="1337" spans="104:111">
      <c r="CZ1337" s="256"/>
      <c r="DG1337" s="256"/>
    </row>
    <row r="1338" spans="104:111">
      <c r="CZ1338" s="256"/>
      <c r="DG1338" s="256"/>
    </row>
    <row r="1339" spans="104:111">
      <c r="CZ1339" s="256"/>
      <c r="DG1339" s="256"/>
    </row>
    <row r="1340" spans="104:111">
      <c r="CZ1340" s="256"/>
      <c r="DG1340" s="256"/>
    </row>
    <row r="1341" spans="104:111">
      <c r="CZ1341" s="256"/>
      <c r="DG1341" s="256"/>
    </row>
    <row r="1342" spans="104:111">
      <c r="CZ1342" s="256"/>
      <c r="DG1342" s="256"/>
    </row>
    <row r="1343" spans="104:111">
      <c r="CZ1343" s="256"/>
      <c r="DG1343" s="256"/>
    </row>
    <row r="1344" spans="104:111">
      <c r="CZ1344" s="256"/>
      <c r="DG1344" s="256"/>
    </row>
    <row r="1345" spans="104:111">
      <c r="CZ1345" s="256"/>
      <c r="DG1345" s="256"/>
    </row>
    <row r="1346" spans="104:111">
      <c r="CZ1346" s="256"/>
      <c r="DG1346" s="256"/>
    </row>
    <row r="1347" spans="104:111">
      <c r="CZ1347" s="256"/>
      <c r="DG1347" s="256"/>
    </row>
    <row r="1348" spans="104:111">
      <c r="CZ1348" s="256"/>
      <c r="DG1348" s="256"/>
    </row>
    <row r="1349" spans="104:111">
      <c r="CZ1349" s="256"/>
      <c r="DG1349" s="256"/>
    </row>
    <row r="1350" spans="104:111">
      <c r="CZ1350" s="256"/>
      <c r="DG1350" s="256"/>
    </row>
    <row r="1351" spans="104:111">
      <c r="CZ1351" s="256"/>
      <c r="DG1351" s="256"/>
    </row>
    <row r="1352" spans="104:111">
      <c r="CZ1352" s="256"/>
      <c r="DG1352" s="256"/>
    </row>
    <row r="1353" spans="104:111">
      <c r="CZ1353" s="256"/>
      <c r="DG1353" s="256"/>
    </row>
    <row r="1354" spans="104:111">
      <c r="CZ1354" s="256"/>
      <c r="DG1354" s="256"/>
    </row>
    <row r="1355" spans="104:111">
      <c r="CZ1355" s="256"/>
      <c r="DG1355" s="256"/>
    </row>
    <row r="1356" spans="104:111">
      <c r="CZ1356" s="256"/>
      <c r="DG1356" s="256"/>
    </row>
    <row r="1357" spans="104:111">
      <c r="CZ1357" s="256"/>
      <c r="DG1357" s="256"/>
    </row>
    <row r="1358" spans="104:111">
      <c r="CZ1358" s="256"/>
      <c r="DG1358" s="256"/>
    </row>
    <row r="1359" spans="104:111">
      <c r="CZ1359" s="256"/>
      <c r="DG1359" s="256"/>
    </row>
    <row r="1360" spans="104:111">
      <c r="CZ1360" s="256"/>
      <c r="DG1360" s="256"/>
    </row>
    <row r="1361" spans="104:111">
      <c r="CZ1361" s="256"/>
      <c r="DG1361" s="256"/>
    </row>
    <row r="1362" spans="104:111">
      <c r="CZ1362" s="256"/>
      <c r="DG1362" s="256"/>
    </row>
    <row r="1363" spans="104:111">
      <c r="CZ1363" s="256"/>
      <c r="DG1363" s="256"/>
    </row>
    <row r="1364" spans="104:111">
      <c r="CZ1364" s="256"/>
      <c r="DG1364" s="256"/>
    </row>
    <row r="1365" spans="104:111">
      <c r="CZ1365" s="256"/>
      <c r="DG1365" s="256"/>
    </row>
    <row r="1366" spans="104:111">
      <c r="CZ1366" s="256"/>
      <c r="DG1366" s="256"/>
    </row>
    <row r="1367" spans="104:111">
      <c r="CZ1367" s="256"/>
      <c r="DG1367" s="256"/>
    </row>
    <row r="1368" spans="104:111">
      <c r="CZ1368" s="256"/>
      <c r="DG1368" s="256"/>
    </row>
    <row r="1369" spans="104:111">
      <c r="CZ1369" s="256"/>
      <c r="DG1369" s="256"/>
    </row>
    <row r="1370" spans="104:111">
      <c r="CZ1370" s="256"/>
      <c r="DG1370" s="256"/>
    </row>
    <row r="1371" spans="104:111">
      <c r="CZ1371" s="256"/>
      <c r="DG1371" s="256"/>
    </row>
    <row r="1372" spans="104:111">
      <c r="CZ1372" s="256"/>
      <c r="DG1372" s="256"/>
    </row>
    <row r="1373" spans="104:111">
      <c r="CZ1373" s="256"/>
      <c r="DG1373" s="256"/>
    </row>
    <row r="1374" spans="104:111">
      <c r="CZ1374" s="256"/>
      <c r="DG1374" s="256"/>
    </row>
    <row r="1375" spans="104:111">
      <c r="CZ1375" s="256"/>
      <c r="DG1375" s="256"/>
    </row>
    <row r="1376" spans="104:111">
      <c r="CZ1376" s="256"/>
      <c r="DG1376" s="256"/>
    </row>
    <row r="1377" spans="104:111">
      <c r="CZ1377" s="256"/>
      <c r="DG1377" s="256"/>
    </row>
    <row r="1378" spans="104:111">
      <c r="CZ1378" s="256"/>
      <c r="DG1378" s="256"/>
    </row>
    <row r="1379" spans="104:111">
      <c r="CZ1379" s="256"/>
      <c r="DG1379" s="256"/>
    </row>
    <row r="1380" spans="104:111">
      <c r="CZ1380" s="256"/>
      <c r="DG1380" s="256"/>
    </row>
    <row r="1381" spans="104:111">
      <c r="CZ1381" s="256"/>
      <c r="DG1381" s="256"/>
    </row>
    <row r="1382" spans="104:111">
      <c r="CZ1382" s="256"/>
      <c r="DG1382" s="256"/>
    </row>
    <row r="1383" spans="104:111">
      <c r="CZ1383" s="256"/>
      <c r="DG1383" s="256"/>
    </row>
    <row r="1384" spans="104:111">
      <c r="CZ1384" s="256"/>
      <c r="DG1384" s="256"/>
    </row>
    <row r="1385" spans="104:111">
      <c r="CZ1385" s="256"/>
      <c r="DG1385" s="256"/>
    </row>
    <row r="1386" spans="104:111">
      <c r="CZ1386" s="256"/>
      <c r="DG1386" s="256"/>
    </row>
    <row r="1387" spans="104:111">
      <c r="CZ1387" s="256"/>
      <c r="DG1387" s="256"/>
    </row>
    <row r="1388" spans="104:111">
      <c r="CZ1388" s="256"/>
      <c r="DG1388" s="256"/>
    </row>
    <row r="1389" spans="104:111">
      <c r="CZ1389" s="256"/>
      <c r="DG1389" s="256"/>
    </row>
    <row r="1390" spans="104:111">
      <c r="CZ1390" s="256"/>
      <c r="DG1390" s="256"/>
    </row>
    <row r="1391" spans="104:111">
      <c r="CZ1391" s="256"/>
      <c r="DG1391" s="256"/>
    </row>
    <row r="1392" spans="104:111">
      <c r="CZ1392" s="256"/>
      <c r="DG1392" s="256"/>
    </row>
    <row r="1393" spans="104:111">
      <c r="CZ1393" s="256"/>
      <c r="DG1393" s="256"/>
    </row>
    <row r="1394" spans="104:111">
      <c r="CZ1394" s="256"/>
      <c r="DG1394" s="256"/>
    </row>
    <row r="1395" spans="104:111">
      <c r="CZ1395" s="256"/>
      <c r="DG1395" s="256"/>
    </row>
    <row r="1396" spans="104:111">
      <c r="CZ1396" s="256"/>
      <c r="DG1396" s="256"/>
    </row>
    <row r="1397" spans="104:111">
      <c r="CZ1397" s="256"/>
      <c r="DG1397" s="256"/>
    </row>
    <row r="1398" spans="104:111">
      <c r="CZ1398" s="256"/>
      <c r="DG1398" s="256"/>
    </row>
    <row r="1399" spans="104:111">
      <c r="CZ1399" s="256"/>
      <c r="DG1399" s="256"/>
    </row>
    <row r="1400" spans="104:111">
      <c r="CZ1400" s="256"/>
      <c r="DG1400" s="256"/>
    </row>
    <row r="1401" spans="104:111">
      <c r="CZ1401" s="256"/>
      <c r="DG1401" s="256"/>
    </row>
    <row r="1402" spans="104:111">
      <c r="CZ1402" s="256"/>
      <c r="DG1402" s="256"/>
    </row>
    <row r="1403" spans="104:111">
      <c r="CZ1403" s="256"/>
      <c r="DG1403" s="256"/>
    </row>
    <row r="1404" spans="104:111">
      <c r="CZ1404" s="256"/>
      <c r="DG1404" s="256"/>
    </row>
    <row r="1405" spans="104:111">
      <c r="CZ1405" s="256"/>
      <c r="DG1405" s="256"/>
    </row>
    <row r="1406" spans="104:111">
      <c r="CZ1406" s="256"/>
      <c r="DG1406" s="256"/>
    </row>
    <row r="1407" spans="104:111">
      <c r="CZ1407" s="256"/>
      <c r="DG1407" s="256"/>
    </row>
    <row r="1408" spans="104:111">
      <c r="CZ1408" s="256"/>
      <c r="DG1408" s="256"/>
    </row>
    <row r="1409" spans="104:111">
      <c r="CZ1409" s="256"/>
      <c r="DG1409" s="256"/>
    </row>
    <row r="1410" spans="104:111">
      <c r="CZ1410" s="256"/>
      <c r="DG1410" s="256"/>
    </row>
    <row r="1411" spans="104:111">
      <c r="CZ1411" s="256"/>
      <c r="DG1411" s="256"/>
    </row>
    <row r="1412" spans="104:111">
      <c r="CZ1412" s="256"/>
      <c r="DG1412" s="256"/>
    </row>
    <row r="1413" spans="104:111">
      <c r="CZ1413" s="256"/>
      <c r="DG1413" s="256"/>
    </row>
    <row r="1414" spans="104:111">
      <c r="CZ1414" s="256"/>
      <c r="DG1414" s="256"/>
    </row>
    <row r="1415" spans="104:111">
      <c r="CZ1415" s="256"/>
      <c r="DG1415" s="256"/>
    </row>
    <row r="1416" spans="104:111">
      <c r="CZ1416" s="256"/>
      <c r="DG1416" s="256"/>
    </row>
    <row r="1417" spans="104:111">
      <c r="CZ1417" s="256"/>
      <c r="DG1417" s="256"/>
    </row>
    <row r="1418" spans="104:111">
      <c r="CZ1418" s="256"/>
      <c r="DG1418" s="256"/>
    </row>
    <row r="1419" spans="104:111">
      <c r="CZ1419" s="256"/>
      <c r="DG1419" s="256"/>
    </row>
    <row r="1420" spans="104:111">
      <c r="CZ1420" s="256"/>
      <c r="DG1420" s="256"/>
    </row>
    <row r="1421" spans="104:111">
      <c r="CZ1421" s="256"/>
      <c r="DG1421" s="256"/>
    </row>
    <row r="1422" spans="104:111">
      <c r="CZ1422" s="256"/>
      <c r="DG1422" s="256"/>
    </row>
    <row r="1423" spans="104:111">
      <c r="CZ1423" s="256"/>
      <c r="DG1423" s="256"/>
    </row>
    <row r="1424" spans="104:111">
      <c r="CZ1424" s="256"/>
      <c r="DG1424" s="256"/>
    </row>
    <row r="1425" spans="104:111">
      <c r="CZ1425" s="256"/>
      <c r="DG1425" s="256"/>
    </row>
    <row r="1426" spans="104:111">
      <c r="CZ1426" s="256"/>
      <c r="DG1426" s="256"/>
    </row>
    <row r="1427" spans="104:111">
      <c r="CZ1427" s="256"/>
      <c r="DG1427" s="256"/>
    </row>
    <row r="1428" spans="104:111">
      <c r="CZ1428" s="256"/>
      <c r="DG1428" s="256"/>
    </row>
    <row r="1429" spans="104:111">
      <c r="CZ1429" s="256"/>
      <c r="DG1429" s="256"/>
    </row>
    <row r="1430" spans="104:111">
      <c r="CZ1430" s="256"/>
      <c r="DG1430" s="256"/>
    </row>
    <row r="1431" spans="104:111">
      <c r="CZ1431" s="256"/>
      <c r="DG1431" s="256"/>
    </row>
    <row r="1432" spans="104:111">
      <c r="CZ1432" s="256"/>
      <c r="DG1432" s="256"/>
    </row>
    <row r="1433" spans="104:111">
      <c r="CZ1433" s="256"/>
      <c r="DG1433" s="256"/>
    </row>
    <row r="1434" spans="104:111">
      <c r="CZ1434" s="256"/>
      <c r="DG1434" s="256"/>
    </row>
    <row r="1435" spans="104:111">
      <c r="CZ1435" s="256"/>
      <c r="DG1435" s="256"/>
    </row>
    <row r="1436" spans="104:111">
      <c r="CZ1436" s="256"/>
      <c r="DG1436" s="256"/>
    </row>
    <row r="1437" spans="104:111">
      <c r="CZ1437" s="256"/>
      <c r="DG1437" s="256"/>
    </row>
    <row r="1438" spans="104:111">
      <c r="CZ1438" s="256"/>
      <c r="DG1438" s="256"/>
    </row>
    <row r="1439" spans="104:111">
      <c r="CZ1439" s="256"/>
      <c r="DG1439" s="256"/>
    </row>
    <row r="1440" spans="104:111">
      <c r="CZ1440" s="256"/>
      <c r="DG1440" s="256"/>
    </row>
    <row r="1441" spans="104:111">
      <c r="CZ1441" s="256"/>
      <c r="DG1441" s="256"/>
    </row>
    <row r="1442" spans="104:111">
      <c r="CZ1442" s="256"/>
      <c r="DG1442" s="256"/>
    </row>
    <row r="1443" spans="104:111">
      <c r="CZ1443" s="256"/>
      <c r="DG1443" s="256"/>
    </row>
    <row r="1444" spans="104:111">
      <c r="CZ1444" s="256"/>
      <c r="DG1444" s="256"/>
    </row>
    <row r="1445" spans="104:111">
      <c r="CZ1445" s="256"/>
      <c r="DG1445" s="256"/>
    </row>
    <row r="1446" spans="104:111">
      <c r="CZ1446" s="256"/>
      <c r="DG1446" s="256"/>
    </row>
    <row r="1447" spans="104:111">
      <c r="CZ1447" s="256"/>
      <c r="DG1447" s="256"/>
    </row>
    <row r="1448" spans="104:111">
      <c r="CZ1448" s="256"/>
      <c r="DG1448" s="256"/>
    </row>
    <row r="1449" spans="104:111">
      <c r="CZ1449" s="256"/>
      <c r="DG1449" s="256"/>
    </row>
    <row r="1450" spans="104:111">
      <c r="CZ1450" s="256"/>
      <c r="DG1450" s="256"/>
    </row>
    <row r="1451" spans="104:111">
      <c r="CZ1451" s="256"/>
      <c r="DG1451" s="256"/>
    </row>
    <row r="1452" spans="104:111">
      <c r="CZ1452" s="256"/>
      <c r="DG1452" s="256"/>
    </row>
    <row r="1453" spans="104:111">
      <c r="CZ1453" s="256"/>
      <c r="DG1453" s="256"/>
    </row>
    <row r="1454" spans="104:111">
      <c r="CZ1454" s="256"/>
      <c r="DG1454" s="256"/>
    </row>
    <row r="1455" spans="104:111">
      <c r="CZ1455" s="256"/>
      <c r="DG1455" s="256"/>
    </row>
    <row r="1456" spans="104:111">
      <c r="CZ1456" s="256"/>
      <c r="DG1456" s="256"/>
    </row>
    <row r="1457" spans="104:111">
      <c r="CZ1457" s="256"/>
      <c r="DG1457" s="256"/>
    </row>
    <row r="1458" spans="104:111">
      <c r="CZ1458" s="256"/>
      <c r="DG1458" s="256"/>
    </row>
    <row r="1459" spans="104:111">
      <c r="CZ1459" s="256"/>
      <c r="DG1459" s="256"/>
    </row>
    <row r="1460" spans="104:111">
      <c r="CZ1460" s="256"/>
      <c r="DG1460" s="256"/>
    </row>
    <row r="1461" spans="104:111">
      <c r="CZ1461" s="256"/>
      <c r="DG1461" s="256"/>
    </row>
    <row r="1462" spans="104:111">
      <c r="CZ1462" s="256"/>
      <c r="DG1462" s="256"/>
    </row>
    <row r="1463" spans="104:111">
      <c r="CZ1463" s="256"/>
      <c r="DG1463" s="256"/>
    </row>
    <row r="1464" spans="104:111">
      <c r="CZ1464" s="256"/>
      <c r="DG1464" s="256"/>
    </row>
    <row r="1465" spans="104:111">
      <c r="CZ1465" s="256"/>
      <c r="DG1465" s="256"/>
    </row>
    <row r="1466" spans="104:111">
      <c r="CZ1466" s="256"/>
      <c r="DG1466" s="256"/>
    </row>
    <row r="1467" spans="104:111">
      <c r="CZ1467" s="256"/>
      <c r="DG1467" s="256"/>
    </row>
    <row r="1468" spans="104:111">
      <c r="CZ1468" s="256"/>
      <c r="DG1468" s="256"/>
    </row>
    <row r="1469" spans="104:111">
      <c r="CZ1469" s="256"/>
      <c r="DG1469" s="256"/>
    </row>
    <row r="1470" spans="104:111">
      <c r="CZ1470" s="256"/>
      <c r="DG1470" s="256"/>
    </row>
    <row r="1471" spans="104:111">
      <c r="CZ1471" s="256"/>
      <c r="DG1471" s="256"/>
    </row>
    <row r="1472" spans="104:111">
      <c r="CZ1472" s="256"/>
      <c r="DG1472" s="256"/>
    </row>
    <row r="1473" spans="104:111">
      <c r="CZ1473" s="256"/>
      <c r="DG1473" s="256"/>
    </row>
    <row r="1474" spans="104:111">
      <c r="CZ1474" s="256"/>
      <c r="DG1474" s="256"/>
    </row>
    <row r="1475" spans="104:111">
      <c r="CZ1475" s="256"/>
      <c r="DG1475" s="256"/>
    </row>
    <row r="1476" spans="104:111">
      <c r="CZ1476" s="256"/>
      <c r="DG1476" s="256"/>
    </row>
    <row r="1477" spans="104:111">
      <c r="CZ1477" s="256"/>
      <c r="DG1477" s="256"/>
    </row>
    <row r="1478" spans="104:111">
      <c r="CZ1478" s="256"/>
      <c r="DG1478" s="256"/>
    </row>
    <row r="1479" spans="104:111">
      <c r="CZ1479" s="256"/>
      <c r="DG1479" s="256"/>
    </row>
    <row r="1480" spans="104:111">
      <c r="CZ1480" s="256"/>
      <c r="DG1480" s="256"/>
    </row>
    <row r="1481" spans="104:111">
      <c r="CZ1481" s="256"/>
      <c r="DG1481" s="256"/>
    </row>
    <row r="1482" spans="104:111">
      <c r="CZ1482" s="256"/>
      <c r="DG1482" s="256"/>
    </row>
    <row r="1483" spans="104:111">
      <c r="CZ1483" s="256"/>
      <c r="DG1483" s="256"/>
    </row>
    <row r="1484" spans="104:111">
      <c r="CZ1484" s="256"/>
      <c r="DG1484" s="256"/>
    </row>
    <row r="1485" spans="104:111">
      <c r="CZ1485" s="256"/>
      <c r="DG1485" s="256"/>
    </row>
    <row r="1486" spans="104:111">
      <c r="CZ1486" s="256"/>
      <c r="DG1486" s="256"/>
    </row>
    <row r="1487" spans="104:111">
      <c r="CZ1487" s="256"/>
      <c r="DG1487" s="256"/>
    </row>
    <row r="1488" spans="104:111">
      <c r="CZ1488" s="256"/>
      <c r="DG1488" s="256"/>
    </row>
    <row r="1489" spans="104:111">
      <c r="CZ1489" s="256"/>
      <c r="DG1489" s="256"/>
    </row>
    <row r="1490" spans="104:111">
      <c r="CZ1490" s="256"/>
      <c r="DG1490" s="256"/>
    </row>
    <row r="1491" spans="104:111">
      <c r="CZ1491" s="256"/>
      <c r="DG1491" s="256"/>
    </row>
    <row r="1492" spans="104:111">
      <c r="CZ1492" s="256"/>
      <c r="DG1492" s="256"/>
    </row>
    <row r="1493" spans="104:111">
      <c r="CZ1493" s="256"/>
      <c r="DG1493" s="256"/>
    </row>
    <row r="1494" spans="104:111">
      <c r="CZ1494" s="256"/>
      <c r="DG1494" s="256"/>
    </row>
    <row r="1495" spans="104:111">
      <c r="CZ1495" s="256"/>
      <c r="DG1495" s="256"/>
    </row>
    <row r="1496" spans="104:111">
      <c r="CZ1496" s="256"/>
      <c r="DG1496" s="256"/>
    </row>
    <row r="1497" spans="104:111">
      <c r="CZ1497" s="256"/>
      <c r="DG1497" s="256"/>
    </row>
    <row r="1498" spans="104:111">
      <c r="CZ1498" s="256"/>
      <c r="DG1498" s="256"/>
    </row>
    <row r="1499" spans="104:111">
      <c r="CZ1499" s="256"/>
      <c r="DG1499" s="256"/>
    </row>
    <row r="1500" spans="104:111">
      <c r="CZ1500" s="256"/>
      <c r="DG1500" s="256"/>
    </row>
    <row r="1501" spans="104:111">
      <c r="CZ1501" s="256"/>
      <c r="DG1501" s="256"/>
    </row>
    <row r="1502" spans="104:111">
      <c r="CZ1502" s="256"/>
      <c r="DG1502" s="256"/>
    </row>
    <row r="1503" spans="104:111">
      <c r="CZ1503" s="256"/>
      <c r="DG1503" s="256"/>
    </row>
    <row r="1504" spans="104:111">
      <c r="CZ1504" s="256"/>
      <c r="DG1504" s="256"/>
    </row>
    <row r="1505" spans="104:111">
      <c r="CZ1505" s="256"/>
      <c r="DG1505" s="256"/>
    </row>
    <row r="1506" spans="104:111">
      <c r="CZ1506" s="256"/>
      <c r="DG1506" s="256"/>
    </row>
    <row r="1507" spans="104:111">
      <c r="CZ1507" s="256"/>
      <c r="DG1507" s="256"/>
    </row>
    <row r="1508" spans="104:111">
      <c r="CZ1508" s="256"/>
      <c r="DG1508" s="256"/>
    </row>
    <row r="1509" spans="104:111">
      <c r="CZ1509" s="256"/>
      <c r="DG1509" s="256"/>
    </row>
    <row r="1510" spans="104:111">
      <c r="CZ1510" s="256"/>
      <c r="DG1510" s="256"/>
    </row>
    <row r="1511" spans="104:111">
      <c r="CZ1511" s="256"/>
      <c r="DG1511" s="256"/>
    </row>
    <row r="1512" spans="104:111">
      <c r="CZ1512" s="256"/>
      <c r="DG1512" s="256"/>
    </row>
    <row r="1513" spans="104:111">
      <c r="CZ1513" s="256"/>
      <c r="DG1513" s="256"/>
    </row>
    <row r="1514" spans="104:111">
      <c r="CZ1514" s="256"/>
      <c r="DG1514" s="256"/>
    </row>
    <row r="1515" spans="104:111">
      <c r="CZ1515" s="256"/>
      <c r="DG1515" s="256"/>
    </row>
    <row r="1516" spans="104:111">
      <c r="CZ1516" s="256"/>
      <c r="DG1516" s="256"/>
    </row>
    <row r="1517" spans="104:111">
      <c r="CZ1517" s="256"/>
      <c r="DG1517" s="256"/>
    </row>
    <row r="1518" spans="104:111">
      <c r="CZ1518" s="256"/>
      <c r="DG1518" s="256"/>
    </row>
    <row r="1519" spans="104:111">
      <c r="CZ1519" s="256"/>
      <c r="DG1519" s="256"/>
    </row>
    <row r="1520" spans="104:111">
      <c r="CZ1520" s="256"/>
      <c r="DG1520" s="256"/>
    </row>
    <row r="1521" spans="104:111">
      <c r="CZ1521" s="256"/>
      <c r="DG1521" s="256"/>
    </row>
    <row r="1522" spans="104:111">
      <c r="CZ1522" s="256"/>
      <c r="DG1522" s="256"/>
    </row>
    <row r="1523" spans="104:111">
      <c r="CZ1523" s="256"/>
      <c r="DG1523" s="256"/>
    </row>
    <row r="1524" spans="104:111">
      <c r="CZ1524" s="256"/>
      <c r="DG1524" s="256"/>
    </row>
    <row r="1525" spans="104:111">
      <c r="CZ1525" s="256"/>
      <c r="DG1525" s="256"/>
    </row>
    <row r="1526" spans="104:111">
      <c r="CZ1526" s="256"/>
      <c r="DG1526" s="256"/>
    </row>
    <row r="1527" spans="104:111">
      <c r="CZ1527" s="256"/>
      <c r="DG1527" s="256"/>
    </row>
    <row r="1528" spans="104:111">
      <c r="CZ1528" s="256"/>
      <c r="DG1528" s="256"/>
    </row>
    <row r="1529" spans="104:111">
      <c r="CZ1529" s="256"/>
      <c r="DG1529" s="256"/>
    </row>
    <row r="1530" spans="104:111">
      <c r="CZ1530" s="256"/>
      <c r="DG1530" s="256"/>
    </row>
    <row r="1531" spans="104:111">
      <c r="CZ1531" s="256"/>
      <c r="DG1531" s="256"/>
    </row>
    <row r="1532" spans="104:111">
      <c r="CZ1532" s="256"/>
      <c r="DG1532" s="256"/>
    </row>
    <row r="1533" spans="104:111">
      <c r="CZ1533" s="256"/>
      <c r="DG1533" s="256"/>
    </row>
    <row r="1534" spans="104:111">
      <c r="CZ1534" s="256"/>
      <c r="DG1534" s="256"/>
    </row>
    <row r="1535" spans="104:111">
      <c r="CZ1535" s="256"/>
      <c r="DG1535" s="256"/>
    </row>
    <row r="1536" spans="104:111">
      <c r="CZ1536" s="256"/>
      <c r="DG1536" s="256"/>
    </row>
    <row r="1537" spans="104:111">
      <c r="CZ1537" s="256"/>
      <c r="DG1537" s="256"/>
    </row>
    <row r="1538" spans="104:111">
      <c r="CZ1538" s="256"/>
      <c r="DG1538" s="256"/>
    </row>
    <row r="1539" spans="104:111">
      <c r="CZ1539" s="256"/>
      <c r="DG1539" s="256"/>
    </row>
    <row r="1540" spans="104:111">
      <c r="CZ1540" s="256"/>
      <c r="DG1540" s="256"/>
    </row>
    <row r="1541" spans="104:111">
      <c r="CZ1541" s="256"/>
      <c r="DG1541" s="256"/>
    </row>
    <row r="1542" spans="104:111">
      <c r="CZ1542" s="256"/>
      <c r="DG1542" s="256"/>
    </row>
    <row r="1543" spans="104:111">
      <c r="CZ1543" s="256"/>
      <c r="DG1543" s="256"/>
    </row>
    <row r="1544" spans="104:111">
      <c r="CZ1544" s="256"/>
      <c r="DG1544" s="256"/>
    </row>
    <row r="1545" spans="104:111">
      <c r="CZ1545" s="256"/>
      <c r="DG1545" s="256"/>
    </row>
    <row r="1546" spans="104:111">
      <c r="CZ1546" s="256"/>
      <c r="DG1546" s="256"/>
    </row>
    <row r="1547" spans="104:111">
      <c r="CZ1547" s="256"/>
      <c r="DG1547" s="256"/>
    </row>
    <row r="1548" spans="104:111">
      <c r="CZ1548" s="256"/>
      <c r="DG1548" s="256"/>
    </row>
    <row r="1549" spans="104:111">
      <c r="CZ1549" s="256"/>
      <c r="DG1549" s="256"/>
    </row>
    <row r="1550" spans="104:111">
      <c r="CZ1550" s="256"/>
      <c r="DG1550" s="256"/>
    </row>
    <row r="1551" spans="104:111">
      <c r="CZ1551" s="256"/>
      <c r="DG1551" s="256"/>
    </row>
    <row r="1552" spans="104:111">
      <c r="CZ1552" s="256"/>
      <c r="DG1552" s="256"/>
    </row>
    <row r="1553" spans="104:111">
      <c r="CZ1553" s="256"/>
      <c r="DG1553" s="256"/>
    </row>
    <row r="1554" spans="104:111">
      <c r="CZ1554" s="256"/>
      <c r="DG1554" s="256"/>
    </row>
    <row r="1555" spans="104:111">
      <c r="CZ1555" s="256"/>
      <c r="DG1555" s="256"/>
    </row>
    <row r="1556" spans="104:111">
      <c r="CZ1556" s="256"/>
      <c r="DG1556" s="256"/>
    </row>
    <row r="1557" spans="104:111">
      <c r="CZ1557" s="256"/>
      <c r="DG1557" s="256"/>
    </row>
    <row r="1558" spans="104:111">
      <c r="CZ1558" s="256"/>
      <c r="DG1558" s="256"/>
    </row>
    <row r="1559" spans="104:111">
      <c r="CZ1559" s="256"/>
      <c r="DG1559" s="256"/>
    </row>
    <row r="1560" spans="104:111">
      <c r="CZ1560" s="256"/>
      <c r="DG1560" s="256"/>
    </row>
    <row r="1561" spans="104:111">
      <c r="CZ1561" s="256"/>
      <c r="DG1561" s="256"/>
    </row>
    <row r="1562" spans="104:111">
      <c r="CZ1562" s="256"/>
      <c r="DG1562" s="256"/>
    </row>
    <row r="1563" spans="104:111">
      <c r="CZ1563" s="256"/>
      <c r="DG1563" s="256"/>
    </row>
    <row r="1564" spans="104:111">
      <c r="CZ1564" s="256"/>
      <c r="DG1564" s="256"/>
    </row>
    <row r="1565" spans="104:111">
      <c r="CZ1565" s="256"/>
      <c r="DG1565" s="256"/>
    </row>
    <row r="1566" spans="104:111">
      <c r="CZ1566" s="256"/>
      <c r="DG1566" s="256"/>
    </row>
    <row r="1567" spans="104:111">
      <c r="CZ1567" s="256"/>
      <c r="DG1567" s="256"/>
    </row>
    <row r="1568" spans="104:111">
      <c r="CZ1568" s="256"/>
      <c r="DG1568" s="256"/>
    </row>
    <row r="1569" spans="104:111">
      <c r="CZ1569" s="256"/>
      <c r="DG1569" s="256"/>
    </row>
    <row r="1570" spans="104:111">
      <c r="CZ1570" s="256"/>
      <c r="DG1570" s="256"/>
    </row>
    <row r="1571" spans="104:111">
      <c r="CZ1571" s="256"/>
      <c r="DG1571" s="256"/>
    </row>
    <row r="1572" spans="104:111">
      <c r="CZ1572" s="256"/>
      <c r="DG1572" s="256"/>
    </row>
    <row r="1573" spans="104:111">
      <c r="CZ1573" s="256"/>
      <c r="DG1573" s="256"/>
    </row>
    <row r="1574" spans="104:111">
      <c r="CZ1574" s="256"/>
      <c r="DG1574" s="256"/>
    </row>
    <row r="1575" spans="104:111">
      <c r="CZ1575" s="256"/>
      <c r="DG1575" s="256"/>
    </row>
    <row r="1576" spans="104:111">
      <c r="CZ1576" s="256"/>
      <c r="DG1576" s="256"/>
    </row>
    <row r="1577" spans="104:111">
      <c r="CZ1577" s="256"/>
      <c r="DG1577" s="256"/>
    </row>
    <row r="1578" spans="104:111">
      <c r="CZ1578" s="256"/>
      <c r="DG1578" s="256"/>
    </row>
    <row r="1579" spans="104:111">
      <c r="CZ1579" s="256"/>
      <c r="DG1579" s="256"/>
    </row>
    <row r="1580" spans="104:111">
      <c r="CZ1580" s="256"/>
      <c r="DG1580" s="256"/>
    </row>
    <row r="1581" spans="104:111">
      <c r="CZ1581" s="256"/>
      <c r="DG1581" s="256"/>
    </row>
    <row r="1582" spans="104:111">
      <c r="CZ1582" s="256"/>
      <c r="DG1582" s="256"/>
    </row>
    <row r="1583" spans="104:111">
      <c r="CZ1583" s="256"/>
      <c r="DG1583" s="256"/>
    </row>
    <row r="1584" spans="104:111">
      <c r="CZ1584" s="256"/>
      <c r="DG1584" s="256"/>
    </row>
    <row r="1585" spans="104:111">
      <c r="CZ1585" s="256"/>
      <c r="DG1585" s="256"/>
    </row>
    <row r="1586" spans="104:111">
      <c r="CZ1586" s="256"/>
      <c r="DG1586" s="256"/>
    </row>
    <row r="1587" spans="104:111">
      <c r="CZ1587" s="256"/>
      <c r="DG1587" s="256"/>
    </row>
    <row r="1588" spans="104:111">
      <c r="CZ1588" s="256"/>
      <c r="DG1588" s="256"/>
    </row>
    <row r="1589" spans="104:111">
      <c r="CZ1589" s="256"/>
      <c r="DG1589" s="256"/>
    </row>
    <row r="1590" spans="104:111">
      <c r="CZ1590" s="256"/>
      <c r="DG1590" s="256"/>
    </row>
    <row r="1591" spans="104:111">
      <c r="CZ1591" s="256"/>
      <c r="DG1591" s="256"/>
    </row>
    <row r="1592" spans="104:111">
      <c r="CZ1592" s="256"/>
      <c r="DG1592" s="256"/>
    </row>
    <row r="1593" spans="104:111">
      <c r="CZ1593" s="256"/>
      <c r="DG1593" s="256"/>
    </row>
    <row r="1594" spans="104:111">
      <c r="CZ1594" s="256"/>
      <c r="DG1594" s="256"/>
    </row>
    <row r="1595" spans="104:111">
      <c r="CZ1595" s="256"/>
      <c r="DG1595" s="256"/>
    </row>
    <row r="1596" spans="104:111">
      <c r="CZ1596" s="256"/>
      <c r="DG1596" s="256"/>
    </row>
    <row r="1597" spans="104:111">
      <c r="CZ1597" s="256"/>
      <c r="DG1597" s="256"/>
    </row>
    <row r="1598" spans="104:111">
      <c r="CZ1598" s="256"/>
      <c r="DG1598" s="256"/>
    </row>
    <row r="1599" spans="104:111">
      <c r="CZ1599" s="256"/>
      <c r="DG1599" s="256"/>
    </row>
    <row r="1600" spans="104:111">
      <c r="CZ1600" s="256"/>
      <c r="DG1600" s="256"/>
    </row>
    <row r="1601" spans="104:111">
      <c r="CZ1601" s="256"/>
      <c r="DG1601" s="256"/>
    </row>
    <row r="1602" spans="104:111">
      <c r="CZ1602" s="256"/>
      <c r="DG1602" s="256"/>
    </row>
    <row r="1603" spans="104:111">
      <c r="CZ1603" s="256"/>
      <c r="DG1603" s="256"/>
    </row>
    <row r="1604" spans="104:111">
      <c r="CZ1604" s="256"/>
      <c r="DG1604" s="256"/>
    </row>
    <row r="1605" spans="104:111">
      <c r="CZ1605" s="256"/>
      <c r="DG1605" s="256"/>
    </row>
    <row r="1606" spans="104:111">
      <c r="CZ1606" s="256"/>
      <c r="DG1606" s="256"/>
    </row>
    <row r="1607" spans="104:111">
      <c r="CZ1607" s="256"/>
      <c r="DG1607" s="256"/>
    </row>
    <row r="1608" spans="104:111">
      <c r="CZ1608" s="256"/>
      <c r="DG1608" s="256"/>
    </row>
    <row r="1609" spans="104:111">
      <c r="CZ1609" s="256"/>
      <c r="DG1609" s="256"/>
    </row>
    <row r="1610" spans="104:111">
      <c r="CZ1610" s="256"/>
      <c r="DG1610" s="256"/>
    </row>
    <row r="1611" spans="104:111">
      <c r="CZ1611" s="256"/>
      <c r="DG1611" s="256"/>
    </row>
    <row r="1612" spans="104:111">
      <c r="CZ1612" s="256"/>
      <c r="DG1612" s="256"/>
    </row>
    <row r="1613" spans="104:111">
      <c r="CZ1613" s="256"/>
      <c r="DG1613" s="256"/>
    </row>
    <row r="1614" spans="104:111">
      <c r="CZ1614" s="256"/>
      <c r="DG1614" s="256"/>
    </row>
    <row r="1615" spans="104:111">
      <c r="CZ1615" s="256"/>
      <c r="DG1615" s="256"/>
    </row>
    <row r="1616" spans="104:111">
      <c r="CZ1616" s="256"/>
      <c r="DG1616" s="256"/>
    </row>
    <row r="1617" spans="104:111">
      <c r="CZ1617" s="256"/>
      <c r="DG1617" s="256"/>
    </row>
    <row r="1618" spans="104:111">
      <c r="CZ1618" s="256"/>
      <c r="DG1618" s="256"/>
    </row>
    <row r="1619" spans="104:111">
      <c r="CZ1619" s="256"/>
      <c r="DG1619" s="256"/>
    </row>
    <row r="1620" spans="104:111">
      <c r="CZ1620" s="256"/>
      <c r="DG1620" s="256"/>
    </row>
    <row r="1621" spans="104:111">
      <c r="CZ1621" s="256"/>
      <c r="DG1621" s="256"/>
    </row>
    <row r="1622" spans="104:111">
      <c r="CZ1622" s="256"/>
      <c r="DG1622" s="256"/>
    </row>
    <row r="1623" spans="104:111">
      <c r="CZ1623" s="256"/>
      <c r="DG1623" s="256"/>
    </row>
    <row r="1624" spans="104:111">
      <c r="CZ1624" s="256"/>
      <c r="DG1624" s="256"/>
    </row>
    <row r="1625" spans="104:111">
      <c r="CZ1625" s="256"/>
      <c r="DG1625" s="256"/>
    </row>
    <row r="1626" spans="104:111">
      <c r="CZ1626" s="256"/>
      <c r="DG1626" s="256"/>
    </row>
    <row r="1627" spans="104:111">
      <c r="CZ1627" s="256"/>
      <c r="DG1627" s="256"/>
    </row>
    <row r="1628" spans="104:111">
      <c r="CZ1628" s="256"/>
      <c r="DG1628" s="256"/>
    </row>
    <row r="1629" spans="104:111">
      <c r="CZ1629" s="256"/>
      <c r="DG1629" s="256"/>
    </row>
    <row r="1630" spans="104:111">
      <c r="CZ1630" s="256"/>
      <c r="DG1630" s="256"/>
    </row>
    <row r="1631" spans="104:111">
      <c r="CZ1631" s="256"/>
      <c r="DG1631" s="256"/>
    </row>
    <row r="1632" spans="104:111">
      <c r="CZ1632" s="256"/>
      <c r="DG1632" s="256"/>
    </row>
    <row r="1633" spans="104:111">
      <c r="CZ1633" s="256"/>
      <c r="DG1633" s="256"/>
    </row>
    <row r="1634" spans="104:111">
      <c r="CZ1634" s="256"/>
      <c r="DG1634" s="256"/>
    </row>
    <row r="1635" spans="104:111">
      <c r="CZ1635" s="256"/>
      <c r="DG1635" s="256"/>
    </row>
    <row r="1636" spans="104:111">
      <c r="CZ1636" s="256"/>
      <c r="DG1636" s="256"/>
    </row>
    <row r="1637" spans="104:111">
      <c r="CZ1637" s="256"/>
      <c r="DG1637" s="256"/>
    </row>
    <row r="1638" spans="104:111">
      <c r="CZ1638" s="256"/>
      <c r="DG1638" s="256"/>
    </row>
    <row r="1639" spans="104:111">
      <c r="CZ1639" s="256"/>
      <c r="DG1639" s="256"/>
    </row>
    <row r="1640" spans="104:111">
      <c r="CZ1640" s="256"/>
      <c r="DG1640" s="256"/>
    </row>
    <row r="1641" spans="104:111">
      <c r="CZ1641" s="256"/>
      <c r="DG1641" s="256"/>
    </row>
    <row r="1642" spans="104:111">
      <c r="CZ1642" s="256"/>
      <c r="DG1642" s="256"/>
    </row>
    <row r="1643" spans="104:111">
      <c r="CZ1643" s="256"/>
      <c r="DG1643" s="256"/>
    </row>
    <row r="1644" spans="104:111">
      <c r="CZ1644" s="256"/>
      <c r="DG1644" s="256"/>
    </row>
    <row r="1645" spans="104:111">
      <c r="CZ1645" s="256"/>
      <c r="DG1645" s="256"/>
    </row>
    <row r="1646" spans="104:111">
      <c r="CZ1646" s="256"/>
      <c r="DG1646" s="256"/>
    </row>
    <row r="1647" spans="104:111">
      <c r="CZ1647" s="256"/>
      <c r="DG1647" s="256"/>
    </row>
    <row r="1648" spans="104:111">
      <c r="CZ1648" s="256"/>
      <c r="DG1648" s="256"/>
    </row>
    <row r="1649" spans="104:111">
      <c r="CZ1649" s="256"/>
      <c r="DG1649" s="256"/>
    </row>
    <row r="1650" spans="104:111">
      <c r="CZ1650" s="256"/>
      <c r="DG1650" s="256"/>
    </row>
    <row r="1651" spans="104:111">
      <c r="CZ1651" s="256"/>
      <c r="DG1651" s="256"/>
    </row>
    <row r="1652" spans="104:111">
      <c r="CZ1652" s="256"/>
      <c r="DG1652" s="256"/>
    </row>
    <row r="1653" spans="104:111">
      <c r="CZ1653" s="256"/>
      <c r="DG1653" s="256"/>
    </row>
    <row r="1654" spans="104:111">
      <c r="CZ1654" s="256"/>
      <c r="DG1654" s="256"/>
    </row>
    <row r="1655" spans="104:111">
      <c r="CZ1655" s="256"/>
      <c r="DG1655" s="256"/>
    </row>
    <row r="1656" spans="104:111">
      <c r="CZ1656" s="256"/>
      <c r="DG1656" s="256"/>
    </row>
    <row r="1657" spans="104:111">
      <c r="CZ1657" s="256"/>
      <c r="DG1657" s="256"/>
    </row>
    <row r="1658" spans="104:111">
      <c r="CZ1658" s="256"/>
      <c r="DG1658" s="256"/>
    </row>
    <row r="1659" spans="104:111">
      <c r="CZ1659" s="256"/>
      <c r="DG1659" s="256"/>
    </row>
    <row r="1660" spans="104:111">
      <c r="CZ1660" s="256"/>
      <c r="DG1660" s="256"/>
    </row>
    <row r="1661" spans="104:111">
      <c r="CZ1661" s="256"/>
      <c r="DG1661" s="256"/>
    </row>
    <row r="1662" spans="104:111">
      <c r="CZ1662" s="256"/>
      <c r="DG1662" s="256"/>
    </row>
    <row r="1663" spans="104:111">
      <c r="CZ1663" s="256"/>
      <c r="DG1663" s="256"/>
    </row>
    <row r="1664" spans="104:111">
      <c r="CZ1664" s="256"/>
      <c r="DG1664" s="256"/>
    </row>
    <row r="1665" spans="104:111">
      <c r="CZ1665" s="256"/>
      <c r="DG1665" s="256"/>
    </row>
    <row r="1666" spans="104:111">
      <c r="CZ1666" s="256"/>
      <c r="DG1666" s="256"/>
    </row>
    <row r="1667" spans="104:111">
      <c r="CZ1667" s="256"/>
      <c r="DG1667" s="256"/>
    </row>
    <row r="1668" spans="104:111">
      <c r="CZ1668" s="256"/>
      <c r="DG1668" s="256"/>
    </row>
    <row r="1669" spans="104:111">
      <c r="CZ1669" s="256"/>
      <c r="DG1669" s="256"/>
    </row>
    <row r="1670" spans="104:111">
      <c r="CZ1670" s="256"/>
      <c r="DG1670" s="256"/>
    </row>
    <row r="1671" spans="104:111">
      <c r="CZ1671" s="256"/>
      <c r="DG1671" s="256"/>
    </row>
    <row r="1672" spans="104:111">
      <c r="CZ1672" s="256"/>
      <c r="DG1672" s="256"/>
    </row>
    <row r="1673" spans="104:111">
      <c r="CZ1673" s="256"/>
      <c r="DG1673" s="256"/>
    </row>
    <row r="1674" spans="104:111">
      <c r="CZ1674" s="256"/>
      <c r="DG1674" s="256"/>
    </row>
    <row r="1675" spans="104:111">
      <c r="CZ1675" s="256"/>
      <c r="DG1675" s="256"/>
    </row>
    <row r="1676" spans="104:111">
      <c r="CZ1676" s="256"/>
      <c r="DG1676" s="256"/>
    </row>
    <row r="1677" spans="104:111">
      <c r="CZ1677" s="256"/>
      <c r="DG1677" s="256"/>
    </row>
    <row r="1678" spans="104:111">
      <c r="CZ1678" s="256"/>
      <c r="DG1678" s="256"/>
    </row>
    <row r="1679" spans="104:111">
      <c r="CZ1679" s="256"/>
      <c r="DG1679" s="256"/>
    </row>
    <row r="1680" spans="104:111">
      <c r="CZ1680" s="256"/>
      <c r="DG1680" s="256"/>
    </row>
    <row r="1681" spans="104:111">
      <c r="CZ1681" s="256"/>
      <c r="DG1681" s="256"/>
    </row>
    <row r="1682" spans="104:111">
      <c r="CZ1682" s="256"/>
      <c r="DG1682" s="256"/>
    </row>
    <row r="1683" spans="104:111">
      <c r="CZ1683" s="256"/>
      <c r="DG1683" s="256"/>
    </row>
    <row r="1684" spans="104:111">
      <c r="CZ1684" s="256"/>
      <c r="DG1684" s="256"/>
    </row>
    <row r="1685" spans="104:111">
      <c r="CZ1685" s="256"/>
      <c r="DG1685" s="256"/>
    </row>
    <row r="1686" spans="104:111">
      <c r="CZ1686" s="256"/>
      <c r="DG1686" s="256"/>
    </row>
    <row r="1687" spans="104:111">
      <c r="CZ1687" s="256"/>
      <c r="DG1687" s="256"/>
    </row>
    <row r="1688" spans="104:111">
      <c r="CZ1688" s="256"/>
      <c r="DG1688" s="256"/>
    </row>
    <row r="1689" spans="104:111">
      <c r="CZ1689" s="256"/>
      <c r="DG1689" s="256"/>
    </row>
    <row r="1690" spans="104:111">
      <c r="CZ1690" s="256"/>
      <c r="DG1690" s="256"/>
    </row>
    <row r="1691" spans="104:111">
      <c r="CZ1691" s="256"/>
      <c r="DG1691" s="256"/>
    </row>
    <row r="1692" spans="104:111">
      <c r="CZ1692" s="256"/>
      <c r="DG1692" s="256"/>
    </row>
    <row r="1693" spans="104:111">
      <c r="CZ1693" s="256"/>
      <c r="DG1693" s="256"/>
    </row>
    <row r="1694" spans="104:111">
      <c r="CZ1694" s="256"/>
      <c r="DG1694" s="256"/>
    </row>
    <row r="1695" spans="104:111">
      <c r="CZ1695" s="256"/>
      <c r="DG1695" s="256"/>
    </row>
    <row r="1696" spans="104:111">
      <c r="CZ1696" s="256"/>
      <c r="DG1696" s="256"/>
    </row>
    <row r="1697" spans="104:111">
      <c r="CZ1697" s="256"/>
      <c r="DG1697" s="256"/>
    </row>
    <row r="1698" spans="104:111">
      <c r="CZ1698" s="256"/>
      <c r="DG1698" s="256"/>
    </row>
    <row r="1699" spans="104:111">
      <c r="CZ1699" s="256"/>
      <c r="DG1699" s="256"/>
    </row>
    <row r="1700" spans="104:111">
      <c r="CZ1700" s="256"/>
      <c r="DG1700" s="256"/>
    </row>
    <row r="1701" spans="104:111">
      <c r="CZ1701" s="256"/>
      <c r="DG1701" s="256"/>
    </row>
    <row r="1702" spans="104:111">
      <c r="CZ1702" s="256"/>
      <c r="DG1702" s="256"/>
    </row>
    <row r="1703" spans="104:111">
      <c r="CZ1703" s="256"/>
      <c r="DG1703" s="256"/>
    </row>
    <row r="1704" spans="104:111">
      <c r="CZ1704" s="256"/>
      <c r="DG1704" s="256"/>
    </row>
    <row r="1705" spans="104:111">
      <c r="CZ1705" s="256"/>
      <c r="DG1705" s="256"/>
    </row>
    <row r="1706" spans="104:111">
      <c r="CZ1706" s="256"/>
      <c r="DG1706" s="256"/>
    </row>
    <row r="1707" spans="104:111">
      <c r="CZ1707" s="256"/>
      <c r="DG1707" s="256"/>
    </row>
    <row r="1708" spans="104:111">
      <c r="CZ1708" s="256"/>
      <c r="DG1708" s="256"/>
    </row>
    <row r="1709" spans="104:111">
      <c r="CZ1709" s="256"/>
      <c r="DG1709" s="256"/>
    </row>
    <row r="1710" spans="104:111">
      <c r="CZ1710" s="256"/>
      <c r="DG1710" s="256"/>
    </row>
    <row r="1711" spans="104:111">
      <c r="CZ1711" s="256"/>
      <c r="DG1711" s="256"/>
    </row>
    <row r="1712" spans="104:111">
      <c r="CZ1712" s="256"/>
      <c r="DG1712" s="256"/>
    </row>
    <row r="1713" spans="104:111">
      <c r="CZ1713" s="256"/>
      <c r="DG1713" s="256"/>
    </row>
    <row r="1714" spans="104:111">
      <c r="CZ1714" s="256"/>
      <c r="DG1714" s="256"/>
    </row>
    <row r="1715" spans="104:111">
      <c r="CZ1715" s="256"/>
      <c r="DG1715" s="256"/>
    </row>
    <row r="1716" spans="104:111">
      <c r="CZ1716" s="256"/>
      <c r="DG1716" s="256"/>
    </row>
    <row r="1717" spans="104:111">
      <c r="CZ1717" s="256"/>
      <c r="DG1717" s="256"/>
    </row>
    <row r="1718" spans="104:111">
      <c r="CZ1718" s="256"/>
      <c r="DG1718" s="256"/>
    </row>
    <row r="1719" spans="104:111">
      <c r="CZ1719" s="256"/>
      <c r="DG1719" s="256"/>
    </row>
    <row r="1720" spans="104:111">
      <c r="CZ1720" s="256"/>
      <c r="DG1720" s="256"/>
    </row>
    <row r="1721" spans="104:111">
      <c r="CZ1721" s="256"/>
      <c r="DG1721" s="256"/>
    </row>
    <row r="1722" spans="104:111">
      <c r="CZ1722" s="256"/>
      <c r="DG1722" s="256"/>
    </row>
    <row r="1723" spans="104:111">
      <c r="CZ1723" s="256"/>
      <c r="DG1723" s="256"/>
    </row>
    <row r="1724" spans="104:111">
      <c r="CZ1724" s="256"/>
      <c r="DG1724" s="256"/>
    </row>
    <row r="1725" spans="104:111">
      <c r="CZ1725" s="256"/>
      <c r="DG1725" s="256"/>
    </row>
    <row r="1726" spans="104:111">
      <c r="CZ1726" s="256"/>
      <c r="DG1726" s="256"/>
    </row>
    <row r="1727" spans="104:111">
      <c r="CZ1727" s="256"/>
      <c r="DG1727" s="256"/>
    </row>
    <row r="1728" spans="104:111">
      <c r="CZ1728" s="256"/>
      <c r="DG1728" s="256"/>
    </row>
    <row r="1729" spans="104:111">
      <c r="CZ1729" s="256"/>
      <c r="DG1729" s="256"/>
    </row>
    <row r="1730" spans="104:111">
      <c r="CZ1730" s="256"/>
      <c r="DG1730" s="256"/>
    </row>
    <row r="1731" spans="104:111">
      <c r="CZ1731" s="256"/>
      <c r="DG1731" s="256"/>
    </row>
    <row r="1732" spans="104:111">
      <c r="CZ1732" s="256"/>
      <c r="DG1732" s="256"/>
    </row>
    <row r="1733" spans="104:111">
      <c r="CZ1733" s="256"/>
      <c r="DG1733" s="256"/>
    </row>
    <row r="1734" spans="104:111">
      <c r="CZ1734" s="256"/>
      <c r="DG1734" s="256"/>
    </row>
    <row r="1735" spans="104:111">
      <c r="CZ1735" s="256"/>
      <c r="DG1735" s="256"/>
    </row>
    <row r="1736" spans="104:111">
      <c r="CZ1736" s="256"/>
      <c r="DG1736" s="256"/>
    </row>
    <row r="1737" spans="104:111">
      <c r="CZ1737" s="256"/>
      <c r="DG1737" s="256"/>
    </row>
    <row r="1738" spans="104:111">
      <c r="CZ1738" s="256"/>
      <c r="DG1738" s="256"/>
    </row>
    <row r="1739" spans="104:111">
      <c r="CZ1739" s="256"/>
      <c r="DG1739" s="256"/>
    </row>
    <row r="1740" spans="104:111">
      <c r="CZ1740" s="256"/>
      <c r="DG1740" s="256"/>
    </row>
    <row r="1741" spans="104:111">
      <c r="CZ1741" s="256"/>
      <c r="DG1741" s="256"/>
    </row>
    <row r="1742" spans="104:111">
      <c r="CZ1742" s="256"/>
      <c r="DG1742" s="256"/>
    </row>
    <row r="1743" spans="104:111">
      <c r="CZ1743" s="256"/>
      <c r="DG1743" s="256"/>
    </row>
    <row r="1744" spans="104:111">
      <c r="CZ1744" s="256"/>
      <c r="DG1744" s="256"/>
    </row>
    <row r="1745" spans="104:111">
      <c r="CZ1745" s="256"/>
      <c r="DG1745" s="256"/>
    </row>
    <row r="1746" spans="104:111">
      <c r="CZ1746" s="256"/>
      <c r="DG1746" s="256"/>
    </row>
    <row r="1747" spans="104:111">
      <c r="CZ1747" s="256"/>
      <c r="DG1747" s="256"/>
    </row>
    <row r="1748" spans="104:111">
      <c r="CZ1748" s="256"/>
      <c r="DG1748" s="256"/>
    </row>
    <row r="1749" spans="104:111">
      <c r="CZ1749" s="256"/>
      <c r="DG1749" s="256"/>
    </row>
    <row r="1750" spans="104:111">
      <c r="CZ1750" s="256"/>
      <c r="DG1750" s="256"/>
    </row>
    <row r="1751" spans="104:111">
      <c r="CZ1751" s="256"/>
      <c r="DG1751" s="256"/>
    </row>
    <row r="1752" spans="104:111">
      <c r="CZ1752" s="256"/>
      <c r="DG1752" s="256"/>
    </row>
    <row r="1753" spans="104:111">
      <c r="CZ1753" s="256"/>
      <c r="DG1753" s="256"/>
    </row>
    <row r="1754" spans="104:111">
      <c r="CZ1754" s="256"/>
      <c r="DG1754" s="256"/>
    </row>
    <row r="1755" spans="104:111">
      <c r="CZ1755" s="256"/>
      <c r="DG1755" s="256"/>
    </row>
    <row r="1756" spans="104:111">
      <c r="CZ1756" s="256"/>
      <c r="DG1756" s="256"/>
    </row>
    <row r="1757" spans="104:111">
      <c r="CZ1757" s="256"/>
      <c r="DG1757" s="256"/>
    </row>
    <row r="1758" spans="104:111">
      <c r="CZ1758" s="256"/>
      <c r="DG1758" s="256"/>
    </row>
    <row r="1759" spans="104:111">
      <c r="CZ1759" s="256"/>
      <c r="DG1759" s="256"/>
    </row>
    <row r="1760" spans="104:111">
      <c r="CZ1760" s="256"/>
      <c r="DG1760" s="256"/>
    </row>
    <row r="1761" spans="104:111">
      <c r="CZ1761" s="256"/>
      <c r="DG1761" s="256"/>
    </row>
    <row r="1762" spans="104:111">
      <c r="CZ1762" s="256"/>
      <c r="DG1762" s="256"/>
    </row>
    <row r="1763" spans="104:111">
      <c r="CZ1763" s="256"/>
      <c r="DG1763" s="256"/>
    </row>
    <row r="1764" spans="104:111">
      <c r="CZ1764" s="256"/>
      <c r="DG1764" s="256"/>
    </row>
    <row r="1765" spans="104:111">
      <c r="CZ1765" s="256"/>
      <c r="DG1765" s="256"/>
    </row>
    <row r="1766" spans="104:111">
      <c r="CZ1766" s="256"/>
      <c r="DG1766" s="256"/>
    </row>
    <row r="1767" spans="104:111">
      <c r="CZ1767" s="256"/>
      <c r="DG1767" s="256"/>
    </row>
    <row r="1768" spans="104:111">
      <c r="CZ1768" s="256"/>
      <c r="DG1768" s="256"/>
    </row>
    <row r="1769" spans="104:111">
      <c r="CZ1769" s="256"/>
      <c r="DG1769" s="256"/>
    </row>
    <row r="1770" spans="104:111">
      <c r="CZ1770" s="256"/>
      <c r="DG1770" s="256"/>
    </row>
    <row r="1771" spans="104:111">
      <c r="CZ1771" s="256"/>
      <c r="DG1771" s="256"/>
    </row>
    <row r="1772" spans="104:111">
      <c r="CZ1772" s="256"/>
      <c r="DG1772" s="256"/>
    </row>
    <row r="1773" spans="104:111">
      <c r="CZ1773" s="256"/>
      <c r="DG1773" s="256"/>
    </row>
    <row r="1774" spans="104:111">
      <c r="CZ1774" s="256"/>
      <c r="DG1774" s="256"/>
    </row>
    <row r="1775" spans="104:111">
      <c r="CZ1775" s="256"/>
      <c r="DG1775" s="256"/>
    </row>
    <row r="1776" spans="104:111">
      <c r="CZ1776" s="256"/>
      <c r="DG1776" s="256"/>
    </row>
    <row r="1777" spans="104:111">
      <c r="CZ1777" s="256"/>
      <c r="DG1777" s="256"/>
    </row>
    <row r="1778" spans="104:111">
      <c r="CZ1778" s="256"/>
      <c r="DG1778" s="256"/>
    </row>
    <row r="1779" spans="104:111">
      <c r="CZ1779" s="256"/>
      <c r="DG1779" s="256"/>
    </row>
    <row r="1780" spans="104:111">
      <c r="CZ1780" s="256"/>
      <c r="DG1780" s="256"/>
    </row>
    <row r="1781" spans="104:111">
      <c r="CZ1781" s="256"/>
      <c r="DG1781" s="256"/>
    </row>
    <row r="1782" spans="104:111">
      <c r="CZ1782" s="256"/>
      <c r="DG1782" s="256"/>
    </row>
    <row r="1783" spans="104:111">
      <c r="CZ1783" s="256"/>
      <c r="DG1783" s="256"/>
    </row>
    <row r="1784" spans="104:111">
      <c r="CZ1784" s="256"/>
      <c r="DG1784" s="256"/>
    </row>
    <row r="1785" spans="104:111">
      <c r="CZ1785" s="256"/>
      <c r="DG1785" s="256"/>
    </row>
    <row r="1786" spans="104:111">
      <c r="CZ1786" s="256"/>
      <c r="DG1786" s="256"/>
    </row>
    <row r="1787" spans="104:111">
      <c r="CZ1787" s="256"/>
      <c r="DG1787" s="256"/>
    </row>
    <row r="1788" spans="104:111">
      <c r="CZ1788" s="256"/>
      <c r="DG1788" s="256"/>
    </row>
    <row r="1789" spans="104:111">
      <c r="CZ1789" s="256"/>
      <c r="DG1789" s="256"/>
    </row>
    <row r="1790" spans="104:111">
      <c r="CZ1790" s="256"/>
      <c r="DG1790" s="256"/>
    </row>
    <row r="1791" spans="104:111">
      <c r="CZ1791" s="256"/>
      <c r="DG1791" s="256"/>
    </row>
    <row r="1792" spans="104:111">
      <c r="CZ1792" s="256"/>
      <c r="DG1792" s="256"/>
    </row>
    <row r="1793" spans="104:111">
      <c r="CZ1793" s="256"/>
      <c r="DG1793" s="256"/>
    </row>
    <row r="1794" spans="104:111">
      <c r="CZ1794" s="256"/>
      <c r="DG1794" s="256"/>
    </row>
    <row r="1795" spans="104:111">
      <c r="CZ1795" s="256"/>
      <c r="DG1795" s="256"/>
    </row>
    <row r="1796" spans="104:111">
      <c r="CZ1796" s="256"/>
      <c r="DG1796" s="256"/>
    </row>
    <row r="1797" spans="104:111">
      <c r="CZ1797" s="256"/>
      <c r="DG1797" s="256"/>
    </row>
    <row r="1798" spans="104:111">
      <c r="CZ1798" s="256"/>
      <c r="DG1798" s="256"/>
    </row>
    <row r="1799" spans="104:111">
      <c r="CZ1799" s="256"/>
      <c r="DG1799" s="256"/>
    </row>
    <row r="1800" spans="104:111">
      <c r="CZ1800" s="256"/>
      <c r="DG1800" s="256"/>
    </row>
    <row r="1801" spans="104:111">
      <c r="CZ1801" s="256"/>
      <c r="DG1801" s="256"/>
    </row>
    <row r="1802" spans="104:111">
      <c r="CZ1802" s="256"/>
      <c r="DG1802" s="256"/>
    </row>
    <row r="1803" spans="104:111">
      <c r="CZ1803" s="256"/>
      <c r="DG1803" s="256"/>
    </row>
    <row r="1804" spans="104:111">
      <c r="CZ1804" s="256"/>
      <c r="DG1804" s="256"/>
    </row>
    <row r="1805" spans="104:111">
      <c r="CZ1805" s="256"/>
      <c r="DG1805" s="256"/>
    </row>
    <row r="1806" spans="104:111">
      <c r="CZ1806" s="256"/>
      <c r="DG1806" s="256"/>
    </row>
    <row r="1807" spans="104:111">
      <c r="CZ1807" s="256"/>
      <c r="DG1807" s="256"/>
    </row>
    <row r="1808" spans="104:111">
      <c r="CZ1808" s="256"/>
      <c r="DG1808" s="256"/>
    </row>
    <row r="1809" spans="104:111">
      <c r="CZ1809" s="256"/>
      <c r="DG1809" s="256"/>
    </row>
    <row r="1810" spans="104:111">
      <c r="CZ1810" s="256"/>
      <c r="DG1810" s="256"/>
    </row>
    <row r="1811" spans="104:111">
      <c r="CZ1811" s="256"/>
      <c r="DG1811" s="256"/>
    </row>
    <row r="1812" spans="104:111">
      <c r="CZ1812" s="256"/>
      <c r="DG1812" s="256"/>
    </row>
    <row r="1813" spans="104:111">
      <c r="CZ1813" s="256"/>
      <c r="DG1813" s="256"/>
    </row>
    <row r="1814" spans="104:111">
      <c r="CZ1814" s="256"/>
      <c r="DG1814" s="256"/>
    </row>
    <row r="1815" spans="104:111">
      <c r="CZ1815" s="256"/>
      <c r="DG1815" s="256"/>
    </row>
    <row r="1816" spans="104:111">
      <c r="CZ1816" s="256"/>
      <c r="DG1816" s="256"/>
    </row>
    <row r="1817" spans="104:111">
      <c r="CZ1817" s="256"/>
      <c r="DG1817" s="256"/>
    </row>
    <row r="1818" spans="104:111">
      <c r="CZ1818" s="256"/>
      <c r="DG1818" s="256"/>
    </row>
    <row r="1819" spans="104:111">
      <c r="CZ1819" s="256"/>
      <c r="DG1819" s="256"/>
    </row>
    <row r="1820" spans="104:111">
      <c r="CZ1820" s="256"/>
      <c r="DG1820" s="256"/>
    </row>
    <row r="1821" spans="104:111">
      <c r="CZ1821" s="256"/>
      <c r="DG1821" s="256"/>
    </row>
    <row r="1822" spans="104:111">
      <c r="CZ1822" s="256"/>
      <c r="DG1822" s="256"/>
    </row>
    <row r="1823" spans="104:111">
      <c r="CZ1823" s="256"/>
      <c r="DG1823" s="256"/>
    </row>
    <row r="1824" spans="104:111">
      <c r="CZ1824" s="256"/>
      <c r="DG1824" s="256"/>
    </row>
    <row r="1825" spans="104:111">
      <c r="CZ1825" s="256"/>
      <c r="DG1825" s="256"/>
    </row>
    <row r="1826" spans="104:111">
      <c r="CZ1826" s="256"/>
      <c r="DG1826" s="256"/>
    </row>
    <row r="1827" spans="104:111">
      <c r="CZ1827" s="256"/>
      <c r="DG1827" s="256"/>
    </row>
    <row r="1828" spans="104:111">
      <c r="CZ1828" s="256"/>
      <c r="DG1828" s="256"/>
    </row>
    <row r="1829" spans="104:111">
      <c r="CZ1829" s="256"/>
      <c r="DG1829" s="256"/>
    </row>
    <row r="1830" spans="104:111">
      <c r="CZ1830" s="256"/>
      <c r="DG1830" s="256"/>
    </row>
    <row r="1831" spans="104:111">
      <c r="CZ1831" s="256"/>
      <c r="DG1831" s="256"/>
    </row>
    <row r="1832" spans="104:111">
      <c r="CZ1832" s="256"/>
      <c r="DG1832" s="256"/>
    </row>
    <row r="1833" spans="104:111">
      <c r="CZ1833" s="256"/>
      <c r="DG1833" s="256"/>
    </row>
    <row r="1834" spans="104:111">
      <c r="CZ1834" s="256"/>
      <c r="DG1834" s="256"/>
    </row>
    <row r="1835" spans="104:111">
      <c r="CZ1835" s="256"/>
      <c r="DG1835" s="256"/>
    </row>
    <row r="1836" spans="104:111">
      <c r="CZ1836" s="256"/>
      <c r="DG1836" s="256"/>
    </row>
    <row r="1837" spans="104:111">
      <c r="CZ1837" s="256"/>
      <c r="DG1837" s="256"/>
    </row>
    <row r="1838" spans="104:111">
      <c r="CZ1838" s="256"/>
      <c r="DG1838" s="256"/>
    </row>
    <row r="1839" spans="104:111">
      <c r="CZ1839" s="256"/>
      <c r="DG1839" s="256"/>
    </row>
    <row r="1840" spans="104:111">
      <c r="CZ1840" s="256"/>
      <c r="DG1840" s="256"/>
    </row>
    <row r="1841" spans="104:111">
      <c r="CZ1841" s="256"/>
      <c r="DG1841" s="256"/>
    </row>
    <row r="1842" spans="104:111">
      <c r="CZ1842" s="256"/>
      <c r="DG1842" s="256"/>
    </row>
    <row r="1843" spans="104:111">
      <c r="CZ1843" s="256"/>
      <c r="DG1843" s="256"/>
    </row>
    <row r="1844" spans="104:111">
      <c r="CZ1844" s="256"/>
      <c r="DG1844" s="256"/>
    </row>
    <row r="1845" spans="104:111">
      <c r="CZ1845" s="256"/>
      <c r="DG1845" s="256"/>
    </row>
    <row r="1846" spans="104:111">
      <c r="CZ1846" s="256"/>
      <c r="DG1846" s="256"/>
    </row>
    <row r="1847" spans="104:111">
      <c r="CZ1847" s="256"/>
      <c r="DG1847" s="256"/>
    </row>
    <row r="1848" spans="104:111">
      <c r="CZ1848" s="256"/>
      <c r="DG1848" s="256"/>
    </row>
    <row r="1849" spans="104:111">
      <c r="CZ1849" s="256"/>
      <c r="DG1849" s="256"/>
    </row>
    <row r="1850" spans="104:111">
      <c r="CZ1850" s="256"/>
      <c r="DG1850" s="256"/>
    </row>
    <row r="1851" spans="104:111">
      <c r="CZ1851" s="256"/>
      <c r="DG1851" s="256"/>
    </row>
    <row r="1852" spans="104:111">
      <c r="CZ1852" s="256"/>
      <c r="DG1852" s="256"/>
    </row>
    <row r="1853" spans="104:111">
      <c r="CZ1853" s="256"/>
      <c r="DG1853" s="256"/>
    </row>
    <row r="1854" spans="104:111">
      <c r="CZ1854" s="256"/>
      <c r="DG1854" s="256"/>
    </row>
    <row r="1855" spans="104:111">
      <c r="CZ1855" s="256"/>
      <c r="DG1855" s="256"/>
    </row>
    <row r="1856" spans="104:111">
      <c r="CZ1856" s="256"/>
      <c r="DG1856" s="256"/>
    </row>
    <row r="1857" spans="104:111">
      <c r="CZ1857" s="256"/>
      <c r="DG1857" s="256"/>
    </row>
    <row r="1858" spans="104:111">
      <c r="CZ1858" s="256"/>
      <c r="DG1858" s="256"/>
    </row>
    <row r="1859" spans="104:111">
      <c r="CZ1859" s="256"/>
      <c r="DG1859" s="256"/>
    </row>
    <row r="1860" spans="104:111">
      <c r="CZ1860" s="256"/>
      <c r="DG1860" s="256"/>
    </row>
    <row r="1861" spans="104:111">
      <c r="CZ1861" s="256"/>
      <c r="DG1861" s="256"/>
    </row>
    <row r="1862" spans="104:111">
      <c r="CZ1862" s="256"/>
      <c r="DG1862" s="256"/>
    </row>
    <row r="1863" spans="104:111">
      <c r="CZ1863" s="256"/>
      <c r="DG1863" s="256"/>
    </row>
    <row r="1864" spans="104:111">
      <c r="CZ1864" s="256"/>
      <c r="DG1864" s="256"/>
    </row>
    <row r="1865" spans="104:111">
      <c r="CZ1865" s="256"/>
      <c r="DG1865" s="256"/>
    </row>
    <row r="1866" spans="104:111">
      <c r="CZ1866" s="256"/>
      <c r="DG1866" s="256"/>
    </row>
    <row r="1867" spans="104:111">
      <c r="CZ1867" s="256"/>
      <c r="DG1867" s="256"/>
    </row>
    <row r="1868" spans="104:111">
      <c r="CZ1868" s="256"/>
      <c r="DG1868" s="256"/>
    </row>
    <row r="1869" spans="104:111">
      <c r="CZ1869" s="256"/>
      <c r="DG1869" s="256"/>
    </row>
    <row r="1870" spans="104:111">
      <c r="CZ1870" s="256"/>
      <c r="DG1870" s="256"/>
    </row>
    <row r="1871" spans="104:111">
      <c r="CZ1871" s="256"/>
      <c r="DG1871" s="256"/>
    </row>
    <row r="1872" spans="104:111">
      <c r="CZ1872" s="256"/>
      <c r="DG1872" s="256"/>
    </row>
    <row r="1873" spans="104:111">
      <c r="CZ1873" s="256"/>
      <c r="DG1873" s="256"/>
    </row>
    <row r="1874" spans="104:111">
      <c r="CZ1874" s="256"/>
      <c r="DG1874" s="256"/>
    </row>
    <row r="1875" spans="104:111">
      <c r="CZ1875" s="256"/>
      <c r="DG1875" s="256"/>
    </row>
    <row r="1876" spans="104:111">
      <c r="CZ1876" s="256"/>
      <c r="DG1876" s="256"/>
    </row>
    <row r="1877" spans="104:111">
      <c r="CZ1877" s="256"/>
      <c r="DG1877" s="256"/>
    </row>
    <row r="1878" spans="104:111">
      <c r="CZ1878" s="256"/>
      <c r="DG1878" s="256"/>
    </row>
    <row r="1879" spans="104:111">
      <c r="CZ1879" s="256"/>
      <c r="DG1879" s="256"/>
    </row>
    <row r="1880" spans="104:111">
      <c r="CZ1880" s="256"/>
      <c r="DG1880" s="256"/>
    </row>
    <row r="1881" spans="104:111">
      <c r="CZ1881" s="256"/>
      <c r="DG1881" s="256"/>
    </row>
    <row r="1882" spans="104:111">
      <c r="CZ1882" s="256"/>
      <c r="DG1882" s="256"/>
    </row>
    <row r="1883" spans="104:111">
      <c r="CZ1883" s="256"/>
      <c r="DG1883" s="256"/>
    </row>
    <row r="1884" spans="104:111">
      <c r="CZ1884" s="256"/>
      <c r="DG1884" s="256"/>
    </row>
    <row r="1885" spans="104:111">
      <c r="CZ1885" s="256"/>
      <c r="DG1885" s="256"/>
    </row>
    <row r="1886" spans="104:111">
      <c r="CZ1886" s="256"/>
      <c r="DG1886" s="256"/>
    </row>
    <row r="1887" spans="104:111">
      <c r="CZ1887" s="256"/>
      <c r="DG1887" s="256"/>
    </row>
    <row r="1888" spans="104:111">
      <c r="CZ1888" s="256"/>
      <c r="DG1888" s="256"/>
    </row>
    <row r="1889" spans="104:111">
      <c r="CZ1889" s="256"/>
      <c r="DG1889" s="256"/>
    </row>
    <row r="1890" spans="104:111">
      <c r="CZ1890" s="256"/>
      <c r="DG1890" s="256"/>
    </row>
    <row r="1891" spans="104:111">
      <c r="CZ1891" s="256"/>
      <c r="DG1891" s="256"/>
    </row>
    <row r="1892" spans="104:111">
      <c r="CZ1892" s="256"/>
      <c r="DG1892" s="256"/>
    </row>
    <row r="1893" spans="104:111">
      <c r="CZ1893" s="256"/>
      <c r="DG1893" s="256"/>
    </row>
    <row r="1894" spans="104:111">
      <c r="CZ1894" s="256"/>
      <c r="DG1894" s="256"/>
    </row>
    <row r="1895" spans="104:111">
      <c r="CZ1895" s="256"/>
      <c r="DG1895" s="256"/>
    </row>
    <row r="1896" spans="104:111">
      <c r="CZ1896" s="256"/>
      <c r="DG1896" s="256"/>
    </row>
    <row r="1897" spans="104:111">
      <c r="CZ1897" s="256"/>
      <c r="DG1897" s="256"/>
    </row>
    <row r="1898" spans="104:111">
      <c r="CZ1898" s="256"/>
      <c r="DG1898" s="256"/>
    </row>
    <row r="1899" spans="104:111">
      <c r="CZ1899" s="256"/>
      <c r="DG1899" s="256"/>
    </row>
    <row r="1900" spans="104:111">
      <c r="CZ1900" s="256"/>
      <c r="DG1900" s="256"/>
    </row>
    <row r="1901" spans="104:111">
      <c r="CZ1901" s="256"/>
      <c r="DG1901" s="256"/>
    </row>
    <row r="1902" spans="104:111">
      <c r="CZ1902" s="256"/>
      <c r="DG1902" s="256"/>
    </row>
    <row r="1903" spans="104:111">
      <c r="CZ1903" s="256"/>
      <c r="DG1903" s="256"/>
    </row>
    <row r="1904" spans="104:111">
      <c r="CZ1904" s="256"/>
      <c r="DG1904" s="256"/>
    </row>
    <row r="1905" spans="104:111">
      <c r="CZ1905" s="256"/>
      <c r="DG1905" s="256"/>
    </row>
    <row r="1906" spans="104:111">
      <c r="CZ1906" s="256"/>
      <c r="DG1906" s="256"/>
    </row>
    <row r="1907" spans="104:111">
      <c r="CZ1907" s="256"/>
      <c r="DG1907" s="256"/>
    </row>
    <row r="1908" spans="104:111">
      <c r="CZ1908" s="256"/>
      <c r="DG1908" s="256"/>
    </row>
    <row r="1909" spans="104:111">
      <c r="CZ1909" s="256"/>
      <c r="DG1909" s="256"/>
    </row>
    <row r="1910" spans="104:111">
      <c r="CZ1910" s="256"/>
      <c r="DG1910" s="256"/>
    </row>
    <row r="1911" spans="104:111">
      <c r="CZ1911" s="256"/>
      <c r="DG1911" s="256"/>
    </row>
    <row r="1912" spans="104:111">
      <c r="CZ1912" s="256"/>
      <c r="DG1912" s="256"/>
    </row>
    <row r="1913" spans="104:111">
      <c r="CZ1913" s="256"/>
      <c r="DG1913" s="256"/>
    </row>
    <row r="1914" spans="104:111">
      <c r="CZ1914" s="256"/>
      <c r="DG1914" s="256"/>
    </row>
    <row r="1915" spans="104:111">
      <c r="CZ1915" s="256"/>
      <c r="DG1915" s="256"/>
    </row>
    <row r="1916" spans="104:111">
      <c r="CZ1916" s="256"/>
      <c r="DG1916" s="256"/>
    </row>
    <row r="1917" spans="104:111">
      <c r="CZ1917" s="256"/>
      <c r="DG1917" s="256"/>
    </row>
    <row r="1918" spans="104:111">
      <c r="CZ1918" s="256"/>
      <c r="DG1918" s="256"/>
    </row>
    <row r="1919" spans="104:111">
      <c r="CZ1919" s="256"/>
      <c r="DG1919" s="256"/>
    </row>
    <row r="1920" spans="104:111">
      <c r="CZ1920" s="256"/>
      <c r="DG1920" s="256"/>
    </row>
    <row r="1921" spans="104:111">
      <c r="CZ1921" s="256"/>
      <c r="DG1921" s="256"/>
    </row>
    <row r="1922" spans="104:111">
      <c r="CZ1922" s="256"/>
      <c r="DG1922" s="256"/>
    </row>
    <row r="1923" spans="104:111">
      <c r="CZ1923" s="256"/>
      <c r="DG1923" s="256"/>
    </row>
    <row r="1924" spans="104:111">
      <c r="CZ1924" s="256"/>
      <c r="DG1924" s="256"/>
    </row>
    <row r="1925" spans="104:111">
      <c r="CZ1925" s="256"/>
      <c r="DG1925" s="256"/>
    </row>
    <row r="1926" spans="104:111">
      <c r="CZ1926" s="256"/>
      <c r="DG1926" s="256"/>
    </row>
    <row r="1927" spans="104:111">
      <c r="CZ1927" s="256"/>
      <c r="DG1927" s="256"/>
    </row>
    <row r="1928" spans="104:111">
      <c r="CZ1928" s="256"/>
      <c r="DG1928" s="256"/>
    </row>
    <row r="1929" spans="104:111">
      <c r="CZ1929" s="256"/>
      <c r="DG1929" s="256"/>
    </row>
    <row r="1930" spans="104:111">
      <c r="CZ1930" s="256"/>
      <c r="DG1930" s="256"/>
    </row>
    <row r="1931" spans="104:111">
      <c r="CZ1931" s="256"/>
      <c r="DG1931" s="256"/>
    </row>
    <row r="1932" spans="104:111">
      <c r="CZ1932" s="256"/>
      <c r="DG1932" s="256"/>
    </row>
    <row r="1933" spans="104:111">
      <c r="CZ1933" s="256"/>
      <c r="DG1933" s="256"/>
    </row>
    <row r="1934" spans="104:111">
      <c r="CZ1934" s="256"/>
      <c r="DG1934" s="256"/>
    </row>
    <row r="1935" spans="104:111">
      <c r="CZ1935" s="256"/>
      <c r="DG1935" s="256"/>
    </row>
    <row r="1936" spans="104:111">
      <c r="CZ1936" s="256"/>
      <c r="DG1936" s="256"/>
    </row>
    <row r="1937" spans="104:111">
      <c r="CZ1937" s="256"/>
      <c r="DG1937" s="256"/>
    </row>
    <row r="1938" spans="104:111">
      <c r="CZ1938" s="256"/>
      <c r="DG1938" s="256"/>
    </row>
    <row r="1939" spans="104:111">
      <c r="CZ1939" s="256"/>
      <c r="DG1939" s="256"/>
    </row>
    <row r="1940" spans="104:111">
      <c r="CZ1940" s="256"/>
      <c r="DG1940" s="256"/>
    </row>
    <row r="1941" spans="104:111">
      <c r="CZ1941" s="256"/>
      <c r="DG1941" s="256"/>
    </row>
    <row r="1942" spans="104:111">
      <c r="CZ1942" s="256"/>
      <c r="DG1942" s="256"/>
    </row>
    <row r="1943" spans="104:111">
      <c r="CZ1943" s="256"/>
      <c r="DG1943" s="256"/>
    </row>
    <row r="1944" spans="104:111">
      <c r="CZ1944" s="256"/>
      <c r="DG1944" s="256"/>
    </row>
    <row r="1945" spans="104:111">
      <c r="CZ1945" s="256"/>
      <c r="DG1945" s="256"/>
    </row>
    <row r="1946" spans="104:111">
      <c r="CZ1946" s="256"/>
      <c r="DG1946" s="256"/>
    </row>
    <row r="1947" spans="104:111">
      <c r="CZ1947" s="256"/>
      <c r="DG1947" s="256"/>
    </row>
    <row r="1948" spans="104:111">
      <c r="CZ1948" s="256"/>
      <c r="DG1948" s="256"/>
    </row>
    <row r="1949" spans="104:111">
      <c r="CZ1949" s="256"/>
      <c r="DG1949" s="256"/>
    </row>
    <row r="1950" spans="104:111">
      <c r="CZ1950" s="256"/>
      <c r="DG1950" s="256"/>
    </row>
    <row r="1951" spans="104:111">
      <c r="CZ1951" s="256"/>
      <c r="DG1951" s="256"/>
    </row>
    <row r="1952" spans="104:111">
      <c r="CZ1952" s="256"/>
      <c r="DG1952" s="256"/>
    </row>
    <row r="1953" spans="104:111">
      <c r="CZ1953" s="256"/>
      <c r="DG1953" s="256"/>
    </row>
    <row r="1954" spans="104:111">
      <c r="CZ1954" s="256"/>
      <c r="DG1954" s="256"/>
    </row>
    <row r="1955" spans="104:111">
      <c r="CZ1955" s="256"/>
      <c r="DG1955" s="256"/>
    </row>
    <row r="1956" spans="104:111">
      <c r="CZ1956" s="256"/>
      <c r="DG1956" s="256"/>
    </row>
    <row r="1957" spans="104:111">
      <c r="CZ1957" s="256"/>
      <c r="DG1957" s="256"/>
    </row>
    <row r="1958" spans="104:111">
      <c r="CZ1958" s="256"/>
      <c r="DG1958" s="256"/>
    </row>
    <row r="1959" spans="104:111">
      <c r="CZ1959" s="256"/>
      <c r="DG1959" s="256"/>
    </row>
    <row r="1960" spans="104:111">
      <c r="CZ1960" s="256"/>
      <c r="DG1960" s="256"/>
    </row>
    <row r="1961" spans="104:111">
      <c r="CZ1961" s="256"/>
      <c r="DG1961" s="256"/>
    </row>
    <row r="1962" spans="104:111">
      <c r="CZ1962" s="256"/>
      <c r="DG1962" s="256"/>
    </row>
    <row r="1963" spans="104:111">
      <c r="CZ1963" s="256"/>
      <c r="DG1963" s="256"/>
    </row>
    <row r="1964" spans="104:111">
      <c r="CZ1964" s="256"/>
      <c r="DG1964" s="256"/>
    </row>
    <row r="1965" spans="104:111">
      <c r="CZ1965" s="256"/>
      <c r="DG1965" s="256"/>
    </row>
    <row r="1966" spans="104:111">
      <c r="CZ1966" s="256"/>
      <c r="DG1966" s="256"/>
    </row>
    <row r="1967" spans="104:111">
      <c r="CZ1967" s="256"/>
      <c r="DG1967" s="256"/>
    </row>
    <row r="1968" spans="104:111">
      <c r="CZ1968" s="256"/>
      <c r="DG1968" s="256"/>
    </row>
    <row r="1969" spans="104:111">
      <c r="CZ1969" s="256"/>
      <c r="DG1969" s="256"/>
    </row>
    <row r="1970" spans="104:111">
      <c r="CZ1970" s="256"/>
      <c r="DG1970" s="256"/>
    </row>
    <row r="1971" spans="104:111">
      <c r="CZ1971" s="256"/>
      <c r="DG1971" s="256"/>
    </row>
    <row r="1972" spans="104:111">
      <c r="CZ1972" s="256"/>
      <c r="DG1972" s="256"/>
    </row>
    <row r="1973" spans="104:111">
      <c r="CZ1973" s="256"/>
      <c r="DG1973" s="256"/>
    </row>
    <row r="1974" spans="104:111">
      <c r="CZ1974" s="256"/>
      <c r="DG1974" s="256"/>
    </row>
    <row r="1975" spans="104:111">
      <c r="CZ1975" s="256"/>
      <c r="DG1975" s="256"/>
    </row>
    <row r="1976" spans="104:111">
      <c r="CZ1976" s="256"/>
      <c r="DG1976" s="256"/>
    </row>
    <row r="1977" spans="104:111">
      <c r="CZ1977" s="256"/>
      <c r="DG1977" s="256"/>
    </row>
    <row r="1978" spans="104:111">
      <c r="CZ1978" s="256"/>
      <c r="DG1978" s="256"/>
    </row>
    <row r="1979" spans="104:111">
      <c r="CZ1979" s="256"/>
      <c r="DG1979" s="256"/>
    </row>
    <row r="1980" spans="104:111">
      <c r="CZ1980" s="256"/>
      <c r="DG1980" s="256"/>
    </row>
    <row r="1981" spans="104:111">
      <c r="CZ1981" s="256"/>
      <c r="DG1981" s="256"/>
    </row>
    <row r="1982" spans="104:111">
      <c r="CZ1982" s="256"/>
      <c r="DG1982" s="256"/>
    </row>
    <row r="1983" spans="104:111">
      <c r="CZ1983" s="256"/>
      <c r="DG1983" s="256"/>
    </row>
    <row r="1984" spans="104:111">
      <c r="CZ1984" s="256"/>
      <c r="DG1984" s="256"/>
    </row>
    <row r="1985" spans="104:111">
      <c r="CZ1985" s="256"/>
      <c r="DG1985" s="256"/>
    </row>
    <row r="1986" spans="104:111">
      <c r="CZ1986" s="256"/>
      <c r="DG1986" s="256"/>
    </row>
    <row r="1987" spans="104:111">
      <c r="CZ1987" s="256"/>
      <c r="DG1987" s="256"/>
    </row>
    <row r="1988" spans="104:111">
      <c r="CZ1988" s="256"/>
      <c r="DG1988" s="256"/>
    </row>
    <row r="1989" spans="104:111">
      <c r="CZ1989" s="256"/>
      <c r="DG1989" s="256"/>
    </row>
    <row r="1990" spans="104:111">
      <c r="CZ1990" s="256"/>
      <c r="DG1990" s="256"/>
    </row>
    <row r="1991" spans="104:111">
      <c r="CZ1991" s="256"/>
      <c r="DG1991" s="256"/>
    </row>
    <row r="1992" spans="104:111">
      <c r="CZ1992" s="256"/>
      <c r="DG1992" s="256"/>
    </row>
    <row r="1993" spans="104:111">
      <c r="CZ1993" s="256"/>
      <c r="DG1993" s="256"/>
    </row>
    <row r="1994" spans="104:111">
      <c r="CZ1994" s="256"/>
      <c r="DG1994" s="256"/>
    </row>
    <row r="1995" spans="104:111">
      <c r="CZ1995" s="256"/>
      <c r="DG1995" s="256"/>
    </row>
    <row r="1996" spans="104:111">
      <c r="CZ1996" s="256"/>
      <c r="DG1996" s="256"/>
    </row>
    <row r="1997" spans="104:111">
      <c r="CZ1997" s="256"/>
      <c r="DG1997" s="256"/>
    </row>
    <row r="1998" spans="104:111">
      <c r="CZ1998" s="256"/>
      <c r="DG1998" s="256"/>
    </row>
    <row r="1999" spans="104:111">
      <c r="CZ1999" s="256"/>
      <c r="DG1999" s="256"/>
    </row>
    <row r="2000" spans="104:111">
      <c r="CZ2000" s="256"/>
      <c r="DG2000" s="256"/>
    </row>
    <row r="2001" spans="104:111">
      <c r="CZ2001" s="256"/>
      <c r="DG2001" s="256"/>
    </row>
    <row r="2002" spans="104:111">
      <c r="CZ2002" s="256"/>
      <c r="DG2002" s="256"/>
    </row>
    <row r="2003" spans="104:111">
      <c r="CZ2003" s="256"/>
      <c r="DG2003" s="256"/>
    </row>
    <row r="2004" spans="104:111">
      <c r="CZ2004" s="256"/>
      <c r="DG2004" s="256"/>
    </row>
    <row r="2005" spans="104:111">
      <c r="CZ2005" s="256"/>
      <c r="DG2005" s="256"/>
    </row>
    <row r="2006" spans="104:111">
      <c r="CZ2006" s="256"/>
      <c r="DG2006" s="256"/>
    </row>
    <row r="2007" spans="104:111">
      <c r="CZ2007" s="256"/>
      <c r="DG2007" s="256"/>
    </row>
    <row r="2008" spans="104:111">
      <c r="CZ2008" s="256"/>
      <c r="DG2008" s="256"/>
    </row>
    <row r="2009" spans="104:111">
      <c r="CZ2009" s="256"/>
      <c r="DG2009" s="256"/>
    </row>
    <row r="2010" spans="104:111">
      <c r="CZ2010" s="256"/>
      <c r="DG2010" s="256"/>
    </row>
    <row r="2011" spans="104:111">
      <c r="CZ2011" s="256"/>
      <c r="DG2011" s="256"/>
    </row>
    <row r="2012" spans="104:111">
      <c r="CZ2012" s="256"/>
      <c r="DG2012" s="256"/>
    </row>
    <row r="2013" spans="104:111">
      <c r="CZ2013" s="256"/>
      <c r="DG2013" s="256"/>
    </row>
    <row r="2014" spans="104:111">
      <c r="CZ2014" s="256"/>
      <c r="DG2014" s="256"/>
    </row>
    <row r="2015" spans="104:111">
      <c r="CZ2015" s="256"/>
      <c r="DG2015" s="256"/>
    </row>
    <row r="2016" spans="104:111">
      <c r="CZ2016" s="256"/>
      <c r="DG2016" s="256"/>
    </row>
    <row r="2017" spans="104:111">
      <c r="CZ2017" s="256"/>
      <c r="DG2017" s="256"/>
    </row>
    <row r="2018" spans="104:111">
      <c r="CZ2018" s="256"/>
      <c r="DG2018" s="256"/>
    </row>
    <row r="2019" spans="104:111">
      <c r="CZ2019" s="256"/>
      <c r="DG2019" s="256"/>
    </row>
    <row r="2020" spans="104:111">
      <c r="CZ2020" s="256"/>
      <c r="DG2020" s="256"/>
    </row>
    <row r="2021" spans="104:111">
      <c r="CZ2021" s="256"/>
      <c r="DG2021" s="256"/>
    </row>
    <row r="2022" spans="104:111">
      <c r="CZ2022" s="256"/>
      <c r="DG2022" s="256"/>
    </row>
    <row r="2023" spans="104:111">
      <c r="CZ2023" s="256"/>
      <c r="DG2023" s="256"/>
    </row>
    <row r="2024" spans="104:111">
      <c r="CZ2024" s="256"/>
      <c r="DG2024" s="256"/>
    </row>
    <row r="2025" spans="104:111">
      <c r="CZ2025" s="256"/>
      <c r="DG2025" s="256"/>
    </row>
    <row r="2026" spans="104:111">
      <c r="CZ2026" s="256"/>
      <c r="DG2026" s="256"/>
    </row>
    <row r="2027" spans="104:111">
      <c r="CZ2027" s="256"/>
      <c r="DG2027" s="256"/>
    </row>
    <row r="2028" spans="104:111">
      <c r="CZ2028" s="256"/>
      <c r="DG2028" s="256"/>
    </row>
    <row r="2029" spans="104:111">
      <c r="CZ2029" s="256"/>
      <c r="DG2029" s="256"/>
    </row>
    <row r="2030" spans="104:111">
      <c r="CZ2030" s="256"/>
      <c r="DG2030" s="256"/>
    </row>
    <row r="2031" spans="104:111">
      <c r="CZ2031" s="256"/>
      <c r="DG2031" s="256"/>
    </row>
    <row r="2032" spans="104:111">
      <c r="CZ2032" s="256"/>
      <c r="DG2032" s="256"/>
    </row>
    <row r="2033" spans="104:111">
      <c r="CZ2033" s="256"/>
      <c r="DG2033" s="256"/>
    </row>
    <row r="2034" spans="104:111">
      <c r="CZ2034" s="256"/>
      <c r="DG2034" s="256"/>
    </row>
    <row r="2035" spans="104:111">
      <c r="CZ2035" s="256"/>
      <c r="DG2035" s="256"/>
    </row>
    <row r="2036" spans="104:111">
      <c r="CZ2036" s="256"/>
      <c r="DG2036" s="256"/>
    </row>
    <row r="2037" spans="104:111">
      <c r="CZ2037" s="256"/>
      <c r="DG2037" s="256"/>
    </row>
    <row r="2038" spans="104:111">
      <c r="CZ2038" s="256"/>
      <c r="DG2038" s="256"/>
    </row>
    <row r="2039" spans="104:111">
      <c r="CZ2039" s="256"/>
      <c r="DG2039" s="256"/>
    </row>
    <row r="2040" spans="104:111">
      <c r="CZ2040" s="256"/>
      <c r="DG2040" s="256"/>
    </row>
    <row r="2041" spans="104:111">
      <c r="CZ2041" s="256"/>
      <c r="DG2041" s="256"/>
    </row>
    <row r="2042" spans="104:111">
      <c r="CZ2042" s="256"/>
      <c r="DG2042" s="256"/>
    </row>
    <row r="2043" spans="104:111">
      <c r="CZ2043" s="256"/>
      <c r="DG2043" s="256"/>
    </row>
    <row r="2044" spans="104:111">
      <c r="CZ2044" s="256"/>
      <c r="DG2044" s="256"/>
    </row>
    <row r="2045" spans="104:111">
      <c r="CZ2045" s="256"/>
      <c r="DG2045" s="256"/>
    </row>
    <row r="2046" spans="104:111">
      <c r="CZ2046" s="256"/>
      <c r="DG2046" s="256"/>
    </row>
    <row r="2047" spans="104:111">
      <c r="CZ2047" s="256"/>
      <c r="DG2047" s="256"/>
    </row>
    <row r="2048" spans="104:111">
      <c r="CZ2048" s="256"/>
      <c r="DG2048" s="256"/>
    </row>
    <row r="2049" spans="104:111">
      <c r="CZ2049" s="256"/>
      <c r="DG2049" s="256"/>
    </row>
    <row r="2050" spans="104:111">
      <c r="CZ2050" s="256"/>
      <c r="DG2050" s="256"/>
    </row>
    <row r="2051" spans="104:111">
      <c r="CZ2051" s="256"/>
      <c r="DG2051" s="256"/>
    </row>
    <row r="2052" spans="104:111">
      <c r="CZ2052" s="256"/>
      <c r="DG2052" s="256"/>
    </row>
    <row r="2053" spans="104:111">
      <c r="CZ2053" s="256"/>
      <c r="DG2053" s="256"/>
    </row>
    <row r="2054" spans="104:111">
      <c r="CZ2054" s="256"/>
      <c r="DG2054" s="256"/>
    </row>
    <row r="2055" spans="104:111">
      <c r="CZ2055" s="256"/>
      <c r="DG2055" s="256"/>
    </row>
    <row r="2056" spans="104:111">
      <c r="CZ2056" s="256"/>
      <c r="DG2056" s="256"/>
    </row>
    <row r="2057" spans="104:111">
      <c r="CZ2057" s="256"/>
      <c r="DG2057" s="256"/>
    </row>
    <row r="2058" spans="104:111">
      <c r="CZ2058" s="256"/>
      <c r="DG2058" s="256"/>
    </row>
    <row r="2059" spans="104:111">
      <c r="CZ2059" s="256"/>
      <c r="DG2059" s="256"/>
    </row>
    <row r="2060" spans="104:111">
      <c r="CZ2060" s="256"/>
      <c r="DG2060" s="256"/>
    </row>
    <row r="2061" spans="104:111">
      <c r="CZ2061" s="256"/>
      <c r="DG2061" s="256"/>
    </row>
    <row r="2062" spans="104:111">
      <c r="CZ2062" s="256"/>
      <c r="DG2062" s="256"/>
    </row>
    <row r="2063" spans="104:111">
      <c r="CZ2063" s="256"/>
      <c r="DG2063" s="256"/>
    </row>
    <row r="2064" spans="104:111">
      <c r="CZ2064" s="256"/>
      <c r="DG2064" s="256"/>
    </row>
    <row r="2065" spans="104:111">
      <c r="CZ2065" s="256"/>
      <c r="DG2065" s="256"/>
    </row>
    <row r="2066" spans="104:111">
      <c r="CZ2066" s="256"/>
      <c r="DG2066" s="256"/>
    </row>
    <row r="2067" spans="104:111">
      <c r="CZ2067" s="256"/>
      <c r="DG2067" s="256"/>
    </row>
    <row r="2068" spans="104:111">
      <c r="CZ2068" s="256"/>
      <c r="DG2068" s="256"/>
    </row>
    <row r="2069" spans="104:111">
      <c r="CZ2069" s="256"/>
      <c r="DG2069" s="256"/>
    </row>
    <row r="2070" spans="104:111">
      <c r="CZ2070" s="256"/>
      <c r="DG2070" s="256"/>
    </row>
    <row r="2071" spans="104:111">
      <c r="CZ2071" s="256"/>
      <c r="DG2071" s="256"/>
    </row>
    <row r="2072" spans="104:111">
      <c r="CZ2072" s="256"/>
      <c r="DG2072" s="256"/>
    </row>
    <row r="2073" spans="104:111">
      <c r="CZ2073" s="256"/>
      <c r="DG2073" s="256"/>
    </row>
    <row r="2074" spans="104:111">
      <c r="CZ2074" s="256"/>
      <c r="DG2074" s="256"/>
    </row>
    <row r="2075" spans="104:111">
      <c r="CZ2075" s="256"/>
      <c r="DG2075" s="256"/>
    </row>
    <row r="2076" spans="104:111">
      <c r="CZ2076" s="256"/>
      <c r="DG2076" s="256"/>
    </row>
    <row r="2077" spans="104:111">
      <c r="CZ2077" s="256"/>
      <c r="DG2077" s="256"/>
    </row>
    <row r="2078" spans="104:111">
      <c r="CZ2078" s="256"/>
      <c r="DG2078" s="256"/>
    </row>
    <row r="2079" spans="104:111">
      <c r="CZ2079" s="256"/>
      <c r="DG2079" s="256"/>
    </row>
    <row r="2080" spans="104:111">
      <c r="CZ2080" s="256"/>
      <c r="DG2080" s="256"/>
    </row>
    <row r="2081" spans="104:111">
      <c r="CZ2081" s="256"/>
      <c r="DG2081" s="256"/>
    </row>
    <row r="2082" spans="104:111">
      <c r="CZ2082" s="256"/>
      <c r="DG2082" s="256"/>
    </row>
    <row r="2083" spans="104:111">
      <c r="CZ2083" s="256"/>
      <c r="DG2083" s="256"/>
    </row>
    <row r="2084" spans="104:111">
      <c r="CZ2084" s="256"/>
      <c r="DG2084" s="256"/>
    </row>
    <row r="2085" spans="104:111">
      <c r="CZ2085" s="256"/>
      <c r="DG2085" s="256"/>
    </row>
    <row r="2086" spans="104:111">
      <c r="CZ2086" s="256"/>
      <c r="DG2086" s="256"/>
    </row>
    <row r="2087" spans="104:111">
      <c r="CZ2087" s="256"/>
      <c r="DG2087" s="256"/>
    </row>
    <row r="2088" spans="104:111">
      <c r="CZ2088" s="256"/>
      <c r="DG2088" s="256"/>
    </row>
    <row r="2089" spans="104:111">
      <c r="CZ2089" s="256"/>
      <c r="DG2089" s="256"/>
    </row>
    <row r="2090" spans="104:111">
      <c r="CZ2090" s="256"/>
      <c r="DG2090" s="256"/>
    </row>
    <row r="2091" spans="104:111">
      <c r="CZ2091" s="256"/>
      <c r="DG2091" s="256"/>
    </row>
    <row r="2092" spans="104:111">
      <c r="CZ2092" s="256"/>
      <c r="DG2092" s="256"/>
    </row>
    <row r="2093" spans="104:111">
      <c r="CZ2093" s="256"/>
      <c r="DG2093" s="256"/>
    </row>
    <row r="2094" spans="104:111">
      <c r="CZ2094" s="256"/>
      <c r="DG2094" s="256"/>
    </row>
    <row r="2095" spans="104:111">
      <c r="CZ2095" s="256"/>
      <c r="DG2095" s="256"/>
    </row>
    <row r="2096" spans="104:111">
      <c r="CZ2096" s="256"/>
      <c r="DG2096" s="256"/>
    </row>
    <row r="2097" spans="104:111">
      <c r="CZ2097" s="256"/>
      <c r="DG2097" s="256"/>
    </row>
    <row r="2098" spans="104:111">
      <c r="CZ2098" s="256"/>
      <c r="DG2098" s="256"/>
    </row>
    <row r="2099" spans="104:111">
      <c r="CZ2099" s="256"/>
      <c r="DG2099" s="256"/>
    </row>
    <row r="2100" spans="104:111">
      <c r="CZ2100" s="256"/>
      <c r="DG2100" s="256"/>
    </row>
    <row r="2101" spans="104:111">
      <c r="CZ2101" s="256"/>
      <c r="DG2101" s="256"/>
    </row>
    <row r="2102" spans="104:111">
      <c r="CZ2102" s="256"/>
      <c r="DG2102" s="256"/>
    </row>
    <row r="2103" spans="104:111">
      <c r="CZ2103" s="256"/>
      <c r="DG2103" s="256"/>
    </row>
    <row r="2104" spans="104:111">
      <c r="CZ2104" s="256"/>
      <c r="DG2104" s="256"/>
    </row>
    <row r="2105" spans="104:111">
      <c r="CZ2105" s="256"/>
      <c r="DG2105" s="256"/>
    </row>
    <row r="2106" spans="104:111">
      <c r="CZ2106" s="256"/>
      <c r="DG2106" s="256"/>
    </row>
    <row r="2107" spans="104:111">
      <c r="CZ2107" s="256"/>
      <c r="DG2107" s="256"/>
    </row>
    <row r="2108" spans="104:111">
      <c r="CZ2108" s="256"/>
      <c r="DG2108" s="256"/>
    </row>
    <row r="2109" spans="104:111">
      <c r="CZ2109" s="256"/>
      <c r="DG2109" s="256"/>
    </row>
    <row r="2110" spans="104:111">
      <c r="CZ2110" s="256"/>
      <c r="DG2110" s="256"/>
    </row>
    <row r="2111" spans="104:111">
      <c r="CZ2111" s="256"/>
      <c r="DG2111" s="256"/>
    </row>
    <row r="2112" spans="104:111">
      <c r="CZ2112" s="256"/>
      <c r="DG2112" s="256"/>
    </row>
    <row r="2113" spans="104:111">
      <c r="CZ2113" s="256"/>
      <c r="DG2113" s="256"/>
    </row>
    <row r="2114" spans="104:111">
      <c r="CZ2114" s="256"/>
      <c r="DG2114" s="256"/>
    </row>
    <row r="2115" spans="104:111">
      <c r="CZ2115" s="256"/>
      <c r="DG2115" s="256"/>
    </row>
    <row r="2116" spans="104:111">
      <c r="CZ2116" s="256"/>
      <c r="DG2116" s="256"/>
    </row>
    <row r="2117" spans="104:111">
      <c r="CZ2117" s="256"/>
      <c r="DG2117" s="256"/>
    </row>
    <row r="2118" spans="104:111">
      <c r="CZ2118" s="256"/>
      <c r="DG2118" s="256"/>
    </row>
    <row r="2119" spans="104:111">
      <c r="CZ2119" s="256"/>
      <c r="DG2119" s="256"/>
    </row>
    <row r="2120" spans="104:111">
      <c r="CZ2120" s="256"/>
      <c r="DG2120" s="256"/>
    </row>
    <row r="2121" spans="104:111">
      <c r="CZ2121" s="256"/>
      <c r="DG2121" s="256"/>
    </row>
    <row r="2122" spans="104:111">
      <c r="CZ2122" s="256"/>
      <c r="DG2122" s="256"/>
    </row>
    <row r="2123" spans="104:111">
      <c r="CZ2123" s="256"/>
      <c r="DG2123" s="256"/>
    </row>
    <row r="2124" spans="104:111">
      <c r="CZ2124" s="256"/>
      <c r="DG2124" s="256"/>
    </row>
    <row r="2125" spans="104:111">
      <c r="CZ2125" s="256"/>
      <c r="DG2125" s="256"/>
    </row>
    <row r="2126" spans="104:111">
      <c r="CZ2126" s="256"/>
      <c r="DG2126" s="256"/>
    </row>
    <row r="2127" spans="104:111">
      <c r="CZ2127" s="256"/>
      <c r="DG2127" s="256"/>
    </row>
    <row r="2128" spans="104:111">
      <c r="CZ2128" s="256"/>
      <c r="DG2128" s="256"/>
    </row>
    <row r="2129" spans="104:111">
      <c r="CZ2129" s="256"/>
      <c r="DG2129" s="256"/>
    </row>
    <row r="2130" spans="104:111">
      <c r="CZ2130" s="256"/>
      <c r="DG2130" s="256"/>
    </row>
    <row r="2131" spans="104:111">
      <c r="CZ2131" s="256"/>
      <c r="DG2131" s="256"/>
    </row>
    <row r="2132" spans="104:111">
      <c r="CZ2132" s="256"/>
      <c r="DG2132" s="256"/>
    </row>
    <row r="2133" spans="104:111">
      <c r="CZ2133" s="256"/>
      <c r="DG2133" s="256"/>
    </row>
    <row r="2134" spans="104:111">
      <c r="CZ2134" s="256"/>
      <c r="DG2134" s="256"/>
    </row>
    <row r="2135" spans="104:111">
      <c r="CZ2135" s="256"/>
      <c r="DG2135" s="256"/>
    </row>
    <row r="2136" spans="104:111">
      <c r="CZ2136" s="256"/>
      <c r="DG2136" s="256"/>
    </row>
    <row r="2137" spans="104:111">
      <c r="CZ2137" s="256"/>
      <c r="DG2137" s="256"/>
    </row>
    <row r="2138" spans="104:111">
      <c r="CZ2138" s="256"/>
      <c r="DG2138" s="256"/>
    </row>
    <row r="2139" spans="104:111">
      <c r="CZ2139" s="256"/>
      <c r="DG2139" s="256"/>
    </row>
    <row r="2140" spans="104:111">
      <c r="CZ2140" s="256"/>
      <c r="DG2140" s="256"/>
    </row>
    <row r="2141" spans="104:111">
      <c r="CZ2141" s="256"/>
      <c r="DG2141" s="256"/>
    </row>
    <row r="2142" spans="104:111">
      <c r="CZ2142" s="256"/>
      <c r="DG2142" s="256"/>
    </row>
    <row r="2143" spans="104:111">
      <c r="CZ2143" s="256"/>
      <c r="DG2143" s="256"/>
    </row>
    <row r="2144" spans="104:111">
      <c r="CZ2144" s="256"/>
      <c r="DG2144" s="256"/>
    </row>
    <row r="2145" spans="104:111">
      <c r="CZ2145" s="256"/>
      <c r="DG2145" s="256"/>
    </row>
    <row r="2146" spans="104:111">
      <c r="CZ2146" s="256"/>
      <c r="DG2146" s="256"/>
    </row>
    <row r="2147" spans="104:111">
      <c r="CZ2147" s="256"/>
      <c r="DG2147" s="256"/>
    </row>
    <row r="2148" spans="104:111">
      <c r="CZ2148" s="256"/>
      <c r="DG2148" s="256"/>
    </row>
    <row r="2149" spans="104:111">
      <c r="CZ2149" s="256"/>
      <c r="DG2149" s="256"/>
    </row>
    <row r="2150" spans="104:111">
      <c r="CZ2150" s="256"/>
      <c r="DG2150" s="256"/>
    </row>
    <row r="2151" spans="104:111">
      <c r="CZ2151" s="256"/>
      <c r="DG2151" s="256"/>
    </row>
    <row r="2152" spans="104:111">
      <c r="CZ2152" s="256"/>
      <c r="DG2152" s="256"/>
    </row>
    <row r="2153" spans="104:111">
      <c r="CZ2153" s="256"/>
      <c r="DG2153" s="256"/>
    </row>
    <row r="2154" spans="104:111">
      <c r="CZ2154" s="256"/>
      <c r="DG2154" s="256"/>
    </row>
    <row r="2155" spans="104:111">
      <c r="CZ2155" s="256"/>
      <c r="DG2155" s="256"/>
    </row>
    <row r="2156" spans="104:111">
      <c r="CZ2156" s="256"/>
      <c r="DG2156" s="256"/>
    </row>
    <row r="2157" spans="104:111">
      <c r="CZ2157" s="256"/>
      <c r="DG2157" s="256"/>
    </row>
    <row r="2158" spans="104:111">
      <c r="CZ2158" s="256"/>
      <c r="DG2158" s="256"/>
    </row>
    <row r="2159" spans="104:111">
      <c r="CZ2159" s="256"/>
      <c r="DG2159" s="256"/>
    </row>
    <row r="2160" spans="104:111">
      <c r="CZ2160" s="256"/>
      <c r="DG2160" s="256"/>
    </row>
    <row r="2161" spans="104:111">
      <c r="CZ2161" s="256"/>
      <c r="DG2161" s="256"/>
    </row>
    <row r="2162" spans="104:111">
      <c r="CZ2162" s="256"/>
      <c r="DG2162" s="256"/>
    </row>
    <row r="2163" spans="104:111">
      <c r="CZ2163" s="256"/>
      <c r="DG2163" s="256"/>
    </row>
    <row r="2164" spans="104:111">
      <c r="CZ2164" s="256"/>
      <c r="DG2164" s="256"/>
    </row>
    <row r="2165" spans="104:111">
      <c r="CZ2165" s="256"/>
      <c r="DG2165" s="256"/>
    </row>
    <row r="2166" spans="104:111">
      <c r="CZ2166" s="256"/>
      <c r="DG2166" s="256"/>
    </row>
    <row r="2167" spans="104:111">
      <c r="CZ2167" s="256"/>
      <c r="DG2167" s="256"/>
    </row>
    <row r="2168" spans="104:111">
      <c r="CZ2168" s="256"/>
      <c r="DG2168" s="256"/>
    </row>
    <row r="2169" spans="104:111">
      <c r="CZ2169" s="256"/>
      <c r="DG2169" s="256"/>
    </row>
    <row r="2170" spans="104:111">
      <c r="CZ2170" s="256"/>
      <c r="DG2170" s="256"/>
    </row>
    <row r="2171" spans="104:111">
      <c r="CZ2171" s="256"/>
      <c r="DG2171" s="256"/>
    </row>
    <row r="2172" spans="104:111">
      <c r="CZ2172" s="256"/>
      <c r="DG2172" s="256"/>
    </row>
    <row r="2173" spans="104:111">
      <c r="CZ2173" s="256"/>
      <c r="DG2173" s="256"/>
    </row>
    <row r="2174" spans="104:111">
      <c r="CZ2174" s="256"/>
      <c r="DG2174" s="256"/>
    </row>
    <row r="2175" spans="104:111">
      <c r="CZ2175" s="256"/>
      <c r="DG2175" s="256"/>
    </row>
    <row r="2176" spans="104:111">
      <c r="CZ2176" s="256"/>
      <c r="DG2176" s="256"/>
    </row>
    <row r="2177" spans="104:111">
      <c r="CZ2177" s="256"/>
      <c r="DG2177" s="256"/>
    </row>
    <row r="2178" spans="104:111">
      <c r="CZ2178" s="256"/>
      <c r="DG2178" s="256"/>
    </row>
    <row r="2179" spans="104:111">
      <c r="CZ2179" s="256"/>
      <c r="DG2179" s="256"/>
    </row>
    <row r="2180" spans="104:111">
      <c r="CZ2180" s="256"/>
      <c r="DG2180" s="256"/>
    </row>
    <row r="2181" spans="104:111">
      <c r="CZ2181" s="256"/>
      <c r="DG2181" s="256"/>
    </row>
    <row r="2182" spans="104:111">
      <c r="CZ2182" s="256"/>
      <c r="DG2182" s="256"/>
    </row>
    <row r="2183" spans="104:111">
      <c r="CZ2183" s="256"/>
      <c r="DG2183" s="256"/>
    </row>
    <row r="2184" spans="104:111">
      <c r="CZ2184" s="256"/>
      <c r="DG2184" s="256"/>
    </row>
    <row r="2185" spans="104:111">
      <c r="CZ2185" s="256"/>
      <c r="DG2185" s="256"/>
    </row>
    <row r="2186" spans="104:111">
      <c r="CZ2186" s="256"/>
      <c r="DG2186" s="256"/>
    </row>
    <row r="2187" spans="104:111">
      <c r="CZ2187" s="256"/>
      <c r="DG2187" s="256"/>
    </row>
    <row r="2188" spans="104:111">
      <c r="CZ2188" s="256"/>
      <c r="DG2188" s="256"/>
    </row>
    <row r="2189" spans="104:111">
      <c r="CZ2189" s="256"/>
      <c r="DG2189" s="256"/>
    </row>
    <row r="2190" spans="104:111">
      <c r="CZ2190" s="256"/>
      <c r="DG2190" s="256"/>
    </row>
    <row r="2191" spans="104:111">
      <c r="CZ2191" s="256"/>
      <c r="DG2191" s="256"/>
    </row>
    <row r="2192" spans="104:111">
      <c r="CZ2192" s="256"/>
      <c r="DG2192" s="256"/>
    </row>
    <row r="2193" spans="104:111">
      <c r="CZ2193" s="256"/>
      <c r="DG2193" s="256"/>
    </row>
    <row r="2194" spans="104:111">
      <c r="CZ2194" s="256"/>
      <c r="DG2194" s="256"/>
    </row>
    <row r="2195" spans="104:111">
      <c r="CZ2195" s="256"/>
      <c r="DG2195" s="256"/>
    </row>
    <row r="2196" spans="104:111">
      <c r="CZ2196" s="256"/>
      <c r="DG2196" s="256"/>
    </row>
    <row r="2197" spans="104:111">
      <c r="CZ2197" s="256"/>
      <c r="DG2197" s="256"/>
    </row>
    <row r="2198" spans="104:111">
      <c r="CZ2198" s="256"/>
      <c r="DG2198" s="256"/>
    </row>
    <row r="2199" spans="104:111">
      <c r="CZ2199" s="256"/>
      <c r="DG2199" s="256"/>
    </row>
    <row r="2200" spans="104:111">
      <c r="CZ2200" s="256"/>
      <c r="DG2200" s="256"/>
    </row>
    <row r="2201" spans="104:111">
      <c r="CZ2201" s="256"/>
      <c r="DG2201" s="256"/>
    </row>
    <row r="2202" spans="104:111">
      <c r="CZ2202" s="256"/>
      <c r="DG2202" s="256"/>
    </row>
    <row r="2203" spans="104:111">
      <c r="CZ2203" s="256"/>
      <c r="DG2203" s="256"/>
    </row>
    <row r="2204" spans="104:111">
      <c r="CZ2204" s="256"/>
      <c r="DG2204" s="256"/>
    </row>
    <row r="2205" spans="104:111">
      <c r="CZ2205" s="256"/>
      <c r="DG2205" s="256"/>
    </row>
    <row r="2206" spans="104:111">
      <c r="CZ2206" s="256"/>
      <c r="DG2206" s="256"/>
    </row>
    <row r="2207" spans="104:111">
      <c r="CZ2207" s="256"/>
      <c r="DG2207" s="256"/>
    </row>
    <row r="2208" spans="104:111">
      <c r="CZ2208" s="256"/>
      <c r="DG2208" s="256"/>
    </row>
    <row r="2209" spans="104:111">
      <c r="CZ2209" s="256"/>
      <c r="DG2209" s="256"/>
    </row>
    <row r="2210" spans="104:111">
      <c r="CZ2210" s="256"/>
      <c r="DG2210" s="256"/>
    </row>
    <row r="2211" spans="104:111">
      <c r="CZ2211" s="256"/>
      <c r="DG2211" s="256"/>
    </row>
    <row r="2212" spans="104:111">
      <c r="CZ2212" s="256"/>
      <c r="DG2212" s="256"/>
    </row>
    <row r="2213" spans="104:111">
      <c r="CZ2213" s="256"/>
      <c r="DG2213" s="256"/>
    </row>
    <row r="2214" spans="104:111">
      <c r="CZ2214" s="256"/>
      <c r="DG2214" s="256"/>
    </row>
    <row r="2215" spans="104:111">
      <c r="CZ2215" s="256"/>
      <c r="DG2215" s="256"/>
    </row>
    <row r="2216" spans="104:111">
      <c r="CZ2216" s="256"/>
      <c r="DG2216" s="256"/>
    </row>
    <row r="2217" spans="104:111">
      <c r="CZ2217" s="256"/>
      <c r="DG2217" s="256"/>
    </row>
    <row r="2218" spans="104:111">
      <c r="CZ2218" s="256"/>
      <c r="DG2218" s="256"/>
    </row>
    <row r="2219" spans="104:111">
      <c r="CZ2219" s="256"/>
      <c r="DG2219" s="256"/>
    </row>
    <row r="2220" spans="104:111">
      <c r="CZ2220" s="256"/>
      <c r="DG2220" s="256"/>
    </row>
    <row r="2221" spans="104:111">
      <c r="CZ2221" s="256"/>
      <c r="DG2221" s="256"/>
    </row>
    <row r="2222" spans="104:111">
      <c r="CZ2222" s="256"/>
      <c r="DG2222" s="256"/>
    </row>
    <row r="2223" spans="104:111">
      <c r="CZ2223" s="256"/>
      <c r="DG2223" s="256"/>
    </row>
    <row r="2224" spans="104:111">
      <c r="CZ2224" s="256"/>
      <c r="DG2224" s="256"/>
    </row>
    <row r="2225" spans="104:111">
      <c r="CZ2225" s="256"/>
      <c r="DG2225" s="256"/>
    </row>
    <row r="2226" spans="104:111">
      <c r="CZ2226" s="256"/>
      <c r="DG2226" s="256"/>
    </row>
    <row r="2227" spans="104:111">
      <c r="CZ2227" s="256"/>
      <c r="DG2227" s="256"/>
    </row>
    <row r="2228" spans="104:111">
      <c r="CZ2228" s="256"/>
      <c r="DG2228" s="256"/>
    </row>
    <row r="2229" spans="104:111">
      <c r="CZ2229" s="256"/>
      <c r="DG2229" s="256"/>
    </row>
    <row r="2230" spans="104:111">
      <c r="CZ2230" s="256"/>
      <c r="DG2230" s="256"/>
    </row>
    <row r="2231" spans="104:111">
      <c r="CZ2231" s="256"/>
      <c r="DG2231" s="256"/>
    </row>
    <row r="2232" spans="104:111">
      <c r="CZ2232" s="256"/>
      <c r="DG2232" s="256"/>
    </row>
    <row r="2233" spans="104:111">
      <c r="CZ2233" s="256"/>
      <c r="DG2233" s="256"/>
    </row>
    <row r="2234" spans="104:111">
      <c r="CZ2234" s="256"/>
      <c r="DG2234" s="256"/>
    </row>
    <row r="2235" spans="104:111">
      <c r="CZ2235" s="256"/>
      <c r="DG2235" s="256"/>
    </row>
    <row r="2236" spans="104:111">
      <c r="CZ2236" s="256"/>
      <c r="DG2236" s="256"/>
    </row>
    <row r="2237" spans="104:111">
      <c r="CZ2237" s="256"/>
      <c r="DG2237" s="256"/>
    </row>
    <row r="2238" spans="104:111">
      <c r="CZ2238" s="256"/>
      <c r="DG2238" s="256"/>
    </row>
    <row r="2239" spans="104:111">
      <c r="CZ2239" s="256"/>
      <c r="DG2239" s="256"/>
    </row>
    <row r="2240" spans="104:111">
      <c r="CZ2240" s="256"/>
      <c r="DG2240" s="256"/>
    </row>
    <row r="2241" spans="104:111">
      <c r="CZ2241" s="256"/>
      <c r="DG2241" s="256"/>
    </row>
    <row r="2242" spans="104:111">
      <c r="CZ2242" s="256"/>
      <c r="DG2242" s="256"/>
    </row>
    <row r="2243" spans="104:111">
      <c r="CZ2243" s="256"/>
      <c r="DG2243" s="256"/>
    </row>
    <row r="2244" spans="104:111">
      <c r="CZ2244" s="256"/>
      <c r="DG2244" s="256"/>
    </row>
    <row r="2245" spans="104:111">
      <c r="CZ2245" s="256"/>
      <c r="DG2245" s="256"/>
    </row>
    <row r="2246" spans="104:111">
      <c r="CZ2246" s="256"/>
      <c r="DG2246" s="256"/>
    </row>
    <row r="2247" spans="104:111">
      <c r="CZ2247" s="256"/>
      <c r="DG2247" s="256"/>
    </row>
    <row r="2248" spans="104:111">
      <c r="CZ2248" s="256"/>
      <c r="DG2248" s="256"/>
    </row>
    <row r="2249" spans="104:111">
      <c r="CZ2249" s="256"/>
      <c r="DG2249" s="256"/>
    </row>
    <row r="2250" spans="104:111">
      <c r="CZ2250" s="256"/>
      <c r="DG2250" s="256"/>
    </row>
    <row r="2251" spans="104:111">
      <c r="CZ2251" s="256"/>
      <c r="DG2251" s="256"/>
    </row>
    <row r="2252" spans="104:111">
      <c r="CZ2252" s="256"/>
      <c r="DG2252" s="256"/>
    </row>
    <row r="2253" spans="104:111">
      <c r="CZ2253" s="256"/>
      <c r="DG2253" s="256"/>
    </row>
    <row r="2254" spans="104:111">
      <c r="CZ2254" s="256"/>
      <c r="DG2254" s="256"/>
    </row>
    <row r="2255" spans="104:111">
      <c r="CZ2255" s="256"/>
      <c r="DG2255" s="256"/>
    </row>
    <row r="2256" spans="104:111">
      <c r="CZ2256" s="256"/>
      <c r="DG2256" s="256"/>
    </row>
    <row r="2257" spans="104:111">
      <c r="CZ2257" s="256"/>
      <c r="DG2257" s="256"/>
    </row>
    <row r="2258" spans="104:111">
      <c r="CZ2258" s="256"/>
      <c r="DG2258" s="256"/>
    </row>
    <row r="2259" spans="104:111">
      <c r="CZ2259" s="256"/>
      <c r="DG2259" s="256"/>
    </row>
    <row r="2260" spans="104:111">
      <c r="CZ2260" s="256"/>
      <c r="DG2260" s="256"/>
    </row>
    <row r="2261" spans="104:111">
      <c r="CZ2261" s="256"/>
      <c r="DG2261" s="256"/>
    </row>
    <row r="2262" spans="104:111">
      <c r="CZ2262" s="256"/>
      <c r="DG2262" s="256"/>
    </row>
    <row r="2263" spans="104:111">
      <c r="CZ2263" s="256"/>
      <c r="DG2263" s="256"/>
    </row>
    <row r="2264" spans="104:111">
      <c r="CZ2264" s="256"/>
      <c r="DG2264" s="256"/>
    </row>
    <row r="2265" spans="104:111">
      <c r="CZ2265" s="256"/>
      <c r="DG2265" s="256"/>
    </row>
    <row r="2266" spans="104:111">
      <c r="CZ2266" s="256"/>
      <c r="DG2266" s="256"/>
    </row>
    <row r="2267" spans="104:111">
      <c r="CZ2267" s="256"/>
      <c r="DG2267" s="256"/>
    </row>
    <row r="2268" spans="104:111">
      <c r="CZ2268" s="256"/>
      <c r="DG2268" s="256"/>
    </row>
    <row r="2269" spans="104:111">
      <c r="CZ2269" s="256"/>
      <c r="DG2269" s="256"/>
    </row>
    <row r="2270" spans="104:111">
      <c r="CZ2270" s="256"/>
      <c r="DG2270" s="256"/>
    </row>
    <row r="2271" spans="104:111">
      <c r="CZ2271" s="256"/>
      <c r="DG2271" s="256"/>
    </row>
    <row r="2272" spans="104:111">
      <c r="CZ2272" s="256"/>
      <c r="DG2272" s="256"/>
    </row>
    <row r="2273" spans="104:111">
      <c r="CZ2273" s="256"/>
      <c r="DG2273" s="256"/>
    </row>
    <row r="2274" spans="104:111">
      <c r="CZ2274" s="256"/>
      <c r="DG2274" s="256"/>
    </row>
    <row r="2275" spans="104:111">
      <c r="CZ2275" s="256"/>
      <c r="DG2275" s="256"/>
    </row>
    <row r="2276" spans="104:111">
      <c r="CZ2276" s="256"/>
      <c r="DG2276" s="256"/>
    </row>
    <row r="2277" spans="104:111">
      <c r="CZ2277" s="256"/>
      <c r="DG2277" s="256"/>
    </row>
    <row r="2278" spans="104:111">
      <c r="CZ2278" s="256"/>
      <c r="DG2278" s="256"/>
    </row>
    <row r="2279" spans="104:111">
      <c r="CZ2279" s="256"/>
      <c r="DG2279" s="256"/>
    </row>
    <row r="2280" spans="104:111">
      <c r="CZ2280" s="256"/>
      <c r="DG2280" s="256"/>
    </row>
    <row r="2281" spans="104:111">
      <c r="CZ2281" s="256"/>
      <c r="DG2281" s="256"/>
    </row>
    <row r="2282" spans="104:111">
      <c r="CZ2282" s="256"/>
      <c r="DG2282" s="256"/>
    </row>
    <row r="2283" spans="104:111">
      <c r="CZ2283" s="256"/>
      <c r="DG2283" s="256"/>
    </row>
    <row r="2284" spans="104:111">
      <c r="CZ2284" s="256"/>
      <c r="DG2284" s="256"/>
    </row>
    <row r="2285" spans="104:111">
      <c r="CZ2285" s="256"/>
      <c r="DG2285" s="256"/>
    </row>
    <row r="2286" spans="104:111">
      <c r="CZ2286" s="256"/>
      <c r="DG2286" s="256"/>
    </row>
    <row r="2287" spans="104:111">
      <c r="CZ2287" s="256"/>
      <c r="DG2287" s="256"/>
    </row>
    <row r="2288" spans="104:111">
      <c r="CZ2288" s="256"/>
      <c r="DG2288" s="256"/>
    </row>
    <row r="2289" spans="104:111">
      <c r="CZ2289" s="256"/>
      <c r="DG2289" s="256"/>
    </row>
    <row r="2290" spans="104:111">
      <c r="CZ2290" s="256"/>
      <c r="DG2290" s="256"/>
    </row>
    <row r="2291" spans="104:111">
      <c r="CZ2291" s="256"/>
      <c r="DG2291" s="256"/>
    </row>
    <row r="2292" spans="104:111">
      <c r="CZ2292" s="256"/>
      <c r="DG2292" s="256"/>
    </row>
    <row r="2293" spans="104:111">
      <c r="CZ2293" s="256"/>
      <c r="DG2293" s="256"/>
    </row>
    <row r="2294" spans="104:111">
      <c r="CZ2294" s="256"/>
      <c r="DG2294" s="256"/>
    </row>
    <row r="2295" spans="104:111">
      <c r="CZ2295" s="256"/>
      <c r="DG2295" s="256"/>
    </row>
    <row r="2296" spans="104:111">
      <c r="CZ2296" s="256"/>
      <c r="DG2296" s="256"/>
    </row>
    <row r="2297" spans="104:111">
      <c r="CZ2297" s="256"/>
      <c r="DG2297" s="256"/>
    </row>
    <row r="2298" spans="104:111">
      <c r="CZ2298" s="256"/>
      <c r="DG2298" s="256"/>
    </row>
    <row r="2299" spans="104:111">
      <c r="CZ2299" s="256"/>
      <c r="DG2299" s="256"/>
    </row>
    <row r="2300" spans="104:111">
      <c r="CZ2300" s="256"/>
      <c r="DG2300" s="256"/>
    </row>
    <row r="2301" spans="104:111">
      <c r="CZ2301" s="256"/>
      <c r="DG2301" s="256"/>
    </row>
    <row r="2302" spans="104:111">
      <c r="CZ2302" s="256"/>
      <c r="DG2302" s="256"/>
    </row>
    <row r="2303" spans="104:111">
      <c r="CZ2303" s="256"/>
      <c r="DG2303" s="256"/>
    </row>
    <row r="2304" spans="104:111">
      <c r="CZ2304" s="256"/>
      <c r="DG2304" s="256"/>
    </row>
    <row r="2305" spans="104:111">
      <c r="CZ2305" s="256"/>
      <c r="DG2305" s="256"/>
    </row>
    <row r="2306" spans="104:111">
      <c r="CZ2306" s="256"/>
      <c r="DG2306" s="256"/>
    </row>
    <row r="2307" spans="104:111">
      <c r="CZ2307" s="256"/>
      <c r="DG2307" s="256"/>
    </row>
    <row r="2308" spans="104:111">
      <c r="CZ2308" s="256"/>
      <c r="DG2308" s="256"/>
    </row>
    <row r="2309" spans="104:111">
      <c r="CZ2309" s="256"/>
      <c r="DG2309" s="256"/>
    </row>
    <row r="2310" spans="104:111">
      <c r="CZ2310" s="256"/>
      <c r="DG2310" s="256"/>
    </row>
    <row r="2311" spans="104:111">
      <c r="CZ2311" s="256"/>
      <c r="DG2311" s="256"/>
    </row>
    <row r="2312" spans="104:111">
      <c r="CZ2312" s="256"/>
      <c r="DG2312" s="256"/>
    </row>
    <row r="2313" spans="104:111">
      <c r="CZ2313" s="256"/>
      <c r="DG2313" s="256"/>
    </row>
    <row r="2314" spans="104:111">
      <c r="CZ2314" s="256"/>
      <c r="DG2314" s="256"/>
    </row>
    <row r="2315" spans="104:111">
      <c r="CZ2315" s="256"/>
      <c r="DG2315" s="256"/>
    </row>
    <row r="2316" spans="104:111">
      <c r="CZ2316" s="256"/>
      <c r="DG2316" s="256"/>
    </row>
    <row r="2317" spans="104:111">
      <c r="CZ2317" s="256"/>
      <c r="DG2317" s="256"/>
    </row>
    <row r="2318" spans="104:111">
      <c r="CZ2318" s="256"/>
      <c r="DG2318" s="256"/>
    </row>
    <row r="2319" spans="104:111">
      <c r="CZ2319" s="256"/>
      <c r="DG2319" s="256"/>
    </row>
    <row r="2320" spans="104:111">
      <c r="CZ2320" s="256"/>
      <c r="DG2320" s="256"/>
    </row>
    <row r="2321" spans="104:111">
      <c r="CZ2321" s="256"/>
      <c r="DG2321" s="256"/>
    </row>
    <row r="2322" spans="104:111">
      <c r="CZ2322" s="256"/>
      <c r="DG2322" s="256"/>
    </row>
    <row r="2323" spans="104:111">
      <c r="CZ2323" s="256"/>
      <c r="DG2323" s="256"/>
    </row>
    <row r="2324" spans="104:111">
      <c r="CZ2324" s="256"/>
      <c r="DG2324" s="256"/>
    </row>
    <row r="2325" spans="104:111">
      <c r="CZ2325" s="256"/>
      <c r="DG2325" s="256"/>
    </row>
    <row r="2326" spans="104:111">
      <c r="CZ2326" s="256"/>
      <c r="DG2326" s="256"/>
    </row>
    <row r="2327" spans="104:111">
      <c r="CZ2327" s="256"/>
      <c r="DG2327" s="256"/>
    </row>
    <row r="2328" spans="104:111">
      <c r="CZ2328" s="256"/>
      <c r="DG2328" s="256"/>
    </row>
    <row r="2329" spans="104:111">
      <c r="CZ2329" s="256"/>
      <c r="DG2329" s="256"/>
    </row>
    <row r="2330" spans="104:111">
      <c r="CZ2330" s="256"/>
      <c r="DG2330" s="256"/>
    </row>
    <row r="2331" spans="104:111">
      <c r="CZ2331" s="256"/>
      <c r="DG2331" s="256"/>
    </row>
    <row r="2332" spans="104:111">
      <c r="CZ2332" s="256"/>
      <c r="DG2332" s="256"/>
    </row>
    <row r="2333" spans="104:111">
      <c r="CZ2333" s="256"/>
      <c r="DG2333" s="256"/>
    </row>
    <row r="2334" spans="104:111">
      <c r="CZ2334" s="256"/>
      <c r="DG2334" s="256"/>
    </row>
    <row r="2335" spans="104:111">
      <c r="CZ2335" s="256"/>
      <c r="DG2335" s="256"/>
    </row>
    <row r="2336" spans="104:111">
      <c r="CZ2336" s="256"/>
      <c r="DG2336" s="256"/>
    </row>
    <row r="2337" spans="104:111">
      <c r="CZ2337" s="256"/>
      <c r="DG2337" s="256"/>
    </row>
    <row r="2338" spans="104:111">
      <c r="CZ2338" s="256"/>
      <c r="DG2338" s="256"/>
    </row>
    <row r="2339" spans="104:111">
      <c r="CZ2339" s="256"/>
      <c r="DG2339" s="256"/>
    </row>
    <row r="2340" spans="104:111">
      <c r="CZ2340" s="256"/>
      <c r="DG2340" s="256"/>
    </row>
    <row r="2341" spans="104:111">
      <c r="CZ2341" s="256"/>
      <c r="DG2341" s="256"/>
    </row>
    <row r="2342" spans="104:111">
      <c r="CZ2342" s="256"/>
      <c r="DG2342" s="256"/>
    </row>
    <row r="2343" spans="104:111">
      <c r="CZ2343" s="256"/>
      <c r="DG2343" s="256"/>
    </row>
    <row r="2344" spans="104:111">
      <c r="CZ2344" s="256"/>
      <c r="DG2344" s="256"/>
    </row>
    <row r="2345" spans="104:111">
      <c r="CZ2345" s="256"/>
      <c r="DG2345" s="256"/>
    </row>
    <row r="2346" spans="104:111">
      <c r="CZ2346" s="256"/>
      <c r="DG2346" s="256"/>
    </row>
    <row r="2347" spans="104:111">
      <c r="CZ2347" s="256"/>
      <c r="DG2347" s="256"/>
    </row>
    <row r="2348" spans="104:111">
      <c r="CZ2348" s="256"/>
      <c r="DG2348" s="256"/>
    </row>
    <row r="2349" spans="104:111">
      <c r="CZ2349" s="256"/>
      <c r="DG2349" s="256"/>
    </row>
    <row r="2350" spans="104:111">
      <c r="CZ2350" s="256"/>
      <c r="DG2350" s="256"/>
    </row>
    <row r="2351" spans="104:111">
      <c r="CZ2351" s="256"/>
      <c r="DG2351" s="256"/>
    </row>
    <row r="2352" spans="104:111">
      <c r="CZ2352" s="256"/>
      <c r="DG2352" s="256"/>
    </row>
    <row r="2353" spans="104:111">
      <c r="CZ2353" s="256"/>
      <c r="DG2353" s="256"/>
    </row>
    <row r="2354" spans="104:111">
      <c r="CZ2354" s="256"/>
      <c r="DG2354" s="256"/>
    </row>
    <row r="2355" spans="104:111">
      <c r="CZ2355" s="256"/>
      <c r="DG2355" s="256"/>
    </row>
    <row r="2356" spans="104:111">
      <c r="CZ2356" s="256"/>
      <c r="DG2356" s="256"/>
    </row>
    <row r="2357" spans="104:111">
      <c r="CZ2357" s="256"/>
      <c r="DG2357" s="256"/>
    </row>
    <row r="2358" spans="104:111">
      <c r="CZ2358" s="256"/>
      <c r="DG2358" s="256"/>
    </row>
    <row r="2359" spans="104:111">
      <c r="CZ2359" s="256"/>
      <c r="DG2359" s="256"/>
    </row>
    <row r="2360" spans="104:111">
      <c r="CZ2360" s="256"/>
      <c r="DG2360" s="256"/>
    </row>
    <row r="2361" spans="104:111">
      <c r="CZ2361" s="256"/>
      <c r="DG2361" s="256"/>
    </row>
    <row r="2362" spans="104:111">
      <c r="CZ2362" s="256"/>
      <c r="DG2362" s="256"/>
    </row>
    <row r="2363" spans="104:111">
      <c r="CZ2363" s="256"/>
      <c r="DG2363" s="256"/>
    </row>
    <row r="2364" spans="104:111">
      <c r="CZ2364" s="256"/>
      <c r="DG2364" s="256"/>
    </row>
    <row r="2365" spans="104:111">
      <c r="CZ2365" s="256"/>
      <c r="DG2365" s="256"/>
    </row>
    <row r="2366" spans="104:111">
      <c r="CZ2366" s="256"/>
      <c r="DG2366" s="256"/>
    </row>
    <row r="2367" spans="104:111">
      <c r="CZ2367" s="256"/>
      <c r="DG2367" s="256"/>
    </row>
    <row r="2368" spans="104:111">
      <c r="CZ2368" s="256"/>
      <c r="DG2368" s="256"/>
    </row>
    <row r="2369" spans="104:111">
      <c r="CZ2369" s="256"/>
      <c r="DG2369" s="256"/>
    </row>
    <row r="2370" spans="104:111">
      <c r="CZ2370" s="256"/>
      <c r="DG2370" s="256"/>
    </row>
    <row r="2371" spans="104:111">
      <c r="CZ2371" s="256"/>
      <c r="DG2371" s="256"/>
    </row>
    <row r="2372" spans="104:111">
      <c r="CZ2372" s="256"/>
      <c r="DG2372" s="256"/>
    </row>
    <row r="2373" spans="104:111">
      <c r="CZ2373" s="256"/>
      <c r="DG2373" s="256"/>
    </row>
    <row r="2374" spans="104:111">
      <c r="CZ2374" s="256"/>
      <c r="DG2374" s="256"/>
    </row>
    <row r="2375" spans="104:111">
      <c r="CZ2375" s="256"/>
      <c r="DG2375" s="256"/>
    </row>
    <row r="2376" spans="104:111">
      <c r="CZ2376" s="256"/>
      <c r="DG2376" s="256"/>
    </row>
    <row r="2377" spans="104:111">
      <c r="CZ2377" s="256"/>
      <c r="DG2377" s="256"/>
    </row>
    <row r="2378" spans="104:111">
      <c r="CZ2378" s="256"/>
      <c r="DG2378" s="256"/>
    </row>
    <row r="2379" spans="104:111">
      <c r="CZ2379" s="256"/>
      <c r="DG2379" s="256"/>
    </row>
    <row r="2380" spans="104:111">
      <c r="CZ2380" s="256"/>
      <c r="DG2380" s="256"/>
    </row>
    <row r="2381" spans="104:111">
      <c r="CZ2381" s="256"/>
      <c r="DG2381" s="256"/>
    </row>
    <row r="2382" spans="104:111">
      <c r="CZ2382" s="256"/>
      <c r="DG2382" s="256"/>
    </row>
    <row r="2383" spans="104:111">
      <c r="CZ2383" s="256"/>
      <c r="DG2383" s="256"/>
    </row>
    <row r="2384" spans="104:111">
      <c r="CZ2384" s="256"/>
      <c r="DG2384" s="256"/>
    </row>
    <row r="2385" spans="104:111">
      <c r="CZ2385" s="256"/>
      <c r="DG2385" s="256"/>
    </row>
    <row r="2386" spans="104:111">
      <c r="CZ2386" s="256"/>
      <c r="DG2386" s="256"/>
    </row>
    <row r="2387" spans="104:111">
      <c r="CZ2387" s="256"/>
      <c r="DG2387" s="256"/>
    </row>
    <row r="2388" spans="104:111">
      <c r="CZ2388" s="256"/>
      <c r="DG2388" s="256"/>
    </row>
    <row r="2389" spans="104:111">
      <c r="CZ2389" s="256"/>
      <c r="DG2389" s="256"/>
    </row>
    <row r="2390" spans="104:111">
      <c r="CZ2390" s="256"/>
      <c r="DG2390" s="256"/>
    </row>
    <row r="2391" spans="104:111">
      <c r="CZ2391" s="256"/>
      <c r="DG2391" s="256"/>
    </row>
    <row r="2392" spans="104:111">
      <c r="CZ2392" s="256"/>
      <c r="DG2392" s="256"/>
    </row>
    <row r="2393" spans="104:111">
      <c r="CZ2393" s="256"/>
      <c r="DG2393" s="256"/>
    </row>
    <row r="2394" spans="104:111">
      <c r="CZ2394" s="256"/>
      <c r="DG2394" s="256"/>
    </row>
    <row r="2395" spans="104:111">
      <c r="CZ2395" s="256"/>
      <c r="DG2395" s="256"/>
    </row>
    <row r="2396" spans="104:111">
      <c r="CZ2396" s="256"/>
      <c r="DG2396" s="256"/>
    </row>
    <row r="2397" spans="104:111">
      <c r="CZ2397" s="256"/>
      <c r="DG2397" s="256"/>
    </row>
    <row r="2398" spans="104:111">
      <c r="CZ2398" s="256"/>
      <c r="DG2398" s="256"/>
    </row>
    <row r="2399" spans="104:111">
      <c r="CZ2399" s="256"/>
      <c r="DG2399" s="256"/>
    </row>
    <row r="2400" spans="104:111">
      <c r="CZ2400" s="256"/>
      <c r="DG2400" s="256"/>
    </row>
    <row r="2401" spans="104:111">
      <c r="CZ2401" s="256"/>
      <c r="DG2401" s="256"/>
    </row>
    <row r="2402" spans="104:111">
      <c r="CZ2402" s="256"/>
      <c r="DG2402" s="256"/>
    </row>
    <row r="2403" spans="104:111">
      <c r="CZ2403" s="256"/>
      <c r="DG2403" s="256"/>
    </row>
    <row r="2404" spans="104:111">
      <c r="CZ2404" s="256"/>
      <c r="DG2404" s="256"/>
    </row>
    <row r="2405" spans="104:111">
      <c r="CZ2405" s="256"/>
      <c r="DG2405" s="256"/>
    </row>
    <row r="2406" spans="104:111">
      <c r="CZ2406" s="256"/>
      <c r="DG2406" s="256"/>
    </row>
    <row r="2407" spans="104:111">
      <c r="CZ2407" s="256"/>
      <c r="DG2407" s="256"/>
    </row>
    <row r="2408" spans="104:111">
      <c r="CZ2408" s="256"/>
      <c r="DG2408" s="256"/>
    </row>
    <row r="2409" spans="104:111">
      <c r="CZ2409" s="256"/>
      <c r="DG2409" s="256"/>
    </row>
    <row r="2410" spans="104:111">
      <c r="CZ2410" s="256"/>
      <c r="DG2410" s="256"/>
    </row>
    <row r="2411" spans="104:111">
      <c r="CZ2411" s="256"/>
      <c r="DG2411" s="256"/>
    </row>
    <row r="2412" spans="104:111">
      <c r="CZ2412" s="256"/>
      <c r="DG2412" s="256"/>
    </row>
    <row r="2413" spans="104:111">
      <c r="CZ2413" s="256"/>
      <c r="DG2413" s="256"/>
    </row>
    <row r="2414" spans="104:111">
      <c r="CZ2414" s="256"/>
      <c r="DG2414" s="256"/>
    </row>
    <row r="2415" spans="104:111">
      <c r="CZ2415" s="256"/>
      <c r="DG2415" s="256"/>
    </row>
    <row r="2416" spans="104:111">
      <c r="CZ2416" s="256"/>
      <c r="DG2416" s="256"/>
    </row>
    <row r="2417" spans="104:111">
      <c r="CZ2417" s="256"/>
      <c r="DG2417" s="256"/>
    </row>
    <row r="2418" spans="104:111">
      <c r="CZ2418" s="256"/>
      <c r="DG2418" s="256"/>
    </row>
    <row r="2419" spans="104:111">
      <c r="CZ2419" s="256"/>
      <c r="DG2419" s="256"/>
    </row>
    <row r="2420" spans="104:111">
      <c r="CZ2420" s="256"/>
      <c r="DG2420" s="256"/>
    </row>
    <row r="2421" spans="104:111">
      <c r="CZ2421" s="256"/>
      <c r="DG2421" s="256"/>
    </row>
    <row r="2422" spans="104:111">
      <c r="CZ2422" s="256"/>
      <c r="DG2422" s="256"/>
    </row>
    <row r="2423" spans="104:111">
      <c r="CZ2423" s="256"/>
      <c r="DG2423" s="256"/>
    </row>
    <row r="2424" spans="104:111">
      <c r="CZ2424" s="256"/>
      <c r="DG2424" s="256"/>
    </row>
    <row r="2425" spans="104:111">
      <c r="CZ2425" s="256"/>
      <c r="DG2425" s="256"/>
    </row>
    <row r="2426" spans="104:111">
      <c r="CZ2426" s="256"/>
      <c r="DG2426" s="256"/>
    </row>
    <row r="2427" spans="104:111">
      <c r="CZ2427" s="256"/>
      <c r="DG2427" s="256"/>
    </row>
    <row r="2428" spans="104:111">
      <c r="CZ2428" s="256"/>
      <c r="DG2428" s="256"/>
    </row>
    <row r="2429" spans="104:111">
      <c r="CZ2429" s="256"/>
      <c r="DG2429" s="256"/>
    </row>
    <row r="2430" spans="104:111">
      <c r="CZ2430" s="256"/>
      <c r="DG2430" s="256"/>
    </row>
    <row r="2431" spans="104:111">
      <c r="CZ2431" s="256"/>
      <c r="DG2431" s="256"/>
    </row>
    <row r="2432" spans="104:111">
      <c r="CZ2432" s="256"/>
      <c r="DG2432" s="256"/>
    </row>
    <row r="2433" spans="104:111">
      <c r="CZ2433" s="256"/>
      <c r="DG2433" s="256"/>
    </row>
    <row r="2434" spans="104:111">
      <c r="CZ2434" s="256"/>
      <c r="DG2434" s="256"/>
    </row>
    <row r="2435" spans="104:111">
      <c r="CZ2435" s="256"/>
      <c r="DG2435" s="256"/>
    </row>
    <row r="2436" spans="104:111">
      <c r="CZ2436" s="256"/>
      <c r="DG2436" s="256"/>
    </row>
    <row r="2437" spans="104:111">
      <c r="CZ2437" s="256"/>
      <c r="DG2437" s="256"/>
    </row>
    <row r="2438" spans="104:111">
      <c r="CZ2438" s="256"/>
      <c r="DG2438" s="256"/>
    </row>
    <row r="2439" spans="104:111">
      <c r="CZ2439" s="256"/>
      <c r="DG2439" s="256"/>
    </row>
    <row r="2440" spans="104:111">
      <c r="CZ2440" s="256"/>
      <c r="DG2440" s="256"/>
    </row>
    <row r="2441" spans="104:111">
      <c r="CZ2441" s="256"/>
      <c r="DG2441" s="256"/>
    </row>
    <row r="2442" spans="104:111">
      <c r="CZ2442" s="256"/>
      <c r="DG2442" s="256"/>
    </row>
    <row r="2443" spans="104:111">
      <c r="CZ2443" s="256"/>
      <c r="DG2443" s="256"/>
    </row>
    <row r="2444" spans="104:111">
      <c r="CZ2444" s="256"/>
      <c r="DG2444" s="256"/>
    </row>
    <row r="2445" spans="104:111">
      <c r="CZ2445" s="256"/>
      <c r="DG2445" s="256"/>
    </row>
    <row r="2446" spans="104:111">
      <c r="CZ2446" s="256"/>
      <c r="DG2446" s="256"/>
    </row>
    <row r="2447" spans="104:111">
      <c r="CZ2447" s="256"/>
      <c r="DG2447" s="256"/>
    </row>
    <row r="2448" spans="104:111">
      <c r="CZ2448" s="256"/>
      <c r="DG2448" s="256"/>
    </row>
    <row r="2449" spans="104:111">
      <c r="CZ2449" s="256"/>
      <c r="DG2449" s="256"/>
    </row>
    <row r="2450" spans="104:111">
      <c r="CZ2450" s="256"/>
      <c r="DG2450" s="256"/>
    </row>
    <row r="2451" spans="104:111">
      <c r="CZ2451" s="256"/>
      <c r="DG2451" s="256"/>
    </row>
    <row r="2452" spans="104:111">
      <c r="CZ2452" s="256"/>
      <c r="DG2452" s="256"/>
    </row>
    <row r="2453" spans="104:111">
      <c r="CZ2453" s="256"/>
      <c r="DG2453" s="256"/>
    </row>
    <row r="2454" spans="104:111">
      <c r="CZ2454" s="256"/>
      <c r="DG2454" s="256"/>
    </row>
    <row r="2455" spans="104:111">
      <c r="CZ2455" s="256"/>
      <c r="DG2455" s="256"/>
    </row>
    <row r="2456" spans="104:111">
      <c r="CZ2456" s="256"/>
      <c r="DG2456" s="256"/>
    </row>
    <row r="2457" spans="104:111">
      <c r="CZ2457" s="256"/>
      <c r="DG2457" s="256"/>
    </row>
    <row r="2458" spans="104:111">
      <c r="CZ2458" s="256"/>
      <c r="DG2458" s="256"/>
    </row>
    <row r="2459" spans="104:111">
      <c r="CZ2459" s="256"/>
      <c r="DG2459" s="256"/>
    </row>
    <row r="2460" spans="104:111">
      <c r="CZ2460" s="256"/>
      <c r="DG2460" s="256"/>
    </row>
    <row r="2461" spans="104:111">
      <c r="CZ2461" s="256"/>
      <c r="DG2461" s="256"/>
    </row>
    <row r="2462" spans="104:111">
      <c r="CZ2462" s="256"/>
      <c r="DG2462" s="256"/>
    </row>
    <row r="2463" spans="104:111">
      <c r="CZ2463" s="256"/>
      <c r="DG2463" s="256"/>
    </row>
    <row r="2464" spans="104:111">
      <c r="CZ2464" s="256"/>
      <c r="DG2464" s="256"/>
    </row>
    <row r="2465" spans="104:111">
      <c r="CZ2465" s="256"/>
      <c r="DG2465" s="256"/>
    </row>
    <row r="2466" spans="104:111">
      <c r="CZ2466" s="256"/>
      <c r="DG2466" s="256"/>
    </row>
    <row r="2467" spans="104:111">
      <c r="CZ2467" s="256"/>
      <c r="DG2467" s="256"/>
    </row>
    <row r="2468" spans="104:111">
      <c r="CZ2468" s="256"/>
      <c r="DG2468" s="256"/>
    </row>
    <row r="2469" spans="104:111">
      <c r="CZ2469" s="256"/>
      <c r="DG2469" s="256"/>
    </row>
    <row r="2470" spans="104:111">
      <c r="CZ2470" s="256"/>
      <c r="DG2470" s="256"/>
    </row>
    <row r="2471" spans="104:111">
      <c r="CZ2471" s="256"/>
      <c r="DG2471" s="256"/>
    </row>
    <row r="2472" spans="104:111">
      <c r="CZ2472" s="256"/>
      <c r="DG2472" s="256"/>
    </row>
    <row r="2473" spans="104:111">
      <c r="CZ2473" s="256"/>
      <c r="DG2473" s="256"/>
    </row>
    <row r="2474" spans="104:111">
      <c r="CZ2474" s="256"/>
      <c r="DG2474" s="256"/>
    </row>
    <row r="2475" spans="104:111">
      <c r="CZ2475" s="256"/>
      <c r="DG2475" s="256"/>
    </row>
    <row r="2476" spans="104:111">
      <c r="CZ2476" s="256"/>
      <c r="DG2476" s="256"/>
    </row>
    <row r="2477" spans="104:111">
      <c r="CZ2477" s="256"/>
      <c r="DG2477" s="256"/>
    </row>
    <row r="2478" spans="104:111">
      <c r="CZ2478" s="256"/>
      <c r="DG2478" s="256"/>
    </row>
    <row r="2479" spans="104:111">
      <c r="CZ2479" s="256"/>
      <c r="DG2479" s="256"/>
    </row>
    <row r="2480" spans="104:111">
      <c r="CZ2480" s="256"/>
      <c r="DG2480" s="256"/>
    </row>
    <row r="2481" spans="104:111">
      <c r="CZ2481" s="256"/>
      <c r="DG2481" s="256"/>
    </row>
    <row r="2482" spans="104:111">
      <c r="CZ2482" s="256"/>
      <c r="DG2482" s="256"/>
    </row>
    <row r="2483" spans="104:111">
      <c r="CZ2483" s="256"/>
      <c r="DG2483" s="256"/>
    </row>
    <row r="2484" spans="104:111">
      <c r="CZ2484" s="256"/>
      <c r="DG2484" s="256"/>
    </row>
    <row r="2485" spans="104:111">
      <c r="CZ2485" s="256"/>
      <c r="DG2485" s="256"/>
    </row>
    <row r="2486" spans="104:111">
      <c r="CZ2486" s="256"/>
      <c r="DG2486" s="256"/>
    </row>
    <row r="2487" spans="104:111">
      <c r="CZ2487" s="256"/>
      <c r="DG2487" s="256"/>
    </row>
    <row r="2488" spans="104:111">
      <c r="CZ2488" s="256"/>
      <c r="DG2488" s="256"/>
    </row>
    <row r="2489" spans="104:111">
      <c r="CZ2489" s="256"/>
      <c r="DG2489" s="256"/>
    </row>
    <row r="2490" spans="104:111">
      <c r="CZ2490" s="256"/>
      <c r="DG2490" s="256"/>
    </row>
    <row r="2491" spans="104:111">
      <c r="CZ2491" s="256"/>
      <c r="DG2491" s="256"/>
    </row>
    <row r="2492" spans="104:111">
      <c r="CZ2492" s="256"/>
      <c r="DG2492" s="256"/>
    </row>
    <row r="2493" spans="104:111">
      <c r="CZ2493" s="256"/>
      <c r="DG2493" s="256"/>
    </row>
    <row r="2494" spans="104:111">
      <c r="CZ2494" s="256"/>
      <c r="DG2494" s="256"/>
    </row>
    <row r="2495" spans="104:111">
      <c r="CZ2495" s="256"/>
      <c r="DG2495" s="256"/>
    </row>
    <row r="2496" spans="104:111">
      <c r="CZ2496" s="256"/>
      <c r="DG2496" s="256"/>
    </row>
    <row r="2497" spans="104:111">
      <c r="CZ2497" s="256"/>
      <c r="DG2497" s="256"/>
    </row>
    <row r="2498" spans="104:111">
      <c r="CZ2498" s="256"/>
      <c r="DG2498" s="256"/>
    </row>
    <row r="2499" spans="104:111">
      <c r="CZ2499" s="256"/>
      <c r="DG2499" s="256"/>
    </row>
    <row r="2500" spans="104:111">
      <c r="CZ2500" s="256"/>
      <c r="DG2500" s="256"/>
    </row>
    <row r="2501" spans="104:111">
      <c r="CZ2501" s="256"/>
      <c r="DG2501" s="256"/>
    </row>
    <row r="2502" spans="104:111">
      <c r="CZ2502" s="256"/>
      <c r="DG2502" s="256"/>
    </row>
    <row r="2503" spans="104:111">
      <c r="CZ2503" s="256"/>
      <c r="DG2503" s="256"/>
    </row>
    <row r="2504" spans="104:111">
      <c r="CZ2504" s="256"/>
      <c r="DG2504" s="256"/>
    </row>
    <row r="2505" spans="104:111">
      <c r="CZ2505" s="256"/>
      <c r="DG2505" s="256"/>
    </row>
    <row r="2506" spans="104:111">
      <c r="CZ2506" s="256"/>
      <c r="DG2506" s="256"/>
    </row>
    <row r="2507" spans="104:111">
      <c r="CZ2507" s="256"/>
      <c r="DG2507" s="256"/>
    </row>
    <row r="2508" spans="104:111">
      <c r="CZ2508" s="256"/>
      <c r="DG2508" s="256"/>
    </row>
    <row r="2509" spans="104:111">
      <c r="CZ2509" s="256"/>
      <c r="DG2509" s="256"/>
    </row>
    <row r="2510" spans="104:111">
      <c r="CZ2510" s="256"/>
      <c r="DG2510" s="256"/>
    </row>
    <row r="2511" spans="104:111">
      <c r="CZ2511" s="256"/>
      <c r="DG2511" s="256"/>
    </row>
    <row r="2512" spans="104:111">
      <c r="CZ2512" s="256"/>
      <c r="DG2512" s="256"/>
    </row>
    <row r="2513" spans="104:111">
      <c r="CZ2513" s="256"/>
      <c r="DG2513" s="256"/>
    </row>
    <row r="2514" spans="104:111">
      <c r="CZ2514" s="256"/>
      <c r="DG2514" s="256"/>
    </row>
    <row r="2515" spans="104:111">
      <c r="CZ2515" s="256"/>
      <c r="DG2515" s="256"/>
    </row>
    <row r="2516" spans="104:111">
      <c r="CZ2516" s="256"/>
      <c r="DG2516" s="256"/>
    </row>
    <row r="2517" spans="104:111">
      <c r="CZ2517" s="256"/>
      <c r="DG2517" s="256"/>
    </row>
    <row r="2518" spans="104:111">
      <c r="CZ2518" s="256"/>
      <c r="DG2518" s="256"/>
    </row>
    <row r="2519" spans="104:111">
      <c r="CZ2519" s="256"/>
      <c r="DG2519" s="256"/>
    </row>
    <row r="2520" spans="104:111">
      <c r="CZ2520" s="256"/>
      <c r="DG2520" s="256"/>
    </row>
    <row r="2521" spans="104:111">
      <c r="CZ2521" s="256"/>
      <c r="DG2521" s="256"/>
    </row>
    <row r="2522" spans="104:111">
      <c r="CZ2522" s="256"/>
      <c r="DG2522" s="256"/>
    </row>
    <row r="2523" spans="104:111">
      <c r="CZ2523" s="256"/>
      <c r="DG2523" s="256"/>
    </row>
    <row r="2524" spans="104:111">
      <c r="CZ2524" s="256"/>
      <c r="DG2524" s="256"/>
    </row>
    <row r="2525" spans="104:111">
      <c r="CZ2525" s="256"/>
      <c r="DG2525" s="256"/>
    </row>
    <row r="2526" spans="104:111">
      <c r="CZ2526" s="256"/>
      <c r="DG2526" s="256"/>
    </row>
    <row r="2527" spans="104:111">
      <c r="CZ2527" s="256"/>
      <c r="DG2527" s="256"/>
    </row>
    <row r="2528" spans="104:111">
      <c r="CZ2528" s="256"/>
      <c r="DG2528" s="256"/>
    </row>
    <row r="2529" spans="104:111">
      <c r="CZ2529" s="256"/>
      <c r="DG2529" s="256"/>
    </row>
    <row r="2530" spans="104:111">
      <c r="CZ2530" s="256"/>
      <c r="DG2530" s="256"/>
    </row>
    <row r="2531" spans="104:111">
      <c r="CZ2531" s="256"/>
      <c r="DG2531" s="256"/>
    </row>
    <row r="2532" spans="104:111">
      <c r="CZ2532" s="256"/>
      <c r="DG2532" s="256"/>
    </row>
    <row r="2533" spans="104:111">
      <c r="CZ2533" s="256"/>
      <c r="DG2533" s="256"/>
    </row>
    <row r="2534" spans="104:111">
      <c r="CZ2534" s="256"/>
      <c r="DG2534" s="256"/>
    </row>
    <row r="2535" spans="104:111">
      <c r="CZ2535" s="256"/>
      <c r="DG2535" s="256"/>
    </row>
    <row r="2536" spans="104:111">
      <c r="CZ2536" s="256"/>
      <c r="DG2536" s="256"/>
    </row>
    <row r="2537" spans="104:111">
      <c r="CZ2537" s="256"/>
      <c r="DG2537" s="256"/>
    </row>
    <row r="2538" spans="104:111">
      <c r="CZ2538" s="256"/>
      <c r="DG2538" s="256"/>
    </row>
    <row r="2539" spans="104:111">
      <c r="CZ2539" s="256"/>
      <c r="DG2539" s="256"/>
    </row>
    <row r="2540" spans="104:111">
      <c r="CZ2540" s="256"/>
      <c r="DG2540" s="256"/>
    </row>
    <row r="2541" spans="104:111">
      <c r="CZ2541" s="256"/>
      <c r="DG2541" s="256"/>
    </row>
    <row r="2542" spans="104:111">
      <c r="CZ2542" s="256"/>
      <c r="DG2542" s="256"/>
    </row>
    <row r="2543" spans="104:111">
      <c r="CZ2543" s="256"/>
      <c r="DG2543" s="256"/>
    </row>
    <row r="2544" spans="104:111">
      <c r="CZ2544" s="256"/>
      <c r="DG2544" s="256"/>
    </row>
    <row r="2545" spans="104:111">
      <c r="CZ2545" s="256"/>
      <c r="DG2545" s="256"/>
    </row>
    <row r="2546" spans="104:111">
      <c r="CZ2546" s="256"/>
      <c r="DG2546" s="256"/>
    </row>
    <row r="2547" spans="104:111">
      <c r="CZ2547" s="256"/>
      <c r="DG2547" s="256"/>
    </row>
    <row r="2548" spans="104:111">
      <c r="CZ2548" s="256"/>
      <c r="DG2548" s="256"/>
    </row>
    <row r="2549" spans="104:111">
      <c r="CZ2549" s="256"/>
      <c r="DG2549" s="256"/>
    </row>
    <row r="2550" spans="104:111">
      <c r="CZ2550" s="256"/>
      <c r="DG2550" s="256"/>
    </row>
    <row r="2551" spans="104:111">
      <c r="CZ2551" s="256"/>
      <c r="DG2551" s="256"/>
    </row>
    <row r="2552" spans="104:111">
      <c r="CZ2552" s="256"/>
      <c r="DG2552" s="256"/>
    </row>
    <row r="2553" spans="104:111">
      <c r="CZ2553" s="256"/>
      <c r="DG2553" s="256"/>
    </row>
    <row r="2554" spans="104:111">
      <c r="CZ2554" s="256"/>
      <c r="DG2554" s="256"/>
    </row>
    <row r="2555" spans="104:111">
      <c r="CZ2555" s="256"/>
      <c r="DG2555" s="256"/>
    </row>
    <row r="2556" spans="104:111">
      <c r="CZ2556" s="256"/>
      <c r="DG2556" s="256"/>
    </row>
    <row r="2557" spans="104:111">
      <c r="CZ2557" s="256"/>
      <c r="DG2557" s="256"/>
    </row>
    <row r="2558" spans="104:111">
      <c r="CZ2558" s="256"/>
      <c r="DG2558" s="256"/>
    </row>
    <row r="2559" spans="104:111">
      <c r="CZ2559" s="256"/>
      <c r="DG2559" s="256"/>
    </row>
    <row r="2560" spans="104:111">
      <c r="CZ2560" s="256"/>
      <c r="DG2560" s="256"/>
    </row>
    <row r="2561" spans="104:111">
      <c r="CZ2561" s="256"/>
      <c r="DG2561" s="256"/>
    </row>
    <row r="2562" spans="104:111">
      <c r="CZ2562" s="256"/>
      <c r="DG2562" s="256"/>
    </row>
    <row r="2563" spans="104:111">
      <c r="CZ2563" s="256"/>
      <c r="DG2563" s="256"/>
    </row>
    <row r="2564" spans="104:111">
      <c r="CZ2564" s="256"/>
      <c r="DG2564" s="256"/>
    </row>
    <row r="2565" spans="104:111">
      <c r="CZ2565" s="256"/>
      <c r="DG2565" s="256"/>
    </row>
    <row r="2566" spans="104:111">
      <c r="CZ2566" s="256"/>
      <c r="DG2566" s="256"/>
    </row>
    <row r="2567" spans="104:111">
      <c r="CZ2567" s="256"/>
      <c r="DG2567" s="256"/>
    </row>
    <row r="2568" spans="104:111">
      <c r="CZ2568" s="256"/>
      <c r="DG2568" s="256"/>
    </row>
    <row r="2569" spans="104:111">
      <c r="CZ2569" s="256"/>
      <c r="DG2569" s="256"/>
    </row>
    <row r="2570" spans="104:111">
      <c r="CZ2570" s="256"/>
      <c r="DG2570" s="256"/>
    </row>
    <row r="2571" spans="104:111">
      <c r="CZ2571" s="256"/>
      <c r="DG2571" s="256"/>
    </row>
    <row r="2572" spans="104:111">
      <c r="CZ2572" s="256"/>
      <c r="DG2572" s="256"/>
    </row>
    <row r="2573" spans="104:111">
      <c r="CZ2573" s="256"/>
      <c r="DG2573" s="256"/>
    </row>
    <row r="2574" spans="104:111">
      <c r="CZ2574" s="256"/>
      <c r="DG2574" s="256"/>
    </row>
    <row r="2575" spans="104:111">
      <c r="CZ2575" s="256"/>
      <c r="DG2575" s="256"/>
    </row>
    <row r="2576" spans="104:111">
      <c r="CZ2576" s="256"/>
      <c r="DG2576" s="256"/>
    </row>
    <row r="2577" spans="104:111">
      <c r="CZ2577" s="256"/>
      <c r="DG2577" s="256"/>
    </row>
    <row r="2578" spans="104:111">
      <c r="CZ2578" s="256"/>
      <c r="DG2578" s="256"/>
    </row>
    <row r="2579" spans="104:111">
      <c r="CZ2579" s="256"/>
      <c r="DG2579" s="256"/>
    </row>
    <row r="2580" spans="104:111">
      <c r="CZ2580" s="256"/>
      <c r="DG2580" s="256"/>
    </row>
    <row r="2581" spans="104:111">
      <c r="CZ2581" s="256"/>
      <c r="DG2581" s="256"/>
    </row>
    <row r="2582" spans="104:111">
      <c r="CZ2582" s="256"/>
      <c r="DG2582" s="256"/>
    </row>
    <row r="2583" spans="104:111">
      <c r="CZ2583" s="256"/>
      <c r="DG2583" s="256"/>
    </row>
    <row r="2584" spans="104:111">
      <c r="CZ2584" s="256"/>
      <c r="DG2584" s="256"/>
    </row>
    <row r="2585" spans="104:111">
      <c r="CZ2585" s="256"/>
      <c r="DG2585" s="256"/>
    </row>
    <row r="2586" spans="104:111">
      <c r="CZ2586" s="256"/>
      <c r="DG2586" s="256"/>
    </row>
    <row r="2587" spans="104:111">
      <c r="CZ2587" s="256"/>
      <c r="DG2587" s="256"/>
    </row>
    <row r="2588" spans="104:111">
      <c r="CZ2588" s="256"/>
      <c r="DG2588" s="256"/>
    </row>
    <row r="2589" spans="104:111">
      <c r="CZ2589" s="256"/>
      <c r="DG2589" s="256"/>
    </row>
    <row r="2590" spans="104:111">
      <c r="CZ2590" s="256"/>
      <c r="DG2590" s="256"/>
    </row>
    <row r="2591" spans="104:111">
      <c r="CZ2591" s="256"/>
      <c r="DG2591" s="256"/>
    </row>
    <row r="2592" spans="104:111">
      <c r="CZ2592" s="256"/>
      <c r="DG2592" s="256"/>
    </row>
    <row r="2593" spans="104:111">
      <c r="CZ2593" s="256"/>
      <c r="DG2593" s="256"/>
    </row>
    <row r="2594" spans="104:111">
      <c r="CZ2594" s="256"/>
      <c r="DG2594" s="256"/>
    </row>
    <row r="2595" spans="104:111">
      <c r="CZ2595" s="256"/>
      <c r="DG2595" s="256"/>
    </row>
    <row r="2596" spans="104:111">
      <c r="CZ2596" s="256"/>
      <c r="DG2596" s="256"/>
    </row>
    <row r="2597" spans="104:111">
      <c r="CZ2597" s="256"/>
      <c r="DG2597" s="256"/>
    </row>
    <row r="2598" spans="104:111">
      <c r="CZ2598" s="256"/>
      <c r="DG2598" s="256"/>
    </row>
    <row r="2599" spans="104:111">
      <c r="CZ2599" s="256"/>
      <c r="DG2599" s="256"/>
    </row>
    <row r="2600" spans="104:111">
      <c r="CZ2600" s="256"/>
      <c r="DG2600" s="256"/>
    </row>
    <row r="2601" spans="104:111">
      <c r="CZ2601" s="256"/>
      <c r="DG2601" s="256"/>
    </row>
    <row r="2602" spans="104:111">
      <c r="CZ2602" s="256"/>
      <c r="DG2602" s="256"/>
    </row>
    <row r="2603" spans="104:111">
      <c r="CZ2603" s="256"/>
      <c r="DG2603" s="256"/>
    </row>
    <row r="2604" spans="104:111">
      <c r="CZ2604" s="256"/>
      <c r="DG2604" s="256"/>
    </row>
    <row r="2605" spans="104:111">
      <c r="CZ2605" s="256"/>
      <c r="DG2605" s="256"/>
    </row>
    <row r="2606" spans="104:111">
      <c r="CZ2606" s="256"/>
      <c r="DG2606" s="256"/>
    </row>
    <row r="2607" spans="104:111">
      <c r="CZ2607" s="256"/>
      <c r="DG2607" s="256"/>
    </row>
    <row r="2608" spans="104:111">
      <c r="CZ2608" s="256"/>
      <c r="DG2608" s="256"/>
    </row>
    <row r="2609" spans="104:111">
      <c r="CZ2609" s="256"/>
      <c r="DG2609" s="256"/>
    </row>
    <row r="2610" spans="104:111">
      <c r="CZ2610" s="256"/>
      <c r="DG2610" s="256"/>
    </row>
    <row r="2611" spans="104:111">
      <c r="CZ2611" s="256"/>
      <c r="DG2611" s="256"/>
    </row>
    <row r="2612" spans="104:111">
      <c r="CZ2612" s="256"/>
      <c r="DG2612" s="256"/>
    </row>
    <row r="2613" spans="104:111">
      <c r="CZ2613" s="256"/>
      <c r="DG2613" s="256"/>
    </row>
    <row r="2614" spans="104:111">
      <c r="CZ2614" s="256"/>
      <c r="DG2614" s="256"/>
    </row>
    <row r="2615" spans="104:111">
      <c r="CZ2615" s="256"/>
      <c r="DG2615" s="256"/>
    </row>
    <row r="2616" spans="104:111">
      <c r="CZ2616" s="256"/>
      <c r="DG2616" s="256"/>
    </row>
    <row r="2617" spans="104:111">
      <c r="CZ2617" s="256"/>
      <c r="DG2617" s="256"/>
    </row>
    <row r="2618" spans="104:111">
      <c r="CZ2618" s="256"/>
      <c r="DG2618" s="256"/>
    </row>
    <row r="2619" spans="104:111">
      <c r="CZ2619" s="256"/>
      <c r="DG2619" s="256"/>
    </row>
    <row r="2620" spans="104:111">
      <c r="CZ2620" s="256"/>
      <c r="DG2620" s="256"/>
    </row>
    <row r="2621" spans="104:111">
      <c r="CZ2621" s="256"/>
      <c r="DG2621" s="256"/>
    </row>
    <row r="2622" spans="104:111">
      <c r="CZ2622" s="256"/>
      <c r="DG2622" s="256"/>
    </row>
    <row r="2623" spans="104:111">
      <c r="CZ2623" s="256"/>
      <c r="DG2623" s="256"/>
    </row>
    <row r="2624" spans="104:111">
      <c r="CZ2624" s="256"/>
      <c r="DG2624" s="256"/>
    </row>
    <row r="2625" spans="104:111">
      <c r="CZ2625" s="256"/>
      <c r="DG2625" s="256"/>
    </row>
    <row r="2626" spans="104:111">
      <c r="CZ2626" s="256"/>
      <c r="DG2626" s="256"/>
    </row>
    <row r="2627" spans="104:111">
      <c r="CZ2627" s="256"/>
      <c r="DG2627" s="256"/>
    </row>
    <row r="2628" spans="104:111">
      <c r="CZ2628" s="256"/>
      <c r="DG2628" s="256"/>
    </row>
    <row r="2629" spans="104:111">
      <c r="CZ2629" s="256"/>
      <c r="DG2629" s="256"/>
    </row>
    <row r="2630" spans="104:111">
      <c r="CZ2630" s="256"/>
      <c r="DG2630" s="256"/>
    </row>
    <row r="2631" spans="104:111">
      <c r="CZ2631" s="256"/>
      <c r="DG2631" s="256"/>
    </row>
    <row r="2632" spans="104:111">
      <c r="CZ2632" s="256"/>
      <c r="DG2632" s="256"/>
    </row>
    <row r="2633" spans="104:111">
      <c r="CZ2633" s="256"/>
      <c r="DG2633" s="256"/>
    </row>
    <row r="2634" spans="104:111">
      <c r="CZ2634" s="256"/>
      <c r="DG2634" s="256"/>
    </row>
    <row r="2635" spans="104:111">
      <c r="CZ2635" s="256"/>
      <c r="DG2635" s="256"/>
    </row>
    <row r="2636" spans="104:111">
      <c r="CZ2636" s="256"/>
      <c r="DG2636" s="256"/>
    </row>
    <row r="2637" spans="104:111">
      <c r="CZ2637" s="256"/>
      <c r="DG2637" s="256"/>
    </row>
    <row r="2638" spans="104:111">
      <c r="CZ2638" s="256"/>
      <c r="DG2638" s="256"/>
    </row>
    <row r="2639" spans="104:111">
      <c r="CZ2639" s="256"/>
      <c r="DG2639" s="256"/>
    </row>
    <row r="2640" spans="104:111">
      <c r="CZ2640" s="256"/>
      <c r="DG2640" s="256"/>
    </row>
    <row r="2641" spans="104:111">
      <c r="CZ2641" s="256"/>
      <c r="DG2641" s="256"/>
    </row>
    <row r="2642" spans="104:111">
      <c r="CZ2642" s="256"/>
      <c r="DG2642" s="256"/>
    </row>
    <row r="2643" spans="104:111">
      <c r="CZ2643" s="256"/>
      <c r="DG2643" s="256"/>
    </row>
    <row r="2644" spans="104:111">
      <c r="CZ2644" s="256"/>
      <c r="DG2644" s="256"/>
    </row>
    <row r="2645" spans="104:111">
      <c r="CZ2645" s="256"/>
      <c r="DG2645" s="256"/>
    </row>
    <row r="2646" spans="104:111">
      <c r="CZ2646" s="256"/>
      <c r="DG2646" s="256"/>
    </row>
    <row r="2647" spans="104:111">
      <c r="CZ2647" s="256"/>
      <c r="DG2647" s="256"/>
    </row>
    <row r="2648" spans="104:111">
      <c r="CZ2648" s="256"/>
      <c r="DG2648" s="256"/>
    </row>
    <row r="2649" spans="104:111">
      <c r="CZ2649" s="256"/>
      <c r="DG2649" s="256"/>
    </row>
    <row r="2650" spans="104:111">
      <c r="CZ2650" s="256"/>
      <c r="DG2650" s="256"/>
    </row>
    <row r="2651" spans="104:111">
      <c r="CZ2651" s="256"/>
      <c r="DG2651" s="256"/>
    </row>
    <row r="2652" spans="104:111">
      <c r="CZ2652" s="256"/>
      <c r="DG2652" s="256"/>
    </row>
    <row r="2653" spans="104:111">
      <c r="CZ2653" s="256"/>
      <c r="DG2653" s="256"/>
    </row>
    <row r="2654" spans="104:111">
      <c r="CZ2654" s="256"/>
      <c r="DG2654" s="256"/>
    </row>
    <row r="2655" spans="104:111">
      <c r="CZ2655" s="256"/>
      <c r="DG2655" s="256"/>
    </row>
    <row r="2656" spans="104:111">
      <c r="CZ2656" s="256"/>
      <c r="DG2656" s="256"/>
    </row>
    <row r="2657" spans="104:111">
      <c r="CZ2657" s="256"/>
      <c r="DG2657" s="256"/>
    </row>
    <row r="2658" spans="104:111">
      <c r="CZ2658" s="256"/>
      <c r="DG2658" s="256"/>
    </row>
    <row r="2659" spans="104:111">
      <c r="CZ2659" s="256"/>
      <c r="DG2659" s="256"/>
    </row>
    <row r="2660" spans="104:111">
      <c r="CZ2660" s="256"/>
      <c r="DG2660" s="256"/>
    </row>
    <row r="2661" spans="104:111">
      <c r="CZ2661" s="256"/>
      <c r="DG2661" s="256"/>
    </row>
    <row r="2662" spans="104:111">
      <c r="CZ2662" s="256"/>
      <c r="DG2662" s="256"/>
    </row>
    <row r="2663" spans="104:111">
      <c r="CZ2663" s="256"/>
      <c r="DG2663" s="256"/>
    </row>
    <row r="2664" spans="104:111">
      <c r="CZ2664" s="256"/>
      <c r="DG2664" s="256"/>
    </row>
    <row r="2665" spans="104:111">
      <c r="CZ2665" s="256"/>
      <c r="DG2665" s="256"/>
    </row>
    <row r="2666" spans="104:111">
      <c r="CZ2666" s="256"/>
      <c r="DG2666" s="256"/>
    </row>
    <row r="2667" spans="104:111">
      <c r="CZ2667" s="256"/>
      <c r="DG2667" s="256"/>
    </row>
    <row r="2668" spans="104:111">
      <c r="CZ2668" s="256"/>
      <c r="DG2668" s="256"/>
    </row>
    <row r="2669" spans="104:111">
      <c r="CZ2669" s="256"/>
      <c r="DG2669" s="256"/>
    </row>
    <row r="2670" spans="104:111">
      <c r="CZ2670" s="256"/>
      <c r="DG2670" s="256"/>
    </row>
    <row r="2671" spans="104:111">
      <c r="CZ2671" s="256"/>
      <c r="DG2671" s="256"/>
    </row>
    <row r="2672" spans="104:111">
      <c r="CZ2672" s="256"/>
      <c r="DG2672" s="256"/>
    </row>
    <row r="2673" spans="104:111">
      <c r="CZ2673" s="256"/>
      <c r="DG2673" s="256"/>
    </row>
    <row r="2674" spans="104:111">
      <c r="CZ2674" s="256"/>
      <c r="DG2674" s="256"/>
    </row>
    <row r="2675" spans="104:111">
      <c r="CZ2675" s="256"/>
      <c r="DG2675" s="256"/>
    </row>
    <row r="2676" spans="104:111">
      <c r="CZ2676" s="256"/>
      <c r="DG2676" s="256"/>
    </row>
    <row r="2677" spans="104:111">
      <c r="CZ2677" s="256"/>
      <c r="DG2677" s="256"/>
    </row>
    <row r="2678" spans="104:111">
      <c r="CZ2678" s="256"/>
      <c r="DG2678" s="256"/>
    </row>
    <row r="2679" spans="104:111">
      <c r="CZ2679" s="256"/>
      <c r="DG2679" s="256"/>
    </row>
    <row r="2680" spans="104:111">
      <c r="CZ2680" s="256"/>
      <c r="DG2680" s="256"/>
    </row>
    <row r="2681" spans="104:111">
      <c r="CZ2681" s="256"/>
      <c r="DG2681" s="256"/>
    </row>
    <row r="2682" spans="104:111">
      <c r="CZ2682" s="256"/>
      <c r="DG2682" s="256"/>
    </row>
    <row r="2683" spans="104:111">
      <c r="CZ2683" s="256"/>
      <c r="DG2683" s="256"/>
    </row>
    <row r="2684" spans="104:111">
      <c r="CZ2684" s="256"/>
      <c r="DG2684" s="256"/>
    </row>
    <row r="2685" spans="104:111">
      <c r="CZ2685" s="256"/>
      <c r="DG2685" s="256"/>
    </row>
    <row r="2686" spans="104:111">
      <c r="CZ2686" s="256"/>
      <c r="DG2686" s="256"/>
    </row>
    <row r="2687" spans="104:111">
      <c r="CZ2687" s="256"/>
      <c r="DG2687" s="256"/>
    </row>
    <row r="2688" spans="104:111">
      <c r="CZ2688" s="256"/>
      <c r="DG2688" s="256"/>
    </row>
    <row r="2689" spans="104:111">
      <c r="CZ2689" s="256"/>
      <c r="DG2689" s="256"/>
    </row>
    <row r="2690" spans="104:111">
      <c r="CZ2690" s="256"/>
      <c r="DG2690" s="256"/>
    </row>
    <row r="2691" spans="104:111">
      <c r="CZ2691" s="256"/>
      <c r="DG2691" s="256"/>
    </row>
    <row r="2692" spans="104:111">
      <c r="CZ2692" s="256"/>
      <c r="DG2692" s="256"/>
    </row>
    <row r="2693" spans="104:111">
      <c r="CZ2693" s="256"/>
      <c r="DG2693" s="256"/>
    </row>
    <row r="2694" spans="104:111">
      <c r="CZ2694" s="256"/>
      <c r="DG2694" s="256"/>
    </row>
    <row r="2695" spans="104:111">
      <c r="CZ2695" s="256"/>
      <c r="DG2695" s="256"/>
    </row>
    <row r="2696" spans="104:111">
      <c r="CZ2696" s="256"/>
      <c r="DG2696" s="256"/>
    </row>
    <row r="2697" spans="104:111">
      <c r="CZ2697" s="256"/>
      <c r="DG2697" s="256"/>
    </row>
    <row r="2698" spans="104:111">
      <c r="CZ2698" s="256"/>
      <c r="DG2698" s="256"/>
    </row>
    <row r="2699" spans="104:111">
      <c r="CZ2699" s="256"/>
      <c r="DG2699" s="256"/>
    </row>
    <row r="2700" spans="104:111">
      <c r="CZ2700" s="256"/>
      <c r="DG2700" s="256"/>
    </row>
    <row r="2701" spans="104:111">
      <c r="CZ2701" s="256"/>
      <c r="DG2701" s="256"/>
    </row>
    <row r="2702" spans="104:111">
      <c r="CZ2702" s="256"/>
      <c r="DG2702" s="256"/>
    </row>
    <row r="2703" spans="104:111">
      <c r="CZ2703" s="256"/>
      <c r="DG2703" s="256"/>
    </row>
    <row r="2704" spans="104:111">
      <c r="CZ2704" s="256"/>
      <c r="DG2704" s="256"/>
    </row>
    <row r="2705" spans="104:111">
      <c r="CZ2705" s="256"/>
      <c r="DG2705" s="256"/>
    </row>
    <row r="2706" spans="104:111">
      <c r="CZ2706" s="256"/>
      <c r="DG2706" s="256"/>
    </row>
    <row r="2707" spans="104:111">
      <c r="CZ2707" s="256"/>
      <c r="DG2707" s="256"/>
    </row>
    <row r="2708" spans="104:111">
      <c r="CZ2708" s="256"/>
      <c r="DG2708" s="256"/>
    </row>
    <row r="2709" spans="104:111">
      <c r="CZ2709" s="256"/>
      <c r="DG2709" s="256"/>
    </row>
    <row r="2710" spans="104:111">
      <c r="CZ2710" s="256"/>
      <c r="DG2710" s="256"/>
    </row>
    <row r="2711" spans="104:111">
      <c r="CZ2711" s="256"/>
      <c r="DG2711" s="256"/>
    </row>
    <row r="2712" spans="104:111">
      <c r="CZ2712" s="256"/>
      <c r="DG2712" s="256"/>
    </row>
    <row r="2713" spans="104:111">
      <c r="CZ2713" s="256"/>
      <c r="DG2713" s="256"/>
    </row>
    <row r="2714" spans="104:111">
      <c r="CZ2714" s="256"/>
      <c r="DG2714" s="256"/>
    </row>
    <row r="2715" spans="104:111">
      <c r="CZ2715" s="256"/>
      <c r="DG2715" s="256"/>
    </row>
    <row r="2716" spans="104:111">
      <c r="CZ2716" s="256"/>
      <c r="DG2716" s="256"/>
    </row>
    <row r="2717" spans="104:111">
      <c r="CZ2717" s="256"/>
      <c r="DG2717" s="256"/>
    </row>
    <row r="2718" spans="104:111">
      <c r="CZ2718" s="256"/>
      <c r="DG2718" s="256"/>
    </row>
    <row r="2719" spans="104:111">
      <c r="CZ2719" s="256"/>
      <c r="DG2719" s="256"/>
    </row>
    <row r="2720" spans="104:111">
      <c r="CZ2720" s="256"/>
      <c r="DG2720" s="256"/>
    </row>
    <row r="2721" spans="104:111">
      <c r="CZ2721" s="256"/>
      <c r="DG2721" s="256"/>
    </row>
    <row r="2722" spans="104:111">
      <c r="CZ2722" s="256"/>
      <c r="DG2722" s="256"/>
    </row>
    <row r="2723" spans="104:111">
      <c r="CZ2723" s="256"/>
      <c r="DG2723" s="256"/>
    </row>
    <row r="2724" spans="104:111">
      <c r="CZ2724" s="256"/>
      <c r="DG2724" s="256"/>
    </row>
    <row r="2725" spans="104:111">
      <c r="CZ2725" s="256"/>
      <c r="DG2725" s="256"/>
    </row>
    <row r="2726" spans="104:111">
      <c r="CZ2726" s="256"/>
      <c r="DG2726" s="256"/>
    </row>
    <row r="2727" spans="104:111">
      <c r="CZ2727" s="256"/>
      <c r="DG2727" s="256"/>
    </row>
    <row r="2728" spans="104:111">
      <c r="CZ2728" s="256"/>
      <c r="DG2728" s="256"/>
    </row>
    <row r="2729" spans="104:111">
      <c r="CZ2729" s="256"/>
      <c r="DG2729" s="256"/>
    </row>
    <row r="2730" spans="104:111">
      <c r="CZ2730" s="256"/>
      <c r="DG2730" s="256"/>
    </row>
    <row r="2731" spans="104:111">
      <c r="CZ2731" s="256"/>
      <c r="DG2731" s="256"/>
    </row>
    <row r="2732" spans="104:111">
      <c r="CZ2732" s="256"/>
      <c r="DG2732" s="256"/>
    </row>
    <row r="2733" spans="104:111">
      <c r="CZ2733" s="256"/>
      <c r="DG2733" s="256"/>
    </row>
    <row r="2734" spans="104:111">
      <c r="CZ2734" s="256"/>
      <c r="DG2734" s="256"/>
    </row>
    <row r="2735" spans="104:111">
      <c r="CZ2735" s="256"/>
      <c r="DG2735" s="256"/>
    </row>
    <row r="2736" spans="104:111">
      <c r="CZ2736" s="256"/>
      <c r="DG2736" s="256"/>
    </row>
    <row r="2737" spans="104:111">
      <c r="CZ2737" s="256"/>
      <c r="DG2737" s="256"/>
    </row>
    <row r="2738" spans="104:111">
      <c r="CZ2738" s="256"/>
      <c r="DG2738" s="256"/>
    </row>
    <row r="2739" spans="104:111">
      <c r="CZ2739" s="256"/>
      <c r="DG2739" s="256"/>
    </row>
    <row r="2740" spans="104:111">
      <c r="CZ2740" s="256"/>
      <c r="DG2740" s="256"/>
    </row>
    <row r="2741" spans="104:111">
      <c r="CZ2741" s="256"/>
      <c r="DG2741" s="256"/>
    </row>
    <row r="2742" spans="104:111">
      <c r="CZ2742" s="256"/>
      <c r="DG2742" s="256"/>
    </row>
    <row r="2743" spans="104:111">
      <c r="CZ2743" s="256"/>
      <c r="DG2743" s="256"/>
    </row>
    <row r="2744" spans="104:111">
      <c r="CZ2744" s="256"/>
      <c r="DG2744" s="256"/>
    </row>
    <row r="2745" spans="104:111">
      <c r="CZ2745" s="256"/>
      <c r="DG2745" s="256"/>
    </row>
    <row r="2746" spans="104:111">
      <c r="CZ2746" s="256"/>
      <c r="DG2746" s="256"/>
    </row>
    <row r="2747" spans="104:111">
      <c r="CZ2747" s="256"/>
      <c r="DG2747" s="256"/>
    </row>
    <row r="2748" spans="104:111">
      <c r="CZ2748" s="256"/>
      <c r="DG2748" s="256"/>
    </row>
    <row r="2749" spans="104:111">
      <c r="CZ2749" s="256"/>
      <c r="DG2749" s="256"/>
    </row>
    <row r="2750" spans="104:111">
      <c r="CZ2750" s="256"/>
      <c r="DG2750" s="256"/>
    </row>
    <row r="2751" spans="104:111">
      <c r="CZ2751" s="256"/>
      <c r="DG2751" s="256"/>
    </row>
    <row r="2752" spans="104:111">
      <c r="CZ2752" s="256"/>
      <c r="DG2752" s="256"/>
    </row>
    <row r="2753" spans="104:111">
      <c r="CZ2753" s="256"/>
      <c r="DG2753" s="256"/>
    </row>
    <row r="2754" spans="104:111">
      <c r="CZ2754" s="256"/>
      <c r="DG2754" s="256"/>
    </row>
    <row r="2755" spans="104:111">
      <c r="CZ2755" s="256"/>
      <c r="DG2755" s="256"/>
    </row>
    <row r="2756" spans="104:111">
      <c r="CZ2756" s="256"/>
      <c r="DG2756" s="256"/>
    </row>
    <row r="2757" spans="104:111">
      <c r="CZ2757" s="256"/>
      <c r="DG2757" s="256"/>
    </row>
    <row r="2758" spans="104:111">
      <c r="CZ2758" s="256"/>
      <c r="DG2758" s="256"/>
    </row>
    <row r="2759" spans="104:111">
      <c r="CZ2759" s="256"/>
      <c r="DG2759" s="256"/>
    </row>
    <row r="2760" spans="104:111">
      <c r="CZ2760" s="256"/>
      <c r="DG2760" s="256"/>
    </row>
    <row r="2761" spans="104:111">
      <c r="CZ2761" s="256"/>
      <c r="DG2761" s="256"/>
    </row>
    <row r="2762" spans="104:111">
      <c r="CZ2762" s="256"/>
      <c r="DG2762" s="256"/>
    </row>
    <row r="2763" spans="104:111">
      <c r="CZ2763" s="256"/>
      <c r="DG2763" s="256"/>
    </row>
    <row r="2764" spans="104:111">
      <c r="CZ2764" s="256"/>
      <c r="DG2764" s="256"/>
    </row>
    <row r="2765" spans="104:111">
      <c r="CZ2765" s="256"/>
      <c r="DG2765" s="256"/>
    </row>
    <row r="2766" spans="104:111">
      <c r="CZ2766" s="256"/>
      <c r="DG2766" s="256"/>
    </row>
    <row r="2767" spans="104:111">
      <c r="CZ2767" s="256"/>
      <c r="DG2767" s="256"/>
    </row>
    <row r="2768" spans="104:111">
      <c r="CZ2768" s="256"/>
      <c r="DG2768" s="256"/>
    </row>
    <row r="2769" spans="104:111">
      <c r="CZ2769" s="256"/>
      <c r="DG2769" s="256"/>
    </row>
    <row r="2770" spans="104:111">
      <c r="CZ2770" s="256"/>
      <c r="DG2770" s="256"/>
    </row>
    <row r="2771" spans="104:111">
      <c r="CZ2771" s="256"/>
      <c r="DG2771" s="256"/>
    </row>
    <row r="2772" spans="104:111">
      <c r="CZ2772" s="256"/>
      <c r="DG2772" s="256"/>
    </row>
    <row r="2773" spans="104:111">
      <c r="CZ2773" s="256"/>
      <c r="DG2773" s="256"/>
    </row>
    <row r="2774" spans="104:111">
      <c r="CZ2774" s="256"/>
      <c r="DG2774" s="256"/>
    </row>
    <row r="2775" spans="104:111">
      <c r="CZ2775" s="256"/>
      <c r="DG2775" s="256"/>
    </row>
    <row r="2776" spans="104:111">
      <c r="CZ2776" s="256"/>
      <c r="DG2776" s="256"/>
    </row>
    <row r="2777" spans="104:111">
      <c r="CZ2777" s="256"/>
      <c r="DG2777" s="256"/>
    </row>
    <row r="2778" spans="104:111">
      <c r="CZ2778" s="256"/>
      <c r="DG2778" s="256"/>
    </row>
    <row r="2779" spans="104:111">
      <c r="CZ2779" s="256"/>
      <c r="DG2779" s="256"/>
    </row>
    <row r="2780" spans="104:111">
      <c r="CZ2780" s="256"/>
      <c r="DG2780" s="256"/>
    </row>
    <row r="2781" spans="104:111">
      <c r="CZ2781" s="256"/>
      <c r="DG2781" s="256"/>
    </row>
    <row r="2782" spans="104:111">
      <c r="CZ2782" s="256"/>
      <c r="DG2782" s="256"/>
    </row>
    <row r="2783" spans="104:111">
      <c r="CZ2783" s="256"/>
      <c r="DG2783" s="256"/>
    </row>
    <row r="2784" spans="104:111">
      <c r="CZ2784" s="256"/>
      <c r="DG2784" s="256"/>
    </row>
    <row r="2785" spans="104:111">
      <c r="CZ2785" s="256"/>
      <c r="DG2785" s="256"/>
    </row>
    <row r="2786" spans="104:111">
      <c r="CZ2786" s="256"/>
      <c r="DG2786" s="256"/>
    </row>
    <row r="2787" spans="104:111">
      <c r="CZ2787" s="256"/>
      <c r="DG2787" s="256"/>
    </row>
    <row r="2788" spans="104:111">
      <c r="CZ2788" s="256"/>
      <c r="DG2788" s="256"/>
    </row>
    <row r="2789" spans="104:111">
      <c r="CZ2789" s="256"/>
      <c r="DG2789" s="256"/>
    </row>
    <row r="2790" spans="104:111">
      <c r="CZ2790" s="256"/>
      <c r="DG2790" s="256"/>
    </row>
    <row r="2791" spans="104:111">
      <c r="CZ2791" s="256"/>
      <c r="DG2791" s="256"/>
    </row>
    <row r="2792" spans="104:111">
      <c r="CZ2792" s="256"/>
      <c r="DG2792" s="256"/>
    </row>
    <row r="2793" spans="104:111">
      <c r="CZ2793" s="256"/>
      <c r="DG2793" s="256"/>
    </row>
    <row r="2794" spans="104:111">
      <c r="CZ2794" s="256"/>
      <c r="DG2794" s="256"/>
    </row>
    <row r="2795" spans="104:111">
      <c r="CZ2795" s="256"/>
      <c r="DG2795" s="256"/>
    </row>
    <row r="2796" spans="104:111">
      <c r="CZ2796" s="256"/>
      <c r="DG2796" s="256"/>
    </row>
    <row r="2797" spans="104:111">
      <c r="CZ2797" s="256"/>
      <c r="DG2797" s="256"/>
    </row>
    <row r="2798" spans="104:111">
      <c r="CZ2798" s="256"/>
      <c r="DG2798" s="256"/>
    </row>
    <row r="2799" spans="104:111">
      <c r="CZ2799" s="256"/>
      <c r="DG2799" s="256"/>
    </row>
    <row r="2800" spans="104:111">
      <c r="CZ2800" s="256"/>
      <c r="DG2800" s="256"/>
    </row>
    <row r="2801" spans="104:111">
      <c r="CZ2801" s="256"/>
      <c r="DG2801" s="256"/>
    </row>
    <row r="2802" spans="104:111">
      <c r="CZ2802" s="256"/>
      <c r="DG2802" s="256"/>
    </row>
    <row r="2803" spans="104:111">
      <c r="CZ2803" s="256"/>
      <c r="DG2803" s="256"/>
    </row>
    <row r="2804" spans="104:111">
      <c r="CZ2804" s="256"/>
      <c r="DG2804" s="256"/>
    </row>
    <row r="2805" spans="104:111">
      <c r="CZ2805" s="256"/>
      <c r="DG2805" s="256"/>
    </row>
    <row r="2806" spans="104:111">
      <c r="CZ2806" s="256"/>
      <c r="DG2806" s="256"/>
    </row>
    <row r="2807" spans="104:111">
      <c r="CZ2807" s="256"/>
      <c r="DG2807" s="256"/>
    </row>
    <row r="2808" spans="104:111">
      <c r="CZ2808" s="256"/>
      <c r="DG2808" s="256"/>
    </row>
    <row r="2809" spans="104:111">
      <c r="CZ2809" s="256"/>
      <c r="DG2809" s="256"/>
    </row>
    <row r="2810" spans="104:111">
      <c r="CZ2810" s="256"/>
      <c r="DG2810" s="256"/>
    </row>
    <row r="2811" spans="104:111">
      <c r="CZ2811" s="256"/>
      <c r="DG2811" s="256"/>
    </row>
    <row r="2812" spans="104:111">
      <c r="CZ2812" s="256"/>
      <c r="DG2812" s="256"/>
    </row>
    <row r="2813" spans="104:111">
      <c r="CZ2813" s="256"/>
      <c r="DG2813" s="256"/>
    </row>
    <row r="2814" spans="104:111">
      <c r="CZ2814" s="256"/>
      <c r="DG2814" s="256"/>
    </row>
    <row r="2815" spans="104:111">
      <c r="CZ2815" s="256"/>
      <c r="DG2815" s="256"/>
    </row>
    <row r="2816" spans="104:111">
      <c r="CZ2816" s="256"/>
      <c r="DG2816" s="256"/>
    </row>
    <row r="2817" spans="104:111">
      <c r="CZ2817" s="256"/>
      <c r="DG2817" s="256"/>
    </row>
    <row r="2818" spans="104:111">
      <c r="CZ2818" s="256"/>
      <c r="DG2818" s="256"/>
    </row>
    <row r="2819" spans="104:111">
      <c r="CZ2819" s="256"/>
      <c r="DG2819" s="256"/>
    </row>
    <row r="2820" spans="104:111">
      <c r="CZ2820" s="256"/>
      <c r="DG2820" s="256"/>
    </row>
    <row r="2821" spans="104:111">
      <c r="CZ2821" s="256"/>
      <c r="DG2821" s="256"/>
    </row>
    <row r="2822" spans="104:111">
      <c r="CZ2822" s="256"/>
      <c r="DG2822" s="256"/>
    </row>
    <row r="2823" spans="104:111">
      <c r="CZ2823" s="256"/>
      <c r="DG2823" s="256"/>
    </row>
    <row r="2824" spans="104:111">
      <c r="CZ2824" s="256"/>
      <c r="DG2824" s="256"/>
    </row>
    <row r="2825" spans="104:111">
      <c r="CZ2825" s="256"/>
      <c r="DG2825" s="256"/>
    </row>
    <row r="2826" spans="104:111">
      <c r="CZ2826" s="256"/>
      <c r="DG2826" s="256"/>
    </row>
    <row r="2827" spans="104:111">
      <c r="CZ2827" s="256"/>
      <c r="DG2827" s="256"/>
    </row>
    <row r="2828" spans="104:111">
      <c r="CZ2828" s="256"/>
      <c r="DG2828" s="256"/>
    </row>
    <row r="2829" spans="104:111">
      <c r="CZ2829" s="256"/>
      <c r="DG2829" s="256"/>
    </row>
    <row r="2830" spans="104:111">
      <c r="CZ2830" s="256"/>
      <c r="DG2830" s="256"/>
    </row>
    <row r="2831" spans="104:111">
      <c r="CZ2831" s="256"/>
      <c r="DG2831" s="256"/>
    </row>
    <row r="2832" spans="104:111">
      <c r="CZ2832" s="256"/>
      <c r="DG2832" s="256"/>
    </row>
    <row r="2833" spans="104:111">
      <c r="CZ2833" s="256"/>
      <c r="DG2833" s="256"/>
    </row>
    <row r="2834" spans="104:111">
      <c r="CZ2834" s="256"/>
      <c r="DG2834" s="256"/>
    </row>
    <row r="2835" spans="104:111">
      <c r="CZ2835" s="256"/>
      <c r="DG2835" s="256"/>
    </row>
    <row r="2836" spans="104:111">
      <c r="CZ2836" s="256"/>
      <c r="DG2836" s="256"/>
    </row>
    <row r="2837" spans="104:111">
      <c r="CZ2837" s="256"/>
      <c r="DG2837" s="256"/>
    </row>
    <row r="2838" spans="104:111">
      <c r="CZ2838" s="256"/>
      <c r="DG2838" s="256"/>
    </row>
    <row r="2839" spans="104:111">
      <c r="CZ2839" s="256"/>
      <c r="DG2839" s="256"/>
    </row>
    <row r="2840" spans="104:111">
      <c r="CZ2840" s="256"/>
      <c r="DG2840" s="256"/>
    </row>
    <row r="2841" spans="104:111">
      <c r="CZ2841" s="256"/>
      <c r="DG2841" s="256"/>
    </row>
    <row r="2842" spans="104:111">
      <c r="CZ2842" s="256"/>
      <c r="DG2842" s="256"/>
    </row>
    <row r="2843" spans="104:111">
      <c r="CZ2843" s="256"/>
      <c r="DG2843" s="256"/>
    </row>
    <row r="2844" spans="104:111">
      <c r="CZ2844" s="256"/>
      <c r="DG2844" s="256"/>
    </row>
    <row r="2845" spans="104:111">
      <c r="CZ2845" s="256"/>
      <c r="DG2845" s="256"/>
    </row>
    <row r="2846" spans="104:111">
      <c r="CZ2846" s="256"/>
      <c r="DG2846" s="256"/>
    </row>
    <row r="2847" spans="104:111">
      <c r="CZ2847" s="256"/>
      <c r="DG2847" s="256"/>
    </row>
    <row r="2848" spans="104:111">
      <c r="CZ2848" s="256"/>
      <c r="DG2848" s="256"/>
    </row>
    <row r="2849" spans="104:111">
      <c r="CZ2849" s="256"/>
      <c r="DG2849" s="256"/>
    </row>
    <row r="2850" spans="104:111">
      <c r="CZ2850" s="256"/>
      <c r="DG2850" s="256"/>
    </row>
    <row r="2851" spans="104:111">
      <c r="CZ2851" s="256"/>
      <c r="DG2851" s="256"/>
    </row>
    <row r="2852" spans="104:111">
      <c r="CZ2852" s="256"/>
      <c r="DG2852" s="256"/>
    </row>
    <row r="2853" spans="104:111">
      <c r="CZ2853" s="256"/>
      <c r="DG2853" s="256"/>
    </row>
    <row r="2854" spans="104:111">
      <c r="CZ2854" s="256"/>
      <c r="DG2854" s="256"/>
    </row>
    <row r="2855" spans="104:111">
      <c r="CZ2855" s="256"/>
      <c r="DG2855" s="256"/>
    </row>
    <row r="2856" spans="104:111">
      <c r="CZ2856" s="256"/>
      <c r="DG2856" s="256"/>
    </row>
    <row r="2857" spans="104:111">
      <c r="CZ2857" s="256"/>
      <c r="DG2857" s="256"/>
    </row>
    <row r="2858" spans="104:111">
      <c r="CZ2858" s="256"/>
      <c r="DG2858" s="256"/>
    </row>
    <row r="2859" spans="104:111">
      <c r="CZ2859" s="256"/>
      <c r="DG2859" s="256"/>
    </row>
    <row r="2860" spans="104:111">
      <c r="CZ2860" s="256"/>
      <c r="DG2860" s="256"/>
    </row>
    <row r="2861" spans="104:111">
      <c r="CZ2861" s="256"/>
      <c r="DG2861" s="256"/>
    </row>
    <row r="2862" spans="104:111">
      <c r="CZ2862" s="256"/>
      <c r="DG2862" s="256"/>
    </row>
    <row r="2863" spans="104:111">
      <c r="CZ2863" s="256"/>
      <c r="DG2863" s="256"/>
    </row>
    <row r="2864" spans="104:111">
      <c r="CZ2864" s="256"/>
      <c r="DG2864" s="256"/>
    </row>
    <row r="2865" spans="104:111">
      <c r="CZ2865" s="256"/>
      <c r="DG2865" s="256"/>
    </row>
    <row r="2866" spans="104:111">
      <c r="CZ2866" s="256"/>
      <c r="DG2866" s="256"/>
    </row>
    <row r="2867" spans="104:111">
      <c r="CZ2867" s="256"/>
      <c r="DG2867" s="256"/>
    </row>
    <row r="2868" spans="104:111">
      <c r="CZ2868" s="256"/>
      <c r="DG2868" s="256"/>
    </row>
    <row r="2869" spans="104:111">
      <c r="CZ2869" s="256"/>
      <c r="DG2869" s="256"/>
    </row>
    <row r="2870" spans="104:111">
      <c r="CZ2870" s="256"/>
      <c r="DG2870" s="256"/>
    </row>
    <row r="2871" spans="104:111">
      <c r="CZ2871" s="256"/>
      <c r="DG2871" s="256"/>
    </row>
    <row r="2872" spans="104:111">
      <c r="CZ2872" s="256"/>
      <c r="DG2872" s="256"/>
    </row>
    <row r="2873" spans="104:111">
      <c r="CZ2873" s="256"/>
      <c r="DG2873" s="256"/>
    </row>
    <row r="2874" spans="104:111">
      <c r="CZ2874" s="256"/>
      <c r="DG2874" s="256"/>
    </row>
    <row r="2875" spans="104:111">
      <c r="CZ2875" s="256"/>
      <c r="DG2875" s="256"/>
    </row>
    <row r="2876" spans="104:111">
      <c r="CZ2876" s="256"/>
      <c r="DG2876" s="256"/>
    </row>
    <row r="2877" spans="104:111">
      <c r="CZ2877" s="256"/>
      <c r="DG2877" s="256"/>
    </row>
    <row r="2878" spans="104:111">
      <c r="CZ2878" s="256"/>
      <c r="DG2878" s="256"/>
    </row>
    <row r="2879" spans="104:111">
      <c r="CZ2879" s="256"/>
      <c r="DG2879" s="256"/>
    </row>
    <row r="2880" spans="104:111">
      <c r="CZ2880" s="256"/>
      <c r="DG2880" s="256"/>
    </row>
    <row r="2881" spans="104:111">
      <c r="CZ2881" s="256"/>
      <c r="DG2881" s="256"/>
    </row>
    <row r="2882" spans="104:111">
      <c r="CZ2882" s="256"/>
      <c r="DG2882" s="256"/>
    </row>
    <row r="2883" spans="104:111">
      <c r="CZ2883" s="256"/>
      <c r="DG2883" s="256"/>
    </row>
    <row r="2884" spans="104:111">
      <c r="CZ2884" s="256"/>
      <c r="DG2884" s="256"/>
    </row>
    <row r="2885" spans="104:111">
      <c r="CZ2885" s="256"/>
      <c r="DG2885" s="256"/>
    </row>
    <row r="2886" spans="104:111">
      <c r="CZ2886" s="256"/>
      <c r="DG2886" s="256"/>
    </row>
    <row r="2887" spans="104:111">
      <c r="CZ2887" s="256"/>
      <c r="DG2887" s="256"/>
    </row>
    <row r="2888" spans="104:111">
      <c r="CZ2888" s="256"/>
      <c r="DG2888" s="256"/>
    </row>
    <row r="2889" spans="104:111">
      <c r="CZ2889" s="256"/>
      <c r="DG2889" s="256"/>
    </row>
    <row r="2890" spans="104:111">
      <c r="CZ2890" s="256"/>
      <c r="DG2890" s="256"/>
    </row>
    <row r="2891" spans="104:111">
      <c r="CZ2891" s="256"/>
      <c r="DG2891" s="256"/>
    </row>
    <row r="2892" spans="104:111">
      <c r="CZ2892" s="256"/>
      <c r="DG2892" s="256"/>
    </row>
    <row r="2893" spans="104:111">
      <c r="CZ2893" s="256"/>
      <c r="DG2893" s="256"/>
    </row>
    <row r="2894" spans="104:111">
      <c r="CZ2894" s="256"/>
      <c r="DG2894" s="256"/>
    </row>
    <row r="2895" spans="104:111">
      <c r="CZ2895" s="256"/>
      <c r="DG2895" s="256"/>
    </row>
    <row r="2896" spans="104:111">
      <c r="CZ2896" s="256"/>
      <c r="DG2896" s="256"/>
    </row>
    <row r="2897" spans="104:111">
      <c r="CZ2897" s="256"/>
      <c r="DG2897" s="256"/>
    </row>
    <row r="2898" spans="104:111">
      <c r="CZ2898" s="256"/>
      <c r="DG2898" s="256"/>
    </row>
    <row r="2899" spans="104:111">
      <c r="CZ2899" s="256"/>
      <c r="DG2899" s="256"/>
    </row>
    <row r="2900" spans="104:111">
      <c r="CZ2900" s="256"/>
      <c r="DG2900" s="256"/>
    </row>
    <row r="2901" spans="104:111">
      <c r="CZ2901" s="256"/>
      <c r="DG2901" s="256"/>
    </row>
    <row r="2902" spans="104:111">
      <c r="CZ2902" s="256"/>
      <c r="DG2902" s="256"/>
    </row>
    <row r="2903" spans="104:111">
      <c r="CZ2903" s="256"/>
      <c r="DG2903" s="256"/>
    </row>
    <row r="2904" spans="104:111">
      <c r="CZ2904" s="256"/>
      <c r="DG2904" s="256"/>
    </row>
    <row r="2905" spans="104:111">
      <c r="CZ2905" s="256"/>
      <c r="DG2905" s="256"/>
    </row>
    <row r="2906" spans="104:111">
      <c r="CZ2906" s="256"/>
      <c r="DG2906" s="256"/>
    </row>
    <row r="2907" spans="104:111">
      <c r="CZ2907" s="256"/>
      <c r="DG2907" s="256"/>
    </row>
    <row r="2908" spans="104:111">
      <c r="CZ2908" s="256"/>
      <c r="DG2908" s="256"/>
    </row>
    <row r="2909" spans="104:111">
      <c r="CZ2909" s="256"/>
      <c r="DG2909" s="256"/>
    </row>
    <row r="2910" spans="104:111">
      <c r="CZ2910" s="256"/>
      <c r="DG2910" s="256"/>
    </row>
    <row r="2911" spans="104:111">
      <c r="CZ2911" s="256"/>
      <c r="DG2911" s="256"/>
    </row>
    <row r="2912" spans="104:111">
      <c r="CZ2912" s="256"/>
      <c r="DG2912" s="256"/>
    </row>
    <row r="2913" spans="104:111">
      <c r="CZ2913" s="256"/>
      <c r="DG2913" s="256"/>
    </row>
    <row r="2914" spans="104:111">
      <c r="CZ2914" s="256"/>
      <c r="DG2914" s="256"/>
    </row>
    <row r="2915" spans="104:111">
      <c r="CZ2915" s="256"/>
      <c r="DG2915" s="256"/>
    </row>
    <row r="2916" spans="104:111">
      <c r="CZ2916" s="256"/>
      <c r="DG2916" s="256"/>
    </row>
    <row r="2917" spans="104:111">
      <c r="CZ2917" s="256"/>
      <c r="DG2917" s="256"/>
    </row>
    <row r="2918" spans="104:111">
      <c r="CZ2918" s="256"/>
      <c r="DG2918" s="256"/>
    </row>
    <row r="2919" spans="104:111">
      <c r="CZ2919" s="256"/>
      <c r="DG2919" s="256"/>
    </row>
    <row r="2920" spans="104:111">
      <c r="CZ2920" s="256"/>
      <c r="DG2920" s="256"/>
    </row>
    <row r="2921" spans="104:111">
      <c r="CZ2921" s="256"/>
      <c r="DG2921" s="256"/>
    </row>
    <row r="2922" spans="104:111">
      <c r="CZ2922" s="256"/>
      <c r="DG2922" s="256"/>
    </row>
    <row r="2923" spans="104:111">
      <c r="CZ2923" s="256"/>
      <c r="DG2923" s="256"/>
    </row>
    <row r="2924" spans="104:111">
      <c r="CZ2924" s="256"/>
      <c r="DG2924" s="256"/>
    </row>
    <row r="2925" spans="104:111">
      <c r="CZ2925" s="256"/>
      <c r="DG2925" s="256"/>
    </row>
    <row r="2926" spans="104:111">
      <c r="CZ2926" s="256"/>
      <c r="DG2926" s="256"/>
    </row>
    <row r="2927" spans="104:111">
      <c r="CZ2927" s="256"/>
      <c r="DG2927" s="256"/>
    </row>
    <row r="2928" spans="104:111">
      <c r="CZ2928" s="256"/>
      <c r="DG2928" s="256"/>
    </row>
    <row r="2929" spans="104:111">
      <c r="CZ2929" s="256"/>
      <c r="DG2929" s="256"/>
    </row>
    <row r="2930" spans="104:111">
      <c r="CZ2930" s="256"/>
      <c r="DG2930" s="256"/>
    </row>
    <row r="2931" spans="104:111">
      <c r="CZ2931" s="256"/>
      <c r="DG2931" s="256"/>
    </row>
    <row r="2932" spans="104:111">
      <c r="CZ2932" s="256"/>
      <c r="DG2932" s="256"/>
    </row>
    <row r="2933" spans="104:111">
      <c r="CZ2933" s="256"/>
      <c r="DG2933" s="256"/>
    </row>
    <row r="2934" spans="104:111">
      <c r="CZ2934" s="256"/>
      <c r="DG2934" s="256"/>
    </row>
    <row r="2935" spans="104:111">
      <c r="CZ2935" s="256"/>
      <c r="DG2935" s="256"/>
    </row>
    <row r="2936" spans="104:111">
      <c r="CZ2936" s="256"/>
      <c r="DG2936" s="256"/>
    </row>
    <row r="2937" spans="104:111">
      <c r="CZ2937" s="256"/>
      <c r="DG2937" s="256"/>
    </row>
    <row r="2938" spans="104:111">
      <c r="CZ2938" s="256"/>
      <c r="DG2938" s="256"/>
    </row>
    <row r="2939" spans="104:111">
      <c r="CZ2939" s="256"/>
      <c r="DG2939" s="256"/>
    </row>
    <row r="2940" spans="104:111">
      <c r="CZ2940" s="256"/>
      <c r="DG2940" s="256"/>
    </row>
    <row r="2941" spans="104:111">
      <c r="CZ2941" s="256"/>
      <c r="DG2941" s="256"/>
    </row>
    <row r="2942" spans="104:111">
      <c r="CZ2942" s="256"/>
      <c r="DG2942" s="256"/>
    </row>
    <row r="2943" spans="104:111">
      <c r="CZ2943" s="256"/>
      <c r="DG2943" s="256"/>
    </row>
    <row r="2944" spans="104:111">
      <c r="CZ2944" s="256"/>
      <c r="DG2944" s="256"/>
    </row>
    <row r="2945" spans="104:111">
      <c r="CZ2945" s="256"/>
      <c r="DG2945" s="256"/>
    </row>
    <row r="2946" spans="104:111">
      <c r="CZ2946" s="256"/>
      <c r="DG2946" s="256"/>
    </row>
    <row r="2947" spans="104:111">
      <c r="CZ2947" s="256"/>
      <c r="DG2947" s="256"/>
    </row>
    <row r="2948" spans="104:111">
      <c r="CZ2948" s="256"/>
      <c r="DG2948" s="256"/>
    </row>
    <row r="2949" spans="104:111">
      <c r="CZ2949" s="256"/>
      <c r="DG2949" s="256"/>
    </row>
    <row r="2950" spans="104:111">
      <c r="CZ2950" s="256"/>
      <c r="DG2950" s="256"/>
    </row>
    <row r="2951" spans="104:111">
      <c r="CZ2951" s="256"/>
      <c r="DG2951" s="256"/>
    </row>
    <row r="2952" spans="104:111">
      <c r="CZ2952" s="256"/>
      <c r="DG2952" s="256"/>
    </row>
    <row r="2953" spans="104:111">
      <c r="CZ2953" s="256"/>
      <c r="DG2953" s="256"/>
    </row>
    <row r="2954" spans="104:111">
      <c r="CZ2954" s="256"/>
      <c r="DG2954" s="256"/>
    </row>
    <row r="2955" spans="104:111">
      <c r="CZ2955" s="256"/>
      <c r="DG2955" s="256"/>
    </row>
    <row r="2956" spans="104:111">
      <c r="CZ2956" s="256"/>
      <c r="DG2956" s="256"/>
    </row>
    <row r="2957" spans="104:111">
      <c r="CZ2957" s="256"/>
      <c r="DG2957" s="256"/>
    </row>
    <row r="2958" spans="104:111">
      <c r="CZ2958" s="256"/>
      <c r="DG2958" s="256"/>
    </row>
    <row r="2959" spans="104:111">
      <c r="CZ2959" s="256"/>
      <c r="DG2959" s="256"/>
    </row>
    <row r="2960" spans="104:111">
      <c r="CZ2960" s="256"/>
      <c r="DG2960" s="256"/>
    </row>
    <row r="2961" spans="104:111">
      <c r="CZ2961" s="256"/>
      <c r="DG2961" s="256"/>
    </row>
    <row r="2962" spans="104:111">
      <c r="CZ2962" s="256"/>
      <c r="DG2962" s="256"/>
    </row>
    <row r="2963" spans="104:111">
      <c r="CZ2963" s="256"/>
      <c r="DG2963" s="256"/>
    </row>
    <row r="2964" spans="104:111">
      <c r="CZ2964" s="256"/>
      <c r="DG2964" s="256"/>
    </row>
    <row r="2965" spans="104:111">
      <c r="CZ2965" s="256"/>
      <c r="DG2965" s="256"/>
    </row>
    <row r="2966" spans="104:111">
      <c r="CZ2966" s="256"/>
      <c r="DG2966" s="256"/>
    </row>
    <row r="2967" spans="104:111">
      <c r="CZ2967" s="256"/>
      <c r="DG2967" s="256"/>
    </row>
    <row r="2968" spans="104:111">
      <c r="CZ2968" s="256"/>
      <c r="DG2968" s="256"/>
    </row>
    <row r="2969" spans="104:111">
      <c r="CZ2969" s="256"/>
      <c r="DG2969" s="256"/>
    </row>
    <row r="2970" spans="104:111">
      <c r="CZ2970" s="256"/>
      <c r="DG2970" s="256"/>
    </row>
    <row r="2971" spans="104:111">
      <c r="CZ2971" s="256"/>
      <c r="DG2971" s="256"/>
    </row>
    <row r="2972" spans="104:111">
      <c r="CZ2972" s="256"/>
      <c r="DG2972" s="256"/>
    </row>
    <row r="2973" spans="104:111">
      <c r="CZ2973" s="256"/>
      <c r="DG2973" s="256"/>
    </row>
    <row r="2974" spans="104:111">
      <c r="CZ2974" s="256"/>
      <c r="DG2974" s="256"/>
    </row>
    <row r="2975" spans="104:111">
      <c r="CZ2975" s="256"/>
      <c r="DG2975" s="256"/>
    </row>
    <row r="2976" spans="104:111">
      <c r="CZ2976" s="256"/>
      <c r="DG2976" s="256"/>
    </row>
    <row r="2977" spans="104:111">
      <c r="CZ2977" s="256"/>
      <c r="DG2977" s="256"/>
    </row>
    <row r="2978" spans="104:111">
      <c r="CZ2978" s="256"/>
      <c r="DG2978" s="256"/>
    </row>
    <row r="2979" spans="104:111">
      <c r="CZ2979" s="256"/>
      <c r="DG2979" s="256"/>
    </row>
    <row r="2980" spans="104:111">
      <c r="CZ2980" s="256"/>
      <c r="DG2980" s="256"/>
    </row>
    <row r="2981" spans="104:111">
      <c r="CZ2981" s="256"/>
      <c r="DG2981" s="256"/>
    </row>
    <row r="2982" spans="104:111">
      <c r="CZ2982" s="256"/>
      <c r="DG2982" s="256"/>
    </row>
    <row r="2983" spans="104:111">
      <c r="CZ2983" s="256"/>
      <c r="DG2983" s="256"/>
    </row>
    <row r="2984" spans="104:111">
      <c r="CZ2984" s="256"/>
      <c r="DG2984" s="256"/>
    </row>
    <row r="2985" spans="104:111">
      <c r="CZ2985" s="256"/>
      <c r="DG2985" s="256"/>
    </row>
    <row r="2986" spans="104:111">
      <c r="CZ2986" s="256"/>
      <c r="DG2986" s="256"/>
    </row>
    <row r="2987" spans="104:111">
      <c r="CZ2987" s="256"/>
      <c r="DG2987" s="256"/>
    </row>
    <row r="2988" spans="104:111">
      <c r="CZ2988" s="256"/>
      <c r="DG2988" s="256"/>
    </row>
    <row r="2989" spans="104:111">
      <c r="CZ2989" s="256"/>
      <c r="DG2989" s="256"/>
    </row>
    <row r="2990" spans="104:111">
      <c r="CZ2990" s="256"/>
      <c r="DG2990" s="256"/>
    </row>
    <row r="2991" spans="104:111">
      <c r="CZ2991" s="256"/>
      <c r="DG2991" s="256"/>
    </row>
    <row r="2992" spans="104:111">
      <c r="CZ2992" s="256"/>
      <c r="DG2992" s="256"/>
    </row>
    <row r="2993" spans="104:111">
      <c r="CZ2993" s="256"/>
      <c r="DG2993" s="256"/>
    </row>
    <row r="2994" spans="104:111">
      <c r="CZ2994" s="256"/>
      <c r="DG2994" s="256"/>
    </row>
    <row r="2995" spans="104:111">
      <c r="CZ2995" s="256"/>
      <c r="DG2995" s="256"/>
    </row>
    <row r="2996" spans="104:111">
      <c r="CZ2996" s="256"/>
      <c r="DG2996" s="256"/>
    </row>
    <row r="2997" spans="104:111">
      <c r="CZ2997" s="256"/>
      <c r="DG2997" s="256"/>
    </row>
    <row r="2998" spans="104:111">
      <c r="CZ2998" s="256"/>
      <c r="DG2998" s="256"/>
    </row>
    <row r="2999" spans="104:111">
      <c r="CZ2999" s="256"/>
      <c r="DG2999" s="256"/>
    </row>
    <row r="3000" spans="104:111">
      <c r="CZ3000" s="256"/>
      <c r="DG3000" s="256"/>
    </row>
    <row r="3001" spans="104:111">
      <c r="CZ3001" s="256"/>
      <c r="DG3001" s="256"/>
    </row>
    <row r="3002" spans="104:111">
      <c r="CZ3002" s="256"/>
      <c r="DG3002" s="256"/>
    </row>
    <row r="3003" spans="104:111">
      <c r="CZ3003" s="256"/>
      <c r="DG3003" s="256"/>
    </row>
    <row r="3004" spans="104:111">
      <c r="CZ3004" s="256"/>
      <c r="DG3004" s="256"/>
    </row>
    <row r="3005" spans="104:111">
      <c r="CZ3005" s="256"/>
      <c r="DG3005" s="256"/>
    </row>
    <row r="3006" spans="104:111">
      <c r="CZ3006" s="256"/>
      <c r="DG3006" s="256"/>
    </row>
    <row r="3007" spans="104:111">
      <c r="CZ3007" s="256"/>
      <c r="DG3007" s="256"/>
    </row>
    <row r="3008" spans="104:111">
      <c r="CZ3008" s="256"/>
      <c r="DG3008" s="256"/>
    </row>
    <row r="3009" spans="104:111">
      <c r="CZ3009" s="256"/>
      <c r="DG3009" s="256"/>
    </row>
    <row r="3010" spans="104:111">
      <c r="CZ3010" s="256"/>
      <c r="DG3010" s="256"/>
    </row>
    <row r="3011" spans="104:111">
      <c r="CZ3011" s="256"/>
      <c r="DG3011" s="256"/>
    </row>
    <row r="3012" spans="104:111">
      <c r="CZ3012" s="256"/>
      <c r="DG3012" s="256"/>
    </row>
    <row r="3013" spans="104:111">
      <c r="CZ3013" s="256"/>
      <c r="DG3013" s="256"/>
    </row>
    <row r="3014" spans="104:111">
      <c r="CZ3014" s="256"/>
      <c r="DG3014" s="256"/>
    </row>
    <row r="3015" spans="104:111">
      <c r="CZ3015" s="256"/>
      <c r="DG3015" s="256"/>
    </row>
    <row r="3016" spans="104:111">
      <c r="CZ3016" s="256"/>
      <c r="DG3016" s="256"/>
    </row>
    <row r="3017" spans="104:111">
      <c r="CZ3017" s="256"/>
      <c r="DG3017" s="256"/>
    </row>
    <row r="3018" spans="104:111">
      <c r="CZ3018" s="256"/>
      <c r="DG3018" s="256"/>
    </row>
    <row r="3019" spans="104:111">
      <c r="CZ3019" s="256"/>
      <c r="DG3019" s="256"/>
    </row>
    <row r="3020" spans="104:111">
      <c r="CZ3020" s="256"/>
      <c r="DG3020" s="256"/>
    </row>
    <row r="3021" spans="104:111">
      <c r="CZ3021" s="256"/>
      <c r="DG3021" s="256"/>
    </row>
    <row r="3022" spans="104:111">
      <c r="CZ3022" s="256"/>
      <c r="DG3022" s="256"/>
    </row>
    <row r="3023" spans="104:111">
      <c r="CZ3023" s="256"/>
      <c r="DG3023" s="256"/>
    </row>
    <row r="3024" spans="104:111">
      <c r="CZ3024" s="256"/>
      <c r="DG3024" s="256"/>
    </row>
    <row r="3025" spans="104:111">
      <c r="CZ3025" s="256"/>
      <c r="DG3025" s="256"/>
    </row>
    <row r="3026" spans="104:111">
      <c r="CZ3026" s="256"/>
      <c r="DG3026" s="256"/>
    </row>
    <row r="3027" spans="104:111">
      <c r="CZ3027" s="256"/>
      <c r="DG3027" s="256"/>
    </row>
    <row r="3028" spans="104:111">
      <c r="CZ3028" s="256"/>
      <c r="DG3028" s="256"/>
    </row>
    <row r="3029" spans="104:111">
      <c r="CZ3029" s="256"/>
      <c r="DG3029" s="256"/>
    </row>
    <row r="3030" spans="104:111">
      <c r="CZ3030" s="256"/>
      <c r="DG3030" s="256"/>
    </row>
    <row r="3031" spans="104:111">
      <c r="CZ3031" s="256"/>
      <c r="DG3031" s="256"/>
    </row>
    <row r="3032" spans="104:111">
      <c r="CZ3032" s="256"/>
      <c r="DG3032" s="256"/>
    </row>
    <row r="3033" spans="104:111">
      <c r="CZ3033" s="256"/>
      <c r="DG3033" s="256"/>
    </row>
    <row r="3034" spans="104:111">
      <c r="CZ3034" s="256"/>
      <c r="DG3034" s="256"/>
    </row>
    <row r="3035" spans="104:111">
      <c r="CZ3035" s="256"/>
      <c r="DG3035" s="256"/>
    </row>
    <row r="3036" spans="104:111">
      <c r="CZ3036" s="256"/>
      <c r="DG3036" s="256"/>
    </row>
    <row r="3037" spans="104:111">
      <c r="CZ3037" s="256"/>
      <c r="DG3037" s="256"/>
    </row>
    <row r="3038" spans="104:111">
      <c r="CZ3038" s="256"/>
      <c r="DG3038" s="256"/>
    </row>
    <row r="3039" spans="104:111">
      <c r="CZ3039" s="256"/>
      <c r="DG3039" s="256"/>
    </row>
    <row r="3040" spans="104:111">
      <c r="CZ3040" s="256"/>
      <c r="DG3040" s="256"/>
    </row>
    <row r="3041" spans="104:111">
      <c r="CZ3041" s="256"/>
      <c r="DG3041" s="256"/>
    </row>
    <row r="3042" spans="104:111">
      <c r="CZ3042" s="256"/>
      <c r="DG3042" s="256"/>
    </row>
    <row r="3043" spans="104:111">
      <c r="CZ3043" s="256"/>
      <c r="DG3043" s="256"/>
    </row>
    <row r="3044" spans="104:111">
      <c r="CZ3044" s="256"/>
      <c r="DG3044" s="256"/>
    </row>
    <row r="3045" spans="104:111">
      <c r="CZ3045" s="256"/>
      <c r="DG3045" s="256"/>
    </row>
    <row r="3046" spans="104:111">
      <c r="CZ3046" s="256"/>
      <c r="DG3046" s="256"/>
    </row>
    <row r="3047" spans="104:111">
      <c r="CZ3047" s="256"/>
      <c r="DG3047" s="256"/>
    </row>
    <row r="3048" spans="104:111">
      <c r="CZ3048" s="256"/>
      <c r="DG3048" s="256"/>
    </row>
    <row r="3049" spans="104:111">
      <c r="CZ3049" s="256"/>
      <c r="DG3049" s="256"/>
    </row>
    <row r="3050" spans="104:111">
      <c r="CZ3050" s="256"/>
      <c r="DG3050" s="256"/>
    </row>
    <row r="3051" spans="104:111">
      <c r="CZ3051" s="256"/>
      <c r="DG3051" s="256"/>
    </row>
    <row r="3052" spans="104:111">
      <c r="CZ3052" s="256"/>
      <c r="DG3052" s="256"/>
    </row>
    <row r="3053" spans="104:111">
      <c r="CZ3053" s="256"/>
      <c r="DG3053" s="256"/>
    </row>
    <row r="3054" spans="104:111">
      <c r="CZ3054" s="256"/>
      <c r="DG3054" s="256"/>
    </row>
    <row r="3055" spans="104:111">
      <c r="CZ3055" s="256"/>
      <c r="DG3055" s="256"/>
    </row>
    <row r="3056" spans="104:111">
      <c r="CZ3056" s="256"/>
      <c r="DG3056" s="256"/>
    </row>
    <row r="3057" spans="104:111">
      <c r="CZ3057" s="256"/>
      <c r="DG3057" s="256"/>
    </row>
    <row r="3058" spans="104:111">
      <c r="CZ3058" s="256"/>
      <c r="DG3058" s="256"/>
    </row>
    <row r="3059" spans="104:111">
      <c r="CZ3059" s="256"/>
      <c r="DG3059" s="256"/>
    </row>
    <row r="3060" spans="104:111">
      <c r="CZ3060" s="256"/>
      <c r="DG3060" s="256"/>
    </row>
    <row r="3061" spans="104:111">
      <c r="CZ3061" s="256"/>
      <c r="DG3061" s="256"/>
    </row>
    <row r="3062" spans="104:111">
      <c r="CZ3062" s="256"/>
      <c r="DG3062" s="256"/>
    </row>
    <row r="3063" spans="104:111">
      <c r="CZ3063" s="256"/>
      <c r="DG3063" s="256"/>
    </row>
    <row r="3064" spans="104:111">
      <c r="CZ3064" s="256"/>
      <c r="DG3064" s="256"/>
    </row>
    <row r="3065" spans="104:111">
      <c r="CZ3065" s="256"/>
      <c r="DG3065" s="256"/>
    </row>
    <row r="3066" spans="104:111">
      <c r="CZ3066" s="256"/>
      <c r="DG3066" s="256"/>
    </row>
    <row r="3067" spans="104:111">
      <c r="CZ3067" s="256"/>
      <c r="DG3067" s="256"/>
    </row>
    <row r="3068" spans="104:111">
      <c r="CZ3068" s="256"/>
      <c r="DG3068" s="256"/>
    </row>
    <row r="3069" spans="104:111">
      <c r="CZ3069" s="256"/>
      <c r="DG3069" s="256"/>
    </row>
    <row r="3070" spans="104:111">
      <c r="CZ3070" s="256"/>
      <c r="DG3070" s="256"/>
    </row>
    <row r="3071" spans="104:111">
      <c r="CZ3071" s="256"/>
      <c r="DG3071" s="256"/>
    </row>
    <row r="3072" spans="104:111">
      <c r="CZ3072" s="256"/>
      <c r="DG3072" s="256"/>
    </row>
    <row r="3073" spans="104:111">
      <c r="CZ3073" s="256"/>
      <c r="DG3073" s="256"/>
    </row>
    <row r="3074" spans="104:111">
      <c r="CZ3074" s="256"/>
      <c r="DG3074" s="256"/>
    </row>
    <row r="3075" spans="104:111">
      <c r="CZ3075" s="256"/>
      <c r="DG3075" s="256"/>
    </row>
    <row r="3076" spans="104:111">
      <c r="CZ3076" s="256"/>
      <c r="DG3076" s="256"/>
    </row>
    <row r="3077" spans="104:111">
      <c r="CZ3077" s="256"/>
      <c r="DG3077" s="256"/>
    </row>
    <row r="3078" spans="104:111">
      <c r="CZ3078" s="256"/>
      <c r="DG3078" s="256"/>
    </row>
    <row r="3079" spans="104:111">
      <c r="CZ3079" s="256"/>
      <c r="DG3079" s="256"/>
    </row>
    <row r="3080" spans="104:111">
      <c r="CZ3080" s="256"/>
      <c r="DG3080" s="256"/>
    </row>
    <row r="3081" spans="104:111">
      <c r="CZ3081" s="256"/>
      <c r="DG3081" s="256"/>
    </row>
    <row r="3082" spans="104:111">
      <c r="CZ3082" s="256"/>
      <c r="DG3082" s="256"/>
    </row>
    <row r="3083" spans="104:111">
      <c r="CZ3083" s="256"/>
      <c r="DG3083" s="256"/>
    </row>
    <row r="3084" spans="104:111">
      <c r="CZ3084" s="256"/>
      <c r="DG3084" s="256"/>
    </row>
    <row r="3085" spans="104:111">
      <c r="CZ3085" s="256"/>
      <c r="DG3085" s="256"/>
    </row>
    <row r="3086" spans="104:111">
      <c r="CZ3086" s="256"/>
      <c r="DG3086" s="256"/>
    </row>
    <row r="3087" spans="104:111">
      <c r="CZ3087" s="256"/>
      <c r="DG3087" s="256"/>
    </row>
    <row r="3088" spans="104:111">
      <c r="CZ3088" s="256"/>
      <c r="DG3088" s="256"/>
    </row>
    <row r="3089" spans="104:111">
      <c r="CZ3089" s="256"/>
      <c r="DG3089" s="256"/>
    </row>
    <row r="3090" spans="104:111">
      <c r="CZ3090" s="256"/>
      <c r="DG3090" s="256"/>
    </row>
    <row r="3091" spans="104:111">
      <c r="CZ3091" s="256"/>
      <c r="DG3091" s="256"/>
    </row>
    <row r="3092" spans="104:111">
      <c r="CZ3092" s="256"/>
      <c r="DG3092" s="256"/>
    </row>
    <row r="3093" spans="104:111">
      <c r="CZ3093" s="256"/>
      <c r="DG3093" s="256"/>
    </row>
    <row r="3094" spans="104:111">
      <c r="CZ3094" s="256"/>
      <c r="DG3094" s="256"/>
    </row>
    <row r="3095" spans="104:111">
      <c r="CZ3095" s="256"/>
      <c r="DG3095" s="256"/>
    </row>
    <row r="3096" spans="104:111">
      <c r="CZ3096" s="256"/>
      <c r="DG3096" s="256"/>
    </row>
    <row r="3097" spans="104:111">
      <c r="CZ3097" s="256"/>
      <c r="DG3097" s="256"/>
    </row>
    <row r="3098" spans="104:111">
      <c r="CZ3098" s="256"/>
      <c r="DG3098" s="256"/>
    </row>
    <row r="3099" spans="104:111">
      <c r="CZ3099" s="256"/>
      <c r="DG3099" s="256"/>
    </row>
    <row r="3100" spans="104:111">
      <c r="CZ3100" s="256"/>
      <c r="DG3100" s="256"/>
    </row>
    <row r="3101" spans="104:111">
      <c r="CZ3101" s="256"/>
      <c r="DG3101" s="256"/>
    </row>
    <row r="3102" spans="104:111">
      <c r="CZ3102" s="256"/>
      <c r="DG3102" s="256"/>
    </row>
    <row r="3103" spans="104:111">
      <c r="CZ3103" s="256"/>
      <c r="DG3103" s="256"/>
    </row>
    <row r="3104" spans="104:111">
      <c r="CZ3104" s="256"/>
      <c r="DG3104" s="256"/>
    </row>
    <row r="3105" spans="104:111">
      <c r="CZ3105" s="256"/>
      <c r="DG3105" s="256"/>
    </row>
    <row r="3106" spans="104:111">
      <c r="CZ3106" s="256"/>
      <c r="DG3106" s="256"/>
    </row>
    <row r="3107" spans="104:111">
      <c r="CZ3107" s="256"/>
      <c r="DG3107" s="256"/>
    </row>
    <row r="3108" spans="104:111">
      <c r="CZ3108" s="256"/>
      <c r="DG3108" s="256"/>
    </row>
    <row r="3109" spans="104:111">
      <c r="CZ3109" s="256"/>
      <c r="DG3109" s="256"/>
    </row>
    <row r="3110" spans="104:111">
      <c r="CZ3110" s="256"/>
      <c r="DG3110" s="256"/>
    </row>
    <row r="3111" spans="104:111">
      <c r="CZ3111" s="256"/>
      <c r="DG3111" s="256"/>
    </row>
    <row r="3112" spans="104:111">
      <c r="CZ3112" s="256"/>
      <c r="DG3112" s="256"/>
    </row>
    <row r="3113" spans="104:111">
      <c r="CZ3113" s="256"/>
      <c r="DG3113" s="256"/>
    </row>
    <row r="3114" spans="104:111">
      <c r="CZ3114" s="256"/>
      <c r="DG3114" s="256"/>
    </row>
    <row r="3115" spans="104:111">
      <c r="CZ3115" s="256"/>
      <c r="DG3115" s="256"/>
    </row>
    <row r="3116" spans="104:111">
      <c r="CZ3116" s="256"/>
      <c r="DG3116" s="256"/>
    </row>
    <row r="3117" spans="104:111">
      <c r="CZ3117" s="256"/>
      <c r="DG3117" s="256"/>
    </row>
    <row r="3118" spans="104:111">
      <c r="CZ3118" s="256"/>
      <c r="DG3118" s="256"/>
    </row>
    <row r="3119" spans="104:111">
      <c r="CZ3119" s="256"/>
      <c r="DG3119" s="256"/>
    </row>
    <row r="3120" spans="104:111">
      <c r="CZ3120" s="256"/>
      <c r="DG3120" s="256"/>
    </row>
    <row r="3121" spans="104:111">
      <c r="CZ3121" s="256"/>
      <c r="DG3121" s="256"/>
    </row>
    <row r="3122" spans="104:111">
      <c r="CZ3122" s="256"/>
      <c r="DG3122" s="256"/>
    </row>
    <row r="3123" spans="104:111">
      <c r="CZ3123" s="256"/>
      <c r="DG3123" s="256"/>
    </row>
    <row r="3124" spans="104:111">
      <c r="CZ3124" s="256"/>
      <c r="DG3124" s="256"/>
    </row>
    <row r="3125" spans="104:111">
      <c r="CZ3125" s="256"/>
      <c r="DG3125" s="256"/>
    </row>
    <row r="3126" spans="104:111">
      <c r="CZ3126" s="256"/>
      <c r="DG3126" s="256"/>
    </row>
    <row r="3127" spans="104:111">
      <c r="CZ3127" s="256"/>
      <c r="DG3127" s="256"/>
    </row>
    <row r="3128" spans="104:111">
      <c r="CZ3128" s="256"/>
      <c r="DG3128" s="256"/>
    </row>
    <row r="3129" spans="104:111">
      <c r="CZ3129" s="256"/>
      <c r="DG3129" s="256"/>
    </row>
    <row r="3130" spans="104:111">
      <c r="CZ3130" s="256"/>
      <c r="DG3130" s="256"/>
    </row>
    <row r="3131" spans="104:111">
      <c r="CZ3131" s="256"/>
      <c r="DG3131" s="256"/>
    </row>
    <row r="3132" spans="104:111">
      <c r="CZ3132" s="256"/>
      <c r="DG3132" s="256"/>
    </row>
    <row r="3133" spans="104:111">
      <c r="CZ3133" s="256"/>
      <c r="DG3133" s="256"/>
    </row>
    <row r="3134" spans="104:111">
      <c r="CZ3134" s="256"/>
      <c r="DG3134" s="256"/>
    </row>
    <row r="3135" spans="104:111">
      <c r="CZ3135" s="256"/>
      <c r="DG3135" s="256"/>
    </row>
    <row r="3136" spans="104:111">
      <c r="CZ3136" s="256"/>
      <c r="DG3136" s="256"/>
    </row>
    <row r="3137" spans="104:111">
      <c r="CZ3137" s="256"/>
      <c r="DG3137" s="256"/>
    </row>
    <row r="3138" spans="104:111">
      <c r="CZ3138" s="256"/>
      <c r="DG3138" s="256"/>
    </row>
    <row r="3139" spans="104:111">
      <c r="CZ3139" s="256"/>
      <c r="DG3139" s="256"/>
    </row>
    <row r="3140" spans="104:111">
      <c r="CZ3140" s="256"/>
      <c r="DG3140" s="256"/>
    </row>
    <row r="3141" spans="104:111">
      <c r="CZ3141" s="256"/>
      <c r="DG3141" s="256"/>
    </row>
    <row r="3142" spans="104:111">
      <c r="CZ3142" s="256"/>
      <c r="DG3142" s="256"/>
    </row>
    <row r="3143" spans="104:111">
      <c r="CZ3143" s="256"/>
      <c r="DG3143" s="256"/>
    </row>
    <row r="3144" spans="104:111">
      <c r="CZ3144" s="256"/>
      <c r="DG3144" s="256"/>
    </row>
    <row r="3145" spans="104:111">
      <c r="CZ3145" s="256"/>
      <c r="DG3145" s="256"/>
    </row>
    <row r="3146" spans="104:111">
      <c r="CZ3146" s="256"/>
      <c r="DG3146" s="256"/>
    </row>
    <row r="3147" spans="104:111">
      <c r="CZ3147" s="256"/>
      <c r="DG3147" s="256"/>
    </row>
    <row r="3148" spans="104:111">
      <c r="CZ3148" s="256"/>
      <c r="DG3148" s="256"/>
    </row>
    <row r="3149" spans="104:111">
      <c r="CZ3149" s="256"/>
      <c r="DG3149" s="256"/>
    </row>
    <row r="3150" spans="104:111">
      <c r="CZ3150" s="256"/>
      <c r="DG3150" s="256"/>
    </row>
    <row r="3151" spans="104:111">
      <c r="CZ3151" s="256"/>
      <c r="DG3151" s="256"/>
    </row>
    <row r="3152" spans="104:111">
      <c r="CZ3152" s="256"/>
      <c r="DG3152" s="256"/>
    </row>
    <row r="3153" spans="104:111">
      <c r="CZ3153" s="256"/>
      <c r="DG3153" s="256"/>
    </row>
    <row r="3154" spans="104:111">
      <c r="CZ3154" s="256"/>
      <c r="DG3154" s="256"/>
    </row>
    <row r="3155" spans="104:111">
      <c r="CZ3155" s="256"/>
      <c r="DG3155" s="256"/>
    </row>
    <row r="3156" spans="104:111">
      <c r="CZ3156" s="256"/>
      <c r="DG3156" s="256"/>
    </row>
    <row r="3157" spans="104:111">
      <c r="CZ3157" s="256"/>
      <c r="DG3157" s="256"/>
    </row>
    <row r="3158" spans="104:111">
      <c r="CZ3158" s="256"/>
      <c r="DG3158" s="256"/>
    </row>
    <row r="3159" spans="104:111">
      <c r="CZ3159" s="256"/>
      <c r="DG3159" s="256"/>
    </row>
    <row r="3160" spans="104:111">
      <c r="CZ3160" s="256"/>
      <c r="DG3160" s="256"/>
    </row>
    <row r="3161" spans="104:111">
      <c r="CZ3161" s="256"/>
      <c r="DG3161" s="256"/>
    </row>
    <row r="3162" spans="104:111">
      <c r="CZ3162" s="256"/>
      <c r="DG3162" s="256"/>
    </row>
    <row r="3163" spans="104:111">
      <c r="CZ3163" s="256"/>
      <c r="DG3163" s="256"/>
    </row>
    <row r="3164" spans="104:111">
      <c r="CZ3164" s="256"/>
      <c r="DG3164" s="256"/>
    </row>
    <row r="3165" spans="104:111">
      <c r="CZ3165" s="256"/>
      <c r="DG3165" s="256"/>
    </row>
    <row r="3166" spans="104:111">
      <c r="CZ3166" s="256"/>
      <c r="DG3166" s="256"/>
    </row>
    <row r="3167" spans="104:111">
      <c r="CZ3167" s="256"/>
      <c r="DG3167" s="256"/>
    </row>
    <row r="3168" spans="104:111">
      <c r="CZ3168" s="256"/>
      <c r="DG3168" s="256"/>
    </row>
    <row r="3169" spans="104:111">
      <c r="CZ3169" s="256"/>
      <c r="DG3169" s="256"/>
    </row>
    <row r="3170" spans="104:111">
      <c r="CZ3170" s="256"/>
      <c r="DG3170" s="256"/>
    </row>
    <row r="3171" spans="104:111">
      <c r="CZ3171" s="256"/>
      <c r="DG3171" s="256"/>
    </row>
    <row r="3172" spans="104:111">
      <c r="CZ3172" s="256"/>
      <c r="DG3172" s="256"/>
    </row>
    <row r="3173" spans="104:111">
      <c r="CZ3173" s="256"/>
      <c r="DG3173" s="256"/>
    </row>
    <row r="3174" spans="104:111">
      <c r="CZ3174" s="256"/>
      <c r="DG3174" s="256"/>
    </row>
    <row r="3175" spans="104:111">
      <c r="CZ3175" s="256"/>
      <c r="DG3175" s="256"/>
    </row>
    <row r="3176" spans="104:111">
      <c r="CZ3176" s="256"/>
      <c r="DG3176" s="256"/>
    </row>
    <row r="3177" spans="104:111">
      <c r="CZ3177" s="256"/>
      <c r="DG3177" s="256"/>
    </row>
    <row r="3178" spans="104:111">
      <c r="CZ3178" s="256"/>
      <c r="DG3178" s="256"/>
    </row>
    <row r="3179" spans="104:111">
      <c r="CZ3179" s="256"/>
      <c r="DG3179" s="256"/>
    </row>
    <row r="3180" spans="104:111">
      <c r="CZ3180" s="256"/>
      <c r="DG3180" s="256"/>
    </row>
    <row r="3181" spans="104:111">
      <c r="CZ3181" s="256"/>
      <c r="DG3181" s="256"/>
    </row>
    <row r="3182" spans="104:111">
      <c r="CZ3182" s="256"/>
      <c r="DG3182" s="256"/>
    </row>
    <row r="3183" spans="104:111">
      <c r="CZ3183" s="256"/>
      <c r="DG3183" s="256"/>
    </row>
    <row r="3184" spans="104:111">
      <c r="CZ3184" s="256"/>
      <c r="DG3184" s="256"/>
    </row>
    <row r="3185" spans="104:111">
      <c r="CZ3185" s="256"/>
      <c r="DG3185" s="256"/>
    </row>
    <row r="3186" spans="104:111">
      <c r="CZ3186" s="256"/>
      <c r="DG3186" s="256"/>
    </row>
    <row r="3187" spans="104:111">
      <c r="CZ3187" s="256"/>
      <c r="DG3187" s="256"/>
    </row>
    <row r="3188" spans="104:111">
      <c r="CZ3188" s="256"/>
      <c r="DG3188" s="256"/>
    </row>
    <row r="3189" spans="104:111">
      <c r="CZ3189" s="256"/>
      <c r="DG3189" s="256"/>
    </row>
    <row r="3190" spans="104:111">
      <c r="CZ3190" s="256"/>
      <c r="DG3190" s="256"/>
    </row>
    <row r="3191" spans="104:111">
      <c r="CZ3191" s="256"/>
      <c r="DG3191" s="256"/>
    </row>
    <row r="3192" spans="104:111">
      <c r="CZ3192" s="256"/>
      <c r="DG3192" s="256"/>
    </row>
    <row r="3193" spans="104:111">
      <c r="CZ3193" s="256"/>
      <c r="DG3193" s="256"/>
    </row>
    <row r="3194" spans="104:111">
      <c r="CZ3194" s="256"/>
      <c r="DG3194" s="256"/>
    </row>
    <row r="3195" spans="104:111">
      <c r="CZ3195" s="256"/>
      <c r="DG3195" s="256"/>
    </row>
    <row r="3196" spans="104:111">
      <c r="CZ3196" s="256"/>
      <c r="DG3196" s="256"/>
    </row>
    <row r="3197" spans="104:111">
      <c r="CZ3197" s="256"/>
      <c r="DG3197" s="256"/>
    </row>
    <row r="3198" spans="104:111">
      <c r="CZ3198" s="256"/>
      <c r="DG3198" s="256"/>
    </row>
    <row r="3199" spans="104:111">
      <c r="CZ3199" s="256"/>
      <c r="DG3199" s="256"/>
    </row>
    <row r="3200" spans="104:111">
      <c r="CZ3200" s="256"/>
      <c r="DG3200" s="256"/>
    </row>
    <row r="3201" spans="104:111">
      <c r="CZ3201" s="256"/>
      <c r="DG3201" s="256"/>
    </row>
    <row r="3202" spans="104:111">
      <c r="CZ3202" s="256"/>
      <c r="DG3202" s="256"/>
    </row>
    <row r="3203" spans="104:111">
      <c r="CZ3203" s="256"/>
      <c r="DG3203" s="256"/>
    </row>
    <row r="3204" spans="104:111">
      <c r="CZ3204" s="256"/>
      <c r="DG3204" s="256"/>
    </row>
    <row r="3205" spans="104:111">
      <c r="CZ3205" s="256"/>
      <c r="DG3205" s="256"/>
    </row>
    <row r="3206" spans="104:111">
      <c r="CZ3206" s="256"/>
      <c r="DG3206" s="256"/>
    </row>
    <row r="3207" spans="104:111">
      <c r="CZ3207" s="256"/>
      <c r="DG3207" s="256"/>
    </row>
    <row r="3208" spans="104:111">
      <c r="CZ3208" s="256"/>
      <c r="DG3208" s="256"/>
    </row>
    <row r="3209" spans="104:111">
      <c r="CZ3209" s="256"/>
      <c r="DG3209" s="256"/>
    </row>
    <row r="3210" spans="104:111">
      <c r="CZ3210" s="256"/>
      <c r="DG3210" s="256"/>
    </row>
    <row r="3211" spans="104:111">
      <c r="CZ3211" s="256"/>
      <c r="DG3211" s="256"/>
    </row>
    <row r="3212" spans="104:111">
      <c r="CZ3212" s="256"/>
      <c r="DG3212" s="256"/>
    </row>
    <row r="3213" spans="104:111">
      <c r="CZ3213" s="256"/>
      <c r="DG3213" s="256"/>
    </row>
    <row r="3214" spans="104:111">
      <c r="CZ3214" s="256"/>
      <c r="DG3214" s="256"/>
    </row>
    <row r="3215" spans="104:111">
      <c r="CZ3215" s="256"/>
      <c r="DG3215" s="256"/>
    </row>
    <row r="3216" spans="104:111">
      <c r="CZ3216" s="256"/>
      <c r="DG3216" s="256"/>
    </row>
    <row r="3217" spans="104:111">
      <c r="CZ3217" s="256"/>
      <c r="DG3217" s="256"/>
    </row>
    <row r="3218" spans="104:111">
      <c r="CZ3218" s="256"/>
      <c r="DG3218" s="256"/>
    </row>
    <row r="3219" spans="104:111">
      <c r="CZ3219" s="256"/>
      <c r="DG3219" s="256"/>
    </row>
    <row r="3220" spans="104:111">
      <c r="CZ3220" s="256"/>
      <c r="DG3220" s="256"/>
    </row>
    <row r="3221" spans="104:111">
      <c r="CZ3221" s="256"/>
      <c r="DG3221" s="256"/>
    </row>
    <row r="3222" spans="104:111">
      <c r="CZ3222" s="256"/>
      <c r="DG3222" s="256"/>
    </row>
    <row r="3223" spans="104:111">
      <c r="CZ3223" s="256"/>
      <c r="DG3223" s="256"/>
    </row>
    <row r="3224" spans="104:111">
      <c r="CZ3224" s="256"/>
      <c r="DG3224" s="256"/>
    </row>
    <row r="3225" spans="104:111">
      <c r="CZ3225" s="256"/>
      <c r="DG3225" s="256"/>
    </row>
    <row r="3226" spans="104:111">
      <c r="CZ3226" s="256"/>
      <c r="DG3226" s="256"/>
    </row>
    <row r="3227" spans="104:111">
      <c r="CZ3227" s="256"/>
      <c r="DG3227" s="256"/>
    </row>
    <row r="3228" spans="104:111">
      <c r="CZ3228" s="256"/>
      <c r="DG3228" s="256"/>
    </row>
    <row r="3229" spans="104:111">
      <c r="CZ3229" s="256"/>
      <c r="DG3229" s="256"/>
    </row>
    <row r="3230" spans="104:111">
      <c r="CZ3230" s="256"/>
      <c r="DG3230" s="256"/>
    </row>
    <row r="3231" spans="104:111">
      <c r="CZ3231" s="256"/>
      <c r="DG3231" s="256"/>
    </row>
    <row r="3232" spans="104:111">
      <c r="CZ3232" s="256"/>
      <c r="DG3232" s="256"/>
    </row>
    <row r="3233" spans="104:111">
      <c r="CZ3233" s="256"/>
      <c r="DG3233" s="256"/>
    </row>
    <row r="3234" spans="104:111">
      <c r="CZ3234" s="256"/>
      <c r="DG3234" s="256"/>
    </row>
    <row r="3235" spans="104:111">
      <c r="CZ3235" s="256"/>
      <c r="DG3235" s="256"/>
    </row>
    <row r="3236" spans="104:111">
      <c r="CZ3236" s="256"/>
      <c r="DG3236" s="256"/>
    </row>
    <row r="3237" spans="104:111">
      <c r="CZ3237" s="256"/>
      <c r="DG3237" s="256"/>
    </row>
    <row r="3238" spans="104:111">
      <c r="CZ3238" s="256"/>
      <c r="DG3238" s="256"/>
    </row>
    <row r="3239" spans="104:111">
      <c r="CZ3239" s="256"/>
      <c r="DG3239" s="256"/>
    </row>
    <row r="3240" spans="104:111">
      <c r="CZ3240" s="256"/>
      <c r="DG3240" s="256"/>
    </row>
    <row r="3241" spans="104:111">
      <c r="CZ3241" s="256"/>
      <c r="DG3241" s="256"/>
    </row>
    <row r="3242" spans="104:111">
      <c r="CZ3242" s="256"/>
      <c r="DG3242" s="256"/>
    </row>
    <row r="3243" spans="104:111">
      <c r="CZ3243" s="256"/>
      <c r="DG3243" s="256"/>
    </row>
    <row r="3244" spans="104:111">
      <c r="CZ3244" s="256"/>
      <c r="DG3244" s="256"/>
    </row>
    <row r="3245" spans="104:111">
      <c r="CZ3245" s="256"/>
      <c r="DG3245" s="256"/>
    </row>
    <row r="3246" spans="104:111">
      <c r="CZ3246" s="256"/>
      <c r="DG3246" s="256"/>
    </row>
    <row r="3247" spans="104:111">
      <c r="CZ3247" s="256"/>
      <c r="DG3247" s="256"/>
    </row>
    <row r="3248" spans="104:111">
      <c r="CZ3248" s="256"/>
      <c r="DG3248" s="256"/>
    </row>
    <row r="3249" spans="104:111">
      <c r="CZ3249" s="256"/>
      <c r="DG3249" s="256"/>
    </row>
    <row r="3250" spans="104:111">
      <c r="CZ3250" s="256"/>
      <c r="DG3250" s="256"/>
    </row>
    <row r="3251" spans="104:111">
      <c r="CZ3251" s="256"/>
      <c r="DG3251" s="256"/>
    </row>
    <row r="3252" spans="104:111">
      <c r="CZ3252" s="256"/>
      <c r="DG3252" s="256"/>
    </row>
    <row r="3253" spans="104:111">
      <c r="CZ3253" s="256"/>
      <c r="DG3253" s="256"/>
    </row>
    <row r="3254" spans="104:111">
      <c r="CZ3254" s="256"/>
      <c r="DG3254" s="256"/>
    </row>
    <row r="3255" spans="104:111">
      <c r="CZ3255" s="256"/>
      <c r="DG3255" s="256"/>
    </row>
    <row r="3256" spans="104:111">
      <c r="CZ3256" s="256"/>
      <c r="DG3256" s="256"/>
    </row>
    <row r="3257" spans="104:111">
      <c r="CZ3257" s="256"/>
      <c r="DG3257" s="256"/>
    </row>
    <row r="3258" spans="104:111">
      <c r="CZ3258" s="256"/>
      <c r="DG3258" s="256"/>
    </row>
    <row r="3259" spans="104:111">
      <c r="CZ3259" s="256"/>
      <c r="DG3259" s="256"/>
    </row>
    <row r="3260" spans="104:111">
      <c r="CZ3260" s="256"/>
      <c r="DG3260" s="256"/>
    </row>
    <row r="3261" spans="104:111">
      <c r="CZ3261" s="256"/>
      <c r="DG3261" s="256"/>
    </row>
    <row r="3262" spans="104:111">
      <c r="CZ3262" s="256"/>
      <c r="DG3262" s="256"/>
    </row>
    <row r="3263" spans="104:111">
      <c r="CZ3263" s="256"/>
      <c r="DG3263" s="256"/>
    </row>
    <row r="3264" spans="104:111">
      <c r="CZ3264" s="256"/>
      <c r="DG3264" s="256"/>
    </row>
    <row r="3265" spans="104:111">
      <c r="CZ3265" s="256"/>
      <c r="DG3265" s="256"/>
    </row>
    <row r="3266" spans="104:111">
      <c r="CZ3266" s="256"/>
      <c r="DG3266" s="256"/>
    </row>
    <row r="3267" spans="104:111">
      <c r="CZ3267" s="256"/>
      <c r="DG3267" s="256"/>
    </row>
    <row r="3268" spans="104:111">
      <c r="CZ3268" s="256"/>
      <c r="DG3268" s="256"/>
    </row>
    <row r="3269" spans="104:111">
      <c r="CZ3269" s="256"/>
      <c r="DG3269" s="256"/>
    </row>
    <row r="3270" spans="104:111">
      <c r="CZ3270" s="256"/>
      <c r="DG3270" s="256"/>
    </row>
    <row r="3271" spans="104:111">
      <c r="CZ3271" s="256"/>
      <c r="DG3271" s="256"/>
    </row>
    <row r="3272" spans="104:111">
      <c r="CZ3272" s="256"/>
      <c r="DG3272" s="256"/>
    </row>
    <row r="3273" spans="104:111">
      <c r="CZ3273" s="256"/>
      <c r="DG3273" s="256"/>
    </row>
    <row r="3274" spans="104:111">
      <c r="CZ3274" s="256"/>
      <c r="DG3274" s="256"/>
    </row>
    <row r="3275" spans="104:111">
      <c r="CZ3275" s="256"/>
      <c r="DG3275" s="256"/>
    </row>
    <row r="3276" spans="104:111">
      <c r="CZ3276" s="256"/>
      <c r="DG3276" s="256"/>
    </row>
    <row r="3277" spans="104:111">
      <c r="CZ3277" s="256"/>
      <c r="DG3277" s="256"/>
    </row>
    <row r="3278" spans="104:111">
      <c r="CZ3278" s="256"/>
      <c r="DG3278" s="256"/>
    </row>
    <row r="3279" spans="104:111">
      <c r="CZ3279" s="256"/>
      <c r="DG3279" s="256"/>
    </row>
    <row r="3280" spans="104:111">
      <c r="CZ3280" s="256"/>
      <c r="DG3280" s="256"/>
    </row>
    <row r="3281" spans="104:111">
      <c r="CZ3281" s="256"/>
      <c r="DG3281" s="256"/>
    </row>
    <row r="3282" spans="104:111">
      <c r="CZ3282" s="256"/>
      <c r="DG3282" s="256"/>
    </row>
    <row r="3283" spans="104:111">
      <c r="CZ3283" s="256"/>
      <c r="DG3283" s="256"/>
    </row>
    <row r="3284" spans="104:111">
      <c r="CZ3284" s="256"/>
      <c r="DG3284" s="256"/>
    </row>
    <row r="3285" spans="104:111">
      <c r="CZ3285" s="256"/>
      <c r="DG3285" s="256"/>
    </row>
    <row r="3286" spans="104:111">
      <c r="CZ3286" s="256"/>
      <c r="DG3286" s="256"/>
    </row>
    <row r="3287" spans="104:111">
      <c r="CZ3287" s="256"/>
      <c r="DG3287" s="256"/>
    </row>
    <row r="3288" spans="104:111">
      <c r="CZ3288" s="256"/>
      <c r="DG3288" s="256"/>
    </row>
    <row r="3289" spans="104:111">
      <c r="CZ3289" s="256"/>
      <c r="DG3289" s="256"/>
    </row>
    <row r="3290" spans="104:111">
      <c r="CZ3290" s="256"/>
      <c r="DG3290" s="256"/>
    </row>
    <row r="3291" spans="104:111">
      <c r="CZ3291" s="256"/>
      <c r="DG3291" s="256"/>
    </row>
    <row r="3292" spans="104:111">
      <c r="CZ3292" s="256"/>
      <c r="DG3292" s="256"/>
    </row>
    <row r="3293" spans="104:111">
      <c r="CZ3293" s="256"/>
      <c r="DG3293" s="256"/>
    </row>
    <row r="3294" spans="104:111">
      <c r="CZ3294" s="256"/>
      <c r="DG3294" s="256"/>
    </row>
    <row r="3295" spans="104:111">
      <c r="CZ3295" s="256"/>
      <c r="DG3295" s="256"/>
    </row>
    <row r="3296" spans="104:111">
      <c r="CZ3296" s="256"/>
      <c r="DG3296" s="256"/>
    </row>
    <row r="3297" spans="104:111">
      <c r="CZ3297" s="256"/>
      <c r="DG3297" s="256"/>
    </row>
    <row r="3298" spans="104:111">
      <c r="CZ3298" s="256"/>
      <c r="DG3298" s="256"/>
    </row>
    <row r="3299" spans="104:111">
      <c r="CZ3299" s="256"/>
      <c r="DG3299" s="256"/>
    </row>
    <row r="3300" spans="104:111">
      <c r="CZ3300" s="256"/>
      <c r="DG3300" s="256"/>
    </row>
    <row r="3301" spans="104:111">
      <c r="CZ3301" s="256"/>
      <c r="DG3301" s="256"/>
    </row>
    <row r="3302" spans="104:111">
      <c r="CZ3302" s="256"/>
      <c r="DG3302" s="256"/>
    </row>
    <row r="3303" spans="104:111">
      <c r="CZ3303" s="256"/>
      <c r="DG3303" s="256"/>
    </row>
    <row r="3304" spans="104:111">
      <c r="CZ3304" s="256"/>
      <c r="DG3304" s="256"/>
    </row>
    <row r="3305" spans="104:111">
      <c r="CZ3305" s="256"/>
      <c r="DG3305" s="256"/>
    </row>
    <row r="3306" spans="104:111">
      <c r="CZ3306" s="256"/>
      <c r="DG3306" s="256"/>
    </row>
    <row r="3307" spans="104:111">
      <c r="CZ3307" s="256"/>
      <c r="DG3307" s="256"/>
    </row>
    <row r="3308" spans="104:111">
      <c r="CZ3308" s="256"/>
      <c r="DG3308" s="256"/>
    </row>
    <row r="3309" spans="104:111">
      <c r="CZ3309" s="256"/>
      <c r="DG3309" s="256"/>
    </row>
    <row r="3310" spans="104:111">
      <c r="CZ3310" s="256"/>
      <c r="DG3310" s="256"/>
    </row>
    <row r="3311" spans="104:111">
      <c r="CZ3311" s="256"/>
      <c r="DG3311" s="256"/>
    </row>
    <row r="3312" spans="104:111">
      <c r="CZ3312" s="256"/>
      <c r="DG3312" s="256"/>
    </row>
    <row r="3313" spans="104:111">
      <c r="CZ3313" s="256"/>
      <c r="DG3313" s="256"/>
    </row>
    <row r="3314" spans="104:111">
      <c r="CZ3314" s="256"/>
      <c r="DG3314" s="256"/>
    </row>
    <row r="3315" spans="104:111">
      <c r="CZ3315" s="256"/>
      <c r="DG3315" s="256"/>
    </row>
    <row r="3316" spans="104:111">
      <c r="CZ3316" s="256"/>
      <c r="DG3316" s="256"/>
    </row>
    <row r="3317" spans="104:111">
      <c r="CZ3317" s="256"/>
      <c r="DG3317" s="256"/>
    </row>
    <row r="3318" spans="104:111">
      <c r="CZ3318" s="256"/>
      <c r="DG3318" s="256"/>
    </row>
    <row r="3319" spans="104:111">
      <c r="CZ3319" s="256"/>
      <c r="DG3319" s="256"/>
    </row>
    <row r="3320" spans="104:111">
      <c r="CZ3320" s="256"/>
      <c r="DG3320" s="256"/>
    </row>
    <row r="3321" spans="104:111">
      <c r="CZ3321" s="256"/>
      <c r="DG3321" s="256"/>
    </row>
    <row r="3322" spans="104:111">
      <c r="CZ3322" s="256"/>
      <c r="DG3322" s="256"/>
    </row>
    <row r="3323" spans="104:111">
      <c r="CZ3323" s="256"/>
      <c r="DG3323" s="256"/>
    </row>
    <row r="3324" spans="104:111">
      <c r="CZ3324" s="256"/>
      <c r="DG3324" s="256"/>
    </row>
    <row r="3325" spans="104:111">
      <c r="CZ3325" s="256"/>
      <c r="DG3325" s="256"/>
    </row>
    <row r="3326" spans="104:111">
      <c r="CZ3326" s="256"/>
      <c r="DG3326" s="256"/>
    </row>
    <row r="3327" spans="104:111">
      <c r="CZ3327" s="256"/>
      <c r="DG3327" s="256"/>
    </row>
    <row r="3328" spans="104:111">
      <c r="CZ3328" s="256"/>
      <c r="DG3328" s="256"/>
    </row>
    <row r="3329" spans="104:111">
      <c r="CZ3329" s="256"/>
      <c r="DG3329" s="256"/>
    </row>
    <row r="3330" spans="104:111">
      <c r="CZ3330" s="256"/>
      <c r="DG3330" s="256"/>
    </row>
    <row r="3331" spans="104:111">
      <c r="CZ3331" s="256"/>
      <c r="DG3331" s="256"/>
    </row>
    <row r="3332" spans="104:111">
      <c r="CZ3332" s="256"/>
      <c r="DG3332" s="256"/>
    </row>
    <row r="3333" spans="104:111">
      <c r="CZ3333" s="256"/>
      <c r="DG3333" s="256"/>
    </row>
    <row r="3334" spans="104:111">
      <c r="CZ3334" s="256"/>
      <c r="DG3334" s="256"/>
    </row>
    <row r="3335" spans="104:111">
      <c r="CZ3335" s="256"/>
      <c r="DG3335" s="256"/>
    </row>
    <row r="3336" spans="104:111">
      <c r="CZ3336" s="256"/>
      <c r="DG3336" s="256"/>
    </row>
    <row r="3337" spans="104:111">
      <c r="CZ3337" s="256"/>
      <c r="DG3337" s="256"/>
    </row>
    <row r="3338" spans="104:111">
      <c r="CZ3338" s="256"/>
      <c r="DG3338" s="256"/>
    </row>
    <row r="3339" spans="104:111">
      <c r="CZ3339" s="256"/>
      <c r="DG3339" s="256"/>
    </row>
    <row r="3340" spans="104:111">
      <c r="CZ3340" s="256"/>
      <c r="DG3340" s="256"/>
    </row>
    <row r="3341" spans="104:111">
      <c r="CZ3341" s="256"/>
      <c r="DG3341" s="256"/>
    </row>
    <row r="3342" spans="104:111">
      <c r="CZ3342" s="256"/>
      <c r="DG3342" s="256"/>
    </row>
    <row r="3343" spans="104:111">
      <c r="CZ3343" s="256"/>
      <c r="DG3343" s="256"/>
    </row>
    <row r="3344" spans="104:111">
      <c r="CZ3344" s="256"/>
      <c r="DG3344" s="256"/>
    </row>
    <row r="3345" spans="104:111">
      <c r="CZ3345" s="256"/>
      <c r="DG3345" s="256"/>
    </row>
    <row r="3346" spans="104:111">
      <c r="CZ3346" s="256"/>
      <c r="DG3346" s="256"/>
    </row>
    <row r="3347" spans="104:111">
      <c r="CZ3347" s="256"/>
      <c r="DG3347" s="256"/>
    </row>
    <row r="3348" spans="104:111">
      <c r="CZ3348" s="256"/>
      <c r="DG3348" s="256"/>
    </row>
    <row r="3349" spans="104:111">
      <c r="CZ3349" s="256"/>
      <c r="DG3349" s="256"/>
    </row>
    <row r="3350" spans="104:111">
      <c r="CZ3350" s="256"/>
      <c r="DG3350" s="256"/>
    </row>
    <row r="3351" spans="104:111">
      <c r="CZ3351" s="256"/>
      <c r="DG3351" s="256"/>
    </row>
    <row r="3352" spans="104:111">
      <c r="CZ3352" s="256"/>
      <c r="DG3352" s="256"/>
    </row>
    <row r="3353" spans="104:111">
      <c r="CZ3353" s="256"/>
      <c r="DG3353" s="256"/>
    </row>
    <row r="3354" spans="104:111">
      <c r="CZ3354" s="256"/>
      <c r="DG3354" s="256"/>
    </row>
    <row r="3355" spans="104:111">
      <c r="CZ3355" s="256"/>
      <c r="DG3355" s="256"/>
    </row>
    <row r="3356" spans="104:111">
      <c r="CZ3356" s="256"/>
      <c r="DG3356" s="256"/>
    </row>
    <row r="3357" spans="104:111">
      <c r="CZ3357" s="256"/>
      <c r="DG3357" s="256"/>
    </row>
    <row r="3358" spans="104:111">
      <c r="CZ3358" s="256"/>
      <c r="DG3358" s="256"/>
    </row>
    <row r="3359" spans="104:111">
      <c r="CZ3359" s="256"/>
      <c r="DG3359" s="256"/>
    </row>
    <row r="3360" spans="104:111">
      <c r="CZ3360" s="256"/>
      <c r="DG3360" s="256"/>
    </row>
    <row r="3361" spans="104:111">
      <c r="CZ3361" s="256"/>
      <c r="DG3361" s="256"/>
    </row>
    <row r="3362" spans="104:111">
      <c r="CZ3362" s="256"/>
      <c r="DG3362" s="256"/>
    </row>
    <row r="3363" spans="104:111">
      <c r="CZ3363" s="256"/>
      <c r="DG3363" s="256"/>
    </row>
    <row r="3364" spans="104:111">
      <c r="CZ3364" s="256"/>
      <c r="DG3364" s="256"/>
    </row>
    <row r="3365" spans="104:111">
      <c r="CZ3365" s="256"/>
      <c r="DG3365" s="256"/>
    </row>
    <row r="3366" spans="104:111">
      <c r="CZ3366" s="256"/>
      <c r="DG3366" s="256"/>
    </row>
    <row r="3367" spans="104:111">
      <c r="CZ3367" s="256"/>
      <c r="DG3367" s="256"/>
    </row>
    <row r="3368" spans="104:111">
      <c r="CZ3368" s="256"/>
      <c r="DG3368" s="256"/>
    </row>
    <row r="3369" spans="104:111">
      <c r="CZ3369" s="256"/>
      <c r="DG3369" s="256"/>
    </row>
    <row r="3370" spans="104:111">
      <c r="CZ3370" s="256"/>
      <c r="DG3370" s="256"/>
    </row>
    <row r="3371" spans="104:111">
      <c r="CZ3371" s="256"/>
      <c r="DG3371" s="256"/>
    </row>
    <row r="3372" spans="104:111">
      <c r="CZ3372" s="256"/>
      <c r="DG3372" s="256"/>
    </row>
    <row r="3373" spans="104:111">
      <c r="CZ3373" s="256"/>
      <c r="DG3373" s="256"/>
    </row>
    <row r="3374" spans="104:111">
      <c r="CZ3374" s="256"/>
      <c r="DG3374" s="256"/>
    </row>
    <row r="3375" spans="104:111">
      <c r="CZ3375" s="256"/>
      <c r="DG3375" s="256"/>
    </row>
    <row r="3376" spans="104:111">
      <c r="CZ3376" s="256"/>
      <c r="DG3376" s="256"/>
    </row>
    <row r="3377" spans="104:111">
      <c r="CZ3377" s="256"/>
      <c r="DG3377" s="256"/>
    </row>
    <row r="3378" spans="104:111">
      <c r="CZ3378" s="256"/>
      <c r="DG3378" s="256"/>
    </row>
    <row r="3379" spans="104:111">
      <c r="CZ3379" s="256"/>
      <c r="DG3379" s="256"/>
    </row>
    <row r="3380" spans="104:111">
      <c r="CZ3380" s="256"/>
      <c r="DG3380" s="256"/>
    </row>
    <row r="3381" spans="104:111">
      <c r="CZ3381" s="256"/>
      <c r="DG3381" s="256"/>
    </row>
    <row r="3382" spans="104:111">
      <c r="CZ3382" s="256"/>
      <c r="DG3382" s="256"/>
    </row>
    <row r="3383" spans="104:111">
      <c r="CZ3383" s="256"/>
      <c r="DG3383" s="256"/>
    </row>
    <row r="3384" spans="104:111">
      <c r="CZ3384" s="256"/>
      <c r="DG3384" s="256"/>
    </row>
    <row r="3385" spans="104:111">
      <c r="CZ3385" s="256"/>
      <c r="DG3385" s="256"/>
    </row>
    <row r="3386" spans="104:111">
      <c r="CZ3386" s="256"/>
      <c r="DG3386" s="256"/>
    </row>
    <row r="3387" spans="104:111">
      <c r="CZ3387" s="256"/>
      <c r="DG3387" s="256"/>
    </row>
    <row r="3388" spans="104:111">
      <c r="CZ3388" s="256"/>
      <c r="DG3388" s="256"/>
    </row>
    <row r="3389" spans="104:111">
      <c r="CZ3389" s="256"/>
      <c r="DG3389" s="256"/>
    </row>
    <row r="3390" spans="104:111">
      <c r="CZ3390" s="256"/>
      <c r="DG3390" s="256"/>
    </row>
    <row r="3391" spans="104:111">
      <c r="CZ3391" s="256"/>
      <c r="DG3391" s="256"/>
    </row>
    <row r="3392" spans="104:111">
      <c r="CZ3392" s="256"/>
      <c r="DG3392" s="256"/>
    </row>
    <row r="3393" spans="104:111">
      <c r="CZ3393" s="256"/>
      <c r="DG3393" s="256"/>
    </row>
    <row r="3394" spans="104:111">
      <c r="CZ3394" s="256"/>
      <c r="DG3394" s="256"/>
    </row>
    <row r="3395" spans="104:111">
      <c r="CZ3395" s="256"/>
      <c r="DG3395" s="256"/>
    </row>
    <row r="3396" spans="104:111">
      <c r="CZ3396" s="256"/>
      <c r="DG3396" s="256"/>
    </row>
    <row r="3397" spans="104:111">
      <c r="CZ3397" s="256"/>
      <c r="DG3397" s="256"/>
    </row>
    <row r="3398" spans="104:111">
      <c r="CZ3398" s="256"/>
      <c r="DG3398" s="256"/>
    </row>
    <row r="3399" spans="104:111">
      <c r="CZ3399" s="256"/>
      <c r="DG3399" s="256"/>
    </row>
    <row r="3400" spans="104:111">
      <c r="CZ3400" s="256"/>
      <c r="DG3400" s="256"/>
    </row>
    <row r="3401" spans="104:111">
      <c r="CZ3401" s="256"/>
      <c r="DG3401" s="256"/>
    </row>
    <row r="3402" spans="104:111">
      <c r="CZ3402" s="256"/>
      <c r="DG3402" s="256"/>
    </row>
    <row r="3403" spans="104:111">
      <c r="CZ3403" s="256"/>
      <c r="DG3403" s="256"/>
    </row>
    <row r="3404" spans="104:111">
      <c r="CZ3404" s="256"/>
      <c r="DG3404" s="256"/>
    </row>
    <row r="3405" spans="104:111">
      <c r="CZ3405" s="256"/>
      <c r="DG3405" s="256"/>
    </row>
    <row r="3406" spans="104:111">
      <c r="CZ3406" s="256"/>
      <c r="DG3406" s="256"/>
    </row>
    <row r="3407" spans="104:111">
      <c r="CZ3407" s="256"/>
      <c r="DG3407" s="256"/>
    </row>
    <row r="3408" spans="104:111">
      <c r="CZ3408" s="256"/>
      <c r="DG3408" s="256"/>
    </row>
    <row r="3409" spans="104:111">
      <c r="CZ3409" s="256"/>
      <c r="DG3409" s="256"/>
    </row>
    <row r="3410" spans="104:111">
      <c r="CZ3410" s="256"/>
      <c r="DG3410" s="256"/>
    </row>
    <row r="3411" spans="104:111">
      <c r="CZ3411" s="256"/>
      <c r="DG3411" s="256"/>
    </row>
    <row r="3412" spans="104:111">
      <c r="CZ3412" s="256"/>
      <c r="DG3412" s="256"/>
    </row>
    <row r="3413" spans="104:111">
      <c r="CZ3413" s="256"/>
      <c r="DG3413" s="256"/>
    </row>
    <row r="3414" spans="104:111">
      <c r="CZ3414" s="256"/>
      <c r="DG3414" s="256"/>
    </row>
    <row r="3415" spans="104:111">
      <c r="CZ3415" s="256"/>
      <c r="DG3415" s="256"/>
    </row>
    <row r="3416" spans="104:111">
      <c r="CZ3416" s="256"/>
      <c r="DG3416" s="256"/>
    </row>
    <row r="3417" spans="104:111">
      <c r="CZ3417" s="256"/>
      <c r="DG3417" s="256"/>
    </row>
    <row r="3418" spans="104:111">
      <c r="CZ3418" s="256"/>
      <c r="DG3418" s="256"/>
    </row>
    <row r="3419" spans="104:111">
      <c r="CZ3419" s="256"/>
      <c r="DG3419" s="256"/>
    </row>
    <row r="3420" spans="104:111">
      <c r="CZ3420" s="256"/>
      <c r="DG3420" s="256"/>
    </row>
    <row r="3421" spans="104:111">
      <c r="CZ3421" s="256"/>
      <c r="DG3421" s="256"/>
    </row>
    <row r="3422" spans="104:111">
      <c r="CZ3422" s="256"/>
      <c r="DG3422" s="256"/>
    </row>
    <row r="3423" spans="104:111">
      <c r="CZ3423" s="256"/>
      <c r="DG3423" s="256"/>
    </row>
    <row r="3424" spans="104:111">
      <c r="CZ3424" s="256"/>
      <c r="DG3424" s="256"/>
    </row>
    <row r="3425" spans="104:111">
      <c r="CZ3425" s="256"/>
      <c r="DG3425" s="256"/>
    </row>
    <row r="3426" spans="104:111">
      <c r="CZ3426" s="256"/>
      <c r="DG3426" s="256"/>
    </row>
    <row r="3427" spans="104:111">
      <c r="CZ3427" s="256"/>
      <c r="DG3427" s="256"/>
    </row>
    <row r="3428" spans="104:111">
      <c r="CZ3428" s="256"/>
      <c r="DG3428" s="256"/>
    </row>
    <row r="3429" spans="104:111">
      <c r="CZ3429" s="256"/>
      <c r="DG3429" s="256"/>
    </row>
    <row r="3430" spans="104:111">
      <c r="CZ3430" s="256"/>
      <c r="DG3430" s="256"/>
    </row>
    <row r="3431" spans="104:111">
      <c r="CZ3431" s="256"/>
      <c r="DG3431" s="256"/>
    </row>
    <row r="3432" spans="104:111">
      <c r="CZ3432" s="256"/>
      <c r="DG3432" s="256"/>
    </row>
    <row r="3433" spans="104:111">
      <c r="CZ3433" s="256"/>
      <c r="DG3433" s="256"/>
    </row>
    <row r="3434" spans="104:111">
      <c r="CZ3434" s="256"/>
      <c r="DG3434" s="256"/>
    </row>
    <row r="3435" spans="104:111">
      <c r="CZ3435" s="256"/>
      <c r="DG3435" s="256"/>
    </row>
    <row r="3436" spans="104:111">
      <c r="CZ3436" s="256"/>
      <c r="DG3436" s="256"/>
    </row>
    <row r="3437" spans="104:111">
      <c r="CZ3437" s="256"/>
      <c r="DG3437" s="256"/>
    </row>
    <row r="3438" spans="104:111">
      <c r="CZ3438" s="256"/>
      <c r="DG3438" s="256"/>
    </row>
    <row r="3439" spans="104:111">
      <c r="CZ3439" s="256"/>
      <c r="DG3439" s="256"/>
    </row>
    <row r="3440" spans="104:111">
      <c r="CZ3440" s="256"/>
      <c r="DG3440" s="256"/>
    </row>
    <row r="3441" spans="104:111">
      <c r="CZ3441" s="256"/>
      <c r="DG3441" s="256"/>
    </row>
    <row r="3442" spans="104:111">
      <c r="CZ3442" s="256"/>
      <c r="DG3442" s="256"/>
    </row>
    <row r="3443" spans="104:111">
      <c r="CZ3443" s="256"/>
      <c r="DG3443" s="256"/>
    </row>
    <row r="3444" spans="104:111">
      <c r="CZ3444" s="256"/>
      <c r="DG3444" s="256"/>
    </row>
    <row r="3445" spans="104:111">
      <c r="CZ3445" s="256"/>
      <c r="DG3445" s="256"/>
    </row>
    <row r="3446" spans="104:111">
      <c r="CZ3446" s="256"/>
      <c r="DG3446" s="256"/>
    </row>
    <row r="3447" spans="104:111">
      <c r="CZ3447" s="256"/>
      <c r="DG3447" s="256"/>
    </row>
    <row r="3448" spans="104:111">
      <c r="CZ3448" s="256"/>
      <c r="DG3448" s="256"/>
    </row>
    <row r="3449" spans="104:111">
      <c r="CZ3449" s="256"/>
      <c r="DG3449" s="256"/>
    </row>
    <row r="3450" spans="104:111">
      <c r="CZ3450" s="256"/>
      <c r="DG3450" s="256"/>
    </row>
    <row r="3451" spans="104:111">
      <c r="CZ3451" s="256"/>
      <c r="DG3451" s="256"/>
    </row>
    <row r="3452" spans="104:111">
      <c r="CZ3452" s="256"/>
      <c r="DG3452" s="256"/>
    </row>
    <row r="3453" spans="104:111">
      <c r="CZ3453" s="256"/>
      <c r="DG3453" s="256"/>
    </row>
    <row r="3454" spans="104:111">
      <c r="CZ3454" s="256"/>
      <c r="DG3454" s="256"/>
    </row>
    <row r="3455" spans="104:111">
      <c r="CZ3455" s="256"/>
      <c r="DG3455" s="256"/>
    </row>
    <row r="3456" spans="104:111">
      <c r="CZ3456" s="256"/>
      <c r="DG3456" s="256"/>
    </row>
    <row r="3457" spans="104:111">
      <c r="CZ3457" s="256"/>
      <c r="DG3457" s="256"/>
    </row>
    <row r="3458" spans="104:111">
      <c r="CZ3458" s="256"/>
      <c r="DG3458" s="256"/>
    </row>
    <row r="3459" spans="104:111">
      <c r="CZ3459" s="256"/>
      <c r="DG3459" s="256"/>
    </row>
    <row r="3460" spans="104:111">
      <c r="CZ3460" s="256"/>
      <c r="DG3460" s="256"/>
    </row>
    <row r="3461" spans="104:111">
      <c r="CZ3461" s="256"/>
      <c r="DG3461" s="256"/>
    </row>
    <row r="3462" spans="104:111">
      <c r="CZ3462" s="256"/>
      <c r="DG3462" s="256"/>
    </row>
    <row r="3463" spans="104:111">
      <c r="CZ3463" s="256"/>
      <c r="DG3463" s="256"/>
    </row>
    <row r="3464" spans="104:111">
      <c r="CZ3464" s="256"/>
      <c r="DG3464" s="256"/>
    </row>
    <row r="3465" spans="104:111">
      <c r="CZ3465" s="256"/>
      <c r="DG3465" s="256"/>
    </row>
    <row r="3466" spans="104:111">
      <c r="CZ3466" s="256"/>
      <c r="DG3466" s="256"/>
    </row>
    <row r="3467" spans="104:111">
      <c r="CZ3467" s="256"/>
      <c r="DG3467" s="256"/>
    </row>
    <row r="3468" spans="104:111">
      <c r="CZ3468" s="256"/>
      <c r="DG3468" s="256"/>
    </row>
    <row r="3469" spans="104:111">
      <c r="CZ3469" s="256"/>
      <c r="DG3469" s="256"/>
    </row>
    <row r="3470" spans="104:111">
      <c r="CZ3470" s="256"/>
      <c r="DG3470" s="256"/>
    </row>
    <row r="3471" spans="104:111">
      <c r="CZ3471" s="256"/>
      <c r="DG3471" s="256"/>
    </row>
    <row r="3472" spans="104:111">
      <c r="CZ3472" s="256"/>
      <c r="DG3472" s="256"/>
    </row>
    <row r="3473" spans="104:111">
      <c r="CZ3473" s="256"/>
      <c r="DG3473" s="256"/>
    </row>
    <row r="3474" spans="104:111">
      <c r="CZ3474" s="256"/>
      <c r="DG3474" s="256"/>
    </row>
    <row r="3475" spans="104:111">
      <c r="CZ3475" s="256"/>
      <c r="DG3475" s="256"/>
    </row>
    <row r="3476" spans="104:111">
      <c r="CZ3476" s="256"/>
      <c r="DG3476" s="256"/>
    </row>
    <row r="3477" spans="104:111">
      <c r="CZ3477" s="256"/>
      <c r="DG3477" s="256"/>
    </row>
    <row r="3478" spans="104:111">
      <c r="CZ3478" s="256"/>
      <c r="DG3478" s="256"/>
    </row>
    <row r="3479" spans="104:111">
      <c r="CZ3479" s="256"/>
      <c r="DG3479" s="256"/>
    </row>
    <row r="3480" spans="104:111">
      <c r="CZ3480" s="256"/>
      <c r="DG3480" s="256"/>
    </row>
    <row r="3481" spans="104:111">
      <c r="CZ3481" s="256"/>
      <c r="DG3481" s="256"/>
    </row>
    <row r="3482" spans="104:111">
      <c r="CZ3482" s="256"/>
      <c r="DG3482" s="256"/>
    </row>
    <row r="3483" spans="104:111">
      <c r="CZ3483" s="256"/>
      <c r="DG3483" s="256"/>
    </row>
    <row r="3484" spans="104:111">
      <c r="CZ3484" s="256"/>
      <c r="DG3484" s="256"/>
    </row>
    <row r="3485" spans="104:111">
      <c r="CZ3485" s="256"/>
      <c r="DG3485" s="256"/>
    </row>
    <row r="3486" spans="104:111">
      <c r="CZ3486" s="256"/>
      <c r="DG3486" s="256"/>
    </row>
    <row r="3487" spans="104:111">
      <c r="CZ3487" s="256"/>
      <c r="DG3487" s="256"/>
    </row>
    <row r="3488" spans="104:111">
      <c r="CZ3488" s="256"/>
      <c r="DG3488" s="256"/>
    </row>
    <row r="3489" spans="104:111">
      <c r="CZ3489" s="256"/>
      <c r="DG3489" s="256"/>
    </row>
    <row r="3490" spans="104:111">
      <c r="CZ3490" s="256"/>
      <c r="DG3490" s="256"/>
    </row>
    <row r="3491" spans="104:111">
      <c r="CZ3491" s="256"/>
      <c r="DG3491" s="256"/>
    </row>
    <row r="3492" spans="104:111">
      <c r="CZ3492" s="256"/>
      <c r="DG3492" s="256"/>
    </row>
    <row r="3493" spans="104:111">
      <c r="CZ3493" s="256"/>
      <c r="DG3493" s="256"/>
    </row>
    <row r="3494" spans="104:111">
      <c r="CZ3494" s="256"/>
      <c r="DG3494" s="256"/>
    </row>
    <row r="3495" spans="104:111">
      <c r="CZ3495" s="256"/>
      <c r="DG3495" s="256"/>
    </row>
    <row r="3496" spans="104:111">
      <c r="CZ3496" s="256"/>
      <c r="DG3496" s="256"/>
    </row>
    <row r="3497" spans="104:111">
      <c r="CZ3497" s="256"/>
      <c r="DG3497" s="256"/>
    </row>
    <row r="3498" spans="104:111">
      <c r="CZ3498" s="256"/>
      <c r="DG3498" s="256"/>
    </row>
    <row r="3499" spans="104:111">
      <c r="CZ3499" s="256"/>
      <c r="DG3499" s="256"/>
    </row>
    <row r="3500" spans="104:111">
      <c r="CZ3500" s="256"/>
      <c r="DG3500" s="256"/>
    </row>
    <row r="3501" spans="104:111">
      <c r="CZ3501" s="256"/>
      <c r="DG3501" s="256"/>
    </row>
    <row r="3502" spans="104:111">
      <c r="CZ3502" s="256"/>
      <c r="DG3502" s="256"/>
    </row>
    <row r="3503" spans="104:111">
      <c r="CZ3503" s="256"/>
      <c r="DG3503" s="256"/>
    </row>
    <row r="3504" spans="104:111">
      <c r="CZ3504" s="256"/>
      <c r="DG3504" s="256"/>
    </row>
    <row r="3505" spans="104:111">
      <c r="CZ3505" s="256"/>
      <c r="DG3505" s="256"/>
    </row>
    <row r="3506" spans="104:111">
      <c r="CZ3506" s="256"/>
      <c r="DG3506" s="256"/>
    </row>
    <row r="3507" spans="104:111">
      <c r="CZ3507" s="256"/>
      <c r="DG3507" s="256"/>
    </row>
    <row r="3508" spans="104:111">
      <c r="CZ3508" s="256"/>
      <c r="DG3508" s="256"/>
    </row>
    <row r="3509" spans="104:111">
      <c r="CZ3509" s="256"/>
      <c r="DG3509" s="256"/>
    </row>
    <row r="3510" spans="104:111">
      <c r="CZ3510" s="256"/>
      <c r="DG3510" s="256"/>
    </row>
    <row r="3511" spans="104:111">
      <c r="CZ3511" s="256"/>
      <c r="DG3511" s="256"/>
    </row>
    <row r="3512" spans="104:111">
      <c r="CZ3512" s="256"/>
      <c r="DG3512" s="256"/>
    </row>
    <row r="3513" spans="104:111">
      <c r="CZ3513" s="256"/>
      <c r="DG3513" s="256"/>
    </row>
    <row r="3514" spans="104:111">
      <c r="CZ3514" s="256"/>
      <c r="DG3514" s="256"/>
    </row>
    <row r="3515" spans="104:111">
      <c r="CZ3515" s="256"/>
      <c r="DG3515" s="256"/>
    </row>
    <row r="3516" spans="104:111">
      <c r="CZ3516" s="256"/>
      <c r="DG3516" s="256"/>
    </row>
    <row r="3517" spans="104:111">
      <c r="CZ3517" s="256"/>
      <c r="DG3517" s="256"/>
    </row>
    <row r="3518" spans="104:111">
      <c r="CZ3518" s="256"/>
      <c r="DG3518" s="256"/>
    </row>
    <row r="3519" spans="104:111">
      <c r="CZ3519" s="256"/>
      <c r="DG3519" s="256"/>
    </row>
    <row r="3520" spans="104:111">
      <c r="CZ3520" s="256"/>
      <c r="DG3520" s="256"/>
    </row>
    <row r="3521" spans="104:111">
      <c r="CZ3521" s="256"/>
      <c r="DG3521" s="256"/>
    </row>
    <row r="3522" spans="104:111">
      <c r="CZ3522" s="256"/>
      <c r="DG3522" s="256"/>
    </row>
    <row r="3523" spans="104:111">
      <c r="CZ3523" s="256"/>
      <c r="DG3523" s="256"/>
    </row>
    <row r="3524" spans="104:111">
      <c r="CZ3524" s="256"/>
      <c r="DG3524" s="256"/>
    </row>
    <row r="3525" spans="104:111">
      <c r="CZ3525" s="256"/>
      <c r="DG3525" s="256"/>
    </row>
    <row r="3526" spans="104:111">
      <c r="CZ3526" s="256"/>
      <c r="DG3526" s="256"/>
    </row>
    <row r="3527" spans="104:111">
      <c r="CZ3527" s="256"/>
      <c r="DG3527" s="256"/>
    </row>
    <row r="3528" spans="104:111">
      <c r="CZ3528" s="256"/>
      <c r="DG3528" s="256"/>
    </row>
    <row r="3529" spans="104:111">
      <c r="CZ3529" s="256"/>
      <c r="DG3529" s="256"/>
    </row>
    <row r="3530" spans="104:111">
      <c r="CZ3530" s="256"/>
      <c r="DG3530" s="256"/>
    </row>
    <row r="3531" spans="104:111">
      <c r="CZ3531" s="256"/>
      <c r="DG3531" s="256"/>
    </row>
    <row r="3532" spans="104:111">
      <c r="CZ3532" s="256"/>
      <c r="DG3532" s="256"/>
    </row>
    <row r="3533" spans="104:111">
      <c r="CZ3533" s="256"/>
      <c r="DG3533" s="256"/>
    </row>
    <row r="3534" spans="104:111">
      <c r="CZ3534" s="256"/>
      <c r="DG3534" s="256"/>
    </row>
    <row r="3535" spans="104:111">
      <c r="CZ3535" s="256"/>
      <c r="DG3535" s="256"/>
    </row>
    <row r="3536" spans="104:111">
      <c r="CZ3536" s="256"/>
      <c r="DG3536" s="256"/>
    </row>
    <row r="3537" spans="104:111">
      <c r="CZ3537" s="256"/>
      <c r="DG3537" s="256"/>
    </row>
    <row r="3538" spans="104:111">
      <c r="CZ3538" s="256"/>
      <c r="DG3538" s="256"/>
    </row>
    <row r="3539" spans="104:111">
      <c r="CZ3539" s="256"/>
      <c r="DG3539" s="256"/>
    </row>
    <row r="3540" spans="104:111">
      <c r="CZ3540" s="256"/>
      <c r="DG3540" s="256"/>
    </row>
    <row r="3541" spans="104:111">
      <c r="CZ3541" s="256"/>
      <c r="DG3541" s="256"/>
    </row>
    <row r="3542" spans="104:111">
      <c r="CZ3542" s="256"/>
      <c r="DG3542" s="256"/>
    </row>
    <row r="3543" spans="104:111">
      <c r="CZ3543" s="256"/>
      <c r="DG3543" s="256"/>
    </row>
    <row r="3544" spans="104:111">
      <c r="CZ3544" s="256"/>
      <c r="DG3544" s="256"/>
    </row>
    <row r="3545" spans="104:111">
      <c r="CZ3545" s="256"/>
      <c r="DG3545" s="256"/>
    </row>
    <row r="3546" spans="104:111">
      <c r="CZ3546" s="256"/>
      <c r="DG3546" s="256"/>
    </row>
    <row r="3547" spans="104:111">
      <c r="CZ3547" s="256"/>
      <c r="DG3547" s="256"/>
    </row>
    <row r="3548" spans="104:111">
      <c r="CZ3548" s="256"/>
      <c r="DG3548" s="256"/>
    </row>
    <row r="3549" spans="104:111">
      <c r="CZ3549" s="256"/>
      <c r="DG3549" s="256"/>
    </row>
    <row r="3550" spans="104:111">
      <c r="CZ3550" s="256"/>
      <c r="DG3550" s="256"/>
    </row>
    <row r="3551" spans="104:111">
      <c r="CZ3551" s="256"/>
      <c r="DG3551" s="256"/>
    </row>
    <row r="3552" spans="104:111">
      <c r="CZ3552" s="256"/>
      <c r="DG3552" s="256"/>
    </row>
    <row r="3553" spans="104:111">
      <c r="CZ3553" s="256"/>
      <c r="DG3553" s="256"/>
    </row>
    <row r="3554" spans="104:111">
      <c r="CZ3554" s="256"/>
      <c r="DG3554" s="256"/>
    </row>
    <row r="3555" spans="104:111">
      <c r="CZ3555" s="256"/>
      <c r="DG3555" s="256"/>
    </row>
    <row r="3556" spans="104:111">
      <c r="CZ3556" s="256"/>
      <c r="DG3556" s="256"/>
    </row>
    <row r="3557" spans="104:111">
      <c r="CZ3557" s="256"/>
      <c r="DG3557" s="256"/>
    </row>
    <row r="3558" spans="104:111">
      <c r="CZ3558" s="256"/>
      <c r="DG3558" s="256"/>
    </row>
    <row r="3559" spans="104:111">
      <c r="CZ3559" s="256"/>
      <c r="DG3559" s="256"/>
    </row>
    <row r="3560" spans="104:111">
      <c r="CZ3560" s="256"/>
      <c r="DG3560" s="256"/>
    </row>
    <row r="3561" spans="104:111">
      <c r="CZ3561" s="256"/>
      <c r="DG3561" s="256"/>
    </row>
    <row r="3562" spans="104:111">
      <c r="CZ3562" s="256"/>
      <c r="DG3562" s="256"/>
    </row>
    <row r="3563" spans="104:111">
      <c r="CZ3563" s="256"/>
      <c r="DG3563" s="256"/>
    </row>
    <row r="3564" spans="104:111">
      <c r="CZ3564" s="256"/>
      <c r="DG3564" s="256"/>
    </row>
    <row r="3565" spans="104:111">
      <c r="CZ3565" s="256"/>
      <c r="DG3565" s="256"/>
    </row>
    <row r="3566" spans="104:111">
      <c r="CZ3566" s="256"/>
      <c r="DG3566" s="256"/>
    </row>
    <row r="3567" spans="104:111">
      <c r="CZ3567" s="256"/>
      <c r="DG3567" s="256"/>
    </row>
    <row r="3568" spans="104:111">
      <c r="CZ3568" s="256"/>
      <c r="DG3568" s="256"/>
    </row>
    <row r="3569" spans="104:111">
      <c r="CZ3569" s="256"/>
      <c r="DG3569" s="256"/>
    </row>
    <row r="3570" spans="104:111">
      <c r="CZ3570" s="256"/>
      <c r="DG3570" s="256"/>
    </row>
    <row r="3571" spans="104:111">
      <c r="CZ3571" s="256"/>
      <c r="DG3571" s="256"/>
    </row>
    <row r="3572" spans="104:111">
      <c r="CZ3572" s="256"/>
      <c r="DG3572" s="256"/>
    </row>
    <row r="3573" spans="104:111">
      <c r="CZ3573" s="256"/>
      <c r="DG3573" s="256"/>
    </row>
    <row r="3574" spans="104:111">
      <c r="CZ3574" s="256"/>
      <c r="DG3574" s="256"/>
    </row>
    <row r="3575" spans="104:111">
      <c r="CZ3575" s="256"/>
      <c r="DG3575" s="256"/>
    </row>
    <row r="3576" spans="104:111">
      <c r="CZ3576" s="256"/>
      <c r="DG3576" s="256"/>
    </row>
    <row r="3577" spans="104:111">
      <c r="CZ3577" s="256"/>
      <c r="DG3577" s="256"/>
    </row>
    <row r="3578" spans="104:111">
      <c r="CZ3578" s="256"/>
      <c r="DG3578" s="256"/>
    </row>
    <row r="3579" spans="104:111">
      <c r="CZ3579" s="256"/>
      <c r="DG3579" s="256"/>
    </row>
    <row r="3580" spans="104:111">
      <c r="CZ3580" s="256"/>
      <c r="DG3580" s="256"/>
    </row>
    <row r="3581" spans="104:111">
      <c r="CZ3581" s="256"/>
      <c r="DG3581" s="256"/>
    </row>
    <row r="3582" spans="104:111">
      <c r="CZ3582" s="256"/>
      <c r="DG3582" s="256"/>
    </row>
    <row r="3583" spans="104:111">
      <c r="CZ3583" s="256"/>
      <c r="DG3583" s="256"/>
    </row>
    <row r="3584" spans="104:111">
      <c r="CZ3584" s="256"/>
      <c r="DG3584" s="256"/>
    </row>
    <row r="3585" spans="104:111">
      <c r="CZ3585" s="256"/>
      <c r="DG3585" s="256"/>
    </row>
    <row r="3586" spans="104:111">
      <c r="CZ3586" s="256"/>
      <c r="DG3586" s="256"/>
    </row>
    <row r="3587" spans="104:111">
      <c r="CZ3587" s="256"/>
      <c r="DG3587" s="256"/>
    </row>
    <row r="3588" spans="104:111">
      <c r="CZ3588" s="256"/>
      <c r="DG3588" s="256"/>
    </row>
    <row r="3589" spans="104:111">
      <c r="CZ3589" s="256"/>
      <c r="DG3589" s="256"/>
    </row>
    <row r="3590" spans="104:111">
      <c r="CZ3590" s="256"/>
      <c r="DG3590" s="256"/>
    </row>
    <row r="3591" spans="104:111">
      <c r="CZ3591" s="256"/>
      <c r="DG3591" s="256"/>
    </row>
    <row r="3592" spans="104:111">
      <c r="CZ3592" s="256"/>
      <c r="DG3592" s="256"/>
    </row>
    <row r="3593" spans="104:111">
      <c r="CZ3593" s="256"/>
      <c r="DG3593" s="256"/>
    </row>
    <row r="3594" spans="104:111">
      <c r="CZ3594" s="256"/>
      <c r="DG3594" s="256"/>
    </row>
    <row r="3595" spans="104:111">
      <c r="CZ3595" s="256"/>
      <c r="DG3595" s="256"/>
    </row>
    <row r="3596" spans="104:111">
      <c r="CZ3596" s="256"/>
      <c r="DG3596" s="256"/>
    </row>
    <row r="3597" spans="104:111">
      <c r="CZ3597" s="256"/>
      <c r="DG3597" s="256"/>
    </row>
    <row r="3598" spans="104:111">
      <c r="CZ3598" s="256"/>
      <c r="DG3598" s="256"/>
    </row>
    <row r="3599" spans="104:111">
      <c r="CZ3599" s="256"/>
      <c r="DG3599" s="256"/>
    </row>
    <row r="3600" spans="104:111">
      <c r="CZ3600" s="256"/>
      <c r="DG3600" s="256"/>
    </row>
    <row r="3601" spans="104:111">
      <c r="CZ3601" s="256"/>
      <c r="DG3601" s="256"/>
    </row>
    <row r="3602" spans="104:111">
      <c r="CZ3602" s="256"/>
      <c r="DG3602" s="256"/>
    </row>
    <row r="3603" spans="104:111">
      <c r="CZ3603" s="256"/>
      <c r="DG3603" s="256"/>
    </row>
    <row r="3604" spans="104:111">
      <c r="CZ3604" s="256"/>
      <c r="DG3604" s="256"/>
    </row>
    <row r="3605" spans="104:111">
      <c r="CZ3605" s="256"/>
      <c r="DG3605" s="256"/>
    </row>
    <row r="3606" spans="104:111">
      <c r="CZ3606" s="256"/>
      <c r="DG3606" s="256"/>
    </row>
    <row r="3607" spans="104:111">
      <c r="CZ3607" s="256"/>
      <c r="DG3607" s="256"/>
    </row>
    <row r="3608" spans="104:111">
      <c r="CZ3608" s="256"/>
      <c r="DG3608" s="256"/>
    </row>
    <row r="3609" spans="104:111">
      <c r="CZ3609" s="256"/>
      <c r="DG3609" s="256"/>
    </row>
    <row r="3610" spans="104:111">
      <c r="CZ3610" s="256"/>
      <c r="DG3610" s="256"/>
    </row>
    <row r="3611" spans="104:111">
      <c r="CZ3611" s="256"/>
      <c r="DG3611" s="256"/>
    </row>
    <row r="3612" spans="104:111">
      <c r="CZ3612" s="256"/>
      <c r="DG3612" s="256"/>
    </row>
    <row r="3613" spans="104:111">
      <c r="CZ3613" s="256"/>
      <c r="DG3613" s="256"/>
    </row>
    <row r="3614" spans="104:111">
      <c r="CZ3614" s="256"/>
      <c r="DG3614" s="256"/>
    </row>
    <row r="3615" spans="104:111">
      <c r="CZ3615" s="256"/>
      <c r="DG3615" s="256"/>
    </row>
    <row r="3616" spans="104:111">
      <c r="CZ3616" s="256"/>
      <c r="DG3616" s="256"/>
    </row>
    <row r="3617" spans="104:111">
      <c r="CZ3617" s="256"/>
      <c r="DG3617" s="256"/>
    </row>
    <row r="3618" spans="104:111">
      <c r="CZ3618" s="256"/>
      <c r="DG3618" s="256"/>
    </row>
    <row r="3619" spans="104:111">
      <c r="CZ3619" s="256"/>
      <c r="DG3619" s="256"/>
    </row>
    <row r="3620" spans="104:111">
      <c r="CZ3620" s="256"/>
      <c r="DG3620" s="256"/>
    </row>
    <row r="3621" spans="104:111">
      <c r="CZ3621" s="256"/>
      <c r="DG3621" s="256"/>
    </row>
    <row r="3622" spans="104:111">
      <c r="CZ3622" s="256"/>
      <c r="DG3622" s="256"/>
    </row>
    <row r="3623" spans="104:111">
      <c r="CZ3623" s="256"/>
      <c r="DG3623" s="256"/>
    </row>
    <row r="3624" spans="104:111">
      <c r="CZ3624" s="256"/>
      <c r="DG3624" s="256"/>
    </row>
    <row r="3625" spans="104:111">
      <c r="CZ3625" s="256"/>
      <c r="DG3625" s="256"/>
    </row>
    <row r="3626" spans="104:111">
      <c r="CZ3626" s="256"/>
      <c r="DG3626" s="256"/>
    </row>
    <row r="3627" spans="104:111">
      <c r="CZ3627" s="256"/>
      <c r="DG3627" s="256"/>
    </row>
    <row r="3628" spans="104:111">
      <c r="CZ3628" s="256"/>
      <c r="DG3628" s="256"/>
    </row>
    <row r="3629" spans="104:111">
      <c r="CZ3629" s="256"/>
      <c r="DG3629" s="256"/>
    </row>
    <row r="3630" spans="104:111">
      <c r="CZ3630" s="256"/>
      <c r="DG3630" s="256"/>
    </row>
    <row r="3631" spans="104:111">
      <c r="CZ3631" s="256"/>
      <c r="DG3631" s="256"/>
    </row>
    <row r="3632" spans="104:111">
      <c r="CZ3632" s="256"/>
      <c r="DG3632" s="256"/>
    </row>
    <row r="3633" spans="104:111">
      <c r="CZ3633" s="256"/>
      <c r="DG3633" s="256"/>
    </row>
    <row r="3634" spans="104:111">
      <c r="CZ3634" s="256"/>
      <c r="DG3634" s="256"/>
    </row>
    <row r="3635" spans="104:111">
      <c r="CZ3635" s="256"/>
      <c r="DG3635" s="256"/>
    </row>
    <row r="3636" spans="104:111">
      <c r="CZ3636" s="256"/>
      <c r="DG3636" s="256"/>
    </row>
    <row r="3637" spans="104:111">
      <c r="CZ3637" s="256"/>
      <c r="DG3637" s="256"/>
    </row>
    <row r="3638" spans="104:111">
      <c r="CZ3638" s="256"/>
      <c r="DG3638" s="256"/>
    </row>
    <row r="3639" spans="104:111">
      <c r="CZ3639" s="256"/>
      <c r="DG3639" s="256"/>
    </row>
    <row r="3640" spans="104:111">
      <c r="CZ3640" s="256"/>
      <c r="DG3640" s="256"/>
    </row>
    <row r="3641" spans="104:111">
      <c r="CZ3641" s="256"/>
      <c r="DG3641" s="256"/>
    </row>
    <row r="3642" spans="104:111">
      <c r="CZ3642" s="256"/>
      <c r="DG3642" s="256"/>
    </row>
    <row r="3643" spans="104:111">
      <c r="CZ3643" s="256"/>
      <c r="DG3643" s="256"/>
    </row>
    <row r="3644" spans="104:111">
      <c r="CZ3644" s="256"/>
      <c r="DG3644" s="256"/>
    </row>
    <row r="3645" spans="104:111">
      <c r="CZ3645" s="256"/>
      <c r="DG3645" s="256"/>
    </row>
    <row r="3646" spans="104:111">
      <c r="CZ3646" s="256"/>
      <c r="DG3646" s="256"/>
    </row>
    <row r="3647" spans="104:111">
      <c r="CZ3647" s="256"/>
      <c r="DG3647" s="256"/>
    </row>
    <row r="3648" spans="104:111">
      <c r="CZ3648" s="256"/>
      <c r="DG3648" s="256"/>
    </row>
    <row r="3649" spans="104:111">
      <c r="CZ3649" s="256"/>
      <c r="DG3649" s="256"/>
    </row>
    <row r="3650" spans="104:111">
      <c r="CZ3650" s="256"/>
      <c r="DG3650" s="256"/>
    </row>
    <row r="3651" spans="104:111">
      <c r="CZ3651" s="256"/>
      <c r="DG3651" s="256"/>
    </row>
    <row r="3652" spans="104:111">
      <c r="CZ3652" s="256"/>
      <c r="DG3652" s="256"/>
    </row>
    <row r="3653" spans="104:111">
      <c r="CZ3653" s="256"/>
      <c r="DG3653" s="256"/>
    </row>
    <row r="3654" spans="104:111">
      <c r="CZ3654" s="256"/>
      <c r="DG3654" s="256"/>
    </row>
    <row r="3655" spans="104:111">
      <c r="CZ3655" s="256"/>
      <c r="DG3655" s="256"/>
    </row>
    <row r="3656" spans="104:111">
      <c r="CZ3656" s="256"/>
      <c r="DG3656" s="256"/>
    </row>
    <row r="3657" spans="104:111">
      <c r="CZ3657" s="256"/>
      <c r="DG3657" s="256"/>
    </row>
    <row r="3658" spans="104:111">
      <c r="CZ3658" s="256"/>
      <c r="DG3658" s="256"/>
    </row>
    <row r="3659" spans="104:111">
      <c r="CZ3659" s="256"/>
      <c r="DG3659" s="256"/>
    </row>
    <row r="3660" spans="104:111">
      <c r="CZ3660" s="256"/>
      <c r="DG3660" s="256"/>
    </row>
    <row r="3661" spans="104:111">
      <c r="CZ3661" s="256"/>
      <c r="DG3661" s="256"/>
    </row>
    <row r="3662" spans="104:111">
      <c r="CZ3662" s="256"/>
      <c r="DG3662" s="256"/>
    </row>
    <row r="3663" spans="104:111">
      <c r="CZ3663" s="256"/>
      <c r="DG3663" s="256"/>
    </row>
    <row r="3664" spans="104:111">
      <c r="CZ3664" s="256"/>
      <c r="DG3664" s="256"/>
    </row>
    <row r="3665" spans="104:111">
      <c r="CZ3665" s="256"/>
      <c r="DG3665" s="256"/>
    </row>
    <row r="3666" spans="104:111">
      <c r="CZ3666" s="256"/>
      <c r="DG3666" s="256"/>
    </row>
    <row r="3667" spans="104:111">
      <c r="CZ3667" s="256"/>
      <c r="DG3667" s="256"/>
    </row>
    <row r="3668" spans="104:111">
      <c r="CZ3668" s="256"/>
      <c r="DG3668" s="256"/>
    </row>
    <row r="3669" spans="104:111">
      <c r="CZ3669" s="256"/>
      <c r="DG3669" s="256"/>
    </row>
    <row r="3670" spans="104:111">
      <c r="CZ3670" s="256"/>
      <c r="DG3670" s="256"/>
    </row>
    <row r="3671" spans="104:111">
      <c r="CZ3671" s="256"/>
      <c r="DG3671" s="256"/>
    </row>
    <row r="3672" spans="104:111">
      <c r="CZ3672" s="256"/>
      <c r="DG3672" s="256"/>
    </row>
    <row r="3673" spans="104:111">
      <c r="CZ3673" s="256"/>
      <c r="DG3673" s="256"/>
    </row>
    <row r="3674" spans="104:111">
      <c r="CZ3674" s="256"/>
      <c r="DG3674" s="256"/>
    </row>
    <row r="3675" spans="104:111">
      <c r="CZ3675" s="256"/>
      <c r="DG3675" s="256"/>
    </row>
    <row r="3676" spans="104:111">
      <c r="CZ3676" s="256"/>
      <c r="DG3676" s="256"/>
    </row>
    <row r="3677" spans="104:111">
      <c r="CZ3677" s="256"/>
      <c r="DG3677" s="256"/>
    </row>
    <row r="3678" spans="104:111">
      <c r="CZ3678" s="256"/>
      <c r="DG3678" s="256"/>
    </row>
    <row r="3679" spans="104:111">
      <c r="CZ3679" s="256"/>
      <c r="DG3679" s="256"/>
    </row>
    <row r="3680" spans="104:111">
      <c r="CZ3680" s="256"/>
      <c r="DG3680" s="256"/>
    </row>
    <row r="3681" spans="104:111">
      <c r="CZ3681" s="256"/>
      <c r="DG3681" s="256"/>
    </row>
    <row r="3682" spans="104:111">
      <c r="CZ3682" s="256"/>
      <c r="DG3682" s="256"/>
    </row>
    <row r="3683" spans="104:111">
      <c r="CZ3683" s="256"/>
      <c r="DG3683" s="256"/>
    </row>
    <row r="3684" spans="104:111">
      <c r="CZ3684" s="256"/>
      <c r="DG3684" s="256"/>
    </row>
    <row r="3685" spans="104:111">
      <c r="CZ3685" s="256"/>
      <c r="DG3685" s="256"/>
    </row>
    <row r="3686" spans="104:111">
      <c r="CZ3686" s="256"/>
      <c r="DG3686" s="256"/>
    </row>
    <row r="3687" spans="104:111">
      <c r="CZ3687" s="256"/>
      <c r="DG3687" s="256"/>
    </row>
    <row r="3688" spans="104:111">
      <c r="CZ3688" s="256"/>
      <c r="DG3688" s="256"/>
    </row>
    <row r="3689" spans="104:111">
      <c r="CZ3689" s="256"/>
      <c r="DG3689" s="256"/>
    </row>
    <row r="3690" spans="104:111">
      <c r="CZ3690" s="256"/>
      <c r="DG3690" s="256"/>
    </row>
    <row r="3691" spans="104:111">
      <c r="CZ3691" s="256"/>
      <c r="DG3691" s="256"/>
    </row>
    <row r="3692" spans="104:111">
      <c r="CZ3692" s="256"/>
      <c r="DG3692" s="256"/>
    </row>
    <row r="3693" spans="104:111">
      <c r="CZ3693" s="256"/>
      <c r="DG3693" s="256"/>
    </row>
    <row r="3694" spans="104:111">
      <c r="CZ3694" s="256"/>
      <c r="DG3694" s="256"/>
    </row>
    <row r="3695" spans="104:111">
      <c r="CZ3695" s="256"/>
      <c r="DG3695" s="256"/>
    </row>
    <row r="3696" spans="104:111">
      <c r="CZ3696" s="256"/>
      <c r="DG3696" s="256"/>
    </row>
    <row r="3697" spans="104:111">
      <c r="CZ3697" s="256"/>
      <c r="DG3697" s="256"/>
    </row>
    <row r="3698" spans="104:111">
      <c r="CZ3698" s="256"/>
      <c r="DG3698" s="256"/>
    </row>
    <row r="3699" spans="104:111">
      <c r="CZ3699" s="256"/>
      <c r="DG3699" s="256"/>
    </row>
    <row r="3700" spans="104:111">
      <c r="CZ3700" s="256"/>
      <c r="DG3700" s="256"/>
    </row>
    <row r="3701" spans="104:111">
      <c r="CZ3701" s="256"/>
      <c r="DG3701" s="256"/>
    </row>
    <row r="3702" spans="104:111">
      <c r="CZ3702" s="256"/>
      <c r="DG3702" s="256"/>
    </row>
    <row r="3703" spans="104:111">
      <c r="CZ3703" s="256"/>
      <c r="DG3703" s="256"/>
    </row>
    <row r="3704" spans="104:111">
      <c r="CZ3704" s="256"/>
      <c r="DG3704" s="256"/>
    </row>
    <row r="3705" spans="104:111">
      <c r="CZ3705" s="256"/>
      <c r="DG3705" s="256"/>
    </row>
    <row r="3706" spans="104:111">
      <c r="CZ3706" s="256"/>
      <c r="DG3706" s="256"/>
    </row>
    <row r="3707" spans="104:111">
      <c r="CZ3707" s="256"/>
      <c r="DG3707" s="256"/>
    </row>
    <row r="3708" spans="104:111">
      <c r="CZ3708" s="256"/>
      <c r="DG3708" s="256"/>
    </row>
    <row r="3709" spans="104:111">
      <c r="CZ3709" s="256"/>
      <c r="DG3709" s="256"/>
    </row>
    <row r="3710" spans="104:111">
      <c r="CZ3710" s="256"/>
      <c r="DG3710" s="256"/>
    </row>
    <row r="3711" spans="104:111">
      <c r="CZ3711" s="256"/>
      <c r="DG3711" s="256"/>
    </row>
    <row r="3712" spans="104:111">
      <c r="CZ3712" s="256"/>
      <c r="DG3712" s="256"/>
    </row>
    <row r="3713" spans="104:111">
      <c r="CZ3713" s="256"/>
      <c r="DG3713" s="256"/>
    </row>
    <row r="3714" spans="104:111">
      <c r="CZ3714" s="256"/>
      <c r="DG3714" s="256"/>
    </row>
    <row r="3715" spans="104:111">
      <c r="CZ3715" s="256"/>
      <c r="DG3715" s="256"/>
    </row>
    <row r="3716" spans="104:111">
      <c r="CZ3716" s="256"/>
      <c r="DG3716" s="256"/>
    </row>
    <row r="3717" spans="104:111">
      <c r="CZ3717" s="256"/>
      <c r="DG3717" s="256"/>
    </row>
    <row r="3718" spans="104:111">
      <c r="CZ3718" s="256"/>
      <c r="DG3718" s="256"/>
    </row>
    <row r="3719" spans="104:111">
      <c r="CZ3719" s="256"/>
      <c r="DG3719" s="256"/>
    </row>
    <row r="3720" spans="104:111">
      <c r="CZ3720" s="256"/>
      <c r="DG3720" s="256"/>
    </row>
    <row r="3721" spans="104:111">
      <c r="CZ3721" s="256"/>
      <c r="DG3721" s="256"/>
    </row>
    <row r="3722" spans="104:111">
      <c r="CZ3722" s="256"/>
      <c r="DG3722" s="256"/>
    </row>
    <row r="3723" spans="104:111">
      <c r="CZ3723" s="256"/>
      <c r="DG3723" s="256"/>
    </row>
    <row r="3724" spans="104:111">
      <c r="CZ3724" s="256"/>
      <c r="DG3724" s="256"/>
    </row>
    <row r="3725" spans="104:111">
      <c r="CZ3725" s="256"/>
      <c r="DG3725" s="256"/>
    </row>
    <row r="3726" spans="104:111">
      <c r="CZ3726" s="256"/>
      <c r="DG3726" s="256"/>
    </row>
    <row r="3727" spans="104:111">
      <c r="CZ3727" s="256"/>
      <c r="DG3727" s="256"/>
    </row>
    <row r="3728" spans="104:111">
      <c r="CZ3728" s="256"/>
      <c r="DG3728" s="256"/>
    </row>
    <row r="3729" spans="104:111">
      <c r="CZ3729" s="256"/>
      <c r="DG3729" s="256"/>
    </row>
    <row r="3730" spans="104:111">
      <c r="CZ3730" s="256"/>
      <c r="DG3730" s="256"/>
    </row>
    <row r="3731" spans="104:111">
      <c r="CZ3731" s="256"/>
      <c r="DG3731" s="256"/>
    </row>
    <row r="3732" spans="104:111">
      <c r="CZ3732" s="256"/>
      <c r="DG3732" s="256"/>
    </row>
    <row r="3733" spans="104:111">
      <c r="CZ3733" s="256"/>
      <c r="DG3733" s="256"/>
    </row>
    <row r="3734" spans="104:111">
      <c r="CZ3734" s="256"/>
      <c r="DG3734" s="256"/>
    </row>
    <row r="3735" spans="104:111">
      <c r="CZ3735" s="256"/>
      <c r="DG3735" s="256"/>
    </row>
    <row r="3736" spans="104:111">
      <c r="CZ3736" s="256"/>
      <c r="DG3736" s="256"/>
    </row>
    <row r="3737" spans="104:111">
      <c r="CZ3737" s="256"/>
      <c r="DG3737" s="256"/>
    </row>
    <row r="3738" spans="104:111">
      <c r="CZ3738" s="256"/>
      <c r="DG3738" s="256"/>
    </row>
    <row r="3739" spans="104:111">
      <c r="CZ3739" s="256"/>
      <c r="DG3739" s="256"/>
    </row>
    <row r="3740" spans="104:111">
      <c r="CZ3740" s="256"/>
      <c r="DG3740" s="256"/>
    </row>
    <row r="3741" spans="104:111">
      <c r="CZ3741" s="256"/>
      <c r="DG3741" s="256"/>
    </row>
    <row r="3742" spans="104:111">
      <c r="CZ3742" s="256"/>
      <c r="DG3742" s="256"/>
    </row>
    <row r="3743" spans="104:111">
      <c r="CZ3743" s="256"/>
      <c r="DG3743" s="256"/>
    </row>
    <row r="3744" spans="104:111">
      <c r="CZ3744" s="256"/>
      <c r="DG3744" s="256"/>
    </row>
    <row r="3745" spans="104:111">
      <c r="CZ3745" s="256"/>
      <c r="DG3745" s="256"/>
    </row>
    <row r="3746" spans="104:111">
      <c r="CZ3746" s="256"/>
      <c r="DG3746" s="256"/>
    </row>
    <row r="3747" spans="104:111">
      <c r="CZ3747" s="256"/>
      <c r="DG3747" s="256"/>
    </row>
    <row r="3748" spans="104:111">
      <c r="CZ3748" s="256"/>
      <c r="DG3748" s="256"/>
    </row>
    <row r="3749" spans="104:111">
      <c r="CZ3749" s="256"/>
      <c r="DG3749" s="256"/>
    </row>
    <row r="3750" spans="104:111">
      <c r="CZ3750" s="256"/>
      <c r="DG3750" s="256"/>
    </row>
    <row r="3751" spans="104:111">
      <c r="CZ3751" s="256"/>
      <c r="DG3751" s="256"/>
    </row>
    <row r="3752" spans="104:111">
      <c r="CZ3752" s="256"/>
      <c r="DG3752" s="256"/>
    </row>
    <row r="3753" spans="104:111">
      <c r="CZ3753" s="256"/>
      <c r="DG3753" s="256"/>
    </row>
    <row r="3754" spans="104:111">
      <c r="CZ3754" s="256"/>
      <c r="DG3754" s="256"/>
    </row>
    <row r="3755" spans="104:111">
      <c r="CZ3755" s="256"/>
      <c r="DG3755" s="256"/>
    </row>
    <row r="3756" spans="104:111">
      <c r="CZ3756" s="256"/>
      <c r="DG3756" s="256"/>
    </row>
    <row r="3757" spans="104:111">
      <c r="CZ3757" s="256"/>
      <c r="DG3757" s="256"/>
    </row>
    <row r="3758" spans="104:111">
      <c r="CZ3758" s="256"/>
      <c r="DG3758" s="256"/>
    </row>
    <row r="3759" spans="104:111">
      <c r="CZ3759" s="256"/>
      <c r="DG3759" s="256"/>
    </row>
    <row r="3760" spans="104:111">
      <c r="CZ3760" s="256"/>
      <c r="DG3760" s="256"/>
    </row>
    <row r="3761" spans="104:111">
      <c r="CZ3761" s="256"/>
      <c r="DG3761" s="256"/>
    </row>
    <row r="3762" spans="104:111">
      <c r="CZ3762" s="256"/>
      <c r="DG3762" s="256"/>
    </row>
    <row r="3763" spans="104:111">
      <c r="CZ3763" s="256"/>
      <c r="DG3763" s="256"/>
    </row>
    <row r="3764" spans="104:111">
      <c r="CZ3764" s="256"/>
      <c r="DG3764" s="256"/>
    </row>
    <row r="3765" spans="104:111">
      <c r="CZ3765" s="256"/>
      <c r="DG3765" s="256"/>
    </row>
    <row r="3766" spans="104:111">
      <c r="CZ3766" s="256"/>
      <c r="DG3766" s="256"/>
    </row>
    <row r="3767" spans="104:111">
      <c r="CZ3767" s="256"/>
      <c r="DG3767" s="256"/>
    </row>
    <row r="3768" spans="104:111">
      <c r="CZ3768" s="256"/>
      <c r="DG3768" s="256"/>
    </row>
    <row r="3769" spans="104:111">
      <c r="CZ3769" s="256"/>
      <c r="DG3769" s="256"/>
    </row>
    <row r="3770" spans="104:111">
      <c r="CZ3770" s="256"/>
      <c r="DG3770" s="256"/>
    </row>
    <row r="3771" spans="104:111">
      <c r="CZ3771" s="256"/>
      <c r="DG3771" s="256"/>
    </row>
    <row r="3772" spans="104:111">
      <c r="CZ3772" s="256"/>
      <c r="DG3772" s="256"/>
    </row>
    <row r="3773" spans="104:111">
      <c r="CZ3773" s="256"/>
      <c r="DG3773" s="256"/>
    </row>
    <row r="3774" spans="104:111">
      <c r="CZ3774" s="256"/>
      <c r="DG3774" s="256"/>
    </row>
    <row r="3775" spans="104:111">
      <c r="CZ3775" s="256"/>
      <c r="DG3775" s="256"/>
    </row>
    <row r="3776" spans="104:111">
      <c r="CZ3776" s="256"/>
      <c r="DG3776" s="256"/>
    </row>
    <row r="3777" spans="104:111">
      <c r="CZ3777" s="256"/>
      <c r="DG3777" s="256"/>
    </row>
    <row r="3778" spans="104:111">
      <c r="CZ3778" s="256"/>
      <c r="DG3778" s="256"/>
    </row>
    <row r="3779" spans="104:111">
      <c r="CZ3779" s="256"/>
      <c r="DG3779" s="256"/>
    </row>
    <row r="3780" spans="104:111">
      <c r="CZ3780" s="256"/>
      <c r="DG3780" s="256"/>
    </row>
    <row r="3781" spans="104:111">
      <c r="CZ3781" s="256"/>
      <c r="DG3781" s="256"/>
    </row>
    <row r="3782" spans="104:111">
      <c r="CZ3782" s="256"/>
      <c r="DG3782" s="256"/>
    </row>
    <row r="3783" spans="104:111">
      <c r="CZ3783" s="256"/>
      <c r="DG3783" s="256"/>
    </row>
    <row r="3784" spans="104:111">
      <c r="CZ3784" s="256"/>
      <c r="DG3784" s="256"/>
    </row>
    <row r="3785" spans="104:111">
      <c r="CZ3785" s="256"/>
      <c r="DG3785" s="256"/>
    </row>
    <row r="3786" spans="104:111">
      <c r="CZ3786" s="256"/>
      <c r="DG3786" s="256"/>
    </row>
    <row r="3787" spans="104:111">
      <c r="CZ3787" s="256"/>
      <c r="DG3787" s="256"/>
    </row>
    <row r="3788" spans="104:111">
      <c r="CZ3788" s="256"/>
      <c r="DG3788" s="256"/>
    </row>
    <row r="3789" spans="104:111">
      <c r="CZ3789" s="256"/>
      <c r="DG3789" s="256"/>
    </row>
    <row r="3790" spans="104:111">
      <c r="CZ3790" s="256"/>
      <c r="DG3790" s="256"/>
    </row>
    <row r="3791" spans="104:111">
      <c r="CZ3791" s="256"/>
      <c r="DG3791" s="256"/>
    </row>
    <row r="3792" spans="104:111">
      <c r="CZ3792" s="256"/>
      <c r="DG3792" s="256"/>
    </row>
    <row r="3793" spans="104:111">
      <c r="CZ3793" s="256"/>
      <c r="DG3793" s="256"/>
    </row>
    <row r="3794" spans="104:111">
      <c r="CZ3794" s="256"/>
      <c r="DG3794" s="256"/>
    </row>
    <row r="3795" spans="104:111">
      <c r="CZ3795" s="256"/>
      <c r="DG3795" s="256"/>
    </row>
    <row r="3796" spans="104:111">
      <c r="CZ3796" s="256"/>
      <c r="DG3796" s="256"/>
    </row>
    <row r="3797" spans="104:111">
      <c r="CZ3797" s="256"/>
      <c r="DG3797" s="256"/>
    </row>
    <row r="3798" spans="104:111">
      <c r="CZ3798" s="256"/>
      <c r="DG3798" s="256"/>
    </row>
    <row r="3799" spans="104:111">
      <c r="CZ3799" s="256"/>
      <c r="DG3799" s="256"/>
    </row>
    <row r="3800" spans="104:111">
      <c r="CZ3800" s="256"/>
      <c r="DG3800" s="256"/>
    </row>
    <row r="3801" spans="104:111">
      <c r="CZ3801" s="256"/>
      <c r="DG3801" s="256"/>
    </row>
    <row r="3802" spans="104:111">
      <c r="CZ3802" s="256"/>
      <c r="DG3802" s="256"/>
    </row>
    <row r="3803" spans="104:111">
      <c r="CZ3803" s="256"/>
      <c r="DG3803" s="256"/>
    </row>
    <row r="3804" spans="104:111">
      <c r="CZ3804" s="256"/>
      <c r="DG3804" s="256"/>
    </row>
    <row r="3805" spans="104:111">
      <c r="CZ3805" s="256"/>
      <c r="DG3805" s="256"/>
    </row>
    <row r="3806" spans="104:111">
      <c r="CZ3806" s="256"/>
      <c r="DG3806" s="256"/>
    </row>
    <row r="3807" spans="104:111">
      <c r="CZ3807" s="256"/>
      <c r="DG3807" s="256"/>
    </row>
    <row r="3808" spans="104:111">
      <c r="CZ3808" s="256"/>
      <c r="DG3808" s="256"/>
    </row>
    <row r="3809" spans="104:111">
      <c r="CZ3809" s="256"/>
      <c r="DG3809" s="256"/>
    </row>
    <row r="3810" spans="104:111">
      <c r="CZ3810" s="256"/>
      <c r="DG3810" s="256"/>
    </row>
    <row r="3811" spans="104:111">
      <c r="CZ3811" s="256"/>
      <c r="DG3811" s="256"/>
    </row>
    <row r="3812" spans="104:111">
      <c r="CZ3812" s="256"/>
      <c r="DG3812" s="256"/>
    </row>
    <row r="3813" spans="104:111">
      <c r="CZ3813" s="256"/>
      <c r="DG3813" s="256"/>
    </row>
    <row r="3814" spans="104:111">
      <c r="CZ3814" s="256"/>
      <c r="DG3814" s="256"/>
    </row>
    <row r="3815" spans="104:111">
      <c r="CZ3815" s="256"/>
      <c r="DG3815" s="256"/>
    </row>
    <row r="3816" spans="104:111">
      <c r="CZ3816" s="256"/>
      <c r="DG3816" s="256"/>
    </row>
    <row r="3817" spans="104:111">
      <c r="CZ3817" s="256"/>
      <c r="DG3817" s="256"/>
    </row>
    <row r="3818" spans="104:111">
      <c r="CZ3818" s="256"/>
      <c r="DG3818" s="256"/>
    </row>
    <row r="3819" spans="104:111">
      <c r="CZ3819" s="256"/>
      <c r="DG3819" s="256"/>
    </row>
    <row r="3820" spans="104:111">
      <c r="CZ3820" s="256"/>
      <c r="DG3820" s="256"/>
    </row>
    <row r="3821" spans="104:111">
      <c r="CZ3821" s="256"/>
      <c r="DG3821" s="256"/>
    </row>
    <row r="3822" spans="104:111">
      <c r="CZ3822" s="256"/>
      <c r="DG3822" s="256"/>
    </row>
    <row r="3823" spans="104:111">
      <c r="CZ3823" s="256"/>
      <c r="DG3823" s="256"/>
    </row>
    <row r="3824" spans="104:111">
      <c r="CZ3824" s="256"/>
      <c r="DG3824" s="256"/>
    </row>
    <row r="3825" spans="104:111">
      <c r="CZ3825" s="256"/>
      <c r="DG3825" s="256"/>
    </row>
    <row r="3826" spans="104:111">
      <c r="CZ3826" s="256"/>
      <c r="DG3826" s="256"/>
    </row>
    <row r="3827" spans="104:111">
      <c r="CZ3827" s="256"/>
      <c r="DG3827" s="256"/>
    </row>
    <row r="3828" spans="104:111">
      <c r="CZ3828" s="256"/>
      <c r="DG3828" s="256"/>
    </row>
    <row r="3829" spans="104:111">
      <c r="CZ3829" s="256"/>
      <c r="DG3829" s="256"/>
    </row>
    <row r="3830" spans="104:111">
      <c r="CZ3830" s="256"/>
      <c r="DG3830" s="256"/>
    </row>
    <row r="3831" spans="104:111">
      <c r="CZ3831" s="256"/>
      <c r="DG3831" s="256"/>
    </row>
    <row r="3832" spans="104:111">
      <c r="CZ3832" s="256"/>
      <c r="DG3832" s="256"/>
    </row>
    <row r="3833" spans="104:111">
      <c r="CZ3833" s="256"/>
      <c r="DG3833" s="256"/>
    </row>
    <row r="3834" spans="104:111">
      <c r="CZ3834" s="256"/>
      <c r="DG3834" s="256"/>
    </row>
    <row r="3835" spans="104:111">
      <c r="CZ3835" s="256"/>
      <c r="DG3835" s="256"/>
    </row>
    <row r="3836" spans="104:111">
      <c r="CZ3836" s="256"/>
      <c r="DG3836" s="256"/>
    </row>
    <row r="3837" spans="104:111">
      <c r="CZ3837" s="256"/>
      <c r="DG3837" s="256"/>
    </row>
    <row r="3838" spans="104:111">
      <c r="CZ3838" s="256"/>
      <c r="DG3838" s="256"/>
    </row>
    <row r="3839" spans="104:111">
      <c r="CZ3839" s="256"/>
      <c r="DG3839" s="256"/>
    </row>
    <row r="3840" spans="104:111">
      <c r="CZ3840" s="256"/>
      <c r="DG3840" s="256"/>
    </row>
    <row r="3841" spans="104:111">
      <c r="CZ3841" s="256"/>
      <c r="DG3841" s="256"/>
    </row>
    <row r="3842" spans="104:111">
      <c r="CZ3842" s="256"/>
      <c r="DG3842" s="256"/>
    </row>
    <row r="3843" spans="104:111">
      <c r="CZ3843" s="256"/>
      <c r="DG3843" s="256"/>
    </row>
    <row r="3844" spans="104:111">
      <c r="CZ3844" s="256"/>
      <c r="DG3844" s="256"/>
    </row>
    <row r="3845" spans="104:111">
      <c r="CZ3845" s="256"/>
      <c r="DG3845" s="256"/>
    </row>
    <row r="3846" spans="104:111">
      <c r="CZ3846" s="256"/>
      <c r="DG3846" s="256"/>
    </row>
    <row r="3847" spans="104:111">
      <c r="CZ3847" s="256"/>
      <c r="DG3847" s="256"/>
    </row>
    <row r="3848" spans="104:111">
      <c r="CZ3848" s="256"/>
      <c r="DG3848" s="256"/>
    </row>
    <row r="3849" spans="104:111">
      <c r="CZ3849" s="256"/>
      <c r="DG3849" s="256"/>
    </row>
    <row r="3850" spans="104:111">
      <c r="CZ3850" s="256"/>
      <c r="DG3850" s="256"/>
    </row>
    <row r="3851" spans="104:111">
      <c r="CZ3851" s="256"/>
      <c r="DG3851" s="256"/>
    </row>
    <row r="3852" spans="104:111">
      <c r="CZ3852" s="256"/>
      <c r="DG3852" s="256"/>
    </row>
    <row r="3853" spans="104:111">
      <c r="CZ3853" s="256"/>
      <c r="DG3853" s="256"/>
    </row>
    <row r="3854" spans="104:111">
      <c r="CZ3854" s="256"/>
      <c r="DG3854" s="256"/>
    </row>
    <row r="3855" spans="104:111">
      <c r="CZ3855" s="256"/>
      <c r="DG3855" s="256"/>
    </row>
    <row r="3856" spans="104:111">
      <c r="CZ3856" s="256"/>
      <c r="DG3856" s="256"/>
    </row>
    <row r="3857" spans="104:111">
      <c r="CZ3857" s="256"/>
      <c r="DG3857" s="256"/>
    </row>
    <row r="3858" spans="104:111">
      <c r="CZ3858" s="256"/>
      <c r="DG3858" s="256"/>
    </row>
    <row r="3859" spans="104:111">
      <c r="CZ3859" s="256"/>
      <c r="DG3859" s="256"/>
    </row>
    <row r="3860" spans="104:111">
      <c r="CZ3860" s="256"/>
      <c r="DG3860" s="256"/>
    </row>
    <row r="3861" spans="104:111">
      <c r="CZ3861" s="256"/>
      <c r="DG3861" s="256"/>
    </row>
    <row r="3862" spans="104:111">
      <c r="CZ3862" s="256"/>
      <c r="DG3862" s="256"/>
    </row>
    <row r="3863" spans="104:111">
      <c r="CZ3863" s="256"/>
      <c r="DG3863" s="256"/>
    </row>
    <row r="3864" spans="104:111">
      <c r="CZ3864" s="256"/>
      <c r="DG3864" s="256"/>
    </row>
    <row r="3865" spans="104:111">
      <c r="CZ3865" s="256"/>
      <c r="DG3865" s="256"/>
    </row>
    <row r="3866" spans="104:111">
      <c r="CZ3866" s="256"/>
      <c r="DG3866" s="256"/>
    </row>
    <row r="3867" spans="104:111">
      <c r="CZ3867" s="256"/>
      <c r="DG3867" s="256"/>
    </row>
    <row r="3868" spans="104:111">
      <c r="CZ3868" s="256"/>
      <c r="DG3868" s="256"/>
    </row>
    <row r="3869" spans="104:111">
      <c r="CZ3869" s="256"/>
      <c r="DG3869" s="256"/>
    </row>
    <row r="3870" spans="104:111">
      <c r="CZ3870" s="256"/>
      <c r="DG3870" s="256"/>
    </row>
    <row r="3871" spans="104:111">
      <c r="CZ3871" s="256"/>
      <c r="DG3871" s="256"/>
    </row>
    <row r="3872" spans="104:111">
      <c r="CZ3872" s="256"/>
      <c r="DG3872" s="256"/>
    </row>
    <row r="3873" spans="104:111">
      <c r="CZ3873" s="256"/>
      <c r="DG3873" s="256"/>
    </row>
    <row r="3874" spans="104:111">
      <c r="CZ3874" s="256"/>
      <c r="DG3874" s="256"/>
    </row>
    <row r="3875" spans="104:111">
      <c r="CZ3875" s="256"/>
      <c r="DG3875" s="256"/>
    </row>
    <row r="3876" spans="104:111">
      <c r="CZ3876" s="256"/>
      <c r="DG3876" s="256"/>
    </row>
    <row r="3877" spans="104:111">
      <c r="CZ3877" s="256"/>
      <c r="DG3877" s="256"/>
    </row>
    <row r="3878" spans="104:111">
      <c r="CZ3878" s="256"/>
      <c r="DG3878" s="256"/>
    </row>
    <row r="3879" spans="104:111">
      <c r="CZ3879" s="256"/>
      <c r="DG3879" s="256"/>
    </row>
    <row r="3880" spans="104:111">
      <c r="CZ3880" s="256"/>
      <c r="DG3880" s="256"/>
    </row>
    <row r="3881" spans="104:111">
      <c r="CZ3881" s="256"/>
      <c r="DG3881" s="256"/>
    </row>
    <row r="3882" spans="104:111">
      <c r="CZ3882" s="256"/>
      <c r="DG3882" s="256"/>
    </row>
    <row r="3883" spans="104:111">
      <c r="CZ3883" s="256"/>
      <c r="DG3883" s="256"/>
    </row>
    <row r="3884" spans="104:111">
      <c r="CZ3884" s="256"/>
      <c r="DG3884" s="256"/>
    </row>
    <row r="3885" spans="104:111">
      <c r="CZ3885" s="256"/>
      <c r="DG3885" s="256"/>
    </row>
    <row r="3886" spans="104:111">
      <c r="CZ3886" s="256"/>
      <c r="DG3886" s="256"/>
    </row>
    <row r="3887" spans="104:111">
      <c r="CZ3887" s="256"/>
      <c r="DG3887" s="256"/>
    </row>
    <row r="3888" spans="104:111">
      <c r="CZ3888" s="256"/>
      <c r="DG3888" s="256"/>
    </row>
    <row r="3889" spans="104:111">
      <c r="CZ3889" s="256"/>
      <c r="DG3889" s="256"/>
    </row>
    <row r="3890" spans="104:111">
      <c r="CZ3890" s="256"/>
      <c r="DG3890" s="256"/>
    </row>
    <row r="3891" spans="104:111">
      <c r="CZ3891" s="256"/>
      <c r="DG3891" s="256"/>
    </row>
    <row r="3892" spans="104:111">
      <c r="CZ3892" s="256"/>
      <c r="DG3892" s="256"/>
    </row>
    <row r="3893" spans="104:111">
      <c r="CZ3893" s="256"/>
      <c r="DG3893" s="256"/>
    </row>
    <row r="3894" spans="104:111">
      <c r="CZ3894" s="256"/>
      <c r="DG3894" s="256"/>
    </row>
    <row r="3895" spans="104:111">
      <c r="CZ3895" s="256"/>
      <c r="DG3895" s="256"/>
    </row>
    <row r="3896" spans="104:111">
      <c r="CZ3896" s="256"/>
      <c r="DG3896" s="256"/>
    </row>
    <row r="3897" spans="104:111">
      <c r="CZ3897" s="256"/>
      <c r="DG3897" s="256"/>
    </row>
    <row r="3898" spans="104:111">
      <c r="CZ3898" s="256"/>
      <c r="DG3898" s="256"/>
    </row>
    <row r="3899" spans="104:111">
      <c r="CZ3899" s="256"/>
      <c r="DG3899" s="256"/>
    </row>
    <row r="3900" spans="104:111">
      <c r="CZ3900" s="256"/>
      <c r="DG3900" s="256"/>
    </row>
    <row r="3901" spans="104:111">
      <c r="CZ3901" s="256"/>
      <c r="DG3901" s="256"/>
    </row>
    <row r="3902" spans="104:111">
      <c r="CZ3902" s="256"/>
      <c r="DG3902" s="256"/>
    </row>
    <row r="3903" spans="104:111">
      <c r="CZ3903" s="256"/>
      <c r="DG3903" s="256"/>
    </row>
    <row r="3904" spans="104:111">
      <c r="CZ3904" s="256"/>
      <c r="DG3904" s="256"/>
    </row>
    <row r="3905" spans="104:111">
      <c r="CZ3905" s="256"/>
      <c r="DG3905" s="256"/>
    </row>
    <row r="3906" spans="104:111">
      <c r="CZ3906" s="256"/>
      <c r="DG3906" s="256"/>
    </row>
    <row r="3907" spans="104:111">
      <c r="CZ3907" s="256"/>
      <c r="DG3907" s="256"/>
    </row>
    <row r="3908" spans="104:111">
      <c r="CZ3908" s="256"/>
      <c r="DG3908" s="256"/>
    </row>
    <row r="3909" spans="104:111">
      <c r="CZ3909" s="256"/>
      <c r="DG3909" s="256"/>
    </row>
    <row r="3910" spans="104:111">
      <c r="CZ3910" s="256"/>
      <c r="DG3910" s="256"/>
    </row>
    <row r="3911" spans="104:111">
      <c r="CZ3911" s="256"/>
      <c r="DG3911" s="256"/>
    </row>
    <row r="3912" spans="104:111">
      <c r="CZ3912" s="256"/>
      <c r="DG3912" s="256"/>
    </row>
    <row r="3913" spans="104:111">
      <c r="CZ3913" s="256"/>
      <c r="DG3913" s="256"/>
    </row>
    <row r="3914" spans="104:111">
      <c r="CZ3914" s="256"/>
      <c r="DG3914" s="256"/>
    </row>
    <row r="3915" spans="104:111">
      <c r="CZ3915" s="256"/>
      <c r="DG3915" s="256"/>
    </row>
    <row r="3916" spans="104:111">
      <c r="CZ3916" s="256"/>
      <c r="DG3916" s="256"/>
    </row>
    <row r="3917" spans="104:111">
      <c r="CZ3917" s="256"/>
      <c r="DG3917" s="256"/>
    </row>
    <row r="3918" spans="104:111">
      <c r="CZ3918" s="256"/>
      <c r="DG3918" s="256"/>
    </row>
    <row r="3919" spans="104:111">
      <c r="CZ3919" s="256"/>
      <c r="DG3919" s="256"/>
    </row>
    <row r="3920" spans="104:111">
      <c r="CZ3920" s="256"/>
      <c r="DG3920" s="256"/>
    </row>
    <row r="3921" spans="104:111">
      <c r="CZ3921" s="256"/>
      <c r="DG3921" s="256"/>
    </row>
    <row r="3922" spans="104:111">
      <c r="CZ3922" s="256"/>
      <c r="DG3922" s="256"/>
    </row>
    <row r="3923" spans="104:111">
      <c r="CZ3923" s="256"/>
      <c r="DG3923" s="256"/>
    </row>
    <row r="3924" spans="104:111">
      <c r="CZ3924" s="256"/>
      <c r="DG3924" s="256"/>
    </row>
    <row r="3925" spans="104:111">
      <c r="CZ3925" s="256"/>
      <c r="DG3925" s="256"/>
    </row>
    <row r="3926" spans="104:111">
      <c r="CZ3926" s="256"/>
      <c r="DG3926" s="256"/>
    </row>
    <row r="3927" spans="104:111">
      <c r="CZ3927" s="256"/>
      <c r="DG3927" s="256"/>
    </row>
    <row r="3928" spans="104:111">
      <c r="CZ3928" s="256"/>
      <c r="DG3928" s="256"/>
    </row>
    <row r="3929" spans="104:111">
      <c r="CZ3929" s="256"/>
      <c r="DG3929" s="256"/>
    </row>
    <row r="3930" spans="104:111">
      <c r="CZ3930" s="256"/>
      <c r="DG3930" s="256"/>
    </row>
    <row r="3931" spans="104:111">
      <c r="CZ3931" s="256"/>
      <c r="DG3931" s="256"/>
    </row>
    <row r="3932" spans="104:111">
      <c r="CZ3932" s="256"/>
      <c r="DG3932" s="256"/>
    </row>
    <row r="3933" spans="104:111">
      <c r="CZ3933" s="256"/>
      <c r="DG3933" s="256"/>
    </row>
    <row r="3934" spans="104:111">
      <c r="CZ3934" s="256"/>
      <c r="DG3934" s="256"/>
    </row>
    <row r="3935" spans="104:111">
      <c r="CZ3935" s="256"/>
      <c r="DG3935" s="256"/>
    </row>
    <row r="3936" spans="104:111">
      <c r="CZ3936" s="256"/>
      <c r="DG3936" s="256"/>
    </row>
    <row r="3937" spans="104:111">
      <c r="CZ3937" s="256"/>
      <c r="DG3937" s="256"/>
    </row>
    <row r="3938" spans="104:111">
      <c r="CZ3938" s="256"/>
      <c r="DG3938" s="256"/>
    </row>
    <row r="3939" spans="104:111">
      <c r="CZ3939" s="256"/>
      <c r="DG3939" s="256"/>
    </row>
    <row r="3940" spans="104:111">
      <c r="CZ3940" s="256"/>
      <c r="DG3940" s="256"/>
    </row>
    <row r="3941" spans="104:111">
      <c r="CZ3941" s="256"/>
      <c r="DG3941" s="256"/>
    </row>
    <row r="3942" spans="104:111">
      <c r="CZ3942" s="256"/>
      <c r="DG3942" s="256"/>
    </row>
    <row r="3943" spans="104:111">
      <c r="CZ3943" s="256"/>
      <c r="DG3943" s="256"/>
    </row>
    <row r="3944" spans="104:111">
      <c r="CZ3944" s="256"/>
      <c r="DG3944" s="256"/>
    </row>
    <row r="3945" spans="104:111">
      <c r="CZ3945" s="256"/>
      <c r="DG3945" s="256"/>
    </row>
    <row r="3946" spans="104:111">
      <c r="CZ3946" s="256"/>
      <c r="DG3946" s="256"/>
    </row>
    <row r="3947" spans="104:111">
      <c r="CZ3947" s="256"/>
      <c r="DG3947" s="256"/>
    </row>
    <row r="3948" spans="104:111">
      <c r="CZ3948" s="256"/>
      <c r="DG3948" s="256"/>
    </row>
    <row r="3949" spans="104:111">
      <c r="CZ3949" s="256"/>
      <c r="DG3949" s="256"/>
    </row>
    <row r="3950" spans="104:111">
      <c r="CZ3950" s="256"/>
      <c r="DG3950" s="256"/>
    </row>
    <row r="3951" spans="104:111">
      <c r="CZ3951" s="256"/>
      <c r="DG3951" s="256"/>
    </row>
    <row r="3952" spans="104:111">
      <c r="CZ3952" s="256"/>
      <c r="DG3952" s="256"/>
    </row>
    <row r="3953" spans="104:111">
      <c r="CZ3953" s="256"/>
      <c r="DG3953" s="256"/>
    </row>
    <row r="3954" spans="104:111">
      <c r="CZ3954" s="256"/>
      <c r="DG3954" s="256"/>
    </row>
    <row r="3955" spans="104:111">
      <c r="CZ3955" s="256"/>
      <c r="DG3955" s="256"/>
    </row>
    <row r="3956" spans="104:111">
      <c r="CZ3956" s="256"/>
      <c r="DG3956" s="256"/>
    </row>
    <row r="3957" spans="104:111">
      <c r="CZ3957" s="256"/>
      <c r="DG3957" s="256"/>
    </row>
    <row r="3958" spans="104:111">
      <c r="CZ3958" s="256"/>
      <c r="DG3958" s="256"/>
    </row>
    <row r="3959" spans="104:111">
      <c r="CZ3959" s="256"/>
      <c r="DG3959" s="256"/>
    </row>
    <row r="3960" spans="104:111">
      <c r="CZ3960" s="256"/>
      <c r="DG3960" s="256"/>
    </row>
    <row r="3961" spans="104:111">
      <c r="CZ3961" s="256"/>
      <c r="DG3961" s="256"/>
    </row>
    <row r="3962" spans="104:111">
      <c r="CZ3962" s="256"/>
      <c r="DG3962" s="256"/>
    </row>
    <row r="3963" spans="104:111">
      <c r="CZ3963" s="256"/>
      <c r="DG3963" s="256"/>
    </row>
    <row r="3964" spans="104:111">
      <c r="CZ3964" s="256"/>
      <c r="DG3964" s="256"/>
    </row>
    <row r="3965" spans="104:111">
      <c r="CZ3965" s="256"/>
      <c r="DG3965" s="256"/>
    </row>
    <row r="3966" spans="104:111">
      <c r="CZ3966" s="256"/>
      <c r="DG3966" s="256"/>
    </row>
    <row r="3967" spans="104:111">
      <c r="CZ3967" s="256"/>
      <c r="DG3967" s="256"/>
    </row>
    <row r="3968" spans="104:111">
      <c r="CZ3968" s="256"/>
      <c r="DG3968" s="256"/>
    </row>
    <row r="3969" spans="104:111">
      <c r="CZ3969" s="256"/>
      <c r="DG3969" s="256"/>
    </row>
    <row r="3970" spans="104:111">
      <c r="CZ3970" s="256"/>
      <c r="DG3970" s="256"/>
    </row>
    <row r="3971" spans="104:111">
      <c r="CZ3971" s="256"/>
      <c r="DG3971" s="256"/>
    </row>
    <row r="3972" spans="104:111">
      <c r="CZ3972" s="256"/>
      <c r="DG3972" s="256"/>
    </row>
    <row r="3973" spans="104:111">
      <c r="CZ3973" s="256"/>
      <c r="DG3973" s="256"/>
    </row>
    <row r="3974" spans="104:111">
      <c r="CZ3974" s="256"/>
      <c r="DG3974" s="256"/>
    </row>
    <row r="3975" spans="104:111">
      <c r="CZ3975" s="256"/>
      <c r="DG3975" s="256"/>
    </row>
    <row r="3976" spans="104:111">
      <c r="CZ3976" s="256"/>
      <c r="DG3976" s="256"/>
    </row>
    <row r="3977" spans="104:111">
      <c r="CZ3977" s="256"/>
      <c r="DG3977" s="256"/>
    </row>
    <row r="3978" spans="104:111">
      <c r="CZ3978" s="256"/>
      <c r="DG3978" s="256"/>
    </row>
    <row r="3979" spans="104:111">
      <c r="CZ3979" s="256"/>
      <c r="DG3979" s="256"/>
    </row>
    <row r="3980" spans="104:111">
      <c r="CZ3980" s="256"/>
      <c r="DG3980" s="256"/>
    </row>
    <row r="3981" spans="104:111">
      <c r="CZ3981" s="256"/>
      <c r="DG3981" s="256"/>
    </row>
    <row r="3982" spans="104:111">
      <c r="CZ3982" s="256"/>
      <c r="DG3982" s="256"/>
    </row>
    <row r="3983" spans="104:111">
      <c r="CZ3983" s="256"/>
      <c r="DG3983" s="256"/>
    </row>
    <row r="3984" spans="104:111">
      <c r="CZ3984" s="256"/>
      <c r="DG3984" s="256"/>
    </row>
    <row r="3985" spans="104:111">
      <c r="CZ3985" s="256"/>
      <c r="DG3985" s="256"/>
    </row>
    <row r="3986" spans="104:111">
      <c r="CZ3986" s="256"/>
      <c r="DG3986" s="256"/>
    </row>
    <row r="3987" spans="104:111">
      <c r="CZ3987" s="256"/>
      <c r="DG3987" s="256"/>
    </row>
    <row r="3988" spans="104:111">
      <c r="CZ3988" s="256"/>
      <c r="DG3988" s="256"/>
    </row>
    <row r="3989" spans="104:111">
      <c r="CZ3989" s="256"/>
      <c r="DG3989" s="256"/>
    </row>
    <row r="3990" spans="104:111">
      <c r="CZ3990" s="256"/>
      <c r="DG3990" s="256"/>
    </row>
    <row r="3991" spans="104:111">
      <c r="CZ3991" s="256"/>
      <c r="DG3991" s="256"/>
    </row>
    <row r="3992" spans="104:111">
      <c r="CZ3992" s="256"/>
      <c r="DG3992" s="256"/>
    </row>
    <row r="3993" spans="104:111">
      <c r="CZ3993" s="256"/>
      <c r="DG3993" s="256"/>
    </row>
    <row r="3994" spans="104:111">
      <c r="CZ3994" s="256"/>
      <c r="DG3994" s="256"/>
    </row>
    <row r="3995" spans="104:111">
      <c r="CZ3995" s="256"/>
      <c r="DG3995" s="256"/>
    </row>
    <row r="3996" spans="104:111">
      <c r="CZ3996" s="256"/>
      <c r="DG3996" s="256"/>
    </row>
    <row r="3997" spans="104:111">
      <c r="CZ3997" s="256"/>
      <c r="DG3997" s="256"/>
    </row>
    <row r="3998" spans="104:111">
      <c r="CZ3998" s="256"/>
      <c r="DG3998" s="256"/>
    </row>
    <row r="3999" spans="104:111">
      <c r="CZ3999" s="256"/>
      <c r="DG3999" s="256"/>
    </row>
    <row r="4000" spans="104:111">
      <c r="CZ4000" s="256"/>
      <c r="DG4000" s="256"/>
    </row>
    <row r="4001" spans="104:111">
      <c r="CZ4001" s="256"/>
      <c r="DG4001" s="256"/>
    </row>
    <row r="4002" spans="104:111">
      <c r="CZ4002" s="256"/>
      <c r="DG4002" s="256"/>
    </row>
    <row r="4003" spans="104:111">
      <c r="CZ4003" s="256"/>
      <c r="DG4003" s="256"/>
    </row>
    <row r="4004" spans="104:111">
      <c r="CZ4004" s="256"/>
      <c r="DG4004" s="256"/>
    </row>
    <row r="4005" spans="104:111">
      <c r="CZ4005" s="256"/>
      <c r="DG4005" s="256"/>
    </row>
    <row r="4006" spans="104:111">
      <c r="CZ4006" s="256"/>
      <c r="DG4006" s="256"/>
    </row>
    <row r="4007" spans="104:111">
      <c r="CZ4007" s="256"/>
      <c r="DG4007" s="256"/>
    </row>
    <row r="4008" spans="104:111">
      <c r="CZ4008" s="256"/>
      <c r="DG4008" s="256"/>
    </row>
    <row r="4009" spans="104:111">
      <c r="CZ4009" s="256"/>
      <c r="DG4009" s="256"/>
    </row>
    <row r="4010" spans="104:111">
      <c r="CZ4010" s="256"/>
      <c r="DG4010" s="256"/>
    </row>
    <row r="4011" spans="104:111">
      <c r="CZ4011" s="256"/>
      <c r="DG4011" s="256"/>
    </row>
    <row r="4012" spans="104:111">
      <c r="CZ4012" s="256"/>
      <c r="DG4012" s="256"/>
    </row>
    <row r="4013" spans="104:111">
      <c r="CZ4013" s="256"/>
      <c r="DG4013" s="256"/>
    </row>
    <row r="4014" spans="104:111">
      <c r="CZ4014" s="256"/>
      <c r="DG4014" s="256"/>
    </row>
    <row r="4015" spans="104:111">
      <c r="CZ4015" s="256"/>
      <c r="DG4015" s="256"/>
    </row>
    <row r="4016" spans="104:111">
      <c r="CZ4016" s="256"/>
      <c r="DG4016" s="256"/>
    </row>
    <row r="4017" spans="104:111">
      <c r="CZ4017" s="256"/>
      <c r="DG4017" s="256"/>
    </row>
    <row r="4018" spans="104:111">
      <c r="CZ4018" s="256"/>
      <c r="DG4018" s="256"/>
    </row>
    <row r="4019" spans="104:111">
      <c r="CZ4019" s="256"/>
      <c r="DG4019" s="256"/>
    </row>
    <row r="4020" spans="104:111">
      <c r="CZ4020" s="256"/>
      <c r="DG4020" s="256"/>
    </row>
    <row r="4021" spans="104:111">
      <c r="CZ4021" s="256"/>
      <c r="DG4021" s="256"/>
    </row>
    <row r="4022" spans="104:111">
      <c r="CZ4022" s="256"/>
      <c r="DG4022" s="256"/>
    </row>
    <row r="4023" spans="104:111">
      <c r="CZ4023" s="256"/>
      <c r="DG4023" s="256"/>
    </row>
    <row r="4024" spans="104:111">
      <c r="CZ4024" s="256"/>
      <c r="DG4024" s="256"/>
    </row>
    <row r="4025" spans="104:111">
      <c r="CZ4025" s="256"/>
      <c r="DG4025" s="256"/>
    </row>
    <row r="4026" spans="104:111">
      <c r="CZ4026" s="256"/>
      <c r="DG4026" s="256"/>
    </row>
    <row r="4027" spans="104:111">
      <c r="CZ4027" s="256"/>
      <c r="DG4027" s="256"/>
    </row>
    <row r="4028" spans="104:111">
      <c r="CZ4028" s="256"/>
      <c r="DG4028" s="256"/>
    </row>
    <row r="4029" spans="104:111">
      <c r="CZ4029" s="256"/>
      <c r="DG4029" s="256"/>
    </row>
    <row r="4030" spans="104:111">
      <c r="CZ4030" s="256"/>
      <c r="DG4030" s="256"/>
    </row>
    <row r="4031" spans="104:111">
      <c r="CZ4031" s="256"/>
      <c r="DG4031" s="256"/>
    </row>
    <row r="4032" spans="104:111">
      <c r="CZ4032" s="256"/>
      <c r="DG4032" s="256"/>
    </row>
    <row r="4033" spans="104:111">
      <c r="CZ4033" s="256"/>
      <c r="DG4033" s="256"/>
    </row>
    <row r="4034" spans="104:111">
      <c r="CZ4034" s="256"/>
      <c r="DG4034" s="256"/>
    </row>
    <row r="4035" spans="104:111">
      <c r="CZ4035" s="256"/>
      <c r="DG4035" s="256"/>
    </row>
    <row r="4036" spans="104:111">
      <c r="CZ4036" s="256"/>
      <c r="DG4036" s="256"/>
    </row>
    <row r="4037" spans="104:111">
      <c r="CZ4037" s="256"/>
      <c r="DG4037" s="256"/>
    </row>
    <row r="4038" spans="104:111">
      <c r="CZ4038" s="256"/>
      <c r="DG4038" s="256"/>
    </row>
    <row r="4039" spans="104:111">
      <c r="CZ4039" s="256"/>
      <c r="DG4039" s="256"/>
    </row>
    <row r="4040" spans="104:111">
      <c r="CZ4040" s="256"/>
      <c r="DG4040" s="256"/>
    </row>
    <row r="4041" spans="104:111">
      <c r="CZ4041" s="256"/>
      <c r="DG4041" s="256"/>
    </row>
    <row r="4042" spans="104:111">
      <c r="CZ4042" s="256"/>
      <c r="DG4042" s="256"/>
    </row>
    <row r="4043" spans="104:111">
      <c r="CZ4043" s="256"/>
      <c r="DG4043" s="256"/>
    </row>
    <row r="4044" spans="104:111">
      <c r="CZ4044" s="256"/>
      <c r="DG4044" s="256"/>
    </row>
    <row r="4045" spans="104:111">
      <c r="CZ4045" s="256"/>
      <c r="DG4045" s="256"/>
    </row>
    <row r="4046" spans="104:111">
      <c r="CZ4046" s="256"/>
      <c r="DG4046" s="256"/>
    </row>
    <row r="4047" spans="104:111">
      <c r="CZ4047" s="256"/>
      <c r="DG4047" s="256"/>
    </row>
    <row r="4048" spans="104:111">
      <c r="CZ4048" s="256"/>
      <c r="DG4048" s="256"/>
    </row>
    <row r="4049" spans="104:111">
      <c r="CZ4049" s="256"/>
      <c r="DG4049" s="256"/>
    </row>
    <row r="4050" spans="104:111">
      <c r="CZ4050" s="256"/>
      <c r="DG4050" s="256"/>
    </row>
    <row r="4051" spans="104:111">
      <c r="CZ4051" s="256"/>
      <c r="DG4051" s="256"/>
    </row>
    <row r="4052" spans="104:111">
      <c r="CZ4052" s="256"/>
      <c r="DG4052" s="256"/>
    </row>
    <row r="4053" spans="104:111">
      <c r="CZ4053" s="256"/>
      <c r="DG4053" s="256"/>
    </row>
    <row r="4054" spans="104:111">
      <c r="CZ4054" s="256"/>
      <c r="DG4054" s="256"/>
    </row>
    <row r="4055" spans="104:111">
      <c r="CZ4055" s="256"/>
      <c r="DG4055" s="256"/>
    </row>
    <row r="4056" spans="104:111">
      <c r="CZ4056" s="256"/>
      <c r="DG4056" s="256"/>
    </row>
    <row r="4057" spans="104:111">
      <c r="CZ4057" s="256"/>
      <c r="DG4057" s="256"/>
    </row>
    <row r="4058" spans="104:111">
      <c r="CZ4058" s="256"/>
      <c r="DG4058" s="256"/>
    </row>
    <row r="4059" spans="104:111">
      <c r="CZ4059" s="256"/>
      <c r="DG4059" s="256"/>
    </row>
    <row r="4060" spans="104:111">
      <c r="CZ4060" s="256"/>
      <c r="DG4060" s="256"/>
    </row>
    <row r="4061" spans="104:111">
      <c r="CZ4061" s="256"/>
      <c r="DG4061" s="256"/>
    </row>
    <row r="4062" spans="104:111">
      <c r="CZ4062" s="256"/>
      <c r="DG4062" s="256"/>
    </row>
    <row r="4063" spans="104:111">
      <c r="CZ4063" s="256"/>
      <c r="DG4063" s="256"/>
    </row>
    <row r="4064" spans="104:111">
      <c r="CZ4064" s="256"/>
      <c r="DG4064" s="256"/>
    </row>
    <row r="4065" spans="104:111">
      <c r="CZ4065" s="256"/>
      <c r="DG4065" s="256"/>
    </row>
    <row r="4066" spans="104:111">
      <c r="CZ4066" s="256"/>
      <c r="DG4066" s="256"/>
    </row>
    <row r="4067" spans="104:111">
      <c r="CZ4067" s="256"/>
      <c r="DG4067" s="256"/>
    </row>
    <row r="4068" spans="104:111">
      <c r="CZ4068" s="256"/>
      <c r="DG4068" s="256"/>
    </row>
    <row r="4069" spans="104:111">
      <c r="CZ4069" s="256"/>
      <c r="DG4069" s="256"/>
    </row>
    <row r="4070" spans="104:111">
      <c r="CZ4070" s="256"/>
      <c r="DG4070" s="256"/>
    </row>
    <row r="4071" spans="104:111">
      <c r="CZ4071" s="256"/>
      <c r="DG4071" s="256"/>
    </row>
    <row r="4072" spans="104:111">
      <c r="CZ4072" s="256"/>
      <c r="DG4072" s="256"/>
    </row>
    <row r="4073" spans="104:111">
      <c r="CZ4073" s="256"/>
      <c r="DG4073" s="256"/>
    </row>
    <row r="4074" spans="104:111">
      <c r="CZ4074" s="256"/>
      <c r="DG4074" s="256"/>
    </row>
    <row r="4075" spans="104:111">
      <c r="CZ4075" s="256"/>
      <c r="DG4075" s="256"/>
    </row>
    <row r="4076" spans="104:111">
      <c r="CZ4076" s="256"/>
      <c r="DG4076" s="256"/>
    </row>
    <row r="4077" spans="104:111">
      <c r="CZ4077" s="256"/>
      <c r="DG4077" s="256"/>
    </row>
    <row r="4078" spans="104:111">
      <c r="CZ4078" s="256"/>
      <c r="DG4078" s="256"/>
    </row>
    <row r="4079" spans="104:111">
      <c r="CZ4079" s="256"/>
      <c r="DG4079" s="256"/>
    </row>
    <row r="4080" spans="104:111">
      <c r="CZ4080" s="256"/>
      <c r="DG4080" s="256"/>
    </row>
    <row r="4081" spans="104:111">
      <c r="CZ4081" s="256"/>
      <c r="DG4081" s="256"/>
    </row>
    <row r="4082" spans="104:111">
      <c r="CZ4082" s="256"/>
      <c r="DG4082" s="256"/>
    </row>
    <row r="4083" spans="104:111">
      <c r="CZ4083" s="256"/>
      <c r="DG4083" s="256"/>
    </row>
    <row r="4084" spans="104:111">
      <c r="CZ4084" s="256"/>
      <c r="DG4084" s="256"/>
    </row>
    <row r="4085" spans="104:111">
      <c r="CZ4085" s="256"/>
      <c r="DG4085" s="256"/>
    </row>
    <row r="4086" spans="104:111">
      <c r="CZ4086" s="256"/>
      <c r="DG4086" s="256"/>
    </row>
    <row r="4087" spans="104:111">
      <c r="CZ4087" s="256"/>
      <c r="DG4087" s="256"/>
    </row>
    <row r="4088" spans="104:111">
      <c r="CZ4088" s="256"/>
      <c r="DG4088" s="256"/>
    </row>
    <row r="4089" spans="104:111">
      <c r="CZ4089" s="256"/>
      <c r="DG4089" s="256"/>
    </row>
    <row r="4090" spans="104:111">
      <c r="CZ4090" s="256"/>
      <c r="DG4090" s="256"/>
    </row>
    <row r="4091" spans="104:111">
      <c r="CZ4091" s="256"/>
      <c r="DG4091" s="256"/>
    </row>
    <row r="4092" spans="104:111">
      <c r="CZ4092" s="256"/>
      <c r="DG4092" s="256"/>
    </row>
    <row r="4093" spans="104:111">
      <c r="CZ4093" s="256"/>
      <c r="DG4093" s="256"/>
    </row>
    <row r="4094" spans="104:111">
      <c r="CZ4094" s="256"/>
      <c r="DG4094" s="256"/>
    </row>
    <row r="4095" spans="104:111">
      <c r="CZ4095" s="256"/>
      <c r="DG4095" s="256"/>
    </row>
    <row r="4096" spans="104:111">
      <c r="CZ4096" s="256"/>
      <c r="DG4096" s="256"/>
    </row>
    <row r="4097" spans="104:111">
      <c r="CZ4097" s="256"/>
      <c r="DG4097" s="256"/>
    </row>
    <row r="4098" spans="104:111">
      <c r="CZ4098" s="256"/>
      <c r="DG4098" s="256"/>
    </row>
    <row r="4099" spans="104:111">
      <c r="CZ4099" s="256"/>
      <c r="DG4099" s="256"/>
    </row>
    <row r="4100" spans="104:111">
      <c r="CZ4100" s="256"/>
      <c r="DG4100" s="256"/>
    </row>
    <row r="4101" spans="104:111">
      <c r="CZ4101" s="256"/>
      <c r="DG4101" s="256"/>
    </row>
    <row r="4102" spans="104:111">
      <c r="CZ4102" s="256"/>
      <c r="DG4102" s="256"/>
    </row>
    <row r="4103" spans="104:111">
      <c r="CZ4103" s="256"/>
      <c r="DG4103" s="256"/>
    </row>
    <row r="4104" spans="104:111">
      <c r="CZ4104" s="256"/>
      <c r="DG4104" s="256"/>
    </row>
    <row r="4105" spans="104:111">
      <c r="CZ4105" s="256"/>
      <c r="DG4105" s="256"/>
    </row>
    <row r="4106" spans="104:111">
      <c r="CZ4106" s="256"/>
      <c r="DG4106" s="256"/>
    </row>
    <row r="4107" spans="104:111">
      <c r="CZ4107" s="256"/>
      <c r="DG4107" s="256"/>
    </row>
    <row r="4108" spans="104:111">
      <c r="CZ4108" s="256"/>
      <c r="DG4108" s="256"/>
    </row>
    <row r="4109" spans="104:111">
      <c r="CZ4109" s="256"/>
      <c r="DG4109" s="256"/>
    </row>
    <row r="4110" spans="104:111">
      <c r="CZ4110" s="256"/>
      <c r="DG4110" s="256"/>
    </row>
    <row r="4111" spans="104:111">
      <c r="CZ4111" s="256"/>
      <c r="DG4111" s="256"/>
    </row>
    <row r="4112" spans="104:111">
      <c r="CZ4112" s="256"/>
      <c r="DG4112" s="256"/>
    </row>
    <row r="4113" spans="104:111">
      <c r="CZ4113" s="256"/>
      <c r="DG4113" s="256"/>
    </row>
    <row r="4114" spans="104:111">
      <c r="CZ4114" s="256"/>
      <c r="DG4114" s="256"/>
    </row>
    <row r="4115" spans="104:111">
      <c r="CZ4115" s="256"/>
      <c r="DG4115" s="256"/>
    </row>
    <row r="4116" spans="104:111">
      <c r="CZ4116" s="256"/>
      <c r="DG4116" s="256"/>
    </row>
    <row r="4117" spans="104:111">
      <c r="CZ4117" s="256"/>
      <c r="DG4117" s="256"/>
    </row>
    <row r="4118" spans="104:111">
      <c r="CZ4118" s="256"/>
      <c r="DG4118" s="256"/>
    </row>
    <row r="4119" spans="104:111">
      <c r="CZ4119" s="256"/>
      <c r="DG4119" s="256"/>
    </row>
    <row r="4120" spans="104:111">
      <c r="CZ4120" s="256"/>
      <c r="DG4120" s="256"/>
    </row>
    <row r="4121" spans="104:111">
      <c r="CZ4121" s="256"/>
      <c r="DG4121" s="256"/>
    </row>
    <row r="4122" spans="104:111">
      <c r="CZ4122" s="256"/>
      <c r="DG4122" s="256"/>
    </row>
    <row r="4123" spans="104:111">
      <c r="CZ4123" s="256"/>
      <c r="DG4123" s="256"/>
    </row>
    <row r="4124" spans="104:111">
      <c r="CZ4124" s="256"/>
      <c r="DG4124" s="256"/>
    </row>
    <row r="4125" spans="104:111">
      <c r="CZ4125" s="256"/>
      <c r="DG4125" s="256"/>
    </row>
    <row r="4126" spans="104:111">
      <c r="CZ4126" s="256"/>
      <c r="DG4126" s="256"/>
    </row>
    <row r="4127" spans="104:111">
      <c r="CZ4127" s="256"/>
      <c r="DG4127" s="256"/>
    </row>
    <row r="4128" spans="104:111">
      <c r="CZ4128" s="256"/>
      <c r="DG4128" s="256"/>
    </row>
    <row r="4129" spans="104:111">
      <c r="CZ4129" s="256"/>
      <c r="DG4129" s="256"/>
    </row>
    <row r="4130" spans="104:111">
      <c r="CZ4130" s="256"/>
      <c r="DG4130" s="256"/>
    </row>
    <row r="4131" spans="104:111">
      <c r="CZ4131" s="256"/>
      <c r="DG4131" s="256"/>
    </row>
    <row r="4132" spans="104:111">
      <c r="CZ4132" s="256"/>
      <c r="DG4132" s="256"/>
    </row>
    <row r="4133" spans="104:111">
      <c r="CZ4133" s="256"/>
      <c r="DG4133" s="256"/>
    </row>
    <row r="4134" spans="104:111">
      <c r="CZ4134" s="256"/>
      <c r="DG4134" s="256"/>
    </row>
    <row r="4135" spans="104:111">
      <c r="CZ4135" s="256"/>
      <c r="DG4135" s="256"/>
    </row>
    <row r="4136" spans="104:111">
      <c r="CZ4136" s="256"/>
      <c r="DG4136" s="256"/>
    </row>
    <row r="4137" spans="104:111">
      <c r="CZ4137" s="256"/>
      <c r="DG4137" s="256"/>
    </row>
    <row r="4138" spans="104:111">
      <c r="CZ4138" s="256"/>
      <c r="DG4138" s="256"/>
    </row>
    <row r="4139" spans="104:111">
      <c r="CZ4139" s="256"/>
      <c r="DG4139" s="256"/>
    </row>
    <row r="4140" spans="104:111">
      <c r="CZ4140" s="256"/>
      <c r="DG4140" s="256"/>
    </row>
    <row r="4141" spans="104:111">
      <c r="CZ4141" s="256"/>
      <c r="DG4141" s="256"/>
    </row>
    <row r="4142" spans="104:111">
      <c r="CZ4142" s="256"/>
      <c r="DG4142" s="256"/>
    </row>
    <row r="4143" spans="104:111">
      <c r="CZ4143" s="256"/>
      <c r="DG4143" s="256"/>
    </row>
    <row r="4144" spans="104:111">
      <c r="CZ4144" s="256"/>
      <c r="DG4144" s="256"/>
    </row>
    <row r="4145" spans="104:111">
      <c r="CZ4145" s="256"/>
      <c r="DG4145" s="256"/>
    </row>
    <row r="4146" spans="104:111">
      <c r="CZ4146" s="256"/>
      <c r="DG4146" s="256"/>
    </row>
    <row r="4147" spans="104:111">
      <c r="CZ4147" s="256"/>
      <c r="DG4147" s="256"/>
    </row>
    <row r="4148" spans="104:111">
      <c r="CZ4148" s="256"/>
      <c r="DG4148" s="256"/>
    </row>
    <row r="4149" spans="104:111">
      <c r="CZ4149" s="256"/>
      <c r="DG4149" s="256"/>
    </row>
    <row r="4150" spans="104:111">
      <c r="CZ4150" s="256"/>
      <c r="DG4150" s="256"/>
    </row>
    <row r="4151" spans="104:111">
      <c r="CZ4151" s="256"/>
      <c r="DG4151" s="256"/>
    </row>
    <row r="4152" spans="104:111">
      <c r="CZ4152" s="256"/>
      <c r="DG4152" s="256"/>
    </row>
    <row r="4153" spans="104:111">
      <c r="CZ4153" s="256"/>
      <c r="DG4153" s="256"/>
    </row>
    <row r="4154" spans="104:111">
      <c r="CZ4154" s="256"/>
      <c r="DG4154" s="256"/>
    </row>
    <row r="4155" spans="104:111">
      <c r="CZ4155" s="256"/>
      <c r="DG4155" s="256"/>
    </row>
    <row r="4156" spans="104:111">
      <c r="CZ4156" s="256"/>
      <c r="DG4156" s="256"/>
    </row>
    <row r="4157" spans="104:111">
      <c r="CZ4157" s="256"/>
      <c r="DG4157" s="256"/>
    </row>
    <row r="4158" spans="104:111">
      <c r="CZ4158" s="256"/>
      <c r="DG4158" s="256"/>
    </row>
    <row r="4159" spans="104:111">
      <c r="CZ4159" s="256"/>
      <c r="DG4159" s="256"/>
    </row>
    <row r="4160" spans="104:111">
      <c r="CZ4160" s="256"/>
      <c r="DG4160" s="256"/>
    </row>
    <row r="4161" spans="104:111">
      <c r="CZ4161" s="256"/>
      <c r="DG4161" s="256"/>
    </row>
    <row r="4162" spans="104:111">
      <c r="CZ4162" s="256"/>
      <c r="DG4162" s="256"/>
    </row>
    <row r="4163" spans="104:111">
      <c r="CZ4163" s="256"/>
      <c r="DG4163" s="256"/>
    </row>
    <row r="4164" spans="104:111">
      <c r="CZ4164" s="256"/>
      <c r="DG4164" s="256"/>
    </row>
    <row r="4165" spans="104:111">
      <c r="CZ4165" s="256"/>
      <c r="DG4165" s="256"/>
    </row>
    <row r="4166" spans="104:111">
      <c r="CZ4166" s="256"/>
      <c r="DG4166" s="256"/>
    </row>
    <row r="4167" spans="104:111">
      <c r="CZ4167" s="256"/>
      <c r="DG4167" s="256"/>
    </row>
    <row r="4168" spans="104:111">
      <c r="CZ4168" s="256"/>
      <c r="DG4168" s="256"/>
    </row>
    <row r="4169" spans="104:111">
      <c r="CZ4169" s="256"/>
      <c r="DG4169" s="256"/>
    </row>
    <row r="4170" spans="104:111">
      <c r="CZ4170" s="256"/>
      <c r="DG4170" s="256"/>
    </row>
    <row r="4171" spans="104:111">
      <c r="CZ4171" s="256"/>
      <c r="DG4171" s="256"/>
    </row>
    <row r="4172" spans="104:111">
      <c r="CZ4172" s="256"/>
      <c r="DG4172" s="256"/>
    </row>
    <row r="4173" spans="104:111">
      <c r="CZ4173" s="256"/>
      <c r="DG4173" s="256"/>
    </row>
    <row r="4174" spans="104:111">
      <c r="CZ4174" s="256"/>
      <c r="DG4174" s="256"/>
    </row>
    <row r="4175" spans="104:111">
      <c r="CZ4175" s="256"/>
      <c r="DG4175" s="256"/>
    </row>
    <row r="4176" spans="104:111">
      <c r="CZ4176" s="256"/>
      <c r="DG4176" s="256"/>
    </row>
    <row r="4177" spans="104:111">
      <c r="CZ4177" s="256"/>
      <c r="DG4177" s="256"/>
    </row>
    <row r="4178" spans="104:111">
      <c r="CZ4178" s="256"/>
      <c r="DG4178" s="256"/>
    </row>
    <row r="4179" spans="104:111">
      <c r="CZ4179" s="256"/>
      <c r="DG4179" s="256"/>
    </row>
    <row r="4180" spans="104:111">
      <c r="CZ4180" s="256"/>
      <c r="DG4180" s="256"/>
    </row>
    <row r="4181" spans="104:111">
      <c r="CZ4181" s="256"/>
      <c r="DG4181" s="256"/>
    </row>
    <row r="4182" spans="104:111">
      <c r="CZ4182" s="256"/>
      <c r="DG4182" s="256"/>
    </row>
    <row r="4183" spans="104:111">
      <c r="CZ4183" s="256"/>
      <c r="DG4183" s="256"/>
    </row>
    <row r="4184" spans="104:111">
      <c r="CZ4184" s="256"/>
      <c r="DG4184" s="256"/>
    </row>
    <row r="4185" spans="104:111">
      <c r="CZ4185" s="256"/>
      <c r="DG4185" s="256"/>
    </row>
    <row r="4186" spans="104:111">
      <c r="CZ4186" s="256"/>
      <c r="DG4186" s="256"/>
    </row>
    <row r="4187" spans="104:111">
      <c r="CZ4187" s="256"/>
      <c r="DG4187" s="256"/>
    </row>
    <row r="4188" spans="104:111">
      <c r="CZ4188" s="256"/>
      <c r="DG4188" s="256"/>
    </row>
    <row r="4189" spans="104:111">
      <c r="CZ4189" s="256"/>
      <c r="DG4189" s="256"/>
    </row>
    <row r="4190" spans="104:111">
      <c r="CZ4190" s="256"/>
      <c r="DG4190" s="256"/>
    </row>
    <row r="4191" spans="104:111">
      <c r="CZ4191" s="256"/>
      <c r="DG4191" s="256"/>
    </row>
    <row r="4192" spans="104:111">
      <c r="CZ4192" s="256"/>
      <c r="DG4192" s="256"/>
    </row>
    <row r="4193" spans="104:111">
      <c r="CZ4193" s="256"/>
      <c r="DG4193" s="256"/>
    </row>
    <row r="4194" spans="104:111">
      <c r="CZ4194" s="256"/>
      <c r="DG4194" s="256"/>
    </row>
    <row r="4195" spans="104:111">
      <c r="CZ4195" s="256"/>
      <c r="DG4195" s="256"/>
    </row>
    <row r="4196" spans="104:111">
      <c r="CZ4196" s="256"/>
      <c r="DG4196" s="256"/>
    </row>
    <row r="4197" spans="104:111">
      <c r="CZ4197" s="256"/>
      <c r="DG4197" s="256"/>
    </row>
    <row r="4198" spans="104:111">
      <c r="CZ4198" s="256"/>
      <c r="DG4198" s="256"/>
    </row>
    <row r="4199" spans="104:111">
      <c r="CZ4199" s="256"/>
      <c r="DG4199" s="256"/>
    </row>
    <row r="4200" spans="104:111">
      <c r="CZ4200" s="256"/>
      <c r="DG4200" s="256"/>
    </row>
    <row r="4201" spans="104:111">
      <c r="CZ4201" s="256"/>
      <c r="DG4201" s="256"/>
    </row>
    <row r="4202" spans="104:111">
      <c r="CZ4202" s="256"/>
      <c r="DG4202" s="256"/>
    </row>
    <row r="4203" spans="104:111">
      <c r="CZ4203" s="256"/>
      <c r="DG4203" s="256"/>
    </row>
    <row r="4204" spans="104:111">
      <c r="CZ4204" s="256"/>
      <c r="DG4204" s="256"/>
    </row>
    <row r="4205" spans="104:111">
      <c r="CZ4205" s="256"/>
      <c r="DG4205" s="256"/>
    </row>
    <row r="4206" spans="104:111">
      <c r="CZ4206" s="256"/>
      <c r="DG4206" s="256"/>
    </row>
    <row r="4207" spans="104:111">
      <c r="CZ4207" s="256"/>
      <c r="DG4207" s="256"/>
    </row>
    <row r="4208" spans="104:111">
      <c r="CZ4208" s="256"/>
      <c r="DG4208" s="256"/>
    </row>
    <row r="4209" spans="104:111">
      <c r="CZ4209" s="256"/>
      <c r="DG4209" s="256"/>
    </row>
    <row r="4210" spans="104:111">
      <c r="CZ4210" s="256"/>
      <c r="DG4210" s="256"/>
    </row>
    <row r="4211" spans="104:111">
      <c r="CZ4211" s="256"/>
      <c r="DG4211" s="256"/>
    </row>
    <row r="4212" spans="104:111">
      <c r="CZ4212" s="256"/>
      <c r="DG4212" s="256"/>
    </row>
    <row r="4213" spans="104:111">
      <c r="CZ4213" s="256"/>
      <c r="DG4213" s="256"/>
    </row>
    <row r="4214" spans="104:111">
      <c r="CZ4214" s="256"/>
      <c r="DG4214" s="256"/>
    </row>
    <row r="4215" spans="104:111">
      <c r="CZ4215" s="256"/>
      <c r="DG4215" s="256"/>
    </row>
    <row r="4216" spans="104:111">
      <c r="CZ4216" s="256"/>
      <c r="DG4216" s="256"/>
    </row>
    <row r="4217" spans="104:111">
      <c r="CZ4217" s="256"/>
      <c r="DG4217" s="256"/>
    </row>
    <row r="4218" spans="104:111">
      <c r="CZ4218" s="256"/>
      <c r="DG4218" s="256"/>
    </row>
    <row r="4219" spans="104:111">
      <c r="CZ4219" s="256"/>
      <c r="DG4219" s="256"/>
    </row>
    <row r="4220" spans="104:111">
      <c r="CZ4220" s="256"/>
      <c r="DG4220" s="256"/>
    </row>
    <row r="4221" spans="104:111">
      <c r="CZ4221" s="256"/>
      <c r="DG4221" s="256"/>
    </row>
    <row r="4222" spans="104:111">
      <c r="CZ4222" s="256"/>
      <c r="DG4222" s="256"/>
    </row>
    <row r="4223" spans="104:111">
      <c r="CZ4223" s="256"/>
      <c r="DG4223" s="256"/>
    </row>
    <row r="4224" spans="104:111">
      <c r="CZ4224" s="256"/>
      <c r="DG4224" s="256"/>
    </row>
    <row r="4225" spans="104:111">
      <c r="CZ4225" s="256"/>
      <c r="DG4225" s="256"/>
    </row>
    <row r="4226" spans="104:111">
      <c r="CZ4226" s="256"/>
      <c r="DG4226" s="256"/>
    </row>
    <row r="4227" spans="104:111">
      <c r="CZ4227" s="256"/>
      <c r="DG4227" s="256"/>
    </row>
    <row r="4228" spans="104:111">
      <c r="CZ4228" s="256"/>
      <c r="DG4228" s="256"/>
    </row>
    <row r="4229" spans="104:111">
      <c r="CZ4229" s="256"/>
      <c r="DG4229" s="256"/>
    </row>
    <row r="4230" spans="104:111">
      <c r="CZ4230" s="256"/>
      <c r="DG4230" s="256"/>
    </row>
    <row r="4231" spans="104:111">
      <c r="CZ4231" s="256"/>
      <c r="DG4231" s="256"/>
    </row>
    <row r="4232" spans="104:111">
      <c r="CZ4232" s="256"/>
      <c r="DG4232" s="256"/>
    </row>
    <row r="4233" spans="104:111">
      <c r="CZ4233" s="256"/>
      <c r="DG4233" s="256"/>
    </row>
    <row r="4234" spans="104:111">
      <c r="CZ4234" s="256"/>
      <c r="DG4234" s="256"/>
    </row>
    <row r="4235" spans="104:111">
      <c r="CZ4235" s="256"/>
      <c r="DG4235" s="256"/>
    </row>
    <row r="4236" spans="104:111">
      <c r="CZ4236" s="256"/>
      <c r="DG4236" s="256"/>
    </row>
    <row r="4237" spans="104:111">
      <c r="CZ4237" s="256"/>
      <c r="DG4237" s="256"/>
    </row>
    <row r="4238" spans="104:111">
      <c r="CZ4238" s="256"/>
      <c r="DG4238" s="256"/>
    </row>
    <row r="4239" spans="104:111">
      <c r="CZ4239" s="256"/>
      <c r="DG4239" s="256"/>
    </row>
    <row r="4240" spans="104:111">
      <c r="CZ4240" s="256"/>
      <c r="DG4240" s="256"/>
    </row>
    <row r="4241" spans="104:111">
      <c r="CZ4241" s="256"/>
      <c r="DG4241" s="256"/>
    </row>
    <row r="4242" spans="104:111">
      <c r="CZ4242" s="256"/>
      <c r="DG4242" s="256"/>
    </row>
    <row r="4243" spans="104:111">
      <c r="CZ4243" s="256"/>
      <c r="DG4243" s="256"/>
    </row>
    <row r="4244" spans="104:111">
      <c r="CZ4244" s="256"/>
      <c r="DG4244" s="256"/>
    </row>
    <row r="4245" spans="104:111">
      <c r="CZ4245" s="256"/>
      <c r="DG4245" s="256"/>
    </row>
    <row r="4246" spans="104:111">
      <c r="CZ4246" s="256"/>
      <c r="DG4246" s="256"/>
    </row>
    <row r="4247" spans="104:111">
      <c r="CZ4247" s="256"/>
      <c r="DG4247" s="256"/>
    </row>
    <row r="4248" spans="104:111">
      <c r="CZ4248" s="256"/>
      <c r="DG4248" s="256"/>
    </row>
    <row r="4249" spans="104:111">
      <c r="CZ4249" s="256"/>
      <c r="DG4249" s="256"/>
    </row>
    <row r="4250" spans="104:111">
      <c r="CZ4250" s="256"/>
      <c r="DG4250" s="256"/>
    </row>
    <row r="4251" spans="104:111">
      <c r="CZ4251" s="256"/>
      <c r="DG4251" s="256"/>
    </row>
    <row r="4252" spans="104:111">
      <c r="CZ4252" s="256"/>
      <c r="DG4252" s="256"/>
    </row>
    <row r="4253" spans="104:111">
      <c r="CZ4253" s="256"/>
      <c r="DG4253" s="256"/>
    </row>
    <row r="4254" spans="104:111">
      <c r="CZ4254" s="256"/>
      <c r="DG4254" s="256"/>
    </row>
    <row r="4255" spans="104:111">
      <c r="CZ4255" s="256"/>
      <c r="DG4255" s="256"/>
    </row>
    <row r="4256" spans="104:111">
      <c r="CZ4256" s="256"/>
      <c r="DG4256" s="256"/>
    </row>
    <row r="4257" spans="104:111">
      <c r="CZ4257" s="256"/>
      <c r="DG4257" s="256"/>
    </row>
    <row r="4258" spans="104:111">
      <c r="CZ4258" s="256"/>
      <c r="DG4258" s="256"/>
    </row>
    <row r="4259" spans="104:111">
      <c r="CZ4259" s="256"/>
      <c r="DG4259" s="256"/>
    </row>
    <row r="4260" spans="104:111">
      <c r="CZ4260" s="256"/>
      <c r="DG4260" s="256"/>
    </row>
    <row r="4261" spans="104:111">
      <c r="CZ4261" s="256"/>
      <c r="DG4261" s="256"/>
    </row>
    <row r="4262" spans="104:111">
      <c r="CZ4262" s="256"/>
      <c r="DG4262" s="256"/>
    </row>
    <row r="4263" spans="104:111">
      <c r="CZ4263" s="256"/>
      <c r="DG4263" s="256"/>
    </row>
    <row r="4264" spans="104:111">
      <c r="CZ4264" s="256"/>
      <c r="DG4264" s="256"/>
    </row>
    <row r="4265" spans="104:111">
      <c r="CZ4265" s="256"/>
      <c r="DG4265" s="256"/>
    </row>
    <row r="4266" spans="104:111">
      <c r="CZ4266" s="256"/>
      <c r="DG4266" s="256"/>
    </row>
    <row r="4267" spans="104:111">
      <c r="CZ4267" s="256"/>
      <c r="DG4267" s="256"/>
    </row>
    <row r="4268" spans="104:111">
      <c r="CZ4268" s="256"/>
      <c r="DG4268" s="256"/>
    </row>
    <row r="4269" spans="104:111">
      <c r="CZ4269" s="256"/>
      <c r="DG4269" s="256"/>
    </row>
    <row r="4270" spans="104:111">
      <c r="CZ4270" s="256"/>
      <c r="DG4270" s="256"/>
    </row>
    <row r="4271" spans="104:111">
      <c r="CZ4271" s="256"/>
      <c r="DG4271" s="256"/>
    </row>
    <row r="4272" spans="104:111">
      <c r="CZ4272" s="256"/>
      <c r="DG4272" s="256"/>
    </row>
    <row r="4273" spans="104:111">
      <c r="CZ4273" s="256"/>
      <c r="DG4273" s="256"/>
    </row>
    <row r="4274" spans="104:111">
      <c r="CZ4274" s="256"/>
      <c r="DG4274" s="256"/>
    </row>
    <row r="4275" spans="104:111">
      <c r="CZ4275" s="256"/>
      <c r="DG4275" s="256"/>
    </row>
    <row r="4276" spans="104:111">
      <c r="CZ4276" s="256"/>
      <c r="DG4276" s="256"/>
    </row>
    <row r="4277" spans="104:111">
      <c r="CZ4277" s="256"/>
      <c r="DG4277" s="256"/>
    </row>
    <row r="4278" spans="104:111">
      <c r="CZ4278" s="256"/>
      <c r="DG4278" s="256"/>
    </row>
    <row r="4279" spans="104:111">
      <c r="CZ4279" s="256"/>
      <c r="DG4279" s="256"/>
    </row>
    <row r="4280" spans="104:111">
      <c r="CZ4280" s="256"/>
      <c r="DG4280" s="256"/>
    </row>
    <row r="4281" spans="104:111">
      <c r="CZ4281" s="256"/>
      <c r="DG4281" s="256"/>
    </row>
    <row r="4282" spans="104:111">
      <c r="CZ4282" s="256"/>
      <c r="DG4282" s="256"/>
    </row>
    <row r="4283" spans="104:111">
      <c r="CZ4283" s="256"/>
      <c r="DG4283" s="256"/>
    </row>
    <row r="4284" spans="104:111">
      <c r="CZ4284" s="256"/>
      <c r="DG4284" s="256"/>
    </row>
    <row r="4285" spans="104:111">
      <c r="CZ4285" s="256"/>
      <c r="DG4285" s="256"/>
    </row>
    <row r="4286" spans="104:111">
      <c r="CZ4286" s="256"/>
      <c r="DG4286" s="256"/>
    </row>
    <row r="4287" spans="104:111">
      <c r="CZ4287" s="256"/>
      <c r="DG4287" s="256"/>
    </row>
    <row r="4288" spans="104:111">
      <c r="CZ4288" s="256"/>
      <c r="DG4288" s="256"/>
    </row>
    <row r="4289" spans="104:111">
      <c r="CZ4289" s="256"/>
      <c r="DG4289" s="256"/>
    </row>
    <row r="4290" spans="104:111">
      <c r="CZ4290" s="256"/>
      <c r="DG4290" s="256"/>
    </row>
    <row r="4291" spans="104:111">
      <c r="CZ4291" s="256"/>
      <c r="DG4291" s="256"/>
    </row>
    <row r="4292" spans="104:111">
      <c r="CZ4292" s="256"/>
      <c r="DG4292" s="256"/>
    </row>
    <row r="4293" spans="104:111">
      <c r="CZ4293" s="256"/>
      <c r="DG4293" s="256"/>
    </row>
    <row r="4294" spans="104:111">
      <c r="CZ4294" s="256"/>
      <c r="DG4294" s="256"/>
    </row>
    <row r="4295" spans="104:111">
      <c r="CZ4295" s="256"/>
      <c r="DG4295" s="256"/>
    </row>
    <row r="4296" spans="104:111">
      <c r="CZ4296" s="256"/>
      <c r="DG4296" s="256"/>
    </row>
    <row r="4297" spans="104:111">
      <c r="CZ4297" s="256"/>
      <c r="DG4297" s="256"/>
    </row>
    <row r="4298" spans="104:111">
      <c r="CZ4298" s="256"/>
      <c r="DG4298" s="256"/>
    </row>
    <row r="4299" spans="104:111">
      <c r="CZ4299" s="256"/>
      <c r="DG4299" s="256"/>
    </row>
    <row r="4300" spans="104:111">
      <c r="CZ4300" s="256"/>
      <c r="DG4300" s="256"/>
    </row>
    <row r="4301" spans="104:111">
      <c r="CZ4301" s="256"/>
      <c r="DG4301" s="256"/>
    </row>
    <row r="4302" spans="104:111">
      <c r="CZ4302" s="256"/>
      <c r="DG4302" s="256"/>
    </row>
    <row r="4303" spans="104:111">
      <c r="CZ4303" s="256"/>
      <c r="DG4303" s="256"/>
    </row>
    <row r="4304" spans="104:111">
      <c r="CZ4304" s="256"/>
      <c r="DG4304" s="256"/>
    </row>
    <row r="4305" spans="104:111">
      <c r="CZ4305" s="256"/>
      <c r="DG4305" s="256"/>
    </row>
    <row r="4306" spans="104:111">
      <c r="CZ4306" s="256"/>
      <c r="DG4306" s="256"/>
    </row>
    <row r="4307" spans="104:111">
      <c r="CZ4307" s="256"/>
      <c r="DG4307" s="256"/>
    </row>
    <row r="4308" spans="104:111">
      <c r="CZ4308" s="256"/>
      <c r="DG4308" s="256"/>
    </row>
    <row r="4309" spans="104:111">
      <c r="CZ4309" s="256"/>
      <c r="DG4309" s="256"/>
    </row>
    <row r="4310" spans="104:111">
      <c r="CZ4310" s="256"/>
      <c r="DG4310" s="256"/>
    </row>
    <row r="4311" spans="104:111">
      <c r="CZ4311" s="256"/>
      <c r="DG4311" s="256"/>
    </row>
    <row r="4312" spans="104:111">
      <c r="CZ4312" s="256"/>
      <c r="DG4312" s="256"/>
    </row>
    <row r="4313" spans="104:111">
      <c r="CZ4313" s="256"/>
      <c r="DG4313" s="256"/>
    </row>
    <row r="4314" spans="104:111">
      <c r="CZ4314" s="256"/>
      <c r="DG4314" s="256"/>
    </row>
    <row r="4315" spans="104:111">
      <c r="CZ4315" s="256"/>
      <c r="DG4315" s="256"/>
    </row>
    <row r="4316" spans="104:111">
      <c r="CZ4316" s="256"/>
      <c r="DG4316" s="256"/>
    </row>
    <row r="4317" spans="104:111">
      <c r="CZ4317" s="256"/>
      <c r="DG4317" s="256"/>
    </row>
    <row r="4318" spans="104:111">
      <c r="CZ4318" s="256"/>
      <c r="DG4318" s="256"/>
    </row>
    <row r="4319" spans="104:111">
      <c r="CZ4319" s="256"/>
      <c r="DG4319" s="256"/>
    </row>
    <row r="4320" spans="104:111">
      <c r="CZ4320" s="256"/>
      <c r="DG4320" s="256"/>
    </row>
    <row r="4321" spans="104:111">
      <c r="CZ4321" s="256"/>
      <c r="DG4321" s="256"/>
    </row>
    <row r="4322" spans="104:111">
      <c r="CZ4322" s="256"/>
      <c r="DG4322" s="256"/>
    </row>
    <row r="4323" spans="104:111">
      <c r="CZ4323" s="256"/>
      <c r="DG4323" s="256"/>
    </row>
    <row r="4324" spans="104:111">
      <c r="CZ4324" s="256"/>
      <c r="DG4324" s="256"/>
    </row>
    <row r="4325" spans="104:111">
      <c r="CZ4325" s="256"/>
      <c r="DG4325" s="256"/>
    </row>
    <row r="4326" spans="104:111">
      <c r="CZ4326" s="256"/>
      <c r="DG4326" s="256"/>
    </row>
    <row r="4327" spans="104:111">
      <c r="CZ4327" s="256"/>
      <c r="DG4327" s="256"/>
    </row>
    <row r="4328" spans="104:111">
      <c r="CZ4328" s="256"/>
      <c r="DG4328" s="256"/>
    </row>
    <row r="4329" spans="104:111">
      <c r="CZ4329" s="256"/>
      <c r="DG4329" s="256"/>
    </row>
    <row r="4330" spans="104:111">
      <c r="CZ4330" s="256"/>
      <c r="DG4330" s="256"/>
    </row>
    <row r="4331" spans="104:111">
      <c r="CZ4331" s="256"/>
      <c r="DG4331" s="256"/>
    </row>
    <row r="4332" spans="104:111">
      <c r="CZ4332" s="256"/>
      <c r="DG4332" s="256"/>
    </row>
    <row r="4333" spans="104:111">
      <c r="CZ4333" s="256"/>
      <c r="DG4333" s="256"/>
    </row>
    <row r="4334" spans="104:111">
      <c r="CZ4334" s="256"/>
      <c r="DG4334" s="256"/>
    </row>
    <row r="4335" spans="104:111">
      <c r="CZ4335" s="256"/>
      <c r="DG4335" s="256"/>
    </row>
    <row r="4336" spans="104:111">
      <c r="CZ4336" s="256"/>
      <c r="DG4336" s="256"/>
    </row>
    <row r="4337" spans="104:111">
      <c r="CZ4337" s="256"/>
      <c r="DG4337" s="256"/>
    </row>
    <row r="4338" spans="104:111">
      <c r="CZ4338" s="256"/>
      <c r="DG4338" s="256"/>
    </row>
    <row r="4339" spans="104:111">
      <c r="CZ4339" s="256"/>
      <c r="DG4339" s="256"/>
    </row>
    <row r="4340" spans="104:111">
      <c r="CZ4340" s="256"/>
      <c r="DG4340" s="256"/>
    </row>
    <row r="4341" spans="104:111">
      <c r="CZ4341" s="256"/>
      <c r="DG4341" s="256"/>
    </row>
    <row r="4342" spans="104:111">
      <c r="CZ4342" s="256"/>
      <c r="DG4342" s="256"/>
    </row>
    <row r="4343" spans="104:111">
      <c r="CZ4343" s="256"/>
      <c r="DG4343" s="256"/>
    </row>
    <row r="4344" spans="104:111">
      <c r="CZ4344" s="256"/>
      <c r="DG4344" s="256"/>
    </row>
    <row r="4345" spans="104:111">
      <c r="CZ4345" s="256"/>
      <c r="DG4345" s="256"/>
    </row>
    <row r="4346" spans="104:111">
      <c r="CZ4346" s="256"/>
      <c r="DG4346" s="256"/>
    </row>
    <row r="4347" spans="104:111">
      <c r="CZ4347" s="256"/>
      <c r="DG4347" s="256"/>
    </row>
    <row r="4348" spans="104:111">
      <c r="CZ4348" s="256"/>
      <c r="DG4348" s="256"/>
    </row>
    <row r="4349" spans="104:111">
      <c r="CZ4349" s="256"/>
      <c r="DG4349" s="256"/>
    </row>
    <row r="4350" spans="104:111">
      <c r="CZ4350" s="256"/>
      <c r="DG4350" s="256"/>
    </row>
    <row r="4351" spans="104:111">
      <c r="CZ4351" s="256"/>
      <c r="DG4351" s="256"/>
    </row>
    <row r="4352" spans="104:111">
      <c r="CZ4352" s="256"/>
      <c r="DG4352" s="256"/>
    </row>
    <row r="4353" spans="104:111">
      <c r="CZ4353" s="256"/>
      <c r="DG4353" s="256"/>
    </row>
    <row r="4354" spans="104:111">
      <c r="CZ4354" s="256"/>
      <c r="DG4354" s="256"/>
    </row>
    <row r="4355" spans="104:111">
      <c r="CZ4355" s="256"/>
      <c r="DG4355" s="256"/>
    </row>
    <row r="4356" spans="104:111">
      <c r="CZ4356" s="256"/>
      <c r="DG4356" s="256"/>
    </row>
    <row r="4357" spans="104:111">
      <c r="CZ4357" s="256"/>
      <c r="DG4357" s="256"/>
    </row>
    <row r="4358" spans="104:111">
      <c r="CZ4358" s="256"/>
      <c r="DG4358" s="256"/>
    </row>
    <row r="4359" spans="104:111">
      <c r="CZ4359" s="256"/>
      <c r="DG4359" s="256"/>
    </row>
    <row r="4360" spans="104:111">
      <c r="CZ4360" s="256"/>
      <c r="DG4360" s="256"/>
    </row>
    <row r="4361" spans="104:111">
      <c r="CZ4361" s="256"/>
      <c r="DG4361" s="256"/>
    </row>
    <row r="4362" spans="104:111">
      <c r="CZ4362" s="256"/>
      <c r="DG4362" s="256"/>
    </row>
    <row r="4363" spans="104:111">
      <c r="CZ4363" s="256"/>
      <c r="DG4363" s="256"/>
    </row>
    <row r="4364" spans="104:111">
      <c r="CZ4364" s="256"/>
      <c r="DG4364" s="256"/>
    </row>
    <row r="4365" spans="104:111">
      <c r="CZ4365" s="256"/>
      <c r="DG4365" s="256"/>
    </row>
    <row r="4366" spans="104:111">
      <c r="CZ4366" s="256"/>
      <c r="DG4366" s="256"/>
    </row>
    <row r="4367" spans="104:111">
      <c r="CZ4367" s="256"/>
      <c r="DG4367" s="256"/>
    </row>
    <row r="4368" spans="104:111">
      <c r="CZ4368" s="256"/>
      <c r="DG4368" s="256"/>
    </row>
    <row r="4369" spans="104:111">
      <c r="CZ4369" s="256"/>
      <c r="DG4369" s="256"/>
    </row>
    <row r="4370" spans="104:111">
      <c r="CZ4370" s="256"/>
      <c r="DG4370" s="256"/>
    </row>
    <row r="4371" spans="104:111">
      <c r="CZ4371" s="256"/>
      <c r="DG4371" s="256"/>
    </row>
    <row r="4372" spans="104:111">
      <c r="CZ4372" s="256"/>
      <c r="DG4372" s="256"/>
    </row>
    <row r="4373" spans="104:111">
      <c r="CZ4373" s="256"/>
      <c r="DG4373" s="256"/>
    </row>
    <row r="4374" spans="104:111">
      <c r="CZ4374" s="256"/>
      <c r="DG4374" s="256"/>
    </row>
    <row r="4375" spans="104:111">
      <c r="CZ4375" s="256"/>
      <c r="DG4375" s="256"/>
    </row>
    <row r="4376" spans="104:111">
      <c r="CZ4376" s="256"/>
      <c r="DG4376" s="256"/>
    </row>
    <row r="4377" spans="104:111">
      <c r="CZ4377" s="256"/>
      <c r="DG4377" s="256"/>
    </row>
    <row r="4378" spans="104:111">
      <c r="CZ4378" s="256"/>
      <c r="DG4378" s="256"/>
    </row>
    <row r="4379" spans="104:111">
      <c r="CZ4379" s="256"/>
      <c r="DG4379" s="256"/>
    </row>
    <row r="4380" spans="104:111">
      <c r="CZ4380" s="256"/>
      <c r="DG4380" s="256"/>
    </row>
    <row r="4381" spans="104:111">
      <c r="CZ4381" s="256"/>
      <c r="DG4381" s="256"/>
    </row>
    <row r="4382" spans="104:111">
      <c r="CZ4382" s="256"/>
      <c r="DG4382" s="256"/>
    </row>
    <row r="4383" spans="104:111">
      <c r="CZ4383" s="256"/>
      <c r="DG4383" s="256"/>
    </row>
    <row r="4384" spans="104:111">
      <c r="CZ4384" s="256"/>
      <c r="DG4384" s="256"/>
    </row>
    <row r="4385" spans="104:111">
      <c r="CZ4385" s="256"/>
      <c r="DG4385" s="256"/>
    </row>
    <row r="4386" spans="104:111">
      <c r="CZ4386" s="256"/>
      <c r="DG4386" s="256"/>
    </row>
    <row r="4387" spans="104:111">
      <c r="CZ4387" s="256"/>
      <c r="DG4387" s="256"/>
    </row>
    <row r="4388" spans="104:111">
      <c r="CZ4388" s="256"/>
      <c r="DG4388" s="256"/>
    </row>
    <row r="4389" spans="104:111">
      <c r="CZ4389" s="256"/>
      <c r="DG4389" s="256"/>
    </row>
    <row r="4390" spans="104:111">
      <c r="CZ4390" s="256"/>
      <c r="DG4390" s="256"/>
    </row>
    <row r="4391" spans="104:111">
      <c r="CZ4391" s="256"/>
      <c r="DG4391" s="256"/>
    </row>
    <row r="4392" spans="104:111">
      <c r="CZ4392" s="256"/>
      <c r="DG4392" s="256"/>
    </row>
    <row r="4393" spans="104:111">
      <c r="CZ4393" s="256"/>
      <c r="DG4393" s="256"/>
    </row>
    <row r="4394" spans="104:111">
      <c r="CZ4394" s="256"/>
      <c r="DG4394" s="256"/>
    </row>
    <row r="4395" spans="104:111">
      <c r="CZ4395" s="256"/>
      <c r="DG4395" s="256"/>
    </row>
    <row r="4396" spans="104:111">
      <c r="CZ4396" s="256"/>
      <c r="DG4396" s="256"/>
    </row>
    <row r="4397" spans="104:111">
      <c r="CZ4397" s="256"/>
      <c r="DG4397" s="256"/>
    </row>
    <row r="4398" spans="104:111">
      <c r="CZ4398" s="256"/>
      <c r="DG4398" s="256"/>
    </row>
    <row r="4399" spans="104:111">
      <c r="CZ4399" s="256"/>
      <c r="DG4399" s="256"/>
    </row>
    <row r="4400" spans="104:111">
      <c r="CZ4400" s="256"/>
      <c r="DG4400" s="256"/>
    </row>
    <row r="4401" spans="104:111">
      <c r="CZ4401" s="256"/>
      <c r="DG4401" s="256"/>
    </row>
    <row r="4402" spans="104:111">
      <c r="CZ4402" s="256"/>
      <c r="DG4402" s="256"/>
    </row>
    <row r="4403" spans="104:111">
      <c r="CZ4403" s="256"/>
      <c r="DG4403" s="256"/>
    </row>
    <row r="4404" spans="104:111">
      <c r="CZ4404" s="256"/>
      <c r="DG4404" s="256"/>
    </row>
    <row r="4405" spans="104:111">
      <c r="CZ4405" s="256"/>
      <c r="DG4405" s="256"/>
    </row>
    <row r="4406" spans="104:111">
      <c r="CZ4406" s="256"/>
      <c r="DG4406" s="256"/>
    </row>
    <row r="4407" spans="104:111">
      <c r="CZ4407" s="256"/>
      <c r="DG4407" s="256"/>
    </row>
    <row r="4408" spans="104:111">
      <c r="CZ4408" s="256"/>
      <c r="DG4408" s="256"/>
    </row>
    <row r="4409" spans="104:111">
      <c r="CZ4409" s="256"/>
      <c r="DG4409" s="256"/>
    </row>
    <row r="4410" spans="104:111">
      <c r="CZ4410" s="256"/>
      <c r="DG4410" s="256"/>
    </row>
    <row r="4411" spans="104:111">
      <c r="CZ4411" s="256"/>
      <c r="DG4411" s="256"/>
    </row>
    <row r="4412" spans="104:111">
      <c r="CZ4412" s="256"/>
      <c r="DG4412" s="256"/>
    </row>
    <row r="4413" spans="104:111">
      <c r="CZ4413" s="256"/>
      <c r="DG4413" s="256"/>
    </row>
    <row r="4414" spans="104:111">
      <c r="CZ4414" s="256"/>
      <c r="DG4414" s="256"/>
    </row>
    <row r="4415" spans="104:111">
      <c r="CZ4415" s="256"/>
      <c r="DG4415" s="256"/>
    </row>
    <row r="4416" spans="104:111">
      <c r="CZ4416" s="256"/>
      <c r="DG4416" s="256"/>
    </row>
    <row r="4417" spans="104:111">
      <c r="CZ4417" s="256"/>
      <c r="DG4417" s="256"/>
    </row>
    <row r="4418" spans="104:111">
      <c r="CZ4418" s="256"/>
      <c r="DG4418" s="256"/>
    </row>
    <row r="4419" spans="104:111">
      <c r="CZ4419" s="256"/>
      <c r="DG4419" s="256"/>
    </row>
    <row r="4420" spans="104:111">
      <c r="CZ4420" s="256"/>
      <c r="DG4420" s="256"/>
    </row>
    <row r="4421" spans="104:111">
      <c r="CZ4421" s="256"/>
      <c r="DG4421" s="256"/>
    </row>
    <row r="4422" spans="104:111">
      <c r="CZ4422" s="256"/>
      <c r="DG4422" s="256"/>
    </row>
    <row r="4423" spans="104:111">
      <c r="CZ4423" s="256"/>
      <c r="DG4423" s="256"/>
    </row>
    <row r="4424" spans="104:111">
      <c r="CZ4424" s="256"/>
      <c r="DG4424" s="256"/>
    </row>
    <row r="4425" spans="104:111">
      <c r="CZ4425" s="256"/>
      <c r="DG4425" s="256"/>
    </row>
    <row r="4426" spans="104:111">
      <c r="CZ4426" s="256"/>
      <c r="DG4426" s="256"/>
    </row>
    <row r="4427" spans="104:111">
      <c r="CZ4427" s="256"/>
      <c r="DG4427" s="256"/>
    </row>
    <row r="4428" spans="104:111">
      <c r="CZ4428" s="256"/>
      <c r="DG4428" s="256"/>
    </row>
    <row r="4429" spans="104:111">
      <c r="CZ4429" s="256"/>
      <c r="DG4429" s="256"/>
    </row>
    <row r="4430" spans="104:111">
      <c r="CZ4430" s="256"/>
      <c r="DG4430" s="256"/>
    </row>
    <row r="4431" spans="104:111">
      <c r="CZ4431" s="256"/>
      <c r="DG4431" s="256"/>
    </row>
    <row r="4432" spans="104:111">
      <c r="CZ4432" s="256"/>
      <c r="DG4432" s="256"/>
    </row>
    <row r="4433" spans="104:111">
      <c r="CZ4433" s="256"/>
      <c r="DG4433" s="256"/>
    </row>
    <row r="4434" spans="104:111">
      <c r="CZ4434" s="256"/>
      <c r="DG4434" s="256"/>
    </row>
    <row r="4435" spans="104:111">
      <c r="CZ4435" s="256"/>
      <c r="DG4435" s="256"/>
    </row>
    <row r="4436" spans="104:111">
      <c r="CZ4436" s="256"/>
      <c r="DG4436" s="256"/>
    </row>
    <row r="4437" spans="104:111">
      <c r="CZ4437" s="256"/>
      <c r="DG4437" s="256"/>
    </row>
    <row r="4438" spans="104:111">
      <c r="CZ4438" s="256"/>
      <c r="DG4438" s="256"/>
    </row>
    <row r="4439" spans="104:111">
      <c r="CZ4439" s="256"/>
      <c r="DG4439" s="256"/>
    </row>
    <row r="4440" spans="104:111">
      <c r="CZ4440" s="256"/>
      <c r="DG4440" s="256"/>
    </row>
    <row r="4441" spans="104:111">
      <c r="CZ4441" s="256"/>
      <c r="DG4441" s="256"/>
    </row>
    <row r="4442" spans="104:111">
      <c r="CZ4442" s="256"/>
      <c r="DG4442" s="256"/>
    </row>
    <row r="4443" spans="104:111">
      <c r="CZ4443" s="256"/>
      <c r="DG4443" s="256"/>
    </row>
    <row r="4444" spans="104:111">
      <c r="CZ4444" s="256"/>
      <c r="DG4444" s="256"/>
    </row>
    <row r="4445" spans="104:111">
      <c r="CZ4445" s="256"/>
      <c r="DG4445" s="256"/>
    </row>
    <row r="4446" spans="104:111">
      <c r="CZ4446" s="256"/>
      <c r="DG4446" s="256"/>
    </row>
    <row r="4447" spans="104:111">
      <c r="CZ4447" s="256"/>
      <c r="DG4447" s="256"/>
    </row>
    <row r="4448" spans="104:111">
      <c r="CZ4448" s="256"/>
      <c r="DG4448" s="256"/>
    </row>
    <row r="4449" spans="104:111">
      <c r="CZ4449" s="256"/>
      <c r="DG4449" s="256"/>
    </row>
    <row r="4450" spans="104:111">
      <c r="CZ4450" s="256"/>
      <c r="DG4450" s="256"/>
    </row>
    <row r="4451" spans="104:111">
      <c r="CZ4451" s="256"/>
      <c r="DG4451" s="256"/>
    </row>
    <row r="4452" spans="104:111">
      <c r="CZ4452" s="256"/>
      <c r="DG4452" s="256"/>
    </row>
    <row r="4453" spans="104:111">
      <c r="CZ4453" s="256"/>
      <c r="DG4453" s="256"/>
    </row>
    <row r="4454" spans="104:111">
      <c r="CZ4454" s="256"/>
      <c r="DG4454" s="256"/>
    </row>
    <row r="4455" spans="104:111">
      <c r="CZ4455" s="256"/>
      <c r="DG4455" s="256"/>
    </row>
    <row r="4456" spans="104:111">
      <c r="CZ4456" s="256"/>
      <c r="DG4456" s="256"/>
    </row>
    <row r="4457" spans="104:111">
      <c r="CZ4457" s="256"/>
      <c r="DG4457" s="256"/>
    </row>
    <row r="4458" spans="104:111">
      <c r="CZ4458" s="256"/>
      <c r="DG4458" s="256"/>
    </row>
    <row r="4459" spans="104:111">
      <c r="CZ4459" s="256"/>
      <c r="DG4459" s="256"/>
    </row>
    <row r="4460" spans="104:111">
      <c r="CZ4460" s="256"/>
      <c r="DG4460" s="256"/>
    </row>
    <row r="4461" spans="104:111">
      <c r="CZ4461" s="256"/>
      <c r="DG4461" s="256"/>
    </row>
    <row r="4462" spans="104:111">
      <c r="CZ4462" s="256"/>
      <c r="DG4462" s="256"/>
    </row>
    <row r="4463" spans="104:111">
      <c r="CZ4463" s="256"/>
      <c r="DG4463" s="256"/>
    </row>
    <row r="4464" spans="104:111">
      <c r="CZ4464" s="256"/>
      <c r="DG4464" s="256"/>
    </row>
    <row r="4465" spans="104:111">
      <c r="CZ4465" s="256"/>
      <c r="DG4465" s="256"/>
    </row>
    <row r="4466" spans="104:111">
      <c r="CZ4466" s="256"/>
      <c r="DG4466" s="256"/>
    </row>
    <row r="4467" spans="104:111">
      <c r="CZ4467" s="256"/>
      <c r="DG4467" s="256"/>
    </row>
    <row r="4468" spans="104:111">
      <c r="CZ4468" s="256"/>
      <c r="DG4468" s="256"/>
    </row>
    <row r="4469" spans="104:111">
      <c r="CZ4469" s="256"/>
      <c r="DG4469" s="256"/>
    </row>
    <row r="4470" spans="104:111">
      <c r="CZ4470" s="256"/>
      <c r="DG4470" s="256"/>
    </row>
    <row r="4471" spans="104:111">
      <c r="CZ4471" s="256"/>
      <c r="DG4471" s="256"/>
    </row>
    <row r="4472" spans="104:111">
      <c r="CZ4472" s="256"/>
      <c r="DG4472" s="256"/>
    </row>
    <row r="4473" spans="104:111">
      <c r="CZ4473" s="256"/>
      <c r="DG4473" s="256"/>
    </row>
    <row r="4474" spans="104:111">
      <c r="CZ4474" s="256"/>
      <c r="DG4474" s="256"/>
    </row>
    <row r="4475" spans="104:111">
      <c r="CZ4475" s="256"/>
      <c r="DG4475" s="256"/>
    </row>
    <row r="4476" spans="104:111">
      <c r="CZ4476" s="256"/>
      <c r="DG4476" s="256"/>
    </row>
    <row r="4477" spans="104:111">
      <c r="CZ4477" s="256"/>
      <c r="DG4477" s="256"/>
    </row>
    <row r="4478" spans="104:111">
      <c r="CZ4478" s="256"/>
      <c r="DG4478" s="256"/>
    </row>
    <row r="4479" spans="104:111">
      <c r="CZ4479" s="256"/>
      <c r="DG4479" s="256"/>
    </row>
    <row r="4480" spans="104:111">
      <c r="CZ4480" s="256"/>
      <c r="DG4480" s="256"/>
    </row>
    <row r="4481" spans="104:111">
      <c r="CZ4481" s="256"/>
      <c r="DG4481" s="256"/>
    </row>
    <row r="4482" spans="104:111">
      <c r="CZ4482" s="256"/>
      <c r="DG4482" s="256"/>
    </row>
    <row r="4483" spans="104:111">
      <c r="CZ4483" s="256"/>
      <c r="DG4483" s="256"/>
    </row>
    <row r="4484" spans="104:111">
      <c r="CZ4484" s="256"/>
      <c r="DG4484" s="256"/>
    </row>
    <row r="4485" spans="104:111">
      <c r="CZ4485" s="256"/>
      <c r="DG4485" s="256"/>
    </row>
    <row r="4486" spans="104:111">
      <c r="CZ4486" s="256"/>
      <c r="DG4486" s="256"/>
    </row>
    <row r="4487" spans="104:111">
      <c r="CZ4487" s="256"/>
      <c r="DG4487" s="256"/>
    </row>
    <row r="4488" spans="104:111">
      <c r="CZ4488" s="256"/>
      <c r="DG4488" s="256"/>
    </row>
    <row r="4489" spans="104:111">
      <c r="CZ4489" s="256"/>
      <c r="DG4489" s="256"/>
    </row>
    <row r="4490" spans="104:111">
      <c r="CZ4490" s="256"/>
      <c r="DG4490" s="256"/>
    </row>
    <row r="4491" spans="104:111">
      <c r="CZ4491" s="256"/>
      <c r="DG4491" s="256"/>
    </row>
    <row r="4492" spans="104:111">
      <c r="CZ4492" s="256"/>
      <c r="DG4492" s="256"/>
    </row>
    <row r="4493" spans="104:111">
      <c r="CZ4493" s="256"/>
      <c r="DG4493" s="256"/>
    </row>
    <row r="4494" spans="104:111">
      <c r="CZ4494" s="256"/>
      <c r="DG4494" s="256"/>
    </row>
    <row r="4495" spans="104:111">
      <c r="CZ4495" s="256"/>
      <c r="DG4495" s="256"/>
    </row>
    <row r="4496" spans="104:111">
      <c r="CZ4496" s="256"/>
      <c r="DG4496" s="256"/>
    </row>
    <row r="4497" spans="104:111">
      <c r="CZ4497" s="256"/>
      <c r="DG4497" s="256"/>
    </row>
    <row r="4498" spans="104:111">
      <c r="CZ4498" s="256"/>
      <c r="DG4498" s="256"/>
    </row>
    <row r="4499" spans="104:111">
      <c r="CZ4499" s="256"/>
      <c r="DG4499" s="256"/>
    </row>
    <row r="4500" spans="104:111">
      <c r="CZ4500" s="256"/>
      <c r="DG4500" s="256"/>
    </row>
    <row r="4501" spans="104:111">
      <c r="CZ4501" s="256"/>
      <c r="DG4501" s="256"/>
    </row>
    <row r="4502" spans="104:111">
      <c r="CZ4502" s="256"/>
      <c r="DG4502" s="256"/>
    </row>
    <row r="4503" spans="104:111">
      <c r="CZ4503" s="256"/>
      <c r="DG4503" s="256"/>
    </row>
    <row r="4504" spans="104:111">
      <c r="CZ4504" s="256"/>
      <c r="DG4504" s="256"/>
    </row>
    <row r="4505" spans="104:111">
      <c r="CZ4505" s="256"/>
      <c r="DG4505" s="256"/>
    </row>
    <row r="4506" spans="104:111">
      <c r="CZ4506" s="256"/>
      <c r="DG4506" s="256"/>
    </row>
    <row r="4507" spans="104:111">
      <c r="CZ4507" s="256"/>
      <c r="DG4507" s="256"/>
    </row>
    <row r="4508" spans="104:111">
      <c r="CZ4508" s="256"/>
      <c r="DG4508" s="256"/>
    </row>
    <row r="4509" spans="104:111">
      <c r="CZ4509" s="256"/>
      <c r="DG4509" s="256"/>
    </row>
    <row r="4510" spans="104:111">
      <c r="CZ4510" s="256"/>
      <c r="DG4510" s="256"/>
    </row>
    <row r="4511" spans="104:111">
      <c r="CZ4511" s="256"/>
      <c r="DG4511" s="256"/>
    </row>
    <row r="4512" spans="104:111">
      <c r="CZ4512" s="256"/>
      <c r="DG4512" s="256"/>
    </row>
    <row r="4513" spans="104:111">
      <c r="CZ4513" s="256"/>
      <c r="DG4513" s="256"/>
    </row>
    <row r="4514" spans="104:111">
      <c r="CZ4514" s="256"/>
      <c r="DG4514" s="256"/>
    </row>
    <row r="4515" spans="104:111">
      <c r="CZ4515" s="256"/>
      <c r="DG4515" s="256"/>
    </row>
    <row r="4516" spans="104:111">
      <c r="CZ4516" s="256"/>
      <c r="DG4516" s="256"/>
    </row>
    <row r="4517" spans="104:111">
      <c r="CZ4517" s="256"/>
      <c r="DG4517" s="256"/>
    </row>
    <row r="4518" spans="104:111">
      <c r="CZ4518" s="256"/>
      <c r="DG4518" s="256"/>
    </row>
    <row r="4519" spans="104:111">
      <c r="CZ4519" s="256"/>
      <c r="DG4519" s="256"/>
    </row>
    <row r="4520" spans="104:111">
      <c r="CZ4520" s="256"/>
      <c r="DG4520" s="256"/>
    </row>
    <row r="4521" spans="104:111">
      <c r="CZ4521" s="256"/>
      <c r="DG4521" s="256"/>
    </row>
    <row r="4522" spans="104:111">
      <c r="CZ4522" s="256"/>
      <c r="DG4522" s="256"/>
    </row>
    <row r="4523" spans="104:111">
      <c r="CZ4523" s="256"/>
      <c r="DG4523" s="256"/>
    </row>
    <row r="4524" spans="104:111">
      <c r="CZ4524" s="256"/>
      <c r="DG4524" s="256"/>
    </row>
    <row r="4525" spans="104:111">
      <c r="CZ4525" s="256"/>
      <c r="DG4525" s="256"/>
    </row>
    <row r="4526" spans="104:111">
      <c r="CZ4526" s="256"/>
      <c r="DG4526" s="256"/>
    </row>
    <row r="4527" spans="104:111">
      <c r="CZ4527" s="256"/>
      <c r="DG4527" s="256"/>
    </row>
    <row r="4528" spans="104:111">
      <c r="CZ4528" s="256"/>
      <c r="DG4528" s="256"/>
    </row>
    <row r="4529" spans="104:111">
      <c r="CZ4529" s="256"/>
      <c r="DG4529" s="256"/>
    </row>
    <row r="4530" spans="104:111">
      <c r="CZ4530" s="256"/>
      <c r="DG4530" s="256"/>
    </row>
    <row r="4531" spans="104:111">
      <c r="CZ4531" s="256"/>
      <c r="DG4531" s="256"/>
    </row>
    <row r="4532" spans="104:111">
      <c r="CZ4532" s="256"/>
      <c r="DG4532" s="256"/>
    </row>
    <row r="4533" spans="104:111">
      <c r="CZ4533" s="256"/>
      <c r="DG4533" s="256"/>
    </row>
    <row r="4534" spans="104:111">
      <c r="CZ4534" s="256"/>
      <c r="DG4534" s="256"/>
    </row>
    <row r="4535" spans="104:111">
      <c r="CZ4535" s="256"/>
      <c r="DG4535" s="256"/>
    </row>
    <row r="4536" spans="104:111">
      <c r="CZ4536" s="256"/>
      <c r="DG4536" s="256"/>
    </row>
    <row r="4537" spans="104:111">
      <c r="CZ4537" s="256"/>
      <c r="DG4537" s="256"/>
    </row>
    <row r="4538" spans="104:111">
      <c r="CZ4538" s="256"/>
      <c r="DG4538" s="256"/>
    </row>
    <row r="4539" spans="104:111">
      <c r="CZ4539" s="256"/>
      <c r="DG4539" s="256"/>
    </row>
    <row r="4540" spans="104:111">
      <c r="CZ4540" s="256"/>
      <c r="DG4540" s="256"/>
    </row>
    <row r="4541" spans="104:111">
      <c r="CZ4541" s="256"/>
      <c r="DG4541" s="256"/>
    </row>
    <row r="4542" spans="104:111">
      <c r="CZ4542" s="256"/>
      <c r="DG4542" s="256"/>
    </row>
    <row r="4543" spans="104:111">
      <c r="CZ4543" s="256"/>
      <c r="DG4543" s="256"/>
    </row>
    <row r="4544" spans="104:111">
      <c r="CZ4544" s="256"/>
      <c r="DG4544" s="256"/>
    </row>
    <row r="4545" spans="104:111">
      <c r="CZ4545" s="256"/>
      <c r="DG4545" s="256"/>
    </row>
    <row r="4546" spans="104:111">
      <c r="CZ4546" s="256"/>
      <c r="DG4546" s="256"/>
    </row>
    <row r="4547" spans="104:111">
      <c r="CZ4547" s="256"/>
      <c r="DG4547" s="256"/>
    </row>
    <row r="4548" spans="104:111">
      <c r="CZ4548" s="256"/>
      <c r="DG4548" s="256"/>
    </row>
    <row r="4549" spans="104:111">
      <c r="CZ4549" s="256"/>
      <c r="DG4549" s="256"/>
    </row>
    <row r="4550" spans="104:111">
      <c r="CZ4550" s="256"/>
      <c r="DG4550" s="256"/>
    </row>
    <row r="4551" spans="104:111">
      <c r="CZ4551" s="256"/>
      <c r="DG4551" s="256"/>
    </row>
    <row r="4552" spans="104:111">
      <c r="CZ4552" s="256"/>
      <c r="DG4552" s="256"/>
    </row>
    <row r="4553" spans="104:111">
      <c r="CZ4553" s="256"/>
      <c r="DG4553" s="256"/>
    </row>
    <row r="4554" spans="104:111">
      <c r="CZ4554" s="256"/>
      <c r="DG4554" s="256"/>
    </row>
    <row r="4555" spans="104:111">
      <c r="CZ4555" s="256"/>
      <c r="DG4555" s="256"/>
    </row>
    <row r="4556" spans="104:111">
      <c r="CZ4556" s="256"/>
      <c r="DG4556" s="256"/>
    </row>
    <row r="4557" spans="104:111">
      <c r="CZ4557" s="256"/>
      <c r="DG4557" s="256"/>
    </row>
    <row r="4558" spans="104:111">
      <c r="CZ4558" s="256"/>
      <c r="DG4558" s="256"/>
    </row>
    <row r="4559" spans="104:111">
      <c r="CZ4559" s="256"/>
      <c r="DG4559" s="256"/>
    </row>
    <row r="4560" spans="104:111">
      <c r="CZ4560" s="256"/>
      <c r="DG4560" s="256"/>
    </row>
    <row r="4561" spans="104:111">
      <c r="CZ4561" s="256"/>
      <c r="DG4561" s="256"/>
    </row>
    <row r="4562" spans="104:111">
      <c r="CZ4562" s="256"/>
      <c r="DG4562" s="256"/>
    </row>
    <row r="4563" spans="104:111">
      <c r="CZ4563" s="256"/>
      <c r="DG4563" s="256"/>
    </row>
    <row r="4564" spans="104:111">
      <c r="CZ4564" s="256"/>
      <c r="DG4564" s="256"/>
    </row>
    <row r="4565" spans="104:111">
      <c r="CZ4565" s="256"/>
      <c r="DG4565" s="256"/>
    </row>
    <row r="4566" spans="104:111">
      <c r="CZ4566" s="256"/>
      <c r="DG4566" s="256"/>
    </row>
    <row r="4567" spans="104:111">
      <c r="CZ4567" s="256"/>
      <c r="DG4567" s="256"/>
    </row>
    <row r="4568" spans="104:111">
      <c r="CZ4568" s="256"/>
      <c r="DG4568" s="256"/>
    </row>
    <row r="4569" spans="104:111">
      <c r="CZ4569" s="256"/>
      <c r="DG4569" s="256"/>
    </row>
    <row r="4570" spans="104:111">
      <c r="CZ4570" s="256"/>
      <c r="DG4570" s="256"/>
    </row>
    <row r="4571" spans="104:111">
      <c r="CZ4571" s="256"/>
      <c r="DG4571" s="256"/>
    </row>
    <row r="4572" spans="104:111">
      <c r="CZ4572" s="256"/>
      <c r="DG4572" s="256"/>
    </row>
    <row r="4573" spans="104:111">
      <c r="CZ4573" s="256"/>
      <c r="DG4573" s="256"/>
    </row>
    <row r="4574" spans="104:111">
      <c r="CZ4574" s="256"/>
      <c r="DG4574" s="256"/>
    </row>
    <row r="4575" spans="104:111">
      <c r="CZ4575" s="256"/>
      <c r="DG4575" s="256"/>
    </row>
    <row r="4576" spans="104:111">
      <c r="CZ4576" s="256"/>
      <c r="DG4576" s="256"/>
    </row>
    <row r="4577" spans="104:111">
      <c r="CZ4577" s="256"/>
      <c r="DG4577" s="256"/>
    </row>
    <row r="4578" spans="104:111">
      <c r="CZ4578" s="256"/>
      <c r="DG4578" s="256"/>
    </row>
    <row r="4579" spans="104:111">
      <c r="CZ4579" s="256"/>
      <c r="DG4579" s="256"/>
    </row>
    <row r="4580" spans="104:111">
      <c r="CZ4580" s="256"/>
      <c r="DG4580" s="256"/>
    </row>
    <row r="4581" spans="104:111">
      <c r="CZ4581" s="256"/>
      <c r="DG4581" s="256"/>
    </row>
    <row r="4582" spans="104:111">
      <c r="CZ4582" s="256"/>
      <c r="DG4582" s="256"/>
    </row>
    <row r="4583" spans="104:111">
      <c r="CZ4583" s="256"/>
      <c r="DG4583" s="256"/>
    </row>
    <row r="4584" spans="104:111">
      <c r="CZ4584" s="256"/>
      <c r="DG4584" s="256"/>
    </row>
    <row r="4585" spans="104:111">
      <c r="CZ4585" s="256"/>
      <c r="DG4585" s="256"/>
    </row>
    <row r="4586" spans="104:111">
      <c r="CZ4586" s="256"/>
      <c r="DG4586" s="256"/>
    </row>
    <row r="4587" spans="104:111">
      <c r="CZ4587" s="256"/>
      <c r="DG4587" s="256"/>
    </row>
    <row r="4588" spans="104:111">
      <c r="CZ4588" s="256"/>
      <c r="DG4588" s="256"/>
    </row>
    <row r="4589" spans="104:111">
      <c r="CZ4589" s="256"/>
      <c r="DG4589" s="256"/>
    </row>
    <row r="4590" spans="104:111">
      <c r="CZ4590" s="256"/>
      <c r="DG4590" s="256"/>
    </row>
    <row r="4591" spans="104:111">
      <c r="CZ4591" s="256"/>
      <c r="DG4591" s="256"/>
    </row>
    <row r="4592" spans="104:111">
      <c r="CZ4592" s="256"/>
      <c r="DG4592" s="256"/>
    </row>
    <row r="4593" spans="104:111">
      <c r="CZ4593" s="256"/>
      <c r="DG4593" s="256"/>
    </row>
    <row r="4594" spans="104:111">
      <c r="CZ4594" s="256"/>
      <c r="DG4594" s="256"/>
    </row>
    <row r="4595" spans="104:111">
      <c r="CZ4595" s="256"/>
      <c r="DG4595" s="256"/>
    </row>
    <row r="4596" spans="104:111">
      <c r="CZ4596" s="256"/>
      <c r="DG4596" s="256"/>
    </row>
    <row r="4597" spans="104:111">
      <c r="CZ4597" s="256"/>
      <c r="DG4597" s="256"/>
    </row>
    <row r="4598" spans="104:111">
      <c r="CZ4598" s="256"/>
      <c r="DG4598" s="256"/>
    </row>
    <row r="4599" spans="104:111">
      <c r="CZ4599" s="256"/>
      <c r="DG4599" s="256"/>
    </row>
    <row r="4600" spans="104:111">
      <c r="CZ4600" s="256"/>
      <c r="DG4600" s="256"/>
    </row>
    <row r="4601" spans="104:111">
      <c r="CZ4601" s="256"/>
      <c r="DG4601" s="256"/>
    </row>
    <row r="4602" spans="104:111">
      <c r="CZ4602" s="256"/>
      <c r="DG4602" s="256"/>
    </row>
    <row r="4603" spans="104:111">
      <c r="CZ4603" s="256"/>
      <c r="DG4603" s="256"/>
    </row>
    <row r="4604" spans="104:111">
      <c r="CZ4604" s="256"/>
      <c r="DG4604" s="256"/>
    </row>
    <row r="4605" spans="104:111">
      <c r="CZ4605" s="256"/>
      <c r="DG4605" s="256"/>
    </row>
    <row r="4606" spans="104:111">
      <c r="CZ4606" s="256"/>
      <c r="DG4606" s="256"/>
    </row>
    <row r="4607" spans="104:111">
      <c r="CZ4607" s="256"/>
      <c r="DG4607" s="256"/>
    </row>
    <row r="4608" spans="104:111">
      <c r="CZ4608" s="256"/>
      <c r="DG4608" s="256"/>
    </row>
    <row r="4609" spans="104:111">
      <c r="CZ4609" s="256"/>
      <c r="DG4609" s="256"/>
    </row>
    <row r="4610" spans="104:111">
      <c r="CZ4610" s="256"/>
      <c r="DG4610" s="256"/>
    </row>
    <row r="4611" spans="104:111">
      <c r="CZ4611" s="256"/>
      <c r="DG4611" s="256"/>
    </row>
    <row r="4612" spans="104:111">
      <c r="CZ4612" s="256"/>
      <c r="DG4612" s="256"/>
    </row>
    <row r="4613" spans="104:111">
      <c r="CZ4613" s="256"/>
      <c r="DG4613" s="256"/>
    </row>
    <row r="4614" spans="104:111">
      <c r="CZ4614" s="256"/>
      <c r="DG4614" s="256"/>
    </row>
    <row r="4615" spans="104:111">
      <c r="CZ4615" s="256"/>
      <c r="DG4615" s="256"/>
    </row>
    <row r="4616" spans="104:111">
      <c r="CZ4616" s="256"/>
      <c r="DG4616" s="256"/>
    </row>
    <row r="4617" spans="104:111">
      <c r="CZ4617" s="256"/>
      <c r="DG4617" s="256"/>
    </row>
    <row r="4618" spans="104:111">
      <c r="CZ4618" s="256"/>
      <c r="DG4618" s="256"/>
    </row>
    <row r="4619" spans="104:111">
      <c r="CZ4619" s="256"/>
      <c r="DG4619" s="256"/>
    </row>
    <row r="4620" spans="104:111">
      <c r="CZ4620" s="256"/>
      <c r="DG4620" s="256"/>
    </row>
    <row r="4621" spans="104:111">
      <c r="CZ4621" s="256"/>
      <c r="DG4621" s="256"/>
    </row>
    <row r="4622" spans="104:111">
      <c r="CZ4622" s="256"/>
      <c r="DG4622" s="256"/>
    </row>
    <row r="4623" spans="104:111">
      <c r="CZ4623" s="256"/>
      <c r="DG4623" s="256"/>
    </row>
    <row r="4624" spans="104:111">
      <c r="CZ4624" s="256"/>
      <c r="DG4624" s="256"/>
    </row>
    <row r="4625" spans="104:111">
      <c r="CZ4625" s="256"/>
      <c r="DG4625" s="256"/>
    </row>
    <row r="4626" spans="104:111">
      <c r="CZ4626" s="256"/>
      <c r="DG4626" s="256"/>
    </row>
    <row r="4627" spans="104:111">
      <c r="CZ4627" s="256"/>
      <c r="DG4627" s="256"/>
    </row>
    <row r="4628" spans="104:111">
      <c r="CZ4628" s="256"/>
      <c r="DG4628" s="256"/>
    </row>
    <row r="4629" spans="104:111">
      <c r="CZ4629" s="256"/>
      <c r="DG4629" s="256"/>
    </row>
    <row r="4630" spans="104:111">
      <c r="CZ4630" s="256"/>
      <c r="DG4630" s="256"/>
    </row>
    <row r="4631" spans="104:111">
      <c r="CZ4631" s="256"/>
      <c r="DG4631" s="256"/>
    </row>
    <row r="4632" spans="104:111">
      <c r="CZ4632" s="256"/>
      <c r="DG4632" s="256"/>
    </row>
    <row r="4633" spans="104:111">
      <c r="CZ4633" s="256"/>
      <c r="DG4633" s="256"/>
    </row>
    <row r="4634" spans="104:111">
      <c r="CZ4634" s="256"/>
      <c r="DG4634" s="256"/>
    </row>
    <row r="4635" spans="104:111">
      <c r="CZ4635" s="256"/>
      <c r="DG4635" s="256"/>
    </row>
    <row r="4636" spans="104:111">
      <c r="CZ4636" s="256"/>
      <c r="DG4636" s="256"/>
    </row>
    <row r="4637" spans="104:111">
      <c r="CZ4637" s="256"/>
      <c r="DG4637" s="256"/>
    </row>
    <row r="4638" spans="104:111">
      <c r="CZ4638" s="256"/>
      <c r="DG4638" s="256"/>
    </row>
    <row r="4639" spans="104:111">
      <c r="CZ4639" s="256"/>
      <c r="DG4639" s="256"/>
    </row>
    <row r="4640" spans="104:111">
      <c r="CZ4640" s="256"/>
      <c r="DG4640" s="256"/>
    </row>
    <row r="4641" spans="104:111">
      <c r="CZ4641" s="256"/>
      <c r="DG4641" s="256"/>
    </row>
    <row r="4642" spans="104:111">
      <c r="CZ4642" s="256"/>
      <c r="DG4642" s="256"/>
    </row>
    <row r="4643" spans="104:111">
      <c r="CZ4643" s="256"/>
      <c r="DG4643" s="256"/>
    </row>
    <row r="4644" spans="104:111">
      <c r="CZ4644" s="256"/>
      <c r="DG4644" s="256"/>
    </row>
    <row r="4645" spans="104:111">
      <c r="CZ4645" s="256"/>
      <c r="DG4645" s="256"/>
    </row>
    <row r="4646" spans="104:111">
      <c r="CZ4646" s="256"/>
      <c r="DG4646" s="256"/>
    </row>
    <row r="4647" spans="104:111">
      <c r="CZ4647" s="256"/>
      <c r="DG4647" s="256"/>
    </row>
    <row r="4648" spans="104:111">
      <c r="CZ4648" s="256"/>
      <c r="DG4648" s="256"/>
    </row>
    <row r="4649" spans="104:111">
      <c r="CZ4649" s="256"/>
      <c r="DG4649" s="256"/>
    </row>
    <row r="4650" spans="104:111">
      <c r="CZ4650" s="256"/>
      <c r="DG4650" s="256"/>
    </row>
    <row r="4651" spans="104:111">
      <c r="CZ4651" s="256"/>
      <c r="DG4651" s="256"/>
    </row>
    <row r="4652" spans="104:111">
      <c r="CZ4652" s="256"/>
      <c r="DG4652" s="256"/>
    </row>
    <row r="4653" spans="104:111">
      <c r="CZ4653" s="256"/>
      <c r="DG4653" s="256"/>
    </row>
    <row r="4654" spans="104:111">
      <c r="CZ4654" s="256"/>
      <c r="DG4654" s="256"/>
    </row>
    <row r="4655" spans="104:111">
      <c r="CZ4655" s="256"/>
      <c r="DG4655" s="256"/>
    </row>
    <row r="4656" spans="104:111">
      <c r="CZ4656" s="256"/>
      <c r="DG4656" s="256"/>
    </row>
    <row r="4657" spans="104:111">
      <c r="CZ4657" s="256"/>
      <c r="DG4657" s="256"/>
    </row>
    <row r="4658" spans="104:111">
      <c r="CZ4658" s="256"/>
      <c r="DG4658" s="256"/>
    </row>
    <row r="4659" spans="104:111">
      <c r="CZ4659" s="256"/>
      <c r="DG4659" s="256"/>
    </row>
    <row r="4660" spans="104:111">
      <c r="CZ4660" s="256"/>
      <c r="DG4660" s="256"/>
    </row>
    <row r="4661" spans="104:111">
      <c r="CZ4661" s="256"/>
      <c r="DG4661" s="256"/>
    </row>
    <row r="4662" spans="104:111">
      <c r="CZ4662" s="256"/>
      <c r="DG4662" s="256"/>
    </row>
    <row r="4663" spans="104:111">
      <c r="CZ4663" s="256"/>
      <c r="DG4663" s="256"/>
    </row>
    <row r="4664" spans="104:111">
      <c r="CZ4664" s="256"/>
      <c r="DG4664" s="256"/>
    </row>
    <row r="4665" spans="104:111">
      <c r="CZ4665" s="256"/>
      <c r="DG4665" s="256"/>
    </row>
    <row r="4666" spans="104:111">
      <c r="CZ4666" s="256"/>
      <c r="DG4666" s="256"/>
    </row>
    <row r="4667" spans="104:111">
      <c r="CZ4667" s="256"/>
      <c r="DG4667" s="256"/>
    </row>
    <row r="4668" spans="104:111">
      <c r="CZ4668" s="256"/>
      <c r="DG4668" s="256"/>
    </row>
    <row r="4669" spans="104:111">
      <c r="CZ4669" s="256"/>
      <c r="DG4669" s="256"/>
    </row>
    <row r="4670" spans="104:111">
      <c r="CZ4670" s="256"/>
      <c r="DG4670" s="256"/>
    </row>
    <row r="4671" spans="104:111">
      <c r="CZ4671" s="256"/>
      <c r="DG4671" s="256"/>
    </row>
    <row r="4672" spans="104:111">
      <c r="CZ4672" s="256"/>
      <c r="DG4672" s="256"/>
    </row>
    <row r="4673" spans="104:111">
      <c r="CZ4673" s="256"/>
      <c r="DG4673" s="256"/>
    </row>
    <row r="4674" spans="104:111">
      <c r="CZ4674" s="256"/>
      <c r="DG4674" s="256"/>
    </row>
    <row r="4675" spans="104:111">
      <c r="CZ4675" s="256"/>
      <c r="DG4675" s="256"/>
    </row>
    <row r="4676" spans="104:111">
      <c r="CZ4676" s="256"/>
      <c r="DG4676" s="256"/>
    </row>
    <row r="4677" spans="104:111">
      <c r="CZ4677" s="256"/>
      <c r="DG4677" s="256"/>
    </row>
    <row r="4678" spans="104:111">
      <c r="CZ4678" s="256"/>
      <c r="DG4678" s="256"/>
    </row>
    <row r="4679" spans="104:111">
      <c r="CZ4679" s="256"/>
      <c r="DG4679" s="256"/>
    </row>
    <row r="4680" spans="104:111">
      <c r="CZ4680" s="256"/>
      <c r="DG4680" s="256"/>
    </row>
    <row r="4681" spans="104:111">
      <c r="CZ4681" s="256"/>
      <c r="DG4681" s="256"/>
    </row>
    <row r="4682" spans="104:111">
      <c r="CZ4682" s="256"/>
      <c r="DG4682" s="256"/>
    </row>
    <row r="4683" spans="104:111">
      <c r="CZ4683" s="256"/>
      <c r="DG4683" s="256"/>
    </row>
    <row r="4684" spans="104:111">
      <c r="CZ4684" s="256"/>
      <c r="DG4684" s="256"/>
    </row>
    <row r="4685" spans="104:111">
      <c r="CZ4685" s="256"/>
      <c r="DG4685" s="256"/>
    </row>
    <row r="4686" spans="104:111">
      <c r="CZ4686" s="256"/>
      <c r="DG4686" s="256"/>
    </row>
    <row r="4687" spans="104:111">
      <c r="CZ4687" s="256"/>
      <c r="DG4687" s="256"/>
    </row>
    <row r="4688" spans="104:111">
      <c r="CZ4688" s="256"/>
      <c r="DG4688" s="256"/>
    </row>
    <row r="4689" spans="104:111">
      <c r="CZ4689" s="256"/>
      <c r="DG4689" s="256"/>
    </row>
    <row r="4690" spans="104:111">
      <c r="CZ4690" s="256"/>
      <c r="DG4690" s="256"/>
    </row>
    <row r="4691" spans="104:111">
      <c r="CZ4691" s="256"/>
      <c r="DG4691" s="256"/>
    </row>
    <row r="4692" spans="104:111">
      <c r="CZ4692" s="256"/>
      <c r="DG4692" s="256"/>
    </row>
    <row r="4693" spans="104:111">
      <c r="CZ4693" s="256"/>
      <c r="DG4693" s="256"/>
    </row>
    <row r="4694" spans="104:111">
      <c r="CZ4694" s="256"/>
      <c r="DG4694" s="256"/>
    </row>
    <row r="4695" spans="104:111">
      <c r="CZ4695" s="256"/>
      <c r="DG4695" s="256"/>
    </row>
    <row r="4696" spans="104:111">
      <c r="CZ4696" s="256"/>
      <c r="DG4696" s="256"/>
    </row>
    <row r="4697" spans="104:111">
      <c r="CZ4697" s="256"/>
      <c r="DG4697" s="256"/>
    </row>
    <row r="4698" spans="104:111">
      <c r="CZ4698" s="256"/>
      <c r="DG4698" s="256"/>
    </row>
    <row r="4699" spans="104:111">
      <c r="CZ4699" s="256"/>
      <c r="DG4699" s="256"/>
    </row>
    <row r="4700" spans="104:111">
      <c r="CZ4700" s="256"/>
      <c r="DG4700" s="256"/>
    </row>
    <row r="4701" spans="104:111">
      <c r="CZ4701" s="256"/>
      <c r="DG4701" s="256"/>
    </row>
    <row r="4702" spans="104:111">
      <c r="CZ4702" s="256"/>
      <c r="DG4702" s="256"/>
    </row>
    <row r="4703" spans="104:111">
      <c r="CZ4703" s="256"/>
      <c r="DG4703" s="256"/>
    </row>
    <row r="4704" spans="104:111">
      <c r="CZ4704" s="256"/>
      <c r="DG4704" s="256"/>
    </row>
    <row r="4705" spans="104:111">
      <c r="CZ4705" s="256"/>
      <c r="DG4705" s="256"/>
    </row>
    <row r="4706" spans="104:111">
      <c r="CZ4706" s="256"/>
      <c r="DG4706" s="256"/>
    </row>
    <row r="4707" spans="104:111">
      <c r="CZ4707" s="256"/>
      <c r="DG4707" s="256"/>
    </row>
    <row r="4708" spans="104:111">
      <c r="CZ4708" s="256"/>
      <c r="DG4708" s="256"/>
    </row>
    <row r="4709" spans="104:111">
      <c r="CZ4709" s="256"/>
      <c r="DG4709" s="256"/>
    </row>
    <row r="4710" spans="104:111">
      <c r="CZ4710" s="256"/>
      <c r="DG4710" s="256"/>
    </row>
    <row r="4711" spans="104:111">
      <c r="CZ4711" s="256"/>
      <c r="DG4711" s="256"/>
    </row>
    <row r="4712" spans="104:111">
      <c r="CZ4712" s="256"/>
      <c r="DG4712" s="256"/>
    </row>
    <row r="4713" spans="104:111">
      <c r="CZ4713" s="256"/>
      <c r="DG4713" s="256"/>
    </row>
    <row r="4714" spans="104:111">
      <c r="CZ4714" s="256"/>
      <c r="DG4714" s="256"/>
    </row>
    <row r="4715" spans="104:111">
      <c r="CZ4715" s="256"/>
      <c r="DG4715" s="256"/>
    </row>
    <row r="4716" spans="104:111">
      <c r="CZ4716" s="256"/>
      <c r="DG4716" s="256"/>
    </row>
    <row r="4717" spans="104:111">
      <c r="CZ4717" s="256"/>
      <c r="DG4717" s="256"/>
    </row>
    <row r="4718" spans="104:111">
      <c r="CZ4718" s="256"/>
      <c r="DG4718" s="256"/>
    </row>
    <row r="4719" spans="104:111">
      <c r="CZ4719" s="256"/>
      <c r="DG4719" s="256"/>
    </row>
    <row r="4720" spans="104:111">
      <c r="CZ4720" s="256"/>
      <c r="DG4720" s="256"/>
    </row>
    <row r="4721" spans="104:111">
      <c r="CZ4721" s="256"/>
      <c r="DG4721" s="256"/>
    </row>
    <row r="4722" spans="104:111">
      <c r="CZ4722" s="256"/>
      <c r="DG4722" s="256"/>
    </row>
    <row r="4723" spans="104:111">
      <c r="CZ4723" s="256"/>
      <c r="DG4723" s="256"/>
    </row>
    <row r="4724" spans="104:111">
      <c r="CZ4724" s="256"/>
      <c r="DG4724" s="256"/>
    </row>
    <row r="4725" spans="104:111">
      <c r="CZ4725" s="256"/>
      <c r="DG4725" s="256"/>
    </row>
    <row r="4726" spans="104:111">
      <c r="CZ4726" s="256"/>
      <c r="DG4726" s="256"/>
    </row>
    <row r="4727" spans="104:111">
      <c r="CZ4727" s="256"/>
      <c r="DG4727" s="256"/>
    </row>
    <row r="4728" spans="104:111">
      <c r="CZ4728" s="256"/>
      <c r="DG4728" s="256"/>
    </row>
    <row r="4729" spans="104:111">
      <c r="CZ4729" s="256"/>
      <c r="DG4729" s="256"/>
    </row>
    <row r="4730" spans="104:111">
      <c r="CZ4730" s="256"/>
      <c r="DG4730" s="256"/>
    </row>
    <row r="4731" spans="104:111">
      <c r="CZ4731" s="256"/>
      <c r="DG4731" s="256"/>
    </row>
    <row r="4732" spans="104:111">
      <c r="CZ4732" s="256"/>
      <c r="DG4732" s="256"/>
    </row>
    <row r="4733" spans="104:111">
      <c r="CZ4733" s="256"/>
      <c r="DG4733" s="256"/>
    </row>
    <row r="4734" spans="104:111">
      <c r="CZ4734" s="256"/>
      <c r="DG4734" s="256"/>
    </row>
    <row r="4735" spans="104:111">
      <c r="CZ4735" s="256"/>
      <c r="DG4735" s="256"/>
    </row>
    <row r="4736" spans="104:111">
      <c r="CZ4736" s="256"/>
      <c r="DG4736" s="256"/>
    </row>
    <row r="4737" spans="104:111">
      <c r="CZ4737" s="256"/>
      <c r="DG4737" s="256"/>
    </row>
    <row r="4738" spans="104:111">
      <c r="CZ4738" s="256"/>
      <c r="DG4738" s="256"/>
    </row>
    <row r="4739" spans="104:111">
      <c r="CZ4739" s="256"/>
      <c r="DG4739" s="256"/>
    </row>
    <row r="4740" spans="104:111">
      <c r="CZ4740" s="256"/>
      <c r="DG4740" s="256"/>
    </row>
    <row r="4741" spans="104:111">
      <c r="CZ4741" s="256"/>
      <c r="DG4741" s="256"/>
    </row>
    <row r="4742" spans="104:111">
      <c r="CZ4742" s="256"/>
      <c r="DG4742" s="256"/>
    </row>
    <row r="4743" spans="104:111">
      <c r="CZ4743" s="256"/>
      <c r="DG4743" s="256"/>
    </row>
    <row r="4744" spans="104:111">
      <c r="CZ4744" s="256"/>
      <c r="DG4744" s="256"/>
    </row>
    <row r="4745" spans="104:111">
      <c r="CZ4745" s="256"/>
      <c r="DG4745" s="256"/>
    </row>
    <row r="4746" spans="104:111">
      <c r="CZ4746" s="256"/>
      <c r="DG4746" s="256"/>
    </row>
    <row r="4747" spans="104:111">
      <c r="CZ4747" s="256"/>
      <c r="DG4747" s="256"/>
    </row>
    <row r="4748" spans="104:111">
      <c r="CZ4748" s="256"/>
      <c r="DG4748" s="256"/>
    </row>
    <row r="4749" spans="104:111">
      <c r="CZ4749" s="256"/>
      <c r="DG4749" s="256"/>
    </row>
    <row r="4750" spans="104:111">
      <c r="CZ4750" s="256"/>
      <c r="DG4750" s="256"/>
    </row>
    <row r="4751" spans="104:111">
      <c r="CZ4751" s="256"/>
      <c r="DG4751" s="256"/>
    </row>
    <row r="4752" spans="104:111">
      <c r="CZ4752" s="256"/>
      <c r="DG4752" s="256"/>
    </row>
    <row r="4753" spans="104:111">
      <c r="CZ4753" s="256"/>
      <c r="DG4753" s="256"/>
    </row>
    <row r="4754" spans="104:111">
      <c r="CZ4754" s="256"/>
      <c r="DG4754" s="256"/>
    </row>
    <row r="4755" spans="104:111">
      <c r="CZ4755" s="256"/>
      <c r="DG4755" s="256"/>
    </row>
    <row r="4756" spans="104:111">
      <c r="CZ4756" s="256"/>
      <c r="DG4756" s="256"/>
    </row>
    <row r="4757" spans="104:111">
      <c r="CZ4757" s="256"/>
      <c r="DG4757" s="256"/>
    </row>
    <row r="4758" spans="104:111">
      <c r="CZ4758" s="256"/>
      <c r="DG4758" s="256"/>
    </row>
    <row r="4759" spans="104:111">
      <c r="CZ4759" s="256"/>
      <c r="DG4759" s="256"/>
    </row>
    <row r="4760" spans="104:111">
      <c r="CZ4760" s="256"/>
      <c r="DG4760" s="256"/>
    </row>
    <row r="4761" spans="104:111">
      <c r="CZ4761" s="256"/>
      <c r="DG4761" s="256"/>
    </row>
    <row r="4762" spans="104:111">
      <c r="CZ4762" s="256"/>
      <c r="DG4762" s="256"/>
    </row>
    <row r="4763" spans="104:111">
      <c r="CZ4763" s="256"/>
      <c r="DG4763" s="256"/>
    </row>
    <row r="4764" spans="104:111">
      <c r="CZ4764" s="256"/>
      <c r="DG4764" s="256"/>
    </row>
    <row r="4765" spans="104:111">
      <c r="CZ4765" s="256"/>
      <c r="DG4765" s="256"/>
    </row>
    <row r="4766" spans="104:111">
      <c r="CZ4766" s="256"/>
      <c r="DG4766" s="256"/>
    </row>
    <row r="4767" spans="104:111">
      <c r="CZ4767" s="256"/>
      <c r="DG4767" s="256"/>
    </row>
    <row r="4768" spans="104:111">
      <c r="CZ4768" s="256"/>
      <c r="DG4768" s="256"/>
    </row>
    <row r="4769" spans="104:111">
      <c r="CZ4769" s="256"/>
      <c r="DG4769" s="256"/>
    </row>
    <row r="4770" spans="104:111">
      <c r="CZ4770" s="256"/>
      <c r="DG4770" s="256"/>
    </row>
    <row r="4771" spans="104:111">
      <c r="CZ4771" s="256"/>
      <c r="DG4771" s="256"/>
    </row>
    <row r="4772" spans="104:111">
      <c r="CZ4772" s="256"/>
      <c r="DG4772" s="256"/>
    </row>
    <row r="4773" spans="104:111">
      <c r="CZ4773" s="256"/>
      <c r="DG4773" s="256"/>
    </row>
    <row r="4774" spans="104:111">
      <c r="CZ4774" s="256"/>
      <c r="DG4774" s="256"/>
    </row>
    <row r="4775" spans="104:111">
      <c r="CZ4775" s="256"/>
      <c r="DG4775" s="256"/>
    </row>
    <row r="4776" spans="104:111">
      <c r="CZ4776" s="256"/>
      <c r="DG4776" s="256"/>
    </row>
    <row r="4777" spans="104:111">
      <c r="CZ4777" s="256"/>
      <c r="DG4777" s="256"/>
    </row>
    <row r="4778" spans="104:111">
      <c r="CZ4778" s="256"/>
      <c r="DG4778" s="256"/>
    </row>
    <row r="4779" spans="104:111">
      <c r="CZ4779" s="256"/>
      <c r="DG4779" s="256"/>
    </row>
    <row r="4780" spans="104:111">
      <c r="CZ4780" s="256"/>
      <c r="DG4780" s="256"/>
    </row>
    <row r="4781" spans="104:111">
      <c r="CZ4781" s="256"/>
      <c r="DG4781" s="256"/>
    </row>
    <row r="4782" spans="104:111">
      <c r="CZ4782" s="256"/>
      <c r="DG4782" s="256"/>
    </row>
    <row r="4783" spans="104:111">
      <c r="CZ4783" s="256"/>
      <c r="DG4783" s="256"/>
    </row>
    <row r="4784" spans="104:111">
      <c r="CZ4784" s="256"/>
      <c r="DG4784" s="256"/>
    </row>
    <row r="4785" spans="104:111">
      <c r="CZ4785" s="256"/>
      <c r="DG4785" s="256"/>
    </row>
    <row r="4786" spans="104:111">
      <c r="CZ4786" s="256"/>
      <c r="DG4786" s="256"/>
    </row>
    <row r="4787" spans="104:111">
      <c r="CZ4787" s="256"/>
      <c r="DG4787" s="256"/>
    </row>
    <row r="4788" spans="104:111">
      <c r="CZ4788" s="256"/>
      <c r="DG4788" s="256"/>
    </row>
    <row r="4789" spans="104:111">
      <c r="CZ4789" s="256"/>
      <c r="DG4789" s="256"/>
    </row>
    <row r="4790" spans="104:111">
      <c r="CZ4790" s="256"/>
      <c r="DG4790" s="256"/>
    </row>
    <row r="4791" spans="104:111">
      <c r="CZ4791" s="256"/>
      <c r="DG4791" s="256"/>
    </row>
    <row r="4792" spans="104:111">
      <c r="CZ4792" s="256"/>
      <c r="DG4792" s="256"/>
    </row>
    <row r="4793" spans="104:111">
      <c r="CZ4793" s="256"/>
      <c r="DG4793" s="256"/>
    </row>
    <row r="4794" spans="104:111">
      <c r="CZ4794" s="256"/>
      <c r="DG4794" s="256"/>
    </row>
    <row r="4795" spans="104:111">
      <c r="CZ4795" s="256"/>
      <c r="DG4795" s="256"/>
    </row>
    <row r="4796" spans="104:111">
      <c r="CZ4796" s="256"/>
      <c r="DG4796" s="256"/>
    </row>
    <row r="4797" spans="104:111">
      <c r="CZ4797" s="256"/>
      <c r="DG4797" s="256"/>
    </row>
    <row r="4798" spans="104:111">
      <c r="CZ4798" s="256"/>
      <c r="DG4798" s="256"/>
    </row>
    <row r="4799" spans="104:111">
      <c r="CZ4799" s="256"/>
      <c r="DG4799" s="256"/>
    </row>
    <row r="4800" spans="104:111">
      <c r="CZ4800" s="256"/>
      <c r="DG4800" s="256"/>
    </row>
    <row r="4801" spans="104:111">
      <c r="CZ4801" s="256"/>
      <c r="DG4801" s="256"/>
    </row>
    <row r="4802" spans="104:111">
      <c r="CZ4802" s="256"/>
      <c r="DG4802" s="256"/>
    </row>
    <row r="4803" spans="104:111">
      <c r="CZ4803" s="256"/>
      <c r="DG4803" s="256"/>
    </row>
    <row r="4804" spans="104:111">
      <c r="CZ4804" s="256"/>
      <c r="DG4804" s="256"/>
    </row>
    <row r="4805" spans="104:111">
      <c r="CZ4805" s="256"/>
      <c r="DG4805" s="256"/>
    </row>
    <row r="4806" spans="104:111">
      <c r="CZ4806" s="256"/>
      <c r="DG4806" s="256"/>
    </row>
    <row r="4807" spans="104:111">
      <c r="CZ4807" s="256"/>
      <c r="DG4807" s="256"/>
    </row>
    <row r="4808" spans="104:111">
      <c r="CZ4808" s="256"/>
      <c r="DG4808" s="256"/>
    </row>
    <row r="4809" spans="104:111">
      <c r="CZ4809" s="256"/>
      <c r="DG4809" s="256"/>
    </row>
    <row r="4810" spans="104:111">
      <c r="CZ4810" s="256"/>
      <c r="DG4810" s="256"/>
    </row>
    <row r="4811" spans="104:111">
      <c r="CZ4811" s="256"/>
      <c r="DG4811" s="256"/>
    </row>
    <row r="4812" spans="104:111">
      <c r="CZ4812" s="256"/>
      <c r="DG4812" s="256"/>
    </row>
    <row r="4813" spans="104:111">
      <c r="CZ4813" s="256"/>
      <c r="DG4813" s="256"/>
    </row>
    <row r="4814" spans="104:111">
      <c r="CZ4814" s="256"/>
      <c r="DG4814" s="256"/>
    </row>
    <row r="4815" spans="104:111">
      <c r="CZ4815" s="256"/>
      <c r="DG4815" s="256"/>
    </row>
    <row r="4816" spans="104:111">
      <c r="CZ4816" s="256"/>
      <c r="DG4816" s="256"/>
    </row>
    <row r="4817" spans="104:111">
      <c r="CZ4817" s="256"/>
      <c r="DG4817" s="256"/>
    </row>
    <row r="4818" spans="104:111">
      <c r="CZ4818" s="256"/>
      <c r="DG4818" s="256"/>
    </row>
    <row r="4819" spans="104:111">
      <c r="CZ4819" s="256"/>
      <c r="DG4819" s="256"/>
    </row>
    <row r="4820" spans="104:111">
      <c r="CZ4820" s="256"/>
      <c r="DG4820" s="256"/>
    </row>
    <row r="4821" spans="104:111">
      <c r="CZ4821" s="256"/>
      <c r="DG4821" s="256"/>
    </row>
    <row r="4822" spans="104:111">
      <c r="CZ4822" s="256"/>
      <c r="DG4822" s="256"/>
    </row>
    <row r="4823" spans="104:111">
      <c r="CZ4823" s="256"/>
      <c r="DG4823" s="256"/>
    </row>
    <row r="4824" spans="104:111">
      <c r="CZ4824" s="256"/>
      <c r="DG4824" s="256"/>
    </row>
    <row r="4825" spans="104:111">
      <c r="CZ4825" s="256"/>
      <c r="DG4825" s="256"/>
    </row>
    <row r="4826" spans="104:111">
      <c r="CZ4826" s="256"/>
      <c r="DG4826" s="256"/>
    </row>
    <row r="4827" spans="104:111">
      <c r="CZ4827" s="256"/>
      <c r="DG4827" s="256"/>
    </row>
    <row r="4828" spans="104:111">
      <c r="CZ4828" s="256"/>
      <c r="DG4828" s="256"/>
    </row>
    <row r="4829" spans="104:111">
      <c r="CZ4829" s="256"/>
      <c r="DG4829" s="256"/>
    </row>
    <row r="4830" spans="104:111">
      <c r="CZ4830" s="256"/>
      <c r="DG4830" s="256"/>
    </row>
    <row r="4831" spans="104:111">
      <c r="CZ4831" s="256"/>
      <c r="DG4831" s="256"/>
    </row>
    <row r="4832" spans="104:111">
      <c r="CZ4832" s="256"/>
      <c r="DG4832" s="256"/>
    </row>
    <row r="4833" spans="104:111">
      <c r="CZ4833" s="256"/>
      <c r="DG4833" s="256"/>
    </row>
    <row r="4834" spans="104:111">
      <c r="CZ4834" s="256"/>
      <c r="DG4834" s="256"/>
    </row>
    <row r="4835" spans="104:111">
      <c r="CZ4835" s="256"/>
      <c r="DG4835" s="256"/>
    </row>
    <row r="4836" spans="104:111">
      <c r="CZ4836" s="256"/>
      <c r="DG4836" s="256"/>
    </row>
    <row r="4837" spans="104:111">
      <c r="CZ4837" s="256"/>
      <c r="DG4837" s="256"/>
    </row>
    <row r="4838" spans="104:111">
      <c r="CZ4838" s="256"/>
      <c r="DG4838" s="256"/>
    </row>
    <row r="4839" spans="104:111">
      <c r="CZ4839" s="256"/>
      <c r="DG4839" s="256"/>
    </row>
    <row r="4840" spans="104:111">
      <c r="CZ4840" s="256"/>
      <c r="DG4840" s="256"/>
    </row>
    <row r="4841" spans="104:111">
      <c r="CZ4841" s="256"/>
      <c r="DG4841" s="256"/>
    </row>
    <row r="4842" spans="104:111">
      <c r="CZ4842" s="256"/>
      <c r="DG4842" s="256"/>
    </row>
    <row r="4843" spans="104:111">
      <c r="CZ4843" s="256"/>
      <c r="DG4843" s="256"/>
    </row>
    <row r="4844" spans="104:111">
      <c r="CZ4844" s="256"/>
      <c r="DG4844" s="256"/>
    </row>
    <row r="4845" spans="104:111">
      <c r="CZ4845" s="256"/>
      <c r="DG4845" s="256"/>
    </row>
    <row r="4846" spans="104:111">
      <c r="CZ4846" s="256"/>
      <c r="DG4846" s="256"/>
    </row>
    <row r="4847" spans="104:111">
      <c r="CZ4847" s="256"/>
      <c r="DG4847" s="256"/>
    </row>
    <row r="4848" spans="104:111">
      <c r="CZ4848" s="256"/>
      <c r="DG4848" s="256"/>
    </row>
    <row r="4849" spans="104:111">
      <c r="CZ4849" s="256"/>
      <c r="DG4849" s="256"/>
    </row>
    <row r="4850" spans="104:111">
      <c r="CZ4850" s="256"/>
      <c r="DG4850" s="256"/>
    </row>
    <row r="4851" spans="104:111">
      <c r="CZ4851" s="256"/>
      <c r="DG4851" s="256"/>
    </row>
    <row r="4852" spans="104:111">
      <c r="CZ4852" s="256"/>
      <c r="DG4852" s="256"/>
    </row>
    <row r="4853" spans="104:111">
      <c r="CZ4853" s="256"/>
      <c r="DG4853" s="256"/>
    </row>
    <row r="4854" spans="104:111">
      <c r="CZ4854" s="256"/>
      <c r="DG4854" s="256"/>
    </row>
    <row r="4855" spans="104:111">
      <c r="CZ4855" s="256"/>
      <c r="DG4855" s="256"/>
    </row>
    <row r="4856" spans="104:111">
      <c r="CZ4856" s="256"/>
      <c r="DG4856" s="256"/>
    </row>
    <row r="4857" spans="104:111">
      <c r="CZ4857" s="256"/>
      <c r="DG4857" s="256"/>
    </row>
    <row r="4858" spans="104:111">
      <c r="CZ4858" s="256"/>
      <c r="DG4858" s="256"/>
    </row>
    <row r="4859" spans="104:111">
      <c r="CZ4859" s="256"/>
      <c r="DG4859" s="256"/>
    </row>
    <row r="4860" spans="104:111">
      <c r="CZ4860" s="256"/>
      <c r="DG4860" s="256"/>
    </row>
    <row r="4861" spans="104:111">
      <c r="CZ4861" s="256"/>
      <c r="DG4861" s="256"/>
    </row>
    <row r="4862" spans="104:111">
      <c r="CZ4862" s="256"/>
      <c r="DG4862" s="256"/>
    </row>
    <row r="4863" spans="104:111">
      <c r="CZ4863" s="256"/>
      <c r="DG4863" s="256"/>
    </row>
    <row r="4864" spans="104:111">
      <c r="CZ4864" s="256"/>
      <c r="DG4864" s="256"/>
    </row>
    <row r="4865" spans="104:111">
      <c r="CZ4865" s="256"/>
      <c r="DG4865" s="256"/>
    </row>
    <row r="4866" spans="104:111">
      <c r="CZ4866" s="256"/>
      <c r="DG4866" s="256"/>
    </row>
    <row r="4867" spans="104:111">
      <c r="CZ4867" s="256"/>
      <c r="DG4867" s="256"/>
    </row>
    <row r="4868" spans="104:111">
      <c r="CZ4868" s="256"/>
      <c r="DG4868" s="256"/>
    </row>
    <row r="4869" spans="104:111">
      <c r="CZ4869" s="256"/>
      <c r="DG4869" s="256"/>
    </row>
    <row r="4870" spans="104:111">
      <c r="CZ4870" s="256"/>
      <c r="DG4870" s="256"/>
    </row>
    <row r="4871" spans="104:111">
      <c r="CZ4871" s="256"/>
      <c r="DG4871" s="256"/>
    </row>
    <row r="4872" spans="104:111">
      <c r="CZ4872" s="256"/>
      <c r="DG4872" s="256"/>
    </row>
    <row r="4873" spans="104:111">
      <c r="CZ4873" s="256"/>
      <c r="DG4873" s="256"/>
    </row>
    <row r="4874" spans="104:111">
      <c r="CZ4874" s="256"/>
      <c r="DG4874" s="256"/>
    </row>
    <row r="4875" spans="104:111">
      <c r="CZ4875" s="256"/>
      <c r="DG4875" s="256"/>
    </row>
    <row r="4876" spans="104:111">
      <c r="CZ4876" s="256"/>
      <c r="DG4876" s="256"/>
    </row>
    <row r="4877" spans="104:111">
      <c r="CZ4877" s="256"/>
      <c r="DG4877" s="256"/>
    </row>
    <row r="4878" spans="104:111">
      <c r="CZ4878" s="256"/>
      <c r="DG4878" s="256"/>
    </row>
    <row r="4879" spans="104:111">
      <c r="CZ4879" s="256"/>
      <c r="DG4879" s="256"/>
    </row>
    <row r="4880" spans="104:111">
      <c r="CZ4880" s="256"/>
      <c r="DG4880" s="256"/>
    </row>
    <row r="4881" spans="104:111">
      <c r="CZ4881" s="256"/>
      <c r="DG4881" s="256"/>
    </row>
    <row r="4882" spans="104:111">
      <c r="CZ4882" s="256"/>
      <c r="DG4882" s="256"/>
    </row>
    <row r="4883" spans="104:111">
      <c r="CZ4883" s="256"/>
      <c r="DG4883" s="256"/>
    </row>
    <row r="4884" spans="104:111">
      <c r="CZ4884" s="256"/>
      <c r="DG4884" s="256"/>
    </row>
    <row r="4885" spans="104:111">
      <c r="CZ4885" s="256"/>
      <c r="DG4885" s="256"/>
    </row>
    <row r="4886" spans="104:111">
      <c r="CZ4886" s="256"/>
      <c r="DG4886" s="256"/>
    </row>
    <row r="4887" spans="104:111">
      <c r="CZ4887" s="256"/>
      <c r="DG4887" s="256"/>
    </row>
    <row r="4888" spans="104:111">
      <c r="CZ4888" s="256"/>
      <c r="DG4888" s="256"/>
    </row>
    <row r="4889" spans="104:111">
      <c r="CZ4889" s="256"/>
      <c r="DG4889" s="256"/>
    </row>
    <row r="4890" spans="104:111">
      <c r="CZ4890" s="256"/>
      <c r="DG4890" s="256"/>
    </row>
    <row r="4891" spans="104:111">
      <c r="CZ4891" s="256"/>
      <c r="DG4891" s="256"/>
    </row>
    <row r="4892" spans="104:111">
      <c r="CZ4892" s="256"/>
      <c r="DG4892" s="256"/>
    </row>
    <row r="4893" spans="104:111">
      <c r="CZ4893" s="256"/>
      <c r="DG4893" s="256"/>
    </row>
    <row r="4894" spans="104:111">
      <c r="CZ4894" s="256"/>
      <c r="DG4894" s="256"/>
    </row>
    <row r="4895" spans="104:111">
      <c r="CZ4895" s="256"/>
      <c r="DG4895" s="256"/>
    </row>
    <row r="4896" spans="104:111">
      <c r="CZ4896" s="256"/>
      <c r="DG4896" s="256"/>
    </row>
    <row r="4897" spans="104:111">
      <c r="CZ4897" s="256"/>
      <c r="DG4897" s="256"/>
    </row>
    <row r="4898" spans="104:111">
      <c r="CZ4898" s="256"/>
      <c r="DG4898" s="256"/>
    </row>
    <row r="4899" spans="104:111">
      <c r="CZ4899" s="256"/>
      <c r="DG4899" s="256"/>
    </row>
    <row r="4900" spans="104:111">
      <c r="CZ4900" s="256"/>
      <c r="DG4900" s="256"/>
    </row>
    <row r="4901" spans="104:111">
      <c r="CZ4901" s="256"/>
      <c r="DG4901" s="256"/>
    </row>
    <row r="4902" spans="104:111">
      <c r="CZ4902" s="256"/>
      <c r="DG4902" s="256"/>
    </row>
    <row r="4903" spans="104:111">
      <c r="CZ4903" s="256"/>
      <c r="DG4903" s="256"/>
    </row>
    <row r="4904" spans="104:111">
      <c r="CZ4904" s="256"/>
      <c r="DG4904" s="256"/>
    </row>
    <row r="4905" spans="104:111">
      <c r="CZ4905" s="256"/>
      <c r="DG4905" s="256"/>
    </row>
    <row r="4906" spans="104:111">
      <c r="CZ4906" s="256"/>
      <c r="DG4906" s="256"/>
    </row>
    <row r="4907" spans="104:111">
      <c r="CZ4907" s="256"/>
      <c r="DG4907" s="256"/>
    </row>
    <row r="4908" spans="104:111">
      <c r="CZ4908" s="256"/>
      <c r="DG4908" s="256"/>
    </row>
    <row r="4909" spans="104:111">
      <c r="CZ4909" s="256"/>
      <c r="DG4909" s="256"/>
    </row>
    <row r="4910" spans="104:111">
      <c r="CZ4910" s="256"/>
      <c r="DG4910" s="256"/>
    </row>
    <row r="4911" spans="104:111">
      <c r="CZ4911" s="256"/>
      <c r="DG4911" s="256"/>
    </row>
    <row r="4912" spans="104:111">
      <c r="CZ4912" s="256"/>
      <c r="DG4912" s="256"/>
    </row>
    <row r="4913" spans="104:111">
      <c r="CZ4913" s="256"/>
      <c r="DG4913" s="256"/>
    </row>
    <row r="4914" spans="104:111">
      <c r="CZ4914" s="256"/>
      <c r="DG4914" s="256"/>
    </row>
    <row r="4915" spans="104:111">
      <c r="CZ4915" s="256"/>
      <c r="DG4915" s="256"/>
    </row>
    <row r="4916" spans="104:111">
      <c r="CZ4916" s="256"/>
      <c r="DG4916" s="256"/>
    </row>
    <row r="4917" spans="104:111">
      <c r="CZ4917" s="256"/>
      <c r="DG4917" s="256"/>
    </row>
    <row r="4918" spans="104:111">
      <c r="CZ4918" s="256"/>
      <c r="DG4918" s="256"/>
    </row>
    <row r="4919" spans="104:111">
      <c r="CZ4919" s="256"/>
      <c r="DG4919" s="256"/>
    </row>
    <row r="4920" spans="104:111">
      <c r="CZ4920" s="256"/>
      <c r="DG4920" s="256"/>
    </row>
    <row r="4921" spans="104:111">
      <c r="CZ4921" s="256"/>
      <c r="DG4921" s="256"/>
    </row>
    <row r="4922" spans="104:111">
      <c r="CZ4922" s="256"/>
      <c r="DG4922" s="256"/>
    </row>
    <row r="4923" spans="104:111">
      <c r="CZ4923" s="256"/>
      <c r="DG4923" s="256"/>
    </row>
    <row r="4924" spans="104:111">
      <c r="CZ4924" s="256"/>
      <c r="DG4924" s="256"/>
    </row>
    <row r="4925" spans="104:111">
      <c r="CZ4925" s="256"/>
      <c r="DG4925" s="256"/>
    </row>
    <row r="4926" spans="104:111">
      <c r="CZ4926" s="256"/>
      <c r="DG4926" s="256"/>
    </row>
    <row r="4927" spans="104:111">
      <c r="CZ4927" s="256"/>
      <c r="DG4927" s="256"/>
    </row>
    <row r="4928" spans="104:111">
      <c r="CZ4928" s="256"/>
      <c r="DG4928" s="256"/>
    </row>
    <row r="4929" spans="104:111">
      <c r="CZ4929" s="256"/>
      <c r="DG4929" s="256"/>
    </row>
    <row r="4930" spans="104:111">
      <c r="CZ4930" s="256"/>
      <c r="DG4930" s="256"/>
    </row>
    <row r="4931" spans="104:111">
      <c r="CZ4931" s="256"/>
      <c r="DG4931" s="256"/>
    </row>
    <row r="4932" spans="104:111">
      <c r="CZ4932" s="256"/>
      <c r="DG4932" s="256"/>
    </row>
    <row r="4933" spans="104:111">
      <c r="CZ4933" s="256"/>
      <c r="DG4933" s="256"/>
    </row>
    <row r="4934" spans="104:111">
      <c r="CZ4934" s="256"/>
      <c r="DG4934" s="256"/>
    </row>
    <row r="4935" spans="104:111">
      <c r="CZ4935" s="256"/>
      <c r="DG4935" s="256"/>
    </row>
    <row r="4936" spans="104:111">
      <c r="CZ4936" s="256"/>
      <c r="DG4936" s="256"/>
    </row>
    <row r="4937" spans="104:111">
      <c r="CZ4937" s="256"/>
      <c r="DG4937" s="256"/>
    </row>
    <row r="4938" spans="104:111">
      <c r="CZ4938" s="256"/>
      <c r="DG4938" s="256"/>
    </row>
    <row r="4939" spans="104:111">
      <c r="CZ4939" s="256"/>
      <c r="DG4939" s="256"/>
    </row>
    <row r="4940" spans="104:111">
      <c r="CZ4940" s="256"/>
      <c r="DG4940" s="256"/>
    </row>
    <row r="4941" spans="104:111">
      <c r="CZ4941" s="256"/>
      <c r="DG4941" s="256"/>
    </row>
    <row r="4942" spans="104:111">
      <c r="CZ4942" s="256"/>
      <c r="DG4942" s="256"/>
    </row>
    <row r="4943" spans="104:111">
      <c r="CZ4943" s="256"/>
      <c r="DG4943" s="256"/>
    </row>
    <row r="4944" spans="104:111">
      <c r="CZ4944" s="256"/>
      <c r="DG4944" s="256"/>
    </row>
    <row r="4945" spans="104:111">
      <c r="CZ4945" s="256"/>
      <c r="DG4945" s="256"/>
    </row>
    <row r="4946" spans="104:111">
      <c r="CZ4946" s="256"/>
      <c r="DG4946" s="256"/>
    </row>
    <row r="4947" spans="104:111">
      <c r="CZ4947" s="256"/>
      <c r="DG4947" s="256"/>
    </row>
    <row r="4948" spans="104:111">
      <c r="CZ4948" s="256"/>
      <c r="DG4948" s="256"/>
    </row>
    <row r="4949" spans="104:111">
      <c r="CZ4949" s="256"/>
      <c r="DG4949" s="256"/>
    </row>
    <row r="4950" spans="104:111">
      <c r="CZ4950" s="256"/>
      <c r="DG4950" s="256"/>
    </row>
    <row r="4951" spans="104:111">
      <c r="CZ4951" s="256"/>
      <c r="DG4951" s="256"/>
    </row>
    <row r="4952" spans="104:111">
      <c r="CZ4952" s="256"/>
      <c r="DG4952" s="256"/>
    </row>
    <row r="4953" spans="104:111">
      <c r="CZ4953" s="256"/>
      <c r="DG4953" s="256"/>
    </row>
    <row r="4954" spans="104:111">
      <c r="CZ4954" s="256"/>
      <c r="DG4954" s="256"/>
    </row>
    <row r="4955" spans="104:111">
      <c r="CZ4955" s="256"/>
      <c r="DG4955" s="256"/>
    </row>
    <row r="4956" spans="104:111">
      <c r="CZ4956" s="256"/>
      <c r="DG4956" s="256"/>
    </row>
    <row r="4957" spans="104:111">
      <c r="CZ4957" s="256"/>
      <c r="DG4957" s="256"/>
    </row>
    <row r="4958" spans="104:111">
      <c r="CZ4958" s="256"/>
      <c r="DG4958" s="256"/>
    </row>
    <row r="4959" spans="104:111">
      <c r="CZ4959" s="256"/>
      <c r="DG4959" s="256"/>
    </row>
    <row r="4960" spans="104:111">
      <c r="CZ4960" s="256"/>
      <c r="DG4960" s="256"/>
    </row>
    <row r="4961" spans="104:111">
      <c r="CZ4961" s="256"/>
      <c r="DG4961" s="256"/>
    </row>
    <row r="4962" spans="104:111">
      <c r="CZ4962" s="256"/>
      <c r="DG4962" s="256"/>
    </row>
    <row r="4963" spans="104:111">
      <c r="CZ4963" s="256"/>
      <c r="DG4963" s="256"/>
    </row>
    <row r="4964" spans="104:111">
      <c r="CZ4964" s="256"/>
      <c r="DG4964" s="256"/>
    </row>
    <row r="4965" spans="104:111">
      <c r="CZ4965" s="256"/>
      <c r="DG4965" s="256"/>
    </row>
    <row r="4966" spans="104:111">
      <c r="CZ4966" s="256"/>
      <c r="DG4966" s="256"/>
    </row>
    <row r="4967" spans="104:111">
      <c r="CZ4967" s="256"/>
      <c r="DG4967" s="256"/>
    </row>
    <row r="4968" spans="104:111">
      <c r="CZ4968" s="256"/>
      <c r="DG4968" s="256"/>
    </row>
    <row r="4969" spans="104:111">
      <c r="CZ4969" s="256"/>
      <c r="DG4969" s="256"/>
    </row>
    <row r="4970" spans="104:111">
      <c r="CZ4970" s="256"/>
      <c r="DG4970" s="256"/>
    </row>
    <row r="4971" spans="104:111">
      <c r="CZ4971" s="256"/>
      <c r="DG4971" s="256"/>
    </row>
    <row r="4972" spans="104:111">
      <c r="CZ4972" s="256"/>
      <c r="DG4972" s="256"/>
    </row>
    <row r="4973" spans="104:111">
      <c r="CZ4973" s="256"/>
      <c r="DG4973" s="256"/>
    </row>
    <row r="4974" spans="104:111">
      <c r="CZ4974" s="256"/>
      <c r="DG4974" s="256"/>
    </row>
    <row r="4975" spans="104:111">
      <c r="CZ4975" s="256"/>
      <c r="DG4975" s="256"/>
    </row>
    <row r="4976" spans="104:111">
      <c r="CZ4976" s="256"/>
      <c r="DG4976" s="256"/>
    </row>
    <row r="4977" spans="104:111">
      <c r="CZ4977" s="256"/>
      <c r="DG4977" s="256"/>
    </row>
    <row r="4978" spans="104:111">
      <c r="CZ4978" s="256"/>
      <c r="DG4978" s="256"/>
    </row>
    <row r="4979" spans="104:111">
      <c r="CZ4979" s="256"/>
      <c r="DG4979" s="256"/>
    </row>
    <row r="4980" spans="104:111">
      <c r="CZ4980" s="256"/>
      <c r="DG4980" s="256"/>
    </row>
    <row r="4981" spans="104:111">
      <c r="CZ4981" s="256"/>
      <c r="DG4981" s="256"/>
    </row>
    <row r="4982" spans="104:111">
      <c r="CZ4982" s="256"/>
      <c r="DG4982" s="256"/>
    </row>
    <row r="4983" spans="104:111">
      <c r="CZ4983" s="256"/>
      <c r="DG4983" s="256"/>
    </row>
    <row r="4984" spans="104:111">
      <c r="CZ4984" s="256"/>
      <c r="DG4984" s="256"/>
    </row>
    <row r="4985" spans="104:111">
      <c r="CZ4985" s="256"/>
      <c r="DG4985" s="256"/>
    </row>
    <row r="4986" spans="104:111">
      <c r="CZ4986" s="256"/>
      <c r="DG4986" s="256"/>
    </row>
    <row r="4987" spans="104:111">
      <c r="CZ4987" s="256"/>
      <c r="DG4987" s="256"/>
    </row>
    <row r="4988" spans="104:111">
      <c r="CZ4988" s="256"/>
      <c r="DG4988" s="256"/>
    </row>
    <row r="4989" spans="104:111">
      <c r="CZ4989" s="256"/>
      <c r="DG4989" s="256"/>
    </row>
    <row r="4990" spans="104:111">
      <c r="CZ4990" s="256"/>
      <c r="DG4990" s="256"/>
    </row>
    <row r="4991" spans="104:111">
      <c r="CZ4991" s="256"/>
      <c r="DG4991" s="256"/>
    </row>
    <row r="4992" spans="104:111">
      <c r="CZ4992" s="256"/>
      <c r="DG4992" s="256"/>
    </row>
    <row r="4993" spans="104:111">
      <c r="CZ4993" s="256"/>
      <c r="DG4993" s="256"/>
    </row>
    <row r="4994" spans="104:111">
      <c r="CZ4994" s="256"/>
      <c r="DG4994" s="256"/>
    </row>
    <row r="4995" spans="104:111">
      <c r="CZ4995" s="256"/>
      <c r="DG4995" s="256"/>
    </row>
    <row r="4996" spans="104:111">
      <c r="CZ4996" s="256"/>
      <c r="DG4996" s="256"/>
    </row>
    <row r="4997" spans="104:111">
      <c r="CZ4997" s="256"/>
      <c r="DG4997" s="256"/>
    </row>
    <row r="4998" spans="104:111">
      <c r="CZ4998" s="256"/>
      <c r="DG4998" s="256"/>
    </row>
    <row r="4999" spans="104:111">
      <c r="CZ4999" s="256"/>
      <c r="DG4999" s="256"/>
    </row>
    <row r="5000" spans="104:111">
      <c r="CZ5000" s="256"/>
      <c r="DG5000" s="256"/>
    </row>
    <row r="5001" spans="104:111">
      <c r="CZ5001" s="256"/>
      <c r="DG5001" s="256"/>
    </row>
    <row r="5002" spans="104:111">
      <c r="CZ5002" s="256"/>
      <c r="DG5002" s="256"/>
    </row>
    <row r="5003" spans="104:111">
      <c r="CZ5003" s="256"/>
      <c r="DG5003" s="256"/>
    </row>
    <row r="5004" spans="104:111">
      <c r="CZ5004" s="256"/>
      <c r="DG5004" s="256"/>
    </row>
    <row r="5005" spans="104:111">
      <c r="CZ5005" s="256"/>
      <c r="DG5005" s="256"/>
    </row>
    <row r="5006" spans="104:111">
      <c r="CZ5006" s="256"/>
      <c r="DG5006" s="256"/>
    </row>
    <row r="5007" spans="104:111">
      <c r="CZ5007" s="256"/>
      <c r="DG5007" s="256"/>
    </row>
    <row r="5008" spans="104:111">
      <c r="CZ5008" s="256"/>
      <c r="DG5008" s="256"/>
    </row>
    <row r="5009" spans="104:111">
      <c r="CZ5009" s="256"/>
      <c r="DG5009" s="256"/>
    </row>
    <row r="5010" spans="104:111">
      <c r="CZ5010" s="256"/>
      <c r="DG5010" s="256"/>
    </row>
    <row r="5011" spans="104:111">
      <c r="CZ5011" s="256"/>
      <c r="DG5011" s="256"/>
    </row>
    <row r="5012" spans="104:111">
      <c r="CZ5012" s="256"/>
      <c r="DG5012" s="256"/>
    </row>
    <row r="5013" spans="104:111">
      <c r="CZ5013" s="256"/>
      <c r="DG5013" s="256"/>
    </row>
    <row r="5014" spans="104:111">
      <c r="CZ5014" s="256"/>
      <c r="DG5014" s="256"/>
    </row>
    <row r="5015" spans="104:111">
      <c r="CZ5015" s="256"/>
      <c r="DG5015" s="256"/>
    </row>
    <row r="5016" spans="104:111">
      <c r="CZ5016" s="256"/>
      <c r="DG5016" s="256"/>
    </row>
    <row r="5017" spans="104:111">
      <c r="CZ5017" s="256"/>
      <c r="DG5017" s="256"/>
    </row>
    <row r="5018" spans="104:111">
      <c r="CZ5018" s="256"/>
      <c r="DG5018" s="256"/>
    </row>
    <row r="5019" spans="104:111">
      <c r="CZ5019" s="256"/>
      <c r="DG5019" s="256"/>
    </row>
    <row r="5020" spans="104:111">
      <c r="CZ5020" s="256"/>
      <c r="DG5020" s="256"/>
    </row>
    <row r="5021" spans="104:111">
      <c r="CZ5021" s="256"/>
      <c r="DG5021" s="256"/>
    </row>
    <row r="5022" spans="104:111">
      <c r="CZ5022" s="256"/>
      <c r="DG5022" s="256"/>
    </row>
    <row r="5023" spans="104:111">
      <c r="CZ5023" s="256"/>
      <c r="DG5023" s="256"/>
    </row>
    <row r="5024" spans="104:111">
      <c r="CZ5024" s="256"/>
      <c r="DG5024" s="256"/>
    </row>
    <row r="5025" spans="104:111">
      <c r="CZ5025" s="256"/>
      <c r="DG5025" s="256"/>
    </row>
    <row r="5026" spans="104:111">
      <c r="CZ5026" s="256"/>
      <c r="DG5026" s="256"/>
    </row>
    <row r="5027" spans="104:111">
      <c r="CZ5027" s="256"/>
      <c r="DG5027" s="256"/>
    </row>
    <row r="5028" spans="104:111">
      <c r="CZ5028" s="256"/>
      <c r="DG5028" s="256"/>
    </row>
    <row r="5029" spans="104:111">
      <c r="CZ5029" s="256"/>
      <c r="DG5029" s="256"/>
    </row>
    <row r="5030" spans="104:111">
      <c r="CZ5030" s="256"/>
      <c r="DG5030" s="256"/>
    </row>
    <row r="5031" spans="104:111">
      <c r="CZ5031" s="256"/>
      <c r="DG5031" s="256"/>
    </row>
    <row r="5032" spans="104:111">
      <c r="CZ5032" s="256"/>
      <c r="DG5032" s="256"/>
    </row>
    <row r="5033" spans="104:111">
      <c r="CZ5033" s="256"/>
      <c r="DG5033" s="256"/>
    </row>
    <row r="5034" spans="104:111">
      <c r="CZ5034" s="256"/>
      <c r="DG5034" s="256"/>
    </row>
    <row r="5035" spans="104:111">
      <c r="CZ5035" s="256"/>
      <c r="DG5035" s="256"/>
    </row>
    <row r="5036" spans="104:111">
      <c r="CZ5036" s="256"/>
      <c r="DG5036" s="256"/>
    </row>
    <row r="5037" spans="104:111">
      <c r="CZ5037" s="256"/>
      <c r="DG5037" s="256"/>
    </row>
    <row r="5038" spans="104:111">
      <c r="CZ5038" s="256"/>
      <c r="DG5038" s="256"/>
    </row>
    <row r="5039" spans="104:111">
      <c r="CZ5039" s="256"/>
      <c r="DG5039" s="256"/>
    </row>
    <row r="5040" spans="104:111">
      <c r="CZ5040" s="256"/>
      <c r="DG5040" s="256"/>
    </row>
    <row r="5041" spans="104:111">
      <c r="CZ5041" s="256"/>
      <c r="DG5041" s="256"/>
    </row>
    <row r="5042" spans="104:111">
      <c r="CZ5042" s="256"/>
      <c r="DG5042" s="256"/>
    </row>
    <row r="5043" spans="104:111">
      <c r="CZ5043" s="256"/>
      <c r="DG5043" s="256"/>
    </row>
    <row r="5044" spans="104:111">
      <c r="CZ5044" s="256"/>
      <c r="DG5044" s="256"/>
    </row>
    <row r="5045" spans="104:111">
      <c r="CZ5045" s="256"/>
      <c r="DG5045" s="256"/>
    </row>
    <row r="5046" spans="104:111">
      <c r="CZ5046" s="256"/>
      <c r="DG5046" s="256"/>
    </row>
    <row r="5047" spans="104:111">
      <c r="CZ5047" s="256"/>
      <c r="DG5047" s="256"/>
    </row>
    <row r="5048" spans="104:111">
      <c r="CZ5048" s="256"/>
      <c r="DG5048" s="256"/>
    </row>
    <row r="5049" spans="104:111">
      <c r="CZ5049" s="256"/>
      <c r="DG5049" s="256"/>
    </row>
    <row r="5050" spans="104:111">
      <c r="CZ5050" s="256"/>
      <c r="DG5050" s="256"/>
    </row>
    <row r="5051" spans="104:111">
      <c r="CZ5051" s="256"/>
      <c r="DG5051" s="256"/>
    </row>
    <row r="5052" spans="104:111">
      <c r="CZ5052" s="256"/>
      <c r="DG5052" s="256"/>
    </row>
    <row r="5053" spans="104:111">
      <c r="CZ5053" s="256"/>
      <c r="DG5053" s="256"/>
    </row>
    <row r="5054" spans="104:111">
      <c r="CZ5054" s="256"/>
      <c r="DG5054" s="256"/>
    </row>
    <row r="5055" spans="104:111">
      <c r="CZ5055" s="256"/>
      <c r="DG5055" s="256"/>
    </row>
    <row r="5056" spans="104:111">
      <c r="CZ5056" s="256"/>
      <c r="DG5056" s="256"/>
    </row>
    <row r="5057" spans="104:111">
      <c r="CZ5057" s="256"/>
      <c r="DG5057" s="256"/>
    </row>
    <row r="5058" spans="104:111">
      <c r="CZ5058" s="256"/>
      <c r="DG5058" s="256"/>
    </row>
    <row r="5059" spans="104:111">
      <c r="CZ5059" s="256"/>
      <c r="DG5059" s="256"/>
    </row>
    <row r="5060" spans="104:111">
      <c r="CZ5060" s="256"/>
      <c r="DG5060" s="256"/>
    </row>
    <row r="5061" spans="104:111">
      <c r="CZ5061" s="256"/>
      <c r="DG5061" s="256"/>
    </row>
    <row r="5062" spans="104:111">
      <c r="CZ5062" s="256"/>
      <c r="DG5062" s="256"/>
    </row>
    <row r="5063" spans="104:111">
      <c r="CZ5063" s="256"/>
      <c r="DG5063" s="256"/>
    </row>
    <row r="5064" spans="104:111">
      <c r="CZ5064" s="256"/>
      <c r="DG5064" s="256"/>
    </row>
    <row r="5065" spans="104:111">
      <c r="CZ5065" s="256"/>
      <c r="DG5065" s="256"/>
    </row>
    <row r="5066" spans="104:111">
      <c r="CZ5066" s="256"/>
      <c r="DG5066" s="256"/>
    </row>
    <row r="5067" spans="104:111">
      <c r="CZ5067" s="256"/>
      <c r="DG5067" s="256"/>
    </row>
    <row r="5068" spans="104:111">
      <c r="CZ5068" s="256"/>
      <c r="DG5068" s="256"/>
    </row>
    <row r="5069" spans="104:111">
      <c r="CZ5069" s="256"/>
      <c r="DG5069" s="256"/>
    </row>
    <row r="5070" spans="104:111">
      <c r="CZ5070" s="256"/>
      <c r="DG5070" s="256"/>
    </row>
    <row r="5071" spans="104:111">
      <c r="CZ5071" s="256"/>
      <c r="DG5071" s="256"/>
    </row>
    <row r="5072" spans="104:111">
      <c r="CZ5072" s="256"/>
      <c r="DG5072" s="256"/>
    </row>
    <row r="5073" spans="104:111">
      <c r="CZ5073" s="256"/>
      <c r="DG5073" s="256"/>
    </row>
    <row r="5074" spans="104:111">
      <c r="CZ5074" s="256"/>
      <c r="DG5074" s="256"/>
    </row>
    <row r="5075" spans="104:111">
      <c r="CZ5075" s="256"/>
      <c r="DG5075" s="256"/>
    </row>
    <row r="5076" spans="104:111">
      <c r="CZ5076" s="256"/>
      <c r="DG5076" s="256"/>
    </row>
    <row r="5077" spans="104:111">
      <c r="CZ5077" s="256"/>
      <c r="DG5077" s="256"/>
    </row>
    <row r="5078" spans="104:111">
      <c r="CZ5078" s="256"/>
      <c r="DG5078" s="256"/>
    </row>
    <row r="5079" spans="104:111">
      <c r="CZ5079" s="256"/>
      <c r="DG5079" s="256"/>
    </row>
    <row r="5080" spans="104:111">
      <c r="CZ5080" s="256"/>
      <c r="DG5080" s="256"/>
    </row>
    <row r="5081" spans="104:111">
      <c r="CZ5081" s="256"/>
      <c r="DG5081" s="256"/>
    </row>
    <row r="5082" spans="104:111">
      <c r="CZ5082" s="256"/>
      <c r="DG5082" s="256"/>
    </row>
    <row r="5083" spans="104:111">
      <c r="CZ5083" s="256"/>
      <c r="DG5083" s="256"/>
    </row>
    <row r="5084" spans="104:111">
      <c r="CZ5084" s="256"/>
      <c r="DG5084" s="256"/>
    </row>
    <row r="5085" spans="104:111">
      <c r="CZ5085" s="256"/>
      <c r="DG5085" s="256"/>
    </row>
    <row r="5086" spans="104:111">
      <c r="CZ5086" s="256"/>
      <c r="DG5086" s="256"/>
    </row>
    <row r="5087" spans="104:111">
      <c r="CZ5087" s="256"/>
      <c r="DG5087" s="256"/>
    </row>
    <row r="5088" spans="104:111">
      <c r="CZ5088" s="256"/>
      <c r="DG5088" s="256"/>
    </row>
    <row r="5089" spans="104:111">
      <c r="CZ5089" s="256"/>
      <c r="DG5089" s="256"/>
    </row>
    <row r="5090" spans="104:111">
      <c r="CZ5090" s="256"/>
      <c r="DG5090" s="256"/>
    </row>
    <row r="5091" spans="104:111">
      <c r="CZ5091" s="256"/>
      <c r="DG5091" s="256"/>
    </row>
    <row r="5092" spans="104:111">
      <c r="CZ5092" s="256"/>
      <c r="DG5092" s="256"/>
    </row>
    <row r="5093" spans="104:111">
      <c r="CZ5093" s="256"/>
      <c r="DG5093" s="256"/>
    </row>
    <row r="5094" spans="104:111">
      <c r="CZ5094" s="256"/>
      <c r="DG5094" s="256"/>
    </row>
    <row r="5095" spans="104:111">
      <c r="CZ5095" s="256"/>
      <c r="DG5095" s="256"/>
    </row>
    <row r="5096" spans="104:111">
      <c r="CZ5096" s="256"/>
      <c r="DG5096" s="256"/>
    </row>
    <row r="5097" spans="104:111">
      <c r="CZ5097" s="256"/>
      <c r="DG5097" s="256"/>
    </row>
    <row r="5098" spans="104:111">
      <c r="CZ5098" s="256"/>
      <c r="DG5098" s="256"/>
    </row>
    <row r="5099" spans="104:111">
      <c r="CZ5099" s="256"/>
      <c r="DG5099" s="256"/>
    </row>
    <row r="5100" spans="104:111">
      <c r="CZ5100" s="256"/>
      <c r="DG5100" s="256"/>
    </row>
    <row r="5101" spans="104:111">
      <c r="CZ5101" s="256"/>
      <c r="DG5101" s="256"/>
    </row>
    <row r="5102" spans="104:111">
      <c r="CZ5102" s="256"/>
      <c r="DG5102" s="256"/>
    </row>
    <row r="5103" spans="104:111">
      <c r="CZ5103" s="256"/>
      <c r="DG5103" s="256"/>
    </row>
    <row r="5104" spans="104:111">
      <c r="CZ5104" s="256"/>
      <c r="DG5104" s="256"/>
    </row>
    <row r="5105" spans="104:111">
      <c r="CZ5105" s="256"/>
      <c r="DG5105" s="256"/>
    </row>
    <row r="5106" spans="104:111">
      <c r="CZ5106" s="256"/>
      <c r="DG5106" s="256"/>
    </row>
    <row r="5107" spans="104:111">
      <c r="CZ5107" s="256"/>
      <c r="DG5107" s="256"/>
    </row>
    <row r="5108" spans="104:111">
      <c r="CZ5108" s="256"/>
      <c r="DG5108" s="256"/>
    </row>
    <row r="5109" spans="104:111">
      <c r="CZ5109" s="256"/>
      <c r="DG5109" s="256"/>
    </row>
    <row r="5110" spans="104:111">
      <c r="CZ5110" s="256"/>
      <c r="DG5110" s="256"/>
    </row>
    <row r="5111" spans="104:111">
      <c r="CZ5111" s="256"/>
      <c r="DG5111" s="256"/>
    </row>
    <row r="5112" spans="104:111">
      <c r="CZ5112" s="256"/>
      <c r="DG5112" s="256"/>
    </row>
    <row r="5113" spans="104:111">
      <c r="CZ5113" s="256"/>
      <c r="DG5113" s="256"/>
    </row>
    <row r="5114" spans="104:111">
      <c r="CZ5114" s="256"/>
      <c r="DG5114" s="256"/>
    </row>
    <row r="5115" spans="104:111">
      <c r="CZ5115" s="256"/>
      <c r="DG5115" s="256"/>
    </row>
    <row r="5116" spans="104:111">
      <c r="CZ5116" s="256"/>
      <c r="DG5116" s="256"/>
    </row>
    <row r="5117" spans="104:111">
      <c r="CZ5117" s="256"/>
      <c r="DG5117" s="256"/>
    </row>
    <row r="5118" spans="104:111">
      <c r="CZ5118" s="256"/>
      <c r="DG5118" s="256"/>
    </row>
    <row r="5119" spans="104:111">
      <c r="CZ5119" s="256"/>
      <c r="DG5119" s="256"/>
    </row>
    <row r="5120" spans="104:111">
      <c r="CZ5120" s="256"/>
      <c r="DG5120" s="256"/>
    </row>
    <row r="5121" spans="104:111">
      <c r="CZ5121" s="256"/>
      <c r="DG5121" s="256"/>
    </row>
    <row r="5122" spans="104:111">
      <c r="CZ5122" s="256"/>
      <c r="DG5122" s="256"/>
    </row>
    <row r="5123" spans="104:111">
      <c r="CZ5123" s="256"/>
      <c r="DG5123" s="256"/>
    </row>
    <row r="5124" spans="104:111">
      <c r="CZ5124" s="256"/>
      <c r="DG5124" s="256"/>
    </row>
    <row r="5125" spans="104:111">
      <c r="CZ5125" s="256"/>
      <c r="DG5125" s="256"/>
    </row>
    <row r="5126" spans="104:111">
      <c r="CZ5126" s="256"/>
      <c r="DG5126" s="256"/>
    </row>
    <row r="5127" spans="104:111">
      <c r="CZ5127" s="256"/>
      <c r="DG5127" s="256"/>
    </row>
    <row r="5128" spans="104:111">
      <c r="CZ5128" s="256"/>
      <c r="DG5128" s="256"/>
    </row>
    <row r="5129" spans="104:111">
      <c r="CZ5129" s="256"/>
      <c r="DG5129" s="256"/>
    </row>
    <row r="5130" spans="104:111">
      <c r="CZ5130" s="256"/>
      <c r="DG5130" s="256"/>
    </row>
    <row r="5131" spans="104:111">
      <c r="CZ5131" s="256"/>
      <c r="DG5131" s="256"/>
    </row>
    <row r="5132" spans="104:111">
      <c r="CZ5132" s="256"/>
      <c r="DG5132" s="256"/>
    </row>
    <row r="5133" spans="104:111">
      <c r="CZ5133" s="256"/>
      <c r="DG5133" s="256"/>
    </row>
    <row r="5134" spans="104:111">
      <c r="CZ5134" s="256"/>
      <c r="DG5134" s="256"/>
    </row>
    <row r="5135" spans="104:111">
      <c r="CZ5135" s="256"/>
      <c r="DG5135" s="256"/>
    </row>
    <row r="5136" spans="104:111">
      <c r="CZ5136" s="256"/>
      <c r="DG5136" s="256"/>
    </row>
    <row r="5137" spans="104:111">
      <c r="CZ5137" s="256"/>
      <c r="DG5137" s="256"/>
    </row>
    <row r="5138" spans="104:111">
      <c r="CZ5138" s="256"/>
      <c r="DG5138" s="256"/>
    </row>
    <row r="5139" spans="104:111">
      <c r="CZ5139" s="256"/>
      <c r="DG5139" s="256"/>
    </row>
    <row r="5140" spans="104:111">
      <c r="CZ5140" s="256"/>
      <c r="DG5140" s="256"/>
    </row>
    <row r="5141" spans="104:111">
      <c r="CZ5141" s="256"/>
      <c r="DG5141" s="256"/>
    </row>
    <row r="5142" spans="104:111">
      <c r="CZ5142" s="256"/>
      <c r="DG5142" s="256"/>
    </row>
    <row r="5143" spans="104:111">
      <c r="CZ5143" s="256"/>
      <c r="DG5143" s="256"/>
    </row>
    <row r="5144" spans="104:111">
      <c r="CZ5144" s="256"/>
      <c r="DG5144" s="256"/>
    </row>
    <row r="5145" spans="104:111">
      <c r="CZ5145" s="256"/>
      <c r="DG5145" s="256"/>
    </row>
    <row r="5146" spans="104:111">
      <c r="CZ5146" s="256"/>
      <c r="DG5146" s="256"/>
    </row>
    <row r="5147" spans="104:111">
      <c r="CZ5147" s="256"/>
      <c r="DG5147" s="256"/>
    </row>
    <row r="5148" spans="104:111">
      <c r="CZ5148" s="256"/>
      <c r="DG5148" s="256"/>
    </row>
    <row r="5149" spans="104:111">
      <c r="CZ5149" s="256"/>
      <c r="DG5149" s="256"/>
    </row>
    <row r="5150" spans="104:111">
      <c r="CZ5150" s="256"/>
      <c r="DG5150" s="256"/>
    </row>
    <row r="5151" spans="104:111">
      <c r="CZ5151" s="256"/>
      <c r="DG5151" s="256"/>
    </row>
    <row r="5152" spans="104:111">
      <c r="CZ5152" s="256"/>
      <c r="DG5152" s="256"/>
    </row>
    <row r="5153" spans="104:111">
      <c r="CZ5153" s="256"/>
      <c r="DG5153" s="256"/>
    </row>
    <row r="5154" spans="104:111">
      <c r="CZ5154" s="256"/>
      <c r="DG5154" s="256"/>
    </row>
    <row r="5155" spans="104:111">
      <c r="CZ5155" s="256"/>
      <c r="DG5155" s="256"/>
    </row>
    <row r="5156" spans="104:111">
      <c r="CZ5156" s="256"/>
      <c r="DG5156" s="256"/>
    </row>
    <row r="5157" spans="104:111">
      <c r="CZ5157" s="256"/>
      <c r="DG5157" s="256"/>
    </row>
    <row r="5158" spans="104:111">
      <c r="CZ5158" s="256"/>
      <c r="DG5158" s="256"/>
    </row>
    <row r="5159" spans="104:111">
      <c r="CZ5159" s="256"/>
      <c r="DG5159" s="256"/>
    </row>
    <row r="5160" spans="104:111">
      <c r="CZ5160" s="256"/>
      <c r="DG5160" s="256"/>
    </row>
    <row r="5161" spans="104:111">
      <c r="CZ5161" s="256"/>
      <c r="DG5161" s="256"/>
    </row>
    <row r="5162" spans="104:111">
      <c r="CZ5162" s="256"/>
      <c r="DG5162" s="256"/>
    </row>
    <row r="5163" spans="104:111">
      <c r="CZ5163" s="256"/>
      <c r="DG5163" s="256"/>
    </row>
    <row r="5164" spans="104:111">
      <c r="CZ5164" s="256"/>
      <c r="DG5164" s="256"/>
    </row>
    <row r="5165" spans="104:111">
      <c r="CZ5165" s="256"/>
      <c r="DG5165" s="256"/>
    </row>
    <row r="5166" spans="104:111">
      <c r="CZ5166" s="256"/>
      <c r="DG5166" s="256"/>
    </row>
    <row r="5167" spans="104:111">
      <c r="CZ5167" s="256"/>
      <c r="DG5167" s="256"/>
    </row>
    <row r="5168" spans="104:111">
      <c r="CZ5168" s="256"/>
      <c r="DG5168" s="256"/>
    </row>
    <row r="5169" spans="104:111">
      <c r="CZ5169" s="256"/>
      <c r="DG5169" s="256"/>
    </row>
    <row r="5170" spans="104:111">
      <c r="CZ5170" s="256"/>
      <c r="DG5170" s="256"/>
    </row>
    <row r="5171" spans="104:111">
      <c r="CZ5171" s="256"/>
      <c r="DG5171" s="256"/>
    </row>
    <row r="5172" spans="104:111">
      <c r="CZ5172" s="256"/>
      <c r="DG5172" s="256"/>
    </row>
    <row r="5173" spans="104:111">
      <c r="CZ5173" s="256"/>
      <c r="DG5173" s="256"/>
    </row>
    <row r="5174" spans="104:111">
      <c r="CZ5174" s="256"/>
      <c r="DG5174" s="256"/>
    </row>
    <row r="5175" spans="104:111">
      <c r="CZ5175" s="256"/>
      <c r="DG5175" s="256"/>
    </row>
    <row r="5176" spans="104:111">
      <c r="CZ5176" s="256"/>
      <c r="DG5176" s="256"/>
    </row>
    <row r="5177" spans="104:111">
      <c r="CZ5177" s="256"/>
      <c r="DG5177" s="256"/>
    </row>
    <row r="5178" spans="104:111">
      <c r="CZ5178" s="256"/>
      <c r="DG5178" s="256"/>
    </row>
    <row r="5179" spans="104:111">
      <c r="CZ5179" s="256"/>
      <c r="DG5179" s="256"/>
    </row>
    <row r="5180" spans="104:111">
      <c r="CZ5180" s="256"/>
      <c r="DG5180" s="256"/>
    </row>
    <row r="5181" spans="104:111">
      <c r="CZ5181" s="256"/>
      <c r="DG5181" s="256"/>
    </row>
    <row r="5182" spans="104:111">
      <c r="CZ5182" s="256"/>
      <c r="DG5182" s="256"/>
    </row>
    <row r="5183" spans="104:111">
      <c r="CZ5183" s="256"/>
      <c r="DG5183" s="256"/>
    </row>
    <row r="5184" spans="104:111">
      <c r="CZ5184" s="256"/>
      <c r="DG5184" s="256"/>
    </row>
    <row r="5185" spans="104:111">
      <c r="CZ5185" s="256"/>
      <c r="DG5185" s="256"/>
    </row>
    <row r="5186" spans="104:111">
      <c r="CZ5186" s="256"/>
      <c r="DG5186" s="256"/>
    </row>
    <row r="5187" spans="104:111">
      <c r="CZ5187" s="256"/>
      <c r="DG5187" s="256"/>
    </row>
    <row r="5188" spans="104:111">
      <c r="CZ5188" s="256"/>
      <c r="DG5188" s="256"/>
    </row>
    <row r="5189" spans="104:111">
      <c r="CZ5189" s="256"/>
      <c r="DG5189" s="256"/>
    </row>
    <row r="5190" spans="104:111">
      <c r="CZ5190" s="256"/>
      <c r="DG5190" s="256"/>
    </row>
    <row r="5191" spans="104:111">
      <c r="CZ5191" s="256"/>
      <c r="DG5191" s="256"/>
    </row>
    <row r="5192" spans="104:111">
      <c r="CZ5192" s="256"/>
      <c r="DG5192" s="256"/>
    </row>
    <row r="5193" spans="104:111">
      <c r="CZ5193" s="256"/>
      <c r="DG5193" s="256"/>
    </row>
    <row r="5194" spans="104:111">
      <c r="CZ5194" s="256"/>
      <c r="DG5194" s="256"/>
    </row>
    <row r="5195" spans="104:111">
      <c r="CZ5195" s="256"/>
      <c r="DG5195" s="256"/>
    </row>
    <row r="5196" spans="104:111">
      <c r="CZ5196" s="256"/>
      <c r="DG5196" s="256"/>
    </row>
    <row r="5197" spans="104:111">
      <c r="CZ5197" s="256"/>
      <c r="DG5197" s="256"/>
    </row>
    <row r="5198" spans="104:111">
      <c r="CZ5198" s="256"/>
      <c r="DG5198" s="256"/>
    </row>
    <row r="5199" spans="104:111">
      <c r="CZ5199" s="256"/>
      <c r="DG5199" s="256"/>
    </row>
    <row r="5200" spans="104:111">
      <c r="CZ5200" s="256"/>
      <c r="DG5200" s="256"/>
    </row>
    <row r="5201" spans="104:111">
      <c r="CZ5201" s="256"/>
      <c r="DG5201" s="256"/>
    </row>
    <row r="5202" spans="104:111">
      <c r="CZ5202" s="256"/>
      <c r="DG5202" s="256"/>
    </row>
    <row r="5203" spans="104:111">
      <c r="CZ5203" s="256"/>
      <c r="DG5203" s="256"/>
    </row>
    <row r="5204" spans="104:111">
      <c r="CZ5204" s="256"/>
      <c r="DG5204" s="256"/>
    </row>
    <row r="5205" spans="104:111">
      <c r="CZ5205" s="256"/>
      <c r="DG5205" s="256"/>
    </row>
    <row r="5206" spans="104:111">
      <c r="CZ5206" s="256"/>
      <c r="DG5206" s="256"/>
    </row>
    <row r="5207" spans="104:111">
      <c r="CZ5207" s="256"/>
      <c r="DG5207" s="256"/>
    </row>
    <row r="5208" spans="104:111">
      <c r="CZ5208" s="256"/>
      <c r="DG5208" s="256"/>
    </row>
    <row r="5209" spans="104:111">
      <c r="CZ5209" s="256"/>
      <c r="DG5209" s="256"/>
    </row>
    <row r="5210" spans="104:111">
      <c r="CZ5210" s="256"/>
      <c r="DG5210" s="256"/>
    </row>
    <row r="5211" spans="104:111">
      <c r="CZ5211" s="256"/>
      <c r="DG5211" s="256"/>
    </row>
    <row r="5212" spans="104:111">
      <c r="CZ5212" s="256"/>
      <c r="DG5212" s="256"/>
    </row>
    <row r="5213" spans="104:111">
      <c r="CZ5213" s="256"/>
      <c r="DG5213" s="256"/>
    </row>
    <row r="5214" spans="104:111">
      <c r="CZ5214" s="256"/>
      <c r="DG5214" s="256"/>
    </row>
    <row r="5215" spans="104:111">
      <c r="CZ5215" s="256"/>
      <c r="DG5215" s="256"/>
    </row>
    <row r="5216" spans="104:111">
      <c r="CZ5216" s="256"/>
      <c r="DG5216" s="256"/>
    </row>
    <row r="5217" spans="104:111">
      <c r="CZ5217" s="256"/>
      <c r="DG5217" s="256"/>
    </row>
    <row r="5218" spans="104:111">
      <c r="CZ5218" s="256"/>
      <c r="DG5218" s="256"/>
    </row>
    <row r="5219" spans="104:111">
      <c r="CZ5219" s="256"/>
      <c r="DG5219" s="256"/>
    </row>
    <row r="5220" spans="104:111">
      <c r="CZ5220" s="256"/>
      <c r="DG5220" s="256"/>
    </row>
    <row r="5221" spans="104:111">
      <c r="CZ5221" s="256"/>
      <c r="DG5221" s="256"/>
    </row>
    <row r="5222" spans="104:111">
      <c r="CZ5222" s="256"/>
      <c r="DG5222" s="256"/>
    </row>
    <row r="5223" spans="104:111">
      <c r="CZ5223" s="256"/>
      <c r="DG5223" s="256"/>
    </row>
    <row r="5224" spans="104:111">
      <c r="CZ5224" s="256"/>
      <c r="DG5224" s="256"/>
    </row>
    <row r="5225" spans="104:111">
      <c r="CZ5225" s="256"/>
      <c r="DG5225" s="256"/>
    </row>
    <row r="5226" spans="104:111">
      <c r="CZ5226" s="256"/>
      <c r="DG5226" s="256"/>
    </row>
    <row r="5227" spans="104:111">
      <c r="CZ5227" s="256"/>
      <c r="DG5227" s="256"/>
    </row>
    <row r="5228" spans="104:111">
      <c r="CZ5228" s="256"/>
      <c r="DG5228" s="256"/>
    </row>
    <row r="5229" spans="104:111">
      <c r="CZ5229" s="256"/>
      <c r="DG5229" s="256"/>
    </row>
    <row r="5230" spans="104:111">
      <c r="CZ5230" s="256"/>
      <c r="DG5230" s="256"/>
    </row>
    <row r="5231" spans="104:111">
      <c r="CZ5231" s="256"/>
      <c r="DG5231" s="256"/>
    </row>
    <row r="5232" spans="104:111">
      <c r="CZ5232" s="256"/>
      <c r="DG5232" s="256"/>
    </row>
    <row r="5233" spans="104:111">
      <c r="CZ5233" s="256"/>
      <c r="DG5233" s="256"/>
    </row>
    <row r="5234" spans="104:111">
      <c r="CZ5234" s="256"/>
      <c r="DG5234" s="256"/>
    </row>
    <row r="5235" spans="104:111">
      <c r="CZ5235" s="256"/>
      <c r="DG5235" s="256"/>
    </row>
    <row r="5236" spans="104:111">
      <c r="CZ5236" s="256"/>
      <c r="DG5236" s="256"/>
    </row>
    <row r="5237" spans="104:111">
      <c r="CZ5237" s="256"/>
      <c r="DG5237" s="256"/>
    </row>
    <row r="5238" spans="104:111">
      <c r="CZ5238" s="256"/>
      <c r="DG5238" s="256"/>
    </row>
    <row r="5239" spans="104:111">
      <c r="CZ5239" s="256"/>
      <c r="DG5239" s="256"/>
    </row>
    <row r="5240" spans="104:111">
      <c r="CZ5240" s="256"/>
      <c r="DG5240" s="256"/>
    </row>
    <row r="5241" spans="104:111">
      <c r="CZ5241" s="256"/>
      <c r="DG5241" s="256"/>
    </row>
    <row r="5242" spans="104:111">
      <c r="CZ5242" s="256"/>
      <c r="DG5242" s="256"/>
    </row>
    <row r="5243" spans="104:111">
      <c r="CZ5243" s="256"/>
      <c r="DG5243" s="256"/>
    </row>
    <row r="5244" spans="104:111">
      <c r="CZ5244" s="256"/>
      <c r="DG5244" s="256"/>
    </row>
    <row r="5245" spans="104:111">
      <c r="CZ5245" s="256"/>
      <c r="DG5245" s="256"/>
    </row>
    <row r="5246" spans="104:111">
      <c r="CZ5246" s="256"/>
      <c r="DG5246" s="256"/>
    </row>
    <row r="5247" spans="104:111">
      <c r="CZ5247" s="256"/>
      <c r="DG5247" s="256"/>
    </row>
    <row r="5248" spans="104:111">
      <c r="CZ5248" s="256"/>
      <c r="DG5248" s="256"/>
    </row>
    <row r="5249" spans="104:111">
      <c r="CZ5249" s="256"/>
      <c r="DG5249" s="256"/>
    </row>
    <row r="5250" spans="104:111">
      <c r="CZ5250" s="256"/>
      <c r="DG5250" s="256"/>
    </row>
    <row r="5251" spans="104:111">
      <c r="CZ5251" s="256"/>
      <c r="DG5251" s="256"/>
    </row>
    <row r="5252" spans="104:111">
      <c r="CZ5252" s="256"/>
      <c r="DG5252" s="256"/>
    </row>
    <row r="5253" spans="104:111">
      <c r="CZ5253" s="256"/>
      <c r="DG5253" s="256"/>
    </row>
    <row r="5254" spans="104:111">
      <c r="CZ5254" s="256"/>
      <c r="DG5254" s="256"/>
    </row>
    <row r="5255" spans="104:111">
      <c r="CZ5255" s="256"/>
      <c r="DG5255" s="256"/>
    </row>
    <row r="5256" spans="104:111">
      <c r="CZ5256" s="256"/>
      <c r="DG5256" s="256"/>
    </row>
    <row r="5257" spans="104:111">
      <c r="CZ5257" s="256"/>
      <c r="DG5257" s="256"/>
    </row>
    <row r="5258" spans="104:111">
      <c r="CZ5258" s="256"/>
      <c r="DG5258" s="256"/>
    </row>
    <row r="5259" spans="104:111">
      <c r="CZ5259" s="256"/>
      <c r="DG5259" s="256"/>
    </row>
    <row r="5260" spans="104:111">
      <c r="CZ5260" s="256"/>
      <c r="DG5260" s="256"/>
    </row>
    <row r="5261" spans="104:111">
      <c r="CZ5261" s="256"/>
      <c r="DG5261" s="256"/>
    </row>
    <row r="5262" spans="104:111">
      <c r="CZ5262" s="256"/>
      <c r="DG5262" s="256"/>
    </row>
    <row r="5263" spans="104:111">
      <c r="CZ5263" s="256"/>
      <c r="DG5263" s="256"/>
    </row>
    <row r="5264" spans="104:111">
      <c r="CZ5264" s="256"/>
      <c r="DG5264" s="256"/>
    </row>
    <row r="5265" spans="104:111">
      <c r="CZ5265" s="256"/>
      <c r="DG5265" s="256"/>
    </row>
    <row r="5266" spans="104:111">
      <c r="CZ5266" s="256"/>
      <c r="DG5266" s="256"/>
    </row>
    <row r="5267" spans="104:111">
      <c r="CZ5267" s="256"/>
      <c r="DG5267" s="256"/>
    </row>
    <row r="5268" spans="104:111">
      <c r="CZ5268" s="256"/>
      <c r="DG5268" s="256"/>
    </row>
    <row r="5269" spans="104:111">
      <c r="CZ5269" s="256"/>
      <c r="DG5269" s="256"/>
    </row>
    <row r="5270" spans="104:111">
      <c r="CZ5270" s="256"/>
      <c r="DG5270" s="256"/>
    </row>
    <row r="5271" spans="104:111">
      <c r="CZ5271" s="256"/>
      <c r="DG5271" s="256"/>
    </row>
    <row r="5272" spans="104:111">
      <c r="CZ5272" s="256"/>
      <c r="DG5272" s="256"/>
    </row>
    <row r="5273" spans="104:111">
      <c r="CZ5273" s="256"/>
      <c r="DG5273" s="256"/>
    </row>
    <row r="5274" spans="104:111">
      <c r="CZ5274" s="256"/>
      <c r="DG5274" s="256"/>
    </row>
    <row r="5275" spans="104:111">
      <c r="CZ5275" s="256"/>
      <c r="DG5275" s="256"/>
    </row>
    <row r="5276" spans="104:111">
      <c r="CZ5276" s="256"/>
      <c r="DG5276" s="256"/>
    </row>
    <row r="5277" spans="104:111">
      <c r="CZ5277" s="256"/>
      <c r="DG5277" s="256"/>
    </row>
    <row r="5278" spans="104:111">
      <c r="CZ5278" s="256"/>
      <c r="DG5278" s="256"/>
    </row>
    <row r="5279" spans="104:111">
      <c r="CZ5279" s="256"/>
      <c r="DG5279" s="256"/>
    </row>
    <row r="5280" spans="104:111">
      <c r="CZ5280" s="256"/>
      <c r="DG5280" s="256"/>
    </row>
    <row r="5281" spans="104:111">
      <c r="CZ5281" s="256"/>
      <c r="DG5281" s="256"/>
    </row>
    <row r="5282" spans="104:111">
      <c r="CZ5282" s="256"/>
      <c r="DG5282" s="256"/>
    </row>
    <row r="5283" spans="104:111">
      <c r="CZ5283" s="256"/>
      <c r="DG5283" s="256"/>
    </row>
    <row r="5284" spans="104:111">
      <c r="CZ5284" s="256"/>
      <c r="DG5284" s="256"/>
    </row>
    <row r="5285" spans="104:111">
      <c r="CZ5285" s="256"/>
      <c r="DG5285" s="256"/>
    </row>
    <row r="5286" spans="104:111">
      <c r="CZ5286" s="256"/>
      <c r="DG5286" s="256"/>
    </row>
    <row r="5287" spans="104:111">
      <c r="CZ5287" s="256"/>
      <c r="DG5287" s="256"/>
    </row>
    <row r="5288" spans="104:111">
      <c r="CZ5288" s="256"/>
      <c r="DG5288" s="256"/>
    </row>
    <row r="5289" spans="104:111">
      <c r="CZ5289" s="256"/>
      <c r="DG5289" s="256"/>
    </row>
    <row r="5290" spans="104:111">
      <c r="CZ5290" s="256"/>
      <c r="DG5290" s="256"/>
    </row>
    <row r="5291" spans="104:111">
      <c r="CZ5291" s="256"/>
      <c r="DG5291" s="256"/>
    </row>
    <row r="5292" spans="104:111">
      <c r="CZ5292" s="256"/>
      <c r="DG5292" s="256"/>
    </row>
    <row r="5293" spans="104:111">
      <c r="CZ5293" s="256"/>
      <c r="DG5293" s="256"/>
    </row>
    <row r="5294" spans="104:111">
      <c r="CZ5294" s="256"/>
      <c r="DG5294" s="256"/>
    </row>
    <row r="5295" spans="104:111">
      <c r="CZ5295" s="256"/>
      <c r="DG5295" s="256"/>
    </row>
    <row r="5296" spans="104:111">
      <c r="CZ5296" s="256"/>
      <c r="DG5296" s="256"/>
    </row>
    <row r="5297" spans="104:111">
      <c r="CZ5297" s="256"/>
      <c r="DG5297" s="256"/>
    </row>
    <row r="5298" spans="104:111">
      <c r="CZ5298" s="256"/>
      <c r="DG5298" s="256"/>
    </row>
    <row r="5299" spans="104:111">
      <c r="CZ5299" s="256"/>
      <c r="DG5299" s="256"/>
    </row>
    <row r="5300" spans="104:111">
      <c r="CZ5300" s="256"/>
      <c r="DG5300" s="256"/>
    </row>
    <row r="5301" spans="104:111">
      <c r="CZ5301" s="256"/>
      <c r="DG5301" s="256"/>
    </row>
    <row r="5302" spans="104:111">
      <c r="CZ5302" s="256"/>
      <c r="DG5302" s="256"/>
    </row>
    <row r="5303" spans="104:111">
      <c r="CZ5303" s="256"/>
      <c r="DG5303" s="256"/>
    </row>
    <row r="5304" spans="104:111">
      <c r="CZ5304" s="256"/>
      <c r="DG5304" s="256"/>
    </row>
    <row r="5305" spans="104:111">
      <c r="CZ5305" s="256"/>
      <c r="DG5305" s="256"/>
    </row>
    <row r="5306" spans="104:111">
      <c r="CZ5306" s="256"/>
      <c r="DG5306" s="256"/>
    </row>
    <row r="5307" spans="104:111">
      <c r="CZ5307" s="256"/>
      <c r="DG5307" s="256"/>
    </row>
    <row r="5308" spans="104:111">
      <c r="CZ5308" s="256"/>
      <c r="DG5308" s="256"/>
    </row>
    <row r="5309" spans="104:111">
      <c r="CZ5309" s="256"/>
      <c r="DG5309" s="256"/>
    </row>
    <row r="5310" spans="104:111">
      <c r="CZ5310" s="256"/>
      <c r="DG5310" s="256"/>
    </row>
    <row r="5311" spans="104:111">
      <c r="CZ5311" s="256"/>
      <c r="DG5311" s="256"/>
    </row>
    <row r="5312" spans="104:111">
      <c r="CZ5312" s="256"/>
      <c r="DG5312" s="256"/>
    </row>
    <row r="5313" spans="104:111">
      <c r="CZ5313" s="256"/>
      <c r="DG5313" s="256"/>
    </row>
    <row r="5314" spans="104:111">
      <c r="CZ5314" s="256"/>
      <c r="DG5314" s="256"/>
    </row>
    <row r="5315" spans="104:111">
      <c r="CZ5315" s="256"/>
      <c r="DG5315" s="256"/>
    </row>
    <row r="5316" spans="104:111">
      <c r="CZ5316" s="256"/>
      <c r="DG5316" s="256"/>
    </row>
    <row r="5317" spans="104:111">
      <c r="CZ5317" s="256"/>
      <c r="DG5317" s="256"/>
    </row>
    <row r="5318" spans="104:111">
      <c r="CZ5318" s="256"/>
      <c r="DG5318" s="256"/>
    </row>
    <row r="5319" spans="104:111">
      <c r="CZ5319" s="256"/>
      <c r="DG5319" s="256"/>
    </row>
    <row r="5320" spans="104:111">
      <c r="CZ5320" s="256"/>
      <c r="DG5320" s="256"/>
    </row>
    <row r="5321" spans="104:111">
      <c r="CZ5321" s="256"/>
      <c r="DG5321" s="256"/>
    </row>
    <row r="5322" spans="104:111">
      <c r="CZ5322" s="256"/>
      <c r="DG5322" s="256"/>
    </row>
    <row r="5323" spans="104:111">
      <c r="CZ5323" s="256"/>
      <c r="DG5323" s="256"/>
    </row>
    <row r="5324" spans="104:111">
      <c r="CZ5324" s="256"/>
      <c r="DG5324" s="256"/>
    </row>
    <row r="5325" spans="104:111">
      <c r="CZ5325" s="256"/>
      <c r="DG5325" s="256"/>
    </row>
    <row r="5326" spans="104:111">
      <c r="CZ5326" s="256"/>
      <c r="DG5326" s="256"/>
    </row>
    <row r="5327" spans="104:111">
      <c r="CZ5327" s="256"/>
      <c r="DG5327" s="256"/>
    </row>
    <row r="5328" spans="104:111">
      <c r="CZ5328" s="256"/>
      <c r="DG5328" s="256"/>
    </row>
    <row r="5329" spans="104:111">
      <c r="CZ5329" s="256"/>
      <c r="DG5329" s="256"/>
    </row>
    <row r="5330" spans="104:111">
      <c r="CZ5330" s="256"/>
      <c r="DG5330" s="256"/>
    </row>
    <row r="5331" spans="104:111">
      <c r="CZ5331" s="256"/>
      <c r="DG5331" s="256"/>
    </row>
    <row r="5332" spans="104:111">
      <c r="CZ5332" s="256"/>
      <c r="DG5332" s="256"/>
    </row>
    <row r="5333" spans="104:111">
      <c r="CZ5333" s="256"/>
      <c r="DG5333" s="256"/>
    </row>
    <row r="5334" spans="104:111">
      <c r="CZ5334" s="256"/>
      <c r="DG5334" s="256"/>
    </row>
    <row r="5335" spans="104:111">
      <c r="CZ5335" s="256"/>
      <c r="DG5335" s="256"/>
    </row>
    <row r="5336" spans="104:111">
      <c r="CZ5336" s="256"/>
      <c r="DG5336" s="256"/>
    </row>
    <row r="5337" spans="104:111">
      <c r="CZ5337" s="256"/>
      <c r="DG5337" s="256"/>
    </row>
    <row r="5338" spans="104:111">
      <c r="CZ5338" s="256"/>
      <c r="DG5338" s="256"/>
    </row>
    <row r="5339" spans="104:111">
      <c r="CZ5339" s="256"/>
      <c r="DG5339" s="256"/>
    </row>
    <row r="5340" spans="104:111">
      <c r="CZ5340" s="256"/>
      <c r="DG5340" s="256"/>
    </row>
    <row r="5341" spans="104:111">
      <c r="CZ5341" s="256"/>
      <c r="DG5341" s="256"/>
    </row>
    <row r="5342" spans="104:111">
      <c r="CZ5342" s="256"/>
      <c r="DG5342" s="256"/>
    </row>
    <row r="5343" spans="104:111">
      <c r="CZ5343" s="256"/>
      <c r="DG5343" s="256"/>
    </row>
    <row r="5344" spans="104:111">
      <c r="CZ5344" s="256"/>
      <c r="DG5344" s="256"/>
    </row>
    <row r="5345" spans="104:111">
      <c r="CZ5345" s="256"/>
      <c r="DG5345" s="256"/>
    </row>
    <row r="5346" spans="104:111">
      <c r="CZ5346" s="256"/>
      <c r="DG5346" s="256"/>
    </row>
    <row r="5347" spans="104:111">
      <c r="CZ5347" s="256"/>
      <c r="DG5347" s="256"/>
    </row>
    <row r="5348" spans="104:111">
      <c r="CZ5348" s="256"/>
      <c r="DG5348" s="256"/>
    </row>
    <row r="5349" spans="104:111">
      <c r="CZ5349" s="256"/>
      <c r="DG5349" s="256"/>
    </row>
    <row r="5350" spans="104:111">
      <c r="CZ5350" s="256"/>
      <c r="DG5350" s="256"/>
    </row>
    <row r="5351" spans="104:111">
      <c r="CZ5351" s="256"/>
      <c r="DG5351" s="256"/>
    </row>
    <row r="5352" spans="104:111">
      <c r="CZ5352" s="256"/>
      <c r="DG5352" s="256"/>
    </row>
    <row r="5353" spans="104:111">
      <c r="CZ5353" s="256"/>
      <c r="DG5353" s="256"/>
    </row>
    <row r="5354" spans="104:111">
      <c r="CZ5354" s="256"/>
      <c r="DG5354" s="256"/>
    </row>
    <row r="5355" spans="104:111">
      <c r="CZ5355" s="256"/>
      <c r="DG5355" s="256"/>
    </row>
    <row r="5356" spans="104:111">
      <c r="CZ5356" s="256"/>
      <c r="DG5356" s="256"/>
    </row>
    <row r="5357" spans="104:111">
      <c r="CZ5357" s="256"/>
      <c r="DG5357" s="256"/>
    </row>
    <row r="5358" spans="104:111">
      <c r="CZ5358" s="256"/>
      <c r="DG5358" s="256"/>
    </row>
    <row r="5359" spans="104:111">
      <c r="CZ5359" s="256"/>
      <c r="DG5359" s="256"/>
    </row>
    <row r="5360" spans="104:111">
      <c r="CZ5360" s="256"/>
      <c r="DG5360" s="256"/>
    </row>
    <row r="5361" spans="104:111">
      <c r="CZ5361" s="256"/>
      <c r="DG5361" s="256"/>
    </row>
    <row r="5362" spans="104:111">
      <c r="CZ5362" s="256"/>
      <c r="DG5362" s="256"/>
    </row>
    <row r="5363" spans="104:111">
      <c r="CZ5363" s="256"/>
      <c r="DG5363" s="256"/>
    </row>
    <row r="5364" spans="104:111">
      <c r="CZ5364" s="256"/>
      <c r="DG5364" s="256"/>
    </row>
    <row r="5365" spans="104:111">
      <c r="CZ5365" s="256"/>
      <c r="DG5365" s="256"/>
    </row>
    <row r="5366" spans="104:111">
      <c r="CZ5366" s="256"/>
      <c r="DG5366" s="256"/>
    </row>
    <row r="5367" spans="104:111">
      <c r="CZ5367" s="256"/>
      <c r="DG5367" s="256"/>
    </row>
    <row r="5368" spans="104:111">
      <c r="CZ5368" s="256"/>
      <c r="DG5368" s="256"/>
    </row>
    <row r="5369" spans="104:111">
      <c r="CZ5369" s="256"/>
      <c r="DG5369" s="256"/>
    </row>
    <row r="5370" spans="104:111">
      <c r="CZ5370" s="256"/>
      <c r="DG5370" s="256"/>
    </row>
    <row r="5371" spans="104:111">
      <c r="CZ5371" s="256"/>
      <c r="DG5371" s="256"/>
    </row>
    <row r="5372" spans="104:111">
      <c r="CZ5372" s="256"/>
      <c r="DG5372" s="256"/>
    </row>
    <row r="5373" spans="104:111">
      <c r="CZ5373" s="256"/>
      <c r="DG5373" s="256"/>
    </row>
    <row r="5374" spans="104:111">
      <c r="CZ5374" s="256"/>
      <c r="DG5374" s="256"/>
    </row>
    <row r="5375" spans="104:111">
      <c r="CZ5375" s="256"/>
      <c r="DG5375" s="256"/>
    </row>
    <row r="5376" spans="104:111">
      <c r="CZ5376" s="256"/>
      <c r="DG5376" s="256"/>
    </row>
    <row r="5377" spans="104:111">
      <c r="CZ5377" s="256"/>
      <c r="DG5377" s="256"/>
    </row>
    <row r="5378" spans="104:111">
      <c r="CZ5378" s="256"/>
      <c r="DG5378" s="256"/>
    </row>
    <row r="5379" spans="104:111">
      <c r="CZ5379" s="256"/>
      <c r="DG5379" s="256"/>
    </row>
    <row r="5380" spans="104:111">
      <c r="CZ5380" s="256"/>
      <c r="DG5380" s="256"/>
    </row>
    <row r="5381" spans="104:111">
      <c r="CZ5381" s="256"/>
      <c r="DG5381" s="256"/>
    </row>
    <row r="5382" spans="104:111">
      <c r="CZ5382" s="256"/>
      <c r="DG5382" s="256"/>
    </row>
    <row r="5383" spans="104:111">
      <c r="CZ5383" s="256"/>
      <c r="DG5383" s="256"/>
    </row>
    <row r="5384" spans="104:111">
      <c r="CZ5384" s="256"/>
      <c r="DG5384" s="256"/>
    </row>
    <row r="5385" spans="104:111">
      <c r="CZ5385" s="256"/>
      <c r="DG5385" s="256"/>
    </row>
    <row r="5386" spans="104:111">
      <c r="CZ5386" s="256"/>
      <c r="DG5386" s="256"/>
    </row>
    <row r="5387" spans="104:111">
      <c r="CZ5387" s="256"/>
      <c r="DG5387" s="256"/>
    </row>
    <row r="5388" spans="104:111">
      <c r="CZ5388" s="256"/>
      <c r="DG5388" s="256"/>
    </row>
    <row r="5389" spans="104:111">
      <c r="CZ5389" s="256"/>
      <c r="DG5389" s="256"/>
    </row>
    <row r="5390" spans="104:111">
      <c r="CZ5390" s="256"/>
      <c r="DG5390" s="256"/>
    </row>
    <row r="5391" spans="104:111">
      <c r="CZ5391" s="256"/>
      <c r="DG5391" s="256"/>
    </row>
    <row r="5392" spans="104:111">
      <c r="CZ5392" s="256"/>
      <c r="DG5392" s="256"/>
    </row>
    <row r="5393" spans="104:111">
      <c r="CZ5393" s="256"/>
      <c r="DG5393" s="256"/>
    </row>
    <row r="5394" spans="104:111">
      <c r="CZ5394" s="256"/>
      <c r="DG5394" s="256"/>
    </row>
    <row r="5395" spans="104:111">
      <c r="CZ5395" s="256"/>
      <c r="DG5395" s="256"/>
    </row>
    <row r="5396" spans="104:111">
      <c r="CZ5396" s="256"/>
      <c r="DG5396" s="256"/>
    </row>
    <row r="5397" spans="104:111">
      <c r="CZ5397" s="256"/>
      <c r="DG5397" s="256"/>
    </row>
    <row r="5398" spans="104:111">
      <c r="CZ5398" s="256"/>
      <c r="DG5398" s="256"/>
    </row>
    <row r="5399" spans="104:111">
      <c r="CZ5399" s="256"/>
      <c r="DG5399" s="256"/>
    </row>
    <row r="5400" spans="104:111">
      <c r="CZ5400" s="256"/>
      <c r="DG5400" s="256"/>
    </row>
    <row r="5401" spans="104:111">
      <c r="CZ5401" s="256"/>
      <c r="DG5401" s="256"/>
    </row>
    <row r="5402" spans="104:111">
      <c r="CZ5402" s="256"/>
      <c r="DG5402" s="256"/>
    </row>
    <row r="5403" spans="104:111">
      <c r="CZ5403" s="256"/>
      <c r="DG5403" s="256"/>
    </row>
    <row r="5404" spans="104:111">
      <c r="CZ5404" s="256"/>
      <c r="DG5404" s="256"/>
    </row>
    <row r="5405" spans="104:111">
      <c r="CZ5405" s="256"/>
      <c r="DG5405" s="256"/>
    </row>
    <row r="5406" spans="104:111">
      <c r="CZ5406" s="256"/>
      <c r="DG5406" s="256"/>
    </row>
    <row r="5407" spans="104:111">
      <c r="CZ5407" s="256"/>
      <c r="DG5407" s="256"/>
    </row>
    <row r="5408" spans="104:111">
      <c r="CZ5408" s="256"/>
      <c r="DG5408" s="256"/>
    </row>
    <row r="5409" spans="104:111">
      <c r="CZ5409" s="256"/>
      <c r="DG5409" s="256"/>
    </row>
    <row r="5410" spans="104:111">
      <c r="CZ5410" s="256"/>
      <c r="DG5410" s="256"/>
    </row>
    <row r="5411" spans="104:111">
      <c r="CZ5411" s="256"/>
      <c r="DG5411" s="256"/>
    </row>
    <row r="5412" spans="104:111">
      <c r="CZ5412" s="256"/>
      <c r="DG5412" s="256"/>
    </row>
    <row r="5413" spans="104:111">
      <c r="CZ5413" s="256"/>
      <c r="DG5413" s="256"/>
    </row>
    <row r="5414" spans="104:111">
      <c r="CZ5414" s="256"/>
      <c r="DG5414" s="256"/>
    </row>
    <row r="5415" spans="104:111">
      <c r="CZ5415" s="256"/>
      <c r="DG5415" s="256"/>
    </row>
    <row r="5416" spans="104:111">
      <c r="CZ5416" s="256"/>
      <c r="DG5416" s="256"/>
    </row>
    <row r="5417" spans="104:111">
      <c r="CZ5417" s="256"/>
      <c r="DG5417" s="256"/>
    </row>
    <row r="5418" spans="104:111">
      <c r="CZ5418" s="256"/>
      <c r="DG5418" s="256"/>
    </row>
    <row r="5419" spans="104:111">
      <c r="CZ5419" s="256"/>
      <c r="DG5419" s="256"/>
    </row>
    <row r="5420" spans="104:111">
      <c r="CZ5420" s="256"/>
      <c r="DG5420" s="256"/>
    </row>
    <row r="5421" spans="104:111">
      <c r="CZ5421" s="256"/>
      <c r="DG5421" s="256"/>
    </row>
    <row r="5422" spans="104:111">
      <c r="CZ5422" s="256"/>
      <c r="DG5422" s="256"/>
    </row>
    <row r="5423" spans="104:111">
      <c r="CZ5423" s="256"/>
      <c r="DG5423" s="256"/>
    </row>
    <row r="5424" spans="104:111">
      <c r="CZ5424" s="256"/>
      <c r="DG5424" s="256"/>
    </row>
    <row r="5425" spans="104:111">
      <c r="CZ5425" s="256"/>
      <c r="DG5425" s="256"/>
    </row>
    <row r="5426" spans="104:111">
      <c r="CZ5426" s="256"/>
      <c r="DG5426" s="256"/>
    </row>
    <row r="5427" spans="104:111">
      <c r="CZ5427" s="256"/>
      <c r="DG5427" s="256"/>
    </row>
    <row r="5428" spans="104:111">
      <c r="CZ5428" s="256"/>
      <c r="DG5428" s="256"/>
    </row>
    <row r="5429" spans="104:111">
      <c r="CZ5429" s="256"/>
      <c r="DG5429" s="256"/>
    </row>
    <row r="5430" spans="104:111">
      <c r="CZ5430" s="256"/>
      <c r="DG5430" s="256"/>
    </row>
    <row r="5431" spans="104:111">
      <c r="CZ5431" s="256"/>
      <c r="DG5431" s="256"/>
    </row>
    <row r="5432" spans="104:111">
      <c r="CZ5432" s="256"/>
      <c r="DG5432" s="256"/>
    </row>
    <row r="5433" spans="104:111">
      <c r="CZ5433" s="256"/>
      <c r="DG5433" s="256"/>
    </row>
    <row r="5434" spans="104:111">
      <c r="CZ5434" s="256"/>
      <c r="DG5434" s="256"/>
    </row>
    <row r="5435" spans="104:111">
      <c r="CZ5435" s="256"/>
      <c r="DG5435" s="256"/>
    </row>
    <row r="5436" spans="104:111">
      <c r="CZ5436" s="256"/>
      <c r="DG5436" s="256"/>
    </row>
    <row r="5437" spans="104:111">
      <c r="CZ5437" s="256"/>
      <c r="DG5437" s="256"/>
    </row>
    <row r="5438" spans="104:111">
      <c r="CZ5438" s="256"/>
      <c r="DG5438" s="256"/>
    </row>
    <row r="5439" spans="104:111">
      <c r="CZ5439" s="256"/>
      <c r="DG5439" s="256"/>
    </row>
    <row r="5440" spans="104:111">
      <c r="CZ5440" s="256"/>
      <c r="DG5440" s="256"/>
    </row>
    <row r="5441" spans="104:111">
      <c r="CZ5441" s="256"/>
      <c r="DG5441" s="256"/>
    </row>
    <row r="5442" spans="104:111">
      <c r="CZ5442" s="256"/>
      <c r="DG5442" s="256"/>
    </row>
    <row r="5443" spans="104:111">
      <c r="CZ5443" s="256"/>
      <c r="DG5443" s="256"/>
    </row>
    <row r="5444" spans="104:111">
      <c r="CZ5444" s="256"/>
      <c r="DG5444" s="256"/>
    </row>
    <row r="5445" spans="104:111">
      <c r="CZ5445" s="256"/>
      <c r="DG5445" s="256"/>
    </row>
    <row r="5446" spans="104:111">
      <c r="CZ5446" s="256"/>
      <c r="DG5446" s="256"/>
    </row>
    <row r="5447" spans="104:111">
      <c r="CZ5447" s="256"/>
      <c r="DG5447" s="256"/>
    </row>
    <row r="5448" spans="104:111">
      <c r="CZ5448" s="256"/>
      <c r="DG5448" s="256"/>
    </row>
    <row r="5449" spans="104:111">
      <c r="CZ5449" s="256"/>
      <c r="DG5449" s="256"/>
    </row>
    <row r="5450" spans="104:111">
      <c r="CZ5450" s="256"/>
      <c r="DG5450" s="256"/>
    </row>
    <row r="5451" spans="104:111">
      <c r="CZ5451" s="256"/>
      <c r="DG5451" s="256"/>
    </row>
    <row r="5452" spans="104:111">
      <c r="CZ5452" s="256"/>
      <c r="DG5452" s="256"/>
    </row>
    <row r="5453" spans="104:111">
      <c r="CZ5453" s="256"/>
      <c r="DG5453" s="256"/>
    </row>
    <row r="5454" spans="104:111">
      <c r="CZ5454" s="256"/>
      <c r="DG5454" s="256"/>
    </row>
    <row r="5455" spans="104:111">
      <c r="CZ5455" s="256"/>
      <c r="DG5455" s="256"/>
    </row>
    <row r="5456" spans="104:111">
      <c r="CZ5456" s="256"/>
      <c r="DG5456" s="256"/>
    </row>
    <row r="5457" spans="104:111">
      <c r="CZ5457" s="256"/>
      <c r="DG5457" s="256"/>
    </row>
    <row r="5458" spans="104:111">
      <c r="CZ5458" s="256"/>
      <c r="DG5458" s="256"/>
    </row>
    <row r="5459" spans="104:111">
      <c r="CZ5459" s="256"/>
      <c r="DG5459" s="256"/>
    </row>
    <row r="5460" spans="104:111">
      <c r="CZ5460" s="256"/>
      <c r="DG5460" s="256"/>
    </row>
    <row r="5461" spans="104:111">
      <c r="CZ5461" s="256"/>
      <c r="DG5461" s="256"/>
    </row>
    <row r="5462" spans="104:111">
      <c r="CZ5462" s="256"/>
      <c r="DG5462" s="256"/>
    </row>
    <row r="5463" spans="104:111">
      <c r="CZ5463" s="256"/>
      <c r="DG5463" s="256"/>
    </row>
    <row r="5464" spans="104:111">
      <c r="CZ5464" s="256"/>
      <c r="DG5464" s="256"/>
    </row>
    <row r="5465" spans="104:111">
      <c r="CZ5465" s="256"/>
      <c r="DG5465" s="256"/>
    </row>
    <row r="5466" spans="104:111">
      <c r="CZ5466" s="256"/>
      <c r="DG5466" s="256"/>
    </row>
    <row r="5467" spans="104:111">
      <c r="CZ5467" s="256"/>
      <c r="DG5467" s="256"/>
    </row>
    <row r="5468" spans="104:111">
      <c r="CZ5468" s="256"/>
      <c r="DG5468" s="256"/>
    </row>
    <row r="5469" spans="104:111">
      <c r="CZ5469" s="256"/>
      <c r="DG5469" s="256"/>
    </row>
    <row r="5470" spans="104:111">
      <c r="CZ5470" s="256"/>
      <c r="DG5470" s="256"/>
    </row>
    <row r="5471" spans="104:111">
      <c r="CZ5471" s="256"/>
      <c r="DG5471" s="256"/>
    </row>
    <row r="5472" spans="104:111">
      <c r="CZ5472" s="256"/>
      <c r="DG5472" s="256"/>
    </row>
    <row r="5473" spans="104:111">
      <c r="CZ5473" s="256"/>
      <c r="DG5473" s="256"/>
    </row>
    <row r="5474" spans="104:111">
      <c r="CZ5474" s="256"/>
      <c r="DG5474" s="256"/>
    </row>
    <row r="5475" spans="104:111">
      <c r="CZ5475" s="256"/>
      <c r="DG5475" s="256"/>
    </row>
    <row r="5476" spans="104:111">
      <c r="CZ5476" s="256"/>
      <c r="DG5476" s="256"/>
    </row>
    <row r="5477" spans="104:111">
      <c r="CZ5477" s="256"/>
      <c r="DG5477" s="256"/>
    </row>
    <row r="5478" spans="104:111">
      <c r="CZ5478" s="256"/>
      <c r="DG5478" s="256"/>
    </row>
    <row r="5479" spans="104:111">
      <c r="CZ5479" s="256"/>
      <c r="DG5479" s="256"/>
    </row>
    <row r="5480" spans="104:111">
      <c r="CZ5480" s="256"/>
      <c r="DG5480" s="256"/>
    </row>
    <row r="5481" spans="104:111">
      <c r="CZ5481" s="256"/>
      <c r="DG5481" s="256"/>
    </row>
    <row r="5482" spans="104:111">
      <c r="CZ5482" s="256"/>
      <c r="DG5482" s="256"/>
    </row>
    <row r="5483" spans="104:111">
      <c r="CZ5483" s="256"/>
      <c r="DG5483" s="256"/>
    </row>
    <row r="5484" spans="104:111">
      <c r="CZ5484" s="256"/>
      <c r="DG5484" s="256"/>
    </row>
    <row r="5485" spans="104:111">
      <c r="CZ5485" s="256"/>
      <c r="DG5485" s="256"/>
    </row>
    <row r="5486" spans="104:111">
      <c r="CZ5486" s="256"/>
      <c r="DG5486" s="256"/>
    </row>
    <row r="5487" spans="104:111">
      <c r="CZ5487" s="256"/>
      <c r="DG5487" s="256"/>
    </row>
    <row r="5488" spans="104:111">
      <c r="CZ5488" s="256"/>
      <c r="DG5488" s="256"/>
    </row>
    <row r="5489" spans="104:111">
      <c r="CZ5489" s="256"/>
      <c r="DG5489" s="256"/>
    </row>
    <row r="5490" spans="104:111">
      <c r="CZ5490" s="256"/>
      <c r="DG5490" s="256"/>
    </row>
    <row r="5491" spans="104:111">
      <c r="CZ5491" s="256"/>
      <c r="DG5491" s="256"/>
    </row>
    <row r="5492" spans="104:111">
      <c r="CZ5492" s="256"/>
      <c r="DG5492" s="256"/>
    </row>
    <row r="5493" spans="104:111">
      <c r="CZ5493" s="256"/>
      <c r="DG5493" s="256"/>
    </row>
    <row r="5494" spans="104:111">
      <c r="CZ5494" s="256"/>
      <c r="DG5494" s="256"/>
    </row>
    <row r="5495" spans="104:111">
      <c r="CZ5495" s="256"/>
      <c r="DG5495" s="256"/>
    </row>
    <row r="5496" spans="104:111">
      <c r="CZ5496" s="256"/>
      <c r="DG5496" s="256"/>
    </row>
    <row r="5497" spans="104:111">
      <c r="CZ5497" s="256"/>
      <c r="DG5497" s="256"/>
    </row>
    <row r="5498" spans="104:111">
      <c r="CZ5498" s="256"/>
      <c r="DG5498" s="256"/>
    </row>
    <row r="5499" spans="104:111">
      <c r="CZ5499" s="256"/>
      <c r="DG5499" s="256"/>
    </row>
    <row r="5500" spans="104:111">
      <c r="CZ5500" s="256"/>
      <c r="DG5500" s="256"/>
    </row>
    <row r="5501" spans="104:111">
      <c r="CZ5501" s="256"/>
      <c r="DG5501" s="256"/>
    </row>
    <row r="5502" spans="104:111">
      <c r="CZ5502" s="256"/>
      <c r="DG5502" s="256"/>
    </row>
    <row r="5503" spans="104:111">
      <c r="CZ5503" s="256"/>
      <c r="DG5503" s="256"/>
    </row>
    <row r="5504" spans="104:111">
      <c r="CZ5504" s="256"/>
      <c r="DG5504" s="256"/>
    </row>
    <row r="5505" spans="104:111">
      <c r="CZ5505" s="256"/>
      <c r="DG5505" s="256"/>
    </row>
    <row r="5506" spans="104:111">
      <c r="CZ5506" s="256"/>
      <c r="DG5506" s="256"/>
    </row>
    <row r="5507" spans="104:111">
      <c r="CZ5507" s="256"/>
      <c r="DG5507" s="256"/>
    </row>
    <row r="5508" spans="104:111">
      <c r="CZ5508" s="256"/>
      <c r="DG5508" s="256"/>
    </row>
    <row r="5509" spans="104:111">
      <c r="CZ5509" s="256"/>
      <c r="DG5509" s="256"/>
    </row>
    <row r="5510" spans="104:111">
      <c r="CZ5510" s="256"/>
      <c r="DG5510" s="256"/>
    </row>
    <row r="5511" spans="104:111">
      <c r="CZ5511" s="256"/>
      <c r="DG5511" s="256"/>
    </row>
    <row r="5512" spans="104:111">
      <c r="CZ5512" s="256"/>
      <c r="DG5512" s="256"/>
    </row>
    <row r="5513" spans="104:111">
      <c r="CZ5513" s="256"/>
      <c r="DG5513" s="256"/>
    </row>
    <row r="5514" spans="104:111">
      <c r="CZ5514" s="256"/>
      <c r="DG5514" s="256"/>
    </row>
    <row r="5515" spans="104:111">
      <c r="CZ5515" s="256"/>
      <c r="DG5515" s="256"/>
    </row>
    <row r="5516" spans="104:111">
      <c r="CZ5516" s="256"/>
      <c r="DG5516" s="256"/>
    </row>
    <row r="5517" spans="104:111">
      <c r="CZ5517" s="256"/>
      <c r="DG5517" s="256"/>
    </row>
    <row r="5518" spans="104:111">
      <c r="CZ5518" s="256"/>
      <c r="DG5518" s="256"/>
    </row>
    <row r="5519" spans="104:111">
      <c r="CZ5519" s="256"/>
      <c r="DG5519" s="256"/>
    </row>
    <row r="5520" spans="104:111">
      <c r="CZ5520" s="256"/>
      <c r="DG5520" s="256"/>
    </row>
    <row r="5521" spans="104:111">
      <c r="CZ5521" s="256"/>
      <c r="DG5521" s="256"/>
    </row>
    <row r="5522" spans="104:111">
      <c r="CZ5522" s="256"/>
      <c r="DG5522" s="256"/>
    </row>
    <row r="5523" spans="104:111">
      <c r="CZ5523" s="256"/>
      <c r="DG5523" s="256"/>
    </row>
    <row r="5524" spans="104:111">
      <c r="CZ5524" s="256"/>
      <c r="DG5524" s="256"/>
    </row>
    <row r="5525" spans="104:111">
      <c r="CZ5525" s="256"/>
      <c r="DG5525" s="256"/>
    </row>
    <row r="5526" spans="104:111">
      <c r="CZ5526" s="256"/>
      <c r="DG5526" s="256"/>
    </row>
    <row r="5527" spans="104:111">
      <c r="CZ5527" s="256"/>
      <c r="DG5527" s="256"/>
    </row>
    <row r="5528" spans="104:111">
      <c r="CZ5528" s="256"/>
      <c r="DG5528" s="256"/>
    </row>
    <row r="5529" spans="104:111">
      <c r="CZ5529" s="256"/>
      <c r="DG5529" s="256"/>
    </row>
    <row r="5530" spans="104:111">
      <c r="CZ5530" s="256"/>
      <c r="DG5530" s="256"/>
    </row>
    <row r="5531" spans="104:111">
      <c r="CZ5531" s="256"/>
      <c r="DG5531" s="256"/>
    </row>
    <row r="5532" spans="104:111">
      <c r="CZ5532" s="256"/>
      <c r="DG5532" s="256"/>
    </row>
    <row r="5533" spans="104:111">
      <c r="CZ5533" s="256"/>
      <c r="DG5533" s="256"/>
    </row>
    <row r="5534" spans="104:111">
      <c r="CZ5534" s="256"/>
      <c r="DG5534" s="256"/>
    </row>
    <row r="5535" spans="104:111">
      <c r="CZ5535" s="256"/>
      <c r="DG5535" s="256"/>
    </row>
    <row r="5536" spans="104:111">
      <c r="CZ5536" s="256"/>
      <c r="DG5536" s="256"/>
    </row>
    <row r="5537" spans="104:111">
      <c r="CZ5537" s="256"/>
      <c r="DG5537" s="256"/>
    </row>
    <row r="5538" spans="104:111">
      <c r="CZ5538" s="256"/>
      <c r="DG5538" s="256"/>
    </row>
    <row r="5539" spans="104:111">
      <c r="CZ5539" s="256"/>
      <c r="DG5539" s="256"/>
    </row>
    <row r="5540" spans="104:111">
      <c r="CZ5540" s="256"/>
      <c r="DG5540" s="256"/>
    </row>
    <row r="5541" spans="104:111">
      <c r="CZ5541" s="256"/>
      <c r="DG5541" s="256"/>
    </row>
    <row r="5542" spans="104:111">
      <c r="CZ5542" s="256"/>
      <c r="DG5542" s="256"/>
    </row>
    <row r="5543" spans="104:111">
      <c r="CZ5543" s="256"/>
      <c r="DG5543" s="256"/>
    </row>
    <row r="5544" spans="104:111">
      <c r="CZ5544" s="256"/>
      <c r="DG5544" s="256"/>
    </row>
    <row r="5545" spans="104:111">
      <c r="CZ5545" s="256"/>
      <c r="DG5545" s="256"/>
    </row>
    <row r="5546" spans="104:111">
      <c r="CZ5546" s="256"/>
      <c r="DG5546" s="256"/>
    </row>
    <row r="5547" spans="104:111">
      <c r="CZ5547" s="256"/>
      <c r="DG5547" s="256"/>
    </row>
    <row r="5548" spans="104:111">
      <c r="CZ5548" s="256"/>
      <c r="DG5548" s="256"/>
    </row>
    <row r="5549" spans="104:111">
      <c r="CZ5549" s="256"/>
      <c r="DG5549" s="256"/>
    </row>
    <row r="5550" spans="104:111">
      <c r="CZ5550" s="256"/>
      <c r="DG5550" s="256"/>
    </row>
    <row r="5551" spans="104:111">
      <c r="CZ5551" s="256"/>
      <c r="DG5551" s="256"/>
    </row>
    <row r="5552" spans="104:111">
      <c r="CZ5552" s="256"/>
      <c r="DG5552" s="256"/>
    </row>
    <row r="5553" spans="104:111">
      <c r="CZ5553" s="256"/>
      <c r="DG5553" s="256"/>
    </row>
    <row r="5554" spans="104:111">
      <c r="CZ5554" s="256"/>
      <c r="DG5554" s="256"/>
    </row>
    <row r="5555" spans="104:111">
      <c r="CZ5555" s="256"/>
      <c r="DG5555" s="256"/>
    </row>
    <row r="5556" spans="104:111">
      <c r="CZ5556" s="256"/>
      <c r="DG5556" s="256"/>
    </row>
    <row r="5557" spans="104:111">
      <c r="CZ5557" s="256"/>
      <c r="DG5557" s="256"/>
    </row>
    <row r="5558" spans="104:111">
      <c r="CZ5558" s="256"/>
      <c r="DG5558" s="256"/>
    </row>
    <row r="5559" spans="104:111">
      <c r="CZ5559" s="256"/>
      <c r="DG5559" s="256"/>
    </row>
    <row r="5560" spans="104:111">
      <c r="CZ5560" s="256"/>
      <c r="DG5560" s="256"/>
    </row>
    <row r="5561" spans="104:111">
      <c r="CZ5561" s="256"/>
      <c r="DG5561" s="256"/>
    </row>
    <row r="5562" spans="104:111">
      <c r="CZ5562" s="256"/>
      <c r="DG5562" s="256"/>
    </row>
    <row r="5563" spans="104:111">
      <c r="CZ5563" s="256"/>
      <c r="DG5563" s="256"/>
    </row>
    <row r="5564" spans="104:111">
      <c r="CZ5564" s="256"/>
      <c r="DG5564" s="256"/>
    </row>
    <row r="5565" spans="104:111">
      <c r="CZ5565" s="256"/>
      <c r="DG5565" s="256"/>
    </row>
    <row r="5566" spans="104:111">
      <c r="CZ5566" s="256"/>
      <c r="DG5566" s="256"/>
    </row>
    <row r="5567" spans="104:111">
      <c r="CZ5567" s="256"/>
      <c r="DG5567" s="256"/>
    </row>
    <row r="5568" spans="104:111">
      <c r="CZ5568" s="256"/>
      <c r="DG5568" s="256"/>
    </row>
    <row r="5569" spans="104:111">
      <c r="CZ5569" s="256"/>
      <c r="DG5569" s="256"/>
    </row>
    <row r="5570" spans="104:111">
      <c r="CZ5570" s="256"/>
      <c r="DG5570" s="256"/>
    </row>
    <row r="5571" spans="104:111">
      <c r="CZ5571" s="256"/>
      <c r="DG5571" s="256"/>
    </row>
    <row r="5572" spans="104:111">
      <c r="CZ5572" s="256"/>
      <c r="DG5572" s="256"/>
    </row>
    <row r="5573" spans="104:111">
      <c r="CZ5573" s="256"/>
      <c r="DG5573" s="256"/>
    </row>
    <row r="5574" spans="104:111">
      <c r="CZ5574" s="256"/>
      <c r="DG5574" s="256"/>
    </row>
    <row r="5575" spans="104:111">
      <c r="CZ5575" s="256"/>
      <c r="DG5575" s="256"/>
    </row>
    <row r="5576" spans="104:111">
      <c r="CZ5576" s="256"/>
      <c r="DG5576" s="256"/>
    </row>
    <row r="5577" spans="104:111">
      <c r="CZ5577" s="256"/>
      <c r="DG5577" s="256"/>
    </row>
    <row r="5578" spans="104:111">
      <c r="CZ5578" s="256"/>
      <c r="DG5578" s="256"/>
    </row>
    <row r="5579" spans="104:111">
      <c r="CZ5579" s="256"/>
      <c r="DG5579" s="256"/>
    </row>
    <row r="5580" spans="104:111">
      <c r="CZ5580" s="256"/>
      <c r="DG5580" s="256"/>
    </row>
    <row r="5581" spans="104:111">
      <c r="CZ5581" s="256"/>
      <c r="DG5581" s="256"/>
    </row>
    <row r="5582" spans="104:111">
      <c r="CZ5582" s="256"/>
      <c r="DG5582" s="256"/>
    </row>
    <row r="5583" spans="104:111">
      <c r="CZ5583" s="256"/>
      <c r="DG5583" s="256"/>
    </row>
    <row r="5584" spans="104:111">
      <c r="CZ5584" s="256"/>
      <c r="DG5584" s="256"/>
    </row>
    <row r="5585" spans="104:111">
      <c r="CZ5585" s="256"/>
      <c r="DG5585" s="256"/>
    </row>
    <row r="5586" spans="104:111">
      <c r="CZ5586" s="256"/>
      <c r="DG5586" s="256"/>
    </row>
    <row r="5587" spans="104:111">
      <c r="CZ5587" s="256"/>
      <c r="DG5587" s="256"/>
    </row>
    <row r="5588" spans="104:111">
      <c r="CZ5588" s="256"/>
      <c r="DG5588" s="256"/>
    </row>
    <row r="5589" spans="104:111">
      <c r="CZ5589" s="256"/>
      <c r="DG5589" s="256"/>
    </row>
    <row r="5590" spans="104:111">
      <c r="CZ5590" s="256"/>
      <c r="DG5590" s="256"/>
    </row>
    <row r="5591" spans="104:111">
      <c r="CZ5591" s="256"/>
      <c r="DG5591" s="256"/>
    </row>
    <row r="5592" spans="104:111">
      <c r="CZ5592" s="256"/>
      <c r="DG5592" s="256"/>
    </row>
    <row r="5593" spans="104:111">
      <c r="CZ5593" s="256"/>
      <c r="DG5593" s="256"/>
    </row>
    <row r="5594" spans="104:111">
      <c r="CZ5594" s="256"/>
      <c r="DG5594" s="256"/>
    </row>
    <row r="5595" spans="104:111">
      <c r="CZ5595" s="256"/>
      <c r="DG5595" s="256"/>
    </row>
    <row r="5596" spans="104:111">
      <c r="CZ5596" s="256"/>
      <c r="DG5596" s="256"/>
    </row>
    <row r="5597" spans="104:111">
      <c r="CZ5597" s="256"/>
      <c r="DG5597" s="256"/>
    </row>
    <row r="5598" spans="104:111">
      <c r="CZ5598" s="256"/>
      <c r="DG5598" s="256"/>
    </row>
    <row r="5599" spans="104:111">
      <c r="CZ5599" s="256"/>
      <c r="DG5599" s="256"/>
    </row>
    <row r="5600" spans="104:111">
      <c r="CZ5600" s="256"/>
      <c r="DG5600" s="256"/>
    </row>
    <row r="5601" spans="104:111">
      <c r="CZ5601" s="256"/>
      <c r="DG5601" s="256"/>
    </row>
    <row r="5602" spans="104:111">
      <c r="CZ5602" s="256"/>
      <c r="DG5602" s="256"/>
    </row>
    <row r="5603" spans="104:111">
      <c r="CZ5603" s="256"/>
      <c r="DG5603" s="256"/>
    </row>
    <row r="5604" spans="104:111">
      <c r="CZ5604" s="256"/>
      <c r="DG5604" s="256"/>
    </row>
    <row r="5605" spans="104:111">
      <c r="CZ5605" s="256"/>
      <c r="DG5605" s="256"/>
    </row>
    <row r="5606" spans="104:111">
      <c r="CZ5606" s="256"/>
      <c r="DG5606" s="256"/>
    </row>
    <row r="5607" spans="104:111">
      <c r="CZ5607" s="256"/>
      <c r="DG5607" s="256"/>
    </row>
    <row r="5608" spans="104:111">
      <c r="CZ5608" s="256"/>
      <c r="DG5608" s="256"/>
    </row>
    <row r="5609" spans="104:111">
      <c r="CZ5609" s="256"/>
      <c r="DG5609" s="256"/>
    </row>
    <row r="5610" spans="104:111">
      <c r="CZ5610" s="256"/>
      <c r="DG5610" s="256"/>
    </row>
    <row r="5611" spans="104:111">
      <c r="CZ5611" s="256"/>
      <c r="DG5611" s="256"/>
    </row>
    <row r="5612" spans="104:111">
      <c r="CZ5612" s="256"/>
      <c r="DG5612" s="256"/>
    </row>
    <row r="5613" spans="104:111">
      <c r="CZ5613" s="256"/>
      <c r="DG5613" s="256"/>
    </row>
    <row r="5614" spans="104:111">
      <c r="CZ5614" s="256"/>
      <c r="DG5614" s="256"/>
    </row>
    <row r="5615" spans="104:111">
      <c r="CZ5615" s="256"/>
      <c r="DG5615" s="256"/>
    </row>
    <row r="5616" spans="104:111">
      <c r="CZ5616" s="256"/>
      <c r="DG5616" s="256"/>
    </row>
    <row r="5617" spans="104:111">
      <c r="CZ5617" s="256"/>
      <c r="DG5617" s="256"/>
    </row>
    <row r="5618" spans="104:111">
      <c r="CZ5618" s="256"/>
      <c r="DG5618" s="256"/>
    </row>
    <row r="5619" spans="104:111">
      <c r="CZ5619" s="256"/>
      <c r="DG5619" s="256"/>
    </row>
    <row r="5620" spans="104:111">
      <c r="CZ5620" s="256"/>
      <c r="DG5620" s="256"/>
    </row>
    <row r="5621" spans="104:111">
      <c r="CZ5621" s="256"/>
      <c r="DG5621" s="256"/>
    </row>
    <row r="5622" spans="104:111">
      <c r="CZ5622" s="256"/>
      <c r="DG5622" s="256"/>
    </row>
    <row r="5623" spans="104:111">
      <c r="CZ5623" s="256"/>
      <c r="DG5623" s="256"/>
    </row>
    <row r="5624" spans="104:111">
      <c r="CZ5624" s="256"/>
      <c r="DG5624" s="256"/>
    </row>
    <row r="5625" spans="104:111">
      <c r="CZ5625" s="256"/>
      <c r="DG5625" s="256"/>
    </row>
    <row r="5626" spans="104:111">
      <c r="CZ5626" s="256"/>
      <c r="DG5626" s="256"/>
    </row>
    <row r="5627" spans="104:111">
      <c r="CZ5627" s="256"/>
      <c r="DG5627" s="256"/>
    </row>
    <row r="5628" spans="104:111">
      <c r="CZ5628" s="256"/>
      <c r="DG5628" s="256"/>
    </row>
    <row r="5629" spans="104:111">
      <c r="CZ5629" s="256"/>
      <c r="DG5629" s="256"/>
    </row>
    <row r="5630" spans="104:111">
      <c r="CZ5630" s="256"/>
      <c r="DG5630" s="256"/>
    </row>
    <row r="5631" spans="104:111">
      <c r="CZ5631" s="256"/>
      <c r="DG5631" s="256"/>
    </row>
    <row r="5632" spans="104:111">
      <c r="CZ5632" s="256"/>
      <c r="DG5632" s="256"/>
    </row>
    <row r="5633" spans="104:111">
      <c r="CZ5633" s="256"/>
      <c r="DG5633" s="256"/>
    </row>
    <row r="5634" spans="104:111">
      <c r="CZ5634" s="256"/>
      <c r="DG5634" s="256"/>
    </row>
    <row r="5635" spans="104:111">
      <c r="CZ5635" s="256"/>
      <c r="DG5635" s="256"/>
    </row>
    <row r="5636" spans="104:111">
      <c r="CZ5636" s="256"/>
      <c r="DG5636" s="256"/>
    </row>
    <row r="5637" spans="104:111">
      <c r="CZ5637" s="256"/>
      <c r="DG5637" s="256"/>
    </row>
    <row r="5638" spans="104:111">
      <c r="CZ5638" s="256"/>
      <c r="DG5638" s="256"/>
    </row>
    <row r="5639" spans="104:111">
      <c r="CZ5639" s="256"/>
      <c r="DG5639" s="256"/>
    </row>
    <row r="5640" spans="104:111">
      <c r="CZ5640" s="256"/>
      <c r="DG5640" s="256"/>
    </row>
    <row r="5641" spans="104:111">
      <c r="CZ5641" s="256"/>
      <c r="DG5641" s="256"/>
    </row>
    <row r="5642" spans="104:111">
      <c r="CZ5642" s="256"/>
      <c r="DG5642" s="256"/>
    </row>
    <row r="5643" spans="104:111">
      <c r="CZ5643" s="256"/>
      <c r="DG5643" s="256"/>
    </row>
    <row r="5644" spans="104:111">
      <c r="CZ5644" s="256"/>
      <c r="DG5644" s="256"/>
    </row>
    <row r="5645" spans="104:111">
      <c r="CZ5645" s="256"/>
      <c r="DG5645" s="256"/>
    </row>
    <row r="5646" spans="104:111">
      <c r="CZ5646" s="256"/>
      <c r="DG5646" s="256"/>
    </row>
    <row r="5647" spans="104:111">
      <c r="CZ5647" s="256"/>
      <c r="DG5647" s="256"/>
    </row>
    <row r="5648" spans="104:111">
      <c r="CZ5648" s="256"/>
      <c r="DG5648" s="256"/>
    </row>
    <row r="5649" spans="104:111">
      <c r="CZ5649" s="256"/>
      <c r="DG5649" s="256"/>
    </row>
    <row r="5650" spans="104:111">
      <c r="CZ5650" s="256"/>
      <c r="DG5650" s="256"/>
    </row>
    <row r="5651" spans="104:111">
      <c r="CZ5651" s="256"/>
      <c r="DG5651" s="256"/>
    </row>
    <row r="5652" spans="104:111">
      <c r="CZ5652" s="256"/>
      <c r="DG5652" s="256"/>
    </row>
    <row r="5653" spans="104:111">
      <c r="CZ5653" s="256"/>
      <c r="DG5653" s="256"/>
    </row>
    <row r="5654" spans="104:111">
      <c r="CZ5654" s="256"/>
      <c r="DG5654" s="256"/>
    </row>
    <row r="5655" spans="104:111">
      <c r="CZ5655" s="256"/>
      <c r="DG5655" s="256"/>
    </row>
    <row r="5656" spans="104:111">
      <c r="CZ5656" s="256"/>
      <c r="DG5656" s="256"/>
    </row>
    <row r="5657" spans="104:111">
      <c r="CZ5657" s="256"/>
      <c r="DG5657" s="256"/>
    </row>
    <row r="5658" spans="104:111">
      <c r="CZ5658" s="256"/>
      <c r="DG5658" s="256"/>
    </row>
    <row r="5659" spans="104:111">
      <c r="CZ5659" s="256"/>
      <c r="DG5659" s="256"/>
    </row>
    <row r="5660" spans="104:111">
      <c r="CZ5660" s="256"/>
      <c r="DG5660" s="256"/>
    </row>
    <row r="5661" spans="104:111">
      <c r="CZ5661" s="256"/>
      <c r="DG5661" s="256"/>
    </row>
    <row r="5662" spans="104:111">
      <c r="CZ5662" s="256"/>
      <c r="DG5662" s="256"/>
    </row>
    <row r="5663" spans="104:111">
      <c r="CZ5663" s="256"/>
      <c r="DG5663" s="256"/>
    </row>
    <row r="5664" spans="104:111">
      <c r="CZ5664" s="256"/>
      <c r="DG5664" s="256"/>
    </row>
    <row r="5665" spans="104:111">
      <c r="CZ5665" s="256"/>
      <c r="DG5665" s="256"/>
    </row>
    <row r="5666" spans="104:111">
      <c r="CZ5666" s="256"/>
      <c r="DG5666" s="256"/>
    </row>
    <row r="5667" spans="104:111">
      <c r="CZ5667" s="256"/>
      <c r="DG5667" s="256"/>
    </row>
    <row r="5668" spans="104:111">
      <c r="CZ5668" s="256"/>
      <c r="DG5668" s="256"/>
    </row>
    <row r="5669" spans="104:111">
      <c r="CZ5669" s="256"/>
      <c r="DG5669" s="256"/>
    </row>
    <row r="5670" spans="104:111">
      <c r="CZ5670" s="256"/>
      <c r="DG5670" s="256"/>
    </row>
    <row r="5671" spans="104:111">
      <c r="CZ5671" s="256"/>
      <c r="DG5671" s="256"/>
    </row>
    <row r="5672" spans="104:111">
      <c r="CZ5672" s="256"/>
      <c r="DG5672" s="256"/>
    </row>
    <row r="5673" spans="104:111">
      <c r="CZ5673" s="256"/>
      <c r="DG5673" s="256"/>
    </row>
    <row r="5674" spans="104:111">
      <c r="CZ5674" s="256"/>
      <c r="DG5674" s="256"/>
    </row>
    <row r="5675" spans="104:111">
      <c r="CZ5675" s="256"/>
      <c r="DG5675" s="256"/>
    </row>
    <row r="5676" spans="104:111">
      <c r="CZ5676" s="256"/>
      <c r="DG5676" s="256"/>
    </row>
    <row r="5677" spans="104:111">
      <c r="CZ5677" s="256"/>
      <c r="DG5677" s="256"/>
    </row>
    <row r="5678" spans="104:111">
      <c r="CZ5678" s="256"/>
      <c r="DG5678" s="256"/>
    </row>
    <row r="5679" spans="104:111">
      <c r="CZ5679" s="256"/>
      <c r="DG5679" s="256"/>
    </row>
    <row r="5680" spans="104:111">
      <c r="CZ5680" s="256"/>
      <c r="DG5680" s="256"/>
    </row>
    <row r="5681" spans="104:111">
      <c r="CZ5681" s="256"/>
      <c r="DG5681" s="256"/>
    </row>
    <row r="5682" spans="104:111">
      <c r="CZ5682" s="256"/>
      <c r="DG5682" s="256"/>
    </row>
    <row r="5683" spans="104:111">
      <c r="CZ5683" s="256"/>
      <c r="DG5683" s="256"/>
    </row>
    <row r="5684" spans="104:111">
      <c r="CZ5684" s="256"/>
      <c r="DG5684" s="256"/>
    </row>
    <row r="5685" spans="104:111">
      <c r="CZ5685" s="256"/>
      <c r="DG5685" s="256"/>
    </row>
    <row r="5686" spans="104:111">
      <c r="CZ5686" s="256"/>
      <c r="DG5686" s="256"/>
    </row>
    <row r="5687" spans="104:111">
      <c r="CZ5687" s="256"/>
      <c r="DG5687" s="256"/>
    </row>
    <row r="5688" spans="104:111">
      <c r="CZ5688" s="256"/>
      <c r="DG5688" s="256"/>
    </row>
    <row r="5689" spans="104:111">
      <c r="CZ5689" s="256"/>
      <c r="DG5689" s="256"/>
    </row>
    <row r="5690" spans="104:111">
      <c r="CZ5690" s="256"/>
      <c r="DG5690" s="256"/>
    </row>
    <row r="5691" spans="104:111">
      <c r="CZ5691" s="256"/>
      <c r="DG5691" s="256"/>
    </row>
    <row r="5692" spans="104:111">
      <c r="CZ5692" s="256"/>
      <c r="DG5692" s="256"/>
    </row>
    <row r="5693" spans="104:111">
      <c r="CZ5693" s="256"/>
      <c r="DG5693" s="256"/>
    </row>
    <row r="5694" spans="104:111">
      <c r="CZ5694" s="256"/>
      <c r="DG5694" s="256"/>
    </row>
    <row r="5695" spans="104:111">
      <c r="CZ5695" s="256"/>
      <c r="DG5695" s="256"/>
    </row>
    <row r="5696" spans="104:111">
      <c r="CZ5696" s="256"/>
      <c r="DG5696" s="256"/>
    </row>
    <row r="5697" spans="104:111">
      <c r="CZ5697" s="256"/>
      <c r="DG5697" s="256"/>
    </row>
    <row r="5698" spans="104:111">
      <c r="CZ5698" s="256"/>
      <c r="DG5698" s="256"/>
    </row>
    <row r="5699" spans="104:111">
      <c r="CZ5699" s="256"/>
      <c r="DG5699" s="256"/>
    </row>
    <row r="5700" spans="104:111">
      <c r="CZ5700" s="256"/>
      <c r="DG5700" s="256"/>
    </row>
    <row r="5701" spans="104:111">
      <c r="CZ5701" s="256"/>
      <c r="DG5701" s="256"/>
    </row>
    <row r="5702" spans="104:111">
      <c r="CZ5702" s="256"/>
      <c r="DG5702" s="256"/>
    </row>
    <row r="5703" spans="104:111">
      <c r="CZ5703" s="256"/>
      <c r="DG5703" s="256"/>
    </row>
    <row r="5704" spans="104:111">
      <c r="CZ5704" s="256"/>
      <c r="DG5704" s="256"/>
    </row>
    <row r="5705" spans="104:111">
      <c r="CZ5705" s="256"/>
      <c r="DG5705" s="256"/>
    </row>
    <row r="5706" spans="104:111">
      <c r="CZ5706" s="256"/>
      <c r="DG5706" s="256"/>
    </row>
    <row r="5707" spans="104:111">
      <c r="CZ5707" s="256"/>
      <c r="DG5707" s="256"/>
    </row>
    <row r="5708" spans="104:111">
      <c r="CZ5708" s="256"/>
      <c r="DG5708" s="256"/>
    </row>
    <row r="5709" spans="104:111">
      <c r="CZ5709" s="256"/>
      <c r="DG5709" s="256"/>
    </row>
    <row r="5710" spans="104:111">
      <c r="CZ5710" s="256"/>
      <c r="DG5710" s="256"/>
    </row>
    <row r="5711" spans="104:111">
      <c r="CZ5711" s="256"/>
      <c r="DG5711" s="256"/>
    </row>
    <row r="5712" spans="104:111">
      <c r="CZ5712" s="256"/>
      <c r="DG5712" s="256"/>
    </row>
    <row r="5713" spans="104:111">
      <c r="CZ5713" s="256"/>
      <c r="DG5713" s="256"/>
    </row>
    <row r="5714" spans="104:111">
      <c r="CZ5714" s="256"/>
      <c r="DG5714" s="256"/>
    </row>
    <row r="5715" spans="104:111">
      <c r="CZ5715" s="256"/>
      <c r="DG5715" s="256"/>
    </row>
    <row r="5716" spans="104:111">
      <c r="CZ5716" s="256"/>
      <c r="DG5716" s="256"/>
    </row>
    <row r="5717" spans="104:111">
      <c r="CZ5717" s="256"/>
      <c r="DG5717" s="256"/>
    </row>
    <row r="5718" spans="104:111">
      <c r="CZ5718" s="256"/>
      <c r="DG5718" s="256"/>
    </row>
    <row r="5719" spans="104:111">
      <c r="CZ5719" s="256"/>
      <c r="DG5719" s="256"/>
    </row>
    <row r="5720" spans="104:111">
      <c r="CZ5720" s="256"/>
      <c r="DG5720" s="256"/>
    </row>
    <row r="5721" spans="104:111">
      <c r="CZ5721" s="256"/>
      <c r="DG5721" s="256"/>
    </row>
    <row r="5722" spans="104:111">
      <c r="CZ5722" s="256"/>
      <c r="DG5722" s="256"/>
    </row>
    <row r="5723" spans="104:111">
      <c r="CZ5723" s="256"/>
      <c r="DG5723" s="256"/>
    </row>
    <row r="5724" spans="104:111">
      <c r="CZ5724" s="256"/>
      <c r="DG5724" s="256"/>
    </row>
    <row r="5725" spans="104:111">
      <c r="CZ5725" s="256"/>
      <c r="DG5725" s="256"/>
    </row>
    <row r="5726" spans="104:111">
      <c r="CZ5726" s="256"/>
      <c r="DG5726" s="256"/>
    </row>
    <row r="5727" spans="104:111">
      <c r="CZ5727" s="256"/>
      <c r="DG5727" s="256"/>
    </row>
    <row r="5728" spans="104:111">
      <c r="CZ5728" s="256"/>
      <c r="DG5728" s="256"/>
    </row>
    <row r="5729" spans="104:111">
      <c r="CZ5729" s="256"/>
      <c r="DG5729" s="256"/>
    </row>
    <row r="5730" spans="104:111">
      <c r="CZ5730" s="256"/>
      <c r="DG5730" s="256"/>
    </row>
    <row r="5731" spans="104:111">
      <c r="CZ5731" s="256"/>
      <c r="DG5731" s="256"/>
    </row>
    <row r="5732" spans="104:111">
      <c r="CZ5732" s="256"/>
      <c r="DG5732" s="256"/>
    </row>
    <row r="5733" spans="104:111">
      <c r="CZ5733" s="256"/>
      <c r="DG5733" s="256"/>
    </row>
    <row r="5734" spans="104:111">
      <c r="CZ5734" s="256"/>
      <c r="DG5734" s="256"/>
    </row>
    <row r="5735" spans="104:111">
      <c r="CZ5735" s="256"/>
      <c r="DG5735" s="256"/>
    </row>
    <row r="5736" spans="104:111">
      <c r="CZ5736" s="256"/>
      <c r="DG5736" s="256"/>
    </row>
    <row r="5737" spans="104:111">
      <c r="CZ5737" s="256"/>
      <c r="DG5737" s="256"/>
    </row>
    <row r="5738" spans="104:111">
      <c r="CZ5738" s="256"/>
      <c r="DG5738" s="256"/>
    </row>
    <row r="5739" spans="104:111">
      <c r="CZ5739" s="256"/>
      <c r="DG5739" s="256"/>
    </row>
    <row r="5740" spans="104:111">
      <c r="CZ5740" s="256"/>
      <c r="DG5740" s="256"/>
    </row>
    <row r="5741" spans="104:111">
      <c r="CZ5741" s="256"/>
      <c r="DG5741" s="256"/>
    </row>
    <row r="5742" spans="104:111">
      <c r="CZ5742" s="256"/>
      <c r="DG5742" s="256"/>
    </row>
    <row r="5743" spans="104:111">
      <c r="CZ5743" s="256"/>
      <c r="DG5743" s="256"/>
    </row>
    <row r="5744" spans="104:111">
      <c r="CZ5744" s="256"/>
      <c r="DG5744" s="256"/>
    </row>
    <row r="5745" spans="104:111">
      <c r="CZ5745" s="256"/>
      <c r="DG5745" s="256"/>
    </row>
    <row r="5746" spans="104:111">
      <c r="CZ5746" s="256"/>
      <c r="DG5746" s="256"/>
    </row>
    <row r="5747" spans="104:111">
      <c r="CZ5747" s="256"/>
      <c r="DG5747" s="256"/>
    </row>
    <row r="5748" spans="104:111">
      <c r="CZ5748" s="256"/>
      <c r="DG5748" s="256"/>
    </row>
    <row r="5749" spans="104:111">
      <c r="CZ5749" s="256"/>
      <c r="DG5749" s="256"/>
    </row>
    <row r="5750" spans="104:111">
      <c r="CZ5750" s="256"/>
      <c r="DG5750" s="256"/>
    </row>
    <row r="5751" spans="104:111">
      <c r="CZ5751" s="256"/>
      <c r="DG5751" s="256"/>
    </row>
    <row r="5752" spans="104:111">
      <c r="CZ5752" s="256"/>
      <c r="DG5752" s="256"/>
    </row>
    <row r="5753" spans="104:111">
      <c r="CZ5753" s="256"/>
      <c r="DG5753" s="256"/>
    </row>
    <row r="5754" spans="104:111">
      <c r="CZ5754" s="256"/>
      <c r="DG5754" s="256"/>
    </row>
    <row r="5755" spans="104:111">
      <c r="CZ5755" s="256"/>
      <c r="DG5755" s="256"/>
    </row>
    <row r="5756" spans="104:111">
      <c r="CZ5756" s="256"/>
      <c r="DG5756" s="256"/>
    </row>
    <row r="5757" spans="104:111">
      <c r="CZ5757" s="256"/>
      <c r="DG5757" s="256"/>
    </row>
    <row r="5758" spans="104:111">
      <c r="CZ5758" s="256"/>
      <c r="DG5758" s="256"/>
    </row>
    <row r="5759" spans="104:111">
      <c r="CZ5759" s="256"/>
      <c r="DG5759" s="256"/>
    </row>
    <row r="5760" spans="104:111">
      <c r="CZ5760" s="256"/>
      <c r="DG5760" s="256"/>
    </row>
    <row r="5761" spans="104:111">
      <c r="CZ5761" s="256"/>
      <c r="DG5761" s="256"/>
    </row>
    <row r="5762" spans="104:111">
      <c r="CZ5762" s="256"/>
      <c r="DG5762" s="256"/>
    </row>
    <row r="5763" spans="104:111">
      <c r="CZ5763" s="256"/>
      <c r="DG5763" s="256"/>
    </row>
    <row r="5764" spans="104:111">
      <c r="CZ5764" s="256"/>
      <c r="DG5764" s="256"/>
    </row>
    <row r="5765" spans="104:111">
      <c r="CZ5765" s="256"/>
      <c r="DG5765" s="256"/>
    </row>
    <row r="5766" spans="104:111">
      <c r="CZ5766" s="256"/>
      <c r="DG5766" s="256"/>
    </row>
    <row r="5767" spans="104:111">
      <c r="CZ5767" s="256"/>
      <c r="DG5767" s="256"/>
    </row>
    <row r="5768" spans="104:111">
      <c r="CZ5768" s="256"/>
      <c r="DG5768" s="256"/>
    </row>
    <row r="5769" spans="104:111">
      <c r="CZ5769" s="256"/>
      <c r="DG5769" s="256"/>
    </row>
    <row r="5770" spans="104:111">
      <c r="CZ5770" s="256"/>
      <c r="DG5770" s="256"/>
    </row>
    <row r="5771" spans="104:111">
      <c r="CZ5771" s="256"/>
      <c r="DG5771" s="256"/>
    </row>
    <row r="5772" spans="104:111">
      <c r="CZ5772" s="256"/>
      <c r="DG5772" s="256"/>
    </row>
    <row r="5773" spans="104:111">
      <c r="CZ5773" s="256"/>
      <c r="DG5773" s="256"/>
    </row>
    <row r="5774" spans="104:111">
      <c r="CZ5774" s="256"/>
      <c r="DG5774" s="256"/>
    </row>
    <row r="5775" spans="104:111">
      <c r="CZ5775" s="256"/>
      <c r="DG5775" s="256"/>
    </row>
    <row r="5776" spans="104:111">
      <c r="CZ5776" s="256"/>
      <c r="DG5776" s="256"/>
    </row>
    <row r="5777" spans="104:111">
      <c r="CZ5777" s="256"/>
      <c r="DG5777" s="256"/>
    </row>
    <row r="5778" spans="104:111">
      <c r="CZ5778" s="256"/>
      <c r="DG5778" s="256"/>
    </row>
    <row r="5779" spans="104:111">
      <c r="CZ5779" s="256"/>
      <c r="DG5779" s="256"/>
    </row>
    <row r="5780" spans="104:111">
      <c r="CZ5780" s="256"/>
      <c r="DG5780" s="256"/>
    </row>
    <row r="5781" spans="104:111">
      <c r="CZ5781" s="256"/>
      <c r="DG5781" s="256"/>
    </row>
    <row r="5782" spans="104:111">
      <c r="CZ5782" s="256"/>
      <c r="DG5782" s="256"/>
    </row>
    <row r="5783" spans="104:111">
      <c r="CZ5783" s="256"/>
      <c r="DG5783" s="256"/>
    </row>
    <row r="5784" spans="104:111">
      <c r="CZ5784" s="256"/>
      <c r="DG5784" s="256"/>
    </row>
    <row r="5785" spans="104:111">
      <c r="CZ5785" s="256"/>
      <c r="DG5785" s="256"/>
    </row>
    <row r="5786" spans="104:111">
      <c r="CZ5786" s="256"/>
      <c r="DG5786" s="256"/>
    </row>
    <row r="5787" spans="104:111">
      <c r="CZ5787" s="256"/>
      <c r="DG5787" s="256"/>
    </row>
    <row r="5788" spans="104:111">
      <c r="CZ5788" s="256"/>
      <c r="DG5788" s="256"/>
    </row>
    <row r="5789" spans="104:111">
      <c r="CZ5789" s="256"/>
      <c r="DG5789" s="256"/>
    </row>
    <row r="5790" spans="104:111">
      <c r="CZ5790" s="256"/>
      <c r="DG5790" s="256"/>
    </row>
    <row r="5791" spans="104:111">
      <c r="CZ5791" s="256"/>
      <c r="DG5791" s="256"/>
    </row>
    <row r="5792" spans="104:111">
      <c r="CZ5792" s="256"/>
      <c r="DG5792" s="256"/>
    </row>
    <row r="5793" spans="104:111">
      <c r="CZ5793" s="256"/>
      <c r="DG5793" s="256"/>
    </row>
    <row r="5794" spans="104:111">
      <c r="CZ5794" s="256"/>
      <c r="DG5794" s="256"/>
    </row>
    <row r="5795" spans="104:111">
      <c r="CZ5795" s="256"/>
      <c r="DG5795" s="256"/>
    </row>
    <row r="5796" spans="104:111">
      <c r="CZ5796" s="256"/>
      <c r="DG5796" s="256"/>
    </row>
    <row r="5797" spans="104:111">
      <c r="CZ5797" s="256"/>
      <c r="DG5797" s="256"/>
    </row>
    <row r="5798" spans="104:111">
      <c r="CZ5798" s="256"/>
      <c r="DG5798" s="256"/>
    </row>
    <row r="5799" spans="104:111">
      <c r="CZ5799" s="256"/>
      <c r="DG5799" s="256"/>
    </row>
    <row r="5800" spans="104:111">
      <c r="CZ5800" s="256"/>
      <c r="DG5800" s="256"/>
    </row>
    <row r="5801" spans="104:111">
      <c r="CZ5801" s="256"/>
      <c r="DG5801" s="256"/>
    </row>
    <row r="5802" spans="104:111">
      <c r="CZ5802" s="256"/>
      <c r="DG5802" s="256"/>
    </row>
    <row r="5803" spans="104:111">
      <c r="CZ5803" s="256"/>
      <c r="DG5803" s="256"/>
    </row>
    <row r="5804" spans="104:111">
      <c r="CZ5804" s="256"/>
      <c r="DG5804" s="256"/>
    </row>
    <row r="5805" spans="104:111">
      <c r="CZ5805" s="256"/>
      <c r="DG5805" s="256"/>
    </row>
    <row r="5806" spans="104:111">
      <c r="CZ5806" s="256"/>
      <c r="DG5806" s="256"/>
    </row>
    <row r="5807" spans="104:111">
      <c r="CZ5807" s="256"/>
      <c r="DG5807" s="256"/>
    </row>
    <row r="5808" spans="104:111">
      <c r="CZ5808" s="256"/>
      <c r="DG5808" s="256"/>
    </row>
    <row r="5809" spans="104:111">
      <c r="CZ5809" s="256"/>
      <c r="DG5809" s="256"/>
    </row>
    <row r="5810" spans="104:111">
      <c r="CZ5810" s="256"/>
      <c r="DG5810" s="256"/>
    </row>
    <row r="5811" spans="104:111">
      <c r="CZ5811" s="256"/>
      <c r="DG5811" s="256"/>
    </row>
    <row r="5812" spans="104:111">
      <c r="CZ5812" s="256"/>
      <c r="DG5812" s="256"/>
    </row>
    <row r="5813" spans="104:111">
      <c r="CZ5813" s="256"/>
      <c r="DG5813" s="256"/>
    </row>
    <row r="5814" spans="104:111">
      <c r="CZ5814" s="256"/>
      <c r="DG5814" s="256"/>
    </row>
    <row r="5815" spans="104:111">
      <c r="CZ5815" s="256"/>
      <c r="DG5815" s="256"/>
    </row>
    <row r="5816" spans="104:111">
      <c r="CZ5816" s="256"/>
      <c r="DG5816" s="256"/>
    </row>
    <row r="5817" spans="104:111">
      <c r="CZ5817" s="256"/>
      <c r="DG5817" s="256"/>
    </row>
    <row r="5818" spans="104:111">
      <c r="CZ5818" s="256"/>
      <c r="DG5818" s="256"/>
    </row>
    <row r="5819" spans="104:111">
      <c r="CZ5819" s="256"/>
      <c r="DG5819" s="256"/>
    </row>
    <row r="5820" spans="104:111">
      <c r="CZ5820" s="256"/>
      <c r="DG5820" s="256"/>
    </row>
    <row r="5821" spans="104:111">
      <c r="CZ5821" s="256"/>
      <c r="DG5821" s="256"/>
    </row>
    <row r="5822" spans="104:111">
      <c r="CZ5822" s="256"/>
      <c r="DG5822" s="256"/>
    </row>
    <row r="5823" spans="104:111">
      <c r="CZ5823" s="256"/>
      <c r="DG5823" s="256"/>
    </row>
    <row r="5824" spans="104:111">
      <c r="CZ5824" s="256"/>
      <c r="DG5824" s="256"/>
    </row>
    <row r="5825" spans="104:111">
      <c r="CZ5825" s="256"/>
      <c r="DG5825" s="256"/>
    </row>
    <row r="5826" spans="104:111">
      <c r="CZ5826" s="256"/>
      <c r="DG5826" s="256"/>
    </row>
    <row r="5827" spans="104:111">
      <c r="CZ5827" s="256"/>
      <c r="DG5827" s="256"/>
    </row>
    <row r="5828" spans="104:111">
      <c r="CZ5828" s="256"/>
      <c r="DG5828" s="256"/>
    </row>
    <row r="5829" spans="104:111">
      <c r="CZ5829" s="256"/>
      <c r="DG5829" s="256"/>
    </row>
    <row r="5830" spans="104:111">
      <c r="CZ5830" s="256"/>
      <c r="DG5830" s="256"/>
    </row>
    <row r="5831" spans="104:111">
      <c r="CZ5831" s="256"/>
      <c r="DG5831" s="256"/>
    </row>
    <row r="5832" spans="104:111">
      <c r="CZ5832" s="256"/>
      <c r="DG5832" s="256"/>
    </row>
    <row r="5833" spans="104:111">
      <c r="CZ5833" s="256"/>
      <c r="DG5833" s="256"/>
    </row>
    <row r="5834" spans="104:111">
      <c r="CZ5834" s="256"/>
      <c r="DG5834" s="256"/>
    </row>
    <row r="5835" spans="104:111">
      <c r="CZ5835" s="256"/>
      <c r="DG5835" s="256"/>
    </row>
    <row r="5836" spans="104:111">
      <c r="CZ5836" s="256"/>
      <c r="DG5836" s="256"/>
    </row>
    <row r="5837" spans="104:111">
      <c r="CZ5837" s="256"/>
      <c r="DG5837" s="256"/>
    </row>
    <row r="5838" spans="104:111">
      <c r="CZ5838" s="256"/>
      <c r="DG5838" s="256"/>
    </row>
    <row r="5839" spans="104:111">
      <c r="CZ5839" s="256"/>
      <c r="DG5839" s="256"/>
    </row>
    <row r="5840" spans="104:111">
      <c r="CZ5840" s="256"/>
      <c r="DG5840" s="256"/>
    </row>
    <row r="5841" spans="104:111">
      <c r="CZ5841" s="256"/>
      <c r="DG5841" s="256"/>
    </row>
    <row r="5842" spans="104:111">
      <c r="CZ5842" s="256"/>
      <c r="DG5842" s="256"/>
    </row>
    <row r="5843" spans="104:111">
      <c r="CZ5843" s="256"/>
      <c r="DG5843" s="256"/>
    </row>
    <row r="5844" spans="104:111">
      <c r="CZ5844" s="256"/>
      <c r="DG5844" s="256"/>
    </row>
    <row r="5845" spans="104:111">
      <c r="CZ5845" s="256"/>
      <c r="DG5845" s="256"/>
    </row>
    <row r="5846" spans="104:111">
      <c r="CZ5846" s="256"/>
      <c r="DG5846" s="256"/>
    </row>
    <row r="5847" spans="104:111">
      <c r="CZ5847" s="256"/>
      <c r="DG5847" s="256"/>
    </row>
    <row r="5848" spans="104:111">
      <c r="CZ5848" s="256"/>
      <c r="DG5848" s="256"/>
    </row>
    <row r="5849" spans="104:111">
      <c r="CZ5849" s="256"/>
      <c r="DG5849" s="256"/>
    </row>
    <row r="5850" spans="104:111">
      <c r="CZ5850" s="256"/>
      <c r="DG5850" s="256"/>
    </row>
    <row r="5851" spans="104:111">
      <c r="CZ5851" s="256"/>
      <c r="DG5851" s="256"/>
    </row>
    <row r="5852" spans="104:111">
      <c r="CZ5852" s="256"/>
      <c r="DG5852" s="256"/>
    </row>
    <row r="5853" spans="104:111">
      <c r="CZ5853" s="256"/>
      <c r="DG5853" s="256"/>
    </row>
    <row r="5854" spans="104:111">
      <c r="CZ5854" s="256"/>
      <c r="DG5854" s="256"/>
    </row>
    <row r="5855" spans="104:111">
      <c r="CZ5855" s="256"/>
      <c r="DG5855" s="256"/>
    </row>
    <row r="5856" spans="104:111">
      <c r="CZ5856" s="256"/>
      <c r="DG5856" s="256"/>
    </row>
    <row r="5857" spans="104:111">
      <c r="CZ5857" s="256"/>
      <c r="DG5857" s="256"/>
    </row>
    <row r="5858" spans="104:111">
      <c r="CZ5858" s="256"/>
      <c r="DG5858" s="256"/>
    </row>
    <row r="5859" spans="104:111">
      <c r="CZ5859" s="256"/>
      <c r="DG5859" s="256"/>
    </row>
    <row r="5860" spans="104:111">
      <c r="CZ5860" s="256"/>
      <c r="DG5860" s="256"/>
    </row>
    <row r="5861" spans="104:111">
      <c r="CZ5861" s="256"/>
      <c r="DG5861" s="256"/>
    </row>
    <row r="5862" spans="104:111">
      <c r="CZ5862" s="256"/>
      <c r="DG5862" s="256"/>
    </row>
    <row r="5863" spans="104:111">
      <c r="CZ5863" s="256"/>
      <c r="DG5863" s="256"/>
    </row>
    <row r="5864" spans="104:111">
      <c r="CZ5864" s="256"/>
      <c r="DG5864" s="256"/>
    </row>
    <row r="5865" spans="104:111">
      <c r="CZ5865" s="256"/>
      <c r="DG5865" s="256"/>
    </row>
    <row r="5866" spans="104:111">
      <c r="CZ5866" s="256"/>
      <c r="DG5866" s="256"/>
    </row>
    <row r="5867" spans="104:111">
      <c r="CZ5867" s="256"/>
      <c r="DG5867" s="256"/>
    </row>
    <row r="5868" spans="104:111">
      <c r="CZ5868" s="256"/>
      <c r="DG5868" s="256"/>
    </row>
    <row r="5869" spans="104:111">
      <c r="CZ5869" s="256"/>
      <c r="DG5869" s="256"/>
    </row>
    <row r="5870" spans="104:111">
      <c r="CZ5870" s="256"/>
      <c r="DG5870" s="256"/>
    </row>
    <row r="5871" spans="104:111">
      <c r="CZ5871" s="256"/>
      <c r="DG5871" s="256"/>
    </row>
    <row r="5872" spans="104:111">
      <c r="CZ5872" s="256"/>
      <c r="DG5872" s="256"/>
    </row>
    <row r="5873" spans="104:111">
      <c r="CZ5873" s="256"/>
      <c r="DG5873" s="256"/>
    </row>
    <row r="5874" spans="104:111">
      <c r="CZ5874" s="256"/>
      <c r="DG5874" s="256"/>
    </row>
    <row r="5875" spans="104:111">
      <c r="CZ5875" s="256"/>
      <c r="DG5875" s="256"/>
    </row>
    <row r="5876" spans="104:111">
      <c r="CZ5876" s="256"/>
      <c r="DG5876" s="256"/>
    </row>
    <row r="5877" spans="104:111">
      <c r="CZ5877" s="256"/>
      <c r="DG5877" s="256"/>
    </row>
    <row r="5878" spans="104:111">
      <c r="CZ5878" s="256"/>
      <c r="DG5878" s="256"/>
    </row>
    <row r="5879" spans="104:111">
      <c r="CZ5879" s="256"/>
      <c r="DG5879" s="256"/>
    </row>
    <row r="5880" spans="104:111">
      <c r="CZ5880" s="256"/>
      <c r="DG5880" s="256"/>
    </row>
    <row r="5881" spans="104:111">
      <c r="CZ5881" s="256"/>
      <c r="DG5881" s="256"/>
    </row>
    <row r="5882" spans="104:111">
      <c r="CZ5882" s="256"/>
      <c r="DG5882" s="256"/>
    </row>
    <row r="5883" spans="104:111">
      <c r="CZ5883" s="256"/>
      <c r="DG5883" s="256"/>
    </row>
    <row r="5884" spans="104:111">
      <c r="CZ5884" s="256"/>
      <c r="DG5884" s="256"/>
    </row>
    <row r="5885" spans="104:111">
      <c r="CZ5885" s="256"/>
      <c r="DG5885" s="256"/>
    </row>
    <row r="5886" spans="104:111">
      <c r="CZ5886" s="256"/>
      <c r="DG5886" s="256"/>
    </row>
    <row r="5887" spans="104:111">
      <c r="CZ5887" s="256"/>
      <c r="DG5887" s="256"/>
    </row>
    <row r="5888" spans="104:111">
      <c r="CZ5888" s="256"/>
      <c r="DG5888" s="256"/>
    </row>
    <row r="5889" spans="104:111">
      <c r="CZ5889" s="256"/>
      <c r="DG5889" s="256"/>
    </row>
    <row r="5890" spans="104:111">
      <c r="CZ5890" s="256"/>
      <c r="DG5890" s="256"/>
    </row>
    <row r="5891" spans="104:111">
      <c r="CZ5891" s="256"/>
      <c r="DG5891" s="256"/>
    </row>
    <row r="5892" spans="104:111">
      <c r="CZ5892" s="256"/>
      <c r="DG5892" s="256"/>
    </row>
    <row r="5893" spans="104:111">
      <c r="CZ5893" s="256"/>
      <c r="DG5893" s="256"/>
    </row>
    <row r="5894" spans="104:111">
      <c r="CZ5894" s="256"/>
      <c r="DG5894" s="256"/>
    </row>
    <row r="5895" spans="104:111">
      <c r="CZ5895" s="256"/>
      <c r="DG5895" s="256"/>
    </row>
    <row r="5896" spans="104:111">
      <c r="CZ5896" s="256"/>
      <c r="DG5896" s="256"/>
    </row>
    <row r="5897" spans="104:111">
      <c r="CZ5897" s="256"/>
      <c r="DG5897" s="256"/>
    </row>
    <row r="5898" spans="104:111">
      <c r="CZ5898" s="256"/>
      <c r="DG5898" s="256"/>
    </row>
    <row r="5899" spans="104:111">
      <c r="CZ5899" s="256"/>
      <c r="DG5899" s="256"/>
    </row>
    <row r="5900" spans="104:111">
      <c r="CZ5900" s="256"/>
      <c r="DG5900" s="256"/>
    </row>
    <row r="5901" spans="104:111">
      <c r="CZ5901" s="256"/>
      <c r="DG5901" s="256"/>
    </row>
    <row r="5902" spans="104:111">
      <c r="CZ5902" s="256"/>
      <c r="DG5902" s="256"/>
    </row>
    <row r="5903" spans="104:111">
      <c r="CZ5903" s="256"/>
      <c r="DG5903" s="256"/>
    </row>
    <row r="5904" spans="104:111">
      <c r="CZ5904" s="256"/>
      <c r="DG5904" s="256"/>
    </row>
    <row r="5905" spans="104:111">
      <c r="CZ5905" s="256"/>
      <c r="DG5905" s="256"/>
    </row>
    <row r="5906" spans="104:111">
      <c r="CZ5906" s="256"/>
      <c r="DG5906" s="256"/>
    </row>
    <row r="5907" spans="104:111">
      <c r="CZ5907" s="256"/>
      <c r="DG5907" s="256"/>
    </row>
    <row r="5908" spans="104:111">
      <c r="CZ5908" s="256"/>
      <c r="DG5908" s="256"/>
    </row>
    <row r="5909" spans="104:111">
      <c r="CZ5909" s="256"/>
      <c r="DG5909" s="256"/>
    </row>
    <row r="5910" spans="104:111">
      <c r="CZ5910" s="256"/>
      <c r="DG5910" s="256"/>
    </row>
    <row r="5911" spans="104:111">
      <c r="CZ5911" s="256"/>
      <c r="DG5911" s="256"/>
    </row>
    <row r="5912" spans="104:111">
      <c r="CZ5912" s="256"/>
      <c r="DG5912" s="256"/>
    </row>
    <row r="5913" spans="104:111">
      <c r="CZ5913" s="256"/>
      <c r="DG5913" s="256"/>
    </row>
    <row r="5914" spans="104:111">
      <c r="CZ5914" s="256"/>
      <c r="DG5914" s="256"/>
    </row>
    <row r="5915" spans="104:111">
      <c r="CZ5915" s="256"/>
      <c r="DG5915" s="256"/>
    </row>
    <row r="5916" spans="104:111">
      <c r="CZ5916" s="256"/>
      <c r="DG5916" s="256"/>
    </row>
    <row r="5917" spans="104:111">
      <c r="CZ5917" s="256"/>
      <c r="DG5917" s="256"/>
    </row>
    <row r="5918" spans="104:111">
      <c r="CZ5918" s="256"/>
      <c r="DG5918" s="256"/>
    </row>
    <row r="5919" spans="104:111">
      <c r="CZ5919" s="256"/>
      <c r="DG5919" s="256"/>
    </row>
    <row r="5920" spans="104:111">
      <c r="CZ5920" s="256"/>
      <c r="DG5920" s="256"/>
    </row>
    <row r="5921" spans="104:111">
      <c r="CZ5921" s="256"/>
      <c r="DG5921" s="256"/>
    </row>
    <row r="5922" spans="104:111">
      <c r="CZ5922" s="256"/>
      <c r="DG5922" s="256"/>
    </row>
    <row r="5923" spans="104:111">
      <c r="CZ5923" s="256"/>
      <c r="DG5923" s="256"/>
    </row>
    <row r="5924" spans="104:111">
      <c r="CZ5924" s="256"/>
      <c r="DG5924" s="256"/>
    </row>
    <row r="5925" spans="104:111">
      <c r="CZ5925" s="256"/>
      <c r="DG5925" s="256"/>
    </row>
    <row r="5926" spans="104:111">
      <c r="CZ5926" s="256"/>
      <c r="DG5926" s="256"/>
    </row>
    <row r="5927" spans="104:111">
      <c r="CZ5927" s="256"/>
      <c r="DG5927" s="256"/>
    </row>
    <row r="5928" spans="104:111">
      <c r="CZ5928" s="256"/>
      <c r="DG5928" s="256"/>
    </row>
    <row r="5929" spans="104:111">
      <c r="CZ5929" s="256"/>
      <c r="DG5929" s="256"/>
    </row>
    <row r="5930" spans="104:111">
      <c r="CZ5930" s="256"/>
      <c r="DG5930" s="256"/>
    </row>
    <row r="5931" spans="104:111">
      <c r="CZ5931" s="256"/>
      <c r="DG5931" s="256"/>
    </row>
    <row r="5932" spans="104:111">
      <c r="CZ5932" s="256"/>
      <c r="DG5932" s="256"/>
    </row>
    <row r="5933" spans="104:111">
      <c r="CZ5933" s="256"/>
      <c r="DG5933" s="256"/>
    </row>
    <row r="5934" spans="104:111">
      <c r="CZ5934" s="256"/>
      <c r="DG5934" s="256"/>
    </row>
    <row r="5935" spans="104:111">
      <c r="CZ5935" s="256"/>
      <c r="DG5935" s="256"/>
    </row>
    <row r="5936" spans="104:111">
      <c r="CZ5936" s="256"/>
      <c r="DG5936" s="256"/>
    </row>
    <row r="5937" spans="104:111">
      <c r="CZ5937" s="256"/>
      <c r="DG5937" s="256"/>
    </row>
    <row r="5938" spans="104:111">
      <c r="CZ5938" s="256"/>
      <c r="DG5938" s="256"/>
    </row>
    <row r="5939" spans="104:111">
      <c r="CZ5939" s="256"/>
      <c r="DG5939" s="256"/>
    </row>
    <row r="5940" spans="104:111">
      <c r="CZ5940" s="256"/>
      <c r="DG5940" s="256"/>
    </row>
    <row r="5941" spans="104:111">
      <c r="CZ5941" s="256"/>
      <c r="DG5941" s="256"/>
    </row>
    <row r="5942" spans="104:111">
      <c r="CZ5942" s="256"/>
      <c r="DG5942" s="256"/>
    </row>
    <row r="5943" spans="104:111">
      <c r="CZ5943" s="256"/>
      <c r="DG5943" s="256"/>
    </row>
    <row r="5944" spans="104:111">
      <c r="CZ5944" s="256"/>
      <c r="DG5944" s="256"/>
    </row>
    <row r="5945" spans="104:111">
      <c r="CZ5945" s="256"/>
      <c r="DG5945" s="256"/>
    </row>
    <row r="5946" spans="104:111">
      <c r="CZ5946" s="256"/>
      <c r="DG5946" s="256"/>
    </row>
    <row r="5947" spans="104:111">
      <c r="CZ5947" s="256"/>
      <c r="DG5947" s="256"/>
    </row>
    <row r="5948" spans="104:111">
      <c r="CZ5948" s="256"/>
      <c r="DG5948" s="256"/>
    </row>
    <row r="5949" spans="104:111">
      <c r="CZ5949" s="256"/>
      <c r="DG5949" s="256"/>
    </row>
    <row r="5950" spans="104:111">
      <c r="CZ5950" s="256"/>
      <c r="DG5950" s="256"/>
    </row>
    <row r="5951" spans="104:111">
      <c r="CZ5951" s="256"/>
      <c r="DG5951" s="256"/>
    </row>
    <row r="5952" spans="104:111">
      <c r="CZ5952" s="256"/>
      <c r="DG5952" s="256"/>
    </row>
    <row r="5953" spans="104:111">
      <c r="CZ5953" s="256"/>
      <c r="DG5953" s="256"/>
    </row>
    <row r="5954" spans="104:111">
      <c r="CZ5954" s="256"/>
      <c r="DG5954" s="256"/>
    </row>
    <row r="5955" spans="104:111">
      <c r="CZ5955" s="256"/>
      <c r="DG5955" s="256"/>
    </row>
    <row r="5956" spans="104:111">
      <c r="CZ5956" s="256"/>
      <c r="DG5956" s="256"/>
    </row>
    <row r="5957" spans="104:111">
      <c r="CZ5957" s="256"/>
      <c r="DG5957" s="256"/>
    </row>
    <row r="5958" spans="104:111">
      <c r="CZ5958" s="256"/>
      <c r="DG5958" s="256"/>
    </row>
    <row r="5959" spans="104:111">
      <c r="CZ5959" s="256"/>
      <c r="DG5959" s="256"/>
    </row>
    <row r="5960" spans="104:111">
      <c r="CZ5960" s="256"/>
      <c r="DG5960" s="256"/>
    </row>
    <row r="5961" spans="104:111">
      <c r="CZ5961" s="256"/>
      <c r="DG5961" s="256"/>
    </row>
    <row r="5962" spans="104:111">
      <c r="CZ5962" s="256"/>
      <c r="DG5962" s="256"/>
    </row>
    <row r="5963" spans="104:111">
      <c r="CZ5963" s="256"/>
      <c r="DG5963" s="256"/>
    </row>
    <row r="5964" spans="104:111">
      <c r="CZ5964" s="256"/>
      <c r="DG5964" s="256"/>
    </row>
    <row r="5965" spans="104:111">
      <c r="CZ5965" s="256"/>
      <c r="DG5965" s="256"/>
    </row>
    <row r="5966" spans="104:111">
      <c r="CZ5966" s="256"/>
      <c r="DG5966" s="256"/>
    </row>
    <row r="5967" spans="104:111">
      <c r="CZ5967" s="256"/>
      <c r="DG5967" s="256"/>
    </row>
    <row r="5968" spans="104:111">
      <c r="CZ5968" s="256"/>
      <c r="DG5968" s="256"/>
    </row>
    <row r="5969" spans="104:111">
      <c r="CZ5969" s="256"/>
      <c r="DG5969" s="256"/>
    </row>
    <row r="5970" spans="104:111">
      <c r="CZ5970" s="256"/>
      <c r="DG5970" s="256"/>
    </row>
    <row r="5971" spans="104:111">
      <c r="CZ5971" s="256"/>
      <c r="DG5971" s="256"/>
    </row>
    <row r="5972" spans="104:111">
      <c r="CZ5972" s="256"/>
      <c r="DG5972" s="256"/>
    </row>
    <row r="5973" spans="104:111">
      <c r="CZ5973" s="256"/>
      <c r="DG5973" s="256"/>
    </row>
    <row r="5974" spans="104:111">
      <c r="CZ5974" s="256"/>
      <c r="DG5974" s="256"/>
    </row>
    <row r="5975" spans="104:111">
      <c r="CZ5975" s="256"/>
      <c r="DG5975" s="256"/>
    </row>
    <row r="5976" spans="104:111">
      <c r="CZ5976" s="256"/>
      <c r="DG5976" s="256"/>
    </row>
    <row r="5977" spans="104:111">
      <c r="CZ5977" s="256"/>
      <c r="DG5977" s="256"/>
    </row>
    <row r="5978" spans="104:111">
      <c r="CZ5978" s="256"/>
      <c r="DG5978" s="256"/>
    </row>
    <row r="5979" spans="104:111">
      <c r="CZ5979" s="256"/>
      <c r="DG5979" s="256"/>
    </row>
    <row r="5980" spans="104:111">
      <c r="CZ5980" s="256"/>
      <c r="DG5980" s="256"/>
    </row>
    <row r="5981" spans="104:111">
      <c r="CZ5981" s="256"/>
      <c r="DG5981" s="256"/>
    </row>
    <row r="5982" spans="104:111">
      <c r="CZ5982" s="256"/>
      <c r="DG5982" s="256"/>
    </row>
    <row r="5983" spans="104:111">
      <c r="CZ5983" s="256"/>
      <c r="DG5983" s="256"/>
    </row>
    <row r="5984" spans="104:111">
      <c r="CZ5984" s="256"/>
      <c r="DG5984" s="256"/>
    </row>
    <row r="5985" spans="104:111">
      <c r="CZ5985" s="256"/>
      <c r="DG5985" s="256"/>
    </row>
    <row r="5986" spans="104:111">
      <c r="CZ5986" s="256"/>
      <c r="DG5986" s="256"/>
    </row>
    <row r="5987" spans="104:111">
      <c r="CZ5987" s="256"/>
      <c r="DG5987" s="256"/>
    </row>
    <row r="5988" spans="104:111">
      <c r="CZ5988" s="256"/>
      <c r="DG5988" s="256"/>
    </row>
    <row r="5989" spans="104:111">
      <c r="CZ5989" s="256"/>
      <c r="DG5989" s="256"/>
    </row>
    <row r="5990" spans="104:111">
      <c r="CZ5990" s="256"/>
      <c r="DG5990" s="256"/>
    </row>
    <row r="5991" spans="104:111">
      <c r="CZ5991" s="256"/>
      <c r="DG5991" s="256"/>
    </row>
    <row r="5992" spans="104:111">
      <c r="CZ5992" s="256"/>
      <c r="DG5992" s="256"/>
    </row>
    <row r="5993" spans="104:111">
      <c r="CZ5993" s="256"/>
      <c r="DG5993" s="256"/>
    </row>
    <row r="5994" spans="104:111">
      <c r="CZ5994" s="256"/>
      <c r="DG5994" s="256"/>
    </row>
    <row r="5995" spans="104:111">
      <c r="CZ5995" s="256"/>
      <c r="DG5995" s="256"/>
    </row>
    <row r="5996" spans="104:111">
      <c r="CZ5996" s="256"/>
      <c r="DG5996" s="256"/>
    </row>
    <row r="5997" spans="104:111">
      <c r="CZ5997" s="256"/>
      <c r="DG5997" s="256"/>
    </row>
    <row r="5998" spans="104:111">
      <c r="CZ5998" s="256"/>
      <c r="DG5998" s="256"/>
    </row>
    <row r="5999" spans="104:111">
      <c r="CZ5999" s="256"/>
      <c r="DG5999" s="256"/>
    </row>
    <row r="6000" spans="104:111">
      <c r="CZ6000" s="256"/>
      <c r="DG6000" s="256"/>
    </row>
    <row r="6001" spans="104:111">
      <c r="CZ6001" s="256"/>
      <c r="DG6001" s="256"/>
    </row>
    <row r="6002" spans="104:111">
      <c r="CZ6002" s="256"/>
      <c r="DG6002" s="256"/>
    </row>
    <row r="6003" spans="104:111">
      <c r="CZ6003" s="256"/>
      <c r="DG6003" s="256"/>
    </row>
    <row r="6004" spans="104:111">
      <c r="CZ6004" s="256"/>
      <c r="DG6004" s="256"/>
    </row>
    <row r="6005" spans="104:111">
      <c r="CZ6005" s="256"/>
      <c r="DG6005" s="256"/>
    </row>
    <row r="6006" spans="104:111">
      <c r="CZ6006" s="256"/>
      <c r="DG6006" s="256"/>
    </row>
    <row r="6007" spans="104:111">
      <c r="CZ6007" s="256"/>
      <c r="DG6007" s="256"/>
    </row>
    <row r="6008" spans="104:111">
      <c r="CZ6008" s="256"/>
      <c r="DG6008" s="256"/>
    </row>
    <row r="6009" spans="104:111">
      <c r="CZ6009" s="256"/>
      <c r="DG6009" s="256"/>
    </row>
    <row r="6010" spans="104:111">
      <c r="CZ6010" s="256"/>
      <c r="DG6010" s="256"/>
    </row>
    <row r="6011" spans="104:111">
      <c r="CZ6011" s="256"/>
      <c r="DG6011" s="256"/>
    </row>
    <row r="6012" spans="104:111">
      <c r="CZ6012" s="256"/>
      <c r="DG6012" s="256"/>
    </row>
    <row r="6013" spans="104:111">
      <c r="CZ6013" s="256"/>
      <c r="DG6013" s="256"/>
    </row>
    <row r="6014" spans="104:111">
      <c r="CZ6014" s="256"/>
      <c r="DG6014" s="256"/>
    </row>
    <row r="6015" spans="104:111">
      <c r="CZ6015" s="256"/>
      <c r="DG6015" s="256"/>
    </row>
    <row r="6016" spans="104:111">
      <c r="CZ6016" s="256"/>
      <c r="DG6016" s="256"/>
    </row>
    <row r="6017" spans="104:111">
      <c r="CZ6017" s="256"/>
      <c r="DG6017" s="256"/>
    </row>
    <row r="6018" spans="104:111">
      <c r="CZ6018" s="256"/>
      <c r="DG6018" s="256"/>
    </row>
    <row r="6019" spans="104:111">
      <c r="CZ6019" s="256"/>
      <c r="DG6019" s="256"/>
    </row>
    <row r="6020" spans="104:111">
      <c r="CZ6020" s="256"/>
      <c r="DG6020" s="256"/>
    </row>
    <row r="6021" spans="104:111">
      <c r="CZ6021" s="256"/>
      <c r="DG6021" s="256"/>
    </row>
    <row r="6022" spans="104:111">
      <c r="CZ6022" s="256"/>
      <c r="DG6022" s="256"/>
    </row>
    <row r="6023" spans="104:111">
      <c r="CZ6023" s="256"/>
      <c r="DG6023" s="256"/>
    </row>
    <row r="6024" spans="104:111">
      <c r="CZ6024" s="256"/>
      <c r="DG6024" s="256"/>
    </row>
    <row r="6025" spans="104:111">
      <c r="CZ6025" s="256"/>
      <c r="DG6025" s="256"/>
    </row>
    <row r="6026" spans="104:111">
      <c r="CZ6026" s="256"/>
      <c r="DG6026" s="256"/>
    </row>
    <row r="6027" spans="104:111">
      <c r="CZ6027" s="256"/>
      <c r="DG6027" s="256"/>
    </row>
    <row r="6028" spans="104:111">
      <c r="CZ6028" s="256"/>
      <c r="DG6028" s="256"/>
    </row>
    <row r="6029" spans="104:111">
      <c r="CZ6029" s="256"/>
      <c r="DG6029" s="256"/>
    </row>
    <row r="6030" spans="104:111">
      <c r="CZ6030" s="256"/>
      <c r="DG6030" s="256"/>
    </row>
    <row r="6031" spans="104:111">
      <c r="CZ6031" s="256"/>
      <c r="DG6031" s="256"/>
    </row>
    <row r="6032" spans="104:111">
      <c r="CZ6032" s="256"/>
      <c r="DG6032" s="256"/>
    </row>
    <row r="6033" spans="104:111">
      <c r="CZ6033" s="256"/>
      <c r="DG6033" s="256"/>
    </row>
    <row r="6034" spans="104:111">
      <c r="CZ6034" s="256"/>
      <c r="DG6034" s="256"/>
    </row>
    <row r="6035" spans="104:111">
      <c r="CZ6035" s="256"/>
      <c r="DG6035" s="256"/>
    </row>
    <row r="6036" spans="104:111">
      <c r="CZ6036" s="256"/>
      <c r="DG6036" s="256"/>
    </row>
    <row r="6037" spans="104:111">
      <c r="CZ6037" s="256"/>
      <c r="DG6037" s="256"/>
    </row>
    <row r="6038" spans="104:111">
      <c r="CZ6038" s="256"/>
      <c r="DG6038" s="256"/>
    </row>
    <row r="6039" spans="104:111">
      <c r="CZ6039" s="256"/>
      <c r="DG6039" s="256"/>
    </row>
    <row r="6040" spans="104:111">
      <c r="CZ6040" s="256"/>
      <c r="DG6040" s="256"/>
    </row>
    <row r="6041" spans="104:111">
      <c r="CZ6041" s="256"/>
      <c r="DG6041" s="256"/>
    </row>
    <row r="6042" spans="104:111">
      <c r="CZ6042" s="256"/>
      <c r="DG6042" s="256"/>
    </row>
    <row r="6043" spans="104:111">
      <c r="CZ6043" s="256"/>
      <c r="DG6043" s="256"/>
    </row>
    <row r="6044" spans="104:111">
      <c r="CZ6044" s="256"/>
      <c r="DG6044" s="256"/>
    </row>
    <row r="6045" spans="104:111">
      <c r="CZ6045" s="256"/>
      <c r="DG6045" s="256"/>
    </row>
    <row r="6046" spans="104:111">
      <c r="CZ6046" s="256"/>
      <c r="DG6046" s="256"/>
    </row>
    <row r="6047" spans="104:111">
      <c r="CZ6047" s="256"/>
      <c r="DG6047" s="256"/>
    </row>
    <row r="6048" spans="104:111">
      <c r="CZ6048" s="256"/>
      <c r="DG6048" s="256"/>
    </row>
    <row r="6049" spans="104:111">
      <c r="CZ6049" s="256"/>
      <c r="DG6049" s="256"/>
    </row>
    <row r="6050" spans="104:111">
      <c r="CZ6050" s="256"/>
      <c r="DG6050" s="256"/>
    </row>
    <row r="6051" spans="104:111">
      <c r="CZ6051" s="256"/>
      <c r="DG6051" s="256"/>
    </row>
    <row r="6052" spans="104:111">
      <c r="CZ6052" s="256"/>
      <c r="DG6052" s="256"/>
    </row>
    <row r="6053" spans="104:111">
      <c r="CZ6053" s="256"/>
      <c r="DG6053" s="256"/>
    </row>
    <row r="6054" spans="104:111">
      <c r="CZ6054" s="256"/>
      <c r="DG6054" s="256"/>
    </row>
    <row r="6055" spans="104:111">
      <c r="CZ6055" s="256"/>
      <c r="DG6055" s="256"/>
    </row>
    <row r="6056" spans="104:111">
      <c r="CZ6056" s="256"/>
      <c r="DG6056" s="256"/>
    </row>
    <row r="6057" spans="104:111">
      <c r="CZ6057" s="256"/>
      <c r="DG6057" s="256"/>
    </row>
    <row r="6058" spans="104:111">
      <c r="CZ6058" s="256"/>
      <c r="DG6058" s="256"/>
    </row>
    <row r="6059" spans="104:111">
      <c r="CZ6059" s="256"/>
      <c r="DG6059" s="256"/>
    </row>
    <row r="6060" spans="104:111">
      <c r="CZ6060" s="256"/>
      <c r="DG6060" s="256"/>
    </row>
    <row r="6061" spans="104:111">
      <c r="CZ6061" s="256"/>
      <c r="DG6061" s="256"/>
    </row>
    <row r="6062" spans="104:111">
      <c r="CZ6062" s="256"/>
      <c r="DG6062" s="256"/>
    </row>
    <row r="6063" spans="104:111">
      <c r="CZ6063" s="256"/>
      <c r="DG6063" s="256"/>
    </row>
    <row r="6064" spans="104:111">
      <c r="CZ6064" s="256"/>
      <c r="DG6064" s="256"/>
    </row>
    <row r="6065" spans="104:111">
      <c r="CZ6065" s="256"/>
      <c r="DG6065" s="256"/>
    </row>
    <row r="6066" spans="104:111">
      <c r="CZ6066" s="256"/>
      <c r="DG6066" s="256"/>
    </row>
    <row r="6067" spans="104:111">
      <c r="CZ6067" s="256"/>
      <c r="DG6067" s="256"/>
    </row>
    <row r="6068" spans="104:111">
      <c r="CZ6068" s="256"/>
      <c r="DG6068" s="256"/>
    </row>
    <row r="6069" spans="104:111">
      <c r="CZ6069" s="256"/>
      <c r="DG6069" s="256"/>
    </row>
    <row r="6070" spans="104:111">
      <c r="CZ6070" s="256"/>
      <c r="DG6070" s="256"/>
    </row>
    <row r="6071" spans="104:111">
      <c r="CZ6071" s="256"/>
      <c r="DG6071" s="256"/>
    </row>
    <row r="6072" spans="104:111">
      <c r="CZ6072" s="256"/>
      <c r="DG6072" s="256"/>
    </row>
    <row r="6073" spans="104:111">
      <c r="CZ6073" s="256"/>
      <c r="DG6073" s="256"/>
    </row>
    <row r="6074" spans="104:111">
      <c r="CZ6074" s="256"/>
      <c r="DG6074" s="256"/>
    </row>
    <row r="6075" spans="104:111">
      <c r="CZ6075" s="256"/>
      <c r="DG6075" s="256"/>
    </row>
    <row r="6076" spans="104:111">
      <c r="CZ6076" s="256"/>
      <c r="DG6076" s="256"/>
    </row>
    <row r="6077" spans="104:111">
      <c r="CZ6077" s="256"/>
      <c r="DG6077" s="256"/>
    </row>
    <row r="6078" spans="104:111">
      <c r="CZ6078" s="256"/>
      <c r="DG6078" s="256"/>
    </row>
    <row r="6079" spans="104:111">
      <c r="CZ6079" s="256"/>
      <c r="DG6079" s="256"/>
    </row>
    <row r="6080" spans="104:111">
      <c r="CZ6080" s="256"/>
      <c r="DG6080" s="256"/>
    </row>
    <row r="6081" spans="104:111">
      <c r="CZ6081" s="256"/>
      <c r="DG6081" s="256"/>
    </row>
    <row r="6082" spans="104:111">
      <c r="CZ6082" s="256"/>
      <c r="DG6082" s="256"/>
    </row>
    <row r="6083" spans="104:111">
      <c r="CZ6083" s="256"/>
      <c r="DG6083" s="256"/>
    </row>
    <row r="6084" spans="104:111">
      <c r="CZ6084" s="256"/>
      <c r="DG6084" s="256"/>
    </row>
    <row r="6085" spans="104:111">
      <c r="CZ6085" s="256"/>
      <c r="DG6085" s="256"/>
    </row>
    <row r="6086" spans="104:111">
      <c r="CZ6086" s="256"/>
      <c r="DG6086" s="256"/>
    </row>
    <row r="6087" spans="104:111">
      <c r="CZ6087" s="256"/>
      <c r="DG6087" s="256"/>
    </row>
    <row r="6088" spans="104:111">
      <c r="CZ6088" s="256"/>
      <c r="DG6088" s="256"/>
    </row>
    <row r="6089" spans="104:111">
      <c r="CZ6089" s="256"/>
      <c r="DG6089" s="256"/>
    </row>
    <row r="6090" spans="104:111">
      <c r="CZ6090" s="256"/>
      <c r="DG6090" s="256"/>
    </row>
    <row r="6091" spans="104:111">
      <c r="CZ6091" s="256"/>
      <c r="DG6091" s="256"/>
    </row>
    <row r="6092" spans="104:111">
      <c r="CZ6092" s="256"/>
      <c r="DG6092" s="256"/>
    </row>
    <row r="6093" spans="104:111">
      <c r="CZ6093" s="256"/>
      <c r="DG6093" s="256"/>
    </row>
    <row r="6094" spans="104:111">
      <c r="CZ6094" s="256"/>
      <c r="DG6094" s="256"/>
    </row>
    <row r="6095" spans="104:111">
      <c r="CZ6095" s="256"/>
      <c r="DG6095" s="256"/>
    </row>
    <row r="6096" spans="104:111">
      <c r="CZ6096" s="256"/>
      <c r="DG6096" s="256"/>
    </row>
    <row r="6097" spans="104:111">
      <c r="CZ6097" s="256"/>
      <c r="DG6097" s="256"/>
    </row>
    <row r="6098" spans="104:111">
      <c r="CZ6098" s="256"/>
      <c r="DG6098" s="256"/>
    </row>
    <row r="6099" spans="104:111">
      <c r="CZ6099" s="256"/>
      <c r="DG6099" s="256"/>
    </row>
    <row r="6100" spans="104:111">
      <c r="CZ6100" s="256"/>
      <c r="DG6100" s="256"/>
    </row>
    <row r="6101" spans="104:111">
      <c r="CZ6101" s="256"/>
      <c r="DG6101" s="256"/>
    </row>
    <row r="6102" spans="104:111">
      <c r="CZ6102" s="256"/>
      <c r="DG6102" s="256"/>
    </row>
    <row r="6103" spans="104:111">
      <c r="CZ6103" s="256"/>
      <c r="DG6103" s="256"/>
    </row>
    <row r="6104" spans="104:111">
      <c r="CZ6104" s="256"/>
      <c r="DG6104" s="256"/>
    </row>
    <row r="6105" spans="104:111">
      <c r="CZ6105" s="256"/>
      <c r="DG6105" s="256"/>
    </row>
    <row r="6106" spans="104:111">
      <c r="CZ6106" s="256"/>
      <c r="DG6106" s="256"/>
    </row>
    <row r="6107" spans="104:111">
      <c r="CZ6107" s="256"/>
      <c r="DG6107" s="256"/>
    </row>
    <row r="6108" spans="104:111">
      <c r="CZ6108" s="256"/>
      <c r="DG6108" s="256"/>
    </row>
    <row r="6109" spans="104:111">
      <c r="CZ6109" s="256"/>
      <c r="DG6109" s="256"/>
    </row>
    <row r="6110" spans="104:111">
      <c r="CZ6110" s="256"/>
      <c r="DG6110" s="256"/>
    </row>
    <row r="6111" spans="104:111">
      <c r="CZ6111" s="256"/>
      <c r="DG6111" s="256"/>
    </row>
    <row r="6112" spans="104:111">
      <c r="CZ6112" s="256"/>
      <c r="DG6112" s="256"/>
    </row>
    <row r="6113" spans="104:111">
      <c r="CZ6113" s="256"/>
      <c r="DG6113" s="256"/>
    </row>
    <row r="6114" spans="104:111">
      <c r="CZ6114" s="256"/>
      <c r="DG6114" s="256"/>
    </row>
    <row r="6115" spans="104:111">
      <c r="CZ6115" s="256"/>
      <c r="DG6115" s="256"/>
    </row>
    <row r="6116" spans="104:111">
      <c r="CZ6116" s="256"/>
      <c r="DG6116" s="256"/>
    </row>
    <row r="6117" spans="104:111">
      <c r="CZ6117" s="256"/>
      <c r="DG6117" s="256"/>
    </row>
    <row r="6118" spans="104:111">
      <c r="CZ6118" s="256"/>
      <c r="DG6118" s="256"/>
    </row>
    <row r="6119" spans="104:111">
      <c r="CZ6119" s="256"/>
      <c r="DG6119" s="256"/>
    </row>
    <row r="6120" spans="104:111">
      <c r="CZ6120" s="256"/>
      <c r="DG6120" s="256"/>
    </row>
    <row r="6121" spans="104:111">
      <c r="CZ6121" s="256"/>
      <c r="DG6121" s="256"/>
    </row>
    <row r="6122" spans="104:111">
      <c r="CZ6122" s="256"/>
      <c r="DG6122" s="256"/>
    </row>
    <row r="6123" spans="104:111">
      <c r="CZ6123" s="256"/>
      <c r="DG6123" s="256"/>
    </row>
    <row r="6124" spans="104:111">
      <c r="CZ6124" s="256"/>
      <c r="DG6124" s="256"/>
    </row>
    <row r="6125" spans="104:111">
      <c r="CZ6125" s="256"/>
      <c r="DG6125" s="256"/>
    </row>
    <row r="6126" spans="104:111">
      <c r="CZ6126" s="256"/>
      <c r="DG6126" s="256"/>
    </row>
    <row r="6127" spans="104:111">
      <c r="CZ6127" s="256"/>
      <c r="DG6127" s="256"/>
    </row>
    <row r="6128" spans="104:111">
      <c r="CZ6128" s="256"/>
      <c r="DG6128" s="256"/>
    </row>
    <row r="6129" spans="104:111">
      <c r="CZ6129" s="256"/>
      <c r="DG6129" s="256"/>
    </row>
    <row r="6130" spans="104:111">
      <c r="CZ6130" s="256"/>
      <c r="DG6130" s="256"/>
    </row>
    <row r="6131" spans="104:111">
      <c r="CZ6131" s="256"/>
      <c r="DG6131" s="256"/>
    </row>
    <row r="6132" spans="104:111">
      <c r="CZ6132" s="256"/>
      <c r="DG6132" s="256"/>
    </row>
    <row r="6133" spans="104:111">
      <c r="CZ6133" s="256"/>
      <c r="DG6133" s="256"/>
    </row>
    <row r="6134" spans="104:111">
      <c r="CZ6134" s="256"/>
      <c r="DG6134" s="256"/>
    </row>
    <row r="6135" spans="104:111">
      <c r="CZ6135" s="256"/>
      <c r="DG6135" s="256"/>
    </row>
    <row r="6136" spans="104:111">
      <c r="CZ6136" s="256"/>
      <c r="DG6136" s="256"/>
    </row>
    <row r="6137" spans="104:111">
      <c r="CZ6137" s="256"/>
      <c r="DG6137" s="256"/>
    </row>
    <row r="6138" spans="104:111">
      <c r="CZ6138" s="256"/>
      <c r="DG6138" s="256"/>
    </row>
    <row r="6139" spans="104:111">
      <c r="CZ6139" s="256"/>
      <c r="DG6139" s="256"/>
    </row>
    <row r="6140" spans="104:111">
      <c r="CZ6140" s="256"/>
      <c r="DG6140" s="256"/>
    </row>
    <row r="6141" spans="104:111">
      <c r="CZ6141" s="256"/>
      <c r="DG6141" s="256"/>
    </row>
    <row r="6142" spans="104:111">
      <c r="CZ6142" s="256"/>
      <c r="DG6142" s="256"/>
    </row>
    <row r="6143" spans="104:111">
      <c r="CZ6143" s="256"/>
      <c r="DG6143" s="256"/>
    </row>
    <row r="6144" spans="104:111">
      <c r="CZ6144" s="256"/>
      <c r="DG6144" s="256"/>
    </row>
    <row r="6145" spans="104:111">
      <c r="CZ6145" s="256"/>
      <c r="DG6145" s="256"/>
    </row>
    <row r="6146" spans="104:111">
      <c r="CZ6146" s="256"/>
      <c r="DG6146" s="256"/>
    </row>
    <row r="6147" spans="104:111">
      <c r="CZ6147" s="256"/>
      <c r="DG6147" s="256"/>
    </row>
    <row r="6148" spans="104:111">
      <c r="CZ6148" s="256"/>
      <c r="DG6148" s="256"/>
    </row>
    <row r="6149" spans="104:111">
      <c r="CZ6149" s="256"/>
      <c r="DG6149" s="256"/>
    </row>
    <row r="6150" spans="104:111">
      <c r="CZ6150" s="256"/>
      <c r="DG6150" s="256"/>
    </row>
    <row r="6151" spans="104:111">
      <c r="CZ6151" s="256"/>
      <c r="DG6151" s="256"/>
    </row>
    <row r="6152" spans="104:111">
      <c r="CZ6152" s="256"/>
      <c r="DG6152" s="256"/>
    </row>
    <row r="6153" spans="104:111">
      <c r="CZ6153" s="256"/>
      <c r="DG6153" s="256"/>
    </row>
    <row r="6154" spans="104:111">
      <c r="CZ6154" s="256"/>
      <c r="DG6154" s="256"/>
    </row>
    <row r="6155" spans="104:111">
      <c r="CZ6155" s="256"/>
      <c r="DG6155" s="256"/>
    </row>
    <row r="6156" spans="104:111">
      <c r="CZ6156" s="256"/>
      <c r="DG6156" s="256"/>
    </row>
    <row r="6157" spans="104:111">
      <c r="CZ6157" s="256"/>
      <c r="DG6157" s="256"/>
    </row>
    <row r="6158" spans="104:111">
      <c r="CZ6158" s="256"/>
      <c r="DG6158" s="256"/>
    </row>
    <row r="6159" spans="104:111">
      <c r="CZ6159" s="256"/>
      <c r="DG6159" s="256"/>
    </row>
    <row r="6160" spans="104:111">
      <c r="CZ6160" s="256"/>
      <c r="DG6160" s="256"/>
    </row>
    <row r="6161" spans="104:111">
      <c r="CZ6161" s="256"/>
      <c r="DG6161" s="256"/>
    </row>
    <row r="6162" spans="104:111">
      <c r="CZ6162" s="256"/>
      <c r="DG6162" s="256"/>
    </row>
    <row r="6163" spans="104:111">
      <c r="CZ6163" s="256"/>
      <c r="DG6163" s="256"/>
    </row>
    <row r="6164" spans="104:111">
      <c r="CZ6164" s="256"/>
      <c r="DG6164" s="256"/>
    </row>
    <row r="6165" spans="104:111">
      <c r="CZ6165" s="256"/>
      <c r="DG6165" s="256"/>
    </row>
    <row r="6166" spans="104:111">
      <c r="CZ6166" s="256"/>
      <c r="DG6166" s="256"/>
    </row>
    <row r="6167" spans="104:111">
      <c r="CZ6167" s="256"/>
      <c r="DG6167" s="256"/>
    </row>
    <row r="6168" spans="104:111">
      <c r="CZ6168" s="256"/>
      <c r="DG6168" s="256"/>
    </row>
    <row r="6169" spans="104:111">
      <c r="CZ6169" s="256"/>
      <c r="DG6169" s="256"/>
    </row>
    <row r="6170" spans="104:111">
      <c r="CZ6170" s="256"/>
      <c r="DG6170" s="256"/>
    </row>
    <row r="6171" spans="104:111">
      <c r="CZ6171" s="256"/>
      <c r="DG6171" s="256"/>
    </row>
    <row r="6172" spans="104:111">
      <c r="CZ6172" s="256"/>
      <c r="DG6172" s="256"/>
    </row>
    <row r="6173" spans="104:111">
      <c r="CZ6173" s="256"/>
      <c r="DG6173" s="256"/>
    </row>
    <row r="6174" spans="104:111">
      <c r="CZ6174" s="256"/>
      <c r="DG6174" s="256"/>
    </row>
    <row r="6175" spans="104:111">
      <c r="CZ6175" s="256"/>
      <c r="DG6175" s="256"/>
    </row>
    <row r="6176" spans="104:111">
      <c r="CZ6176" s="256"/>
      <c r="DG6176" s="256"/>
    </row>
    <row r="6177" spans="104:111">
      <c r="CZ6177" s="256"/>
      <c r="DG6177" s="256"/>
    </row>
    <row r="6178" spans="104:111">
      <c r="CZ6178" s="256"/>
      <c r="DG6178" s="256"/>
    </row>
    <row r="6179" spans="104:111">
      <c r="CZ6179" s="256"/>
      <c r="DG6179" s="256"/>
    </row>
    <row r="6180" spans="104:111">
      <c r="CZ6180" s="256"/>
      <c r="DG6180" s="256"/>
    </row>
    <row r="6181" spans="104:111">
      <c r="CZ6181" s="256"/>
      <c r="DG6181" s="256"/>
    </row>
    <row r="6182" spans="104:111">
      <c r="CZ6182" s="256"/>
      <c r="DG6182" s="256"/>
    </row>
    <row r="6183" spans="104:111">
      <c r="CZ6183" s="256"/>
      <c r="DG6183" s="256"/>
    </row>
    <row r="6184" spans="104:111">
      <c r="CZ6184" s="256"/>
      <c r="DG6184" s="256"/>
    </row>
    <row r="6185" spans="104:111">
      <c r="CZ6185" s="256"/>
      <c r="DG6185" s="256"/>
    </row>
    <row r="6186" spans="104:111">
      <c r="CZ6186" s="256"/>
      <c r="DG6186" s="256"/>
    </row>
    <row r="6187" spans="104:111">
      <c r="CZ6187" s="256"/>
      <c r="DG6187" s="256"/>
    </row>
    <row r="6188" spans="104:111">
      <c r="CZ6188" s="256"/>
      <c r="DG6188" s="256"/>
    </row>
    <row r="6189" spans="104:111">
      <c r="CZ6189" s="256"/>
      <c r="DG6189" s="256"/>
    </row>
    <row r="6190" spans="104:111">
      <c r="CZ6190" s="256"/>
      <c r="DG6190" s="256"/>
    </row>
    <row r="6191" spans="104:111">
      <c r="CZ6191" s="256"/>
      <c r="DG6191" s="256"/>
    </row>
    <row r="6192" spans="104:111">
      <c r="CZ6192" s="256"/>
      <c r="DG6192" s="256"/>
    </row>
    <row r="6193" spans="104:111">
      <c r="CZ6193" s="256"/>
      <c r="DG6193" s="256"/>
    </row>
    <row r="6194" spans="104:111">
      <c r="CZ6194" s="256"/>
      <c r="DG6194" s="256"/>
    </row>
    <row r="6195" spans="104:111">
      <c r="CZ6195" s="256"/>
      <c r="DG6195" s="256"/>
    </row>
    <row r="6196" spans="104:111">
      <c r="CZ6196" s="256"/>
      <c r="DG6196" s="256"/>
    </row>
    <row r="6197" spans="104:111">
      <c r="CZ6197" s="256"/>
      <c r="DG6197" s="256"/>
    </row>
    <row r="6198" spans="104:111">
      <c r="CZ6198" s="256"/>
      <c r="DG6198" s="256"/>
    </row>
    <row r="6199" spans="104:111">
      <c r="CZ6199" s="256"/>
      <c r="DG6199" s="256"/>
    </row>
    <row r="6200" spans="104:111">
      <c r="CZ6200" s="256"/>
      <c r="DG6200" s="256"/>
    </row>
    <row r="6201" spans="104:111">
      <c r="CZ6201" s="256"/>
      <c r="DG6201" s="256"/>
    </row>
    <row r="6202" spans="104:111">
      <c r="CZ6202" s="256"/>
      <c r="DG6202" s="256"/>
    </row>
    <row r="6203" spans="104:111">
      <c r="CZ6203" s="256"/>
      <c r="DG6203" s="256"/>
    </row>
    <row r="6204" spans="104:111">
      <c r="CZ6204" s="256"/>
      <c r="DG6204" s="256"/>
    </row>
    <row r="6205" spans="104:111">
      <c r="CZ6205" s="256"/>
      <c r="DG6205" s="256"/>
    </row>
    <row r="6206" spans="104:111">
      <c r="CZ6206" s="256"/>
      <c r="DG6206" s="256"/>
    </row>
    <row r="6207" spans="104:111">
      <c r="CZ6207" s="256"/>
      <c r="DG6207" s="256"/>
    </row>
    <row r="6208" spans="104:111">
      <c r="CZ6208" s="256"/>
      <c r="DG6208" s="256"/>
    </row>
    <row r="6209" spans="104:111">
      <c r="CZ6209" s="256"/>
      <c r="DG6209" s="256"/>
    </row>
    <row r="6210" spans="104:111">
      <c r="CZ6210" s="256"/>
      <c r="DG6210" s="256"/>
    </row>
    <row r="6211" spans="104:111">
      <c r="CZ6211" s="256"/>
      <c r="DG6211" s="256"/>
    </row>
    <row r="6212" spans="104:111">
      <c r="CZ6212" s="256"/>
      <c r="DG6212" s="256"/>
    </row>
    <row r="6213" spans="104:111">
      <c r="CZ6213" s="256"/>
      <c r="DG6213" s="256"/>
    </row>
    <row r="6214" spans="104:111">
      <c r="CZ6214" s="256"/>
      <c r="DG6214" s="256"/>
    </row>
    <row r="6215" spans="104:111">
      <c r="CZ6215" s="256"/>
      <c r="DG6215" s="256"/>
    </row>
    <row r="6216" spans="104:111">
      <c r="CZ6216" s="256"/>
      <c r="DG6216" s="256"/>
    </row>
    <row r="6217" spans="104:111">
      <c r="CZ6217" s="256"/>
      <c r="DG6217" s="256"/>
    </row>
    <row r="6218" spans="104:111">
      <c r="CZ6218" s="256"/>
      <c r="DG6218" s="256"/>
    </row>
    <row r="6219" spans="104:111">
      <c r="CZ6219" s="256"/>
      <c r="DG6219" s="256"/>
    </row>
    <row r="6220" spans="104:111">
      <c r="CZ6220" s="256"/>
      <c r="DG6220" s="256"/>
    </row>
    <row r="6221" spans="104:111">
      <c r="CZ6221" s="256"/>
      <c r="DG6221" s="256"/>
    </row>
    <row r="6222" spans="104:111">
      <c r="CZ6222" s="256"/>
      <c r="DG6222" s="256"/>
    </row>
    <row r="6223" spans="104:111">
      <c r="CZ6223" s="256"/>
      <c r="DG6223" s="256"/>
    </row>
    <row r="6224" spans="104:111">
      <c r="CZ6224" s="256"/>
      <c r="DG6224" s="256"/>
    </row>
    <row r="6225" spans="104:111">
      <c r="CZ6225" s="256"/>
      <c r="DG6225" s="256"/>
    </row>
    <row r="6226" spans="104:111">
      <c r="CZ6226" s="256"/>
      <c r="DG6226" s="256"/>
    </row>
    <row r="6227" spans="104:111">
      <c r="CZ6227" s="256"/>
      <c r="DG6227" s="256"/>
    </row>
    <row r="6228" spans="104:111">
      <c r="CZ6228" s="256"/>
      <c r="DG6228" s="256"/>
    </row>
    <row r="6229" spans="104:111">
      <c r="CZ6229" s="256"/>
      <c r="DG6229" s="256"/>
    </row>
    <row r="6230" spans="104:111">
      <c r="CZ6230" s="256"/>
      <c r="DG6230" s="256"/>
    </row>
    <row r="6231" spans="104:111">
      <c r="CZ6231" s="256"/>
      <c r="DG6231" s="256"/>
    </row>
    <row r="6232" spans="104:111">
      <c r="CZ6232" s="256"/>
      <c r="DG6232" s="256"/>
    </row>
    <row r="6233" spans="104:111">
      <c r="CZ6233" s="256"/>
      <c r="DG6233" s="256"/>
    </row>
    <row r="6234" spans="104:111">
      <c r="CZ6234" s="256"/>
      <c r="DG6234" s="256"/>
    </row>
    <row r="6235" spans="104:111">
      <c r="CZ6235" s="256"/>
      <c r="DG6235" s="256"/>
    </row>
    <row r="6236" spans="104:111">
      <c r="CZ6236" s="256"/>
      <c r="DG6236" s="256"/>
    </row>
    <row r="6237" spans="104:111">
      <c r="CZ6237" s="256"/>
      <c r="DG6237" s="256"/>
    </row>
    <row r="6238" spans="104:111">
      <c r="CZ6238" s="256"/>
      <c r="DG6238" s="256"/>
    </row>
    <row r="6239" spans="104:111">
      <c r="CZ6239" s="256"/>
      <c r="DG6239" s="256"/>
    </row>
    <row r="6240" spans="104:111">
      <c r="CZ6240" s="256"/>
      <c r="DG6240" s="256"/>
    </row>
    <row r="6241" spans="104:111">
      <c r="CZ6241" s="256"/>
      <c r="DG6241" s="256"/>
    </row>
    <row r="6242" spans="104:111">
      <c r="CZ6242" s="256"/>
      <c r="DG6242" s="256"/>
    </row>
    <row r="6243" spans="104:111">
      <c r="CZ6243" s="256"/>
      <c r="DG6243" s="256"/>
    </row>
    <row r="6244" spans="104:111">
      <c r="CZ6244" s="256"/>
      <c r="DG6244" s="256"/>
    </row>
    <row r="6245" spans="104:111">
      <c r="CZ6245" s="256"/>
      <c r="DG6245" s="256"/>
    </row>
    <row r="6246" spans="104:111">
      <c r="CZ6246" s="256"/>
      <c r="DG6246" s="256"/>
    </row>
    <row r="6247" spans="104:111">
      <c r="CZ6247" s="256"/>
      <c r="DG6247" s="256"/>
    </row>
    <row r="6248" spans="104:111">
      <c r="CZ6248" s="256"/>
      <c r="DG6248" s="256"/>
    </row>
    <row r="6249" spans="104:111">
      <c r="CZ6249" s="256"/>
      <c r="DG6249" s="256"/>
    </row>
    <row r="6250" spans="104:111">
      <c r="CZ6250" s="256"/>
      <c r="DG6250" s="256"/>
    </row>
    <row r="6251" spans="104:111">
      <c r="CZ6251" s="256"/>
      <c r="DG6251" s="256"/>
    </row>
    <row r="6252" spans="104:111">
      <c r="CZ6252" s="256"/>
      <c r="DG6252" s="256"/>
    </row>
    <row r="6253" spans="104:111">
      <c r="CZ6253" s="256"/>
      <c r="DG6253" s="256"/>
    </row>
    <row r="6254" spans="104:111">
      <c r="CZ6254" s="256"/>
      <c r="DG6254" s="256"/>
    </row>
    <row r="6255" spans="104:111">
      <c r="CZ6255" s="256"/>
      <c r="DG6255" s="256"/>
    </row>
    <row r="6256" spans="104:111">
      <c r="CZ6256" s="256"/>
      <c r="DG6256" s="256"/>
    </row>
    <row r="6257" spans="104:111">
      <c r="CZ6257" s="256"/>
      <c r="DG6257" s="256"/>
    </row>
    <row r="6258" spans="104:111">
      <c r="CZ6258" s="256"/>
      <c r="DG6258" s="256"/>
    </row>
    <row r="6259" spans="104:111">
      <c r="CZ6259" s="256"/>
      <c r="DG6259" s="256"/>
    </row>
    <row r="6260" spans="104:111">
      <c r="CZ6260" s="256"/>
      <c r="DG6260" s="256"/>
    </row>
    <row r="6261" spans="104:111">
      <c r="CZ6261" s="256"/>
      <c r="DG6261" s="256"/>
    </row>
    <row r="6262" spans="104:111">
      <c r="CZ6262" s="256"/>
      <c r="DG6262" s="256"/>
    </row>
    <row r="6263" spans="104:111">
      <c r="CZ6263" s="256"/>
      <c r="DG6263" s="256"/>
    </row>
    <row r="6264" spans="104:111">
      <c r="CZ6264" s="256"/>
      <c r="DG6264" s="256"/>
    </row>
    <row r="6265" spans="104:111">
      <c r="CZ6265" s="256"/>
      <c r="DG6265" s="256"/>
    </row>
    <row r="6266" spans="104:111">
      <c r="CZ6266" s="256"/>
      <c r="DG6266" s="256"/>
    </row>
    <row r="6267" spans="104:111">
      <c r="CZ6267" s="256"/>
      <c r="DG6267" s="256"/>
    </row>
    <row r="6268" spans="104:111">
      <c r="CZ6268" s="256"/>
      <c r="DG6268" s="256"/>
    </row>
    <row r="6269" spans="104:111">
      <c r="CZ6269" s="256"/>
      <c r="DG6269" s="256"/>
    </row>
    <row r="6270" spans="104:111">
      <c r="CZ6270" s="256"/>
      <c r="DG6270" s="256"/>
    </row>
    <row r="6271" spans="104:111">
      <c r="CZ6271" s="256"/>
      <c r="DG6271" s="256"/>
    </row>
    <row r="6272" spans="104:111">
      <c r="CZ6272" s="256"/>
      <c r="DG6272" s="256"/>
    </row>
    <row r="6273" spans="104:111">
      <c r="CZ6273" s="256"/>
      <c r="DG6273" s="256"/>
    </row>
    <row r="6274" spans="104:111">
      <c r="CZ6274" s="256"/>
      <c r="DG6274" s="256"/>
    </row>
    <row r="6275" spans="104:111">
      <c r="CZ6275" s="256"/>
      <c r="DG6275" s="256"/>
    </row>
    <row r="6276" spans="104:111">
      <c r="CZ6276" s="256"/>
      <c r="DG6276" s="256"/>
    </row>
    <row r="6277" spans="104:111">
      <c r="CZ6277" s="256"/>
      <c r="DG6277" s="256"/>
    </row>
    <row r="6278" spans="104:111">
      <c r="CZ6278" s="256"/>
      <c r="DG6278" s="256"/>
    </row>
    <row r="6279" spans="104:111">
      <c r="CZ6279" s="256"/>
      <c r="DG6279" s="256"/>
    </row>
    <row r="6280" spans="104:111">
      <c r="CZ6280" s="256"/>
      <c r="DG6280" s="256"/>
    </row>
    <row r="6281" spans="104:111">
      <c r="CZ6281" s="256"/>
      <c r="DG6281" s="256"/>
    </row>
    <row r="6282" spans="104:111">
      <c r="CZ6282" s="256"/>
      <c r="DG6282" s="256"/>
    </row>
    <row r="6283" spans="104:111">
      <c r="CZ6283" s="256"/>
      <c r="DG6283" s="256"/>
    </row>
    <row r="6284" spans="104:111">
      <c r="CZ6284" s="256"/>
      <c r="DG6284" s="256"/>
    </row>
    <row r="6285" spans="104:111">
      <c r="CZ6285" s="256"/>
      <c r="DG6285" s="256"/>
    </row>
    <row r="6286" spans="104:111">
      <c r="CZ6286" s="256"/>
      <c r="DG6286" s="256"/>
    </row>
    <row r="6287" spans="104:111">
      <c r="CZ6287" s="256"/>
      <c r="DG6287" s="256"/>
    </row>
    <row r="6288" spans="104:111">
      <c r="CZ6288" s="256"/>
      <c r="DG6288" s="256"/>
    </row>
    <row r="6289" spans="104:111">
      <c r="CZ6289" s="256"/>
      <c r="DG6289" s="256"/>
    </row>
    <row r="6290" spans="104:111">
      <c r="CZ6290" s="256"/>
      <c r="DG6290" s="256"/>
    </row>
    <row r="6291" spans="104:111">
      <c r="CZ6291" s="256"/>
      <c r="DG6291" s="256"/>
    </row>
    <row r="6292" spans="104:111">
      <c r="CZ6292" s="256"/>
      <c r="DG6292" s="256"/>
    </row>
    <row r="6293" spans="104:111">
      <c r="CZ6293" s="256"/>
      <c r="DG6293" s="256"/>
    </row>
    <row r="6294" spans="104:111">
      <c r="CZ6294" s="256"/>
      <c r="DG6294" s="256"/>
    </row>
    <row r="6295" spans="104:111">
      <c r="CZ6295" s="256"/>
      <c r="DG6295" s="256"/>
    </row>
    <row r="6296" spans="104:111">
      <c r="CZ6296" s="256"/>
      <c r="DG6296" s="256"/>
    </row>
    <row r="6297" spans="104:111">
      <c r="CZ6297" s="256"/>
      <c r="DG6297" s="256"/>
    </row>
    <row r="6298" spans="104:111">
      <c r="CZ6298" s="256"/>
      <c r="DG6298" s="256"/>
    </row>
    <row r="6299" spans="104:111">
      <c r="CZ6299" s="256"/>
      <c r="DG6299" s="256"/>
    </row>
    <row r="6300" spans="104:111">
      <c r="CZ6300" s="256"/>
      <c r="DG6300" s="256"/>
    </row>
    <row r="6301" spans="104:111">
      <c r="CZ6301" s="256"/>
      <c r="DG6301" s="256"/>
    </row>
    <row r="6302" spans="104:111">
      <c r="CZ6302" s="256"/>
      <c r="DG6302" s="256"/>
    </row>
    <row r="6303" spans="104:111">
      <c r="CZ6303" s="256"/>
      <c r="DG6303" s="256"/>
    </row>
    <row r="6304" spans="104:111">
      <c r="CZ6304" s="256"/>
      <c r="DG6304" s="256"/>
    </row>
    <row r="6305" spans="104:111">
      <c r="CZ6305" s="256"/>
      <c r="DG6305" s="256"/>
    </row>
    <row r="6306" spans="104:111">
      <c r="CZ6306" s="256"/>
      <c r="DG6306" s="256"/>
    </row>
    <row r="6307" spans="104:111">
      <c r="CZ6307" s="256"/>
      <c r="DG6307" s="256"/>
    </row>
    <row r="6308" spans="104:111">
      <c r="CZ6308" s="256"/>
      <c r="DG6308" s="256"/>
    </row>
    <row r="6309" spans="104:111">
      <c r="CZ6309" s="256"/>
      <c r="DG6309" s="256"/>
    </row>
    <row r="6310" spans="104:111">
      <c r="CZ6310" s="256"/>
      <c r="DG6310" s="256"/>
    </row>
    <row r="6311" spans="104:111">
      <c r="CZ6311" s="256"/>
      <c r="DG6311" s="256"/>
    </row>
    <row r="6312" spans="104:111">
      <c r="CZ6312" s="256"/>
      <c r="DG6312" s="256"/>
    </row>
    <row r="6313" spans="104:111">
      <c r="CZ6313" s="256"/>
      <c r="DG6313" s="256"/>
    </row>
    <row r="6314" spans="104:111">
      <c r="CZ6314" s="256"/>
      <c r="DG6314" s="256"/>
    </row>
    <row r="6315" spans="104:111">
      <c r="CZ6315" s="256"/>
      <c r="DG6315" s="256"/>
    </row>
    <row r="6316" spans="104:111">
      <c r="CZ6316" s="256"/>
      <c r="DG6316" s="256"/>
    </row>
    <row r="6317" spans="104:111">
      <c r="CZ6317" s="256"/>
      <c r="DG6317" s="256"/>
    </row>
    <row r="6318" spans="104:111">
      <c r="CZ6318" s="256"/>
      <c r="DG6318" s="256"/>
    </row>
    <row r="6319" spans="104:111">
      <c r="CZ6319" s="256"/>
      <c r="DG6319" s="256"/>
    </row>
    <row r="6320" spans="104:111">
      <c r="CZ6320" s="256"/>
      <c r="DG6320" s="256"/>
    </row>
    <row r="6321" spans="104:111">
      <c r="CZ6321" s="256"/>
      <c r="DG6321" s="256"/>
    </row>
    <row r="6322" spans="104:111">
      <c r="CZ6322" s="256"/>
      <c r="DG6322" s="256"/>
    </row>
    <row r="6323" spans="104:111">
      <c r="CZ6323" s="256"/>
      <c r="DG6323" s="256"/>
    </row>
    <row r="6324" spans="104:111">
      <c r="CZ6324" s="256"/>
      <c r="DG6324" s="256"/>
    </row>
    <row r="6325" spans="104:111">
      <c r="CZ6325" s="256"/>
      <c r="DG6325" s="256"/>
    </row>
    <row r="6326" spans="104:111">
      <c r="CZ6326" s="256"/>
      <c r="DG6326" s="256"/>
    </row>
    <row r="6327" spans="104:111">
      <c r="CZ6327" s="256"/>
      <c r="DG6327" s="256"/>
    </row>
    <row r="6328" spans="104:111">
      <c r="CZ6328" s="256"/>
      <c r="DG6328" s="256"/>
    </row>
    <row r="6329" spans="104:111">
      <c r="CZ6329" s="256"/>
      <c r="DG6329" s="256"/>
    </row>
    <row r="6330" spans="104:111">
      <c r="CZ6330" s="256"/>
      <c r="DG6330" s="256"/>
    </row>
    <row r="6331" spans="104:111">
      <c r="CZ6331" s="256"/>
      <c r="DG6331" s="256"/>
    </row>
    <row r="6332" spans="104:111">
      <c r="CZ6332" s="256"/>
      <c r="DG6332" s="256"/>
    </row>
    <row r="6333" spans="104:111">
      <c r="CZ6333" s="256"/>
      <c r="DG6333" s="256"/>
    </row>
    <row r="6334" spans="104:111">
      <c r="CZ6334" s="256"/>
      <c r="DG6334" s="256"/>
    </row>
    <row r="6335" spans="104:111">
      <c r="CZ6335" s="256"/>
      <c r="DG6335" s="256"/>
    </row>
    <row r="6336" spans="104:111">
      <c r="CZ6336" s="256"/>
      <c r="DG6336" s="256"/>
    </row>
    <row r="6337" spans="104:111">
      <c r="CZ6337" s="256"/>
      <c r="DG6337" s="256"/>
    </row>
    <row r="6338" spans="104:111">
      <c r="CZ6338" s="256"/>
      <c r="DG6338" s="256"/>
    </row>
    <row r="6339" spans="104:111">
      <c r="CZ6339" s="256"/>
      <c r="DG6339" s="256"/>
    </row>
    <row r="6340" spans="104:111">
      <c r="CZ6340" s="256"/>
      <c r="DG6340" s="256"/>
    </row>
    <row r="6341" spans="104:111">
      <c r="CZ6341" s="256"/>
      <c r="DG6341" s="256"/>
    </row>
    <row r="6342" spans="104:111">
      <c r="CZ6342" s="256"/>
      <c r="DG6342" s="256"/>
    </row>
    <row r="6343" spans="104:111">
      <c r="CZ6343" s="256"/>
      <c r="DG6343" s="256"/>
    </row>
    <row r="6344" spans="104:111">
      <c r="CZ6344" s="256"/>
      <c r="DG6344" s="256"/>
    </row>
    <row r="6345" spans="104:111">
      <c r="CZ6345" s="256"/>
      <c r="DG6345" s="256"/>
    </row>
    <row r="6346" spans="104:111">
      <c r="CZ6346" s="256"/>
      <c r="DG6346" s="256"/>
    </row>
    <row r="6347" spans="104:111">
      <c r="CZ6347" s="256"/>
      <c r="DG6347" s="256"/>
    </row>
    <row r="6348" spans="104:111">
      <c r="CZ6348" s="256"/>
      <c r="DG6348" s="256"/>
    </row>
    <row r="6349" spans="104:111">
      <c r="CZ6349" s="256"/>
      <c r="DG6349" s="256"/>
    </row>
    <row r="6350" spans="104:111">
      <c r="CZ6350" s="256"/>
      <c r="DG6350" s="256"/>
    </row>
    <row r="6351" spans="104:111">
      <c r="CZ6351" s="256"/>
      <c r="DG6351" s="256"/>
    </row>
    <row r="6352" spans="104:111">
      <c r="CZ6352" s="256"/>
      <c r="DG6352" s="256"/>
    </row>
    <row r="6353" spans="104:111">
      <c r="CZ6353" s="256"/>
      <c r="DG6353" s="256"/>
    </row>
    <row r="6354" spans="104:111">
      <c r="CZ6354" s="256"/>
      <c r="DG6354" s="256"/>
    </row>
    <row r="6355" spans="104:111">
      <c r="CZ6355" s="256"/>
      <c r="DG6355" s="256"/>
    </row>
    <row r="6356" spans="104:111">
      <c r="CZ6356" s="256"/>
      <c r="DG6356" s="256"/>
    </row>
    <row r="6357" spans="104:111">
      <c r="CZ6357" s="256"/>
      <c r="DG6357" s="256"/>
    </row>
    <row r="6358" spans="104:111">
      <c r="CZ6358" s="256"/>
      <c r="DG6358" s="256"/>
    </row>
    <row r="6359" spans="104:111">
      <c r="CZ6359" s="256"/>
      <c r="DG6359" s="256"/>
    </row>
    <row r="6360" spans="104:111">
      <c r="CZ6360" s="256"/>
      <c r="DG6360" s="256"/>
    </row>
    <row r="6361" spans="104:111">
      <c r="CZ6361" s="256"/>
      <c r="DG6361" s="256"/>
    </row>
    <row r="6362" spans="104:111">
      <c r="CZ6362" s="256"/>
      <c r="DG6362" s="256"/>
    </row>
    <row r="6363" spans="104:111">
      <c r="CZ6363" s="256"/>
      <c r="DG6363" s="256"/>
    </row>
    <row r="6364" spans="104:111">
      <c r="CZ6364" s="256"/>
      <c r="DG6364" s="256"/>
    </row>
    <row r="6365" spans="104:111">
      <c r="CZ6365" s="256"/>
      <c r="DG6365" s="256"/>
    </row>
    <row r="6366" spans="104:111">
      <c r="CZ6366" s="256"/>
      <c r="DG6366" s="256"/>
    </row>
    <row r="6367" spans="104:111">
      <c r="CZ6367" s="256"/>
      <c r="DG6367" s="256"/>
    </row>
    <row r="6368" spans="104:111">
      <c r="CZ6368" s="256"/>
      <c r="DG6368" s="256"/>
    </row>
    <row r="6369" spans="104:111">
      <c r="CZ6369" s="256"/>
      <c r="DG6369" s="256"/>
    </row>
    <row r="6370" spans="104:111">
      <c r="CZ6370" s="256"/>
      <c r="DG6370" s="256"/>
    </row>
    <row r="6371" spans="104:111">
      <c r="CZ6371" s="256"/>
      <c r="DG6371" s="256"/>
    </row>
    <row r="6372" spans="104:111">
      <c r="CZ6372" s="256"/>
      <c r="DG6372" s="256"/>
    </row>
    <row r="6373" spans="104:111">
      <c r="CZ6373" s="256"/>
      <c r="DG6373" s="256"/>
    </row>
    <row r="6374" spans="104:111">
      <c r="CZ6374" s="256"/>
      <c r="DG6374" s="256"/>
    </row>
    <row r="6375" spans="104:111">
      <c r="CZ6375" s="256"/>
      <c r="DG6375" s="256"/>
    </row>
    <row r="6376" spans="104:111">
      <c r="CZ6376" s="256"/>
      <c r="DG6376" s="256"/>
    </row>
    <row r="6377" spans="104:111">
      <c r="CZ6377" s="256"/>
      <c r="DG6377" s="256"/>
    </row>
    <row r="6378" spans="104:111">
      <c r="CZ6378" s="256"/>
      <c r="DG6378" s="256"/>
    </row>
    <row r="6379" spans="104:111">
      <c r="CZ6379" s="256"/>
      <c r="DG6379" s="256"/>
    </row>
    <row r="6380" spans="104:111">
      <c r="CZ6380" s="256"/>
      <c r="DG6380" s="256"/>
    </row>
    <row r="6381" spans="104:111">
      <c r="CZ6381" s="256"/>
      <c r="DG6381" s="256"/>
    </row>
    <row r="6382" spans="104:111">
      <c r="CZ6382" s="256"/>
      <c r="DG6382" s="256"/>
    </row>
    <row r="6383" spans="104:111">
      <c r="CZ6383" s="256"/>
      <c r="DG6383" s="256"/>
    </row>
    <row r="6384" spans="104:111">
      <c r="CZ6384" s="256"/>
      <c r="DG6384" s="256"/>
    </row>
    <row r="6385" spans="104:111">
      <c r="CZ6385" s="256"/>
      <c r="DG6385" s="256"/>
    </row>
    <row r="6386" spans="104:111">
      <c r="CZ6386" s="256"/>
      <c r="DG6386" s="256"/>
    </row>
    <row r="6387" spans="104:111">
      <c r="CZ6387" s="256"/>
      <c r="DG6387" s="256"/>
    </row>
    <row r="6388" spans="104:111">
      <c r="CZ6388" s="256"/>
      <c r="DG6388" s="256"/>
    </row>
    <row r="6389" spans="104:111">
      <c r="CZ6389" s="256"/>
      <c r="DG6389" s="256"/>
    </row>
    <row r="6390" spans="104:111">
      <c r="CZ6390" s="256"/>
      <c r="DG6390" s="256"/>
    </row>
    <row r="6391" spans="104:111">
      <c r="CZ6391" s="256"/>
      <c r="DG6391" s="256"/>
    </row>
    <row r="6392" spans="104:111">
      <c r="CZ6392" s="256"/>
      <c r="DG6392" s="256"/>
    </row>
    <row r="6393" spans="104:111">
      <c r="CZ6393" s="256"/>
      <c r="DG6393" s="256"/>
    </row>
    <row r="6394" spans="104:111">
      <c r="CZ6394" s="256"/>
      <c r="DG6394" s="256"/>
    </row>
    <row r="6395" spans="104:111">
      <c r="CZ6395" s="256"/>
      <c r="DG6395" s="256"/>
    </row>
    <row r="6396" spans="104:111">
      <c r="CZ6396" s="256"/>
      <c r="DG6396" s="256"/>
    </row>
    <row r="6397" spans="104:111">
      <c r="CZ6397" s="256"/>
      <c r="DG6397" s="256"/>
    </row>
    <row r="6398" spans="104:111">
      <c r="CZ6398" s="256"/>
      <c r="DG6398" s="256"/>
    </row>
    <row r="6399" spans="104:111">
      <c r="CZ6399" s="256"/>
      <c r="DG6399" s="256"/>
    </row>
    <row r="6400" spans="104:111">
      <c r="CZ6400" s="256"/>
      <c r="DG6400" s="256"/>
    </row>
    <row r="6401" spans="104:111">
      <c r="CZ6401" s="256"/>
      <c r="DG6401" s="256"/>
    </row>
    <row r="6402" spans="104:111">
      <c r="CZ6402" s="256"/>
      <c r="DG6402" s="256"/>
    </row>
    <row r="6403" spans="104:111">
      <c r="CZ6403" s="256"/>
      <c r="DG6403" s="256"/>
    </row>
    <row r="6404" spans="104:111">
      <c r="CZ6404" s="256"/>
      <c r="DG6404" s="256"/>
    </row>
    <row r="6405" spans="104:111">
      <c r="CZ6405" s="256"/>
      <c r="DG6405" s="256"/>
    </row>
    <row r="6406" spans="104:111">
      <c r="CZ6406" s="256"/>
      <c r="DG6406" s="256"/>
    </row>
    <row r="6407" spans="104:111">
      <c r="CZ6407" s="256"/>
      <c r="DG6407" s="256"/>
    </row>
    <row r="6408" spans="104:111">
      <c r="CZ6408" s="256"/>
      <c r="DG6408" s="256"/>
    </row>
    <row r="6409" spans="104:111">
      <c r="CZ6409" s="256"/>
      <c r="DG6409" s="256"/>
    </row>
    <row r="6410" spans="104:111">
      <c r="CZ6410" s="256"/>
      <c r="DG6410" s="256"/>
    </row>
    <row r="6411" spans="104:111">
      <c r="CZ6411" s="256"/>
      <c r="DG6411" s="256"/>
    </row>
    <row r="6412" spans="104:111">
      <c r="CZ6412" s="256"/>
      <c r="DG6412" s="256"/>
    </row>
    <row r="6413" spans="104:111">
      <c r="CZ6413" s="256"/>
      <c r="DG6413" s="256"/>
    </row>
    <row r="6414" spans="104:111">
      <c r="CZ6414" s="256"/>
      <c r="DG6414" s="256"/>
    </row>
    <row r="6415" spans="104:111">
      <c r="CZ6415" s="256"/>
      <c r="DG6415" s="256"/>
    </row>
    <row r="6416" spans="104:111">
      <c r="CZ6416" s="256"/>
      <c r="DG6416" s="256"/>
    </row>
    <row r="6417" spans="104:111">
      <c r="CZ6417" s="256"/>
      <c r="DG6417" s="256"/>
    </row>
    <row r="6418" spans="104:111">
      <c r="CZ6418" s="256"/>
      <c r="DG6418" s="256"/>
    </row>
    <row r="6419" spans="104:111">
      <c r="CZ6419" s="256"/>
      <c r="DG6419" s="256"/>
    </row>
    <row r="6420" spans="104:111">
      <c r="CZ6420" s="256"/>
      <c r="DG6420" s="256"/>
    </row>
    <row r="6421" spans="104:111">
      <c r="CZ6421" s="256"/>
      <c r="DG6421" s="256"/>
    </row>
    <row r="6422" spans="104:111">
      <c r="CZ6422" s="256"/>
      <c r="DG6422" s="256"/>
    </row>
    <row r="6423" spans="104:111">
      <c r="CZ6423" s="256"/>
      <c r="DG6423" s="256"/>
    </row>
    <row r="6424" spans="104:111">
      <c r="CZ6424" s="256"/>
      <c r="DG6424" s="256"/>
    </row>
    <row r="6425" spans="104:111">
      <c r="CZ6425" s="256"/>
      <c r="DG6425" s="256"/>
    </row>
    <row r="6426" spans="104:111">
      <c r="CZ6426" s="256"/>
      <c r="DG6426" s="256"/>
    </row>
    <row r="6427" spans="104:111">
      <c r="CZ6427" s="256"/>
      <c r="DG6427" s="256"/>
    </row>
    <row r="6428" spans="104:111">
      <c r="CZ6428" s="256"/>
      <c r="DG6428" s="256"/>
    </row>
    <row r="6429" spans="104:111">
      <c r="CZ6429" s="256"/>
      <c r="DG6429" s="256"/>
    </row>
    <row r="6430" spans="104:111">
      <c r="CZ6430" s="256"/>
      <c r="DG6430" s="256"/>
    </row>
    <row r="6431" spans="104:111">
      <c r="CZ6431" s="256"/>
      <c r="DG6431" s="256"/>
    </row>
    <row r="6432" spans="104:111">
      <c r="CZ6432" s="256"/>
      <c r="DG6432" s="256"/>
    </row>
    <row r="6433" spans="104:111">
      <c r="CZ6433" s="256"/>
      <c r="DG6433" s="256"/>
    </row>
    <row r="6434" spans="104:111">
      <c r="CZ6434" s="256"/>
      <c r="DG6434" s="256"/>
    </row>
    <row r="6435" spans="104:111">
      <c r="CZ6435" s="256"/>
      <c r="DG6435" s="256"/>
    </row>
    <row r="6436" spans="104:111">
      <c r="CZ6436" s="256"/>
      <c r="DG6436" s="256"/>
    </row>
    <row r="6437" spans="104:111">
      <c r="CZ6437" s="256"/>
      <c r="DG6437" s="256"/>
    </row>
    <row r="6438" spans="104:111">
      <c r="CZ6438" s="256"/>
      <c r="DG6438" s="256"/>
    </row>
    <row r="6439" spans="104:111">
      <c r="CZ6439" s="256"/>
      <c r="DG6439" s="256"/>
    </row>
    <row r="6440" spans="104:111">
      <c r="CZ6440" s="256"/>
      <c r="DG6440" s="256"/>
    </row>
    <row r="6441" spans="104:111">
      <c r="CZ6441" s="256"/>
      <c r="DG6441" s="256"/>
    </row>
    <row r="6442" spans="104:111">
      <c r="CZ6442" s="256"/>
      <c r="DG6442" s="256"/>
    </row>
    <row r="6443" spans="104:111">
      <c r="CZ6443" s="256"/>
      <c r="DG6443" s="256"/>
    </row>
    <row r="6444" spans="104:111">
      <c r="CZ6444" s="256"/>
      <c r="DG6444" s="256"/>
    </row>
    <row r="6445" spans="104:111">
      <c r="CZ6445" s="256"/>
      <c r="DG6445" s="256"/>
    </row>
    <row r="6446" spans="104:111">
      <c r="CZ6446" s="256"/>
      <c r="DG6446" s="256"/>
    </row>
    <row r="6447" spans="104:111">
      <c r="CZ6447" s="256"/>
      <c r="DG6447" s="256"/>
    </row>
    <row r="6448" spans="104:111">
      <c r="CZ6448" s="256"/>
      <c r="DG6448" s="256"/>
    </row>
    <row r="6449" spans="104:111">
      <c r="CZ6449" s="256"/>
      <c r="DG6449" s="256"/>
    </row>
    <row r="6450" spans="104:111">
      <c r="CZ6450" s="256"/>
      <c r="DG6450" s="256"/>
    </row>
    <row r="6451" spans="104:111">
      <c r="CZ6451" s="256"/>
      <c r="DG6451" s="256"/>
    </row>
    <row r="6452" spans="104:111">
      <c r="CZ6452" s="256"/>
      <c r="DG6452" s="256"/>
    </row>
    <row r="6453" spans="104:111">
      <c r="CZ6453" s="256"/>
      <c r="DG6453" s="256"/>
    </row>
    <row r="6454" spans="104:111">
      <c r="CZ6454" s="256"/>
      <c r="DG6454" s="256"/>
    </row>
    <row r="6455" spans="104:111">
      <c r="CZ6455" s="256"/>
      <c r="DG6455" s="256"/>
    </row>
    <row r="6456" spans="104:111">
      <c r="CZ6456" s="256"/>
      <c r="DG6456" s="256"/>
    </row>
    <row r="6457" spans="104:111">
      <c r="CZ6457" s="256"/>
      <c r="DG6457" s="256"/>
    </row>
    <row r="6458" spans="104:111">
      <c r="CZ6458" s="256"/>
      <c r="DG6458" s="256"/>
    </row>
    <row r="6459" spans="104:111">
      <c r="CZ6459" s="256"/>
      <c r="DG6459" s="256"/>
    </row>
    <row r="6460" spans="104:111">
      <c r="CZ6460" s="256"/>
      <c r="DG6460" s="256"/>
    </row>
    <row r="6461" spans="104:111">
      <c r="CZ6461" s="256"/>
      <c r="DG6461" s="256"/>
    </row>
    <row r="6462" spans="104:111">
      <c r="CZ6462" s="256"/>
      <c r="DG6462" s="256"/>
    </row>
    <row r="6463" spans="104:111">
      <c r="CZ6463" s="256"/>
      <c r="DG6463" s="256"/>
    </row>
    <row r="6464" spans="104:111">
      <c r="CZ6464" s="256"/>
      <c r="DG6464" s="256"/>
    </row>
    <row r="6465" spans="104:111">
      <c r="CZ6465" s="256"/>
      <c r="DG6465" s="256"/>
    </row>
    <row r="6466" spans="104:111">
      <c r="CZ6466" s="256"/>
      <c r="DG6466" s="256"/>
    </row>
    <row r="6467" spans="104:111">
      <c r="CZ6467" s="256"/>
      <c r="DG6467" s="256"/>
    </row>
    <row r="6468" spans="104:111">
      <c r="CZ6468" s="256"/>
      <c r="DG6468" s="256"/>
    </row>
    <row r="6469" spans="104:111">
      <c r="CZ6469" s="256"/>
      <c r="DG6469" s="256"/>
    </row>
    <row r="6470" spans="104:111">
      <c r="CZ6470" s="256"/>
      <c r="DG6470" s="256"/>
    </row>
    <row r="6471" spans="104:111">
      <c r="CZ6471" s="256"/>
      <c r="DG6471" s="256"/>
    </row>
    <row r="6472" spans="104:111">
      <c r="CZ6472" s="256"/>
      <c r="DG6472" s="256"/>
    </row>
    <row r="6473" spans="104:111">
      <c r="CZ6473" s="256"/>
      <c r="DG6473" s="256"/>
    </row>
    <row r="6474" spans="104:111">
      <c r="CZ6474" s="256"/>
      <c r="DG6474" s="256"/>
    </row>
    <row r="6475" spans="104:111">
      <c r="CZ6475" s="256"/>
      <c r="DG6475" s="256"/>
    </row>
    <row r="6476" spans="104:111">
      <c r="CZ6476" s="256"/>
      <c r="DG6476" s="256"/>
    </row>
    <row r="6477" spans="104:111">
      <c r="CZ6477" s="256"/>
      <c r="DG6477" s="256"/>
    </row>
    <row r="6478" spans="104:111">
      <c r="CZ6478" s="256"/>
      <c r="DG6478" s="256"/>
    </row>
    <row r="6479" spans="104:111">
      <c r="CZ6479" s="256"/>
      <c r="DG6479" s="256"/>
    </row>
    <row r="6480" spans="104:111">
      <c r="CZ6480" s="256"/>
      <c r="DG6480" s="256"/>
    </row>
    <row r="6481" spans="104:111">
      <c r="CZ6481" s="256"/>
      <c r="DG6481" s="256"/>
    </row>
    <row r="6482" spans="104:111">
      <c r="CZ6482" s="256"/>
      <c r="DG6482" s="256"/>
    </row>
    <row r="6483" spans="104:111">
      <c r="CZ6483" s="256"/>
      <c r="DG6483" s="256"/>
    </row>
    <row r="6484" spans="104:111">
      <c r="CZ6484" s="256"/>
      <c r="DG6484" s="256"/>
    </row>
    <row r="6485" spans="104:111">
      <c r="CZ6485" s="256"/>
      <c r="DG6485" s="256"/>
    </row>
    <row r="6486" spans="104:111">
      <c r="CZ6486" s="256"/>
      <c r="DG6486" s="256"/>
    </row>
    <row r="6487" spans="104:111">
      <c r="CZ6487" s="256"/>
      <c r="DG6487" s="256"/>
    </row>
    <row r="6488" spans="104:111">
      <c r="CZ6488" s="256"/>
      <c r="DG6488" s="256"/>
    </row>
    <row r="6489" spans="104:111">
      <c r="CZ6489" s="256"/>
      <c r="DG6489" s="256"/>
    </row>
    <row r="6490" spans="104:111">
      <c r="CZ6490" s="256"/>
      <c r="DG6490" s="256"/>
    </row>
    <row r="6491" spans="104:111">
      <c r="CZ6491" s="256"/>
      <c r="DG6491" s="256"/>
    </row>
    <row r="6492" spans="104:111">
      <c r="CZ6492" s="256"/>
      <c r="DG6492" s="256"/>
    </row>
    <row r="6493" spans="104:111">
      <c r="CZ6493" s="256"/>
      <c r="DG6493" s="256"/>
    </row>
    <row r="6494" spans="104:111">
      <c r="CZ6494" s="256"/>
      <c r="DG6494" s="256"/>
    </row>
    <row r="6495" spans="104:111">
      <c r="CZ6495" s="256"/>
      <c r="DG6495" s="256"/>
    </row>
    <row r="6496" spans="104:111">
      <c r="CZ6496" s="256"/>
      <c r="DG6496" s="256"/>
    </row>
    <row r="6497" spans="104:111">
      <c r="CZ6497" s="256"/>
      <c r="DG6497" s="256"/>
    </row>
    <row r="6498" spans="104:111">
      <c r="CZ6498" s="256"/>
      <c r="DG6498" s="256"/>
    </row>
    <row r="6499" spans="104:111">
      <c r="CZ6499" s="256"/>
      <c r="DG6499" s="256"/>
    </row>
    <row r="6500" spans="104:111">
      <c r="CZ6500" s="256"/>
      <c r="DG6500" s="256"/>
    </row>
    <row r="6501" spans="104:111">
      <c r="CZ6501" s="256"/>
      <c r="DG6501" s="256"/>
    </row>
    <row r="6502" spans="104:111">
      <c r="CZ6502" s="256"/>
      <c r="DG6502" s="256"/>
    </row>
    <row r="6503" spans="104:111">
      <c r="CZ6503" s="256"/>
      <c r="DG6503" s="256"/>
    </row>
    <row r="6504" spans="104:111">
      <c r="CZ6504" s="256"/>
      <c r="DG6504" s="256"/>
    </row>
    <row r="6505" spans="104:111">
      <c r="CZ6505" s="256"/>
      <c r="DG6505" s="256"/>
    </row>
    <row r="6506" spans="104:111">
      <c r="CZ6506" s="256"/>
      <c r="DG6506" s="256"/>
    </row>
    <row r="6507" spans="104:111">
      <c r="CZ6507" s="256"/>
      <c r="DG6507" s="256"/>
    </row>
    <row r="6508" spans="104:111">
      <c r="CZ6508" s="256"/>
      <c r="DG6508" s="256"/>
    </row>
    <row r="6509" spans="104:111">
      <c r="CZ6509" s="256"/>
      <c r="DG6509" s="256"/>
    </row>
    <row r="6510" spans="104:111">
      <c r="CZ6510" s="256"/>
      <c r="DG6510" s="256"/>
    </row>
    <row r="6511" spans="104:111">
      <c r="CZ6511" s="256"/>
      <c r="DG6511" s="256"/>
    </row>
    <row r="6512" spans="104:111">
      <c r="CZ6512" s="256"/>
      <c r="DG6512" s="256"/>
    </row>
    <row r="6513" spans="104:111">
      <c r="CZ6513" s="256"/>
      <c r="DG6513" s="256"/>
    </row>
    <row r="6514" spans="104:111">
      <c r="CZ6514" s="256"/>
      <c r="DG6514" s="256"/>
    </row>
    <row r="6515" spans="104:111">
      <c r="CZ6515" s="256"/>
      <c r="DG6515" s="256"/>
    </row>
    <row r="6516" spans="104:111">
      <c r="CZ6516" s="256"/>
      <c r="DG6516" s="256"/>
    </row>
    <row r="6517" spans="104:111">
      <c r="CZ6517" s="256"/>
      <c r="DG6517" s="256"/>
    </row>
    <row r="6518" spans="104:111">
      <c r="CZ6518" s="256"/>
      <c r="DG6518" s="256"/>
    </row>
    <row r="6519" spans="104:111">
      <c r="CZ6519" s="256"/>
      <c r="DG6519" s="256"/>
    </row>
    <row r="6520" spans="104:111">
      <c r="CZ6520" s="256"/>
      <c r="DG6520" s="256"/>
    </row>
    <row r="6521" spans="104:111">
      <c r="CZ6521" s="256"/>
      <c r="DG6521" s="256"/>
    </row>
    <row r="6522" spans="104:111">
      <c r="CZ6522" s="256"/>
      <c r="DG6522" s="256"/>
    </row>
    <row r="6523" spans="104:111">
      <c r="CZ6523" s="256"/>
      <c r="DG6523" s="256"/>
    </row>
    <row r="6524" spans="104:111">
      <c r="CZ6524" s="256"/>
      <c r="DG6524" s="256"/>
    </row>
    <row r="6525" spans="104:111">
      <c r="CZ6525" s="256"/>
      <c r="DG6525" s="256"/>
    </row>
    <row r="6526" spans="104:111">
      <c r="CZ6526" s="256"/>
      <c r="DG6526" s="256"/>
    </row>
    <row r="6527" spans="104:111">
      <c r="CZ6527" s="256"/>
      <c r="DG6527" s="256"/>
    </row>
    <row r="6528" spans="104:111">
      <c r="CZ6528" s="256"/>
      <c r="DG6528" s="256"/>
    </row>
    <row r="6529" spans="104:111">
      <c r="CZ6529" s="256"/>
      <c r="DG6529" s="256"/>
    </row>
    <row r="6530" spans="104:111">
      <c r="CZ6530" s="256"/>
      <c r="DG6530" s="256"/>
    </row>
    <row r="6531" spans="104:111">
      <c r="CZ6531" s="256"/>
      <c r="DG6531" s="256"/>
    </row>
    <row r="6532" spans="104:111">
      <c r="CZ6532" s="256"/>
      <c r="DG6532" s="256"/>
    </row>
    <row r="6533" spans="104:111">
      <c r="CZ6533" s="256"/>
      <c r="DG6533" s="256"/>
    </row>
    <row r="6534" spans="104:111">
      <c r="CZ6534" s="256"/>
      <c r="DG6534" s="256"/>
    </row>
    <row r="6535" spans="104:111">
      <c r="CZ6535" s="256"/>
      <c r="DG6535" s="256"/>
    </row>
    <row r="6536" spans="104:111">
      <c r="CZ6536" s="256"/>
      <c r="DG6536" s="256"/>
    </row>
    <row r="6537" spans="104:111">
      <c r="CZ6537" s="256"/>
      <c r="DG6537" s="256"/>
    </row>
    <row r="6538" spans="104:111">
      <c r="CZ6538" s="256"/>
      <c r="DG6538" s="256"/>
    </row>
    <row r="6539" spans="104:111">
      <c r="CZ6539" s="256"/>
      <c r="DG6539" s="256"/>
    </row>
    <row r="6540" spans="104:111">
      <c r="CZ6540" s="256"/>
      <c r="DG6540" s="256"/>
    </row>
    <row r="6541" spans="104:111">
      <c r="CZ6541" s="256"/>
      <c r="DG6541" s="256"/>
    </row>
    <row r="6542" spans="104:111">
      <c r="CZ6542" s="256"/>
      <c r="DG6542" s="256"/>
    </row>
    <row r="6543" spans="104:111">
      <c r="CZ6543" s="256"/>
      <c r="DG6543" s="256"/>
    </row>
    <row r="6544" spans="104:111">
      <c r="CZ6544" s="256"/>
      <c r="DG6544" s="256"/>
    </row>
    <row r="6545" spans="104:111">
      <c r="CZ6545" s="256"/>
      <c r="DG6545" s="256"/>
    </row>
    <row r="6546" spans="104:111">
      <c r="CZ6546" s="256"/>
      <c r="DG6546" s="256"/>
    </row>
    <row r="6547" spans="104:111">
      <c r="CZ6547" s="256"/>
      <c r="DG6547" s="256"/>
    </row>
    <row r="6548" spans="104:111">
      <c r="CZ6548" s="256"/>
      <c r="DG6548" s="256"/>
    </row>
    <row r="6549" spans="104:111">
      <c r="CZ6549" s="256"/>
      <c r="DG6549" s="256"/>
    </row>
    <row r="6550" spans="104:111">
      <c r="CZ6550" s="256"/>
      <c r="DG6550" s="256"/>
    </row>
    <row r="6551" spans="104:111">
      <c r="CZ6551" s="256"/>
      <c r="DG6551" s="256"/>
    </row>
    <row r="6552" spans="104:111">
      <c r="CZ6552" s="256"/>
      <c r="DG6552" s="256"/>
    </row>
    <row r="6553" spans="104:111">
      <c r="CZ6553" s="256"/>
      <c r="DG6553" s="256"/>
    </row>
    <row r="6554" spans="104:111">
      <c r="CZ6554" s="256"/>
      <c r="DG6554" s="256"/>
    </row>
    <row r="6555" spans="104:111">
      <c r="CZ6555" s="256"/>
      <c r="DG6555" s="256"/>
    </row>
    <row r="6556" spans="104:111">
      <c r="CZ6556" s="256"/>
      <c r="DG6556" s="256"/>
    </row>
    <row r="6557" spans="104:111">
      <c r="CZ6557" s="256"/>
      <c r="DG6557" s="256"/>
    </row>
    <row r="6558" spans="104:111">
      <c r="CZ6558" s="256"/>
      <c r="DG6558" s="256"/>
    </row>
    <row r="6559" spans="104:111">
      <c r="CZ6559" s="256"/>
      <c r="DG6559" s="256"/>
    </row>
    <row r="6560" spans="104:111">
      <c r="CZ6560" s="256"/>
      <c r="DG6560" s="256"/>
    </row>
    <row r="6561" spans="104:111">
      <c r="CZ6561" s="256"/>
      <c r="DG6561" s="256"/>
    </row>
    <row r="6562" spans="104:111">
      <c r="CZ6562" s="256"/>
      <c r="DG6562" s="256"/>
    </row>
    <row r="6563" spans="104:111">
      <c r="CZ6563" s="256"/>
      <c r="DG6563" s="256"/>
    </row>
    <row r="6564" spans="104:111">
      <c r="CZ6564" s="256"/>
      <c r="DG6564" s="256"/>
    </row>
    <row r="6565" spans="104:111">
      <c r="CZ6565" s="256"/>
      <c r="DG6565" s="256"/>
    </row>
    <row r="6566" spans="104:111">
      <c r="CZ6566" s="256"/>
      <c r="DG6566" s="256"/>
    </row>
    <row r="6567" spans="104:111">
      <c r="CZ6567" s="256"/>
      <c r="DG6567" s="256"/>
    </row>
    <row r="6568" spans="104:111">
      <c r="CZ6568" s="256"/>
      <c r="DG6568" s="256"/>
    </row>
    <row r="6569" spans="104:111">
      <c r="CZ6569" s="256"/>
      <c r="DG6569" s="256"/>
    </row>
    <row r="6570" spans="104:111">
      <c r="CZ6570" s="256"/>
      <c r="DG6570" s="256"/>
    </row>
    <row r="6571" spans="104:111">
      <c r="CZ6571" s="256"/>
      <c r="DG6571" s="256"/>
    </row>
    <row r="6572" spans="104:111">
      <c r="CZ6572" s="256"/>
      <c r="DG6572" s="256"/>
    </row>
    <row r="6573" spans="104:111">
      <c r="CZ6573" s="256"/>
      <c r="DG6573" s="256"/>
    </row>
    <row r="6574" spans="104:111">
      <c r="CZ6574" s="256"/>
      <c r="DG6574" s="256"/>
    </row>
    <row r="6575" spans="104:111">
      <c r="CZ6575" s="256"/>
      <c r="DG6575" s="256"/>
    </row>
    <row r="6576" spans="104:111">
      <c r="CZ6576" s="256"/>
      <c r="DG6576" s="256"/>
    </row>
    <row r="6577" spans="104:111">
      <c r="CZ6577" s="256"/>
      <c r="DG6577" s="256"/>
    </row>
    <row r="6578" spans="104:111">
      <c r="CZ6578" s="256"/>
      <c r="DG6578" s="256"/>
    </row>
    <row r="6579" spans="104:111">
      <c r="CZ6579" s="256"/>
      <c r="DG6579" s="256"/>
    </row>
    <row r="6580" spans="104:111">
      <c r="CZ6580" s="256"/>
      <c r="DG6580" s="256"/>
    </row>
    <row r="6581" spans="104:111">
      <c r="CZ6581" s="256"/>
      <c r="DG6581" s="256"/>
    </row>
    <row r="6582" spans="104:111">
      <c r="CZ6582" s="256"/>
      <c r="DG6582" s="256"/>
    </row>
    <row r="6583" spans="104:111">
      <c r="CZ6583" s="256"/>
      <c r="DG6583" s="256"/>
    </row>
    <row r="6584" spans="104:111">
      <c r="CZ6584" s="256"/>
      <c r="DG6584" s="256"/>
    </row>
    <row r="6585" spans="104:111">
      <c r="CZ6585" s="256"/>
      <c r="DG6585" s="256"/>
    </row>
    <row r="6586" spans="104:111">
      <c r="CZ6586" s="256"/>
      <c r="DG6586" s="256"/>
    </row>
    <row r="6587" spans="104:111">
      <c r="CZ6587" s="256"/>
      <c r="DG6587" s="256"/>
    </row>
    <row r="6588" spans="104:111">
      <c r="CZ6588" s="256"/>
      <c r="DG6588" s="256"/>
    </row>
    <row r="6589" spans="104:111">
      <c r="CZ6589" s="256"/>
      <c r="DG6589" s="256"/>
    </row>
    <row r="6590" spans="104:111">
      <c r="CZ6590" s="256"/>
      <c r="DG6590" s="256"/>
    </row>
    <row r="6591" spans="104:111">
      <c r="CZ6591" s="256"/>
      <c r="DG6591" s="256"/>
    </row>
    <row r="6592" spans="104:111">
      <c r="CZ6592" s="256"/>
      <c r="DG6592" s="256"/>
    </row>
    <row r="6593" spans="104:111">
      <c r="CZ6593" s="256"/>
      <c r="DG6593" s="256"/>
    </row>
    <row r="6594" spans="104:111">
      <c r="CZ6594" s="256"/>
      <c r="DG6594" s="256"/>
    </row>
    <row r="6595" spans="104:111">
      <c r="CZ6595" s="256"/>
      <c r="DG6595" s="256"/>
    </row>
    <row r="6596" spans="104:111">
      <c r="CZ6596" s="256"/>
      <c r="DG6596" s="256"/>
    </row>
    <row r="6597" spans="104:111">
      <c r="CZ6597" s="256"/>
      <c r="DG6597" s="256"/>
    </row>
    <row r="6598" spans="104:111">
      <c r="CZ6598" s="256"/>
      <c r="DG6598" s="256"/>
    </row>
    <row r="6599" spans="104:111">
      <c r="CZ6599" s="256"/>
      <c r="DG6599" s="256"/>
    </row>
    <row r="6600" spans="104:111">
      <c r="CZ6600" s="256"/>
      <c r="DG6600" s="256"/>
    </row>
    <row r="6601" spans="104:111">
      <c r="CZ6601" s="256"/>
      <c r="DG6601" s="256"/>
    </row>
    <row r="6602" spans="104:111">
      <c r="CZ6602" s="256"/>
      <c r="DG6602" s="256"/>
    </row>
    <row r="6603" spans="104:111">
      <c r="CZ6603" s="256"/>
      <c r="DG6603" s="256"/>
    </row>
    <row r="6604" spans="104:111">
      <c r="CZ6604" s="256"/>
      <c r="DG6604" s="256"/>
    </row>
    <row r="6605" spans="104:111">
      <c r="CZ6605" s="256"/>
      <c r="DG6605" s="256"/>
    </row>
    <row r="6606" spans="104:111">
      <c r="CZ6606" s="256"/>
      <c r="DG6606" s="256"/>
    </row>
    <row r="6607" spans="104:111">
      <c r="CZ6607" s="256"/>
      <c r="DG6607" s="256"/>
    </row>
    <row r="6608" spans="104:111">
      <c r="CZ6608" s="256"/>
      <c r="DG6608" s="256"/>
    </row>
    <row r="6609" spans="104:111">
      <c r="CZ6609" s="256"/>
      <c r="DG6609" s="256"/>
    </row>
    <row r="6610" spans="104:111">
      <c r="CZ6610" s="256"/>
      <c r="DG6610" s="256"/>
    </row>
    <row r="6611" spans="104:111">
      <c r="CZ6611" s="256"/>
      <c r="DG6611" s="256"/>
    </row>
    <row r="6612" spans="104:111">
      <c r="CZ6612" s="256"/>
      <c r="DG6612" s="256"/>
    </row>
    <row r="6613" spans="104:111">
      <c r="CZ6613" s="256"/>
      <c r="DG6613" s="256"/>
    </row>
    <row r="6614" spans="104:111">
      <c r="CZ6614" s="256"/>
      <c r="DG6614" s="256"/>
    </row>
    <row r="6615" spans="104:111">
      <c r="CZ6615" s="256"/>
      <c r="DG6615" s="256"/>
    </row>
    <row r="6616" spans="104:111">
      <c r="CZ6616" s="256"/>
      <c r="DG6616" s="256"/>
    </row>
    <row r="6617" spans="104:111">
      <c r="CZ6617" s="256"/>
      <c r="DG6617" s="256"/>
    </row>
    <row r="6618" spans="104:111">
      <c r="CZ6618" s="256"/>
      <c r="DG6618" s="256"/>
    </row>
    <row r="6619" spans="104:111">
      <c r="CZ6619" s="256"/>
      <c r="DG6619" s="256"/>
    </row>
    <row r="6620" spans="104:111">
      <c r="CZ6620" s="256"/>
      <c r="DG6620" s="256"/>
    </row>
    <row r="6621" spans="104:111">
      <c r="CZ6621" s="256"/>
      <c r="DG6621" s="256"/>
    </row>
    <row r="6622" spans="104:111">
      <c r="CZ6622" s="256"/>
      <c r="DG6622" s="256"/>
    </row>
    <row r="6623" spans="104:111">
      <c r="CZ6623" s="256"/>
      <c r="DG6623" s="256"/>
    </row>
    <row r="6624" spans="104:111">
      <c r="CZ6624" s="256"/>
      <c r="DG6624" s="256"/>
    </row>
    <row r="6625" spans="104:111">
      <c r="CZ6625" s="256"/>
      <c r="DG6625" s="256"/>
    </row>
    <row r="6626" spans="104:111">
      <c r="CZ6626" s="256"/>
      <c r="DG6626" s="256"/>
    </row>
    <row r="6627" spans="104:111">
      <c r="CZ6627" s="256"/>
      <c r="DG6627" s="256"/>
    </row>
    <row r="6628" spans="104:111">
      <c r="CZ6628" s="256"/>
      <c r="DG6628" s="256"/>
    </row>
    <row r="6629" spans="104:111">
      <c r="CZ6629" s="256"/>
      <c r="DG6629" s="256"/>
    </row>
    <row r="6630" spans="104:111">
      <c r="CZ6630" s="256"/>
      <c r="DG6630" s="256"/>
    </row>
    <row r="6631" spans="104:111">
      <c r="CZ6631" s="256"/>
      <c r="DG6631" s="256"/>
    </row>
    <row r="6632" spans="104:111">
      <c r="CZ6632" s="256"/>
      <c r="DG6632" s="256"/>
    </row>
    <row r="6633" spans="104:111">
      <c r="CZ6633" s="256"/>
      <c r="DG6633" s="256"/>
    </row>
    <row r="6634" spans="104:111">
      <c r="CZ6634" s="256"/>
      <c r="DG6634" s="256"/>
    </row>
    <row r="6635" spans="104:111">
      <c r="CZ6635" s="256"/>
      <c r="DG6635" s="256"/>
    </row>
    <row r="6636" spans="104:111">
      <c r="CZ6636" s="256"/>
      <c r="DG6636" s="256"/>
    </row>
    <row r="6637" spans="104:111">
      <c r="CZ6637" s="256"/>
      <c r="DG6637" s="256"/>
    </row>
    <row r="6638" spans="104:111">
      <c r="CZ6638" s="256"/>
      <c r="DG6638" s="256"/>
    </row>
    <row r="6639" spans="104:111">
      <c r="CZ6639" s="256"/>
      <c r="DG6639" s="256"/>
    </row>
    <row r="6640" spans="104:111">
      <c r="CZ6640" s="256"/>
      <c r="DG6640" s="256"/>
    </row>
    <row r="6641" spans="104:111">
      <c r="CZ6641" s="256"/>
      <c r="DG6641" s="256"/>
    </row>
    <row r="6642" spans="104:111">
      <c r="CZ6642" s="256"/>
      <c r="DG6642" s="256"/>
    </row>
    <row r="6643" spans="104:111">
      <c r="CZ6643" s="256"/>
      <c r="DG6643" s="256"/>
    </row>
    <row r="6644" spans="104:111">
      <c r="CZ6644" s="256"/>
      <c r="DG6644" s="256"/>
    </row>
    <row r="6645" spans="104:111">
      <c r="CZ6645" s="256"/>
      <c r="DG6645" s="256"/>
    </row>
    <row r="6646" spans="104:111">
      <c r="CZ6646" s="256"/>
      <c r="DG6646" s="256"/>
    </row>
    <row r="6647" spans="104:111">
      <c r="CZ6647" s="256"/>
      <c r="DG6647" s="256"/>
    </row>
    <row r="6648" spans="104:111">
      <c r="CZ6648" s="256"/>
      <c r="DG6648" s="256"/>
    </row>
    <row r="6649" spans="104:111">
      <c r="CZ6649" s="256"/>
      <c r="DG6649" s="256"/>
    </row>
    <row r="6650" spans="104:111">
      <c r="CZ6650" s="256"/>
      <c r="DG6650" s="256"/>
    </row>
    <row r="6651" spans="104:111">
      <c r="CZ6651" s="256"/>
      <c r="DG6651" s="256"/>
    </row>
    <row r="6652" spans="104:111">
      <c r="CZ6652" s="256"/>
      <c r="DG6652" s="256"/>
    </row>
    <row r="6653" spans="104:111">
      <c r="CZ6653" s="256"/>
      <c r="DG6653" s="256"/>
    </row>
    <row r="6654" spans="104:111">
      <c r="CZ6654" s="256"/>
      <c r="DG6654" s="256"/>
    </row>
    <row r="6655" spans="104:111">
      <c r="CZ6655" s="256"/>
      <c r="DG6655" s="256"/>
    </row>
    <row r="6656" spans="104:111">
      <c r="CZ6656" s="256"/>
      <c r="DG6656" s="256"/>
    </row>
    <row r="6657" spans="104:111">
      <c r="CZ6657" s="256"/>
      <c r="DG6657" s="256"/>
    </row>
    <row r="6658" spans="104:111">
      <c r="CZ6658" s="256"/>
      <c r="DG6658" s="256"/>
    </row>
    <row r="6659" spans="104:111">
      <c r="CZ6659" s="256"/>
      <c r="DG6659" s="256"/>
    </row>
    <row r="6660" spans="104:111">
      <c r="CZ6660" s="256"/>
      <c r="DG6660" s="256"/>
    </row>
    <row r="6661" spans="104:111">
      <c r="CZ6661" s="256"/>
      <c r="DG6661" s="256"/>
    </row>
    <row r="6662" spans="104:111">
      <c r="CZ6662" s="256"/>
      <c r="DG6662" s="256"/>
    </row>
    <row r="6663" spans="104:111">
      <c r="CZ6663" s="256"/>
      <c r="DG6663" s="256"/>
    </row>
    <row r="6664" spans="104:111">
      <c r="CZ6664" s="256"/>
      <c r="DG6664" s="256"/>
    </row>
    <row r="6665" spans="104:111">
      <c r="CZ6665" s="256"/>
      <c r="DG6665" s="256"/>
    </row>
    <row r="6666" spans="104:111">
      <c r="CZ6666" s="256"/>
      <c r="DG6666" s="256"/>
    </row>
    <row r="6667" spans="104:111">
      <c r="CZ6667" s="256"/>
      <c r="DG6667" s="256"/>
    </row>
    <row r="6668" spans="104:111">
      <c r="CZ6668" s="256"/>
      <c r="DG6668" s="256"/>
    </row>
    <row r="6669" spans="104:111">
      <c r="CZ6669" s="256"/>
      <c r="DG6669" s="256"/>
    </row>
    <row r="6670" spans="104:111">
      <c r="CZ6670" s="256"/>
      <c r="DG6670" s="256"/>
    </row>
    <row r="6671" spans="104:111">
      <c r="CZ6671" s="256"/>
      <c r="DG6671" s="256"/>
    </row>
    <row r="6672" spans="104:111">
      <c r="CZ6672" s="256"/>
      <c r="DG6672" s="256"/>
    </row>
    <row r="6673" spans="104:111">
      <c r="CZ6673" s="256"/>
      <c r="DG6673" s="256"/>
    </row>
    <row r="6674" spans="104:111">
      <c r="CZ6674" s="256"/>
      <c r="DG6674" s="256"/>
    </row>
    <row r="6675" spans="104:111">
      <c r="CZ6675" s="256"/>
      <c r="DG6675" s="256"/>
    </row>
    <row r="6676" spans="104:111">
      <c r="CZ6676" s="256"/>
      <c r="DG6676" s="256"/>
    </row>
    <row r="6677" spans="104:111">
      <c r="CZ6677" s="256"/>
      <c r="DG6677" s="256"/>
    </row>
    <row r="6678" spans="104:111">
      <c r="CZ6678" s="256"/>
      <c r="DG6678" s="256"/>
    </row>
    <row r="6679" spans="104:111">
      <c r="CZ6679" s="256"/>
      <c r="DG6679" s="256"/>
    </row>
    <row r="6680" spans="104:111">
      <c r="CZ6680" s="256"/>
      <c r="DG6680" s="256"/>
    </row>
    <row r="6681" spans="104:111">
      <c r="CZ6681" s="256"/>
      <c r="DG6681" s="256"/>
    </row>
    <row r="6682" spans="104:111">
      <c r="CZ6682" s="256"/>
      <c r="DG6682" s="256"/>
    </row>
    <row r="6683" spans="104:111">
      <c r="CZ6683" s="256"/>
      <c r="DG6683" s="256"/>
    </row>
    <row r="6684" spans="104:111">
      <c r="CZ6684" s="256"/>
      <c r="DG6684" s="256"/>
    </row>
    <row r="6685" spans="104:111">
      <c r="CZ6685" s="256"/>
      <c r="DG6685" s="256"/>
    </row>
    <row r="6686" spans="104:111">
      <c r="CZ6686" s="256"/>
      <c r="DG6686" s="256"/>
    </row>
    <row r="6687" spans="104:111">
      <c r="CZ6687" s="256"/>
      <c r="DG6687" s="256"/>
    </row>
    <row r="6688" spans="104:111">
      <c r="CZ6688" s="256"/>
      <c r="DG6688" s="256"/>
    </row>
    <row r="6689" spans="104:111">
      <c r="CZ6689" s="256"/>
      <c r="DG6689" s="256"/>
    </row>
    <row r="6690" spans="104:111">
      <c r="CZ6690" s="256"/>
      <c r="DG6690" s="256"/>
    </row>
    <row r="6691" spans="104:111">
      <c r="CZ6691" s="256"/>
      <c r="DG6691" s="256"/>
    </row>
    <row r="6692" spans="104:111">
      <c r="CZ6692" s="256"/>
      <c r="DG6692" s="256"/>
    </row>
    <row r="6693" spans="104:111">
      <c r="CZ6693" s="256"/>
      <c r="DG6693" s="256"/>
    </row>
    <row r="6694" spans="104:111">
      <c r="CZ6694" s="256"/>
      <c r="DG6694" s="256"/>
    </row>
    <row r="6695" spans="104:111">
      <c r="CZ6695" s="256"/>
      <c r="DG6695" s="256"/>
    </row>
    <row r="6696" spans="104:111">
      <c r="CZ6696" s="256"/>
      <c r="DG6696" s="256"/>
    </row>
    <row r="6697" spans="104:111">
      <c r="CZ6697" s="256"/>
      <c r="DG6697" s="256"/>
    </row>
    <row r="6698" spans="104:111">
      <c r="CZ6698" s="256"/>
      <c r="DG6698" s="256"/>
    </row>
    <row r="6699" spans="104:111">
      <c r="CZ6699" s="256"/>
      <c r="DG6699" s="256"/>
    </row>
    <row r="6700" spans="104:111">
      <c r="CZ6700" s="256"/>
      <c r="DG6700" s="256"/>
    </row>
    <row r="6701" spans="104:111">
      <c r="CZ6701" s="256"/>
      <c r="DG6701" s="256"/>
    </row>
    <row r="6702" spans="104:111">
      <c r="CZ6702" s="256"/>
      <c r="DG6702" s="256"/>
    </row>
    <row r="6703" spans="104:111">
      <c r="CZ6703" s="256"/>
      <c r="DG6703" s="256"/>
    </row>
    <row r="6704" spans="104:111">
      <c r="CZ6704" s="256"/>
      <c r="DG6704" s="256"/>
    </row>
    <row r="6705" spans="104:111">
      <c r="CZ6705" s="256"/>
      <c r="DG6705" s="256"/>
    </row>
    <row r="6706" spans="104:111">
      <c r="CZ6706" s="256"/>
      <c r="DG6706" s="256"/>
    </row>
    <row r="6707" spans="104:111">
      <c r="CZ6707" s="256"/>
      <c r="DG6707" s="256"/>
    </row>
    <row r="6708" spans="104:111">
      <c r="CZ6708" s="256"/>
      <c r="DG6708" s="256"/>
    </row>
    <row r="6709" spans="104:111">
      <c r="CZ6709" s="256"/>
      <c r="DG6709" s="256"/>
    </row>
    <row r="6710" spans="104:111">
      <c r="CZ6710" s="256"/>
      <c r="DG6710" s="256"/>
    </row>
    <row r="6711" spans="104:111">
      <c r="CZ6711" s="256"/>
      <c r="DG6711" s="256"/>
    </row>
    <row r="6712" spans="104:111">
      <c r="CZ6712" s="256"/>
      <c r="DG6712" s="256"/>
    </row>
    <row r="6713" spans="104:111">
      <c r="CZ6713" s="256"/>
      <c r="DG6713" s="256"/>
    </row>
    <row r="6714" spans="104:111">
      <c r="CZ6714" s="256"/>
      <c r="DG6714" s="256"/>
    </row>
    <row r="6715" spans="104:111">
      <c r="CZ6715" s="256"/>
      <c r="DG6715" s="256"/>
    </row>
    <row r="6716" spans="104:111">
      <c r="CZ6716" s="256"/>
      <c r="DG6716" s="256"/>
    </row>
    <row r="6717" spans="104:111">
      <c r="CZ6717" s="256"/>
      <c r="DG6717" s="256"/>
    </row>
    <row r="6718" spans="104:111">
      <c r="CZ6718" s="256"/>
      <c r="DG6718" s="256"/>
    </row>
    <row r="6719" spans="104:111">
      <c r="CZ6719" s="256"/>
      <c r="DG6719" s="256"/>
    </row>
    <row r="6720" spans="104:111">
      <c r="CZ6720" s="256"/>
      <c r="DG6720" s="256"/>
    </row>
    <row r="6721" spans="104:111">
      <c r="CZ6721" s="256"/>
      <c r="DG6721" s="256"/>
    </row>
    <row r="6722" spans="104:111">
      <c r="CZ6722" s="256"/>
      <c r="DG6722" s="256"/>
    </row>
    <row r="6723" spans="104:111">
      <c r="CZ6723" s="256"/>
      <c r="DG6723" s="256"/>
    </row>
    <row r="6724" spans="104:111">
      <c r="CZ6724" s="256"/>
      <c r="DG6724" s="256"/>
    </row>
    <row r="6725" spans="104:111">
      <c r="CZ6725" s="256"/>
      <c r="DG6725" s="256"/>
    </row>
    <row r="6726" spans="104:111">
      <c r="CZ6726" s="256"/>
      <c r="DG6726" s="256"/>
    </row>
    <row r="6727" spans="104:111">
      <c r="CZ6727" s="256"/>
      <c r="DG6727" s="256"/>
    </row>
    <row r="6728" spans="104:111">
      <c r="CZ6728" s="256"/>
      <c r="DG6728" s="256"/>
    </row>
    <row r="6729" spans="104:111">
      <c r="CZ6729" s="256"/>
      <c r="DG6729" s="256"/>
    </row>
    <row r="6730" spans="104:111">
      <c r="CZ6730" s="256"/>
      <c r="DG6730" s="256"/>
    </row>
    <row r="6731" spans="104:111">
      <c r="CZ6731" s="256"/>
      <c r="DG6731" s="256"/>
    </row>
    <row r="6732" spans="104:111">
      <c r="CZ6732" s="256"/>
      <c r="DG6732" s="256"/>
    </row>
    <row r="6733" spans="104:111">
      <c r="CZ6733" s="256"/>
      <c r="DG6733" s="256"/>
    </row>
    <row r="6734" spans="104:111">
      <c r="CZ6734" s="256"/>
      <c r="DG6734" s="256"/>
    </row>
    <row r="6735" spans="104:111">
      <c r="CZ6735" s="256"/>
      <c r="DG6735" s="256"/>
    </row>
    <row r="6736" spans="104:111">
      <c r="CZ6736" s="256"/>
      <c r="DG6736" s="256"/>
    </row>
    <row r="6737" spans="104:111">
      <c r="CZ6737" s="256"/>
      <c r="DG6737" s="256"/>
    </row>
    <row r="6738" spans="104:111">
      <c r="CZ6738" s="256"/>
      <c r="DG6738" s="256"/>
    </row>
    <row r="6739" spans="104:111">
      <c r="CZ6739" s="256"/>
      <c r="DG6739" s="256"/>
    </row>
    <row r="6740" spans="104:111">
      <c r="CZ6740" s="256"/>
      <c r="DG6740" s="256"/>
    </row>
    <row r="6741" spans="104:111">
      <c r="CZ6741" s="256"/>
      <c r="DG6741" s="256"/>
    </row>
    <row r="6742" spans="104:111">
      <c r="CZ6742" s="256"/>
      <c r="DG6742" s="256"/>
    </row>
    <row r="6743" spans="104:111">
      <c r="CZ6743" s="256"/>
      <c r="DG6743" s="256"/>
    </row>
    <row r="6744" spans="104:111">
      <c r="CZ6744" s="256"/>
      <c r="DG6744" s="256"/>
    </row>
    <row r="6745" spans="104:111">
      <c r="CZ6745" s="256"/>
      <c r="DG6745" s="256"/>
    </row>
    <row r="6746" spans="104:111">
      <c r="CZ6746" s="256"/>
      <c r="DG6746" s="256"/>
    </row>
    <row r="6747" spans="104:111">
      <c r="CZ6747" s="256"/>
      <c r="DG6747" s="256"/>
    </row>
    <row r="6748" spans="104:111">
      <c r="CZ6748" s="256"/>
      <c r="DG6748" s="256"/>
    </row>
    <row r="6749" spans="104:111">
      <c r="CZ6749" s="256"/>
      <c r="DG6749" s="256"/>
    </row>
    <row r="6750" spans="104:111">
      <c r="CZ6750" s="256"/>
      <c r="DG6750" s="256"/>
    </row>
    <row r="6751" spans="104:111">
      <c r="CZ6751" s="256"/>
      <c r="DG6751" s="256"/>
    </row>
    <row r="6752" spans="104:111">
      <c r="CZ6752" s="256"/>
      <c r="DG6752" s="256"/>
    </row>
    <row r="6753" spans="104:111">
      <c r="CZ6753" s="256"/>
      <c r="DG6753" s="256"/>
    </row>
    <row r="6754" spans="104:111">
      <c r="CZ6754" s="256"/>
      <c r="DG6754" s="256"/>
    </row>
    <row r="6755" spans="104:111">
      <c r="CZ6755" s="256"/>
      <c r="DG6755" s="256"/>
    </row>
    <row r="6756" spans="104:111">
      <c r="CZ6756" s="256"/>
      <c r="DG6756" s="256"/>
    </row>
    <row r="6757" spans="104:111">
      <c r="CZ6757" s="256"/>
      <c r="DG6757" s="256"/>
    </row>
    <row r="6758" spans="104:111">
      <c r="CZ6758" s="256"/>
      <c r="DG6758" s="256"/>
    </row>
    <row r="6759" spans="104:111">
      <c r="CZ6759" s="256"/>
      <c r="DG6759" s="256"/>
    </row>
    <row r="6760" spans="104:111">
      <c r="CZ6760" s="256"/>
      <c r="DG6760" s="256"/>
    </row>
    <row r="6761" spans="104:111">
      <c r="CZ6761" s="256"/>
      <c r="DG6761" s="256"/>
    </row>
    <row r="6762" spans="104:111">
      <c r="CZ6762" s="256"/>
      <c r="DG6762" s="256"/>
    </row>
    <row r="6763" spans="104:111">
      <c r="CZ6763" s="256"/>
      <c r="DG6763" s="256"/>
    </row>
    <row r="6764" spans="104:111">
      <c r="CZ6764" s="256"/>
      <c r="DG6764" s="256"/>
    </row>
    <row r="6765" spans="104:111">
      <c r="CZ6765" s="256"/>
      <c r="DG6765" s="256"/>
    </row>
    <row r="6766" spans="104:111">
      <c r="CZ6766" s="256"/>
      <c r="DG6766" s="256"/>
    </row>
    <row r="6767" spans="104:111">
      <c r="CZ6767" s="256"/>
      <c r="DG6767" s="256"/>
    </row>
    <row r="6768" spans="104:111">
      <c r="CZ6768" s="256"/>
      <c r="DG6768" s="256"/>
    </row>
    <row r="6769" spans="104:111">
      <c r="CZ6769" s="256"/>
      <c r="DG6769" s="256"/>
    </row>
    <row r="6770" spans="104:111">
      <c r="CZ6770" s="256"/>
      <c r="DG6770" s="256"/>
    </row>
    <row r="6771" spans="104:111">
      <c r="CZ6771" s="256"/>
      <c r="DG6771" s="256"/>
    </row>
    <row r="6772" spans="104:111">
      <c r="CZ6772" s="256"/>
      <c r="DG6772" s="256"/>
    </row>
    <row r="6773" spans="104:111">
      <c r="CZ6773" s="256"/>
      <c r="DG6773" s="256"/>
    </row>
    <row r="6774" spans="104:111">
      <c r="CZ6774" s="256"/>
      <c r="DG6774" s="256"/>
    </row>
    <row r="6775" spans="104:111">
      <c r="CZ6775" s="256"/>
      <c r="DG6775" s="256"/>
    </row>
    <row r="6776" spans="104:111">
      <c r="CZ6776" s="256"/>
      <c r="DG6776" s="256"/>
    </row>
    <row r="6777" spans="104:111">
      <c r="CZ6777" s="256"/>
      <c r="DG6777" s="256"/>
    </row>
    <row r="6778" spans="104:111">
      <c r="CZ6778" s="256"/>
      <c r="DG6778" s="256"/>
    </row>
    <row r="6779" spans="104:111">
      <c r="CZ6779" s="256"/>
      <c r="DG6779" s="256"/>
    </row>
    <row r="6780" spans="104:111">
      <c r="CZ6780" s="256"/>
      <c r="DG6780" s="256"/>
    </row>
    <row r="6781" spans="104:111">
      <c r="CZ6781" s="256"/>
      <c r="DG6781" s="256"/>
    </row>
    <row r="6782" spans="104:111">
      <c r="CZ6782" s="256"/>
      <c r="DG6782" s="256"/>
    </row>
    <row r="6783" spans="104:111">
      <c r="CZ6783" s="256"/>
      <c r="DG6783" s="256"/>
    </row>
    <row r="6784" spans="104:111">
      <c r="CZ6784" s="256"/>
      <c r="DG6784" s="256"/>
    </row>
    <row r="6785" spans="104:111">
      <c r="CZ6785" s="256"/>
      <c r="DG6785" s="256"/>
    </row>
    <row r="6786" spans="104:111">
      <c r="CZ6786" s="256"/>
      <c r="DG6786" s="256"/>
    </row>
    <row r="6787" spans="104:111">
      <c r="CZ6787" s="256"/>
      <c r="DG6787" s="256"/>
    </row>
    <row r="6788" spans="104:111">
      <c r="CZ6788" s="256"/>
      <c r="DG6788" s="256"/>
    </row>
    <row r="6789" spans="104:111">
      <c r="CZ6789" s="256"/>
      <c r="DG6789" s="256"/>
    </row>
    <row r="6790" spans="104:111">
      <c r="CZ6790" s="256"/>
      <c r="DG6790" s="256"/>
    </row>
    <row r="6791" spans="104:111">
      <c r="CZ6791" s="256"/>
      <c r="DG6791" s="256"/>
    </row>
    <row r="6792" spans="104:111">
      <c r="CZ6792" s="256"/>
      <c r="DG6792" s="256"/>
    </row>
    <row r="6793" spans="104:111">
      <c r="CZ6793" s="256"/>
      <c r="DG6793" s="256"/>
    </row>
    <row r="6794" spans="104:111">
      <c r="CZ6794" s="256"/>
      <c r="DG6794" s="256"/>
    </row>
    <row r="6795" spans="104:111">
      <c r="CZ6795" s="256"/>
      <c r="DG6795" s="256"/>
    </row>
    <row r="6796" spans="104:111">
      <c r="CZ6796" s="256"/>
      <c r="DG6796" s="256"/>
    </row>
    <row r="6797" spans="104:111">
      <c r="CZ6797" s="256"/>
      <c r="DG6797" s="256"/>
    </row>
    <row r="6798" spans="104:111">
      <c r="CZ6798" s="256"/>
      <c r="DG6798" s="256"/>
    </row>
    <row r="6799" spans="104:111">
      <c r="CZ6799" s="256"/>
      <c r="DG6799" s="256"/>
    </row>
    <row r="6800" spans="104:111">
      <c r="CZ6800" s="256"/>
      <c r="DG6800" s="256"/>
    </row>
    <row r="6801" spans="104:111">
      <c r="CZ6801" s="256"/>
      <c r="DG6801" s="256"/>
    </row>
    <row r="6802" spans="104:111">
      <c r="CZ6802" s="256"/>
      <c r="DG6802" s="256"/>
    </row>
    <row r="6803" spans="104:111">
      <c r="CZ6803" s="256"/>
      <c r="DG6803" s="256"/>
    </row>
    <row r="6804" spans="104:111">
      <c r="CZ6804" s="256"/>
      <c r="DG6804" s="256"/>
    </row>
    <row r="6805" spans="104:111">
      <c r="CZ6805" s="256"/>
      <c r="DG6805" s="256"/>
    </row>
    <row r="6806" spans="104:111">
      <c r="CZ6806" s="256"/>
      <c r="DG6806" s="256"/>
    </row>
    <row r="6807" spans="104:111">
      <c r="CZ6807" s="256"/>
      <c r="DG6807" s="256"/>
    </row>
    <row r="6808" spans="104:111">
      <c r="CZ6808" s="256"/>
      <c r="DG6808" s="256"/>
    </row>
    <row r="6809" spans="104:111">
      <c r="CZ6809" s="256"/>
      <c r="DG6809" s="256"/>
    </row>
    <row r="6810" spans="104:111">
      <c r="CZ6810" s="256"/>
      <c r="DG6810" s="256"/>
    </row>
    <row r="6811" spans="104:111">
      <c r="CZ6811" s="256"/>
      <c r="DG6811" s="256"/>
    </row>
    <row r="6812" spans="104:111">
      <c r="CZ6812" s="256"/>
      <c r="DG6812" s="256"/>
    </row>
    <row r="6813" spans="104:111">
      <c r="CZ6813" s="256"/>
      <c r="DG6813" s="256"/>
    </row>
    <row r="6814" spans="104:111">
      <c r="CZ6814" s="256"/>
      <c r="DG6814" s="256"/>
    </row>
    <row r="6815" spans="104:111">
      <c r="CZ6815" s="256"/>
      <c r="DG6815" s="256"/>
    </row>
    <row r="6816" spans="104:111">
      <c r="CZ6816" s="256"/>
      <c r="DG6816" s="256"/>
    </row>
    <row r="6817" spans="104:111">
      <c r="CZ6817" s="256"/>
      <c r="DG6817" s="256"/>
    </row>
    <row r="6818" spans="104:111">
      <c r="CZ6818" s="256"/>
      <c r="DG6818" s="256"/>
    </row>
    <row r="6819" spans="104:111">
      <c r="CZ6819" s="256"/>
      <c r="DG6819" s="256"/>
    </row>
    <row r="6820" spans="104:111">
      <c r="CZ6820" s="256"/>
      <c r="DG6820" s="256"/>
    </row>
    <row r="6821" spans="104:111">
      <c r="CZ6821" s="256"/>
      <c r="DG6821" s="256"/>
    </row>
    <row r="6822" spans="104:111">
      <c r="CZ6822" s="256"/>
      <c r="DG6822" s="256"/>
    </row>
    <row r="6823" spans="104:111">
      <c r="CZ6823" s="256"/>
      <c r="DG6823" s="256"/>
    </row>
    <row r="6824" spans="104:111">
      <c r="CZ6824" s="256"/>
      <c r="DG6824" s="256"/>
    </row>
    <row r="6825" spans="104:111">
      <c r="CZ6825" s="256"/>
      <c r="DG6825" s="256"/>
    </row>
    <row r="6826" spans="104:111">
      <c r="CZ6826" s="256"/>
      <c r="DG6826" s="256"/>
    </row>
    <row r="6827" spans="104:111">
      <c r="CZ6827" s="256"/>
      <c r="DG6827" s="256"/>
    </row>
    <row r="6828" spans="104:111">
      <c r="CZ6828" s="256"/>
      <c r="DG6828" s="256"/>
    </row>
    <row r="6829" spans="104:111">
      <c r="CZ6829" s="256"/>
      <c r="DG6829" s="256"/>
    </row>
    <row r="6830" spans="104:111">
      <c r="CZ6830" s="256"/>
      <c r="DG6830" s="256"/>
    </row>
    <row r="6831" spans="104:111">
      <c r="CZ6831" s="256"/>
      <c r="DG6831" s="256"/>
    </row>
    <row r="6832" spans="104:111">
      <c r="CZ6832" s="256"/>
      <c r="DG6832" s="256"/>
    </row>
    <row r="6833" spans="104:111">
      <c r="CZ6833" s="256"/>
      <c r="DG6833" s="256"/>
    </row>
    <row r="6834" spans="104:111">
      <c r="CZ6834" s="256"/>
      <c r="DG6834" s="256"/>
    </row>
    <row r="6835" spans="104:111">
      <c r="CZ6835" s="256"/>
      <c r="DG6835" s="256"/>
    </row>
    <row r="6836" spans="104:111">
      <c r="CZ6836" s="256"/>
      <c r="DG6836" s="256"/>
    </row>
    <row r="6837" spans="104:111">
      <c r="CZ6837" s="256"/>
      <c r="DG6837" s="256"/>
    </row>
    <row r="6838" spans="104:111">
      <c r="CZ6838" s="256"/>
      <c r="DG6838" s="256"/>
    </row>
    <row r="6839" spans="104:111">
      <c r="CZ6839" s="256"/>
      <c r="DG6839" s="256"/>
    </row>
    <row r="6840" spans="104:111">
      <c r="CZ6840" s="256"/>
      <c r="DG6840" s="256"/>
    </row>
    <row r="6841" spans="104:111">
      <c r="CZ6841" s="256"/>
      <c r="DG6841" s="256"/>
    </row>
    <row r="6842" spans="104:111">
      <c r="CZ6842" s="256"/>
      <c r="DG6842" s="256"/>
    </row>
    <row r="6843" spans="104:111">
      <c r="CZ6843" s="256"/>
      <c r="DG6843" s="256"/>
    </row>
    <row r="6844" spans="104:111">
      <c r="CZ6844" s="256"/>
      <c r="DG6844" s="256"/>
    </row>
    <row r="6845" spans="104:111">
      <c r="CZ6845" s="256"/>
      <c r="DG6845" s="256"/>
    </row>
    <row r="6846" spans="104:111">
      <c r="CZ6846" s="256"/>
      <c r="DG6846" s="256"/>
    </row>
    <row r="6847" spans="104:111">
      <c r="CZ6847" s="256"/>
      <c r="DG6847" s="256"/>
    </row>
    <row r="6848" spans="104:111">
      <c r="CZ6848" s="256"/>
      <c r="DG6848" s="256"/>
    </row>
    <row r="6849" spans="104:111">
      <c r="CZ6849" s="256"/>
      <c r="DG6849" s="256"/>
    </row>
    <row r="6850" spans="104:111">
      <c r="CZ6850" s="256"/>
      <c r="DG6850" s="256"/>
    </row>
    <row r="6851" spans="104:111">
      <c r="CZ6851" s="256"/>
      <c r="DG6851" s="256"/>
    </row>
    <row r="6852" spans="104:111">
      <c r="CZ6852" s="256"/>
      <c r="DG6852" s="256"/>
    </row>
    <row r="6853" spans="104:111">
      <c r="CZ6853" s="256"/>
      <c r="DG6853" s="256"/>
    </row>
    <row r="6854" spans="104:111">
      <c r="CZ6854" s="256"/>
      <c r="DG6854" s="256"/>
    </row>
    <row r="6855" spans="104:111">
      <c r="CZ6855" s="256"/>
      <c r="DG6855" s="256"/>
    </row>
    <row r="6856" spans="104:111">
      <c r="CZ6856" s="256"/>
      <c r="DG6856" s="256"/>
    </row>
    <row r="6857" spans="104:111">
      <c r="CZ6857" s="256"/>
      <c r="DG6857" s="256"/>
    </row>
    <row r="6858" spans="104:111">
      <c r="CZ6858" s="256"/>
      <c r="DG6858" s="256"/>
    </row>
    <row r="6859" spans="104:111">
      <c r="CZ6859" s="256"/>
      <c r="DG6859" s="256"/>
    </row>
    <row r="6860" spans="104:111">
      <c r="CZ6860" s="256"/>
      <c r="DG6860" s="256"/>
    </row>
    <row r="6861" spans="104:111">
      <c r="CZ6861" s="256"/>
      <c r="DG6861" s="256"/>
    </row>
    <row r="6862" spans="104:111">
      <c r="CZ6862" s="256"/>
      <c r="DG6862" s="256"/>
    </row>
    <row r="6863" spans="104:111">
      <c r="CZ6863" s="256"/>
      <c r="DG6863" s="256"/>
    </row>
    <row r="6864" spans="104:111">
      <c r="CZ6864" s="256"/>
      <c r="DG6864" s="256"/>
    </row>
    <row r="6865" spans="104:111">
      <c r="CZ6865" s="256"/>
      <c r="DG6865" s="256"/>
    </row>
    <row r="6866" spans="104:111">
      <c r="CZ6866" s="256"/>
      <c r="DG6866" s="256"/>
    </row>
    <row r="6867" spans="104:111">
      <c r="CZ6867" s="256"/>
      <c r="DG6867" s="256"/>
    </row>
    <row r="6868" spans="104:111">
      <c r="CZ6868" s="256"/>
      <c r="DG6868" s="256"/>
    </row>
    <row r="6869" spans="104:111">
      <c r="CZ6869" s="256"/>
      <c r="DG6869" s="256"/>
    </row>
    <row r="6870" spans="104:111">
      <c r="CZ6870" s="256"/>
      <c r="DG6870" s="256"/>
    </row>
    <row r="6871" spans="104:111">
      <c r="CZ6871" s="256"/>
      <c r="DG6871" s="256"/>
    </row>
    <row r="6872" spans="104:111">
      <c r="CZ6872" s="256"/>
      <c r="DG6872" s="256"/>
    </row>
    <row r="6873" spans="104:111">
      <c r="CZ6873" s="256"/>
      <c r="DG6873" s="256"/>
    </row>
    <row r="6874" spans="104:111">
      <c r="CZ6874" s="256"/>
      <c r="DG6874" s="256"/>
    </row>
    <row r="6875" spans="104:111">
      <c r="CZ6875" s="256"/>
      <c r="DG6875" s="256"/>
    </row>
    <row r="6876" spans="104:111">
      <c r="CZ6876" s="256"/>
      <c r="DG6876" s="256"/>
    </row>
    <row r="6877" spans="104:111">
      <c r="CZ6877" s="256"/>
      <c r="DG6877" s="256"/>
    </row>
    <row r="6878" spans="104:111">
      <c r="CZ6878" s="256"/>
      <c r="DG6878" s="256"/>
    </row>
    <row r="6879" spans="104:111">
      <c r="CZ6879" s="256"/>
      <c r="DG6879" s="256"/>
    </row>
    <row r="6880" spans="104:111">
      <c r="CZ6880" s="256"/>
      <c r="DG6880" s="256"/>
    </row>
    <row r="6881" spans="104:111">
      <c r="CZ6881" s="256"/>
      <c r="DG6881" s="256"/>
    </row>
    <row r="6882" spans="104:111">
      <c r="CZ6882" s="256"/>
      <c r="DG6882" s="256"/>
    </row>
    <row r="6883" spans="104:111">
      <c r="CZ6883" s="256"/>
      <c r="DG6883" s="256"/>
    </row>
    <row r="6884" spans="104:111">
      <c r="CZ6884" s="256"/>
      <c r="DG6884" s="256"/>
    </row>
    <row r="6885" spans="104:111">
      <c r="CZ6885" s="256"/>
      <c r="DG6885" s="256"/>
    </row>
    <row r="6886" spans="104:111">
      <c r="CZ6886" s="256"/>
      <c r="DG6886" s="256"/>
    </row>
    <row r="6887" spans="104:111">
      <c r="CZ6887" s="256"/>
      <c r="DG6887" s="256"/>
    </row>
    <row r="6888" spans="104:111">
      <c r="CZ6888" s="256"/>
      <c r="DG6888" s="256"/>
    </row>
    <row r="6889" spans="104:111">
      <c r="CZ6889" s="256"/>
      <c r="DG6889" s="256"/>
    </row>
    <row r="6890" spans="104:111">
      <c r="CZ6890" s="256"/>
      <c r="DG6890" s="256"/>
    </row>
    <row r="6891" spans="104:111">
      <c r="CZ6891" s="256"/>
      <c r="DG6891" s="256"/>
    </row>
    <row r="6892" spans="104:111">
      <c r="CZ6892" s="256"/>
      <c r="DG6892" s="256"/>
    </row>
    <row r="6893" spans="104:111">
      <c r="CZ6893" s="256"/>
      <c r="DG6893" s="256"/>
    </row>
    <row r="6894" spans="104:111">
      <c r="CZ6894" s="256"/>
      <c r="DG6894" s="256"/>
    </row>
    <row r="6895" spans="104:111">
      <c r="CZ6895" s="256"/>
      <c r="DG6895" s="256"/>
    </row>
    <row r="6896" spans="104:111">
      <c r="CZ6896" s="256"/>
      <c r="DG6896" s="256"/>
    </row>
    <row r="6897" spans="104:111">
      <c r="CZ6897" s="256"/>
      <c r="DG6897" s="256"/>
    </row>
    <row r="6898" spans="104:111">
      <c r="CZ6898" s="256"/>
      <c r="DG6898" s="256"/>
    </row>
    <row r="6899" spans="104:111">
      <c r="CZ6899" s="256"/>
      <c r="DG6899" s="256"/>
    </row>
    <row r="6900" spans="104:111">
      <c r="CZ6900" s="256"/>
      <c r="DG6900" s="256"/>
    </row>
    <row r="6901" spans="104:111">
      <c r="CZ6901" s="256"/>
      <c r="DG6901" s="256"/>
    </row>
    <row r="6902" spans="104:111">
      <c r="CZ6902" s="256"/>
      <c r="DG6902" s="256"/>
    </row>
    <row r="6903" spans="104:111">
      <c r="CZ6903" s="256"/>
      <c r="DG6903" s="256"/>
    </row>
    <row r="6904" spans="104:111">
      <c r="CZ6904" s="256"/>
      <c r="DG6904" s="256"/>
    </row>
    <row r="6905" spans="104:111">
      <c r="CZ6905" s="256"/>
      <c r="DG6905" s="256"/>
    </row>
    <row r="6906" spans="104:111">
      <c r="CZ6906" s="256"/>
      <c r="DG6906" s="256"/>
    </row>
    <row r="6907" spans="104:111">
      <c r="CZ6907" s="256"/>
      <c r="DG6907" s="256"/>
    </row>
    <row r="6908" spans="104:111">
      <c r="CZ6908" s="256"/>
      <c r="DG6908" s="256"/>
    </row>
    <row r="6909" spans="104:111">
      <c r="CZ6909" s="256"/>
      <c r="DG6909" s="256"/>
    </row>
    <row r="6910" spans="104:111">
      <c r="CZ6910" s="256"/>
      <c r="DG6910" s="256"/>
    </row>
    <row r="6911" spans="104:111">
      <c r="CZ6911" s="256"/>
      <c r="DG6911" s="256"/>
    </row>
    <row r="6912" spans="104:111">
      <c r="CZ6912" s="256"/>
      <c r="DG6912" s="256"/>
    </row>
    <row r="6913" spans="104:111">
      <c r="CZ6913" s="256"/>
      <c r="DG6913" s="256"/>
    </row>
    <row r="6914" spans="104:111">
      <c r="CZ6914" s="256"/>
      <c r="DG6914" s="256"/>
    </row>
    <row r="6915" spans="104:111">
      <c r="CZ6915" s="256"/>
      <c r="DG6915" s="256"/>
    </row>
    <row r="6916" spans="104:111">
      <c r="CZ6916" s="256"/>
      <c r="DG6916" s="256"/>
    </row>
    <row r="6917" spans="104:111">
      <c r="CZ6917" s="256"/>
      <c r="DG6917" s="256"/>
    </row>
    <row r="6918" spans="104:111">
      <c r="CZ6918" s="256"/>
      <c r="DG6918" s="256"/>
    </row>
    <row r="6919" spans="104:111">
      <c r="CZ6919" s="256"/>
      <c r="DG6919" s="256"/>
    </row>
    <row r="6920" spans="104:111">
      <c r="CZ6920" s="256"/>
      <c r="DG6920" s="256"/>
    </row>
    <row r="6921" spans="104:111">
      <c r="CZ6921" s="256"/>
      <c r="DG6921" s="256"/>
    </row>
    <row r="6922" spans="104:111">
      <c r="CZ6922" s="256"/>
      <c r="DG6922" s="256"/>
    </row>
    <row r="6923" spans="104:111">
      <c r="CZ6923" s="256"/>
      <c r="DG6923" s="256"/>
    </row>
    <row r="6924" spans="104:111">
      <c r="CZ6924" s="256"/>
      <c r="DG6924" s="256"/>
    </row>
    <row r="6925" spans="104:111">
      <c r="CZ6925" s="256"/>
      <c r="DG6925" s="256"/>
    </row>
    <row r="6926" spans="104:111">
      <c r="CZ6926" s="256"/>
      <c r="DG6926" s="256"/>
    </row>
    <row r="6927" spans="104:111">
      <c r="CZ6927" s="256"/>
      <c r="DG6927" s="256"/>
    </row>
    <row r="6928" spans="104:111">
      <c r="CZ6928" s="256"/>
      <c r="DG6928" s="256"/>
    </row>
    <row r="6929" spans="104:111">
      <c r="CZ6929" s="256"/>
      <c r="DG6929" s="256"/>
    </row>
    <row r="6930" spans="104:111">
      <c r="CZ6930" s="256"/>
      <c r="DG6930" s="256"/>
    </row>
    <row r="6931" spans="104:111">
      <c r="CZ6931" s="256"/>
      <c r="DG6931" s="256"/>
    </row>
    <row r="6932" spans="104:111">
      <c r="CZ6932" s="256"/>
      <c r="DG6932" s="256"/>
    </row>
    <row r="6933" spans="104:111">
      <c r="CZ6933" s="256"/>
      <c r="DG6933" s="256"/>
    </row>
    <row r="6934" spans="104:111">
      <c r="CZ6934" s="256"/>
      <c r="DG6934" s="256"/>
    </row>
    <row r="6935" spans="104:111">
      <c r="CZ6935" s="256"/>
      <c r="DG6935" s="256"/>
    </row>
    <row r="6936" spans="104:111">
      <c r="CZ6936" s="256"/>
      <c r="DG6936" s="256"/>
    </row>
    <row r="6937" spans="104:111">
      <c r="CZ6937" s="256"/>
      <c r="DG6937" s="256"/>
    </row>
    <row r="6938" spans="104:111">
      <c r="CZ6938" s="256"/>
      <c r="DG6938" s="256"/>
    </row>
    <row r="6939" spans="104:111">
      <c r="CZ6939" s="256"/>
      <c r="DG6939" s="256"/>
    </row>
    <row r="6940" spans="104:111">
      <c r="CZ6940" s="256"/>
      <c r="DG6940" s="256"/>
    </row>
    <row r="6941" spans="104:111">
      <c r="CZ6941" s="256"/>
      <c r="DG6941" s="256"/>
    </row>
    <row r="6942" spans="104:111">
      <c r="CZ6942" s="256"/>
      <c r="DG6942" s="256"/>
    </row>
    <row r="6943" spans="104:111">
      <c r="CZ6943" s="256"/>
      <c r="DG6943" s="256"/>
    </row>
    <row r="6944" spans="104:111">
      <c r="CZ6944" s="256"/>
      <c r="DG6944" s="256"/>
    </row>
    <row r="6945" spans="104:111">
      <c r="CZ6945" s="256"/>
      <c r="DG6945" s="256"/>
    </row>
    <row r="6946" spans="104:111">
      <c r="CZ6946" s="256"/>
      <c r="DG6946" s="256"/>
    </row>
    <row r="6947" spans="104:111">
      <c r="CZ6947" s="256"/>
      <c r="DG6947" s="256"/>
    </row>
    <row r="6948" spans="104:111">
      <c r="CZ6948" s="256"/>
      <c r="DG6948" s="256"/>
    </row>
    <row r="6949" spans="104:111">
      <c r="CZ6949" s="256"/>
      <c r="DG6949" s="256"/>
    </row>
    <row r="6950" spans="104:111">
      <c r="CZ6950" s="256"/>
      <c r="DG6950" s="256"/>
    </row>
    <row r="6951" spans="104:111">
      <c r="CZ6951" s="256"/>
      <c r="DG6951" s="256"/>
    </row>
    <row r="6952" spans="104:111">
      <c r="CZ6952" s="256"/>
      <c r="DG6952" s="256"/>
    </row>
    <row r="6953" spans="104:111">
      <c r="CZ6953" s="256"/>
      <c r="DG6953" s="256"/>
    </row>
    <row r="6954" spans="104:111">
      <c r="CZ6954" s="256"/>
      <c r="DG6954" s="256"/>
    </row>
    <row r="6955" spans="104:111">
      <c r="CZ6955" s="256"/>
      <c r="DG6955" s="256"/>
    </row>
    <row r="6956" spans="104:111">
      <c r="CZ6956" s="256"/>
      <c r="DG6956" s="256"/>
    </row>
    <row r="6957" spans="104:111">
      <c r="CZ6957" s="256"/>
      <c r="DG6957" s="256"/>
    </row>
    <row r="6958" spans="104:111">
      <c r="CZ6958" s="256"/>
      <c r="DG6958" s="256"/>
    </row>
    <row r="6959" spans="104:111">
      <c r="CZ6959" s="256"/>
      <c r="DG6959" s="256"/>
    </row>
    <row r="6960" spans="104:111">
      <c r="CZ6960" s="256"/>
      <c r="DG6960" s="256"/>
    </row>
    <row r="6961" spans="104:111">
      <c r="CZ6961" s="256"/>
      <c r="DG6961" s="256"/>
    </row>
    <row r="6962" spans="104:111">
      <c r="CZ6962" s="256"/>
      <c r="DG6962" s="256"/>
    </row>
    <row r="6963" spans="104:111">
      <c r="CZ6963" s="256"/>
      <c r="DG6963" s="256"/>
    </row>
    <row r="6964" spans="104:111">
      <c r="CZ6964" s="256"/>
      <c r="DG6964" s="256"/>
    </row>
    <row r="6965" spans="104:111">
      <c r="CZ6965" s="256"/>
      <c r="DG6965" s="256"/>
    </row>
    <row r="6966" spans="104:111">
      <c r="CZ6966" s="256"/>
      <c r="DG6966" s="256"/>
    </row>
    <row r="6967" spans="104:111">
      <c r="CZ6967" s="256"/>
      <c r="DG6967" s="256"/>
    </row>
    <row r="6968" spans="104:111">
      <c r="CZ6968" s="256"/>
      <c r="DG6968" s="256"/>
    </row>
    <row r="6969" spans="104:111">
      <c r="CZ6969" s="256"/>
      <c r="DG6969" s="256"/>
    </row>
    <row r="6970" spans="104:111">
      <c r="CZ6970" s="256"/>
      <c r="DG6970" s="256"/>
    </row>
    <row r="6971" spans="104:111">
      <c r="CZ6971" s="256"/>
      <c r="DG6971" s="256"/>
    </row>
    <row r="6972" spans="104:111">
      <c r="CZ6972" s="256"/>
      <c r="DG6972" s="256"/>
    </row>
    <row r="6973" spans="104:111">
      <c r="CZ6973" s="256"/>
      <c r="DG6973" s="256"/>
    </row>
    <row r="6974" spans="104:111">
      <c r="CZ6974" s="256"/>
      <c r="DG6974" s="256"/>
    </row>
    <row r="6975" spans="104:111">
      <c r="CZ6975" s="256"/>
      <c r="DG6975" s="256"/>
    </row>
    <row r="6976" spans="104:111">
      <c r="CZ6976" s="256"/>
      <c r="DG6976" s="256"/>
    </row>
    <row r="6977" spans="104:111">
      <c r="CZ6977" s="256"/>
      <c r="DG6977" s="256"/>
    </row>
    <row r="6978" spans="104:111">
      <c r="CZ6978" s="256"/>
      <c r="DG6978" s="256"/>
    </row>
    <row r="6979" spans="104:111">
      <c r="CZ6979" s="256"/>
      <c r="DG6979" s="256"/>
    </row>
    <row r="6980" spans="104:111">
      <c r="CZ6980" s="256"/>
      <c r="DG6980" s="256"/>
    </row>
    <row r="6981" spans="104:111">
      <c r="CZ6981" s="256"/>
      <c r="DG6981" s="256"/>
    </row>
    <row r="6982" spans="104:111">
      <c r="CZ6982" s="256"/>
      <c r="DG6982" s="256"/>
    </row>
    <row r="6983" spans="104:111">
      <c r="CZ6983" s="256"/>
      <c r="DG6983" s="256"/>
    </row>
    <row r="6984" spans="104:111">
      <c r="CZ6984" s="256"/>
      <c r="DG6984" s="256"/>
    </row>
    <row r="6985" spans="104:111">
      <c r="CZ6985" s="256"/>
      <c r="DG6985" s="256"/>
    </row>
    <row r="6986" spans="104:111">
      <c r="CZ6986" s="256"/>
      <c r="DG6986" s="256"/>
    </row>
    <row r="6987" spans="104:111">
      <c r="CZ6987" s="256"/>
      <c r="DG6987" s="256"/>
    </row>
    <row r="6988" spans="104:111">
      <c r="CZ6988" s="256"/>
      <c r="DG6988" s="256"/>
    </row>
    <row r="6989" spans="104:111">
      <c r="CZ6989" s="256"/>
      <c r="DG6989" s="256"/>
    </row>
    <row r="6990" spans="104:111">
      <c r="CZ6990" s="256"/>
      <c r="DG6990" s="256"/>
    </row>
    <row r="6991" spans="104:111">
      <c r="CZ6991" s="256"/>
      <c r="DG6991" s="256"/>
    </row>
    <row r="6992" spans="104:111">
      <c r="CZ6992" s="256"/>
      <c r="DG6992" s="256"/>
    </row>
    <row r="6993" spans="104:111">
      <c r="CZ6993" s="256"/>
      <c r="DG6993" s="256"/>
    </row>
    <row r="6994" spans="104:111">
      <c r="CZ6994" s="256"/>
      <c r="DG6994" s="256"/>
    </row>
    <row r="6995" spans="104:111">
      <c r="CZ6995" s="256"/>
      <c r="DG6995" s="256"/>
    </row>
    <row r="6996" spans="104:111">
      <c r="CZ6996" s="256"/>
      <c r="DG6996" s="256"/>
    </row>
    <row r="6997" spans="104:111">
      <c r="CZ6997" s="256"/>
      <c r="DG6997" s="256"/>
    </row>
    <row r="6998" spans="104:111">
      <c r="CZ6998" s="256"/>
      <c r="DG6998" s="256"/>
    </row>
    <row r="6999" spans="104:111">
      <c r="CZ6999" s="256"/>
      <c r="DG6999" s="256"/>
    </row>
    <row r="7000" spans="104:111">
      <c r="CZ7000" s="256"/>
      <c r="DG7000" s="256"/>
    </row>
    <row r="7001" spans="104:111">
      <c r="CZ7001" s="256"/>
      <c r="DG7001" s="256"/>
    </row>
    <row r="7002" spans="104:111">
      <c r="CZ7002" s="256"/>
      <c r="DG7002" s="256"/>
    </row>
    <row r="7003" spans="104:111">
      <c r="CZ7003" s="256"/>
      <c r="DG7003" s="256"/>
    </row>
    <row r="7004" spans="104:111">
      <c r="CZ7004" s="256"/>
      <c r="DG7004" s="256"/>
    </row>
    <row r="7005" spans="104:111">
      <c r="CZ7005" s="256"/>
      <c r="DG7005" s="256"/>
    </row>
    <row r="7006" spans="104:111">
      <c r="CZ7006" s="256"/>
      <c r="DG7006" s="256"/>
    </row>
    <row r="7007" spans="104:111">
      <c r="CZ7007" s="256"/>
      <c r="DG7007" s="256"/>
    </row>
    <row r="7008" spans="104:111">
      <c r="CZ7008" s="256"/>
      <c r="DG7008" s="256"/>
    </row>
    <row r="7009" spans="104:111">
      <c r="CZ7009" s="256"/>
      <c r="DG7009" s="256"/>
    </row>
    <row r="7010" spans="104:111">
      <c r="CZ7010" s="256"/>
      <c r="DG7010" s="256"/>
    </row>
    <row r="7011" spans="104:111">
      <c r="CZ7011" s="256"/>
      <c r="DG7011" s="256"/>
    </row>
    <row r="7012" spans="104:111">
      <c r="CZ7012" s="256"/>
      <c r="DG7012" s="256"/>
    </row>
    <row r="7013" spans="104:111">
      <c r="CZ7013" s="256"/>
      <c r="DG7013" s="256"/>
    </row>
    <row r="7014" spans="104:111">
      <c r="CZ7014" s="256"/>
      <c r="DG7014" s="256"/>
    </row>
    <row r="7015" spans="104:111">
      <c r="CZ7015" s="256"/>
      <c r="DG7015" s="256"/>
    </row>
    <row r="7016" spans="104:111">
      <c r="CZ7016" s="256"/>
      <c r="DG7016" s="256"/>
    </row>
    <row r="7017" spans="104:111">
      <c r="CZ7017" s="256"/>
      <c r="DG7017" s="256"/>
    </row>
    <row r="7018" spans="104:111">
      <c r="CZ7018" s="256"/>
      <c r="DG7018" s="256"/>
    </row>
    <row r="7019" spans="104:111">
      <c r="CZ7019" s="256"/>
      <c r="DG7019" s="256"/>
    </row>
    <row r="7020" spans="104:111">
      <c r="CZ7020" s="256"/>
      <c r="DG7020" s="256"/>
    </row>
    <row r="7021" spans="104:111">
      <c r="CZ7021" s="256"/>
      <c r="DG7021" s="256"/>
    </row>
    <row r="7022" spans="104:111">
      <c r="CZ7022" s="256"/>
      <c r="DG7022" s="256"/>
    </row>
    <row r="7023" spans="104:111">
      <c r="CZ7023" s="256"/>
      <c r="DG7023" s="256"/>
    </row>
    <row r="7024" spans="104:111">
      <c r="CZ7024" s="256"/>
      <c r="DG7024" s="256"/>
    </row>
    <row r="7025" spans="104:111">
      <c r="CZ7025" s="256"/>
      <c r="DG7025" s="256"/>
    </row>
    <row r="7026" spans="104:111">
      <c r="CZ7026" s="256"/>
      <c r="DG7026" s="256"/>
    </row>
    <row r="7027" spans="104:111">
      <c r="CZ7027" s="256"/>
      <c r="DG7027" s="256"/>
    </row>
    <row r="7028" spans="104:111">
      <c r="CZ7028" s="256"/>
      <c r="DG7028" s="256"/>
    </row>
    <row r="7029" spans="104:111">
      <c r="CZ7029" s="256"/>
      <c r="DG7029" s="256"/>
    </row>
    <row r="7030" spans="104:111">
      <c r="CZ7030" s="256"/>
      <c r="DG7030" s="256"/>
    </row>
    <row r="7031" spans="104:111">
      <c r="CZ7031" s="256"/>
      <c r="DG7031" s="256"/>
    </row>
    <row r="7032" spans="104:111">
      <c r="CZ7032" s="256"/>
      <c r="DG7032" s="256"/>
    </row>
    <row r="7033" spans="104:111">
      <c r="CZ7033" s="256"/>
      <c r="DG7033" s="256"/>
    </row>
    <row r="7034" spans="104:111">
      <c r="CZ7034" s="256"/>
      <c r="DG7034" s="256"/>
    </row>
    <row r="7035" spans="104:111">
      <c r="CZ7035" s="256"/>
      <c r="DG7035" s="256"/>
    </row>
    <row r="7036" spans="104:111">
      <c r="CZ7036" s="256"/>
      <c r="DG7036" s="256"/>
    </row>
    <row r="7037" spans="104:111">
      <c r="CZ7037" s="256"/>
      <c r="DG7037" s="256"/>
    </row>
    <row r="7038" spans="104:111">
      <c r="CZ7038" s="256"/>
      <c r="DG7038" s="256"/>
    </row>
    <row r="7039" spans="104:111">
      <c r="CZ7039" s="256"/>
      <c r="DG7039" s="256"/>
    </row>
    <row r="7040" spans="104:111">
      <c r="CZ7040" s="256"/>
      <c r="DG7040" s="256"/>
    </row>
    <row r="7041" spans="104:111">
      <c r="CZ7041" s="256"/>
      <c r="DG7041" s="256"/>
    </row>
    <row r="7042" spans="104:111">
      <c r="CZ7042" s="256"/>
      <c r="DG7042" s="256"/>
    </row>
    <row r="7043" spans="104:111">
      <c r="CZ7043" s="256"/>
      <c r="DG7043" s="256"/>
    </row>
    <row r="7044" spans="104:111">
      <c r="CZ7044" s="256"/>
      <c r="DG7044" s="256"/>
    </row>
    <row r="7045" spans="104:111">
      <c r="CZ7045" s="256"/>
      <c r="DG7045" s="256"/>
    </row>
    <row r="7046" spans="104:111">
      <c r="CZ7046" s="256"/>
      <c r="DG7046" s="256"/>
    </row>
    <row r="7047" spans="104:111">
      <c r="CZ7047" s="256"/>
      <c r="DG7047" s="256"/>
    </row>
    <row r="7048" spans="104:111">
      <c r="CZ7048" s="256"/>
      <c r="DG7048" s="256"/>
    </row>
    <row r="7049" spans="104:111">
      <c r="CZ7049" s="256"/>
      <c r="DG7049" s="256"/>
    </row>
    <row r="7050" spans="104:111">
      <c r="CZ7050" s="256"/>
      <c r="DG7050" s="256"/>
    </row>
    <row r="7051" spans="104:111">
      <c r="CZ7051" s="256"/>
      <c r="DG7051" s="256"/>
    </row>
    <row r="7052" spans="104:111">
      <c r="CZ7052" s="256"/>
      <c r="DG7052" s="256"/>
    </row>
    <row r="7053" spans="104:111">
      <c r="CZ7053" s="256"/>
      <c r="DG7053" s="256"/>
    </row>
    <row r="7054" spans="104:111">
      <c r="CZ7054" s="256"/>
      <c r="DG7054" s="256"/>
    </row>
    <row r="7055" spans="104:111">
      <c r="CZ7055" s="256"/>
      <c r="DG7055" s="256"/>
    </row>
    <row r="7056" spans="104:111">
      <c r="CZ7056" s="256"/>
      <c r="DG7056" s="256"/>
    </row>
    <row r="7057" spans="104:111">
      <c r="CZ7057" s="256"/>
      <c r="DG7057" s="256"/>
    </row>
    <row r="7058" spans="104:111">
      <c r="CZ7058" s="256"/>
      <c r="DG7058" s="256"/>
    </row>
    <row r="7059" spans="104:111">
      <c r="CZ7059" s="256"/>
      <c r="DG7059" s="256"/>
    </row>
    <row r="7060" spans="104:111">
      <c r="CZ7060" s="256"/>
      <c r="DG7060" s="256"/>
    </row>
    <row r="7061" spans="104:111">
      <c r="CZ7061" s="256"/>
      <c r="DG7061" s="256"/>
    </row>
    <row r="7062" spans="104:111">
      <c r="CZ7062" s="256"/>
      <c r="DG7062" s="256"/>
    </row>
    <row r="7063" spans="104:111">
      <c r="CZ7063" s="256"/>
      <c r="DG7063" s="256"/>
    </row>
    <row r="7064" spans="104:111">
      <c r="CZ7064" s="256"/>
      <c r="DG7064" s="256"/>
    </row>
    <row r="7065" spans="104:111">
      <c r="CZ7065" s="256"/>
      <c r="DG7065" s="256"/>
    </row>
    <row r="7066" spans="104:111">
      <c r="CZ7066" s="256"/>
      <c r="DG7066" s="256"/>
    </row>
    <row r="7067" spans="104:111">
      <c r="CZ7067" s="256"/>
      <c r="DG7067" s="256"/>
    </row>
    <row r="7068" spans="104:111">
      <c r="CZ7068" s="256"/>
      <c r="DG7068" s="256"/>
    </row>
    <row r="7069" spans="104:111">
      <c r="CZ7069" s="256"/>
      <c r="DG7069" s="256"/>
    </row>
    <row r="7070" spans="104:111">
      <c r="CZ7070" s="256"/>
      <c r="DG7070" s="256"/>
    </row>
    <row r="7071" spans="104:111">
      <c r="CZ7071" s="256"/>
      <c r="DG7071" s="256"/>
    </row>
    <row r="7072" spans="104:111">
      <c r="CZ7072" s="256"/>
      <c r="DG7072" s="256"/>
    </row>
    <row r="7073" spans="104:111">
      <c r="CZ7073" s="256"/>
      <c r="DG7073" s="256"/>
    </row>
    <row r="7074" spans="104:111">
      <c r="CZ7074" s="256"/>
      <c r="DG7074" s="256"/>
    </row>
    <row r="7075" spans="104:111">
      <c r="CZ7075" s="256"/>
      <c r="DG7075" s="256"/>
    </row>
    <row r="7076" spans="104:111">
      <c r="CZ7076" s="256"/>
      <c r="DG7076" s="256"/>
    </row>
    <row r="7077" spans="104:111">
      <c r="CZ7077" s="256"/>
      <c r="DG7077" s="256"/>
    </row>
    <row r="7078" spans="104:111">
      <c r="CZ7078" s="256"/>
      <c r="DG7078" s="256"/>
    </row>
    <row r="7079" spans="104:111">
      <c r="CZ7079" s="256"/>
      <c r="DG7079" s="256"/>
    </row>
    <row r="7080" spans="104:111">
      <c r="CZ7080" s="256"/>
      <c r="DG7080" s="256"/>
    </row>
    <row r="7081" spans="104:111">
      <c r="CZ7081" s="256"/>
      <c r="DG7081" s="256"/>
    </row>
    <row r="7082" spans="104:111">
      <c r="CZ7082" s="256"/>
      <c r="DG7082" s="256"/>
    </row>
    <row r="7083" spans="104:111">
      <c r="CZ7083" s="256"/>
      <c r="DG7083" s="256"/>
    </row>
    <row r="7084" spans="104:111">
      <c r="CZ7084" s="256"/>
      <c r="DG7084" s="256"/>
    </row>
    <row r="7085" spans="104:111">
      <c r="CZ7085" s="256"/>
      <c r="DG7085" s="256"/>
    </row>
    <row r="7086" spans="104:111">
      <c r="CZ7086" s="256"/>
      <c r="DG7086" s="256"/>
    </row>
    <row r="7087" spans="104:111">
      <c r="CZ7087" s="256"/>
      <c r="DG7087" s="256"/>
    </row>
    <row r="7088" spans="104:111">
      <c r="CZ7088" s="256"/>
      <c r="DG7088" s="256"/>
    </row>
    <row r="7089" spans="104:111">
      <c r="CZ7089" s="256"/>
      <c r="DG7089" s="256"/>
    </row>
    <row r="7090" spans="104:111">
      <c r="CZ7090" s="256"/>
      <c r="DG7090" s="256"/>
    </row>
    <row r="7091" spans="104:111">
      <c r="CZ7091" s="256"/>
      <c r="DG7091" s="256"/>
    </row>
    <row r="7092" spans="104:111">
      <c r="CZ7092" s="256"/>
      <c r="DG7092" s="256"/>
    </row>
    <row r="7093" spans="104:111">
      <c r="CZ7093" s="256"/>
      <c r="DG7093" s="256"/>
    </row>
    <row r="7094" spans="104:111">
      <c r="CZ7094" s="256"/>
      <c r="DG7094" s="256"/>
    </row>
    <row r="7095" spans="104:111">
      <c r="CZ7095" s="256"/>
      <c r="DG7095" s="256"/>
    </row>
    <row r="7096" spans="104:111">
      <c r="CZ7096" s="256"/>
      <c r="DG7096" s="256"/>
    </row>
    <row r="7097" spans="104:111">
      <c r="CZ7097" s="256"/>
      <c r="DG7097" s="256"/>
    </row>
    <row r="7098" spans="104:111">
      <c r="CZ7098" s="256"/>
      <c r="DG7098" s="256"/>
    </row>
    <row r="7099" spans="104:111">
      <c r="CZ7099" s="256"/>
      <c r="DG7099" s="256"/>
    </row>
    <row r="7100" spans="104:111">
      <c r="CZ7100" s="256"/>
      <c r="DG7100" s="256"/>
    </row>
    <row r="7101" spans="104:111">
      <c r="CZ7101" s="256"/>
      <c r="DG7101" s="256"/>
    </row>
    <row r="7102" spans="104:111">
      <c r="CZ7102" s="256"/>
      <c r="DG7102" s="256"/>
    </row>
    <row r="7103" spans="104:111">
      <c r="CZ7103" s="256"/>
      <c r="DG7103" s="256"/>
    </row>
    <row r="7104" spans="104:111">
      <c r="CZ7104" s="256"/>
      <c r="DG7104" s="256"/>
    </row>
    <row r="7105" spans="104:111">
      <c r="CZ7105" s="256"/>
      <c r="DG7105" s="256"/>
    </row>
    <row r="7106" spans="104:111">
      <c r="CZ7106" s="256"/>
      <c r="DG7106" s="256"/>
    </row>
    <row r="7107" spans="104:111">
      <c r="CZ7107" s="256"/>
      <c r="DG7107" s="256"/>
    </row>
    <row r="7108" spans="104:111">
      <c r="CZ7108" s="256"/>
      <c r="DG7108" s="256"/>
    </row>
    <row r="7109" spans="104:111">
      <c r="CZ7109" s="256"/>
      <c r="DG7109" s="256"/>
    </row>
    <row r="7110" spans="104:111">
      <c r="CZ7110" s="256"/>
      <c r="DG7110" s="256"/>
    </row>
    <row r="7111" spans="104:111">
      <c r="CZ7111" s="256"/>
      <c r="DG7111" s="256"/>
    </row>
    <row r="7112" spans="104:111">
      <c r="CZ7112" s="256"/>
      <c r="DG7112" s="256"/>
    </row>
    <row r="7113" spans="104:111">
      <c r="CZ7113" s="256"/>
      <c r="DG7113" s="256"/>
    </row>
    <row r="7114" spans="104:111">
      <c r="CZ7114" s="256"/>
      <c r="DG7114" s="256"/>
    </row>
    <row r="7115" spans="104:111">
      <c r="CZ7115" s="256"/>
      <c r="DG7115" s="256"/>
    </row>
    <row r="7116" spans="104:111">
      <c r="CZ7116" s="256"/>
      <c r="DG7116" s="256"/>
    </row>
    <row r="7117" spans="104:111">
      <c r="CZ7117" s="256"/>
      <c r="DG7117" s="256"/>
    </row>
    <row r="7118" spans="104:111">
      <c r="CZ7118" s="256"/>
      <c r="DG7118" s="256"/>
    </row>
    <row r="7119" spans="104:111">
      <c r="CZ7119" s="256"/>
      <c r="DG7119" s="256"/>
    </row>
    <row r="7120" spans="104:111">
      <c r="CZ7120" s="256"/>
      <c r="DG7120" s="256"/>
    </row>
    <row r="7121" spans="104:111">
      <c r="CZ7121" s="256"/>
      <c r="DG7121" s="256"/>
    </row>
    <row r="7122" spans="104:111">
      <c r="CZ7122" s="256"/>
      <c r="DG7122" s="256"/>
    </row>
    <row r="7123" spans="104:111">
      <c r="CZ7123" s="256"/>
      <c r="DG7123" s="256"/>
    </row>
    <row r="7124" spans="104:111">
      <c r="CZ7124" s="256"/>
      <c r="DG7124" s="256"/>
    </row>
    <row r="7125" spans="104:111">
      <c r="CZ7125" s="256"/>
      <c r="DG7125" s="256"/>
    </row>
    <row r="7126" spans="104:111">
      <c r="CZ7126" s="256"/>
      <c r="DG7126" s="256"/>
    </row>
    <row r="7127" spans="104:111">
      <c r="CZ7127" s="256"/>
      <c r="DG7127" s="256"/>
    </row>
    <row r="7128" spans="104:111">
      <c r="CZ7128" s="256"/>
      <c r="DG7128" s="256"/>
    </row>
    <row r="7129" spans="104:111">
      <c r="CZ7129" s="256"/>
      <c r="DG7129" s="256"/>
    </row>
    <row r="7130" spans="104:111">
      <c r="CZ7130" s="256"/>
      <c r="DG7130" s="256"/>
    </row>
    <row r="7131" spans="104:111">
      <c r="CZ7131" s="256"/>
      <c r="DG7131" s="256"/>
    </row>
    <row r="7132" spans="104:111">
      <c r="CZ7132" s="256"/>
      <c r="DG7132" s="256"/>
    </row>
    <row r="7133" spans="104:111">
      <c r="CZ7133" s="256"/>
      <c r="DG7133" s="256"/>
    </row>
    <row r="7134" spans="104:111">
      <c r="CZ7134" s="256"/>
      <c r="DG7134" s="256"/>
    </row>
    <row r="7135" spans="104:111">
      <c r="CZ7135" s="256"/>
      <c r="DG7135" s="256"/>
    </row>
    <row r="7136" spans="104:111">
      <c r="CZ7136" s="256"/>
      <c r="DG7136" s="256"/>
    </row>
    <row r="7137" spans="104:111">
      <c r="CZ7137" s="256"/>
      <c r="DG7137" s="256"/>
    </row>
    <row r="7138" spans="104:111">
      <c r="CZ7138" s="256"/>
      <c r="DG7138" s="256"/>
    </row>
    <row r="7139" spans="104:111">
      <c r="CZ7139" s="256"/>
      <c r="DG7139" s="256"/>
    </row>
    <row r="7140" spans="104:111">
      <c r="CZ7140" s="256"/>
      <c r="DG7140" s="256"/>
    </row>
    <row r="7141" spans="104:111">
      <c r="CZ7141" s="256"/>
      <c r="DG7141" s="256"/>
    </row>
    <row r="7142" spans="104:111">
      <c r="CZ7142" s="256"/>
      <c r="DG7142" s="256"/>
    </row>
    <row r="7143" spans="104:111">
      <c r="CZ7143" s="256"/>
      <c r="DG7143" s="256"/>
    </row>
    <row r="7144" spans="104:111">
      <c r="CZ7144" s="256"/>
      <c r="DG7144" s="256"/>
    </row>
    <row r="7145" spans="104:111">
      <c r="CZ7145" s="256"/>
      <c r="DG7145" s="256"/>
    </row>
    <row r="7146" spans="104:111">
      <c r="CZ7146" s="256"/>
      <c r="DG7146" s="256"/>
    </row>
    <row r="7147" spans="104:111">
      <c r="CZ7147" s="256"/>
      <c r="DG7147" s="256"/>
    </row>
    <row r="7148" spans="104:111">
      <c r="CZ7148" s="256"/>
      <c r="DG7148" s="256"/>
    </row>
    <row r="7149" spans="104:111">
      <c r="CZ7149" s="256"/>
      <c r="DG7149" s="256"/>
    </row>
    <row r="7150" spans="104:111">
      <c r="CZ7150" s="256"/>
      <c r="DG7150" s="256"/>
    </row>
    <row r="7151" spans="104:111">
      <c r="CZ7151" s="256"/>
      <c r="DG7151" s="256"/>
    </row>
    <row r="7152" spans="104:111">
      <c r="CZ7152" s="256"/>
      <c r="DG7152" s="256"/>
    </row>
    <row r="7153" spans="104:111">
      <c r="CZ7153" s="256"/>
      <c r="DG7153" s="256"/>
    </row>
    <row r="7154" spans="104:111">
      <c r="CZ7154" s="256"/>
      <c r="DG7154" s="256"/>
    </row>
    <row r="7155" spans="104:111">
      <c r="CZ7155" s="256"/>
      <c r="DG7155" s="256"/>
    </row>
    <row r="7156" spans="104:111">
      <c r="CZ7156" s="256"/>
      <c r="DG7156" s="256"/>
    </row>
    <row r="7157" spans="104:111">
      <c r="CZ7157" s="256"/>
      <c r="DG7157" s="256"/>
    </row>
    <row r="7158" spans="104:111">
      <c r="CZ7158" s="256"/>
      <c r="DG7158" s="256"/>
    </row>
    <row r="7159" spans="104:111">
      <c r="CZ7159" s="256"/>
      <c r="DG7159" s="256"/>
    </row>
    <row r="7160" spans="104:111">
      <c r="CZ7160" s="256"/>
      <c r="DG7160" s="256"/>
    </row>
    <row r="7161" spans="104:111">
      <c r="CZ7161" s="256"/>
      <c r="DG7161" s="256"/>
    </row>
    <row r="7162" spans="104:111">
      <c r="CZ7162" s="256"/>
      <c r="DG7162" s="256"/>
    </row>
    <row r="7163" spans="104:111">
      <c r="CZ7163" s="256"/>
      <c r="DG7163" s="256"/>
    </row>
    <row r="7164" spans="104:111">
      <c r="CZ7164" s="256"/>
      <c r="DG7164" s="256"/>
    </row>
    <row r="7165" spans="104:111">
      <c r="CZ7165" s="256"/>
      <c r="DG7165" s="256"/>
    </row>
    <row r="7166" spans="104:111">
      <c r="CZ7166" s="256"/>
      <c r="DG7166" s="256"/>
    </row>
    <row r="7167" spans="104:111">
      <c r="CZ7167" s="256"/>
      <c r="DG7167" s="256"/>
    </row>
    <row r="7168" spans="104:111">
      <c r="CZ7168" s="256"/>
      <c r="DG7168" s="256"/>
    </row>
    <row r="7169" spans="104:111">
      <c r="CZ7169" s="256"/>
      <c r="DG7169" s="256"/>
    </row>
    <row r="7170" spans="104:111">
      <c r="CZ7170" s="256"/>
      <c r="DG7170" s="256"/>
    </row>
    <row r="7171" spans="104:111">
      <c r="CZ7171" s="256"/>
      <c r="DG7171" s="256"/>
    </row>
    <row r="7172" spans="104:111">
      <c r="CZ7172" s="256"/>
      <c r="DG7172" s="256"/>
    </row>
    <row r="7173" spans="104:111">
      <c r="CZ7173" s="256"/>
      <c r="DG7173" s="256"/>
    </row>
    <row r="7174" spans="104:111">
      <c r="CZ7174" s="256"/>
      <c r="DG7174" s="256"/>
    </row>
    <row r="7175" spans="104:111">
      <c r="CZ7175" s="256"/>
      <c r="DG7175" s="256"/>
    </row>
    <row r="7176" spans="104:111">
      <c r="CZ7176" s="256"/>
      <c r="DG7176" s="256"/>
    </row>
    <row r="7177" spans="104:111">
      <c r="CZ7177" s="256"/>
      <c r="DG7177" s="256"/>
    </row>
    <row r="7178" spans="104:111">
      <c r="CZ7178" s="256"/>
      <c r="DG7178" s="256"/>
    </row>
    <row r="7179" spans="104:111">
      <c r="CZ7179" s="256"/>
      <c r="DG7179" s="256"/>
    </row>
    <row r="7180" spans="104:111">
      <c r="CZ7180" s="256"/>
      <c r="DG7180" s="256"/>
    </row>
    <row r="7181" spans="104:111">
      <c r="CZ7181" s="256"/>
      <c r="DG7181" s="256"/>
    </row>
    <row r="7182" spans="104:111">
      <c r="CZ7182" s="256"/>
      <c r="DG7182" s="256"/>
    </row>
    <row r="7183" spans="104:111">
      <c r="CZ7183" s="256"/>
      <c r="DG7183" s="256"/>
    </row>
    <row r="7184" spans="104:111">
      <c r="CZ7184" s="256"/>
      <c r="DG7184" s="256"/>
    </row>
    <row r="7185" spans="104:111">
      <c r="CZ7185" s="256"/>
      <c r="DG7185" s="256"/>
    </row>
    <row r="7186" spans="104:111">
      <c r="CZ7186" s="256"/>
      <c r="DG7186" s="256"/>
    </row>
    <row r="7187" spans="104:111">
      <c r="CZ7187" s="256"/>
      <c r="DG7187" s="256"/>
    </row>
    <row r="7188" spans="104:111">
      <c r="CZ7188" s="256"/>
      <c r="DG7188" s="256"/>
    </row>
    <row r="7189" spans="104:111">
      <c r="CZ7189" s="256"/>
      <c r="DG7189" s="256"/>
    </row>
    <row r="7190" spans="104:111">
      <c r="CZ7190" s="256"/>
      <c r="DG7190" s="256"/>
    </row>
    <row r="7191" spans="104:111">
      <c r="CZ7191" s="256"/>
      <c r="DG7191" s="256"/>
    </row>
    <row r="7192" spans="104:111">
      <c r="CZ7192" s="256"/>
      <c r="DG7192" s="256"/>
    </row>
    <row r="7193" spans="104:111">
      <c r="CZ7193" s="256"/>
      <c r="DG7193" s="256"/>
    </row>
    <row r="7194" spans="104:111">
      <c r="CZ7194" s="256"/>
      <c r="DG7194" s="256"/>
    </row>
    <row r="7195" spans="104:111">
      <c r="CZ7195" s="256"/>
      <c r="DG7195" s="256"/>
    </row>
    <row r="7196" spans="104:111">
      <c r="CZ7196" s="256"/>
      <c r="DG7196" s="256"/>
    </row>
    <row r="7197" spans="104:111">
      <c r="CZ7197" s="256"/>
      <c r="DG7197" s="256"/>
    </row>
    <row r="7198" spans="104:111">
      <c r="CZ7198" s="256"/>
      <c r="DG7198" s="256"/>
    </row>
    <row r="7199" spans="104:111">
      <c r="CZ7199" s="256"/>
      <c r="DG7199" s="256"/>
    </row>
    <row r="7200" spans="104:111">
      <c r="CZ7200" s="256"/>
      <c r="DG7200" s="256"/>
    </row>
    <row r="7201" spans="104:111">
      <c r="CZ7201" s="256"/>
      <c r="DG7201" s="256"/>
    </row>
    <row r="7202" spans="104:111">
      <c r="CZ7202" s="256"/>
      <c r="DG7202" s="256"/>
    </row>
    <row r="7203" spans="104:111">
      <c r="CZ7203" s="256"/>
      <c r="DG7203" s="256"/>
    </row>
    <row r="7204" spans="104:111">
      <c r="CZ7204" s="256"/>
      <c r="DG7204" s="256"/>
    </row>
    <row r="7205" spans="104:111">
      <c r="CZ7205" s="256"/>
      <c r="DG7205" s="256"/>
    </row>
    <row r="7206" spans="104:111">
      <c r="CZ7206" s="256"/>
      <c r="DG7206" s="256"/>
    </row>
    <row r="7207" spans="104:111">
      <c r="CZ7207" s="256"/>
      <c r="DG7207" s="256"/>
    </row>
    <row r="7208" spans="104:111">
      <c r="CZ7208" s="256"/>
      <c r="DG7208" s="256"/>
    </row>
    <row r="7209" spans="104:111">
      <c r="CZ7209" s="256"/>
      <c r="DG7209" s="256"/>
    </row>
    <row r="7210" spans="104:111">
      <c r="CZ7210" s="256"/>
      <c r="DG7210" s="256"/>
    </row>
    <row r="7211" spans="104:111">
      <c r="CZ7211" s="256"/>
      <c r="DG7211" s="256"/>
    </row>
    <row r="7212" spans="104:111">
      <c r="CZ7212" s="256"/>
      <c r="DG7212" s="256"/>
    </row>
    <row r="7213" spans="104:111">
      <c r="CZ7213" s="256"/>
      <c r="DG7213" s="256"/>
    </row>
    <row r="7214" spans="104:111">
      <c r="CZ7214" s="256"/>
      <c r="DG7214" s="256"/>
    </row>
    <row r="7215" spans="104:111">
      <c r="CZ7215" s="256"/>
      <c r="DG7215" s="256"/>
    </row>
    <row r="7216" spans="104:111">
      <c r="CZ7216" s="256"/>
      <c r="DG7216" s="256"/>
    </row>
    <row r="7217" spans="104:111">
      <c r="CZ7217" s="256"/>
      <c r="DG7217" s="256"/>
    </row>
    <row r="7218" spans="104:111">
      <c r="CZ7218" s="256"/>
      <c r="DG7218" s="256"/>
    </row>
    <row r="7219" spans="104:111">
      <c r="CZ7219" s="256"/>
      <c r="DG7219" s="256"/>
    </row>
    <row r="7220" spans="104:111">
      <c r="CZ7220" s="256"/>
      <c r="DG7220" s="256"/>
    </row>
    <row r="7221" spans="104:111">
      <c r="CZ7221" s="256"/>
      <c r="DG7221" s="256"/>
    </row>
    <row r="7222" spans="104:111">
      <c r="CZ7222" s="256"/>
      <c r="DG7222" s="256"/>
    </row>
    <row r="7223" spans="104:111">
      <c r="CZ7223" s="256"/>
      <c r="DG7223" s="256"/>
    </row>
    <row r="7224" spans="104:111">
      <c r="CZ7224" s="256"/>
      <c r="DG7224" s="256"/>
    </row>
    <row r="7225" spans="104:111">
      <c r="CZ7225" s="256"/>
      <c r="DG7225" s="256"/>
    </row>
    <row r="7226" spans="104:111">
      <c r="CZ7226" s="256"/>
      <c r="DG7226" s="256"/>
    </row>
    <row r="7227" spans="104:111">
      <c r="CZ7227" s="256"/>
      <c r="DG7227" s="256"/>
    </row>
    <row r="7228" spans="104:111">
      <c r="CZ7228" s="256"/>
      <c r="DG7228" s="256"/>
    </row>
    <row r="7229" spans="104:111">
      <c r="CZ7229" s="256"/>
      <c r="DG7229" s="256"/>
    </row>
    <row r="7230" spans="104:111">
      <c r="CZ7230" s="256"/>
      <c r="DG7230" s="256"/>
    </row>
    <row r="7231" spans="104:111">
      <c r="CZ7231" s="256"/>
      <c r="DG7231" s="256"/>
    </row>
    <row r="7232" spans="104:111">
      <c r="CZ7232" s="256"/>
      <c r="DG7232" s="256"/>
    </row>
    <row r="7233" spans="104:111">
      <c r="CZ7233" s="256"/>
      <c r="DG7233" s="256"/>
    </row>
    <row r="7234" spans="104:111">
      <c r="CZ7234" s="256"/>
      <c r="DG7234" s="256"/>
    </row>
    <row r="7235" spans="104:111">
      <c r="CZ7235" s="256"/>
      <c r="DG7235" s="256"/>
    </row>
    <row r="7236" spans="104:111">
      <c r="CZ7236" s="256"/>
      <c r="DG7236" s="256"/>
    </row>
    <row r="7237" spans="104:111">
      <c r="CZ7237" s="256"/>
      <c r="DG7237" s="256"/>
    </row>
    <row r="7238" spans="104:111">
      <c r="CZ7238" s="256"/>
      <c r="DG7238" s="256"/>
    </row>
    <row r="7239" spans="104:111">
      <c r="CZ7239" s="256"/>
      <c r="DG7239" s="256"/>
    </row>
    <row r="7240" spans="104:111">
      <c r="CZ7240" s="256"/>
      <c r="DG7240" s="256"/>
    </row>
    <row r="7241" spans="104:111">
      <c r="CZ7241" s="256"/>
      <c r="DG7241" s="256"/>
    </row>
    <row r="7242" spans="104:111">
      <c r="CZ7242" s="256"/>
      <c r="DG7242" s="256"/>
    </row>
    <row r="7243" spans="104:111">
      <c r="CZ7243" s="256"/>
      <c r="DG7243" s="256"/>
    </row>
    <row r="7244" spans="104:111">
      <c r="CZ7244" s="256"/>
      <c r="DG7244" s="256"/>
    </row>
    <row r="7245" spans="104:111">
      <c r="CZ7245" s="256"/>
      <c r="DG7245" s="256"/>
    </row>
    <row r="7246" spans="104:111">
      <c r="CZ7246" s="256"/>
      <c r="DG7246" s="256"/>
    </row>
    <row r="7247" spans="104:111">
      <c r="CZ7247" s="256"/>
      <c r="DG7247" s="256"/>
    </row>
    <row r="7248" spans="104:111">
      <c r="CZ7248" s="256"/>
      <c r="DG7248" s="256"/>
    </row>
    <row r="7249" spans="104:111">
      <c r="CZ7249" s="256"/>
      <c r="DG7249" s="256"/>
    </row>
    <row r="7250" spans="104:111">
      <c r="CZ7250" s="256"/>
      <c r="DG7250" s="256"/>
    </row>
    <row r="7251" spans="104:111">
      <c r="CZ7251" s="256"/>
      <c r="DG7251" s="256"/>
    </row>
    <row r="7252" spans="104:111">
      <c r="CZ7252" s="256"/>
      <c r="DG7252" s="256"/>
    </row>
    <row r="7253" spans="104:111">
      <c r="CZ7253" s="256"/>
      <c r="DG7253" s="256"/>
    </row>
    <row r="7254" spans="104:111">
      <c r="CZ7254" s="256"/>
      <c r="DG7254" s="256"/>
    </row>
    <row r="7255" spans="104:111">
      <c r="CZ7255" s="256"/>
      <c r="DG7255" s="256"/>
    </row>
    <row r="7256" spans="104:111">
      <c r="CZ7256" s="256"/>
      <c r="DG7256" s="256"/>
    </row>
    <row r="7257" spans="104:111">
      <c r="CZ7257" s="256"/>
      <c r="DG7257" s="256"/>
    </row>
    <row r="7258" spans="104:111">
      <c r="CZ7258" s="256"/>
      <c r="DG7258" s="256"/>
    </row>
    <row r="7259" spans="104:111">
      <c r="CZ7259" s="256"/>
      <c r="DG7259" s="256"/>
    </row>
    <row r="7260" spans="104:111">
      <c r="CZ7260" s="256"/>
      <c r="DG7260" s="256"/>
    </row>
    <row r="7261" spans="104:111">
      <c r="CZ7261" s="256"/>
      <c r="DG7261" s="256"/>
    </row>
    <row r="7262" spans="104:111">
      <c r="CZ7262" s="256"/>
      <c r="DG7262" s="256"/>
    </row>
    <row r="7263" spans="104:111">
      <c r="CZ7263" s="256"/>
      <c r="DG7263" s="256"/>
    </row>
    <row r="7264" spans="104:111">
      <c r="CZ7264" s="256"/>
      <c r="DG7264" s="256"/>
    </row>
    <row r="7265" spans="104:111">
      <c r="CZ7265" s="256"/>
      <c r="DG7265" s="256"/>
    </row>
    <row r="7266" spans="104:111">
      <c r="CZ7266" s="256"/>
      <c r="DG7266" s="256"/>
    </row>
    <row r="7267" spans="104:111">
      <c r="CZ7267" s="256"/>
      <c r="DG7267" s="256"/>
    </row>
    <row r="7268" spans="104:111">
      <c r="CZ7268" s="256"/>
      <c r="DG7268" s="256"/>
    </row>
    <row r="7269" spans="104:111">
      <c r="CZ7269" s="256"/>
      <c r="DG7269" s="256"/>
    </row>
    <row r="7270" spans="104:111">
      <c r="CZ7270" s="256"/>
      <c r="DG7270" s="256"/>
    </row>
    <row r="7271" spans="104:111">
      <c r="CZ7271" s="256"/>
      <c r="DG7271" s="256"/>
    </row>
    <row r="7272" spans="104:111">
      <c r="CZ7272" s="256"/>
      <c r="DG7272" s="256"/>
    </row>
    <row r="7273" spans="104:111">
      <c r="CZ7273" s="256"/>
      <c r="DG7273" s="256"/>
    </row>
    <row r="7274" spans="104:111">
      <c r="CZ7274" s="256"/>
      <c r="DG7274" s="256"/>
    </row>
    <row r="7275" spans="104:111">
      <c r="CZ7275" s="256"/>
      <c r="DG7275" s="256"/>
    </row>
    <row r="7276" spans="104:111">
      <c r="CZ7276" s="256"/>
      <c r="DG7276" s="256"/>
    </row>
    <row r="7277" spans="104:111">
      <c r="CZ7277" s="256"/>
      <c r="DG7277" s="256"/>
    </row>
    <row r="7278" spans="104:111">
      <c r="CZ7278" s="256"/>
      <c r="DG7278" s="256"/>
    </row>
    <row r="7279" spans="104:111">
      <c r="CZ7279" s="256"/>
      <c r="DG7279" s="256"/>
    </row>
    <row r="7280" spans="104:111">
      <c r="CZ7280" s="256"/>
      <c r="DG7280" s="256"/>
    </row>
    <row r="7281" spans="104:111">
      <c r="CZ7281" s="256"/>
      <c r="DG7281" s="256"/>
    </row>
    <row r="7282" spans="104:111">
      <c r="CZ7282" s="256"/>
      <c r="DG7282" s="256"/>
    </row>
    <row r="7283" spans="104:111">
      <c r="CZ7283" s="256"/>
      <c r="DG7283" s="256"/>
    </row>
    <row r="7284" spans="104:111">
      <c r="CZ7284" s="256"/>
      <c r="DG7284" s="256"/>
    </row>
    <row r="7285" spans="104:111">
      <c r="CZ7285" s="256"/>
      <c r="DG7285" s="256"/>
    </row>
    <row r="7286" spans="104:111">
      <c r="CZ7286" s="256"/>
      <c r="DG7286" s="256"/>
    </row>
    <row r="7287" spans="104:111">
      <c r="CZ7287" s="256"/>
      <c r="DG7287" s="256"/>
    </row>
    <row r="7288" spans="104:111">
      <c r="CZ7288" s="256"/>
      <c r="DG7288" s="256"/>
    </row>
    <row r="7289" spans="104:111">
      <c r="CZ7289" s="256"/>
      <c r="DG7289" s="256"/>
    </row>
    <row r="7290" spans="104:111">
      <c r="CZ7290" s="256"/>
      <c r="DG7290" s="256"/>
    </row>
    <row r="7291" spans="104:111">
      <c r="CZ7291" s="256"/>
      <c r="DG7291" s="256"/>
    </row>
    <row r="7292" spans="104:111">
      <c r="CZ7292" s="256"/>
      <c r="DG7292" s="256"/>
    </row>
    <row r="7293" spans="104:111">
      <c r="CZ7293" s="256"/>
      <c r="DG7293" s="256"/>
    </row>
    <row r="7294" spans="104:111">
      <c r="CZ7294" s="256"/>
      <c r="DG7294" s="256"/>
    </row>
    <row r="7295" spans="104:111">
      <c r="CZ7295" s="256"/>
      <c r="DG7295" s="256"/>
    </row>
    <row r="7296" spans="104:111">
      <c r="CZ7296" s="256"/>
      <c r="DG7296" s="256"/>
    </row>
    <row r="7297" spans="104:111">
      <c r="CZ7297" s="256"/>
      <c r="DG7297" s="256"/>
    </row>
    <row r="7298" spans="104:111">
      <c r="CZ7298" s="256"/>
      <c r="DG7298" s="256"/>
    </row>
    <row r="7299" spans="104:111">
      <c r="CZ7299" s="256"/>
      <c r="DG7299" s="256"/>
    </row>
    <row r="7300" spans="104:111">
      <c r="CZ7300" s="256"/>
      <c r="DG7300" s="256"/>
    </row>
    <row r="7301" spans="104:111">
      <c r="CZ7301" s="256"/>
      <c r="DG7301" s="256"/>
    </row>
    <row r="7302" spans="104:111">
      <c r="CZ7302" s="256"/>
      <c r="DG7302" s="256"/>
    </row>
    <row r="7303" spans="104:111">
      <c r="CZ7303" s="256"/>
      <c r="DG7303" s="256"/>
    </row>
    <row r="7304" spans="104:111">
      <c r="CZ7304" s="256"/>
      <c r="DG7304" s="256"/>
    </row>
    <row r="7305" spans="104:111">
      <c r="CZ7305" s="256"/>
      <c r="DG7305" s="256"/>
    </row>
    <row r="7306" spans="104:111">
      <c r="CZ7306" s="256"/>
      <c r="DG7306" s="256"/>
    </row>
    <row r="7307" spans="104:111">
      <c r="CZ7307" s="256"/>
      <c r="DG7307" s="256"/>
    </row>
    <row r="7308" spans="104:111">
      <c r="CZ7308" s="256"/>
      <c r="DG7308" s="256"/>
    </row>
    <row r="7309" spans="104:111">
      <c r="CZ7309" s="256"/>
      <c r="DG7309" s="256"/>
    </row>
    <row r="7310" spans="104:111">
      <c r="CZ7310" s="256"/>
      <c r="DG7310" s="256"/>
    </row>
    <row r="7311" spans="104:111">
      <c r="CZ7311" s="256"/>
      <c r="DG7311" s="256"/>
    </row>
    <row r="7312" spans="104:111">
      <c r="CZ7312" s="256"/>
      <c r="DG7312" s="256"/>
    </row>
    <row r="7313" spans="104:111">
      <c r="CZ7313" s="256"/>
      <c r="DG7313" s="256"/>
    </row>
    <row r="7314" spans="104:111">
      <c r="CZ7314" s="256"/>
      <c r="DG7314" s="256"/>
    </row>
    <row r="7315" spans="104:111">
      <c r="CZ7315" s="256"/>
      <c r="DG7315" s="256"/>
    </row>
    <row r="7316" spans="104:111">
      <c r="CZ7316" s="256"/>
      <c r="DG7316" s="256"/>
    </row>
    <row r="7317" spans="104:111">
      <c r="CZ7317" s="256"/>
      <c r="DG7317" s="256"/>
    </row>
    <row r="7318" spans="104:111">
      <c r="CZ7318" s="256"/>
      <c r="DG7318" s="256"/>
    </row>
    <row r="7319" spans="104:111">
      <c r="CZ7319" s="256"/>
      <c r="DG7319" s="256"/>
    </row>
    <row r="7320" spans="104:111">
      <c r="CZ7320" s="256"/>
      <c r="DG7320" s="256"/>
    </row>
    <row r="7321" spans="104:111">
      <c r="CZ7321" s="256"/>
      <c r="DG7321" s="256"/>
    </row>
    <row r="7322" spans="104:111">
      <c r="CZ7322" s="256"/>
      <c r="DG7322" s="256"/>
    </row>
    <row r="7323" spans="104:111">
      <c r="CZ7323" s="256"/>
      <c r="DG7323" s="256"/>
    </row>
    <row r="7324" spans="104:111">
      <c r="CZ7324" s="256"/>
      <c r="DG7324" s="256"/>
    </row>
    <row r="7325" spans="104:111">
      <c r="CZ7325" s="256"/>
      <c r="DG7325" s="256"/>
    </row>
    <row r="7326" spans="104:111">
      <c r="CZ7326" s="256"/>
      <c r="DG7326" s="256"/>
    </row>
    <row r="7327" spans="104:111">
      <c r="CZ7327" s="256"/>
      <c r="DG7327" s="256"/>
    </row>
    <row r="7328" spans="104:111">
      <c r="CZ7328" s="256"/>
      <c r="DG7328" s="256"/>
    </row>
    <row r="7329" spans="104:111">
      <c r="CZ7329" s="256"/>
      <c r="DG7329" s="256"/>
    </row>
    <row r="7330" spans="104:111">
      <c r="CZ7330" s="256"/>
      <c r="DG7330" s="256"/>
    </row>
    <row r="7331" spans="104:111">
      <c r="CZ7331" s="256"/>
      <c r="DG7331" s="256"/>
    </row>
    <row r="7332" spans="104:111">
      <c r="CZ7332" s="256"/>
      <c r="DG7332" s="256"/>
    </row>
    <row r="7333" spans="104:111">
      <c r="CZ7333" s="256"/>
      <c r="DG7333" s="256"/>
    </row>
    <row r="7334" spans="104:111">
      <c r="CZ7334" s="256"/>
      <c r="DG7334" s="256"/>
    </row>
    <row r="7335" spans="104:111">
      <c r="CZ7335" s="256"/>
      <c r="DG7335" s="256"/>
    </row>
    <row r="7336" spans="104:111">
      <c r="CZ7336" s="256"/>
      <c r="DG7336" s="256"/>
    </row>
    <row r="7337" spans="104:111">
      <c r="CZ7337" s="256"/>
      <c r="DG7337" s="256"/>
    </row>
    <row r="7338" spans="104:111">
      <c r="CZ7338" s="256"/>
      <c r="DG7338" s="256"/>
    </row>
    <row r="7339" spans="104:111">
      <c r="CZ7339" s="256"/>
      <c r="DG7339" s="256"/>
    </row>
    <row r="7340" spans="104:111">
      <c r="CZ7340" s="256"/>
      <c r="DG7340" s="256"/>
    </row>
    <row r="7341" spans="104:111">
      <c r="CZ7341" s="256"/>
      <c r="DG7341" s="256"/>
    </row>
    <row r="7342" spans="104:111">
      <c r="CZ7342" s="256"/>
      <c r="DG7342" s="256"/>
    </row>
    <row r="7343" spans="104:111">
      <c r="CZ7343" s="256"/>
      <c r="DG7343" s="256"/>
    </row>
    <row r="7344" spans="104:111">
      <c r="CZ7344" s="256"/>
      <c r="DG7344" s="256"/>
    </row>
    <row r="7345" spans="104:111">
      <c r="CZ7345" s="256"/>
      <c r="DG7345" s="256"/>
    </row>
    <row r="7346" spans="104:111">
      <c r="CZ7346" s="256"/>
      <c r="DG7346" s="256"/>
    </row>
    <row r="7347" spans="104:111">
      <c r="CZ7347" s="256"/>
      <c r="DG7347" s="256"/>
    </row>
    <row r="7348" spans="104:111">
      <c r="CZ7348" s="256"/>
      <c r="DG7348" s="256"/>
    </row>
    <row r="7349" spans="104:111">
      <c r="CZ7349" s="256"/>
      <c r="DG7349" s="256"/>
    </row>
    <row r="7350" spans="104:111">
      <c r="CZ7350" s="256"/>
      <c r="DG7350" s="256"/>
    </row>
    <row r="7351" spans="104:111">
      <c r="CZ7351" s="256"/>
      <c r="DG7351" s="256"/>
    </row>
    <row r="7352" spans="104:111">
      <c r="CZ7352" s="256"/>
      <c r="DG7352" s="256"/>
    </row>
    <row r="7353" spans="104:111">
      <c r="CZ7353" s="256"/>
      <c r="DG7353" s="256"/>
    </row>
    <row r="7354" spans="104:111">
      <c r="CZ7354" s="256"/>
      <c r="DG7354" s="256"/>
    </row>
    <row r="7355" spans="104:111">
      <c r="CZ7355" s="256"/>
      <c r="DG7355" s="256"/>
    </row>
    <row r="7356" spans="104:111">
      <c r="CZ7356" s="256"/>
      <c r="DG7356" s="256"/>
    </row>
    <row r="7357" spans="104:111">
      <c r="CZ7357" s="256"/>
      <c r="DG7357" s="256"/>
    </row>
    <row r="7358" spans="104:111">
      <c r="CZ7358" s="256"/>
      <c r="DG7358" s="256"/>
    </row>
    <row r="7359" spans="104:111">
      <c r="CZ7359" s="256"/>
      <c r="DG7359" s="256"/>
    </row>
    <row r="7360" spans="104:111">
      <c r="CZ7360" s="256"/>
      <c r="DG7360" s="256"/>
    </row>
    <row r="7361" spans="104:111">
      <c r="CZ7361" s="256"/>
      <c r="DG7361" s="256"/>
    </row>
    <row r="7362" spans="104:111">
      <c r="CZ7362" s="256"/>
      <c r="DG7362" s="256"/>
    </row>
    <row r="7363" spans="104:111">
      <c r="CZ7363" s="256"/>
      <c r="DG7363" s="256"/>
    </row>
    <row r="7364" spans="104:111">
      <c r="CZ7364" s="256"/>
      <c r="DG7364" s="256"/>
    </row>
    <row r="7365" spans="104:111">
      <c r="CZ7365" s="256"/>
      <c r="DG7365" s="256"/>
    </row>
    <row r="7366" spans="104:111">
      <c r="CZ7366" s="256"/>
      <c r="DG7366" s="256"/>
    </row>
    <row r="7367" spans="104:111">
      <c r="CZ7367" s="256"/>
      <c r="DG7367" s="256"/>
    </row>
    <row r="7368" spans="104:111">
      <c r="CZ7368" s="256"/>
      <c r="DG7368" s="256"/>
    </row>
    <row r="7369" spans="104:111">
      <c r="CZ7369" s="256"/>
      <c r="DG7369" s="256"/>
    </row>
    <row r="7370" spans="104:111">
      <c r="CZ7370" s="256"/>
      <c r="DG7370" s="256"/>
    </row>
    <row r="7371" spans="104:111">
      <c r="CZ7371" s="256"/>
      <c r="DG7371" s="256"/>
    </row>
    <row r="7372" spans="104:111">
      <c r="CZ7372" s="256"/>
      <c r="DG7372" s="256"/>
    </row>
    <row r="7373" spans="104:111">
      <c r="CZ7373" s="256"/>
      <c r="DG7373" s="256"/>
    </row>
    <row r="7374" spans="104:111">
      <c r="CZ7374" s="256"/>
      <c r="DG7374" s="256"/>
    </row>
    <row r="7375" spans="104:111">
      <c r="CZ7375" s="256"/>
      <c r="DG7375" s="256"/>
    </row>
    <row r="7376" spans="104:111">
      <c r="CZ7376" s="256"/>
      <c r="DG7376" s="256"/>
    </row>
    <row r="7377" spans="104:111">
      <c r="CZ7377" s="256"/>
      <c r="DG7377" s="256"/>
    </row>
    <row r="7378" spans="104:111">
      <c r="CZ7378" s="256"/>
      <c r="DG7378" s="256"/>
    </row>
    <row r="7379" spans="104:111">
      <c r="CZ7379" s="256"/>
      <c r="DG7379" s="256"/>
    </row>
    <row r="7380" spans="104:111">
      <c r="CZ7380" s="256"/>
      <c r="DG7380" s="256"/>
    </row>
    <row r="7381" spans="104:111">
      <c r="CZ7381" s="256"/>
      <c r="DG7381" s="256"/>
    </row>
    <row r="7382" spans="104:111">
      <c r="CZ7382" s="256"/>
      <c r="DG7382" s="256"/>
    </row>
    <row r="7383" spans="104:111">
      <c r="CZ7383" s="256"/>
      <c r="DG7383" s="256"/>
    </row>
    <row r="7384" spans="104:111">
      <c r="CZ7384" s="256"/>
      <c r="DG7384" s="256"/>
    </row>
    <row r="7385" spans="104:111">
      <c r="CZ7385" s="256"/>
      <c r="DG7385" s="256"/>
    </row>
    <row r="7386" spans="104:111">
      <c r="CZ7386" s="256"/>
      <c r="DG7386" s="256"/>
    </row>
    <row r="7387" spans="104:111">
      <c r="CZ7387" s="256"/>
      <c r="DG7387" s="256"/>
    </row>
    <row r="7388" spans="104:111">
      <c r="CZ7388" s="256"/>
      <c r="DG7388" s="256"/>
    </row>
    <row r="7389" spans="104:111">
      <c r="CZ7389" s="256"/>
      <c r="DG7389" s="256"/>
    </row>
    <row r="7390" spans="104:111">
      <c r="CZ7390" s="256"/>
      <c r="DG7390" s="256"/>
    </row>
    <row r="7391" spans="104:111">
      <c r="CZ7391" s="256"/>
      <c r="DG7391" s="256"/>
    </row>
    <row r="7392" spans="104:111">
      <c r="CZ7392" s="256"/>
      <c r="DG7392" s="256"/>
    </row>
    <row r="7393" spans="104:111">
      <c r="CZ7393" s="256"/>
      <c r="DG7393" s="256"/>
    </row>
    <row r="7394" spans="104:111">
      <c r="CZ7394" s="256"/>
      <c r="DG7394" s="256"/>
    </row>
    <row r="7395" spans="104:111">
      <c r="CZ7395" s="256"/>
      <c r="DG7395" s="256"/>
    </row>
    <row r="7396" spans="104:111">
      <c r="CZ7396" s="256"/>
      <c r="DG7396" s="256"/>
    </row>
    <row r="7397" spans="104:111">
      <c r="CZ7397" s="256"/>
      <c r="DG7397" s="256"/>
    </row>
    <row r="7398" spans="104:111">
      <c r="CZ7398" s="256"/>
      <c r="DG7398" s="256"/>
    </row>
    <row r="7399" spans="104:111">
      <c r="CZ7399" s="256"/>
      <c r="DG7399" s="256"/>
    </row>
    <row r="7400" spans="104:111">
      <c r="CZ7400" s="256"/>
      <c r="DG7400" s="256"/>
    </row>
    <row r="7401" spans="104:111">
      <c r="CZ7401" s="256"/>
      <c r="DG7401" s="256"/>
    </row>
    <row r="7402" spans="104:111">
      <c r="CZ7402" s="256"/>
      <c r="DG7402" s="256"/>
    </row>
    <row r="7403" spans="104:111">
      <c r="CZ7403" s="256"/>
      <c r="DG7403" s="256"/>
    </row>
    <row r="7404" spans="104:111">
      <c r="CZ7404" s="256"/>
      <c r="DG7404" s="256"/>
    </row>
    <row r="7405" spans="104:111">
      <c r="CZ7405" s="256"/>
      <c r="DG7405" s="256"/>
    </row>
    <row r="7406" spans="104:111">
      <c r="CZ7406" s="256"/>
      <c r="DG7406" s="256"/>
    </row>
    <row r="7407" spans="104:111">
      <c r="CZ7407" s="256"/>
      <c r="DG7407" s="256"/>
    </row>
    <row r="7408" spans="104:111">
      <c r="CZ7408" s="256"/>
      <c r="DG7408" s="256"/>
    </row>
    <row r="7409" spans="104:111">
      <c r="CZ7409" s="256"/>
      <c r="DG7409" s="256"/>
    </row>
    <row r="7410" spans="104:111">
      <c r="CZ7410" s="256"/>
      <c r="DG7410" s="256"/>
    </row>
    <row r="7411" spans="104:111">
      <c r="CZ7411" s="256"/>
      <c r="DG7411" s="256"/>
    </row>
    <row r="7412" spans="104:111">
      <c r="CZ7412" s="256"/>
      <c r="DG7412" s="256"/>
    </row>
    <row r="7413" spans="104:111">
      <c r="CZ7413" s="256"/>
      <c r="DG7413" s="256"/>
    </row>
    <row r="7414" spans="104:111">
      <c r="CZ7414" s="256"/>
      <c r="DG7414" s="256"/>
    </row>
    <row r="7415" spans="104:111">
      <c r="CZ7415" s="256"/>
      <c r="DG7415" s="256"/>
    </row>
    <row r="7416" spans="104:111">
      <c r="CZ7416" s="256"/>
      <c r="DG7416" s="256"/>
    </row>
    <row r="7417" spans="104:111">
      <c r="CZ7417" s="256"/>
      <c r="DG7417" s="256"/>
    </row>
    <row r="7418" spans="104:111">
      <c r="CZ7418" s="256"/>
      <c r="DG7418" s="256"/>
    </row>
    <row r="7419" spans="104:111">
      <c r="CZ7419" s="256"/>
      <c r="DG7419" s="256"/>
    </row>
    <row r="7420" spans="104:111">
      <c r="CZ7420" s="256"/>
      <c r="DG7420" s="256"/>
    </row>
    <row r="7421" spans="104:111">
      <c r="CZ7421" s="256"/>
      <c r="DG7421" s="256"/>
    </row>
    <row r="7422" spans="104:111">
      <c r="CZ7422" s="256"/>
      <c r="DG7422" s="256"/>
    </row>
    <row r="7423" spans="104:111">
      <c r="CZ7423" s="256"/>
      <c r="DG7423" s="256"/>
    </row>
    <row r="7424" spans="104:111">
      <c r="CZ7424" s="256"/>
      <c r="DG7424" s="256"/>
    </row>
    <row r="7425" spans="104:111">
      <c r="CZ7425" s="256"/>
      <c r="DG7425" s="256"/>
    </row>
    <row r="7426" spans="104:111">
      <c r="CZ7426" s="256"/>
      <c r="DG7426" s="256"/>
    </row>
    <row r="7427" spans="104:111">
      <c r="CZ7427" s="256"/>
      <c r="DG7427" s="256"/>
    </row>
    <row r="7428" spans="104:111">
      <c r="CZ7428" s="256"/>
      <c r="DG7428" s="256"/>
    </row>
    <row r="7429" spans="104:111">
      <c r="CZ7429" s="256"/>
      <c r="DG7429" s="256"/>
    </row>
    <row r="7430" spans="104:111">
      <c r="CZ7430" s="256"/>
      <c r="DG7430" s="256"/>
    </row>
    <row r="7431" spans="104:111">
      <c r="CZ7431" s="256"/>
      <c r="DG7431" s="256"/>
    </row>
    <row r="7432" spans="104:111">
      <c r="CZ7432" s="256"/>
      <c r="DG7432" s="256"/>
    </row>
    <row r="7433" spans="104:111">
      <c r="CZ7433" s="256"/>
      <c r="DG7433" s="256"/>
    </row>
    <row r="7434" spans="104:111">
      <c r="CZ7434" s="256"/>
      <c r="DG7434" s="256"/>
    </row>
    <row r="7435" spans="104:111">
      <c r="CZ7435" s="256"/>
      <c r="DG7435" s="256"/>
    </row>
    <row r="7436" spans="104:111">
      <c r="CZ7436" s="256"/>
      <c r="DG7436" s="256"/>
    </row>
    <row r="7437" spans="104:111">
      <c r="CZ7437" s="256"/>
      <c r="DG7437" s="256"/>
    </row>
    <row r="7438" spans="104:111">
      <c r="CZ7438" s="256"/>
      <c r="DG7438" s="256"/>
    </row>
    <row r="7439" spans="104:111">
      <c r="CZ7439" s="256"/>
      <c r="DG7439" s="256"/>
    </row>
    <row r="7440" spans="104:111">
      <c r="CZ7440" s="256"/>
      <c r="DG7440" s="256"/>
    </row>
    <row r="7441" spans="104:111">
      <c r="CZ7441" s="256"/>
      <c r="DG7441" s="256"/>
    </row>
    <row r="7442" spans="104:111">
      <c r="CZ7442" s="256"/>
      <c r="DG7442" s="256"/>
    </row>
    <row r="7443" spans="104:111">
      <c r="CZ7443" s="256"/>
      <c r="DG7443" s="256"/>
    </row>
    <row r="7444" spans="104:111">
      <c r="CZ7444" s="256"/>
      <c r="DG7444" s="256"/>
    </row>
    <row r="7445" spans="104:111">
      <c r="CZ7445" s="256"/>
      <c r="DG7445" s="256"/>
    </row>
    <row r="7446" spans="104:111">
      <c r="CZ7446" s="256"/>
      <c r="DG7446" s="256"/>
    </row>
    <row r="7447" spans="104:111">
      <c r="CZ7447" s="256"/>
      <c r="DG7447" s="256"/>
    </row>
    <row r="7448" spans="104:111">
      <c r="CZ7448" s="256"/>
      <c r="DG7448" s="256"/>
    </row>
    <row r="7449" spans="104:111">
      <c r="CZ7449" s="256"/>
      <c r="DG7449" s="256"/>
    </row>
    <row r="7450" spans="104:111">
      <c r="CZ7450" s="256"/>
      <c r="DG7450" s="256"/>
    </row>
    <row r="7451" spans="104:111">
      <c r="CZ7451" s="256"/>
      <c r="DG7451" s="256"/>
    </row>
    <row r="7452" spans="104:111">
      <c r="CZ7452" s="256"/>
      <c r="DG7452" s="256"/>
    </row>
    <row r="7453" spans="104:111">
      <c r="CZ7453" s="256"/>
      <c r="DG7453" s="256"/>
    </row>
    <row r="7454" spans="104:111">
      <c r="CZ7454" s="256"/>
      <c r="DG7454" s="256"/>
    </row>
    <row r="7455" spans="104:111">
      <c r="CZ7455" s="256"/>
      <c r="DG7455" s="256"/>
    </row>
    <row r="7456" spans="104:111">
      <c r="CZ7456" s="256"/>
      <c r="DG7456" s="256"/>
    </row>
    <row r="7457" spans="104:111">
      <c r="CZ7457" s="256"/>
      <c r="DG7457" s="256"/>
    </row>
    <row r="7458" spans="104:111">
      <c r="CZ7458" s="256"/>
      <c r="DG7458" s="256"/>
    </row>
    <row r="7459" spans="104:111">
      <c r="CZ7459" s="256"/>
      <c r="DG7459" s="256"/>
    </row>
    <row r="7460" spans="104:111">
      <c r="CZ7460" s="256"/>
      <c r="DG7460" s="256"/>
    </row>
    <row r="7461" spans="104:111">
      <c r="CZ7461" s="256"/>
      <c r="DG7461" s="256"/>
    </row>
    <row r="7462" spans="104:111">
      <c r="CZ7462" s="256"/>
      <c r="DG7462" s="256"/>
    </row>
    <row r="7463" spans="104:111">
      <c r="CZ7463" s="256"/>
      <c r="DG7463" s="256"/>
    </row>
    <row r="7464" spans="104:111">
      <c r="CZ7464" s="256"/>
      <c r="DG7464" s="256"/>
    </row>
    <row r="7465" spans="104:111">
      <c r="CZ7465" s="256"/>
      <c r="DG7465" s="256"/>
    </row>
    <row r="7466" spans="104:111">
      <c r="CZ7466" s="256"/>
      <c r="DG7466" s="256"/>
    </row>
    <row r="7467" spans="104:111">
      <c r="CZ7467" s="256"/>
      <c r="DG7467" s="256"/>
    </row>
    <row r="7468" spans="104:111">
      <c r="CZ7468" s="256"/>
      <c r="DG7468" s="256"/>
    </row>
    <row r="7469" spans="104:111">
      <c r="CZ7469" s="256"/>
      <c r="DG7469" s="256"/>
    </row>
    <row r="7470" spans="104:111">
      <c r="CZ7470" s="256"/>
      <c r="DG7470" s="256"/>
    </row>
    <row r="7471" spans="104:111">
      <c r="CZ7471" s="256"/>
      <c r="DG7471" s="256"/>
    </row>
    <row r="7472" spans="104:111">
      <c r="CZ7472" s="256"/>
      <c r="DG7472" s="256"/>
    </row>
    <row r="7473" spans="104:111">
      <c r="CZ7473" s="256"/>
      <c r="DG7473" s="256"/>
    </row>
    <row r="7474" spans="104:111">
      <c r="CZ7474" s="256"/>
      <c r="DG7474" s="256"/>
    </row>
    <row r="7475" spans="104:111">
      <c r="CZ7475" s="256"/>
      <c r="DG7475" s="256"/>
    </row>
    <row r="7476" spans="104:111">
      <c r="CZ7476" s="256"/>
      <c r="DG7476" s="256"/>
    </row>
    <row r="7477" spans="104:111">
      <c r="CZ7477" s="256"/>
      <c r="DG7477" s="256"/>
    </row>
    <row r="7478" spans="104:111">
      <c r="CZ7478" s="256"/>
      <c r="DG7478" s="256"/>
    </row>
    <row r="7479" spans="104:111">
      <c r="CZ7479" s="256"/>
      <c r="DG7479" s="256"/>
    </row>
    <row r="7480" spans="104:111">
      <c r="CZ7480" s="256"/>
      <c r="DG7480" s="256"/>
    </row>
    <row r="7481" spans="104:111">
      <c r="CZ7481" s="256"/>
      <c r="DG7481" s="256"/>
    </row>
    <row r="7482" spans="104:111">
      <c r="CZ7482" s="256"/>
      <c r="DG7482" s="256"/>
    </row>
    <row r="7483" spans="104:111">
      <c r="CZ7483" s="256"/>
      <c r="DG7483" s="256"/>
    </row>
    <row r="7484" spans="104:111">
      <c r="CZ7484" s="256"/>
      <c r="DG7484" s="256"/>
    </row>
    <row r="7485" spans="104:111">
      <c r="CZ7485" s="256"/>
      <c r="DG7485" s="256"/>
    </row>
    <row r="7486" spans="104:111">
      <c r="CZ7486" s="256"/>
      <c r="DG7486" s="256"/>
    </row>
    <row r="7487" spans="104:111">
      <c r="CZ7487" s="256"/>
      <c r="DG7487" s="256"/>
    </row>
    <row r="7488" spans="104:111">
      <c r="CZ7488" s="256"/>
      <c r="DG7488" s="256"/>
    </row>
    <row r="7489" spans="104:111">
      <c r="CZ7489" s="256"/>
      <c r="DG7489" s="256"/>
    </row>
    <row r="7490" spans="104:111">
      <c r="CZ7490" s="256"/>
      <c r="DG7490" s="256"/>
    </row>
    <row r="7491" spans="104:111">
      <c r="CZ7491" s="256"/>
      <c r="DG7491" s="256"/>
    </row>
    <row r="7492" spans="104:111">
      <c r="CZ7492" s="256"/>
      <c r="DG7492" s="256"/>
    </row>
    <row r="7493" spans="104:111">
      <c r="CZ7493" s="256"/>
      <c r="DG7493" s="256"/>
    </row>
    <row r="7494" spans="104:111">
      <c r="CZ7494" s="256"/>
      <c r="DG7494" s="256"/>
    </row>
    <row r="7495" spans="104:111">
      <c r="CZ7495" s="256"/>
      <c r="DG7495" s="256"/>
    </row>
    <row r="7496" spans="104:111">
      <c r="CZ7496" s="256"/>
      <c r="DG7496" s="256"/>
    </row>
    <row r="7497" spans="104:111">
      <c r="CZ7497" s="256"/>
      <c r="DG7497" s="256"/>
    </row>
    <row r="7498" spans="104:111">
      <c r="CZ7498" s="256"/>
      <c r="DG7498" s="256"/>
    </row>
    <row r="7499" spans="104:111">
      <c r="CZ7499" s="256"/>
      <c r="DG7499" s="256"/>
    </row>
    <row r="7500" spans="104:111">
      <c r="CZ7500" s="256"/>
      <c r="DG7500" s="256"/>
    </row>
    <row r="7501" spans="104:111">
      <c r="CZ7501" s="256"/>
      <c r="DG7501" s="256"/>
    </row>
    <row r="7502" spans="104:111">
      <c r="CZ7502" s="256"/>
      <c r="DG7502" s="256"/>
    </row>
    <row r="7503" spans="104:111">
      <c r="CZ7503" s="256"/>
      <c r="DG7503" s="256"/>
    </row>
    <row r="7504" spans="104:111">
      <c r="CZ7504" s="256"/>
      <c r="DG7504" s="256"/>
    </row>
    <row r="7505" spans="104:111">
      <c r="CZ7505" s="256"/>
      <c r="DG7505" s="256"/>
    </row>
    <row r="7506" spans="104:111">
      <c r="CZ7506" s="256"/>
      <c r="DG7506" s="256"/>
    </row>
    <row r="7507" spans="104:111">
      <c r="CZ7507" s="256"/>
      <c r="DG7507" s="256"/>
    </row>
    <row r="7508" spans="104:111">
      <c r="CZ7508" s="256"/>
      <c r="DG7508" s="256"/>
    </row>
    <row r="7509" spans="104:111">
      <c r="CZ7509" s="256"/>
      <c r="DG7509" s="256"/>
    </row>
    <row r="7510" spans="104:111">
      <c r="CZ7510" s="256"/>
      <c r="DG7510" s="256"/>
    </row>
    <row r="7511" spans="104:111">
      <c r="CZ7511" s="256"/>
      <c r="DG7511" s="256"/>
    </row>
    <row r="7512" spans="104:111">
      <c r="CZ7512" s="256"/>
      <c r="DG7512" s="256"/>
    </row>
    <row r="7513" spans="104:111">
      <c r="CZ7513" s="256"/>
      <c r="DG7513" s="256"/>
    </row>
    <row r="7514" spans="104:111">
      <c r="CZ7514" s="256"/>
      <c r="DG7514" s="256"/>
    </row>
    <row r="7515" spans="104:111">
      <c r="CZ7515" s="256"/>
      <c r="DG7515" s="256"/>
    </row>
    <row r="7516" spans="104:111">
      <c r="CZ7516" s="256"/>
      <c r="DG7516" s="256"/>
    </row>
    <row r="7517" spans="104:111">
      <c r="CZ7517" s="256"/>
      <c r="DG7517" s="256"/>
    </row>
    <row r="7518" spans="104:111">
      <c r="CZ7518" s="256"/>
      <c r="DG7518" s="256"/>
    </row>
    <row r="7519" spans="104:111">
      <c r="CZ7519" s="256"/>
      <c r="DG7519" s="256"/>
    </row>
    <row r="7520" spans="104:111">
      <c r="CZ7520" s="256"/>
      <c r="DG7520" s="256"/>
    </row>
    <row r="7521" spans="104:111">
      <c r="CZ7521" s="256"/>
      <c r="DG7521" s="256"/>
    </row>
    <row r="7522" spans="104:111">
      <c r="CZ7522" s="256"/>
      <c r="DG7522" s="256"/>
    </row>
    <row r="7523" spans="104:111">
      <c r="CZ7523" s="256"/>
      <c r="DG7523" s="256"/>
    </row>
    <row r="7524" spans="104:111">
      <c r="CZ7524" s="256"/>
      <c r="DG7524" s="256"/>
    </row>
    <row r="7525" spans="104:111">
      <c r="CZ7525" s="256"/>
      <c r="DG7525" s="256"/>
    </row>
    <row r="7526" spans="104:111">
      <c r="CZ7526" s="256"/>
      <c r="DG7526" s="256"/>
    </row>
    <row r="7527" spans="104:111">
      <c r="CZ7527" s="256"/>
      <c r="DG7527" s="256"/>
    </row>
    <row r="7528" spans="104:111">
      <c r="CZ7528" s="256"/>
      <c r="DG7528" s="256"/>
    </row>
    <row r="7529" spans="104:111">
      <c r="CZ7529" s="256"/>
      <c r="DG7529" s="256"/>
    </row>
    <row r="7530" spans="104:111">
      <c r="CZ7530" s="256"/>
      <c r="DG7530" s="256"/>
    </row>
    <row r="7531" spans="104:111">
      <c r="CZ7531" s="256"/>
      <c r="DG7531" s="256"/>
    </row>
    <row r="7532" spans="104:111">
      <c r="CZ7532" s="256"/>
      <c r="DG7532" s="256"/>
    </row>
    <row r="7533" spans="104:111">
      <c r="CZ7533" s="256"/>
      <c r="DG7533" s="256"/>
    </row>
    <row r="7534" spans="104:111">
      <c r="CZ7534" s="256"/>
      <c r="DG7534" s="256"/>
    </row>
    <row r="7535" spans="104:111">
      <c r="CZ7535" s="256"/>
      <c r="DG7535" s="256"/>
    </row>
    <row r="7536" spans="104:111">
      <c r="CZ7536" s="256"/>
      <c r="DG7536" s="256"/>
    </row>
    <row r="7537" spans="104:111">
      <c r="CZ7537" s="256"/>
      <c r="DG7537" s="256"/>
    </row>
    <row r="7538" spans="104:111">
      <c r="CZ7538" s="256"/>
      <c r="DG7538" s="256"/>
    </row>
    <row r="7539" spans="104:111">
      <c r="CZ7539" s="256"/>
      <c r="DG7539" s="256"/>
    </row>
    <row r="7540" spans="104:111">
      <c r="CZ7540" s="256"/>
      <c r="DG7540" s="256"/>
    </row>
    <row r="7541" spans="104:111">
      <c r="CZ7541" s="256"/>
      <c r="DG7541" s="256"/>
    </row>
    <row r="7542" spans="104:111">
      <c r="CZ7542" s="256"/>
      <c r="DG7542" s="256"/>
    </row>
    <row r="7543" spans="104:111">
      <c r="CZ7543" s="256"/>
      <c r="DG7543" s="256"/>
    </row>
    <row r="7544" spans="104:111">
      <c r="CZ7544" s="256"/>
      <c r="DG7544" s="256"/>
    </row>
    <row r="7545" spans="104:111">
      <c r="CZ7545" s="256"/>
      <c r="DG7545" s="256"/>
    </row>
    <row r="7546" spans="104:111">
      <c r="CZ7546" s="256"/>
      <c r="DG7546" s="256"/>
    </row>
    <row r="7547" spans="104:111">
      <c r="CZ7547" s="256"/>
      <c r="DG7547" s="256"/>
    </row>
    <row r="7548" spans="104:111">
      <c r="CZ7548" s="256"/>
      <c r="DG7548" s="256"/>
    </row>
    <row r="7549" spans="104:111">
      <c r="CZ7549" s="256"/>
      <c r="DG7549" s="256"/>
    </row>
    <row r="7550" spans="104:111">
      <c r="CZ7550" s="256"/>
      <c r="DG7550" s="256"/>
    </row>
    <row r="7551" spans="104:111">
      <c r="CZ7551" s="256"/>
      <c r="DG7551" s="256"/>
    </row>
    <row r="7552" spans="104:111">
      <c r="CZ7552" s="256"/>
      <c r="DG7552" s="256"/>
    </row>
    <row r="7553" spans="104:111">
      <c r="CZ7553" s="256"/>
      <c r="DG7553" s="256"/>
    </row>
    <row r="7554" spans="104:111">
      <c r="CZ7554" s="256"/>
      <c r="DG7554" s="256"/>
    </row>
    <row r="7555" spans="104:111">
      <c r="CZ7555" s="256"/>
      <c r="DG7555" s="256"/>
    </row>
    <row r="7556" spans="104:111">
      <c r="CZ7556" s="256"/>
      <c r="DG7556" s="256"/>
    </row>
    <row r="7557" spans="104:111">
      <c r="CZ7557" s="256"/>
      <c r="DG7557" s="256"/>
    </row>
    <row r="7558" spans="104:111">
      <c r="CZ7558" s="256"/>
      <c r="DG7558" s="256"/>
    </row>
    <row r="7559" spans="104:111">
      <c r="CZ7559" s="256"/>
      <c r="DG7559" s="256"/>
    </row>
    <row r="7560" spans="104:111">
      <c r="CZ7560" s="256"/>
      <c r="DG7560" s="256"/>
    </row>
    <row r="7561" spans="104:111">
      <c r="CZ7561" s="256"/>
      <c r="DG7561" s="256"/>
    </row>
    <row r="7562" spans="104:111">
      <c r="CZ7562" s="256"/>
      <c r="DG7562" s="256"/>
    </row>
    <row r="7563" spans="104:111">
      <c r="CZ7563" s="256"/>
      <c r="DG7563" s="256"/>
    </row>
    <row r="7564" spans="104:111">
      <c r="CZ7564" s="256"/>
      <c r="DG7564" s="256"/>
    </row>
    <row r="7565" spans="104:111">
      <c r="CZ7565" s="256"/>
      <c r="DG7565" s="256"/>
    </row>
    <row r="7566" spans="104:111">
      <c r="CZ7566" s="256"/>
      <c r="DG7566" s="256"/>
    </row>
    <row r="7567" spans="104:111">
      <c r="CZ7567" s="256"/>
      <c r="DG7567" s="256"/>
    </row>
    <row r="7568" spans="104:111">
      <c r="CZ7568" s="256"/>
      <c r="DG7568" s="256"/>
    </row>
    <row r="7569" spans="104:111">
      <c r="CZ7569" s="256"/>
      <c r="DG7569" s="256"/>
    </row>
    <row r="7570" spans="104:111">
      <c r="CZ7570" s="256"/>
      <c r="DG7570" s="256"/>
    </row>
    <row r="7571" spans="104:111">
      <c r="CZ7571" s="256"/>
      <c r="DG7571" s="256"/>
    </row>
    <row r="7572" spans="104:111">
      <c r="CZ7572" s="256"/>
      <c r="DG7572" s="256"/>
    </row>
    <row r="7573" spans="104:111">
      <c r="CZ7573" s="256"/>
      <c r="DG7573" s="256"/>
    </row>
    <row r="7574" spans="104:111">
      <c r="CZ7574" s="256"/>
      <c r="DG7574" s="256"/>
    </row>
    <row r="7575" spans="104:111">
      <c r="CZ7575" s="256"/>
      <c r="DG7575" s="256"/>
    </row>
    <row r="7576" spans="104:111">
      <c r="CZ7576" s="256"/>
      <c r="DG7576" s="256"/>
    </row>
    <row r="7577" spans="104:111">
      <c r="CZ7577" s="256"/>
      <c r="DG7577" s="256"/>
    </row>
    <row r="7578" spans="104:111">
      <c r="CZ7578" s="256"/>
      <c r="DG7578" s="256"/>
    </row>
    <row r="7579" spans="104:111">
      <c r="CZ7579" s="256"/>
      <c r="DG7579" s="256"/>
    </row>
    <row r="7580" spans="104:111">
      <c r="CZ7580" s="256"/>
      <c r="DG7580" s="256"/>
    </row>
    <row r="7581" spans="104:111">
      <c r="CZ7581" s="256"/>
      <c r="DG7581" s="256"/>
    </row>
    <row r="7582" spans="104:111">
      <c r="CZ7582" s="256"/>
      <c r="DG7582" s="256"/>
    </row>
    <row r="7583" spans="104:111">
      <c r="CZ7583" s="256"/>
      <c r="DG7583" s="256"/>
    </row>
    <row r="7584" spans="104:111">
      <c r="CZ7584" s="256"/>
      <c r="DG7584" s="256"/>
    </row>
    <row r="7585" spans="104:111">
      <c r="CZ7585" s="256"/>
      <c r="DG7585" s="256"/>
    </row>
    <row r="7586" spans="104:111">
      <c r="CZ7586" s="256"/>
      <c r="DG7586" s="256"/>
    </row>
    <row r="7587" spans="104:111">
      <c r="CZ7587" s="256"/>
      <c r="DG7587" s="256"/>
    </row>
    <row r="7588" spans="104:111">
      <c r="CZ7588" s="256"/>
      <c r="DG7588" s="256"/>
    </row>
    <row r="7589" spans="104:111">
      <c r="CZ7589" s="256"/>
      <c r="DG7589" s="256"/>
    </row>
    <row r="7590" spans="104:111">
      <c r="CZ7590" s="256"/>
      <c r="DG7590" s="256"/>
    </row>
    <row r="7591" spans="104:111">
      <c r="CZ7591" s="256"/>
      <c r="DG7591" s="256"/>
    </row>
    <row r="7592" spans="104:111">
      <c r="CZ7592" s="256"/>
      <c r="DG7592" s="256"/>
    </row>
    <row r="7593" spans="104:111">
      <c r="CZ7593" s="256"/>
      <c r="DG7593" s="256"/>
    </row>
    <row r="7594" spans="104:111">
      <c r="CZ7594" s="256"/>
      <c r="DG7594" s="256"/>
    </row>
    <row r="7595" spans="104:111">
      <c r="CZ7595" s="256"/>
      <c r="DG7595" s="256"/>
    </row>
    <row r="7596" spans="104:111">
      <c r="CZ7596" s="256"/>
      <c r="DG7596" s="256"/>
    </row>
    <row r="7597" spans="104:111">
      <c r="CZ7597" s="256"/>
      <c r="DG7597" s="256"/>
    </row>
    <row r="7598" spans="104:111">
      <c r="CZ7598" s="256"/>
      <c r="DG7598" s="256"/>
    </row>
    <row r="7599" spans="104:111">
      <c r="CZ7599" s="256"/>
      <c r="DG7599" s="256"/>
    </row>
    <row r="7600" spans="104:111">
      <c r="CZ7600" s="256"/>
      <c r="DG7600" s="256"/>
    </row>
    <row r="7601" spans="104:111">
      <c r="CZ7601" s="256"/>
      <c r="DG7601" s="256"/>
    </row>
    <row r="7602" spans="104:111">
      <c r="CZ7602" s="256"/>
      <c r="DG7602" s="256"/>
    </row>
    <row r="7603" spans="104:111">
      <c r="CZ7603" s="256"/>
      <c r="DG7603" s="256"/>
    </row>
    <row r="7604" spans="104:111">
      <c r="CZ7604" s="256"/>
      <c r="DG7604" s="256"/>
    </row>
    <row r="7605" spans="104:111">
      <c r="CZ7605" s="256"/>
      <c r="DG7605" s="256"/>
    </row>
    <row r="7606" spans="104:111">
      <c r="CZ7606" s="256"/>
      <c r="DG7606" s="256"/>
    </row>
    <row r="7607" spans="104:111">
      <c r="CZ7607" s="256"/>
      <c r="DG7607" s="256"/>
    </row>
    <row r="7608" spans="104:111">
      <c r="CZ7608" s="256"/>
      <c r="DG7608" s="256"/>
    </row>
    <row r="7609" spans="104:111">
      <c r="CZ7609" s="256"/>
      <c r="DG7609" s="256"/>
    </row>
    <row r="7610" spans="104:111">
      <c r="CZ7610" s="256"/>
      <c r="DG7610" s="256"/>
    </row>
    <row r="7611" spans="104:111">
      <c r="CZ7611" s="256"/>
      <c r="DG7611" s="256"/>
    </row>
    <row r="7612" spans="104:111">
      <c r="CZ7612" s="256"/>
      <c r="DG7612" s="256"/>
    </row>
    <row r="7613" spans="104:111">
      <c r="CZ7613" s="256"/>
      <c r="DG7613" s="256"/>
    </row>
    <row r="7614" spans="104:111">
      <c r="CZ7614" s="256"/>
      <c r="DG7614" s="256"/>
    </row>
    <row r="7615" spans="104:111">
      <c r="CZ7615" s="256"/>
      <c r="DG7615" s="256"/>
    </row>
    <row r="7616" spans="104:111">
      <c r="CZ7616" s="256"/>
      <c r="DG7616" s="256"/>
    </row>
    <row r="7617" spans="104:111">
      <c r="CZ7617" s="256"/>
      <c r="DG7617" s="256"/>
    </row>
    <row r="7618" spans="104:111">
      <c r="CZ7618" s="256"/>
      <c r="DG7618" s="256"/>
    </row>
    <row r="7619" spans="104:111">
      <c r="CZ7619" s="256"/>
      <c r="DG7619" s="256"/>
    </row>
    <row r="7620" spans="104:111">
      <c r="CZ7620" s="256"/>
      <c r="DG7620" s="256"/>
    </row>
    <row r="7621" spans="104:111">
      <c r="CZ7621" s="256"/>
      <c r="DG7621" s="256"/>
    </row>
    <row r="7622" spans="104:111">
      <c r="CZ7622" s="256"/>
      <c r="DG7622" s="256"/>
    </row>
    <row r="7623" spans="104:111">
      <c r="CZ7623" s="256"/>
      <c r="DG7623" s="256"/>
    </row>
    <row r="7624" spans="104:111">
      <c r="CZ7624" s="256"/>
      <c r="DG7624" s="256"/>
    </row>
    <row r="7625" spans="104:111">
      <c r="CZ7625" s="256"/>
      <c r="DG7625" s="256"/>
    </row>
    <row r="7626" spans="104:111">
      <c r="CZ7626" s="256"/>
      <c r="DG7626" s="256"/>
    </row>
    <row r="7627" spans="104:111">
      <c r="CZ7627" s="256"/>
      <c r="DG7627" s="256"/>
    </row>
    <row r="7628" spans="104:111">
      <c r="CZ7628" s="256"/>
      <c r="DG7628" s="256"/>
    </row>
    <row r="7629" spans="104:111">
      <c r="CZ7629" s="256"/>
      <c r="DG7629" s="256"/>
    </row>
    <row r="7630" spans="104:111">
      <c r="CZ7630" s="256"/>
      <c r="DG7630" s="256"/>
    </row>
    <row r="7631" spans="104:111">
      <c r="CZ7631" s="256"/>
      <c r="DG7631" s="256"/>
    </row>
    <row r="7632" spans="104:111">
      <c r="CZ7632" s="256"/>
      <c r="DG7632" s="256"/>
    </row>
    <row r="7633" spans="104:111">
      <c r="CZ7633" s="256"/>
      <c r="DG7633" s="256"/>
    </row>
    <row r="7634" spans="104:111">
      <c r="CZ7634" s="256"/>
      <c r="DG7634" s="256"/>
    </row>
    <row r="7635" spans="104:111">
      <c r="CZ7635" s="256"/>
      <c r="DG7635" s="256"/>
    </row>
    <row r="7636" spans="104:111">
      <c r="CZ7636" s="256"/>
      <c r="DG7636" s="256"/>
    </row>
    <row r="7637" spans="104:111">
      <c r="CZ7637" s="256"/>
      <c r="DG7637" s="256"/>
    </row>
    <row r="7638" spans="104:111">
      <c r="CZ7638" s="256"/>
      <c r="DG7638" s="256"/>
    </row>
    <row r="7639" spans="104:111">
      <c r="CZ7639" s="256"/>
      <c r="DG7639" s="256"/>
    </row>
    <row r="7640" spans="104:111">
      <c r="CZ7640" s="256"/>
      <c r="DG7640" s="256"/>
    </row>
    <row r="7641" spans="104:111">
      <c r="CZ7641" s="256"/>
      <c r="DG7641" s="256"/>
    </row>
    <row r="7642" spans="104:111">
      <c r="CZ7642" s="256"/>
      <c r="DG7642" s="256"/>
    </row>
    <row r="7643" spans="104:111">
      <c r="CZ7643" s="256"/>
      <c r="DG7643" s="256"/>
    </row>
    <row r="7644" spans="104:111">
      <c r="CZ7644" s="256"/>
      <c r="DG7644" s="256"/>
    </row>
    <row r="7645" spans="104:111">
      <c r="CZ7645" s="256"/>
      <c r="DG7645" s="256"/>
    </row>
    <row r="7646" spans="104:111">
      <c r="CZ7646" s="256"/>
      <c r="DG7646" s="256"/>
    </row>
    <row r="7647" spans="104:111">
      <c r="CZ7647" s="256"/>
      <c r="DG7647" s="256"/>
    </row>
    <row r="7648" spans="104:111">
      <c r="CZ7648" s="256"/>
      <c r="DG7648" s="256"/>
    </row>
    <row r="7649" spans="104:111">
      <c r="CZ7649" s="256"/>
      <c r="DG7649" s="256"/>
    </row>
    <row r="7650" spans="104:111">
      <c r="CZ7650" s="256"/>
      <c r="DG7650" s="256"/>
    </row>
    <row r="7651" spans="104:111">
      <c r="CZ7651" s="256"/>
      <c r="DG7651" s="256"/>
    </row>
    <row r="7652" spans="104:111">
      <c r="CZ7652" s="256"/>
      <c r="DG7652" s="256"/>
    </row>
    <row r="7653" spans="104:111">
      <c r="CZ7653" s="256"/>
      <c r="DG7653" s="256"/>
    </row>
    <row r="7654" spans="104:111">
      <c r="CZ7654" s="256"/>
      <c r="DG7654" s="256"/>
    </row>
    <row r="7655" spans="104:111">
      <c r="CZ7655" s="256"/>
      <c r="DG7655" s="256"/>
    </row>
    <row r="7656" spans="104:111">
      <c r="CZ7656" s="256"/>
      <c r="DG7656" s="256"/>
    </row>
    <row r="7657" spans="104:111">
      <c r="CZ7657" s="256"/>
      <c r="DG7657" s="256"/>
    </row>
    <row r="7658" spans="104:111">
      <c r="CZ7658" s="256"/>
      <c r="DG7658" s="256"/>
    </row>
    <row r="7659" spans="104:111">
      <c r="CZ7659" s="256"/>
      <c r="DG7659" s="256"/>
    </row>
    <row r="7660" spans="104:111">
      <c r="CZ7660" s="256"/>
      <c r="DG7660" s="256"/>
    </row>
    <row r="7661" spans="104:111">
      <c r="CZ7661" s="256"/>
      <c r="DG7661" s="256"/>
    </row>
    <row r="7662" spans="104:111">
      <c r="CZ7662" s="256"/>
      <c r="DG7662" s="256"/>
    </row>
    <row r="7663" spans="104:111">
      <c r="CZ7663" s="256"/>
      <c r="DG7663" s="256"/>
    </row>
    <row r="7664" spans="104:111">
      <c r="CZ7664" s="256"/>
      <c r="DG7664" s="256"/>
    </row>
    <row r="7665" spans="104:111">
      <c r="CZ7665" s="256"/>
      <c r="DG7665" s="256"/>
    </row>
    <row r="7666" spans="104:111">
      <c r="CZ7666" s="256"/>
      <c r="DG7666" s="256"/>
    </row>
    <row r="7667" spans="104:111">
      <c r="CZ7667" s="256"/>
      <c r="DG7667" s="256"/>
    </row>
    <row r="7668" spans="104:111">
      <c r="CZ7668" s="256"/>
      <c r="DG7668" s="256"/>
    </row>
    <row r="7669" spans="104:111">
      <c r="CZ7669" s="256"/>
      <c r="DG7669" s="256"/>
    </row>
    <row r="7670" spans="104:111">
      <c r="CZ7670" s="256"/>
      <c r="DG7670" s="256"/>
    </row>
    <row r="7671" spans="104:111">
      <c r="CZ7671" s="256"/>
      <c r="DG7671" s="256"/>
    </row>
    <row r="7672" spans="104:111">
      <c r="CZ7672" s="256"/>
      <c r="DG7672" s="256"/>
    </row>
    <row r="7673" spans="104:111">
      <c r="CZ7673" s="256"/>
      <c r="DG7673" s="256"/>
    </row>
    <row r="7674" spans="104:111">
      <c r="CZ7674" s="256"/>
      <c r="DG7674" s="256"/>
    </row>
    <row r="7675" spans="104:111">
      <c r="CZ7675" s="256"/>
      <c r="DG7675" s="256"/>
    </row>
    <row r="7676" spans="104:111">
      <c r="CZ7676" s="256"/>
      <c r="DG7676" s="256"/>
    </row>
    <row r="7677" spans="104:111">
      <c r="CZ7677" s="256"/>
      <c r="DG7677" s="256"/>
    </row>
    <row r="7678" spans="104:111">
      <c r="CZ7678" s="256"/>
      <c r="DG7678" s="256"/>
    </row>
    <row r="7679" spans="104:111">
      <c r="CZ7679" s="256"/>
      <c r="DG7679" s="256"/>
    </row>
    <row r="7680" spans="104:111">
      <c r="CZ7680" s="256"/>
      <c r="DG7680" s="256"/>
    </row>
    <row r="7681" spans="104:111">
      <c r="CZ7681" s="256"/>
      <c r="DG7681" s="256"/>
    </row>
    <row r="7682" spans="104:111">
      <c r="CZ7682" s="256"/>
      <c r="DG7682" s="256"/>
    </row>
    <row r="7683" spans="104:111">
      <c r="CZ7683" s="256"/>
      <c r="DG7683" s="256"/>
    </row>
    <row r="7684" spans="104:111">
      <c r="CZ7684" s="256"/>
      <c r="DG7684" s="256"/>
    </row>
    <row r="7685" spans="104:111">
      <c r="CZ7685" s="256"/>
      <c r="DG7685" s="256"/>
    </row>
    <row r="7686" spans="104:111">
      <c r="CZ7686" s="256"/>
      <c r="DG7686" s="256"/>
    </row>
    <row r="7687" spans="104:111">
      <c r="CZ7687" s="256"/>
      <c r="DG7687" s="256"/>
    </row>
    <row r="7688" spans="104:111">
      <c r="CZ7688" s="256"/>
      <c r="DG7688" s="256"/>
    </row>
    <row r="7689" spans="104:111">
      <c r="CZ7689" s="256"/>
      <c r="DG7689" s="256"/>
    </row>
    <row r="7690" spans="104:111">
      <c r="CZ7690" s="256"/>
      <c r="DG7690" s="256"/>
    </row>
    <row r="7691" spans="104:111">
      <c r="CZ7691" s="256"/>
      <c r="DG7691" s="256"/>
    </row>
    <row r="7692" spans="104:111">
      <c r="CZ7692" s="256"/>
      <c r="DG7692" s="256"/>
    </row>
    <row r="7693" spans="104:111">
      <c r="CZ7693" s="256"/>
      <c r="DG7693" s="256"/>
    </row>
    <row r="7694" spans="104:111">
      <c r="CZ7694" s="256"/>
      <c r="DG7694" s="256"/>
    </row>
    <row r="7695" spans="104:111">
      <c r="CZ7695" s="256"/>
      <c r="DG7695" s="256"/>
    </row>
    <row r="7696" spans="104:111">
      <c r="CZ7696" s="256"/>
      <c r="DG7696" s="256"/>
    </row>
    <row r="7697" spans="104:111">
      <c r="CZ7697" s="256"/>
      <c r="DG7697" s="256"/>
    </row>
    <row r="7698" spans="104:111">
      <c r="CZ7698" s="256"/>
      <c r="DG7698" s="256"/>
    </row>
    <row r="7699" spans="104:111">
      <c r="CZ7699" s="256"/>
      <c r="DG7699" s="256"/>
    </row>
    <row r="7700" spans="104:111">
      <c r="CZ7700" s="256"/>
      <c r="DG7700" s="256"/>
    </row>
    <row r="7701" spans="104:111">
      <c r="CZ7701" s="256"/>
      <c r="DG7701" s="256"/>
    </row>
    <row r="7702" spans="104:111">
      <c r="CZ7702" s="256"/>
      <c r="DG7702" s="256"/>
    </row>
    <row r="7703" spans="104:111">
      <c r="CZ7703" s="256"/>
      <c r="DG7703" s="256"/>
    </row>
    <row r="7704" spans="104:111">
      <c r="CZ7704" s="256"/>
      <c r="DG7704" s="256"/>
    </row>
    <row r="7705" spans="104:111">
      <c r="CZ7705" s="256"/>
      <c r="DG7705" s="256"/>
    </row>
    <row r="7706" spans="104:111">
      <c r="CZ7706" s="256"/>
      <c r="DG7706" s="256"/>
    </row>
    <row r="7707" spans="104:111">
      <c r="CZ7707" s="256"/>
      <c r="DG7707" s="256"/>
    </row>
    <row r="7708" spans="104:111">
      <c r="CZ7708" s="256"/>
      <c r="DG7708" s="256"/>
    </row>
    <row r="7709" spans="104:111">
      <c r="CZ7709" s="256"/>
      <c r="DG7709" s="256"/>
    </row>
    <row r="7710" spans="104:111">
      <c r="CZ7710" s="256"/>
      <c r="DG7710" s="256"/>
    </row>
    <row r="7711" spans="104:111">
      <c r="CZ7711" s="256"/>
      <c r="DG7711" s="256"/>
    </row>
    <row r="7712" spans="104:111">
      <c r="CZ7712" s="256"/>
      <c r="DG7712" s="256"/>
    </row>
    <row r="7713" spans="104:111">
      <c r="CZ7713" s="256"/>
      <c r="DG7713" s="256"/>
    </row>
    <row r="7714" spans="104:111">
      <c r="CZ7714" s="256"/>
      <c r="DG7714" s="256"/>
    </row>
    <row r="7715" spans="104:111">
      <c r="CZ7715" s="256"/>
      <c r="DG7715" s="256"/>
    </row>
    <row r="7716" spans="104:111">
      <c r="CZ7716" s="256"/>
      <c r="DG7716" s="256"/>
    </row>
    <row r="7717" spans="104:111">
      <c r="CZ7717" s="256"/>
      <c r="DG7717" s="256"/>
    </row>
    <row r="7718" spans="104:111">
      <c r="CZ7718" s="256"/>
      <c r="DG7718" s="256"/>
    </row>
    <row r="7719" spans="104:111">
      <c r="CZ7719" s="256"/>
      <c r="DG7719" s="256"/>
    </row>
    <row r="7720" spans="104:111">
      <c r="CZ7720" s="256"/>
      <c r="DG7720" s="256"/>
    </row>
    <row r="7721" spans="104:111">
      <c r="CZ7721" s="256"/>
      <c r="DG7721" s="256"/>
    </row>
    <row r="7722" spans="104:111">
      <c r="CZ7722" s="256"/>
      <c r="DG7722" s="256"/>
    </row>
    <row r="7723" spans="104:111">
      <c r="CZ7723" s="256"/>
      <c r="DG7723" s="256"/>
    </row>
    <row r="7724" spans="104:111">
      <c r="CZ7724" s="256"/>
      <c r="DG7724" s="256"/>
    </row>
    <row r="7725" spans="104:111">
      <c r="CZ7725" s="256"/>
      <c r="DG7725" s="256"/>
    </row>
    <row r="7726" spans="104:111">
      <c r="CZ7726" s="256"/>
      <c r="DG7726" s="256"/>
    </row>
    <row r="7727" spans="104:111">
      <c r="CZ7727" s="256"/>
      <c r="DG7727" s="256"/>
    </row>
    <row r="7728" spans="104:111">
      <c r="CZ7728" s="256"/>
      <c r="DG7728" s="256"/>
    </row>
    <row r="7729" spans="104:111">
      <c r="CZ7729" s="256"/>
      <c r="DG7729" s="256"/>
    </row>
    <row r="7730" spans="104:111">
      <c r="CZ7730" s="256"/>
      <c r="DG7730" s="256"/>
    </row>
    <row r="7731" spans="104:111">
      <c r="CZ7731" s="256"/>
      <c r="DG7731" s="256"/>
    </row>
    <row r="7732" spans="104:111">
      <c r="CZ7732" s="256"/>
      <c r="DG7732" s="256"/>
    </row>
    <row r="7733" spans="104:111">
      <c r="CZ7733" s="256"/>
      <c r="DG7733" s="256"/>
    </row>
    <row r="7734" spans="104:111">
      <c r="CZ7734" s="256"/>
      <c r="DG7734" s="256"/>
    </row>
    <row r="7735" spans="104:111">
      <c r="CZ7735" s="256"/>
      <c r="DG7735" s="256"/>
    </row>
    <row r="7736" spans="104:111">
      <c r="CZ7736" s="256"/>
      <c r="DG7736" s="256"/>
    </row>
    <row r="7737" spans="104:111">
      <c r="CZ7737" s="256"/>
      <c r="DG7737" s="256"/>
    </row>
    <row r="7738" spans="104:111">
      <c r="CZ7738" s="256"/>
      <c r="DG7738" s="256"/>
    </row>
    <row r="7739" spans="104:111">
      <c r="CZ7739" s="256"/>
      <c r="DG7739" s="256"/>
    </row>
    <row r="7740" spans="104:111">
      <c r="CZ7740" s="256"/>
      <c r="DG7740" s="256"/>
    </row>
    <row r="7741" spans="104:111">
      <c r="CZ7741" s="256"/>
      <c r="DG7741" s="256"/>
    </row>
    <row r="7742" spans="104:111">
      <c r="CZ7742" s="256"/>
      <c r="DG7742" s="256"/>
    </row>
    <row r="7743" spans="104:111">
      <c r="CZ7743" s="256"/>
      <c r="DG7743" s="256"/>
    </row>
    <row r="7744" spans="104:111">
      <c r="CZ7744" s="256"/>
      <c r="DG7744" s="256"/>
    </row>
    <row r="7745" spans="104:111">
      <c r="CZ7745" s="256"/>
      <c r="DG7745" s="256"/>
    </row>
    <row r="7746" spans="104:111">
      <c r="CZ7746" s="256"/>
      <c r="DG7746" s="256"/>
    </row>
    <row r="7747" spans="104:111">
      <c r="CZ7747" s="256"/>
      <c r="DG7747" s="256"/>
    </row>
    <row r="7748" spans="104:111">
      <c r="CZ7748" s="256"/>
      <c r="DG7748" s="256"/>
    </row>
    <row r="7749" spans="104:111">
      <c r="CZ7749" s="256"/>
      <c r="DG7749" s="256"/>
    </row>
    <row r="7750" spans="104:111">
      <c r="CZ7750" s="256"/>
      <c r="DG7750" s="256"/>
    </row>
    <row r="7751" spans="104:111">
      <c r="CZ7751" s="256"/>
      <c r="DG7751" s="256"/>
    </row>
    <row r="7752" spans="104:111">
      <c r="CZ7752" s="256"/>
      <c r="DG7752" s="256"/>
    </row>
    <row r="7753" spans="104:111">
      <c r="CZ7753" s="256"/>
      <c r="DG7753" s="256"/>
    </row>
    <row r="7754" spans="104:111">
      <c r="CZ7754" s="256"/>
      <c r="DG7754" s="256"/>
    </row>
    <row r="7755" spans="104:111">
      <c r="CZ7755" s="256"/>
      <c r="DG7755" s="256"/>
    </row>
    <row r="7756" spans="104:111">
      <c r="CZ7756" s="256"/>
      <c r="DG7756" s="256"/>
    </row>
    <row r="7757" spans="104:111">
      <c r="CZ7757" s="256"/>
      <c r="DG7757" s="256"/>
    </row>
    <row r="7758" spans="104:111">
      <c r="CZ7758" s="256"/>
      <c r="DG7758" s="256"/>
    </row>
    <row r="7759" spans="104:111">
      <c r="CZ7759" s="256"/>
      <c r="DG7759" s="256"/>
    </row>
    <row r="7760" spans="104:111">
      <c r="CZ7760" s="256"/>
      <c r="DG7760" s="256"/>
    </row>
    <row r="7761" spans="104:111">
      <c r="CZ7761" s="256"/>
      <c r="DG7761" s="256"/>
    </row>
    <row r="7762" spans="104:111">
      <c r="CZ7762" s="256"/>
      <c r="DG7762" s="256"/>
    </row>
    <row r="7763" spans="104:111">
      <c r="CZ7763" s="256"/>
      <c r="DG7763" s="256"/>
    </row>
    <row r="7764" spans="104:111">
      <c r="CZ7764" s="256"/>
      <c r="DG7764" s="256"/>
    </row>
    <row r="7765" spans="104:111">
      <c r="CZ7765" s="256"/>
      <c r="DG7765" s="256"/>
    </row>
    <row r="7766" spans="104:111">
      <c r="CZ7766" s="256"/>
      <c r="DG7766" s="256"/>
    </row>
    <row r="7767" spans="104:111">
      <c r="CZ7767" s="256"/>
      <c r="DG7767" s="256"/>
    </row>
    <row r="7768" spans="104:111">
      <c r="CZ7768" s="256"/>
      <c r="DG7768" s="256"/>
    </row>
    <row r="7769" spans="104:111">
      <c r="CZ7769" s="256"/>
      <c r="DG7769" s="256"/>
    </row>
    <row r="7770" spans="104:111">
      <c r="CZ7770" s="256"/>
      <c r="DG7770" s="256"/>
    </row>
    <row r="7771" spans="104:111">
      <c r="CZ7771" s="256"/>
      <c r="DG7771" s="256"/>
    </row>
    <row r="7772" spans="104:111">
      <c r="CZ7772" s="256"/>
      <c r="DG7772" s="256"/>
    </row>
    <row r="7773" spans="104:111">
      <c r="CZ7773" s="256"/>
      <c r="DG7773" s="256"/>
    </row>
    <row r="7774" spans="104:111">
      <c r="CZ7774" s="256"/>
      <c r="DG7774" s="256"/>
    </row>
    <row r="7775" spans="104:111">
      <c r="CZ7775" s="256"/>
      <c r="DG7775" s="256"/>
    </row>
    <row r="7776" spans="104:111">
      <c r="CZ7776" s="256"/>
      <c r="DG7776" s="256"/>
    </row>
    <row r="7777" spans="104:111">
      <c r="CZ7777" s="256"/>
      <c r="DG7777" s="256"/>
    </row>
    <row r="7778" spans="104:111">
      <c r="CZ7778" s="256"/>
      <c r="DG7778" s="256"/>
    </row>
    <row r="7779" spans="104:111">
      <c r="CZ7779" s="256"/>
      <c r="DG7779" s="256"/>
    </row>
    <row r="7780" spans="104:111">
      <c r="CZ7780" s="256"/>
      <c r="DG7780" s="256"/>
    </row>
    <row r="7781" spans="104:111">
      <c r="CZ7781" s="256"/>
      <c r="DG7781" s="256"/>
    </row>
    <row r="7782" spans="104:111">
      <c r="CZ7782" s="256"/>
      <c r="DG7782" s="256"/>
    </row>
    <row r="7783" spans="104:111">
      <c r="CZ7783" s="256"/>
      <c r="DG7783" s="256"/>
    </row>
    <row r="7784" spans="104:111">
      <c r="CZ7784" s="256"/>
      <c r="DG7784" s="256"/>
    </row>
    <row r="7785" spans="104:111">
      <c r="CZ7785" s="256"/>
      <c r="DG7785" s="256"/>
    </row>
    <row r="7786" spans="104:111">
      <c r="CZ7786" s="256"/>
      <c r="DG7786" s="256"/>
    </row>
    <row r="7787" spans="104:111">
      <c r="CZ7787" s="256"/>
      <c r="DG7787" s="256"/>
    </row>
    <row r="7788" spans="104:111">
      <c r="CZ7788" s="256"/>
      <c r="DG7788" s="256"/>
    </row>
    <row r="7789" spans="104:111">
      <c r="CZ7789" s="256"/>
      <c r="DG7789" s="256"/>
    </row>
    <row r="7790" spans="104:111">
      <c r="CZ7790" s="256"/>
      <c r="DG7790" s="256"/>
    </row>
    <row r="7791" spans="104:111">
      <c r="CZ7791" s="256"/>
      <c r="DG7791" s="256"/>
    </row>
    <row r="7792" spans="104:111">
      <c r="CZ7792" s="256"/>
      <c r="DG7792" s="256"/>
    </row>
    <row r="7793" spans="104:111">
      <c r="CZ7793" s="256"/>
      <c r="DG7793" s="256"/>
    </row>
    <row r="7794" spans="104:111">
      <c r="CZ7794" s="256"/>
      <c r="DG7794" s="256"/>
    </row>
    <row r="7795" spans="104:111">
      <c r="CZ7795" s="256"/>
      <c r="DG7795" s="256"/>
    </row>
    <row r="7796" spans="104:111">
      <c r="CZ7796" s="256"/>
      <c r="DG7796" s="256"/>
    </row>
    <row r="7797" spans="104:111">
      <c r="CZ7797" s="256"/>
      <c r="DG7797" s="256"/>
    </row>
    <row r="7798" spans="104:111">
      <c r="CZ7798" s="256"/>
      <c r="DG7798" s="256"/>
    </row>
    <row r="7799" spans="104:111">
      <c r="CZ7799" s="256"/>
      <c r="DG7799" s="256"/>
    </row>
    <row r="7800" spans="104:111">
      <c r="CZ7800" s="256"/>
      <c r="DG7800" s="256"/>
    </row>
    <row r="7801" spans="104:111">
      <c r="CZ7801" s="256"/>
      <c r="DG7801" s="256"/>
    </row>
    <row r="7802" spans="104:111">
      <c r="CZ7802" s="256"/>
      <c r="DG7802" s="256"/>
    </row>
    <row r="7803" spans="104:111">
      <c r="CZ7803" s="256"/>
      <c r="DG7803" s="256"/>
    </row>
    <row r="7804" spans="104:111">
      <c r="CZ7804" s="256"/>
      <c r="DG7804" s="256"/>
    </row>
    <row r="7805" spans="104:111">
      <c r="CZ7805" s="256"/>
      <c r="DG7805" s="256"/>
    </row>
    <row r="7806" spans="104:111">
      <c r="CZ7806" s="256"/>
      <c r="DG7806" s="256"/>
    </row>
    <row r="7807" spans="104:111">
      <c r="CZ7807" s="256"/>
      <c r="DG7807" s="256"/>
    </row>
    <row r="7808" spans="104:111">
      <c r="CZ7808" s="256"/>
      <c r="DG7808" s="256"/>
    </row>
    <row r="7809" spans="104:111">
      <c r="CZ7809" s="256"/>
      <c r="DG7809" s="256"/>
    </row>
    <row r="7810" spans="104:111">
      <c r="CZ7810" s="256"/>
      <c r="DG7810" s="256"/>
    </row>
    <row r="7811" spans="104:111">
      <c r="CZ7811" s="256"/>
      <c r="DG7811" s="256"/>
    </row>
    <row r="7812" spans="104:111">
      <c r="CZ7812" s="256"/>
      <c r="DG7812" s="256"/>
    </row>
    <row r="7813" spans="104:111">
      <c r="CZ7813" s="256"/>
      <c r="DG7813" s="256"/>
    </row>
    <row r="7814" spans="104:111">
      <c r="CZ7814" s="256"/>
      <c r="DG7814" s="256"/>
    </row>
    <row r="7815" spans="104:111">
      <c r="CZ7815" s="256"/>
      <c r="DG7815" s="256"/>
    </row>
    <row r="7816" spans="104:111">
      <c r="CZ7816" s="256"/>
      <c r="DG7816" s="256"/>
    </row>
    <row r="7817" spans="104:111">
      <c r="CZ7817" s="256"/>
      <c r="DG7817" s="256"/>
    </row>
    <row r="7818" spans="104:111">
      <c r="CZ7818" s="256"/>
      <c r="DG7818" s="256"/>
    </row>
    <row r="7819" spans="104:111">
      <c r="CZ7819" s="256"/>
      <c r="DG7819" s="256"/>
    </row>
    <row r="7820" spans="104:111">
      <c r="CZ7820" s="256"/>
      <c r="DG7820" s="256"/>
    </row>
    <row r="7821" spans="104:111">
      <c r="CZ7821" s="256"/>
      <c r="DG7821" s="256"/>
    </row>
    <row r="7822" spans="104:111">
      <c r="CZ7822" s="256"/>
      <c r="DG7822" s="256"/>
    </row>
    <row r="7823" spans="104:111">
      <c r="CZ7823" s="256"/>
      <c r="DG7823" s="256"/>
    </row>
    <row r="7824" spans="104:111">
      <c r="CZ7824" s="256"/>
      <c r="DG7824" s="256"/>
    </row>
    <row r="7825" spans="104:111">
      <c r="CZ7825" s="256"/>
      <c r="DG7825" s="256"/>
    </row>
    <row r="7826" spans="104:111">
      <c r="CZ7826" s="256"/>
      <c r="DG7826" s="256"/>
    </row>
    <row r="7827" spans="104:111">
      <c r="CZ7827" s="256"/>
      <c r="DG7827" s="256"/>
    </row>
    <row r="7828" spans="104:111">
      <c r="CZ7828" s="256"/>
      <c r="DG7828" s="256"/>
    </row>
    <row r="7829" spans="104:111">
      <c r="CZ7829" s="256"/>
      <c r="DG7829" s="256"/>
    </row>
    <row r="7830" spans="104:111">
      <c r="CZ7830" s="256"/>
      <c r="DG7830" s="256"/>
    </row>
    <row r="7831" spans="104:111">
      <c r="CZ7831" s="256"/>
      <c r="DG7831" s="256"/>
    </row>
    <row r="7832" spans="104:111">
      <c r="CZ7832" s="256"/>
      <c r="DG7832" s="256"/>
    </row>
    <row r="7833" spans="104:111">
      <c r="CZ7833" s="256"/>
      <c r="DG7833" s="256"/>
    </row>
    <row r="7834" spans="104:111">
      <c r="CZ7834" s="256"/>
      <c r="DG7834" s="256"/>
    </row>
    <row r="7835" spans="104:111">
      <c r="CZ7835" s="256"/>
      <c r="DG7835" s="256"/>
    </row>
    <row r="7836" spans="104:111">
      <c r="CZ7836" s="256"/>
      <c r="DG7836" s="256"/>
    </row>
    <row r="7837" spans="104:111">
      <c r="CZ7837" s="256"/>
      <c r="DG7837" s="256"/>
    </row>
    <row r="7838" spans="104:111">
      <c r="CZ7838" s="256"/>
      <c r="DG7838" s="256"/>
    </row>
    <row r="7839" spans="104:111">
      <c r="CZ7839" s="256"/>
      <c r="DG7839" s="256"/>
    </row>
    <row r="7840" spans="104:111">
      <c r="CZ7840" s="256"/>
      <c r="DG7840" s="256"/>
    </row>
    <row r="7841" spans="104:111">
      <c r="CZ7841" s="256"/>
      <c r="DG7841" s="256"/>
    </row>
    <row r="7842" spans="104:111">
      <c r="CZ7842" s="256"/>
      <c r="DG7842" s="256"/>
    </row>
    <row r="7843" spans="104:111">
      <c r="CZ7843" s="256"/>
      <c r="DG7843" s="256"/>
    </row>
    <row r="7844" spans="104:111">
      <c r="CZ7844" s="256"/>
      <c r="DG7844" s="256"/>
    </row>
    <row r="7845" spans="104:111">
      <c r="CZ7845" s="256"/>
      <c r="DG7845" s="256"/>
    </row>
    <row r="7846" spans="104:111">
      <c r="CZ7846" s="256"/>
      <c r="DG7846" s="256"/>
    </row>
    <row r="7847" spans="104:111">
      <c r="CZ7847" s="256"/>
      <c r="DG7847" s="256"/>
    </row>
    <row r="7848" spans="104:111">
      <c r="CZ7848" s="256"/>
      <c r="DG7848" s="256"/>
    </row>
    <row r="7849" spans="104:111">
      <c r="CZ7849" s="256"/>
      <c r="DG7849" s="256"/>
    </row>
    <row r="7850" spans="104:111">
      <c r="CZ7850" s="256"/>
      <c r="DG7850" s="256"/>
    </row>
    <row r="7851" spans="104:111">
      <c r="CZ7851" s="256"/>
      <c r="DG7851" s="256"/>
    </row>
    <row r="7852" spans="104:111">
      <c r="CZ7852" s="256"/>
      <c r="DG7852" s="256"/>
    </row>
    <row r="7853" spans="104:111">
      <c r="CZ7853" s="256"/>
      <c r="DG7853" s="256"/>
    </row>
    <row r="7854" spans="104:111">
      <c r="CZ7854" s="256"/>
      <c r="DG7854" s="256"/>
    </row>
    <row r="7855" spans="104:111">
      <c r="CZ7855" s="256"/>
      <c r="DG7855" s="256"/>
    </row>
    <row r="7856" spans="104:111">
      <c r="CZ7856" s="256"/>
      <c r="DG7856" s="256"/>
    </row>
    <row r="7857" spans="104:111">
      <c r="CZ7857" s="256"/>
      <c r="DG7857" s="256"/>
    </row>
    <row r="7858" spans="104:111">
      <c r="CZ7858" s="256"/>
      <c r="DG7858" s="256"/>
    </row>
    <row r="7859" spans="104:111">
      <c r="CZ7859" s="256"/>
      <c r="DG7859" s="256"/>
    </row>
    <row r="7860" spans="104:111">
      <c r="CZ7860" s="256"/>
      <c r="DG7860" s="256"/>
    </row>
    <row r="7861" spans="104:111">
      <c r="CZ7861" s="256"/>
      <c r="DG7861" s="256"/>
    </row>
    <row r="7862" spans="104:111">
      <c r="CZ7862" s="256"/>
      <c r="DG7862" s="256"/>
    </row>
    <row r="7863" spans="104:111">
      <c r="CZ7863" s="256"/>
      <c r="DG7863" s="256"/>
    </row>
    <row r="7864" spans="104:111">
      <c r="CZ7864" s="256"/>
      <c r="DG7864" s="256"/>
    </row>
    <row r="7865" spans="104:111">
      <c r="CZ7865" s="256"/>
      <c r="DG7865" s="256"/>
    </row>
    <row r="7866" spans="104:111">
      <c r="CZ7866" s="256"/>
      <c r="DG7866" s="256"/>
    </row>
    <row r="7867" spans="104:111">
      <c r="CZ7867" s="256"/>
      <c r="DG7867" s="256"/>
    </row>
    <row r="7868" spans="104:111">
      <c r="CZ7868" s="256"/>
      <c r="DG7868" s="256"/>
    </row>
    <row r="7869" spans="104:111">
      <c r="CZ7869" s="256"/>
      <c r="DG7869" s="256"/>
    </row>
    <row r="7870" spans="104:111">
      <c r="CZ7870" s="256"/>
      <c r="DG7870" s="256"/>
    </row>
    <row r="7871" spans="104:111">
      <c r="CZ7871" s="256"/>
      <c r="DG7871" s="256"/>
    </row>
    <row r="7872" spans="104:111">
      <c r="CZ7872" s="256"/>
      <c r="DG7872" s="256"/>
    </row>
    <row r="7873" spans="104:111">
      <c r="CZ7873" s="256"/>
      <c r="DG7873" s="256"/>
    </row>
    <row r="7874" spans="104:111">
      <c r="CZ7874" s="256"/>
      <c r="DG7874" s="256"/>
    </row>
    <row r="7875" spans="104:111">
      <c r="CZ7875" s="256"/>
      <c r="DG7875" s="256"/>
    </row>
    <row r="7876" spans="104:111">
      <c r="CZ7876" s="256"/>
      <c r="DG7876" s="256"/>
    </row>
    <row r="7877" spans="104:111">
      <c r="CZ7877" s="256"/>
      <c r="DG7877" s="256"/>
    </row>
    <row r="7878" spans="104:111">
      <c r="CZ7878" s="256"/>
      <c r="DG7878" s="256"/>
    </row>
    <row r="7879" spans="104:111">
      <c r="CZ7879" s="256"/>
      <c r="DG7879" s="256"/>
    </row>
    <row r="7880" spans="104:111">
      <c r="CZ7880" s="256"/>
      <c r="DG7880" s="256"/>
    </row>
    <row r="7881" spans="104:111">
      <c r="CZ7881" s="256"/>
      <c r="DG7881" s="256"/>
    </row>
    <row r="7882" spans="104:111">
      <c r="CZ7882" s="256"/>
      <c r="DG7882" s="256"/>
    </row>
    <row r="7883" spans="104:111">
      <c r="CZ7883" s="256"/>
      <c r="DG7883" s="256"/>
    </row>
    <row r="7884" spans="104:111">
      <c r="CZ7884" s="256"/>
      <c r="DG7884" s="256"/>
    </row>
    <row r="7885" spans="104:111">
      <c r="CZ7885" s="256"/>
      <c r="DG7885" s="256"/>
    </row>
    <row r="7886" spans="104:111">
      <c r="CZ7886" s="256"/>
      <c r="DG7886" s="256"/>
    </row>
    <row r="7887" spans="104:111">
      <c r="CZ7887" s="256"/>
      <c r="DG7887" s="256"/>
    </row>
    <row r="7888" spans="104:111">
      <c r="CZ7888" s="256"/>
      <c r="DG7888" s="256"/>
    </row>
    <row r="7889" spans="104:111">
      <c r="CZ7889" s="256"/>
      <c r="DG7889" s="256"/>
    </row>
    <row r="7890" spans="104:111">
      <c r="CZ7890" s="256"/>
      <c r="DG7890" s="256"/>
    </row>
    <row r="7891" spans="104:111">
      <c r="CZ7891" s="256"/>
      <c r="DG7891" s="256"/>
    </row>
    <row r="7892" spans="104:111">
      <c r="CZ7892" s="256"/>
      <c r="DG7892" s="256"/>
    </row>
    <row r="7893" spans="104:111">
      <c r="CZ7893" s="256"/>
      <c r="DG7893" s="256"/>
    </row>
    <row r="7894" spans="104:111">
      <c r="CZ7894" s="256"/>
      <c r="DG7894" s="256"/>
    </row>
    <row r="7895" spans="104:111">
      <c r="CZ7895" s="256"/>
      <c r="DG7895" s="256"/>
    </row>
    <row r="7896" spans="104:111">
      <c r="CZ7896" s="256"/>
      <c r="DG7896" s="256"/>
    </row>
    <row r="7897" spans="104:111">
      <c r="CZ7897" s="256"/>
      <c r="DG7897" s="256"/>
    </row>
    <row r="7898" spans="104:111">
      <c r="CZ7898" s="256"/>
      <c r="DG7898" s="256"/>
    </row>
    <row r="7899" spans="104:111">
      <c r="CZ7899" s="256"/>
      <c r="DG7899" s="256"/>
    </row>
    <row r="7900" spans="104:111">
      <c r="CZ7900" s="256"/>
      <c r="DG7900" s="256"/>
    </row>
    <row r="7901" spans="104:111">
      <c r="CZ7901" s="256"/>
      <c r="DG7901" s="256"/>
    </row>
    <row r="7902" spans="104:111">
      <c r="CZ7902" s="256"/>
      <c r="DG7902" s="256"/>
    </row>
    <row r="7903" spans="104:111">
      <c r="CZ7903" s="256"/>
      <c r="DG7903" s="256"/>
    </row>
    <row r="7904" spans="104:111">
      <c r="CZ7904" s="256"/>
      <c r="DG7904" s="256"/>
    </row>
    <row r="7905" spans="104:111">
      <c r="CZ7905" s="256"/>
      <c r="DG7905" s="256"/>
    </row>
    <row r="7906" spans="104:111">
      <c r="CZ7906" s="256"/>
      <c r="DG7906" s="256"/>
    </row>
    <row r="7907" spans="104:111">
      <c r="CZ7907" s="256"/>
      <c r="DG7907" s="256"/>
    </row>
    <row r="7908" spans="104:111">
      <c r="CZ7908" s="256"/>
      <c r="DG7908" s="256"/>
    </row>
    <row r="7909" spans="104:111">
      <c r="CZ7909" s="256"/>
      <c r="DG7909" s="256"/>
    </row>
    <row r="7910" spans="104:111">
      <c r="CZ7910" s="256"/>
      <c r="DG7910" s="256"/>
    </row>
    <row r="7911" spans="104:111">
      <c r="CZ7911" s="256"/>
      <c r="DG7911" s="256"/>
    </row>
    <row r="7912" spans="104:111">
      <c r="CZ7912" s="256"/>
      <c r="DG7912" s="256"/>
    </row>
    <row r="7913" spans="104:111">
      <c r="CZ7913" s="256"/>
      <c r="DG7913" s="256"/>
    </row>
    <row r="7914" spans="104:111">
      <c r="CZ7914" s="256"/>
      <c r="DG7914" s="256"/>
    </row>
    <row r="7915" spans="104:111">
      <c r="CZ7915" s="256"/>
      <c r="DG7915" s="256"/>
    </row>
    <row r="7916" spans="104:111">
      <c r="CZ7916" s="256"/>
      <c r="DG7916" s="256"/>
    </row>
    <row r="7917" spans="104:111">
      <c r="CZ7917" s="256"/>
      <c r="DG7917" s="256"/>
    </row>
    <row r="7918" spans="104:111">
      <c r="CZ7918" s="256"/>
      <c r="DG7918" s="256"/>
    </row>
    <row r="7919" spans="104:111">
      <c r="CZ7919" s="256"/>
      <c r="DG7919" s="256"/>
    </row>
    <row r="7920" spans="104:111">
      <c r="CZ7920" s="256"/>
      <c r="DG7920" s="256"/>
    </row>
    <row r="7921" spans="104:111">
      <c r="CZ7921" s="256"/>
      <c r="DG7921" s="256"/>
    </row>
    <row r="7922" spans="104:111">
      <c r="CZ7922" s="256"/>
      <c r="DG7922" s="256"/>
    </row>
    <row r="7923" spans="104:111">
      <c r="CZ7923" s="256"/>
      <c r="DG7923" s="256"/>
    </row>
    <row r="7924" spans="104:111">
      <c r="CZ7924" s="256"/>
      <c r="DG7924" s="256"/>
    </row>
    <row r="7925" spans="104:111">
      <c r="CZ7925" s="256"/>
      <c r="DG7925" s="256"/>
    </row>
    <row r="7926" spans="104:111">
      <c r="CZ7926" s="256"/>
      <c r="DG7926" s="256"/>
    </row>
    <row r="7927" spans="104:111">
      <c r="CZ7927" s="256"/>
      <c r="DG7927" s="256"/>
    </row>
    <row r="7928" spans="104:111">
      <c r="CZ7928" s="256"/>
      <c r="DG7928" s="256"/>
    </row>
    <row r="7929" spans="104:111">
      <c r="CZ7929" s="256"/>
      <c r="DG7929" s="256"/>
    </row>
    <row r="7930" spans="104:111">
      <c r="CZ7930" s="256"/>
      <c r="DG7930" s="256"/>
    </row>
    <row r="7931" spans="104:111">
      <c r="CZ7931" s="256"/>
      <c r="DG7931" s="256"/>
    </row>
    <row r="7932" spans="104:111">
      <c r="CZ7932" s="256"/>
      <c r="DG7932" s="256"/>
    </row>
    <row r="7933" spans="104:111">
      <c r="CZ7933" s="256"/>
      <c r="DG7933" s="256"/>
    </row>
    <row r="7934" spans="104:111">
      <c r="CZ7934" s="256"/>
      <c r="DG7934" s="256"/>
    </row>
    <row r="7935" spans="104:111">
      <c r="CZ7935" s="256"/>
      <c r="DG7935" s="256"/>
    </row>
    <row r="7936" spans="104:111">
      <c r="CZ7936" s="256"/>
      <c r="DG7936" s="256"/>
    </row>
    <row r="7937" spans="104:111">
      <c r="CZ7937" s="256"/>
      <c r="DG7937" s="256"/>
    </row>
    <row r="7938" spans="104:111">
      <c r="CZ7938" s="256"/>
      <c r="DG7938" s="256"/>
    </row>
    <row r="7939" spans="104:111">
      <c r="CZ7939" s="256"/>
      <c r="DG7939" s="256"/>
    </row>
    <row r="7940" spans="104:111">
      <c r="CZ7940" s="256"/>
      <c r="DG7940" s="256"/>
    </row>
    <row r="7941" spans="104:111">
      <c r="CZ7941" s="256"/>
      <c r="DG7941" s="256"/>
    </row>
    <row r="7942" spans="104:111">
      <c r="CZ7942" s="256"/>
      <c r="DG7942" s="256"/>
    </row>
    <row r="7943" spans="104:111">
      <c r="CZ7943" s="256"/>
      <c r="DG7943" s="256"/>
    </row>
    <row r="7944" spans="104:111">
      <c r="CZ7944" s="256"/>
      <c r="DG7944" s="256"/>
    </row>
    <row r="7945" spans="104:111">
      <c r="CZ7945" s="256"/>
      <c r="DG7945" s="256"/>
    </row>
    <row r="7946" spans="104:111">
      <c r="CZ7946" s="256"/>
      <c r="DG7946" s="256"/>
    </row>
    <row r="7947" spans="104:111">
      <c r="CZ7947" s="256"/>
      <c r="DG7947" s="256"/>
    </row>
    <row r="7948" spans="104:111">
      <c r="CZ7948" s="256"/>
      <c r="DG7948" s="256"/>
    </row>
    <row r="7949" spans="104:111">
      <c r="CZ7949" s="256"/>
      <c r="DG7949" s="256"/>
    </row>
    <row r="7950" spans="104:111">
      <c r="CZ7950" s="256"/>
      <c r="DG7950" s="256"/>
    </row>
    <row r="7951" spans="104:111">
      <c r="CZ7951" s="256"/>
      <c r="DG7951" s="256"/>
    </row>
    <row r="7952" spans="104:111">
      <c r="CZ7952" s="256"/>
      <c r="DG7952" s="256"/>
    </row>
    <row r="7953" spans="104:111">
      <c r="CZ7953" s="256"/>
      <c r="DG7953" s="256"/>
    </row>
    <row r="7954" spans="104:111">
      <c r="CZ7954" s="256"/>
      <c r="DG7954" s="256"/>
    </row>
    <row r="7955" spans="104:111">
      <c r="CZ7955" s="256"/>
      <c r="DG7955" s="256"/>
    </row>
    <row r="7956" spans="104:111">
      <c r="CZ7956" s="256"/>
      <c r="DG7956" s="256"/>
    </row>
    <row r="7957" spans="104:111">
      <c r="CZ7957" s="256"/>
      <c r="DG7957" s="256"/>
    </row>
    <row r="7958" spans="104:111">
      <c r="CZ7958" s="256"/>
      <c r="DG7958" s="256"/>
    </row>
    <row r="7959" spans="104:111">
      <c r="CZ7959" s="256"/>
      <c r="DG7959" s="256"/>
    </row>
    <row r="7960" spans="104:111">
      <c r="CZ7960" s="256"/>
      <c r="DG7960" s="256"/>
    </row>
    <row r="7961" spans="104:111">
      <c r="CZ7961" s="256"/>
      <c r="DG7961" s="256"/>
    </row>
    <row r="7962" spans="104:111">
      <c r="CZ7962" s="256"/>
      <c r="DG7962" s="256"/>
    </row>
    <row r="7963" spans="104:111">
      <c r="CZ7963" s="256"/>
      <c r="DG7963" s="256"/>
    </row>
    <row r="7964" spans="104:111">
      <c r="CZ7964" s="256"/>
      <c r="DG7964" s="256"/>
    </row>
    <row r="7965" spans="104:111">
      <c r="CZ7965" s="256"/>
      <c r="DG7965" s="256"/>
    </row>
    <row r="7966" spans="104:111">
      <c r="CZ7966" s="256"/>
      <c r="DG7966" s="256"/>
    </row>
    <row r="7967" spans="104:111">
      <c r="CZ7967" s="256"/>
      <c r="DG7967" s="256"/>
    </row>
    <row r="7968" spans="104:111">
      <c r="CZ7968" s="256"/>
      <c r="DG7968" s="256"/>
    </row>
    <row r="7969" spans="104:111">
      <c r="CZ7969" s="256"/>
      <c r="DG7969" s="256"/>
    </row>
    <row r="7970" spans="104:111">
      <c r="CZ7970" s="256"/>
      <c r="DG7970" s="256"/>
    </row>
    <row r="7971" spans="104:111">
      <c r="CZ7971" s="256"/>
      <c r="DG7971" s="256"/>
    </row>
    <row r="7972" spans="104:111">
      <c r="CZ7972" s="256"/>
      <c r="DG7972" s="256"/>
    </row>
    <row r="7973" spans="104:111">
      <c r="CZ7973" s="256"/>
      <c r="DG7973" s="256"/>
    </row>
    <row r="7974" spans="104:111">
      <c r="CZ7974" s="256"/>
      <c r="DG7974" s="256"/>
    </row>
    <row r="7975" spans="104:111">
      <c r="CZ7975" s="256"/>
      <c r="DG7975" s="256"/>
    </row>
    <row r="7976" spans="104:111">
      <c r="CZ7976" s="256"/>
      <c r="DG7976" s="256"/>
    </row>
    <row r="7977" spans="104:111">
      <c r="CZ7977" s="256"/>
      <c r="DG7977" s="256"/>
    </row>
    <row r="7978" spans="104:111">
      <c r="CZ7978" s="256"/>
      <c r="DG7978" s="256"/>
    </row>
    <row r="7979" spans="104:111">
      <c r="CZ7979" s="256"/>
      <c r="DG7979" s="256"/>
    </row>
    <row r="7980" spans="104:111">
      <c r="CZ7980" s="256"/>
      <c r="DG7980" s="256"/>
    </row>
    <row r="7981" spans="104:111">
      <c r="CZ7981" s="256"/>
      <c r="DG7981" s="256"/>
    </row>
    <row r="7982" spans="104:111">
      <c r="CZ7982" s="256"/>
      <c r="DG7982" s="256"/>
    </row>
    <row r="7983" spans="104:111">
      <c r="CZ7983" s="256"/>
      <c r="DG7983" s="256"/>
    </row>
    <row r="7984" spans="104:111">
      <c r="CZ7984" s="256"/>
      <c r="DG7984" s="256"/>
    </row>
    <row r="7985" spans="104:111">
      <c r="CZ7985" s="256"/>
      <c r="DG7985" s="256"/>
    </row>
    <row r="7986" spans="104:111">
      <c r="CZ7986" s="256"/>
      <c r="DG7986" s="256"/>
    </row>
    <row r="7987" spans="104:111">
      <c r="CZ7987" s="256"/>
      <c r="DG7987" s="256"/>
    </row>
    <row r="7988" spans="104:111">
      <c r="CZ7988" s="256"/>
      <c r="DG7988" s="256"/>
    </row>
    <row r="7989" spans="104:111">
      <c r="CZ7989" s="256"/>
      <c r="DG7989" s="256"/>
    </row>
    <row r="7990" spans="104:111">
      <c r="CZ7990" s="256"/>
      <c r="DG7990" s="256"/>
    </row>
    <row r="7991" spans="104:111">
      <c r="CZ7991" s="256"/>
      <c r="DG7991" s="256"/>
    </row>
    <row r="7992" spans="104:111">
      <c r="CZ7992" s="256"/>
      <c r="DG7992" s="256"/>
    </row>
    <row r="7993" spans="104:111">
      <c r="CZ7993" s="256"/>
      <c r="DG7993" s="256"/>
    </row>
    <row r="7994" spans="104:111">
      <c r="CZ7994" s="256"/>
      <c r="DG7994" s="256"/>
    </row>
    <row r="7995" spans="104:111">
      <c r="CZ7995" s="256"/>
      <c r="DG7995" s="256"/>
    </row>
    <row r="7996" spans="104:111">
      <c r="CZ7996" s="256"/>
      <c r="DG7996" s="256"/>
    </row>
    <row r="7997" spans="104:111">
      <c r="CZ7997" s="256"/>
      <c r="DG7997" s="256"/>
    </row>
    <row r="7998" spans="104:111">
      <c r="CZ7998" s="256"/>
      <c r="DG7998" s="256"/>
    </row>
    <row r="7999" spans="104:111">
      <c r="CZ7999" s="256"/>
      <c r="DG7999" s="256"/>
    </row>
    <row r="8000" spans="104:111">
      <c r="CZ8000" s="256"/>
      <c r="DG8000" s="256"/>
    </row>
    <row r="8001" spans="104:111">
      <c r="CZ8001" s="256"/>
      <c r="DG8001" s="256"/>
    </row>
    <row r="8002" spans="104:111">
      <c r="CZ8002" s="256"/>
      <c r="DG8002" s="256"/>
    </row>
    <row r="8003" spans="104:111">
      <c r="CZ8003" s="256"/>
      <c r="DG8003" s="256"/>
    </row>
    <row r="8004" spans="104:111">
      <c r="CZ8004" s="256"/>
      <c r="DG8004" s="256"/>
    </row>
    <row r="8005" spans="104:111">
      <c r="CZ8005" s="256"/>
      <c r="DG8005" s="256"/>
    </row>
    <row r="8006" spans="104:111">
      <c r="CZ8006" s="256"/>
      <c r="DG8006" s="256"/>
    </row>
    <row r="8007" spans="104:111">
      <c r="CZ8007" s="256"/>
      <c r="DG8007" s="256"/>
    </row>
    <row r="8008" spans="104:111">
      <c r="CZ8008" s="256"/>
      <c r="DG8008" s="256"/>
    </row>
    <row r="8009" spans="104:111">
      <c r="CZ8009" s="256"/>
      <c r="DG8009" s="256"/>
    </row>
    <row r="8010" spans="104:111">
      <c r="CZ8010" s="256"/>
      <c r="DG8010" s="256"/>
    </row>
    <row r="8011" spans="104:111">
      <c r="CZ8011" s="256"/>
      <c r="DG8011" s="256"/>
    </row>
    <row r="8012" spans="104:111">
      <c r="CZ8012" s="256"/>
      <c r="DG8012" s="256"/>
    </row>
    <row r="8013" spans="104:111">
      <c r="CZ8013" s="256"/>
      <c r="DG8013" s="256"/>
    </row>
    <row r="8014" spans="104:111">
      <c r="CZ8014" s="256"/>
      <c r="DG8014" s="256"/>
    </row>
    <row r="8015" spans="104:111">
      <c r="CZ8015" s="256"/>
      <c r="DG8015" s="256"/>
    </row>
    <row r="8016" spans="104:111">
      <c r="CZ8016" s="256"/>
      <c r="DG8016" s="256"/>
    </row>
    <row r="8017" spans="104:111">
      <c r="CZ8017" s="256"/>
      <c r="DG8017" s="256"/>
    </row>
    <row r="8018" spans="104:111">
      <c r="CZ8018" s="256"/>
      <c r="DG8018" s="256"/>
    </row>
    <row r="8019" spans="104:111">
      <c r="CZ8019" s="256"/>
      <c r="DG8019" s="256"/>
    </row>
    <row r="8020" spans="104:111">
      <c r="CZ8020" s="256"/>
      <c r="DG8020" s="256"/>
    </row>
    <row r="8021" spans="104:111">
      <c r="CZ8021" s="256"/>
      <c r="DG8021" s="256"/>
    </row>
    <row r="8022" spans="104:111">
      <c r="CZ8022" s="256"/>
      <c r="DG8022" s="256"/>
    </row>
    <row r="8023" spans="104:111">
      <c r="CZ8023" s="256"/>
      <c r="DG8023" s="256"/>
    </row>
    <row r="8024" spans="104:111">
      <c r="CZ8024" s="256"/>
      <c r="DG8024" s="256"/>
    </row>
    <row r="8025" spans="104:111">
      <c r="CZ8025" s="256"/>
      <c r="DG8025" s="256"/>
    </row>
    <row r="8026" spans="104:111">
      <c r="CZ8026" s="256"/>
      <c r="DG8026" s="256"/>
    </row>
    <row r="8027" spans="104:111">
      <c r="CZ8027" s="256"/>
      <c r="DG8027" s="256"/>
    </row>
    <row r="8028" spans="104:111">
      <c r="CZ8028" s="256"/>
      <c r="DG8028" s="256"/>
    </row>
    <row r="8029" spans="104:111">
      <c r="CZ8029" s="256"/>
      <c r="DG8029" s="256"/>
    </row>
    <row r="8030" spans="104:111">
      <c r="CZ8030" s="256"/>
      <c r="DG8030" s="256"/>
    </row>
    <row r="8031" spans="104:111">
      <c r="CZ8031" s="256"/>
      <c r="DG8031" s="256"/>
    </row>
    <row r="8032" spans="104:111">
      <c r="CZ8032" s="256"/>
      <c r="DG8032" s="256"/>
    </row>
    <row r="8033" spans="104:111">
      <c r="CZ8033" s="256"/>
      <c r="DG8033" s="256"/>
    </row>
    <row r="8034" spans="104:111">
      <c r="CZ8034" s="256"/>
      <c r="DG8034" s="256"/>
    </row>
    <row r="8035" spans="104:111">
      <c r="CZ8035" s="256"/>
      <c r="DG8035" s="256"/>
    </row>
    <row r="8036" spans="104:111">
      <c r="CZ8036" s="256"/>
      <c r="DG8036" s="256"/>
    </row>
    <row r="8037" spans="104:111">
      <c r="CZ8037" s="256"/>
      <c r="DG8037" s="256"/>
    </row>
    <row r="8038" spans="104:111">
      <c r="CZ8038" s="256"/>
      <c r="DG8038" s="256"/>
    </row>
    <row r="8039" spans="104:111">
      <c r="CZ8039" s="256"/>
      <c r="DG8039" s="256"/>
    </row>
    <row r="8040" spans="104:111">
      <c r="CZ8040" s="256"/>
      <c r="DG8040" s="256"/>
    </row>
    <row r="8041" spans="104:111">
      <c r="CZ8041" s="256"/>
      <c r="DG8041" s="256"/>
    </row>
    <row r="8042" spans="104:111">
      <c r="CZ8042" s="256"/>
      <c r="DG8042" s="256"/>
    </row>
    <row r="8043" spans="104:111">
      <c r="CZ8043" s="256"/>
      <c r="DG8043" s="256"/>
    </row>
    <row r="8044" spans="104:111">
      <c r="CZ8044" s="256"/>
      <c r="DG8044" s="256"/>
    </row>
    <row r="8045" spans="104:111">
      <c r="CZ8045" s="256"/>
      <c r="DG8045" s="256"/>
    </row>
    <row r="8046" spans="104:111">
      <c r="CZ8046" s="256"/>
      <c r="DG8046" s="256"/>
    </row>
    <row r="8047" spans="104:111">
      <c r="CZ8047" s="256"/>
      <c r="DG8047" s="256"/>
    </row>
    <row r="8048" spans="104:111">
      <c r="CZ8048" s="256"/>
      <c r="DG8048" s="256"/>
    </row>
    <row r="8049" spans="104:111">
      <c r="CZ8049" s="256"/>
      <c r="DG8049" s="256"/>
    </row>
    <row r="8050" spans="104:111">
      <c r="CZ8050" s="256"/>
      <c r="DG8050" s="256"/>
    </row>
    <row r="8051" spans="104:111">
      <c r="CZ8051" s="256"/>
      <c r="DG8051" s="256"/>
    </row>
    <row r="8052" spans="104:111">
      <c r="CZ8052" s="256"/>
      <c r="DG8052" s="256"/>
    </row>
    <row r="8053" spans="104:111">
      <c r="CZ8053" s="256"/>
      <c r="DG8053" s="256"/>
    </row>
    <row r="8054" spans="104:111">
      <c r="CZ8054" s="256"/>
      <c r="DG8054" s="256"/>
    </row>
    <row r="8055" spans="104:111">
      <c r="CZ8055" s="256"/>
      <c r="DG8055" s="256"/>
    </row>
    <row r="8056" spans="104:111">
      <c r="CZ8056" s="256"/>
      <c r="DG8056" s="256"/>
    </row>
    <row r="8057" spans="104:111">
      <c r="CZ8057" s="256"/>
      <c r="DG8057" s="256"/>
    </row>
    <row r="8058" spans="104:111">
      <c r="CZ8058" s="256"/>
      <c r="DG8058" s="256"/>
    </row>
    <row r="8059" spans="104:111">
      <c r="CZ8059" s="256"/>
      <c r="DG8059" s="256"/>
    </row>
    <row r="8060" spans="104:111">
      <c r="CZ8060" s="256"/>
      <c r="DG8060" s="256"/>
    </row>
    <row r="8061" spans="104:111">
      <c r="CZ8061" s="256"/>
      <c r="DG8061" s="256"/>
    </row>
    <row r="8062" spans="104:111">
      <c r="CZ8062" s="256"/>
      <c r="DG8062" s="256"/>
    </row>
    <row r="8063" spans="104:111">
      <c r="CZ8063" s="256"/>
      <c r="DG8063" s="256"/>
    </row>
    <row r="8064" spans="104:111">
      <c r="CZ8064" s="256"/>
      <c r="DG8064" s="256"/>
    </row>
    <row r="8065" spans="104:111">
      <c r="CZ8065" s="256"/>
      <c r="DG8065" s="256"/>
    </row>
    <row r="8066" spans="104:111">
      <c r="CZ8066" s="256"/>
      <c r="DG8066" s="256"/>
    </row>
    <row r="8067" spans="104:111">
      <c r="CZ8067" s="256"/>
      <c r="DG8067" s="256"/>
    </row>
    <row r="8068" spans="104:111">
      <c r="CZ8068" s="256"/>
      <c r="DG8068" s="256"/>
    </row>
    <row r="8069" spans="104:111">
      <c r="CZ8069" s="256"/>
      <c r="DG8069" s="256"/>
    </row>
    <row r="8070" spans="104:111">
      <c r="CZ8070" s="256"/>
      <c r="DG8070" s="256"/>
    </row>
    <row r="8071" spans="104:111">
      <c r="CZ8071" s="256"/>
      <c r="DG8071" s="256"/>
    </row>
    <row r="8072" spans="104:111">
      <c r="CZ8072" s="256"/>
      <c r="DG8072" s="256"/>
    </row>
    <row r="8073" spans="104:111">
      <c r="CZ8073" s="256"/>
      <c r="DG8073" s="256"/>
    </row>
    <row r="8074" spans="104:111">
      <c r="CZ8074" s="256"/>
      <c r="DG8074" s="256"/>
    </row>
    <row r="8075" spans="104:111">
      <c r="CZ8075" s="256"/>
      <c r="DG8075" s="256"/>
    </row>
    <row r="8076" spans="104:111">
      <c r="CZ8076" s="256"/>
      <c r="DG8076" s="256"/>
    </row>
    <row r="8077" spans="104:111">
      <c r="CZ8077" s="256"/>
      <c r="DG8077" s="256"/>
    </row>
    <row r="8078" spans="104:111">
      <c r="CZ8078" s="256"/>
      <c r="DG8078" s="256"/>
    </row>
    <row r="8079" spans="104:111">
      <c r="CZ8079" s="256"/>
      <c r="DG8079" s="256"/>
    </row>
    <row r="8080" spans="104:111">
      <c r="CZ8080" s="256"/>
      <c r="DG8080" s="256"/>
    </row>
    <row r="8081" spans="104:111">
      <c r="CZ8081" s="256"/>
      <c r="DG8081" s="256"/>
    </row>
    <row r="8082" spans="104:111">
      <c r="CZ8082" s="256"/>
      <c r="DG8082" s="256"/>
    </row>
    <row r="8083" spans="104:111">
      <c r="CZ8083" s="256"/>
      <c r="DG8083" s="256"/>
    </row>
    <row r="8084" spans="104:111">
      <c r="CZ8084" s="256"/>
      <c r="DG8084" s="256"/>
    </row>
    <row r="8085" spans="104:111">
      <c r="CZ8085" s="256"/>
      <c r="DG8085" s="256"/>
    </row>
    <row r="8086" spans="104:111">
      <c r="CZ8086" s="256"/>
      <c r="DG8086" s="256"/>
    </row>
    <row r="8087" spans="104:111">
      <c r="CZ8087" s="256"/>
      <c r="DG8087" s="256"/>
    </row>
    <row r="8088" spans="104:111">
      <c r="CZ8088" s="256"/>
      <c r="DG8088" s="256"/>
    </row>
    <row r="8089" spans="104:111">
      <c r="CZ8089" s="256"/>
      <c r="DG8089" s="256"/>
    </row>
    <row r="8090" spans="104:111">
      <c r="CZ8090" s="256"/>
      <c r="DG8090" s="256"/>
    </row>
    <row r="8091" spans="104:111">
      <c r="CZ8091" s="256"/>
      <c r="DG8091" s="256"/>
    </row>
    <row r="8092" spans="104:111">
      <c r="CZ8092" s="256"/>
      <c r="DG8092" s="256"/>
    </row>
    <row r="8093" spans="104:111">
      <c r="CZ8093" s="256"/>
      <c r="DG8093" s="256"/>
    </row>
    <row r="8094" spans="104:111">
      <c r="CZ8094" s="256"/>
      <c r="DG8094" s="256"/>
    </row>
    <row r="8095" spans="104:111">
      <c r="CZ8095" s="256"/>
      <c r="DG8095" s="256"/>
    </row>
    <row r="8096" spans="104:111">
      <c r="CZ8096" s="256"/>
      <c r="DG8096" s="256"/>
    </row>
    <row r="8097" spans="104:111">
      <c r="CZ8097" s="256"/>
      <c r="DG8097" s="256"/>
    </row>
    <row r="8098" spans="104:111">
      <c r="CZ8098" s="256"/>
      <c r="DG8098" s="256"/>
    </row>
    <row r="8099" spans="104:111">
      <c r="CZ8099" s="256"/>
      <c r="DG8099" s="256"/>
    </row>
    <row r="8100" spans="104:111">
      <c r="CZ8100" s="256"/>
      <c r="DG8100" s="256"/>
    </row>
    <row r="8101" spans="104:111">
      <c r="CZ8101" s="256"/>
      <c r="DG8101" s="256"/>
    </row>
    <row r="8102" spans="104:111">
      <c r="CZ8102" s="256"/>
      <c r="DG8102" s="256"/>
    </row>
    <row r="8103" spans="104:111">
      <c r="CZ8103" s="256"/>
      <c r="DG8103" s="256"/>
    </row>
    <row r="8104" spans="104:111">
      <c r="CZ8104" s="256"/>
      <c r="DG8104" s="256"/>
    </row>
    <row r="8105" spans="104:111">
      <c r="CZ8105" s="256"/>
      <c r="DG8105" s="256"/>
    </row>
    <row r="8106" spans="104:111">
      <c r="CZ8106" s="256"/>
      <c r="DG8106" s="256"/>
    </row>
    <row r="8107" spans="104:111">
      <c r="CZ8107" s="256"/>
      <c r="DG8107" s="256"/>
    </row>
    <row r="8108" spans="104:111">
      <c r="CZ8108" s="256"/>
      <c r="DG8108" s="256"/>
    </row>
    <row r="8109" spans="104:111">
      <c r="CZ8109" s="256"/>
      <c r="DG8109" s="256"/>
    </row>
    <row r="8110" spans="104:111">
      <c r="CZ8110" s="256"/>
      <c r="DG8110" s="256"/>
    </row>
    <row r="8111" spans="104:111">
      <c r="CZ8111" s="256"/>
      <c r="DG8111" s="256"/>
    </row>
    <row r="8112" spans="104:111">
      <c r="CZ8112" s="256"/>
      <c r="DG8112" s="256"/>
    </row>
    <row r="8113" spans="104:111">
      <c r="CZ8113" s="256"/>
      <c r="DG8113" s="256"/>
    </row>
    <row r="8114" spans="104:111">
      <c r="CZ8114" s="256"/>
      <c r="DG8114" s="256"/>
    </row>
    <row r="8115" spans="104:111">
      <c r="CZ8115" s="256"/>
      <c r="DG8115" s="256"/>
    </row>
    <row r="8116" spans="104:111">
      <c r="CZ8116" s="256"/>
      <c r="DG8116" s="256"/>
    </row>
    <row r="8117" spans="104:111">
      <c r="CZ8117" s="256"/>
      <c r="DG8117" s="256"/>
    </row>
    <row r="8118" spans="104:111">
      <c r="CZ8118" s="256"/>
      <c r="DG8118" s="256"/>
    </row>
    <row r="8119" spans="104:111">
      <c r="CZ8119" s="256"/>
      <c r="DG8119" s="256"/>
    </row>
    <row r="8120" spans="104:111">
      <c r="CZ8120" s="256"/>
      <c r="DG8120" s="256"/>
    </row>
    <row r="8121" spans="104:111">
      <c r="CZ8121" s="256"/>
      <c r="DG8121" s="256"/>
    </row>
    <row r="8122" spans="104:111">
      <c r="CZ8122" s="256"/>
      <c r="DG8122" s="256"/>
    </row>
    <row r="8123" spans="104:111">
      <c r="CZ8123" s="256"/>
      <c r="DG8123" s="256"/>
    </row>
    <row r="8124" spans="104:111">
      <c r="CZ8124" s="256"/>
      <c r="DG8124" s="256"/>
    </row>
    <row r="8125" spans="104:111">
      <c r="CZ8125" s="256"/>
      <c r="DG8125" s="256"/>
    </row>
    <row r="8126" spans="104:111">
      <c r="CZ8126" s="256"/>
      <c r="DG8126" s="256"/>
    </row>
    <row r="8127" spans="104:111">
      <c r="CZ8127" s="256"/>
      <c r="DG8127" s="256"/>
    </row>
    <row r="8128" spans="104:111">
      <c r="CZ8128" s="256"/>
      <c r="DG8128" s="256"/>
    </row>
    <row r="8129" spans="104:111">
      <c r="CZ8129" s="256"/>
      <c r="DG8129" s="256"/>
    </row>
    <row r="8130" spans="104:111">
      <c r="CZ8130" s="256"/>
      <c r="DG8130" s="256"/>
    </row>
    <row r="8131" spans="104:111">
      <c r="CZ8131" s="256"/>
      <c r="DG8131" s="256"/>
    </row>
    <row r="8132" spans="104:111">
      <c r="CZ8132" s="256"/>
      <c r="DG8132" s="256"/>
    </row>
    <row r="8133" spans="104:111">
      <c r="CZ8133" s="256"/>
      <c r="DG8133" s="256"/>
    </row>
    <row r="8134" spans="104:111">
      <c r="CZ8134" s="256"/>
      <c r="DG8134" s="256"/>
    </row>
    <row r="8135" spans="104:111">
      <c r="CZ8135" s="256"/>
      <c r="DG8135" s="256"/>
    </row>
    <row r="8136" spans="104:111">
      <c r="CZ8136" s="256"/>
      <c r="DG8136" s="256"/>
    </row>
    <row r="8137" spans="104:111">
      <c r="CZ8137" s="256"/>
      <c r="DG8137" s="256"/>
    </row>
    <row r="8138" spans="104:111">
      <c r="CZ8138" s="256"/>
      <c r="DG8138" s="256"/>
    </row>
    <row r="8139" spans="104:111">
      <c r="CZ8139" s="256"/>
      <c r="DG8139" s="256"/>
    </row>
    <row r="8140" spans="104:111">
      <c r="CZ8140" s="256"/>
      <c r="DG8140" s="256"/>
    </row>
    <row r="8141" spans="104:111">
      <c r="CZ8141" s="256"/>
      <c r="DG8141" s="256"/>
    </row>
    <row r="8142" spans="104:111">
      <c r="CZ8142" s="256"/>
      <c r="DG8142" s="256"/>
    </row>
    <row r="8143" spans="104:111">
      <c r="CZ8143" s="256"/>
      <c r="DG8143" s="256"/>
    </row>
    <row r="8144" spans="104:111">
      <c r="CZ8144" s="256"/>
      <c r="DG8144" s="256"/>
    </row>
    <row r="8145" spans="104:111">
      <c r="CZ8145" s="256"/>
      <c r="DG8145" s="256"/>
    </row>
    <row r="8146" spans="104:111">
      <c r="CZ8146" s="256"/>
      <c r="DG8146" s="256"/>
    </row>
    <row r="8147" spans="104:111">
      <c r="CZ8147" s="256"/>
      <c r="DG8147" s="256"/>
    </row>
    <row r="8148" spans="104:111">
      <c r="CZ8148" s="256"/>
      <c r="DG8148" s="256"/>
    </row>
    <row r="8149" spans="104:111">
      <c r="CZ8149" s="256"/>
      <c r="DG8149" s="256"/>
    </row>
    <row r="8150" spans="104:111">
      <c r="CZ8150" s="256"/>
      <c r="DG8150" s="256"/>
    </row>
    <row r="8151" spans="104:111">
      <c r="CZ8151" s="256"/>
      <c r="DG8151" s="256"/>
    </row>
    <row r="8152" spans="104:111">
      <c r="CZ8152" s="256"/>
      <c r="DG8152" s="256"/>
    </row>
    <row r="8153" spans="104:111">
      <c r="CZ8153" s="256"/>
      <c r="DG8153" s="256"/>
    </row>
    <row r="8154" spans="104:111">
      <c r="CZ8154" s="256"/>
      <c r="DG8154" s="256"/>
    </row>
    <row r="8155" spans="104:111">
      <c r="CZ8155" s="256"/>
      <c r="DG8155" s="256"/>
    </row>
    <row r="8156" spans="104:111">
      <c r="CZ8156" s="256"/>
      <c r="DG8156" s="256"/>
    </row>
    <row r="8157" spans="104:111">
      <c r="CZ8157" s="256"/>
      <c r="DG8157" s="256"/>
    </row>
    <row r="8158" spans="104:111">
      <c r="CZ8158" s="256"/>
      <c r="DG8158" s="256"/>
    </row>
    <row r="8159" spans="104:111">
      <c r="CZ8159" s="256"/>
      <c r="DG8159" s="256"/>
    </row>
    <row r="8160" spans="104:111">
      <c r="CZ8160" s="256"/>
      <c r="DG8160" s="256"/>
    </row>
    <row r="8161" spans="104:111">
      <c r="CZ8161" s="256"/>
      <c r="DG8161" s="256"/>
    </row>
    <row r="8162" spans="104:111">
      <c r="CZ8162" s="256"/>
      <c r="DG8162" s="256"/>
    </row>
    <row r="8163" spans="104:111">
      <c r="CZ8163" s="256"/>
      <c r="DG8163" s="256"/>
    </row>
    <row r="8164" spans="104:111">
      <c r="CZ8164" s="256"/>
      <c r="DG8164" s="256"/>
    </row>
    <row r="8165" spans="104:111">
      <c r="CZ8165" s="256"/>
      <c r="DG8165" s="256"/>
    </row>
    <row r="8166" spans="104:111">
      <c r="CZ8166" s="256"/>
      <c r="DG8166" s="256"/>
    </row>
    <row r="8167" spans="104:111">
      <c r="CZ8167" s="256"/>
      <c r="DG8167" s="256"/>
    </row>
    <row r="8168" spans="104:111">
      <c r="CZ8168" s="256"/>
      <c r="DG8168" s="256"/>
    </row>
    <row r="8169" spans="104:111">
      <c r="CZ8169" s="256"/>
      <c r="DG8169" s="256"/>
    </row>
    <row r="8170" spans="104:111">
      <c r="CZ8170" s="256"/>
      <c r="DG8170" s="256"/>
    </row>
    <row r="8171" spans="104:111">
      <c r="CZ8171" s="256"/>
      <c r="DG8171" s="256"/>
    </row>
    <row r="8172" spans="104:111">
      <c r="CZ8172" s="256"/>
      <c r="DG8172" s="256"/>
    </row>
    <row r="8173" spans="104:111">
      <c r="CZ8173" s="256"/>
      <c r="DG8173" s="256"/>
    </row>
    <row r="8174" spans="104:111">
      <c r="CZ8174" s="256"/>
      <c r="DG8174" s="256"/>
    </row>
    <row r="8175" spans="104:111">
      <c r="CZ8175" s="256"/>
      <c r="DG8175" s="256"/>
    </row>
    <row r="8176" spans="104:111">
      <c r="CZ8176" s="256"/>
      <c r="DG8176" s="256"/>
    </row>
    <row r="8177" spans="104:111">
      <c r="CZ8177" s="256"/>
      <c r="DG8177" s="256"/>
    </row>
    <row r="8178" spans="104:111">
      <c r="CZ8178" s="256"/>
      <c r="DG8178" s="256"/>
    </row>
    <row r="8179" spans="104:111">
      <c r="CZ8179" s="256"/>
      <c r="DG8179" s="256"/>
    </row>
    <row r="8180" spans="104:111">
      <c r="CZ8180" s="256"/>
      <c r="DG8180" s="256"/>
    </row>
    <row r="8181" spans="104:111">
      <c r="CZ8181" s="256"/>
      <c r="DG8181" s="256"/>
    </row>
    <row r="8182" spans="104:111">
      <c r="CZ8182" s="256"/>
      <c r="DG8182" s="256"/>
    </row>
    <row r="8183" spans="104:111">
      <c r="CZ8183" s="256"/>
      <c r="DG8183" s="256"/>
    </row>
    <row r="8184" spans="104:111">
      <c r="CZ8184" s="256"/>
      <c r="DG8184" s="256"/>
    </row>
    <row r="8185" spans="104:111">
      <c r="CZ8185" s="256"/>
      <c r="DG8185" s="256"/>
    </row>
    <row r="8186" spans="104:111">
      <c r="CZ8186" s="256"/>
      <c r="DG8186" s="256"/>
    </row>
    <row r="8187" spans="104:111">
      <c r="CZ8187" s="256"/>
      <c r="DG8187" s="256"/>
    </row>
    <row r="8188" spans="104:111">
      <c r="CZ8188" s="256"/>
      <c r="DG8188" s="256"/>
    </row>
    <row r="8189" spans="104:111">
      <c r="CZ8189" s="256"/>
      <c r="DG8189" s="256"/>
    </row>
    <row r="8190" spans="104:111">
      <c r="CZ8190" s="256"/>
      <c r="DG8190" s="256"/>
    </row>
    <row r="8191" spans="104:111">
      <c r="CZ8191" s="256"/>
      <c r="DG8191" s="256"/>
    </row>
    <row r="8192" spans="104:111">
      <c r="CZ8192" s="256"/>
      <c r="DG8192" s="256"/>
    </row>
    <row r="8193" spans="104:111">
      <c r="CZ8193" s="256"/>
      <c r="DG8193" s="256"/>
    </row>
    <row r="8194" spans="104:111">
      <c r="CZ8194" s="256"/>
      <c r="DG8194" s="256"/>
    </row>
    <row r="8195" spans="104:111">
      <c r="CZ8195" s="256"/>
      <c r="DG8195" s="256"/>
    </row>
    <row r="8196" spans="104:111">
      <c r="CZ8196" s="256"/>
      <c r="DG8196" s="256"/>
    </row>
    <row r="8197" spans="104:111">
      <c r="CZ8197" s="256"/>
      <c r="DG8197" s="256"/>
    </row>
    <row r="8198" spans="104:111">
      <c r="CZ8198" s="256"/>
      <c r="DG8198" s="256"/>
    </row>
    <row r="8199" spans="104:111">
      <c r="CZ8199" s="256"/>
      <c r="DG8199" s="256"/>
    </row>
    <row r="8200" spans="104:111">
      <c r="CZ8200" s="256"/>
      <c r="DG8200" s="256"/>
    </row>
    <row r="8201" spans="104:111">
      <c r="CZ8201" s="256"/>
      <c r="DG8201" s="256"/>
    </row>
    <row r="8202" spans="104:111">
      <c r="CZ8202" s="256"/>
      <c r="DG8202" s="256"/>
    </row>
    <row r="8203" spans="104:111">
      <c r="CZ8203" s="256"/>
      <c r="DG8203" s="256"/>
    </row>
    <row r="8204" spans="104:111">
      <c r="CZ8204" s="256"/>
      <c r="DG8204" s="256"/>
    </row>
    <row r="8205" spans="104:111">
      <c r="CZ8205" s="256"/>
      <c r="DG8205" s="256"/>
    </row>
    <row r="8206" spans="104:111">
      <c r="CZ8206" s="256"/>
      <c r="DG8206" s="256"/>
    </row>
    <row r="8207" spans="104:111">
      <c r="CZ8207" s="256"/>
      <c r="DG8207" s="256"/>
    </row>
    <row r="8208" spans="104:111">
      <c r="CZ8208" s="256"/>
      <c r="DG8208" s="256"/>
    </row>
    <row r="8209" spans="104:111">
      <c r="CZ8209" s="256"/>
      <c r="DG8209" s="256"/>
    </row>
    <row r="8210" spans="104:111">
      <c r="CZ8210" s="256"/>
      <c r="DG8210" s="256"/>
    </row>
    <row r="8211" spans="104:111">
      <c r="CZ8211" s="256"/>
      <c r="DG8211" s="256"/>
    </row>
    <row r="8212" spans="104:111">
      <c r="CZ8212" s="256"/>
      <c r="DG8212" s="256"/>
    </row>
    <row r="8213" spans="104:111">
      <c r="CZ8213" s="256"/>
      <c r="DG8213" s="256"/>
    </row>
    <row r="8214" spans="104:111">
      <c r="CZ8214" s="256"/>
      <c r="DG8214" s="256"/>
    </row>
    <row r="8215" spans="104:111">
      <c r="CZ8215" s="256"/>
      <c r="DG8215" s="256"/>
    </row>
    <row r="8216" spans="104:111">
      <c r="CZ8216" s="256"/>
      <c r="DG8216" s="256"/>
    </row>
    <row r="8217" spans="104:111">
      <c r="CZ8217" s="256"/>
      <c r="DG8217" s="256"/>
    </row>
    <row r="8218" spans="104:111">
      <c r="CZ8218" s="256"/>
      <c r="DG8218" s="256"/>
    </row>
    <row r="8219" spans="104:111">
      <c r="CZ8219" s="256"/>
      <c r="DG8219" s="256"/>
    </row>
    <row r="8220" spans="104:111">
      <c r="CZ8220" s="256"/>
      <c r="DG8220" s="256"/>
    </row>
    <row r="8221" spans="104:111">
      <c r="CZ8221" s="256"/>
      <c r="DG8221" s="256"/>
    </row>
    <row r="8222" spans="104:111">
      <c r="CZ8222" s="256"/>
      <c r="DG8222" s="256"/>
    </row>
    <row r="8223" spans="104:111">
      <c r="CZ8223" s="256"/>
      <c r="DG8223" s="256"/>
    </row>
    <row r="8224" spans="104:111">
      <c r="CZ8224" s="256"/>
      <c r="DG8224" s="256"/>
    </row>
    <row r="8225" spans="104:111">
      <c r="CZ8225" s="256"/>
      <c r="DG8225" s="256"/>
    </row>
    <row r="8226" spans="104:111">
      <c r="CZ8226" s="256"/>
      <c r="DG8226" s="256"/>
    </row>
    <row r="8227" spans="104:111">
      <c r="CZ8227" s="256"/>
      <c r="DG8227" s="256"/>
    </row>
    <row r="8228" spans="104:111">
      <c r="CZ8228" s="256"/>
      <c r="DG8228" s="256"/>
    </row>
    <row r="8229" spans="104:111">
      <c r="CZ8229" s="256"/>
      <c r="DG8229" s="256"/>
    </row>
    <row r="8230" spans="104:111">
      <c r="CZ8230" s="256"/>
      <c r="DG8230" s="256"/>
    </row>
    <row r="8231" spans="104:111">
      <c r="CZ8231" s="256"/>
      <c r="DG8231" s="256"/>
    </row>
    <row r="8232" spans="104:111">
      <c r="CZ8232" s="256"/>
      <c r="DG8232" s="256"/>
    </row>
    <row r="8233" spans="104:111">
      <c r="CZ8233" s="256"/>
      <c r="DG8233" s="256"/>
    </row>
    <row r="8234" spans="104:111">
      <c r="CZ8234" s="256"/>
      <c r="DG8234" s="256"/>
    </row>
    <row r="8235" spans="104:111">
      <c r="CZ8235" s="256"/>
      <c r="DG8235" s="256"/>
    </row>
    <row r="8236" spans="104:111">
      <c r="CZ8236" s="256"/>
      <c r="DG8236" s="256"/>
    </row>
    <row r="8237" spans="104:111">
      <c r="CZ8237" s="256"/>
      <c r="DG8237" s="256"/>
    </row>
    <row r="8238" spans="104:111">
      <c r="CZ8238" s="256"/>
      <c r="DG8238" s="256"/>
    </row>
    <row r="8239" spans="104:111">
      <c r="CZ8239" s="256"/>
      <c r="DG8239" s="256"/>
    </row>
    <row r="8240" spans="104:111">
      <c r="CZ8240" s="256"/>
      <c r="DG8240" s="256"/>
    </row>
    <row r="8241" spans="104:111">
      <c r="CZ8241" s="256"/>
      <c r="DG8241" s="256"/>
    </row>
    <row r="8242" spans="104:111">
      <c r="CZ8242" s="256"/>
      <c r="DG8242" s="256"/>
    </row>
    <row r="8243" spans="104:111">
      <c r="CZ8243" s="256"/>
      <c r="DG8243" s="256"/>
    </row>
    <row r="8244" spans="104:111">
      <c r="CZ8244" s="256"/>
      <c r="DG8244" s="256"/>
    </row>
    <row r="8245" spans="104:111">
      <c r="CZ8245" s="256"/>
      <c r="DG8245" s="256"/>
    </row>
    <row r="8246" spans="104:111">
      <c r="CZ8246" s="256"/>
      <c r="DG8246" s="256"/>
    </row>
    <row r="8247" spans="104:111">
      <c r="CZ8247" s="256"/>
      <c r="DG8247" s="256"/>
    </row>
    <row r="8248" spans="104:111">
      <c r="CZ8248" s="256"/>
      <c r="DG8248" s="256"/>
    </row>
    <row r="8249" spans="104:111">
      <c r="CZ8249" s="256"/>
      <c r="DG8249" s="256"/>
    </row>
    <row r="8250" spans="104:111">
      <c r="CZ8250" s="256"/>
      <c r="DG8250" s="256"/>
    </row>
    <row r="8251" spans="104:111">
      <c r="CZ8251" s="256"/>
      <c r="DG8251" s="256"/>
    </row>
    <row r="8252" spans="104:111">
      <c r="CZ8252" s="256"/>
      <c r="DG8252" s="256"/>
    </row>
    <row r="8253" spans="104:111">
      <c r="CZ8253" s="256"/>
      <c r="DG8253" s="256"/>
    </row>
    <row r="8254" spans="104:111">
      <c r="CZ8254" s="256"/>
      <c r="DG8254" s="256"/>
    </row>
    <row r="8255" spans="104:111">
      <c r="CZ8255" s="256"/>
      <c r="DG8255" s="256"/>
    </row>
    <row r="8256" spans="104:111">
      <c r="CZ8256" s="256"/>
      <c r="DG8256" s="256"/>
    </row>
    <row r="8257" spans="104:111">
      <c r="CZ8257" s="256"/>
      <c r="DG8257" s="256"/>
    </row>
    <row r="8258" spans="104:111">
      <c r="CZ8258" s="256"/>
      <c r="DG8258" s="256"/>
    </row>
    <row r="8259" spans="104:111">
      <c r="CZ8259" s="256"/>
      <c r="DG8259" s="256"/>
    </row>
    <row r="8260" spans="104:111">
      <c r="CZ8260" s="256"/>
      <c r="DG8260" s="256"/>
    </row>
    <row r="8261" spans="104:111">
      <c r="CZ8261" s="256"/>
      <c r="DG8261" s="256"/>
    </row>
    <row r="8262" spans="104:111">
      <c r="CZ8262" s="256"/>
      <c r="DG8262" s="256"/>
    </row>
    <row r="8263" spans="104:111">
      <c r="CZ8263" s="256"/>
      <c r="DG8263" s="256"/>
    </row>
    <row r="8264" spans="104:111">
      <c r="CZ8264" s="256"/>
      <c r="DG8264" s="256"/>
    </row>
    <row r="8265" spans="104:111">
      <c r="CZ8265" s="256"/>
      <c r="DG8265" s="256"/>
    </row>
    <row r="8266" spans="104:111">
      <c r="CZ8266" s="256"/>
      <c r="DG8266" s="256"/>
    </row>
    <row r="8267" spans="104:111">
      <c r="CZ8267" s="256"/>
      <c r="DG8267" s="256"/>
    </row>
    <row r="8268" spans="104:111">
      <c r="CZ8268" s="256"/>
      <c r="DG8268" s="256"/>
    </row>
    <row r="8269" spans="104:111">
      <c r="CZ8269" s="256"/>
      <c r="DG8269" s="256"/>
    </row>
    <row r="8270" spans="104:111">
      <c r="CZ8270" s="256"/>
      <c r="DG8270" s="256"/>
    </row>
    <row r="8271" spans="104:111">
      <c r="CZ8271" s="256"/>
      <c r="DG8271" s="256"/>
    </row>
    <row r="8272" spans="104:111">
      <c r="CZ8272" s="256"/>
      <c r="DG8272" s="256"/>
    </row>
    <row r="8273" spans="104:111">
      <c r="CZ8273" s="256"/>
      <c r="DG8273" s="256"/>
    </row>
    <row r="8274" spans="104:111">
      <c r="CZ8274" s="256"/>
      <c r="DG8274" s="256"/>
    </row>
    <row r="8275" spans="104:111">
      <c r="CZ8275" s="256"/>
      <c r="DG8275" s="256"/>
    </row>
    <row r="8276" spans="104:111">
      <c r="CZ8276" s="256"/>
      <c r="DG8276" s="256"/>
    </row>
    <row r="8277" spans="104:111">
      <c r="CZ8277" s="256"/>
      <c r="DG8277" s="256"/>
    </row>
    <row r="8278" spans="104:111">
      <c r="CZ8278" s="256"/>
      <c r="DG8278" s="256"/>
    </row>
    <row r="8279" spans="104:111">
      <c r="CZ8279" s="256"/>
      <c r="DG8279" s="256"/>
    </row>
    <row r="8280" spans="104:111">
      <c r="CZ8280" s="256"/>
      <c r="DG8280" s="256"/>
    </row>
    <row r="8281" spans="104:111">
      <c r="CZ8281" s="256"/>
      <c r="DG8281" s="256"/>
    </row>
    <row r="8282" spans="104:111">
      <c r="CZ8282" s="256"/>
      <c r="DG8282" s="256"/>
    </row>
    <row r="8283" spans="104:111">
      <c r="CZ8283" s="256"/>
      <c r="DG8283" s="256"/>
    </row>
    <row r="8284" spans="104:111">
      <c r="CZ8284" s="256"/>
      <c r="DG8284" s="256"/>
    </row>
    <row r="8285" spans="104:111">
      <c r="CZ8285" s="256"/>
      <c r="DG8285" s="256"/>
    </row>
    <row r="8286" spans="104:111">
      <c r="CZ8286" s="256"/>
      <c r="DG8286" s="256"/>
    </row>
    <row r="8287" spans="104:111">
      <c r="CZ8287" s="256"/>
      <c r="DG8287" s="256"/>
    </row>
    <row r="8288" spans="104:111">
      <c r="CZ8288" s="256"/>
      <c r="DG8288" s="256"/>
    </row>
    <row r="8289" spans="104:111">
      <c r="CZ8289" s="256"/>
      <c r="DG8289" s="256"/>
    </row>
    <row r="8290" spans="104:111">
      <c r="CZ8290" s="256"/>
      <c r="DG8290" s="256"/>
    </row>
    <row r="8291" spans="104:111">
      <c r="CZ8291" s="256"/>
      <c r="DG8291" s="256"/>
    </row>
    <row r="8292" spans="104:111">
      <c r="CZ8292" s="256"/>
      <c r="DG8292" s="256"/>
    </row>
    <row r="8293" spans="104:111">
      <c r="CZ8293" s="256"/>
      <c r="DG8293" s="256"/>
    </row>
    <row r="8294" spans="104:111">
      <c r="CZ8294" s="256"/>
      <c r="DG8294" s="256"/>
    </row>
    <row r="8295" spans="104:111">
      <c r="CZ8295" s="256"/>
      <c r="DG8295" s="256"/>
    </row>
    <row r="8296" spans="104:111">
      <c r="CZ8296" s="256"/>
      <c r="DG8296" s="256"/>
    </row>
    <row r="8297" spans="104:111">
      <c r="CZ8297" s="256"/>
      <c r="DG8297" s="256"/>
    </row>
    <row r="8298" spans="104:111">
      <c r="CZ8298" s="256"/>
      <c r="DG8298" s="256"/>
    </row>
    <row r="8299" spans="104:111">
      <c r="CZ8299" s="256"/>
      <c r="DG8299" s="256"/>
    </row>
    <row r="8300" spans="104:111">
      <c r="CZ8300" s="256"/>
      <c r="DG8300" s="256"/>
    </row>
    <row r="8301" spans="104:111">
      <c r="CZ8301" s="256"/>
      <c r="DG8301" s="256"/>
    </row>
    <row r="8302" spans="104:111">
      <c r="CZ8302" s="256"/>
      <c r="DG8302" s="256"/>
    </row>
    <row r="8303" spans="104:111">
      <c r="CZ8303" s="256"/>
      <c r="DG8303" s="256"/>
    </row>
    <row r="8304" spans="104:111">
      <c r="CZ8304" s="256"/>
      <c r="DG8304" s="256"/>
    </row>
    <row r="8305" spans="104:111">
      <c r="CZ8305" s="256"/>
      <c r="DG8305" s="256"/>
    </row>
    <row r="8306" spans="104:111">
      <c r="CZ8306" s="256"/>
      <c r="DG8306" s="256"/>
    </row>
    <row r="8307" spans="104:111">
      <c r="CZ8307" s="256"/>
      <c r="DG8307" s="256"/>
    </row>
    <row r="8308" spans="104:111">
      <c r="CZ8308" s="256"/>
      <c r="DG8308" s="256"/>
    </row>
    <row r="8309" spans="104:111">
      <c r="CZ8309" s="256"/>
      <c r="DG8309" s="256"/>
    </row>
    <row r="8310" spans="104:111">
      <c r="CZ8310" s="256"/>
      <c r="DG8310" s="256"/>
    </row>
    <row r="8311" spans="104:111">
      <c r="CZ8311" s="256"/>
      <c r="DG8311" s="256"/>
    </row>
    <row r="8312" spans="104:111">
      <c r="CZ8312" s="256"/>
      <c r="DG8312" s="256"/>
    </row>
    <row r="8313" spans="104:111">
      <c r="CZ8313" s="256"/>
      <c r="DG8313" s="256"/>
    </row>
    <row r="8314" spans="104:111">
      <c r="CZ8314" s="256"/>
      <c r="DG8314" s="256"/>
    </row>
    <row r="8315" spans="104:111">
      <c r="CZ8315" s="256"/>
      <c r="DG8315" s="256"/>
    </row>
    <row r="8316" spans="104:111">
      <c r="CZ8316" s="256"/>
      <c r="DG8316" s="256"/>
    </row>
    <row r="8317" spans="104:111">
      <c r="CZ8317" s="256"/>
      <c r="DG8317" s="256"/>
    </row>
    <row r="8318" spans="104:111">
      <c r="CZ8318" s="256"/>
      <c r="DG8318" s="256"/>
    </row>
    <row r="8319" spans="104:111">
      <c r="CZ8319" s="256"/>
      <c r="DG8319" s="256"/>
    </row>
    <row r="8320" spans="104:111">
      <c r="CZ8320" s="256"/>
      <c r="DG8320" s="256"/>
    </row>
    <row r="8321" spans="104:111">
      <c r="CZ8321" s="256"/>
      <c r="DG8321" s="256"/>
    </row>
    <row r="8322" spans="104:111">
      <c r="CZ8322" s="256"/>
      <c r="DG8322" s="256"/>
    </row>
    <row r="8323" spans="104:111">
      <c r="CZ8323" s="256"/>
      <c r="DG8323" s="256"/>
    </row>
    <row r="8324" spans="104:111">
      <c r="CZ8324" s="256"/>
      <c r="DG8324" s="256"/>
    </row>
    <row r="8325" spans="104:111">
      <c r="CZ8325" s="256"/>
      <c r="DG8325" s="256"/>
    </row>
    <row r="8326" spans="104:111">
      <c r="CZ8326" s="256"/>
      <c r="DG8326" s="256"/>
    </row>
    <row r="8327" spans="104:111">
      <c r="CZ8327" s="256"/>
      <c r="DG8327" s="256"/>
    </row>
    <row r="8328" spans="104:111">
      <c r="CZ8328" s="256"/>
      <c r="DG8328" s="256"/>
    </row>
    <row r="8329" spans="104:111">
      <c r="CZ8329" s="256"/>
      <c r="DG8329" s="256"/>
    </row>
    <row r="8330" spans="104:111">
      <c r="CZ8330" s="256"/>
      <c r="DG8330" s="256"/>
    </row>
    <row r="8331" spans="104:111">
      <c r="CZ8331" s="256"/>
      <c r="DG8331" s="256"/>
    </row>
    <row r="8332" spans="104:111">
      <c r="CZ8332" s="256"/>
      <c r="DG8332" s="256"/>
    </row>
    <row r="8333" spans="104:111">
      <c r="CZ8333" s="256"/>
      <c r="DG8333" s="256"/>
    </row>
    <row r="8334" spans="104:111">
      <c r="CZ8334" s="256"/>
      <c r="DG8334" s="256"/>
    </row>
    <row r="8335" spans="104:111">
      <c r="CZ8335" s="256"/>
      <c r="DG8335" s="256"/>
    </row>
    <row r="8336" spans="104:111">
      <c r="CZ8336" s="256"/>
      <c r="DG8336" s="256"/>
    </row>
    <row r="8337" spans="104:111">
      <c r="CZ8337" s="256"/>
      <c r="DG8337" s="256"/>
    </row>
    <row r="8338" spans="104:111">
      <c r="CZ8338" s="256"/>
      <c r="DG8338" s="256"/>
    </row>
    <row r="8339" spans="104:111">
      <c r="CZ8339" s="256"/>
      <c r="DG8339" s="256"/>
    </row>
    <row r="8340" spans="104:111">
      <c r="CZ8340" s="256"/>
      <c r="DG8340" s="256"/>
    </row>
    <row r="8341" spans="104:111">
      <c r="CZ8341" s="256"/>
      <c r="DG8341" s="256"/>
    </row>
    <row r="8342" spans="104:111">
      <c r="CZ8342" s="256"/>
      <c r="DG8342" s="256"/>
    </row>
    <row r="8343" spans="104:111">
      <c r="CZ8343" s="256"/>
      <c r="DG8343" s="256"/>
    </row>
    <row r="8344" spans="104:111">
      <c r="CZ8344" s="256"/>
      <c r="DG8344" s="256"/>
    </row>
    <row r="8345" spans="104:111">
      <c r="CZ8345" s="256"/>
      <c r="DG8345" s="256"/>
    </row>
    <row r="8346" spans="104:111">
      <c r="CZ8346" s="256"/>
      <c r="DG8346" s="256"/>
    </row>
    <row r="8347" spans="104:111">
      <c r="CZ8347" s="256"/>
      <c r="DG8347" s="256"/>
    </row>
    <row r="8348" spans="104:111">
      <c r="CZ8348" s="256"/>
      <c r="DG8348" s="256"/>
    </row>
    <row r="8349" spans="104:111">
      <c r="CZ8349" s="256"/>
      <c r="DG8349" s="256"/>
    </row>
    <row r="8350" spans="104:111">
      <c r="CZ8350" s="256"/>
      <c r="DG8350" s="256"/>
    </row>
    <row r="8351" spans="104:111">
      <c r="CZ8351" s="256"/>
      <c r="DG8351" s="256"/>
    </row>
    <row r="8352" spans="104:111">
      <c r="CZ8352" s="256"/>
      <c r="DG8352" s="256"/>
    </row>
    <row r="8353" spans="104:111">
      <c r="CZ8353" s="256"/>
      <c r="DG8353" s="256"/>
    </row>
    <row r="8354" spans="104:111">
      <c r="CZ8354" s="256"/>
      <c r="DG8354" s="256"/>
    </row>
    <row r="8355" spans="104:111">
      <c r="CZ8355" s="256"/>
      <c r="DG8355" s="256"/>
    </row>
    <row r="8356" spans="104:111">
      <c r="CZ8356" s="256"/>
      <c r="DG8356" s="256"/>
    </row>
    <row r="8357" spans="104:111">
      <c r="CZ8357" s="256"/>
      <c r="DG8357" s="256"/>
    </row>
    <row r="8358" spans="104:111">
      <c r="CZ8358" s="256"/>
      <c r="DG8358" s="256"/>
    </row>
    <row r="8359" spans="104:111">
      <c r="CZ8359" s="256"/>
      <c r="DG8359" s="256"/>
    </row>
    <row r="8360" spans="104:111">
      <c r="CZ8360" s="256"/>
      <c r="DG8360" s="256"/>
    </row>
    <row r="8361" spans="104:111">
      <c r="CZ8361" s="256"/>
      <c r="DG8361" s="256"/>
    </row>
    <row r="8362" spans="104:111">
      <c r="CZ8362" s="256"/>
      <c r="DG8362" s="256"/>
    </row>
    <row r="8363" spans="104:111">
      <c r="CZ8363" s="256"/>
      <c r="DG8363" s="256"/>
    </row>
    <row r="8364" spans="104:111">
      <c r="CZ8364" s="256"/>
      <c r="DG8364" s="256"/>
    </row>
    <row r="8365" spans="104:111">
      <c r="CZ8365" s="256"/>
      <c r="DG8365" s="256"/>
    </row>
    <row r="8366" spans="104:111">
      <c r="CZ8366" s="256"/>
      <c r="DG8366" s="256"/>
    </row>
    <row r="8367" spans="104:111">
      <c r="CZ8367" s="256"/>
      <c r="DG8367" s="256"/>
    </row>
    <row r="8368" spans="104:111">
      <c r="CZ8368" s="256"/>
      <c r="DG8368" s="256"/>
    </row>
    <row r="8369" spans="104:111">
      <c r="CZ8369" s="256"/>
      <c r="DG8369" s="256"/>
    </row>
    <row r="8370" spans="104:111">
      <c r="CZ8370" s="256"/>
      <c r="DG8370" s="256"/>
    </row>
    <row r="8371" spans="104:111">
      <c r="CZ8371" s="256"/>
      <c r="DG8371" s="256"/>
    </row>
    <row r="8372" spans="104:111">
      <c r="CZ8372" s="256"/>
      <c r="DG8372" s="256"/>
    </row>
    <row r="8373" spans="104:111">
      <c r="CZ8373" s="256"/>
      <c r="DG8373" s="256"/>
    </row>
    <row r="8374" spans="104:111">
      <c r="CZ8374" s="256"/>
      <c r="DG8374" s="256"/>
    </row>
    <row r="8375" spans="104:111">
      <c r="CZ8375" s="256"/>
      <c r="DG8375" s="256"/>
    </row>
    <row r="8376" spans="104:111">
      <c r="CZ8376" s="256"/>
      <c r="DG8376" s="256"/>
    </row>
    <row r="8377" spans="104:111">
      <c r="CZ8377" s="256"/>
      <c r="DG8377" s="256"/>
    </row>
    <row r="8378" spans="104:111">
      <c r="CZ8378" s="256"/>
      <c r="DG8378" s="256"/>
    </row>
    <row r="8379" spans="104:111">
      <c r="CZ8379" s="256"/>
      <c r="DG8379" s="256"/>
    </row>
    <row r="8380" spans="104:111">
      <c r="CZ8380" s="256"/>
      <c r="DG8380" s="256"/>
    </row>
    <row r="8381" spans="104:111">
      <c r="CZ8381" s="256"/>
      <c r="DG8381" s="256"/>
    </row>
    <row r="8382" spans="104:111">
      <c r="CZ8382" s="256"/>
      <c r="DG8382" s="256"/>
    </row>
    <row r="8383" spans="104:111">
      <c r="CZ8383" s="256"/>
      <c r="DG8383" s="256"/>
    </row>
    <row r="8384" spans="104:111">
      <c r="CZ8384" s="256"/>
      <c r="DG8384" s="256"/>
    </row>
    <row r="8385" spans="104:111">
      <c r="CZ8385" s="256"/>
      <c r="DG8385" s="256"/>
    </row>
    <row r="8386" spans="104:111">
      <c r="CZ8386" s="256"/>
      <c r="DG8386" s="256"/>
    </row>
    <row r="8387" spans="104:111">
      <c r="CZ8387" s="256"/>
      <c r="DG8387" s="256"/>
    </row>
    <row r="8388" spans="104:111">
      <c r="CZ8388" s="256"/>
      <c r="DG8388" s="256"/>
    </row>
    <row r="8389" spans="104:111">
      <c r="CZ8389" s="256"/>
      <c r="DG8389" s="256"/>
    </row>
    <row r="8390" spans="104:111">
      <c r="CZ8390" s="256"/>
      <c r="DG8390" s="256"/>
    </row>
    <row r="8391" spans="104:111">
      <c r="CZ8391" s="256"/>
      <c r="DG8391" s="256"/>
    </row>
    <row r="8392" spans="104:111">
      <c r="CZ8392" s="256"/>
      <c r="DG8392" s="256"/>
    </row>
    <row r="8393" spans="104:111">
      <c r="CZ8393" s="256"/>
      <c r="DG8393" s="256"/>
    </row>
    <row r="8394" spans="104:111">
      <c r="CZ8394" s="256"/>
      <c r="DG8394" s="256"/>
    </row>
    <row r="8395" spans="104:111">
      <c r="CZ8395" s="256"/>
      <c r="DG8395" s="256"/>
    </row>
    <row r="8396" spans="104:111">
      <c r="CZ8396" s="256"/>
      <c r="DG8396" s="256"/>
    </row>
    <row r="8397" spans="104:111">
      <c r="CZ8397" s="256"/>
      <c r="DG8397" s="256"/>
    </row>
    <row r="8398" spans="104:111">
      <c r="CZ8398" s="256"/>
      <c r="DG8398" s="256"/>
    </row>
    <row r="8399" spans="104:111">
      <c r="CZ8399" s="256"/>
      <c r="DG8399" s="256"/>
    </row>
    <row r="8400" spans="104:111">
      <c r="CZ8400" s="256"/>
      <c r="DG8400" s="256"/>
    </row>
    <row r="8401" spans="104:111">
      <c r="CZ8401" s="256"/>
      <c r="DG8401" s="256"/>
    </row>
    <row r="8402" spans="104:111">
      <c r="CZ8402" s="256"/>
      <c r="DG8402" s="256"/>
    </row>
    <row r="8403" spans="104:111">
      <c r="CZ8403" s="256"/>
      <c r="DG8403" s="256"/>
    </row>
    <row r="8404" spans="104:111">
      <c r="CZ8404" s="256"/>
      <c r="DG8404" s="256"/>
    </row>
    <row r="8405" spans="104:111">
      <c r="CZ8405" s="256"/>
      <c r="DG8405" s="256"/>
    </row>
    <row r="8406" spans="104:111">
      <c r="CZ8406" s="256"/>
      <c r="DG8406" s="256"/>
    </row>
    <row r="8407" spans="104:111">
      <c r="CZ8407" s="256"/>
      <c r="DG8407" s="256"/>
    </row>
    <row r="8408" spans="104:111">
      <c r="CZ8408" s="256"/>
      <c r="DG8408" s="256"/>
    </row>
    <row r="8409" spans="104:111">
      <c r="CZ8409" s="256"/>
      <c r="DG8409" s="256"/>
    </row>
    <row r="8410" spans="104:111">
      <c r="CZ8410" s="256"/>
      <c r="DG8410" s="256"/>
    </row>
    <row r="8411" spans="104:111">
      <c r="CZ8411" s="256"/>
      <c r="DG8411" s="256"/>
    </row>
    <row r="8412" spans="104:111">
      <c r="CZ8412" s="256"/>
      <c r="DG8412" s="256"/>
    </row>
    <row r="8413" spans="104:111">
      <c r="CZ8413" s="256"/>
      <c r="DG8413" s="256"/>
    </row>
    <row r="8414" spans="104:111">
      <c r="CZ8414" s="256"/>
      <c r="DG8414" s="256"/>
    </row>
    <row r="8415" spans="104:111">
      <c r="CZ8415" s="256"/>
      <c r="DG8415" s="256"/>
    </row>
    <row r="8416" spans="104:111">
      <c r="CZ8416" s="256"/>
      <c r="DG8416" s="256"/>
    </row>
    <row r="8417" spans="104:111">
      <c r="CZ8417" s="256"/>
      <c r="DG8417" s="256"/>
    </row>
    <row r="8418" spans="104:111">
      <c r="CZ8418" s="256"/>
      <c r="DG8418" s="256"/>
    </row>
    <row r="8419" spans="104:111">
      <c r="CZ8419" s="256"/>
      <c r="DG8419" s="256"/>
    </row>
    <row r="8420" spans="104:111">
      <c r="CZ8420" s="256"/>
      <c r="DG8420" s="256"/>
    </row>
    <row r="8421" spans="104:111">
      <c r="CZ8421" s="256"/>
      <c r="DG8421" s="256"/>
    </row>
    <row r="8422" spans="104:111">
      <c r="CZ8422" s="256"/>
      <c r="DG8422" s="256"/>
    </row>
    <row r="8423" spans="104:111">
      <c r="CZ8423" s="256"/>
      <c r="DG8423" s="256"/>
    </row>
    <row r="8424" spans="104:111">
      <c r="CZ8424" s="256"/>
      <c r="DG8424" s="256"/>
    </row>
    <row r="8425" spans="104:111">
      <c r="CZ8425" s="256"/>
      <c r="DG8425" s="256"/>
    </row>
    <row r="8426" spans="104:111">
      <c r="CZ8426" s="256"/>
      <c r="DG8426" s="256"/>
    </row>
    <row r="8427" spans="104:111">
      <c r="CZ8427" s="256"/>
      <c r="DG8427" s="256"/>
    </row>
    <row r="8428" spans="104:111">
      <c r="CZ8428" s="256"/>
      <c r="DG8428" s="256"/>
    </row>
    <row r="8429" spans="104:111">
      <c r="CZ8429" s="256"/>
      <c r="DG8429" s="256"/>
    </row>
    <row r="8430" spans="104:111">
      <c r="CZ8430" s="256"/>
      <c r="DG8430" s="256"/>
    </row>
    <row r="8431" spans="104:111">
      <c r="CZ8431" s="256"/>
      <c r="DG8431" s="256"/>
    </row>
    <row r="8432" spans="104:111">
      <c r="CZ8432" s="256"/>
      <c r="DG8432" s="256"/>
    </row>
    <row r="8433" spans="104:111">
      <c r="CZ8433" s="256"/>
      <c r="DG8433" s="256"/>
    </row>
    <row r="8434" spans="104:111">
      <c r="CZ8434" s="256"/>
      <c r="DG8434" s="256"/>
    </row>
    <row r="8435" spans="104:111">
      <c r="CZ8435" s="256"/>
      <c r="DG8435" s="256"/>
    </row>
    <row r="8436" spans="104:111">
      <c r="CZ8436" s="256"/>
      <c r="DG8436" s="256"/>
    </row>
    <row r="8437" spans="104:111">
      <c r="CZ8437" s="256"/>
      <c r="DG8437" s="256"/>
    </row>
    <row r="8438" spans="104:111">
      <c r="CZ8438" s="256"/>
      <c r="DG8438" s="256"/>
    </row>
    <row r="8439" spans="104:111">
      <c r="CZ8439" s="256"/>
      <c r="DG8439" s="256"/>
    </row>
    <row r="8440" spans="104:111">
      <c r="CZ8440" s="256"/>
      <c r="DG8440" s="256"/>
    </row>
    <row r="8441" spans="104:111">
      <c r="CZ8441" s="256"/>
      <c r="DG8441" s="256"/>
    </row>
    <row r="8442" spans="104:111">
      <c r="CZ8442" s="256"/>
      <c r="DG8442" s="256"/>
    </row>
    <row r="8443" spans="104:111">
      <c r="CZ8443" s="256"/>
      <c r="DG8443" s="256"/>
    </row>
    <row r="8444" spans="104:111">
      <c r="CZ8444" s="256"/>
      <c r="DG8444" s="256"/>
    </row>
    <row r="8445" spans="104:111">
      <c r="CZ8445" s="256"/>
      <c r="DG8445" s="256"/>
    </row>
    <row r="8446" spans="104:111">
      <c r="CZ8446" s="256"/>
      <c r="DG8446" s="256"/>
    </row>
    <row r="8447" spans="104:111">
      <c r="CZ8447" s="256"/>
      <c r="DG8447" s="256"/>
    </row>
    <row r="8448" spans="104:111">
      <c r="CZ8448" s="256"/>
      <c r="DG8448" s="256"/>
    </row>
    <row r="8449" spans="104:111">
      <c r="CZ8449" s="256"/>
      <c r="DG8449" s="256"/>
    </row>
    <row r="8450" spans="104:111">
      <c r="CZ8450" s="256"/>
      <c r="DG8450" s="256"/>
    </row>
    <row r="8451" spans="104:111">
      <c r="CZ8451" s="256"/>
      <c r="DG8451" s="256"/>
    </row>
    <row r="8452" spans="104:111">
      <c r="CZ8452" s="256"/>
      <c r="DG8452" s="256"/>
    </row>
    <row r="8453" spans="104:111">
      <c r="CZ8453" s="256"/>
      <c r="DG8453" s="256"/>
    </row>
    <row r="8454" spans="104:111">
      <c r="CZ8454" s="256"/>
      <c r="DG8454" s="256"/>
    </row>
    <row r="8455" spans="104:111">
      <c r="CZ8455" s="256"/>
      <c r="DG8455" s="256"/>
    </row>
    <row r="8456" spans="104:111">
      <c r="CZ8456" s="256"/>
      <c r="DG8456" s="256"/>
    </row>
    <row r="8457" spans="104:111">
      <c r="CZ8457" s="256"/>
      <c r="DG8457" s="256"/>
    </row>
    <row r="8458" spans="104:111">
      <c r="CZ8458" s="256"/>
      <c r="DG8458" s="256"/>
    </row>
    <row r="8459" spans="104:111">
      <c r="CZ8459" s="256"/>
      <c r="DG8459" s="256"/>
    </row>
    <row r="8460" spans="104:111">
      <c r="CZ8460" s="256"/>
      <c r="DG8460" s="256"/>
    </row>
    <row r="8461" spans="104:111">
      <c r="CZ8461" s="256"/>
      <c r="DG8461" s="256"/>
    </row>
    <row r="8462" spans="104:111">
      <c r="CZ8462" s="256"/>
      <c r="DG8462" s="256"/>
    </row>
    <row r="8463" spans="104:111">
      <c r="CZ8463" s="256"/>
      <c r="DG8463" s="256"/>
    </row>
    <row r="8464" spans="104:111">
      <c r="CZ8464" s="256"/>
      <c r="DG8464" s="256"/>
    </row>
    <row r="8465" spans="104:111">
      <c r="CZ8465" s="256"/>
      <c r="DG8465" s="256"/>
    </row>
    <row r="8466" spans="104:111">
      <c r="CZ8466" s="256"/>
      <c r="DG8466" s="256"/>
    </row>
    <row r="8467" spans="104:111">
      <c r="CZ8467" s="256"/>
      <c r="DG8467" s="256"/>
    </row>
    <row r="8468" spans="104:111">
      <c r="CZ8468" s="256"/>
      <c r="DG8468" s="256"/>
    </row>
    <row r="8469" spans="104:111">
      <c r="CZ8469" s="256"/>
      <c r="DG8469" s="256"/>
    </row>
    <row r="8470" spans="104:111">
      <c r="CZ8470" s="256"/>
      <c r="DG8470" s="256"/>
    </row>
    <row r="8471" spans="104:111">
      <c r="CZ8471" s="256"/>
      <c r="DG8471" s="256"/>
    </row>
    <row r="8472" spans="104:111">
      <c r="CZ8472" s="256"/>
      <c r="DG8472" s="256"/>
    </row>
    <row r="8473" spans="104:111">
      <c r="CZ8473" s="256"/>
      <c r="DG8473" s="256"/>
    </row>
    <row r="8474" spans="104:111">
      <c r="CZ8474" s="256"/>
      <c r="DG8474" s="256"/>
    </row>
    <row r="8475" spans="104:111">
      <c r="CZ8475" s="256"/>
      <c r="DG8475" s="256"/>
    </row>
    <row r="8476" spans="104:111">
      <c r="CZ8476" s="256"/>
      <c r="DG8476" s="256"/>
    </row>
    <row r="8477" spans="104:111">
      <c r="CZ8477" s="256"/>
      <c r="DG8477" s="256"/>
    </row>
    <row r="8478" spans="104:111">
      <c r="CZ8478" s="256"/>
      <c r="DG8478" s="256"/>
    </row>
    <row r="8479" spans="104:111">
      <c r="CZ8479" s="256"/>
      <c r="DG8479" s="256"/>
    </row>
    <row r="8480" spans="104:111">
      <c r="CZ8480" s="256"/>
      <c r="DG8480" s="256"/>
    </row>
    <row r="8481" spans="104:111">
      <c r="CZ8481" s="256"/>
      <c r="DG8481" s="256"/>
    </row>
    <row r="8482" spans="104:111">
      <c r="CZ8482" s="256"/>
      <c r="DG8482" s="256"/>
    </row>
    <row r="8483" spans="104:111">
      <c r="CZ8483" s="256"/>
      <c r="DG8483" s="256"/>
    </row>
    <row r="8484" spans="104:111">
      <c r="CZ8484" s="256"/>
      <c r="DG8484" s="256"/>
    </row>
    <row r="8485" spans="104:111">
      <c r="CZ8485" s="256"/>
      <c r="DG8485" s="256"/>
    </row>
    <row r="8486" spans="104:111">
      <c r="CZ8486" s="256"/>
      <c r="DG8486" s="256"/>
    </row>
    <row r="8487" spans="104:111">
      <c r="CZ8487" s="256"/>
      <c r="DG8487" s="256"/>
    </row>
    <row r="8488" spans="104:111">
      <c r="CZ8488" s="256"/>
      <c r="DG8488" s="256"/>
    </row>
    <row r="8489" spans="104:111">
      <c r="CZ8489" s="256"/>
      <c r="DG8489" s="256"/>
    </row>
    <row r="8490" spans="104:111">
      <c r="CZ8490" s="256"/>
      <c r="DG8490" s="256"/>
    </row>
    <row r="8491" spans="104:111">
      <c r="CZ8491" s="256"/>
      <c r="DG8491" s="256"/>
    </row>
    <row r="8492" spans="104:111">
      <c r="CZ8492" s="256"/>
      <c r="DG8492" s="256"/>
    </row>
    <row r="8493" spans="104:111">
      <c r="CZ8493" s="256"/>
      <c r="DG8493" s="256"/>
    </row>
    <row r="8494" spans="104:111">
      <c r="CZ8494" s="256"/>
      <c r="DG8494" s="256"/>
    </row>
    <row r="8495" spans="104:111">
      <c r="CZ8495" s="256"/>
      <c r="DG8495" s="256"/>
    </row>
    <row r="8496" spans="104:111">
      <c r="CZ8496" s="256"/>
      <c r="DG8496" s="256"/>
    </row>
    <row r="8497" spans="104:111">
      <c r="CZ8497" s="256"/>
      <c r="DG8497" s="256"/>
    </row>
    <row r="8498" spans="104:111">
      <c r="CZ8498" s="256"/>
      <c r="DG8498" s="256"/>
    </row>
    <row r="8499" spans="104:111">
      <c r="CZ8499" s="256"/>
      <c r="DG8499" s="256"/>
    </row>
    <row r="8500" spans="104:111">
      <c r="CZ8500" s="256"/>
      <c r="DG8500" s="256"/>
    </row>
    <row r="8501" spans="104:111">
      <c r="CZ8501" s="256"/>
      <c r="DG8501" s="256"/>
    </row>
    <row r="8502" spans="104:111">
      <c r="CZ8502" s="256"/>
      <c r="DG8502" s="256"/>
    </row>
    <row r="8503" spans="104:111">
      <c r="CZ8503" s="256"/>
      <c r="DG8503" s="256"/>
    </row>
    <row r="8504" spans="104:111">
      <c r="CZ8504" s="256"/>
      <c r="DG8504" s="256"/>
    </row>
    <row r="8505" spans="104:111">
      <c r="CZ8505" s="256"/>
      <c r="DG8505" s="256"/>
    </row>
    <row r="8506" spans="104:111">
      <c r="CZ8506" s="256"/>
      <c r="DG8506" s="256"/>
    </row>
    <row r="8507" spans="104:111">
      <c r="CZ8507" s="256"/>
      <c r="DG8507" s="256"/>
    </row>
    <row r="8508" spans="104:111">
      <c r="CZ8508" s="256"/>
      <c r="DG8508" s="256"/>
    </row>
    <row r="8509" spans="104:111">
      <c r="CZ8509" s="256"/>
      <c r="DG8509" s="256"/>
    </row>
    <row r="8510" spans="104:111">
      <c r="CZ8510" s="256"/>
      <c r="DG8510" s="256"/>
    </row>
    <row r="8511" spans="104:111">
      <c r="CZ8511" s="256"/>
      <c r="DG8511" s="256"/>
    </row>
    <row r="8512" spans="104:111">
      <c r="CZ8512" s="256"/>
      <c r="DG8512" s="256"/>
    </row>
    <row r="8513" spans="104:111">
      <c r="CZ8513" s="256"/>
      <c r="DG8513" s="256"/>
    </row>
    <row r="8514" spans="104:111">
      <c r="CZ8514" s="256"/>
      <c r="DG8514" s="256"/>
    </row>
    <row r="8515" spans="104:111">
      <c r="CZ8515" s="256"/>
      <c r="DG8515" s="256"/>
    </row>
    <row r="8516" spans="104:111">
      <c r="CZ8516" s="256"/>
      <c r="DG8516" s="256"/>
    </row>
    <row r="8517" spans="104:111">
      <c r="CZ8517" s="256"/>
      <c r="DG8517" s="256"/>
    </row>
    <row r="8518" spans="104:111">
      <c r="CZ8518" s="256"/>
      <c r="DG8518" s="256"/>
    </row>
    <row r="8519" spans="104:111">
      <c r="CZ8519" s="256"/>
      <c r="DG8519" s="256"/>
    </row>
    <row r="8520" spans="104:111">
      <c r="CZ8520" s="256"/>
      <c r="DG8520" s="256"/>
    </row>
    <row r="8521" spans="104:111">
      <c r="CZ8521" s="256"/>
      <c r="DG8521" s="256"/>
    </row>
    <row r="8522" spans="104:111">
      <c r="CZ8522" s="256"/>
      <c r="DG8522" s="256"/>
    </row>
    <row r="8523" spans="104:111">
      <c r="CZ8523" s="256"/>
      <c r="DG8523" s="256"/>
    </row>
    <row r="8524" spans="104:111">
      <c r="CZ8524" s="256"/>
      <c r="DG8524" s="256"/>
    </row>
    <row r="8525" spans="104:111">
      <c r="CZ8525" s="256"/>
      <c r="DG8525" s="256"/>
    </row>
    <row r="8526" spans="104:111">
      <c r="CZ8526" s="256"/>
      <c r="DG8526" s="256"/>
    </row>
    <row r="8527" spans="104:111">
      <c r="CZ8527" s="256"/>
      <c r="DG8527" s="256"/>
    </row>
    <row r="8528" spans="104:111">
      <c r="CZ8528" s="256"/>
      <c r="DG8528" s="256"/>
    </row>
    <row r="8529" spans="104:111">
      <c r="CZ8529" s="256"/>
      <c r="DG8529" s="256"/>
    </row>
    <row r="8530" spans="104:111">
      <c r="CZ8530" s="256"/>
      <c r="DG8530" s="256"/>
    </row>
    <row r="8531" spans="104:111">
      <c r="CZ8531" s="256"/>
      <c r="DG8531" s="256"/>
    </row>
    <row r="8532" spans="104:111">
      <c r="CZ8532" s="256"/>
      <c r="DG8532" s="256"/>
    </row>
    <row r="8533" spans="104:111">
      <c r="CZ8533" s="256"/>
      <c r="DG8533" s="256"/>
    </row>
    <row r="8534" spans="104:111">
      <c r="CZ8534" s="256"/>
      <c r="DG8534" s="256"/>
    </row>
    <row r="8535" spans="104:111">
      <c r="CZ8535" s="256"/>
      <c r="DG8535" s="256"/>
    </row>
    <row r="8536" spans="104:111">
      <c r="CZ8536" s="256"/>
      <c r="DG8536" s="256"/>
    </row>
    <row r="8537" spans="104:111">
      <c r="CZ8537" s="256"/>
      <c r="DG8537" s="256"/>
    </row>
    <row r="8538" spans="104:111">
      <c r="CZ8538" s="256"/>
      <c r="DG8538" s="256"/>
    </row>
    <row r="8539" spans="104:111">
      <c r="CZ8539" s="256"/>
      <c r="DG8539" s="256"/>
    </row>
    <row r="8540" spans="104:111">
      <c r="CZ8540" s="256"/>
      <c r="DG8540" s="256"/>
    </row>
    <row r="8541" spans="104:111">
      <c r="CZ8541" s="256"/>
      <c r="DG8541" s="256"/>
    </row>
    <row r="8542" spans="104:111">
      <c r="CZ8542" s="256"/>
      <c r="DG8542" s="256"/>
    </row>
    <row r="8543" spans="104:111">
      <c r="CZ8543" s="256"/>
      <c r="DG8543" s="256"/>
    </row>
    <row r="8544" spans="104:111">
      <c r="CZ8544" s="256"/>
      <c r="DG8544" s="256"/>
    </row>
    <row r="8545" spans="104:111">
      <c r="CZ8545" s="256"/>
      <c r="DG8545" s="256"/>
    </row>
    <row r="8546" spans="104:111">
      <c r="CZ8546" s="256"/>
      <c r="DG8546" s="256"/>
    </row>
    <row r="8547" spans="104:111">
      <c r="CZ8547" s="256"/>
      <c r="DG8547" s="256"/>
    </row>
    <row r="8548" spans="104:111">
      <c r="CZ8548" s="256"/>
      <c r="DG8548" s="256"/>
    </row>
    <row r="8549" spans="104:111">
      <c r="CZ8549" s="256"/>
      <c r="DG8549" s="256"/>
    </row>
    <row r="8550" spans="104:111">
      <c r="CZ8550" s="256"/>
      <c r="DG8550" s="256"/>
    </row>
    <row r="8551" spans="104:111">
      <c r="CZ8551" s="256"/>
      <c r="DG8551" s="256"/>
    </row>
    <row r="8552" spans="104:111">
      <c r="CZ8552" s="256"/>
      <c r="DG8552" s="256"/>
    </row>
    <row r="8553" spans="104:111">
      <c r="CZ8553" s="256"/>
      <c r="DG8553" s="256"/>
    </row>
    <row r="8554" spans="104:111">
      <c r="CZ8554" s="256"/>
      <c r="DG8554" s="256"/>
    </row>
    <row r="8555" spans="104:111">
      <c r="CZ8555" s="256"/>
      <c r="DG8555" s="256"/>
    </row>
    <row r="8556" spans="104:111">
      <c r="CZ8556" s="256"/>
      <c r="DG8556" s="256"/>
    </row>
    <row r="8557" spans="104:111">
      <c r="CZ8557" s="256"/>
      <c r="DG8557" s="256"/>
    </row>
    <row r="8558" spans="104:111">
      <c r="CZ8558" s="256"/>
      <c r="DG8558" s="256"/>
    </row>
    <row r="8559" spans="104:111">
      <c r="CZ8559" s="256"/>
      <c r="DG8559" s="256"/>
    </row>
    <row r="8560" spans="104:111">
      <c r="CZ8560" s="256"/>
      <c r="DG8560" s="256"/>
    </row>
    <row r="8561" spans="104:111">
      <c r="CZ8561" s="256"/>
      <c r="DG8561" s="256"/>
    </row>
    <row r="8562" spans="104:111">
      <c r="CZ8562" s="256"/>
      <c r="DG8562" s="256"/>
    </row>
    <row r="8563" spans="104:111">
      <c r="CZ8563" s="256"/>
      <c r="DG8563" s="256"/>
    </row>
    <row r="8564" spans="104:111">
      <c r="CZ8564" s="256"/>
      <c r="DG8564" s="256"/>
    </row>
    <row r="8565" spans="104:111">
      <c r="CZ8565" s="256"/>
      <c r="DG8565" s="256"/>
    </row>
    <row r="8566" spans="104:111">
      <c r="CZ8566" s="256"/>
      <c r="DG8566" s="256"/>
    </row>
    <row r="8567" spans="104:111">
      <c r="CZ8567" s="256"/>
      <c r="DG8567" s="256"/>
    </row>
    <row r="8568" spans="104:111">
      <c r="CZ8568" s="256"/>
      <c r="DG8568" s="256"/>
    </row>
    <row r="8569" spans="104:111">
      <c r="CZ8569" s="256"/>
      <c r="DG8569" s="256"/>
    </row>
    <row r="8570" spans="104:111">
      <c r="CZ8570" s="256"/>
      <c r="DG8570" s="256"/>
    </row>
    <row r="8571" spans="104:111">
      <c r="CZ8571" s="256"/>
      <c r="DG8571" s="256"/>
    </row>
    <row r="8572" spans="104:111">
      <c r="CZ8572" s="256"/>
      <c r="DG8572" s="256"/>
    </row>
    <row r="8573" spans="104:111">
      <c r="CZ8573" s="256"/>
      <c r="DG8573" s="256"/>
    </row>
    <row r="8574" spans="104:111">
      <c r="CZ8574" s="256"/>
      <c r="DG8574" s="256"/>
    </row>
    <row r="8575" spans="104:111">
      <c r="CZ8575" s="256"/>
      <c r="DG8575" s="256"/>
    </row>
    <row r="8576" spans="104:111">
      <c r="CZ8576" s="256"/>
      <c r="DG8576" s="256"/>
    </row>
    <row r="8577" spans="104:111">
      <c r="CZ8577" s="256"/>
      <c r="DG8577" s="256"/>
    </row>
    <row r="8578" spans="104:111">
      <c r="CZ8578" s="256"/>
      <c r="DG8578" s="256"/>
    </row>
    <row r="8579" spans="104:111">
      <c r="CZ8579" s="256"/>
      <c r="DG8579" s="256"/>
    </row>
    <row r="8580" spans="104:111">
      <c r="CZ8580" s="256"/>
      <c r="DG8580" s="256"/>
    </row>
    <row r="8581" spans="104:111">
      <c r="CZ8581" s="256"/>
      <c r="DG8581" s="256"/>
    </row>
    <row r="8582" spans="104:111">
      <c r="CZ8582" s="256"/>
      <c r="DG8582" s="256"/>
    </row>
    <row r="8583" spans="104:111">
      <c r="CZ8583" s="256"/>
      <c r="DG8583" s="256"/>
    </row>
    <row r="8584" spans="104:111">
      <c r="CZ8584" s="256"/>
      <c r="DG8584" s="256"/>
    </row>
    <row r="8585" spans="104:111">
      <c r="CZ8585" s="256"/>
      <c r="DG8585" s="256"/>
    </row>
    <row r="8586" spans="104:111">
      <c r="CZ8586" s="256"/>
      <c r="DG8586" s="256"/>
    </row>
    <row r="8587" spans="104:111">
      <c r="CZ8587" s="256"/>
      <c r="DG8587" s="256"/>
    </row>
    <row r="8588" spans="104:111">
      <c r="CZ8588" s="256"/>
      <c r="DG8588" s="256"/>
    </row>
    <row r="8589" spans="104:111">
      <c r="CZ8589" s="256"/>
      <c r="DG8589" s="256"/>
    </row>
    <row r="8590" spans="104:111">
      <c r="CZ8590" s="256"/>
      <c r="DG8590" s="256"/>
    </row>
    <row r="8591" spans="104:111">
      <c r="CZ8591" s="256"/>
      <c r="DG8591" s="256"/>
    </row>
    <row r="8592" spans="104:111">
      <c r="CZ8592" s="256"/>
      <c r="DG8592" s="256"/>
    </row>
    <row r="8593" spans="104:111">
      <c r="CZ8593" s="256"/>
      <c r="DG8593" s="256"/>
    </row>
    <row r="8594" spans="104:111">
      <c r="CZ8594" s="256"/>
      <c r="DG8594" s="256"/>
    </row>
    <row r="8595" spans="104:111">
      <c r="CZ8595" s="256"/>
      <c r="DG8595" s="256"/>
    </row>
    <row r="8596" spans="104:111">
      <c r="CZ8596" s="256"/>
      <c r="DG8596" s="256"/>
    </row>
    <row r="8597" spans="104:111">
      <c r="CZ8597" s="256"/>
      <c r="DG8597" s="256"/>
    </row>
    <row r="8598" spans="104:111">
      <c r="CZ8598" s="256"/>
      <c r="DG8598" s="256"/>
    </row>
    <row r="8599" spans="104:111">
      <c r="CZ8599" s="256"/>
      <c r="DG8599" s="256"/>
    </row>
    <row r="8600" spans="104:111">
      <c r="CZ8600" s="256"/>
      <c r="DG8600" s="256"/>
    </row>
    <row r="8601" spans="104:111">
      <c r="CZ8601" s="256"/>
      <c r="DG8601" s="256"/>
    </row>
    <row r="8602" spans="104:111">
      <c r="CZ8602" s="256"/>
      <c r="DG8602" s="256"/>
    </row>
    <row r="8603" spans="104:111">
      <c r="CZ8603" s="256"/>
      <c r="DG8603" s="256"/>
    </row>
    <row r="8604" spans="104:111">
      <c r="CZ8604" s="256"/>
      <c r="DG8604" s="256"/>
    </row>
    <row r="8605" spans="104:111">
      <c r="CZ8605" s="256"/>
      <c r="DG8605" s="256"/>
    </row>
    <row r="8606" spans="104:111">
      <c r="CZ8606" s="256"/>
      <c r="DG8606" s="256"/>
    </row>
    <row r="8607" spans="104:111">
      <c r="CZ8607" s="256"/>
      <c r="DG8607" s="256"/>
    </row>
    <row r="8608" spans="104:111">
      <c r="CZ8608" s="256"/>
      <c r="DG8608" s="256"/>
    </row>
    <row r="8609" spans="104:111">
      <c r="CZ8609" s="256"/>
      <c r="DG8609" s="256"/>
    </row>
    <row r="8610" spans="104:111">
      <c r="CZ8610" s="256"/>
      <c r="DG8610" s="256"/>
    </row>
    <row r="8611" spans="104:111">
      <c r="CZ8611" s="256"/>
      <c r="DG8611" s="256"/>
    </row>
    <row r="8612" spans="104:111">
      <c r="CZ8612" s="256"/>
      <c r="DG8612" s="256"/>
    </row>
    <row r="8613" spans="104:111">
      <c r="CZ8613" s="256"/>
      <c r="DG8613" s="256"/>
    </row>
    <row r="8614" spans="104:111">
      <c r="CZ8614" s="256"/>
      <c r="DG8614" s="256"/>
    </row>
    <row r="8615" spans="104:111">
      <c r="CZ8615" s="256"/>
      <c r="DG8615" s="256"/>
    </row>
    <row r="8616" spans="104:111">
      <c r="CZ8616" s="256"/>
      <c r="DG8616" s="256"/>
    </row>
    <row r="8617" spans="104:111">
      <c r="CZ8617" s="256"/>
      <c r="DG8617" s="256"/>
    </row>
    <row r="8618" spans="104:111">
      <c r="CZ8618" s="256"/>
      <c r="DG8618" s="256"/>
    </row>
    <row r="8619" spans="104:111">
      <c r="CZ8619" s="256"/>
      <c r="DG8619" s="256"/>
    </row>
    <row r="8620" spans="104:111">
      <c r="CZ8620" s="256"/>
      <c r="DG8620" s="256"/>
    </row>
    <row r="8621" spans="104:111">
      <c r="CZ8621" s="256"/>
      <c r="DG8621" s="256"/>
    </row>
    <row r="8622" spans="104:111">
      <c r="CZ8622" s="256"/>
      <c r="DG8622" s="256"/>
    </row>
    <row r="8623" spans="104:111">
      <c r="CZ8623" s="256"/>
      <c r="DG8623" s="256"/>
    </row>
    <row r="8624" spans="104:111">
      <c r="CZ8624" s="256"/>
      <c r="DG8624" s="256"/>
    </row>
    <row r="8625" spans="104:111">
      <c r="CZ8625" s="256"/>
      <c r="DG8625" s="256"/>
    </row>
    <row r="8626" spans="104:111">
      <c r="CZ8626" s="256"/>
      <c r="DG8626" s="256"/>
    </row>
    <row r="8627" spans="104:111">
      <c r="CZ8627" s="256"/>
      <c r="DG8627" s="256"/>
    </row>
    <row r="8628" spans="104:111">
      <c r="CZ8628" s="256"/>
      <c r="DG8628" s="256"/>
    </row>
    <row r="8629" spans="104:111">
      <c r="CZ8629" s="256"/>
      <c r="DG8629" s="256"/>
    </row>
    <row r="8630" spans="104:111">
      <c r="CZ8630" s="256"/>
      <c r="DG8630" s="256"/>
    </row>
    <row r="8631" spans="104:111">
      <c r="CZ8631" s="256"/>
      <c r="DG8631" s="256"/>
    </row>
    <row r="8632" spans="104:111">
      <c r="CZ8632" s="256"/>
      <c r="DG8632" s="256"/>
    </row>
    <row r="8633" spans="104:111">
      <c r="CZ8633" s="256"/>
      <c r="DG8633" s="256"/>
    </row>
    <row r="8634" spans="104:111">
      <c r="CZ8634" s="256"/>
      <c r="DG8634" s="256"/>
    </row>
    <row r="8635" spans="104:111">
      <c r="CZ8635" s="256"/>
      <c r="DG8635" s="256"/>
    </row>
    <row r="8636" spans="104:111">
      <c r="CZ8636" s="256"/>
      <c r="DG8636" s="256"/>
    </row>
    <row r="8637" spans="104:111">
      <c r="CZ8637" s="256"/>
      <c r="DG8637" s="256"/>
    </row>
    <row r="8638" spans="104:111">
      <c r="CZ8638" s="256"/>
      <c r="DG8638" s="256"/>
    </row>
    <row r="8639" spans="104:111">
      <c r="CZ8639" s="256"/>
      <c r="DG8639" s="256"/>
    </row>
    <row r="8640" spans="104:111">
      <c r="CZ8640" s="256"/>
      <c r="DG8640" s="256"/>
    </row>
    <row r="8641" spans="104:111">
      <c r="CZ8641" s="256"/>
      <c r="DG8641" s="256"/>
    </row>
    <row r="8642" spans="104:111">
      <c r="CZ8642" s="256"/>
      <c r="DG8642" s="256"/>
    </row>
    <row r="8643" spans="104:111">
      <c r="CZ8643" s="256"/>
      <c r="DG8643" s="256"/>
    </row>
    <row r="8644" spans="104:111">
      <c r="CZ8644" s="256"/>
      <c r="DG8644" s="256"/>
    </row>
    <row r="8645" spans="104:111">
      <c r="CZ8645" s="256"/>
      <c r="DG8645" s="256"/>
    </row>
    <row r="8646" spans="104:111">
      <c r="CZ8646" s="256"/>
      <c r="DG8646" s="256"/>
    </row>
    <row r="8647" spans="104:111">
      <c r="CZ8647" s="256"/>
      <c r="DG8647" s="256"/>
    </row>
    <row r="8648" spans="104:111">
      <c r="CZ8648" s="256"/>
      <c r="DG8648" s="256"/>
    </row>
    <row r="8649" spans="104:111">
      <c r="CZ8649" s="256"/>
      <c r="DG8649" s="256"/>
    </row>
    <row r="8650" spans="104:111">
      <c r="CZ8650" s="256"/>
      <c r="DG8650" s="256"/>
    </row>
    <row r="8651" spans="104:111">
      <c r="CZ8651" s="256"/>
      <c r="DG8651" s="256"/>
    </row>
    <row r="8652" spans="104:111">
      <c r="CZ8652" s="256"/>
      <c r="DG8652" s="256"/>
    </row>
    <row r="8653" spans="104:111">
      <c r="CZ8653" s="256"/>
      <c r="DG8653" s="256"/>
    </row>
    <row r="8654" spans="104:111">
      <c r="CZ8654" s="256"/>
      <c r="DG8654" s="256"/>
    </row>
    <row r="8655" spans="104:111">
      <c r="CZ8655" s="256"/>
      <c r="DG8655" s="256"/>
    </row>
    <row r="8656" spans="104:111">
      <c r="CZ8656" s="256"/>
      <c r="DG8656" s="256"/>
    </row>
    <row r="8657" spans="104:111">
      <c r="CZ8657" s="256"/>
      <c r="DG8657" s="256"/>
    </row>
    <row r="8658" spans="104:111">
      <c r="CZ8658" s="256"/>
      <c r="DG8658" s="256"/>
    </row>
    <row r="8659" spans="104:111">
      <c r="CZ8659" s="256"/>
      <c r="DG8659" s="256"/>
    </row>
    <row r="8660" spans="104:111">
      <c r="CZ8660" s="256"/>
      <c r="DG8660" s="256"/>
    </row>
    <row r="8661" spans="104:111">
      <c r="CZ8661" s="256"/>
      <c r="DG8661" s="256"/>
    </row>
    <row r="8662" spans="104:111">
      <c r="CZ8662" s="256"/>
      <c r="DG8662" s="256"/>
    </row>
    <row r="8663" spans="104:111">
      <c r="CZ8663" s="256"/>
      <c r="DG8663" s="256"/>
    </row>
    <row r="8664" spans="104:111">
      <c r="CZ8664" s="256"/>
      <c r="DG8664" s="256"/>
    </row>
    <row r="8665" spans="104:111">
      <c r="CZ8665" s="256"/>
      <c r="DG8665" s="256"/>
    </row>
    <row r="8666" spans="104:111">
      <c r="CZ8666" s="256"/>
      <c r="DG8666" s="256"/>
    </row>
    <row r="8667" spans="104:111">
      <c r="CZ8667" s="256"/>
      <c r="DG8667" s="256"/>
    </row>
    <row r="8668" spans="104:111">
      <c r="CZ8668" s="256"/>
      <c r="DG8668" s="256"/>
    </row>
    <row r="8669" spans="104:111">
      <c r="CZ8669" s="256"/>
      <c r="DG8669" s="256"/>
    </row>
    <row r="8670" spans="104:111">
      <c r="CZ8670" s="256"/>
      <c r="DG8670" s="256"/>
    </row>
    <row r="8671" spans="104:111">
      <c r="CZ8671" s="256"/>
      <c r="DG8671" s="256"/>
    </row>
    <row r="8672" spans="104:111">
      <c r="CZ8672" s="256"/>
      <c r="DG8672" s="256"/>
    </row>
    <row r="8673" spans="104:111">
      <c r="CZ8673" s="256"/>
      <c r="DG8673" s="256"/>
    </row>
    <row r="8674" spans="104:111">
      <c r="CZ8674" s="256"/>
      <c r="DG8674" s="256"/>
    </row>
    <row r="8675" spans="104:111">
      <c r="CZ8675" s="256"/>
      <c r="DG8675" s="256"/>
    </row>
    <row r="8676" spans="104:111">
      <c r="CZ8676" s="256"/>
      <c r="DG8676" s="256"/>
    </row>
    <row r="8677" spans="104:111">
      <c r="CZ8677" s="256"/>
      <c r="DG8677" s="256"/>
    </row>
    <row r="8678" spans="104:111">
      <c r="CZ8678" s="256"/>
      <c r="DG8678" s="256"/>
    </row>
    <row r="8679" spans="104:111">
      <c r="CZ8679" s="256"/>
      <c r="DG8679" s="256"/>
    </row>
    <row r="8680" spans="104:111">
      <c r="CZ8680" s="256"/>
      <c r="DG8680" s="256"/>
    </row>
    <row r="8681" spans="104:111">
      <c r="CZ8681" s="256"/>
      <c r="DG8681" s="256"/>
    </row>
    <row r="8682" spans="104:111">
      <c r="CZ8682" s="256"/>
      <c r="DG8682" s="256"/>
    </row>
    <row r="8683" spans="104:111">
      <c r="CZ8683" s="256"/>
      <c r="DG8683" s="256"/>
    </row>
    <row r="8684" spans="104:111">
      <c r="CZ8684" s="256"/>
      <c r="DG8684" s="256"/>
    </row>
    <row r="8685" spans="104:111">
      <c r="CZ8685" s="256"/>
      <c r="DG8685" s="256"/>
    </row>
    <row r="8686" spans="104:111">
      <c r="CZ8686" s="256"/>
      <c r="DG8686" s="256"/>
    </row>
    <row r="8687" spans="104:111">
      <c r="CZ8687" s="256"/>
      <c r="DG8687" s="256"/>
    </row>
    <row r="8688" spans="104:111">
      <c r="CZ8688" s="256"/>
      <c r="DG8688" s="256"/>
    </row>
    <row r="8689" spans="104:111">
      <c r="CZ8689" s="256"/>
      <c r="DG8689" s="256"/>
    </row>
    <row r="8690" spans="104:111">
      <c r="CZ8690" s="256"/>
      <c r="DG8690" s="256"/>
    </row>
    <row r="8691" spans="104:111">
      <c r="CZ8691" s="256"/>
      <c r="DG8691" s="256"/>
    </row>
    <row r="8692" spans="104:111">
      <c r="CZ8692" s="256"/>
      <c r="DG8692" s="256"/>
    </row>
    <row r="8693" spans="104:111">
      <c r="CZ8693" s="256"/>
      <c r="DG8693" s="256"/>
    </row>
    <row r="8694" spans="104:111">
      <c r="CZ8694" s="256"/>
      <c r="DG8694" s="256"/>
    </row>
    <row r="8695" spans="104:111">
      <c r="CZ8695" s="256"/>
      <c r="DG8695" s="256"/>
    </row>
    <row r="8696" spans="104:111">
      <c r="CZ8696" s="256"/>
      <c r="DG8696" s="256"/>
    </row>
    <row r="8697" spans="104:111">
      <c r="CZ8697" s="256"/>
      <c r="DG8697" s="256"/>
    </row>
    <row r="8698" spans="104:111">
      <c r="CZ8698" s="256"/>
      <c r="DG8698" s="256"/>
    </row>
    <row r="8699" spans="104:111">
      <c r="CZ8699" s="256"/>
      <c r="DG8699" s="256"/>
    </row>
    <row r="8700" spans="104:111">
      <c r="CZ8700" s="256"/>
      <c r="DG8700" s="256"/>
    </row>
    <row r="8701" spans="104:111">
      <c r="CZ8701" s="256"/>
      <c r="DG8701" s="256"/>
    </row>
    <row r="8702" spans="104:111">
      <c r="CZ8702" s="256"/>
      <c r="DG8702" s="256"/>
    </row>
    <row r="8703" spans="104:111">
      <c r="CZ8703" s="256"/>
      <c r="DG8703" s="256"/>
    </row>
    <row r="8704" spans="104:111">
      <c r="CZ8704" s="256"/>
      <c r="DG8704" s="256"/>
    </row>
    <row r="8705" spans="104:111">
      <c r="CZ8705" s="256"/>
      <c r="DG8705" s="256"/>
    </row>
    <row r="8706" spans="104:111">
      <c r="CZ8706" s="256"/>
      <c r="DG8706" s="256"/>
    </row>
    <row r="8707" spans="104:111">
      <c r="CZ8707" s="256"/>
      <c r="DG8707" s="256"/>
    </row>
    <row r="8708" spans="104:111">
      <c r="CZ8708" s="256"/>
      <c r="DG8708" s="256"/>
    </row>
    <row r="8709" spans="104:111">
      <c r="CZ8709" s="256"/>
      <c r="DG8709" s="256"/>
    </row>
    <row r="8710" spans="104:111">
      <c r="CZ8710" s="256"/>
      <c r="DG8710" s="256"/>
    </row>
    <row r="8711" spans="104:111">
      <c r="CZ8711" s="256"/>
      <c r="DG8711" s="256"/>
    </row>
    <row r="8712" spans="104:111">
      <c r="CZ8712" s="256"/>
      <c r="DG8712" s="256"/>
    </row>
    <row r="8713" spans="104:111">
      <c r="CZ8713" s="256"/>
      <c r="DG8713" s="256"/>
    </row>
    <row r="8714" spans="104:111">
      <c r="CZ8714" s="256"/>
      <c r="DG8714" s="256"/>
    </row>
    <row r="8715" spans="104:111">
      <c r="CZ8715" s="256"/>
      <c r="DG8715" s="256"/>
    </row>
    <row r="8716" spans="104:111">
      <c r="CZ8716" s="256"/>
      <c r="DG8716" s="256"/>
    </row>
    <row r="8717" spans="104:111">
      <c r="CZ8717" s="256"/>
      <c r="DG8717" s="256"/>
    </row>
    <row r="8718" spans="104:111">
      <c r="CZ8718" s="256"/>
      <c r="DG8718" s="256"/>
    </row>
    <row r="8719" spans="104:111">
      <c r="CZ8719" s="256"/>
      <c r="DG8719" s="256"/>
    </row>
    <row r="8720" spans="104:111">
      <c r="CZ8720" s="256"/>
      <c r="DG8720" s="256"/>
    </row>
    <row r="8721" spans="104:111">
      <c r="CZ8721" s="256"/>
      <c r="DG8721" s="256"/>
    </row>
    <row r="8722" spans="104:111">
      <c r="CZ8722" s="256"/>
      <c r="DG8722" s="256"/>
    </row>
    <row r="8723" spans="104:111">
      <c r="CZ8723" s="256"/>
      <c r="DG8723" s="256"/>
    </row>
    <row r="8724" spans="104:111">
      <c r="CZ8724" s="256"/>
      <c r="DG8724" s="256"/>
    </row>
    <row r="8725" spans="104:111">
      <c r="CZ8725" s="256"/>
      <c r="DG8725" s="256"/>
    </row>
    <row r="8726" spans="104:111">
      <c r="CZ8726" s="256"/>
      <c r="DG8726" s="256"/>
    </row>
    <row r="8727" spans="104:111">
      <c r="CZ8727" s="256"/>
      <c r="DG8727" s="256"/>
    </row>
    <row r="8728" spans="104:111">
      <c r="CZ8728" s="256"/>
      <c r="DG8728" s="256"/>
    </row>
    <row r="8729" spans="104:111">
      <c r="CZ8729" s="256"/>
      <c r="DG8729" s="256"/>
    </row>
    <row r="8730" spans="104:111">
      <c r="CZ8730" s="256"/>
      <c r="DG8730" s="256"/>
    </row>
    <row r="8731" spans="104:111">
      <c r="CZ8731" s="256"/>
      <c r="DG8731" s="256"/>
    </row>
    <row r="8732" spans="104:111">
      <c r="CZ8732" s="256"/>
      <c r="DG8732" s="256"/>
    </row>
    <row r="8733" spans="104:111">
      <c r="CZ8733" s="256"/>
      <c r="DG8733" s="256"/>
    </row>
    <row r="8734" spans="104:111">
      <c r="CZ8734" s="256"/>
      <c r="DG8734" s="256"/>
    </row>
    <row r="8735" spans="104:111">
      <c r="CZ8735" s="256"/>
      <c r="DG8735" s="256"/>
    </row>
    <row r="8736" spans="104:111">
      <c r="CZ8736" s="256"/>
      <c r="DG8736" s="256"/>
    </row>
    <row r="8737" spans="104:111">
      <c r="CZ8737" s="256"/>
      <c r="DG8737" s="256"/>
    </row>
    <row r="8738" spans="104:111">
      <c r="CZ8738" s="256"/>
      <c r="DG8738" s="256"/>
    </row>
    <row r="8739" spans="104:111">
      <c r="CZ8739" s="256"/>
      <c r="DG8739" s="256"/>
    </row>
    <row r="8740" spans="104:111">
      <c r="CZ8740" s="256"/>
      <c r="DG8740" s="256"/>
    </row>
    <row r="8741" spans="104:111">
      <c r="CZ8741" s="256"/>
      <c r="DG8741" s="256"/>
    </row>
    <row r="8742" spans="104:111">
      <c r="CZ8742" s="256"/>
      <c r="DG8742" s="256"/>
    </row>
    <row r="8743" spans="104:111">
      <c r="CZ8743" s="256"/>
      <c r="DG8743" s="256"/>
    </row>
    <row r="8744" spans="104:111">
      <c r="CZ8744" s="256"/>
      <c r="DG8744" s="256"/>
    </row>
    <row r="8745" spans="104:111">
      <c r="CZ8745" s="256"/>
      <c r="DG8745" s="256"/>
    </row>
    <row r="8746" spans="104:111">
      <c r="CZ8746" s="256"/>
      <c r="DG8746" s="256"/>
    </row>
    <row r="8747" spans="104:111">
      <c r="CZ8747" s="256"/>
      <c r="DG8747" s="256"/>
    </row>
    <row r="8748" spans="104:111">
      <c r="CZ8748" s="256"/>
      <c r="DG8748" s="256"/>
    </row>
    <row r="8749" spans="104:111">
      <c r="CZ8749" s="256"/>
      <c r="DG8749" s="256"/>
    </row>
    <row r="8750" spans="104:111">
      <c r="CZ8750" s="256"/>
      <c r="DG8750" s="256"/>
    </row>
    <row r="8751" spans="104:111">
      <c r="CZ8751" s="256"/>
      <c r="DG8751" s="256"/>
    </row>
    <row r="8752" spans="104:111">
      <c r="CZ8752" s="256"/>
      <c r="DG8752" s="256"/>
    </row>
    <row r="8753" spans="104:111">
      <c r="CZ8753" s="256"/>
      <c r="DG8753" s="256"/>
    </row>
    <row r="8754" spans="104:111">
      <c r="CZ8754" s="256"/>
      <c r="DG8754" s="256"/>
    </row>
    <row r="8755" spans="104:111">
      <c r="CZ8755" s="256"/>
      <c r="DG8755" s="256"/>
    </row>
    <row r="8756" spans="104:111">
      <c r="CZ8756" s="256"/>
      <c r="DG8756" s="256"/>
    </row>
    <row r="8757" spans="104:111">
      <c r="CZ8757" s="256"/>
      <c r="DG8757" s="256"/>
    </row>
    <row r="8758" spans="104:111">
      <c r="CZ8758" s="256"/>
      <c r="DG8758" s="256"/>
    </row>
    <row r="8759" spans="104:111">
      <c r="CZ8759" s="256"/>
      <c r="DG8759" s="256"/>
    </row>
    <row r="8760" spans="104:111">
      <c r="CZ8760" s="256"/>
      <c r="DG8760" s="256"/>
    </row>
    <row r="8761" spans="104:111">
      <c r="CZ8761" s="256"/>
      <c r="DG8761" s="256"/>
    </row>
    <row r="8762" spans="104:111">
      <c r="CZ8762" s="256"/>
      <c r="DG8762" s="256"/>
    </row>
    <row r="8763" spans="104:111">
      <c r="CZ8763" s="256"/>
      <c r="DG8763" s="256"/>
    </row>
    <row r="8764" spans="104:111">
      <c r="CZ8764" s="256"/>
      <c r="DG8764" s="256"/>
    </row>
    <row r="8765" spans="104:111">
      <c r="CZ8765" s="256"/>
      <c r="DG8765" s="256"/>
    </row>
    <row r="8766" spans="104:111">
      <c r="CZ8766" s="256"/>
      <c r="DG8766" s="256"/>
    </row>
    <row r="8767" spans="104:111">
      <c r="CZ8767" s="256"/>
      <c r="DG8767" s="256"/>
    </row>
    <row r="8768" spans="104:111">
      <c r="CZ8768" s="256"/>
      <c r="DG8768" s="256"/>
    </row>
    <row r="8769" spans="104:111">
      <c r="CZ8769" s="256"/>
      <c r="DG8769" s="256"/>
    </row>
    <row r="8770" spans="104:111">
      <c r="CZ8770" s="256"/>
      <c r="DG8770" s="256"/>
    </row>
    <row r="8771" spans="104:111">
      <c r="CZ8771" s="256"/>
      <c r="DG8771" s="256"/>
    </row>
    <row r="8772" spans="104:111">
      <c r="CZ8772" s="256"/>
      <c r="DG8772" s="256"/>
    </row>
    <row r="8773" spans="104:111">
      <c r="CZ8773" s="256"/>
      <c r="DG8773" s="256"/>
    </row>
    <row r="8774" spans="104:111">
      <c r="CZ8774" s="256"/>
      <c r="DG8774" s="256"/>
    </row>
    <row r="8775" spans="104:111">
      <c r="CZ8775" s="256"/>
      <c r="DG8775" s="256"/>
    </row>
    <row r="8776" spans="104:111">
      <c r="CZ8776" s="256"/>
      <c r="DG8776" s="256"/>
    </row>
    <row r="8777" spans="104:111">
      <c r="CZ8777" s="256"/>
      <c r="DG8777" s="256"/>
    </row>
    <row r="8778" spans="104:111">
      <c r="CZ8778" s="256"/>
      <c r="DG8778" s="256"/>
    </row>
    <row r="8779" spans="104:111">
      <c r="CZ8779" s="256"/>
      <c r="DG8779" s="256"/>
    </row>
    <row r="8780" spans="104:111">
      <c r="CZ8780" s="256"/>
      <c r="DG8780" s="256"/>
    </row>
    <row r="8781" spans="104:111">
      <c r="CZ8781" s="256"/>
      <c r="DG8781" s="256"/>
    </row>
    <row r="8782" spans="104:111">
      <c r="CZ8782" s="256"/>
      <c r="DG8782" s="256"/>
    </row>
    <row r="8783" spans="104:111">
      <c r="CZ8783" s="256"/>
      <c r="DG8783" s="256"/>
    </row>
    <row r="8784" spans="104:111">
      <c r="CZ8784" s="256"/>
      <c r="DG8784" s="256"/>
    </row>
    <row r="8785" spans="104:111">
      <c r="CZ8785" s="256"/>
      <c r="DG8785" s="256"/>
    </row>
    <row r="8786" spans="104:111">
      <c r="CZ8786" s="256"/>
      <c r="DG8786" s="256"/>
    </row>
    <row r="8787" spans="104:111">
      <c r="CZ8787" s="256"/>
      <c r="DG8787" s="256"/>
    </row>
    <row r="8788" spans="104:111">
      <c r="CZ8788" s="256"/>
      <c r="DG8788" s="256"/>
    </row>
    <row r="8789" spans="104:111">
      <c r="CZ8789" s="256"/>
      <c r="DG8789" s="256"/>
    </row>
    <row r="8790" spans="104:111">
      <c r="CZ8790" s="256"/>
      <c r="DG8790" s="256"/>
    </row>
    <row r="8791" spans="104:111">
      <c r="CZ8791" s="256"/>
      <c r="DG8791" s="256"/>
    </row>
    <row r="8792" spans="104:111">
      <c r="CZ8792" s="256"/>
      <c r="DG8792" s="256"/>
    </row>
    <row r="8793" spans="104:111">
      <c r="CZ8793" s="256"/>
      <c r="DG8793" s="256"/>
    </row>
    <row r="8794" spans="104:111">
      <c r="CZ8794" s="256"/>
      <c r="DG8794" s="256"/>
    </row>
    <row r="8795" spans="104:111">
      <c r="CZ8795" s="256"/>
      <c r="DG8795" s="256"/>
    </row>
    <row r="8796" spans="104:111">
      <c r="CZ8796" s="256"/>
      <c r="DG8796" s="256"/>
    </row>
    <row r="8797" spans="104:111">
      <c r="CZ8797" s="256"/>
      <c r="DG8797" s="256"/>
    </row>
    <row r="8798" spans="104:111">
      <c r="CZ8798" s="256"/>
      <c r="DG8798" s="256"/>
    </row>
    <row r="8799" spans="104:111">
      <c r="CZ8799" s="256"/>
      <c r="DG8799" s="256"/>
    </row>
    <row r="8800" spans="104:111">
      <c r="CZ8800" s="256"/>
      <c r="DG8800" s="256"/>
    </row>
    <row r="8801" spans="104:111">
      <c r="CZ8801" s="256"/>
      <c r="DG8801" s="256"/>
    </row>
    <row r="8802" spans="104:111">
      <c r="CZ8802" s="256"/>
      <c r="DG8802" s="256"/>
    </row>
    <row r="8803" spans="104:111">
      <c r="CZ8803" s="256"/>
      <c r="DG8803" s="256"/>
    </row>
    <row r="8804" spans="104:111">
      <c r="CZ8804" s="256"/>
      <c r="DG8804" s="256"/>
    </row>
    <row r="8805" spans="104:111">
      <c r="CZ8805" s="256"/>
      <c r="DG8805" s="256"/>
    </row>
    <row r="8806" spans="104:111">
      <c r="CZ8806" s="256"/>
      <c r="DG8806" s="256"/>
    </row>
    <row r="8807" spans="104:111">
      <c r="CZ8807" s="256"/>
      <c r="DG8807" s="256"/>
    </row>
    <row r="8808" spans="104:111">
      <c r="CZ8808" s="256"/>
      <c r="DG8808" s="256"/>
    </row>
    <row r="8809" spans="104:111">
      <c r="CZ8809" s="256"/>
      <c r="DG8809" s="256"/>
    </row>
    <row r="8810" spans="104:111">
      <c r="CZ8810" s="256"/>
      <c r="DG8810" s="256"/>
    </row>
    <row r="8811" spans="104:111">
      <c r="CZ8811" s="256"/>
      <c r="DG8811" s="256"/>
    </row>
    <row r="8812" spans="104:111">
      <c r="CZ8812" s="256"/>
      <c r="DG8812" s="256"/>
    </row>
    <row r="8813" spans="104:111">
      <c r="CZ8813" s="256"/>
      <c r="DG8813" s="256"/>
    </row>
    <row r="8814" spans="104:111">
      <c r="CZ8814" s="256"/>
      <c r="DG8814" s="256"/>
    </row>
    <row r="8815" spans="104:111">
      <c r="CZ8815" s="256"/>
      <c r="DG8815" s="256"/>
    </row>
    <row r="8816" spans="104:111">
      <c r="CZ8816" s="256"/>
      <c r="DG8816" s="256"/>
    </row>
    <row r="8817" spans="104:111">
      <c r="CZ8817" s="256"/>
      <c r="DG8817" s="256"/>
    </row>
    <row r="8818" spans="104:111">
      <c r="CZ8818" s="256"/>
      <c r="DG8818" s="256"/>
    </row>
    <row r="8819" spans="104:111">
      <c r="CZ8819" s="256"/>
      <c r="DG8819" s="256"/>
    </row>
    <row r="8820" spans="104:111">
      <c r="CZ8820" s="256"/>
      <c r="DG8820" s="256"/>
    </row>
    <row r="8821" spans="104:111">
      <c r="CZ8821" s="256"/>
      <c r="DG8821" s="256"/>
    </row>
    <row r="8822" spans="104:111">
      <c r="CZ8822" s="256"/>
      <c r="DG8822" s="256"/>
    </row>
    <row r="8823" spans="104:111">
      <c r="CZ8823" s="256"/>
      <c r="DG8823" s="256"/>
    </row>
    <row r="8824" spans="104:111">
      <c r="CZ8824" s="256"/>
      <c r="DG8824" s="256"/>
    </row>
    <row r="8825" spans="104:111">
      <c r="CZ8825" s="256"/>
      <c r="DG8825" s="256"/>
    </row>
    <row r="8826" spans="104:111">
      <c r="CZ8826" s="256"/>
      <c r="DG8826" s="256"/>
    </row>
    <row r="8827" spans="104:111">
      <c r="CZ8827" s="256"/>
      <c r="DG8827" s="256"/>
    </row>
    <row r="8828" spans="104:111">
      <c r="CZ8828" s="256"/>
      <c r="DG8828" s="256"/>
    </row>
    <row r="8829" spans="104:111">
      <c r="CZ8829" s="256"/>
      <c r="DG8829" s="256"/>
    </row>
    <row r="8830" spans="104:111">
      <c r="CZ8830" s="256"/>
      <c r="DG8830" s="256"/>
    </row>
    <row r="8831" spans="104:111">
      <c r="CZ8831" s="256"/>
      <c r="DG8831" s="256"/>
    </row>
    <row r="8832" spans="104:111">
      <c r="CZ8832" s="256"/>
      <c r="DG8832" s="256"/>
    </row>
    <row r="8833" spans="104:111">
      <c r="CZ8833" s="256"/>
      <c r="DG8833" s="256"/>
    </row>
    <row r="8834" spans="104:111">
      <c r="CZ8834" s="256"/>
      <c r="DG8834" s="256"/>
    </row>
    <row r="8835" spans="104:111">
      <c r="CZ8835" s="256"/>
      <c r="DG8835" s="256"/>
    </row>
    <row r="8836" spans="104:111">
      <c r="CZ8836" s="256"/>
      <c r="DG8836" s="256"/>
    </row>
    <row r="8837" spans="104:111">
      <c r="CZ8837" s="256"/>
      <c r="DG8837" s="256"/>
    </row>
    <row r="8838" spans="104:111">
      <c r="CZ8838" s="256"/>
      <c r="DG8838" s="256"/>
    </row>
    <row r="8839" spans="104:111">
      <c r="CZ8839" s="256"/>
      <c r="DG8839" s="256"/>
    </row>
    <row r="8840" spans="104:111">
      <c r="CZ8840" s="256"/>
      <c r="DG8840" s="256"/>
    </row>
    <row r="8841" spans="104:111">
      <c r="CZ8841" s="256"/>
      <c r="DG8841" s="256"/>
    </row>
    <row r="8842" spans="104:111">
      <c r="CZ8842" s="256"/>
      <c r="DG8842" s="256"/>
    </row>
    <row r="8843" spans="104:111">
      <c r="CZ8843" s="256"/>
      <c r="DG8843" s="256"/>
    </row>
    <row r="8844" spans="104:111">
      <c r="CZ8844" s="256"/>
      <c r="DG8844" s="256"/>
    </row>
    <row r="8845" spans="104:111">
      <c r="CZ8845" s="256"/>
      <c r="DG8845" s="256"/>
    </row>
    <row r="8846" spans="104:111">
      <c r="CZ8846" s="256"/>
      <c r="DG8846" s="256"/>
    </row>
    <row r="8847" spans="104:111">
      <c r="CZ8847" s="256"/>
      <c r="DG8847" s="256"/>
    </row>
    <row r="8848" spans="104:111">
      <c r="CZ8848" s="256"/>
      <c r="DG8848" s="256"/>
    </row>
    <row r="8849" spans="104:111">
      <c r="CZ8849" s="256"/>
      <c r="DG8849" s="256"/>
    </row>
    <row r="8850" spans="104:111">
      <c r="CZ8850" s="256"/>
      <c r="DG8850" s="256"/>
    </row>
    <row r="8851" spans="104:111">
      <c r="CZ8851" s="256"/>
      <c r="DG8851" s="256"/>
    </row>
    <row r="8852" spans="104:111">
      <c r="CZ8852" s="256"/>
      <c r="DG8852" s="256"/>
    </row>
    <row r="8853" spans="104:111">
      <c r="CZ8853" s="256"/>
      <c r="DG8853" s="256"/>
    </row>
    <row r="8854" spans="104:111">
      <c r="CZ8854" s="256"/>
      <c r="DG8854" s="256"/>
    </row>
    <row r="8855" spans="104:111">
      <c r="CZ8855" s="256"/>
      <c r="DG8855" s="256"/>
    </row>
    <row r="8856" spans="104:111">
      <c r="CZ8856" s="256"/>
      <c r="DG8856" s="256"/>
    </row>
    <row r="8857" spans="104:111">
      <c r="CZ8857" s="256"/>
      <c r="DG8857" s="256"/>
    </row>
    <row r="8858" spans="104:111">
      <c r="CZ8858" s="256"/>
      <c r="DG8858" s="256"/>
    </row>
    <row r="8859" spans="104:111">
      <c r="CZ8859" s="256"/>
      <c r="DG8859" s="256"/>
    </row>
    <row r="8860" spans="104:111">
      <c r="CZ8860" s="256"/>
      <c r="DG8860" s="256"/>
    </row>
    <row r="8861" spans="104:111">
      <c r="CZ8861" s="256"/>
      <c r="DG8861" s="256"/>
    </row>
    <row r="8862" spans="104:111">
      <c r="CZ8862" s="256"/>
      <c r="DG8862" s="256"/>
    </row>
    <row r="8863" spans="104:111">
      <c r="CZ8863" s="256"/>
      <c r="DG8863" s="256"/>
    </row>
    <row r="8864" spans="104:111">
      <c r="CZ8864" s="256"/>
      <c r="DG8864" s="256"/>
    </row>
    <row r="8865" spans="104:111">
      <c r="CZ8865" s="256"/>
      <c r="DG8865" s="256"/>
    </row>
    <row r="8866" spans="104:111">
      <c r="CZ8866" s="256"/>
      <c r="DG8866" s="256"/>
    </row>
    <row r="8867" spans="104:111">
      <c r="CZ8867" s="256"/>
      <c r="DG8867" s="256"/>
    </row>
    <row r="8868" spans="104:111">
      <c r="CZ8868" s="256"/>
      <c r="DG8868" s="256"/>
    </row>
    <row r="8869" spans="104:111">
      <c r="CZ8869" s="256"/>
      <c r="DG8869" s="256"/>
    </row>
    <row r="8870" spans="104:111">
      <c r="CZ8870" s="256"/>
      <c r="DG8870" s="256"/>
    </row>
    <row r="8871" spans="104:111">
      <c r="CZ8871" s="256"/>
      <c r="DG8871" s="256"/>
    </row>
    <row r="8872" spans="104:111">
      <c r="CZ8872" s="256"/>
      <c r="DG8872" s="256"/>
    </row>
    <row r="8873" spans="104:111">
      <c r="CZ8873" s="256"/>
      <c r="DG8873" s="256"/>
    </row>
    <row r="8874" spans="104:111">
      <c r="CZ8874" s="256"/>
      <c r="DG8874" s="256"/>
    </row>
    <row r="8875" spans="104:111">
      <c r="CZ8875" s="256"/>
      <c r="DG8875" s="256"/>
    </row>
    <row r="8876" spans="104:111">
      <c r="CZ8876" s="256"/>
      <c r="DG8876" s="256"/>
    </row>
    <row r="8877" spans="104:111">
      <c r="CZ8877" s="256"/>
      <c r="DG8877" s="256"/>
    </row>
    <row r="8878" spans="104:111">
      <c r="CZ8878" s="256"/>
      <c r="DG8878" s="256"/>
    </row>
    <row r="8879" spans="104:111">
      <c r="CZ8879" s="256"/>
      <c r="DG8879" s="256"/>
    </row>
    <row r="8880" spans="104:111">
      <c r="CZ8880" s="256"/>
      <c r="DG8880" s="256"/>
    </row>
    <row r="8881" spans="104:111">
      <c r="CZ8881" s="256"/>
      <c r="DG8881" s="256"/>
    </row>
    <row r="8882" spans="104:111">
      <c r="CZ8882" s="256"/>
      <c r="DG8882" s="256"/>
    </row>
    <row r="8883" spans="104:111">
      <c r="CZ8883" s="256"/>
      <c r="DG8883" s="256"/>
    </row>
    <row r="8884" spans="104:111">
      <c r="CZ8884" s="256"/>
      <c r="DG8884" s="256"/>
    </row>
    <row r="8885" spans="104:111">
      <c r="CZ8885" s="256"/>
      <c r="DG8885" s="256"/>
    </row>
    <row r="8886" spans="104:111">
      <c r="CZ8886" s="256"/>
      <c r="DG8886" s="256"/>
    </row>
    <row r="8887" spans="104:111">
      <c r="CZ8887" s="256"/>
      <c r="DG8887" s="256"/>
    </row>
    <row r="8888" spans="104:111">
      <c r="CZ8888" s="256"/>
      <c r="DG8888" s="256"/>
    </row>
    <row r="8889" spans="104:111">
      <c r="CZ8889" s="256"/>
      <c r="DG8889" s="256"/>
    </row>
    <row r="8890" spans="104:111">
      <c r="CZ8890" s="256"/>
      <c r="DG8890" s="256"/>
    </row>
    <row r="8891" spans="104:111">
      <c r="CZ8891" s="256"/>
      <c r="DG8891" s="256"/>
    </row>
    <row r="8892" spans="104:111">
      <c r="CZ8892" s="256"/>
      <c r="DG8892" s="256"/>
    </row>
    <row r="8893" spans="104:111">
      <c r="CZ8893" s="256"/>
      <c r="DG8893" s="256"/>
    </row>
    <row r="8894" spans="104:111">
      <c r="CZ8894" s="256"/>
      <c r="DG8894" s="256"/>
    </row>
    <row r="8895" spans="104:111">
      <c r="CZ8895" s="256"/>
      <c r="DG8895" s="256"/>
    </row>
    <row r="8896" spans="104:111">
      <c r="CZ8896" s="256"/>
      <c r="DG8896" s="256"/>
    </row>
    <row r="8897" spans="104:111">
      <c r="CZ8897" s="256"/>
      <c r="DG8897" s="256"/>
    </row>
    <row r="8898" spans="104:111">
      <c r="CZ8898" s="256"/>
      <c r="DG8898" s="256"/>
    </row>
    <row r="8899" spans="104:111">
      <c r="CZ8899" s="256"/>
      <c r="DG8899" s="256"/>
    </row>
    <row r="8900" spans="104:111">
      <c r="CZ8900" s="256"/>
      <c r="DG8900" s="256"/>
    </row>
    <row r="8901" spans="104:111">
      <c r="CZ8901" s="256"/>
      <c r="DG8901" s="256"/>
    </row>
    <row r="8902" spans="104:111">
      <c r="CZ8902" s="256"/>
      <c r="DG8902" s="256"/>
    </row>
    <row r="8903" spans="104:111">
      <c r="CZ8903" s="256"/>
      <c r="DG8903" s="256"/>
    </row>
    <row r="8904" spans="104:111">
      <c r="CZ8904" s="256"/>
      <c r="DG8904" s="256"/>
    </row>
    <row r="8905" spans="104:111">
      <c r="CZ8905" s="256"/>
      <c r="DG8905" s="256"/>
    </row>
    <row r="8906" spans="104:111">
      <c r="CZ8906" s="256"/>
      <c r="DG8906" s="256"/>
    </row>
    <row r="8907" spans="104:111">
      <c r="CZ8907" s="256"/>
      <c r="DG8907" s="256"/>
    </row>
    <row r="8908" spans="104:111">
      <c r="CZ8908" s="256"/>
      <c r="DG8908" s="256"/>
    </row>
    <row r="8909" spans="104:111">
      <c r="CZ8909" s="256"/>
      <c r="DG8909" s="256"/>
    </row>
    <row r="8910" spans="104:111">
      <c r="CZ8910" s="256"/>
      <c r="DG8910" s="256"/>
    </row>
    <row r="8911" spans="104:111">
      <c r="CZ8911" s="256"/>
      <c r="DG8911" s="256"/>
    </row>
    <row r="8912" spans="104:111">
      <c r="CZ8912" s="256"/>
      <c r="DG8912" s="256"/>
    </row>
    <row r="8913" spans="104:111">
      <c r="CZ8913" s="256"/>
      <c r="DG8913" s="256"/>
    </row>
    <row r="8914" spans="104:111">
      <c r="CZ8914" s="256"/>
      <c r="DG8914" s="256"/>
    </row>
    <row r="8915" spans="104:111">
      <c r="CZ8915" s="256"/>
      <c r="DG8915" s="256"/>
    </row>
    <row r="8916" spans="104:111">
      <c r="CZ8916" s="256"/>
      <c r="DG8916" s="256"/>
    </row>
    <row r="8917" spans="104:111">
      <c r="CZ8917" s="256"/>
      <c r="DG8917" s="256"/>
    </row>
    <row r="8918" spans="104:111">
      <c r="CZ8918" s="256"/>
      <c r="DG8918" s="256"/>
    </row>
    <row r="8919" spans="104:111">
      <c r="CZ8919" s="256"/>
      <c r="DG8919" s="256"/>
    </row>
    <row r="8920" spans="104:111">
      <c r="CZ8920" s="256"/>
      <c r="DG8920" s="256"/>
    </row>
    <row r="8921" spans="104:111">
      <c r="CZ8921" s="256"/>
      <c r="DG8921" s="256"/>
    </row>
    <row r="8922" spans="104:111">
      <c r="CZ8922" s="256"/>
      <c r="DG8922" s="256"/>
    </row>
    <row r="8923" spans="104:111">
      <c r="CZ8923" s="256"/>
      <c r="DG8923" s="256"/>
    </row>
    <row r="8924" spans="104:111">
      <c r="CZ8924" s="256"/>
      <c r="DG8924" s="256"/>
    </row>
    <row r="8925" spans="104:111">
      <c r="CZ8925" s="256"/>
      <c r="DG8925" s="256"/>
    </row>
    <row r="8926" spans="104:111">
      <c r="CZ8926" s="256"/>
      <c r="DG8926" s="256"/>
    </row>
    <row r="8927" spans="104:111">
      <c r="CZ8927" s="256"/>
      <c r="DG8927" s="256"/>
    </row>
    <row r="8928" spans="104:111">
      <c r="CZ8928" s="256"/>
      <c r="DG8928" s="256"/>
    </row>
    <row r="8929" spans="104:111">
      <c r="CZ8929" s="256"/>
      <c r="DG8929" s="256"/>
    </row>
    <row r="8930" spans="104:111">
      <c r="CZ8930" s="256"/>
      <c r="DG8930" s="256"/>
    </row>
    <row r="8931" spans="104:111">
      <c r="CZ8931" s="256"/>
      <c r="DG8931" s="256"/>
    </row>
    <row r="8932" spans="104:111">
      <c r="CZ8932" s="256"/>
      <c r="DG8932" s="256"/>
    </row>
    <row r="8933" spans="104:111">
      <c r="CZ8933" s="256"/>
      <c r="DG8933" s="256"/>
    </row>
    <row r="8934" spans="104:111">
      <c r="CZ8934" s="256"/>
      <c r="DG8934" s="256"/>
    </row>
    <row r="8935" spans="104:111">
      <c r="CZ8935" s="256"/>
      <c r="DG8935" s="256"/>
    </row>
    <row r="8936" spans="104:111">
      <c r="CZ8936" s="256"/>
      <c r="DG8936" s="256"/>
    </row>
    <row r="8937" spans="104:111">
      <c r="CZ8937" s="256"/>
      <c r="DG8937" s="256"/>
    </row>
    <row r="8938" spans="104:111">
      <c r="CZ8938" s="256"/>
      <c r="DG8938" s="256"/>
    </row>
    <row r="8939" spans="104:111">
      <c r="CZ8939" s="256"/>
      <c r="DG8939" s="256"/>
    </row>
    <row r="8940" spans="104:111">
      <c r="CZ8940" s="256"/>
      <c r="DG8940" s="256"/>
    </row>
    <row r="8941" spans="104:111">
      <c r="CZ8941" s="256"/>
      <c r="DG8941" s="256"/>
    </row>
    <row r="8942" spans="104:111">
      <c r="CZ8942" s="256"/>
      <c r="DG8942" s="256"/>
    </row>
    <row r="8943" spans="104:111">
      <c r="CZ8943" s="256"/>
      <c r="DG8943" s="256"/>
    </row>
    <row r="8944" spans="104:111">
      <c r="CZ8944" s="256"/>
      <c r="DG8944" s="256"/>
    </row>
    <row r="8945" spans="104:111">
      <c r="CZ8945" s="256"/>
      <c r="DG8945" s="256"/>
    </row>
    <row r="8946" spans="104:111">
      <c r="CZ8946" s="256"/>
      <c r="DG8946" s="256"/>
    </row>
    <row r="8947" spans="104:111">
      <c r="CZ8947" s="256"/>
      <c r="DG8947" s="256"/>
    </row>
    <row r="8948" spans="104:111">
      <c r="CZ8948" s="256"/>
      <c r="DG8948" s="256"/>
    </row>
    <row r="8949" spans="104:111">
      <c r="CZ8949" s="256"/>
      <c r="DG8949" s="256"/>
    </row>
    <row r="8950" spans="104:111">
      <c r="CZ8950" s="256"/>
      <c r="DG8950" s="256"/>
    </row>
    <row r="8951" spans="104:111">
      <c r="CZ8951" s="256"/>
      <c r="DG8951" s="256"/>
    </row>
    <row r="8952" spans="104:111">
      <c r="CZ8952" s="256"/>
      <c r="DG8952" s="256"/>
    </row>
    <row r="8953" spans="104:111">
      <c r="CZ8953" s="256"/>
      <c r="DG8953" s="256"/>
    </row>
    <row r="8954" spans="104:111">
      <c r="CZ8954" s="256"/>
      <c r="DG8954" s="256"/>
    </row>
    <row r="8955" spans="104:111">
      <c r="CZ8955" s="256"/>
      <c r="DG8955" s="256"/>
    </row>
    <row r="8956" spans="104:111">
      <c r="CZ8956" s="256"/>
      <c r="DG8956" s="256"/>
    </row>
    <row r="8957" spans="104:111">
      <c r="CZ8957" s="256"/>
      <c r="DG8957" s="256"/>
    </row>
    <row r="8958" spans="104:111">
      <c r="CZ8958" s="256"/>
      <c r="DG8958" s="256"/>
    </row>
    <row r="8959" spans="104:111">
      <c r="CZ8959" s="256"/>
      <c r="DG8959" s="256"/>
    </row>
    <row r="8960" spans="104:111">
      <c r="CZ8960" s="256"/>
      <c r="DG8960" s="256"/>
    </row>
    <row r="8961" spans="104:111">
      <c r="CZ8961" s="256"/>
      <c r="DG8961" s="256"/>
    </row>
    <row r="8962" spans="104:111">
      <c r="CZ8962" s="256"/>
      <c r="DG8962" s="256"/>
    </row>
    <row r="8963" spans="104:111">
      <c r="CZ8963" s="256"/>
      <c r="DG8963" s="256"/>
    </row>
    <row r="8964" spans="104:111">
      <c r="CZ8964" s="256"/>
      <c r="DG8964" s="256"/>
    </row>
    <row r="8965" spans="104:111">
      <c r="CZ8965" s="256"/>
      <c r="DG8965" s="256"/>
    </row>
    <row r="8966" spans="104:111">
      <c r="CZ8966" s="256"/>
      <c r="DG8966" s="256"/>
    </row>
    <row r="8967" spans="104:111">
      <c r="CZ8967" s="256"/>
      <c r="DG8967" s="256"/>
    </row>
    <row r="8968" spans="104:111">
      <c r="CZ8968" s="256"/>
      <c r="DG8968" s="256"/>
    </row>
    <row r="8969" spans="104:111">
      <c r="CZ8969" s="256"/>
      <c r="DG8969" s="256"/>
    </row>
    <row r="8970" spans="104:111">
      <c r="CZ8970" s="256"/>
      <c r="DG8970" s="256"/>
    </row>
    <row r="8971" spans="104:111">
      <c r="CZ8971" s="256"/>
      <c r="DG8971" s="256"/>
    </row>
    <row r="8972" spans="104:111">
      <c r="CZ8972" s="256"/>
      <c r="DG8972" s="256"/>
    </row>
    <row r="8973" spans="104:111">
      <c r="CZ8973" s="256"/>
      <c r="DG8973" s="256"/>
    </row>
    <row r="8974" spans="104:111">
      <c r="CZ8974" s="256"/>
      <c r="DG8974" s="256"/>
    </row>
    <row r="8975" spans="104:111">
      <c r="CZ8975" s="256"/>
      <c r="DG8975" s="256"/>
    </row>
    <row r="8976" spans="104:111">
      <c r="CZ8976" s="256"/>
      <c r="DG8976" s="256"/>
    </row>
    <row r="8977" spans="104:111">
      <c r="CZ8977" s="256"/>
      <c r="DG8977" s="256"/>
    </row>
    <row r="8978" spans="104:111">
      <c r="CZ8978" s="256"/>
      <c r="DG8978" s="256"/>
    </row>
    <row r="8979" spans="104:111">
      <c r="CZ8979" s="256"/>
      <c r="DG8979" s="256"/>
    </row>
    <row r="8980" spans="104:111">
      <c r="CZ8980" s="256"/>
      <c r="DG8980" s="256"/>
    </row>
    <row r="8981" spans="104:111">
      <c r="CZ8981" s="256"/>
      <c r="DG8981" s="256"/>
    </row>
    <row r="8982" spans="104:111">
      <c r="CZ8982" s="256"/>
      <c r="DG8982" s="256"/>
    </row>
    <row r="8983" spans="104:111">
      <c r="CZ8983" s="256"/>
      <c r="DG8983" s="256"/>
    </row>
    <row r="8984" spans="104:111">
      <c r="CZ8984" s="256"/>
      <c r="DG8984" s="256"/>
    </row>
    <row r="8985" spans="104:111">
      <c r="CZ8985" s="256"/>
      <c r="DG8985" s="256"/>
    </row>
    <row r="8986" spans="104:111">
      <c r="CZ8986" s="256"/>
      <c r="DG8986" s="256"/>
    </row>
    <row r="8987" spans="104:111">
      <c r="CZ8987" s="256"/>
      <c r="DG8987" s="256"/>
    </row>
    <row r="8988" spans="104:111">
      <c r="CZ8988" s="256"/>
      <c r="DG8988" s="256"/>
    </row>
    <row r="8989" spans="104:111">
      <c r="CZ8989" s="256"/>
      <c r="DG8989" s="256"/>
    </row>
    <row r="8990" spans="104:111">
      <c r="CZ8990" s="256"/>
      <c r="DG8990" s="256"/>
    </row>
    <row r="8991" spans="104:111">
      <c r="CZ8991" s="256"/>
      <c r="DG8991" s="256"/>
    </row>
    <row r="8992" spans="104:111">
      <c r="CZ8992" s="256"/>
      <c r="DG8992" s="256"/>
    </row>
    <row r="8993" spans="104:111">
      <c r="CZ8993" s="256"/>
      <c r="DG8993" s="256"/>
    </row>
    <row r="8994" spans="104:111">
      <c r="CZ8994" s="256"/>
      <c r="DG8994" s="256"/>
    </row>
    <row r="8995" spans="104:111">
      <c r="CZ8995" s="256"/>
      <c r="DG8995" s="256"/>
    </row>
    <row r="8996" spans="104:111">
      <c r="CZ8996" s="256"/>
      <c r="DG8996" s="256"/>
    </row>
    <row r="8997" spans="104:111">
      <c r="CZ8997" s="256"/>
      <c r="DG8997" s="256"/>
    </row>
    <row r="8998" spans="104:111">
      <c r="CZ8998" s="256"/>
      <c r="DG8998" s="256"/>
    </row>
    <row r="8999" spans="104:111">
      <c r="CZ8999" s="256"/>
      <c r="DG8999" s="256"/>
    </row>
    <row r="9000" spans="104:111">
      <c r="CZ9000" s="256"/>
      <c r="DG9000" s="256"/>
    </row>
    <row r="9001" spans="104:111">
      <c r="CZ9001" s="256"/>
      <c r="DG9001" s="256"/>
    </row>
    <row r="9002" spans="104:111">
      <c r="CZ9002" s="256"/>
      <c r="DG9002" s="256"/>
    </row>
    <row r="9003" spans="104:111">
      <c r="CZ9003" s="256"/>
      <c r="DG9003" s="256"/>
    </row>
    <row r="9004" spans="104:111">
      <c r="CZ9004" s="256"/>
      <c r="DG9004" s="256"/>
    </row>
    <row r="9005" spans="104:111">
      <c r="CZ9005" s="256"/>
      <c r="DG9005" s="256"/>
    </row>
    <row r="9006" spans="104:111">
      <c r="CZ9006" s="256"/>
      <c r="DG9006" s="256"/>
    </row>
    <row r="9007" spans="104:111">
      <c r="CZ9007" s="256"/>
      <c r="DG9007" s="256"/>
    </row>
    <row r="9008" spans="104:111">
      <c r="CZ9008" s="256"/>
      <c r="DG9008" s="256"/>
    </row>
    <row r="9009" spans="104:111">
      <c r="CZ9009" s="256"/>
      <c r="DG9009" s="256"/>
    </row>
    <row r="9010" spans="104:111">
      <c r="CZ9010" s="256"/>
      <c r="DG9010" s="256"/>
    </row>
    <row r="9011" spans="104:111">
      <c r="CZ9011" s="256"/>
      <c r="DG9011" s="256"/>
    </row>
    <row r="9012" spans="104:111">
      <c r="CZ9012" s="256"/>
      <c r="DG9012" s="256"/>
    </row>
    <row r="9013" spans="104:111">
      <c r="CZ9013" s="256"/>
      <c r="DG9013" s="256"/>
    </row>
    <row r="9014" spans="104:111">
      <c r="CZ9014" s="256"/>
      <c r="DG9014" s="256"/>
    </row>
    <row r="9015" spans="104:111">
      <c r="CZ9015" s="256"/>
      <c r="DG9015" s="256"/>
    </row>
    <row r="9016" spans="104:111">
      <c r="CZ9016" s="256"/>
      <c r="DG9016" s="256"/>
    </row>
    <row r="9017" spans="104:111">
      <c r="CZ9017" s="256"/>
      <c r="DG9017" s="256"/>
    </row>
    <row r="9018" spans="104:111">
      <c r="CZ9018" s="256"/>
      <c r="DG9018" s="256"/>
    </row>
    <row r="9019" spans="104:111">
      <c r="CZ9019" s="256"/>
      <c r="DG9019" s="256"/>
    </row>
    <row r="9020" spans="104:111">
      <c r="CZ9020" s="256"/>
      <c r="DG9020" s="256"/>
    </row>
    <row r="9021" spans="104:111">
      <c r="CZ9021" s="256"/>
      <c r="DG9021" s="256"/>
    </row>
    <row r="9022" spans="104:111">
      <c r="CZ9022" s="256"/>
      <c r="DG9022" s="256"/>
    </row>
    <row r="9023" spans="104:111">
      <c r="CZ9023" s="256"/>
      <c r="DG9023" s="256"/>
    </row>
    <row r="9024" spans="104:111">
      <c r="CZ9024" s="256"/>
      <c r="DG9024" s="256"/>
    </row>
    <row r="9025" spans="104:111">
      <c r="CZ9025" s="256"/>
      <c r="DG9025" s="256"/>
    </row>
    <row r="9026" spans="104:111">
      <c r="CZ9026" s="256"/>
      <c r="DG9026" s="256"/>
    </row>
    <row r="9027" spans="104:111">
      <c r="CZ9027" s="256"/>
      <c r="DG9027" s="256"/>
    </row>
    <row r="9028" spans="104:111">
      <c r="CZ9028" s="256"/>
      <c r="DG9028" s="256"/>
    </row>
    <row r="9029" spans="104:111">
      <c r="CZ9029" s="256"/>
      <c r="DG9029" s="256"/>
    </row>
    <row r="9030" spans="104:111">
      <c r="CZ9030" s="256"/>
      <c r="DG9030" s="256"/>
    </row>
    <row r="9031" spans="104:111">
      <c r="CZ9031" s="256"/>
      <c r="DG9031" s="256"/>
    </row>
    <row r="9032" spans="104:111">
      <c r="CZ9032" s="256"/>
      <c r="DG9032" s="256"/>
    </row>
    <row r="9033" spans="104:111">
      <c r="CZ9033" s="256"/>
      <c r="DG9033" s="256"/>
    </row>
    <row r="9034" spans="104:111">
      <c r="CZ9034" s="256"/>
      <c r="DG9034" s="256"/>
    </row>
    <row r="9035" spans="104:111">
      <c r="CZ9035" s="256"/>
      <c r="DG9035" s="256"/>
    </row>
    <row r="9036" spans="104:111">
      <c r="CZ9036" s="256"/>
      <c r="DG9036" s="256"/>
    </row>
    <row r="9037" spans="104:111">
      <c r="CZ9037" s="256"/>
      <c r="DG9037" s="256"/>
    </row>
    <row r="9038" spans="104:111">
      <c r="CZ9038" s="256"/>
      <c r="DG9038" s="256"/>
    </row>
    <row r="9039" spans="104:111">
      <c r="CZ9039" s="256"/>
      <c r="DG9039" s="256"/>
    </row>
    <row r="9040" spans="104:111">
      <c r="CZ9040" s="256"/>
      <c r="DG9040" s="256"/>
    </row>
    <row r="9041" spans="104:111">
      <c r="CZ9041" s="256"/>
      <c r="DG9041" s="256"/>
    </row>
    <row r="9042" spans="104:111">
      <c r="CZ9042" s="256"/>
      <c r="DG9042" s="256"/>
    </row>
    <row r="9043" spans="104:111">
      <c r="CZ9043" s="256"/>
      <c r="DG9043" s="256"/>
    </row>
    <row r="9044" spans="104:111">
      <c r="CZ9044" s="256"/>
      <c r="DG9044" s="256"/>
    </row>
    <row r="9045" spans="104:111">
      <c r="CZ9045" s="256"/>
      <c r="DG9045" s="256"/>
    </row>
    <row r="9046" spans="104:111">
      <c r="CZ9046" s="256"/>
      <c r="DG9046" s="256"/>
    </row>
    <row r="9047" spans="104:111">
      <c r="CZ9047" s="256"/>
      <c r="DG9047" s="256"/>
    </row>
    <row r="9048" spans="104:111">
      <c r="CZ9048" s="256"/>
      <c r="DG9048" s="256"/>
    </row>
    <row r="9049" spans="104:111">
      <c r="CZ9049" s="256"/>
      <c r="DG9049" s="256"/>
    </row>
    <row r="9050" spans="104:111">
      <c r="CZ9050" s="256"/>
      <c r="DG9050" s="256"/>
    </row>
    <row r="9051" spans="104:111">
      <c r="CZ9051" s="256"/>
      <c r="DG9051" s="256"/>
    </row>
    <row r="9052" spans="104:111">
      <c r="CZ9052" s="256"/>
      <c r="DG9052" s="256"/>
    </row>
    <row r="9053" spans="104:111">
      <c r="CZ9053" s="256"/>
      <c r="DG9053" s="256"/>
    </row>
    <row r="9054" spans="104:111">
      <c r="CZ9054" s="256"/>
      <c r="DG9054" s="256"/>
    </row>
    <row r="9055" spans="104:111">
      <c r="CZ9055" s="256"/>
      <c r="DG9055" s="256"/>
    </row>
    <row r="9056" spans="104:111">
      <c r="CZ9056" s="256"/>
      <c r="DG9056" s="256"/>
    </row>
    <row r="9057" spans="104:111">
      <c r="CZ9057" s="256"/>
      <c r="DG9057" s="256"/>
    </row>
    <row r="9058" spans="104:111">
      <c r="CZ9058" s="256"/>
      <c r="DG9058" s="256"/>
    </row>
    <row r="9059" spans="104:111">
      <c r="CZ9059" s="256"/>
      <c r="DG9059" s="256"/>
    </row>
    <row r="9060" spans="104:111">
      <c r="CZ9060" s="256"/>
      <c r="DG9060" s="256"/>
    </row>
    <row r="9061" spans="104:111">
      <c r="CZ9061" s="256"/>
      <c r="DG9061" s="256"/>
    </row>
    <row r="9062" spans="104:111">
      <c r="CZ9062" s="256"/>
      <c r="DG9062" s="256"/>
    </row>
    <row r="9063" spans="104:111">
      <c r="CZ9063" s="256"/>
      <c r="DG9063" s="256"/>
    </row>
    <row r="9064" spans="104:111">
      <c r="CZ9064" s="256"/>
      <c r="DG9064" s="256"/>
    </row>
    <row r="9065" spans="104:111">
      <c r="CZ9065" s="256"/>
      <c r="DG9065" s="256"/>
    </row>
    <row r="9066" spans="104:111">
      <c r="CZ9066" s="256"/>
      <c r="DG9066" s="256"/>
    </row>
    <row r="9067" spans="104:111">
      <c r="CZ9067" s="256"/>
      <c r="DG9067" s="256"/>
    </row>
    <row r="9068" spans="104:111">
      <c r="CZ9068" s="256"/>
      <c r="DG9068" s="256"/>
    </row>
    <row r="9069" spans="104:111">
      <c r="CZ9069" s="256"/>
      <c r="DG9069" s="256"/>
    </row>
    <row r="9070" spans="104:111">
      <c r="CZ9070" s="256"/>
      <c r="DG9070" s="256"/>
    </row>
    <row r="9071" spans="104:111">
      <c r="CZ9071" s="256"/>
      <c r="DG9071" s="256"/>
    </row>
    <row r="9072" spans="104:111">
      <c r="CZ9072" s="256"/>
      <c r="DG9072" s="256"/>
    </row>
    <row r="9073" spans="104:111">
      <c r="CZ9073" s="256"/>
      <c r="DG9073" s="256"/>
    </row>
    <row r="9074" spans="104:111">
      <c r="CZ9074" s="256"/>
      <c r="DG9074" s="256"/>
    </row>
    <row r="9075" spans="104:111">
      <c r="CZ9075" s="256"/>
      <c r="DG9075" s="256"/>
    </row>
    <row r="9076" spans="104:111">
      <c r="CZ9076" s="256"/>
      <c r="DG9076" s="256"/>
    </row>
    <row r="9077" spans="104:111">
      <c r="CZ9077" s="256"/>
      <c r="DG9077" s="256"/>
    </row>
    <row r="9078" spans="104:111">
      <c r="CZ9078" s="256"/>
      <c r="DG9078" s="256"/>
    </row>
    <row r="9079" spans="104:111">
      <c r="CZ9079" s="256"/>
      <c r="DG9079" s="256"/>
    </row>
    <row r="9080" spans="104:111">
      <c r="CZ9080" s="256"/>
      <c r="DG9080" s="256"/>
    </row>
    <row r="9081" spans="104:111">
      <c r="CZ9081" s="256"/>
      <c r="DG9081" s="256"/>
    </row>
    <row r="9082" spans="104:111">
      <c r="CZ9082" s="256"/>
      <c r="DG9082" s="256"/>
    </row>
    <row r="9083" spans="104:111">
      <c r="CZ9083" s="256"/>
      <c r="DG9083" s="256"/>
    </row>
    <row r="9084" spans="104:111">
      <c r="CZ9084" s="256"/>
      <c r="DG9084" s="256"/>
    </row>
    <row r="9085" spans="104:111">
      <c r="CZ9085" s="256"/>
      <c r="DG9085" s="256"/>
    </row>
    <row r="9086" spans="104:111">
      <c r="CZ9086" s="256"/>
      <c r="DG9086" s="256"/>
    </row>
    <row r="9087" spans="104:111">
      <c r="CZ9087" s="256"/>
      <c r="DG9087" s="256"/>
    </row>
    <row r="9088" spans="104:111">
      <c r="CZ9088" s="256"/>
      <c r="DG9088" s="256"/>
    </row>
    <row r="9089" spans="104:111">
      <c r="CZ9089" s="256"/>
      <c r="DG9089" s="256"/>
    </row>
    <row r="9090" spans="104:111">
      <c r="CZ9090" s="256"/>
      <c r="DG9090" s="256"/>
    </row>
    <row r="9091" spans="104:111">
      <c r="CZ9091" s="256"/>
      <c r="DG9091" s="256"/>
    </row>
    <row r="9092" spans="104:111">
      <c r="CZ9092" s="256"/>
      <c r="DG9092" s="256"/>
    </row>
    <row r="9093" spans="104:111">
      <c r="CZ9093" s="256"/>
      <c r="DG9093" s="256"/>
    </row>
    <row r="9094" spans="104:111">
      <c r="CZ9094" s="256"/>
      <c r="DG9094" s="256"/>
    </row>
    <row r="9095" spans="104:111">
      <c r="CZ9095" s="256"/>
      <c r="DG9095" s="256"/>
    </row>
    <row r="9096" spans="104:111">
      <c r="CZ9096" s="256"/>
      <c r="DG9096" s="256"/>
    </row>
    <row r="9097" spans="104:111">
      <c r="CZ9097" s="256"/>
      <c r="DG9097" s="256"/>
    </row>
    <row r="9098" spans="104:111">
      <c r="CZ9098" s="256"/>
      <c r="DG9098" s="256"/>
    </row>
    <row r="9099" spans="104:111">
      <c r="CZ9099" s="256"/>
      <c r="DG9099" s="256"/>
    </row>
    <row r="9100" spans="104:111">
      <c r="CZ9100" s="256"/>
      <c r="DG9100" s="256"/>
    </row>
    <row r="9101" spans="104:111">
      <c r="CZ9101" s="256"/>
      <c r="DG9101" s="256"/>
    </row>
    <row r="9102" spans="104:111">
      <c r="CZ9102" s="256"/>
      <c r="DG9102" s="256"/>
    </row>
    <row r="9103" spans="104:111">
      <c r="CZ9103" s="256"/>
      <c r="DG9103" s="256"/>
    </row>
    <row r="9104" spans="104:111">
      <c r="CZ9104" s="256"/>
      <c r="DG9104" s="256"/>
    </row>
    <row r="9105" spans="104:111">
      <c r="CZ9105" s="256"/>
      <c r="DG9105" s="256"/>
    </row>
    <row r="9106" spans="104:111">
      <c r="CZ9106" s="256"/>
      <c r="DG9106" s="256"/>
    </row>
    <row r="9107" spans="104:111">
      <c r="CZ9107" s="256"/>
      <c r="DG9107" s="256"/>
    </row>
    <row r="9108" spans="104:111">
      <c r="CZ9108" s="256"/>
      <c r="DG9108" s="256"/>
    </row>
    <row r="9109" spans="104:111">
      <c r="CZ9109" s="256"/>
      <c r="DG9109" s="256"/>
    </row>
    <row r="9110" spans="104:111">
      <c r="CZ9110" s="256"/>
      <c r="DG9110" s="256"/>
    </row>
    <row r="9111" spans="104:111">
      <c r="CZ9111" s="256"/>
      <c r="DG9111" s="256"/>
    </row>
    <row r="9112" spans="104:111">
      <c r="CZ9112" s="256"/>
      <c r="DG9112" s="256"/>
    </row>
    <row r="9113" spans="104:111">
      <c r="CZ9113" s="256"/>
      <c r="DG9113" s="256"/>
    </row>
    <row r="9114" spans="104:111">
      <c r="CZ9114" s="256"/>
      <c r="DG9114" s="256"/>
    </row>
    <row r="9115" spans="104:111">
      <c r="CZ9115" s="256"/>
      <c r="DG9115" s="256"/>
    </row>
    <row r="9116" spans="104:111">
      <c r="CZ9116" s="256"/>
      <c r="DG9116" s="256"/>
    </row>
    <row r="9117" spans="104:111">
      <c r="CZ9117" s="256"/>
      <c r="DG9117" s="256"/>
    </row>
    <row r="9118" spans="104:111">
      <c r="CZ9118" s="256"/>
      <c r="DG9118" s="256"/>
    </row>
    <row r="9119" spans="104:111">
      <c r="CZ9119" s="256"/>
      <c r="DG9119" s="256"/>
    </row>
    <row r="9120" spans="104:111">
      <c r="CZ9120" s="256"/>
      <c r="DG9120" s="256"/>
    </row>
    <row r="9121" spans="104:111">
      <c r="CZ9121" s="256"/>
      <c r="DG9121" s="256"/>
    </row>
    <row r="9122" spans="104:111">
      <c r="CZ9122" s="256"/>
      <c r="DG9122" s="256"/>
    </row>
    <row r="9123" spans="104:111">
      <c r="CZ9123" s="256"/>
      <c r="DG9123" s="256"/>
    </row>
    <row r="9124" spans="104:111">
      <c r="CZ9124" s="256"/>
      <c r="DG9124" s="256"/>
    </row>
    <row r="9125" spans="104:111">
      <c r="CZ9125" s="256"/>
      <c r="DG9125" s="256"/>
    </row>
    <row r="9126" spans="104:111">
      <c r="CZ9126" s="256"/>
      <c r="DG9126" s="256"/>
    </row>
    <row r="9127" spans="104:111">
      <c r="CZ9127" s="256"/>
      <c r="DG9127" s="256"/>
    </row>
    <row r="9128" spans="104:111">
      <c r="CZ9128" s="256"/>
      <c r="DG9128" s="256"/>
    </row>
    <row r="9129" spans="104:111">
      <c r="CZ9129" s="256"/>
      <c r="DG9129" s="256"/>
    </row>
    <row r="9130" spans="104:111">
      <c r="CZ9130" s="256"/>
      <c r="DG9130" s="256"/>
    </row>
    <row r="9131" spans="104:111">
      <c r="CZ9131" s="256"/>
      <c r="DG9131" s="256"/>
    </row>
    <row r="9132" spans="104:111">
      <c r="CZ9132" s="256"/>
      <c r="DG9132" s="256"/>
    </row>
    <row r="9133" spans="104:111">
      <c r="CZ9133" s="256"/>
      <c r="DG9133" s="256"/>
    </row>
    <row r="9134" spans="104:111">
      <c r="CZ9134" s="256"/>
      <c r="DG9134" s="256"/>
    </row>
    <row r="9135" spans="104:111">
      <c r="CZ9135" s="256"/>
      <c r="DG9135" s="256"/>
    </row>
    <row r="9136" spans="104:111">
      <c r="CZ9136" s="256"/>
      <c r="DG9136" s="256"/>
    </row>
    <row r="9137" spans="104:111">
      <c r="CZ9137" s="256"/>
      <c r="DG9137" s="256"/>
    </row>
    <row r="9138" spans="104:111">
      <c r="CZ9138" s="256"/>
      <c r="DG9138" s="256"/>
    </row>
    <row r="9139" spans="104:111">
      <c r="CZ9139" s="256"/>
      <c r="DG9139" s="256"/>
    </row>
    <row r="9140" spans="104:111">
      <c r="CZ9140" s="256"/>
      <c r="DG9140" s="256"/>
    </row>
    <row r="9141" spans="104:111">
      <c r="CZ9141" s="256"/>
      <c r="DG9141" s="256"/>
    </row>
    <row r="9142" spans="104:111">
      <c r="CZ9142" s="256"/>
      <c r="DG9142" s="256"/>
    </row>
    <row r="9143" spans="104:111">
      <c r="CZ9143" s="256"/>
      <c r="DG9143" s="256"/>
    </row>
    <row r="9144" spans="104:111">
      <c r="CZ9144" s="256"/>
      <c r="DG9144" s="256"/>
    </row>
    <row r="9145" spans="104:111">
      <c r="CZ9145" s="256"/>
      <c r="DG9145" s="256"/>
    </row>
    <row r="9146" spans="104:111">
      <c r="CZ9146" s="256"/>
      <c r="DG9146" s="256"/>
    </row>
    <row r="9147" spans="104:111">
      <c r="CZ9147" s="256"/>
      <c r="DG9147" s="256"/>
    </row>
    <row r="9148" spans="104:111">
      <c r="CZ9148" s="256"/>
      <c r="DG9148" s="256"/>
    </row>
    <row r="9149" spans="104:111">
      <c r="CZ9149" s="256"/>
      <c r="DG9149" s="256"/>
    </row>
    <row r="9150" spans="104:111">
      <c r="CZ9150" s="256"/>
      <c r="DG9150" s="256"/>
    </row>
    <row r="9151" spans="104:111">
      <c r="CZ9151" s="256"/>
      <c r="DG9151" s="256"/>
    </row>
    <row r="9152" spans="104:111">
      <c r="CZ9152" s="256"/>
      <c r="DG9152" s="256"/>
    </row>
    <row r="9153" spans="104:111">
      <c r="CZ9153" s="256"/>
      <c r="DG9153" s="256"/>
    </row>
    <row r="9154" spans="104:111">
      <c r="CZ9154" s="256"/>
      <c r="DG9154" s="256"/>
    </row>
    <row r="9155" spans="104:111">
      <c r="CZ9155" s="256"/>
      <c r="DG9155" s="256"/>
    </row>
    <row r="9156" spans="104:111">
      <c r="CZ9156" s="256"/>
      <c r="DG9156" s="256"/>
    </row>
    <row r="9157" spans="104:111">
      <c r="CZ9157" s="256"/>
      <c r="DG9157" s="256"/>
    </row>
    <row r="9158" spans="104:111">
      <c r="CZ9158" s="256"/>
      <c r="DG9158" s="256"/>
    </row>
    <row r="9159" spans="104:111">
      <c r="CZ9159" s="256"/>
      <c r="DG9159" s="256"/>
    </row>
    <row r="9160" spans="104:111">
      <c r="CZ9160" s="256"/>
      <c r="DG9160" s="256"/>
    </row>
    <row r="9161" spans="104:111">
      <c r="CZ9161" s="256"/>
      <c r="DG9161" s="256"/>
    </row>
    <row r="9162" spans="104:111">
      <c r="CZ9162" s="256"/>
      <c r="DG9162" s="256"/>
    </row>
    <row r="9163" spans="104:111">
      <c r="CZ9163" s="256"/>
      <c r="DG9163" s="256"/>
    </row>
    <row r="9164" spans="104:111">
      <c r="CZ9164" s="256"/>
      <c r="DG9164" s="256"/>
    </row>
    <row r="9165" spans="104:111">
      <c r="CZ9165" s="256"/>
      <c r="DG9165" s="256"/>
    </row>
    <row r="9166" spans="104:111">
      <c r="CZ9166" s="256"/>
      <c r="DG9166" s="256"/>
    </row>
    <row r="9167" spans="104:111">
      <c r="CZ9167" s="256"/>
      <c r="DG9167" s="256"/>
    </row>
    <row r="9168" spans="104:111">
      <c r="CZ9168" s="256"/>
      <c r="DG9168" s="256"/>
    </row>
    <row r="9169" spans="104:111">
      <c r="CZ9169" s="256"/>
      <c r="DG9169" s="256"/>
    </row>
    <row r="9170" spans="104:111">
      <c r="CZ9170" s="256"/>
      <c r="DG9170" s="256"/>
    </row>
    <row r="9171" spans="104:111">
      <c r="CZ9171" s="256"/>
      <c r="DG9171" s="256"/>
    </row>
    <row r="9172" spans="104:111">
      <c r="CZ9172" s="256"/>
      <c r="DG9172" s="256"/>
    </row>
    <row r="9173" spans="104:111">
      <c r="CZ9173" s="256"/>
      <c r="DG9173" s="256"/>
    </row>
    <row r="9174" spans="104:111">
      <c r="CZ9174" s="256"/>
      <c r="DG9174" s="256"/>
    </row>
    <row r="9175" spans="104:111">
      <c r="CZ9175" s="256"/>
      <c r="DG9175" s="256"/>
    </row>
    <row r="9176" spans="104:111">
      <c r="CZ9176" s="256"/>
      <c r="DG9176" s="256"/>
    </row>
    <row r="9177" spans="104:111">
      <c r="CZ9177" s="256"/>
      <c r="DG9177" s="256"/>
    </row>
    <row r="9178" spans="104:111">
      <c r="CZ9178" s="256"/>
      <c r="DG9178" s="256"/>
    </row>
    <row r="9179" spans="104:111">
      <c r="CZ9179" s="256"/>
      <c r="DG9179" s="256"/>
    </row>
    <row r="9180" spans="104:111">
      <c r="CZ9180" s="256"/>
      <c r="DG9180" s="256"/>
    </row>
    <row r="9181" spans="104:111">
      <c r="CZ9181" s="256"/>
      <c r="DG9181" s="256"/>
    </row>
    <row r="9182" spans="104:111">
      <c r="CZ9182" s="256"/>
      <c r="DG9182" s="256"/>
    </row>
    <row r="9183" spans="104:111">
      <c r="CZ9183" s="256"/>
      <c r="DG9183" s="256"/>
    </row>
    <row r="9184" spans="104:111">
      <c r="CZ9184" s="256"/>
      <c r="DG9184" s="256"/>
    </row>
    <row r="9185" spans="104:111">
      <c r="CZ9185" s="256"/>
      <c r="DG9185" s="256"/>
    </row>
    <row r="9186" spans="104:111">
      <c r="CZ9186" s="256"/>
      <c r="DG9186" s="256"/>
    </row>
    <row r="9187" spans="104:111">
      <c r="CZ9187" s="256"/>
      <c r="DG9187" s="256"/>
    </row>
    <row r="9188" spans="104:111">
      <c r="CZ9188" s="256"/>
      <c r="DG9188" s="256"/>
    </row>
    <row r="9189" spans="104:111">
      <c r="CZ9189" s="256"/>
      <c r="DG9189" s="256"/>
    </row>
    <row r="9190" spans="104:111">
      <c r="CZ9190" s="256"/>
      <c r="DG9190" s="256"/>
    </row>
    <row r="9191" spans="104:111">
      <c r="CZ9191" s="256"/>
      <c r="DG9191" s="256"/>
    </row>
    <row r="9192" spans="104:111">
      <c r="CZ9192" s="256"/>
      <c r="DG9192" s="256"/>
    </row>
    <row r="9193" spans="104:111">
      <c r="CZ9193" s="256"/>
      <c r="DG9193" s="256"/>
    </row>
    <row r="9194" spans="104:111">
      <c r="CZ9194" s="256"/>
      <c r="DG9194" s="256"/>
    </row>
    <row r="9195" spans="104:111">
      <c r="CZ9195" s="256"/>
      <c r="DG9195" s="256"/>
    </row>
    <row r="9196" spans="104:111">
      <c r="CZ9196" s="256"/>
      <c r="DG9196" s="256"/>
    </row>
    <row r="9197" spans="104:111">
      <c r="CZ9197" s="256"/>
      <c r="DG9197" s="256"/>
    </row>
    <row r="9198" spans="104:111">
      <c r="CZ9198" s="256"/>
      <c r="DG9198" s="256"/>
    </row>
    <row r="9199" spans="104:111">
      <c r="CZ9199" s="256"/>
      <c r="DG9199" s="256"/>
    </row>
    <row r="9200" spans="104:111">
      <c r="CZ9200" s="256"/>
      <c r="DG9200" s="256"/>
    </row>
    <row r="9201" spans="104:111">
      <c r="CZ9201" s="256"/>
      <c r="DG9201" s="256"/>
    </row>
    <row r="9202" spans="104:111">
      <c r="CZ9202" s="256"/>
      <c r="DG9202" s="256"/>
    </row>
    <row r="9203" spans="104:111">
      <c r="CZ9203" s="256"/>
      <c r="DG9203" s="256"/>
    </row>
    <row r="9204" spans="104:111">
      <c r="CZ9204" s="256"/>
      <c r="DG9204" s="256"/>
    </row>
    <row r="9205" spans="104:111">
      <c r="CZ9205" s="256"/>
      <c r="DG9205" s="256"/>
    </row>
    <row r="9206" spans="104:111">
      <c r="CZ9206" s="256"/>
      <c r="DG9206" s="256"/>
    </row>
    <row r="9207" spans="104:111">
      <c r="CZ9207" s="256"/>
      <c r="DG9207" s="256"/>
    </row>
    <row r="9208" spans="104:111">
      <c r="CZ9208" s="256"/>
      <c r="DG9208" s="256"/>
    </row>
    <row r="9209" spans="104:111">
      <c r="CZ9209" s="256"/>
      <c r="DG9209" s="256"/>
    </row>
    <row r="9210" spans="104:111">
      <c r="CZ9210" s="256"/>
      <c r="DG9210" s="256"/>
    </row>
    <row r="9211" spans="104:111">
      <c r="CZ9211" s="256"/>
      <c r="DG9211" s="256"/>
    </row>
    <row r="9212" spans="104:111">
      <c r="CZ9212" s="256"/>
      <c r="DG9212" s="256"/>
    </row>
    <row r="9213" spans="104:111">
      <c r="CZ9213" s="256"/>
      <c r="DG9213" s="256"/>
    </row>
    <row r="9214" spans="104:111">
      <c r="CZ9214" s="256"/>
      <c r="DG9214" s="256"/>
    </row>
    <row r="9215" spans="104:111">
      <c r="CZ9215" s="256"/>
      <c r="DG9215" s="256"/>
    </row>
    <row r="9216" spans="104:111">
      <c r="CZ9216" s="256"/>
      <c r="DG9216" s="256"/>
    </row>
    <row r="9217" spans="104:111">
      <c r="CZ9217" s="256"/>
      <c r="DG9217" s="256"/>
    </row>
    <row r="9218" spans="104:111">
      <c r="CZ9218" s="256"/>
      <c r="DG9218" s="256"/>
    </row>
    <row r="9219" spans="104:111">
      <c r="CZ9219" s="256"/>
      <c r="DG9219" s="256"/>
    </row>
    <row r="9220" spans="104:111">
      <c r="CZ9220" s="256"/>
      <c r="DG9220" s="256"/>
    </row>
    <row r="9221" spans="104:111">
      <c r="CZ9221" s="256"/>
      <c r="DG9221" s="256"/>
    </row>
    <row r="9222" spans="104:111">
      <c r="CZ9222" s="256"/>
      <c r="DG9222" s="256"/>
    </row>
    <row r="9223" spans="104:111">
      <c r="CZ9223" s="256"/>
      <c r="DG9223" s="256"/>
    </row>
    <row r="9224" spans="104:111">
      <c r="CZ9224" s="256"/>
      <c r="DG9224" s="256"/>
    </row>
    <row r="9225" spans="104:111">
      <c r="CZ9225" s="256"/>
      <c r="DG9225" s="256"/>
    </row>
    <row r="9226" spans="104:111">
      <c r="CZ9226" s="256"/>
      <c r="DG9226" s="256"/>
    </row>
    <row r="9227" spans="104:111">
      <c r="CZ9227" s="256"/>
      <c r="DG9227" s="256"/>
    </row>
    <row r="9228" spans="104:111">
      <c r="CZ9228" s="256"/>
      <c r="DG9228" s="256"/>
    </row>
    <row r="9229" spans="104:111">
      <c r="CZ9229" s="256"/>
      <c r="DG9229" s="256"/>
    </row>
    <row r="9230" spans="104:111">
      <c r="CZ9230" s="256"/>
      <c r="DG9230" s="256"/>
    </row>
    <row r="9231" spans="104:111">
      <c r="CZ9231" s="256"/>
      <c r="DG9231" s="256"/>
    </row>
    <row r="9232" spans="104:111">
      <c r="CZ9232" s="256"/>
      <c r="DG9232" s="256"/>
    </row>
    <row r="9233" spans="104:111">
      <c r="CZ9233" s="256"/>
      <c r="DG9233" s="256"/>
    </row>
    <row r="9234" spans="104:111">
      <c r="CZ9234" s="256"/>
      <c r="DG9234" s="256"/>
    </row>
    <row r="9235" spans="104:111">
      <c r="CZ9235" s="256"/>
      <c r="DG9235" s="256"/>
    </row>
    <row r="9236" spans="104:111">
      <c r="CZ9236" s="256"/>
      <c r="DG9236" s="256"/>
    </row>
    <row r="9237" spans="104:111">
      <c r="CZ9237" s="256"/>
      <c r="DG9237" s="256"/>
    </row>
    <row r="9238" spans="104:111">
      <c r="CZ9238" s="256"/>
      <c r="DG9238" s="256"/>
    </row>
    <row r="9239" spans="104:111">
      <c r="CZ9239" s="256"/>
      <c r="DG9239" s="256"/>
    </row>
    <row r="9240" spans="104:111">
      <c r="CZ9240" s="256"/>
      <c r="DG9240" s="256"/>
    </row>
    <row r="9241" spans="104:111">
      <c r="CZ9241" s="256"/>
      <c r="DG9241" s="256"/>
    </row>
    <row r="9242" spans="104:111">
      <c r="CZ9242" s="256"/>
      <c r="DG9242" s="256"/>
    </row>
    <row r="9243" spans="104:111">
      <c r="CZ9243" s="256"/>
      <c r="DG9243" s="256"/>
    </row>
    <row r="9244" spans="104:111">
      <c r="CZ9244" s="256"/>
      <c r="DG9244" s="256"/>
    </row>
    <row r="9245" spans="104:111">
      <c r="CZ9245" s="256"/>
      <c r="DG9245" s="256"/>
    </row>
    <row r="9246" spans="104:111">
      <c r="CZ9246" s="256"/>
      <c r="DG9246" s="256"/>
    </row>
    <row r="9247" spans="104:111">
      <c r="CZ9247" s="256"/>
      <c r="DG9247" s="256"/>
    </row>
    <row r="9248" spans="104:111">
      <c r="CZ9248" s="256"/>
      <c r="DG9248" s="256"/>
    </row>
    <row r="9249" spans="104:111">
      <c r="CZ9249" s="256"/>
      <c r="DG9249" s="256"/>
    </row>
    <row r="9250" spans="104:111">
      <c r="CZ9250" s="256"/>
      <c r="DG9250" s="256"/>
    </row>
    <row r="9251" spans="104:111">
      <c r="CZ9251" s="256"/>
      <c r="DG9251" s="256"/>
    </row>
    <row r="9252" spans="104:111">
      <c r="CZ9252" s="256"/>
      <c r="DG9252" s="256"/>
    </row>
    <row r="9253" spans="104:111">
      <c r="CZ9253" s="256"/>
      <c r="DG9253" s="256"/>
    </row>
    <row r="9254" spans="104:111">
      <c r="CZ9254" s="256"/>
      <c r="DG9254" s="256"/>
    </row>
    <row r="9255" spans="104:111">
      <c r="CZ9255" s="256"/>
      <c r="DG9255" s="256"/>
    </row>
    <row r="9256" spans="104:111">
      <c r="CZ9256" s="256"/>
      <c r="DG9256" s="256"/>
    </row>
    <row r="9257" spans="104:111">
      <c r="CZ9257" s="256"/>
      <c r="DG9257" s="256"/>
    </row>
    <row r="9258" spans="104:111">
      <c r="CZ9258" s="256"/>
      <c r="DG9258" s="256"/>
    </row>
    <row r="9259" spans="104:111">
      <c r="CZ9259" s="256"/>
      <c r="DG9259" s="256"/>
    </row>
    <row r="9260" spans="104:111">
      <c r="CZ9260" s="256"/>
      <c r="DG9260" s="256"/>
    </row>
    <row r="9261" spans="104:111">
      <c r="CZ9261" s="256"/>
      <c r="DG9261" s="256"/>
    </row>
    <row r="9262" spans="104:111">
      <c r="CZ9262" s="256"/>
      <c r="DG9262" s="256"/>
    </row>
    <row r="9263" spans="104:111">
      <c r="CZ9263" s="256"/>
      <c r="DG9263" s="256"/>
    </row>
    <row r="9264" spans="104:111">
      <c r="CZ9264" s="256"/>
      <c r="DG9264" s="256"/>
    </row>
    <row r="9265" spans="104:111">
      <c r="CZ9265" s="256"/>
      <c r="DG9265" s="256"/>
    </row>
    <row r="9266" spans="104:111">
      <c r="CZ9266" s="256"/>
      <c r="DG9266" s="256"/>
    </row>
    <row r="9267" spans="104:111">
      <c r="CZ9267" s="256"/>
      <c r="DG9267" s="256"/>
    </row>
    <row r="9268" spans="104:111">
      <c r="CZ9268" s="256"/>
      <c r="DG9268" s="256"/>
    </row>
    <row r="9269" spans="104:111">
      <c r="CZ9269" s="256"/>
      <c r="DG9269" s="256"/>
    </row>
    <row r="9270" spans="104:111">
      <c r="CZ9270" s="256"/>
      <c r="DG9270" s="256"/>
    </row>
    <row r="9271" spans="104:111">
      <c r="CZ9271" s="256"/>
      <c r="DG9271" s="256"/>
    </row>
    <row r="9272" spans="104:111">
      <c r="CZ9272" s="256"/>
      <c r="DG9272" s="256"/>
    </row>
    <row r="9273" spans="104:111">
      <c r="CZ9273" s="256"/>
      <c r="DG9273" s="256"/>
    </row>
    <row r="9274" spans="104:111">
      <c r="CZ9274" s="256"/>
      <c r="DG9274" s="256"/>
    </row>
    <row r="9275" spans="104:111">
      <c r="CZ9275" s="256"/>
      <c r="DG9275" s="256"/>
    </row>
    <row r="9276" spans="104:111">
      <c r="CZ9276" s="256"/>
      <c r="DG9276" s="256"/>
    </row>
    <row r="9277" spans="104:111">
      <c r="CZ9277" s="256"/>
      <c r="DG9277" s="256"/>
    </row>
    <row r="9278" spans="104:111">
      <c r="CZ9278" s="256"/>
      <c r="DG9278" s="256"/>
    </row>
    <row r="9279" spans="104:111">
      <c r="CZ9279" s="256"/>
      <c r="DG9279" s="256"/>
    </row>
    <row r="9280" spans="104:111">
      <c r="CZ9280" s="256"/>
      <c r="DG9280" s="256"/>
    </row>
    <row r="9281" spans="104:111">
      <c r="CZ9281" s="256"/>
      <c r="DG9281" s="256"/>
    </row>
    <row r="9282" spans="104:111">
      <c r="CZ9282" s="256"/>
      <c r="DG9282" s="256"/>
    </row>
    <row r="9283" spans="104:111">
      <c r="CZ9283" s="256"/>
      <c r="DG9283" s="256"/>
    </row>
    <row r="9284" spans="104:111">
      <c r="CZ9284" s="256"/>
      <c r="DG9284" s="256"/>
    </row>
    <row r="9285" spans="104:111">
      <c r="CZ9285" s="256"/>
      <c r="DG9285" s="256"/>
    </row>
    <row r="9286" spans="104:111">
      <c r="CZ9286" s="256"/>
      <c r="DG9286" s="256"/>
    </row>
    <row r="9287" spans="104:111">
      <c r="CZ9287" s="256"/>
      <c r="DG9287" s="256"/>
    </row>
    <row r="9288" spans="104:111">
      <c r="CZ9288" s="256"/>
      <c r="DG9288" s="256"/>
    </row>
    <row r="9289" spans="104:111">
      <c r="CZ9289" s="256"/>
      <c r="DG9289" s="256"/>
    </row>
    <row r="9290" spans="104:111">
      <c r="CZ9290" s="256"/>
      <c r="DG9290" s="256"/>
    </row>
    <row r="9291" spans="104:111">
      <c r="CZ9291" s="256"/>
      <c r="DG9291" s="256"/>
    </row>
    <row r="9292" spans="104:111">
      <c r="CZ9292" s="256"/>
      <c r="DG9292" s="256"/>
    </row>
    <row r="9293" spans="104:111">
      <c r="CZ9293" s="256"/>
      <c r="DG9293" s="256"/>
    </row>
    <row r="9294" spans="104:111">
      <c r="CZ9294" s="256"/>
      <c r="DG9294" s="256"/>
    </row>
    <row r="9295" spans="104:111">
      <c r="CZ9295" s="256"/>
      <c r="DG9295" s="256"/>
    </row>
    <row r="9296" spans="104:111">
      <c r="CZ9296" s="256"/>
      <c r="DG9296" s="256"/>
    </row>
    <row r="9297" spans="104:111">
      <c r="CZ9297" s="256"/>
      <c r="DG9297" s="256"/>
    </row>
    <row r="9298" spans="104:111">
      <c r="CZ9298" s="256"/>
      <c r="DG9298" s="256"/>
    </row>
    <row r="9299" spans="104:111">
      <c r="CZ9299" s="256"/>
      <c r="DG9299" s="256"/>
    </row>
    <row r="9300" spans="104:111">
      <c r="CZ9300" s="256"/>
      <c r="DG9300" s="256"/>
    </row>
    <row r="9301" spans="104:111">
      <c r="CZ9301" s="256"/>
      <c r="DG9301" s="256"/>
    </row>
    <row r="9302" spans="104:111">
      <c r="CZ9302" s="256"/>
      <c r="DG9302" s="256"/>
    </row>
    <row r="9303" spans="104:111">
      <c r="CZ9303" s="256"/>
      <c r="DG9303" s="256"/>
    </row>
    <row r="9304" spans="104:111">
      <c r="CZ9304" s="256"/>
      <c r="DG9304" s="256"/>
    </row>
    <row r="9305" spans="104:111">
      <c r="CZ9305" s="256"/>
      <c r="DG9305" s="256"/>
    </row>
    <row r="9306" spans="104:111">
      <c r="CZ9306" s="256"/>
      <c r="DG9306" s="256"/>
    </row>
    <row r="9307" spans="104:111">
      <c r="CZ9307" s="256"/>
      <c r="DG9307" s="256"/>
    </row>
    <row r="9308" spans="104:111">
      <c r="CZ9308" s="256"/>
      <c r="DG9308" s="256"/>
    </row>
    <row r="9309" spans="104:111">
      <c r="CZ9309" s="256"/>
      <c r="DG9309" s="256"/>
    </row>
    <row r="9310" spans="104:111">
      <c r="CZ9310" s="256"/>
      <c r="DG9310" s="256"/>
    </row>
    <row r="9311" spans="104:111">
      <c r="CZ9311" s="256"/>
      <c r="DG9311" s="256"/>
    </row>
    <row r="9312" spans="104:111">
      <c r="CZ9312" s="256"/>
      <c r="DG9312" s="256"/>
    </row>
    <row r="9313" spans="104:111">
      <c r="CZ9313" s="256"/>
      <c r="DG9313" s="256"/>
    </row>
    <row r="9314" spans="104:111">
      <c r="CZ9314" s="256"/>
      <c r="DG9314" s="256"/>
    </row>
    <row r="9315" spans="104:111">
      <c r="CZ9315" s="256"/>
      <c r="DG9315" s="256"/>
    </row>
    <row r="9316" spans="104:111">
      <c r="CZ9316" s="256"/>
      <c r="DG9316" s="256"/>
    </row>
    <row r="9317" spans="104:111">
      <c r="CZ9317" s="256"/>
      <c r="DG9317" s="256"/>
    </row>
    <row r="9318" spans="104:111">
      <c r="CZ9318" s="256"/>
      <c r="DG9318" s="256"/>
    </row>
    <row r="9319" spans="104:111">
      <c r="CZ9319" s="256"/>
      <c r="DG9319" s="256"/>
    </row>
    <row r="9320" spans="104:111">
      <c r="CZ9320" s="256"/>
      <c r="DG9320" s="256"/>
    </row>
    <row r="9321" spans="104:111">
      <c r="CZ9321" s="256"/>
      <c r="DG9321" s="256"/>
    </row>
    <row r="9322" spans="104:111">
      <c r="CZ9322" s="256"/>
      <c r="DG9322" s="256"/>
    </row>
    <row r="9323" spans="104:111">
      <c r="CZ9323" s="256"/>
      <c r="DG9323" s="256"/>
    </row>
    <row r="9324" spans="104:111">
      <c r="CZ9324" s="256"/>
      <c r="DG9324" s="256"/>
    </row>
    <row r="9325" spans="104:111">
      <c r="CZ9325" s="256"/>
      <c r="DG9325" s="256"/>
    </row>
    <row r="9326" spans="104:111">
      <c r="CZ9326" s="256"/>
      <c r="DG9326" s="256"/>
    </row>
    <row r="9327" spans="104:111">
      <c r="CZ9327" s="256"/>
      <c r="DG9327" s="256"/>
    </row>
    <row r="9328" spans="104:111">
      <c r="CZ9328" s="256"/>
      <c r="DG9328" s="256"/>
    </row>
    <row r="9329" spans="104:111">
      <c r="CZ9329" s="256"/>
      <c r="DG9329" s="256"/>
    </row>
    <row r="9330" spans="104:111">
      <c r="CZ9330" s="256"/>
      <c r="DG9330" s="256"/>
    </row>
    <row r="9331" spans="104:111">
      <c r="CZ9331" s="256"/>
      <c r="DG9331" s="256"/>
    </row>
    <row r="9332" spans="104:111">
      <c r="CZ9332" s="256"/>
      <c r="DG9332" s="256"/>
    </row>
    <row r="9333" spans="104:111">
      <c r="CZ9333" s="256"/>
      <c r="DG9333" s="256"/>
    </row>
    <row r="9334" spans="104:111">
      <c r="CZ9334" s="256"/>
      <c r="DG9334" s="256"/>
    </row>
    <row r="9335" spans="104:111">
      <c r="CZ9335" s="256"/>
      <c r="DG9335" s="256"/>
    </row>
    <row r="9336" spans="104:111">
      <c r="CZ9336" s="256"/>
      <c r="DG9336" s="256"/>
    </row>
    <row r="9337" spans="104:111">
      <c r="CZ9337" s="256"/>
      <c r="DG9337" s="256"/>
    </row>
    <row r="9338" spans="104:111">
      <c r="CZ9338" s="256"/>
      <c r="DG9338" s="256"/>
    </row>
    <row r="9339" spans="104:111">
      <c r="CZ9339" s="256"/>
      <c r="DG9339" s="256"/>
    </row>
    <row r="9340" spans="104:111">
      <c r="CZ9340" s="256"/>
      <c r="DG9340" s="256"/>
    </row>
    <row r="9341" spans="104:111">
      <c r="CZ9341" s="256"/>
      <c r="DG9341" s="256"/>
    </row>
    <row r="9342" spans="104:111">
      <c r="CZ9342" s="256"/>
      <c r="DG9342" s="256"/>
    </row>
    <row r="9343" spans="104:111">
      <c r="CZ9343" s="256"/>
      <c r="DG9343" s="256"/>
    </row>
    <row r="9344" spans="104:111">
      <c r="CZ9344" s="256"/>
      <c r="DG9344" s="256"/>
    </row>
    <row r="9345" spans="104:111">
      <c r="CZ9345" s="256"/>
      <c r="DG9345" s="256"/>
    </row>
    <row r="9346" spans="104:111">
      <c r="CZ9346" s="256"/>
      <c r="DG9346" s="256"/>
    </row>
    <row r="9347" spans="104:111">
      <c r="CZ9347" s="256"/>
      <c r="DG9347" s="256"/>
    </row>
    <row r="9348" spans="104:111">
      <c r="CZ9348" s="256"/>
      <c r="DG9348" s="256"/>
    </row>
    <row r="9349" spans="104:111">
      <c r="CZ9349" s="256"/>
      <c r="DG9349" s="256"/>
    </row>
    <row r="9350" spans="104:111">
      <c r="CZ9350" s="256"/>
      <c r="DG9350" s="256"/>
    </row>
    <row r="9351" spans="104:111">
      <c r="CZ9351" s="256"/>
      <c r="DG9351" s="256"/>
    </row>
    <row r="9352" spans="104:111">
      <c r="CZ9352" s="256"/>
      <c r="DG9352" s="256"/>
    </row>
    <row r="9353" spans="104:111">
      <c r="CZ9353" s="256"/>
      <c r="DG9353" s="256"/>
    </row>
    <row r="9354" spans="104:111">
      <c r="CZ9354" s="256"/>
      <c r="DG9354" s="256"/>
    </row>
    <row r="9355" spans="104:111">
      <c r="CZ9355" s="256"/>
      <c r="DG9355" s="256"/>
    </row>
    <row r="9356" spans="104:111">
      <c r="CZ9356" s="256"/>
      <c r="DG9356" s="256"/>
    </row>
    <row r="9357" spans="104:111">
      <c r="CZ9357" s="256"/>
      <c r="DG9357" s="256"/>
    </row>
    <row r="9358" spans="104:111">
      <c r="CZ9358" s="256"/>
      <c r="DG9358" s="256"/>
    </row>
    <row r="9359" spans="104:111">
      <c r="CZ9359" s="256"/>
      <c r="DG9359" s="256"/>
    </row>
    <row r="9360" spans="104:111">
      <c r="CZ9360" s="256"/>
      <c r="DG9360" s="256"/>
    </row>
    <row r="9361" spans="104:111">
      <c r="CZ9361" s="256"/>
      <c r="DG9361" s="256"/>
    </row>
    <row r="9362" spans="104:111">
      <c r="CZ9362" s="256"/>
      <c r="DG9362" s="256"/>
    </row>
    <row r="9363" spans="104:111">
      <c r="CZ9363" s="256"/>
      <c r="DG9363" s="256"/>
    </row>
    <row r="9364" spans="104:111">
      <c r="CZ9364" s="256"/>
      <c r="DG9364" s="256"/>
    </row>
    <row r="9365" spans="104:111">
      <c r="CZ9365" s="256"/>
      <c r="DG9365" s="256"/>
    </row>
    <row r="9366" spans="104:111">
      <c r="CZ9366" s="256"/>
      <c r="DG9366" s="256"/>
    </row>
    <row r="9367" spans="104:111">
      <c r="CZ9367" s="256"/>
      <c r="DG9367" s="256"/>
    </row>
    <row r="9368" spans="104:111">
      <c r="CZ9368" s="256"/>
      <c r="DG9368" s="256"/>
    </row>
    <row r="9369" spans="104:111">
      <c r="CZ9369" s="256"/>
      <c r="DG9369" s="256"/>
    </row>
    <row r="9370" spans="104:111">
      <c r="CZ9370" s="256"/>
      <c r="DG9370" s="256"/>
    </row>
    <row r="9371" spans="104:111">
      <c r="CZ9371" s="256"/>
      <c r="DG9371" s="256"/>
    </row>
    <row r="9372" spans="104:111">
      <c r="CZ9372" s="256"/>
      <c r="DG9372" s="256"/>
    </row>
    <row r="9373" spans="104:111">
      <c r="CZ9373" s="256"/>
      <c r="DG9373" s="256"/>
    </row>
    <row r="9374" spans="104:111">
      <c r="CZ9374" s="256"/>
      <c r="DG9374" s="256"/>
    </row>
    <row r="9375" spans="104:111">
      <c r="CZ9375" s="256"/>
      <c r="DG9375" s="256"/>
    </row>
    <row r="9376" spans="104:111">
      <c r="CZ9376" s="256"/>
      <c r="DG9376" s="256"/>
    </row>
    <row r="9377" spans="104:111">
      <c r="CZ9377" s="256"/>
      <c r="DG9377" s="256"/>
    </row>
    <row r="9378" spans="104:111">
      <c r="CZ9378" s="256"/>
      <c r="DG9378" s="256"/>
    </row>
    <row r="9379" spans="104:111">
      <c r="CZ9379" s="256"/>
      <c r="DG9379" s="256"/>
    </row>
    <row r="9380" spans="104:111">
      <c r="CZ9380" s="256"/>
      <c r="DG9380" s="256"/>
    </row>
    <row r="9381" spans="104:111">
      <c r="CZ9381" s="256"/>
      <c r="DG9381" s="256"/>
    </row>
    <row r="9382" spans="104:111">
      <c r="CZ9382" s="256"/>
      <c r="DG9382" s="256"/>
    </row>
    <row r="9383" spans="104:111">
      <c r="CZ9383" s="256"/>
      <c r="DG9383" s="256"/>
    </row>
    <row r="9384" spans="104:111">
      <c r="CZ9384" s="256"/>
      <c r="DG9384" s="256"/>
    </row>
    <row r="9385" spans="104:111">
      <c r="CZ9385" s="256"/>
      <c r="DG9385" s="256"/>
    </row>
    <row r="9386" spans="104:111">
      <c r="CZ9386" s="256"/>
      <c r="DG9386" s="256"/>
    </row>
    <row r="9387" spans="104:111">
      <c r="CZ9387" s="256"/>
      <c r="DG9387" s="256"/>
    </row>
    <row r="9388" spans="104:111">
      <c r="CZ9388" s="256"/>
      <c r="DG9388" s="256"/>
    </row>
    <row r="9389" spans="104:111">
      <c r="CZ9389" s="256"/>
      <c r="DG9389" s="256"/>
    </row>
    <row r="9390" spans="104:111">
      <c r="CZ9390" s="256"/>
      <c r="DG9390" s="256"/>
    </row>
    <row r="9391" spans="104:111">
      <c r="CZ9391" s="256"/>
      <c r="DG9391" s="256"/>
    </row>
    <row r="9392" spans="104:111">
      <c r="CZ9392" s="256"/>
      <c r="DG9392" s="256"/>
    </row>
    <row r="9393" spans="104:111">
      <c r="CZ9393" s="256"/>
      <c r="DG9393" s="256"/>
    </row>
    <row r="9394" spans="104:111">
      <c r="CZ9394" s="256"/>
      <c r="DG9394" s="256"/>
    </row>
    <row r="9395" spans="104:111">
      <c r="CZ9395" s="256"/>
      <c r="DG9395" s="256"/>
    </row>
    <row r="9396" spans="104:111">
      <c r="CZ9396" s="256"/>
      <c r="DG9396" s="256"/>
    </row>
    <row r="9397" spans="104:111">
      <c r="CZ9397" s="256"/>
      <c r="DG9397" s="256"/>
    </row>
    <row r="9398" spans="104:111">
      <c r="CZ9398" s="256"/>
      <c r="DG9398" s="256"/>
    </row>
    <row r="9399" spans="104:111">
      <c r="CZ9399" s="256"/>
      <c r="DG9399" s="256"/>
    </row>
    <row r="9400" spans="104:111">
      <c r="CZ9400" s="256"/>
      <c r="DG9400" s="256"/>
    </row>
    <row r="9401" spans="104:111">
      <c r="CZ9401" s="256"/>
      <c r="DG9401" s="256"/>
    </row>
    <row r="9402" spans="104:111">
      <c r="CZ9402" s="256"/>
      <c r="DG9402" s="256"/>
    </row>
    <row r="9403" spans="104:111">
      <c r="CZ9403" s="256"/>
      <c r="DG9403" s="256"/>
    </row>
    <row r="9404" spans="104:111">
      <c r="CZ9404" s="256"/>
      <c r="DG9404" s="256"/>
    </row>
    <row r="9405" spans="104:111">
      <c r="CZ9405" s="256"/>
      <c r="DG9405" s="256"/>
    </row>
    <row r="9406" spans="104:111">
      <c r="CZ9406" s="256"/>
      <c r="DG9406" s="256"/>
    </row>
    <row r="9407" spans="104:111">
      <c r="CZ9407" s="256"/>
      <c r="DG9407" s="256"/>
    </row>
    <row r="9408" spans="104:111">
      <c r="CZ9408" s="256"/>
      <c r="DG9408" s="256"/>
    </row>
    <row r="9409" spans="104:111">
      <c r="CZ9409" s="256"/>
      <c r="DG9409" s="256"/>
    </row>
    <row r="9410" spans="104:111">
      <c r="CZ9410" s="256"/>
      <c r="DG9410" s="256"/>
    </row>
    <row r="9411" spans="104:111">
      <c r="CZ9411" s="256"/>
      <c r="DG9411" s="256"/>
    </row>
    <row r="9412" spans="104:111">
      <c r="CZ9412" s="256"/>
      <c r="DG9412" s="256"/>
    </row>
    <row r="9413" spans="104:111">
      <c r="CZ9413" s="256"/>
      <c r="DG9413" s="256"/>
    </row>
    <row r="9414" spans="104:111">
      <c r="CZ9414" s="256"/>
      <c r="DG9414" s="256"/>
    </row>
    <row r="9415" spans="104:111">
      <c r="CZ9415" s="256"/>
      <c r="DG9415" s="256"/>
    </row>
    <row r="9416" spans="104:111">
      <c r="CZ9416" s="256"/>
      <c r="DG9416" s="256"/>
    </row>
    <row r="9417" spans="104:111">
      <c r="CZ9417" s="256"/>
      <c r="DG9417" s="256"/>
    </row>
    <row r="9418" spans="104:111">
      <c r="CZ9418" s="256"/>
      <c r="DG9418" s="256"/>
    </row>
    <row r="9419" spans="104:111">
      <c r="CZ9419" s="256"/>
      <c r="DG9419" s="256"/>
    </row>
    <row r="9420" spans="104:111">
      <c r="CZ9420" s="256"/>
      <c r="DG9420" s="256"/>
    </row>
    <row r="9421" spans="104:111">
      <c r="CZ9421" s="256"/>
      <c r="DG9421" s="256"/>
    </row>
    <row r="9422" spans="104:111">
      <c r="CZ9422" s="256"/>
      <c r="DG9422" s="256"/>
    </row>
    <row r="9423" spans="104:111">
      <c r="CZ9423" s="256"/>
      <c r="DG9423" s="256"/>
    </row>
    <row r="9424" spans="104:111">
      <c r="CZ9424" s="256"/>
      <c r="DG9424" s="256"/>
    </row>
    <row r="9425" spans="104:111">
      <c r="CZ9425" s="256"/>
      <c r="DG9425" s="256"/>
    </row>
    <row r="9426" spans="104:111">
      <c r="CZ9426" s="256"/>
      <c r="DG9426" s="256"/>
    </row>
    <row r="9427" spans="104:111">
      <c r="CZ9427" s="256"/>
      <c r="DG9427" s="256"/>
    </row>
    <row r="9428" spans="104:111">
      <c r="CZ9428" s="256"/>
      <c r="DG9428" s="256"/>
    </row>
    <row r="9429" spans="104:111">
      <c r="CZ9429" s="256"/>
      <c r="DG9429" s="256"/>
    </row>
    <row r="9430" spans="104:111">
      <c r="CZ9430" s="256"/>
      <c r="DG9430" s="256"/>
    </row>
    <row r="9431" spans="104:111">
      <c r="CZ9431" s="256"/>
      <c r="DG9431" s="256"/>
    </row>
    <row r="9432" spans="104:111">
      <c r="CZ9432" s="256"/>
      <c r="DG9432" s="256"/>
    </row>
    <row r="9433" spans="104:111">
      <c r="CZ9433" s="256"/>
      <c r="DG9433" s="256"/>
    </row>
    <row r="9434" spans="104:111">
      <c r="CZ9434" s="256"/>
      <c r="DG9434" s="256"/>
    </row>
    <row r="9435" spans="104:111">
      <c r="CZ9435" s="256"/>
      <c r="DG9435" s="256"/>
    </row>
    <row r="9436" spans="104:111">
      <c r="CZ9436" s="256"/>
      <c r="DG9436" s="256"/>
    </row>
    <row r="9437" spans="104:111">
      <c r="CZ9437" s="256"/>
      <c r="DG9437" s="256"/>
    </row>
    <row r="9438" spans="104:111">
      <c r="CZ9438" s="256"/>
      <c r="DG9438" s="256"/>
    </row>
    <row r="9439" spans="104:111">
      <c r="CZ9439" s="256"/>
      <c r="DG9439" s="256"/>
    </row>
    <row r="9440" spans="104:111">
      <c r="CZ9440" s="256"/>
      <c r="DG9440" s="256"/>
    </row>
    <row r="9441" spans="104:111">
      <c r="CZ9441" s="256"/>
      <c r="DG9441" s="256"/>
    </row>
    <row r="9442" spans="104:111">
      <c r="CZ9442" s="256"/>
      <c r="DG9442" s="256"/>
    </row>
    <row r="9443" spans="104:111">
      <c r="CZ9443" s="256"/>
      <c r="DG9443" s="256"/>
    </row>
    <row r="9444" spans="104:111">
      <c r="CZ9444" s="256"/>
      <c r="DG9444" s="256"/>
    </row>
    <row r="9445" spans="104:111">
      <c r="CZ9445" s="256"/>
      <c r="DG9445" s="256"/>
    </row>
    <row r="9446" spans="104:111">
      <c r="CZ9446" s="256"/>
      <c r="DG9446" s="256"/>
    </row>
    <row r="9447" spans="104:111">
      <c r="CZ9447" s="256"/>
      <c r="DG9447" s="256"/>
    </row>
    <row r="9448" spans="104:111">
      <c r="CZ9448" s="256"/>
      <c r="DG9448" s="256"/>
    </row>
    <row r="9449" spans="104:111">
      <c r="CZ9449" s="256"/>
      <c r="DG9449" s="256"/>
    </row>
    <row r="9450" spans="104:111">
      <c r="CZ9450" s="256"/>
      <c r="DG9450" s="256"/>
    </row>
    <row r="9451" spans="104:111">
      <c r="CZ9451" s="256"/>
      <c r="DG9451" s="256"/>
    </row>
    <row r="9452" spans="104:111">
      <c r="CZ9452" s="256"/>
      <c r="DG9452" s="256"/>
    </row>
    <row r="9453" spans="104:111">
      <c r="CZ9453" s="256"/>
      <c r="DG9453" s="256"/>
    </row>
    <row r="9454" spans="104:111">
      <c r="CZ9454" s="256"/>
      <c r="DG9454" s="256"/>
    </row>
    <row r="9455" spans="104:111">
      <c r="CZ9455" s="256"/>
      <c r="DG9455" s="256"/>
    </row>
    <row r="9456" spans="104:111">
      <c r="CZ9456" s="256"/>
      <c r="DG9456" s="256"/>
    </row>
    <row r="9457" spans="104:111">
      <c r="CZ9457" s="256"/>
      <c r="DG9457" s="256"/>
    </row>
    <row r="9458" spans="104:111">
      <c r="CZ9458" s="256"/>
      <c r="DG9458" s="256"/>
    </row>
    <row r="9459" spans="104:111">
      <c r="CZ9459" s="256"/>
      <c r="DG9459" s="256"/>
    </row>
    <row r="9460" spans="104:111">
      <c r="CZ9460" s="256"/>
      <c r="DG9460" s="256"/>
    </row>
    <row r="9461" spans="104:111">
      <c r="CZ9461" s="256"/>
      <c r="DG9461" s="256"/>
    </row>
    <row r="9462" spans="104:111">
      <c r="CZ9462" s="256"/>
      <c r="DG9462" s="256"/>
    </row>
    <row r="9463" spans="104:111">
      <c r="CZ9463" s="256"/>
      <c r="DG9463" s="256"/>
    </row>
    <row r="9464" spans="104:111">
      <c r="CZ9464" s="256"/>
      <c r="DG9464" s="256"/>
    </row>
    <row r="9465" spans="104:111">
      <c r="CZ9465" s="256"/>
      <c r="DG9465" s="256"/>
    </row>
    <row r="9466" spans="104:111">
      <c r="CZ9466" s="256"/>
      <c r="DG9466" s="256"/>
    </row>
    <row r="9467" spans="104:111">
      <c r="CZ9467" s="256"/>
      <c r="DG9467" s="256"/>
    </row>
    <row r="9468" spans="104:111">
      <c r="CZ9468" s="256"/>
      <c r="DG9468" s="256"/>
    </row>
    <row r="9469" spans="104:111">
      <c r="CZ9469" s="256"/>
      <c r="DG9469" s="256"/>
    </row>
    <row r="9470" spans="104:111">
      <c r="CZ9470" s="256"/>
      <c r="DG9470" s="256"/>
    </row>
    <row r="9471" spans="104:111">
      <c r="CZ9471" s="256"/>
      <c r="DG9471" s="256"/>
    </row>
    <row r="9472" spans="104:111">
      <c r="CZ9472" s="256"/>
      <c r="DG9472" s="256"/>
    </row>
    <row r="9473" spans="104:111">
      <c r="CZ9473" s="256"/>
      <c r="DG9473" s="256"/>
    </row>
    <row r="9474" spans="104:111">
      <c r="CZ9474" s="256"/>
      <c r="DG9474" s="256"/>
    </row>
    <row r="9475" spans="104:111">
      <c r="CZ9475" s="256"/>
      <c r="DG9475" s="256"/>
    </row>
    <row r="9476" spans="104:111">
      <c r="CZ9476" s="256"/>
      <c r="DG9476" s="256"/>
    </row>
    <row r="9477" spans="104:111">
      <c r="CZ9477" s="256"/>
      <c r="DG9477" s="256"/>
    </row>
    <row r="9478" spans="104:111">
      <c r="CZ9478" s="256"/>
      <c r="DG9478" s="256"/>
    </row>
    <row r="9479" spans="104:111">
      <c r="CZ9479" s="256"/>
      <c r="DG9479" s="256"/>
    </row>
    <row r="9480" spans="104:111">
      <c r="CZ9480" s="256"/>
      <c r="DG9480" s="256"/>
    </row>
    <row r="9481" spans="104:111">
      <c r="CZ9481" s="256"/>
      <c r="DG9481" s="256"/>
    </row>
    <row r="9482" spans="104:111">
      <c r="CZ9482" s="256"/>
      <c r="DG9482" s="256"/>
    </row>
    <row r="9483" spans="104:111">
      <c r="CZ9483" s="256"/>
      <c r="DG9483" s="256"/>
    </row>
    <row r="9484" spans="104:111">
      <c r="CZ9484" s="256"/>
      <c r="DG9484" s="256"/>
    </row>
    <row r="9485" spans="104:111">
      <c r="CZ9485" s="256"/>
      <c r="DG9485" s="256"/>
    </row>
    <row r="9486" spans="104:111">
      <c r="CZ9486" s="256"/>
      <c r="DG9486" s="256"/>
    </row>
    <row r="9487" spans="104:111">
      <c r="CZ9487" s="256"/>
      <c r="DG9487" s="256"/>
    </row>
    <row r="9488" spans="104:111">
      <c r="CZ9488" s="256"/>
      <c r="DG9488" s="256"/>
    </row>
    <row r="9489" spans="104:111">
      <c r="CZ9489" s="256"/>
      <c r="DG9489" s="256"/>
    </row>
    <row r="9490" spans="104:111">
      <c r="CZ9490" s="256"/>
      <c r="DG9490" s="256"/>
    </row>
    <row r="9491" spans="104:111">
      <c r="CZ9491" s="256"/>
      <c r="DG9491" s="256"/>
    </row>
    <row r="9492" spans="104:111">
      <c r="CZ9492" s="256"/>
      <c r="DG9492" s="256"/>
    </row>
    <row r="9493" spans="104:111">
      <c r="CZ9493" s="256"/>
      <c r="DG9493" s="256"/>
    </row>
    <row r="9494" spans="104:111">
      <c r="CZ9494" s="256"/>
      <c r="DG9494" s="256"/>
    </row>
    <row r="9495" spans="104:111">
      <c r="CZ9495" s="256"/>
      <c r="DG9495" s="256"/>
    </row>
    <row r="9496" spans="104:111">
      <c r="CZ9496" s="256"/>
      <c r="DG9496" s="256"/>
    </row>
    <row r="9497" spans="104:111">
      <c r="CZ9497" s="256"/>
      <c r="DG9497" s="256"/>
    </row>
    <row r="9498" spans="104:111">
      <c r="CZ9498" s="256"/>
      <c r="DG9498" s="256"/>
    </row>
    <row r="9499" spans="104:111">
      <c r="CZ9499" s="256"/>
      <c r="DG9499" s="256"/>
    </row>
    <row r="9500" spans="104:111">
      <c r="CZ9500" s="256"/>
      <c r="DG9500" s="256"/>
    </row>
    <row r="9501" spans="104:111">
      <c r="CZ9501" s="256"/>
      <c r="DG9501" s="256"/>
    </row>
    <row r="9502" spans="104:111">
      <c r="CZ9502" s="256"/>
      <c r="DG9502" s="256"/>
    </row>
    <row r="9503" spans="104:111">
      <c r="CZ9503" s="256"/>
      <c r="DG9503" s="256"/>
    </row>
    <row r="9504" spans="104:111">
      <c r="CZ9504" s="256"/>
      <c r="DG9504" s="256"/>
    </row>
    <row r="9505" spans="104:111">
      <c r="CZ9505" s="256"/>
      <c r="DG9505" s="256"/>
    </row>
    <row r="9506" spans="104:111">
      <c r="CZ9506" s="256"/>
      <c r="DG9506" s="256"/>
    </row>
    <row r="9507" spans="104:111">
      <c r="CZ9507" s="256"/>
      <c r="DG9507" s="256"/>
    </row>
    <row r="9508" spans="104:111">
      <c r="CZ9508" s="256"/>
      <c r="DG9508" s="256"/>
    </row>
    <row r="9509" spans="104:111">
      <c r="CZ9509" s="256"/>
      <c r="DG9509" s="256"/>
    </row>
    <row r="9510" spans="104:111">
      <c r="CZ9510" s="256"/>
      <c r="DG9510" s="256"/>
    </row>
    <row r="9511" spans="104:111">
      <c r="CZ9511" s="256"/>
      <c r="DG9511" s="256"/>
    </row>
    <row r="9512" spans="104:111">
      <c r="CZ9512" s="256"/>
      <c r="DG9512" s="256"/>
    </row>
    <row r="9513" spans="104:111">
      <c r="CZ9513" s="256"/>
      <c r="DG9513" s="256"/>
    </row>
    <row r="9514" spans="104:111">
      <c r="CZ9514" s="256"/>
      <c r="DG9514" s="256"/>
    </row>
    <row r="9515" spans="104:111">
      <c r="CZ9515" s="256"/>
      <c r="DG9515" s="256"/>
    </row>
    <row r="9516" spans="104:111">
      <c r="CZ9516" s="256"/>
      <c r="DG9516" s="256"/>
    </row>
    <row r="9517" spans="104:111">
      <c r="CZ9517" s="256"/>
      <c r="DG9517" s="256"/>
    </row>
    <row r="9518" spans="104:111">
      <c r="CZ9518" s="256"/>
      <c r="DG9518" s="256"/>
    </row>
    <row r="9519" spans="104:111">
      <c r="CZ9519" s="256"/>
      <c r="DG9519" s="256"/>
    </row>
    <row r="9520" spans="104:111">
      <c r="CZ9520" s="256"/>
      <c r="DG9520" s="256"/>
    </row>
    <row r="9521" spans="104:111">
      <c r="CZ9521" s="256"/>
      <c r="DG9521" s="256"/>
    </row>
    <row r="9522" spans="104:111">
      <c r="CZ9522" s="256"/>
      <c r="DG9522" s="256"/>
    </row>
    <row r="9523" spans="104:111">
      <c r="CZ9523" s="256"/>
      <c r="DG9523" s="256"/>
    </row>
    <row r="9524" spans="104:111">
      <c r="CZ9524" s="256"/>
      <c r="DG9524" s="256"/>
    </row>
    <row r="9525" spans="104:111">
      <c r="CZ9525" s="256"/>
      <c r="DG9525" s="256"/>
    </row>
    <row r="9526" spans="104:111">
      <c r="CZ9526" s="256"/>
      <c r="DG9526" s="256"/>
    </row>
    <row r="9527" spans="104:111">
      <c r="CZ9527" s="256"/>
      <c r="DG9527" s="256"/>
    </row>
    <row r="9528" spans="104:111">
      <c r="CZ9528" s="256"/>
      <c r="DG9528" s="256"/>
    </row>
    <row r="9529" spans="104:111">
      <c r="CZ9529" s="256"/>
      <c r="DG9529" s="256"/>
    </row>
    <row r="9530" spans="104:111">
      <c r="CZ9530" s="256"/>
      <c r="DG9530" s="256"/>
    </row>
    <row r="9531" spans="104:111">
      <c r="CZ9531" s="256"/>
      <c r="DG9531" s="256"/>
    </row>
    <row r="9532" spans="104:111">
      <c r="CZ9532" s="256"/>
      <c r="DG9532" s="256"/>
    </row>
    <row r="9533" spans="104:111">
      <c r="CZ9533" s="256"/>
      <c r="DG9533" s="256"/>
    </row>
    <row r="9534" spans="104:111">
      <c r="CZ9534" s="256"/>
      <c r="DG9534" s="256"/>
    </row>
    <row r="9535" spans="104:111">
      <c r="CZ9535" s="256"/>
      <c r="DG9535" s="256"/>
    </row>
    <row r="9536" spans="104:111">
      <c r="CZ9536" s="256"/>
      <c r="DG9536" s="256"/>
    </row>
    <row r="9537" spans="104:111">
      <c r="CZ9537" s="256"/>
      <c r="DG9537" s="256"/>
    </row>
    <row r="9538" spans="104:111">
      <c r="CZ9538" s="256"/>
      <c r="DG9538" s="256"/>
    </row>
    <row r="9539" spans="104:111">
      <c r="CZ9539" s="256"/>
      <c r="DG9539" s="256"/>
    </row>
    <row r="9540" spans="104:111">
      <c r="CZ9540" s="256"/>
      <c r="DG9540" s="256"/>
    </row>
    <row r="9541" spans="104:111">
      <c r="CZ9541" s="256"/>
      <c r="DG9541" s="256"/>
    </row>
    <row r="9542" spans="104:111">
      <c r="CZ9542" s="256"/>
      <c r="DG9542" s="256"/>
    </row>
    <row r="9543" spans="104:111">
      <c r="CZ9543" s="256"/>
      <c r="DG9543" s="256"/>
    </row>
    <row r="9544" spans="104:111">
      <c r="CZ9544" s="256"/>
      <c r="DG9544" s="256"/>
    </row>
    <row r="9545" spans="104:111">
      <c r="CZ9545" s="256"/>
      <c r="DG9545" s="256"/>
    </row>
    <row r="9546" spans="104:111">
      <c r="CZ9546" s="256"/>
      <c r="DG9546" s="256"/>
    </row>
    <row r="9547" spans="104:111">
      <c r="CZ9547" s="256"/>
      <c r="DG9547" s="256"/>
    </row>
    <row r="9548" spans="104:111">
      <c r="CZ9548" s="256"/>
      <c r="DG9548" s="256"/>
    </row>
    <row r="9549" spans="104:111">
      <c r="CZ9549" s="256"/>
      <c r="DG9549" s="256"/>
    </row>
    <row r="9550" spans="104:111">
      <c r="CZ9550" s="256"/>
      <c r="DG9550" s="256"/>
    </row>
    <row r="9551" spans="104:111">
      <c r="CZ9551" s="256"/>
      <c r="DG9551" s="256"/>
    </row>
    <row r="9552" spans="104:111">
      <c r="CZ9552" s="256"/>
      <c r="DG9552" s="256"/>
    </row>
    <row r="9553" spans="104:111">
      <c r="CZ9553" s="256"/>
      <c r="DG9553" s="256"/>
    </row>
    <row r="9554" spans="104:111">
      <c r="CZ9554" s="256"/>
      <c r="DG9554" s="256"/>
    </row>
    <row r="9555" spans="104:111">
      <c r="CZ9555" s="256"/>
      <c r="DG9555" s="256"/>
    </row>
    <row r="9556" spans="104:111">
      <c r="CZ9556" s="256"/>
      <c r="DG9556" s="256"/>
    </row>
    <row r="9557" spans="104:111">
      <c r="CZ9557" s="256"/>
      <c r="DG9557" s="256"/>
    </row>
    <row r="9558" spans="104:111">
      <c r="CZ9558" s="256"/>
      <c r="DG9558" s="256"/>
    </row>
    <row r="9559" spans="104:111">
      <c r="CZ9559" s="256"/>
      <c r="DG9559" s="256"/>
    </row>
    <row r="9560" spans="104:111">
      <c r="CZ9560" s="256"/>
      <c r="DG9560" s="256"/>
    </row>
    <row r="9561" spans="104:111">
      <c r="CZ9561" s="256"/>
      <c r="DG9561" s="256"/>
    </row>
    <row r="9562" spans="104:111">
      <c r="CZ9562" s="256"/>
      <c r="DG9562" s="256"/>
    </row>
    <row r="9563" spans="104:111">
      <c r="CZ9563" s="256"/>
      <c r="DG9563" s="256"/>
    </row>
    <row r="9564" spans="104:111">
      <c r="CZ9564" s="256"/>
      <c r="DG9564" s="256"/>
    </row>
    <row r="9565" spans="104:111">
      <c r="CZ9565" s="256"/>
      <c r="DG9565" s="256"/>
    </row>
    <row r="9566" spans="104:111">
      <c r="CZ9566" s="256"/>
      <c r="DG9566" s="256"/>
    </row>
    <row r="9567" spans="104:111">
      <c r="CZ9567" s="256"/>
      <c r="DG9567" s="256"/>
    </row>
    <row r="9568" spans="104:111">
      <c r="CZ9568" s="256"/>
      <c r="DG9568" s="256"/>
    </row>
    <row r="9569" spans="104:111">
      <c r="CZ9569" s="256"/>
      <c r="DG9569" s="256"/>
    </row>
    <row r="9570" spans="104:111">
      <c r="CZ9570" s="256"/>
      <c r="DG9570" s="256"/>
    </row>
    <row r="9571" spans="104:111">
      <c r="CZ9571" s="256"/>
      <c r="DG9571" s="256"/>
    </row>
    <row r="9572" spans="104:111">
      <c r="CZ9572" s="256"/>
      <c r="DG9572" s="256"/>
    </row>
    <row r="9573" spans="104:111">
      <c r="CZ9573" s="256"/>
      <c r="DG9573" s="256"/>
    </row>
    <row r="9574" spans="104:111">
      <c r="CZ9574" s="256"/>
      <c r="DG9574" s="256"/>
    </row>
    <row r="9575" spans="104:111">
      <c r="CZ9575" s="256"/>
      <c r="DG9575" s="256"/>
    </row>
    <row r="9576" spans="104:111">
      <c r="CZ9576" s="256"/>
      <c r="DG9576" s="256"/>
    </row>
    <row r="9577" spans="104:111">
      <c r="CZ9577" s="256"/>
      <c r="DG9577" s="256"/>
    </row>
    <row r="9578" spans="104:111">
      <c r="CZ9578" s="256"/>
      <c r="DG9578" s="256"/>
    </row>
    <row r="9579" spans="104:111">
      <c r="CZ9579" s="256"/>
      <c r="DG9579" s="256"/>
    </row>
    <row r="9580" spans="104:111">
      <c r="CZ9580" s="256"/>
      <c r="DG9580" s="256"/>
    </row>
    <row r="9581" spans="104:111">
      <c r="CZ9581" s="256"/>
      <c r="DG9581" s="256"/>
    </row>
    <row r="9582" spans="104:111">
      <c r="CZ9582" s="256"/>
      <c r="DG9582" s="256"/>
    </row>
    <row r="9583" spans="104:111">
      <c r="CZ9583" s="256"/>
      <c r="DG9583" s="256"/>
    </row>
    <row r="9584" spans="104:111">
      <c r="CZ9584" s="256"/>
      <c r="DG9584" s="256"/>
    </row>
    <row r="9585" spans="104:111">
      <c r="CZ9585" s="256"/>
      <c r="DG9585" s="256"/>
    </row>
    <row r="9586" spans="104:111">
      <c r="CZ9586" s="256"/>
      <c r="DG9586" s="256"/>
    </row>
    <row r="9587" spans="104:111">
      <c r="CZ9587" s="256"/>
      <c r="DG9587" s="256"/>
    </row>
    <row r="9588" spans="104:111">
      <c r="CZ9588" s="256"/>
      <c r="DG9588" s="256"/>
    </row>
    <row r="9589" spans="104:111">
      <c r="CZ9589" s="256"/>
      <c r="DG9589" s="256"/>
    </row>
    <row r="9590" spans="104:111">
      <c r="CZ9590" s="256"/>
      <c r="DG9590" s="256"/>
    </row>
    <row r="9591" spans="104:111">
      <c r="CZ9591" s="256"/>
      <c r="DG9591" s="256"/>
    </row>
    <row r="9592" spans="104:111">
      <c r="CZ9592" s="256"/>
      <c r="DG9592" s="256"/>
    </row>
    <row r="9593" spans="104:111">
      <c r="CZ9593" s="256"/>
      <c r="DG9593" s="256"/>
    </row>
    <row r="9594" spans="104:111">
      <c r="CZ9594" s="256"/>
      <c r="DG9594" s="256"/>
    </row>
    <row r="9595" spans="104:111">
      <c r="CZ9595" s="256"/>
      <c r="DG9595" s="256"/>
    </row>
    <row r="9596" spans="104:111">
      <c r="CZ9596" s="256"/>
      <c r="DG9596" s="256"/>
    </row>
    <row r="9597" spans="104:111">
      <c r="CZ9597" s="256"/>
      <c r="DG9597" s="256"/>
    </row>
    <row r="9598" spans="104:111">
      <c r="CZ9598" s="256"/>
      <c r="DG9598" s="256"/>
    </row>
    <row r="9599" spans="104:111">
      <c r="CZ9599" s="256"/>
      <c r="DG9599" s="256"/>
    </row>
    <row r="9600" spans="104:111">
      <c r="CZ9600" s="256"/>
      <c r="DG9600" s="256"/>
    </row>
    <row r="9601" spans="104:111">
      <c r="CZ9601" s="256"/>
      <c r="DG9601" s="256"/>
    </row>
    <row r="9602" spans="104:111">
      <c r="CZ9602" s="256"/>
      <c r="DG9602" s="256"/>
    </row>
    <row r="9603" spans="104:111">
      <c r="CZ9603" s="256"/>
      <c r="DG9603" s="256"/>
    </row>
    <row r="9604" spans="104:111">
      <c r="CZ9604" s="256"/>
      <c r="DG9604" s="256"/>
    </row>
    <row r="9605" spans="104:111">
      <c r="CZ9605" s="256"/>
      <c r="DG9605" s="256"/>
    </row>
    <row r="9606" spans="104:111">
      <c r="CZ9606" s="256"/>
      <c r="DG9606" s="256"/>
    </row>
    <row r="9607" spans="104:111">
      <c r="CZ9607" s="256"/>
      <c r="DG9607" s="256"/>
    </row>
    <row r="9608" spans="104:111">
      <c r="CZ9608" s="256"/>
      <c r="DG9608" s="256"/>
    </row>
    <row r="9609" spans="104:111">
      <c r="CZ9609" s="256"/>
      <c r="DG9609" s="256"/>
    </row>
    <row r="9610" spans="104:111">
      <c r="CZ9610" s="256"/>
      <c r="DG9610" s="256"/>
    </row>
    <row r="9611" spans="104:111">
      <c r="CZ9611" s="256"/>
      <c r="DG9611" s="256"/>
    </row>
    <row r="9612" spans="104:111">
      <c r="CZ9612" s="256"/>
      <c r="DG9612" s="256"/>
    </row>
    <row r="9613" spans="104:111">
      <c r="CZ9613" s="256"/>
      <c r="DG9613" s="256"/>
    </row>
    <row r="9614" spans="104:111">
      <c r="CZ9614" s="256"/>
      <c r="DG9614" s="256"/>
    </row>
    <row r="9615" spans="104:111">
      <c r="CZ9615" s="256"/>
      <c r="DG9615" s="256"/>
    </row>
    <row r="9616" spans="104:111">
      <c r="CZ9616" s="256"/>
      <c r="DG9616" s="256"/>
    </row>
    <row r="9617" spans="104:111">
      <c r="CZ9617" s="256"/>
      <c r="DG9617" s="256"/>
    </row>
    <row r="9618" spans="104:111">
      <c r="CZ9618" s="256"/>
      <c r="DG9618" s="256"/>
    </row>
    <row r="9619" spans="104:111">
      <c r="CZ9619" s="256"/>
      <c r="DG9619" s="256"/>
    </row>
    <row r="9620" spans="104:111">
      <c r="CZ9620" s="256"/>
      <c r="DG9620" s="256"/>
    </row>
    <row r="9621" spans="104:111">
      <c r="CZ9621" s="256"/>
      <c r="DG9621" s="256"/>
    </row>
    <row r="9622" spans="104:111">
      <c r="CZ9622" s="256"/>
      <c r="DG9622" s="256"/>
    </row>
    <row r="9623" spans="104:111">
      <c r="CZ9623" s="256"/>
      <c r="DG9623" s="256"/>
    </row>
    <row r="9624" spans="104:111">
      <c r="CZ9624" s="256"/>
      <c r="DG9624" s="256"/>
    </row>
    <row r="9625" spans="104:111">
      <c r="CZ9625" s="256"/>
      <c r="DG9625" s="256"/>
    </row>
    <row r="9626" spans="104:111">
      <c r="CZ9626" s="256"/>
      <c r="DG9626" s="256"/>
    </row>
    <row r="9627" spans="104:111">
      <c r="CZ9627" s="256"/>
      <c r="DG9627" s="256"/>
    </row>
    <row r="9628" spans="104:111">
      <c r="CZ9628" s="256"/>
      <c r="DG9628" s="256"/>
    </row>
    <row r="9629" spans="104:111">
      <c r="CZ9629" s="256"/>
      <c r="DG9629" s="256"/>
    </row>
    <row r="9630" spans="104:111">
      <c r="CZ9630" s="256"/>
      <c r="DG9630" s="256"/>
    </row>
    <row r="9631" spans="104:111">
      <c r="CZ9631" s="256"/>
      <c r="DG9631" s="256"/>
    </row>
    <row r="9632" spans="104:111">
      <c r="CZ9632" s="256"/>
      <c r="DG9632" s="256"/>
    </row>
    <row r="9633" spans="104:111">
      <c r="CZ9633" s="256"/>
      <c r="DG9633" s="256"/>
    </row>
    <row r="9634" spans="104:111">
      <c r="CZ9634" s="256"/>
      <c r="DG9634" s="256"/>
    </row>
    <row r="9635" spans="104:111">
      <c r="CZ9635" s="256"/>
      <c r="DG9635" s="256"/>
    </row>
    <row r="9636" spans="104:111">
      <c r="CZ9636" s="256"/>
      <c r="DG9636" s="256"/>
    </row>
    <row r="9637" spans="104:111">
      <c r="CZ9637" s="256"/>
      <c r="DG9637" s="256"/>
    </row>
    <row r="9638" spans="104:111">
      <c r="CZ9638" s="256"/>
      <c r="DG9638" s="256"/>
    </row>
    <row r="9639" spans="104:111">
      <c r="CZ9639" s="256"/>
      <c r="DG9639" s="256"/>
    </row>
    <row r="9640" spans="104:111">
      <c r="CZ9640" s="256"/>
      <c r="DG9640" s="256"/>
    </row>
    <row r="9641" spans="104:111">
      <c r="CZ9641" s="256"/>
      <c r="DG9641" s="256"/>
    </row>
    <row r="9642" spans="104:111">
      <c r="CZ9642" s="256"/>
      <c r="DG9642" s="256"/>
    </row>
    <row r="9643" spans="104:111">
      <c r="CZ9643" s="256"/>
      <c r="DG9643" s="256"/>
    </row>
    <row r="9644" spans="104:111">
      <c r="CZ9644" s="256"/>
      <c r="DG9644" s="256"/>
    </row>
    <row r="9645" spans="104:111">
      <c r="CZ9645" s="256"/>
      <c r="DG9645" s="256"/>
    </row>
    <row r="9646" spans="104:111">
      <c r="CZ9646" s="256"/>
      <c r="DG9646" s="256"/>
    </row>
    <row r="9647" spans="104:111">
      <c r="CZ9647" s="256"/>
      <c r="DG9647" s="256"/>
    </row>
    <row r="9648" spans="104:111">
      <c r="CZ9648" s="256"/>
      <c r="DG9648" s="256"/>
    </row>
    <row r="9649" spans="104:111">
      <c r="CZ9649" s="256"/>
      <c r="DG9649" s="256"/>
    </row>
    <row r="9650" spans="104:111">
      <c r="CZ9650" s="256"/>
      <c r="DG9650" s="256"/>
    </row>
    <row r="9651" spans="104:111">
      <c r="CZ9651" s="256"/>
      <c r="DG9651" s="256"/>
    </row>
    <row r="9652" spans="104:111">
      <c r="CZ9652" s="256"/>
      <c r="DG9652" s="256"/>
    </row>
    <row r="9653" spans="104:111">
      <c r="CZ9653" s="256"/>
      <c r="DG9653" s="256"/>
    </row>
    <row r="9654" spans="104:111">
      <c r="CZ9654" s="256"/>
      <c r="DG9654" s="256"/>
    </row>
    <row r="9655" spans="104:111">
      <c r="CZ9655" s="256"/>
      <c r="DG9655" s="256"/>
    </row>
    <row r="9656" spans="104:111">
      <c r="CZ9656" s="256"/>
      <c r="DG9656" s="256"/>
    </row>
    <row r="9657" spans="104:111">
      <c r="CZ9657" s="256"/>
      <c r="DG9657" s="256"/>
    </row>
    <row r="9658" spans="104:111">
      <c r="CZ9658" s="256"/>
      <c r="DG9658" s="256"/>
    </row>
    <row r="9659" spans="104:111">
      <c r="CZ9659" s="256"/>
      <c r="DG9659" s="256"/>
    </row>
    <row r="9660" spans="104:111">
      <c r="CZ9660" s="256"/>
      <c r="DG9660" s="256"/>
    </row>
    <row r="9661" spans="104:111">
      <c r="CZ9661" s="256"/>
      <c r="DG9661" s="256"/>
    </row>
    <row r="9662" spans="104:111">
      <c r="CZ9662" s="256"/>
      <c r="DG9662" s="256"/>
    </row>
    <row r="9663" spans="104:111">
      <c r="CZ9663" s="256"/>
      <c r="DG9663" s="256"/>
    </row>
    <row r="9664" spans="104:111">
      <c r="CZ9664" s="256"/>
      <c r="DG9664" s="256"/>
    </row>
    <row r="9665" spans="104:111">
      <c r="CZ9665" s="256"/>
      <c r="DG9665" s="256"/>
    </row>
    <row r="9666" spans="104:111">
      <c r="CZ9666" s="256"/>
      <c r="DG9666" s="256"/>
    </row>
    <row r="9667" spans="104:111">
      <c r="CZ9667" s="256"/>
      <c r="DG9667" s="256"/>
    </row>
    <row r="9668" spans="104:111">
      <c r="CZ9668" s="256"/>
      <c r="DG9668" s="256"/>
    </row>
    <row r="9669" spans="104:111">
      <c r="CZ9669" s="256"/>
      <c r="DG9669" s="256"/>
    </row>
    <row r="9670" spans="104:111">
      <c r="CZ9670" s="256"/>
      <c r="DG9670" s="256"/>
    </row>
    <row r="9671" spans="104:111">
      <c r="CZ9671" s="256"/>
      <c r="DG9671" s="256"/>
    </row>
    <row r="9672" spans="104:111">
      <c r="CZ9672" s="256"/>
      <c r="DG9672" s="256"/>
    </row>
    <row r="9673" spans="104:111">
      <c r="CZ9673" s="256"/>
      <c r="DG9673" s="256"/>
    </row>
    <row r="9674" spans="104:111">
      <c r="CZ9674" s="256"/>
      <c r="DG9674" s="256"/>
    </row>
    <row r="9675" spans="104:111">
      <c r="CZ9675" s="256"/>
      <c r="DG9675" s="256"/>
    </row>
    <row r="9676" spans="104:111">
      <c r="CZ9676" s="256"/>
      <c r="DG9676" s="256"/>
    </row>
    <row r="9677" spans="104:111">
      <c r="CZ9677" s="256"/>
      <c r="DG9677" s="256"/>
    </row>
    <row r="9678" spans="104:111">
      <c r="CZ9678" s="256"/>
      <c r="DG9678" s="256"/>
    </row>
    <row r="9679" spans="104:111">
      <c r="CZ9679" s="256"/>
      <c r="DG9679" s="256"/>
    </row>
    <row r="9680" spans="104:111">
      <c r="CZ9680" s="256"/>
      <c r="DG9680" s="256"/>
    </row>
    <row r="9681" spans="104:111">
      <c r="CZ9681" s="256"/>
      <c r="DG9681" s="256"/>
    </row>
    <row r="9682" spans="104:111">
      <c r="CZ9682" s="256"/>
      <c r="DG9682" s="256"/>
    </row>
    <row r="9683" spans="104:111">
      <c r="CZ9683" s="256"/>
      <c r="DG9683" s="256"/>
    </row>
    <row r="9684" spans="104:111">
      <c r="CZ9684" s="256"/>
      <c r="DG9684" s="256"/>
    </row>
    <row r="9685" spans="104:111">
      <c r="CZ9685" s="256"/>
      <c r="DG9685" s="256"/>
    </row>
    <row r="9686" spans="104:111">
      <c r="CZ9686" s="256"/>
      <c r="DG9686" s="256"/>
    </row>
    <row r="9687" spans="104:111">
      <c r="CZ9687" s="256"/>
      <c r="DG9687" s="256"/>
    </row>
    <row r="9688" spans="104:111">
      <c r="CZ9688" s="256"/>
      <c r="DG9688" s="256"/>
    </row>
    <row r="9689" spans="104:111">
      <c r="CZ9689" s="256"/>
      <c r="DG9689" s="256"/>
    </row>
    <row r="9690" spans="104:111">
      <c r="CZ9690" s="256"/>
      <c r="DG9690" s="256"/>
    </row>
    <row r="9691" spans="104:111">
      <c r="CZ9691" s="256"/>
      <c r="DG9691" s="256"/>
    </row>
    <row r="9692" spans="104:111">
      <c r="CZ9692" s="256"/>
      <c r="DG9692" s="256"/>
    </row>
    <row r="9693" spans="104:111">
      <c r="CZ9693" s="256"/>
      <c r="DG9693" s="256"/>
    </row>
    <row r="9694" spans="104:111">
      <c r="CZ9694" s="256"/>
      <c r="DG9694" s="256"/>
    </row>
    <row r="9695" spans="104:111">
      <c r="CZ9695" s="256"/>
      <c r="DG9695" s="256"/>
    </row>
    <row r="9696" spans="104:111">
      <c r="CZ9696" s="256"/>
      <c r="DG9696" s="256"/>
    </row>
    <row r="9697" spans="104:111">
      <c r="CZ9697" s="256"/>
      <c r="DG9697" s="256"/>
    </row>
    <row r="9698" spans="104:111">
      <c r="CZ9698" s="256"/>
      <c r="DG9698" s="256"/>
    </row>
    <row r="9699" spans="104:111">
      <c r="CZ9699" s="256"/>
      <c r="DG9699" s="256"/>
    </row>
    <row r="9700" spans="104:111">
      <c r="CZ9700" s="256"/>
      <c r="DG9700" s="256"/>
    </row>
    <row r="9701" spans="104:111">
      <c r="CZ9701" s="256"/>
      <c r="DG9701" s="256"/>
    </row>
    <row r="9702" spans="104:111">
      <c r="CZ9702" s="256"/>
      <c r="DG9702" s="256"/>
    </row>
    <row r="9703" spans="104:111">
      <c r="CZ9703" s="256"/>
      <c r="DG9703" s="256"/>
    </row>
    <row r="9704" spans="104:111">
      <c r="CZ9704" s="256"/>
      <c r="DG9704" s="256"/>
    </row>
    <row r="9705" spans="104:111">
      <c r="CZ9705" s="256"/>
      <c r="DG9705" s="256"/>
    </row>
    <row r="9706" spans="104:111">
      <c r="CZ9706" s="256"/>
      <c r="DG9706" s="256"/>
    </row>
    <row r="9707" spans="104:111">
      <c r="CZ9707" s="256"/>
      <c r="DG9707" s="256"/>
    </row>
    <row r="9708" spans="104:111">
      <c r="CZ9708" s="256"/>
      <c r="DG9708" s="256"/>
    </row>
    <row r="9709" spans="104:111">
      <c r="CZ9709" s="256"/>
      <c r="DG9709" s="256"/>
    </row>
    <row r="9710" spans="104:111">
      <c r="CZ9710" s="256"/>
      <c r="DG9710" s="256"/>
    </row>
    <row r="9711" spans="104:111">
      <c r="CZ9711" s="256"/>
      <c r="DG9711" s="256"/>
    </row>
    <row r="9712" spans="104:111">
      <c r="CZ9712" s="256"/>
      <c r="DG9712" s="256"/>
    </row>
    <row r="9713" spans="104:111">
      <c r="CZ9713" s="256"/>
      <c r="DG9713" s="256"/>
    </row>
    <row r="9714" spans="104:111">
      <c r="CZ9714" s="256"/>
      <c r="DG9714" s="256"/>
    </row>
    <row r="9715" spans="104:111">
      <c r="CZ9715" s="256"/>
      <c r="DG9715" s="256"/>
    </row>
    <row r="9716" spans="104:111">
      <c r="CZ9716" s="256"/>
      <c r="DG9716" s="256"/>
    </row>
    <row r="9717" spans="104:111">
      <c r="CZ9717" s="256"/>
      <c r="DG9717" s="256"/>
    </row>
    <row r="9718" spans="104:111">
      <c r="CZ9718" s="256"/>
      <c r="DG9718" s="256"/>
    </row>
    <row r="9719" spans="104:111">
      <c r="CZ9719" s="256"/>
      <c r="DG9719" s="256"/>
    </row>
    <row r="9720" spans="104:111">
      <c r="CZ9720" s="256"/>
      <c r="DG9720" s="256"/>
    </row>
    <row r="9721" spans="104:111">
      <c r="CZ9721" s="256"/>
      <c r="DG9721" s="256"/>
    </row>
    <row r="9722" spans="104:111">
      <c r="CZ9722" s="256"/>
      <c r="DG9722" s="256"/>
    </row>
    <row r="9723" spans="104:111">
      <c r="CZ9723" s="256"/>
      <c r="DG9723" s="256"/>
    </row>
    <row r="9724" spans="104:111">
      <c r="CZ9724" s="256"/>
      <c r="DG9724" s="256"/>
    </row>
    <row r="9725" spans="104:111">
      <c r="CZ9725" s="256"/>
      <c r="DG9725" s="256"/>
    </row>
    <row r="9726" spans="104:111">
      <c r="CZ9726" s="256"/>
      <c r="DG9726" s="256"/>
    </row>
    <row r="9727" spans="104:111">
      <c r="CZ9727" s="256"/>
      <c r="DG9727" s="256"/>
    </row>
    <row r="9728" spans="104:111">
      <c r="CZ9728" s="256"/>
      <c r="DG9728" s="256"/>
    </row>
    <row r="9729" spans="104:111">
      <c r="CZ9729" s="256"/>
      <c r="DG9729" s="256"/>
    </row>
    <row r="9730" spans="104:111">
      <c r="CZ9730" s="256"/>
      <c r="DG9730" s="256"/>
    </row>
    <row r="9731" spans="104:111">
      <c r="CZ9731" s="256"/>
      <c r="DG9731" s="256"/>
    </row>
    <row r="9732" spans="104:111">
      <c r="CZ9732" s="256"/>
      <c r="DG9732" s="256"/>
    </row>
    <row r="9733" spans="104:111">
      <c r="CZ9733" s="256"/>
      <c r="DG9733" s="256"/>
    </row>
    <row r="9734" spans="104:111">
      <c r="CZ9734" s="256"/>
      <c r="DG9734" s="256"/>
    </row>
    <row r="9735" spans="104:111">
      <c r="CZ9735" s="256"/>
      <c r="DG9735" s="256"/>
    </row>
    <row r="9736" spans="104:111">
      <c r="CZ9736" s="256"/>
      <c r="DG9736" s="256"/>
    </row>
    <row r="9737" spans="104:111">
      <c r="CZ9737" s="256"/>
      <c r="DG9737" s="256"/>
    </row>
    <row r="9738" spans="104:111">
      <c r="CZ9738" s="256"/>
      <c r="DG9738" s="256"/>
    </row>
    <row r="9739" spans="104:111">
      <c r="CZ9739" s="256"/>
      <c r="DG9739" s="256"/>
    </row>
    <row r="9740" spans="104:111">
      <c r="CZ9740" s="256"/>
      <c r="DG9740" s="256"/>
    </row>
    <row r="9741" spans="104:111">
      <c r="CZ9741" s="256"/>
      <c r="DG9741" s="256"/>
    </row>
    <row r="9742" spans="104:111">
      <c r="CZ9742" s="256"/>
      <c r="DG9742" s="256"/>
    </row>
    <row r="9743" spans="104:111">
      <c r="CZ9743" s="256"/>
      <c r="DG9743" s="256"/>
    </row>
    <row r="9744" spans="104:111">
      <c r="CZ9744" s="256"/>
      <c r="DG9744" s="256"/>
    </row>
    <row r="9745" spans="104:111">
      <c r="CZ9745" s="256"/>
      <c r="DG9745" s="256"/>
    </row>
    <row r="9746" spans="104:111">
      <c r="CZ9746" s="256"/>
      <c r="DG9746" s="256"/>
    </row>
    <row r="9747" spans="104:111">
      <c r="CZ9747" s="256"/>
      <c r="DG9747" s="256"/>
    </row>
    <row r="9748" spans="104:111">
      <c r="CZ9748" s="256"/>
      <c r="DG9748" s="256"/>
    </row>
    <row r="9749" spans="104:111">
      <c r="CZ9749" s="256"/>
      <c r="DG9749" s="256"/>
    </row>
    <row r="9750" spans="104:111">
      <c r="CZ9750" s="256"/>
      <c r="DG9750" s="256"/>
    </row>
    <row r="9751" spans="104:111">
      <c r="CZ9751" s="256"/>
      <c r="DG9751" s="256"/>
    </row>
    <row r="9752" spans="104:111">
      <c r="CZ9752" s="256"/>
      <c r="DG9752" s="256"/>
    </row>
    <row r="9753" spans="104:111">
      <c r="CZ9753" s="256"/>
      <c r="DG9753" s="256"/>
    </row>
    <row r="9754" spans="104:111">
      <c r="CZ9754" s="256"/>
      <c r="DG9754" s="256"/>
    </row>
    <row r="9755" spans="104:111">
      <c r="CZ9755" s="256"/>
      <c r="DG9755" s="256"/>
    </row>
    <row r="9756" spans="104:111">
      <c r="CZ9756" s="256"/>
      <c r="DG9756" s="256"/>
    </row>
    <row r="9757" spans="104:111">
      <c r="CZ9757" s="256"/>
      <c r="DG9757" s="256"/>
    </row>
    <row r="9758" spans="104:111">
      <c r="CZ9758" s="256"/>
      <c r="DG9758" s="256"/>
    </row>
    <row r="9759" spans="104:111">
      <c r="CZ9759" s="256"/>
      <c r="DG9759" s="256"/>
    </row>
    <row r="9760" spans="104:111">
      <c r="CZ9760" s="256"/>
      <c r="DG9760" s="256"/>
    </row>
    <row r="9761" spans="104:111">
      <c r="CZ9761" s="256"/>
      <c r="DG9761" s="256"/>
    </row>
    <row r="9762" spans="104:111">
      <c r="CZ9762" s="256"/>
      <c r="DG9762" s="256"/>
    </row>
    <row r="9763" spans="104:111">
      <c r="CZ9763" s="256"/>
      <c r="DG9763" s="256"/>
    </row>
    <row r="9764" spans="104:111">
      <c r="CZ9764" s="256"/>
      <c r="DG9764" s="256"/>
    </row>
    <row r="9765" spans="104:111">
      <c r="CZ9765" s="256"/>
      <c r="DG9765" s="256"/>
    </row>
    <row r="9766" spans="104:111">
      <c r="CZ9766" s="256"/>
      <c r="DG9766" s="256"/>
    </row>
    <row r="9767" spans="104:111">
      <c r="CZ9767" s="256"/>
      <c r="DG9767" s="256"/>
    </row>
    <row r="9768" spans="104:111">
      <c r="CZ9768" s="256"/>
      <c r="DG9768" s="256"/>
    </row>
    <row r="9769" spans="104:111">
      <c r="CZ9769" s="256"/>
      <c r="DG9769" s="256"/>
    </row>
    <row r="9770" spans="104:111">
      <c r="CZ9770" s="256"/>
      <c r="DG9770" s="256"/>
    </row>
    <row r="9771" spans="104:111">
      <c r="CZ9771" s="256"/>
      <c r="DG9771" s="256"/>
    </row>
    <row r="9772" spans="104:111">
      <c r="CZ9772" s="256"/>
      <c r="DG9772" s="256"/>
    </row>
    <row r="9773" spans="104:111">
      <c r="CZ9773" s="256"/>
      <c r="DG9773" s="256"/>
    </row>
    <row r="9774" spans="104:111">
      <c r="CZ9774" s="256"/>
      <c r="DG9774" s="256"/>
    </row>
    <row r="9775" spans="104:111">
      <c r="CZ9775" s="256"/>
      <c r="DG9775" s="256"/>
    </row>
    <row r="9776" spans="104:111">
      <c r="CZ9776" s="256"/>
      <c r="DG9776" s="256"/>
    </row>
    <row r="9777" spans="104:111">
      <c r="CZ9777" s="256"/>
      <c r="DG9777" s="256"/>
    </row>
    <row r="9778" spans="104:111">
      <c r="CZ9778" s="256"/>
      <c r="DG9778" s="256"/>
    </row>
    <row r="9779" spans="104:111">
      <c r="CZ9779" s="256"/>
      <c r="DG9779" s="256"/>
    </row>
    <row r="9780" spans="104:111">
      <c r="CZ9780" s="256"/>
      <c r="DG9780" s="256"/>
    </row>
    <row r="9781" spans="104:111">
      <c r="CZ9781" s="256"/>
      <c r="DG9781" s="256"/>
    </row>
    <row r="9782" spans="104:111">
      <c r="CZ9782" s="256"/>
      <c r="DG9782" s="256"/>
    </row>
    <row r="9783" spans="104:111">
      <c r="CZ9783" s="256"/>
      <c r="DG9783" s="256"/>
    </row>
    <row r="9784" spans="104:111">
      <c r="CZ9784" s="256"/>
      <c r="DG9784" s="256"/>
    </row>
    <row r="9785" spans="104:111">
      <c r="CZ9785" s="256"/>
      <c r="DG9785" s="256"/>
    </row>
    <row r="9786" spans="104:111">
      <c r="CZ9786" s="256"/>
      <c r="DG9786" s="256"/>
    </row>
    <row r="9787" spans="104:111">
      <c r="CZ9787" s="256"/>
      <c r="DG9787" s="256"/>
    </row>
    <row r="9788" spans="104:111">
      <c r="CZ9788" s="256"/>
      <c r="DG9788" s="256"/>
    </row>
    <row r="9789" spans="104:111">
      <c r="CZ9789" s="256"/>
      <c r="DG9789" s="256"/>
    </row>
    <row r="9790" spans="104:111">
      <c r="CZ9790" s="256"/>
      <c r="DG9790" s="256"/>
    </row>
    <row r="9791" spans="104:111">
      <c r="CZ9791" s="256"/>
      <c r="DG9791" s="256"/>
    </row>
    <row r="9792" spans="104:111">
      <c r="CZ9792" s="256"/>
      <c r="DG9792" s="256"/>
    </row>
    <row r="9793" spans="104:111">
      <c r="CZ9793" s="256"/>
      <c r="DG9793" s="256"/>
    </row>
    <row r="9794" spans="104:111">
      <c r="CZ9794" s="256"/>
      <c r="DG9794" s="256"/>
    </row>
    <row r="9795" spans="104:111">
      <c r="CZ9795" s="256"/>
      <c r="DG9795" s="256"/>
    </row>
    <row r="9796" spans="104:111">
      <c r="CZ9796" s="256"/>
      <c r="DG9796" s="256"/>
    </row>
    <row r="9797" spans="104:111">
      <c r="CZ9797" s="256"/>
      <c r="DG9797" s="256"/>
    </row>
    <row r="9798" spans="104:111">
      <c r="CZ9798" s="256"/>
      <c r="DG9798" s="256"/>
    </row>
    <row r="9799" spans="104:111">
      <c r="CZ9799" s="256"/>
      <c r="DG9799" s="256"/>
    </row>
    <row r="9800" spans="104:111">
      <c r="CZ9800" s="256"/>
      <c r="DG9800" s="256"/>
    </row>
    <row r="9801" spans="104:111">
      <c r="CZ9801" s="256"/>
      <c r="DG9801" s="256"/>
    </row>
    <row r="9802" spans="104:111">
      <c r="CZ9802" s="256"/>
      <c r="DG9802" s="256"/>
    </row>
    <row r="9803" spans="104:111">
      <c r="CZ9803" s="256"/>
      <c r="DG9803" s="256"/>
    </row>
    <row r="9804" spans="104:111">
      <c r="CZ9804" s="256"/>
      <c r="DG9804" s="256"/>
    </row>
    <row r="9805" spans="104:111">
      <c r="CZ9805" s="256"/>
      <c r="DG9805" s="256"/>
    </row>
    <row r="9806" spans="104:111">
      <c r="CZ9806" s="256"/>
      <c r="DG9806" s="256"/>
    </row>
    <row r="9807" spans="104:111">
      <c r="CZ9807" s="256"/>
      <c r="DG9807" s="256"/>
    </row>
    <row r="9808" spans="104:111">
      <c r="CZ9808" s="256"/>
      <c r="DG9808" s="256"/>
    </row>
    <row r="9809" spans="104:111">
      <c r="CZ9809" s="256"/>
      <c r="DG9809" s="256"/>
    </row>
    <row r="9810" spans="104:111">
      <c r="CZ9810" s="256"/>
      <c r="DG9810" s="256"/>
    </row>
    <row r="9811" spans="104:111">
      <c r="CZ9811" s="256"/>
      <c r="DG9811" s="256"/>
    </row>
    <row r="9812" spans="104:111">
      <c r="CZ9812" s="256"/>
      <c r="DG9812" s="256"/>
    </row>
    <row r="9813" spans="104:111">
      <c r="CZ9813" s="256"/>
      <c r="DG9813" s="256"/>
    </row>
    <row r="9814" spans="104:111">
      <c r="CZ9814" s="256"/>
      <c r="DG9814" s="256"/>
    </row>
    <row r="9815" spans="104:111">
      <c r="CZ9815" s="256"/>
      <c r="DG9815" s="256"/>
    </row>
    <row r="9816" spans="104:111">
      <c r="CZ9816" s="256"/>
      <c r="DG9816" s="256"/>
    </row>
    <row r="9817" spans="104:111">
      <c r="CZ9817" s="256"/>
      <c r="DG9817" s="256"/>
    </row>
    <row r="9818" spans="104:111">
      <c r="CZ9818" s="256"/>
      <c r="DG9818" s="256"/>
    </row>
    <row r="9819" spans="104:111">
      <c r="CZ9819" s="256"/>
      <c r="DG9819" s="256"/>
    </row>
    <row r="9820" spans="104:111">
      <c r="CZ9820" s="256"/>
      <c r="DG9820" s="256"/>
    </row>
    <row r="9821" spans="104:111">
      <c r="CZ9821" s="256"/>
      <c r="DG9821" s="256"/>
    </row>
    <row r="9822" spans="104:111">
      <c r="CZ9822" s="256"/>
      <c r="DG9822" s="256"/>
    </row>
    <row r="9823" spans="104:111">
      <c r="CZ9823" s="256"/>
      <c r="DG9823" s="256"/>
    </row>
    <row r="9824" spans="104:111">
      <c r="CZ9824" s="256"/>
      <c r="DG9824" s="256"/>
    </row>
    <row r="9825" spans="104:111">
      <c r="CZ9825" s="256"/>
      <c r="DG9825" s="256"/>
    </row>
    <row r="9826" spans="104:111">
      <c r="CZ9826" s="256"/>
      <c r="DG9826" s="256"/>
    </row>
    <row r="9827" spans="104:111">
      <c r="CZ9827" s="256"/>
      <c r="DG9827" s="256"/>
    </row>
    <row r="9828" spans="104:111">
      <c r="CZ9828" s="256"/>
      <c r="DG9828" s="256"/>
    </row>
    <row r="9829" spans="104:111">
      <c r="CZ9829" s="256"/>
      <c r="DG9829" s="256"/>
    </row>
    <row r="9830" spans="104:111">
      <c r="CZ9830" s="256"/>
      <c r="DG9830" s="256"/>
    </row>
    <row r="9831" spans="104:111">
      <c r="CZ9831" s="256"/>
      <c r="DG9831" s="256"/>
    </row>
    <row r="9832" spans="104:111">
      <c r="CZ9832" s="256"/>
      <c r="DG9832" s="256"/>
    </row>
    <row r="9833" spans="104:111">
      <c r="CZ9833" s="256"/>
      <c r="DG9833" s="256"/>
    </row>
    <row r="9834" spans="104:111">
      <c r="CZ9834" s="256"/>
      <c r="DG9834" s="256"/>
    </row>
    <row r="9835" spans="104:111">
      <c r="CZ9835" s="256"/>
      <c r="DG9835" s="256"/>
    </row>
    <row r="9836" spans="104:111">
      <c r="CZ9836" s="256"/>
      <c r="DG9836" s="256"/>
    </row>
    <row r="9837" spans="104:111">
      <c r="CZ9837" s="256"/>
      <c r="DG9837" s="256"/>
    </row>
    <row r="9838" spans="104:111">
      <c r="CZ9838" s="256"/>
      <c r="DG9838" s="256"/>
    </row>
    <row r="9839" spans="104:111">
      <c r="CZ9839" s="256"/>
      <c r="DG9839" s="256"/>
    </row>
    <row r="9840" spans="104:111">
      <c r="CZ9840" s="256"/>
      <c r="DG9840" s="256"/>
    </row>
    <row r="9841" spans="104:111">
      <c r="CZ9841" s="256"/>
      <c r="DG9841" s="256"/>
    </row>
    <row r="9842" spans="104:111">
      <c r="CZ9842" s="256"/>
      <c r="DG9842" s="256"/>
    </row>
    <row r="9843" spans="104:111">
      <c r="CZ9843" s="256"/>
      <c r="DG9843" s="256"/>
    </row>
    <row r="9844" spans="104:111">
      <c r="CZ9844" s="256"/>
      <c r="DG9844" s="256"/>
    </row>
    <row r="9845" spans="104:111">
      <c r="CZ9845" s="256"/>
      <c r="DG9845" s="256"/>
    </row>
    <row r="9846" spans="104:111">
      <c r="CZ9846" s="256"/>
      <c r="DG9846" s="256"/>
    </row>
    <row r="9847" spans="104:111">
      <c r="CZ9847" s="256"/>
      <c r="DG9847" s="256"/>
    </row>
    <row r="9848" spans="104:111">
      <c r="CZ9848" s="256"/>
      <c r="DG9848" s="256"/>
    </row>
    <row r="9849" spans="104:111">
      <c r="CZ9849" s="256"/>
      <c r="DG9849" s="256"/>
    </row>
    <row r="9850" spans="104:111">
      <c r="CZ9850" s="256"/>
      <c r="DG9850" s="256"/>
    </row>
    <row r="9851" spans="104:111">
      <c r="CZ9851" s="256"/>
      <c r="DG9851" s="256"/>
    </row>
    <row r="9852" spans="104:111">
      <c r="CZ9852" s="256"/>
      <c r="DG9852" s="256"/>
    </row>
    <row r="9853" spans="104:111">
      <c r="CZ9853" s="256"/>
      <c r="DG9853" s="256"/>
    </row>
    <row r="9854" spans="104:111">
      <c r="CZ9854" s="256"/>
      <c r="DG9854" s="256"/>
    </row>
    <row r="9855" spans="104:111">
      <c r="CZ9855" s="256"/>
      <c r="DG9855" s="256"/>
    </row>
    <row r="9856" spans="104:111">
      <c r="CZ9856" s="256"/>
      <c r="DG9856" s="256"/>
    </row>
    <row r="9857" spans="104:111">
      <c r="CZ9857" s="256"/>
      <c r="DG9857" s="256"/>
    </row>
    <row r="9858" spans="104:111">
      <c r="CZ9858" s="256"/>
      <c r="DG9858" s="256"/>
    </row>
    <row r="9859" spans="104:111">
      <c r="CZ9859" s="256"/>
      <c r="DG9859" s="256"/>
    </row>
    <row r="9860" spans="104:111">
      <c r="CZ9860" s="256"/>
      <c r="DG9860" s="256"/>
    </row>
    <row r="9861" spans="104:111">
      <c r="CZ9861" s="256"/>
      <c r="DG9861" s="256"/>
    </row>
    <row r="9862" spans="104:111">
      <c r="CZ9862" s="256"/>
      <c r="DG9862" s="256"/>
    </row>
    <row r="9863" spans="104:111">
      <c r="CZ9863" s="256"/>
      <c r="DG9863" s="256"/>
    </row>
    <row r="9864" spans="104:111">
      <c r="CZ9864" s="256"/>
      <c r="DG9864" s="256"/>
    </row>
    <row r="9865" spans="104:111">
      <c r="CZ9865" s="256"/>
      <c r="DG9865" s="256"/>
    </row>
    <row r="9866" spans="104:111">
      <c r="CZ9866" s="256"/>
      <c r="DG9866" s="256"/>
    </row>
    <row r="9867" spans="104:111">
      <c r="CZ9867" s="256"/>
      <c r="DG9867" s="256"/>
    </row>
    <row r="9868" spans="104:111">
      <c r="CZ9868" s="256"/>
      <c r="DG9868" s="256"/>
    </row>
    <row r="9869" spans="104:111">
      <c r="CZ9869" s="256"/>
      <c r="DG9869" s="256"/>
    </row>
    <row r="9870" spans="104:111">
      <c r="CZ9870" s="256"/>
      <c r="DG9870" s="256"/>
    </row>
    <row r="9871" spans="104:111">
      <c r="CZ9871" s="256"/>
      <c r="DG9871" s="256"/>
    </row>
    <row r="9872" spans="104:111">
      <c r="CZ9872" s="256"/>
      <c r="DG9872" s="256"/>
    </row>
    <row r="9873" spans="104:111">
      <c r="CZ9873" s="256"/>
      <c r="DG9873" s="256"/>
    </row>
    <row r="9874" spans="104:111">
      <c r="CZ9874" s="256"/>
      <c r="DG9874" s="256"/>
    </row>
    <row r="9875" spans="104:111">
      <c r="CZ9875" s="256"/>
      <c r="DG9875" s="256"/>
    </row>
    <row r="9876" spans="104:111">
      <c r="CZ9876" s="256"/>
      <c r="DG9876" s="256"/>
    </row>
    <row r="9877" spans="104:111">
      <c r="CZ9877" s="256"/>
      <c r="DG9877" s="256"/>
    </row>
    <row r="9878" spans="104:111">
      <c r="CZ9878" s="256"/>
      <c r="DG9878" s="256"/>
    </row>
    <row r="9879" spans="104:111">
      <c r="CZ9879" s="256"/>
      <c r="DG9879" s="256"/>
    </row>
    <row r="9880" spans="104:111">
      <c r="CZ9880" s="256"/>
      <c r="DG9880" s="256"/>
    </row>
    <row r="9881" spans="104:111">
      <c r="CZ9881" s="256"/>
      <c r="DG9881" s="256"/>
    </row>
    <row r="9882" spans="104:111">
      <c r="CZ9882" s="256"/>
      <c r="DG9882" s="256"/>
    </row>
    <row r="9883" spans="104:111">
      <c r="CZ9883" s="256"/>
      <c r="DG9883" s="256"/>
    </row>
    <row r="9884" spans="104:111">
      <c r="CZ9884" s="256"/>
      <c r="DG9884" s="256"/>
    </row>
    <row r="9885" spans="104:111">
      <c r="CZ9885" s="256"/>
      <c r="DG9885" s="256"/>
    </row>
    <row r="9886" spans="104:111">
      <c r="CZ9886" s="256"/>
      <c r="DG9886" s="256"/>
    </row>
    <row r="9887" spans="104:111">
      <c r="CZ9887" s="256"/>
      <c r="DG9887" s="256"/>
    </row>
    <row r="9888" spans="104:111">
      <c r="CZ9888" s="256"/>
      <c r="DG9888" s="256"/>
    </row>
    <row r="9889" spans="104:111">
      <c r="CZ9889" s="256"/>
      <c r="DG9889" s="256"/>
    </row>
    <row r="9890" spans="104:111">
      <c r="CZ9890" s="256"/>
      <c r="DG9890" s="256"/>
    </row>
    <row r="9891" spans="104:111">
      <c r="CZ9891" s="256"/>
      <c r="DG9891" s="256"/>
    </row>
    <row r="9892" spans="104:111">
      <c r="CZ9892" s="256"/>
      <c r="DG9892" s="256"/>
    </row>
    <row r="9893" spans="104:111">
      <c r="CZ9893" s="256"/>
      <c r="DG9893" s="256"/>
    </row>
    <row r="9894" spans="104:111">
      <c r="CZ9894" s="256"/>
      <c r="DG9894" s="256"/>
    </row>
    <row r="9895" spans="104:111">
      <c r="CZ9895" s="256"/>
      <c r="DG9895" s="256"/>
    </row>
    <row r="9896" spans="104:111">
      <c r="CZ9896" s="256"/>
      <c r="DG9896" s="256"/>
    </row>
    <row r="9897" spans="104:111">
      <c r="CZ9897" s="256"/>
      <c r="DG9897" s="256"/>
    </row>
    <row r="9898" spans="104:111">
      <c r="CZ9898" s="256"/>
      <c r="DG9898" s="256"/>
    </row>
    <row r="9899" spans="104:111">
      <c r="CZ9899" s="256"/>
      <c r="DG9899" s="256"/>
    </row>
    <row r="9900" spans="104:111">
      <c r="CZ9900" s="256"/>
      <c r="DG9900" s="256"/>
    </row>
    <row r="9901" spans="104:111">
      <c r="CZ9901" s="256"/>
      <c r="DG9901" s="256"/>
    </row>
    <row r="9902" spans="104:111">
      <c r="CZ9902" s="256"/>
      <c r="DG9902" s="256"/>
    </row>
    <row r="9903" spans="104:111">
      <c r="CZ9903" s="256"/>
      <c r="DG9903" s="256"/>
    </row>
    <row r="9904" spans="104:111">
      <c r="CZ9904" s="256"/>
      <c r="DG9904" s="256"/>
    </row>
    <row r="9905" spans="104:111">
      <c r="CZ9905" s="256"/>
      <c r="DG9905" s="256"/>
    </row>
    <row r="9906" spans="104:111">
      <c r="CZ9906" s="256"/>
      <c r="DG9906" s="256"/>
    </row>
    <row r="9907" spans="104:111">
      <c r="CZ9907" s="256"/>
      <c r="DG9907" s="256"/>
    </row>
    <row r="9908" spans="104:111">
      <c r="CZ9908" s="256"/>
      <c r="DG9908" s="256"/>
    </row>
    <row r="9909" spans="104:111">
      <c r="CZ9909" s="256"/>
      <c r="DG9909" s="256"/>
    </row>
    <row r="9910" spans="104:111">
      <c r="CZ9910" s="256"/>
      <c r="DG9910" s="256"/>
    </row>
    <row r="9911" spans="104:111">
      <c r="CZ9911" s="256"/>
      <c r="DG9911" s="256"/>
    </row>
    <row r="9912" spans="104:111">
      <c r="CZ9912" s="256"/>
      <c r="DG9912" s="256"/>
    </row>
    <row r="9913" spans="104:111">
      <c r="CZ9913" s="256"/>
      <c r="DG9913" s="256"/>
    </row>
    <row r="9914" spans="104:111">
      <c r="CZ9914" s="256"/>
      <c r="DG9914" s="256"/>
    </row>
    <row r="9915" spans="104:111">
      <c r="CZ9915" s="256"/>
      <c r="DG9915" s="256"/>
    </row>
    <row r="9916" spans="104:111">
      <c r="CZ9916" s="256"/>
      <c r="DG9916" s="256"/>
    </row>
    <row r="9917" spans="104:111">
      <c r="CZ9917" s="256"/>
      <c r="DG9917" s="256"/>
    </row>
    <row r="9918" spans="104:111">
      <c r="CZ9918" s="256"/>
      <c r="DG9918" s="256"/>
    </row>
    <row r="9919" spans="104:111">
      <c r="CZ9919" s="256"/>
      <c r="DG9919" s="256"/>
    </row>
    <row r="9920" spans="104:111">
      <c r="CZ9920" s="256"/>
      <c r="DG9920" s="256"/>
    </row>
    <row r="9921" spans="104:111">
      <c r="CZ9921" s="256"/>
      <c r="DG9921" s="256"/>
    </row>
    <row r="9922" spans="104:111">
      <c r="CZ9922" s="256"/>
      <c r="DG9922" s="256"/>
    </row>
    <row r="9923" spans="104:111">
      <c r="CZ9923" s="256"/>
      <c r="DG9923" s="256"/>
    </row>
    <row r="9924" spans="104:111">
      <c r="CZ9924" s="256"/>
      <c r="DG9924" s="256"/>
    </row>
    <row r="9925" spans="104:111">
      <c r="CZ9925" s="256"/>
      <c r="DG9925" s="256"/>
    </row>
    <row r="9926" spans="104:111">
      <c r="CZ9926" s="256"/>
      <c r="DG9926" s="256"/>
    </row>
    <row r="9927" spans="104:111">
      <c r="CZ9927" s="256"/>
      <c r="DG9927" s="256"/>
    </row>
    <row r="9928" spans="104:111">
      <c r="CZ9928" s="256"/>
      <c r="DG9928" s="256"/>
    </row>
    <row r="9929" spans="104:111">
      <c r="CZ9929" s="256"/>
      <c r="DG9929" s="256"/>
    </row>
    <row r="9930" spans="104:111">
      <c r="CZ9930" s="256"/>
      <c r="DG9930" s="256"/>
    </row>
    <row r="9931" spans="104:111">
      <c r="CZ9931" s="256"/>
      <c r="DG9931" s="256"/>
    </row>
    <row r="9932" spans="104:111">
      <c r="CZ9932" s="256"/>
      <c r="DG9932" s="256"/>
    </row>
    <row r="9933" spans="104:111">
      <c r="CZ9933" s="256"/>
      <c r="DG9933" s="256"/>
    </row>
    <row r="9934" spans="104:111">
      <c r="CZ9934" s="256"/>
      <c r="DG9934" s="256"/>
    </row>
    <row r="9935" spans="104:111">
      <c r="CZ9935" s="256"/>
      <c r="DG9935" s="256"/>
    </row>
    <row r="9936" spans="104:111">
      <c r="CZ9936" s="256"/>
      <c r="DG9936" s="256"/>
    </row>
    <row r="9937" spans="104:111">
      <c r="CZ9937" s="256"/>
      <c r="DG9937" s="256"/>
    </row>
    <row r="9938" spans="104:111">
      <c r="CZ9938" s="256"/>
      <c r="DG9938" s="256"/>
    </row>
    <row r="9939" spans="104:111">
      <c r="CZ9939" s="256"/>
      <c r="DG9939" s="256"/>
    </row>
    <row r="9940" spans="104:111">
      <c r="CZ9940" s="256"/>
      <c r="DG9940" s="256"/>
    </row>
    <row r="9941" spans="104:111">
      <c r="CZ9941" s="256"/>
      <c r="DG9941" s="256"/>
    </row>
    <row r="9942" spans="104:111">
      <c r="CZ9942" s="256"/>
      <c r="DG9942" s="256"/>
    </row>
    <row r="9943" spans="104:111">
      <c r="CZ9943" s="256"/>
      <c r="DG9943" s="256"/>
    </row>
    <row r="9944" spans="104:111">
      <c r="CZ9944" s="256"/>
      <c r="DG9944" s="256"/>
    </row>
    <row r="9945" spans="104:111">
      <c r="CZ9945" s="256"/>
      <c r="DG9945" s="256"/>
    </row>
    <row r="9946" spans="104:111">
      <c r="CZ9946" s="256"/>
      <c r="DG9946" s="256"/>
    </row>
    <row r="9947" spans="104:111">
      <c r="CZ9947" s="256"/>
      <c r="DG9947" s="256"/>
    </row>
    <row r="9948" spans="104:111">
      <c r="CZ9948" s="256"/>
      <c r="DG9948" s="256"/>
    </row>
    <row r="9949" spans="104:111">
      <c r="CZ9949" s="256"/>
      <c r="DG9949" s="256"/>
    </row>
    <row r="9950" spans="104:111">
      <c r="CZ9950" s="256"/>
      <c r="DG9950" s="256"/>
    </row>
    <row r="9951" spans="104:111">
      <c r="CZ9951" s="256"/>
      <c r="DG9951" s="256"/>
    </row>
    <row r="9952" spans="104:111">
      <c r="CZ9952" s="256"/>
      <c r="DG9952" s="256"/>
    </row>
    <row r="9953" spans="104:111">
      <c r="CZ9953" s="256"/>
      <c r="DG9953" s="256"/>
    </row>
    <row r="9954" spans="104:111">
      <c r="CZ9954" s="256"/>
      <c r="DG9954" s="256"/>
    </row>
    <row r="9955" spans="104:111">
      <c r="CZ9955" s="256"/>
      <c r="DG9955" s="256"/>
    </row>
    <row r="9956" spans="104:111">
      <c r="CZ9956" s="256"/>
      <c r="DG9956" s="256"/>
    </row>
    <row r="9957" spans="104:111">
      <c r="CZ9957" s="256"/>
      <c r="DG9957" s="256"/>
    </row>
    <row r="9958" spans="104:111">
      <c r="CZ9958" s="256"/>
      <c r="DG9958" s="256"/>
    </row>
    <row r="9959" spans="104:111">
      <c r="CZ9959" s="256"/>
      <c r="DG9959" s="256"/>
    </row>
    <row r="9960" spans="104:111">
      <c r="CZ9960" s="256"/>
      <c r="DG9960" s="256"/>
    </row>
    <row r="9961" spans="104:111">
      <c r="CZ9961" s="256"/>
      <c r="DG9961" s="256"/>
    </row>
    <row r="9962" spans="104:111">
      <c r="CZ9962" s="256"/>
      <c r="DG9962" s="256"/>
    </row>
    <row r="9963" spans="104:111">
      <c r="CZ9963" s="256"/>
      <c r="DG9963" s="256"/>
    </row>
    <row r="9964" spans="104:111">
      <c r="CZ9964" s="256"/>
      <c r="DG9964" s="256"/>
    </row>
    <row r="9965" spans="104:111">
      <c r="CZ9965" s="256"/>
      <c r="DG9965" s="256"/>
    </row>
    <row r="9966" spans="104:111">
      <c r="CZ9966" s="256"/>
      <c r="DG9966" s="256"/>
    </row>
    <row r="9967" spans="104:111">
      <c r="CZ9967" s="256"/>
      <c r="DG9967" s="256"/>
    </row>
    <row r="9968" spans="104:111">
      <c r="CZ9968" s="256"/>
      <c r="DG9968" s="256"/>
    </row>
    <row r="9969" spans="104:111">
      <c r="CZ9969" s="256"/>
      <c r="DG9969" s="256"/>
    </row>
    <row r="9970" spans="104:111">
      <c r="CZ9970" s="256"/>
      <c r="DG9970" s="256"/>
    </row>
    <row r="9971" spans="104:111">
      <c r="CZ9971" s="256"/>
      <c r="DG9971" s="256"/>
    </row>
    <row r="9972" spans="104:111">
      <c r="CZ9972" s="256"/>
      <c r="DG9972" s="256"/>
    </row>
    <row r="9973" spans="104:111">
      <c r="CZ9973" s="256"/>
      <c r="DG9973" s="256"/>
    </row>
    <row r="9974" spans="104:111">
      <c r="CZ9974" s="256"/>
      <c r="DG9974" s="256"/>
    </row>
    <row r="9975" spans="104:111">
      <c r="CZ9975" s="256"/>
      <c r="DG9975" s="256"/>
    </row>
    <row r="9976" spans="104:111">
      <c r="CZ9976" s="256"/>
      <c r="DG9976" s="256"/>
    </row>
    <row r="9977" spans="104:111">
      <c r="CZ9977" s="256"/>
      <c r="DG9977" s="256"/>
    </row>
    <row r="9978" spans="104:111">
      <c r="CZ9978" s="256"/>
      <c r="DG9978" s="256"/>
    </row>
    <row r="9979" spans="104:111">
      <c r="CZ9979" s="256"/>
      <c r="DG9979" s="256"/>
    </row>
    <row r="9980" spans="104:111">
      <c r="CZ9980" s="256"/>
      <c r="DG9980" s="256"/>
    </row>
    <row r="9981" spans="104:111">
      <c r="CZ9981" s="256"/>
      <c r="DG9981" s="256"/>
    </row>
    <row r="9982" spans="104:111">
      <c r="CZ9982" s="256"/>
      <c r="DG9982" s="256"/>
    </row>
    <row r="9983" spans="104:111">
      <c r="CZ9983" s="256"/>
      <c r="DG9983" s="256"/>
    </row>
    <row r="9984" spans="104:111">
      <c r="CZ9984" s="256"/>
      <c r="DG9984" s="256"/>
    </row>
    <row r="9985" spans="104:111">
      <c r="CZ9985" s="256"/>
      <c r="DG9985" s="256"/>
    </row>
    <row r="9986" spans="104:111">
      <c r="CZ9986" s="256"/>
      <c r="DG9986" s="256"/>
    </row>
    <row r="9987" spans="104:111">
      <c r="CZ9987" s="256"/>
      <c r="DG9987" s="256"/>
    </row>
    <row r="9988" spans="104:111">
      <c r="CZ9988" s="256"/>
      <c r="DG9988" s="256"/>
    </row>
    <row r="9989" spans="104:111">
      <c r="CZ9989" s="256"/>
      <c r="DG9989" s="256"/>
    </row>
    <row r="9990" spans="104:111">
      <c r="CZ9990" s="256"/>
      <c r="DG9990" s="256"/>
    </row>
    <row r="9991" spans="104:111">
      <c r="CZ9991" s="256"/>
      <c r="DG9991" s="256"/>
    </row>
    <row r="9992" spans="104:111">
      <c r="CZ9992" s="256"/>
      <c r="DG9992" s="256"/>
    </row>
    <row r="9993" spans="104:111">
      <c r="CZ9993" s="256"/>
      <c r="DG9993" s="256"/>
    </row>
    <row r="9994" spans="104:111">
      <c r="CZ9994" s="256"/>
      <c r="DG9994" s="256"/>
    </row>
    <row r="9995" spans="104:111">
      <c r="CZ9995" s="256"/>
      <c r="DG9995" s="256"/>
    </row>
    <row r="9996" spans="104:111">
      <c r="CZ9996" s="256"/>
      <c r="DG9996" s="256"/>
    </row>
    <row r="9997" spans="104:111">
      <c r="CZ9997" s="256"/>
      <c r="DG9997" s="256"/>
    </row>
    <row r="9998" spans="104:111">
      <c r="CZ9998" s="256"/>
      <c r="DG9998" s="256"/>
    </row>
    <row r="9999" spans="104:111">
      <c r="CZ9999" s="256"/>
      <c r="DG9999" s="256"/>
    </row>
    <row r="10000" spans="104:111">
      <c r="CZ10000" s="256"/>
      <c r="DG10000" s="256"/>
    </row>
    <row r="10001" spans="104:111">
      <c r="CZ10001" s="256"/>
      <c r="DG10001" s="256"/>
    </row>
    <row r="10002" spans="104:111">
      <c r="CZ10002" s="256"/>
      <c r="DG10002" s="256"/>
    </row>
    <row r="10003" spans="104:111">
      <c r="CZ10003" s="256"/>
      <c r="DG10003" s="256"/>
    </row>
    <row r="10004" spans="104:111">
      <c r="CZ10004" s="256"/>
      <c r="DG10004" s="256"/>
    </row>
    <row r="10005" spans="104:111">
      <c r="CZ10005" s="256"/>
      <c r="DG10005" s="256"/>
    </row>
    <row r="10006" spans="104:111">
      <c r="CZ10006" s="256"/>
      <c r="DG10006" s="256"/>
    </row>
    <row r="10007" spans="104:111">
      <c r="CZ10007" s="256"/>
      <c r="DG10007" s="256"/>
    </row>
    <row r="10008" spans="104:111">
      <c r="CZ10008" s="256"/>
      <c r="DG10008" s="256"/>
    </row>
    <row r="10009" spans="104:111">
      <c r="CZ10009" s="256"/>
      <c r="DG10009" s="256"/>
    </row>
    <row r="10010" spans="104:111">
      <c r="CZ10010" s="256"/>
      <c r="DG10010" s="256"/>
    </row>
    <row r="10011" spans="104:111">
      <c r="CZ10011" s="256"/>
      <c r="DG10011" s="256"/>
    </row>
    <row r="10012" spans="104:111">
      <c r="CZ10012" s="256"/>
      <c r="DG10012" s="256"/>
    </row>
    <row r="10013" spans="104:111">
      <c r="CZ10013" s="256"/>
      <c r="DG10013" s="256"/>
    </row>
    <row r="10014" spans="104:111">
      <c r="CZ10014" s="256"/>
      <c r="DG10014" s="256"/>
    </row>
    <row r="10015" spans="104:111">
      <c r="CZ10015" s="256"/>
      <c r="DG10015" s="256"/>
    </row>
    <row r="10016" spans="104:111">
      <c r="CZ10016" s="256"/>
      <c r="DG10016" s="256"/>
    </row>
    <row r="10017" spans="104:111">
      <c r="CZ10017" s="256"/>
      <c r="DG10017" s="256"/>
    </row>
    <row r="10018" spans="104:111">
      <c r="CZ10018" s="256"/>
      <c r="DG10018" s="256"/>
    </row>
    <row r="10019" spans="104:111">
      <c r="CZ10019" s="256"/>
      <c r="DG10019" s="256"/>
    </row>
    <row r="10020" spans="104:111">
      <c r="CZ10020" s="256"/>
      <c r="DG10020" s="256"/>
    </row>
    <row r="10021" spans="104:111">
      <c r="CZ10021" s="256"/>
      <c r="DG10021" s="256"/>
    </row>
    <row r="10022" spans="104:111">
      <c r="CZ10022" s="256"/>
      <c r="DG10022" s="256"/>
    </row>
    <row r="10023" spans="104:111">
      <c r="CZ10023" s="256"/>
      <c r="DG10023" s="256"/>
    </row>
    <row r="10024" spans="104:111">
      <c r="CZ10024" s="256"/>
      <c r="DG10024" s="256"/>
    </row>
    <row r="10025" spans="104:111">
      <c r="CZ10025" s="256"/>
      <c r="DG10025" s="256"/>
    </row>
    <row r="10026" spans="104:111">
      <c r="CZ10026" s="256"/>
      <c r="DG10026" s="256"/>
    </row>
    <row r="10027" spans="104:111">
      <c r="CZ10027" s="256"/>
      <c r="DG10027" s="256"/>
    </row>
    <row r="10028" spans="104:111">
      <c r="CZ10028" s="256"/>
      <c r="DG10028" s="256"/>
    </row>
    <row r="10029" spans="104:111">
      <c r="CZ10029" s="256"/>
      <c r="DG10029" s="256"/>
    </row>
    <row r="10030" spans="104:111">
      <c r="CZ10030" s="256"/>
      <c r="DG10030" s="256"/>
    </row>
    <row r="10031" spans="104:111">
      <c r="CZ10031" s="256"/>
      <c r="DG10031" s="256"/>
    </row>
    <row r="10032" spans="104:111">
      <c r="CZ10032" s="256"/>
      <c r="DG10032" s="256"/>
    </row>
    <row r="10033" spans="104:111">
      <c r="CZ10033" s="256"/>
      <c r="DG10033" s="256"/>
    </row>
    <row r="10034" spans="104:111">
      <c r="CZ10034" s="256"/>
      <c r="DG10034" s="256"/>
    </row>
    <row r="10035" spans="104:111">
      <c r="CZ10035" s="256"/>
      <c r="DG10035" s="256"/>
    </row>
    <row r="10036" spans="104:111">
      <c r="CZ10036" s="256"/>
      <c r="DG10036" s="256"/>
    </row>
    <row r="10037" spans="104:111">
      <c r="CZ10037" s="256"/>
      <c r="DG10037" s="256"/>
    </row>
    <row r="10038" spans="104:111">
      <c r="CZ10038" s="256"/>
      <c r="DG10038" s="256"/>
    </row>
    <row r="10039" spans="104:111">
      <c r="CZ10039" s="256"/>
      <c r="DG10039" s="256"/>
    </row>
    <row r="10040" spans="104:111">
      <c r="CZ10040" s="256"/>
      <c r="DG10040" s="256"/>
    </row>
    <row r="10041" spans="104:111">
      <c r="CZ10041" s="256"/>
      <c r="DG10041" s="256"/>
    </row>
    <row r="10042" spans="104:111">
      <c r="CZ10042" s="256"/>
      <c r="DG10042" s="256"/>
    </row>
    <row r="10043" spans="104:111">
      <c r="CZ10043" s="256"/>
      <c r="DG10043" s="256"/>
    </row>
    <row r="10044" spans="104:111">
      <c r="CZ10044" s="256"/>
      <c r="DG10044" s="256"/>
    </row>
    <row r="10045" spans="104:111">
      <c r="CZ10045" s="256"/>
      <c r="DG10045" s="256"/>
    </row>
    <row r="10046" spans="104:111">
      <c r="CZ10046" s="256"/>
      <c r="DG10046" s="256"/>
    </row>
    <row r="10047" spans="104:111">
      <c r="CZ10047" s="256"/>
      <c r="DG10047" s="256"/>
    </row>
    <row r="10048" spans="104:111">
      <c r="CZ10048" s="256"/>
      <c r="DG10048" s="256"/>
    </row>
    <row r="10049" spans="104:111">
      <c r="CZ10049" s="256"/>
      <c r="DG10049" s="256"/>
    </row>
    <row r="10050" spans="104:111">
      <c r="CZ10050" s="256"/>
      <c r="DG10050" s="256"/>
    </row>
    <row r="10051" spans="104:111">
      <c r="CZ10051" s="256"/>
      <c r="DG10051" s="256"/>
    </row>
    <row r="10052" spans="104:111">
      <c r="CZ10052" s="256"/>
      <c r="DG10052" s="256"/>
    </row>
    <row r="10053" spans="104:111">
      <c r="CZ10053" s="256"/>
      <c r="DG10053" s="256"/>
    </row>
    <row r="10054" spans="104:111">
      <c r="CZ10054" s="256"/>
      <c r="DG10054" s="256"/>
    </row>
    <row r="10055" spans="104:111">
      <c r="CZ10055" s="256"/>
      <c r="DG10055" s="256"/>
    </row>
    <row r="10056" spans="104:111">
      <c r="CZ10056" s="256"/>
      <c r="DG10056" s="256"/>
    </row>
    <row r="10057" spans="104:111">
      <c r="CZ10057" s="256"/>
      <c r="DG10057" s="256"/>
    </row>
    <row r="10058" spans="104:111">
      <c r="CZ10058" s="256"/>
      <c r="DG10058" s="256"/>
    </row>
    <row r="10059" spans="104:111">
      <c r="CZ10059" s="256"/>
      <c r="DG10059" s="256"/>
    </row>
    <row r="10060" spans="104:111">
      <c r="CZ10060" s="256"/>
      <c r="DG10060" s="256"/>
    </row>
    <row r="10061" spans="104:111">
      <c r="CZ10061" s="256"/>
      <c r="DG10061" s="256"/>
    </row>
    <row r="10062" spans="104:111">
      <c r="CZ10062" s="256"/>
      <c r="DG10062" s="256"/>
    </row>
    <row r="10063" spans="104:111">
      <c r="CZ10063" s="256"/>
      <c r="DG10063" s="256"/>
    </row>
    <row r="10064" spans="104:111">
      <c r="CZ10064" s="256"/>
      <c r="DG10064" s="256"/>
    </row>
    <row r="10065" spans="104:111">
      <c r="CZ10065" s="256"/>
      <c r="DG10065" s="256"/>
    </row>
    <row r="10066" spans="104:111">
      <c r="CZ10066" s="256"/>
      <c r="DG10066" s="256"/>
    </row>
    <row r="10067" spans="104:111">
      <c r="CZ10067" s="256"/>
      <c r="DG10067" s="256"/>
    </row>
    <row r="10068" spans="104:111">
      <c r="CZ10068" s="256"/>
      <c r="DG10068" s="256"/>
    </row>
    <row r="10069" spans="104:111">
      <c r="CZ10069" s="256"/>
      <c r="DG10069" s="256"/>
    </row>
    <row r="10070" spans="104:111">
      <c r="CZ10070" s="256"/>
      <c r="DG10070" s="256"/>
    </row>
    <row r="10071" spans="104:111">
      <c r="CZ10071" s="256"/>
      <c r="DG10071" s="256"/>
    </row>
    <row r="10072" spans="104:111">
      <c r="CZ10072" s="256"/>
      <c r="DG10072" s="256"/>
    </row>
    <row r="10073" spans="104:111">
      <c r="CZ10073" s="256"/>
      <c r="DG10073" s="256"/>
    </row>
    <row r="10074" spans="104:111">
      <c r="CZ10074" s="256"/>
      <c r="DG10074" s="256"/>
    </row>
    <row r="10075" spans="104:111">
      <c r="CZ10075" s="256"/>
      <c r="DG10075" s="256"/>
    </row>
    <row r="10076" spans="104:111">
      <c r="CZ10076" s="256"/>
      <c r="DG10076" s="256"/>
    </row>
    <row r="10077" spans="104:111">
      <c r="CZ10077" s="256"/>
      <c r="DG10077" s="256"/>
    </row>
    <row r="10078" spans="104:111">
      <c r="CZ10078" s="256"/>
      <c r="DG10078" s="256"/>
    </row>
    <row r="10079" spans="104:111">
      <c r="CZ10079" s="256"/>
      <c r="DG10079" s="256"/>
    </row>
    <row r="10080" spans="104:111">
      <c r="CZ10080" s="256"/>
      <c r="DG10080" s="256"/>
    </row>
    <row r="10081" spans="104:111">
      <c r="CZ10081" s="256"/>
      <c r="DG10081" s="256"/>
    </row>
    <row r="10082" spans="104:111">
      <c r="CZ10082" s="256"/>
      <c r="DG10082" s="256"/>
    </row>
    <row r="10083" spans="104:111">
      <c r="CZ10083" s="256"/>
      <c r="DG10083" s="256"/>
    </row>
    <row r="10084" spans="104:111">
      <c r="CZ10084" s="256"/>
      <c r="DG10084" s="256"/>
    </row>
    <row r="10085" spans="104:111">
      <c r="CZ10085" s="256"/>
      <c r="DG10085" s="256"/>
    </row>
    <row r="10086" spans="104:111">
      <c r="CZ10086" s="256"/>
      <c r="DG10086" s="256"/>
    </row>
    <row r="10087" spans="104:111">
      <c r="CZ10087" s="256"/>
      <c r="DG10087" s="256"/>
    </row>
    <row r="10088" spans="104:111">
      <c r="CZ10088" s="256"/>
      <c r="DG10088" s="256"/>
    </row>
    <row r="10089" spans="104:111">
      <c r="CZ10089" s="256"/>
      <c r="DG10089" s="256"/>
    </row>
    <row r="10090" spans="104:111">
      <c r="CZ10090" s="256"/>
      <c r="DG10090" s="256"/>
    </row>
    <row r="10091" spans="104:111">
      <c r="CZ10091" s="256"/>
      <c r="DG10091" s="256"/>
    </row>
    <row r="10092" spans="104:111">
      <c r="CZ10092" s="256"/>
      <c r="DG10092" s="256"/>
    </row>
    <row r="10093" spans="104:111">
      <c r="CZ10093" s="256"/>
      <c r="DG10093" s="256"/>
    </row>
    <row r="10094" spans="104:111">
      <c r="CZ10094" s="256"/>
      <c r="DG10094" s="256"/>
    </row>
    <row r="10095" spans="104:111">
      <c r="CZ10095" s="256"/>
      <c r="DG10095" s="256"/>
    </row>
    <row r="10096" spans="104:111">
      <c r="CZ10096" s="256"/>
      <c r="DG10096" s="256"/>
    </row>
    <row r="10097" spans="104:111">
      <c r="CZ10097" s="256"/>
      <c r="DG10097" s="256"/>
    </row>
    <row r="10098" spans="104:111">
      <c r="CZ10098" s="256"/>
      <c r="DG10098" s="256"/>
    </row>
    <row r="10099" spans="104:111">
      <c r="CZ10099" s="256"/>
      <c r="DG10099" s="256"/>
    </row>
    <row r="10100" spans="104:111">
      <c r="CZ10100" s="256"/>
      <c r="DG10100" s="256"/>
    </row>
    <row r="10101" spans="104:111">
      <c r="CZ10101" s="256"/>
      <c r="DG10101" s="256"/>
    </row>
    <row r="10102" spans="104:111">
      <c r="CZ10102" s="256"/>
      <c r="DG10102" s="256"/>
    </row>
    <row r="10103" spans="104:111">
      <c r="CZ10103" s="256"/>
      <c r="DG10103" s="256"/>
    </row>
    <row r="10104" spans="104:111">
      <c r="CZ10104" s="256"/>
      <c r="DG10104" s="256"/>
    </row>
    <row r="10105" spans="104:111">
      <c r="CZ10105" s="256"/>
      <c r="DG10105" s="256"/>
    </row>
    <row r="10106" spans="104:111">
      <c r="CZ10106" s="256"/>
      <c r="DG10106" s="256"/>
    </row>
    <row r="10107" spans="104:111">
      <c r="CZ10107" s="256"/>
      <c r="DG10107" s="256"/>
    </row>
    <row r="10108" spans="104:111">
      <c r="CZ10108" s="256"/>
      <c r="DG10108" s="256"/>
    </row>
    <row r="10109" spans="104:111">
      <c r="CZ10109" s="256"/>
      <c r="DG10109" s="256"/>
    </row>
    <row r="10110" spans="104:111">
      <c r="CZ10110" s="256"/>
      <c r="DG10110" s="256"/>
    </row>
    <row r="10111" spans="104:111">
      <c r="CZ10111" s="256"/>
      <c r="DG10111" s="256"/>
    </row>
    <row r="10112" spans="104:111">
      <c r="CZ10112" s="256"/>
      <c r="DG10112" s="256"/>
    </row>
    <row r="10113" spans="104:111">
      <c r="CZ10113" s="256"/>
      <c r="DG10113" s="256"/>
    </row>
    <row r="10114" spans="104:111">
      <c r="CZ10114" s="256"/>
      <c r="DG10114" s="256"/>
    </row>
    <row r="10115" spans="104:111">
      <c r="CZ10115" s="256"/>
      <c r="DG10115" s="256"/>
    </row>
    <row r="10116" spans="104:111">
      <c r="CZ10116" s="256"/>
      <c r="DG10116" s="256"/>
    </row>
    <row r="10117" spans="104:111">
      <c r="CZ10117" s="256"/>
      <c r="DG10117" s="256"/>
    </row>
    <row r="10118" spans="104:111">
      <c r="CZ10118" s="256"/>
      <c r="DG10118" s="256"/>
    </row>
    <row r="10119" spans="104:111">
      <c r="CZ10119" s="256"/>
      <c r="DG10119" s="256"/>
    </row>
    <row r="10120" spans="104:111">
      <c r="CZ10120" s="256"/>
      <c r="DG10120" s="256"/>
    </row>
    <row r="10121" spans="104:111">
      <c r="CZ10121" s="256"/>
      <c r="DG10121" s="256"/>
    </row>
    <row r="10122" spans="104:111">
      <c r="CZ10122" s="256"/>
      <c r="DG10122" s="256"/>
    </row>
    <row r="10123" spans="104:111">
      <c r="CZ10123" s="256"/>
      <c r="DG10123" s="256"/>
    </row>
    <row r="10124" spans="104:111">
      <c r="CZ10124" s="256"/>
      <c r="DG10124" s="256"/>
    </row>
    <row r="10125" spans="104:111">
      <c r="CZ10125" s="256"/>
      <c r="DG10125" s="256"/>
    </row>
    <row r="10126" spans="104:111">
      <c r="CZ10126" s="256"/>
      <c r="DG10126" s="256"/>
    </row>
    <row r="10127" spans="104:111">
      <c r="CZ10127" s="256"/>
      <c r="DG10127" s="256"/>
    </row>
    <row r="10128" spans="104:111">
      <c r="CZ10128" s="256"/>
      <c r="DG10128" s="256"/>
    </row>
    <row r="10129" spans="104:111">
      <c r="CZ10129" s="256"/>
      <c r="DG10129" s="256"/>
    </row>
    <row r="10130" spans="104:111">
      <c r="CZ10130" s="256"/>
      <c r="DG10130" s="256"/>
    </row>
    <row r="10131" spans="104:111">
      <c r="CZ10131" s="256"/>
      <c r="DG10131" s="256"/>
    </row>
    <row r="10132" spans="104:111">
      <c r="CZ10132" s="256"/>
      <c r="DG10132" s="256"/>
    </row>
    <row r="10133" spans="104:111">
      <c r="CZ10133" s="256"/>
      <c r="DG10133" s="256"/>
    </row>
    <row r="10134" spans="104:111">
      <c r="CZ10134" s="256"/>
      <c r="DG10134" s="256"/>
    </row>
    <row r="10135" spans="104:111">
      <c r="CZ10135" s="256"/>
      <c r="DG10135" s="256"/>
    </row>
    <row r="10136" spans="104:111">
      <c r="CZ10136" s="256"/>
      <c r="DG10136" s="256"/>
    </row>
    <row r="10137" spans="104:111">
      <c r="CZ10137" s="256"/>
      <c r="DG10137" s="256"/>
    </row>
    <row r="10138" spans="104:111">
      <c r="CZ10138" s="256"/>
      <c r="DG10138" s="256"/>
    </row>
    <row r="10139" spans="104:111">
      <c r="CZ10139" s="256"/>
      <c r="DG10139" s="256"/>
    </row>
    <row r="10140" spans="104:111">
      <c r="CZ10140" s="256"/>
      <c r="DG10140" s="256"/>
    </row>
    <row r="10141" spans="104:111">
      <c r="CZ10141" s="256"/>
      <c r="DG10141" s="256"/>
    </row>
    <row r="10142" spans="104:111">
      <c r="CZ10142" s="256"/>
      <c r="DG10142" s="256"/>
    </row>
    <row r="10143" spans="104:111">
      <c r="CZ10143" s="256"/>
      <c r="DG10143" s="256"/>
    </row>
    <row r="10144" spans="104:111">
      <c r="CZ10144" s="256"/>
      <c r="DG10144" s="256"/>
    </row>
    <row r="10145" spans="104:111">
      <c r="CZ10145" s="256"/>
      <c r="DG10145" s="256"/>
    </row>
    <row r="10146" spans="104:111">
      <c r="CZ10146" s="256"/>
      <c r="DG10146" s="256"/>
    </row>
    <row r="10147" spans="104:111">
      <c r="CZ10147" s="256"/>
      <c r="DG10147" s="256"/>
    </row>
    <row r="10148" spans="104:111">
      <c r="CZ10148" s="256"/>
      <c r="DG10148" s="256"/>
    </row>
    <row r="10149" spans="104:111">
      <c r="CZ10149" s="256"/>
      <c r="DG10149" s="256"/>
    </row>
    <row r="10150" spans="104:111">
      <c r="CZ10150" s="256"/>
      <c r="DG10150" s="256"/>
    </row>
    <row r="10151" spans="104:111">
      <c r="CZ10151" s="256"/>
      <c r="DG10151" s="256"/>
    </row>
    <row r="10152" spans="104:111">
      <c r="CZ10152" s="256"/>
      <c r="DG10152" s="256"/>
    </row>
    <row r="10153" spans="104:111">
      <c r="CZ10153" s="256"/>
      <c r="DG10153" s="256"/>
    </row>
    <row r="10154" spans="104:111">
      <c r="CZ10154" s="256"/>
      <c r="DG10154" s="256"/>
    </row>
    <row r="10155" spans="104:111">
      <c r="CZ10155" s="256"/>
      <c r="DG10155" s="256"/>
    </row>
    <row r="10156" spans="104:111">
      <c r="CZ10156" s="256"/>
      <c r="DG10156" s="256"/>
    </row>
    <row r="10157" spans="104:111">
      <c r="CZ10157" s="256"/>
      <c r="DG10157" s="256"/>
    </row>
    <row r="10158" spans="104:111">
      <c r="CZ10158" s="256"/>
      <c r="DG10158" s="256"/>
    </row>
    <row r="10159" spans="104:111">
      <c r="CZ10159" s="256"/>
      <c r="DG10159" s="256"/>
    </row>
    <row r="10160" spans="104:111">
      <c r="CZ10160" s="256"/>
      <c r="DG10160" s="256"/>
    </row>
    <row r="10161" spans="104:111">
      <c r="CZ10161" s="256"/>
      <c r="DG10161" s="256"/>
    </row>
    <row r="10162" spans="104:111">
      <c r="CZ10162" s="256"/>
      <c r="DG10162" s="256"/>
    </row>
    <row r="10163" spans="104:111">
      <c r="CZ10163" s="256"/>
      <c r="DG10163" s="256"/>
    </row>
    <row r="10164" spans="104:111">
      <c r="CZ10164" s="256"/>
      <c r="DG10164" s="256"/>
    </row>
    <row r="10165" spans="104:111">
      <c r="CZ10165" s="256"/>
      <c r="DG10165" s="256"/>
    </row>
    <row r="10166" spans="104:111">
      <c r="CZ10166" s="256"/>
      <c r="DG10166" s="256"/>
    </row>
    <row r="10167" spans="104:111">
      <c r="CZ10167" s="256"/>
      <c r="DG10167" s="256"/>
    </row>
    <row r="10168" spans="104:111">
      <c r="CZ10168" s="256"/>
      <c r="DG10168" s="256"/>
    </row>
    <row r="10169" spans="104:111">
      <c r="CZ10169" s="256"/>
      <c r="DG10169" s="256"/>
    </row>
    <row r="10170" spans="104:111">
      <c r="CZ10170" s="256"/>
      <c r="DG10170" s="256"/>
    </row>
    <row r="10171" spans="104:111">
      <c r="CZ10171" s="256"/>
      <c r="DG10171" s="256"/>
    </row>
    <row r="10172" spans="104:111">
      <c r="CZ10172" s="256"/>
      <c r="DG10172" s="256"/>
    </row>
    <row r="10173" spans="104:111">
      <c r="CZ10173" s="256"/>
      <c r="DG10173" s="256"/>
    </row>
    <row r="10174" spans="104:111">
      <c r="CZ10174" s="256"/>
      <c r="DG10174" s="256"/>
    </row>
    <row r="10175" spans="104:111">
      <c r="CZ10175" s="256"/>
      <c r="DG10175" s="256"/>
    </row>
    <row r="10176" spans="104:111">
      <c r="CZ10176" s="256"/>
      <c r="DG10176" s="256"/>
    </row>
    <row r="10177" spans="104:111">
      <c r="CZ10177" s="256"/>
      <c r="DG10177" s="256"/>
    </row>
    <row r="10178" spans="104:111">
      <c r="CZ10178" s="256"/>
      <c r="DG10178" s="256"/>
    </row>
    <row r="10179" spans="104:111">
      <c r="CZ10179" s="256"/>
      <c r="DG10179" s="256"/>
    </row>
    <row r="10180" spans="104:111">
      <c r="CZ10180" s="256"/>
      <c r="DG10180" s="256"/>
    </row>
    <row r="10181" spans="104:111">
      <c r="CZ10181" s="256"/>
      <c r="DG10181" s="256"/>
    </row>
    <row r="10182" spans="104:111">
      <c r="CZ10182" s="256"/>
      <c r="DG10182" s="256"/>
    </row>
    <row r="10183" spans="104:111">
      <c r="CZ10183" s="256"/>
      <c r="DG10183" s="256"/>
    </row>
    <row r="10184" spans="104:111">
      <c r="CZ10184" s="256"/>
      <c r="DG10184" s="256"/>
    </row>
    <row r="10185" spans="104:111">
      <c r="CZ10185" s="256"/>
      <c r="DG10185" s="256"/>
    </row>
    <row r="10186" spans="104:111">
      <c r="CZ10186" s="256"/>
      <c r="DG10186" s="256"/>
    </row>
    <row r="10187" spans="104:111">
      <c r="CZ10187" s="256"/>
      <c r="DG10187" s="256"/>
    </row>
    <row r="10188" spans="104:111">
      <c r="CZ10188" s="256"/>
      <c r="DG10188" s="256"/>
    </row>
    <row r="10189" spans="104:111">
      <c r="CZ10189" s="256"/>
      <c r="DG10189" s="256"/>
    </row>
    <row r="10190" spans="104:111">
      <c r="CZ10190" s="256"/>
      <c r="DG10190" s="256"/>
    </row>
    <row r="10191" spans="104:111">
      <c r="CZ10191" s="256"/>
      <c r="DG10191" s="256"/>
    </row>
    <row r="10192" spans="104:111">
      <c r="CZ10192" s="256"/>
      <c r="DG10192" s="256"/>
    </row>
    <row r="10193" spans="104:111">
      <c r="CZ10193" s="256"/>
      <c r="DG10193" s="256"/>
    </row>
    <row r="10194" spans="104:111">
      <c r="CZ10194" s="256"/>
      <c r="DG10194" s="256"/>
    </row>
    <row r="10195" spans="104:111">
      <c r="CZ10195" s="256"/>
      <c r="DG10195" s="256"/>
    </row>
    <row r="10196" spans="104:111">
      <c r="CZ10196" s="256"/>
      <c r="DG10196" s="256"/>
    </row>
    <row r="10197" spans="104:111">
      <c r="CZ10197" s="256"/>
      <c r="DG10197" s="256"/>
    </row>
    <row r="10198" spans="104:111">
      <c r="CZ10198" s="256"/>
      <c r="DG10198" s="256"/>
    </row>
    <row r="10199" spans="104:111">
      <c r="CZ10199" s="256"/>
      <c r="DG10199" s="256"/>
    </row>
    <row r="10200" spans="104:111">
      <c r="CZ10200" s="256"/>
      <c r="DG10200" s="256"/>
    </row>
    <row r="10201" spans="104:111">
      <c r="CZ10201" s="256"/>
      <c r="DG10201" s="256"/>
    </row>
    <row r="10202" spans="104:111">
      <c r="CZ10202" s="256"/>
      <c r="DG10202" s="256"/>
    </row>
    <row r="10203" spans="104:111">
      <c r="CZ10203" s="256"/>
      <c r="DG10203" s="256"/>
    </row>
    <row r="10204" spans="104:111">
      <c r="CZ10204" s="256"/>
      <c r="DG10204" s="256"/>
    </row>
    <row r="10205" spans="104:111">
      <c r="CZ10205" s="256"/>
      <c r="DG10205" s="256"/>
    </row>
    <row r="10206" spans="104:111">
      <c r="CZ10206" s="256"/>
      <c r="DG10206" s="256"/>
    </row>
    <row r="10207" spans="104:111">
      <c r="CZ10207" s="256"/>
      <c r="DG10207" s="256"/>
    </row>
    <row r="10208" spans="104:111">
      <c r="CZ10208" s="256"/>
      <c r="DG10208" s="256"/>
    </row>
    <row r="10209" spans="104:111">
      <c r="CZ10209" s="256"/>
      <c r="DG10209" s="256"/>
    </row>
    <row r="10210" spans="104:111">
      <c r="CZ10210" s="256"/>
      <c r="DG10210" s="256"/>
    </row>
    <row r="10211" spans="104:111">
      <c r="CZ10211" s="256"/>
      <c r="DG10211" s="256"/>
    </row>
    <row r="10212" spans="104:111">
      <c r="CZ10212" s="256"/>
      <c r="DG10212" s="256"/>
    </row>
    <row r="10213" spans="104:111">
      <c r="CZ10213" s="256"/>
      <c r="DG10213" s="256"/>
    </row>
    <row r="10214" spans="104:111">
      <c r="CZ10214" s="256"/>
      <c r="DG10214" s="256"/>
    </row>
    <row r="10215" spans="104:111">
      <c r="CZ10215" s="256"/>
      <c r="DG10215" s="256"/>
    </row>
    <row r="10216" spans="104:111">
      <c r="CZ10216" s="256"/>
      <c r="DG10216" s="256"/>
    </row>
    <row r="10217" spans="104:111">
      <c r="CZ10217" s="256"/>
      <c r="DG10217" s="256"/>
    </row>
    <row r="10218" spans="104:111">
      <c r="CZ10218" s="256"/>
      <c r="DG10218" s="256"/>
    </row>
    <row r="10219" spans="104:111">
      <c r="CZ10219" s="256"/>
      <c r="DG10219" s="256"/>
    </row>
    <row r="10220" spans="104:111">
      <c r="CZ10220" s="256"/>
      <c r="DG10220" s="256"/>
    </row>
    <row r="10221" spans="104:111">
      <c r="CZ10221" s="256"/>
      <c r="DG10221" s="256"/>
    </row>
    <row r="10222" spans="104:111">
      <c r="CZ10222" s="256"/>
      <c r="DG10222" s="256"/>
    </row>
    <row r="10223" spans="104:111">
      <c r="CZ10223" s="256"/>
      <c r="DG10223" s="256"/>
    </row>
    <row r="10224" spans="104:111">
      <c r="CZ10224" s="256"/>
      <c r="DG10224" s="256"/>
    </row>
    <row r="10225" spans="104:111">
      <c r="CZ10225" s="256"/>
      <c r="DG10225" s="256"/>
    </row>
    <row r="10226" spans="104:111">
      <c r="CZ10226" s="256"/>
      <c r="DG10226" s="256"/>
    </row>
    <row r="10227" spans="104:111">
      <c r="CZ10227" s="256"/>
      <c r="DG10227" s="256"/>
    </row>
    <row r="10228" spans="104:111">
      <c r="CZ10228" s="256"/>
      <c r="DG10228" s="256"/>
    </row>
    <row r="10229" spans="104:111">
      <c r="CZ10229" s="256"/>
      <c r="DG10229" s="256"/>
    </row>
    <row r="10230" spans="104:111">
      <c r="CZ10230" s="256"/>
      <c r="DG10230" s="256"/>
    </row>
    <row r="10231" spans="104:111">
      <c r="CZ10231" s="256"/>
      <c r="DG10231" s="256"/>
    </row>
    <row r="10232" spans="104:111">
      <c r="CZ10232" s="256"/>
      <c r="DG10232" s="256"/>
    </row>
    <row r="10233" spans="104:111">
      <c r="CZ10233" s="256"/>
      <c r="DG10233" s="256"/>
    </row>
    <row r="10234" spans="104:111">
      <c r="CZ10234" s="256"/>
      <c r="DG10234" s="256"/>
    </row>
    <row r="10235" spans="104:111">
      <c r="CZ10235" s="256"/>
      <c r="DG10235" s="256"/>
    </row>
    <row r="10236" spans="104:111">
      <c r="CZ10236" s="256"/>
      <c r="DG10236" s="256"/>
    </row>
    <row r="10237" spans="104:111">
      <c r="CZ10237" s="256"/>
      <c r="DG10237" s="256"/>
    </row>
    <row r="10238" spans="104:111">
      <c r="CZ10238" s="256"/>
      <c r="DG10238" s="256"/>
    </row>
    <row r="10239" spans="104:111">
      <c r="CZ10239" s="256"/>
      <c r="DG10239" s="256"/>
    </row>
    <row r="10240" spans="104:111">
      <c r="CZ10240" s="256"/>
      <c r="DG10240" s="256"/>
    </row>
    <row r="10241" spans="104:111">
      <c r="CZ10241" s="256"/>
      <c r="DG10241" s="256"/>
    </row>
    <row r="10242" spans="104:111">
      <c r="CZ10242" s="256"/>
      <c r="DG10242" s="256"/>
    </row>
    <row r="10243" spans="104:111">
      <c r="CZ10243" s="256"/>
      <c r="DG10243" s="256"/>
    </row>
    <row r="10244" spans="104:111">
      <c r="CZ10244" s="256"/>
      <c r="DG10244" s="256"/>
    </row>
    <row r="10245" spans="104:111">
      <c r="CZ10245" s="256"/>
      <c r="DG10245" s="256"/>
    </row>
    <row r="10246" spans="104:111">
      <c r="CZ10246" s="256"/>
      <c r="DG10246" s="256"/>
    </row>
    <row r="10247" spans="104:111">
      <c r="CZ10247" s="256"/>
      <c r="DG10247" s="256"/>
    </row>
    <row r="10248" spans="104:111">
      <c r="CZ10248" s="256"/>
      <c r="DG10248" s="256"/>
    </row>
    <row r="10249" spans="104:111">
      <c r="CZ10249" s="256"/>
      <c r="DG10249" s="256"/>
    </row>
    <row r="10250" spans="104:111">
      <c r="CZ10250" s="256"/>
      <c r="DG10250" s="256"/>
    </row>
    <row r="10251" spans="104:111">
      <c r="CZ10251" s="256"/>
      <c r="DG10251" s="256"/>
    </row>
    <row r="10252" spans="104:111">
      <c r="CZ10252" s="256"/>
      <c r="DG10252" s="256"/>
    </row>
    <row r="10253" spans="104:111">
      <c r="CZ10253" s="256"/>
      <c r="DG10253" s="256"/>
    </row>
    <row r="10254" spans="104:111">
      <c r="CZ10254" s="256"/>
      <c r="DG10254" s="256"/>
    </row>
    <row r="10255" spans="104:111">
      <c r="CZ10255" s="256"/>
      <c r="DG10255" s="256"/>
    </row>
    <row r="10256" spans="104:111">
      <c r="CZ10256" s="256"/>
      <c r="DG10256" s="256"/>
    </row>
    <row r="10257" spans="104:111">
      <c r="CZ10257" s="256"/>
      <c r="DG10257" s="256"/>
    </row>
    <row r="10258" spans="104:111">
      <c r="CZ10258" s="256"/>
      <c r="DG10258" s="256"/>
    </row>
    <row r="10259" spans="104:111">
      <c r="CZ10259" s="256"/>
      <c r="DG10259" s="256"/>
    </row>
    <row r="10260" spans="104:111">
      <c r="CZ10260" s="256"/>
      <c r="DG10260" s="256"/>
    </row>
    <row r="10261" spans="104:111">
      <c r="CZ10261" s="256"/>
      <c r="DG10261" s="256"/>
    </row>
    <row r="10262" spans="104:111">
      <c r="CZ10262" s="256"/>
      <c r="DG10262" s="256"/>
    </row>
    <row r="10263" spans="104:111">
      <c r="CZ10263" s="256"/>
      <c r="DG10263" s="256"/>
    </row>
    <row r="10264" spans="104:111">
      <c r="CZ10264" s="256"/>
      <c r="DG10264" s="256"/>
    </row>
    <row r="10265" spans="104:111">
      <c r="CZ10265" s="256"/>
      <c r="DG10265" s="256"/>
    </row>
    <row r="10266" spans="104:111">
      <c r="CZ10266" s="256"/>
      <c r="DG10266" s="256"/>
    </row>
    <row r="10267" spans="104:111">
      <c r="CZ10267" s="256"/>
      <c r="DG10267" s="256"/>
    </row>
    <row r="10268" spans="104:111">
      <c r="CZ10268" s="256"/>
      <c r="DG10268" s="256"/>
    </row>
    <row r="10269" spans="104:111">
      <c r="CZ10269" s="256"/>
      <c r="DG10269" s="256"/>
    </row>
    <row r="10270" spans="104:111">
      <c r="CZ10270" s="256"/>
      <c r="DG10270" s="256"/>
    </row>
    <row r="10271" spans="104:111">
      <c r="CZ10271" s="256"/>
      <c r="DG10271" s="256"/>
    </row>
    <row r="10272" spans="104:111">
      <c r="CZ10272" s="256"/>
      <c r="DG10272" s="256"/>
    </row>
    <row r="10273" spans="104:111">
      <c r="CZ10273" s="256"/>
      <c r="DG10273" s="256"/>
    </row>
    <row r="10274" spans="104:111">
      <c r="CZ10274" s="256"/>
      <c r="DG10274" s="256"/>
    </row>
    <row r="10275" spans="104:111">
      <c r="CZ10275" s="256"/>
      <c r="DG10275" s="256"/>
    </row>
    <row r="10276" spans="104:111">
      <c r="CZ10276" s="256"/>
      <c r="DG10276" s="256"/>
    </row>
    <row r="10277" spans="104:111">
      <c r="CZ10277" s="256"/>
      <c r="DG10277" s="256"/>
    </row>
    <row r="10278" spans="104:111">
      <c r="CZ10278" s="256"/>
      <c r="DG10278" s="256"/>
    </row>
    <row r="10279" spans="104:111">
      <c r="CZ10279" s="256"/>
      <c r="DG10279" s="256"/>
    </row>
    <row r="10280" spans="104:111">
      <c r="CZ10280" s="256"/>
      <c r="DG10280" s="256"/>
    </row>
    <row r="10281" spans="104:111">
      <c r="CZ10281" s="256"/>
      <c r="DG10281" s="256"/>
    </row>
    <row r="10282" spans="104:111">
      <c r="CZ10282" s="256"/>
      <c r="DG10282" s="256"/>
    </row>
    <row r="10283" spans="104:111">
      <c r="CZ10283" s="256"/>
      <c r="DG10283" s="256"/>
    </row>
    <row r="10284" spans="104:111">
      <c r="CZ10284" s="256"/>
      <c r="DG10284" s="256"/>
    </row>
    <row r="10285" spans="104:111">
      <c r="CZ10285" s="256"/>
      <c r="DG10285" s="256"/>
    </row>
    <row r="10286" spans="104:111">
      <c r="CZ10286" s="256"/>
      <c r="DG10286" s="256"/>
    </row>
    <row r="10287" spans="104:111">
      <c r="CZ10287" s="256"/>
      <c r="DG10287" s="256"/>
    </row>
    <row r="10288" spans="104:111">
      <c r="CZ10288" s="256"/>
      <c r="DG10288" s="256"/>
    </row>
    <row r="10289" spans="104:111">
      <c r="CZ10289" s="256"/>
      <c r="DG10289" s="256"/>
    </row>
    <row r="10290" spans="104:111">
      <c r="CZ10290" s="256"/>
      <c r="DG10290" s="256"/>
    </row>
    <row r="10291" spans="104:111">
      <c r="CZ10291" s="256"/>
      <c r="DG10291" s="256"/>
    </row>
    <row r="10292" spans="104:111">
      <c r="CZ10292" s="256"/>
      <c r="DG10292" s="256"/>
    </row>
    <row r="10293" spans="104:111">
      <c r="CZ10293" s="256"/>
      <c r="DG10293" s="256"/>
    </row>
    <row r="10294" spans="104:111">
      <c r="CZ10294" s="256"/>
      <c r="DG10294" s="256"/>
    </row>
    <row r="10295" spans="104:111">
      <c r="CZ10295" s="256"/>
      <c r="DG10295" s="256"/>
    </row>
    <row r="10296" spans="104:111">
      <c r="CZ10296" s="256"/>
      <c r="DG10296" s="256"/>
    </row>
    <row r="10297" spans="104:111">
      <c r="CZ10297" s="256"/>
      <c r="DG10297" s="256"/>
    </row>
    <row r="10298" spans="104:111">
      <c r="CZ10298" s="256"/>
      <c r="DG10298" s="256"/>
    </row>
    <row r="10299" spans="104:111">
      <c r="CZ10299" s="256"/>
      <c r="DG10299" s="256"/>
    </row>
    <row r="10300" spans="104:111">
      <c r="CZ10300" s="256"/>
      <c r="DG10300" s="256"/>
    </row>
    <row r="10301" spans="104:111">
      <c r="CZ10301" s="256"/>
      <c r="DG10301" s="256"/>
    </row>
    <row r="10302" spans="104:111">
      <c r="CZ10302" s="256"/>
      <c r="DG10302" s="256"/>
    </row>
    <row r="10303" spans="104:111">
      <c r="CZ10303" s="256"/>
      <c r="DG10303" s="256"/>
    </row>
    <row r="10304" spans="104:111">
      <c r="CZ10304" s="256"/>
      <c r="DG10304" s="256"/>
    </row>
    <row r="10305" spans="104:111">
      <c r="CZ10305" s="256"/>
      <c r="DG10305" s="256"/>
    </row>
    <row r="10306" spans="104:111">
      <c r="CZ10306" s="256"/>
      <c r="DG10306" s="256"/>
    </row>
    <row r="10307" spans="104:111">
      <c r="CZ10307" s="256"/>
      <c r="DG10307" s="256"/>
    </row>
    <row r="10308" spans="104:111">
      <c r="CZ10308" s="256"/>
      <c r="DG10308" s="256"/>
    </row>
    <row r="10309" spans="104:111">
      <c r="CZ10309" s="256"/>
      <c r="DG10309" s="256"/>
    </row>
    <row r="10310" spans="104:111">
      <c r="CZ10310" s="256"/>
      <c r="DG10310" s="256"/>
    </row>
    <row r="10311" spans="104:111">
      <c r="CZ10311" s="256"/>
      <c r="DG10311" s="256"/>
    </row>
    <row r="10312" spans="104:111">
      <c r="CZ10312" s="256"/>
      <c r="DG10312" s="256"/>
    </row>
    <row r="10313" spans="104:111">
      <c r="CZ10313" s="256"/>
      <c r="DG10313" s="256"/>
    </row>
    <row r="10314" spans="104:111">
      <c r="CZ10314" s="256"/>
      <c r="DG10314" s="256"/>
    </row>
    <row r="10315" spans="104:111">
      <c r="CZ10315" s="256"/>
      <c r="DG10315" s="256"/>
    </row>
    <row r="10316" spans="104:111">
      <c r="CZ10316" s="256"/>
      <c r="DG10316" s="256"/>
    </row>
    <row r="10317" spans="104:111">
      <c r="CZ10317" s="256"/>
      <c r="DG10317" s="256"/>
    </row>
    <row r="10318" spans="104:111">
      <c r="CZ10318" s="256"/>
      <c r="DG10318" s="256"/>
    </row>
    <row r="10319" spans="104:111">
      <c r="CZ10319" s="256"/>
      <c r="DG10319" s="256"/>
    </row>
    <row r="10320" spans="104:111">
      <c r="CZ10320" s="256"/>
      <c r="DG10320" s="256"/>
    </row>
    <row r="10321" spans="104:111">
      <c r="CZ10321" s="256"/>
      <c r="DG10321" s="256"/>
    </row>
    <row r="10322" spans="104:111">
      <c r="CZ10322" s="256"/>
      <c r="DG10322" s="256"/>
    </row>
    <row r="10323" spans="104:111">
      <c r="CZ10323" s="256"/>
      <c r="DG10323" s="256"/>
    </row>
    <row r="10324" spans="104:111">
      <c r="CZ10324" s="256"/>
      <c r="DG10324" s="256"/>
    </row>
    <row r="10325" spans="104:111">
      <c r="CZ10325" s="256"/>
      <c r="DG10325" s="256"/>
    </row>
    <row r="10326" spans="104:111">
      <c r="CZ10326" s="256"/>
      <c r="DG10326" s="256"/>
    </row>
    <row r="10327" spans="104:111">
      <c r="CZ10327" s="256"/>
      <c r="DG10327" s="256"/>
    </row>
    <row r="10328" spans="104:111">
      <c r="CZ10328" s="256"/>
      <c r="DG10328" s="256"/>
    </row>
    <row r="10329" spans="104:111">
      <c r="CZ10329" s="256"/>
      <c r="DG10329" s="256"/>
    </row>
    <row r="10330" spans="104:111">
      <c r="CZ10330" s="256"/>
      <c r="DG10330" s="256"/>
    </row>
    <row r="10331" spans="104:111">
      <c r="CZ10331" s="256"/>
      <c r="DG10331" s="256"/>
    </row>
    <row r="10332" spans="104:111">
      <c r="CZ10332" s="256"/>
      <c r="DG10332" s="256"/>
    </row>
    <row r="10333" spans="104:111">
      <c r="CZ10333" s="256"/>
      <c r="DG10333" s="256"/>
    </row>
    <row r="10334" spans="104:111">
      <c r="CZ10334" s="256"/>
      <c r="DG10334" s="256"/>
    </row>
    <row r="10335" spans="104:111">
      <c r="CZ10335" s="256"/>
      <c r="DG10335" s="256"/>
    </row>
    <row r="10336" spans="104:111">
      <c r="CZ10336" s="256"/>
      <c r="DG10336" s="256"/>
    </row>
    <row r="10337" spans="104:111">
      <c r="CZ10337" s="256"/>
      <c r="DG10337" s="256"/>
    </row>
    <row r="10338" spans="104:111">
      <c r="CZ10338" s="256"/>
      <c r="DG10338" s="256"/>
    </row>
    <row r="10339" spans="104:111">
      <c r="CZ10339" s="256"/>
      <c r="DG10339" s="256"/>
    </row>
    <row r="10340" spans="104:111">
      <c r="CZ10340" s="256"/>
      <c r="DG10340" s="256"/>
    </row>
    <row r="10341" spans="104:111">
      <c r="CZ10341" s="256"/>
      <c r="DG10341" s="256"/>
    </row>
    <row r="10342" spans="104:111">
      <c r="CZ10342" s="256"/>
      <c r="DG10342" s="256"/>
    </row>
    <row r="10343" spans="104:111">
      <c r="CZ10343" s="256"/>
      <c r="DG10343" s="256"/>
    </row>
    <row r="10344" spans="104:111">
      <c r="CZ10344" s="256"/>
      <c r="DG10344" s="256"/>
    </row>
    <row r="10345" spans="104:111">
      <c r="CZ10345" s="256"/>
      <c r="DG10345" s="256"/>
    </row>
    <row r="10346" spans="104:111">
      <c r="CZ10346" s="256"/>
      <c r="DG10346" s="256"/>
    </row>
    <row r="10347" spans="104:111">
      <c r="CZ10347" s="256"/>
      <c r="DG10347" s="256"/>
    </row>
    <row r="10348" spans="104:111">
      <c r="CZ10348" s="256"/>
      <c r="DG10348" s="256"/>
    </row>
    <row r="10349" spans="104:111">
      <c r="CZ10349" s="256"/>
      <c r="DG10349" s="256"/>
    </row>
    <row r="10350" spans="104:111">
      <c r="CZ10350" s="256"/>
      <c r="DG10350" s="256"/>
    </row>
    <row r="10351" spans="104:111">
      <c r="CZ10351" s="256"/>
      <c r="DG10351" s="256"/>
    </row>
    <row r="10352" spans="104:111">
      <c r="CZ10352" s="256"/>
      <c r="DG10352" s="256"/>
    </row>
    <row r="10353" spans="104:111">
      <c r="CZ10353" s="256"/>
      <c r="DG10353" s="256"/>
    </row>
    <row r="10354" spans="104:111">
      <c r="CZ10354" s="256"/>
      <c r="DG10354" s="256"/>
    </row>
    <row r="10355" spans="104:111">
      <c r="CZ10355" s="256"/>
      <c r="DG10355" s="256"/>
    </row>
    <row r="10356" spans="104:111">
      <c r="CZ10356" s="256"/>
      <c r="DG10356" s="256"/>
    </row>
    <row r="10357" spans="104:111">
      <c r="CZ10357" s="256"/>
      <c r="DG10357" s="256"/>
    </row>
    <row r="10358" spans="104:111">
      <c r="CZ10358" s="256"/>
      <c r="DG10358" s="256"/>
    </row>
    <row r="10359" spans="104:111">
      <c r="CZ10359" s="256"/>
      <c r="DG10359" s="256"/>
    </row>
    <row r="10360" spans="104:111">
      <c r="CZ10360" s="256"/>
      <c r="DG10360" s="256"/>
    </row>
    <row r="10361" spans="104:111">
      <c r="CZ10361" s="256"/>
      <c r="DG10361" s="256"/>
    </row>
    <row r="10362" spans="104:111">
      <c r="CZ10362" s="256"/>
      <c r="DG10362" s="256"/>
    </row>
    <row r="10363" spans="104:111">
      <c r="CZ10363" s="256"/>
      <c r="DG10363" s="256"/>
    </row>
    <row r="10364" spans="104:111">
      <c r="CZ10364" s="256"/>
      <c r="DG10364" s="256"/>
    </row>
    <row r="10365" spans="104:111">
      <c r="CZ10365" s="256"/>
      <c r="DG10365" s="256"/>
    </row>
    <row r="10366" spans="104:111">
      <c r="CZ10366" s="256"/>
      <c r="DG10366" s="256"/>
    </row>
    <row r="10367" spans="104:111">
      <c r="CZ10367" s="256"/>
      <c r="DG10367" s="256"/>
    </row>
    <row r="10368" spans="104:111">
      <c r="CZ10368" s="256"/>
      <c r="DG10368" s="256"/>
    </row>
    <row r="10369" spans="104:111">
      <c r="CZ10369" s="256"/>
      <c r="DG10369" s="256"/>
    </row>
    <row r="10370" spans="104:111">
      <c r="CZ10370" s="256"/>
      <c r="DG10370" s="256"/>
    </row>
    <row r="10371" spans="104:111">
      <c r="CZ10371" s="256"/>
      <c r="DG10371" s="256"/>
    </row>
    <row r="10372" spans="104:111">
      <c r="CZ10372" s="256"/>
      <c r="DG10372" s="256"/>
    </row>
    <row r="10373" spans="104:111">
      <c r="CZ10373" s="256"/>
      <c r="DG10373" s="256"/>
    </row>
    <row r="10374" spans="104:111">
      <c r="CZ10374" s="256"/>
      <c r="DG10374" s="256"/>
    </row>
    <row r="10375" spans="104:111">
      <c r="CZ10375" s="256"/>
      <c r="DG10375" s="256"/>
    </row>
    <row r="10376" spans="104:111">
      <c r="CZ10376" s="256"/>
      <c r="DG10376" s="256"/>
    </row>
    <row r="10377" spans="104:111">
      <c r="CZ10377" s="256"/>
      <c r="DG10377" s="256"/>
    </row>
    <row r="10378" spans="104:111">
      <c r="CZ10378" s="256"/>
      <c r="DG10378" s="256"/>
    </row>
    <row r="10379" spans="104:111">
      <c r="CZ10379" s="256"/>
      <c r="DG10379" s="256"/>
    </row>
    <row r="10380" spans="104:111">
      <c r="CZ10380" s="256"/>
      <c r="DG10380" s="256"/>
    </row>
    <row r="10381" spans="104:111">
      <c r="CZ10381" s="256"/>
      <c r="DG10381" s="256"/>
    </row>
    <row r="10382" spans="104:111">
      <c r="CZ10382" s="256"/>
      <c r="DG10382" s="256"/>
    </row>
    <row r="10383" spans="104:111">
      <c r="CZ10383" s="256"/>
      <c r="DG10383" s="256"/>
    </row>
    <row r="10384" spans="104:111">
      <c r="CZ10384" s="256"/>
      <c r="DG10384" s="256"/>
    </row>
    <row r="10385" spans="104:111">
      <c r="CZ10385" s="256"/>
      <c r="DG10385" s="256"/>
    </row>
    <row r="10386" spans="104:111">
      <c r="CZ10386" s="256"/>
      <c r="DG10386" s="256"/>
    </row>
    <row r="10387" spans="104:111">
      <c r="CZ10387" s="256"/>
      <c r="DG10387" s="256"/>
    </row>
    <row r="10388" spans="104:111">
      <c r="CZ10388" s="256"/>
      <c r="DG10388" s="256"/>
    </row>
    <row r="10389" spans="104:111">
      <c r="CZ10389" s="256"/>
      <c r="DG10389" s="256"/>
    </row>
    <row r="10390" spans="104:111">
      <c r="CZ10390" s="256"/>
      <c r="DG10390" s="256"/>
    </row>
    <row r="10391" spans="104:111">
      <c r="CZ10391" s="256"/>
      <c r="DG10391" s="256"/>
    </row>
    <row r="10392" spans="104:111">
      <c r="CZ10392" s="256"/>
      <c r="DG10392" s="256"/>
    </row>
    <row r="10393" spans="104:111">
      <c r="CZ10393" s="256"/>
      <c r="DG10393" s="256"/>
    </row>
    <row r="10394" spans="104:111">
      <c r="CZ10394" s="256"/>
      <c r="DG10394" s="256"/>
    </row>
    <row r="10395" spans="104:111">
      <c r="CZ10395" s="256"/>
      <c r="DG10395" s="256"/>
    </row>
    <row r="10396" spans="104:111">
      <c r="CZ10396" s="256"/>
      <c r="DG10396" s="256"/>
    </row>
    <row r="10397" spans="104:111">
      <c r="CZ10397" s="256"/>
      <c r="DG10397" s="256"/>
    </row>
    <row r="10398" spans="104:111">
      <c r="CZ10398" s="256"/>
      <c r="DG10398" s="256"/>
    </row>
    <row r="10399" spans="104:111">
      <c r="CZ10399" s="256"/>
      <c r="DG10399" s="256"/>
    </row>
    <row r="10400" spans="104:111">
      <c r="CZ10400" s="256"/>
      <c r="DG10400" s="256"/>
    </row>
    <row r="10401" spans="104:111">
      <c r="CZ10401" s="256"/>
      <c r="DG10401" s="256"/>
    </row>
    <row r="10402" spans="104:111">
      <c r="CZ10402" s="256"/>
      <c r="DG10402" s="256"/>
    </row>
    <row r="10403" spans="104:111">
      <c r="CZ10403" s="256"/>
      <c r="DG10403" s="256"/>
    </row>
    <row r="10404" spans="104:111">
      <c r="CZ10404" s="256"/>
      <c r="DG10404" s="256"/>
    </row>
    <row r="10405" spans="104:111">
      <c r="CZ10405" s="256"/>
      <c r="DG10405" s="256"/>
    </row>
    <row r="10406" spans="104:111">
      <c r="CZ10406" s="256"/>
      <c r="DG10406" s="256"/>
    </row>
    <row r="10407" spans="104:111">
      <c r="CZ10407" s="256"/>
      <c r="DG10407" s="256"/>
    </row>
    <row r="10408" spans="104:111">
      <c r="CZ10408" s="256"/>
      <c r="DG10408" s="256"/>
    </row>
    <row r="10409" spans="104:111">
      <c r="CZ10409" s="256"/>
      <c r="DG10409" s="256"/>
    </row>
    <row r="10410" spans="104:111">
      <c r="CZ10410" s="256"/>
      <c r="DG10410" s="256"/>
    </row>
    <row r="10411" spans="104:111">
      <c r="CZ10411" s="256"/>
      <c r="DG10411" s="256"/>
    </row>
    <row r="10412" spans="104:111">
      <c r="CZ10412" s="256"/>
      <c r="DG10412" s="256"/>
    </row>
    <row r="10413" spans="104:111">
      <c r="CZ10413" s="256"/>
      <c r="DG10413" s="256"/>
    </row>
    <row r="10414" spans="104:111">
      <c r="CZ10414" s="256"/>
      <c r="DG10414" s="256"/>
    </row>
    <row r="10415" spans="104:111">
      <c r="CZ10415" s="256"/>
      <c r="DG10415" s="256"/>
    </row>
    <row r="10416" spans="104:111">
      <c r="CZ10416" s="256"/>
      <c r="DG10416" s="256"/>
    </row>
    <row r="10417" spans="104:111">
      <c r="CZ10417" s="256"/>
      <c r="DG10417" s="256"/>
    </row>
    <row r="10418" spans="104:111">
      <c r="CZ10418" s="256"/>
      <c r="DG10418" s="256"/>
    </row>
    <row r="10419" spans="104:111">
      <c r="CZ10419" s="256"/>
      <c r="DG10419" s="256"/>
    </row>
    <row r="10420" spans="104:111">
      <c r="CZ10420" s="256"/>
      <c r="DG10420" s="256"/>
    </row>
    <row r="10421" spans="104:111">
      <c r="CZ10421" s="256"/>
      <c r="DG10421" s="256"/>
    </row>
    <row r="10422" spans="104:111">
      <c r="CZ10422" s="256"/>
      <c r="DG10422" s="256"/>
    </row>
    <row r="10423" spans="104:111">
      <c r="CZ10423" s="256"/>
      <c r="DG10423" s="256"/>
    </row>
    <row r="10424" spans="104:111">
      <c r="CZ10424" s="256"/>
      <c r="DG10424" s="256"/>
    </row>
    <row r="10425" spans="104:111">
      <c r="CZ10425" s="256"/>
      <c r="DG10425" s="256"/>
    </row>
    <row r="10426" spans="104:111">
      <c r="CZ10426" s="256"/>
      <c r="DG10426" s="256"/>
    </row>
    <row r="10427" spans="104:111">
      <c r="CZ10427" s="256"/>
      <c r="DG10427" s="256"/>
    </row>
    <row r="10428" spans="104:111">
      <c r="CZ10428" s="256"/>
      <c r="DG10428" s="256"/>
    </row>
    <row r="10429" spans="104:111">
      <c r="CZ10429" s="256"/>
      <c r="DG10429" s="256"/>
    </row>
    <row r="10430" spans="104:111">
      <c r="CZ10430" s="256"/>
      <c r="DG10430" s="256"/>
    </row>
    <row r="10431" spans="104:111">
      <c r="CZ10431" s="256"/>
      <c r="DG10431" s="256"/>
    </row>
    <row r="10432" spans="104:111">
      <c r="CZ10432" s="256"/>
      <c r="DG10432" s="256"/>
    </row>
    <row r="10433" spans="104:111">
      <c r="CZ10433" s="256"/>
      <c r="DG10433" s="256"/>
    </row>
    <row r="10434" spans="104:111">
      <c r="CZ10434" s="256"/>
      <c r="DG10434" s="256"/>
    </row>
    <row r="10435" spans="104:111">
      <c r="CZ10435" s="256"/>
      <c r="DG10435" s="256"/>
    </row>
    <row r="10436" spans="104:111">
      <c r="CZ10436" s="256"/>
      <c r="DG10436" s="256"/>
    </row>
    <row r="10437" spans="104:111">
      <c r="CZ10437" s="256"/>
      <c r="DG10437" s="256"/>
    </row>
    <row r="10438" spans="104:111">
      <c r="CZ10438" s="256"/>
      <c r="DG10438" s="256"/>
    </row>
    <row r="10439" spans="104:111">
      <c r="CZ10439" s="256"/>
      <c r="DG10439" s="256"/>
    </row>
    <row r="10440" spans="104:111">
      <c r="CZ10440" s="256"/>
      <c r="DG10440" s="256"/>
    </row>
    <row r="10441" spans="104:111">
      <c r="CZ10441" s="256"/>
      <c r="DG10441" s="256"/>
    </row>
    <row r="10442" spans="104:111">
      <c r="CZ10442" s="256"/>
      <c r="DG10442" s="256"/>
    </row>
    <row r="10443" spans="104:111">
      <c r="CZ10443" s="256"/>
      <c r="DG10443" s="256"/>
    </row>
    <row r="10444" spans="104:111">
      <c r="CZ10444" s="256"/>
      <c r="DG10444" s="256"/>
    </row>
    <row r="10445" spans="104:111">
      <c r="CZ10445" s="256"/>
      <c r="DG10445" s="256"/>
    </row>
    <row r="10446" spans="104:111">
      <c r="CZ10446" s="256"/>
      <c r="DG10446" s="256"/>
    </row>
    <row r="10447" spans="104:111">
      <c r="CZ10447" s="256"/>
      <c r="DG10447" s="256"/>
    </row>
    <row r="10448" spans="104:111">
      <c r="CZ10448" s="256"/>
      <c r="DG10448" s="256"/>
    </row>
    <row r="10449" spans="104:111">
      <c r="CZ10449" s="256"/>
      <c r="DG10449" s="256"/>
    </row>
    <row r="10450" spans="104:111">
      <c r="CZ10450" s="256"/>
      <c r="DG10450" s="256"/>
    </row>
    <row r="10451" spans="104:111">
      <c r="CZ10451" s="256"/>
      <c r="DG10451" s="256"/>
    </row>
    <row r="10452" spans="104:111">
      <c r="CZ10452" s="256"/>
      <c r="DG10452" s="256"/>
    </row>
    <row r="10453" spans="104:111">
      <c r="CZ10453" s="256"/>
      <c r="DG10453" s="256"/>
    </row>
    <row r="10454" spans="104:111">
      <c r="CZ10454" s="256"/>
      <c r="DG10454" s="256"/>
    </row>
    <row r="10455" spans="104:111">
      <c r="CZ10455" s="256"/>
      <c r="DG10455" s="256"/>
    </row>
    <row r="10456" spans="104:111">
      <c r="CZ10456" s="256"/>
      <c r="DG10456" s="256"/>
    </row>
    <row r="10457" spans="104:111">
      <c r="CZ10457" s="256"/>
      <c r="DG10457" s="256"/>
    </row>
    <row r="10458" spans="104:111">
      <c r="CZ10458" s="256"/>
      <c r="DG10458" s="256"/>
    </row>
    <row r="10459" spans="104:111">
      <c r="CZ10459" s="256"/>
      <c r="DG10459" s="256"/>
    </row>
    <row r="10460" spans="104:111">
      <c r="CZ10460" s="256"/>
      <c r="DG10460" s="256"/>
    </row>
    <row r="10461" spans="104:111">
      <c r="CZ10461" s="256"/>
      <c r="DG10461" s="256"/>
    </row>
    <row r="10462" spans="104:111">
      <c r="CZ10462" s="256"/>
      <c r="DG10462" s="256"/>
    </row>
    <row r="10463" spans="104:111">
      <c r="CZ10463" s="256"/>
      <c r="DG10463" s="256"/>
    </row>
    <row r="10464" spans="104:111">
      <c r="CZ10464" s="256"/>
      <c r="DG10464" s="256"/>
    </row>
    <row r="10465" spans="104:111">
      <c r="CZ10465" s="256"/>
      <c r="DG10465" s="256"/>
    </row>
    <row r="10466" spans="104:111">
      <c r="CZ10466" s="256"/>
      <c r="DG10466" s="256"/>
    </row>
    <row r="10467" spans="104:111">
      <c r="CZ10467" s="256"/>
      <c r="DG10467" s="256"/>
    </row>
    <row r="10468" spans="104:111">
      <c r="CZ10468" s="256"/>
      <c r="DG10468" s="256"/>
    </row>
    <row r="10469" spans="104:111">
      <c r="CZ10469" s="256"/>
      <c r="DG10469" s="256"/>
    </row>
    <row r="10470" spans="104:111">
      <c r="CZ10470" s="256"/>
      <c r="DG10470" s="256"/>
    </row>
    <row r="10471" spans="104:111">
      <c r="CZ10471" s="256"/>
      <c r="DG10471" s="256"/>
    </row>
    <row r="10472" spans="104:111">
      <c r="CZ10472" s="256"/>
      <c r="DG10472" s="256"/>
    </row>
    <row r="10473" spans="104:111">
      <c r="CZ10473" s="256"/>
      <c r="DG10473" s="256"/>
    </row>
    <row r="10474" spans="104:111">
      <c r="CZ10474" s="256"/>
      <c r="DG10474" s="256"/>
    </row>
    <row r="10475" spans="104:111">
      <c r="CZ10475" s="256"/>
      <c r="DG10475" s="256"/>
    </row>
    <row r="10476" spans="104:111">
      <c r="CZ10476" s="256"/>
      <c r="DG10476" s="256"/>
    </row>
    <row r="10477" spans="104:111">
      <c r="CZ10477" s="256"/>
      <c r="DG10477" s="256"/>
    </row>
    <row r="10478" spans="104:111">
      <c r="CZ10478" s="256"/>
      <c r="DG10478" s="256"/>
    </row>
    <row r="10479" spans="104:111">
      <c r="CZ10479" s="256"/>
      <c r="DG10479" s="256"/>
    </row>
    <row r="10480" spans="104:111">
      <c r="CZ10480" s="256"/>
      <c r="DG10480" s="256"/>
    </row>
    <row r="10481" spans="104:111">
      <c r="CZ10481" s="256"/>
      <c r="DG10481" s="256"/>
    </row>
    <row r="10482" spans="104:111">
      <c r="CZ10482" s="256"/>
      <c r="DG10482" s="256"/>
    </row>
    <row r="10483" spans="104:111">
      <c r="CZ10483" s="256"/>
      <c r="DG10483" s="256"/>
    </row>
    <row r="10484" spans="104:111">
      <c r="CZ10484" s="256"/>
      <c r="DG10484" s="256"/>
    </row>
    <row r="10485" spans="104:111">
      <c r="CZ10485" s="256"/>
      <c r="DG10485" s="256"/>
    </row>
    <row r="10486" spans="104:111">
      <c r="CZ10486" s="256"/>
      <c r="DG10486" s="256"/>
    </row>
    <row r="10487" spans="104:111">
      <c r="CZ10487" s="256"/>
      <c r="DG10487" s="256"/>
    </row>
    <row r="10488" spans="104:111">
      <c r="CZ10488" s="256"/>
      <c r="DG10488" s="256"/>
    </row>
    <row r="10489" spans="104:111">
      <c r="CZ10489" s="256"/>
      <c r="DG10489" s="256"/>
    </row>
    <row r="10490" spans="104:111">
      <c r="CZ10490" s="256"/>
      <c r="DG10490" s="256"/>
    </row>
    <row r="10491" spans="104:111">
      <c r="CZ10491" s="256"/>
      <c r="DG10491" s="256"/>
    </row>
    <row r="10492" spans="104:111">
      <c r="CZ10492" s="256"/>
      <c r="DG10492" s="256"/>
    </row>
    <row r="10493" spans="104:111">
      <c r="CZ10493" s="256"/>
      <c r="DG10493" s="256"/>
    </row>
    <row r="10494" spans="104:111">
      <c r="CZ10494" s="256"/>
      <c r="DG10494" s="256"/>
    </row>
    <row r="10495" spans="104:111">
      <c r="CZ10495" s="256"/>
      <c r="DG10495" s="256"/>
    </row>
    <row r="10496" spans="104:111">
      <c r="CZ10496" s="256"/>
      <c r="DG10496" s="256"/>
    </row>
    <row r="10497" spans="104:111">
      <c r="CZ10497" s="256"/>
      <c r="DG10497" s="256"/>
    </row>
    <row r="10498" spans="104:111">
      <c r="CZ10498" s="256"/>
      <c r="DG10498" s="256"/>
    </row>
    <row r="10499" spans="104:111">
      <c r="CZ10499" s="256"/>
      <c r="DG10499" s="256"/>
    </row>
    <row r="10500" spans="104:111">
      <c r="CZ10500" s="256"/>
      <c r="DG10500" s="256"/>
    </row>
    <row r="10501" spans="104:111">
      <c r="CZ10501" s="256"/>
      <c r="DG10501" s="256"/>
    </row>
    <row r="10502" spans="104:111">
      <c r="CZ10502" s="256"/>
      <c r="DG10502" s="256"/>
    </row>
    <row r="10503" spans="104:111">
      <c r="CZ10503" s="256"/>
      <c r="DG10503" s="256"/>
    </row>
    <row r="10504" spans="104:111">
      <c r="CZ10504" s="256"/>
      <c r="DG10504" s="256"/>
    </row>
    <row r="10505" spans="104:111">
      <c r="CZ10505" s="256"/>
      <c r="DG10505" s="256"/>
    </row>
    <row r="10506" spans="104:111">
      <c r="CZ10506" s="256"/>
      <c r="DG10506" s="256"/>
    </row>
    <row r="10507" spans="104:111">
      <c r="CZ10507" s="256"/>
      <c r="DG10507" s="256"/>
    </row>
    <row r="10508" spans="104:111">
      <c r="CZ10508" s="256"/>
      <c r="DG10508" s="256"/>
    </row>
    <row r="10509" spans="104:111">
      <c r="CZ10509" s="256"/>
      <c r="DG10509" s="256"/>
    </row>
    <row r="10510" spans="104:111">
      <c r="CZ10510" s="256"/>
      <c r="DG10510" s="256"/>
    </row>
    <row r="10511" spans="104:111">
      <c r="CZ10511" s="256"/>
      <c r="DG10511" s="256"/>
    </row>
    <row r="10512" spans="104:111">
      <c r="CZ10512" s="256"/>
      <c r="DG10512" s="256"/>
    </row>
    <row r="10513" spans="104:111">
      <c r="CZ10513" s="256"/>
      <c r="DG10513" s="256"/>
    </row>
    <row r="10514" spans="104:111">
      <c r="CZ10514" s="256"/>
      <c r="DG10514" s="256"/>
    </row>
    <row r="10515" spans="104:111">
      <c r="CZ10515" s="256"/>
      <c r="DG10515" s="256"/>
    </row>
    <row r="10516" spans="104:111">
      <c r="CZ10516" s="256"/>
      <c r="DG10516" s="256"/>
    </row>
    <row r="10517" spans="104:111">
      <c r="CZ10517" s="256"/>
      <c r="DG10517" s="256"/>
    </row>
    <row r="10518" spans="104:111">
      <c r="CZ10518" s="256"/>
      <c r="DG10518" s="256"/>
    </row>
    <row r="10519" spans="104:111">
      <c r="CZ10519" s="256"/>
      <c r="DG10519" s="256"/>
    </row>
    <row r="10520" spans="104:111">
      <c r="CZ10520" s="256"/>
      <c r="DG10520" s="256"/>
    </row>
    <row r="10521" spans="104:111">
      <c r="CZ10521" s="256"/>
      <c r="DG10521" s="256"/>
    </row>
    <row r="10522" spans="104:111">
      <c r="CZ10522" s="256"/>
      <c r="DG10522" s="256"/>
    </row>
    <row r="10523" spans="104:111">
      <c r="CZ10523" s="256"/>
      <c r="DG10523" s="256"/>
    </row>
    <row r="10524" spans="104:111">
      <c r="CZ10524" s="256"/>
      <c r="DG10524" s="256"/>
    </row>
    <row r="10525" spans="104:111">
      <c r="CZ10525" s="256"/>
      <c r="DG10525" s="256"/>
    </row>
    <row r="10526" spans="104:111">
      <c r="CZ10526" s="256"/>
      <c r="DG10526" s="256"/>
    </row>
    <row r="10527" spans="104:111">
      <c r="CZ10527" s="256"/>
      <c r="DG10527" s="256"/>
    </row>
    <row r="10528" spans="104:111">
      <c r="CZ10528" s="256"/>
      <c r="DG10528" s="256"/>
    </row>
    <row r="10529" spans="104:111">
      <c r="CZ10529" s="256"/>
      <c r="DG10529" s="256"/>
    </row>
    <row r="10530" spans="104:111">
      <c r="CZ10530" s="256"/>
      <c r="DG10530" s="256"/>
    </row>
    <row r="10531" spans="104:111">
      <c r="CZ10531" s="256"/>
      <c r="DG10531" s="256"/>
    </row>
    <row r="10532" spans="104:111">
      <c r="CZ10532" s="256"/>
      <c r="DG10532" s="256"/>
    </row>
    <row r="10533" spans="104:111">
      <c r="CZ10533" s="256"/>
      <c r="DG10533" s="256"/>
    </row>
    <row r="10534" spans="104:111">
      <c r="CZ10534" s="256"/>
      <c r="DG10534" s="256"/>
    </row>
    <row r="10535" spans="104:111">
      <c r="CZ10535" s="256"/>
      <c r="DG10535" s="256"/>
    </row>
    <row r="10536" spans="104:111">
      <c r="CZ10536" s="256"/>
      <c r="DG10536" s="256"/>
    </row>
    <row r="10537" spans="104:111">
      <c r="CZ10537" s="256"/>
      <c r="DG10537" s="256"/>
    </row>
    <row r="10538" spans="104:111">
      <c r="CZ10538" s="256"/>
      <c r="DG10538" s="256"/>
    </row>
    <row r="10539" spans="104:111">
      <c r="CZ10539" s="256"/>
      <c r="DG10539" s="256"/>
    </row>
    <row r="10540" spans="104:111">
      <c r="CZ10540" s="256"/>
      <c r="DG10540" s="256"/>
    </row>
    <row r="10541" spans="104:111">
      <c r="CZ10541" s="256"/>
      <c r="DG10541" s="256"/>
    </row>
    <row r="10542" spans="104:111">
      <c r="CZ10542" s="256"/>
      <c r="DG10542" s="256"/>
    </row>
    <row r="10543" spans="104:111">
      <c r="CZ10543" s="256"/>
      <c r="DG10543" s="256"/>
    </row>
    <row r="10544" spans="104:111">
      <c r="CZ10544" s="256"/>
      <c r="DG10544" s="256"/>
    </row>
    <row r="10545" spans="104:111">
      <c r="CZ10545" s="256"/>
      <c r="DG10545" s="256"/>
    </row>
    <row r="10546" spans="104:111">
      <c r="CZ10546" s="256"/>
      <c r="DG10546" s="256"/>
    </row>
    <row r="10547" spans="104:111">
      <c r="CZ10547" s="256"/>
      <c r="DG10547" s="256"/>
    </row>
    <row r="10548" spans="104:111">
      <c r="CZ10548" s="256"/>
      <c r="DG10548" s="256"/>
    </row>
    <row r="10549" spans="104:111">
      <c r="CZ10549" s="256"/>
      <c r="DG10549" s="256"/>
    </row>
    <row r="10550" spans="104:111">
      <c r="CZ10550" s="256"/>
      <c r="DG10550" s="256"/>
    </row>
    <row r="10551" spans="104:111">
      <c r="CZ10551" s="256"/>
      <c r="DG10551" s="256"/>
    </row>
    <row r="10552" spans="104:111">
      <c r="CZ10552" s="256"/>
      <c r="DG10552" s="256"/>
    </row>
    <row r="10553" spans="104:111">
      <c r="CZ10553" s="256"/>
      <c r="DG10553" s="256"/>
    </row>
    <row r="10554" spans="104:111">
      <c r="CZ10554" s="256"/>
      <c r="DG10554" s="256"/>
    </row>
    <row r="10555" spans="104:111">
      <c r="CZ10555" s="256"/>
      <c r="DG10555" s="256"/>
    </row>
    <row r="10556" spans="104:111">
      <c r="CZ10556" s="256"/>
      <c r="DG10556" s="256"/>
    </row>
    <row r="10557" spans="104:111">
      <c r="CZ10557" s="256"/>
      <c r="DG10557" s="256"/>
    </row>
    <row r="10558" spans="104:111">
      <c r="CZ10558" s="256"/>
      <c r="DG10558" s="256"/>
    </row>
    <row r="10559" spans="104:111">
      <c r="CZ10559" s="256"/>
      <c r="DG10559" s="256"/>
    </row>
    <row r="10560" spans="104:111">
      <c r="CZ10560" s="256"/>
      <c r="DG10560" s="256"/>
    </row>
    <row r="10561" spans="104:111">
      <c r="CZ10561" s="256"/>
      <c r="DG10561" s="256"/>
    </row>
    <row r="10562" spans="104:111">
      <c r="CZ10562" s="256"/>
      <c r="DG10562" s="256"/>
    </row>
    <row r="10563" spans="104:111">
      <c r="CZ10563" s="256"/>
      <c r="DG10563" s="256"/>
    </row>
    <row r="10564" spans="104:111">
      <c r="CZ10564" s="256"/>
      <c r="DG10564" s="256"/>
    </row>
    <row r="10565" spans="104:111">
      <c r="CZ10565" s="256"/>
      <c r="DG10565" s="256"/>
    </row>
    <row r="10566" spans="104:111">
      <c r="CZ10566" s="256"/>
      <c r="DG10566" s="256"/>
    </row>
    <row r="10567" spans="104:111">
      <c r="CZ10567" s="256"/>
      <c r="DG10567" s="256"/>
    </row>
    <row r="10568" spans="104:111">
      <c r="CZ10568" s="256"/>
      <c r="DG10568" s="256"/>
    </row>
    <row r="10569" spans="104:111">
      <c r="CZ10569" s="256"/>
      <c r="DG10569" s="256"/>
    </row>
    <row r="10570" spans="104:111">
      <c r="CZ10570" s="256"/>
      <c r="DG10570" s="256"/>
    </row>
    <row r="10571" spans="104:111">
      <c r="CZ10571" s="256"/>
      <c r="DG10571" s="256"/>
    </row>
    <row r="10572" spans="104:111">
      <c r="CZ10572" s="256"/>
      <c r="DG10572" s="256"/>
    </row>
    <row r="10573" spans="104:111">
      <c r="CZ10573" s="256"/>
      <c r="DG10573" s="256"/>
    </row>
    <row r="10574" spans="104:111">
      <c r="CZ10574" s="256"/>
      <c r="DG10574" s="256"/>
    </row>
    <row r="10575" spans="104:111">
      <c r="CZ10575" s="256"/>
      <c r="DG10575" s="256"/>
    </row>
    <row r="10576" spans="104:111">
      <c r="CZ10576" s="256"/>
      <c r="DG10576" s="256"/>
    </row>
    <row r="10577" spans="104:111">
      <c r="CZ10577" s="256"/>
      <c r="DG10577" s="256"/>
    </row>
    <row r="10578" spans="104:111">
      <c r="CZ10578" s="256"/>
      <c r="DG10578" s="256"/>
    </row>
    <row r="10579" spans="104:111">
      <c r="CZ10579" s="256"/>
      <c r="DG10579" s="256"/>
    </row>
    <row r="10580" spans="104:111">
      <c r="CZ10580" s="256"/>
      <c r="DG10580" s="256"/>
    </row>
    <row r="10581" spans="104:111">
      <c r="CZ10581" s="256"/>
      <c r="DG10581" s="256"/>
    </row>
    <row r="10582" spans="104:111">
      <c r="CZ10582" s="256"/>
      <c r="DG10582" s="256"/>
    </row>
    <row r="10583" spans="104:111">
      <c r="CZ10583" s="256"/>
      <c r="DG10583" s="256"/>
    </row>
    <row r="10584" spans="104:111">
      <c r="CZ10584" s="256"/>
      <c r="DG10584" s="256"/>
    </row>
    <row r="10585" spans="104:111">
      <c r="CZ10585" s="256"/>
      <c r="DG10585" s="256"/>
    </row>
    <row r="10586" spans="104:111">
      <c r="CZ10586" s="256"/>
      <c r="DG10586" s="256"/>
    </row>
    <row r="10587" spans="104:111">
      <c r="CZ10587" s="256"/>
      <c r="DG10587" s="256"/>
    </row>
    <row r="10588" spans="104:111">
      <c r="CZ10588" s="256"/>
      <c r="DG10588" s="256"/>
    </row>
    <row r="10589" spans="104:111">
      <c r="CZ10589" s="256"/>
      <c r="DG10589" s="256"/>
    </row>
    <row r="10590" spans="104:111">
      <c r="CZ10590" s="256"/>
      <c r="DG10590" s="256"/>
    </row>
    <row r="10591" spans="104:111">
      <c r="CZ10591" s="256"/>
      <c r="DG10591" s="256"/>
    </row>
    <row r="10592" spans="104:111">
      <c r="CZ10592" s="256"/>
      <c r="DG10592" s="256"/>
    </row>
    <row r="10593" spans="104:111">
      <c r="CZ10593" s="256"/>
      <c r="DG10593" s="256"/>
    </row>
    <row r="10594" spans="104:111">
      <c r="CZ10594" s="256"/>
      <c r="DG10594" s="256"/>
    </row>
    <row r="10595" spans="104:111">
      <c r="CZ10595" s="256"/>
      <c r="DG10595" s="256"/>
    </row>
    <row r="10596" spans="104:111">
      <c r="CZ10596" s="256"/>
      <c r="DG10596" s="256"/>
    </row>
    <row r="10597" spans="104:111">
      <c r="CZ10597" s="256"/>
      <c r="DG10597" s="256"/>
    </row>
    <row r="10598" spans="104:111">
      <c r="CZ10598" s="256"/>
      <c r="DG10598" s="256"/>
    </row>
    <row r="10599" spans="104:111">
      <c r="CZ10599" s="256"/>
      <c r="DG10599" s="256"/>
    </row>
    <row r="10600" spans="104:111">
      <c r="CZ10600" s="256"/>
      <c r="DG10600" s="256"/>
    </row>
    <row r="10601" spans="104:111">
      <c r="CZ10601" s="256"/>
      <c r="DG10601" s="256"/>
    </row>
    <row r="10602" spans="104:111">
      <c r="CZ10602" s="256"/>
      <c r="DG10602" s="256"/>
    </row>
    <row r="10603" spans="104:111">
      <c r="CZ10603" s="256"/>
      <c r="DG10603" s="256"/>
    </row>
    <row r="10604" spans="104:111">
      <c r="CZ10604" s="256"/>
      <c r="DG10604" s="256"/>
    </row>
    <row r="10605" spans="104:111">
      <c r="CZ10605" s="256"/>
      <c r="DG10605" s="256"/>
    </row>
    <row r="10606" spans="104:111">
      <c r="CZ10606" s="256"/>
      <c r="DG10606" s="256"/>
    </row>
    <row r="10607" spans="104:111">
      <c r="CZ10607" s="256"/>
      <c r="DG10607" s="256"/>
    </row>
    <row r="10608" spans="104:111">
      <c r="CZ10608" s="256"/>
      <c r="DG10608" s="256"/>
    </row>
    <row r="10609" spans="104:111">
      <c r="CZ10609" s="256"/>
      <c r="DG10609" s="256"/>
    </row>
    <row r="10610" spans="104:111">
      <c r="CZ10610" s="256"/>
      <c r="DG10610" s="256"/>
    </row>
    <row r="10611" spans="104:111">
      <c r="CZ10611" s="256"/>
      <c r="DG10611" s="256"/>
    </row>
    <row r="10612" spans="104:111">
      <c r="CZ10612" s="256"/>
      <c r="DG10612" s="256"/>
    </row>
    <row r="10613" spans="104:111">
      <c r="CZ10613" s="256"/>
      <c r="DG10613" s="256"/>
    </row>
    <row r="10614" spans="104:111">
      <c r="CZ10614" s="256"/>
      <c r="DG10614" s="256"/>
    </row>
    <row r="10615" spans="104:111">
      <c r="CZ10615" s="256"/>
      <c r="DG10615" s="256"/>
    </row>
    <row r="10616" spans="104:111">
      <c r="CZ10616" s="256"/>
      <c r="DG10616" s="256"/>
    </row>
    <row r="10617" spans="104:111">
      <c r="CZ10617" s="256"/>
      <c r="DG10617" s="256"/>
    </row>
    <row r="10618" spans="104:111">
      <c r="CZ10618" s="256"/>
      <c r="DG10618" s="256"/>
    </row>
    <row r="10619" spans="104:111">
      <c r="CZ10619" s="256"/>
      <c r="DG10619" s="256"/>
    </row>
    <row r="10620" spans="104:111">
      <c r="CZ10620" s="256"/>
      <c r="DG10620" s="256"/>
    </row>
    <row r="10621" spans="104:111">
      <c r="CZ10621" s="256"/>
      <c r="DG10621" s="256"/>
    </row>
    <row r="10622" spans="104:111">
      <c r="CZ10622" s="256"/>
      <c r="DG10622" s="256"/>
    </row>
    <row r="10623" spans="104:111">
      <c r="CZ10623" s="256"/>
      <c r="DG10623" s="256"/>
    </row>
    <row r="10624" spans="104:111">
      <c r="CZ10624" s="256"/>
      <c r="DG10624" s="256"/>
    </row>
    <row r="10625" spans="104:111">
      <c r="CZ10625" s="256"/>
      <c r="DG10625" s="256"/>
    </row>
    <row r="10626" spans="104:111">
      <c r="CZ10626" s="256"/>
      <c r="DG10626" s="256"/>
    </row>
    <row r="10627" spans="104:111">
      <c r="CZ10627" s="256"/>
      <c r="DG10627" s="256"/>
    </row>
    <row r="10628" spans="104:111">
      <c r="CZ10628" s="256"/>
      <c r="DG10628" s="256"/>
    </row>
    <row r="10629" spans="104:111">
      <c r="CZ10629" s="256"/>
      <c r="DG10629" s="256"/>
    </row>
    <row r="10630" spans="104:111">
      <c r="CZ10630" s="256"/>
      <c r="DG10630" s="256"/>
    </row>
    <row r="10631" spans="104:111">
      <c r="CZ10631" s="256"/>
      <c r="DG10631" s="256"/>
    </row>
    <row r="10632" spans="104:111">
      <c r="CZ10632" s="256"/>
      <c r="DG10632" s="256"/>
    </row>
    <row r="10633" spans="104:111">
      <c r="CZ10633" s="256"/>
      <c r="DG10633" s="256"/>
    </row>
    <row r="10634" spans="104:111">
      <c r="CZ10634" s="256"/>
      <c r="DG10634" s="256"/>
    </row>
    <row r="10635" spans="104:111">
      <c r="CZ10635" s="256"/>
      <c r="DG10635" s="256"/>
    </row>
    <row r="10636" spans="104:111">
      <c r="CZ10636" s="256"/>
      <c r="DG10636" s="256"/>
    </row>
    <row r="10637" spans="104:111">
      <c r="CZ10637" s="256"/>
      <c r="DG10637" s="256"/>
    </row>
    <row r="10638" spans="104:111">
      <c r="CZ10638" s="256"/>
      <c r="DG10638" s="256"/>
    </row>
    <row r="10639" spans="104:111">
      <c r="CZ10639" s="256"/>
      <c r="DG10639" s="256"/>
    </row>
    <row r="10640" spans="104:111">
      <c r="CZ10640" s="256"/>
      <c r="DG10640" s="256"/>
    </row>
    <row r="10641" spans="104:111">
      <c r="CZ10641" s="256"/>
      <c r="DG10641" s="256"/>
    </row>
    <row r="10642" spans="104:111">
      <c r="CZ10642" s="256"/>
      <c r="DG10642" s="256"/>
    </row>
    <row r="10643" spans="104:111">
      <c r="CZ10643" s="256"/>
      <c r="DG10643" s="256"/>
    </row>
    <row r="10644" spans="104:111">
      <c r="CZ10644" s="256"/>
      <c r="DG10644" s="256"/>
    </row>
    <row r="10645" spans="104:111">
      <c r="CZ10645" s="256"/>
      <c r="DG10645" s="256"/>
    </row>
    <row r="10646" spans="104:111">
      <c r="CZ10646" s="256"/>
      <c r="DG10646" s="256"/>
    </row>
    <row r="10647" spans="104:111">
      <c r="CZ10647" s="256"/>
      <c r="DG10647" s="256"/>
    </row>
    <row r="10648" spans="104:111">
      <c r="CZ10648" s="256"/>
      <c r="DG10648" s="256"/>
    </row>
    <row r="10649" spans="104:111">
      <c r="CZ10649" s="256"/>
      <c r="DG10649" s="256"/>
    </row>
    <row r="10650" spans="104:111">
      <c r="CZ10650" s="256"/>
      <c r="DG10650" s="256"/>
    </row>
    <row r="10651" spans="104:111">
      <c r="CZ10651" s="256"/>
      <c r="DG10651" s="256"/>
    </row>
    <row r="10652" spans="104:111">
      <c r="CZ10652" s="256"/>
      <c r="DG10652" s="256"/>
    </row>
    <row r="10653" spans="104:111">
      <c r="CZ10653" s="256"/>
      <c r="DG10653" s="256"/>
    </row>
    <row r="10654" spans="104:111">
      <c r="CZ10654" s="256"/>
      <c r="DG10654" s="256"/>
    </row>
    <row r="10655" spans="104:111">
      <c r="CZ10655" s="256"/>
      <c r="DG10655" s="256"/>
    </row>
    <row r="10656" spans="104:111">
      <c r="CZ10656" s="256"/>
      <c r="DG10656" s="256"/>
    </row>
    <row r="10657" spans="104:111">
      <c r="CZ10657" s="256"/>
      <c r="DG10657" s="256"/>
    </row>
    <row r="10658" spans="104:111">
      <c r="CZ10658" s="256"/>
      <c r="DG10658" s="256"/>
    </row>
    <row r="10659" spans="104:111">
      <c r="CZ10659" s="256"/>
      <c r="DG10659" s="256"/>
    </row>
    <row r="10660" spans="104:111">
      <c r="CZ10660" s="256"/>
      <c r="DG10660" s="256"/>
    </row>
    <row r="10661" spans="104:111">
      <c r="CZ10661" s="256"/>
      <c r="DG10661" s="256"/>
    </row>
    <row r="10662" spans="104:111">
      <c r="CZ10662" s="256"/>
      <c r="DG10662" s="256"/>
    </row>
    <row r="10663" spans="104:111">
      <c r="CZ10663" s="256"/>
      <c r="DG10663" s="256"/>
    </row>
    <row r="10664" spans="104:111">
      <c r="CZ10664" s="256"/>
      <c r="DG10664" s="256"/>
    </row>
    <row r="10665" spans="104:111">
      <c r="CZ10665" s="256"/>
      <c r="DG10665" s="256"/>
    </row>
    <row r="10666" spans="104:111">
      <c r="CZ10666" s="256"/>
      <c r="DG10666" s="256"/>
    </row>
    <row r="10667" spans="104:111">
      <c r="CZ10667" s="256"/>
      <c r="DG10667" s="256"/>
    </row>
    <row r="10668" spans="104:111">
      <c r="CZ10668" s="256"/>
      <c r="DG10668" s="256"/>
    </row>
    <row r="10669" spans="104:111">
      <c r="CZ10669" s="256"/>
      <c r="DG10669" s="256"/>
    </row>
    <row r="10670" spans="104:111">
      <c r="CZ10670" s="256"/>
      <c r="DG10670" s="256"/>
    </row>
    <row r="10671" spans="104:111">
      <c r="CZ10671" s="256"/>
      <c r="DG10671" s="256"/>
    </row>
    <row r="10672" spans="104:111">
      <c r="CZ10672" s="256"/>
      <c r="DG10672" s="256"/>
    </row>
    <row r="10673" spans="104:111">
      <c r="CZ10673" s="256"/>
      <c r="DG10673" s="256"/>
    </row>
    <row r="10674" spans="104:111">
      <c r="CZ10674" s="256"/>
      <c r="DG10674" s="256"/>
    </row>
    <row r="10675" spans="104:111">
      <c r="CZ10675" s="256"/>
      <c r="DG10675" s="256"/>
    </row>
    <row r="10676" spans="104:111">
      <c r="CZ10676" s="256"/>
      <c r="DG10676" s="256"/>
    </row>
    <row r="10677" spans="104:111">
      <c r="CZ10677" s="256"/>
      <c r="DG10677" s="256"/>
    </row>
    <row r="10678" spans="104:111">
      <c r="CZ10678" s="256"/>
      <c r="DG10678" s="256"/>
    </row>
    <row r="10679" spans="104:111">
      <c r="CZ10679" s="256"/>
      <c r="DG10679" s="256"/>
    </row>
    <row r="10680" spans="104:111">
      <c r="CZ10680" s="256"/>
      <c r="DG10680" s="256"/>
    </row>
    <row r="10681" spans="104:111">
      <c r="CZ10681" s="256"/>
      <c r="DG10681" s="256"/>
    </row>
    <row r="10682" spans="104:111">
      <c r="CZ10682" s="256"/>
      <c r="DG10682" s="256"/>
    </row>
    <row r="10683" spans="104:111">
      <c r="CZ10683" s="256"/>
      <c r="DG10683" s="256"/>
    </row>
    <row r="10684" spans="104:111">
      <c r="CZ10684" s="256"/>
      <c r="DG10684" s="256"/>
    </row>
    <row r="10685" spans="104:111">
      <c r="CZ10685" s="256"/>
      <c r="DG10685" s="256"/>
    </row>
    <row r="10686" spans="104:111">
      <c r="CZ10686" s="256"/>
      <c r="DG10686" s="256"/>
    </row>
    <row r="10687" spans="104:111">
      <c r="CZ10687" s="256"/>
      <c r="DG10687" s="256"/>
    </row>
    <row r="10688" spans="104:111">
      <c r="CZ10688" s="256"/>
      <c r="DG10688" s="256"/>
    </row>
    <row r="10689" spans="104:111">
      <c r="CZ10689" s="256"/>
      <c r="DG10689" s="256"/>
    </row>
    <row r="10690" spans="104:111">
      <c r="CZ10690" s="256"/>
      <c r="DG10690" s="256"/>
    </row>
    <row r="10691" spans="104:111">
      <c r="CZ10691" s="256"/>
      <c r="DG10691" s="256"/>
    </row>
    <row r="10692" spans="104:111">
      <c r="CZ10692" s="256"/>
      <c r="DG10692" s="256"/>
    </row>
    <row r="10693" spans="104:111">
      <c r="CZ10693" s="256"/>
      <c r="DG10693" s="256"/>
    </row>
    <row r="10694" spans="104:111">
      <c r="CZ10694" s="256"/>
      <c r="DG10694" s="256"/>
    </row>
    <row r="10695" spans="104:111">
      <c r="CZ10695" s="256"/>
      <c r="DG10695" s="256"/>
    </row>
    <row r="10696" spans="104:111">
      <c r="CZ10696" s="256"/>
      <c r="DG10696" s="256"/>
    </row>
    <row r="10697" spans="104:111">
      <c r="CZ10697" s="256"/>
      <c r="DG10697" s="256"/>
    </row>
    <row r="10698" spans="104:111">
      <c r="CZ10698" s="256"/>
      <c r="DG10698" s="256"/>
    </row>
    <row r="10699" spans="104:111">
      <c r="CZ10699" s="256"/>
      <c r="DG10699" s="256"/>
    </row>
    <row r="10700" spans="104:111">
      <c r="CZ10700" s="256"/>
      <c r="DG10700" s="256"/>
    </row>
    <row r="10701" spans="104:111">
      <c r="CZ10701" s="256"/>
      <c r="DG10701" s="256"/>
    </row>
    <row r="10702" spans="104:111">
      <c r="CZ10702" s="256"/>
      <c r="DG10702" s="256"/>
    </row>
    <row r="10703" spans="104:111">
      <c r="CZ10703" s="256"/>
      <c r="DG10703" s="256"/>
    </row>
    <row r="10704" spans="104:111">
      <c r="CZ10704" s="256"/>
      <c r="DG10704" s="256"/>
    </row>
    <row r="10705" spans="104:111">
      <c r="CZ10705" s="256"/>
      <c r="DG10705" s="256"/>
    </row>
    <row r="10706" spans="104:111">
      <c r="CZ10706" s="256"/>
      <c r="DG10706" s="256"/>
    </row>
    <row r="10707" spans="104:111">
      <c r="CZ10707" s="256"/>
      <c r="DG10707" s="256"/>
    </row>
    <row r="10708" spans="104:111">
      <c r="CZ10708" s="256"/>
      <c r="DG10708" s="256"/>
    </row>
    <row r="10709" spans="104:111">
      <c r="CZ10709" s="256"/>
      <c r="DG10709" s="256"/>
    </row>
    <row r="10710" spans="104:111">
      <c r="CZ10710" s="256"/>
      <c r="DG10710" s="256"/>
    </row>
    <row r="10711" spans="104:111">
      <c r="CZ10711" s="256"/>
      <c r="DG10711" s="256"/>
    </row>
    <row r="10712" spans="104:111">
      <c r="CZ10712" s="256"/>
      <c r="DG10712" s="256"/>
    </row>
    <row r="10713" spans="104:111">
      <c r="CZ10713" s="256"/>
      <c r="DG10713" s="256"/>
    </row>
    <row r="10714" spans="104:111">
      <c r="CZ10714" s="256"/>
      <c r="DG10714" s="256"/>
    </row>
    <row r="10715" spans="104:111">
      <c r="CZ10715" s="256"/>
      <c r="DG10715" s="256"/>
    </row>
    <row r="10716" spans="104:111">
      <c r="CZ10716" s="256"/>
      <c r="DG10716" s="256"/>
    </row>
    <row r="10717" spans="104:111">
      <c r="CZ10717" s="256"/>
      <c r="DG10717" s="256"/>
    </row>
    <row r="10718" spans="104:111">
      <c r="CZ10718" s="256"/>
      <c r="DG10718" s="256"/>
    </row>
    <row r="10719" spans="104:111">
      <c r="CZ10719" s="256"/>
      <c r="DG10719" s="256"/>
    </row>
    <row r="10720" spans="104:111">
      <c r="CZ10720" s="256"/>
      <c r="DG10720" s="256"/>
    </row>
    <row r="10721" spans="104:111">
      <c r="CZ10721" s="256"/>
      <c r="DG10721" s="256"/>
    </row>
    <row r="10722" spans="104:111">
      <c r="CZ10722" s="256"/>
      <c r="DG10722" s="256"/>
    </row>
    <row r="10723" spans="104:111">
      <c r="CZ10723" s="256"/>
      <c r="DG10723" s="256"/>
    </row>
    <row r="10724" spans="104:111">
      <c r="CZ10724" s="256"/>
      <c r="DG10724" s="256"/>
    </row>
    <row r="10725" spans="104:111">
      <c r="CZ10725" s="256"/>
      <c r="DG10725" s="256"/>
    </row>
    <row r="10726" spans="104:111">
      <c r="CZ10726" s="256"/>
      <c r="DG10726" s="256"/>
    </row>
    <row r="10727" spans="104:111">
      <c r="CZ10727" s="256"/>
      <c r="DG10727" s="256"/>
    </row>
    <row r="10728" spans="104:111">
      <c r="CZ10728" s="256"/>
      <c r="DG10728" s="256"/>
    </row>
    <row r="10729" spans="104:111">
      <c r="CZ10729" s="256"/>
      <c r="DG10729" s="256"/>
    </row>
    <row r="10730" spans="104:111">
      <c r="CZ10730" s="256"/>
      <c r="DG10730" s="256"/>
    </row>
    <row r="10731" spans="104:111">
      <c r="CZ10731" s="256"/>
      <c r="DG10731" s="256"/>
    </row>
    <row r="10732" spans="104:111">
      <c r="CZ10732" s="256"/>
      <c r="DG10732" s="256"/>
    </row>
    <row r="10733" spans="104:111">
      <c r="CZ10733" s="256"/>
      <c r="DG10733" s="256"/>
    </row>
    <row r="10734" spans="104:111">
      <c r="CZ10734" s="256"/>
      <c r="DG10734" s="256"/>
    </row>
    <row r="10735" spans="104:111">
      <c r="CZ10735" s="256"/>
      <c r="DG10735" s="256"/>
    </row>
    <row r="10736" spans="104:111">
      <c r="CZ10736" s="256"/>
      <c r="DG10736" s="256"/>
    </row>
    <row r="10737" spans="104:111">
      <c r="CZ10737" s="256"/>
      <c r="DG10737" s="256"/>
    </row>
    <row r="10738" spans="104:111">
      <c r="CZ10738" s="256"/>
      <c r="DG10738" s="256"/>
    </row>
    <row r="10739" spans="104:111">
      <c r="CZ10739" s="256"/>
      <c r="DG10739" s="256"/>
    </row>
    <row r="10740" spans="104:111">
      <c r="CZ10740" s="256"/>
      <c r="DG10740" s="256"/>
    </row>
    <row r="10741" spans="104:111">
      <c r="CZ10741" s="256"/>
      <c r="DG10741" s="256"/>
    </row>
    <row r="10742" spans="104:111">
      <c r="CZ10742" s="256"/>
      <c r="DG10742" s="256"/>
    </row>
    <row r="10743" spans="104:111">
      <c r="CZ10743" s="256"/>
      <c r="DG10743" s="256"/>
    </row>
    <row r="10744" spans="104:111">
      <c r="CZ10744" s="256"/>
      <c r="DG10744" s="256"/>
    </row>
    <row r="10745" spans="104:111">
      <c r="CZ10745" s="256"/>
      <c r="DG10745" s="256"/>
    </row>
    <row r="10746" spans="104:111">
      <c r="CZ10746" s="256"/>
      <c r="DG10746" s="256"/>
    </row>
    <row r="10747" spans="104:111">
      <c r="CZ10747" s="256"/>
      <c r="DG10747" s="256"/>
    </row>
    <row r="10748" spans="104:111">
      <c r="CZ10748" s="256"/>
      <c r="DG10748" s="256"/>
    </row>
    <row r="10749" spans="104:111">
      <c r="CZ10749" s="256"/>
      <c r="DG10749" s="256"/>
    </row>
    <row r="10750" spans="104:111">
      <c r="CZ10750" s="256"/>
      <c r="DG10750" s="256"/>
    </row>
    <row r="10751" spans="104:111">
      <c r="CZ10751" s="256"/>
      <c r="DG10751" s="256"/>
    </row>
    <row r="10752" spans="104:111">
      <c r="CZ10752" s="256"/>
      <c r="DG10752" s="256"/>
    </row>
    <row r="10753" spans="104:111">
      <c r="CZ10753" s="256"/>
      <c r="DG10753" s="256"/>
    </row>
    <row r="10754" spans="104:111">
      <c r="CZ10754" s="256"/>
      <c r="DG10754" s="256"/>
    </row>
    <row r="10755" spans="104:111">
      <c r="CZ10755" s="256"/>
      <c r="DG10755" s="256"/>
    </row>
    <row r="10756" spans="104:111">
      <c r="CZ10756" s="256"/>
      <c r="DG10756" s="256"/>
    </row>
    <row r="10757" spans="104:111">
      <c r="CZ10757" s="256"/>
      <c r="DG10757" s="256"/>
    </row>
    <row r="10758" spans="104:111">
      <c r="CZ10758" s="256"/>
      <c r="DG10758" s="256"/>
    </row>
    <row r="10759" spans="104:111">
      <c r="CZ10759" s="256"/>
      <c r="DG10759" s="256"/>
    </row>
    <row r="10760" spans="104:111">
      <c r="CZ10760" s="256"/>
      <c r="DG10760" s="256"/>
    </row>
    <row r="10761" spans="104:111">
      <c r="CZ10761" s="256"/>
      <c r="DG10761" s="256"/>
    </row>
    <row r="10762" spans="104:111">
      <c r="CZ10762" s="256"/>
      <c r="DG10762" s="256"/>
    </row>
    <row r="10763" spans="104:111">
      <c r="CZ10763" s="256"/>
      <c r="DG10763" s="256"/>
    </row>
    <row r="10764" spans="104:111">
      <c r="CZ10764" s="256"/>
      <c r="DG10764" s="256"/>
    </row>
    <row r="10765" spans="104:111">
      <c r="CZ10765" s="256"/>
      <c r="DG10765" s="256"/>
    </row>
    <row r="10766" spans="104:111">
      <c r="CZ10766" s="256"/>
      <c r="DG10766" s="256"/>
    </row>
    <row r="10767" spans="104:111">
      <c r="CZ10767" s="256"/>
      <c r="DG10767" s="256"/>
    </row>
    <row r="10768" spans="104:111">
      <c r="CZ10768" s="256"/>
      <c r="DG10768" s="256"/>
    </row>
    <row r="10769" spans="104:111">
      <c r="CZ10769" s="256"/>
      <c r="DG10769" s="256"/>
    </row>
    <row r="10770" spans="104:111">
      <c r="CZ10770" s="256"/>
      <c r="DG10770" s="256"/>
    </row>
    <row r="10771" spans="104:111">
      <c r="CZ10771" s="256"/>
      <c r="DG10771" s="256"/>
    </row>
    <row r="10772" spans="104:111">
      <c r="CZ10772" s="256"/>
      <c r="DG10772" s="256"/>
    </row>
    <row r="10773" spans="104:111">
      <c r="CZ10773" s="256"/>
      <c r="DG10773" s="256"/>
    </row>
    <row r="10774" spans="104:111">
      <c r="CZ10774" s="256"/>
      <c r="DG10774" s="256"/>
    </row>
    <row r="10775" spans="104:111">
      <c r="CZ10775" s="256"/>
      <c r="DG10775" s="256"/>
    </row>
    <row r="10776" spans="104:111">
      <c r="CZ10776" s="256"/>
      <c r="DG10776" s="256"/>
    </row>
    <row r="10777" spans="104:111">
      <c r="CZ10777" s="256"/>
      <c r="DG10777" s="256"/>
    </row>
    <row r="10778" spans="104:111">
      <c r="CZ10778" s="256"/>
      <c r="DG10778" s="256"/>
    </row>
    <row r="10779" spans="104:111">
      <c r="CZ10779" s="256"/>
      <c r="DG10779" s="256"/>
    </row>
    <row r="10780" spans="104:111">
      <c r="CZ10780" s="256"/>
      <c r="DG10780" s="256"/>
    </row>
    <row r="10781" spans="104:111">
      <c r="CZ10781" s="256"/>
      <c r="DG10781" s="256"/>
    </row>
    <row r="10782" spans="104:111">
      <c r="CZ10782" s="256"/>
      <c r="DG10782" s="256"/>
    </row>
    <row r="10783" spans="104:111">
      <c r="CZ10783" s="256"/>
      <c r="DG10783" s="256"/>
    </row>
    <row r="10784" spans="104:111">
      <c r="CZ10784" s="256"/>
      <c r="DG10784" s="256"/>
    </row>
    <row r="10785" spans="104:111">
      <c r="CZ10785" s="256"/>
      <c r="DG10785" s="256"/>
    </row>
    <row r="10786" spans="104:111">
      <c r="CZ10786" s="256"/>
      <c r="DG10786" s="256"/>
    </row>
    <row r="10787" spans="104:111">
      <c r="CZ10787" s="256"/>
      <c r="DG10787" s="256"/>
    </row>
    <row r="10788" spans="104:111">
      <c r="CZ10788" s="256"/>
      <c r="DG10788" s="256"/>
    </row>
    <row r="10789" spans="104:111">
      <c r="CZ10789" s="256"/>
      <c r="DG10789" s="256"/>
    </row>
    <row r="10790" spans="104:111">
      <c r="CZ10790" s="256"/>
      <c r="DG10790" s="256"/>
    </row>
    <row r="10791" spans="104:111">
      <c r="CZ10791" s="256"/>
      <c r="DG10791" s="256"/>
    </row>
    <row r="10792" spans="104:111">
      <c r="CZ10792" s="256"/>
      <c r="DG10792" s="256"/>
    </row>
    <row r="10793" spans="104:111">
      <c r="CZ10793" s="256"/>
      <c r="DG10793" s="256"/>
    </row>
    <row r="10794" spans="104:111">
      <c r="CZ10794" s="256"/>
      <c r="DG10794" s="256"/>
    </row>
    <row r="10795" spans="104:111">
      <c r="CZ10795" s="256"/>
      <c r="DG10795" s="256"/>
    </row>
    <row r="10796" spans="104:111">
      <c r="CZ10796" s="256"/>
      <c r="DG10796" s="256"/>
    </row>
    <row r="10797" spans="104:111">
      <c r="CZ10797" s="256"/>
      <c r="DG10797" s="256"/>
    </row>
    <row r="10798" spans="104:111">
      <c r="CZ10798" s="256"/>
      <c r="DG10798" s="256"/>
    </row>
    <row r="10799" spans="104:111">
      <c r="CZ10799" s="256"/>
      <c r="DG10799" s="256"/>
    </row>
    <row r="10800" spans="104:111">
      <c r="CZ10800" s="256"/>
      <c r="DG10800" s="256"/>
    </row>
    <row r="10801" spans="104:111">
      <c r="CZ10801" s="256"/>
      <c r="DG10801" s="256"/>
    </row>
    <row r="10802" spans="104:111">
      <c r="CZ10802" s="256"/>
      <c r="DG10802" s="256"/>
    </row>
    <row r="10803" spans="104:111">
      <c r="CZ10803" s="256"/>
      <c r="DG10803" s="256"/>
    </row>
    <row r="10804" spans="104:111">
      <c r="CZ10804" s="256"/>
      <c r="DG10804" s="256"/>
    </row>
    <row r="10805" spans="104:111">
      <c r="CZ10805" s="256"/>
      <c r="DG10805" s="256"/>
    </row>
    <row r="10806" spans="104:111">
      <c r="CZ10806" s="256"/>
      <c r="DG10806" s="256"/>
    </row>
    <row r="10807" spans="104:111">
      <c r="CZ10807" s="256"/>
      <c r="DG10807" s="256"/>
    </row>
    <row r="10808" spans="104:111">
      <c r="CZ10808" s="256"/>
      <c r="DG10808" s="256"/>
    </row>
    <row r="10809" spans="104:111">
      <c r="CZ10809" s="256"/>
      <c r="DG10809" s="256"/>
    </row>
    <row r="10810" spans="104:111">
      <c r="CZ10810" s="256"/>
      <c r="DG10810" s="256"/>
    </row>
    <row r="10811" spans="104:111">
      <c r="CZ10811" s="256"/>
      <c r="DG10811" s="256"/>
    </row>
    <row r="10812" spans="104:111">
      <c r="CZ10812" s="256"/>
      <c r="DG10812" s="256"/>
    </row>
    <row r="10813" spans="104:111">
      <c r="CZ10813" s="256"/>
      <c r="DG10813" s="256"/>
    </row>
    <row r="10814" spans="104:111">
      <c r="CZ10814" s="256"/>
      <c r="DG10814" s="256"/>
    </row>
    <row r="10815" spans="104:111">
      <c r="CZ10815" s="256"/>
      <c r="DG10815" s="256"/>
    </row>
    <row r="10816" spans="104:111">
      <c r="CZ10816" s="256"/>
      <c r="DG10816" s="256"/>
    </row>
    <row r="10817" spans="104:111">
      <c r="CZ10817" s="256"/>
      <c r="DG10817" s="256"/>
    </row>
    <row r="10818" spans="104:111">
      <c r="CZ10818" s="256"/>
      <c r="DG10818" s="256"/>
    </row>
    <row r="10819" spans="104:111">
      <c r="CZ10819" s="256"/>
      <c r="DG10819" s="256"/>
    </row>
    <row r="10820" spans="104:111">
      <c r="CZ10820" s="256"/>
      <c r="DG10820" s="256"/>
    </row>
    <row r="10821" spans="104:111">
      <c r="CZ10821" s="256"/>
      <c r="DG10821" s="256"/>
    </row>
    <row r="10822" spans="104:111">
      <c r="CZ10822" s="256"/>
      <c r="DG10822" s="256"/>
    </row>
    <row r="10823" spans="104:111">
      <c r="CZ10823" s="256"/>
      <c r="DG10823" s="256"/>
    </row>
    <row r="10824" spans="104:111">
      <c r="CZ10824" s="256"/>
      <c r="DG10824" s="256"/>
    </row>
    <row r="10825" spans="104:111">
      <c r="CZ10825" s="256"/>
      <c r="DG10825" s="256"/>
    </row>
    <row r="10826" spans="104:111">
      <c r="CZ10826" s="256"/>
      <c r="DG10826" s="256"/>
    </row>
    <row r="10827" spans="104:111">
      <c r="CZ10827" s="256"/>
      <c r="DG10827" s="256"/>
    </row>
    <row r="10828" spans="104:111">
      <c r="CZ10828" s="256"/>
      <c r="DG10828" s="256"/>
    </row>
    <row r="10829" spans="104:111">
      <c r="CZ10829" s="256"/>
      <c r="DG10829" s="256"/>
    </row>
    <row r="10830" spans="104:111">
      <c r="CZ10830" s="256"/>
      <c r="DG10830" s="256"/>
    </row>
    <row r="10831" spans="104:111">
      <c r="CZ10831" s="256"/>
      <c r="DG10831" s="256"/>
    </row>
    <row r="10832" spans="104:111">
      <c r="CZ10832" s="256"/>
      <c r="DG10832" s="256"/>
    </row>
    <row r="10833" spans="104:111">
      <c r="CZ10833" s="256"/>
      <c r="DG10833" s="256"/>
    </row>
    <row r="10834" spans="104:111">
      <c r="CZ10834" s="256"/>
      <c r="DG10834" s="256"/>
    </row>
    <row r="10835" spans="104:111">
      <c r="CZ10835" s="256"/>
      <c r="DG10835" s="256"/>
    </row>
    <row r="10836" spans="104:111">
      <c r="CZ10836" s="256"/>
      <c r="DG10836" s="256"/>
    </row>
    <row r="10837" spans="104:111">
      <c r="CZ10837" s="256"/>
      <c r="DG10837" s="256"/>
    </row>
    <row r="10838" spans="104:111">
      <c r="CZ10838" s="256"/>
      <c r="DG10838" s="256"/>
    </row>
    <row r="10839" spans="104:111">
      <c r="CZ10839" s="256"/>
      <c r="DG10839" s="256"/>
    </row>
    <row r="10840" spans="104:111">
      <c r="CZ10840" s="256"/>
      <c r="DG10840" s="256"/>
    </row>
    <row r="10841" spans="104:111">
      <c r="CZ10841" s="256"/>
      <c r="DG10841" s="256"/>
    </row>
    <row r="10842" spans="104:111">
      <c r="CZ10842" s="256"/>
      <c r="DG10842" s="256"/>
    </row>
    <row r="10843" spans="104:111">
      <c r="CZ10843" s="256"/>
      <c r="DG10843" s="256"/>
    </row>
    <row r="10844" spans="104:111">
      <c r="CZ10844" s="256"/>
      <c r="DG10844" s="256"/>
    </row>
    <row r="10845" spans="104:111">
      <c r="CZ10845" s="256"/>
      <c r="DG10845" s="256"/>
    </row>
    <row r="10846" spans="104:111">
      <c r="CZ10846" s="256"/>
      <c r="DG10846" s="256"/>
    </row>
    <row r="10847" spans="104:111">
      <c r="CZ10847" s="256"/>
      <c r="DG10847" s="256"/>
    </row>
    <row r="10848" spans="104:111">
      <c r="CZ10848" s="256"/>
      <c r="DG10848" s="256"/>
    </row>
    <row r="10849" spans="104:111">
      <c r="CZ10849" s="256"/>
      <c r="DG10849" s="256"/>
    </row>
    <row r="10850" spans="104:111">
      <c r="CZ10850" s="256"/>
      <c r="DG10850" s="256"/>
    </row>
    <row r="10851" spans="104:111">
      <c r="CZ10851" s="256"/>
      <c r="DG10851" s="256"/>
    </row>
    <row r="10852" spans="104:111">
      <c r="CZ10852" s="256"/>
      <c r="DG10852" s="256"/>
    </row>
    <row r="10853" spans="104:111">
      <c r="CZ10853" s="256"/>
      <c r="DG10853" s="256"/>
    </row>
    <row r="10854" spans="104:111">
      <c r="CZ10854" s="256"/>
      <c r="DG10854" s="256"/>
    </row>
    <row r="10855" spans="104:111">
      <c r="CZ10855" s="256"/>
      <c r="DG10855" s="256"/>
    </row>
    <row r="10856" spans="104:111">
      <c r="CZ10856" s="256"/>
      <c r="DG10856" s="256"/>
    </row>
    <row r="10857" spans="104:111">
      <c r="CZ10857" s="256"/>
      <c r="DG10857" s="256"/>
    </row>
    <row r="10858" spans="104:111">
      <c r="CZ10858" s="256"/>
      <c r="DG10858" s="256"/>
    </row>
    <row r="10859" spans="104:111">
      <c r="CZ10859" s="256"/>
      <c r="DG10859" s="256"/>
    </row>
    <row r="10860" spans="104:111">
      <c r="CZ10860" s="256"/>
      <c r="DG10860" s="256"/>
    </row>
    <row r="10861" spans="104:111">
      <c r="CZ10861" s="256"/>
      <c r="DG10861" s="256"/>
    </row>
    <row r="10862" spans="104:111">
      <c r="CZ10862" s="256"/>
      <c r="DG10862" s="256"/>
    </row>
    <row r="10863" spans="104:111">
      <c r="CZ10863" s="256"/>
      <c r="DG10863" s="256"/>
    </row>
    <row r="10864" spans="104:111">
      <c r="CZ10864" s="256"/>
      <c r="DG10864" s="256"/>
    </row>
    <row r="10865" spans="104:111">
      <c r="CZ10865" s="256"/>
      <c r="DG10865" s="256"/>
    </row>
    <row r="10866" spans="104:111">
      <c r="CZ10866" s="256"/>
      <c r="DG10866" s="256"/>
    </row>
    <row r="10867" spans="104:111">
      <c r="CZ10867" s="256"/>
      <c r="DG10867" s="256"/>
    </row>
    <row r="10868" spans="104:111">
      <c r="CZ10868" s="256"/>
      <c r="DG10868" s="256"/>
    </row>
    <row r="10869" spans="104:111">
      <c r="CZ10869" s="256"/>
      <c r="DG10869" s="256"/>
    </row>
    <row r="10870" spans="104:111">
      <c r="CZ10870" s="256"/>
      <c r="DG10870" s="256"/>
    </row>
    <row r="10871" spans="104:111">
      <c r="CZ10871" s="256"/>
      <c r="DG10871" s="256"/>
    </row>
    <row r="10872" spans="104:111">
      <c r="CZ10872" s="256"/>
      <c r="DG10872" s="256"/>
    </row>
    <row r="10873" spans="104:111">
      <c r="CZ10873" s="256"/>
      <c r="DG10873" s="256"/>
    </row>
    <row r="10874" spans="104:111">
      <c r="CZ10874" s="256"/>
      <c r="DG10874" s="256"/>
    </row>
    <row r="10875" spans="104:111">
      <c r="CZ10875" s="256"/>
      <c r="DG10875" s="256"/>
    </row>
    <row r="10876" spans="104:111">
      <c r="CZ10876" s="256"/>
      <c r="DG10876" s="256"/>
    </row>
    <row r="10877" spans="104:111">
      <c r="CZ10877" s="256"/>
      <c r="DG10877" s="256"/>
    </row>
    <row r="10878" spans="104:111">
      <c r="CZ10878" s="256"/>
      <c r="DG10878" s="256"/>
    </row>
    <row r="10879" spans="104:111">
      <c r="CZ10879" s="256"/>
      <c r="DG10879" s="256"/>
    </row>
    <row r="10880" spans="104:111">
      <c r="CZ10880" s="256"/>
      <c r="DG10880" s="256"/>
    </row>
    <row r="10881" spans="104:111">
      <c r="CZ10881" s="256"/>
      <c r="DG10881" s="256"/>
    </row>
    <row r="10882" spans="104:111">
      <c r="CZ10882" s="256"/>
      <c r="DG10882" s="256"/>
    </row>
    <row r="10883" spans="104:111">
      <c r="CZ10883" s="256"/>
      <c r="DG10883" s="256"/>
    </row>
    <row r="10884" spans="104:111">
      <c r="CZ10884" s="256"/>
      <c r="DG10884" s="256"/>
    </row>
    <row r="10885" spans="104:111">
      <c r="CZ10885" s="256"/>
      <c r="DG10885" s="256"/>
    </row>
    <row r="10886" spans="104:111">
      <c r="CZ10886" s="256"/>
      <c r="DG10886" s="256"/>
    </row>
    <row r="10887" spans="104:111">
      <c r="CZ10887" s="256"/>
      <c r="DG10887" s="256"/>
    </row>
    <row r="10888" spans="104:111">
      <c r="CZ10888" s="256"/>
      <c r="DG10888" s="256"/>
    </row>
    <row r="10889" spans="104:111">
      <c r="CZ10889" s="256"/>
      <c r="DG10889" s="256"/>
    </row>
    <row r="10890" spans="104:111">
      <c r="CZ10890" s="256"/>
      <c r="DG10890" s="256"/>
    </row>
    <row r="10891" spans="104:111">
      <c r="CZ10891" s="256"/>
      <c r="DG10891" s="256"/>
    </row>
    <row r="10892" spans="104:111">
      <c r="CZ10892" s="256"/>
      <c r="DG10892" s="256"/>
    </row>
    <row r="10893" spans="104:111">
      <c r="CZ10893" s="256"/>
      <c r="DG10893" s="256"/>
    </row>
    <row r="10894" spans="104:111">
      <c r="CZ10894" s="256"/>
      <c r="DG10894" s="256"/>
    </row>
    <row r="10895" spans="104:111">
      <c r="CZ10895" s="256"/>
      <c r="DG10895" s="256"/>
    </row>
    <row r="10896" spans="104:111">
      <c r="CZ10896" s="256"/>
      <c r="DG10896" s="256"/>
    </row>
    <row r="10897" spans="104:111">
      <c r="CZ10897" s="256"/>
      <c r="DG10897" s="256"/>
    </row>
    <row r="10898" spans="104:111">
      <c r="CZ10898" s="256"/>
      <c r="DG10898" s="256"/>
    </row>
    <row r="10899" spans="104:111">
      <c r="CZ10899" s="256"/>
      <c r="DG10899" s="256"/>
    </row>
    <row r="10900" spans="104:111">
      <c r="CZ10900" s="256"/>
      <c r="DG10900" s="256"/>
    </row>
    <row r="10901" spans="104:111">
      <c r="CZ10901" s="256"/>
      <c r="DG10901" s="256"/>
    </row>
    <row r="10902" spans="104:111">
      <c r="CZ10902" s="256"/>
      <c r="DG10902" s="256"/>
    </row>
    <row r="10903" spans="104:111">
      <c r="CZ10903" s="256"/>
      <c r="DG10903" s="256"/>
    </row>
    <row r="10904" spans="104:111">
      <c r="CZ10904" s="256"/>
      <c r="DG10904" s="256"/>
    </row>
    <row r="10905" spans="104:111">
      <c r="CZ10905" s="256"/>
      <c r="DG10905" s="256"/>
    </row>
    <row r="10906" spans="104:111">
      <c r="CZ10906" s="256"/>
      <c r="DG10906" s="256"/>
    </row>
    <row r="10907" spans="104:111">
      <c r="CZ10907" s="256"/>
      <c r="DG10907" s="256"/>
    </row>
    <row r="10908" spans="104:111">
      <c r="CZ10908" s="256"/>
      <c r="DG10908" s="256"/>
    </row>
    <row r="10909" spans="104:111">
      <c r="CZ10909" s="256"/>
      <c r="DG10909" s="256"/>
    </row>
    <row r="10910" spans="104:111">
      <c r="CZ10910" s="256"/>
      <c r="DG10910" s="256"/>
    </row>
    <row r="10911" spans="104:111">
      <c r="CZ10911" s="256"/>
      <c r="DG10911" s="256"/>
    </row>
    <row r="10912" spans="104:111">
      <c r="CZ10912" s="256"/>
      <c r="DG10912" s="256"/>
    </row>
    <row r="10913" spans="104:111">
      <c r="CZ10913" s="256"/>
      <c r="DG10913" s="256"/>
    </row>
    <row r="10914" spans="104:111">
      <c r="CZ10914" s="256"/>
      <c r="DG10914" s="256"/>
    </row>
    <row r="10915" spans="104:111">
      <c r="CZ10915" s="256"/>
      <c r="DG10915" s="256"/>
    </row>
    <row r="10916" spans="104:111">
      <c r="CZ10916" s="256"/>
      <c r="DG10916" s="256"/>
    </row>
    <row r="10917" spans="104:111">
      <c r="CZ10917" s="256"/>
      <c r="DG10917" s="256"/>
    </row>
    <row r="10918" spans="104:111">
      <c r="CZ10918" s="256"/>
      <c r="DG10918" s="256"/>
    </row>
    <row r="10919" spans="104:111">
      <c r="CZ10919" s="256"/>
      <c r="DG10919" s="256"/>
    </row>
    <row r="10920" spans="104:111">
      <c r="CZ10920" s="256"/>
      <c r="DG10920" s="256"/>
    </row>
    <row r="10921" spans="104:111">
      <c r="CZ10921" s="256"/>
      <c r="DG10921" s="256"/>
    </row>
    <row r="10922" spans="104:111">
      <c r="CZ10922" s="256"/>
      <c r="DG10922" s="256"/>
    </row>
    <row r="10923" spans="104:111">
      <c r="CZ10923" s="256"/>
      <c r="DG10923" s="256"/>
    </row>
    <row r="10924" spans="104:111">
      <c r="CZ10924" s="256"/>
      <c r="DG10924" s="256"/>
    </row>
    <row r="10925" spans="104:111">
      <c r="CZ10925" s="256"/>
      <c r="DG10925" s="256"/>
    </row>
    <row r="10926" spans="104:111">
      <c r="CZ10926" s="256"/>
      <c r="DG10926" s="256"/>
    </row>
    <row r="10927" spans="104:111">
      <c r="CZ10927" s="256"/>
      <c r="DG10927" s="256"/>
    </row>
    <row r="10928" spans="104:111">
      <c r="CZ10928" s="256"/>
      <c r="DG10928" s="256"/>
    </row>
    <row r="10929" spans="104:111">
      <c r="CZ10929" s="256"/>
      <c r="DG10929" s="256"/>
    </row>
    <row r="10930" spans="104:111">
      <c r="CZ10930" s="256"/>
      <c r="DG10930" s="256"/>
    </row>
    <row r="10931" spans="104:111">
      <c r="CZ10931" s="256"/>
      <c r="DG10931" s="256"/>
    </row>
    <row r="10932" spans="104:111">
      <c r="CZ10932" s="256"/>
      <c r="DG10932" s="256"/>
    </row>
    <row r="10933" spans="104:111">
      <c r="CZ10933" s="256"/>
      <c r="DG10933" s="256"/>
    </row>
    <row r="10934" spans="104:111">
      <c r="CZ10934" s="256"/>
      <c r="DG10934" s="256"/>
    </row>
    <row r="10935" spans="104:111">
      <c r="CZ10935" s="256"/>
      <c r="DG10935" s="256"/>
    </row>
    <row r="10936" spans="104:111">
      <c r="CZ10936" s="256"/>
      <c r="DG10936" s="256"/>
    </row>
    <row r="10937" spans="104:111">
      <c r="CZ10937" s="256"/>
      <c r="DG10937" s="256"/>
    </row>
    <row r="10938" spans="104:111">
      <c r="CZ10938" s="256"/>
      <c r="DG10938" s="256"/>
    </row>
    <row r="10939" spans="104:111">
      <c r="CZ10939" s="256"/>
      <c r="DG10939" s="256"/>
    </row>
    <row r="10940" spans="104:111">
      <c r="CZ10940" s="256"/>
      <c r="DG10940" s="256"/>
    </row>
    <row r="10941" spans="104:111">
      <c r="CZ10941" s="256"/>
      <c r="DG10941" s="256"/>
    </row>
    <row r="10942" spans="104:111">
      <c r="CZ10942" s="256"/>
      <c r="DG10942" s="256"/>
    </row>
    <row r="10943" spans="104:111">
      <c r="CZ10943" s="256"/>
      <c r="DG10943" s="256"/>
    </row>
    <row r="10944" spans="104:111">
      <c r="CZ10944" s="256"/>
      <c r="DG10944" s="256"/>
    </row>
    <row r="10945" spans="104:111">
      <c r="CZ10945" s="256"/>
      <c r="DG10945" s="256"/>
    </row>
    <row r="10946" spans="104:111">
      <c r="CZ10946" s="256"/>
      <c r="DG10946" s="256"/>
    </row>
    <row r="10947" spans="104:111">
      <c r="CZ10947" s="256"/>
      <c r="DG10947" s="256"/>
    </row>
    <row r="10948" spans="104:111">
      <c r="CZ10948" s="256"/>
      <c r="DG10948" s="256"/>
    </row>
    <row r="10949" spans="104:111">
      <c r="CZ10949" s="256"/>
      <c r="DG10949" s="256"/>
    </row>
    <row r="10950" spans="104:111">
      <c r="CZ10950" s="256"/>
      <c r="DG10950" s="256"/>
    </row>
    <row r="10951" spans="104:111">
      <c r="CZ10951" s="256"/>
      <c r="DG10951" s="256"/>
    </row>
    <row r="10952" spans="104:111">
      <c r="CZ10952" s="256"/>
      <c r="DG10952" s="256"/>
    </row>
    <row r="10953" spans="104:111">
      <c r="CZ10953" s="256"/>
      <c r="DG10953" s="256"/>
    </row>
    <row r="10954" spans="104:111">
      <c r="CZ10954" s="256"/>
      <c r="DG10954" s="256"/>
    </row>
    <row r="10955" spans="104:111">
      <c r="CZ10955" s="256"/>
      <c r="DG10955" s="256"/>
    </row>
    <row r="10956" spans="104:111">
      <c r="CZ10956" s="256"/>
      <c r="DG10956" s="256"/>
    </row>
    <row r="10957" spans="104:111">
      <c r="CZ10957" s="256"/>
      <c r="DG10957" s="256"/>
    </row>
    <row r="10958" spans="104:111">
      <c r="CZ10958" s="256"/>
      <c r="DG10958" s="256"/>
    </row>
    <row r="10959" spans="104:111">
      <c r="CZ10959" s="256"/>
      <c r="DG10959" s="256"/>
    </row>
    <row r="10960" spans="104:111">
      <c r="CZ10960" s="256"/>
      <c r="DG10960" s="256"/>
    </row>
    <row r="10961" spans="104:111">
      <c r="CZ10961" s="256"/>
      <c r="DG10961" s="256"/>
    </row>
    <row r="10962" spans="104:111">
      <c r="CZ10962" s="256"/>
      <c r="DG10962" s="256"/>
    </row>
    <row r="10963" spans="104:111">
      <c r="CZ10963" s="256"/>
      <c r="DG10963" s="256"/>
    </row>
    <row r="10964" spans="104:111">
      <c r="CZ10964" s="256"/>
      <c r="DG10964" s="256"/>
    </row>
    <row r="10965" spans="104:111">
      <c r="CZ10965" s="256"/>
      <c r="DG10965" s="256"/>
    </row>
    <row r="10966" spans="104:111">
      <c r="CZ10966" s="256"/>
      <c r="DG10966" s="256"/>
    </row>
    <row r="10967" spans="104:111">
      <c r="CZ10967" s="256"/>
      <c r="DG10967" s="256"/>
    </row>
    <row r="10968" spans="104:111">
      <c r="CZ10968" s="256"/>
      <c r="DG10968" s="256"/>
    </row>
    <row r="10969" spans="104:111">
      <c r="CZ10969" s="256"/>
      <c r="DG10969" s="256"/>
    </row>
    <row r="10970" spans="104:111">
      <c r="CZ10970" s="256"/>
      <c r="DG10970" s="256"/>
    </row>
    <row r="10971" spans="104:111">
      <c r="CZ10971" s="256"/>
      <c r="DG10971" s="256"/>
    </row>
    <row r="10972" spans="104:111">
      <c r="CZ10972" s="256"/>
      <c r="DG10972" s="256"/>
    </row>
    <row r="10973" spans="104:111">
      <c r="CZ10973" s="256"/>
      <c r="DG10973" s="256"/>
    </row>
    <row r="10974" spans="104:111">
      <c r="CZ10974" s="256"/>
      <c r="DG10974" s="256"/>
    </row>
    <row r="10975" spans="104:111">
      <c r="CZ10975" s="256"/>
      <c r="DG10975" s="256"/>
    </row>
    <row r="10976" spans="104:111">
      <c r="CZ10976" s="256"/>
      <c r="DG10976" s="256"/>
    </row>
    <row r="10977" spans="104:111">
      <c r="CZ10977" s="256"/>
      <c r="DG10977" s="256"/>
    </row>
    <row r="10978" spans="104:111">
      <c r="CZ10978" s="256"/>
      <c r="DG10978" s="256"/>
    </row>
    <row r="10979" spans="104:111">
      <c r="CZ10979" s="256"/>
      <c r="DG10979" s="256"/>
    </row>
    <row r="10980" spans="104:111">
      <c r="CZ10980" s="256"/>
      <c r="DG10980" s="256"/>
    </row>
    <row r="10981" spans="104:111">
      <c r="CZ10981" s="256"/>
      <c r="DG10981" s="256"/>
    </row>
    <row r="10982" spans="104:111">
      <c r="CZ10982" s="256"/>
      <c r="DG10982" s="256"/>
    </row>
    <row r="10983" spans="104:111">
      <c r="CZ10983" s="256"/>
      <c r="DG10983" s="256"/>
    </row>
    <row r="10984" spans="104:111">
      <c r="CZ10984" s="256"/>
      <c r="DG10984" s="256"/>
    </row>
    <row r="10985" spans="104:111">
      <c r="CZ10985" s="256"/>
      <c r="DG10985" s="256"/>
    </row>
    <row r="10986" spans="104:111">
      <c r="CZ10986" s="256"/>
      <c r="DG10986" s="256"/>
    </row>
    <row r="10987" spans="104:111">
      <c r="CZ10987" s="256"/>
      <c r="DG10987" s="256"/>
    </row>
    <row r="10988" spans="104:111">
      <c r="CZ10988" s="256"/>
      <c r="DG10988" s="256"/>
    </row>
    <row r="10989" spans="104:111">
      <c r="CZ10989" s="256"/>
      <c r="DG10989" s="256"/>
    </row>
    <row r="10990" spans="104:111">
      <c r="CZ10990" s="256"/>
      <c r="DG10990" s="256"/>
    </row>
    <row r="10991" spans="104:111">
      <c r="CZ10991" s="256"/>
      <c r="DG10991" s="256"/>
    </row>
    <row r="10992" spans="104:111">
      <c r="CZ10992" s="256"/>
      <c r="DG10992" s="256"/>
    </row>
    <row r="10993" spans="104:111">
      <c r="CZ10993" s="256"/>
      <c r="DG10993" s="256"/>
    </row>
    <row r="10994" spans="104:111">
      <c r="CZ10994" s="256"/>
      <c r="DG10994" s="256"/>
    </row>
    <row r="10995" spans="104:111">
      <c r="CZ10995" s="256"/>
      <c r="DG10995" s="256"/>
    </row>
    <row r="10996" spans="104:111">
      <c r="CZ10996" s="256"/>
      <c r="DG10996" s="256"/>
    </row>
    <row r="10997" spans="104:111">
      <c r="CZ10997" s="256"/>
      <c r="DG10997" s="256"/>
    </row>
    <row r="10998" spans="104:111">
      <c r="CZ10998" s="256"/>
      <c r="DG10998" s="256"/>
    </row>
    <row r="10999" spans="104:111">
      <c r="CZ10999" s="256"/>
      <c r="DG10999" s="256"/>
    </row>
    <row r="11000" spans="104:111">
      <c r="CZ11000" s="256"/>
      <c r="DG11000" s="256"/>
    </row>
    <row r="11001" spans="104:111">
      <c r="CZ11001" s="256"/>
      <c r="DG11001" s="256"/>
    </row>
    <row r="11002" spans="104:111">
      <c r="CZ11002" s="256"/>
      <c r="DG11002" s="256"/>
    </row>
    <row r="11003" spans="104:111">
      <c r="CZ11003" s="256"/>
      <c r="DG11003" s="256"/>
    </row>
    <row r="11004" spans="104:111">
      <c r="CZ11004" s="256"/>
      <c r="DG11004" s="256"/>
    </row>
    <row r="11005" spans="104:111">
      <c r="CZ11005" s="256"/>
      <c r="DG11005" s="256"/>
    </row>
    <row r="11006" spans="104:111">
      <c r="CZ11006" s="256"/>
      <c r="DG11006" s="256"/>
    </row>
    <row r="11007" spans="104:111">
      <c r="CZ11007" s="256"/>
      <c r="DG11007" s="256"/>
    </row>
    <row r="11008" spans="104:111">
      <c r="CZ11008" s="256"/>
      <c r="DG11008" s="256"/>
    </row>
    <row r="11009" spans="104:111">
      <c r="CZ11009" s="256"/>
      <c r="DG11009" s="256"/>
    </row>
    <row r="11010" spans="104:111">
      <c r="CZ11010" s="256"/>
      <c r="DG11010" s="256"/>
    </row>
    <row r="11011" spans="104:111">
      <c r="CZ11011" s="256"/>
      <c r="DG11011" s="256"/>
    </row>
    <row r="11012" spans="104:111">
      <c r="CZ11012" s="256"/>
      <c r="DG11012" s="256"/>
    </row>
    <row r="11013" spans="104:111">
      <c r="CZ11013" s="256"/>
      <c r="DG11013" s="256"/>
    </row>
    <row r="11014" spans="104:111">
      <c r="CZ11014" s="256"/>
      <c r="DG11014" s="256"/>
    </row>
    <row r="11015" spans="104:111">
      <c r="CZ11015" s="256"/>
      <c r="DG11015" s="256"/>
    </row>
    <row r="11016" spans="104:111">
      <c r="CZ11016" s="256"/>
      <c r="DG11016" s="256"/>
    </row>
    <row r="11017" spans="104:111">
      <c r="CZ11017" s="256"/>
      <c r="DG11017" s="256"/>
    </row>
    <row r="11018" spans="104:111">
      <c r="CZ11018" s="256"/>
      <c r="DG11018" s="256"/>
    </row>
    <row r="11019" spans="104:111">
      <c r="CZ11019" s="256"/>
      <c r="DG11019" s="256"/>
    </row>
    <row r="11020" spans="104:111">
      <c r="CZ11020" s="256"/>
      <c r="DG11020" s="256"/>
    </row>
    <row r="11021" spans="104:111">
      <c r="CZ11021" s="256"/>
      <c r="DG11021" s="256"/>
    </row>
    <row r="11022" spans="104:111">
      <c r="CZ11022" s="256"/>
      <c r="DG11022" s="256"/>
    </row>
    <row r="11023" spans="104:111">
      <c r="CZ11023" s="256"/>
      <c r="DG11023" s="256"/>
    </row>
    <row r="11024" spans="104:111">
      <c r="CZ11024" s="256"/>
      <c r="DG11024" s="256"/>
    </row>
    <row r="11025" spans="104:111">
      <c r="CZ11025" s="256"/>
      <c r="DG11025" s="256"/>
    </row>
    <row r="11026" spans="104:111">
      <c r="CZ11026" s="256"/>
      <c r="DG11026" s="256"/>
    </row>
    <row r="11027" spans="104:111">
      <c r="CZ11027" s="256"/>
      <c r="DG11027" s="256"/>
    </row>
    <row r="11028" spans="104:111">
      <c r="CZ11028" s="256"/>
      <c r="DG11028" s="256"/>
    </row>
    <row r="11029" spans="104:111">
      <c r="CZ11029" s="256"/>
      <c r="DG11029" s="256"/>
    </row>
    <row r="11030" spans="104:111">
      <c r="CZ11030" s="256"/>
      <c r="DG11030" s="256"/>
    </row>
    <row r="11031" spans="104:111">
      <c r="CZ11031" s="256"/>
      <c r="DG11031" s="256"/>
    </row>
    <row r="11032" spans="104:111">
      <c r="CZ11032" s="256"/>
      <c r="DG11032" s="256"/>
    </row>
    <row r="11033" spans="104:111">
      <c r="CZ11033" s="256"/>
      <c r="DG11033" s="256"/>
    </row>
    <row r="11034" spans="104:111">
      <c r="CZ11034" s="256"/>
      <c r="DG11034" s="256"/>
    </row>
    <row r="11035" spans="104:111">
      <c r="CZ11035" s="256"/>
      <c r="DG11035" s="256"/>
    </row>
    <row r="11036" spans="104:111">
      <c r="CZ11036" s="256"/>
      <c r="DG11036" s="256"/>
    </row>
    <row r="11037" spans="104:111">
      <c r="CZ11037" s="256"/>
      <c r="DG11037" s="256"/>
    </row>
    <row r="11038" spans="104:111">
      <c r="CZ11038" s="256"/>
      <c r="DG11038" s="256"/>
    </row>
    <row r="11039" spans="104:111">
      <c r="CZ11039" s="256"/>
      <c r="DG11039" s="256"/>
    </row>
    <row r="11040" spans="104:111">
      <c r="CZ11040" s="256"/>
      <c r="DG11040" s="256"/>
    </row>
    <row r="11041" spans="104:111">
      <c r="CZ11041" s="256"/>
      <c r="DG11041" s="256"/>
    </row>
    <row r="11042" spans="104:111">
      <c r="CZ11042" s="256"/>
      <c r="DG11042" s="256"/>
    </row>
    <row r="11043" spans="104:111">
      <c r="CZ11043" s="256"/>
      <c r="DG11043" s="256"/>
    </row>
    <row r="11044" spans="104:111">
      <c r="CZ11044" s="256"/>
      <c r="DG11044" s="256"/>
    </row>
    <row r="11045" spans="104:111">
      <c r="CZ11045" s="256"/>
      <c r="DG11045" s="256"/>
    </row>
    <row r="11046" spans="104:111">
      <c r="CZ11046" s="256"/>
      <c r="DG11046" s="256"/>
    </row>
    <row r="11047" spans="104:111">
      <c r="CZ11047" s="256"/>
      <c r="DG11047" s="256"/>
    </row>
    <row r="11048" spans="104:111">
      <c r="CZ11048" s="256"/>
      <c r="DG11048" s="256"/>
    </row>
    <row r="11049" spans="104:111">
      <c r="CZ11049" s="256"/>
      <c r="DG11049" s="256"/>
    </row>
    <row r="11050" spans="104:111">
      <c r="CZ11050" s="256"/>
      <c r="DG11050" s="256"/>
    </row>
    <row r="11051" spans="104:111">
      <c r="CZ11051" s="256"/>
      <c r="DG11051" s="256"/>
    </row>
    <row r="11052" spans="104:111">
      <c r="CZ11052" s="256"/>
      <c r="DG11052" s="256"/>
    </row>
    <row r="11053" spans="104:111">
      <c r="CZ11053" s="256"/>
      <c r="DG11053" s="256"/>
    </row>
    <row r="11054" spans="104:111">
      <c r="CZ11054" s="256"/>
      <c r="DG11054" s="256"/>
    </row>
    <row r="11055" spans="104:111">
      <c r="CZ11055" s="256"/>
      <c r="DG11055" s="256"/>
    </row>
    <row r="11056" spans="104:111">
      <c r="CZ11056" s="256"/>
      <c r="DG11056" s="256"/>
    </row>
    <row r="11057" spans="104:111">
      <c r="CZ11057" s="256"/>
      <c r="DG11057" s="256"/>
    </row>
    <row r="11058" spans="104:111">
      <c r="CZ11058" s="256"/>
      <c r="DG11058" s="256"/>
    </row>
    <row r="11059" spans="104:111">
      <c r="CZ11059" s="256"/>
      <c r="DG11059" s="256"/>
    </row>
    <row r="11060" spans="104:111">
      <c r="CZ11060" s="256"/>
      <c r="DG11060" s="256"/>
    </row>
    <row r="11061" spans="104:111">
      <c r="CZ11061" s="256"/>
      <c r="DG11061" s="256"/>
    </row>
    <row r="11062" spans="104:111">
      <c r="CZ11062" s="256"/>
      <c r="DG11062" s="256"/>
    </row>
    <row r="11063" spans="104:111">
      <c r="CZ11063" s="256"/>
      <c r="DG11063" s="256"/>
    </row>
    <row r="11064" spans="104:111">
      <c r="CZ11064" s="256"/>
      <c r="DG11064" s="256"/>
    </row>
    <row r="11065" spans="104:111">
      <c r="CZ11065" s="256"/>
      <c r="DG11065" s="256"/>
    </row>
    <row r="11066" spans="104:111">
      <c r="CZ11066" s="256"/>
      <c r="DG11066" s="256"/>
    </row>
    <row r="11067" spans="104:111">
      <c r="CZ11067" s="256"/>
      <c r="DG11067" s="256"/>
    </row>
    <row r="11068" spans="104:111">
      <c r="CZ11068" s="256"/>
      <c r="DG11068" s="256"/>
    </row>
    <row r="11069" spans="104:111">
      <c r="CZ11069" s="256"/>
      <c r="DG11069" s="256"/>
    </row>
    <row r="11070" spans="104:111">
      <c r="CZ11070" s="256"/>
      <c r="DG11070" s="256"/>
    </row>
    <row r="11071" spans="104:111">
      <c r="CZ11071" s="256"/>
      <c r="DG11071" s="256"/>
    </row>
    <row r="11072" spans="104:111">
      <c r="CZ11072" s="256"/>
      <c r="DG11072" s="256"/>
    </row>
    <row r="11073" spans="104:111">
      <c r="CZ11073" s="256"/>
      <c r="DG11073" s="256"/>
    </row>
    <row r="11074" spans="104:111">
      <c r="CZ11074" s="256"/>
      <c r="DG11074" s="256"/>
    </row>
    <row r="11075" spans="104:111">
      <c r="CZ11075" s="256"/>
      <c r="DG11075" s="256"/>
    </row>
    <row r="11076" spans="104:111">
      <c r="CZ11076" s="256"/>
      <c r="DG11076" s="256"/>
    </row>
    <row r="11077" spans="104:111">
      <c r="CZ11077" s="256"/>
      <c r="DG11077" s="256"/>
    </row>
    <row r="11078" spans="104:111">
      <c r="CZ11078" s="256"/>
      <c r="DG11078" s="256"/>
    </row>
    <row r="11079" spans="104:111">
      <c r="CZ11079" s="256"/>
      <c r="DG11079" s="256"/>
    </row>
    <row r="11080" spans="104:111">
      <c r="CZ11080" s="256"/>
      <c r="DG11080" s="256"/>
    </row>
    <row r="11081" spans="104:111">
      <c r="CZ11081" s="256"/>
      <c r="DG11081" s="256"/>
    </row>
    <row r="11082" spans="104:111">
      <c r="CZ11082" s="256"/>
      <c r="DG11082" s="256"/>
    </row>
    <row r="11083" spans="104:111">
      <c r="CZ11083" s="256"/>
      <c r="DG11083" s="256"/>
    </row>
    <row r="11084" spans="104:111">
      <c r="CZ11084" s="256"/>
      <c r="DG11084" s="256"/>
    </row>
    <row r="11085" spans="104:111">
      <c r="CZ11085" s="256"/>
      <c r="DG11085" s="256"/>
    </row>
    <row r="11086" spans="104:111">
      <c r="CZ11086" s="256"/>
      <c r="DG11086" s="256"/>
    </row>
    <row r="11087" spans="104:111">
      <c r="CZ11087" s="256"/>
      <c r="DG11087" s="256"/>
    </row>
    <row r="11088" spans="104:111">
      <c r="CZ11088" s="256"/>
      <c r="DG11088" s="256"/>
    </row>
    <row r="11089" spans="104:111">
      <c r="CZ11089" s="256"/>
      <c r="DG11089" s="256"/>
    </row>
    <row r="11090" spans="104:111">
      <c r="CZ11090" s="256"/>
      <c r="DG11090" s="256"/>
    </row>
    <row r="11091" spans="104:111">
      <c r="CZ11091" s="256"/>
      <c r="DG11091" s="256"/>
    </row>
    <row r="11092" spans="104:111">
      <c r="CZ11092" s="256"/>
      <c r="DG11092" s="256"/>
    </row>
    <row r="11093" spans="104:111">
      <c r="CZ11093" s="256"/>
      <c r="DG11093" s="256"/>
    </row>
    <row r="11094" spans="104:111">
      <c r="CZ11094" s="256"/>
      <c r="DG11094" s="256"/>
    </row>
    <row r="11095" spans="104:111">
      <c r="CZ11095" s="256"/>
      <c r="DG11095" s="256"/>
    </row>
    <row r="11096" spans="104:111">
      <c r="CZ11096" s="256"/>
      <c r="DG11096" s="256"/>
    </row>
    <row r="11097" spans="104:111">
      <c r="CZ11097" s="256"/>
      <c r="DG11097" s="256"/>
    </row>
    <row r="11098" spans="104:111">
      <c r="CZ11098" s="256"/>
      <c r="DG11098" s="256"/>
    </row>
    <row r="11099" spans="104:111">
      <c r="CZ11099" s="256"/>
      <c r="DG11099" s="256"/>
    </row>
    <row r="11100" spans="104:111">
      <c r="CZ11100" s="256"/>
      <c r="DG11100" s="256"/>
    </row>
    <row r="11101" spans="104:111">
      <c r="CZ11101" s="256"/>
      <c r="DG11101" s="256"/>
    </row>
    <row r="11102" spans="104:111">
      <c r="CZ11102" s="256"/>
      <c r="DG11102" s="256"/>
    </row>
    <row r="11103" spans="104:111">
      <c r="CZ11103" s="256"/>
      <c r="DG11103" s="256"/>
    </row>
    <row r="11104" spans="104:111">
      <c r="CZ11104" s="256"/>
      <c r="DG11104" s="256"/>
    </row>
    <row r="11105" spans="104:111">
      <c r="CZ11105" s="256"/>
      <c r="DG11105" s="256"/>
    </row>
    <row r="11106" spans="104:111">
      <c r="CZ11106" s="256"/>
      <c r="DG11106" s="256"/>
    </row>
    <row r="11107" spans="104:111">
      <c r="CZ11107" s="256"/>
      <c r="DG11107" s="256"/>
    </row>
    <row r="11108" spans="104:111">
      <c r="CZ11108" s="256"/>
      <c r="DG11108" s="256"/>
    </row>
    <row r="11109" spans="104:111">
      <c r="CZ11109" s="256"/>
      <c r="DG11109" s="256"/>
    </row>
    <row r="11110" spans="104:111">
      <c r="CZ11110" s="256"/>
      <c r="DG11110" s="256"/>
    </row>
    <row r="11111" spans="104:111">
      <c r="CZ11111" s="256"/>
      <c r="DG11111" s="256"/>
    </row>
    <row r="11112" spans="104:111">
      <c r="CZ11112" s="256"/>
      <c r="DG11112" s="256"/>
    </row>
    <row r="11113" spans="104:111">
      <c r="CZ11113" s="256"/>
      <c r="DG11113" s="256"/>
    </row>
    <row r="11114" spans="104:111">
      <c r="CZ11114" s="256"/>
      <c r="DG11114" s="256"/>
    </row>
    <row r="11115" spans="104:111">
      <c r="CZ11115" s="256"/>
      <c r="DG11115" s="256"/>
    </row>
    <row r="11116" spans="104:111">
      <c r="CZ11116" s="256"/>
      <c r="DG11116" s="256"/>
    </row>
    <row r="11117" spans="104:111">
      <c r="CZ11117" s="256"/>
      <c r="DG11117" s="256"/>
    </row>
    <row r="11118" spans="104:111">
      <c r="CZ11118" s="256"/>
      <c r="DG11118" s="256"/>
    </row>
    <row r="11119" spans="104:111">
      <c r="CZ11119" s="256"/>
      <c r="DG11119" s="256"/>
    </row>
    <row r="11120" spans="104:111">
      <c r="CZ11120" s="256"/>
      <c r="DG11120" s="256"/>
    </row>
    <row r="11121" spans="104:111">
      <c r="CZ11121" s="256"/>
      <c r="DG11121" s="256"/>
    </row>
    <row r="11122" spans="104:111">
      <c r="CZ11122" s="256"/>
      <c r="DG11122" s="256"/>
    </row>
    <row r="11123" spans="104:111">
      <c r="CZ11123" s="256"/>
      <c r="DG11123" s="256"/>
    </row>
    <row r="11124" spans="104:111">
      <c r="CZ11124" s="256"/>
      <c r="DG11124" s="256"/>
    </row>
    <row r="11125" spans="104:111">
      <c r="CZ11125" s="256"/>
      <c r="DG11125" s="256"/>
    </row>
    <row r="11126" spans="104:111">
      <c r="CZ11126" s="256"/>
      <c r="DG11126" s="256"/>
    </row>
    <row r="11127" spans="104:111">
      <c r="CZ11127" s="256"/>
      <c r="DG11127" s="256"/>
    </row>
    <row r="11128" spans="104:111">
      <c r="CZ11128" s="256"/>
      <c r="DG11128" s="256"/>
    </row>
    <row r="11129" spans="104:111">
      <c r="CZ11129" s="256"/>
      <c r="DG11129" s="256"/>
    </row>
    <row r="11130" spans="104:111">
      <c r="CZ11130" s="256"/>
      <c r="DG11130" s="256"/>
    </row>
    <row r="11131" spans="104:111">
      <c r="CZ11131" s="256"/>
      <c r="DG11131" s="256"/>
    </row>
    <row r="11132" spans="104:111">
      <c r="CZ11132" s="256"/>
      <c r="DG11132" s="256"/>
    </row>
    <row r="11133" spans="104:111">
      <c r="CZ11133" s="256"/>
      <c r="DG11133" s="256"/>
    </row>
    <row r="11134" spans="104:111">
      <c r="CZ11134" s="256"/>
      <c r="DG11134" s="256"/>
    </row>
    <row r="11135" spans="104:111">
      <c r="CZ11135" s="256"/>
      <c r="DG11135" s="256"/>
    </row>
    <row r="11136" spans="104:111">
      <c r="CZ11136" s="256"/>
      <c r="DG11136" s="256"/>
    </row>
    <row r="11137" spans="104:111">
      <c r="CZ11137" s="256"/>
      <c r="DG11137" s="256"/>
    </row>
    <row r="11138" spans="104:111">
      <c r="CZ11138" s="256"/>
      <c r="DG11138" s="256"/>
    </row>
    <row r="11139" spans="104:111">
      <c r="CZ11139" s="256"/>
      <c r="DG11139" s="256"/>
    </row>
    <row r="11140" spans="104:111">
      <c r="CZ11140" s="256"/>
      <c r="DG11140" s="256"/>
    </row>
    <row r="11141" spans="104:111">
      <c r="CZ11141" s="256"/>
      <c r="DG11141" s="256"/>
    </row>
    <row r="11142" spans="104:111">
      <c r="CZ11142" s="256"/>
      <c r="DG11142" s="256"/>
    </row>
    <row r="11143" spans="104:111">
      <c r="CZ11143" s="256"/>
      <c r="DG11143" s="256"/>
    </row>
    <row r="11144" spans="104:111">
      <c r="CZ11144" s="256"/>
      <c r="DG11144" s="256"/>
    </row>
    <row r="11145" spans="104:111">
      <c r="CZ11145" s="256"/>
      <c r="DG11145" s="256"/>
    </row>
    <row r="11146" spans="104:111">
      <c r="CZ11146" s="256"/>
      <c r="DG11146" s="256"/>
    </row>
    <row r="11147" spans="104:111">
      <c r="CZ11147" s="256"/>
      <c r="DG11147" s="256"/>
    </row>
    <row r="11148" spans="104:111">
      <c r="CZ11148" s="256"/>
      <c r="DG11148" s="256"/>
    </row>
    <row r="11149" spans="104:111">
      <c r="CZ11149" s="256"/>
      <c r="DG11149" s="256"/>
    </row>
    <row r="11150" spans="104:111">
      <c r="CZ11150" s="256"/>
      <c r="DG11150" s="256"/>
    </row>
    <row r="11151" spans="104:111">
      <c r="CZ11151" s="256"/>
      <c r="DG11151" s="256"/>
    </row>
    <row r="11152" spans="104:111">
      <c r="CZ11152" s="256"/>
      <c r="DG11152" s="256"/>
    </row>
    <row r="11153" spans="104:111">
      <c r="CZ11153" s="256"/>
      <c r="DG11153" s="256"/>
    </row>
    <row r="11154" spans="104:111">
      <c r="CZ11154" s="256"/>
      <c r="DG11154" s="256"/>
    </row>
    <row r="11155" spans="104:111">
      <c r="CZ11155" s="256"/>
      <c r="DG11155" s="256"/>
    </row>
    <row r="11156" spans="104:111">
      <c r="CZ11156" s="256"/>
      <c r="DG11156" s="256"/>
    </row>
    <row r="11157" spans="104:111">
      <c r="CZ11157" s="256"/>
      <c r="DG11157" s="256"/>
    </row>
    <row r="11158" spans="104:111">
      <c r="CZ11158" s="256"/>
      <c r="DG11158" s="256"/>
    </row>
    <row r="11159" spans="104:111">
      <c r="CZ11159" s="256"/>
      <c r="DG11159" s="256"/>
    </row>
    <row r="11160" spans="104:111">
      <c r="CZ11160" s="256"/>
      <c r="DG11160" s="256"/>
    </row>
    <row r="11161" spans="104:111">
      <c r="CZ11161" s="256"/>
      <c r="DG11161" s="256"/>
    </row>
    <row r="11162" spans="104:111">
      <c r="CZ11162" s="256"/>
      <c r="DG11162" s="256"/>
    </row>
    <row r="11163" spans="104:111">
      <c r="CZ11163" s="256"/>
      <c r="DG11163" s="256"/>
    </row>
    <row r="11164" spans="104:111">
      <c r="CZ11164" s="256"/>
      <c r="DG11164" s="256"/>
    </row>
    <row r="11165" spans="104:111">
      <c r="CZ11165" s="256"/>
      <c r="DG11165" s="256"/>
    </row>
    <row r="11166" spans="104:111">
      <c r="CZ11166" s="256"/>
      <c r="DG11166" s="256"/>
    </row>
    <row r="11167" spans="104:111">
      <c r="CZ11167" s="256"/>
      <c r="DG11167" s="256"/>
    </row>
    <row r="11168" spans="104:111">
      <c r="CZ11168" s="256"/>
      <c r="DG11168" s="256"/>
    </row>
    <row r="11169" spans="104:111">
      <c r="CZ11169" s="256"/>
      <c r="DG11169" s="256"/>
    </row>
    <row r="11170" spans="104:111">
      <c r="CZ11170" s="256"/>
      <c r="DG11170" s="256"/>
    </row>
    <row r="11171" spans="104:111">
      <c r="CZ11171" s="256"/>
      <c r="DG11171" s="256"/>
    </row>
    <row r="11172" spans="104:111">
      <c r="CZ11172" s="256"/>
      <c r="DG11172" s="256"/>
    </row>
    <row r="11173" spans="104:111">
      <c r="CZ11173" s="256"/>
      <c r="DG11173" s="256"/>
    </row>
    <row r="11174" spans="104:111">
      <c r="CZ11174" s="256"/>
      <c r="DG11174" s="256"/>
    </row>
    <row r="11175" spans="104:111">
      <c r="CZ11175" s="256"/>
      <c r="DG11175" s="256"/>
    </row>
    <row r="11176" spans="104:111">
      <c r="CZ11176" s="256"/>
      <c r="DG11176" s="256"/>
    </row>
    <row r="11177" spans="104:111">
      <c r="CZ11177" s="256"/>
      <c r="DG11177" s="256"/>
    </row>
    <row r="11178" spans="104:111">
      <c r="CZ11178" s="256"/>
      <c r="DG11178" s="256"/>
    </row>
    <row r="11179" spans="104:111">
      <c r="CZ11179" s="256"/>
      <c r="DG11179" s="256"/>
    </row>
    <row r="11180" spans="104:111">
      <c r="CZ11180" s="256"/>
      <c r="DG11180" s="256"/>
    </row>
    <row r="11181" spans="104:111">
      <c r="CZ11181" s="256"/>
      <c r="DG11181" s="256"/>
    </row>
    <row r="11182" spans="104:111">
      <c r="CZ11182" s="256"/>
      <c r="DG11182" s="256"/>
    </row>
    <row r="11183" spans="104:111">
      <c r="CZ11183" s="256"/>
      <c r="DG11183" s="256"/>
    </row>
    <row r="11184" spans="104:111">
      <c r="CZ11184" s="256"/>
      <c r="DG11184" s="256"/>
    </row>
    <row r="11185" spans="104:111">
      <c r="CZ11185" s="256"/>
      <c r="DG11185" s="256"/>
    </row>
    <row r="11186" spans="104:111">
      <c r="CZ11186" s="256"/>
      <c r="DG11186" s="256"/>
    </row>
    <row r="11187" spans="104:111">
      <c r="CZ11187" s="256"/>
      <c r="DG11187" s="256"/>
    </row>
    <row r="11188" spans="104:111">
      <c r="CZ11188" s="256"/>
      <c r="DG11188" s="256"/>
    </row>
    <row r="11189" spans="104:111">
      <c r="CZ11189" s="256"/>
      <c r="DG11189" s="256"/>
    </row>
    <row r="11190" spans="104:111">
      <c r="CZ11190" s="256"/>
      <c r="DG11190" s="256"/>
    </row>
    <row r="11191" spans="104:111">
      <c r="CZ11191" s="256"/>
      <c r="DG11191" s="256"/>
    </row>
    <row r="11192" spans="104:111">
      <c r="CZ11192" s="256"/>
      <c r="DG11192" s="256"/>
    </row>
    <row r="11193" spans="104:111">
      <c r="CZ11193" s="256"/>
      <c r="DG11193" s="256"/>
    </row>
    <row r="11194" spans="104:111">
      <c r="CZ11194" s="256"/>
      <c r="DG11194" s="256"/>
    </row>
    <row r="11195" spans="104:111">
      <c r="CZ11195" s="256"/>
      <c r="DG11195" s="256"/>
    </row>
    <row r="11196" spans="104:111">
      <c r="CZ11196" s="256"/>
      <c r="DG11196" s="256"/>
    </row>
    <row r="11197" spans="104:111">
      <c r="CZ11197" s="256"/>
      <c r="DG11197" s="256"/>
    </row>
    <row r="11198" spans="104:111">
      <c r="CZ11198" s="256"/>
      <c r="DG11198" s="256"/>
    </row>
    <row r="11199" spans="104:111">
      <c r="CZ11199" s="256"/>
      <c r="DG11199" s="256"/>
    </row>
    <row r="11200" spans="104:111">
      <c r="CZ11200" s="256"/>
      <c r="DG11200" s="256"/>
    </row>
    <row r="11201" spans="104:111">
      <c r="CZ11201" s="256"/>
      <c r="DG11201" s="256"/>
    </row>
    <row r="11202" spans="104:111">
      <c r="CZ11202" s="256"/>
      <c r="DG11202" s="256"/>
    </row>
    <row r="11203" spans="104:111">
      <c r="CZ11203" s="256"/>
      <c r="DG11203" s="256"/>
    </row>
    <row r="11204" spans="104:111">
      <c r="CZ11204" s="256"/>
      <c r="DG11204" s="256"/>
    </row>
    <row r="11205" spans="104:111">
      <c r="CZ11205" s="256"/>
      <c r="DG11205" s="256"/>
    </row>
    <row r="11206" spans="104:111">
      <c r="CZ11206" s="256"/>
      <c r="DG11206" s="256"/>
    </row>
    <row r="11207" spans="104:111">
      <c r="CZ11207" s="256"/>
      <c r="DG11207" s="256"/>
    </row>
    <row r="11208" spans="104:111">
      <c r="CZ11208" s="256"/>
      <c r="DG11208" s="256"/>
    </row>
    <row r="11209" spans="104:111">
      <c r="CZ11209" s="256"/>
      <c r="DG11209" s="256"/>
    </row>
    <row r="11210" spans="104:111">
      <c r="CZ11210" s="256"/>
      <c r="DG11210" s="256"/>
    </row>
    <row r="11211" spans="104:111">
      <c r="CZ11211" s="256"/>
      <c r="DG11211" s="256"/>
    </row>
    <row r="11212" spans="104:111">
      <c r="CZ11212" s="256"/>
      <c r="DG11212" s="256"/>
    </row>
    <row r="11213" spans="104:111">
      <c r="CZ11213" s="256"/>
      <c r="DG11213" s="256"/>
    </row>
    <row r="11214" spans="104:111">
      <c r="CZ11214" s="256"/>
      <c r="DG11214" s="256"/>
    </row>
    <row r="11215" spans="104:111">
      <c r="CZ11215" s="256"/>
      <c r="DG11215" s="256"/>
    </row>
    <row r="11216" spans="104:111">
      <c r="CZ11216" s="256"/>
      <c r="DG11216" s="256"/>
    </row>
    <row r="11217" spans="104:111">
      <c r="CZ11217" s="256"/>
      <c r="DG11217" s="256"/>
    </row>
    <row r="11218" spans="104:111">
      <c r="CZ11218" s="256"/>
      <c r="DG11218" s="256"/>
    </row>
    <row r="11219" spans="104:111">
      <c r="CZ11219" s="256"/>
      <c r="DG11219" s="256"/>
    </row>
    <row r="11220" spans="104:111">
      <c r="CZ11220" s="256"/>
      <c r="DG11220" s="256"/>
    </row>
    <row r="11221" spans="104:111">
      <c r="CZ11221" s="256"/>
      <c r="DG11221" s="256"/>
    </row>
    <row r="11222" spans="104:111">
      <c r="CZ11222" s="256"/>
      <c r="DG11222" s="256"/>
    </row>
    <row r="11223" spans="104:111">
      <c r="CZ11223" s="256"/>
      <c r="DG11223" s="256"/>
    </row>
    <row r="11224" spans="104:111">
      <c r="CZ11224" s="256"/>
      <c r="DG11224" s="256"/>
    </row>
    <row r="11225" spans="104:111">
      <c r="CZ11225" s="256"/>
      <c r="DG11225" s="256"/>
    </row>
    <row r="11226" spans="104:111">
      <c r="CZ11226" s="256"/>
      <c r="DG11226" s="256"/>
    </row>
    <row r="11227" spans="104:111">
      <c r="CZ11227" s="256"/>
      <c r="DG11227" s="256"/>
    </row>
    <row r="11228" spans="104:111">
      <c r="CZ11228" s="256"/>
      <c r="DG11228" s="256"/>
    </row>
    <row r="11229" spans="104:111">
      <c r="CZ11229" s="256"/>
      <c r="DG11229" s="256"/>
    </row>
    <row r="11230" spans="104:111">
      <c r="CZ11230" s="256"/>
      <c r="DG11230" s="256"/>
    </row>
    <row r="11231" spans="104:111">
      <c r="CZ11231" s="256"/>
      <c r="DG11231" s="256"/>
    </row>
    <row r="11232" spans="104:111">
      <c r="CZ11232" s="256"/>
      <c r="DG11232" s="256"/>
    </row>
    <row r="11233" spans="104:111">
      <c r="CZ11233" s="256"/>
      <c r="DG11233" s="256"/>
    </row>
    <row r="11234" spans="104:111">
      <c r="CZ11234" s="256"/>
      <c r="DG11234" s="256"/>
    </row>
    <row r="11235" spans="104:111">
      <c r="CZ11235" s="256"/>
      <c r="DG11235" s="256"/>
    </row>
    <row r="11236" spans="104:111">
      <c r="CZ11236" s="256"/>
      <c r="DG11236" s="256"/>
    </row>
    <row r="11237" spans="104:111">
      <c r="CZ11237" s="256"/>
      <c r="DG11237" s="256"/>
    </row>
    <row r="11238" spans="104:111">
      <c r="CZ11238" s="256"/>
      <c r="DG11238" s="256"/>
    </row>
    <row r="11239" spans="104:111">
      <c r="CZ11239" s="256"/>
      <c r="DG11239" s="256"/>
    </row>
    <row r="11240" spans="104:111">
      <c r="CZ11240" s="256"/>
      <c r="DG11240" s="256"/>
    </row>
    <row r="11241" spans="104:111">
      <c r="CZ11241" s="256"/>
      <c r="DG11241" s="256"/>
    </row>
    <row r="11242" spans="104:111">
      <c r="CZ11242" s="256"/>
      <c r="DG11242" s="256"/>
    </row>
    <row r="11243" spans="104:111">
      <c r="CZ11243" s="256"/>
      <c r="DG11243" s="256"/>
    </row>
    <row r="11244" spans="104:111">
      <c r="CZ11244" s="256"/>
      <c r="DG11244" s="256"/>
    </row>
    <row r="11245" spans="104:111">
      <c r="CZ11245" s="256"/>
      <c r="DG11245" s="256"/>
    </row>
    <row r="11246" spans="104:111">
      <c r="CZ11246" s="256"/>
      <c r="DG11246" s="256"/>
    </row>
    <row r="11247" spans="104:111">
      <c r="CZ11247" s="256"/>
      <c r="DG11247" s="256"/>
    </row>
    <row r="11248" spans="104:111">
      <c r="CZ11248" s="256"/>
      <c r="DG11248" s="256"/>
    </row>
    <row r="11249" spans="104:111">
      <c r="CZ11249" s="256"/>
      <c r="DG11249" s="256"/>
    </row>
    <row r="11250" spans="104:111">
      <c r="CZ11250" s="256"/>
      <c r="DG11250" s="256"/>
    </row>
    <row r="11251" spans="104:111">
      <c r="CZ11251" s="256"/>
      <c r="DG11251" s="256"/>
    </row>
    <row r="11252" spans="104:111">
      <c r="CZ11252" s="256"/>
      <c r="DG11252" s="256"/>
    </row>
    <row r="11253" spans="104:111">
      <c r="CZ11253" s="256"/>
      <c r="DG11253" s="256"/>
    </row>
    <row r="11254" spans="104:111">
      <c r="CZ11254" s="256"/>
      <c r="DG11254" s="256"/>
    </row>
    <row r="11255" spans="104:111">
      <c r="CZ11255" s="256"/>
      <c r="DG11255" s="256"/>
    </row>
    <row r="11256" spans="104:111">
      <c r="CZ11256" s="256"/>
      <c r="DG11256" s="256"/>
    </row>
    <row r="11257" spans="104:111">
      <c r="CZ11257" s="256"/>
      <c r="DG11257" s="256"/>
    </row>
    <row r="11258" spans="104:111">
      <c r="CZ11258" s="256"/>
      <c r="DG11258" s="256"/>
    </row>
    <row r="11259" spans="104:111">
      <c r="CZ11259" s="256"/>
      <c r="DG11259" s="256"/>
    </row>
    <row r="11260" spans="104:111">
      <c r="CZ11260" s="256"/>
      <c r="DG11260" s="256"/>
    </row>
    <row r="11261" spans="104:111">
      <c r="CZ11261" s="256"/>
      <c r="DG11261" s="256"/>
    </row>
    <row r="11262" spans="104:111">
      <c r="CZ11262" s="256"/>
      <c r="DG11262" s="256"/>
    </row>
    <row r="11263" spans="104:111">
      <c r="CZ11263" s="256"/>
      <c r="DG11263" s="256"/>
    </row>
    <row r="11264" spans="104:111">
      <c r="CZ11264" s="256"/>
      <c r="DG11264" s="256"/>
    </row>
    <row r="11265" spans="104:111">
      <c r="CZ11265" s="256"/>
      <c r="DG11265" s="256"/>
    </row>
    <row r="11266" spans="104:111">
      <c r="CZ11266" s="256"/>
      <c r="DG11266" s="256"/>
    </row>
    <row r="11267" spans="104:111">
      <c r="CZ11267" s="256"/>
      <c r="DG11267" s="256"/>
    </row>
    <row r="11268" spans="104:111">
      <c r="CZ11268" s="256"/>
      <c r="DG11268" s="256"/>
    </row>
    <row r="11269" spans="104:111">
      <c r="CZ11269" s="256"/>
      <c r="DG11269" s="256"/>
    </row>
    <row r="11270" spans="104:111">
      <c r="CZ11270" s="256"/>
      <c r="DG11270" s="256"/>
    </row>
    <row r="11271" spans="104:111">
      <c r="CZ11271" s="256"/>
      <c r="DG11271" s="256"/>
    </row>
    <row r="11272" spans="104:111">
      <c r="CZ11272" s="256"/>
      <c r="DG11272" s="256"/>
    </row>
    <row r="11273" spans="104:111">
      <c r="CZ11273" s="256"/>
      <c r="DG11273" s="256"/>
    </row>
    <row r="11274" spans="104:111">
      <c r="CZ11274" s="256"/>
      <c r="DG11274" s="256"/>
    </row>
    <row r="11275" spans="104:111">
      <c r="CZ11275" s="256"/>
      <c r="DG11275" s="256"/>
    </row>
    <row r="11276" spans="104:111">
      <c r="CZ11276" s="256"/>
      <c r="DG11276" s="256"/>
    </row>
    <row r="11277" spans="104:111">
      <c r="CZ11277" s="256"/>
      <c r="DG11277" s="256"/>
    </row>
    <row r="11278" spans="104:111">
      <c r="CZ11278" s="256"/>
      <c r="DG11278" s="256"/>
    </row>
    <row r="11279" spans="104:111">
      <c r="CZ11279" s="256"/>
      <c r="DG11279" s="256"/>
    </row>
    <row r="11280" spans="104:111">
      <c r="CZ11280" s="256"/>
      <c r="DG11280" s="256"/>
    </row>
    <row r="11281" spans="104:111">
      <c r="CZ11281" s="256"/>
      <c r="DG11281" s="256"/>
    </row>
    <row r="11282" spans="104:111">
      <c r="CZ11282" s="256"/>
      <c r="DG11282" s="256"/>
    </row>
    <row r="11283" spans="104:111">
      <c r="CZ11283" s="256"/>
      <c r="DG11283" s="256"/>
    </row>
    <row r="11284" spans="104:111">
      <c r="CZ11284" s="256"/>
      <c r="DG11284" s="256"/>
    </row>
    <row r="11285" spans="104:111">
      <c r="CZ11285" s="256"/>
      <c r="DG11285" s="256"/>
    </row>
    <row r="11286" spans="104:111">
      <c r="CZ11286" s="256"/>
      <c r="DG11286" s="256"/>
    </row>
    <row r="11287" spans="104:111">
      <c r="CZ11287" s="256"/>
      <c r="DG11287" s="256"/>
    </row>
    <row r="11288" spans="104:111">
      <c r="CZ11288" s="256"/>
      <c r="DG11288" s="256"/>
    </row>
    <row r="11289" spans="104:111">
      <c r="CZ11289" s="256"/>
      <c r="DG11289" s="256"/>
    </row>
    <row r="11290" spans="104:111">
      <c r="CZ11290" s="256"/>
      <c r="DG11290" s="256"/>
    </row>
    <row r="11291" spans="104:111">
      <c r="CZ11291" s="256"/>
      <c r="DG11291" s="256"/>
    </row>
    <row r="11292" spans="104:111">
      <c r="CZ11292" s="256"/>
      <c r="DG11292" s="256"/>
    </row>
    <row r="11293" spans="104:111">
      <c r="CZ11293" s="256"/>
      <c r="DG11293" s="256"/>
    </row>
    <row r="11294" spans="104:111">
      <c r="CZ11294" s="256"/>
      <c r="DG11294" s="256"/>
    </row>
    <row r="11295" spans="104:111">
      <c r="CZ11295" s="256"/>
      <c r="DG11295" s="256"/>
    </row>
    <row r="11296" spans="104:111">
      <c r="CZ11296" s="256"/>
      <c r="DG11296" s="256"/>
    </row>
    <row r="11297" spans="104:111">
      <c r="CZ11297" s="256"/>
      <c r="DG11297" s="256"/>
    </row>
    <row r="11298" spans="104:111">
      <c r="CZ11298" s="256"/>
      <c r="DG11298" s="256"/>
    </row>
    <row r="11299" spans="104:111">
      <c r="CZ11299" s="256"/>
      <c r="DG11299" s="256"/>
    </row>
    <row r="11300" spans="104:111">
      <c r="CZ11300" s="256"/>
      <c r="DG11300" s="256"/>
    </row>
    <row r="11301" spans="104:111">
      <c r="CZ11301" s="256"/>
      <c r="DG11301" s="256"/>
    </row>
    <row r="11302" spans="104:111">
      <c r="CZ11302" s="256"/>
      <c r="DG11302" s="256"/>
    </row>
    <row r="11303" spans="104:111">
      <c r="CZ11303" s="256"/>
      <c r="DG11303" s="256"/>
    </row>
    <row r="11304" spans="104:111">
      <c r="CZ11304" s="256"/>
      <c r="DG11304" s="256"/>
    </row>
    <row r="11305" spans="104:111">
      <c r="CZ11305" s="256"/>
      <c r="DG11305" s="256"/>
    </row>
    <row r="11306" spans="104:111">
      <c r="CZ11306" s="256"/>
      <c r="DG11306" s="256"/>
    </row>
    <row r="11307" spans="104:111">
      <c r="CZ11307" s="256"/>
      <c r="DG11307" s="256"/>
    </row>
    <row r="11308" spans="104:111">
      <c r="CZ11308" s="256"/>
      <c r="DG11308" s="256"/>
    </row>
    <row r="11309" spans="104:111">
      <c r="CZ11309" s="256"/>
      <c r="DG11309" s="256"/>
    </row>
    <row r="11310" spans="104:111">
      <c r="CZ11310" s="256"/>
      <c r="DG11310" s="256"/>
    </row>
    <row r="11311" spans="104:111">
      <c r="CZ11311" s="256"/>
      <c r="DG11311" s="256"/>
    </row>
    <row r="11312" spans="104:111">
      <c r="CZ11312" s="256"/>
      <c r="DG11312" s="256"/>
    </row>
    <row r="11313" spans="104:111">
      <c r="CZ11313" s="256"/>
      <c r="DG11313" s="256"/>
    </row>
    <row r="11314" spans="104:111">
      <c r="CZ11314" s="256"/>
      <c r="DG11314" s="256"/>
    </row>
    <row r="11315" spans="104:111">
      <c r="CZ11315" s="256"/>
      <c r="DG11315" s="256"/>
    </row>
    <row r="11316" spans="104:111">
      <c r="CZ11316" s="256"/>
      <c r="DG11316" s="256"/>
    </row>
    <row r="11317" spans="104:111">
      <c r="CZ11317" s="256"/>
      <c r="DG11317" s="256"/>
    </row>
    <row r="11318" spans="104:111">
      <c r="CZ11318" s="256"/>
      <c r="DG11318" s="256"/>
    </row>
    <row r="11319" spans="104:111">
      <c r="CZ11319" s="256"/>
      <c r="DG11319" s="256"/>
    </row>
    <row r="11320" spans="104:111">
      <c r="CZ11320" s="256"/>
      <c r="DG11320" s="256"/>
    </row>
    <row r="11321" spans="104:111">
      <c r="CZ11321" s="256"/>
      <c r="DG11321" s="256"/>
    </row>
    <row r="11322" spans="104:111">
      <c r="CZ11322" s="256"/>
      <c r="DG11322" s="256"/>
    </row>
    <row r="11323" spans="104:111">
      <c r="CZ11323" s="256"/>
      <c r="DG11323" s="256"/>
    </row>
    <row r="11324" spans="104:111">
      <c r="CZ11324" s="256"/>
      <c r="DG11324" s="256"/>
    </row>
    <row r="11325" spans="104:111">
      <c r="CZ11325" s="256"/>
      <c r="DG11325" s="256"/>
    </row>
    <row r="11326" spans="104:111">
      <c r="CZ11326" s="256"/>
      <c r="DG11326" s="256"/>
    </row>
    <row r="11327" spans="104:111">
      <c r="CZ11327" s="256"/>
      <c r="DG11327" s="256"/>
    </row>
    <row r="11328" spans="104:111">
      <c r="CZ11328" s="256"/>
      <c r="DG11328" s="256"/>
    </row>
    <row r="11329" spans="104:111">
      <c r="CZ11329" s="256"/>
      <c r="DG11329" s="256"/>
    </row>
    <row r="11330" spans="104:111">
      <c r="CZ11330" s="256"/>
      <c r="DG11330" s="256"/>
    </row>
    <row r="11331" spans="104:111">
      <c r="CZ11331" s="256"/>
      <c r="DG11331" s="256"/>
    </row>
    <row r="11332" spans="104:111">
      <c r="CZ11332" s="256"/>
      <c r="DG11332" s="256"/>
    </row>
    <row r="11333" spans="104:111">
      <c r="CZ11333" s="256"/>
      <c r="DG11333" s="256"/>
    </row>
    <row r="11334" spans="104:111">
      <c r="CZ11334" s="256"/>
      <c r="DG11334" s="256"/>
    </row>
    <row r="11335" spans="104:111">
      <c r="CZ11335" s="256"/>
      <c r="DG11335" s="256"/>
    </row>
    <row r="11336" spans="104:111">
      <c r="CZ11336" s="256"/>
      <c r="DG11336" s="256"/>
    </row>
    <row r="11337" spans="104:111">
      <c r="CZ11337" s="256"/>
      <c r="DG11337" s="256"/>
    </row>
    <row r="11338" spans="104:111">
      <c r="CZ11338" s="256"/>
      <c r="DG11338" s="256"/>
    </row>
    <row r="11339" spans="104:111">
      <c r="CZ11339" s="256"/>
      <c r="DG11339" s="256"/>
    </row>
    <row r="11340" spans="104:111">
      <c r="CZ11340" s="256"/>
      <c r="DG11340" s="256"/>
    </row>
    <row r="11341" spans="104:111">
      <c r="CZ11341" s="256"/>
      <c r="DG11341" s="256"/>
    </row>
    <row r="11342" spans="104:111">
      <c r="CZ11342" s="256"/>
      <c r="DG11342" s="256"/>
    </row>
    <row r="11343" spans="104:111">
      <c r="CZ11343" s="256"/>
      <c r="DG11343" s="256"/>
    </row>
    <row r="11344" spans="104:111">
      <c r="CZ11344" s="256"/>
      <c r="DG11344" s="256"/>
    </row>
    <row r="11345" spans="104:111">
      <c r="CZ11345" s="256"/>
      <c r="DG11345" s="256"/>
    </row>
    <row r="11346" spans="104:111">
      <c r="CZ11346" s="256"/>
      <c r="DG11346" s="256"/>
    </row>
    <row r="11347" spans="104:111">
      <c r="CZ11347" s="256"/>
      <c r="DG11347" s="256"/>
    </row>
    <row r="11348" spans="104:111">
      <c r="CZ11348" s="256"/>
      <c r="DG11348" s="256"/>
    </row>
    <row r="11349" spans="104:111">
      <c r="CZ11349" s="256"/>
      <c r="DG11349" s="256"/>
    </row>
    <row r="11350" spans="104:111">
      <c r="CZ11350" s="256"/>
      <c r="DG11350" s="256"/>
    </row>
    <row r="11351" spans="104:111">
      <c r="CZ11351" s="256"/>
      <c r="DG11351" s="256"/>
    </row>
    <row r="11352" spans="104:111">
      <c r="CZ11352" s="256"/>
      <c r="DG11352" s="256"/>
    </row>
    <row r="11353" spans="104:111">
      <c r="CZ11353" s="256"/>
      <c r="DG11353" s="256"/>
    </row>
    <row r="11354" spans="104:111">
      <c r="CZ11354" s="256"/>
      <c r="DG11354" s="256"/>
    </row>
    <row r="11355" spans="104:111">
      <c r="CZ11355" s="256"/>
      <c r="DG11355" s="256"/>
    </row>
    <row r="11356" spans="104:111">
      <c r="CZ11356" s="256"/>
      <c r="DG11356" s="256"/>
    </row>
    <row r="11357" spans="104:111">
      <c r="CZ11357" s="256"/>
      <c r="DG11357" s="256"/>
    </row>
    <row r="11358" spans="104:111">
      <c r="CZ11358" s="256"/>
      <c r="DG11358" s="256"/>
    </row>
    <row r="11359" spans="104:111">
      <c r="CZ11359" s="256"/>
      <c r="DG11359" s="256"/>
    </row>
    <row r="11360" spans="104:111">
      <c r="CZ11360" s="256"/>
      <c r="DG11360" s="256"/>
    </row>
    <row r="11361" spans="104:111">
      <c r="CZ11361" s="256"/>
      <c r="DG11361" s="256"/>
    </row>
    <row r="11362" spans="104:111">
      <c r="CZ11362" s="256"/>
      <c r="DG11362" s="256"/>
    </row>
    <row r="11363" spans="104:111">
      <c r="CZ11363" s="256"/>
      <c r="DG11363" s="256"/>
    </row>
    <row r="11364" spans="104:111">
      <c r="CZ11364" s="256"/>
      <c r="DG11364" s="256"/>
    </row>
    <row r="11365" spans="104:111">
      <c r="CZ11365" s="256"/>
      <c r="DG11365" s="256"/>
    </row>
    <row r="11366" spans="104:111">
      <c r="CZ11366" s="256"/>
      <c r="DG11366" s="256"/>
    </row>
    <row r="11367" spans="104:111">
      <c r="CZ11367" s="256"/>
      <c r="DG11367" s="256"/>
    </row>
    <row r="11368" spans="104:111">
      <c r="CZ11368" s="256"/>
      <c r="DG11368" s="256"/>
    </row>
    <row r="11369" spans="104:111">
      <c r="CZ11369" s="256"/>
      <c r="DG11369" s="256"/>
    </row>
    <row r="11370" spans="104:111">
      <c r="CZ11370" s="256"/>
      <c r="DG11370" s="256"/>
    </row>
    <row r="11371" spans="104:111">
      <c r="CZ11371" s="256"/>
      <c r="DG11371" s="256"/>
    </row>
    <row r="11372" spans="104:111">
      <c r="CZ11372" s="256"/>
      <c r="DG11372" s="256"/>
    </row>
    <row r="11373" spans="104:111">
      <c r="CZ11373" s="256"/>
      <c r="DG11373" s="256"/>
    </row>
    <row r="11374" spans="104:111">
      <c r="CZ11374" s="256"/>
      <c r="DG11374" s="256"/>
    </row>
    <row r="11375" spans="104:111">
      <c r="CZ11375" s="256"/>
      <c r="DG11375" s="256"/>
    </row>
    <row r="11376" spans="104:111">
      <c r="CZ11376" s="256"/>
      <c r="DG11376" s="256"/>
    </row>
    <row r="11377" spans="104:111">
      <c r="CZ11377" s="256"/>
      <c r="DG11377" s="256"/>
    </row>
    <row r="11378" spans="104:111">
      <c r="CZ11378" s="256"/>
      <c r="DG11378" s="256"/>
    </row>
    <row r="11379" spans="104:111">
      <c r="CZ11379" s="256"/>
      <c r="DG11379" s="256"/>
    </row>
    <row r="11380" spans="104:111">
      <c r="CZ11380" s="256"/>
      <c r="DG11380" s="256"/>
    </row>
    <row r="11381" spans="104:111">
      <c r="CZ11381" s="256"/>
      <c r="DG11381" s="256"/>
    </row>
    <row r="11382" spans="104:111">
      <c r="CZ11382" s="256"/>
      <c r="DG11382" s="256"/>
    </row>
    <row r="11383" spans="104:111">
      <c r="CZ11383" s="256"/>
      <c r="DG11383" s="256"/>
    </row>
    <row r="11384" spans="104:111">
      <c r="CZ11384" s="256"/>
      <c r="DG11384" s="256"/>
    </row>
    <row r="11385" spans="104:111">
      <c r="CZ11385" s="256"/>
      <c r="DG11385" s="256"/>
    </row>
    <row r="11386" spans="104:111">
      <c r="CZ11386" s="256"/>
      <c r="DG11386" s="256"/>
    </row>
    <row r="11387" spans="104:111">
      <c r="CZ11387" s="256"/>
      <c r="DG11387" s="256"/>
    </row>
    <row r="11388" spans="104:111">
      <c r="CZ11388" s="256"/>
      <c r="DG11388" s="256"/>
    </row>
    <row r="11389" spans="104:111">
      <c r="CZ11389" s="256"/>
      <c r="DG11389" s="256"/>
    </row>
    <row r="11390" spans="104:111">
      <c r="CZ11390" s="256"/>
      <c r="DG11390" s="256"/>
    </row>
    <row r="11391" spans="104:111">
      <c r="CZ11391" s="256"/>
      <c r="DG11391" s="256"/>
    </row>
    <row r="11392" spans="104:111">
      <c r="CZ11392" s="256"/>
      <c r="DG11392" s="256"/>
    </row>
    <row r="11393" spans="104:111">
      <c r="CZ11393" s="256"/>
      <c r="DG11393" s="256"/>
    </row>
    <row r="11394" spans="104:111">
      <c r="CZ11394" s="256"/>
      <c r="DG11394" s="256"/>
    </row>
    <row r="11395" spans="104:111">
      <c r="CZ11395" s="256"/>
      <c r="DG11395" s="256"/>
    </row>
    <row r="11396" spans="104:111">
      <c r="CZ11396" s="256"/>
      <c r="DG11396" s="256"/>
    </row>
    <row r="11397" spans="104:111">
      <c r="CZ11397" s="256"/>
      <c r="DG11397" s="256"/>
    </row>
    <row r="11398" spans="104:111">
      <c r="CZ11398" s="256"/>
      <c r="DG11398" s="256"/>
    </row>
    <row r="11399" spans="104:111">
      <c r="CZ11399" s="256"/>
      <c r="DG11399" s="256"/>
    </row>
    <row r="11400" spans="104:111">
      <c r="CZ11400" s="256"/>
      <c r="DG11400" s="256"/>
    </row>
    <row r="11401" spans="104:111">
      <c r="CZ11401" s="256"/>
      <c r="DG11401" s="256"/>
    </row>
    <row r="11402" spans="104:111">
      <c r="CZ11402" s="256"/>
      <c r="DG11402" s="256"/>
    </row>
    <row r="11403" spans="104:111">
      <c r="CZ11403" s="256"/>
      <c r="DG11403" s="256"/>
    </row>
    <row r="11404" spans="104:111">
      <c r="CZ11404" s="256"/>
      <c r="DG11404" s="256"/>
    </row>
    <row r="11405" spans="104:111">
      <c r="CZ11405" s="256"/>
      <c r="DG11405" s="256"/>
    </row>
    <row r="11406" spans="104:111">
      <c r="CZ11406" s="256"/>
      <c r="DG11406" s="256"/>
    </row>
    <row r="11407" spans="104:111">
      <c r="CZ11407" s="256"/>
      <c r="DG11407" s="256"/>
    </row>
    <row r="11408" spans="104:111">
      <c r="CZ11408" s="256"/>
      <c r="DG11408" s="256"/>
    </row>
    <row r="11409" spans="104:111">
      <c r="CZ11409" s="256"/>
      <c r="DG11409" s="256"/>
    </row>
    <row r="11410" spans="104:111">
      <c r="CZ11410" s="256"/>
      <c r="DG11410" s="256"/>
    </row>
    <row r="11411" spans="104:111">
      <c r="CZ11411" s="256"/>
      <c r="DG11411" s="256"/>
    </row>
    <row r="11412" spans="104:111">
      <c r="CZ11412" s="256"/>
      <c r="DG11412" s="256"/>
    </row>
    <row r="11413" spans="104:111">
      <c r="CZ11413" s="256"/>
      <c r="DG11413" s="256"/>
    </row>
    <row r="11414" spans="104:111">
      <c r="CZ11414" s="256"/>
      <c r="DG11414" s="256"/>
    </row>
    <row r="11415" spans="104:111">
      <c r="CZ11415" s="256"/>
      <c r="DG11415" s="256"/>
    </row>
    <row r="11416" spans="104:111">
      <c r="CZ11416" s="256"/>
      <c r="DG11416" s="256"/>
    </row>
    <row r="11417" spans="104:111">
      <c r="CZ11417" s="256"/>
      <c r="DG11417" s="256"/>
    </row>
    <row r="11418" spans="104:111">
      <c r="CZ11418" s="256"/>
      <c r="DG11418" s="256"/>
    </row>
    <row r="11419" spans="104:111">
      <c r="CZ11419" s="256"/>
      <c r="DG11419" s="256"/>
    </row>
    <row r="11420" spans="104:111">
      <c r="CZ11420" s="256"/>
      <c r="DG11420" s="256"/>
    </row>
    <row r="11421" spans="104:111">
      <c r="CZ11421" s="256"/>
      <c r="DG11421" s="256"/>
    </row>
    <row r="11422" spans="104:111">
      <c r="CZ11422" s="256"/>
      <c r="DG11422" s="256"/>
    </row>
    <row r="11423" spans="104:111">
      <c r="CZ11423" s="256"/>
      <c r="DG11423" s="256"/>
    </row>
    <row r="11424" spans="104:111">
      <c r="CZ11424" s="256"/>
      <c r="DG11424" s="256"/>
    </row>
    <row r="11425" spans="104:111">
      <c r="CZ11425" s="256"/>
      <c r="DG11425" s="256"/>
    </row>
    <row r="11426" spans="104:111">
      <c r="CZ11426" s="256"/>
      <c r="DG11426" s="256"/>
    </row>
    <row r="11427" spans="104:111">
      <c r="CZ11427" s="256"/>
      <c r="DG11427" s="256"/>
    </row>
    <row r="11428" spans="104:111">
      <c r="CZ11428" s="256"/>
      <c r="DG11428" s="256"/>
    </row>
    <row r="11429" spans="104:111">
      <c r="CZ11429" s="256"/>
      <c r="DG11429" s="256"/>
    </row>
    <row r="11430" spans="104:111">
      <c r="CZ11430" s="256"/>
      <c r="DG11430" s="256"/>
    </row>
    <row r="11431" spans="104:111">
      <c r="CZ11431" s="256"/>
      <c r="DG11431" s="256"/>
    </row>
    <row r="11432" spans="104:111">
      <c r="CZ11432" s="256"/>
      <c r="DG11432" s="256"/>
    </row>
    <row r="11433" spans="104:111">
      <c r="CZ11433" s="256"/>
      <c r="DG11433" s="256"/>
    </row>
    <row r="11434" spans="104:111">
      <c r="CZ11434" s="256"/>
      <c r="DG11434" s="256"/>
    </row>
    <row r="11435" spans="104:111">
      <c r="CZ11435" s="256"/>
      <c r="DG11435" s="256"/>
    </row>
    <row r="11436" spans="104:111">
      <c r="CZ11436" s="256"/>
      <c r="DG11436" s="256"/>
    </row>
    <row r="11437" spans="104:111">
      <c r="CZ11437" s="256"/>
      <c r="DG11437" s="256"/>
    </row>
    <row r="11438" spans="104:111">
      <c r="CZ11438" s="256"/>
      <c r="DG11438" s="256"/>
    </row>
    <row r="11439" spans="104:111">
      <c r="CZ11439" s="256"/>
      <c r="DG11439" s="256"/>
    </row>
    <row r="11440" spans="104:111">
      <c r="CZ11440" s="256"/>
      <c r="DG11440" s="256"/>
    </row>
    <row r="11441" spans="104:111">
      <c r="CZ11441" s="256"/>
      <c r="DG11441" s="256"/>
    </row>
    <row r="11442" spans="104:111">
      <c r="CZ11442" s="256"/>
      <c r="DG11442" s="256"/>
    </row>
    <row r="11443" spans="104:111">
      <c r="CZ11443" s="256"/>
      <c r="DG11443" s="256"/>
    </row>
    <row r="11444" spans="104:111">
      <c r="CZ11444" s="256"/>
      <c r="DG11444" s="256"/>
    </row>
    <row r="11445" spans="104:111">
      <c r="CZ11445" s="256"/>
      <c r="DG11445" s="256"/>
    </row>
    <row r="11446" spans="104:111">
      <c r="CZ11446" s="256"/>
      <c r="DG11446" s="256"/>
    </row>
    <row r="11447" spans="104:111">
      <c r="CZ11447" s="256"/>
      <c r="DG11447" s="256"/>
    </row>
    <row r="11448" spans="104:111">
      <c r="CZ11448" s="256"/>
      <c r="DG11448" s="256"/>
    </row>
    <row r="11449" spans="104:111">
      <c r="CZ11449" s="256"/>
      <c r="DG11449" s="256"/>
    </row>
    <row r="11450" spans="104:111">
      <c r="CZ11450" s="256"/>
      <c r="DG11450" s="256"/>
    </row>
    <row r="11451" spans="104:111">
      <c r="CZ11451" s="256"/>
      <c r="DG11451" s="256"/>
    </row>
    <row r="11452" spans="104:111">
      <c r="CZ11452" s="256"/>
      <c r="DG11452" s="256"/>
    </row>
    <row r="11453" spans="104:111">
      <c r="CZ11453" s="256"/>
      <c r="DG11453" s="256"/>
    </row>
    <row r="11454" spans="104:111">
      <c r="CZ11454" s="256"/>
      <c r="DG11454" s="256"/>
    </row>
    <row r="11455" spans="104:111">
      <c r="CZ11455" s="256"/>
      <c r="DG11455" s="256"/>
    </row>
    <row r="11456" spans="104:111">
      <c r="CZ11456" s="256"/>
      <c r="DG11456" s="256"/>
    </row>
    <row r="11457" spans="104:111">
      <c r="CZ11457" s="256"/>
      <c r="DG11457" s="256"/>
    </row>
    <row r="11458" spans="104:111">
      <c r="CZ11458" s="256"/>
      <c r="DG11458" s="256"/>
    </row>
    <row r="11459" spans="104:111">
      <c r="CZ11459" s="256"/>
      <c r="DG11459" s="256"/>
    </row>
    <row r="11460" spans="104:111">
      <c r="CZ11460" s="256"/>
      <c r="DG11460" s="256"/>
    </row>
    <row r="11461" spans="104:111">
      <c r="CZ11461" s="256"/>
      <c r="DG11461" s="256"/>
    </row>
    <row r="11462" spans="104:111">
      <c r="CZ11462" s="256"/>
      <c r="DG11462" s="256"/>
    </row>
    <row r="11463" spans="104:111">
      <c r="CZ11463" s="256"/>
      <c r="DG11463" s="256"/>
    </row>
    <row r="11464" spans="104:111">
      <c r="CZ11464" s="256"/>
      <c r="DG11464" s="256"/>
    </row>
    <row r="11465" spans="104:111">
      <c r="CZ11465" s="256"/>
      <c r="DG11465" s="256"/>
    </row>
    <row r="11466" spans="104:111">
      <c r="CZ11466" s="256"/>
      <c r="DG11466" s="256"/>
    </row>
    <row r="11467" spans="104:111">
      <c r="CZ11467" s="256"/>
      <c r="DG11467" s="256"/>
    </row>
    <row r="11468" spans="104:111">
      <c r="CZ11468" s="256"/>
      <c r="DG11468" s="256"/>
    </row>
    <row r="11469" spans="104:111">
      <c r="CZ11469" s="256"/>
      <c r="DG11469" s="256"/>
    </row>
    <row r="11470" spans="104:111">
      <c r="CZ11470" s="256"/>
      <c r="DG11470" s="256"/>
    </row>
    <row r="11471" spans="104:111">
      <c r="CZ11471" s="256"/>
      <c r="DG11471" s="256"/>
    </row>
    <row r="11472" spans="104:111">
      <c r="CZ11472" s="256"/>
      <c r="DG11472" s="256"/>
    </row>
    <row r="11473" spans="104:111">
      <c r="CZ11473" s="256"/>
      <c r="DG11473" s="256"/>
    </row>
    <row r="11474" spans="104:111">
      <c r="CZ11474" s="256"/>
      <c r="DG11474" s="256"/>
    </row>
    <row r="11475" spans="104:111">
      <c r="CZ11475" s="256"/>
      <c r="DG11475" s="256"/>
    </row>
    <row r="11476" spans="104:111">
      <c r="CZ11476" s="256"/>
      <c r="DG11476" s="256"/>
    </row>
    <row r="11477" spans="104:111">
      <c r="CZ11477" s="256"/>
      <c r="DG11477" s="256"/>
    </row>
    <row r="11478" spans="104:111">
      <c r="CZ11478" s="256"/>
      <c r="DG11478" s="256"/>
    </row>
    <row r="11479" spans="104:111">
      <c r="CZ11479" s="256"/>
      <c r="DG11479" s="256"/>
    </row>
    <row r="11480" spans="104:111">
      <c r="CZ11480" s="256"/>
      <c r="DG11480" s="256"/>
    </row>
    <row r="11481" spans="104:111">
      <c r="CZ11481" s="256"/>
      <c r="DG11481" s="256"/>
    </row>
    <row r="11482" spans="104:111">
      <c r="CZ11482" s="256"/>
      <c r="DG11482" s="256"/>
    </row>
    <row r="11483" spans="104:111">
      <c r="CZ11483" s="256"/>
      <c r="DG11483" s="256"/>
    </row>
    <row r="11484" spans="104:111">
      <c r="CZ11484" s="256"/>
      <c r="DG11484" s="256"/>
    </row>
    <row r="11485" spans="104:111">
      <c r="CZ11485" s="256"/>
      <c r="DG11485" s="256"/>
    </row>
    <row r="11486" spans="104:111">
      <c r="CZ11486" s="256"/>
      <c r="DG11486" s="256"/>
    </row>
    <row r="11487" spans="104:111">
      <c r="CZ11487" s="256"/>
      <c r="DG11487" s="256"/>
    </row>
    <row r="11488" spans="104:111">
      <c r="CZ11488" s="256"/>
      <c r="DG11488" s="256"/>
    </row>
    <row r="11489" spans="104:111">
      <c r="CZ11489" s="256"/>
      <c r="DG11489" s="256"/>
    </row>
    <row r="11490" spans="104:111">
      <c r="CZ11490" s="256"/>
      <c r="DG11490" s="256"/>
    </row>
    <row r="11491" spans="104:111">
      <c r="CZ11491" s="256"/>
      <c r="DG11491" s="256"/>
    </row>
    <row r="11492" spans="104:111">
      <c r="CZ11492" s="256"/>
      <c r="DG11492" s="256"/>
    </row>
    <row r="11493" spans="104:111">
      <c r="CZ11493" s="256"/>
      <c r="DG11493" s="256"/>
    </row>
    <row r="11494" spans="104:111">
      <c r="CZ11494" s="256"/>
      <c r="DG11494" s="256"/>
    </row>
    <row r="11495" spans="104:111">
      <c r="CZ11495" s="256"/>
      <c r="DG11495" s="256"/>
    </row>
    <row r="11496" spans="104:111">
      <c r="CZ11496" s="256"/>
      <c r="DG11496" s="256"/>
    </row>
    <row r="11497" spans="104:111">
      <c r="CZ11497" s="256"/>
      <c r="DG11497" s="256"/>
    </row>
    <row r="11498" spans="104:111">
      <c r="CZ11498" s="256"/>
      <c r="DG11498" s="256"/>
    </row>
    <row r="11499" spans="104:111">
      <c r="CZ11499" s="256"/>
      <c r="DG11499" s="256"/>
    </row>
    <row r="11500" spans="104:111">
      <c r="CZ11500" s="256"/>
      <c r="DG11500" s="256"/>
    </row>
    <row r="11501" spans="104:111">
      <c r="CZ11501" s="256"/>
      <c r="DG11501" s="256"/>
    </row>
    <row r="11502" spans="104:111">
      <c r="CZ11502" s="256"/>
      <c r="DG11502" s="256"/>
    </row>
    <row r="11503" spans="104:111">
      <c r="CZ11503" s="256"/>
      <c r="DG11503" s="256"/>
    </row>
    <row r="11504" spans="104:111">
      <c r="CZ11504" s="256"/>
      <c r="DG11504" s="256"/>
    </row>
    <row r="11505" spans="104:111">
      <c r="CZ11505" s="256"/>
      <c r="DG11505" s="256"/>
    </row>
    <row r="11506" spans="104:111">
      <c r="CZ11506" s="256"/>
      <c r="DG11506" s="256"/>
    </row>
    <row r="11507" spans="104:111">
      <c r="CZ11507" s="256"/>
      <c r="DG11507" s="256"/>
    </row>
    <row r="11508" spans="104:111">
      <c r="CZ11508" s="256"/>
      <c r="DG11508" s="256"/>
    </row>
    <row r="11509" spans="104:111">
      <c r="CZ11509" s="256"/>
      <c r="DG11509" s="256"/>
    </row>
    <row r="11510" spans="104:111">
      <c r="CZ11510" s="256"/>
      <c r="DG11510" s="256"/>
    </row>
    <row r="11511" spans="104:111">
      <c r="CZ11511" s="256"/>
      <c r="DG11511" s="256"/>
    </row>
    <row r="11512" spans="104:111">
      <c r="CZ11512" s="256"/>
      <c r="DG11512" s="256"/>
    </row>
    <row r="11513" spans="104:111">
      <c r="CZ11513" s="256"/>
      <c r="DG11513" s="256"/>
    </row>
    <row r="11514" spans="104:111">
      <c r="CZ11514" s="256"/>
      <c r="DG11514" s="256"/>
    </row>
    <row r="11515" spans="104:111">
      <c r="CZ11515" s="256"/>
      <c r="DG11515" s="256"/>
    </row>
    <row r="11516" spans="104:111">
      <c r="CZ11516" s="256"/>
      <c r="DG11516" s="256"/>
    </row>
    <row r="11517" spans="104:111">
      <c r="CZ11517" s="256"/>
      <c r="DG11517" s="256"/>
    </row>
    <row r="11518" spans="104:111">
      <c r="CZ11518" s="256"/>
      <c r="DG11518" s="256"/>
    </row>
    <row r="11519" spans="104:111">
      <c r="CZ11519" s="256"/>
      <c r="DG11519" s="256"/>
    </row>
    <row r="11520" spans="104:111">
      <c r="CZ11520" s="256"/>
      <c r="DG11520" s="256"/>
    </row>
    <row r="11521" spans="104:111">
      <c r="CZ11521" s="256"/>
      <c r="DG11521" s="256"/>
    </row>
    <row r="11522" spans="104:111">
      <c r="CZ11522" s="256"/>
      <c r="DG11522" s="256"/>
    </row>
    <row r="11523" spans="104:111">
      <c r="CZ11523" s="256"/>
      <c r="DG11523" s="256"/>
    </row>
    <row r="11524" spans="104:111">
      <c r="CZ11524" s="256"/>
      <c r="DG11524" s="256"/>
    </row>
    <row r="11525" spans="104:111">
      <c r="CZ11525" s="256"/>
      <c r="DG11525" s="256"/>
    </row>
    <row r="11526" spans="104:111">
      <c r="CZ11526" s="256"/>
      <c r="DG11526" s="256"/>
    </row>
    <row r="11527" spans="104:111">
      <c r="CZ11527" s="256"/>
      <c r="DG11527" s="256"/>
    </row>
    <row r="11528" spans="104:111">
      <c r="CZ11528" s="256"/>
      <c r="DG11528" s="256"/>
    </row>
    <row r="11529" spans="104:111">
      <c r="CZ11529" s="256"/>
      <c r="DG11529" s="256"/>
    </row>
    <row r="11530" spans="104:111">
      <c r="CZ11530" s="256"/>
      <c r="DG11530" s="256"/>
    </row>
    <row r="11531" spans="104:111">
      <c r="CZ11531" s="256"/>
      <c r="DG11531" s="256"/>
    </row>
    <row r="11532" spans="104:111">
      <c r="CZ11532" s="256"/>
      <c r="DG11532" s="256"/>
    </row>
    <row r="11533" spans="104:111">
      <c r="CZ11533" s="256"/>
      <c r="DG11533" s="256"/>
    </row>
    <row r="11534" spans="104:111">
      <c r="CZ11534" s="256"/>
      <c r="DG11534" s="256"/>
    </row>
    <row r="11535" spans="104:111">
      <c r="CZ11535" s="256"/>
      <c r="DG11535" s="256"/>
    </row>
    <row r="11536" spans="104:111">
      <c r="CZ11536" s="256"/>
      <c r="DG11536" s="256"/>
    </row>
    <row r="11537" spans="104:111">
      <c r="CZ11537" s="256"/>
      <c r="DG11537" s="256"/>
    </row>
    <row r="11538" spans="104:111">
      <c r="CZ11538" s="256"/>
      <c r="DG11538" s="256"/>
    </row>
    <row r="11539" spans="104:111">
      <c r="CZ11539" s="256"/>
      <c r="DG11539" s="256"/>
    </row>
    <row r="11540" spans="104:111">
      <c r="CZ11540" s="256"/>
      <c r="DG11540" s="256"/>
    </row>
    <row r="11541" spans="104:111">
      <c r="CZ11541" s="256"/>
      <c r="DG11541" s="256"/>
    </row>
    <row r="11542" spans="104:111">
      <c r="CZ11542" s="256"/>
      <c r="DG11542" s="256"/>
    </row>
    <row r="11543" spans="104:111">
      <c r="CZ11543" s="256"/>
      <c r="DG11543" s="256"/>
    </row>
    <row r="11544" spans="104:111">
      <c r="CZ11544" s="256"/>
      <c r="DG11544" s="256"/>
    </row>
    <row r="11545" spans="104:111">
      <c r="CZ11545" s="256"/>
      <c r="DG11545" s="256"/>
    </row>
    <row r="11546" spans="104:111">
      <c r="CZ11546" s="256"/>
      <c r="DG11546" s="256"/>
    </row>
    <row r="11547" spans="104:111">
      <c r="CZ11547" s="256"/>
      <c r="DG11547" s="256"/>
    </row>
    <row r="11548" spans="104:111">
      <c r="CZ11548" s="256"/>
      <c r="DG11548" s="256"/>
    </row>
    <row r="11549" spans="104:111">
      <c r="CZ11549" s="256"/>
      <c r="DG11549" s="256"/>
    </row>
    <row r="11550" spans="104:111">
      <c r="CZ11550" s="256"/>
      <c r="DG11550" s="256"/>
    </row>
    <row r="11551" spans="104:111">
      <c r="CZ11551" s="256"/>
      <c r="DG11551" s="256"/>
    </row>
    <row r="11552" spans="104:111">
      <c r="CZ11552" s="256"/>
      <c r="DG11552" s="256"/>
    </row>
    <row r="11553" spans="104:111">
      <c r="CZ11553" s="256"/>
      <c r="DG11553" s="256"/>
    </row>
    <row r="11554" spans="104:111">
      <c r="CZ11554" s="256"/>
      <c r="DG11554" s="256"/>
    </row>
    <row r="11555" spans="104:111">
      <c r="CZ11555" s="256"/>
      <c r="DG11555" s="256"/>
    </row>
    <row r="11556" spans="104:111">
      <c r="CZ11556" s="256"/>
      <c r="DG11556" s="256"/>
    </row>
    <row r="11557" spans="104:111">
      <c r="CZ11557" s="256"/>
      <c r="DG11557" s="256"/>
    </row>
    <row r="11558" spans="104:111">
      <c r="CZ11558" s="256"/>
      <c r="DG11558" s="256"/>
    </row>
    <row r="11559" spans="104:111">
      <c r="CZ11559" s="256"/>
      <c r="DG11559" s="256"/>
    </row>
    <row r="11560" spans="104:111">
      <c r="CZ11560" s="256"/>
      <c r="DG11560" s="256"/>
    </row>
    <row r="11561" spans="104:111">
      <c r="CZ11561" s="256"/>
      <c r="DG11561" s="256"/>
    </row>
    <row r="11562" spans="104:111">
      <c r="CZ11562" s="256"/>
      <c r="DG11562" s="256"/>
    </row>
    <row r="11563" spans="104:111">
      <c r="CZ11563" s="256"/>
      <c r="DG11563" s="256"/>
    </row>
    <row r="11564" spans="104:111">
      <c r="CZ11564" s="256"/>
      <c r="DG11564" s="256"/>
    </row>
    <row r="11565" spans="104:111">
      <c r="CZ11565" s="256"/>
      <c r="DG11565" s="256"/>
    </row>
    <row r="11566" spans="104:111">
      <c r="CZ11566" s="256"/>
      <c r="DG11566" s="256"/>
    </row>
    <row r="11567" spans="104:111">
      <c r="CZ11567" s="256"/>
      <c r="DG11567" s="256"/>
    </row>
    <row r="11568" spans="104:111">
      <c r="CZ11568" s="256"/>
      <c r="DG11568" s="256"/>
    </row>
    <row r="11569" spans="104:111">
      <c r="CZ11569" s="256"/>
      <c r="DG11569" s="256"/>
    </row>
    <row r="11570" spans="104:111">
      <c r="CZ11570" s="256"/>
      <c r="DG11570" s="256"/>
    </row>
    <row r="11571" spans="104:111">
      <c r="CZ11571" s="256"/>
      <c r="DG11571" s="256"/>
    </row>
    <row r="11572" spans="104:111">
      <c r="CZ11572" s="256"/>
      <c r="DG11572" s="256"/>
    </row>
    <row r="11573" spans="104:111">
      <c r="CZ11573" s="256"/>
      <c r="DG11573" s="256"/>
    </row>
    <row r="11574" spans="104:111">
      <c r="CZ11574" s="256"/>
      <c r="DG11574" s="256"/>
    </row>
    <row r="11575" spans="104:111">
      <c r="CZ11575" s="256"/>
      <c r="DG11575" s="256"/>
    </row>
    <row r="11576" spans="104:111">
      <c r="CZ11576" s="256"/>
      <c r="DG11576" s="256"/>
    </row>
    <row r="11577" spans="104:111">
      <c r="CZ11577" s="256"/>
      <c r="DG11577" s="256"/>
    </row>
    <row r="11578" spans="104:111">
      <c r="CZ11578" s="256"/>
      <c r="DG11578" s="256"/>
    </row>
    <row r="11579" spans="104:111">
      <c r="CZ11579" s="256"/>
      <c r="DG11579" s="256"/>
    </row>
    <row r="11580" spans="104:111">
      <c r="CZ11580" s="256"/>
      <c r="DG11580" s="256"/>
    </row>
    <row r="11581" spans="104:111">
      <c r="CZ11581" s="256"/>
      <c r="DG11581" s="256"/>
    </row>
    <row r="11582" spans="104:111">
      <c r="CZ11582" s="256"/>
      <c r="DG11582" s="256"/>
    </row>
    <row r="11583" spans="104:111">
      <c r="CZ11583" s="256"/>
      <c r="DG11583" s="256"/>
    </row>
    <row r="11584" spans="104:111">
      <c r="CZ11584" s="256"/>
      <c r="DG11584" s="256"/>
    </row>
    <row r="11585" spans="104:111">
      <c r="CZ11585" s="256"/>
      <c r="DG11585" s="256"/>
    </row>
    <row r="11586" spans="104:111">
      <c r="CZ11586" s="256"/>
      <c r="DG11586" s="256"/>
    </row>
    <row r="11587" spans="104:111">
      <c r="CZ11587" s="256"/>
      <c r="DG11587" s="256"/>
    </row>
    <row r="11588" spans="104:111">
      <c r="CZ11588" s="256"/>
      <c r="DG11588" s="256"/>
    </row>
    <row r="11589" spans="104:111">
      <c r="CZ11589" s="256"/>
      <c r="DG11589" s="256"/>
    </row>
    <row r="11590" spans="104:111">
      <c r="CZ11590" s="256"/>
      <c r="DG11590" s="256"/>
    </row>
    <row r="11591" spans="104:111">
      <c r="CZ11591" s="256"/>
      <c r="DG11591" s="256"/>
    </row>
    <row r="11592" spans="104:111">
      <c r="CZ11592" s="256"/>
      <c r="DG11592" s="256"/>
    </row>
    <row r="11593" spans="104:111">
      <c r="CZ11593" s="256"/>
      <c r="DG11593" s="256"/>
    </row>
    <row r="11594" spans="104:111">
      <c r="CZ11594" s="256"/>
      <c r="DG11594" s="256"/>
    </row>
    <row r="11595" spans="104:111">
      <c r="CZ11595" s="256"/>
      <c r="DG11595" s="256"/>
    </row>
    <row r="11596" spans="104:111">
      <c r="CZ11596" s="256"/>
      <c r="DG11596" s="256"/>
    </row>
    <row r="11597" spans="104:111">
      <c r="CZ11597" s="256"/>
      <c r="DG11597" s="256"/>
    </row>
    <row r="11598" spans="104:111">
      <c r="CZ11598" s="256"/>
      <c r="DG11598" s="256"/>
    </row>
    <row r="11599" spans="104:111">
      <c r="CZ11599" s="256"/>
      <c r="DG11599" s="256"/>
    </row>
    <row r="11600" spans="104:111">
      <c r="CZ11600" s="256"/>
      <c r="DG11600" s="256"/>
    </row>
    <row r="11601" spans="104:111">
      <c r="CZ11601" s="256"/>
      <c r="DG11601" s="256"/>
    </row>
    <row r="11602" spans="104:111">
      <c r="CZ11602" s="256"/>
      <c r="DG11602" s="256"/>
    </row>
    <row r="11603" spans="104:111">
      <c r="CZ11603" s="256"/>
      <c r="DG11603" s="256"/>
    </row>
    <row r="11604" spans="104:111">
      <c r="CZ11604" s="256"/>
      <c r="DG11604" s="256"/>
    </row>
    <row r="11605" spans="104:111">
      <c r="CZ11605" s="256"/>
      <c r="DG11605" s="256"/>
    </row>
    <row r="11606" spans="104:111">
      <c r="CZ11606" s="256"/>
      <c r="DG11606" s="256"/>
    </row>
    <row r="11607" spans="104:111">
      <c r="CZ11607" s="256"/>
      <c r="DG11607" s="256"/>
    </row>
    <row r="11608" spans="104:111">
      <c r="CZ11608" s="256"/>
      <c r="DG11608" s="256"/>
    </row>
    <row r="11609" spans="104:111">
      <c r="CZ11609" s="256"/>
      <c r="DG11609" s="256"/>
    </row>
    <row r="11610" spans="104:111">
      <c r="CZ11610" s="256"/>
      <c r="DG11610" s="256"/>
    </row>
    <row r="11611" spans="104:111">
      <c r="CZ11611" s="256"/>
      <c r="DG11611" s="256"/>
    </row>
    <row r="11612" spans="104:111">
      <c r="CZ11612" s="256"/>
      <c r="DG11612" s="256"/>
    </row>
    <row r="11613" spans="104:111">
      <c r="CZ11613" s="256"/>
      <c r="DG11613" s="256"/>
    </row>
    <row r="11614" spans="104:111">
      <c r="CZ11614" s="256"/>
      <c r="DG11614" s="256"/>
    </row>
    <row r="11615" spans="104:111">
      <c r="CZ11615" s="256"/>
      <c r="DG11615" s="256"/>
    </row>
    <row r="11616" spans="104:111">
      <c r="CZ11616" s="256"/>
      <c r="DG11616" s="256"/>
    </row>
    <row r="11617" spans="104:111">
      <c r="CZ11617" s="256"/>
      <c r="DG11617" s="256"/>
    </row>
    <row r="11618" spans="104:111">
      <c r="CZ11618" s="256"/>
      <c r="DG11618" s="256"/>
    </row>
    <row r="11619" spans="104:111">
      <c r="CZ11619" s="256"/>
      <c r="DG11619" s="256"/>
    </row>
    <row r="11620" spans="104:111">
      <c r="CZ11620" s="256"/>
      <c r="DG11620" s="256"/>
    </row>
    <row r="11621" spans="104:111">
      <c r="CZ11621" s="256"/>
      <c r="DG11621" s="256"/>
    </row>
    <row r="11622" spans="104:111">
      <c r="CZ11622" s="256"/>
      <c r="DG11622" s="256"/>
    </row>
    <row r="11623" spans="104:111">
      <c r="CZ11623" s="256"/>
      <c r="DG11623" s="256"/>
    </row>
    <row r="11624" spans="104:111">
      <c r="CZ11624" s="256"/>
      <c r="DG11624" s="256"/>
    </row>
    <row r="11625" spans="104:111">
      <c r="CZ11625" s="256"/>
      <c r="DG11625" s="256"/>
    </row>
    <row r="11626" spans="104:111">
      <c r="CZ11626" s="256"/>
      <c r="DG11626" s="256"/>
    </row>
    <row r="11627" spans="104:111">
      <c r="CZ11627" s="256"/>
      <c r="DG11627" s="256"/>
    </row>
    <row r="11628" spans="104:111">
      <c r="CZ11628" s="256"/>
      <c r="DG11628" s="256"/>
    </row>
    <row r="11629" spans="104:111">
      <c r="CZ11629" s="256"/>
      <c r="DG11629" s="256"/>
    </row>
    <row r="11630" spans="104:111">
      <c r="CZ11630" s="256"/>
      <c r="DG11630" s="256"/>
    </row>
    <row r="11631" spans="104:111">
      <c r="CZ11631" s="256"/>
      <c r="DG11631" s="256"/>
    </row>
    <row r="11632" spans="104:111">
      <c r="CZ11632" s="256"/>
      <c r="DG11632" s="256"/>
    </row>
    <row r="11633" spans="104:111">
      <c r="CZ11633" s="256"/>
      <c r="DG11633" s="256"/>
    </row>
    <row r="11634" spans="104:111">
      <c r="CZ11634" s="256"/>
      <c r="DG11634" s="256"/>
    </row>
    <row r="11635" spans="104:111">
      <c r="CZ11635" s="256"/>
      <c r="DG11635" s="256"/>
    </row>
    <row r="11636" spans="104:111">
      <c r="CZ11636" s="256"/>
      <c r="DG11636" s="256"/>
    </row>
    <row r="11637" spans="104:111">
      <c r="CZ11637" s="256"/>
      <c r="DG11637" s="256"/>
    </row>
    <row r="11638" spans="104:111">
      <c r="CZ11638" s="256"/>
      <c r="DG11638" s="256"/>
    </row>
    <row r="11639" spans="104:111">
      <c r="CZ11639" s="256"/>
      <c r="DG11639" s="256"/>
    </row>
    <row r="11640" spans="104:111">
      <c r="CZ11640" s="256"/>
      <c r="DG11640" s="256"/>
    </row>
    <row r="11641" spans="104:111">
      <c r="CZ11641" s="256"/>
      <c r="DG11641" s="256"/>
    </row>
    <row r="11642" spans="104:111">
      <c r="CZ11642" s="256"/>
      <c r="DG11642" s="256"/>
    </row>
    <row r="11643" spans="104:111">
      <c r="CZ11643" s="256"/>
      <c r="DG11643" s="256"/>
    </row>
    <row r="11644" spans="104:111">
      <c r="CZ11644" s="256"/>
      <c r="DG11644" s="256"/>
    </row>
    <row r="11645" spans="104:111">
      <c r="CZ11645" s="256"/>
      <c r="DG11645" s="256"/>
    </row>
    <row r="11646" spans="104:111">
      <c r="CZ11646" s="256"/>
      <c r="DG11646" s="256"/>
    </row>
    <row r="11647" spans="104:111">
      <c r="CZ11647" s="256"/>
      <c r="DG11647" s="256"/>
    </row>
    <row r="11648" spans="104:111">
      <c r="CZ11648" s="256"/>
      <c r="DG11648" s="256"/>
    </row>
    <row r="11649" spans="104:111">
      <c r="CZ11649" s="256"/>
      <c r="DG11649" s="256"/>
    </row>
    <row r="11650" spans="104:111">
      <c r="CZ11650" s="256"/>
      <c r="DG11650" s="256"/>
    </row>
    <row r="11651" spans="104:111">
      <c r="CZ11651" s="256"/>
      <c r="DG11651" s="256"/>
    </row>
    <row r="11652" spans="104:111">
      <c r="CZ11652" s="256"/>
      <c r="DG11652" s="256"/>
    </row>
    <row r="11653" spans="104:111">
      <c r="CZ11653" s="256"/>
      <c r="DG11653" s="256"/>
    </row>
    <row r="11654" spans="104:111">
      <c r="CZ11654" s="256"/>
      <c r="DG11654" s="256"/>
    </row>
    <row r="11655" spans="104:111">
      <c r="CZ11655" s="256"/>
      <c r="DG11655" s="256"/>
    </row>
    <row r="11656" spans="104:111">
      <c r="CZ11656" s="256"/>
      <c r="DG11656" s="256"/>
    </row>
    <row r="11657" spans="104:111">
      <c r="CZ11657" s="256"/>
      <c r="DG11657" s="256"/>
    </row>
    <row r="11658" spans="104:111">
      <c r="CZ11658" s="256"/>
      <c r="DG11658" s="256"/>
    </row>
    <row r="11659" spans="104:111">
      <c r="CZ11659" s="256"/>
      <c r="DG11659" s="256"/>
    </row>
    <row r="11660" spans="104:111">
      <c r="CZ11660" s="256"/>
      <c r="DG11660" s="256"/>
    </row>
    <row r="11661" spans="104:111">
      <c r="CZ11661" s="256"/>
      <c r="DG11661" s="256"/>
    </row>
    <row r="11662" spans="104:111">
      <c r="CZ11662" s="256"/>
      <c r="DG11662" s="256"/>
    </row>
    <row r="11663" spans="104:111">
      <c r="CZ11663" s="256"/>
      <c r="DG11663" s="256"/>
    </row>
    <row r="11664" spans="104:111">
      <c r="CZ11664" s="256"/>
      <c r="DG11664" s="256"/>
    </row>
    <row r="11665" spans="104:111">
      <c r="CZ11665" s="256"/>
      <c r="DG11665" s="256"/>
    </row>
    <row r="11666" spans="104:111">
      <c r="CZ11666" s="256"/>
      <c r="DG11666" s="256"/>
    </row>
    <row r="11667" spans="104:111">
      <c r="CZ11667" s="256"/>
      <c r="DG11667" s="256"/>
    </row>
    <row r="11668" spans="104:111">
      <c r="CZ11668" s="256"/>
      <c r="DG11668" s="256"/>
    </row>
    <row r="11669" spans="104:111">
      <c r="CZ11669" s="256"/>
      <c r="DG11669" s="256"/>
    </row>
    <row r="11670" spans="104:111">
      <c r="CZ11670" s="256"/>
      <c r="DG11670" s="256"/>
    </row>
    <row r="11671" spans="104:111">
      <c r="CZ11671" s="256"/>
      <c r="DG11671" s="256"/>
    </row>
    <row r="11672" spans="104:111">
      <c r="CZ11672" s="256"/>
      <c r="DG11672" s="256"/>
    </row>
    <row r="11673" spans="104:111">
      <c r="CZ11673" s="256"/>
      <c r="DG11673" s="256"/>
    </row>
    <row r="11674" spans="104:111">
      <c r="CZ11674" s="256"/>
      <c r="DG11674" s="256"/>
    </row>
    <row r="11675" spans="104:111">
      <c r="CZ11675" s="256"/>
      <c r="DG11675" s="256"/>
    </row>
    <row r="11676" spans="104:111">
      <c r="CZ11676" s="256"/>
      <c r="DG11676" s="256"/>
    </row>
    <row r="11677" spans="104:111">
      <c r="CZ11677" s="256"/>
      <c r="DG11677" s="256"/>
    </row>
    <row r="11678" spans="104:111">
      <c r="CZ11678" s="256"/>
      <c r="DG11678" s="256"/>
    </row>
    <row r="11679" spans="104:111">
      <c r="CZ11679" s="256"/>
      <c r="DG11679" s="256"/>
    </row>
    <row r="11680" spans="104:111">
      <c r="CZ11680" s="256"/>
      <c r="DG11680" s="256"/>
    </row>
    <row r="11681" spans="104:111">
      <c r="CZ11681" s="256"/>
      <c r="DG11681" s="256"/>
    </row>
    <row r="11682" spans="104:111">
      <c r="CZ11682" s="256"/>
      <c r="DG11682" s="256"/>
    </row>
    <row r="11683" spans="104:111">
      <c r="CZ11683" s="256"/>
      <c r="DG11683" s="256"/>
    </row>
    <row r="11684" spans="104:111">
      <c r="CZ11684" s="256"/>
      <c r="DG11684" s="256"/>
    </row>
    <row r="11685" spans="104:111">
      <c r="CZ11685" s="256"/>
      <c r="DG11685" s="256"/>
    </row>
    <row r="11686" spans="104:111">
      <c r="CZ11686" s="256"/>
      <c r="DG11686" s="256"/>
    </row>
    <row r="11687" spans="104:111">
      <c r="CZ11687" s="256"/>
      <c r="DG11687" s="256"/>
    </row>
    <row r="11688" spans="104:111">
      <c r="CZ11688" s="256"/>
      <c r="DG11688" s="256"/>
    </row>
    <row r="11689" spans="104:111">
      <c r="CZ11689" s="256"/>
      <c r="DG11689" s="256"/>
    </row>
    <row r="11690" spans="104:111">
      <c r="CZ11690" s="256"/>
      <c r="DG11690" s="256"/>
    </row>
    <row r="11691" spans="104:111">
      <c r="CZ11691" s="256"/>
      <c r="DG11691" s="256"/>
    </row>
    <row r="11692" spans="104:111">
      <c r="CZ11692" s="256"/>
      <c r="DG11692" s="256"/>
    </row>
    <row r="11693" spans="104:111">
      <c r="CZ11693" s="256"/>
      <c r="DG11693" s="256"/>
    </row>
    <row r="11694" spans="104:111">
      <c r="CZ11694" s="256"/>
      <c r="DG11694" s="256"/>
    </row>
    <row r="11695" spans="104:111">
      <c r="CZ11695" s="256"/>
      <c r="DG11695" s="256"/>
    </row>
    <row r="11696" spans="104:111">
      <c r="CZ11696" s="256"/>
      <c r="DG11696" s="256"/>
    </row>
    <row r="11697" spans="104:111">
      <c r="CZ11697" s="256"/>
      <c r="DG11697" s="256"/>
    </row>
    <row r="11698" spans="104:111">
      <c r="CZ11698" s="256"/>
      <c r="DG11698" s="256"/>
    </row>
    <row r="11699" spans="104:111">
      <c r="CZ11699" s="256"/>
      <c r="DG11699" s="256"/>
    </row>
    <row r="11700" spans="104:111">
      <c r="CZ11700" s="256"/>
      <c r="DG11700" s="256"/>
    </row>
    <row r="11701" spans="104:111">
      <c r="CZ11701" s="256"/>
      <c r="DG11701" s="256"/>
    </row>
    <row r="11702" spans="104:111">
      <c r="CZ11702" s="256"/>
      <c r="DG11702" s="256"/>
    </row>
    <row r="11703" spans="104:111">
      <c r="CZ11703" s="256"/>
      <c r="DG11703" s="256"/>
    </row>
    <row r="11704" spans="104:111">
      <c r="CZ11704" s="256"/>
      <c r="DG11704" s="256"/>
    </row>
    <row r="11705" spans="104:111">
      <c r="CZ11705" s="256"/>
      <c r="DG11705" s="256"/>
    </row>
    <row r="11706" spans="104:111">
      <c r="CZ11706" s="256"/>
      <c r="DG11706" s="256"/>
    </row>
    <row r="11707" spans="104:111">
      <c r="CZ11707" s="256"/>
      <c r="DG11707" s="256"/>
    </row>
    <row r="11708" spans="104:111">
      <c r="CZ11708" s="256"/>
      <c r="DG11708" s="256"/>
    </row>
    <row r="11709" spans="104:111">
      <c r="CZ11709" s="256"/>
      <c r="DG11709" s="256"/>
    </row>
    <row r="11710" spans="104:111">
      <c r="CZ11710" s="256"/>
      <c r="DG11710" s="256"/>
    </row>
    <row r="11711" spans="104:111">
      <c r="CZ11711" s="256"/>
      <c r="DG11711" s="256"/>
    </row>
    <row r="11712" spans="104:111">
      <c r="CZ11712" s="256"/>
      <c r="DG11712" s="256"/>
    </row>
    <row r="11713" spans="104:111">
      <c r="CZ11713" s="256"/>
      <c r="DG11713" s="256"/>
    </row>
    <row r="11714" spans="104:111">
      <c r="CZ11714" s="256"/>
      <c r="DG11714" s="256"/>
    </row>
    <row r="11715" spans="104:111">
      <c r="CZ11715" s="256"/>
      <c r="DG11715" s="256"/>
    </row>
    <row r="11716" spans="104:111">
      <c r="CZ11716" s="256"/>
      <c r="DG11716" s="256"/>
    </row>
    <row r="11717" spans="104:111">
      <c r="CZ11717" s="256"/>
      <c r="DG11717" s="256"/>
    </row>
    <row r="11718" spans="104:111">
      <c r="CZ11718" s="256"/>
      <c r="DG11718" s="256"/>
    </row>
    <row r="11719" spans="104:111">
      <c r="CZ11719" s="256"/>
      <c r="DG11719" s="256"/>
    </row>
    <row r="11720" spans="104:111">
      <c r="CZ11720" s="256"/>
      <c r="DG11720" s="256"/>
    </row>
    <row r="11721" spans="104:111">
      <c r="CZ11721" s="256"/>
      <c r="DG11721" s="256"/>
    </row>
    <row r="11722" spans="104:111">
      <c r="CZ11722" s="256"/>
      <c r="DG11722" s="256"/>
    </row>
    <row r="11723" spans="104:111">
      <c r="CZ11723" s="256"/>
      <c r="DG11723" s="256"/>
    </row>
    <row r="11724" spans="104:111">
      <c r="CZ11724" s="256"/>
      <c r="DG11724" s="256"/>
    </row>
    <row r="11725" spans="104:111">
      <c r="CZ11725" s="256"/>
      <c r="DG11725" s="256"/>
    </row>
    <row r="11726" spans="104:111">
      <c r="CZ11726" s="256"/>
      <c r="DG11726" s="256"/>
    </row>
    <row r="11727" spans="104:111">
      <c r="CZ11727" s="256"/>
      <c r="DG11727" s="256"/>
    </row>
    <row r="11728" spans="104:111">
      <c r="CZ11728" s="256"/>
      <c r="DG11728" s="256"/>
    </row>
    <row r="11729" spans="104:111">
      <c r="CZ11729" s="256"/>
      <c r="DG11729" s="256"/>
    </row>
    <row r="11730" spans="104:111">
      <c r="CZ11730" s="256"/>
      <c r="DG11730" s="256"/>
    </row>
    <row r="11731" spans="104:111">
      <c r="CZ11731" s="256"/>
      <c r="DG11731" s="256"/>
    </row>
    <row r="11732" spans="104:111">
      <c r="CZ11732" s="256"/>
      <c r="DG11732" s="256"/>
    </row>
    <row r="11733" spans="104:111">
      <c r="CZ11733" s="256"/>
      <c r="DG11733" s="256"/>
    </row>
    <row r="11734" spans="104:111">
      <c r="CZ11734" s="256"/>
      <c r="DG11734" s="256"/>
    </row>
    <row r="11735" spans="104:111">
      <c r="CZ11735" s="256"/>
      <c r="DG11735" s="256"/>
    </row>
    <row r="11736" spans="104:111">
      <c r="CZ11736" s="256"/>
      <c r="DG11736" s="256"/>
    </row>
    <row r="11737" spans="104:111">
      <c r="CZ11737" s="256"/>
      <c r="DG11737" s="256"/>
    </row>
    <row r="11738" spans="104:111">
      <c r="CZ11738" s="256"/>
      <c r="DG11738" s="256"/>
    </row>
    <row r="11739" spans="104:111">
      <c r="CZ11739" s="256"/>
      <c r="DG11739" s="256"/>
    </row>
    <row r="11740" spans="104:111">
      <c r="CZ11740" s="256"/>
      <c r="DG11740" s="256"/>
    </row>
    <row r="11741" spans="104:111">
      <c r="CZ11741" s="256"/>
      <c r="DG11741" s="256"/>
    </row>
    <row r="11742" spans="104:111">
      <c r="CZ11742" s="256"/>
      <c r="DG11742" s="256"/>
    </row>
    <row r="11743" spans="104:111">
      <c r="CZ11743" s="256"/>
      <c r="DG11743" s="256"/>
    </row>
    <row r="11744" spans="104:111">
      <c r="CZ11744" s="256"/>
      <c r="DG11744" s="256"/>
    </row>
    <row r="11745" spans="104:111">
      <c r="CZ11745" s="256"/>
      <c r="DG11745" s="256"/>
    </row>
    <row r="11746" spans="104:111">
      <c r="CZ11746" s="256"/>
      <c r="DG11746" s="256"/>
    </row>
    <row r="11747" spans="104:111">
      <c r="CZ11747" s="256"/>
      <c r="DG11747" s="256"/>
    </row>
    <row r="11748" spans="104:111">
      <c r="CZ11748" s="256"/>
      <c r="DG11748" s="256"/>
    </row>
    <row r="11749" spans="104:111">
      <c r="CZ11749" s="256"/>
      <c r="DG11749" s="256"/>
    </row>
    <row r="11750" spans="104:111">
      <c r="CZ11750" s="256"/>
      <c r="DG11750" s="256"/>
    </row>
    <row r="11751" spans="104:111">
      <c r="CZ11751" s="256"/>
      <c r="DG11751" s="256"/>
    </row>
    <row r="11752" spans="104:111">
      <c r="CZ11752" s="256"/>
      <c r="DG11752" s="256"/>
    </row>
    <row r="11753" spans="104:111">
      <c r="CZ11753" s="256"/>
      <c r="DG11753" s="256"/>
    </row>
    <row r="11754" spans="104:111">
      <c r="CZ11754" s="256"/>
      <c r="DG11754" s="256"/>
    </row>
    <row r="11755" spans="104:111">
      <c r="CZ11755" s="256"/>
      <c r="DG11755" s="256"/>
    </row>
    <row r="11756" spans="104:111">
      <c r="CZ11756" s="256"/>
      <c r="DG11756" s="256"/>
    </row>
    <row r="11757" spans="104:111">
      <c r="CZ11757" s="256"/>
      <c r="DG11757" s="256"/>
    </row>
    <row r="11758" spans="104:111">
      <c r="CZ11758" s="256"/>
      <c r="DG11758" s="256"/>
    </row>
    <row r="11759" spans="104:111">
      <c r="CZ11759" s="256"/>
      <c r="DG11759" s="256"/>
    </row>
    <row r="11760" spans="104:111">
      <c r="CZ11760" s="256"/>
      <c r="DG11760" s="256"/>
    </row>
    <row r="11761" spans="104:111">
      <c r="CZ11761" s="256"/>
      <c r="DG11761" s="256"/>
    </row>
    <row r="11762" spans="104:111">
      <c r="CZ11762" s="256"/>
      <c r="DG11762" s="256"/>
    </row>
    <row r="11763" spans="104:111">
      <c r="CZ11763" s="256"/>
      <c r="DG11763" s="256"/>
    </row>
    <row r="11764" spans="104:111">
      <c r="CZ11764" s="256"/>
      <c r="DG11764" s="256"/>
    </row>
    <row r="11765" spans="104:111">
      <c r="CZ11765" s="256"/>
      <c r="DG11765" s="256"/>
    </row>
    <row r="11766" spans="104:111">
      <c r="CZ11766" s="256"/>
      <c r="DG11766" s="256"/>
    </row>
    <row r="11767" spans="104:111">
      <c r="CZ11767" s="256"/>
      <c r="DG11767" s="256"/>
    </row>
    <row r="11768" spans="104:111">
      <c r="CZ11768" s="256"/>
      <c r="DG11768" s="256"/>
    </row>
    <row r="11769" spans="104:111">
      <c r="CZ11769" s="256"/>
      <c r="DG11769" s="256"/>
    </row>
    <row r="11770" spans="104:111">
      <c r="CZ11770" s="256"/>
      <c r="DG11770" s="256"/>
    </row>
    <row r="11771" spans="104:111">
      <c r="CZ11771" s="256"/>
      <c r="DG11771" s="256"/>
    </row>
    <row r="11772" spans="104:111">
      <c r="CZ11772" s="256"/>
      <c r="DG11772" s="256"/>
    </row>
    <row r="11773" spans="104:111">
      <c r="CZ11773" s="256"/>
      <c r="DG11773" s="256"/>
    </row>
    <row r="11774" spans="104:111">
      <c r="CZ11774" s="256"/>
      <c r="DG11774" s="256"/>
    </row>
    <row r="11775" spans="104:111">
      <c r="CZ11775" s="256"/>
      <c r="DG11775" s="256"/>
    </row>
    <row r="11776" spans="104:111">
      <c r="CZ11776" s="256"/>
      <c r="DG11776" s="256"/>
    </row>
    <row r="11777" spans="104:111">
      <c r="CZ11777" s="256"/>
      <c r="DG11777" s="256"/>
    </row>
    <row r="11778" spans="104:111">
      <c r="CZ11778" s="256"/>
      <c r="DG11778" s="256"/>
    </row>
    <row r="11779" spans="104:111">
      <c r="CZ11779" s="256"/>
      <c r="DG11779" s="256"/>
    </row>
    <row r="11780" spans="104:111">
      <c r="CZ11780" s="256"/>
      <c r="DG11780" s="256"/>
    </row>
    <row r="11781" spans="104:111">
      <c r="CZ11781" s="256"/>
      <c r="DG11781" s="256"/>
    </row>
    <row r="11782" spans="104:111">
      <c r="CZ11782" s="256"/>
      <c r="DG11782" s="256"/>
    </row>
    <row r="11783" spans="104:111">
      <c r="CZ11783" s="256"/>
      <c r="DG11783" s="256"/>
    </row>
    <row r="11784" spans="104:111">
      <c r="CZ11784" s="256"/>
      <c r="DG11784" s="256"/>
    </row>
    <row r="11785" spans="104:111">
      <c r="CZ11785" s="256"/>
      <c r="DG11785" s="256"/>
    </row>
    <row r="11786" spans="104:111">
      <c r="CZ11786" s="256"/>
      <c r="DG11786" s="256"/>
    </row>
    <row r="11787" spans="104:111">
      <c r="CZ11787" s="256"/>
      <c r="DG11787" s="256"/>
    </row>
    <row r="11788" spans="104:111">
      <c r="CZ11788" s="256"/>
      <c r="DG11788" s="256"/>
    </row>
    <row r="11789" spans="104:111">
      <c r="CZ11789" s="256"/>
      <c r="DG11789" s="256"/>
    </row>
    <row r="11790" spans="104:111">
      <c r="CZ11790" s="256"/>
      <c r="DG11790" s="256"/>
    </row>
    <row r="11791" spans="104:111">
      <c r="CZ11791" s="256"/>
      <c r="DG11791" s="256"/>
    </row>
    <row r="11792" spans="104:111">
      <c r="CZ11792" s="256"/>
      <c r="DG11792" s="256"/>
    </row>
    <row r="11793" spans="104:111">
      <c r="CZ11793" s="256"/>
      <c r="DG11793" s="256"/>
    </row>
    <row r="11794" spans="104:111">
      <c r="CZ11794" s="256"/>
      <c r="DG11794" s="256"/>
    </row>
    <row r="11795" spans="104:111">
      <c r="CZ11795" s="256"/>
      <c r="DG11795" s="256"/>
    </row>
    <row r="11796" spans="104:111">
      <c r="CZ11796" s="256"/>
      <c r="DG11796" s="256"/>
    </row>
    <row r="11797" spans="104:111">
      <c r="CZ11797" s="256"/>
      <c r="DG11797" s="256"/>
    </row>
    <row r="11798" spans="104:111">
      <c r="CZ11798" s="256"/>
      <c r="DG11798" s="256"/>
    </row>
    <row r="11799" spans="104:111">
      <c r="CZ11799" s="256"/>
      <c r="DG11799" s="256"/>
    </row>
    <row r="11800" spans="104:111">
      <c r="CZ11800" s="256"/>
      <c r="DG11800" s="256"/>
    </row>
    <row r="11801" spans="104:111">
      <c r="CZ11801" s="256"/>
      <c r="DG11801" s="256"/>
    </row>
    <row r="11802" spans="104:111">
      <c r="CZ11802" s="256"/>
      <c r="DG11802" s="256"/>
    </row>
    <row r="11803" spans="104:111">
      <c r="CZ11803" s="256"/>
      <c r="DG11803" s="256"/>
    </row>
    <row r="11804" spans="104:111">
      <c r="CZ11804" s="256"/>
      <c r="DG11804" s="256"/>
    </row>
    <row r="11805" spans="104:111">
      <c r="CZ11805" s="256"/>
      <c r="DG11805" s="256"/>
    </row>
    <row r="11806" spans="104:111">
      <c r="CZ11806" s="256"/>
      <c r="DG11806" s="256"/>
    </row>
    <row r="11807" spans="104:111">
      <c r="CZ11807" s="256"/>
      <c r="DG11807" s="256"/>
    </row>
    <row r="11808" spans="104:111">
      <c r="CZ11808" s="256"/>
      <c r="DG11808" s="256"/>
    </row>
    <row r="11809" spans="104:111">
      <c r="CZ11809" s="256"/>
      <c r="DG11809" s="256"/>
    </row>
    <row r="11810" spans="104:111">
      <c r="CZ11810" s="256"/>
      <c r="DG11810" s="256"/>
    </row>
    <row r="11811" spans="104:111">
      <c r="CZ11811" s="256"/>
      <c r="DG11811" s="256"/>
    </row>
    <row r="11812" spans="104:111">
      <c r="CZ11812" s="256"/>
      <c r="DG11812" s="256"/>
    </row>
    <row r="11813" spans="104:111">
      <c r="CZ11813" s="256"/>
      <c r="DG11813" s="256"/>
    </row>
    <row r="11814" spans="104:111">
      <c r="CZ11814" s="256"/>
      <c r="DG11814" s="256"/>
    </row>
    <row r="11815" spans="104:111">
      <c r="CZ11815" s="256"/>
      <c r="DG11815" s="256"/>
    </row>
    <row r="11816" spans="104:111">
      <c r="CZ11816" s="256"/>
      <c r="DG11816" s="256"/>
    </row>
    <row r="11817" spans="104:111">
      <c r="CZ11817" s="256"/>
      <c r="DG11817" s="256"/>
    </row>
    <row r="11818" spans="104:111">
      <c r="CZ11818" s="256"/>
      <c r="DG11818" s="256"/>
    </row>
    <row r="11819" spans="104:111">
      <c r="CZ11819" s="256"/>
      <c r="DG11819" s="256"/>
    </row>
    <row r="11820" spans="104:111">
      <c r="CZ11820" s="256"/>
      <c r="DG11820" s="256"/>
    </row>
    <row r="11821" spans="104:111">
      <c r="CZ11821" s="256"/>
      <c r="DG11821" s="256"/>
    </row>
    <row r="11822" spans="104:111">
      <c r="CZ11822" s="256"/>
      <c r="DG11822" s="256"/>
    </row>
    <row r="11823" spans="104:111">
      <c r="CZ11823" s="256"/>
      <c r="DG11823" s="256"/>
    </row>
    <row r="11824" spans="104:111">
      <c r="CZ11824" s="256"/>
      <c r="DG11824" s="256"/>
    </row>
    <row r="11825" spans="104:111">
      <c r="CZ11825" s="256"/>
      <c r="DG11825" s="256"/>
    </row>
    <row r="11826" spans="104:111">
      <c r="CZ11826" s="256"/>
      <c r="DG11826" s="256"/>
    </row>
    <row r="11827" spans="104:111">
      <c r="CZ11827" s="256"/>
      <c r="DG11827" s="256"/>
    </row>
    <row r="11828" spans="104:111">
      <c r="CZ11828" s="256"/>
      <c r="DG11828" s="256"/>
    </row>
    <row r="11829" spans="104:111">
      <c r="CZ11829" s="256"/>
      <c r="DG11829" s="256"/>
    </row>
    <row r="11830" spans="104:111">
      <c r="CZ11830" s="256"/>
      <c r="DG11830" s="256"/>
    </row>
    <row r="11831" spans="104:111">
      <c r="CZ11831" s="256"/>
      <c r="DG11831" s="256"/>
    </row>
    <row r="11832" spans="104:111">
      <c r="CZ11832" s="256"/>
      <c r="DG11832" s="256"/>
    </row>
    <row r="11833" spans="104:111">
      <c r="CZ11833" s="256"/>
      <c r="DG11833" s="256"/>
    </row>
    <row r="11834" spans="104:111">
      <c r="CZ11834" s="256"/>
      <c r="DG11834" s="256"/>
    </row>
    <row r="11835" spans="104:111">
      <c r="CZ11835" s="256"/>
      <c r="DG11835" s="256"/>
    </row>
    <row r="11836" spans="104:111">
      <c r="CZ11836" s="256"/>
      <c r="DG11836" s="256"/>
    </row>
    <row r="11837" spans="104:111">
      <c r="CZ11837" s="256"/>
      <c r="DG11837" s="256"/>
    </row>
    <row r="11838" spans="104:111">
      <c r="CZ11838" s="256"/>
      <c r="DG11838" s="256"/>
    </row>
    <row r="11839" spans="104:111">
      <c r="CZ11839" s="256"/>
      <c r="DG11839" s="256"/>
    </row>
    <row r="11840" spans="104:111">
      <c r="CZ11840" s="256"/>
      <c r="DG11840" s="256"/>
    </row>
    <row r="11841" spans="104:111">
      <c r="CZ11841" s="256"/>
      <c r="DG11841" s="256"/>
    </row>
    <row r="11842" spans="104:111">
      <c r="CZ11842" s="256"/>
      <c r="DG11842" s="256"/>
    </row>
    <row r="11843" spans="104:111">
      <c r="CZ11843" s="256"/>
      <c r="DG11843" s="256"/>
    </row>
    <row r="11844" spans="104:111">
      <c r="CZ11844" s="256"/>
      <c r="DG11844" s="256"/>
    </row>
    <row r="11845" spans="104:111">
      <c r="CZ11845" s="256"/>
      <c r="DG11845" s="256"/>
    </row>
    <row r="11846" spans="104:111">
      <c r="CZ11846" s="256"/>
      <c r="DG11846" s="256"/>
    </row>
    <row r="11847" spans="104:111">
      <c r="CZ11847" s="256"/>
      <c r="DG11847" s="256"/>
    </row>
    <row r="11848" spans="104:111">
      <c r="CZ11848" s="256"/>
      <c r="DG11848" s="256"/>
    </row>
    <row r="11849" spans="104:111">
      <c r="CZ11849" s="256"/>
      <c r="DG11849" s="256"/>
    </row>
    <row r="11850" spans="104:111">
      <c r="CZ11850" s="256"/>
      <c r="DG11850" s="256"/>
    </row>
    <row r="11851" spans="104:111">
      <c r="CZ11851" s="256"/>
      <c r="DG11851" s="256"/>
    </row>
    <row r="11852" spans="104:111">
      <c r="CZ11852" s="256"/>
      <c r="DG11852" s="256"/>
    </row>
    <row r="11853" spans="104:111">
      <c r="CZ11853" s="256"/>
      <c r="DG11853" s="256"/>
    </row>
    <row r="11854" spans="104:111">
      <c r="CZ11854" s="256"/>
      <c r="DG11854" s="256"/>
    </row>
    <row r="11855" spans="104:111">
      <c r="CZ11855" s="256"/>
      <c r="DG11855" s="256"/>
    </row>
    <row r="11856" spans="104:111">
      <c r="CZ11856" s="256"/>
      <c r="DG11856" s="256"/>
    </row>
    <row r="11857" spans="104:111">
      <c r="CZ11857" s="256"/>
      <c r="DG11857" s="256"/>
    </row>
    <row r="11858" spans="104:111">
      <c r="CZ11858" s="256"/>
      <c r="DG11858" s="256"/>
    </row>
    <row r="11859" spans="104:111">
      <c r="CZ11859" s="256"/>
      <c r="DG11859" s="256"/>
    </row>
    <row r="11860" spans="104:111">
      <c r="CZ11860" s="256"/>
      <c r="DG11860" s="256"/>
    </row>
    <row r="11861" spans="104:111">
      <c r="CZ11861" s="256"/>
      <c r="DG11861" s="256"/>
    </row>
    <row r="11862" spans="104:111">
      <c r="CZ11862" s="256"/>
      <c r="DG11862" s="256"/>
    </row>
    <row r="11863" spans="104:111">
      <c r="CZ11863" s="256"/>
      <c r="DG11863" s="256"/>
    </row>
    <row r="11864" spans="104:111">
      <c r="CZ11864" s="256"/>
      <c r="DG11864" s="256"/>
    </row>
    <row r="11865" spans="104:111">
      <c r="CZ11865" s="256"/>
      <c r="DG11865" s="256"/>
    </row>
    <row r="11866" spans="104:111">
      <c r="CZ11866" s="256"/>
      <c r="DG11866" s="256"/>
    </row>
    <row r="11867" spans="104:111">
      <c r="CZ11867" s="256"/>
      <c r="DG11867" s="256"/>
    </row>
    <row r="11868" spans="104:111">
      <c r="CZ11868" s="256"/>
      <c r="DG11868" s="256"/>
    </row>
    <row r="11869" spans="104:111">
      <c r="CZ11869" s="256"/>
      <c r="DG11869" s="256"/>
    </row>
    <row r="11870" spans="104:111">
      <c r="CZ11870" s="256"/>
      <c r="DG11870" s="256"/>
    </row>
    <row r="11871" spans="104:111">
      <c r="CZ11871" s="256"/>
      <c r="DG11871" s="256"/>
    </row>
    <row r="11872" spans="104:111">
      <c r="CZ11872" s="256"/>
      <c r="DG11872" s="256"/>
    </row>
    <row r="11873" spans="104:111">
      <c r="CZ11873" s="256"/>
      <c r="DG11873" s="256"/>
    </row>
    <row r="11874" spans="104:111">
      <c r="CZ11874" s="256"/>
      <c r="DG11874" s="256"/>
    </row>
    <row r="11875" spans="104:111">
      <c r="CZ11875" s="256"/>
      <c r="DG11875" s="256"/>
    </row>
    <row r="11876" spans="104:111">
      <c r="CZ11876" s="256"/>
      <c r="DG11876" s="256"/>
    </row>
    <row r="11877" spans="104:111">
      <c r="CZ11877" s="256"/>
      <c r="DG11877" s="256"/>
    </row>
    <row r="11878" spans="104:111">
      <c r="CZ11878" s="256"/>
      <c r="DG11878" s="256"/>
    </row>
    <row r="11879" spans="104:111">
      <c r="CZ11879" s="256"/>
      <c r="DG11879" s="256"/>
    </row>
    <row r="11880" spans="104:111">
      <c r="CZ11880" s="256"/>
      <c r="DG11880" s="256"/>
    </row>
    <row r="11881" spans="104:111">
      <c r="CZ11881" s="256"/>
      <c r="DG11881" s="256"/>
    </row>
    <row r="11882" spans="104:111">
      <c r="CZ11882" s="256"/>
      <c r="DG11882" s="256"/>
    </row>
    <row r="11883" spans="104:111">
      <c r="CZ11883" s="256"/>
      <c r="DG11883" s="256"/>
    </row>
    <row r="11884" spans="104:111">
      <c r="CZ11884" s="256"/>
      <c r="DG11884" s="256"/>
    </row>
    <row r="11885" spans="104:111">
      <c r="CZ11885" s="256"/>
      <c r="DG11885" s="256"/>
    </row>
    <row r="11886" spans="104:111">
      <c r="CZ11886" s="256"/>
      <c r="DG11886" s="256"/>
    </row>
    <row r="11887" spans="104:111">
      <c r="CZ11887" s="256"/>
      <c r="DG11887" s="256"/>
    </row>
    <row r="11888" spans="104:111">
      <c r="CZ11888" s="256"/>
      <c r="DG11888" s="256"/>
    </row>
    <row r="11889" spans="104:111">
      <c r="CZ11889" s="256"/>
      <c r="DG11889" s="256"/>
    </row>
    <row r="11890" spans="104:111">
      <c r="CZ11890" s="256"/>
      <c r="DG11890" s="256"/>
    </row>
    <row r="11891" spans="104:111">
      <c r="CZ11891" s="256"/>
      <c r="DG11891" s="256"/>
    </row>
    <row r="11892" spans="104:111">
      <c r="CZ11892" s="256"/>
      <c r="DG11892" s="256"/>
    </row>
    <row r="11893" spans="104:111">
      <c r="CZ11893" s="256"/>
      <c r="DG11893" s="256"/>
    </row>
    <row r="11894" spans="104:111">
      <c r="CZ11894" s="256"/>
      <c r="DG11894" s="256"/>
    </row>
    <row r="11895" spans="104:111">
      <c r="CZ11895" s="256"/>
      <c r="DG11895" s="256"/>
    </row>
    <row r="11896" spans="104:111">
      <c r="CZ11896" s="256"/>
      <c r="DG11896" s="256"/>
    </row>
    <row r="11897" spans="104:111">
      <c r="CZ11897" s="256"/>
      <c r="DG11897" s="256"/>
    </row>
    <row r="11898" spans="104:111">
      <c r="CZ11898" s="256"/>
      <c r="DG11898" s="256"/>
    </row>
    <row r="11899" spans="104:111">
      <c r="CZ11899" s="256"/>
      <c r="DG11899" s="256"/>
    </row>
    <row r="11900" spans="104:111">
      <c r="CZ11900" s="256"/>
      <c r="DG11900" s="256"/>
    </row>
    <row r="11901" spans="104:111">
      <c r="CZ11901" s="256"/>
      <c r="DG11901" s="256"/>
    </row>
    <row r="11902" spans="104:111">
      <c r="CZ11902" s="256"/>
      <c r="DG11902" s="256"/>
    </row>
    <row r="11903" spans="104:111">
      <c r="CZ11903" s="256"/>
      <c r="DG11903" s="256"/>
    </row>
    <row r="11904" spans="104:111">
      <c r="CZ11904" s="256"/>
      <c r="DG11904" s="256"/>
    </row>
    <row r="11905" spans="104:111">
      <c r="CZ11905" s="256"/>
      <c r="DG11905" s="256"/>
    </row>
    <row r="11906" spans="104:111">
      <c r="CZ11906" s="256"/>
      <c r="DG11906" s="256"/>
    </row>
    <row r="11907" spans="104:111">
      <c r="CZ11907" s="256"/>
      <c r="DG11907" s="256"/>
    </row>
    <row r="11908" spans="104:111">
      <c r="CZ11908" s="256"/>
      <c r="DG11908" s="256"/>
    </row>
    <row r="11909" spans="104:111">
      <c r="CZ11909" s="256"/>
      <c r="DG11909" s="256"/>
    </row>
    <row r="11910" spans="104:111">
      <c r="CZ11910" s="256"/>
      <c r="DG11910" s="256"/>
    </row>
    <row r="11911" spans="104:111">
      <c r="CZ11911" s="256"/>
      <c r="DG11911" s="256"/>
    </row>
    <row r="11912" spans="104:111">
      <c r="CZ11912" s="256"/>
      <c r="DG11912" s="256"/>
    </row>
    <row r="11913" spans="104:111">
      <c r="CZ11913" s="256"/>
      <c r="DG11913" s="256"/>
    </row>
    <row r="11914" spans="104:111">
      <c r="CZ11914" s="256"/>
      <c r="DG11914" s="256"/>
    </row>
    <row r="11915" spans="104:111">
      <c r="CZ11915" s="256"/>
      <c r="DG11915" s="256"/>
    </row>
    <row r="11916" spans="104:111">
      <c r="CZ11916" s="256"/>
      <c r="DG11916" s="256"/>
    </row>
    <row r="11917" spans="104:111">
      <c r="CZ11917" s="256"/>
      <c r="DG11917" s="256"/>
    </row>
    <row r="11918" spans="104:111">
      <c r="CZ11918" s="256"/>
      <c r="DG11918" s="256"/>
    </row>
    <row r="11919" spans="104:111">
      <c r="CZ11919" s="256"/>
      <c r="DG11919" s="256"/>
    </row>
    <row r="11920" spans="104:111">
      <c r="CZ11920" s="256"/>
      <c r="DG11920" s="256"/>
    </row>
    <row r="11921" spans="104:111">
      <c r="CZ11921" s="256"/>
      <c r="DG11921" s="256"/>
    </row>
    <row r="11922" spans="104:111">
      <c r="CZ11922" s="256"/>
      <c r="DG11922" s="256"/>
    </row>
    <row r="11923" spans="104:111">
      <c r="CZ11923" s="256"/>
      <c r="DG11923" s="256"/>
    </row>
    <row r="11924" spans="104:111">
      <c r="CZ11924" s="256"/>
      <c r="DG11924" s="256"/>
    </row>
    <row r="11925" spans="104:111">
      <c r="CZ11925" s="256"/>
      <c r="DG11925" s="256"/>
    </row>
    <row r="11926" spans="104:111">
      <c r="CZ11926" s="256"/>
      <c r="DG11926" s="256"/>
    </row>
    <row r="11927" spans="104:111">
      <c r="CZ11927" s="256"/>
      <c r="DG11927" s="256"/>
    </row>
    <row r="11928" spans="104:111">
      <c r="CZ11928" s="256"/>
      <c r="DG11928" s="256"/>
    </row>
    <row r="11929" spans="104:111">
      <c r="CZ11929" s="256"/>
      <c r="DG11929" s="256"/>
    </row>
    <row r="11930" spans="104:111">
      <c r="CZ11930" s="256"/>
      <c r="DG11930" s="256"/>
    </row>
    <row r="11931" spans="104:111">
      <c r="CZ11931" s="256"/>
      <c r="DG11931" s="256"/>
    </row>
    <row r="11932" spans="104:111">
      <c r="CZ11932" s="256"/>
      <c r="DG11932" s="256"/>
    </row>
    <row r="11933" spans="104:111">
      <c r="CZ11933" s="256"/>
      <c r="DG11933" s="256"/>
    </row>
    <row r="11934" spans="104:111">
      <c r="CZ11934" s="256"/>
      <c r="DG11934" s="256"/>
    </row>
    <row r="11935" spans="104:111">
      <c r="CZ11935" s="256"/>
      <c r="DG11935" s="256"/>
    </row>
    <row r="11936" spans="104:111">
      <c r="CZ11936" s="256"/>
      <c r="DG11936" s="256"/>
    </row>
    <row r="11937" spans="104:111">
      <c r="CZ11937" s="256"/>
      <c r="DG11937" s="256"/>
    </row>
    <row r="11938" spans="104:111">
      <c r="CZ11938" s="256"/>
      <c r="DG11938" s="256"/>
    </row>
    <row r="11939" spans="104:111">
      <c r="CZ11939" s="256"/>
      <c r="DG11939" s="256"/>
    </row>
    <row r="11940" spans="104:111">
      <c r="CZ11940" s="256"/>
      <c r="DG11940" s="256"/>
    </row>
    <row r="11941" spans="104:111">
      <c r="CZ11941" s="256"/>
      <c r="DG11941" s="256"/>
    </row>
    <row r="11942" spans="104:111">
      <c r="CZ11942" s="256"/>
      <c r="DG11942" s="256"/>
    </row>
    <row r="11943" spans="104:111">
      <c r="CZ11943" s="256"/>
      <c r="DG11943" s="256"/>
    </row>
    <row r="11944" spans="104:111">
      <c r="CZ11944" s="256"/>
      <c r="DG11944" s="256"/>
    </row>
    <row r="11945" spans="104:111">
      <c r="CZ11945" s="256"/>
      <c r="DG11945" s="256"/>
    </row>
    <row r="11946" spans="104:111">
      <c r="CZ11946" s="256"/>
      <c r="DG11946" s="256"/>
    </row>
    <row r="11947" spans="104:111">
      <c r="CZ11947" s="256"/>
      <c r="DG11947" s="256"/>
    </row>
    <row r="11948" spans="104:111">
      <c r="CZ11948" s="256"/>
      <c r="DG11948" s="256"/>
    </row>
    <row r="11949" spans="104:111">
      <c r="CZ11949" s="256"/>
      <c r="DG11949" s="256"/>
    </row>
    <row r="11950" spans="104:111">
      <c r="CZ11950" s="256"/>
      <c r="DG11950" s="256"/>
    </row>
    <row r="11951" spans="104:111">
      <c r="CZ11951" s="256"/>
      <c r="DG11951" s="256"/>
    </row>
    <row r="11952" spans="104:111">
      <c r="CZ11952" s="256"/>
      <c r="DG11952" s="256"/>
    </row>
    <row r="11953" spans="104:111">
      <c r="CZ11953" s="256"/>
      <c r="DG11953" s="256"/>
    </row>
    <row r="11954" spans="104:111">
      <c r="CZ11954" s="256"/>
      <c r="DG11954" s="256"/>
    </row>
    <row r="11955" spans="104:111">
      <c r="CZ11955" s="256"/>
      <c r="DG11955" s="256"/>
    </row>
    <row r="11956" spans="104:111">
      <c r="CZ11956" s="256"/>
      <c r="DG11956" s="256"/>
    </row>
    <row r="11957" spans="104:111">
      <c r="CZ11957" s="256"/>
      <c r="DG11957" s="256"/>
    </row>
    <row r="11958" spans="104:111">
      <c r="CZ11958" s="256"/>
      <c r="DG11958" s="256"/>
    </row>
    <row r="11959" spans="104:111">
      <c r="CZ11959" s="256"/>
      <c r="DG11959" s="256"/>
    </row>
    <row r="11960" spans="104:111">
      <c r="CZ11960" s="256"/>
      <c r="DG11960" s="256"/>
    </row>
    <row r="11961" spans="104:111">
      <c r="CZ11961" s="256"/>
      <c r="DG11961" s="256"/>
    </row>
    <row r="11962" spans="104:111">
      <c r="CZ11962" s="256"/>
      <c r="DG11962" s="256"/>
    </row>
    <row r="11963" spans="104:111">
      <c r="CZ11963" s="256"/>
      <c r="DG11963" s="256"/>
    </row>
    <row r="11964" spans="104:111">
      <c r="CZ11964" s="256"/>
      <c r="DG11964" s="256"/>
    </row>
    <row r="11965" spans="104:111">
      <c r="CZ11965" s="256"/>
      <c r="DG11965" s="256"/>
    </row>
    <row r="11966" spans="104:111">
      <c r="CZ11966" s="256"/>
      <c r="DG11966" s="256"/>
    </row>
    <row r="11967" spans="104:111">
      <c r="CZ11967" s="256"/>
      <c r="DG11967" s="256"/>
    </row>
    <row r="11968" spans="104:111">
      <c r="CZ11968" s="256"/>
      <c r="DG11968" s="256"/>
    </row>
    <row r="11969" spans="104:111">
      <c r="CZ11969" s="256"/>
      <c r="DG11969" s="256"/>
    </row>
    <row r="11970" spans="104:111">
      <c r="CZ11970" s="256"/>
      <c r="DG11970" s="256"/>
    </row>
    <row r="11971" spans="104:111">
      <c r="CZ11971" s="256"/>
      <c r="DG11971" s="256"/>
    </row>
    <row r="11972" spans="104:111">
      <c r="CZ11972" s="256"/>
      <c r="DG11972" s="256"/>
    </row>
    <row r="11973" spans="104:111">
      <c r="CZ11973" s="256"/>
      <c r="DG11973" s="256"/>
    </row>
    <row r="11974" spans="104:111">
      <c r="CZ11974" s="256"/>
      <c r="DG11974" s="256"/>
    </row>
    <row r="11975" spans="104:111">
      <c r="CZ11975" s="256"/>
      <c r="DG11975" s="256"/>
    </row>
    <row r="11976" spans="104:111">
      <c r="CZ11976" s="256"/>
      <c r="DG11976" s="256"/>
    </row>
    <row r="11977" spans="104:111">
      <c r="CZ11977" s="256"/>
      <c r="DG11977" s="256"/>
    </row>
    <row r="11978" spans="104:111">
      <c r="CZ11978" s="256"/>
      <c r="DG11978" s="256"/>
    </row>
    <row r="11979" spans="104:111">
      <c r="CZ11979" s="256"/>
      <c r="DG11979" s="256"/>
    </row>
    <row r="11980" spans="104:111">
      <c r="CZ11980" s="256"/>
      <c r="DG11980" s="256"/>
    </row>
    <row r="11981" spans="104:111">
      <c r="CZ11981" s="256"/>
      <c r="DG11981" s="256"/>
    </row>
    <row r="11982" spans="104:111">
      <c r="CZ11982" s="256"/>
      <c r="DG11982" s="256"/>
    </row>
    <row r="11983" spans="104:111">
      <c r="CZ11983" s="256"/>
      <c r="DG11983" s="256"/>
    </row>
    <row r="11984" spans="104:111">
      <c r="CZ11984" s="256"/>
      <c r="DG11984" s="256"/>
    </row>
    <row r="11985" spans="104:111">
      <c r="CZ11985" s="256"/>
      <c r="DG11985" s="256"/>
    </row>
    <row r="11986" spans="104:111">
      <c r="CZ11986" s="256"/>
      <c r="DG11986" s="256"/>
    </row>
    <row r="11987" spans="104:111">
      <c r="CZ11987" s="256"/>
      <c r="DG11987" s="256"/>
    </row>
    <row r="11988" spans="104:111">
      <c r="CZ11988" s="256"/>
      <c r="DG11988" s="256"/>
    </row>
    <row r="11989" spans="104:111">
      <c r="CZ11989" s="256"/>
      <c r="DG11989" s="256"/>
    </row>
    <row r="11990" spans="104:111">
      <c r="CZ11990" s="256"/>
      <c r="DG11990" s="256"/>
    </row>
    <row r="11991" spans="104:111">
      <c r="CZ11991" s="256"/>
      <c r="DG11991" s="256"/>
    </row>
    <row r="11992" spans="104:111">
      <c r="CZ11992" s="256"/>
      <c r="DG11992" s="256"/>
    </row>
    <row r="11993" spans="104:111">
      <c r="CZ11993" s="256"/>
      <c r="DG11993" s="256"/>
    </row>
    <row r="11994" spans="104:111">
      <c r="CZ11994" s="256"/>
      <c r="DG11994" s="256"/>
    </row>
    <row r="11995" spans="104:111">
      <c r="CZ11995" s="256"/>
      <c r="DG11995" s="256"/>
    </row>
    <row r="11996" spans="104:111">
      <c r="CZ11996" s="256"/>
      <c r="DG11996" s="256"/>
    </row>
    <row r="11997" spans="104:111">
      <c r="CZ11997" s="256"/>
      <c r="DG11997" s="256"/>
    </row>
    <row r="11998" spans="104:111">
      <c r="CZ11998" s="256"/>
      <c r="DG11998" s="256"/>
    </row>
    <row r="11999" spans="104:111">
      <c r="CZ11999" s="256"/>
      <c r="DG11999" s="256"/>
    </row>
    <row r="12000" spans="104:111">
      <c r="CZ12000" s="256"/>
      <c r="DG12000" s="256"/>
    </row>
    <row r="12001" spans="104:111">
      <c r="CZ12001" s="256"/>
      <c r="DG12001" s="256"/>
    </row>
    <row r="12002" spans="104:111">
      <c r="CZ12002" s="256"/>
      <c r="DG12002" s="256"/>
    </row>
    <row r="12003" spans="104:111">
      <c r="CZ12003" s="256"/>
      <c r="DG12003" s="256"/>
    </row>
    <row r="12004" spans="104:111">
      <c r="CZ12004" s="256"/>
      <c r="DG12004" s="256"/>
    </row>
    <row r="12005" spans="104:111">
      <c r="CZ12005" s="256"/>
      <c r="DG12005" s="256"/>
    </row>
    <row r="12006" spans="104:111">
      <c r="CZ12006" s="256"/>
      <c r="DG12006" s="256"/>
    </row>
    <row r="12007" spans="104:111">
      <c r="CZ12007" s="256"/>
      <c r="DG12007" s="256"/>
    </row>
    <row r="12008" spans="104:111">
      <c r="CZ12008" s="256"/>
      <c r="DG12008" s="256"/>
    </row>
    <row r="12009" spans="104:111">
      <c r="CZ12009" s="256"/>
      <c r="DG12009" s="256"/>
    </row>
    <row r="12010" spans="104:111">
      <c r="CZ12010" s="256"/>
      <c r="DG12010" s="256"/>
    </row>
    <row r="12011" spans="104:111">
      <c r="CZ12011" s="256"/>
      <c r="DG12011" s="256"/>
    </row>
    <row r="12012" spans="104:111">
      <c r="CZ12012" s="256"/>
      <c r="DG12012" s="256"/>
    </row>
    <row r="12013" spans="104:111">
      <c r="CZ12013" s="256"/>
      <c r="DG12013" s="256"/>
    </row>
    <row r="12014" spans="104:111">
      <c r="CZ12014" s="256"/>
      <c r="DG12014" s="256"/>
    </row>
    <row r="12015" spans="104:111">
      <c r="CZ12015" s="256"/>
      <c r="DG12015" s="256"/>
    </row>
    <row r="12016" spans="104:111">
      <c r="CZ12016" s="256"/>
      <c r="DG12016" s="256"/>
    </row>
    <row r="12017" spans="104:111">
      <c r="CZ12017" s="256"/>
      <c r="DG12017" s="256"/>
    </row>
    <row r="12018" spans="104:111">
      <c r="CZ12018" s="256"/>
      <c r="DG12018" s="256"/>
    </row>
    <row r="12019" spans="104:111">
      <c r="CZ12019" s="256"/>
      <c r="DG12019" s="256"/>
    </row>
    <row r="12020" spans="104:111">
      <c r="CZ12020" s="256"/>
      <c r="DG12020" s="256"/>
    </row>
    <row r="12021" spans="104:111">
      <c r="CZ12021" s="256"/>
      <c r="DG12021" s="256"/>
    </row>
    <row r="12022" spans="104:111">
      <c r="CZ12022" s="256"/>
      <c r="DG12022" s="256"/>
    </row>
    <row r="12023" spans="104:111">
      <c r="CZ12023" s="256"/>
      <c r="DG12023" s="256"/>
    </row>
    <row r="12024" spans="104:111">
      <c r="CZ12024" s="256"/>
      <c r="DG12024" s="256"/>
    </row>
    <row r="12025" spans="104:111">
      <c r="CZ12025" s="256"/>
      <c r="DG12025" s="256"/>
    </row>
    <row r="12026" spans="104:111">
      <c r="CZ12026" s="256"/>
      <c r="DG12026" s="256"/>
    </row>
    <row r="12027" spans="104:111">
      <c r="CZ12027" s="256"/>
      <c r="DG12027" s="256"/>
    </row>
    <row r="12028" spans="104:111">
      <c r="CZ12028" s="256"/>
      <c r="DG12028" s="256"/>
    </row>
    <row r="12029" spans="104:111">
      <c r="CZ12029" s="256"/>
      <c r="DG12029" s="256"/>
    </row>
    <row r="12030" spans="104:111">
      <c r="CZ12030" s="256"/>
      <c r="DG12030" s="256"/>
    </row>
    <row r="12031" spans="104:111">
      <c r="CZ12031" s="256"/>
      <c r="DG12031" s="256"/>
    </row>
    <row r="12032" spans="104:111">
      <c r="CZ12032" s="256"/>
      <c r="DG12032" s="256"/>
    </row>
    <row r="12033" spans="104:111">
      <c r="CZ12033" s="256"/>
      <c r="DG12033" s="256"/>
    </row>
    <row r="12034" spans="104:111">
      <c r="CZ12034" s="256"/>
      <c r="DG12034" s="256"/>
    </row>
    <row r="12035" spans="104:111">
      <c r="CZ12035" s="256"/>
      <c r="DG12035" s="256"/>
    </row>
    <row r="12036" spans="104:111">
      <c r="CZ12036" s="256"/>
      <c r="DG12036" s="256"/>
    </row>
    <row r="12037" spans="104:111">
      <c r="CZ12037" s="256"/>
      <c r="DG12037" s="256"/>
    </row>
    <row r="12038" spans="104:111">
      <c r="CZ12038" s="256"/>
      <c r="DG12038" s="256"/>
    </row>
    <row r="12039" spans="104:111">
      <c r="CZ12039" s="256"/>
      <c r="DG12039" s="256"/>
    </row>
    <row r="12040" spans="104:111">
      <c r="CZ12040" s="256"/>
      <c r="DG12040" s="256"/>
    </row>
    <row r="12041" spans="104:111">
      <c r="CZ12041" s="256"/>
      <c r="DG12041" s="256"/>
    </row>
    <row r="12042" spans="104:111">
      <c r="CZ12042" s="256"/>
      <c r="DG12042" s="256"/>
    </row>
    <row r="12043" spans="104:111">
      <c r="CZ12043" s="256"/>
      <c r="DG12043" s="256"/>
    </row>
    <row r="12044" spans="104:111">
      <c r="CZ12044" s="256"/>
      <c r="DG12044" s="256"/>
    </row>
    <row r="12045" spans="104:111">
      <c r="CZ12045" s="256"/>
      <c r="DG12045" s="256"/>
    </row>
    <row r="12046" spans="104:111">
      <c r="CZ12046" s="256"/>
      <c r="DG12046" s="256"/>
    </row>
    <row r="12047" spans="104:111">
      <c r="CZ12047" s="256"/>
      <c r="DG12047" s="256"/>
    </row>
    <row r="12048" spans="104:111">
      <c r="CZ12048" s="256"/>
      <c r="DG12048" s="256"/>
    </row>
    <row r="12049" spans="104:111">
      <c r="CZ12049" s="256"/>
      <c r="DG12049" s="256"/>
    </row>
    <row r="12050" spans="104:111">
      <c r="CZ12050" s="256"/>
      <c r="DG12050" s="256"/>
    </row>
    <row r="12051" spans="104:111">
      <c r="CZ12051" s="256"/>
      <c r="DG12051" s="256"/>
    </row>
    <row r="12052" spans="104:111">
      <c r="CZ12052" s="256"/>
      <c r="DG12052" s="256"/>
    </row>
    <row r="12053" spans="104:111">
      <c r="CZ12053" s="256"/>
      <c r="DG12053" s="256"/>
    </row>
    <row r="12054" spans="104:111">
      <c r="CZ12054" s="256"/>
      <c r="DG12054" s="256"/>
    </row>
    <row r="12055" spans="104:111">
      <c r="CZ12055" s="256"/>
      <c r="DG12055" s="256"/>
    </row>
    <row r="12056" spans="104:111">
      <c r="CZ12056" s="256"/>
      <c r="DG12056" s="256"/>
    </row>
    <row r="12057" spans="104:111">
      <c r="CZ12057" s="256"/>
      <c r="DG12057" s="256"/>
    </row>
    <row r="12058" spans="104:111">
      <c r="CZ12058" s="256"/>
      <c r="DG12058" s="256"/>
    </row>
    <row r="12059" spans="104:111">
      <c r="CZ12059" s="256"/>
      <c r="DG12059" s="256"/>
    </row>
    <row r="12060" spans="104:111">
      <c r="CZ12060" s="256"/>
      <c r="DG12060" s="256"/>
    </row>
    <row r="12061" spans="104:111">
      <c r="CZ12061" s="256"/>
      <c r="DG12061" s="256"/>
    </row>
    <row r="12062" spans="104:111">
      <c r="CZ12062" s="256"/>
      <c r="DG12062" s="256"/>
    </row>
    <row r="12063" spans="104:111">
      <c r="CZ12063" s="256"/>
      <c r="DG12063" s="256"/>
    </row>
    <row r="12064" spans="104:111">
      <c r="CZ12064" s="256"/>
      <c r="DG12064" s="256"/>
    </row>
    <row r="12065" spans="104:111">
      <c r="CZ12065" s="256"/>
      <c r="DG12065" s="256"/>
    </row>
    <row r="12066" spans="104:111">
      <c r="CZ12066" s="256"/>
      <c r="DG12066" s="256"/>
    </row>
    <row r="12067" spans="104:111">
      <c r="CZ12067" s="256"/>
      <c r="DG12067" s="256"/>
    </row>
    <row r="12068" spans="104:111">
      <c r="CZ12068" s="256"/>
      <c r="DG12068" s="256"/>
    </row>
    <row r="12069" spans="104:111">
      <c r="CZ12069" s="256"/>
      <c r="DG12069" s="256"/>
    </row>
    <row r="12070" spans="104:111">
      <c r="CZ12070" s="256"/>
      <c r="DG12070" s="256"/>
    </row>
    <row r="12071" spans="104:111">
      <c r="CZ12071" s="256"/>
      <c r="DG12071" s="256"/>
    </row>
    <row r="12072" spans="104:111">
      <c r="CZ12072" s="256"/>
      <c r="DG12072" s="256"/>
    </row>
    <row r="12073" spans="104:111">
      <c r="CZ12073" s="256"/>
      <c r="DG12073" s="256"/>
    </row>
    <row r="12074" spans="104:111">
      <c r="CZ12074" s="256"/>
      <c r="DG12074" s="256"/>
    </row>
    <row r="12075" spans="104:111">
      <c r="CZ12075" s="256"/>
      <c r="DG12075" s="256"/>
    </row>
    <row r="12076" spans="104:111">
      <c r="CZ12076" s="256"/>
      <c r="DG12076" s="256"/>
    </row>
    <row r="12077" spans="104:111">
      <c r="CZ12077" s="256"/>
      <c r="DG12077" s="256"/>
    </row>
    <row r="12078" spans="104:111">
      <c r="CZ12078" s="256"/>
      <c r="DG12078" s="256"/>
    </row>
    <row r="12079" spans="104:111">
      <c r="CZ12079" s="256"/>
      <c r="DG12079" s="256"/>
    </row>
    <row r="12080" spans="104:111">
      <c r="CZ12080" s="256"/>
      <c r="DG12080" s="256"/>
    </row>
    <row r="12081" spans="104:111">
      <c r="CZ12081" s="256"/>
      <c r="DG12081" s="256"/>
    </row>
    <row r="12082" spans="104:111">
      <c r="CZ12082" s="256"/>
      <c r="DG12082" s="256"/>
    </row>
    <row r="12083" spans="104:111">
      <c r="CZ12083" s="256"/>
      <c r="DG12083" s="256"/>
    </row>
    <row r="12084" spans="104:111">
      <c r="CZ12084" s="256"/>
      <c r="DG12084" s="256"/>
    </row>
    <row r="12085" spans="104:111">
      <c r="CZ12085" s="256"/>
      <c r="DG12085" s="256"/>
    </row>
    <row r="12086" spans="104:111">
      <c r="CZ12086" s="256"/>
      <c r="DG12086" s="256"/>
    </row>
    <row r="12087" spans="104:111">
      <c r="CZ12087" s="256"/>
      <c r="DG12087" s="256"/>
    </row>
    <row r="12088" spans="104:111">
      <c r="CZ12088" s="256"/>
      <c r="DG12088" s="256"/>
    </row>
    <row r="12089" spans="104:111">
      <c r="CZ12089" s="256"/>
      <c r="DG12089" s="256"/>
    </row>
    <row r="12090" spans="104:111">
      <c r="CZ12090" s="256"/>
      <c r="DG12090" s="256"/>
    </row>
    <row r="12091" spans="104:111">
      <c r="CZ12091" s="256"/>
      <c r="DG12091" s="256"/>
    </row>
    <row r="12092" spans="104:111">
      <c r="CZ12092" s="256"/>
      <c r="DG12092" s="256"/>
    </row>
    <row r="12093" spans="104:111">
      <c r="CZ12093" s="256"/>
      <c r="DG12093" s="256"/>
    </row>
    <row r="12094" spans="104:111">
      <c r="CZ12094" s="256"/>
      <c r="DG12094" s="256"/>
    </row>
    <row r="12095" spans="104:111">
      <c r="CZ12095" s="256"/>
      <c r="DG12095" s="256"/>
    </row>
    <row r="12096" spans="104:111">
      <c r="CZ12096" s="256"/>
      <c r="DG12096" s="256"/>
    </row>
    <row r="12097" spans="104:111">
      <c r="CZ12097" s="256"/>
      <c r="DG12097" s="256"/>
    </row>
    <row r="12098" spans="104:111">
      <c r="CZ12098" s="256"/>
      <c r="DG12098" s="256"/>
    </row>
    <row r="12099" spans="104:111">
      <c r="CZ12099" s="256"/>
      <c r="DG12099" s="256"/>
    </row>
    <row r="12100" spans="104:111">
      <c r="CZ12100" s="256"/>
      <c r="DG12100" s="256"/>
    </row>
    <row r="12101" spans="104:111">
      <c r="CZ12101" s="256"/>
      <c r="DG12101" s="256"/>
    </row>
    <row r="12102" spans="104:111">
      <c r="CZ12102" s="256"/>
      <c r="DG12102" s="256"/>
    </row>
    <row r="12103" spans="104:111">
      <c r="CZ12103" s="256"/>
      <c r="DG12103" s="256"/>
    </row>
    <row r="12104" spans="104:111">
      <c r="CZ12104" s="256"/>
      <c r="DG12104" s="256"/>
    </row>
    <row r="12105" spans="104:111">
      <c r="CZ12105" s="256"/>
      <c r="DG12105" s="256"/>
    </row>
    <row r="12106" spans="104:111">
      <c r="CZ12106" s="256"/>
      <c r="DG12106" s="256"/>
    </row>
    <row r="12107" spans="104:111">
      <c r="CZ12107" s="256"/>
      <c r="DG12107" s="256"/>
    </row>
    <row r="12108" spans="104:111">
      <c r="CZ12108" s="256"/>
      <c r="DG12108" s="256"/>
    </row>
    <row r="12109" spans="104:111">
      <c r="CZ12109" s="256"/>
      <c r="DG12109" s="256"/>
    </row>
    <row r="12110" spans="104:111">
      <c r="CZ12110" s="256"/>
      <c r="DG12110" s="256"/>
    </row>
    <row r="12111" spans="104:111">
      <c r="CZ12111" s="256"/>
      <c r="DG12111" s="256"/>
    </row>
    <row r="12112" spans="104:111">
      <c r="CZ12112" s="256"/>
      <c r="DG12112" s="256"/>
    </row>
    <row r="12113" spans="104:111">
      <c r="CZ12113" s="256"/>
      <c r="DG12113" s="256"/>
    </row>
    <row r="12114" spans="104:111">
      <c r="CZ12114" s="256"/>
      <c r="DG12114" s="256"/>
    </row>
    <row r="12115" spans="104:111">
      <c r="CZ12115" s="256"/>
      <c r="DG12115" s="256"/>
    </row>
    <row r="12116" spans="104:111">
      <c r="CZ12116" s="256"/>
      <c r="DG12116" s="256"/>
    </row>
    <row r="12117" spans="104:111">
      <c r="CZ12117" s="256"/>
      <c r="DG12117" s="256"/>
    </row>
    <row r="12118" spans="104:111">
      <c r="CZ12118" s="256"/>
      <c r="DG12118" s="256"/>
    </row>
    <row r="12119" spans="104:111">
      <c r="CZ12119" s="256"/>
      <c r="DG12119" s="256"/>
    </row>
    <row r="12120" spans="104:111">
      <c r="CZ12120" s="256"/>
      <c r="DG12120" s="256"/>
    </row>
    <row r="12121" spans="104:111">
      <c r="CZ12121" s="256"/>
      <c r="DG12121" s="256"/>
    </row>
    <row r="12122" spans="104:111">
      <c r="CZ12122" s="256"/>
      <c r="DG12122" s="256"/>
    </row>
    <row r="12123" spans="104:111">
      <c r="CZ12123" s="256"/>
      <c r="DG12123" s="256"/>
    </row>
    <row r="12124" spans="104:111">
      <c r="CZ12124" s="256"/>
      <c r="DG12124" s="256"/>
    </row>
    <row r="12125" spans="104:111">
      <c r="CZ12125" s="256"/>
      <c r="DG12125" s="256"/>
    </row>
    <row r="12126" spans="104:111">
      <c r="CZ12126" s="256"/>
      <c r="DG12126" s="256"/>
    </row>
    <row r="12127" spans="104:111">
      <c r="CZ12127" s="256"/>
      <c r="DG12127" s="256"/>
    </row>
    <row r="12128" spans="104:111">
      <c r="CZ12128" s="256"/>
      <c r="DG12128" s="256"/>
    </row>
    <row r="12129" spans="104:111">
      <c r="CZ12129" s="256"/>
      <c r="DG12129" s="256"/>
    </row>
    <row r="12130" spans="104:111">
      <c r="CZ12130" s="256"/>
      <c r="DG12130" s="256"/>
    </row>
    <row r="12131" spans="104:111">
      <c r="CZ12131" s="256"/>
      <c r="DG12131" s="256"/>
    </row>
    <row r="12132" spans="104:111">
      <c r="CZ12132" s="256"/>
      <c r="DG12132" s="256"/>
    </row>
    <row r="12133" spans="104:111">
      <c r="CZ12133" s="256"/>
      <c r="DG12133" s="256"/>
    </row>
    <row r="12134" spans="104:111">
      <c r="CZ12134" s="256"/>
      <c r="DG12134" s="256"/>
    </row>
    <row r="12135" spans="104:111">
      <c r="CZ12135" s="256"/>
      <c r="DG12135" s="256"/>
    </row>
    <row r="12136" spans="104:111">
      <c r="CZ12136" s="256"/>
      <c r="DG12136" s="256"/>
    </row>
    <row r="12137" spans="104:111">
      <c r="CZ12137" s="256"/>
      <c r="DG12137" s="256"/>
    </row>
    <row r="12138" spans="104:111">
      <c r="CZ12138" s="256"/>
      <c r="DG12138" s="256"/>
    </row>
    <row r="12139" spans="104:111">
      <c r="CZ12139" s="256"/>
      <c r="DG12139" s="256"/>
    </row>
    <row r="12140" spans="104:111">
      <c r="CZ12140" s="256"/>
      <c r="DG12140" s="256"/>
    </row>
    <row r="12141" spans="104:111">
      <c r="CZ12141" s="256"/>
      <c r="DG12141" s="256"/>
    </row>
    <row r="12142" spans="104:111">
      <c r="CZ12142" s="256"/>
      <c r="DG12142" s="256"/>
    </row>
    <row r="12143" spans="104:111">
      <c r="CZ12143" s="256"/>
      <c r="DG12143" s="256"/>
    </row>
    <row r="12144" spans="104:111">
      <c r="CZ12144" s="256"/>
      <c r="DG12144" s="256"/>
    </row>
    <row r="12145" spans="104:111">
      <c r="CZ12145" s="256"/>
      <c r="DG12145" s="256"/>
    </row>
    <row r="12146" spans="104:111">
      <c r="CZ12146" s="256"/>
      <c r="DG12146" s="256"/>
    </row>
    <row r="12147" spans="104:111">
      <c r="CZ12147" s="256"/>
      <c r="DG12147" s="256"/>
    </row>
    <row r="12148" spans="104:111">
      <c r="CZ12148" s="256"/>
      <c r="DG12148" s="256"/>
    </row>
    <row r="12149" spans="104:111">
      <c r="CZ12149" s="256"/>
      <c r="DG12149" s="256"/>
    </row>
    <row r="12150" spans="104:111">
      <c r="CZ12150" s="256"/>
      <c r="DG12150" s="256"/>
    </row>
    <row r="12151" spans="104:111">
      <c r="CZ12151" s="256"/>
      <c r="DG12151" s="256"/>
    </row>
    <row r="12152" spans="104:111">
      <c r="CZ12152" s="256"/>
      <c r="DG12152" s="256"/>
    </row>
    <row r="12153" spans="104:111">
      <c r="CZ12153" s="256"/>
      <c r="DG12153" s="256"/>
    </row>
    <row r="12154" spans="104:111">
      <c r="CZ12154" s="256"/>
      <c r="DG12154" s="256"/>
    </row>
    <row r="12155" spans="104:111">
      <c r="CZ12155" s="256"/>
      <c r="DG12155" s="256"/>
    </row>
    <row r="12156" spans="104:111">
      <c r="CZ12156" s="256"/>
      <c r="DG12156" s="256"/>
    </row>
    <row r="12157" spans="104:111">
      <c r="CZ12157" s="256"/>
      <c r="DG12157" s="256"/>
    </row>
    <row r="12158" spans="104:111">
      <c r="CZ12158" s="256"/>
      <c r="DG12158" s="256"/>
    </row>
    <row r="12159" spans="104:111">
      <c r="CZ12159" s="256"/>
      <c r="DG12159" s="256"/>
    </row>
    <row r="12160" spans="104:111">
      <c r="CZ12160" s="256"/>
      <c r="DG12160" s="256"/>
    </row>
    <row r="12161" spans="104:111">
      <c r="CZ12161" s="256"/>
      <c r="DG12161" s="256"/>
    </row>
    <row r="12162" spans="104:111">
      <c r="CZ12162" s="256"/>
      <c r="DG12162" s="256"/>
    </row>
    <row r="12163" spans="104:111">
      <c r="CZ12163" s="256"/>
      <c r="DG12163" s="256"/>
    </row>
    <row r="12164" spans="104:111">
      <c r="CZ12164" s="256"/>
      <c r="DG12164" s="256"/>
    </row>
    <row r="12165" spans="104:111">
      <c r="CZ12165" s="256"/>
      <c r="DG12165" s="256"/>
    </row>
    <row r="12166" spans="104:111">
      <c r="CZ12166" s="256"/>
      <c r="DG12166" s="256"/>
    </row>
    <row r="12167" spans="104:111">
      <c r="CZ12167" s="256"/>
      <c r="DG12167" s="256"/>
    </row>
    <row r="12168" spans="104:111">
      <c r="CZ12168" s="256"/>
      <c r="DG12168" s="256"/>
    </row>
    <row r="12169" spans="104:111">
      <c r="CZ12169" s="256"/>
      <c r="DG12169" s="256"/>
    </row>
    <row r="12170" spans="104:111">
      <c r="CZ12170" s="256"/>
      <c r="DG12170" s="256"/>
    </row>
    <row r="12171" spans="104:111">
      <c r="CZ12171" s="256"/>
      <c r="DG12171" s="256"/>
    </row>
    <row r="12172" spans="104:111">
      <c r="CZ12172" s="256"/>
      <c r="DG12172" s="256"/>
    </row>
    <row r="12173" spans="104:111">
      <c r="CZ12173" s="256"/>
      <c r="DG12173" s="256"/>
    </row>
    <row r="12174" spans="104:111">
      <c r="CZ12174" s="256"/>
      <c r="DG12174" s="256"/>
    </row>
    <row r="12175" spans="104:111">
      <c r="CZ12175" s="256"/>
      <c r="DG12175" s="256"/>
    </row>
    <row r="12176" spans="104:111">
      <c r="CZ12176" s="256"/>
      <c r="DG12176" s="256"/>
    </row>
    <row r="12177" spans="104:111">
      <c r="CZ12177" s="256"/>
      <c r="DG12177" s="256"/>
    </row>
    <row r="12178" spans="104:111">
      <c r="CZ12178" s="256"/>
      <c r="DG12178" s="256"/>
    </row>
    <row r="12179" spans="104:111">
      <c r="CZ12179" s="256"/>
      <c r="DG12179" s="256"/>
    </row>
    <row r="12180" spans="104:111">
      <c r="CZ12180" s="256"/>
      <c r="DG12180" s="256"/>
    </row>
    <row r="12181" spans="104:111">
      <c r="CZ12181" s="256"/>
      <c r="DG12181" s="256"/>
    </row>
    <row r="12182" spans="104:111">
      <c r="CZ12182" s="256"/>
      <c r="DG12182" s="256"/>
    </row>
    <row r="12183" spans="104:111">
      <c r="CZ12183" s="256"/>
      <c r="DG12183" s="256"/>
    </row>
    <row r="12184" spans="104:111">
      <c r="CZ12184" s="256"/>
      <c r="DG12184" s="256"/>
    </row>
    <row r="12185" spans="104:111">
      <c r="CZ12185" s="256"/>
      <c r="DG12185" s="256"/>
    </row>
    <row r="12186" spans="104:111">
      <c r="CZ12186" s="256"/>
      <c r="DG12186" s="256"/>
    </row>
    <row r="12187" spans="104:111">
      <c r="CZ12187" s="256"/>
      <c r="DG12187" s="256"/>
    </row>
    <row r="12188" spans="104:111">
      <c r="CZ12188" s="256"/>
      <c r="DG12188" s="256"/>
    </row>
    <row r="12189" spans="104:111">
      <c r="CZ12189" s="256"/>
      <c r="DG12189" s="256"/>
    </row>
    <row r="12190" spans="104:111">
      <c r="CZ12190" s="256"/>
      <c r="DG12190" s="256"/>
    </row>
    <row r="12191" spans="104:111">
      <c r="CZ12191" s="256"/>
      <c r="DG12191" s="256"/>
    </row>
    <row r="12192" spans="104:111">
      <c r="CZ12192" s="256"/>
      <c r="DG12192" s="256"/>
    </row>
    <row r="12193" spans="104:111">
      <c r="CZ12193" s="256"/>
      <c r="DG12193" s="256"/>
    </row>
    <row r="12194" spans="104:111">
      <c r="CZ12194" s="256"/>
      <c r="DG12194" s="256"/>
    </row>
    <row r="12195" spans="104:111">
      <c r="CZ12195" s="256"/>
      <c r="DG12195" s="256"/>
    </row>
    <row r="12196" spans="104:111">
      <c r="CZ12196" s="256"/>
      <c r="DG12196" s="256"/>
    </row>
    <row r="12197" spans="104:111">
      <c r="CZ12197" s="256"/>
      <c r="DG12197" s="256"/>
    </row>
    <row r="12198" spans="104:111">
      <c r="CZ12198" s="256"/>
      <c r="DG12198" s="256"/>
    </row>
    <row r="12199" spans="104:111">
      <c r="CZ12199" s="256"/>
      <c r="DG12199" s="256"/>
    </row>
    <row r="12200" spans="104:111">
      <c r="CZ12200" s="256"/>
      <c r="DG12200" s="256"/>
    </row>
    <row r="12201" spans="104:111">
      <c r="CZ12201" s="256"/>
      <c r="DG12201" s="256"/>
    </row>
    <row r="12202" spans="104:111">
      <c r="CZ12202" s="256"/>
      <c r="DG12202" s="256"/>
    </row>
    <row r="12203" spans="104:111">
      <c r="CZ12203" s="256"/>
      <c r="DG12203" s="256"/>
    </row>
    <row r="12204" spans="104:111">
      <c r="CZ12204" s="256"/>
      <c r="DG12204" s="256"/>
    </row>
    <row r="12205" spans="104:111">
      <c r="CZ12205" s="256"/>
      <c r="DG12205" s="256"/>
    </row>
    <row r="12206" spans="104:111">
      <c r="CZ12206" s="256"/>
      <c r="DG12206" s="256"/>
    </row>
    <row r="12207" spans="104:111">
      <c r="CZ12207" s="256"/>
      <c r="DG12207" s="256"/>
    </row>
    <row r="12208" spans="104:111">
      <c r="CZ12208" s="256"/>
      <c r="DG12208" s="256"/>
    </row>
    <row r="12209" spans="104:111">
      <c r="CZ12209" s="256"/>
      <c r="DG12209" s="256"/>
    </row>
    <row r="12210" spans="104:111">
      <c r="CZ12210" s="256"/>
      <c r="DG12210" s="256"/>
    </row>
    <row r="12211" spans="104:111">
      <c r="CZ12211" s="256"/>
      <c r="DG12211" s="256"/>
    </row>
    <row r="12212" spans="104:111">
      <c r="CZ12212" s="256"/>
      <c r="DG12212" s="256"/>
    </row>
    <row r="12213" spans="104:111">
      <c r="CZ12213" s="256"/>
      <c r="DG12213" s="256"/>
    </row>
    <row r="12214" spans="104:111">
      <c r="CZ12214" s="256"/>
      <c r="DG12214" s="256"/>
    </row>
    <row r="12215" spans="104:111">
      <c r="CZ12215" s="256"/>
      <c r="DG12215" s="256"/>
    </row>
    <row r="12216" spans="104:111">
      <c r="CZ12216" s="256"/>
      <c r="DG12216" s="256"/>
    </row>
    <row r="12217" spans="104:111">
      <c r="CZ12217" s="256"/>
      <c r="DG12217" s="256"/>
    </row>
    <row r="12218" spans="104:111">
      <c r="CZ12218" s="256"/>
      <c r="DG12218" s="256"/>
    </row>
    <row r="12219" spans="104:111">
      <c r="CZ12219" s="256"/>
      <c r="DG12219" s="256"/>
    </row>
    <row r="12220" spans="104:111">
      <c r="CZ12220" s="256"/>
      <c r="DG12220" s="256"/>
    </row>
    <row r="12221" spans="104:111">
      <c r="CZ12221" s="256"/>
      <c r="DG12221" s="256"/>
    </row>
    <row r="12222" spans="104:111">
      <c r="CZ12222" s="256"/>
      <c r="DG12222" s="256"/>
    </row>
    <row r="12223" spans="104:111">
      <c r="CZ12223" s="256"/>
      <c r="DG12223" s="256"/>
    </row>
    <row r="12224" spans="104:111">
      <c r="CZ12224" s="256"/>
      <c r="DG12224" s="256"/>
    </row>
    <row r="12225" spans="104:111">
      <c r="CZ12225" s="256"/>
      <c r="DG12225" s="256"/>
    </row>
    <row r="12226" spans="104:111">
      <c r="CZ12226" s="256"/>
      <c r="DG12226" s="256"/>
    </row>
    <row r="12227" spans="104:111">
      <c r="CZ12227" s="256"/>
      <c r="DG12227" s="256"/>
    </row>
    <row r="12228" spans="104:111">
      <c r="CZ12228" s="256"/>
      <c r="DG12228" s="256"/>
    </row>
    <row r="12229" spans="104:111">
      <c r="CZ12229" s="256"/>
      <c r="DG12229" s="256"/>
    </row>
    <row r="12230" spans="104:111">
      <c r="CZ12230" s="256"/>
      <c r="DG12230" s="256"/>
    </row>
    <row r="12231" spans="104:111">
      <c r="CZ12231" s="256"/>
      <c r="DG12231" s="256"/>
    </row>
    <row r="12232" spans="104:111">
      <c r="CZ12232" s="256"/>
      <c r="DG12232" s="256"/>
    </row>
    <row r="12233" spans="104:111">
      <c r="CZ12233" s="256"/>
      <c r="DG12233" s="256"/>
    </row>
    <row r="12234" spans="104:111">
      <c r="CZ12234" s="256"/>
      <c r="DG12234" s="256"/>
    </row>
    <row r="12235" spans="104:111">
      <c r="CZ12235" s="256"/>
      <c r="DG12235" s="256"/>
    </row>
    <row r="12236" spans="104:111">
      <c r="CZ12236" s="256"/>
      <c r="DG12236" s="256"/>
    </row>
    <row r="12237" spans="104:111">
      <c r="CZ12237" s="256"/>
      <c r="DG12237" s="256"/>
    </row>
    <row r="12238" spans="104:111">
      <c r="CZ12238" s="256"/>
      <c r="DG12238" s="256"/>
    </row>
    <row r="12239" spans="104:111">
      <c r="CZ12239" s="256"/>
      <c r="DG12239" s="256"/>
    </row>
    <row r="12240" spans="104:111">
      <c r="CZ12240" s="256"/>
      <c r="DG12240" s="256"/>
    </row>
    <row r="12241" spans="104:111">
      <c r="CZ12241" s="256"/>
      <c r="DG12241" s="256"/>
    </row>
    <row r="12242" spans="104:111">
      <c r="CZ12242" s="256"/>
      <c r="DG12242" s="256"/>
    </row>
    <row r="12243" spans="104:111">
      <c r="CZ12243" s="256"/>
      <c r="DG12243" s="256"/>
    </row>
    <row r="12244" spans="104:111">
      <c r="CZ12244" s="256"/>
      <c r="DG12244" s="256"/>
    </row>
    <row r="12245" spans="104:111">
      <c r="CZ12245" s="256"/>
      <c r="DG12245" s="256"/>
    </row>
    <row r="12246" spans="104:111">
      <c r="CZ12246" s="256"/>
      <c r="DG12246" s="256"/>
    </row>
    <row r="12247" spans="104:111">
      <c r="CZ12247" s="256"/>
      <c r="DG12247" s="256"/>
    </row>
    <row r="12248" spans="104:111">
      <c r="CZ12248" s="256"/>
      <c r="DG12248" s="256"/>
    </row>
    <row r="12249" spans="104:111">
      <c r="CZ12249" s="256"/>
      <c r="DG12249" s="256"/>
    </row>
    <row r="12250" spans="104:111">
      <c r="CZ12250" s="256"/>
      <c r="DG12250" s="256"/>
    </row>
    <row r="12251" spans="104:111">
      <c r="CZ12251" s="256"/>
      <c r="DG12251" s="256"/>
    </row>
    <row r="12252" spans="104:111">
      <c r="CZ12252" s="256"/>
      <c r="DG12252" s="256"/>
    </row>
    <row r="12253" spans="104:111">
      <c r="CZ12253" s="256"/>
      <c r="DG12253" s="256"/>
    </row>
    <row r="12254" spans="104:111">
      <c r="CZ12254" s="256"/>
      <c r="DG12254" s="256"/>
    </row>
    <row r="12255" spans="104:111">
      <c r="CZ12255" s="256"/>
      <c r="DG12255" s="256"/>
    </row>
    <row r="12256" spans="104:111">
      <c r="CZ12256" s="256"/>
      <c r="DG12256" s="256"/>
    </row>
    <row r="12257" spans="104:111">
      <c r="CZ12257" s="256"/>
      <c r="DG12257" s="256"/>
    </row>
    <row r="12258" spans="104:111">
      <c r="CZ12258" s="256"/>
      <c r="DG12258" s="256"/>
    </row>
    <row r="12259" spans="104:111">
      <c r="CZ12259" s="256"/>
      <c r="DG12259" s="256"/>
    </row>
    <row r="12260" spans="104:111">
      <c r="CZ12260" s="256"/>
      <c r="DG12260" s="256"/>
    </row>
    <row r="12261" spans="104:111">
      <c r="CZ12261" s="256"/>
      <c r="DG12261" s="256"/>
    </row>
    <row r="12262" spans="104:111">
      <c r="CZ12262" s="256"/>
      <c r="DG12262" s="256"/>
    </row>
    <row r="12263" spans="104:111">
      <c r="CZ12263" s="256"/>
      <c r="DG12263" s="256"/>
    </row>
    <row r="12264" spans="104:111">
      <c r="CZ12264" s="256"/>
      <c r="DG12264" s="256"/>
    </row>
    <row r="12265" spans="104:111">
      <c r="CZ12265" s="256"/>
      <c r="DG12265" s="256"/>
    </row>
    <row r="12266" spans="104:111">
      <c r="CZ12266" s="256"/>
      <c r="DG12266" s="256"/>
    </row>
    <row r="12267" spans="104:111">
      <c r="CZ12267" s="256"/>
      <c r="DG12267" s="256"/>
    </row>
    <row r="12268" spans="104:111">
      <c r="CZ12268" s="256"/>
      <c r="DG12268" s="256"/>
    </row>
    <row r="12269" spans="104:111">
      <c r="CZ12269" s="256"/>
      <c r="DG12269" s="256"/>
    </row>
    <row r="12270" spans="104:111">
      <c r="CZ12270" s="256"/>
      <c r="DG12270" s="256"/>
    </row>
    <row r="12271" spans="104:111">
      <c r="CZ12271" s="256"/>
      <c r="DG12271" s="256"/>
    </row>
    <row r="12272" spans="104:111">
      <c r="CZ12272" s="256"/>
      <c r="DG12272" s="256"/>
    </row>
    <row r="12273" spans="104:111">
      <c r="CZ12273" s="256"/>
      <c r="DG12273" s="256"/>
    </row>
    <row r="12274" spans="104:111">
      <c r="CZ12274" s="256"/>
      <c r="DG12274" s="256"/>
    </row>
    <row r="12275" spans="104:111">
      <c r="CZ12275" s="256"/>
      <c r="DG12275" s="256"/>
    </row>
    <row r="12276" spans="104:111">
      <c r="CZ12276" s="256"/>
      <c r="DG12276" s="256"/>
    </row>
    <row r="12277" spans="104:111">
      <c r="CZ12277" s="256"/>
      <c r="DG12277" s="256"/>
    </row>
    <row r="12278" spans="104:111">
      <c r="CZ12278" s="256"/>
      <c r="DG12278" s="256"/>
    </row>
    <row r="12279" spans="104:111">
      <c r="CZ12279" s="256"/>
      <c r="DG12279" s="256"/>
    </row>
    <row r="12280" spans="104:111">
      <c r="CZ12280" s="256"/>
      <c r="DG12280" s="256"/>
    </row>
    <row r="12281" spans="104:111">
      <c r="CZ12281" s="256"/>
      <c r="DG12281" s="256"/>
    </row>
    <row r="12282" spans="104:111">
      <c r="CZ12282" s="256"/>
      <c r="DG12282" s="256"/>
    </row>
    <row r="12283" spans="104:111">
      <c r="CZ12283" s="256"/>
      <c r="DG12283" s="256"/>
    </row>
    <row r="12284" spans="104:111">
      <c r="CZ12284" s="256"/>
      <c r="DG12284" s="256"/>
    </row>
    <row r="12285" spans="104:111">
      <c r="CZ12285" s="256"/>
      <c r="DG12285" s="256"/>
    </row>
    <row r="12286" spans="104:111">
      <c r="CZ12286" s="256"/>
      <c r="DG12286" s="256"/>
    </row>
    <row r="12287" spans="104:111">
      <c r="CZ12287" s="256"/>
      <c r="DG12287" s="256"/>
    </row>
    <row r="12288" spans="104:111">
      <c r="CZ12288" s="256"/>
      <c r="DG12288" s="256"/>
    </row>
    <row r="12289" spans="104:111">
      <c r="CZ12289" s="256"/>
      <c r="DG12289" s="256"/>
    </row>
    <row r="12290" spans="104:111">
      <c r="CZ12290" s="256"/>
      <c r="DG12290" s="256"/>
    </row>
    <row r="12291" spans="104:111">
      <c r="CZ12291" s="256"/>
      <c r="DG12291" s="256"/>
    </row>
    <row r="12292" spans="104:111">
      <c r="CZ12292" s="256"/>
      <c r="DG12292" s="256"/>
    </row>
    <row r="12293" spans="104:111">
      <c r="CZ12293" s="256"/>
      <c r="DG12293" s="256"/>
    </row>
    <row r="12294" spans="104:111">
      <c r="CZ12294" s="256"/>
      <c r="DG12294" s="256"/>
    </row>
    <row r="12295" spans="104:111">
      <c r="CZ12295" s="256"/>
      <c r="DG12295" s="256"/>
    </row>
    <row r="12296" spans="104:111">
      <c r="CZ12296" s="256"/>
      <c r="DG12296" s="256"/>
    </row>
    <row r="12297" spans="104:111">
      <c r="CZ12297" s="256"/>
      <c r="DG12297" s="256"/>
    </row>
    <row r="12298" spans="104:111">
      <c r="CZ12298" s="256"/>
      <c r="DG12298" s="256"/>
    </row>
    <row r="12299" spans="104:111">
      <c r="CZ12299" s="256"/>
      <c r="DG12299" s="256"/>
    </row>
    <row r="12300" spans="104:111">
      <c r="CZ12300" s="256"/>
      <c r="DG12300" s="256"/>
    </row>
    <row r="12301" spans="104:111">
      <c r="CZ12301" s="256"/>
      <c r="DG12301" s="256"/>
    </row>
    <row r="12302" spans="104:111">
      <c r="CZ12302" s="256"/>
      <c r="DG12302" s="256"/>
    </row>
    <row r="12303" spans="104:111">
      <c r="CZ12303" s="256"/>
      <c r="DG12303" s="256"/>
    </row>
    <row r="12304" spans="104:111">
      <c r="CZ12304" s="256"/>
      <c r="DG12304" s="256"/>
    </row>
    <row r="12305" spans="104:111">
      <c r="CZ12305" s="256"/>
      <c r="DG12305" s="256"/>
    </row>
    <row r="12306" spans="104:111">
      <c r="CZ12306" s="256"/>
      <c r="DG12306" s="256"/>
    </row>
    <row r="12307" spans="104:111">
      <c r="CZ12307" s="256"/>
      <c r="DG12307" s="256"/>
    </row>
    <row r="12308" spans="104:111">
      <c r="CZ12308" s="256"/>
      <c r="DG12308" s="256"/>
    </row>
    <row r="12309" spans="104:111">
      <c r="CZ12309" s="256"/>
      <c r="DG12309" s="256"/>
    </row>
    <row r="12310" spans="104:111">
      <c r="CZ12310" s="256"/>
      <c r="DG12310" s="256"/>
    </row>
    <row r="12311" spans="104:111">
      <c r="CZ12311" s="256"/>
      <c r="DG12311" s="256"/>
    </row>
    <row r="12312" spans="104:111">
      <c r="CZ12312" s="256"/>
      <c r="DG12312" s="256"/>
    </row>
    <row r="12313" spans="104:111">
      <c r="CZ12313" s="256"/>
      <c r="DG12313" s="256"/>
    </row>
    <row r="12314" spans="104:111">
      <c r="CZ12314" s="256"/>
      <c r="DG12314" s="256"/>
    </row>
    <row r="12315" spans="104:111">
      <c r="CZ12315" s="256"/>
      <c r="DG12315" s="256"/>
    </row>
    <row r="12316" spans="104:111">
      <c r="CZ12316" s="256"/>
      <c r="DG12316" s="256"/>
    </row>
    <row r="12317" spans="104:111">
      <c r="CZ12317" s="256"/>
      <c r="DG12317" s="256"/>
    </row>
    <row r="12318" spans="104:111">
      <c r="CZ12318" s="256"/>
      <c r="DG12318" s="256"/>
    </row>
    <row r="12319" spans="104:111">
      <c r="CZ12319" s="256"/>
      <c r="DG12319" s="256"/>
    </row>
    <row r="12320" spans="104:111">
      <c r="CZ12320" s="256"/>
      <c r="DG12320" s="256"/>
    </row>
    <row r="12321" spans="104:111">
      <c r="CZ12321" s="256"/>
      <c r="DG12321" s="256"/>
    </row>
    <row r="12322" spans="104:111">
      <c r="CZ12322" s="256"/>
      <c r="DG12322" s="256"/>
    </row>
    <row r="12323" spans="104:111">
      <c r="CZ12323" s="256"/>
      <c r="DG12323" s="256"/>
    </row>
    <row r="12324" spans="104:111">
      <c r="CZ12324" s="256"/>
      <c r="DG12324" s="256"/>
    </row>
    <row r="12325" spans="104:111">
      <c r="CZ12325" s="256"/>
      <c r="DG12325" s="256"/>
    </row>
    <row r="12326" spans="104:111">
      <c r="CZ12326" s="256"/>
      <c r="DG12326" s="256"/>
    </row>
    <row r="12327" spans="104:111">
      <c r="CZ12327" s="256"/>
      <c r="DG12327" s="256"/>
    </row>
    <row r="12328" spans="104:111">
      <c r="CZ12328" s="256"/>
      <c r="DG12328" s="256"/>
    </row>
    <row r="12329" spans="104:111">
      <c r="CZ12329" s="256"/>
      <c r="DG12329" s="256"/>
    </row>
    <row r="12330" spans="104:111">
      <c r="CZ12330" s="256"/>
      <c r="DG12330" s="256"/>
    </row>
    <row r="12331" spans="104:111">
      <c r="CZ12331" s="256"/>
      <c r="DG12331" s="256"/>
    </row>
    <row r="12332" spans="104:111">
      <c r="CZ12332" s="256"/>
      <c r="DG12332" s="256"/>
    </row>
    <row r="12333" spans="104:111">
      <c r="CZ12333" s="256"/>
      <c r="DG12333" s="256"/>
    </row>
    <row r="12334" spans="104:111">
      <c r="CZ12334" s="256"/>
      <c r="DG12334" s="256"/>
    </row>
    <row r="12335" spans="104:111">
      <c r="CZ12335" s="256"/>
      <c r="DG12335" s="256"/>
    </row>
    <row r="12336" spans="104:111">
      <c r="CZ12336" s="256"/>
      <c r="DG12336" s="256"/>
    </row>
    <row r="12337" spans="104:111">
      <c r="CZ12337" s="256"/>
      <c r="DG12337" s="256"/>
    </row>
    <row r="12338" spans="104:111">
      <c r="CZ12338" s="256"/>
      <c r="DG12338" s="256"/>
    </row>
    <row r="12339" spans="104:111">
      <c r="CZ12339" s="256"/>
      <c r="DG12339" s="256"/>
    </row>
    <row r="12340" spans="104:111">
      <c r="CZ12340" s="256"/>
      <c r="DG12340" s="256"/>
    </row>
    <row r="12341" spans="104:111">
      <c r="CZ12341" s="256"/>
      <c r="DG12341" s="256"/>
    </row>
    <row r="12342" spans="104:111">
      <c r="CZ12342" s="256"/>
      <c r="DG12342" s="256"/>
    </row>
    <row r="12343" spans="104:111">
      <c r="CZ12343" s="256"/>
      <c r="DG12343" s="256"/>
    </row>
    <row r="12344" spans="104:111">
      <c r="CZ12344" s="256"/>
      <c r="DG12344" s="256"/>
    </row>
    <row r="12345" spans="104:111">
      <c r="CZ12345" s="256"/>
      <c r="DG12345" s="256"/>
    </row>
    <row r="12346" spans="104:111">
      <c r="CZ12346" s="256"/>
      <c r="DG12346" s="256"/>
    </row>
    <row r="12347" spans="104:111">
      <c r="CZ12347" s="256"/>
      <c r="DG12347" s="256"/>
    </row>
    <row r="12348" spans="104:111">
      <c r="CZ12348" s="256"/>
      <c r="DG12348" s="256"/>
    </row>
    <row r="12349" spans="104:111">
      <c r="CZ12349" s="256"/>
      <c r="DG12349" s="256"/>
    </row>
    <row r="12350" spans="104:111">
      <c r="CZ12350" s="256"/>
      <c r="DG12350" s="256"/>
    </row>
    <row r="12351" spans="104:111">
      <c r="CZ12351" s="256"/>
      <c r="DG12351" s="256"/>
    </row>
    <row r="12352" spans="104:111">
      <c r="CZ12352" s="256"/>
      <c r="DG12352" s="256"/>
    </row>
    <row r="12353" spans="104:111">
      <c r="CZ12353" s="256"/>
      <c r="DG12353" s="256"/>
    </row>
    <row r="12354" spans="104:111">
      <c r="CZ12354" s="256"/>
      <c r="DG12354" s="256"/>
    </row>
    <row r="12355" spans="104:111">
      <c r="CZ12355" s="256"/>
      <c r="DG12355" s="256"/>
    </row>
    <row r="12356" spans="104:111">
      <c r="CZ12356" s="256"/>
      <c r="DG12356" s="256"/>
    </row>
    <row r="12357" spans="104:111">
      <c r="CZ12357" s="256"/>
      <c r="DG12357" s="256"/>
    </row>
    <row r="12358" spans="104:111">
      <c r="CZ12358" s="256"/>
      <c r="DG12358" s="256"/>
    </row>
    <row r="12359" spans="104:111">
      <c r="CZ12359" s="256"/>
      <c r="DG12359" s="256"/>
    </row>
    <row r="12360" spans="104:111">
      <c r="CZ12360" s="256"/>
      <c r="DG12360" s="256"/>
    </row>
    <row r="12361" spans="104:111">
      <c r="CZ12361" s="256"/>
      <c r="DG12361" s="256"/>
    </row>
    <row r="12362" spans="104:111">
      <c r="CZ12362" s="256"/>
      <c r="DG12362" s="256"/>
    </row>
    <row r="12363" spans="104:111">
      <c r="CZ12363" s="256"/>
      <c r="DG12363" s="256"/>
    </row>
    <row r="12364" spans="104:111">
      <c r="CZ12364" s="256"/>
      <c r="DG12364" s="256"/>
    </row>
    <row r="12365" spans="104:111">
      <c r="CZ12365" s="256"/>
      <c r="DG12365" s="256"/>
    </row>
    <row r="12366" spans="104:111">
      <c r="CZ12366" s="256"/>
      <c r="DG12366" s="256"/>
    </row>
    <row r="12367" spans="104:111">
      <c r="CZ12367" s="256"/>
      <c r="DG12367" s="256"/>
    </row>
    <row r="12368" spans="104:111">
      <c r="CZ12368" s="256"/>
      <c r="DG12368" s="256"/>
    </row>
    <row r="12369" spans="104:111">
      <c r="CZ12369" s="256"/>
      <c r="DG12369" s="256"/>
    </row>
    <row r="12370" spans="104:111">
      <c r="CZ12370" s="256"/>
      <c r="DG12370" s="256"/>
    </row>
    <row r="12371" spans="104:111">
      <c r="CZ12371" s="256"/>
      <c r="DG12371" s="256"/>
    </row>
    <row r="12372" spans="104:111">
      <c r="CZ12372" s="256"/>
      <c r="DG12372" s="256"/>
    </row>
    <row r="12373" spans="104:111">
      <c r="CZ12373" s="256"/>
      <c r="DG12373" s="256"/>
    </row>
    <row r="12374" spans="104:111">
      <c r="CZ12374" s="256"/>
      <c r="DG12374" s="256"/>
    </row>
    <row r="12375" spans="104:111">
      <c r="CZ12375" s="256"/>
      <c r="DG12375" s="256"/>
    </row>
    <row r="12376" spans="104:111">
      <c r="CZ12376" s="256"/>
      <c r="DG12376" s="256"/>
    </row>
    <row r="12377" spans="104:111">
      <c r="CZ12377" s="256"/>
      <c r="DG12377" s="256"/>
    </row>
    <row r="12378" spans="104:111">
      <c r="CZ12378" s="256"/>
      <c r="DG12378" s="256"/>
    </row>
    <row r="12379" spans="104:111">
      <c r="CZ12379" s="256"/>
      <c r="DG12379" s="256"/>
    </row>
    <row r="12380" spans="104:111">
      <c r="CZ12380" s="256"/>
      <c r="DG12380" s="256"/>
    </row>
    <row r="12381" spans="104:111">
      <c r="CZ12381" s="256"/>
      <c r="DG12381" s="256"/>
    </row>
    <row r="12382" spans="104:111">
      <c r="CZ12382" s="256"/>
      <c r="DG12382" s="256"/>
    </row>
    <row r="12383" spans="104:111">
      <c r="CZ12383" s="256"/>
      <c r="DG12383" s="256"/>
    </row>
    <row r="12384" spans="104:111">
      <c r="CZ12384" s="256"/>
      <c r="DG12384" s="256"/>
    </row>
    <row r="12385" spans="104:111">
      <c r="CZ12385" s="256"/>
      <c r="DG12385" s="256"/>
    </row>
    <row r="12386" spans="104:111">
      <c r="CZ12386" s="256"/>
      <c r="DG12386" s="256"/>
    </row>
    <row r="12387" spans="104:111">
      <c r="CZ12387" s="256"/>
      <c r="DG12387" s="256"/>
    </row>
    <row r="12388" spans="104:111">
      <c r="CZ12388" s="256"/>
      <c r="DG12388" s="256"/>
    </row>
    <row r="12389" spans="104:111">
      <c r="CZ12389" s="256"/>
      <c r="DG12389" s="256"/>
    </row>
    <row r="12390" spans="104:111">
      <c r="CZ12390" s="256"/>
      <c r="DG12390" s="256"/>
    </row>
    <row r="12391" spans="104:111">
      <c r="CZ12391" s="256"/>
      <c r="DG12391" s="256"/>
    </row>
    <row r="12392" spans="104:111">
      <c r="CZ12392" s="256"/>
      <c r="DG12392" s="256"/>
    </row>
    <row r="12393" spans="104:111">
      <c r="CZ12393" s="256"/>
      <c r="DG12393" s="256"/>
    </row>
    <row r="12394" spans="104:111">
      <c r="CZ12394" s="256"/>
      <c r="DG12394" s="256"/>
    </row>
    <row r="12395" spans="104:111">
      <c r="CZ12395" s="256"/>
      <c r="DG12395" s="256"/>
    </row>
    <row r="12396" spans="104:111">
      <c r="CZ12396" s="256"/>
      <c r="DG12396" s="256"/>
    </row>
    <row r="12397" spans="104:111">
      <c r="CZ12397" s="256"/>
      <c r="DG12397" s="256"/>
    </row>
    <row r="12398" spans="104:111">
      <c r="CZ12398" s="256"/>
      <c r="DG12398" s="256"/>
    </row>
    <row r="12399" spans="104:111">
      <c r="CZ12399" s="256"/>
      <c r="DG12399" s="256"/>
    </row>
    <row r="12400" spans="104:111">
      <c r="CZ12400" s="256"/>
      <c r="DG12400" s="256"/>
    </row>
    <row r="12401" spans="104:111">
      <c r="CZ12401" s="256"/>
      <c r="DG12401" s="256"/>
    </row>
    <row r="12402" spans="104:111">
      <c r="CZ12402" s="256"/>
      <c r="DG12402" s="256"/>
    </row>
    <row r="12403" spans="104:111">
      <c r="CZ12403" s="256"/>
      <c r="DG12403" s="256"/>
    </row>
    <row r="12404" spans="104:111">
      <c r="CZ12404" s="256"/>
      <c r="DG12404" s="256"/>
    </row>
    <row r="12405" spans="104:111">
      <c r="CZ12405" s="256"/>
      <c r="DG12405" s="256"/>
    </row>
    <row r="12406" spans="104:111">
      <c r="CZ12406" s="256"/>
      <c r="DG12406" s="256"/>
    </row>
    <row r="12407" spans="104:111">
      <c r="CZ12407" s="256"/>
      <c r="DG12407" s="256"/>
    </row>
    <row r="12408" spans="104:111">
      <c r="CZ12408" s="256"/>
      <c r="DG12408" s="256"/>
    </row>
    <row r="12409" spans="104:111">
      <c r="CZ12409" s="256"/>
      <c r="DG12409" s="256"/>
    </row>
    <row r="12410" spans="104:111">
      <c r="CZ12410" s="256"/>
      <c r="DG12410" s="256"/>
    </row>
    <row r="12411" spans="104:111">
      <c r="CZ12411" s="256"/>
      <c r="DG12411" s="256"/>
    </row>
    <row r="12412" spans="104:111">
      <c r="CZ12412" s="256"/>
      <c r="DG12412" s="256"/>
    </row>
    <row r="12413" spans="104:111">
      <c r="CZ12413" s="256"/>
      <c r="DG12413" s="256"/>
    </row>
    <row r="12414" spans="104:111">
      <c r="CZ12414" s="256"/>
      <c r="DG12414" s="256"/>
    </row>
    <row r="12415" spans="104:111">
      <c r="CZ12415" s="256"/>
      <c r="DG12415" s="256"/>
    </row>
    <row r="12416" spans="104:111">
      <c r="CZ12416" s="256"/>
      <c r="DG12416" s="256"/>
    </row>
    <row r="12417" spans="104:111">
      <c r="CZ12417" s="256"/>
      <c r="DG12417" s="256"/>
    </row>
    <row r="12418" spans="104:111">
      <c r="CZ12418" s="256"/>
      <c r="DG12418" s="256"/>
    </row>
    <row r="12419" spans="104:111">
      <c r="CZ12419" s="256"/>
      <c r="DG12419" s="256"/>
    </row>
    <row r="12420" spans="104:111">
      <c r="CZ12420" s="256"/>
      <c r="DG12420" s="256"/>
    </row>
    <row r="12421" spans="104:111">
      <c r="CZ12421" s="256"/>
      <c r="DG12421" s="256"/>
    </row>
    <row r="12422" spans="104:111">
      <c r="CZ12422" s="256"/>
      <c r="DG12422" s="256"/>
    </row>
    <row r="12423" spans="104:111">
      <c r="CZ12423" s="256"/>
      <c r="DG12423" s="256"/>
    </row>
    <row r="12424" spans="104:111">
      <c r="CZ12424" s="256"/>
      <c r="DG12424" s="256"/>
    </row>
    <row r="12425" spans="104:111">
      <c r="CZ12425" s="256"/>
      <c r="DG12425" s="256"/>
    </row>
    <row r="12426" spans="104:111">
      <c r="CZ12426" s="256"/>
      <c r="DG12426" s="256"/>
    </row>
    <row r="12427" spans="104:111">
      <c r="CZ12427" s="256"/>
      <c r="DG12427" s="256"/>
    </row>
    <row r="12428" spans="104:111">
      <c r="CZ12428" s="256"/>
      <c r="DG12428" s="256"/>
    </row>
    <row r="12429" spans="104:111">
      <c r="CZ12429" s="256"/>
      <c r="DG12429" s="256"/>
    </row>
    <row r="12430" spans="104:111">
      <c r="CZ12430" s="256"/>
      <c r="DG12430" s="256"/>
    </row>
    <row r="12431" spans="104:111">
      <c r="CZ12431" s="256"/>
      <c r="DG12431" s="256"/>
    </row>
    <row r="12432" spans="104:111">
      <c r="CZ12432" s="256"/>
      <c r="DG12432" s="256"/>
    </row>
    <row r="12433" spans="104:111">
      <c r="CZ12433" s="256"/>
      <c r="DG12433" s="256"/>
    </row>
    <row r="12434" spans="104:111">
      <c r="CZ12434" s="256"/>
      <c r="DG12434" s="256"/>
    </row>
    <row r="12435" spans="104:111">
      <c r="CZ12435" s="256"/>
      <c r="DG12435" s="256"/>
    </row>
    <row r="12436" spans="104:111">
      <c r="CZ12436" s="256"/>
      <c r="DG12436" s="256"/>
    </row>
    <row r="12437" spans="104:111">
      <c r="CZ12437" s="256"/>
      <c r="DG12437" s="256"/>
    </row>
    <row r="12438" spans="104:111">
      <c r="CZ12438" s="256"/>
      <c r="DG12438" s="256"/>
    </row>
    <row r="12439" spans="104:111">
      <c r="CZ12439" s="256"/>
      <c r="DG12439" s="256"/>
    </row>
    <row r="12440" spans="104:111">
      <c r="CZ12440" s="256"/>
      <c r="DG12440" s="256"/>
    </row>
    <row r="12441" spans="104:111">
      <c r="CZ12441" s="256"/>
      <c r="DG12441" s="256"/>
    </row>
    <row r="12442" spans="104:111">
      <c r="CZ12442" s="256"/>
      <c r="DG12442" s="256"/>
    </row>
    <row r="12443" spans="104:111">
      <c r="CZ12443" s="256"/>
      <c r="DG12443" s="256"/>
    </row>
    <row r="12444" spans="104:111">
      <c r="CZ12444" s="256"/>
      <c r="DG12444" s="256"/>
    </row>
    <row r="12445" spans="104:111">
      <c r="CZ12445" s="256"/>
      <c r="DG12445" s="256"/>
    </row>
    <row r="12446" spans="104:111">
      <c r="CZ12446" s="256"/>
      <c r="DG12446" s="256"/>
    </row>
    <row r="12447" spans="104:111">
      <c r="CZ12447" s="256"/>
      <c r="DG12447" s="256"/>
    </row>
    <row r="12448" spans="104:111">
      <c r="CZ12448" s="256"/>
      <c r="DG12448" s="256"/>
    </row>
    <row r="12449" spans="104:111">
      <c r="CZ12449" s="256"/>
      <c r="DG12449" s="256"/>
    </row>
    <row r="12450" spans="104:111">
      <c r="CZ12450" s="256"/>
      <c r="DG12450" s="256"/>
    </row>
    <row r="12451" spans="104:111">
      <c r="CZ12451" s="256"/>
      <c r="DG12451" s="256"/>
    </row>
    <row r="12452" spans="104:111">
      <c r="CZ12452" s="256"/>
      <c r="DG12452" s="256"/>
    </row>
    <row r="12453" spans="104:111">
      <c r="CZ12453" s="256"/>
      <c r="DG12453" s="256"/>
    </row>
    <row r="12454" spans="104:111">
      <c r="CZ12454" s="256"/>
      <c r="DG12454" s="256"/>
    </row>
    <row r="12455" spans="104:111">
      <c r="CZ12455" s="256"/>
      <c r="DG12455" s="256"/>
    </row>
    <row r="12456" spans="104:111">
      <c r="CZ12456" s="256"/>
      <c r="DG12456" s="256"/>
    </row>
    <row r="12457" spans="104:111">
      <c r="CZ12457" s="256"/>
      <c r="DG12457" s="256"/>
    </row>
    <row r="12458" spans="104:111">
      <c r="CZ12458" s="256"/>
      <c r="DG12458" s="256"/>
    </row>
    <row r="12459" spans="104:111">
      <c r="CZ12459" s="256"/>
      <c r="DG12459" s="256"/>
    </row>
    <row r="12460" spans="104:111">
      <c r="CZ12460" s="256"/>
      <c r="DG12460" s="256"/>
    </row>
    <row r="12461" spans="104:111">
      <c r="CZ12461" s="256"/>
      <c r="DG12461" s="256"/>
    </row>
    <row r="12462" spans="104:111">
      <c r="CZ12462" s="256"/>
      <c r="DG12462" s="256"/>
    </row>
    <row r="12463" spans="104:111">
      <c r="CZ12463" s="256"/>
      <c r="DG12463" s="256"/>
    </row>
    <row r="12464" spans="104:111">
      <c r="CZ12464" s="256"/>
      <c r="DG12464" s="256"/>
    </row>
    <row r="12465" spans="104:111">
      <c r="CZ12465" s="256"/>
      <c r="DG12465" s="256"/>
    </row>
    <row r="12466" spans="104:111">
      <c r="CZ12466" s="256"/>
      <c r="DG12466" s="256"/>
    </row>
    <row r="12467" spans="104:111">
      <c r="CZ12467" s="256"/>
      <c r="DG12467" s="256"/>
    </row>
    <row r="12468" spans="104:111">
      <c r="CZ12468" s="256"/>
      <c r="DG12468" s="256"/>
    </row>
    <row r="12469" spans="104:111">
      <c r="CZ12469" s="256"/>
      <c r="DG12469" s="256"/>
    </row>
    <row r="12470" spans="104:111">
      <c r="CZ12470" s="256"/>
      <c r="DG12470" s="256"/>
    </row>
    <row r="12471" spans="104:111">
      <c r="CZ12471" s="256"/>
      <c r="DG12471" s="256"/>
    </row>
    <row r="12472" spans="104:111">
      <c r="CZ12472" s="256"/>
      <c r="DG12472" s="256"/>
    </row>
    <row r="12473" spans="104:111">
      <c r="CZ12473" s="256"/>
      <c r="DG12473" s="256"/>
    </row>
    <row r="12474" spans="104:111">
      <c r="CZ12474" s="256"/>
      <c r="DG12474" s="256"/>
    </row>
    <row r="12475" spans="104:111">
      <c r="CZ12475" s="256"/>
      <c r="DG12475" s="256"/>
    </row>
    <row r="12476" spans="104:111">
      <c r="CZ12476" s="256"/>
      <c r="DG12476" s="256"/>
    </row>
    <row r="12477" spans="104:111">
      <c r="CZ12477" s="256"/>
      <c r="DG12477" s="256"/>
    </row>
    <row r="12478" spans="104:111">
      <c r="CZ12478" s="256"/>
      <c r="DG12478" s="256"/>
    </row>
    <row r="12479" spans="104:111">
      <c r="CZ12479" s="256"/>
      <c r="DG12479" s="256"/>
    </row>
    <row r="12480" spans="104:111">
      <c r="CZ12480" s="256"/>
      <c r="DG12480" s="256"/>
    </row>
    <row r="12481" spans="104:111">
      <c r="CZ12481" s="256"/>
      <c r="DG12481" s="256"/>
    </row>
    <row r="12482" spans="104:111">
      <c r="CZ12482" s="256"/>
      <c r="DG12482" s="256"/>
    </row>
    <row r="12483" spans="104:111">
      <c r="CZ12483" s="256"/>
      <c r="DG12483" s="256"/>
    </row>
    <row r="12484" spans="104:111">
      <c r="CZ12484" s="256"/>
      <c r="DG12484" s="256"/>
    </row>
    <row r="12485" spans="104:111">
      <c r="CZ12485" s="256"/>
      <c r="DG12485" s="256"/>
    </row>
    <row r="12486" spans="104:111">
      <c r="CZ12486" s="256"/>
      <c r="DG12486" s="256"/>
    </row>
    <row r="12487" spans="104:111">
      <c r="CZ12487" s="256"/>
      <c r="DG12487" s="256"/>
    </row>
    <row r="12488" spans="104:111">
      <c r="CZ12488" s="256"/>
      <c r="DG12488" s="256"/>
    </row>
    <row r="12489" spans="104:111">
      <c r="CZ12489" s="256"/>
      <c r="DG12489" s="256"/>
    </row>
    <row r="12490" spans="104:111">
      <c r="CZ12490" s="256"/>
      <c r="DG12490" s="256"/>
    </row>
    <row r="12491" spans="104:111">
      <c r="CZ12491" s="256"/>
      <c r="DG12491" s="256"/>
    </row>
    <row r="12492" spans="104:111">
      <c r="CZ12492" s="256"/>
      <c r="DG12492" s="256"/>
    </row>
    <row r="12493" spans="104:111">
      <c r="CZ12493" s="256"/>
      <c r="DG12493" s="256"/>
    </row>
    <row r="12494" spans="104:111">
      <c r="CZ12494" s="256"/>
      <c r="DG12494" s="256"/>
    </row>
    <row r="12495" spans="104:111">
      <c r="CZ12495" s="256"/>
      <c r="DG12495" s="256"/>
    </row>
    <row r="12496" spans="104:111">
      <c r="CZ12496" s="256"/>
      <c r="DG12496" s="256"/>
    </row>
    <row r="12497" spans="104:111">
      <c r="CZ12497" s="256"/>
      <c r="DG12497" s="256"/>
    </row>
    <row r="12498" spans="104:111">
      <c r="CZ12498" s="256"/>
      <c r="DG12498" s="256"/>
    </row>
    <row r="12499" spans="104:111">
      <c r="CZ12499" s="256"/>
      <c r="DG12499" s="256"/>
    </row>
    <row r="12500" spans="104:111">
      <c r="CZ12500" s="256"/>
      <c r="DG12500" s="256"/>
    </row>
    <row r="12501" spans="104:111">
      <c r="CZ12501" s="256"/>
      <c r="DG12501" s="256"/>
    </row>
    <row r="12502" spans="104:111">
      <c r="CZ12502" s="256"/>
      <c r="DG12502" s="256"/>
    </row>
    <row r="12503" spans="104:111">
      <c r="CZ12503" s="256"/>
      <c r="DG12503" s="256"/>
    </row>
    <row r="12504" spans="104:111">
      <c r="CZ12504" s="256"/>
      <c r="DG12504" s="256"/>
    </row>
    <row r="12505" spans="104:111">
      <c r="CZ12505" s="256"/>
      <c r="DG12505" s="256"/>
    </row>
    <row r="12506" spans="104:111">
      <c r="CZ12506" s="256"/>
      <c r="DG12506" s="256"/>
    </row>
    <row r="12507" spans="104:111">
      <c r="CZ12507" s="256"/>
      <c r="DG12507" s="256"/>
    </row>
    <row r="12508" spans="104:111">
      <c r="CZ12508" s="256"/>
      <c r="DG12508" s="256"/>
    </row>
    <row r="12509" spans="104:111">
      <c r="CZ12509" s="256"/>
      <c r="DG12509" s="256"/>
    </row>
    <row r="12510" spans="104:111">
      <c r="CZ12510" s="256"/>
      <c r="DG12510" s="256"/>
    </row>
    <row r="12511" spans="104:111">
      <c r="CZ12511" s="256"/>
      <c r="DG12511" s="256"/>
    </row>
    <row r="12512" spans="104:111">
      <c r="CZ12512" s="256"/>
      <c r="DG12512" s="256"/>
    </row>
    <row r="12513" spans="104:111">
      <c r="CZ12513" s="256"/>
      <c r="DG12513" s="256"/>
    </row>
    <row r="12514" spans="104:111">
      <c r="CZ12514" s="256"/>
      <c r="DG12514" s="256"/>
    </row>
    <row r="12515" spans="104:111">
      <c r="CZ12515" s="256"/>
      <c r="DG12515" s="256"/>
    </row>
    <row r="12516" spans="104:111">
      <c r="CZ12516" s="256"/>
      <c r="DG12516" s="256"/>
    </row>
    <row r="12517" spans="104:111">
      <c r="CZ12517" s="256"/>
      <c r="DG12517" s="256"/>
    </row>
    <row r="12518" spans="104:111">
      <c r="CZ12518" s="256"/>
      <c r="DG12518" s="256"/>
    </row>
    <row r="12519" spans="104:111">
      <c r="CZ12519" s="256"/>
      <c r="DG12519" s="256"/>
    </row>
    <row r="12520" spans="104:111">
      <c r="CZ12520" s="256"/>
      <c r="DG12520" s="256"/>
    </row>
    <row r="12521" spans="104:111">
      <c r="CZ12521" s="256"/>
      <c r="DG12521" s="256"/>
    </row>
    <row r="12522" spans="104:111">
      <c r="CZ12522" s="256"/>
      <c r="DG12522" s="256"/>
    </row>
    <row r="12523" spans="104:111">
      <c r="CZ12523" s="256"/>
      <c r="DG12523" s="256"/>
    </row>
    <row r="12524" spans="104:111">
      <c r="CZ12524" s="256"/>
      <c r="DG12524" s="256"/>
    </row>
    <row r="12525" spans="104:111">
      <c r="CZ12525" s="256"/>
      <c r="DG12525" s="256"/>
    </row>
    <row r="12526" spans="104:111">
      <c r="CZ12526" s="256"/>
      <c r="DG12526" s="256"/>
    </row>
    <row r="12527" spans="104:111">
      <c r="CZ12527" s="256"/>
      <c r="DG12527" s="256"/>
    </row>
    <row r="12528" spans="104:111">
      <c r="CZ12528" s="256"/>
      <c r="DG12528" s="256"/>
    </row>
    <row r="12529" spans="104:111">
      <c r="CZ12529" s="256"/>
      <c r="DG12529" s="256"/>
    </row>
    <row r="12530" spans="104:111">
      <c r="CZ12530" s="256"/>
      <c r="DG12530" s="256"/>
    </row>
    <row r="12531" spans="104:111">
      <c r="CZ12531" s="256"/>
      <c r="DG12531" s="256"/>
    </row>
    <row r="12532" spans="104:111">
      <c r="CZ12532" s="256"/>
      <c r="DG12532" s="256"/>
    </row>
    <row r="12533" spans="104:111">
      <c r="CZ12533" s="256"/>
      <c r="DG12533" s="256"/>
    </row>
    <row r="12534" spans="104:111">
      <c r="CZ12534" s="256"/>
      <c r="DG12534" s="256"/>
    </row>
    <row r="12535" spans="104:111">
      <c r="CZ12535" s="256"/>
      <c r="DG12535" s="256"/>
    </row>
    <row r="12536" spans="104:111">
      <c r="CZ12536" s="256"/>
      <c r="DG12536" s="256"/>
    </row>
    <row r="12537" spans="104:111">
      <c r="CZ12537" s="256"/>
      <c r="DG12537" s="256"/>
    </row>
    <row r="12538" spans="104:111">
      <c r="CZ12538" s="256"/>
      <c r="DG12538" s="256"/>
    </row>
    <row r="12539" spans="104:111">
      <c r="CZ12539" s="256"/>
      <c r="DG12539" s="256"/>
    </row>
    <row r="12540" spans="104:111">
      <c r="CZ12540" s="256"/>
      <c r="DG12540" s="256"/>
    </row>
    <row r="12541" spans="104:111">
      <c r="CZ12541" s="256"/>
      <c r="DG12541" s="256"/>
    </row>
    <row r="12542" spans="104:111">
      <c r="CZ12542" s="256"/>
      <c r="DG12542" s="256"/>
    </row>
    <row r="12543" spans="104:111">
      <c r="CZ12543" s="256"/>
      <c r="DG12543" s="256"/>
    </row>
    <row r="12544" spans="104:111">
      <c r="CZ12544" s="256"/>
      <c r="DG12544" s="256"/>
    </row>
    <row r="12545" spans="104:111">
      <c r="CZ12545" s="256"/>
      <c r="DG12545" s="256"/>
    </row>
    <row r="12546" spans="104:111">
      <c r="CZ12546" s="256"/>
      <c r="DG12546" s="256"/>
    </row>
    <row r="12547" spans="104:111">
      <c r="CZ12547" s="256"/>
      <c r="DG12547" s="256"/>
    </row>
    <row r="12548" spans="104:111">
      <c r="CZ12548" s="256"/>
      <c r="DG12548" s="256"/>
    </row>
    <row r="12549" spans="104:111">
      <c r="CZ12549" s="256"/>
      <c r="DG12549" s="256"/>
    </row>
    <row r="12550" spans="104:111">
      <c r="CZ12550" s="256"/>
      <c r="DG12550" s="256"/>
    </row>
    <row r="12551" spans="104:111">
      <c r="CZ12551" s="256"/>
      <c r="DG12551" s="256"/>
    </row>
    <row r="12552" spans="104:111">
      <c r="CZ12552" s="256"/>
      <c r="DG12552" s="256"/>
    </row>
    <row r="12553" spans="104:111">
      <c r="CZ12553" s="256"/>
      <c r="DG12553" s="256"/>
    </row>
    <row r="12554" spans="104:111">
      <c r="CZ12554" s="256"/>
      <c r="DG12554" s="256"/>
    </row>
    <row r="12555" spans="104:111">
      <c r="CZ12555" s="256"/>
      <c r="DG12555" s="256"/>
    </row>
    <row r="12556" spans="104:111">
      <c r="CZ12556" s="256"/>
      <c r="DG12556" s="256"/>
    </row>
    <row r="12557" spans="104:111">
      <c r="CZ12557" s="256"/>
      <c r="DG12557" s="256"/>
    </row>
    <row r="12558" spans="104:111">
      <c r="CZ12558" s="256"/>
      <c r="DG12558" s="256"/>
    </row>
    <row r="12559" spans="104:111">
      <c r="CZ12559" s="256"/>
      <c r="DG12559" s="256"/>
    </row>
    <row r="12560" spans="104:111">
      <c r="CZ12560" s="256"/>
      <c r="DG12560" s="256"/>
    </row>
    <row r="12561" spans="104:111">
      <c r="CZ12561" s="256"/>
      <c r="DG12561" s="256"/>
    </row>
    <row r="12562" spans="104:111">
      <c r="CZ12562" s="256"/>
      <c r="DG12562" s="256"/>
    </row>
    <row r="12563" spans="104:111">
      <c r="CZ12563" s="256"/>
      <c r="DG12563" s="256"/>
    </row>
    <row r="12564" spans="104:111">
      <c r="CZ12564" s="256"/>
      <c r="DG12564" s="256"/>
    </row>
    <row r="12565" spans="104:111">
      <c r="CZ12565" s="256"/>
      <c r="DG12565" s="256"/>
    </row>
    <row r="12566" spans="104:111">
      <c r="CZ12566" s="256"/>
      <c r="DG12566" s="256"/>
    </row>
    <row r="12567" spans="104:111">
      <c r="CZ12567" s="256"/>
      <c r="DG12567" s="256"/>
    </row>
    <row r="12568" spans="104:111">
      <c r="CZ12568" s="256"/>
      <c r="DG12568" s="256"/>
    </row>
    <row r="12569" spans="104:111">
      <c r="CZ12569" s="256"/>
      <c r="DG12569" s="256"/>
    </row>
    <row r="12570" spans="104:111">
      <c r="CZ12570" s="256"/>
      <c r="DG12570" s="256"/>
    </row>
    <row r="12571" spans="104:111">
      <c r="CZ12571" s="256"/>
      <c r="DG12571" s="256"/>
    </row>
    <row r="12572" spans="104:111">
      <c r="CZ12572" s="256"/>
      <c r="DG12572" s="256"/>
    </row>
    <row r="12573" spans="104:111">
      <c r="CZ12573" s="256"/>
      <c r="DG12573" s="256"/>
    </row>
    <row r="12574" spans="104:111">
      <c r="CZ12574" s="256"/>
      <c r="DG12574" s="256"/>
    </row>
    <row r="12575" spans="104:111">
      <c r="CZ12575" s="256"/>
      <c r="DG12575" s="256"/>
    </row>
    <row r="12576" spans="104:111">
      <c r="CZ12576" s="256"/>
      <c r="DG12576" s="256"/>
    </row>
    <row r="12577" spans="104:111">
      <c r="CZ12577" s="256"/>
      <c r="DG12577" s="256"/>
    </row>
    <row r="12578" spans="104:111">
      <c r="CZ12578" s="256"/>
      <c r="DG12578" s="256"/>
    </row>
    <row r="12579" spans="104:111">
      <c r="CZ12579" s="256"/>
      <c r="DG12579" s="256"/>
    </row>
    <row r="12580" spans="104:111">
      <c r="CZ12580" s="256"/>
      <c r="DG12580" s="256"/>
    </row>
    <row r="12581" spans="104:111">
      <c r="CZ12581" s="256"/>
      <c r="DG12581" s="256"/>
    </row>
    <row r="12582" spans="104:111">
      <c r="CZ12582" s="256"/>
      <c r="DG12582" s="256"/>
    </row>
    <row r="12583" spans="104:111">
      <c r="CZ12583" s="256"/>
      <c r="DG12583" s="256"/>
    </row>
    <row r="12584" spans="104:111">
      <c r="CZ12584" s="256"/>
      <c r="DG12584" s="256"/>
    </row>
    <row r="12585" spans="104:111">
      <c r="CZ12585" s="256"/>
      <c r="DG12585" s="256"/>
    </row>
    <row r="12586" spans="104:111">
      <c r="CZ12586" s="256"/>
      <c r="DG12586" s="256"/>
    </row>
    <row r="12587" spans="104:111">
      <c r="CZ12587" s="256"/>
      <c r="DG12587" s="256"/>
    </row>
    <row r="12588" spans="104:111">
      <c r="CZ12588" s="256"/>
      <c r="DG12588" s="256"/>
    </row>
    <row r="12589" spans="104:111">
      <c r="CZ12589" s="256"/>
      <c r="DG12589" s="256"/>
    </row>
    <row r="12590" spans="104:111">
      <c r="CZ12590" s="256"/>
      <c r="DG12590" s="256"/>
    </row>
    <row r="12591" spans="104:111">
      <c r="CZ12591" s="256"/>
      <c r="DG12591" s="256"/>
    </row>
    <row r="12592" spans="104:111">
      <c r="CZ12592" s="256"/>
      <c r="DG12592" s="256"/>
    </row>
    <row r="12593" spans="104:111">
      <c r="CZ12593" s="256"/>
      <c r="DG12593" s="256"/>
    </row>
    <row r="12594" spans="104:111">
      <c r="CZ12594" s="256"/>
      <c r="DG12594" s="256"/>
    </row>
    <row r="12595" spans="104:111">
      <c r="CZ12595" s="256"/>
      <c r="DG12595" s="256"/>
    </row>
    <row r="12596" spans="104:111">
      <c r="CZ12596" s="256"/>
      <c r="DG12596" s="256"/>
    </row>
    <row r="12597" spans="104:111">
      <c r="CZ12597" s="256"/>
      <c r="DG12597" s="256"/>
    </row>
    <row r="12598" spans="104:111">
      <c r="CZ12598" s="256"/>
      <c r="DG12598" s="256"/>
    </row>
    <row r="12599" spans="104:111">
      <c r="CZ12599" s="256"/>
      <c r="DG12599" s="256"/>
    </row>
    <row r="12600" spans="104:111">
      <c r="CZ12600" s="256"/>
      <c r="DG12600" s="256"/>
    </row>
    <row r="12601" spans="104:111">
      <c r="CZ12601" s="256"/>
      <c r="DG12601" s="256"/>
    </row>
    <row r="12602" spans="104:111">
      <c r="CZ12602" s="256"/>
      <c r="DG12602" s="256"/>
    </row>
    <row r="12603" spans="104:111">
      <c r="CZ12603" s="256"/>
      <c r="DG12603" s="256"/>
    </row>
    <row r="12604" spans="104:111">
      <c r="CZ12604" s="256"/>
      <c r="DG12604" s="256"/>
    </row>
    <row r="12605" spans="104:111">
      <c r="CZ12605" s="256"/>
      <c r="DG12605" s="256"/>
    </row>
    <row r="12606" spans="104:111">
      <c r="CZ12606" s="256"/>
      <c r="DG12606" s="256"/>
    </row>
    <row r="12607" spans="104:111">
      <c r="CZ12607" s="256"/>
      <c r="DG12607" s="256"/>
    </row>
    <row r="12608" spans="104:111">
      <c r="CZ12608" s="256"/>
      <c r="DG12608" s="256"/>
    </row>
    <row r="12609" spans="104:111">
      <c r="CZ12609" s="256"/>
      <c r="DG12609" s="256"/>
    </row>
    <row r="12610" spans="104:111">
      <c r="CZ12610" s="256"/>
      <c r="DG12610" s="256"/>
    </row>
    <row r="12611" spans="104:111">
      <c r="CZ12611" s="256"/>
      <c r="DG12611" s="256"/>
    </row>
    <row r="12612" spans="104:111">
      <c r="CZ12612" s="256"/>
      <c r="DG12612" s="256"/>
    </row>
    <row r="12613" spans="104:111">
      <c r="CZ12613" s="256"/>
      <c r="DG12613" s="256"/>
    </row>
    <row r="12614" spans="104:111">
      <c r="CZ12614" s="256"/>
      <c r="DG12614" s="256"/>
    </row>
    <row r="12615" spans="104:111">
      <c r="CZ12615" s="256"/>
      <c r="DG12615" s="256"/>
    </row>
    <row r="12616" spans="104:111">
      <c r="CZ12616" s="256"/>
      <c r="DG12616" s="256"/>
    </row>
    <row r="12617" spans="104:111">
      <c r="CZ12617" s="256"/>
      <c r="DG12617" s="256"/>
    </row>
    <row r="12618" spans="104:111">
      <c r="CZ12618" s="256"/>
      <c r="DG12618" s="256"/>
    </row>
    <row r="12619" spans="104:111">
      <c r="CZ12619" s="256"/>
      <c r="DG12619" s="256"/>
    </row>
    <row r="12620" spans="104:111">
      <c r="CZ12620" s="256"/>
      <c r="DG12620" s="256"/>
    </row>
    <row r="12621" spans="104:111">
      <c r="CZ12621" s="256"/>
      <c r="DG12621" s="256"/>
    </row>
    <row r="12622" spans="104:111">
      <c r="CZ12622" s="256"/>
      <c r="DG12622" s="256"/>
    </row>
    <row r="12623" spans="104:111">
      <c r="CZ12623" s="256"/>
      <c r="DG12623" s="256"/>
    </row>
    <row r="12624" spans="104:111">
      <c r="CZ12624" s="256"/>
      <c r="DG12624" s="256"/>
    </row>
    <row r="12625" spans="104:111">
      <c r="CZ12625" s="256"/>
      <c r="DG12625" s="256"/>
    </row>
    <row r="12626" spans="104:111">
      <c r="CZ12626" s="256"/>
      <c r="DG12626" s="256"/>
    </row>
    <row r="12627" spans="104:111">
      <c r="CZ12627" s="256"/>
      <c r="DG12627" s="256"/>
    </row>
    <row r="12628" spans="104:111">
      <c r="CZ12628" s="256"/>
      <c r="DG12628" s="256"/>
    </row>
    <row r="12629" spans="104:111">
      <c r="CZ12629" s="256"/>
      <c r="DG12629" s="256"/>
    </row>
    <row r="12630" spans="104:111">
      <c r="CZ12630" s="256"/>
      <c r="DG12630" s="256"/>
    </row>
    <row r="12631" spans="104:111">
      <c r="CZ12631" s="256"/>
      <c r="DG12631" s="256"/>
    </row>
    <row r="12632" spans="104:111">
      <c r="CZ12632" s="256"/>
      <c r="DG12632" s="256"/>
    </row>
    <row r="12633" spans="104:111">
      <c r="CZ12633" s="256"/>
      <c r="DG12633" s="256"/>
    </row>
    <row r="12634" spans="104:111">
      <c r="CZ12634" s="256"/>
      <c r="DG12634" s="256"/>
    </row>
    <row r="12635" spans="104:111">
      <c r="CZ12635" s="256"/>
      <c r="DG12635" s="256"/>
    </row>
    <row r="12636" spans="104:111">
      <c r="CZ12636" s="256"/>
      <c r="DG12636" s="256"/>
    </row>
    <row r="12637" spans="104:111">
      <c r="CZ12637" s="256"/>
      <c r="DG12637" s="256"/>
    </row>
    <row r="12638" spans="104:111">
      <c r="CZ12638" s="256"/>
      <c r="DG12638" s="256"/>
    </row>
    <row r="12639" spans="104:111">
      <c r="CZ12639" s="256"/>
      <c r="DG12639" s="256"/>
    </row>
    <row r="12640" spans="104:111">
      <c r="CZ12640" s="256"/>
      <c r="DG12640" s="256"/>
    </row>
    <row r="12641" spans="104:111">
      <c r="CZ12641" s="256"/>
      <c r="DG12641" s="256"/>
    </row>
    <row r="12642" spans="104:111">
      <c r="CZ12642" s="256"/>
      <c r="DG12642" s="256"/>
    </row>
    <row r="12643" spans="104:111">
      <c r="CZ12643" s="256"/>
      <c r="DG12643" s="256"/>
    </row>
    <row r="12644" spans="104:111">
      <c r="CZ12644" s="256"/>
      <c r="DG12644" s="256"/>
    </row>
    <row r="12645" spans="104:111">
      <c r="CZ12645" s="256"/>
      <c r="DG12645" s="256"/>
    </row>
    <row r="12646" spans="104:111">
      <c r="CZ12646" s="256"/>
      <c r="DG12646" s="256"/>
    </row>
    <row r="12647" spans="104:111">
      <c r="CZ12647" s="256"/>
      <c r="DG12647" s="256"/>
    </row>
    <row r="12648" spans="104:111">
      <c r="CZ12648" s="256"/>
      <c r="DG12648" s="256"/>
    </row>
    <row r="12649" spans="104:111">
      <c r="CZ12649" s="256"/>
      <c r="DG12649" s="256"/>
    </row>
    <row r="12650" spans="104:111">
      <c r="CZ12650" s="256"/>
      <c r="DG12650" s="256"/>
    </row>
    <row r="12651" spans="104:111">
      <c r="CZ12651" s="256"/>
      <c r="DG12651" s="256"/>
    </row>
    <row r="12652" spans="104:111">
      <c r="CZ12652" s="256"/>
      <c r="DG12652" s="256"/>
    </row>
    <row r="12653" spans="104:111">
      <c r="CZ12653" s="256"/>
      <c r="DG12653" s="256"/>
    </row>
    <row r="12654" spans="104:111">
      <c r="CZ12654" s="256"/>
      <c r="DG12654" s="256"/>
    </row>
    <row r="12655" spans="104:111">
      <c r="CZ12655" s="256"/>
      <c r="DG12655" s="256"/>
    </row>
    <row r="12656" spans="104:111">
      <c r="CZ12656" s="256"/>
      <c r="DG12656" s="256"/>
    </row>
    <row r="12657" spans="104:111">
      <c r="CZ12657" s="256"/>
      <c r="DG12657" s="256"/>
    </row>
    <row r="12658" spans="104:111">
      <c r="CZ12658" s="256"/>
      <c r="DG12658" s="256"/>
    </row>
    <row r="12659" spans="104:111">
      <c r="CZ12659" s="256"/>
      <c r="DG12659" s="256"/>
    </row>
    <row r="12660" spans="104:111">
      <c r="CZ12660" s="256"/>
      <c r="DG12660" s="256"/>
    </row>
    <row r="12661" spans="104:111">
      <c r="CZ12661" s="256"/>
      <c r="DG12661" s="256"/>
    </row>
    <row r="12662" spans="104:111">
      <c r="CZ12662" s="256"/>
      <c r="DG12662" s="256"/>
    </row>
    <row r="12663" spans="104:111">
      <c r="CZ12663" s="256"/>
      <c r="DG12663" s="256"/>
    </row>
    <row r="12664" spans="104:111">
      <c r="CZ12664" s="256"/>
      <c r="DG12664" s="256"/>
    </row>
    <row r="12665" spans="104:111">
      <c r="CZ12665" s="256"/>
      <c r="DG12665" s="256"/>
    </row>
    <row r="12666" spans="104:111">
      <c r="CZ12666" s="256"/>
      <c r="DG12666" s="256"/>
    </row>
    <row r="12667" spans="104:111">
      <c r="CZ12667" s="256"/>
      <c r="DG12667" s="256"/>
    </row>
    <row r="12668" spans="104:111">
      <c r="CZ12668" s="256"/>
      <c r="DG12668" s="256"/>
    </row>
    <row r="12669" spans="104:111">
      <c r="CZ12669" s="256"/>
      <c r="DG12669" s="256"/>
    </row>
    <row r="12670" spans="104:111">
      <c r="CZ12670" s="256"/>
      <c r="DG12670" s="256"/>
    </row>
    <row r="12671" spans="104:111">
      <c r="CZ12671" s="256"/>
      <c r="DG12671" s="256"/>
    </row>
    <row r="12672" spans="104:111">
      <c r="CZ12672" s="256"/>
      <c r="DG12672" s="256"/>
    </row>
    <row r="12673" spans="104:111">
      <c r="CZ12673" s="256"/>
      <c r="DG12673" s="256"/>
    </row>
    <row r="12674" spans="104:111">
      <c r="CZ12674" s="256"/>
      <c r="DG12674" s="256"/>
    </row>
    <row r="12675" spans="104:111">
      <c r="CZ12675" s="256"/>
      <c r="DG12675" s="256"/>
    </row>
    <row r="12676" spans="104:111">
      <c r="CZ12676" s="256"/>
      <c r="DG12676" s="256"/>
    </row>
    <row r="12677" spans="104:111">
      <c r="CZ12677" s="256"/>
      <c r="DG12677" s="256"/>
    </row>
    <row r="12678" spans="104:111">
      <c r="CZ12678" s="256"/>
      <c r="DG12678" s="256"/>
    </row>
    <row r="12679" spans="104:111">
      <c r="CZ12679" s="256"/>
      <c r="DG12679" s="256"/>
    </row>
    <row r="12680" spans="104:111">
      <c r="CZ12680" s="256"/>
      <c r="DG12680" s="256"/>
    </row>
    <row r="12681" spans="104:111">
      <c r="CZ12681" s="256"/>
      <c r="DG12681" s="256"/>
    </row>
    <row r="12682" spans="104:111">
      <c r="CZ12682" s="256"/>
      <c r="DG12682" s="256"/>
    </row>
    <row r="12683" spans="104:111">
      <c r="CZ12683" s="256"/>
      <c r="DG12683" s="256"/>
    </row>
    <row r="12684" spans="104:111">
      <c r="CZ12684" s="256"/>
      <c r="DG12684" s="256"/>
    </row>
    <row r="12685" spans="104:111">
      <c r="CZ12685" s="256"/>
      <c r="DG12685" s="256"/>
    </row>
    <row r="12686" spans="104:111">
      <c r="CZ12686" s="256"/>
      <c r="DG12686" s="256"/>
    </row>
    <row r="12687" spans="104:111">
      <c r="CZ12687" s="256"/>
      <c r="DG12687" s="256"/>
    </row>
    <row r="12688" spans="104:111">
      <c r="CZ12688" s="256"/>
      <c r="DG12688" s="256"/>
    </row>
    <row r="12689" spans="104:111">
      <c r="CZ12689" s="256"/>
      <c r="DG12689" s="256"/>
    </row>
    <row r="12690" spans="104:111">
      <c r="CZ12690" s="256"/>
      <c r="DG12690" s="256"/>
    </row>
    <row r="12691" spans="104:111">
      <c r="CZ12691" s="256"/>
      <c r="DG12691" s="256"/>
    </row>
    <row r="12692" spans="104:111">
      <c r="CZ12692" s="256"/>
      <c r="DG12692" s="256"/>
    </row>
    <row r="12693" spans="104:111">
      <c r="CZ12693" s="256"/>
      <c r="DG12693" s="256"/>
    </row>
    <row r="12694" spans="104:111">
      <c r="CZ12694" s="256"/>
      <c r="DG12694" s="256"/>
    </row>
    <row r="12695" spans="104:111">
      <c r="CZ12695" s="256"/>
      <c r="DG12695" s="256"/>
    </row>
    <row r="12696" spans="104:111">
      <c r="CZ12696" s="256"/>
      <c r="DG12696" s="256"/>
    </row>
    <row r="12697" spans="104:111">
      <c r="CZ12697" s="256"/>
      <c r="DG12697" s="256"/>
    </row>
    <row r="12698" spans="104:111">
      <c r="CZ12698" s="256"/>
      <c r="DG12698" s="256"/>
    </row>
    <row r="12699" spans="104:111">
      <c r="CZ12699" s="256"/>
      <c r="DG12699" s="256"/>
    </row>
    <row r="12700" spans="104:111">
      <c r="CZ12700" s="256"/>
      <c r="DG12700" s="256"/>
    </row>
    <row r="12701" spans="104:111">
      <c r="CZ12701" s="256"/>
      <c r="DG12701" s="256"/>
    </row>
    <row r="12702" spans="104:111">
      <c r="CZ12702" s="256"/>
      <c r="DG12702" s="256"/>
    </row>
    <row r="12703" spans="104:111">
      <c r="CZ12703" s="256"/>
      <c r="DG12703" s="256"/>
    </row>
    <row r="12704" spans="104:111">
      <c r="CZ12704" s="256"/>
      <c r="DG12704" s="256"/>
    </row>
    <row r="12705" spans="104:111">
      <c r="CZ12705" s="256"/>
      <c r="DG12705" s="256"/>
    </row>
    <row r="12706" spans="104:111">
      <c r="CZ12706" s="256"/>
      <c r="DG12706" s="256"/>
    </row>
    <row r="12707" spans="104:111">
      <c r="CZ12707" s="256"/>
      <c r="DG12707" s="256"/>
    </row>
    <row r="12708" spans="104:111">
      <c r="CZ12708" s="256"/>
      <c r="DG12708" s="256"/>
    </row>
    <row r="12709" spans="104:111">
      <c r="CZ12709" s="256"/>
      <c r="DG12709" s="256"/>
    </row>
    <row r="12710" spans="104:111">
      <c r="CZ12710" s="256"/>
      <c r="DG12710" s="256"/>
    </row>
    <row r="12711" spans="104:111">
      <c r="CZ12711" s="256"/>
      <c r="DG12711" s="256"/>
    </row>
    <row r="12712" spans="104:111">
      <c r="CZ12712" s="256"/>
      <c r="DG12712" s="256"/>
    </row>
    <row r="12713" spans="104:111">
      <c r="CZ12713" s="256"/>
      <c r="DG12713" s="256"/>
    </row>
    <row r="12714" spans="104:111">
      <c r="CZ12714" s="256"/>
      <c r="DG12714" s="256"/>
    </row>
    <row r="12715" spans="104:111">
      <c r="CZ12715" s="256"/>
      <c r="DG12715" s="256"/>
    </row>
    <row r="12716" spans="104:111">
      <c r="CZ12716" s="256"/>
      <c r="DG12716" s="256"/>
    </row>
    <row r="12717" spans="104:111">
      <c r="CZ12717" s="256"/>
      <c r="DG12717" s="256"/>
    </row>
    <row r="12718" spans="104:111">
      <c r="CZ12718" s="256"/>
      <c r="DG12718" s="256"/>
    </row>
    <row r="12719" spans="104:111">
      <c r="CZ12719" s="256"/>
      <c r="DG12719" s="256"/>
    </row>
    <row r="12720" spans="104:111">
      <c r="CZ12720" s="256"/>
      <c r="DG12720" s="256"/>
    </row>
    <row r="12721" spans="104:111">
      <c r="CZ12721" s="256"/>
      <c r="DG12721" s="256"/>
    </row>
    <row r="12722" spans="104:111">
      <c r="CZ12722" s="256"/>
      <c r="DG12722" s="256"/>
    </row>
    <row r="12723" spans="104:111">
      <c r="CZ12723" s="256"/>
      <c r="DG12723" s="256"/>
    </row>
    <row r="12724" spans="104:111">
      <c r="CZ12724" s="256"/>
      <c r="DG12724" s="256"/>
    </row>
    <row r="12725" spans="104:111">
      <c r="CZ12725" s="256"/>
      <c r="DG12725" s="256"/>
    </row>
    <row r="12726" spans="104:111">
      <c r="CZ12726" s="256"/>
      <c r="DG12726" s="256"/>
    </row>
    <row r="12727" spans="104:111">
      <c r="CZ12727" s="256"/>
      <c r="DG12727" s="256"/>
    </row>
    <row r="12728" spans="104:111">
      <c r="CZ12728" s="256"/>
      <c r="DG12728" s="256"/>
    </row>
    <row r="12729" spans="104:111">
      <c r="CZ12729" s="256"/>
      <c r="DG12729" s="256"/>
    </row>
    <row r="12730" spans="104:111">
      <c r="CZ12730" s="256"/>
      <c r="DG12730" s="256"/>
    </row>
    <row r="12731" spans="104:111">
      <c r="CZ12731" s="256"/>
      <c r="DG12731" s="256"/>
    </row>
    <row r="12732" spans="104:111">
      <c r="CZ12732" s="256"/>
      <c r="DG12732" s="256"/>
    </row>
    <row r="12733" spans="104:111">
      <c r="CZ12733" s="256"/>
      <c r="DG12733" s="256"/>
    </row>
    <row r="12734" spans="104:111">
      <c r="CZ12734" s="256"/>
      <c r="DG12734" s="256"/>
    </row>
    <row r="12735" spans="104:111">
      <c r="CZ12735" s="256"/>
      <c r="DG12735" s="256"/>
    </row>
    <row r="12736" spans="104:111">
      <c r="CZ12736" s="256"/>
      <c r="DG12736" s="256"/>
    </row>
    <row r="12737" spans="104:111">
      <c r="CZ12737" s="256"/>
      <c r="DG12737" s="256"/>
    </row>
    <row r="12738" spans="104:111">
      <c r="CZ12738" s="256"/>
      <c r="DG12738" s="256"/>
    </row>
    <row r="12739" spans="104:111">
      <c r="CZ12739" s="256"/>
      <c r="DG12739" s="256"/>
    </row>
    <row r="12740" spans="104:111">
      <c r="CZ12740" s="256"/>
      <c r="DG12740" s="256"/>
    </row>
    <row r="12741" spans="104:111">
      <c r="CZ12741" s="256"/>
      <c r="DG12741" s="256"/>
    </row>
    <row r="12742" spans="104:111">
      <c r="CZ12742" s="256"/>
      <c r="DG12742" s="256"/>
    </row>
    <row r="12743" spans="104:111">
      <c r="CZ12743" s="256"/>
      <c r="DG12743" s="256"/>
    </row>
    <row r="12744" spans="104:111">
      <c r="CZ12744" s="256"/>
      <c r="DG12744" s="256"/>
    </row>
    <row r="12745" spans="104:111">
      <c r="CZ12745" s="256"/>
      <c r="DG12745" s="256"/>
    </row>
    <row r="12746" spans="104:111">
      <c r="CZ12746" s="256"/>
      <c r="DG12746" s="256"/>
    </row>
    <row r="12747" spans="104:111">
      <c r="CZ12747" s="256"/>
      <c r="DG12747" s="256"/>
    </row>
    <row r="12748" spans="104:111">
      <c r="CZ12748" s="256"/>
      <c r="DG12748" s="256"/>
    </row>
    <row r="12749" spans="104:111">
      <c r="CZ12749" s="256"/>
      <c r="DG12749" s="256"/>
    </row>
    <row r="12750" spans="104:111">
      <c r="CZ12750" s="256"/>
      <c r="DG12750" s="256"/>
    </row>
    <row r="12751" spans="104:111">
      <c r="CZ12751" s="256"/>
      <c r="DG12751" s="256"/>
    </row>
    <row r="12752" spans="104:111">
      <c r="CZ12752" s="256"/>
      <c r="DG12752" s="256"/>
    </row>
    <row r="12753" spans="104:111">
      <c r="CZ12753" s="256"/>
      <c r="DG12753" s="256"/>
    </row>
    <row r="12754" spans="104:111">
      <c r="CZ12754" s="256"/>
      <c r="DG12754" s="256"/>
    </row>
    <row r="12755" spans="104:111">
      <c r="CZ12755" s="256"/>
      <c r="DG12755" s="256"/>
    </row>
    <row r="12756" spans="104:111">
      <c r="CZ12756" s="256"/>
      <c r="DG12756" s="256"/>
    </row>
    <row r="12757" spans="104:111">
      <c r="CZ12757" s="256"/>
      <c r="DG12757" s="256"/>
    </row>
    <row r="12758" spans="104:111">
      <c r="CZ12758" s="256"/>
      <c r="DG12758" s="256"/>
    </row>
    <row r="12759" spans="104:111">
      <c r="CZ12759" s="256"/>
      <c r="DG12759" s="256"/>
    </row>
    <row r="12760" spans="104:111">
      <c r="CZ12760" s="256"/>
      <c r="DG12760" s="256"/>
    </row>
    <row r="12761" spans="104:111">
      <c r="CZ12761" s="256"/>
      <c r="DG12761" s="256"/>
    </row>
    <row r="12762" spans="104:111">
      <c r="CZ12762" s="256"/>
      <c r="DG12762" s="256"/>
    </row>
    <row r="12763" spans="104:111">
      <c r="CZ12763" s="256"/>
      <c r="DG12763" s="256"/>
    </row>
    <row r="12764" spans="104:111">
      <c r="CZ12764" s="256"/>
      <c r="DG12764" s="256"/>
    </row>
    <row r="12765" spans="104:111">
      <c r="CZ12765" s="256"/>
      <c r="DG12765" s="256"/>
    </row>
    <row r="12766" spans="104:111">
      <c r="CZ12766" s="256"/>
      <c r="DG12766" s="256"/>
    </row>
    <row r="12767" spans="104:111">
      <c r="CZ12767" s="256"/>
      <c r="DG12767" s="256"/>
    </row>
    <row r="12768" spans="104:111">
      <c r="CZ12768" s="256"/>
      <c r="DG12768" s="256"/>
    </row>
    <row r="12769" spans="104:111">
      <c r="CZ12769" s="256"/>
      <c r="DG12769" s="256"/>
    </row>
    <row r="12770" spans="104:111">
      <c r="CZ12770" s="256"/>
      <c r="DG12770" s="256"/>
    </row>
    <row r="12771" spans="104:111">
      <c r="CZ12771" s="256"/>
      <c r="DG12771" s="256"/>
    </row>
    <row r="12772" spans="104:111">
      <c r="CZ12772" s="256"/>
      <c r="DG12772" s="256"/>
    </row>
    <row r="12773" spans="104:111">
      <c r="CZ12773" s="256"/>
      <c r="DG12773" s="256"/>
    </row>
    <row r="12774" spans="104:111">
      <c r="CZ12774" s="256"/>
      <c r="DG12774" s="256"/>
    </row>
    <row r="12775" spans="104:111">
      <c r="CZ12775" s="256"/>
      <c r="DG12775" s="256"/>
    </row>
    <row r="12776" spans="104:111">
      <c r="CZ12776" s="256"/>
      <c r="DG12776" s="256"/>
    </row>
    <row r="12777" spans="104:111">
      <c r="CZ12777" s="256"/>
      <c r="DG12777" s="256"/>
    </row>
    <row r="12778" spans="104:111">
      <c r="CZ12778" s="256"/>
      <c r="DG12778" s="256"/>
    </row>
    <row r="12779" spans="104:111">
      <c r="CZ12779" s="256"/>
      <c r="DG12779" s="256"/>
    </row>
    <row r="12780" spans="104:111">
      <c r="CZ12780" s="256"/>
      <c r="DG12780" s="256"/>
    </row>
    <row r="12781" spans="104:111">
      <c r="CZ12781" s="256"/>
      <c r="DG12781" s="256"/>
    </row>
    <row r="12782" spans="104:111">
      <c r="CZ12782" s="256"/>
      <c r="DG12782" s="256"/>
    </row>
    <row r="12783" spans="104:111">
      <c r="CZ12783" s="256"/>
      <c r="DG12783" s="256"/>
    </row>
    <row r="12784" spans="104:111">
      <c r="CZ12784" s="256"/>
      <c r="DG12784" s="256"/>
    </row>
    <row r="12785" spans="104:111">
      <c r="CZ12785" s="256"/>
      <c r="DG12785" s="256"/>
    </row>
    <row r="12786" spans="104:111">
      <c r="CZ12786" s="256"/>
      <c r="DG12786" s="256"/>
    </row>
    <row r="12787" spans="104:111">
      <c r="CZ12787" s="256"/>
      <c r="DG12787" s="256"/>
    </row>
    <row r="12788" spans="104:111">
      <c r="CZ12788" s="256"/>
      <c r="DG12788" s="256"/>
    </row>
    <row r="12789" spans="104:111">
      <c r="CZ12789" s="256"/>
      <c r="DG12789" s="256"/>
    </row>
    <row r="12790" spans="104:111">
      <c r="CZ12790" s="256"/>
      <c r="DG12790" s="256"/>
    </row>
    <row r="12791" spans="104:111">
      <c r="CZ12791" s="256"/>
      <c r="DG12791" s="256"/>
    </row>
    <row r="12792" spans="104:111">
      <c r="CZ12792" s="256"/>
      <c r="DG12792" s="256"/>
    </row>
    <row r="12793" spans="104:111">
      <c r="CZ12793" s="256"/>
      <c r="DG12793" s="256"/>
    </row>
    <row r="12794" spans="104:111">
      <c r="CZ12794" s="256"/>
      <c r="DG12794" s="256"/>
    </row>
    <row r="12795" spans="104:111">
      <c r="CZ12795" s="256"/>
      <c r="DG12795" s="256"/>
    </row>
    <row r="12796" spans="104:111">
      <c r="CZ12796" s="256"/>
      <c r="DG12796" s="256"/>
    </row>
    <row r="12797" spans="104:111">
      <c r="CZ12797" s="256"/>
      <c r="DG12797" s="256"/>
    </row>
    <row r="12798" spans="104:111">
      <c r="CZ12798" s="256"/>
      <c r="DG12798" s="256"/>
    </row>
    <row r="12799" spans="104:111">
      <c r="CZ12799" s="256"/>
      <c r="DG12799" s="256"/>
    </row>
    <row r="12800" spans="104:111">
      <c r="CZ12800" s="256"/>
      <c r="DG12800" s="256"/>
    </row>
    <row r="12801" spans="104:111">
      <c r="CZ12801" s="256"/>
      <c r="DG12801" s="256"/>
    </row>
    <row r="12802" spans="104:111">
      <c r="CZ12802" s="256"/>
      <c r="DG12802" s="256"/>
    </row>
    <row r="12803" spans="104:111">
      <c r="CZ12803" s="256"/>
      <c r="DG12803" s="256"/>
    </row>
    <row r="12804" spans="104:111">
      <c r="CZ12804" s="256"/>
      <c r="DG12804" s="256"/>
    </row>
    <row r="12805" spans="104:111">
      <c r="CZ12805" s="256"/>
      <c r="DG12805" s="256"/>
    </row>
    <row r="12806" spans="104:111">
      <c r="CZ12806" s="256"/>
      <c r="DG12806" s="256"/>
    </row>
    <row r="12807" spans="104:111">
      <c r="CZ12807" s="256"/>
      <c r="DG12807" s="256"/>
    </row>
    <row r="12808" spans="104:111">
      <c r="CZ12808" s="256"/>
      <c r="DG12808" s="256"/>
    </row>
    <row r="12809" spans="104:111">
      <c r="CZ12809" s="256"/>
      <c r="DG12809" s="256"/>
    </row>
    <row r="12810" spans="104:111">
      <c r="CZ12810" s="256"/>
      <c r="DG12810" s="256"/>
    </row>
    <row r="12811" spans="104:111">
      <c r="CZ12811" s="256"/>
      <c r="DG12811" s="256"/>
    </row>
    <row r="12812" spans="104:111">
      <c r="CZ12812" s="256"/>
      <c r="DG12812" s="256"/>
    </row>
    <row r="12813" spans="104:111">
      <c r="CZ12813" s="256"/>
      <c r="DG12813" s="256"/>
    </row>
    <row r="12814" spans="104:111">
      <c r="CZ12814" s="256"/>
      <c r="DG12814" s="256"/>
    </row>
    <row r="12815" spans="104:111">
      <c r="CZ12815" s="256"/>
      <c r="DG12815" s="256"/>
    </row>
    <row r="12816" spans="104:111">
      <c r="CZ12816" s="256"/>
      <c r="DG12816" s="256"/>
    </row>
    <row r="12817" spans="104:111">
      <c r="CZ12817" s="256"/>
      <c r="DG12817" s="256"/>
    </row>
    <row r="12818" spans="104:111">
      <c r="CZ12818" s="256"/>
      <c r="DG12818" s="256"/>
    </row>
    <row r="12819" spans="104:111">
      <c r="CZ12819" s="256"/>
      <c r="DG12819" s="256"/>
    </row>
    <row r="12820" spans="104:111">
      <c r="CZ12820" s="256"/>
      <c r="DG12820" s="256"/>
    </row>
    <row r="12821" spans="104:111">
      <c r="CZ12821" s="256"/>
      <c r="DG12821" s="256"/>
    </row>
    <row r="12822" spans="104:111">
      <c r="CZ12822" s="256"/>
      <c r="DG12822" s="256"/>
    </row>
    <row r="12823" spans="104:111">
      <c r="CZ12823" s="256"/>
      <c r="DG12823" s="256"/>
    </row>
    <row r="12824" spans="104:111">
      <c r="CZ12824" s="256"/>
      <c r="DG12824" s="256"/>
    </row>
    <row r="12825" spans="104:111">
      <c r="CZ12825" s="256"/>
      <c r="DG12825" s="256"/>
    </row>
    <row r="12826" spans="104:111">
      <c r="CZ12826" s="256"/>
      <c r="DG12826" s="256"/>
    </row>
    <row r="12827" spans="104:111">
      <c r="CZ12827" s="256"/>
      <c r="DG12827" s="256"/>
    </row>
    <row r="12828" spans="104:111">
      <c r="CZ12828" s="256"/>
      <c r="DG12828" s="256"/>
    </row>
    <row r="12829" spans="104:111">
      <c r="CZ12829" s="256"/>
      <c r="DG12829" s="256"/>
    </row>
    <row r="12830" spans="104:111">
      <c r="CZ12830" s="256"/>
      <c r="DG12830" s="256"/>
    </row>
    <row r="12831" spans="104:111">
      <c r="CZ12831" s="256"/>
      <c r="DG12831" s="256"/>
    </row>
    <row r="12832" spans="104:111">
      <c r="CZ12832" s="256"/>
      <c r="DG12832" s="256"/>
    </row>
    <row r="12833" spans="104:111">
      <c r="CZ12833" s="256"/>
      <c r="DG12833" s="256"/>
    </row>
    <row r="12834" spans="104:111">
      <c r="CZ12834" s="256"/>
      <c r="DG12834" s="256"/>
    </row>
    <row r="12835" spans="104:111">
      <c r="CZ12835" s="256"/>
      <c r="DG12835" s="256"/>
    </row>
    <row r="12836" spans="104:111">
      <c r="CZ12836" s="256"/>
      <c r="DG12836" s="256"/>
    </row>
    <row r="12837" spans="104:111">
      <c r="CZ12837" s="256"/>
      <c r="DG12837" s="256"/>
    </row>
    <row r="12838" spans="104:111">
      <c r="CZ12838" s="256"/>
      <c r="DG12838" s="256"/>
    </row>
    <row r="12839" spans="104:111">
      <c r="CZ12839" s="256"/>
      <c r="DG12839" s="256"/>
    </row>
    <row r="12840" spans="104:111">
      <c r="CZ12840" s="256"/>
      <c r="DG12840" s="256"/>
    </row>
    <row r="12841" spans="104:111">
      <c r="CZ12841" s="256"/>
      <c r="DG12841" s="256"/>
    </row>
    <row r="12842" spans="104:111">
      <c r="CZ12842" s="256"/>
      <c r="DG12842" s="256"/>
    </row>
    <row r="12843" spans="104:111">
      <c r="CZ12843" s="256"/>
      <c r="DG12843" s="256"/>
    </row>
    <row r="12844" spans="104:111">
      <c r="CZ12844" s="256"/>
      <c r="DG12844" s="256"/>
    </row>
    <row r="12845" spans="104:111">
      <c r="CZ12845" s="256"/>
      <c r="DG12845" s="256"/>
    </row>
    <row r="12846" spans="104:111">
      <c r="CZ12846" s="256"/>
      <c r="DG12846" s="256"/>
    </row>
    <row r="12847" spans="104:111">
      <c r="CZ12847" s="256"/>
      <c r="DG12847" s="256"/>
    </row>
    <row r="12848" spans="104:111">
      <c r="CZ12848" s="256"/>
      <c r="DG12848" s="256"/>
    </row>
    <row r="12849" spans="104:111">
      <c r="CZ12849" s="256"/>
      <c r="DG12849" s="256"/>
    </row>
    <row r="12850" spans="104:111">
      <c r="CZ12850" s="256"/>
      <c r="DG12850" s="256"/>
    </row>
    <row r="12851" spans="104:111">
      <c r="CZ12851" s="256"/>
      <c r="DG12851" s="256"/>
    </row>
    <row r="12852" spans="104:111">
      <c r="CZ12852" s="256"/>
      <c r="DG12852" s="256"/>
    </row>
    <row r="12853" spans="104:111">
      <c r="CZ12853" s="256"/>
      <c r="DG12853" s="256"/>
    </row>
    <row r="12854" spans="104:111">
      <c r="CZ12854" s="256"/>
      <c r="DG12854" s="256"/>
    </row>
    <row r="12855" spans="104:111">
      <c r="CZ12855" s="256"/>
      <c r="DG12855" s="256"/>
    </row>
    <row r="12856" spans="104:111">
      <c r="CZ12856" s="256"/>
      <c r="DG12856" s="256"/>
    </row>
    <row r="12857" spans="104:111">
      <c r="CZ12857" s="256"/>
      <c r="DG12857" s="256"/>
    </row>
    <row r="12858" spans="104:111">
      <c r="CZ12858" s="256"/>
      <c r="DG12858" s="256"/>
    </row>
    <row r="12859" spans="104:111">
      <c r="CZ12859" s="256"/>
      <c r="DG12859" s="256"/>
    </row>
    <row r="12860" spans="104:111">
      <c r="CZ12860" s="256"/>
      <c r="DG12860" s="256"/>
    </row>
    <row r="12861" spans="104:111">
      <c r="CZ12861" s="256"/>
      <c r="DG12861" s="256"/>
    </row>
    <row r="12862" spans="104:111">
      <c r="CZ12862" s="256"/>
      <c r="DG12862" s="256"/>
    </row>
    <row r="12863" spans="104:111">
      <c r="CZ12863" s="256"/>
      <c r="DG12863" s="256"/>
    </row>
    <row r="12864" spans="104:111">
      <c r="CZ12864" s="256"/>
      <c r="DG12864" s="256"/>
    </row>
    <row r="12865" spans="104:111">
      <c r="CZ12865" s="256"/>
      <c r="DG12865" s="256"/>
    </row>
    <row r="12866" spans="104:111">
      <c r="CZ12866" s="256"/>
      <c r="DG12866" s="256"/>
    </row>
    <row r="12867" spans="104:111">
      <c r="CZ12867" s="256"/>
      <c r="DG12867" s="256"/>
    </row>
    <row r="12868" spans="104:111">
      <c r="CZ12868" s="256"/>
      <c r="DG12868" s="256"/>
    </row>
    <row r="12869" spans="104:111">
      <c r="CZ12869" s="256"/>
      <c r="DG12869" s="256"/>
    </row>
    <row r="12870" spans="104:111">
      <c r="CZ12870" s="256"/>
      <c r="DG12870" s="256"/>
    </row>
    <row r="12871" spans="104:111">
      <c r="CZ12871" s="256"/>
      <c r="DG12871" s="256"/>
    </row>
    <row r="12872" spans="104:111">
      <c r="CZ12872" s="256"/>
      <c r="DG12872" s="256"/>
    </row>
    <row r="12873" spans="104:111">
      <c r="CZ12873" s="256"/>
      <c r="DG12873" s="256"/>
    </row>
    <row r="12874" spans="104:111">
      <c r="CZ12874" s="256"/>
      <c r="DG12874" s="256"/>
    </row>
    <row r="12875" spans="104:111">
      <c r="CZ12875" s="256"/>
      <c r="DG12875" s="256"/>
    </row>
    <row r="12876" spans="104:111">
      <c r="CZ12876" s="256"/>
      <c r="DG12876" s="256"/>
    </row>
    <row r="12877" spans="104:111">
      <c r="CZ12877" s="256"/>
      <c r="DG12877" s="256"/>
    </row>
    <row r="12878" spans="104:111">
      <c r="CZ12878" s="256"/>
      <c r="DG12878" s="256"/>
    </row>
    <row r="12879" spans="104:111">
      <c r="CZ12879" s="256"/>
      <c r="DG12879" s="256"/>
    </row>
    <row r="12880" spans="104:111">
      <c r="CZ12880" s="256"/>
      <c r="DG12880" s="256"/>
    </row>
    <row r="12881" spans="104:111">
      <c r="CZ12881" s="256"/>
      <c r="DG12881" s="256"/>
    </row>
    <row r="12882" spans="104:111">
      <c r="CZ12882" s="256"/>
      <c r="DG12882" s="256"/>
    </row>
    <row r="12883" spans="104:111">
      <c r="CZ12883" s="256"/>
      <c r="DG12883" s="256"/>
    </row>
    <row r="12884" spans="104:111">
      <c r="CZ12884" s="256"/>
      <c r="DG12884" s="256"/>
    </row>
    <row r="12885" spans="104:111">
      <c r="CZ12885" s="256"/>
      <c r="DG12885" s="256"/>
    </row>
    <row r="12886" spans="104:111">
      <c r="CZ12886" s="256"/>
      <c r="DG12886" s="256"/>
    </row>
    <row r="12887" spans="104:111">
      <c r="CZ12887" s="256"/>
      <c r="DG12887" s="256"/>
    </row>
    <row r="12888" spans="104:111">
      <c r="CZ12888" s="256"/>
      <c r="DG12888" s="256"/>
    </row>
    <row r="12889" spans="104:111">
      <c r="CZ12889" s="256"/>
      <c r="DG12889" s="256"/>
    </row>
    <row r="12890" spans="104:111">
      <c r="CZ12890" s="256"/>
      <c r="DG12890" s="256"/>
    </row>
    <row r="12891" spans="104:111">
      <c r="CZ12891" s="256"/>
      <c r="DG12891" s="256"/>
    </row>
    <row r="12892" spans="104:111">
      <c r="CZ12892" s="256"/>
      <c r="DG12892" s="256"/>
    </row>
    <row r="12893" spans="104:111">
      <c r="CZ12893" s="256"/>
      <c r="DG12893" s="256"/>
    </row>
    <row r="12894" spans="104:111">
      <c r="CZ12894" s="256"/>
      <c r="DG12894" s="256"/>
    </row>
    <row r="12895" spans="104:111">
      <c r="CZ12895" s="256"/>
      <c r="DG12895" s="256"/>
    </row>
    <row r="12896" spans="104:111">
      <c r="CZ12896" s="256"/>
      <c r="DG12896" s="256"/>
    </row>
    <row r="12897" spans="104:111">
      <c r="CZ12897" s="256"/>
      <c r="DG12897" s="256"/>
    </row>
    <row r="12898" spans="104:111">
      <c r="CZ12898" s="256"/>
      <c r="DG12898" s="256"/>
    </row>
    <row r="12899" spans="104:111">
      <c r="CZ12899" s="256"/>
      <c r="DG12899" s="256"/>
    </row>
    <row r="12900" spans="104:111">
      <c r="CZ12900" s="256"/>
      <c r="DG12900" s="256"/>
    </row>
    <row r="12901" spans="104:111">
      <c r="CZ12901" s="256"/>
      <c r="DG12901" s="256"/>
    </row>
    <row r="12902" spans="104:111">
      <c r="CZ12902" s="256"/>
      <c r="DG12902" s="256"/>
    </row>
    <row r="12903" spans="104:111">
      <c r="CZ12903" s="256"/>
      <c r="DG12903" s="256"/>
    </row>
    <row r="12904" spans="104:111">
      <c r="CZ12904" s="256"/>
      <c r="DG12904" s="256"/>
    </row>
    <row r="12905" spans="104:111">
      <c r="CZ12905" s="256"/>
      <c r="DG12905" s="256"/>
    </row>
    <row r="12906" spans="104:111">
      <c r="CZ12906" s="256"/>
      <c r="DG12906" s="256"/>
    </row>
    <row r="12907" spans="104:111">
      <c r="CZ12907" s="256"/>
      <c r="DG12907" s="256"/>
    </row>
    <row r="12908" spans="104:111">
      <c r="CZ12908" s="256"/>
      <c r="DG12908" s="256"/>
    </row>
    <row r="12909" spans="104:111">
      <c r="CZ12909" s="256"/>
      <c r="DG12909" s="256"/>
    </row>
    <row r="12910" spans="104:111">
      <c r="CZ12910" s="256"/>
      <c r="DG12910" s="256"/>
    </row>
    <row r="12911" spans="104:111">
      <c r="CZ12911" s="256"/>
      <c r="DG12911" s="256"/>
    </row>
    <row r="12912" spans="104:111">
      <c r="CZ12912" s="256"/>
      <c r="DG12912" s="256"/>
    </row>
    <row r="12913" spans="104:111">
      <c r="CZ12913" s="256"/>
      <c r="DG12913" s="256"/>
    </row>
    <row r="12914" spans="104:111">
      <c r="CZ12914" s="256"/>
      <c r="DG12914" s="256"/>
    </row>
    <row r="12915" spans="104:111">
      <c r="CZ12915" s="256"/>
      <c r="DG12915" s="256"/>
    </row>
    <row r="12916" spans="104:111">
      <c r="CZ12916" s="256"/>
      <c r="DG12916" s="256"/>
    </row>
    <row r="12917" spans="104:111">
      <c r="CZ12917" s="256"/>
      <c r="DG12917" s="256"/>
    </row>
    <row r="12918" spans="104:111">
      <c r="CZ12918" s="256"/>
      <c r="DG12918" s="256"/>
    </row>
    <row r="12919" spans="104:111">
      <c r="CZ12919" s="256"/>
      <c r="DG12919" s="256"/>
    </row>
    <row r="12920" spans="104:111">
      <c r="CZ12920" s="256"/>
      <c r="DG12920" s="256"/>
    </row>
    <row r="12921" spans="104:111">
      <c r="CZ12921" s="256"/>
      <c r="DG12921" s="256"/>
    </row>
    <row r="12922" spans="104:111">
      <c r="CZ12922" s="256"/>
      <c r="DG12922" s="256"/>
    </row>
    <row r="12923" spans="104:111">
      <c r="CZ12923" s="256"/>
      <c r="DG12923" s="256"/>
    </row>
    <row r="12924" spans="104:111">
      <c r="CZ12924" s="256"/>
      <c r="DG12924" s="256"/>
    </row>
    <row r="12925" spans="104:111">
      <c r="CZ12925" s="256"/>
      <c r="DG12925" s="256"/>
    </row>
    <row r="12926" spans="104:111">
      <c r="CZ12926" s="256"/>
      <c r="DG12926" s="256"/>
    </row>
    <row r="12927" spans="104:111">
      <c r="CZ12927" s="256"/>
      <c r="DG12927" s="256"/>
    </row>
    <row r="12928" spans="104:111">
      <c r="CZ12928" s="256"/>
      <c r="DG12928" s="256"/>
    </row>
    <row r="12929" spans="104:111">
      <c r="CZ12929" s="256"/>
      <c r="DG12929" s="256"/>
    </row>
    <row r="12930" spans="104:111">
      <c r="CZ12930" s="256"/>
      <c r="DG12930" s="256"/>
    </row>
    <row r="12931" spans="104:111">
      <c r="CZ12931" s="256"/>
      <c r="DG12931" s="256"/>
    </row>
    <row r="12932" spans="104:111">
      <c r="CZ12932" s="256"/>
      <c r="DG12932" s="256"/>
    </row>
    <row r="12933" spans="104:111">
      <c r="CZ12933" s="256"/>
      <c r="DG12933" s="256"/>
    </row>
    <row r="12934" spans="104:111">
      <c r="CZ12934" s="256"/>
      <c r="DG12934" s="256"/>
    </row>
    <row r="12935" spans="104:111">
      <c r="CZ12935" s="256"/>
      <c r="DG12935" s="256"/>
    </row>
    <row r="12936" spans="104:111">
      <c r="CZ12936" s="256"/>
      <c r="DG12936" s="256"/>
    </row>
    <row r="12937" spans="104:111">
      <c r="CZ12937" s="256"/>
      <c r="DG12937" s="256"/>
    </row>
    <row r="12938" spans="104:111">
      <c r="CZ12938" s="256"/>
      <c r="DG12938" s="256"/>
    </row>
    <row r="12939" spans="104:111">
      <c r="CZ12939" s="256"/>
      <c r="DG12939" s="256"/>
    </row>
    <row r="12940" spans="104:111">
      <c r="CZ12940" s="256"/>
      <c r="DG12940" s="256"/>
    </row>
    <row r="12941" spans="104:111">
      <c r="CZ12941" s="256"/>
      <c r="DG12941" s="256"/>
    </row>
    <row r="12942" spans="104:111">
      <c r="CZ12942" s="256"/>
      <c r="DG12942" s="256"/>
    </row>
    <row r="12943" spans="104:111">
      <c r="CZ12943" s="256"/>
      <c r="DG12943" s="256"/>
    </row>
    <row r="12944" spans="104:111">
      <c r="CZ12944" s="256"/>
      <c r="DG12944" s="256"/>
    </row>
    <row r="12945" spans="104:111">
      <c r="CZ12945" s="256"/>
      <c r="DG12945" s="256"/>
    </row>
    <row r="12946" spans="104:111">
      <c r="CZ12946" s="256"/>
      <c r="DG12946" s="256"/>
    </row>
    <row r="12947" spans="104:111">
      <c r="CZ12947" s="256"/>
      <c r="DG12947" s="256"/>
    </row>
    <row r="12948" spans="104:111">
      <c r="CZ12948" s="256"/>
      <c r="DG12948" s="256"/>
    </row>
    <row r="12949" spans="104:111">
      <c r="CZ12949" s="256"/>
      <c r="DG12949" s="256"/>
    </row>
    <row r="12950" spans="104:111">
      <c r="CZ12950" s="256"/>
      <c r="DG12950" s="256"/>
    </row>
    <row r="12951" spans="104:111">
      <c r="CZ12951" s="256"/>
      <c r="DG12951" s="256"/>
    </row>
    <row r="12952" spans="104:111">
      <c r="CZ12952" s="256"/>
      <c r="DG12952" s="256"/>
    </row>
    <row r="12953" spans="104:111">
      <c r="CZ12953" s="256"/>
      <c r="DG12953" s="256"/>
    </row>
    <row r="12954" spans="104:111">
      <c r="CZ12954" s="256"/>
      <c r="DG12954" s="256"/>
    </row>
    <row r="12955" spans="104:111">
      <c r="CZ12955" s="256"/>
      <c r="DG12955" s="256"/>
    </row>
    <row r="12956" spans="104:111">
      <c r="CZ12956" s="256"/>
      <c r="DG12956" s="256"/>
    </row>
    <row r="12957" spans="104:111">
      <c r="CZ12957" s="256"/>
      <c r="DG12957" s="256"/>
    </row>
    <row r="12958" spans="104:111">
      <c r="CZ12958" s="256"/>
      <c r="DG12958" s="256"/>
    </row>
    <row r="12959" spans="104:111">
      <c r="CZ12959" s="256"/>
      <c r="DG12959" s="256"/>
    </row>
    <row r="12960" spans="104:111">
      <c r="CZ12960" s="256"/>
      <c r="DG12960" s="256"/>
    </row>
    <row r="12961" spans="104:111">
      <c r="CZ12961" s="256"/>
      <c r="DG12961" s="256"/>
    </row>
    <row r="12962" spans="104:111">
      <c r="CZ12962" s="256"/>
      <c r="DG12962" s="256"/>
    </row>
    <row r="12963" spans="104:111">
      <c r="CZ12963" s="256"/>
      <c r="DG12963" s="256"/>
    </row>
    <row r="12964" spans="104:111">
      <c r="CZ12964" s="256"/>
      <c r="DG12964" s="256"/>
    </row>
    <row r="12965" spans="104:111">
      <c r="CZ12965" s="256"/>
      <c r="DG12965" s="256"/>
    </row>
    <row r="12966" spans="104:111">
      <c r="CZ12966" s="256"/>
      <c r="DG12966" s="256"/>
    </row>
    <row r="12967" spans="104:111">
      <c r="CZ12967" s="256"/>
      <c r="DG12967" s="256"/>
    </row>
    <row r="12968" spans="104:111">
      <c r="CZ12968" s="256"/>
      <c r="DG12968" s="256"/>
    </row>
    <row r="12969" spans="104:111">
      <c r="CZ12969" s="256"/>
      <c r="DG12969" s="256"/>
    </row>
    <row r="12970" spans="104:111">
      <c r="CZ12970" s="256"/>
      <c r="DG12970" s="256"/>
    </row>
    <row r="12971" spans="104:111">
      <c r="CZ12971" s="256"/>
      <c r="DG12971" s="256"/>
    </row>
    <row r="12972" spans="104:111">
      <c r="CZ12972" s="256"/>
      <c r="DG12972" s="256"/>
    </row>
    <row r="12973" spans="104:111">
      <c r="CZ12973" s="256"/>
      <c r="DG12973" s="256"/>
    </row>
    <row r="12974" spans="104:111">
      <c r="CZ12974" s="256"/>
      <c r="DG12974" s="256"/>
    </row>
    <row r="12975" spans="104:111">
      <c r="CZ12975" s="256"/>
      <c r="DG12975" s="256"/>
    </row>
    <row r="12976" spans="104:111">
      <c r="CZ12976" s="256"/>
      <c r="DG12976" s="256"/>
    </row>
    <row r="12977" spans="104:111">
      <c r="CZ12977" s="256"/>
      <c r="DG12977" s="256"/>
    </row>
    <row r="12978" spans="104:111">
      <c r="CZ12978" s="256"/>
      <c r="DG12978" s="256"/>
    </row>
    <row r="12979" spans="104:111">
      <c r="CZ12979" s="256"/>
      <c r="DG12979" s="256"/>
    </row>
    <row r="12980" spans="104:111">
      <c r="CZ12980" s="256"/>
      <c r="DG12980" s="256"/>
    </row>
    <row r="12981" spans="104:111">
      <c r="CZ12981" s="256"/>
      <c r="DG12981" s="256"/>
    </row>
    <row r="12982" spans="104:111">
      <c r="CZ12982" s="256"/>
      <c r="DG12982" s="256"/>
    </row>
    <row r="12983" spans="104:111">
      <c r="CZ12983" s="256"/>
      <c r="DG12983" s="256"/>
    </row>
    <row r="12984" spans="104:111">
      <c r="CZ12984" s="256"/>
      <c r="DG12984" s="256"/>
    </row>
    <row r="12985" spans="104:111">
      <c r="CZ12985" s="256"/>
      <c r="DG12985" s="256"/>
    </row>
    <row r="12986" spans="104:111">
      <c r="CZ12986" s="256"/>
      <c r="DG12986" s="256"/>
    </row>
    <row r="12987" spans="104:111">
      <c r="CZ12987" s="256"/>
      <c r="DG12987" s="256"/>
    </row>
    <row r="12988" spans="104:111">
      <c r="CZ12988" s="256"/>
      <c r="DG12988" s="256"/>
    </row>
    <row r="12989" spans="104:111">
      <c r="CZ12989" s="256"/>
      <c r="DG12989" s="256"/>
    </row>
    <row r="12990" spans="104:111">
      <c r="CZ12990" s="256"/>
      <c r="DG12990" s="256"/>
    </row>
    <row r="12991" spans="104:111">
      <c r="CZ12991" s="256"/>
      <c r="DG12991" s="256"/>
    </row>
    <row r="12992" spans="104:111">
      <c r="CZ12992" s="256"/>
      <c r="DG12992" s="256"/>
    </row>
    <row r="12993" spans="104:111">
      <c r="CZ12993" s="256"/>
      <c r="DG12993" s="256"/>
    </row>
    <row r="12994" spans="104:111">
      <c r="CZ12994" s="256"/>
      <c r="DG12994" s="256"/>
    </row>
    <row r="12995" spans="104:111">
      <c r="CZ12995" s="256"/>
      <c r="DG12995" s="256"/>
    </row>
    <row r="12996" spans="104:111">
      <c r="CZ12996" s="256"/>
      <c r="DG12996" s="256"/>
    </row>
    <row r="12997" spans="104:111">
      <c r="CZ12997" s="256"/>
      <c r="DG12997" s="256"/>
    </row>
    <row r="12998" spans="104:111">
      <c r="CZ12998" s="256"/>
      <c r="DG12998" s="256"/>
    </row>
    <row r="12999" spans="104:111">
      <c r="CZ12999" s="256"/>
      <c r="DG12999" s="256"/>
    </row>
    <row r="13000" spans="104:111">
      <c r="CZ13000" s="256"/>
      <c r="DG13000" s="256"/>
    </row>
    <row r="13001" spans="104:111">
      <c r="CZ13001" s="256"/>
      <c r="DG13001" s="256"/>
    </row>
    <row r="13002" spans="104:111">
      <c r="CZ13002" s="256"/>
      <c r="DG13002" s="256"/>
    </row>
    <row r="13003" spans="104:111">
      <c r="CZ13003" s="256"/>
      <c r="DG13003" s="256"/>
    </row>
    <row r="13004" spans="104:111">
      <c r="CZ13004" s="256"/>
      <c r="DG13004" s="256"/>
    </row>
    <row r="13005" spans="104:111">
      <c r="CZ13005" s="256"/>
      <c r="DG13005" s="256"/>
    </row>
    <row r="13006" spans="104:111">
      <c r="CZ13006" s="256"/>
      <c r="DG13006" s="256"/>
    </row>
    <row r="13007" spans="104:111">
      <c r="CZ13007" s="256"/>
      <c r="DG13007" s="256"/>
    </row>
    <row r="13008" spans="104:111">
      <c r="CZ13008" s="256"/>
      <c r="DG13008" s="256"/>
    </row>
    <row r="13009" spans="104:111">
      <c r="CZ13009" s="256"/>
      <c r="DG13009" s="256"/>
    </row>
    <row r="13010" spans="104:111">
      <c r="CZ13010" s="256"/>
      <c r="DG13010" s="256"/>
    </row>
    <row r="13011" spans="104:111">
      <c r="CZ13011" s="256"/>
      <c r="DG13011" s="256"/>
    </row>
    <row r="13012" spans="104:111">
      <c r="CZ13012" s="256"/>
      <c r="DG13012" s="256"/>
    </row>
    <row r="13013" spans="104:111">
      <c r="CZ13013" s="256"/>
      <c r="DG13013" s="256"/>
    </row>
    <row r="13014" spans="104:111">
      <c r="CZ13014" s="256"/>
      <c r="DG13014" s="256"/>
    </row>
    <row r="13015" spans="104:111">
      <c r="CZ13015" s="256"/>
      <c r="DG13015" s="256"/>
    </row>
    <row r="13016" spans="104:111">
      <c r="CZ13016" s="256"/>
      <c r="DG13016" s="256"/>
    </row>
    <row r="13017" spans="104:111">
      <c r="CZ13017" s="256"/>
      <c r="DG13017" s="256"/>
    </row>
    <row r="13018" spans="104:111">
      <c r="CZ13018" s="256"/>
      <c r="DG13018" s="256"/>
    </row>
    <row r="13019" spans="104:111">
      <c r="CZ13019" s="256"/>
      <c r="DG13019" s="256"/>
    </row>
    <row r="13020" spans="104:111">
      <c r="CZ13020" s="256"/>
      <c r="DG13020" s="256"/>
    </row>
    <row r="13021" spans="104:111">
      <c r="CZ13021" s="256"/>
      <c r="DG13021" s="256"/>
    </row>
    <row r="13022" spans="104:111">
      <c r="CZ13022" s="256"/>
      <c r="DG13022" s="256"/>
    </row>
    <row r="13023" spans="104:111">
      <c r="CZ13023" s="256"/>
      <c r="DG13023" s="256"/>
    </row>
    <row r="13024" spans="104:111">
      <c r="CZ13024" s="256"/>
      <c r="DG13024" s="256"/>
    </row>
    <row r="13025" spans="104:111">
      <c r="CZ13025" s="256"/>
      <c r="DG13025" s="256"/>
    </row>
    <row r="13026" spans="104:111">
      <c r="CZ13026" s="256"/>
      <c r="DG13026" s="256"/>
    </row>
    <row r="13027" spans="104:111">
      <c r="CZ13027" s="256"/>
      <c r="DG13027" s="256"/>
    </row>
    <row r="13028" spans="104:111">
      <c r="CZ13028" s="256"/>
      <c r="DG13028" s="256"/>
    </row>
    <row r="13029" spans="104:111">
      <c r="CZ13029" s="256"/>
      <c r="DG13029" s="256"/>
    </row>
    <row r="13030" spans="104:111">
      <c r="CZ13030" s="256"/>
      <c r="DG13030" s="256"/>
    </row>
    <row r="13031" spans="104:111">
      <c r="CZ13031" s="256"/>
      <c r="DG13031" s="256"/>
    </row>
    <row r="13032" spans="104:111">
      <c r="CZ13032" s="256"/>
      <c r="DG13032" s="256"/>
    </row>
    <row r="13033" spans="104:111">
      <c r="CZ13033" s="256"/>
      <c r="DG13033" s="256"/>
    </row>
    <row r="13034" spans="104:111">
      <c r="CZ13034" s="256"/>
      <c r="DG13034" s="256"/>
    </row>
    <row r="13035" spans="104:111">
      <c r="CZ13035" s="256"/>
      <c r="DG13035" s="256"/>
    </row>
    <row r="13036" spans="104:111">
      <c r="CZ13036" s="256"/>
      <c r="DG13036" s="256"/>
    </row>
    <row r="13037" spans="104:111">
      <c r="CZ13037" s="256"/>
      <c r="DG13037" s="256"/>
    </row>
    <row r="13038" spans="104:111">
      <c r="CZ13038" s="256"/>
      <c r="DG13038" s="256"/>
    </row>
    <row r="13039" spans="104:111">
      <c r="CZ13039" s="256"/>
      <c r="DG13039" s="256"/>
    </row>
    <row r="13040" spans="104:111">
      <c r="CZ13040" s="256"/>
      <c r="DG13040" s="256"/>
    </row>
    <row r="13041" spans="104:111">
      <c r="CZ13041" s="256"/>
      <c r="DG13041" s="256"/>
    </row>
    <row r="13042" spans="104:111">
      <c r="CZ13042" s="256"/>
      <c r="DG13042" s="256"/>
    </row>
    <row r="13043" spans="104:111">
      <c r="CZ13043" s="256"/>
      <c r="DG13043" s="256"/>
    </row>
    <row r="13044" spans="104:111">
      <c r="CZ13044" s="256"/>
      <c r="DG13044" s="256"/>
    </row>
    <row r="13045" spans="104:111">
      <c r="CZ13045" s="256"/>
      <c r="DG13045" s="256"/>
    </row>
    <row r="13046" spans="104:111">
      <c r="CZ13046" s="256"/>
      <c r="DG13046" s="256"/>
    </row>
    <row r="13047" spans="104:111">
      <c r="CZ13047" s="256"/>
      <c r="DG13047" s="256"/>
    </row>
    <row r="13048" spans="104:111">
      <c r="CZ13048" s="256"/>
      <c r="DG13048" s="256"/>
    </row>
    <row r="13049" spans="104:111">
      <c r="CZ13049" s="256"/>
      <c r="DG13049" s="256"/>
    </row>
    <row r="13050" spans="104:111">
      <c r="CZ13050" s="256"/>
      <c r="DG13050" s="256"/>
    </row>
    <row r="13051" spans="104:111">
      <c r="CZ13051" s="256"/>
      <c r="DG13051" s="256"/>
    </row>
    <row r="13052" spans="104:111">
      <c r="CZ13052" s="256"/>
      <c r="DG13052" s="256"/>
    </row>
    <row r="13053" spans="104:111">
      <c r="CZ13053" s="256"/>
      <c r="DG13053" s="256"/>
    </row>
    <row r="13054" spans="104:111">
      <c r="CZ13054" s="256"/>
      <c r="DG13054" s="256"/>
    </row>
    <row r="13055" spans="104:111">
      <c r="CZ13055" s="256"/>
      <c r="DG13055" s="256"/>
    </row>
    <row r="13056" spans="104:111">
      <c r="CZ13056" s="256"/>
      <c r="DG13056" s="256"/>
    </row>
    <row r="13057" spans="104:111">
      <c r="CZ13057" s="256"/>
      <c r="DG13057" s="256"/>
    </row>
    <row r="13058" spans="104:111">
      <c r="CZ13058" s="256"/>
      <c r="DG13058" s="256"/>
    </row>
    <row r="13059" spans="104:111">
      <c r="CZ13059" s="256"/>
      <c r="DG13059" s="256"/>
    </row>
    <row r="13060" spans="104:111">
      <c r="CZ13060" s="256"/>
      <c r="DG13060" s="256"/>
    </row>
    <row r="13061" spans="104:111">
      <c r="CZ13061" s="256"/>
      <c r="DG13061" s="256"/>
    </row>
    <row r="13062" spans="104:111">
      <c r="CZ13062" s="256"/>
      <c r="DG13062" s="256"/>
    </row>
    <row r="13063" spans="104:111">
      <c r="CZ13063" s="256"/>
      <c r="DG13063" s="256"/>
    </row>
    <row r="13064" spans="104:111">
      <c r="CZ13064" s="256"/>
      <c r="DG13064" s="256"/>
    </row>
    <row r="13065" spans="104:111">
      <c r="CZ13065" s="256"/>
      <c r="DG13065" s="256"/>
    </row>
    <row r="13066" spans="104:111">
      <c r="CZ13066" s="256"/>
      <c r="DG13066" s="256"/>
    </row>
    <row r="13067" spans="104:111">
      <c r="CZ13067" s="256"/>
      <c r="DG13067" s="256"/>
    </row>
    <row r="13068" spans="104:111">
      <c r="CZ13068" s="256"/>
      <c r="DG13068" s="256"/>
    </row>
    <row r="13069" spans="104:111">
      <c r="CZ13069" s="256"/>
      <c r="DG13069" s="256"/>
    </row>
    <row r="13070" spans="104:111">
      <c r="CZ13070" s="256"/>
      <c r="DG13070" s="256"/>
    </row>
    <row r="13071" spans="104:111">
      <c r="CZ13071" s="256"/>
      <c r="DG13071" s="256"/>
    </row>
    <row r="13072" spans="104:111">
      <c r="CZ13072" s="256"/>
      <c r="DG13072" s="256"/>
    </row>
    <row r="13073" spans="104:111">
      <c r="CZ13073" s="256"/>
      <c r="DG13073" s="256"/>
    </row>
    <row r="13074" spans="104:111">
      <c r="CZ13074" s="256"/>
      <c r="DG13074" s="256"/>
    </row>
    <row r="13075" spans="104:111">
      <c r="CZ13075" s="256"/>
      <c r="DG13075" s="256"/>
    </row>
    <row r="13076" spans="104:111">
      <c r="CZ13076" s="256"/>
      <c r="DG13076" s="256"/>
    </row>
    <row r="13077" spans="104:111">
      <c r="CZ13077" s="256"/>
      <c r="DG13077" s="256"/>
    </row>
    <row r="13078" spans="104:111">
      <c r="CZ13078" s="256"/>
      <c r="DG13078" s="256"/>
    </row>
    <row r="13079" spans="104:111">
      <c r="CZ13079" s="256"/>
      <c r="DG13079" s="256"/>
    </row>
    <row r="13080" spans="104:111">
      <c r="CZ13080" s="256"/>
      <c r="DG13080" s="256"/>
    </row>
    <row r="13081" spans="104:111">
      <c r="CZ13081" s="256"/>
      <c r="DG13081" s="256"/>
    </row>
    <row r="13082" spans="104:111">
      <c r="CZ13082" s="256"/>
      <c r="DG13082" s="256"/>
    </row>
    <row r="13083" spans="104:111">
      <c r="CZ13083" s="256"/>
      <c r="DG13083" s="256"/>
    </row>
    <row r="13084" spans="104:111">
      <c r="CZ13084" s="256"/>
      <c r="DG13084" s="256"/>
    </row>
    <row r="13085" spans="104:111">
      <c r="CZ13085" s="256"/>
      <c r="DG13085" s="256"/>
    </row>
    <row r="13086" spans="104:111">
      <c r="CZ13086" s="256"/>
      <c r="DG13086" s="256"/>
    </row>
    <row r="13087" spans="104:111">
      <c r="CZ13087" s="256"/>
      <c r="DG13087" s="256"/>
    </row>
    <row r="13088" spans="104:111">
      <c r="CZ13088" s="256"/>
      <c r="DG13088" s="256"/>
    </row>
    <row r="13089" spans="104:111">
      <c r="CZ13089" s="256"/>
      <c r="DG13089" s="256"/>
    </row>
    <row r="13090" spans="104:111">
      <c r="CZ13090" s="256"/>
      <c r="DG13090" s="256"/>
    </row>
    <row r="13091" spans="104:111">
      <c r="CZ13091" s="256"/>
      <c r="DG13091" s="256"/>
    </row>
    <row r="13092" spans="104:111">
      <c r="CZ13092" s="256"/>
      <c r="DG13092" s="256"/>
    </row>
    <row r="13093" spans="104:111">
      <c r="CZ13093" s="256"/>
      <c r="DG13093" s="256"/>
    </row>
    <row r="13094" spans="104:111">
      <c r="CZ13094" s="256"/>
      <c r="DG13094" s="256"/>
    </row>
    <row r="13095" spans="104:111">
      <c r="CZ13095" s="256"/>
      <c r="DG13095" s="256"/>
    </row>
    <row r="13096" spans="104:111">
      <c r="CZ13096" s="256"/>
      <c r="DG13096" s="256"/>
    </row>
    <row r="13097" spans="104:111">
      <c r="CZ13097" s="256"/>
      <c r="DG13097" s="256"/>
    </row>
    <row r="13098" spans="104:111">
      <c r="CZ13098" s="256"/>
      <c r="DG13098" s="256"/>
    </row>
    <row r="13099" spans="104:111">
      <c r="CZ13099" s="256"/>
      <c r="DG13099" s="256"/>
    </row>
    <row r="13100" spans="104:111">
      <c r="CZ13100" s="256"/>
      <c r="DG13100" s="256"/>
    </row>
    <row r="13101" spans="104:111">
      <c r="CZ13101" s="256"/>
      <c r="DG13101" s="256"/>
    </row>
    <row r="13102" spans="104:111">
      <c r="CZ13102" s="256"/>
      <c r="DG13102" s="256"/>
    </row>
    <row r="13103" spans="104:111">
      <c r="CZ13103" s="256"/>
      <c r="DG13103" s="256"/>
    </row>
    <row r="13104" spans="104:111">
      <c r="CZ13104" s="256"/>
      <c r="DG13104" s="256"/>
    </row>
    <row r="13105" spans="104:111">
      <c r="CZ13105" s="256"/>
      <c r="DG13105" s="256"/>
    </row>
    <row r="13106" spans="104:111">
      <c r="CZ13106" s="256"/>
      <c r="DG13106" s="256"/>
    </row>
    <row r="13107" spans="104:111">
      <c r="CZ13107" s="256"/>
      <c r="DG13107" s="256"/>
    </row>
    <row r="13108" spans="104:111">
      <c r="CZ13108" s="256"/>
      <c r="DG13108" s="256"/>
    </row>
    <row r="13109" spans="104:111">
      <c r="CZ13109" s="256"/>
      <c r="DG13109" s="256"/>
    </row>
    <row r="13110" spans="104:111">
      <c r="CZ13110" s="256"/>
      <c r="DG13110" s="256"/>
    </row>
    <row r="13111" spans="104:111">
      <c r="CZ13111" s="256"/>
      <c r="DG13111" s="256"/>
    </row>
    <row r="13112" spans="104:111">
      <c r="CZ13112" s="256"/>
      <c r="DG13112" s="256"/>
    </row>
    <row r="13113" spans="104:111">
      <c r="CZ13113" s="256"/>
      <c r="DG13113" s="256"/>
    </row>
    <row r="13114" spans="104:111">
      <c r="CZ13114" s="256"/>
      <c r="DG13114" s="256"/>
    </row>
    <row r="13115" spans="104:111">
      <c r="CZ13115" s="256"/>
      <c r="DG13115" s="256"/>
    </row>
    <row r="13116" spans="104:111">
      <c r="CZ13116" s="256"/>
      <c r="DG13116" s="256"/>
    </row>
    <row r="13117" spans="104:111">
      <c r="CZ13117" s="256"/>
      <c r="DG13117" s="256"/>
    </row>
    <row r="13118" spans="104:111">
      <c r="CZ13118" s="256"/>
      <c r="DG13118" s="256"/>
    </row>
    <row r="13119" spans="104:111">
      <c r="CZ13119" s="256"/>
      <c r="DG13119" s="256"/>
    </row>
    <row r="13120" spans="104:111">
      <c r="CZ13120" s="256"/>
      <c r="DG13120" s="256"/>
    </row>
    <row r="13121" spans="104:111">
      <c r="CZ13121" s="256"/>
      <c r="DG13121" s="256"/>
    </row>
    <row r="13122" spans="104:111">
      <c r="CZ13122" s="256"/>
      <c r="DG13122" s="256"/>
    </row>
    <row r="13123" spans="104:111">
      <c r="CZ13123" s="256"/>
      <c r="DG13123" s="256"/>
    </row>
    <row r="13124" spans="104:111">
      <c r="CZ13124" s="256"/>
      <c r="DG13124" s="256"/>
    </row>
    <row r="13125" spans="104:111">
      <c r="CZ13125" s="256"/>
      <c r="DG13125" s="256"/>
    </row>
    <row r="13126" spans="104:111">
      <c r="CZ13126" s="256"/>
      <c r="DG13126" s="256"/>
    </row>
    <row r="13127" spans="104:111">
      <c r="CZ13127" s="256"/>
      <c r="DG13127" s="256"/>
    </row>
    <row r="13128" spans="104:111">
      <c r="CZ13128" s="256"/>
      <c r="DG13128" s="256"/>
    </row>
    <row r="13129" spans="104:111">
      <c r="CZ13129" s="256"/>
      <c r="DG13129" s="256"/>
    </row>
    <row r="13130" spans="104:111">
      <c r="CZ13130" s="256"/>
      <c r="DG13130" s="256"/>
    </row>
    <row r="13131" spans="104:111">
      <c r="CZ13131" s="256"/>
      <c r="DG13131" s="256"/>
    </row>
    <row r="13132" spans="104:111">
      <c r="CZ13132" s="256"/>
      <c r="DG13132" s="256"/>
    </row>
    <row r="13133" spans="104:111">
      <c r="CZ13133" s="256"/>
      <c r="DG13133" s="256"/>
    </row>
    <row r="13134" spans="104:111">
      <c r="CZ13134" s="256"/>
      <c r="DG13134" s="256"/>
    </row>
    <row r="13135" spans="104:111">
      <c r="CZ13135" s="256"/>
      <c r="DG13135" s="256"/>
    </row>
    <row r="13136" spans="104:111">
      <c r="CZ13136" s="256"/>
      <c r="DG13136" s="256"/>
    </row>
    <row r="13137" spans="104:111">
      <c r="CZ13137" s="256"/>
      <c r="DG13137" s="256"/>
    </row>
    <row r="13138" spans="104:111">
      <c r="CZ13138" s="256"/>
      <c r="DG13138" s="256"/>
    </row>
    <row r="13139" spans="104:111">
      <c r="CZ13139" s="256"/>
      <c r="DG13139" s="256"/>
    </row>
    <row r="13140" spans="104:111">
      <c r="CZ13140" s="256"/>
      <c r="DG13140" s="256"/>
    </row>
    <row r="13141" spans="104:111">
      <c r="CZ13141" s="256"/>
      <c r="DG13141" s="256"/>
    </row>
    <row r="13142" spans="104:111">
      <c r="CZ13142" s="256"/>
      <c r="DG13142" s="256"/>
    </row>
    <row r="13143" spans="104:111">
      <c r="CZ13143" s="256"/>
      <c r="DG13143" s="256"/>
    </row>
    <row r="13144" spans="104:111">
      <c r="CZ13144" s="256"/>
      <c r="DG13144" s="256"/>
    </row>
    <row r="13145" spans="104:111">
      <c r="CZ13145" s="256"/>
      <c r="DG13145" s="256"/>
    </row>
    <row r="13146" spans="104:111">
      <c r="CZ13146" s="256"/>
      <c r="DG13146" s="256"/>
    </row>
    <row r="13147" spans="104:111">
      <c r="CZ13147" s="256"/>
      <c r="DG13147" s="256"/>
    </row>
    <row r="13148" spans="104:111">
      <c r="CZ13148" s="256"/>
      <c r="DG13148" s="256"/>
    </row>
    <row r="13149" spans="104:111">
      <c r="CZ13149" s="256"/>
      <c r="DG13149" s="256"/>
    </row>
    <row r="13150" spans="104:111">
      <c r="CZ13150" s="256"/>
      <c r="DG13150" s="256"/>
    </row>
    <row r="13151" spans="104:111">
      <c r="CZ13151" s="256"/>
      <c r="DG13151" s="256"/>
    </row>
    <row r="13152" spans="104:111">
      <c r="CZ13152" s="256"/>
      <c r="DG13152" s="256"/>
    </row>
    <row r="13153" spans="104:111">
      <c r="CZ13153" s="256"/>
      <c r="DG13153" s="256"/>
    </row>
    <row r="13154" spans="104:111">
      <c r="CZ13154" s="256"/>
      <c r="DG13154" s="256"/>
    </row>
    <row r="13155" spans="104:111">
      <c r="CZ13155" s="256"/>
      <c r="DG13155" s="256"/>
    </row>
    <row r="13156" spans="104:111">
      <c r="CZ13156" s="256"/>
      <c r="DG13156" s="256"/>
    </row>
    <row r="13157" spans="104:111">
      <c r="CZ13157" s="256"/>
      <c r="DG13157" s="256"/>
    </row>
    <row r="13158" spans="104:111">
      <c r="CZ13158" s="256"/>
      <c r="DG13158" s="256"/>
    </row>
    <row r="13159" spans="104:111">
      <c r="CZ13159" s="256"/>
      <c r="DG13159" s="256"/>
    </row>
    <row r="13160" spans="104:111">
      <c r="CZ13160" s="256"/>
      <c r="DG13160" s="256"/>
    </row>
    <row r="13161" spans="104:111">
      <c r="CZ13161" s="256"/>
      <c r="DG13161" s="256"/>
    </row>
    <row r="13162" spans="104:111">
      <c r="CZ13162" s="256"/>
      <c r="DG13162" s="256"/>
    </row>
    <row r="13163" spans="104:111">
      <c r="CZ13163" s="256"/>
      <c r="DG13163" s="256"/>
    </row>
    <row r="13164" spans="104:111">
      <c r="CZ13164" s="256"/>
      <c r="DG13164" s="256"/>
    </row>
    <row r="13165" spans="104:111">
      <c r="CZ13165" s="256"/>
      <c r="DG13165" s="256"/>
    </row>
    <row r="13166" spans="104:111">
      <c r="CZ13166" s="256"/>
      <c r="DG13166" s="256"/>
    </row>
    <row r="13167" spans="104:111">
      <c r="CZ13167" s="256"/>
      <c r="DG13167" s="256"/>
    </row>
    <row r="13168" spans="104:111">
      <c r="CZ13168" s="256"/>
      <c r="DG13168" s="256"/>
    </row>
    <row r="13169" spans="104:111">
      <c r="CZ13169" s="256"/>
      <c r="DG13169" s="256"/>
    </row>
    <row r="13170" spans="104:111">
      <c r="CZ13170" s="256"/>
      <c r="DG13170" s="256"/>
    </row>
    <row r="13171" spans="104:111">
      <c r="CZ13171" s="256"/>
      <c r="DG13171" s="256"/>
    </row>
    <row r="13172" spans="104:111">
      <c r="CZ13172" s="256"/>
      <c r="DG13172" s="256"/>
    </row>
    <row r="13173" spans="104:111">
      <c r="CZ13173" s="256"/>
      <c r="DG13173" s="256"/>
    </row>
    <row r="13174" spans="104:111">
      <c r="CZ13174" s="256"/>
      <c r="DG13174" s="256"/>
    </row>
    <row r="13175" spans="104:111">
      <c r="CZ13175" s="256"/>
      <c r="DG13175" s="256"/>
    </row>
    <row r="13176" spans="104:111">
      <c r="CZ13176" s="256"/>
      <c r="DG13176" s="256"/>
    </row>
    <row r="13177" spans="104:111">
      <c r="CZ13177" s="256"/>
      <c r="DG13177" s="256"/>
    </row>
    <row r="13178" spans="104:111">
      <c r="CZ13178" s="256"/>
      <c r="DG13178" s="256"/>
    </row>
    <row r="13179" spans="104:111">
      <c r="CZ13179" s="256"/>
      <c r="DG13179" s="256"/>
    </row>
    <row r="13180" spans="104:111">
      <c r="CZ13180" s="256"/>
      <c r="DG13180" s="256"/>
    </row>
    <row r="13181" spans="104:111">
      <c r="CZ13181" s="256"/>
      <c r="DG13181" s="256"/>
    </row>
    <row r="13182" spans="104:111">
      <c r="CZ13182" s="256"/>
      <c r="DG13182" s="256"/>
    </row>
    <row r="13183" spans="104:111">
      <c r="CZ13183" s="256"/>
      <c r="DG13183" s="256"/>
    </row>
    <row r="13184" spans="104:111">
      <c r="CZ13184" s="256"/>
      <c r="DG13184" s="256"/>
    </row>
    <row r="13185" spans="104:111">
      <c r="CZ13185" s="256"/>
      <c r="DG13185" s="256"/>
    </row>
    <row r="13186" spans="104:111">
      <c r="CZ13186" s="256"/>
      <c r="DG13186" s="256"/>
    </row>
    <row r="13187" spans="104:111">
      <c r="CZ13187" s="256"/>
      <c r="DG13187" s="256"/>
    </row>
    <row r="13188" spans="104:111">
      <c r="CZ13188" s="256"/>
      <c r="DG13188" s="256"/>
    </row>
    <row r="13189" spans="104:111">
      <c r="CZ13189" s="256"/>
      <c r="DG13189" s="256"/>
    </row>
    <row r="13190" spans="104:111">
      <c r="CZ13190" s="256"/>
      <c r="DG13190" s="256"/>
    </row>
    <row r="13191" spans="104:111">
      <c r="CZ13191" s="256"/>
      <c r="DG13191" s="256"/>
    </row>
    <row r="13192" spans="104:111">
      <c r="CZ13192" s="256"/>
      <c r="DG13192" s="256"/>
    </row>
    <row r="13193" spans="104:111">
      <c r="CZ13193" s="256"/>
      <c r="DG13193" s="256"/>
    </row>
    <row r="13194" spans="104:111">
      <c r="CZ13194" s="256"/>
      <c r="DG13194" s="256"/>
    </row>
    <row r="13195" spans="104:111">
      <c r="CZ13195" s="256"/>
      <c r="DG13195" s="256"/>
    </row>
    <row r="13196" spans="104:111">
      <c r="CZ13196" s="256"/>
      <c r="DG13196" s="256"/>
    </row>
    <row r="13197" spans="104:111">
      <c r="CZ13197" s="256"/>
      <c r="DG13197" s="256"/>
    </row>
    <row r="13198" spans="104:111">
      <c r="CZ13198" s="256"/>
      <c r="DG13198" s="256"/>
    </row>
    <row r="13199" spans="104:111">
      <c r="CZ13199" s="256"/>
      <c r="DG13199" s="256"/>
    </row>
    <row r="13200" spans="104:111">
      <c r="CZ13200" s="256"/>
      <c r="DG13200" s="256"/>
    </row>
    <row r="13201" spans="104:111">
      <c r="CZ13201" s="256"/>
      <c r="DG13201" s="256"/>
    </row>
    <row r="13202" spans="104:111">
      <c r="CZ13202" s="256"/>
      <c r="DG13202" s="256"/>
    </row>
    <row r="13203" spans="104:111">
      <c r="CZ13203" s="256"/>
      <c r="DG13203" s="256"/>
    </row>
    <row r="13204" spans="104:111">
      <c r="CZ13204" s="256"/>
      <c r="DG13204" s="256"/>
    </row>
    <row r="13205" spans="104:111">
      <c r="CZ13205" s="256"/>
      <c r="DG13205" s="256"/>
    </row>
    <row r="13206" spans="104:111">
      <c r="CZ13206" s="256"/>
      <c r="DG13206" s="256"/>
    </row>
    <row r="13207" spans="104:111">
      <c r="CZ13207" s="256"/>
      <c r="DG13207" s="256"/>
    </row>
    <row r="13208" spans="104:111">
      <c r="CZ13208" s="256"/>
      <c r="DG13208" s="256"/>
    </row>
    <row r="13209" spans="104:111">
      <c r="CZ13209" s="256"/>
      <c r="DG13209" s="256"/>
    </row>
    <row r="13210" spans="104:111">
      <c r="CZ13210" s="256"/>
      <c r="DG13210" s="256"/>
    </row>
    <row r="13211" spans="104:111">
      <c r="CZ13211" s="256"/>
      <c r="DG13211" s="256"/>
    </row>
    <row r="13212" spans="104:111">
      <c r="CZ13212" s="256"/>
      <c r="DG13212" s="256"/>
    </row>
    <row r="13213" spans="104:111">
      <c r="CZ13213" s="256"/>
      <c r="DG13213" s="256"/>
    </row>
    <row r="13214" spans="104:111">
      <c r="CZ13214" s="256"/>
      <c r="DG13214" s="256"/>
    </row>
    <row r="13215" spans="104:111">
      <c r="CZ13215" s="256"/>
      <c r="DG13215" s="256"/>
    </row>
    <row r="13216" spans="104:111">
      <c r="CZ13216" s="256"/>
      <c r="DG13216" s="256"/>
    </row>
    <row r="13217" spans="104:111">
      <c r="CZ13217" s="256"/>
      <c r="DG13217" s="256"/>
    </row>
    <row r="13218" spans="104:111">
      <c r="CZ13218" s="256"/>
      <c r="DG13218" s="256"/>
    </row>
    <row r="13219" spans="104:111">
      <c r="CZ13219" s="256"/>
      <c r="DG13219" s="256"/>
    </row>
    <row r="13220" spans="104:111">
      <c r="CZ13220" s="256"/>
      <c r="DG13220" s="256"/>
    </row>
    <row r="13221" spans="104:111">
      <c r="CZ13221" s="256"/>
      <c r="DG13221" s="256"/>
    </row>
    <row r="13222" spans="104:111">
      <c r="CZ13222" s="256"/>
      <c r="DG13222" s="256"/>
    </row>
    <row r="13223" spans="104:111">
      <c r="CZ13223" s="256"/>
      <c r="DG13223" s="256"/>
    </row>
    <row r="13224" spans="104:111">
      <c r="CZ13224" s="256"/>
      <c r="DG13224" s="256"/>
    </row>
    <row r="13225" spans="104:111">
      <c r="CZ13225" s="256"/>
      <c r="DG13225" s="256"/>
    </row>
    <row r="13226" spans="104:111">
      <c r="CZ13226" s="256"/>
      <c r="DG13226" s="256"/>
    </row>
    <row r="13227" spans="104:111">
      <c r="CZ13227" s="256"/>
      <c r="DG13227" s="256"/>
    </row>
    <row r="13228" spans="104:111">
      <c r="CZ13228" s="256"/>
      <c r="DG13228" s="256"/>
    </row>
    <row r="13229" spans="104:111">
      <c r="CZ13229" s="256"/>
      <c r="DG13229" s="256"/>
    </row>
    <row r="13230" spans="104:111">
      <c r="CZ13230" s="256"/>
      <c r="DG13230" s="256"/>
    </row>
    <row r="13231" spans="104:111">
      <c r="CZ13231" s="256"/>
      <c r="DG13231" s="256"/>
    </row>
    <row r="13232" spans="104:111">
      <c r="CZ13232" s="256"/>
      <c r="DG13232" s="256"/>
    </row>
    <row r="13233" spans="104:111">
      <c r="CZ13233" s="256"/>
      <c r="DG13233" s="256"/>
    </row>
    <row r="13234" spans="104:111">
      <c r="CZ13234" s="256"/>
      <c r="DG13234" s="256"/>
    </row>
    <row r="13235" spans="104:111">
      <c r="CZ13235" s="256"/>
      <c r="DG13235" s="256"/>
    </row>
    <row r="13236" spans="104:111">
      <c r="CZ13236" s="256"/>
      <c r="DG13236" s="256"/>
    </row>
    <row r="13237" spans="104:111">
      <c r="CZ13237" s="256"/>
      <c r="DG13237" s="256"/>
    </row>
    <row r="13238" spans="104:111">
      <c r="CZ13238" s="256"/>
      <c r="DG13238" s="256"/>
    </row>
    <row r="13239" spans="104:111">
      <c r="CZ13239" s="256"/>
      <c r="DG13239" s="256"/>
    </row>
    <row r="13240" spans="104:111">
      <c r="CZ13240" s="256"/>
      <c r="DG13240" s="256"/>
    </row>
    <row r="13241" spans="104:111">
      <c r="CZ13241" s="256"/>
      <c r="DG13241" s="256"/>
    </row>
    <row r="13242" spans="104:111">
      <c r="CZ13242" s="256"/>
      <c r="DG13242" s="256"/>
    </row>
    <row r="13243" spans="104:111">
      <c r="CZ13243" s="256"/>
      <c r="DG13243" s="256"/>
    </row>
    <row r="13244" spans="104:111">
      <c r="CZ13244" s="256"/>
      <c r="DG13244" s="256"/>
    </row>
    <row r="13245" spans="104:111">
      <c r="CZ13245" s="256"/>
      <c r="DG13245" s="256"/>
    </row>
    <row r="13246" spans="104:111">
      <c r="CZ13246" s="256"/>
      <c r="DG13246" s="256"/>
    </row>
    <row r="13247" spans="104:111">
      <c r="CZ13247" s="256"/>
      <c r="DG13247" s="256"/>
    </row>
    <row r="13248" spans="104:111">
      <c r="CZ13248" s="256"/>
      <c r="DG13248" s="256"/>
    </row>
    <row r="13249" spans="104:111">
      <c r="CZ13249" s="256"/>
      <c r="DG13249" s="256"/>
    </row>
    <row r="13250" spans="104:111">
      <c r="CZ13250" s="256"/>
      <c r="DG13250" s="256"/>
    </row>
    <row r="13251" spans="104:111">
      <c r="CZ13251" s="256"/>
      <c r="DG13251" s="256"/>
    </row>
    <row r="13252" spans="104:111">
      <c r="CZ13252" s="256"/>
      <c r="DG13252" s="256"/>
    </row>
    <row r="13253" spans="104:111">
      <c r="CZ13253" s="256"/>
      <c r="DG13253" s="256"/>
    </row>
    <row r="13254" spans="104:111">
      <c r="CZ13254" s="256"/>
      <c r="DG13254" s="256"/>
    </row>
    <row r="13255" spans="104:111">
      <c r="CZ13255" s="256"/>
      <c r="DG13255" s="256"/>
    </row>
    <row r="13256" spans="104:111">
      <c r="CZ13256" s="256"/>
      <c r="DG13256" s="256"/>
    </row>
    <row r="13257" spans="104:111">
      <c r="CZ13257" s="256"/>
      <c r="DG13257" s="256"/>
    </row>
    <row r="13258" spans="104:111">
      <c r="CZ13258" s="256"/>
      <c r="DG13258" s="256"/>
    </row>
    <row r="13259" spans="104:111">
      <c r="CZ13259" s="256"/>
      <c r="DG13259" s="256"/>
    </row>
    <row r="13260" spans="104:111">
      <c r="CZ13260" s="256"/>
      <c r="DG13260" s="256"/>
    </row>
    <row r="13261" spans="104:111">
      <c r="CZ13261" s="256"/>
      <c r="DG13261" s="256"/>
    </row>
    <row r="13262" spans="104:111">
      <c r="CZ13262" s="256"/>
      <c r="DG13262" s="256"/>
    </row>
    <row r="13263" spans="104:111">
      <c r="CZ13263" s="256"/>
      <c r="DG13263" s="256"/>
    </row>
    <row r="13264" spans="104:111">
      <c r="CZ13264" s="256"/>
      <c r="DG13264" s="256"/>
    </row>
    <row r="13265" spans="104:111">
      <c r="CZ13265" s="256"/>
      <c r="DG13265" s="256"/>
    </row>
    <row r="13266" spans="104:111">
      <c r="CZ13266" s="256"/>
      <c r="DG13266" s="256"/>
    </row>
    <row r="13267" spans="104:111">
      <c r="CZ13267" s="256"/>
      <c r="DG13267" s="256"/>
    </row>
    <row r="13268" spans="104:111">
      <c r="CZ13268" s="256"/>
      <c r="DG13268" s="256"/>
    </row>
    <row r="13269" spans="104:111">
      <c r="CZ13269" s="256"/>
      <c r="DG13269" s="256"/>
    </row>
    <row r="13270" spans="104:111">
      <c r="CZ13270" s="256"/>
      <c r="DG13270" s="256"/>
    </row>
    <row r="13271" spans="104:111">
      <c r="CZ13271" s="256"/>
      <c r="DG13271" s="256"/>
    </row>
    <row r="13272" spans="104:111">
      <c r="CZ13272" s="256"/>
      <c r="DG13272" s="256"/>
    </row>
    <row r="13273" spans="104:111">
      <c r="CZ13273" s="256"/>
      <c r="DG13273" s="256"/>
    </row>
    <row r="13274" spans="104:111">
      <c r="CZ13274" s="256"/>
      <c r="DG13274" s="256"/>
    </row>
    <row r="13275" spans="104:111">
      <c r="CZ13275" s="256"/>
      <c r="DG13275" s="256"/>
    </row>
    <row r="13276" spans="104:111">
      <c r="CZ13276" s="256"/>
      <c r="DG13276" s="256"/>
    </row>
    <row r="13277" spans="104:111">
      <c r="CZ13277" s="256"/>
      <c r="DG13277" s="256"/>
    </row>
    <row r="13278" spans="104:111">
      <c r="CZ13278" s="256"/>
      <c r="DG13278" s="256"/>
    </row>
    <row r="13279" spans="104:111">
      <c r="CZ13279" s="256"/>
      <c r="DG13279" s="256"/>
    </row>
    <row r="13280" spans="104:111">
      <c r="CZ13280" s="256"/>
      <c r="DG13280" s="256"/>
    </row>
    <row r="13281" spans="104:111">
      <c r="CZ13281" s="256"/>
      <c r="DG13281" s="256"/>
    </row>
    <row r="13282" spans="104:111">
      <c r="CZ13282" s="256"/>
      <c r="DG13282" s="256"/>
    </row>
    <row r="13283" spans="104:111">
      <c r="CZ13283" s="256"/>
      <c r="DG13283" s="256"/>
    </row>
    <row r="13284" spans="104:111">
      <c r="CZ13284" s="256"/>
      <c r="DG13284" s="256"/>
    </row>
    <row r="13285" spans="104:111">
      <c r="CZ13285" s="256"/>
      <c r="DG13285" s="256"/>
    </row>
    <row r="13286" spans="104:111">
      <c r="CZ13286" s="256"/>
      <c r="DG13286" s="256"/>
    </row>
    <row r="13287" spans="104:111">
      <c r="CZ13287" s="256"/>
      <c r="DG13287" s="256"/>
    </row>
    <row r="13288" spans="104:111">
      <c r="CZ13288" s="256"/>
      <c r="DG13288" s="256"/>
    </row>
    <row r="13289" spans="104:111">
      <c r="CZ13289" s="256"/>
      <c r="DG13289" s="256"/>
    </row>
    <row r="13290" spans="104:111">
      <c r="CZ13290" s="256"/>
      <c r="DG13290" s="256"/>
    </row>
    <row r="13291" spans="104:111">
      <c r="CZ13291" s="256"/>
      <c r="DG13291" s="256"/>
    </row>
    <row r="13292" spans="104:111">
      <c r="CZ13292" s="256"/>
      <c r="DG13292" s="256"/>
    </row>
    <row r="13293" spans="104:111">
      <c r="CZ13293" s="256"/>
      <c r="DG13293" s="256"/>
    </row>
    <row r="13294" spans="104:111">
      <c r="CZ13294" s="256"/>
      <c r="DG13294" s="256"/>
    </row>
    <row r="13295" spans="104:111">
      <c r="CZ13295" s="256"/>
      <c r="DG13295" s="256"/>
    </row>
    <row r="13296" spans="104:111">
      <c r="CZ13296" s="256"/>
      <c r="DG13296" s="256"/>
    </row>
    <row r="13297" spans="104:111">
      <c r="CZ13297" s="256"/>
      <c r="DG13297" s="256"/>
    </row>
    <row r="13298" spans="104:111">
      <c r="CZ13298" s="256"/>
      <c r="DG13298" s="256"/>
    </row>
    <row r="13299" spans="104:111">
      <c r="CZ13299" s="256"/>
      <c r="DG13299" s="256"/>
    </row>
    <row r="13300" spans="104:111">
      <c r="CZ13300" s="256"/>
      <c r="DG13300" s="256"/>
    </row>
    <row r="13301" spans="104:111">
      <c r="CZ13301" s="256"/>
      <c r="DG13301" s="256"/>
    </row>
    <row r="13302" spans="104:111">
      <c r="CZ13302" s="256"/>
      <c r="DG13302" s="256"/>
    </row>
    <row r="13303" spans="104:111">
      <c r="CZ13303" s="256"/>
      <c r="DG13303" s="256"/>
    </row>
    <row r="13304" spans="104:111">
      <c r="CZ13304" s="256"/>
      <c r="DG13304" s="256"/>
    </row>
    <row r="13305" spans="104:111">
      <c r="CZ13305" s="256"/>
      <c r="DG13305" s="256"/>
    </row>
    <row r="13306" spans="104:111">
      <c r="CZ13306" s="256"/>
      <c r="DG13306" s="256"/>
    </row>
    <row r="13307" spans="104:111">
      <c r="CZ13307" s="256"/>
      <c r="DG13307" s="256"/>
    </row>
    <row r="13308" spans="104:111">
      <c r="CZ13308" s="256"/>
      <c r="DG13308" s="256"/>
    </row>
    <row r="13309" spans="104:111">
      <c r="CZ13309" s="256"/>
      <c r="DG13309" s="256"/>
    </row>
    <row r="13310" spans="104:111">
      <c r="CZ13310" s="256"/>
      <c r="DG13310" s="256"/>
    </row>
    <row r="13311" spans="104:111">
      <c r="CZ13311" s="256"/>
      <c r="DG13311" s="256"/>
    </row>
    <row r="13312" spans="104:111">
      <c r="CZ13312" s="256"/>
      <c r="DG13312" s="256"/>
    </row>
    <row r="13313" spans="104:111">
      <c r="CZ13313" s="256"/>
      <c r="DG13313" s="256"/>
    </row>
    <row r="13314" spans="104:111">
      <c r="CZ13314" s="256"/>
      <c r="DG13314" s="256"/>
    </row>
    <row r="13315" spans="104:111">
      <c r="CZ13315" s="256"/>
      <c r="DG13315" s="256"/>
    </row>
    <row r="13316" spans="104:111">
      <c r="CZ13316" s="256"/>
      <c r="DG13316" s="256"/>
    </row>
    <row r="13317" spans="104:111">
      <c r="CZ13317" s="256"/>
      <c r="DG13317" s="256"/>
    </row>
    <row r="13318" spans="104:111">
      <c r="CZ13318" s="256"/>
      <c r="DG13318" s="256"/>
    </row>
    <row r="13319" spans="104:111">
      <c r="CZ13319" s="256"/>
      <c r="DG13319" s="256"/>
    </row>
    <row r="13320" spans="104:111">
      <c r="CZ13320" s="256"/>
      <c r="DG13320" s="256"/>
    </row>
    <row r="13321" spans="104:111">
      <c r="CZ13321" s="256"/>
      <c r="DG13321" s="256"/>
    </row>
    <row r="13322" spans="104:111">
      <c r="CZ13322" s="256"/>
      <c r="DG13322" s="256"/>
    </row>
    <row r="13323" spans="104:111">
      <c r="CZ13323" s="256"/>
      <c r="DG13323" s="256"/>
    </row>
    <row r="13324" spans="104:111">
      <c r="CZ13324" s="256"/>
      <c r="DG13324" s="256"/>
    </row>
    <row r="13325" spans="104:111">
      <c r="CZ13325" s="256"/>
      <c r="DG13325" s="256"/>
    </row>
    <row r="13326" spans="104:111">
      <c r="CZ13326" s="256"/>
      <c r="DG13326" s="256"/>
    </row>
    <row r="13327" spans="104:111">
      <c r="CZ13327" s="256"/>
      <c r="DG13327" s="256"/>
    </row>
    <row r="13328" spans="104:111">
      <c r="CZ13328" s="256"/>
      <c r="DG13328" s="256"/>
    </row>
    <row r="13329" spans="104:111">
      <c r="CZ13329" s="256"/>
      <c r="DG13329" s="256"/>
    </row>
    <row r="13330" spans="104:111">
      <c r="CZ13330" s="256"/>
      <c r="DG13330" s="256"/>
    </row>
    <row r="13331" spans="104:111">
      <c r="CZ13331" s="256"/>
      <c r="DG13331" s="256"/>
    </row>
    <row r="13332" spans="104:111">
      <c r="CZ13332" s="256"/>
      <c r="DG13332" s="256"/>
    </row>
    <row r="13333" spans="104:111">
      <c r="CZ13333" s="256"/>
      <c r="DG13333" s="256"/>
    </row>
    <row r="13334" spans="104:111">
      <c r="CZ13334" s="256"/>
      <c r="DG13334" s="256"/>
    </row>
    <row r="13335" spans="104:111">
      <c r="CZ13335" s="256"/>
      <c r="DG13335" s="256"/>
    </row>
    <row r="13336" spans="104:111">
      <c r="CZ13336" s="256"/>
      <c r="DG13336" s="256"/>
    </row>
    <row r="13337" spans="104:111">
      <c r="CZ13337" s="256"/>
      <c r="DG13337" s="256"/>
    </row>
    <row r="13338" spans="104:111">
      <c r="CZ13338" s="256"/>
      <c r="DG13338" s="256"/>
    </row>
    <row r="13339" spans="104:111">
      <c r="CZ13339" s="256"/>
      <c r="DG13339" s="256"/>
    </row>
    <row r="13340" spans="104:111">
      <c r="CZ13340" s="256"/>
      <c r="DG13340" s="256"/>
    </row>
    <row r="13341" spans="104:111">
      <c r="CZ13341" s="256"/>
      <c r="DG13341" s="256"/>
    </row>
    <row r="13342" spans="104:111">
      <c r="CZ13342" s="256"/>
      <c r="DG13342" s="256"/>
    </row>
    <row r="13343" spans="104:111">
      <c r="CZ13343" s="256"/>
      <c r="DG13343" s="256"/>
    </row>
    <row r="13344" spans="104:111">
      <c r="CZ13344" s="256"/>
      <c r="DG13344" s="256"/>
    </row>
    <row r="13345" spans="104:111">
      <c r="CZ13345" s="256"/>
      <c r="DG13345" s="256"/>
    </row>
    <row r="13346" spans="104:111">
      <c r="CZ13346" s="256"/>
      <c r="DG13346" s="256"/>
    </row>
    <row r="13347" spans="104:111">
      <c r="CZ13347" s="256"/>
      <c r="DG13347" s="256"/>
    </row>
    <row r="13348" spans="104:111">
      <c r="CZ13348" s="256"/>
      <c r="DG13348" s="256"/>
    </row>
    <row r="13349" spans="104:111">
      <c r="CZ13349" s="256"/>
      <c r="DG13349" s="256"/>
    </row>
    <row r="13350" spans="104:111">
      <c r="CZ13350" s="256"/>
      <c r="DG13350" s="256"/>
    </row>
    <row r="13351" spans="104:111">
      <c r="CZ13351" s="256"/>
      <c r="DG13351" s="256"/>
    </row>
    <row r="13352" spans="104:111">
      <c r="CZ13352" s="256"/>
      <c r="DG13352" s="256"/>
    </row>
    <row r="13353" spans="104:111">
      <c r="CZ13353" s="256"/>
      <c r="DG13353" s="256"/>
    </row>
    <row r="13354" spans="104:111">
      <c r="CZ13354" s="256"/>
      <c r="DG13354" s="256"/>
    </row>
    <row r="13355" spans="104:111">
      <c r="CZ13355" s="256"/>
      <c r="DG13355" s="256"/>
    </row>
    <row r="13356" spans="104:111">
      <c r="CZ13356" s="256"/>
      <c r="DG13356" s="256"/>
    </row>
    <row r="13357" spans="104:111">
      <c r="CZ13357" s="256"/>
      <c r="DG13357" s="256"/>
    </row>
    <row r="13358" spans="104:111">
      <c r="CZ13358" s="256"/>
      <c r="DG13358" s="256"/>
    </row>
    <row r="13359" spans="104:111">
      <c r="CZ13359" s="256"/>
      <c r="DG13359" s="256"/>
    </row>
    <row r="13360" spans="104:111">
      <c r="CZ13360" s="256"/>
      <c r="DG13360" s="256"/>
    </row>
    <row r="13361" spans="104:111">
      <c r="CZ13361" s="256"/>
      <c r="DG13361" s="256"/>
    </row>
    <row r="13362" spans="104:111">
      <c r="CZ13362" s="256"/>
      <c r="DG13362" s="256"/>
    </row>
    <row r="13363" spans="104:111">
      <c r="CZ13363" s="256"/>
      <c r="DG13363" s="256"/>
    </row>
    <row r="13364" spans="104:111">
      <c r="CZ13364" s="256"/>
      <c r="DG13364" s="256"/>
    </row>
    <row r="13365" spans="104:111">
      <c r="CZ13365" s="256"/>
      <c r="DG13365" s="256"/>
    </row>
    <row r="13366" spans="104:111">
      <c r="CZ13366" s="256"/>
      <c r="DG13366" s="256"/>
    </row>
    <row r="13367" spans="104:111">
      <c r="CZ13367" s="256"/>
      <c r="DG13367" s="256"/>
    </row>
    <row r="13368" spans="104:111">
      <c r="CZ13368" s="256"/>
      <c r="DG13368" s="256"/>
    </row>
    <row r="13369" spans="104:111">
      <c r="CZ13369" s="256"/>
      <c r="DG13369" s="256"/>
    </row>
    <row r="13370" spans="104:111">
      <c r="CZ13370" s="256"/>
      <c r="DG13370" s="256"/>
    </row>
    <row r="13371" spans="104:111">
      <c r="CZ13371" s="256"/>
      <c r="DG13371" s="256"/>
    </row>
    <row r="13372" spans="104:111">
      <c r="CZ13372" s="256"/>
      <c r="DG13372" s="256"/>
    </row>
    <row r="13373" spans="104:111">
      <c r="CZ13373" s="256"/>
      <c r="DG13373" s="256"/>
    </row>
    <row r="13374" spans="104:111">
      <c r="CZ13374" s="256"/>
      <c r="DG13374" s="256"/>
    </row>
    <row r="13375" spans="104:111">
      <c r="CZ13375" s="256"/>
      <c r="DG13375" s="256"/>
    </row>
    <row r="13376" spans="104:111">
      <c r="CZ13376" s="256"/>
      <c r="DG13376" s="256"/>
    </row>
    <row r="13377" spans="104:111">
      <c r="CZ13377" s="256"/>
      <c r="DG13377" s="256"/>
    </row>
    <row r="13378" spans="104:111">
      <c r="CZ13378" s="256"/>
      <c r="DG13378" s="256"/>
    </row>
    <row r="13379" spans="104:111">
      <c r="CZ13379" s="256"/>
      <c r="DG13379" s="256"/>
    </row>
    <row r="13380" spans="104:111">
      <c r="CZ13380" s="256"/>
      <c r="DG13380" s="256"/>
    </row>
    <row r="13381" spans="104:111">
      <c r="CZ13381" s="256"/>
      <c r="DG13381" s="256"/>
    </row>
    <row r="13382" spans="104:111">
      <c r="CZ13382" s="256"/>
      <c r="DG13382" s="256"/>
    </row>
    <row r="13383" spans="104:111">
      <c r="CZ13383" s="256"/>
      <c r="DG13383" s="256"/>
    </row>
    <row r="13384" spans="104:111">
      <c r="CZ13384" s="256"/>
      <c r="DG13384" s="256"/>
    </row>
    <row r="13385" spans="104:111">
      <c r="CZ13385" s="256"/>
      <c r="DG13385" s="256"/>
    </row>
    <row r="13386" spans="104:111">
      <c r="CZ13386" s="256"/>
      <c r="DG13386" s="256"/>
    </row>
    <row r="13387" spans="104:111">
      <c r="CZ13387" s="256"/>
      <c r="DG13387" s="256"/>
    </row>
    <row r="13388" spans="104:111">
      <c r="CZ13388" s="256"/>
      <c r="DG13388" s="256"/>
    </row>
    <row r="13389" spans="104:111">
      <c r="CZ13389" s="256"/>
      <c r="DG13389" s="256"/>
    </row>
    <row r="13390" spans="104:111">
      <c r="CZ13390" s="256"/>
      <c r="DG13390" s="256"/>
    </row>
    <row r="13391" spans="104:111">
      <c r="CZ13391" s="256"/>
      <c r="DG13391" s="256"/>
    </row>
    <row r="13392" spans="104:111">
      <c r="CZ13392" s="256"/>
      <c r="DG13392" s="256"/>
    </row>
    <row r="13393" spans="104:111">
      <c r="CZ13393" s="256"/>
      <c r="DG13393" s="256"/>
    </row>
    <row r="13394" spans="104:111">
      <c r="CZ13394" s="256"/>
      <c r="DG13394" s="256"/>
    </row>
    <row r="13395" spans="104:111">
      <c r="CZ13395" s="256"/>
      <c r="DG13395" s="256"/>
    </row>
    <row r="13396" spans="104:111">
      <c r="CZ13396" s="256"/>
      <c r="DG13396" s="256"/>
    </row>
    <row r="13397" spans="104:111">
      <c r="CZ13397" s="256"/>
      <c r="DG13397" s="256"/>
    </row>
    <row r="13398" spans="104:111">
      <c r="CZ13398" s="256"/>
      <c r="DG13398" s="256"/>
    </row>
    <row r="13399" spans="104:111">
      <c r="CZ13399" s="256"/>
      <c r="DG13399" s="256"/>
    </row>
    <row r="13400" spans="104:111">
      <c r="CZ13400" s="256"/>
      <c r="DG13400" s="256"/>
    </row>
    <row r="13401" spans="104:111">
      <c r="CZ13401" s="256"/>
      <c r="DG13401" s="256"/>
    </row>
    <row r="13402" spans="104:111">
      <c r="CZ13402" s="256"/>
      <c r="DG13402" s="256"/>
    </row>
    <row r="13403" spans="104:111">
      <c r="CZ13403" s="256"/>
      <c r="DG13403" s="256"/>
    </row>
    <row r="13404" spans="104:111">
      <c r="CZ13404" s="256"/>
      <c r="DG13404" s="256"/>
    </row>
    <row r="13405" spans="104:111">
      <c r="CZ13405" s="256"/>
      <c r="DG13405" s="256"/>
    </row>
    <row r="13406" spans="104:111">
      <c r="CZ13406" s="256"/>
      <c r="DG13406" s="256"/>
    </row>
    <row r="13407" spans="104:111">
      <c r="CZ13407" s="256"/>
      <c r="DG13407" s="256"/>
    </row>
    <row r="13408" spans="104:111">
      <c r="CZ13408" s="256"/>
      <c r="DG13408" s="256"/>
    </row>
    <row r="13409" spans="104:111">
      <c r="CZ13409" s="256"/>
      <c r="DG13409" s="256"/>
    </row>
    <row r="13410" spans="104:111">
      <c r="CZ13410" s="256"/>
      <c r="DG13410" s="256"/>
    </row>
    <row r="13411" spans="104:111">
      <c r="CZ13411" s="256"/>
      <c r="DG13411" s="256"/>
    </row>
    <row r="13412" spans="104:111">
      <c r="CZ13412" s="256"/>
      <c r="DG13412" s="256"/>
    </row>
    <row r="13413" spans="104:111">
      <c r="CZ13413" s="256"/>
      <c r="DG13413" s="256"/>
    </row>
    <row r="13414" spans="104:111">
      <c r="CZ13414" s="256"/>
      <c r="DG13414" s="256"/>
    </row>
    <row r="13415" spans="104:111">
      <c r="CZ13415" s="256"/>
      <c r="DG13415" s="256"/>
    </row>
    <row r="13416" spans="104:111">
      <c r="CZ13416" s="256"/>
      <c r="DG13416" s="256"/>
    </row>
    <row r="13417" spans="104:111">
      <c r="CZ13417" s="256"/>
      <c r="DG13417" s="256"/>
    </row>
    <row r="13418" spans="104:111">
      <c r="CZ13418" s="256"/>
      <c r="DG13418" s="256"/>
    </row>
    <row r="13419" spans="104:111">
      <c r="CZ13419" s="256"/>
      <c r="DG13419" s="256"/>
    </row>
    <row r="13420" spans="104:111">
      <c r="CZ13420" s="256"/>
      <c r="DG13420" s="256"/>
    </row>
    <row r="13421" spans="104:111">
      <c r="CZ13421" s="256"/>
      <c r="DG13421" s="256"/>
    </row>
    <row r="13422" spans="104:111">
      <c r="CZ13422" s="256"/>
      <c r="DG13422" s="256"/>
    </row>
    <row r="13423" spans="104:111">
      <c r="CZ13423" s="256"/>
      <c r="DG13423" s="256"/>
    </row>
    <row r="13424" spans="104:111">
      <c r="CZ13424" s="256"/>
      <c r="DG13424" s="256"/>
    </row>
    <row r="13425" spans="104:111">
      <c r="CZ13425" s="256"/>
      <c r="DG13425" s="256"/>
    </row>
    <row r="13426" spans="104:111">
      <c r="CZ13426" s="256"/>
      <c r="DG13426" s="256"/>
    </row>
    <row r="13427" spans="104:111">
      <c r="CZ13427" s="256"/>
      <c r="DG13427" s="256"/>
    </row>
    <row r="13428" spans="104:111">
      <c r="CZ13428" s="256"/>
      <c r="DG13428" s="256"/>
    </row>
    <row r="13429" spans="104:111">
      <c r="CZ13429" s="256"/>
      <c r="DG13429" s="256"/>
    </row>
    <row r="13430" spans="104:111">
      <c r="CZ13430" s="256"/>
      <c r="DG13430" s="256"/>
    </row>
    <row r="13431" spans="104:111">
      <c r="CZ13431" s="256"/>
      <c r="DG13431" s="256"/>
    </row>
    <row r="13432" spans="104:111">
      <c r="CZ13432" s="256"/>
      <c r="DG13432" s="256"/>
    </row>
    <row r="13433" spans="104:111">
      <c r="CZ13433" s="256"/>
      <c r="DG13433" s="256"/>
    </row>
    <row r="13434" spans="104:111">
      <c r="CZ13434" s="256"/>
      <c r="DG13434" s="256"/>
    </row>
    <row r="13435" spans="104:111">
      <c r="CZ13435" s="256"/>
      <c r="DG13435" s="256"/>
    </row>
    <row r="13436" spans="104:111">
      <c r="CZ13436" s="256"/>
      <c r="DG13436" s="256"/>
    </row>
    <row r="13437" spans="104:111">
      <c r="CZ13437" s="256"/>
      <c r="DG13437" s="256"/>
    </row>
    <row r="13438" spans="104:111">
      <c r="CZ13438" s="256"/>
      <c r="DG13438" s="256"/>
    </row>
    <row r="13439" spans="104:111">
      <c r="CZ13439" s="256"/>
      <c r="DG13439" s="256"/>
    </row>
    <row r="13440" spans="104:111">
      <c r="CZ13440" s="256"/>
      <c r="DG13440" s="256"/>
    </row>
    <row r="13441" spans="104:111">
      <c r="CZ13441" s="256"/>
      <c r="DG13441" s="256"/>
    </row>
    <row r="13442" spans="104:111">
      <c r="CZ13442" s="256"/>
      <c r="DG13442" s="256"/>
    </row>
    <row r="13443" spans="104:111">
      <c r="CZ13443" s="256"/>
      <c r="DG13443" s="256"/>
    </row>
    <row r="13444" spans="104:111">
      <c r="CZ13444" s="256"/>
      <c r="DG13444" s="256"/>
    </row>
    <row r="13445" spans="104:111">
      <c r="CZ13445" s="256"/>
      <c r="DG13445" s="256"/>
    </row>
    <row r="13446" spans="104:111">
      <c r="CZ13446" s="256"/>
      <c r="DG13446" s="256"/>
    </row>
    <row r="13447" spans="104:111">
      <c r="CZ13447" s="256"/>
      <c r="DG13447" s="256"/>
    </row>
    <row r="13448" spans="104:111">
      <c r="CZ13448" s="256"/>
      <c r="DG13448" s="256"/>
    </row>
    <row r="13449" spans="104:111">
      <c r="CZ13449" s="256"/>
      <c r="DG13449" s="256"/>
    </row>
    <row r="13450" spans="104:111">
      <c r="CZ13450" s="256"/>
      <c r="DG13450" s="256"/>
    </row>
    <row r="13451" spans="104:111">
      <c r="CZ13451" s="256"/>
      <c r="DG13451" s="256"/>
    </row>
    <row r="13452" spans="104:111">
      <c r="CZ13452" s="256"/>
      <c r="DG13452" s="256"/>
    </row>
    <row r="13453" spans="104:111">
      <c r="CZ13453" s="256"/>
      <c r="DG13453" s="256"/>
    </row>
    <row r="13454" spans="104:111">
      <c r="CZ13454" s="256"/>
      <c r="DG13454" s="256"/>
    </row>
    <row r="13455" spans="104:111">
      <c r="CZ13455" s="256"/>
      <c r="DG13455" s="256"/>
    </row>
    <row r="13456" spans="104:111">
      <c r="CZ13456" s="256"/>
      <c r="DG13456" s="256"/>
    </row>
    <row r="13457" spans="104:111">
      <c r="CZ13457" s="256"/>
      <c r="DG13457" s="256"/>
    </row>
    <row r="13458" spans="104:111">
      <c r="CZ13458" s="256"/>
      <c r="DG13458" s="256"/>
    </row>
    <row r="13459" spans="104:111">
      <c r="CZ13459" s="256"/>
      <c r="DG13459" s="256"/>
    </row>
    <row r="13460" spans="104:111">
      <c r="CZ13460" s="256"/>
      <c r="DG13460" s="256"/>
    </row>
    <row r="13461" spans="104:111">
      <c r="CZ13461" s="256"/>
      <c r="DG13461" s="256"/>
    </row>
    <row r="13462" spans="104:111">
      <c r="CZ13462" s="256"/>
      <c r="DG13462" s="256"/>
    </row>
    <row r="13463" spans="104:111">
      <c r="CZ13463" s="256"/>
      <c r="DG13463" s="256"/>
    </row>
    <row r="13464" spans="104:111">
      <c r="CZ13464" s="256"/>
      <c r="DG13464" s="256"/>
    </row>
    <row r="13465" spans="104:111">
      <c r="CZ13465" s="256"/>
      <c r="DG13465" s="256"/>
    </row>
    <row r="13466" spans="104:111">
      <c r="CZ13466" s="256"/>
      <c r="DG13466" s="256"/>
    </row>
    <row r="13467" spans="104:111">
      <c r="CZ13467" s="256"/>
      <c r="DG13467" s="256"/>
    </row>
    <row r="13468" spans="104:111">
      <c r="CZ13468" s="256"/>
      <c r="DG13468" s="256"/>
    </row>
    <row r="13469" spans="104:111">
      <c r="CZ13469" s="256"/>
      <c r="DG13469" s="256"/>
    </row>
    <row r="13470" spans="104:111">
      <c r="CZ13470" s="256"/>
      <c r="DG13470" s="256"/>
    </row>
    <row r="13471" spans="104:111">
      <c r="CZ13471" s="256"/>
      <c r="DG13471" s="256"/>
    </row>
    <row r="13472" spans="104:111">
      <c r="CZ13472" s="256"/>
      <c r="DG13472" s="256"/>
    </row>
    <row r="13473" spans="104:111">
      <c r="CZ13473" s="256"/>
      <c r="DG13473" s="256"/>
    </row>
    <row r="13474" spans="104:111">
      <c r="CZ13474" s="256"/>
      <c r="DG13474" s="256"/>
    </row>
    <row r="13475" spans="104:111">
      <c r="CZ13475" s="256"/>
      <c r="DG13475" s="256"/>
    </row>
    <row r="13476" spans="104:111">
      <c r="CZ13476" s="256"/>
      <c r="DG13476" s="256"/>
    </row>
    <row r="13477" spans="104:111">
      <c r="CZ13477" s="256"/>
      <c r="DG13477" s="256"/>
    </row>
    <row r="13478" spans="104:111">
      <c r="CZ13478" s="256"/>
      <c r="DG13478" s="256"/>
    </row>
    <row r="13479" spans="104:111">
      <c r="CZ13479" s="256"/>
      <c r="DG13479" s="256"/>
    </row>
    <row r="13480" spans="104:111">
      <c r="CZ13480" s="256"/>
      <c r="DG13480" s="256"/>
    </row>
    <row r="13481" spans="104:111">
      <c r="CZ13481" s="256"/>
      <c r="DG13481" s="256"/>
    </row>
    <row r="13482" spans="104:111">
      <c r="CZ13482" s="256"/>
      <c r="DG13482" s="256"/>
    </row>
    <row r="13483" spans="104:111">
      <c r="CZ13483" s="256"/>
      <c r="DG13483" s="256"/>
    </row>
    <row r="13484" spans="104:111">
      <c r="CZ13484" s="256"/>
      <c r="DG13484" s="256"/>
    </row>
    <row r="13485" spans="104:111">
      <c r="CZ13485" s="256"/>
      <c r="DG13485" s="256"/>
    </row>
    <row r="13486" spans="104:111">
      <c r="CZ13486" s="256"/>
      <c r="DG13486" s="256"/>
    </row>
    <row r="13487" spans="104:111">
      <c r="CZ13487" s="256"/>
      <c r="DG13487" s="256"/>
    </row>
    <row r="13488" spans="104:111">
      <c r="CZ13488" s="256"/>
      <c r="DG13488" s="256"/>
    </row>
    <row r="13489" spans="104:111">
      <c r="CZ13489" s="256"/>
      <c r="DG13489" s="256"/>
    </row>
    <row r="13490" spans="104:111">
      <c r="CZ13490" s="256"/>
      <c r="DG13490" s="256"/>
    </row>
    <row r="13491" spans="104:111">
      <c r="CZ13491" s="256"/>
      <c r="DG13491" s="256"/>
    </row>
    <row r="13492" spans="104:111">
      <c r="CZ13492" s="256"/>
      <c r="DG13492" s="256"/>
    </row>
    <row r="13493" spans="104:111">
      <c r="CZ13493" s="256"/>
      <c r="DG13493" s="256"/>
    </row>
    <row r="13494" spans="104:111">
      <c r="CZ13494" s="256"/>
      <c r="DG13494" s="256"/>
    </row>
    <row r="13495" spans="104:111">
      <c r="CZ13495" s="256"/>
      <c r="DG13495" s="256"/>
    </row>
    <row r="13496" spans="104:111">
      <c r="CZ13496" s="256"/>
      <c r="DG13496" s="256"/>
    </row>
    <row r="13497" spans="104:111">
      <c r="CZ13497" s="256"/>
      <c r="DG13497" s="256"/>
    </row>
    <row r="13498" spans="104:111">
      <c r="CZ13498" s="256"/>
      <c r="DG13498" s="256"/>
    </row>
    <row r="13499" spans="104:111">
      <c r="CZ13499" s="256"/>
      <c r="DG13499" s="256"/>
    </row>
    <row r="13500" spans="104:111">
      <c r="CZ13500" s="256"/>
      <c r="DG13500" s="256"/>
    </row>
    <row r="13501" spans="104:111">
      <c r="CZ13501" s="256"/>
      <c r="DG13501" s="256"/>
    </row>
    <row r="13502" spans="104:111">
      <c r="CZ13502" s="256"/>
      <c r="DG13502" s="256"/>
    </row>
    <row r="13503" spans="104:111">
      <c r="CZ13503" s="256"/>
      <c r="DG13503" s="256"/>
    </row>
    <row r="13504" spans="104:111">
      <c r="CZ13504" s="256"/>
      <c r="DG13504" s="256"/>
    </row>
    <row r="13505" spans="104:111">
      <c r="CZ13505" s="256"/>
      <c r="DG13505" s="256"/>
    </row>
    <row r="13506" spans="104:111">
      <c r="CZ13506" s="256"/>
      <c r="DG13506" s="256"/>
    </row>
    <row r="13507" spans="104:111">
      <c r="CZ13507" s="256"/>
      <c r="DG13507" s="256"/>
    </row>
    <row r="13508" spans="104:111">
      <c r="CZ13508" s="256"/>
      <c r="DG13508" s="256"/>
    </row>
    <row r="13509" spans="104:111">
      <c r="CZ13509" s="256"/>
      <c r="DG13509" s="256"/>
    </row>
    <row r="13510" spans="104:111">
      <c r="CZ13510" s="256"/>
      <c r="DG13510" s="256"/>
    </row>
    <row r="13511" spans="104:111">
      <c r="CZ13511" s="256"/>
      <c r="DG13511" s="256"/>
    </row>
    <row r="13512" spans="104:111">
      <c r="CZ13512" s="256"/>
      <c r="DG13512" s="256"/>
    </row>
    <row r="13513" spans="104:111">
      <c r="CZ13513" s="256"/>
      <c r="DG13513" s="256"/>
    </row>
    <row r="13514" spans="104:111">
      <c r="CZ13514" s="256"/>
      <c r="DG13514" s="256"/>
    </row>
    <row r="13515" spans="104:111">
      <c r="CZ13515" s="256"/>
      <c r="DG13515" s="256"/>
    </row>
    <row r="13516" spans="104:111">
      <c r="CZ13516" s="256"/>
      <c r="DG13516" s="256"/>
    </row>
    <row r="13517" spans="104:111">
      <c r="CZ13517" s="256"/>
      <c r="DG13517" s="256"/>
    </row>
    <row r="13518" spans="104:111">
      <c r="CZ13518" s="256"/>
      <c r="DG13518" s="256"/>
    </row>
    <row r="13519" spans="104:111">
      <c r="CZ13519" s="256"/>
      <c r="DG13519" s="256"/>
    </row>
    <row r="13520" spans="104:111">
      <c r="CZ13520" s="256"/>
      <c r="DG13520" s="256"/>
    </row>
    <row r="13521" spans="104:111">
      <c r="CZ13521" s="256"/>
      <c r="DG13521" s="256"/>
    </row>
    <row r="13522" spans="104:111">
      <c r="CZ13522" s="256"/>
      <c r="DG13522" s="256"/>
    </row>
    <row r="13523" spans="104:111">
      <c r="CZ13523" s="256"/>
      <c r="DG13523" s="256"/>
    </row>
    <row r="13524" spans="104:111">
      <c r="CZ13524" s="256"/>
      <c r="DG13524" s="256"/>
    </row>
    <row r="13525" spans="104:111">
      <c r="CZ13525" s="256"/>
      <c r="DG13525" s="256"/>
    </row>
    <row r="13526" spans="104:111">
      <c r="CZ13526" s="256"/>
      <c r="DG13526" s="256"/>
    </row>
    <row r="13527" spans="104:111">
      <c r="CZ13527" s="256"/>
      <c r="DG13527" s="256"/>
    </row>
    <row r="13528" spans="104:111">
      <c r="CZ13528" s="256"/>
      <c r="DG13528" s="256"/>
    </row>
    <row r="13529" spans="104:111">
      <c r="CZ13529" s="256"/>
      <c r="DG13529" s="256"/>
    </row>
    <row r="13530" spans="104:111">
      <c r="CZ13530" s="256"/>
      <c r="DG13530" s="256"/>
    </row>
    <row r="13531" spans="104:111">
      <c r="CZ13531" s="256"/>
      <c r="DG13531" s="256"/>
    </row>
    <row r="13532" spans="104:111">
      <c r="CZ13532" s="256"/>
      <c r="DG13532" s="256"/>
    </row>
    <row r="13533" spans="104:111">
      <c r="CZ13533" s="256"/>
      <c r="DG13533" s="256"/>
    </row>
    <row r="13534" spans="104:111">
      <c r="CZ13534" s="256"/>
      <c r="DG13534" s="256"/>
    </row>
    <row r="13535" spans="104:111">
      <c r="CZ13535" s="256"/>
      <c r="DG13535" s="256"/>
    </row>
    <row r="13536" spans="104:111">
      <c r="CZ13536" s="256"/>
      <c r="DG13536" s="256"/>
    </row>
    <row r="13537" spans="104:111">
      <c r="CZ13537" s="256"/>
      <c r="DG13537" s="256"/>
    </row>
    <row r="13538" spans="104:111">
      <c r="CZ13538" s="256"/>
      <c r="DG13538" s="256"/>
    </row>
    <row r="13539" spans="104:111">
      <c r="CZ13539" s="256"/>
      <c r="DG13539" s="256"/>
    </row>
    <row r="13540" spans="104:111">
      <c r="CZ13540" s="256"/>
      <c r="DG13540" s="256"/>
    </row>
    <row r="13541" spans="104:111">
      <c r="CZ13541" s="256"/>
      <c r="DG13541" s="256"/>
    </row>
    <row r="13542" spans="104:111">
      <c r="CZ13542" s="256"/>
      <c r="DG13542" s="256"/>
    </row>
    <row r="13543" spans="104:111">
      <c r="CZ13543" s="256"/>
      <c r="DG13543" s="256"/>
    </row>
    <row r="13544" spans="104:111">
      <c r="CZ13544" s="256"/>
      <c r="DG13544" s="256"/>
    </row>
    <row r="13545" spans="104:111">
      <c r="CZ13545" s="256"/>
      <c r="DG13545" s="256"/>
    </row>
    <row r="13546" spans="104:111">
      <c r="CZ13546" s="256"/>
      <c r="DG13546" s="256"/>
    </row>
    <row r="13547" spans="104:111">
      <c r="CZ13547" s="256"/>
      <c r="DG13547" s="256"/>
    </row>
    <row r="13548" spans="104:111">
      <c r="CZ13548" s="256"/>
      <c r="DG13548" s="256"/>
    </row>
    <row r="13549" spans="104:111">
      <c r="CZ13549" s="256"/>
      <c r="DG13549" s="256"/>
    </row>
    <row r="13550" spans="104:111">
      <c r="CZ13550" s="256"/>
      <c r="DG13550" s="256"/>
    </row>
    <row r="13551" spans="104:111">
      <c r="CZ13551" s="256"/>
      <c r="DG13551" s="256"/>
    </row>
    <row r="13552" spans="104:111">
      <c r="CZ13552" s="256"/>
      <c r="DG13552" s="256"/>
    </row>
    <row r="13553" spans="104:111">
      <c r="CZ13553" s="256"/>
      <c r="DG13553" s="256"/>
    </row>
    <row r="13554" spans="104:111">
      <c r="CZ13554" s="256"/>
      <c r="DG13554" s="256"/>
    </row>
    <row r="13555" spans="104:111">
      <c r="CZ13555" s="256"/>
      <c r="DG13555" s="256"/>
    </row>
    <row r="13556" spans="104:111">
      <c r="CZ13556" s="256"/>
      <c r="DG13556" s="256"/>
    </row>
    <row r="13557" spans="104:111">
      <c r="CZ13557" s="256"/>
      <c r="DG13557" s="256"/>
    </row>
    <row r="13558" spans="104:111">
      <c r="CZ13558" s="256"/>
      <c r="DG13558" s="256"/>
    </row>
    <row r="13559" spans="104:111">
      <c r="CZ13559" s="256"/>
      <c r="DG13559" s="256"/>
    </row>
    <row r="13560" spans="104:111">
      <c r="CZ13560" s="256"/>
      <c r="DG13560" s="256"/>
    </row>
    <row r="13561" spans="104:111">
      <c r="CZ13561" s="256"/>
      <c r="DG13561" s="256"/>
    </row>
    <row r="13562" spans="104:111">
      <c r="CZ13562" s="256"/>
      <c r="DG13562" s="256"/>
    </row>
    <row r="13563" spans="104:111">
      <c r="CZ13563" s="256"/>
      <c r="DG13563" s="256"/>
    </row>
    <row r="13564" spans="104:111">
      <c r="CZ13564" s="256"/>
      <c r="DG13564" s="256"/>
    </row>
    <row r="13565" spans="104:111">
      <c r="CZ13565" s="256"/>
      <c r="DG13565" s="256"/>
    </row>
    <row r="13566" spans="104:111">
      <c r="CZ13566" s="256"/>
      <c r="DG13566" s="256"/>
    </row>
    <row r="13567" spans="104:111">
      <c r="CZ13567" s="256"/>
      <c r="DG13567" s="256"/>
    </row>
    <row r="13568" spans="104:111">
      <c r="CZ13568" s="256"/>
      <c r="DG13568" s="256"/>
    </row>
    <row r="13569" spans="104:111">
      <c r="CZ13569" s="256"/>
      <c r="DG13569" s="256"/>
    </row>
    <row r="13570" spans="104:111">
      <c r="CZ13570" s="256"/>
      <c r="DG13570" s="256"/>
    </row>
    <row r="13571" spans="104:111">
      <c r="CZ13571" s="256"/>
      <c r="DG13571" s="256"/>
    </row>
    <row r="13572" spans="104:111">
      <c r="CZ13572" s="256"/>
      <c r="DG13572" s="256"/>
    </row>
    <row r="13573" spans="104:111">
      <c r="CZ13573" s="256"/>
      <c r="DG13573" s="256"/>
    </row>
    <row r="13574" spans="104:111">
      <c r="CZ13574" s="256"/>
      <c r="DG13574" s="256"/>
    </row>
    <row r="13575" spans="104:111">
      <c r="CZ13575" s="256"/>
      <c r="DG13575" s="256"/>
    </row>
    <row r="13576" spans="104:111">
      <c r="CZ13576" s="256"/>
      <c r="DG13576" s="256"/>
    </row>
    <row r="13577" spans="104:111">
      <c r="CZ13577" s="256"/>
      <c r="DG13577" s="256"/>
    </row>
    <row r="13578" spans="104:111">
      <c r="CZ13578" s="256"/>
      <c r="DG13578" s="256"/>
    </row>
    <row r="13579" spans="104:111">
      <c r="CZ13579" s="256"/>
      <c r="DG13579" s="256"/>
    </row>
    <row r="13580" spans="104:111">
      <c r="CZ13580" s="256"/>
      <c r="DG13580" s="256"/>
    </row>
    <row r="13581" spans="104:111">
      <c r="CZ13581" s="256"/>
      <c r="DG13581" s="256"/>
    </row>
    <row r="13582" spans="104:111">
      <c r="CZ13582" s="256"/>
      <c r="DG13582" s="256"/>
    </row>
    <row r="13583" spans="104:111">
      <c r="CZ13583" s="256"/>
      <c r="DG13583" s="256"/>
    </row>
    <row r="13584" spans="104:111">
      <c r="CZ13584" s="256"/>
      <c r="DG13584" s="256"/>
    </row>
    <row r="13585" spans="104:111">
      <c r="CZ13585" s="256"/>
      <c r="DG13585" s="256"/>
    </row>
    <row r="13586" spans="104:111">
      <c r="CZ13586" s="256"/>
      <c r="DG13586" s="256"/>
    </row>
    <row r="13587" spans="104:111">
      <c r="CZ13587" s="256"/>
      <c r="DG13587" s="256"/>
    </row>
    <row r="13588" spans="104:111">
      <c r="CZ13588" s="256"/>
      <c r="DG13588" s="256"/>
    </row>
    <row r="13589" spans="104:111">
      <c r="CZ13589" s="256"/>
      <c r="DG13589" s="256"/>
    </row>
    <row r="13590" spans="104:111">
      <c r="CZ13590" s="256"/>
      <c r="DG13590" s="256"/>
    </row>
    <row r="13591" spans="104:111">
      <c r="CZ13591" s="256"/>
      <c r="DG13591" s="256"/>
    </row>
    <row r="13592" spans="104:111">
      <c r="CZ13592" s="256"/>
      <c r="DG13592" s="256"/>
    </row>
    <row r="13593" spans="104:111">
      <c r="CZ13593" s="256"/>
      <c r="DG13593" s="256"/>
    </row>
    <row r="13594" spans="104:111">
      <c r="CZ13594" s="256"/>
      <c r="DG13594" s="256"/>
    </row>
    <row r="13595" spans="104:111">
      <c r="CZ13595" s="256"/>
      <c r="DG13595" s="256"/>
    </row>
    <row r="13596" spans="104:111">
      <c r="CZ13596" s="256"/>
      <c r="DG13596" s="256"/>
    </row>
    <row r="13597" spans="104:111">
      <c r="CZ13597" s="256"/>
      <c r="DG13597" s="256"/>
    </row>
    <row r="13598" spans="104:111">
      <c r="CZ13598" s="256"/>
      <c r="DG13598" s="256"/>
    </row>
    <row r="13599" spans="104:111">
      <c r="CZ13599" s="256"/>
      <c r="DG13599" s="256"/>
    </row>
    <row r="13600" spans="104:111">
      <c r="CZ13600" s="256"/>
      <c r="DG13600" s="256"/>
    </row>
    <row r="13601" spans="104:111">
      <c r="CZ13601" s="256"/>
      <c r="DG13601" s="256"/>
    </row>
    <row r="13602" spans="104:111">
      <c r="CZ13602" s="256"/>
      <c r="DG13602" s="256"/>
    </row>
    <row r="13603" spans="104:111">
      <c r="CZ13603" s="256"/>
      <c r="DG13603" s="256"/>
    </row>
    <row r="13604" spans="104:111">
      <c r="CZ13604" s="256"/>
      <c r="DG13604" s="256"/>
    </row>
    <row r="13605" spans="104:111">
      <c r="CZ13605" s="256"/>
      <c r="DG13605" s="256"/>
    </row>
    <row r="13606" spans="104:111">
      <c r="CZ13606" s="256"/>
      <c r="DG13606" s="256"/>
    </row>
    <row r="13607" spans="104:111">
      <c r="CZ13607" s="256"/>
      <c r="DG13607" s="256"/>
    </row>
    <row r="13608" spans="104:111">
      <c r="CZ13608" s="256"/>
      <c r="DG13608" s="256"/>
    </row>
    <row r="13609" spans="104:111">
      <c r="CZ13609" s="256"/>
      <c r="DG13609" s="256"/>
    </row>
    <row r="13610" spans="104:111">
      <c r="CZ13610" s="256"/>
      <c r="DG13610" s="256"/>
    </row>
    <row r="13611" spans="104:111">
      <c r="CZ13611" s="256"/>
      <c r="DG13611" s="256"/>
    </row>
    <row r="13612" spans="104:111">
      <c r="CZ13612" s="256"/>
      <c r="DG13612" s="256"/>
    </row>
    <row r="13613" spans="104:111">
      <c r="CZ13613" s="256"/>
      <c r="DG13613" s="256"/>
    </row>
    <row r="13614" spans="104:111">
      <c r="CZ13614" s="256"/>
      <c r="DG13614" s="256"/>
    </row>
    <row r="13615" spans="104:111">
      <c r="CZ13615" s="256"/>
      <c r="DG13615" s="256"/>
    </row>
    <row r="13616" spans="104:111">
      <c r="CZ13616" s="256"/>
      <c r="DG13616" s="256"/>
    </row>
    <row r="13617" spans="104:111">
      <c r="CZ13617" s="256"/>
      <c r="DG13617" s="256"/>
    </row>
    <row r="13618" spans="104:111">
      <c r="CZ13618" s="256"/>
      <c r="DG13618" s="256"/>
    </row>
    <row r="13619" spans="104:111">
      <c r="CZ13619" s="256"/>
      <c r="DG13619" s="256"/>
    </row>
    <row r="13620" spans="104:111">
      <c r="CZ13620" s="256"/>
      <c r="DG13620" s="256"/>
    </row>
    <row r="13621" spans="104:111">
      <c r="CZ13621" s="256"/>
      <c r="DG13621" s="256"/>
    </row>
    <row r="13622" spans="104:111">
      <c r="CZ13622" s="256"/>
      <c r="DG13622" s="256"/>
    </row>
    <row r="13623" spans="104:111">
      <c r="CZ13623" s="256"/>
      <c r="DG13623" s="256"/>
    </row>
    <row r="13624" spans="104:111">
      <c r="CZ13624" s="256"/>
      <c r="DG13624" s="256"/>
    </row>
    <row r="13625" spans="104:111">
      <c r="CZ13625" s="256"/>
      <c r="DG13625" s="256"/>
    </row>
    <row r="13626" spans="104:111">
      <c r="CZ13626" s="256"/>
      <c r="DG13626" s="256"/>
    </row>
    <row r="13627" spans="104:111">
      <c r="CZ13627" s="256"/>
      <c r="DG13627" s="256"/>
    </row>
    <row r="13628" spans="104:111">
      <c r="CZ13628" s="256"/>
      <c r="DG13628" s="256"/>
    </row>
    <row r="13629" spans="104:111">
      <c r="CZ13629" s="256"/>
      <c r="DG13629" s="256"/>
    </row>
    <row r="13630" spans="104:111">
      <c r="CZ13630" s="256"/>
      <c r="DG13630" s="256"/>
    </row>
    <row r="13631" spans="104:111">
      <c r="CZ13631" s="256"/>
      <c r="DG13631" s="256"/>
    </row>
    <row r="13632" spans="104:111">
      <c r="CZ13632" s="256"/>
      <c r="DG13632" s="256"/>
    </row>
    <row r="13633" spans="104:111">
      <c r="CZ13633" s="256"/>
      <c r="DG13633" s="256"/>
    </row>
    <row r="13634" spans="104:111">
      <c r="CZ13634" s="256"/>
      <c r="DG13634" s="256"/>
    </row>
    <row r="13635" spans="104:111">
      <c r="CZ13635" s="256"/>
      <c r="DG13635" s="256"/>
    </row>
    <row r="13636" spans="104:111">
      <c r="CZ13636" s="256"/>
      <c r="DG13636" s="256"/>
    </row>
    <row r="13637" spans="104:111">
      <c r="CZ13637" s="256"/>
      <c r="DG13637" s="256"/>
    </row>
    <row r="13638" spans="104:111">
      <c r="CZ13638" s="256"/>
      <c r="DG13638" s="256"/>
    </row>
    <row r="13639" spans="104:111">
      <c r="CZ13639" s="256"/>
      <c r="DG13639" s="256"/>
    </row>
    <row r="13640" spans="104:111">
      <c r="CZ13640" s="256"/>
      <c r="DG13640" s="256"/>
    </row>
    <row r="13641" spans="104:111">
      <c r="CZ13641" s="256"/>
      <c r="DG13641" s="256"/>
    </row>
    <row r="13642" spans="104:111">
      <c r="CZ13642" s="256"/>
      <c r="DG13642" s="256"/>
    </row>
    <row r="13643" spans="104:111">
      <c r="CZ13643" s="256"/>
      <c r="DG13643" s="256"/>
    </row>
    <row r="13644" spans="104:111">
      <c r="CZ13644" s="256"/>
      <c r="DG13644" s="256"/>
    </row>
    <row r="13645" spans="104:111">
      <c r="CZ13645" s="256"/>
      <c r="DG13645" s="256"/>
    </row>
    <row r="13646" spans="104:111">
      <c r="CZ13646" s="256"/>
      <c r="DG13646" s="256"/>
    </row>
    <row r="13647" spans="104:111">
      <c r="CZ13647" s="256"/>
      <c r="DG13647" s="256"/>
    </row>
    <row r="13648" spans="104:111">
      <c r="CZ13648" s="256"/>
      <c r="DG13648" s="256"/>
    </row>
    <row r="13649" spans="104:111">
      <c r="CZ13649" s="256"/>
      <c r="DG13649" s="256"/>
    </row>
    <row r="13650" spans="104:111">
      <c r="CZ13650" s="256"/>
      <c r="DG13650" s="256"/>
    </row>
    <row r="13651" spans="104:111">
      <c r="CZ13651" s="256"/>
      <c r="DG13651" s="256"/>
    </row>
    <row r="13652" spans="104:111">
      <c r="CZ13652" s="256"/>
      <c r="DG13652" s="256"/>
    </row>
    <row r="13653" spans="104:111">
      <c r="CZ13653" s="256"/>
      <c r="DG13653" s="256"/>
    </row>
    <row r="13654" spans="104:111">
      <c r="CZ13654" s="256"/>
      <c r="DG13654" s="256"/>
    </row>
    <row r="13655" spans="104:111">
      <c r="CZ13655" s="256"/>
      <c r="DG13655" s="256"/>
    </row>
    <row r="13656" spans="104:111">
      <c r="CZ13656" s="256"/>
      <c r="DG13656" s="256"/>
    </row>
    <row r="13657" spans="104:111">
      <c r="CZ13657" s="256"/>
      <c r="DG13657" s="256"/>
    </row>
    <row r="13658" spans="104:111">
      <c r="CZ13658" s="256"/>
      <c r="DG13658" s="256"/>
    </row>
    <row r="13659" spans="104:111">
      <c r="CZ13659" s="256"/>
      <c r="DG13659" s="256"/>
    </row>
    <row r="13660" spans="104:111">
      <c r="CZ13660" s="256"/>
      <c r="DG13660" s="256"/>
    </row>
    <row r="13661" spans="104:111">
      <c r="CZ13661" s="256"/>
      <c r="DG13661" s="256"/>
    </row>
    <row r="13662" spans="104:111">
      <c r="CZ13662" s="256"/>
      <c r="DG13662" s="256"/>
    </row>
    <row r="13663" spans="104:111">
      <c r="CZ13663" s="256"/>
      <c r="DG13663" s="256"/>
    </row>
    <row r="13664" spans="104:111">
      <c r="CZ13664" s="256"/>
      <c r="DG13664" s="256"/>
    </row>
    <row r="13665" spans="104:111">
      <c r="CZ13665" s="256"/>
      <c r="DG13665" s="256"/>
    </row>
    <row r="13666" spans="104:111">
      <c r="CZ13666" s="256"/>
      <c r="DG13666" s="256"/>
    </row>
    <row r="13667" spans="104:111">
      <c r="CZ13667" s="256"/>
      <c r="DG13667" s="256"/>
    </row>
    <row r="13668" spans="104:111">
      <c r="CZ13668" s="256"/>
      <c r="DG13668" s="256"/>
    </row>
    <row r="13669" spans="104:111">
      <c r="CZ13669" s="256"/>
      <c r="DG13669" s="256"/>
    </row>
    <row r="13670" spans="104:111">
      <c r="CZ13670" s="256"/>
      <c r="DG13670" s="256"/>
    </row>
    <row r="13671" spans="104:111">
      <c r="CZ13671" s="256"/>
      <c r="DG13671" s="256"/>
    </row>
    <row r="13672" spans="104:111">
      <c r="CZ13672" s="256"/>
      <c r="DG13672" s="256"/>
    </row>
    <row r="13673" spans="104:111">
      <c r="CZ13673" s="256"/>
      <c r="DG13673" s="256"/>
    </row>
    <row r="13674" spans="104:111">
      <c r="CZ13674" s="256"/>
      <c r="DG13674" s="256"/>
    </row>
    <row r="13675" spans="104:111">
      <c r="CZ13675" s="256"/>
      <c r="DG13675" s="256"/>
    </row>
    <row r="13676" spans="104:111">
      <c r="CZ13676" s="256"/>
      <c r="DG13676" s="256"/>
    </row>
    <row r="13677" spans="104:111">
      <c r="CZ13677" s="256"/>
      <c r="DG13677" s="256"/>
    </row>
    <row r="13678" spans="104:111">
      <c r="CZ13678" s="256"/>
      <c r="DG13678" s="256"/>
    </row>
    <row r="13679" spans="104:111">
      <c r="CZ13679" s="256"/>
      <c r="DG13679" s="256"/>
    </row>
    <row r="13680" spans="104:111">
      <c r="CZ13680" s="256"/>
      <c r="DG13680" s="256"/>
    </row>
    <row r="13681" spans="104:111">
      <c r="CZ13681" s="256"/>
      <c r="DG13681" s="256"/>
    </row>
    <row r="13682" spans="104:111">
      <c r="CZ13682" s="256"/>
      <c r="DG13682" s="256"/>
    </row>
    <row r="13683" spans="104:111">
      <c r="CZ13683" s="256"/>
      <c r="DG13683" s="256"/>
    </row>
    <row r="13684" spans="104:111">
      <c r="CZ13684" s="256"/>
      <c r="DG13684" s="256"/>
    </row>
    <row r="13685" spans="104:111">
      <c r="CZ13685" s="256"/>
      <c r="DG13685" s="256"/>
    </row>
    <row r="13686" spans="104:111">
      <c r="CZ13686" s="256"/>
      <c r="DG13686" s="256"/>
    </row>
    <row r="13687" spans="104:111">
      <c r="CZ13687" s="256"/>
      <c r="DG13687" s="256"/>
    </row>
    <row r="13688" spans="104:111">
      <c r="CZ13688" s="256"/>
      <c r="DG13688" s="256"/>
    </row>
    <row r="13689" spans="104:111">
      <c r="CZ13689" s="256"/>
      <c r="DG13689" s="256"/>
    </row>
    <row r="13690" spans="104:111">
      <c r="CZ13690" s="256"/>
      <c r="DG13690" s="256"/>
    </row>
    <row r="13691" spans="104:111">
      <c r="CZ13691" s="256"/>
      <c r="DG13691" s="256"/>
    </row>
    <row r="13692" spans="104:111">
      <c r="CZ13692" s="256"/>
      <c r="DG13692" s="256"/>
    </row>
    <row r="13693" spans="104:111">
      <c r="CZ13693" s="256"/>
      <c r="DG13693" s="256"/>
    </row>
    <row r="13694" spans="104:111">
      <c r="CZ13694" s="256"/>
      <c r="DG13694" s="256"/>
    </row>
    <row r="13695" spans="104:111">
      <c r="CZ13695" s="256"/>
      <c r="DG13695" s="256"/>
    </row>
    <row r="13696" spans="104:111">
      <c r="CZ13696" s="256"/>
      <c r="DG13696" s="256"/>
    </row>
    <row r="13697" spans="104:111">
      <c r="CZ13697" s="256"/>
      <c r="DG13697" s="256"/>
    </row>
    <row r="13698" spans="104:111">
      <c r="CZ13698" s="256"/>
      <c r="DG13698" s="256"/>
    </row>
    <row r="13699" spans="104:111">
      <c r="CZ13699" s="256"/>
      <c r="DG13699" s="256"/>
    </row>
    <row r="13700" spans="104:111">
      <c r="CZ13700" s="256"/>
      <c r="DG13700" s="256"/>
    </row>
    <row r="13701" spans="104:111">
      <c r="CZ13701" s="256"/>
      <c r="DG13701" s="256"/>
    </row>
    <row r="13702" spans="104:111">
      <c r="CZ13702" s="256"/>
      <c r="DG13702" s="256"/>
    </row>
    <row r="13703" spans="104:111">
      <c r="CZ13703" s="256"/>
      <c r="DG13703" s="256"/>
    </row>
    <row r="13704" spans="104:111">
      <c r="CZ13704" s="256"/>
      <c r="DG13704" s="256"/>
    </row>
    <row r="13705" spans="104:111">
      <c r="CZ13705" s="256"/>
      <c r="DG13705" s="256"/>
    </row>
    <row r="13706" spans="104:111">
      <c r="CZ13706" s="256"/>
      <c r="DG13706" s="256"/>
    </row>
    <row r="13707" spans="104:111">
      <c r="CZ13707" s="256"/>
      <c r="DG13707" s="256"/>
    </row>
    <row r="13708" spans="104:111">
      <c r="CZ13708" s="256"/>
      <c r="DG13708" s="256"/>
    </row>
    <row r="13709" spans="104:111">
      <c r="CZ13709" s="256"/>
      <c r="DG13709" s="256"/>
    </row>
    <row r="13710" spans="104:111">
      <c r="CZ13710" s="256"/>
      <c r="DG13710" s="256"/>
    </row>
    <row r="13711" spans="104:111">
      <c r="CZ13711" s="256"/>
      <c r="DG13711" s="256"/>
    </row>
    <row r="13712" spans="104:111">
      <c r="CZ13712" s="256"/>
      <c r="DG13712" s="256"/>
    </row>
    <row r="13713" spans="104:111">
      <c r="CZ13713" s="256"/>
      <c r="DG13713" s="256"/>
    </row>
    <row r="13714" spans="104:111">
      <c r="CZ13714" s="256"/>
      <c r="DG13714" s="256"/>
    </row>
    <row r="13715" spans="104:111">
      <c r="CZ13715" s="256"/>
      <c r="DG13715" s="256"/>
    </row>
    <row r="13716" spans="104:111">
      <c r="CZ13716" s="256"/>
      <c r="DG13716" s="256"/>
    </row>
    <row r="13717" spans="104:111">
      <c r="CZ13717" s="256"/>
      <c r="DG13717" s="256"/>
    </row>
    <row r="13718" spans="104:111">
      <c r="CZ13718" s="256"/>
      <c r="DG13718" s="256"/>
    </row>
    <row r="13719" spans="104:111">
      <c r="CZ13719" s="256"/>
      <c r="DG13719" s="256"/>
    </row>
    <row r="13720" spans="104:111">
      <c r="CZ13720" s="256"/>
      <c r="DG13720" s="256"/>
    </row>
    <row r="13721" spans="104:111">
      <c r="CZ13721" s="256"/>
      <c r="DG13721" s="256"/>
    </row>
    <row r="13722" spans="104:111">
      <c r="CZ13722" s="256"/>
      <c r="DG13722" s="256"/>
    </row>
    <row r="13723" spans="104:111">
      <c r="CZ13723" s="256"/>
      <c r="DG13723" s="256"/>
    </row>
    <row r="13724" spans="104:111">
      <c r="CZ13724" s="256"/>
      <c r="DG13724" s="256"/>
    </row>
    <row r="13725" spans="104:111">
      <c r="CZ13725" s="256"/>
      <c r="DG13725" s="256"/>
    </row>
    <row r="13726" spans="104:111">
      <c r="CZ13726" s="256"/>
      <c r="DG13726" s="256"/>
    </row>
    <row r="13727" spans="104:111">
      <c r="CZ13727" s="256"/>
      <c r="DG13727" s="256"/>
    </row>
    <row r="13728" spans="104:111">
      <c r="CZ13728" s="256"/>
      <c r="DG13728" s="256"/>
    </row>
    <row r="13729" spans="104:111">
      <c r="CZ13729" s="256"/>
      <c r="DG13729" s="256"/>
    </row>
    <row r="13730" spans="104:111">
      <c r="CZ13730" s="256"/>
      <c r="DG13730" s="256"/>
    </row>
    <row r="13731" spans="104:111">
      <c r="CZ13731" s="256"/>
      <c r="DG13731" s="256"/>
    </row>
    <row r="13732" spans="104:111">
      <c r="CZ13732" s="256"/>
      <c r="DG13732" s="256"/>
    </row>
    <row r="13733" spans="104:111">
      <c r="CZ13733" s="256"/>
      <c r="DG13733" s="256"/>
    </row>
    <row r="13734" spans="104:111">
      <c r="CZ13734" s="256"/>
      <c r="DG13734" s="256"/>
    </row>
    <row r="13735" spans="104:111">
      <c r="CZ13735" s="256"/>
      <c r="DG13735" s="256"/>
    </row>
    <row r="13736" spans="104:111">
      <c r="CZ13736" s="256"/>
      <c r="DG13736" s="256"/>
    </row>
    <row r="13737" spans="104:111">
      <c r="CZ13737" s="256"/>
      <c r="DG13737" s="256"/>
    </row>
    <row r="13738" spans="104:111">
      <c r="CZ13738" s="256"/>
      <c r="DG13738" s="256"/>
    </row>
    <row r="13739" spans="104:111">
      <c r="CZ13739" s="256"/>
      <c r="DG13739" s="256"/>
    </row>
    <row r="13740" spans="104:111">
      <c r="CZ13740" s="256"/>
      <c r="DG13740" s="256"/>
    </row>
    <row r="13741" spans="104:111">
      <c r="CZ13741" s="256"/>
      <c r="DG13741" s="256"/>
    </row>
    <row r="13742" spans="104:111">
      <c r="CZ13742" s="256"/>
      <c r="DG13742" s="256"/>
    </row>
    <row r="13743" spans="104:111">
      <c r="CZ13743" s="256"/>
      <c r="DG13743" s="256"/>
    </row>
    <row r="13744" spans="104:111">
      <c r="CZ13744" s="256"/>
      <c r="DG13744" s="256"/>
    </row>
    <row r="13745" spans="104:111">
      <c r="CZ13745" s="256"/>
      <c r="DG13745" s="256"/>
    </row>
    <row r="13746" spans="104:111">
      <c r="CZ13746" s="256"/>
      <c r="DG13746" s="256"/>
    </row>
    <row r="13747" spans="104:111">
      <c r="CZ13747" s="256"/>
      <c r="DG13747" s="256"/>
    </row>
    <row r="13748" spans="104:111">
      <c r="CZ13748" s="256"/>
      <c r="DG13748" s="256"/>
    </row>
    <row r="13749" spans="104:111">
      <c r="CZ13749" s="256"/>
      <c r="DG13749" s="256"/>
    </row>
    <row r="13750" spans="104:111">
      <c r="CZ13750" s="256"/>
      <c r="DG13750" s="256"/>
    </row>
    <row r="13751" spans="104:111">
      <c r="CZ13751" s="256"/>
      <c r="DG13751" s="256"/>
    </row>
    <row r="13752" spans="104:111">
      <c r="CZ13752" s="256"/>
      <c r="DG13752" s="256"/>
    </row>
    <row r="13753" spans="104:111">
      <c r="CZ13753" s="256"/>
      <c r="DG13753" s="256"/>
    </row>
    <row r="13754" spans="104:111">
      <c r="CZ13754" s="256"/>
      <c r="DG13754" s="256"/>
    </row>
    <row r="13755" spans="104:111">
      <c r="CZ13755" s="256"/>
      <c r="DG13755" s="256"/>
    </row>
    <row r="13756" spans="104:111">
      <c r="CZ13756" s="256"/>
      <c r="DG13756" s="256"/>
    </row>
    <row r="13757" spans="104:111">
      <c r="CZ13757" s="256"/>
      <c r="DG13757" s="256"/>
    </row>
    <row r="13758" spans="104:111">
      <c r="CZ13758" s="256"/>
      <c r="DG13758" s="256"/>
    </row>
    <row r="13759" spans="104:111">
      <c r="CZ13759" s="256"/>
      <c r="DG13759" s="256"/>
    </row>
    <row r="13760" spans="104:111">
      <c r="CZ13760" s="256"/>
      <c r="DG13760" s="256"/>
    </row>
    <row r="13761" spans="104:111">
      <c r="CZ13761" s="256"/>
      <c r="DG13761" s="256"/>
    </row>
    <row r="13762" spans="104:111">
      <c r="CZ13762" s="256"/>
      <c r="DG13762" s="256"/>
    </row>
    <row r="13763" spans="104:111">
      <c r="CZ13763" s="256"/>
      <c r="DG13763" s="256"/>
    </row>
    <row r="13764" spans="104:111">
      <c r="CZ13764" s="256"/>
      <c r="DG13764" s="256"/>
    </row>
    <row r="13765" spans="104:111">
      <c r="CZ13765" s="256"/>
      <c r="DG13765" s="256"/>
    </row>
    <row r="13766" spans="104:111">
      <c r="CZ13766" s="256"/>
      <c r="DG13766" s="256"/>
    </row>
    <row r="13767" spans="104:111">
      <c r="CZ13767" s="256"/>
      <c r="DG13767" s="256"/>
    </row>
    <row r="13768" spans="104:111">
      <c r="CZ13768" s="256"/>
      <c r="DG13768" s="256"/>
    </row>
    <row r="13769" spans="104:111">
      <c r="CZ13769" s="256"/>
      <c r="DG13769" s="256"/>
    </row>
    <row r="13770" spans="104:111">
      <c r="CZ13770" s="256"/>
      <c r="DG13770" s="256"/>
    </row>
    <row r="13771" spans="104:111">
      <c r="CZ13771" s="256"/>
      <c r="DG13771" s="256"/>
    </row>
    <row r="13772" spans="104:111">
      <c r="CZ13772" s="256"/>
      <c r="DG13772" s="256"/>
    </row>
    <row r="13773" spans="104:111">
      <c r="CZ13773" s="256"/>
      <c r="DG13773" s="256"/>
    </row>
    <row r="13774" spans="104:111">
      <c r="CZ13774" s="256"/>
      <c r="DG13774" s="256"/>
    </row>
    <row r="13775" spans="104:111">
      <c r="CZ13775" s="256"/>
      <c r="DG13775" s="256"/>
    </row>
    <row r="13776" spans="104:111">
      <c r="CZ13776" s="256"/>
      <c r="DG13776" s="256"/>
    </row>
    <row r="13777" spans="104:111">
      <c r="CZ13777" s="256"/>
      <c r="DG13777" s="256"/>
    </row>
    <row r="13778" spans="104:111">
      <c r="CZ13778" s="256"/>
      <c r="DG13778" s="256"/>
    </row>
    <row r="13779" spans="104:111">
      <c r="CZ13779" s="256"/>
      <c r="DG13779" s="256"/>
    </row>
    <row r="13780" spans="104:111">
      <c r="CZ13780" s="256"/>
      <c r="DG13780" s="256"/>
    </row>
    <row r="13781" spans="104:111">
      <c r="CZ13781" s="256"/>
      <c r="DG13781" s="256"/>
    </row>
    <row r="13782" spans="104:111">
      <c r="CZ13782" s="256"/>
      <c r="DG13782" s="256"/>
    </row>
    <row r="13783" spans="104:111">
      <c r="CZ13783" s="256"/>
      <c r="DG13783" s="256"/>
    </row>
    <row r="13784" spans="104:111">
      <c r="CZ13784" s="256"/>
      <c r="DG13784" s="256"/>
    </row>
    <row r="13785" spans="104:111">
      <c r="CZ13785" s="256"/>
      <c r="DG13785" s="256"/>
    </row>
    <row r="13786" spans="104:111">
      <c r="CZ13786" s="256"/>
      <c r="DG13786" s="256"/>
    </row>
    <row r="13787" spans="104:111">
      <c r="CZ13787" s="256"/>
      <c r="DG13787" s="256"/>
    </row>
    <row r="13788" spans="104:111">
      <c r="CZ13788" s="256"/>
      <c r="DG13788" s="256"/>
    </row>
    <row r="13789" spans="104:111">
      <c r="CZ13789" s="256"/>
      <c r="DG13789" s="256"/>
    </row>
    <row r="13790" spans="104:111">
      <c r="CZ13790" s="256"/>
      <c r="DG13790" s="256"/>
    </row>
    <row r="13791" spans="104:111">
      <c r="CZ13791" s="256"/>
      <c r="DG13791" s="256"/>
    </row>
    <row r="13792" spans="104:111">
      <c r="CZ13792" s="256"/>
      <c r="DG13792" s="256"/>
    </row>
    <row r="13793" spans="104:111">
      <c r="CZ13793" s="256"/>
      <c r="DG13793" s="256"/>
    </row>
    <row r="13794" spans="104:111">
      <c r="CZ13794" s="256"/>
      <c r="DG13794" s="256"/>
    </row>
    <row r="13795" spans="104:111">
      <c r="CZ13795" s="256"/>
      <c r="DG13795" s="256"/>
    </row>
    <row r="13796" spans="104:111">
      <c r="CZ13796" s="256"/>
      <c r="DG13796" s="256"/>
    </row>
    <row r="13797" spans="104:111">
      <c r="CZ13797" s="256"/>
      <c r="DG13797" s="256"/>
    </row>
    <row r="13798" spans="104:111">
      <c r="CZ13798" s="256"/>
      <c r="DG13798" s="256"/>
    </row>
    <row r="13799" spans="104:111">
      <c r="CZ13799" s="256"/>
      <c r="DG13799" s="256"/>
    </row>
    <row r="13800" spans="104:111">
      <c r="CZ13800" s="256"/>
      <c r="DG13800" s="256"/>
    </row>
    <row r="13801" spans="104:111">
      <c r="CZ13801" s="256"/>
      <c r="DG13801" s="256"/>
    </row>
    <row r="13802" spans="104:111">
      <c r="CZ13802" s="256"/>
      <c r="DG13802" s="256"/>
    </row>
    <row r="13803" spans="104:111">
      <c r="CZ13803" s="256"/>
      <c r="DG13803" s="256"/>
    </row>
    <row r="13804" spans="104:111">
      <c r="CZ13804" s="256"/>
      <c r="DG13804" s="256"/>
    </row>
    <row r="13805" spans="104:111">
      <c r="CZ13805" s="256"/>
      <c r="DG13805" s="256"/>
    </row>
    <row r="13806" spans="104:111">
      <c r="CZ13806" s="256"/>
      <c r="DG13806" s="256"/>
    </row>
    <row r="13807" spans="104:111">
      <c r="CZ13807" s="256"/>
      <c r="DG13807" s="256"/>
    </row>
    <row r="13808" spans="104:111">
      <c r="CZ13808" s="256"/>
      <c r="DG13808" s="256"/>
    </row>
    <row r="13809" spans="104:111">
      <c r="CZ13809" s="256"/>
      <c r="DG13809" s="256"/>
    </row>
    <row r="13810" spans="104:111">
      <c r="CZ13810" s="256"/>
      <c r="DG13810" s="256"/>
    </row>
    <row r="13811" spans="104:111">
      <c r="CZ13811" s="256"/>
      <c r="DG13811" s="256"/>
    </row>
    <row r="13812" spans="104:111">
      <c r="CZ13812" s="256"/>
      <c r="DG13812" s="256"/>
    </row>
    <row r="13813" spans="104:111">
      <c r="CZ13813" s="256"/>
      <c r="DG13813" s="256"/>
    </row>
    <row r="13814" spans="104:111">
      <c r="CZ13814" s="256"/>
      <c r="DG13814" s="256"/>
    </row>
    <row r="13815" spans="104:111">
      <c r="CZ13815" s="256"/>
      <c r="DG13815" s="256"/>
    </row>
    <row r="13816" spans="104:111">
      <c r="CZ13816" s="256"/>
      <c r="DG13816" s="256"/>
    </row>
    <row r="13817" spans="104:111">
      <c r="CZ13817" s="256"/>
      <c r="DG13817" s="256"/>
    </row>
    <row r="13818" spans="104:111">
      <c r="CZ13818" s="256"/>
      <c r="DG13818" s="256"/>
    </row>
    <row r="13819" spans="104:111">
      <c r="CZ13819" s="256"/>
      <c r="DG13819" s="256"/>
    </row>
    <row r="13820" spans="104:111">
      <c r="CZ13820" s="256"/>
      <c r="DG13820" s="256"/>
    </row>
    <row r="13821" spans="104:111">
      <c r="CZ13821" s="256"/>
      <c r="DG13821" s="256"/>
    </row>
    <row r="13822" spans="104:111">
      <c r="CZ13822" s="256"/>
      <c r="DG13822" s="256"/>
    </row>
    <row r="13823" spans="104:111">
      <c r="CZ13823" s="256"/>
      <c r="DG13823" s="256"/>
    </row>
    <row r="13824" spans="104:111">
      <c r="CZ13824" s="256"/>
      <c r="DG13824" s="256"/>
    </row>
    <row r="13825" spans="104:111">
      <c r="CZ13825" s="256"/>
      <c r="DG13825" s="256"/>
    </row>
    <row r="13826" spans="104:111">
      <c r="CZ13826" s="256"/>
      <c r="DG13826" s="256"/>
    </row>
    <row r="13827" spans="104:111">
      <c r="CZ13827" s="256"/>
      <c r="DG13827" s="256"/>
    </row>
    <row r="13828" spans="104:111">
      <c r="CZ13828" s="256"/>
      <c r="DG13828" s="256"/>
    </row>
    <row r="13829" spans="104:111">
      <c r="CZ13829" s="256"/>
      <c r="DG13829" s="256"/>
    </row>
    <row r="13830" spans="104:111">
      <c r="CZ13830" s="256"/>
      <c r="DG13830" s="256"/>
    </row>
    <row r="13831" spans="104:111">
      <c r="CZ13831" s="256"/>
      <c r="DG13831" s="256"/>
    </row>
    <row r="13832" spans="104:111">
      <c r="CZ13832" s="256"/>
      <c r="DG13832" s="256"/>
    </row>
    <row r="13833" spans="104:111">
      <c r="CZ13833" s="256"/>
      <c r="DG13833" s="256"/>
    </row>
    <row r="13834" spans="104:111">
      <c r="CZ13834" s="256"/>
      <c r="DG13834" s="256"/>
    </row>
    <row r="13835" spans="104:111">
      <c r="CZ13835" s="256"/>
      <c r="DG13835" s="256"/>
    </row>
    <row r="13836" spans="104:111">
      <c r="CZ13836" s="256"/>
      <c r="DG13836" s="256"/>
    </row>
    <row r="13837" spans="104:111">
      <c r="CZ13837" s="256"/>
      <c r="DG13837" s="256"/>
    </row>
    <row r="13838" spans="104:111">
      <c r="CZ13838" s="256"/>
      <c r="DG13838" s="256"/>
    </row>
    <row r="13839" spans="104:111">
      <c r="CZ13839" s="256"/>
      <c r="DG13839" s="256"/>
    </row>
    <row r="13840" spans="104:111">
      <c r="CZ13840" s="256"/>
      <c r="DG13840" s="256"/>
    </row>
    <row r="13841" spans="104:111">
      <c r="CZ13841" s="256"/>
      <c r="DG13841" s="256"/>
    </row>
    <row r="13842" spans="104:111">
      <c r="CZ13842" s="256"/>
      <c r="DG13842" s="256"/>
    </row>
    <row r="13843" spans="104:111">
      <c r="CZ13843" s="256"/>
      <c r="DG13843" s="256"/>
    </row>
    <row r="13844" spans="104:111">
      <c r="CZ13844" s="256"/>
      <c r="DG13844" s="256"/>
    </row>
    <row r="13845" spans="104:111">
      <c r="CZ13845" s="256"/>
      <c r="DG13845" s="256"/>
    </row>
    <row r="13846" spans="104:111">
      <c r="CZ13846" s="256"/>
      <c r="DG13846" s="256"/>
    </row>
    <row r="13847" spans="104:111">
      <c r="CZ13847" s="256"/>
      <c r="DG13847" s="256"/>
    </row>
    <row r="13848" spans="104:111">
      <c r="CZ13848" s="256"/>
      <c r="DG13848" s="256"/>
    </row>
    <row r="13849" spans="104:111">
      <c r="CZ13849" s="256"/>
      <c r="DG13849" s="256"/>
    </row>
    <row r="13850" spans="104:111">
      <c r="CZ13850" s="256"/>
      <c r="DG13850" s="256"/>
    </row>
    <row r="13851" spans="104:111">
      <c r="CZ13851" s="256"/>
      <c r="DG13851" s="256"/>
    </row>
    <row r="13852" spans="104:111">
      <c r="CZ13852" s="256"/>
      <c r="DG13852" s="256"/>
    </row>
    <row r="13853" spans="104:111">
      <c r="CZ13853" s="256"/>
      <c r="DG13853" s="256"/>
    </row>
    <row r="13854" spans="104:111">
      <c r="CZ13854" s="256"/>
      <c r="DG13854" s="256"/>
    </row>
    <row r="13855" spans="104:111">
      <c r="CZ13855" s="256"/>
      <c r="DG13855" s="256"/>
    </row>
    <row r="13856" spans="104:111">
      <c r="CZ13856" s="256"/>
      <c r="DG13856" s="256"/>
    </row>
    <row r="13857" spans="104:111">
      <c r="CZ13857" s="256"/>
      <c r="DG13857" s="256"/>
    </row>
    <row r="13858" spans="104:111">
      <c r="CZ13858" s="256"/>
      <c r="DG13858" s="256"/>
    </row>
    <row r="13859" spans="104:111">
      <c r="CZ13859" s="256"/>
      <c r="DG13859" s="256"/>
    </row>
    <row r="13860" spans="104:111">
      <c r="CZ13860" s="256"/>
      <c r="DG13860" s="256"/>
    </row>
    <row r="13861" spans="104:111">
      <c r="CZ13861" s="256"/>
      <c r="DG13861" s="256"/>
    </row>
    <row r="13862" spans="104:111">
      <c r="CZ13862" s="256"/>
      <c r="DG13862" s="256"/>
    </row>
    <row r="13863" spans="104:111">
      <c r="CZ13863" s="256"/>
      <c r="DG13863" s="256"/>
    </row>
    <row r="13864" spans="104:111">
      <c r="CZ13864" s="256"/>
      <c r="DG13864" s="256"/>
    </row>
    <row r="13865" spans="104:111">
      <c r="CZ13865" s="256"/>
      <c r="DG13865" s="256"/>
    </row>
    <row r="13866" spans="104:111">
      <c r="CZ13866" s="256"/>
      <c r="DG13866" s="256"/>
    </row>
    <row r="13867" spans="104:111">
      <c r="CZ13867" s="256"/>
      <c r="DG13867" s="256"/>
    </row>
    <row r="13868" spans="104:111">
      <c r="CZ13868" s="256"/>
      <c r="DG13868" s="256"/>
    </row>
    <row r="13869" spans="104:111">
      <c r="CZ13869" s="256"/>
      <c r="DG13869" s="256"/>
    </row>
    <row r="13870" spans="104:111">
      <c r="CZ13870" s="256"/>
      <c r="DG13870" s="256"/>
    </row>
    <row r="13871" spans="104:111">
      <c r="CZ13871" s="256"/>
      <c r="DG13871" s="256"/>
    </row>
    <row r="13872" spans="104:111">
      <c r="CZ13872" s="256"/>
      <c r="DG13872" s="256"/>
    </row>
    <row r="13873" spans="104:111">
      <c r="CZ13873" s="256"/>
      <c r="DG13873" s="256"/>
    </row>
    <row r="13874" spans="104:111">
      <c r="CZ13874" s="256"/>
      <c r="DG13874" s="256"/>
    </row>
    <row r="13875" spans="104:111">
      <c r="CZ13875" s="256"/>
      <c r="DG13875" s="256"/>
    </row>
    <row r="13876" spans="104:111">
      <c r="CZ13876" s="256"/>
      <c r="DG13876" s="256"/>
    </row>
    <row r="13877" spans="104:111">
      <c r="CZ13877" s="256"/>
      <c r="DG13877" s="256"/>
    </row>
    <row r="13878" spans="104:111">
      <c r="CZ13878" s="256"/>
      <c r="DG13878" s="256"/>
    </row>
    <row r="13879" spans="104:111">
      <c r="CZ13879" s="256"/>
      <c r="DG13879" s="256"/>
    </row>
    <row r="13880" spans="104:111">
      <c r="CZ13880" s="256"/>
      <c r="DG13880" s="256"/>
    </row>
    <row r="13881" spans="104:111">
      <c r="CZ13881" s="256"/>
      <c r="DG13881" s="256"/>
    </row>
    <row r="13882" spans="104:111">
      <c r="CZ13882" s="256"/>
      <c r="DG13882" s="256"/>
    </row>
    <row r="13883" spans="104:111">
      <c r="CZ13883" s="256"/>
      <c r="DG13883" s="256"/>
    </row>
    <row r="13884" spans="104:111">
      <c r="CZ13884" s="256"/>
      <c r="DG13884" s="256"/>
    </row>
    <row r="13885" spans="104:111">
      <c r="CZ13885" s="256"/>
      <c r="DG13885" s="256"/>
    </row>
    <row r="13886" spans="104:111">
      <c r="CZ13886" s="256"/>
      <c r="DG13886" s="256"/>
    </row>
    <row r="13887" spans="104:111">
      <c r="CZ13887" s="256"/>
      <c r="DG13887" s="256"/>
    </row>
    <row r="13888" spans="104:111">
      <c r="CZ13888" s="256"/>
      <c r="DG13888" s="256"/>
    </row>
    <row r="13889" spans="104:111">
      <c r="CZ13889" s="256"/>
      <c r="DG13889" s="256"/>
    </row>
    <row r="13890" spans="104:111">
      <c r="CZ13890" s="256"/>
      <c r="DG13890" s="256"/>
    </row>
    <row r="13891" spans="104:111">
      <c r="CZ13891" s="256"/>
      <c r="DG13891" s="256"/>
    </row>
    <row r="13892" spans="104:111">
      <c r="CZ13892" s="256"/>
      <c r="DG13892" s="256"/>
    </row>
    <row r="13893" spans="104:111">
      <c r="CZ13893" s="256"/>
      <c r="DG13893" s="256"/>
    </row>
    <row r="13894" spans="104:111">
      <c r="CZ13894" s="256"/>
      <c r="DG13894" s="256"/>
    </row>
    <row r="13895" spans="104:111">
      <c r="CZ13895" s="256"/>
      <c r="DG13895" s="256"/>
    </row>
    <row r="13896" spans="104:111">
      <c r="CZ13896" s="256"/>
      <c r="DG13896" s="256"/>
    </row>
    <row r="13897" spans="104:111">
      <c r="CZ13897" s="256"/>
      <c r="DG13897" s="256"/>
    </row>
    <row r="13898" spans="104:111">
      <c r="CZ13898" s="256"/>
      <c r="DG13898" s="256"/>
    </row>
    <row r="13899" spans="104:111">
      <c r="CZ13899" s="256"/>
      <c r="DG13899" s="256"/>
    </row>
    <row r="13900" spans="104:111">
      <c r="CZ13900" s="256"/>
      <c r="DG13900" s="256"/>
    </row>
    <row r="13901" spans="104:111">
      <c r="CZ13901" s="256"/>
      <c r="DG13901" s="256"/>
    </row>
    <row r="13902" spans="104:111">
      <c r="CZ13902" s="256"/>
      <c r="DG13902" s="256"/>
    </row>
    <row r="13903" spans="104:111">
      <c r="CZ13903" s="256"/>
      <c r="DG13903" s="256"/>
    </row>
    <row r="13904" spans="104:111">
      <c r="CZ13904" s="256"/>
      <c r="DG13904" s="256"/>
    </row>
    <row r="13905" spans="104:111">
      <c r="CZ13905" s="256"/>
      <c r="DG13905" s="256"/>
    </row>
    <row r="13906" spans="104:111">
      <c r="CZ13906" s="256"/>
      <c r="DG13906" s="256"/>
    </row>
    <row r="13907" spans="104:111">
      <c r="CZ13907" s="256"/>
      <c r="DG13907" s="256"/>
    </row>
    <row r="13908" spans="104:111">
      <c r="CZ13908" s="256"/>
      <c r="DG13908" s="256"/>
    </row>
    <row r="13909" spans="104:111">
      <c r="CZ13909" s="256"/>
      <c r="DG13909" s="256"/>
    </row>
    <row r="13910" spans="104:111">
      <c r="CZ13910" s="256"/>
      <c r="DG13910" s="256"/>
    </row>
    <row r="13911" spans="104:111">
      <c r="CZ13911" s="256"/>
      <c r="DG13911" s="256"/>
    </row>
    <row r="13912" spans="104:111">
      <c r="CZ13912" s="256"/>
      <c r="DG13912" s="256"/>
    </row>
    <row r="13913" spans="104:111">
      <c r="CZ13913" s="256"/>
      <c r="DG13913" s="256"/>
    </row>
    <row r="13914" spans="104:111">
      <c r="CZ13914" s="256"/>
      <c r="DG13914" s="256"/>
    </row>
    <row r="13915" spans="104:111">
      <c r="CZ13915" s="256"/>
      <c r="DG13915" s="256"/>
    </row>
    <row r="13916" spans="104:111">
      <c r="CZ13916" s="256"/>
      <c r="DG13916" s="256"/>
    </row>
    <row r="13917" spans="104:111">
      <c r="CZ13917" s="256"/>
      <c r="DG13917" s="256"/>
    </row>
    <row r="13918" spans="104:111">
      <c r="CZ13918" s="256"/>
      <c r="DG13918" s="256"/>
    </row>
    <row r="13919" spans="104:111">
      <c r="CZ13919" s="256"/>
      <c r="DG13919" s="256"/>
    </row>
    <row r="13920" spans="104:111">
      <c r="CZ13920" s="256"/>
      <c r="DG13920" s="256"/>
    </row>
    <row r="13921" spans="104:111">
      <c r="CZ13921" s="256"/>
      <c r="DG13921" s="256"/>
    </row>
    <row r="13922" spans="104:111">
      <c r="CZ13922" s="256"/>
      <c r="DG13922" s="256"/>
    </row>
    <row r="13923" spans="104:111">
      <c r="CZ13923" s="256"/>
      <c r="DG13923" s="256"/>
    </row>
    <row r="13924" spans="104:111">
      <c r="CZ13924" s="256"/>
      <c r="DG13924" s="256"/>
    </row>
    <row r="13925" spans="104:111">
      <c r="CZ13925" s="256"/>
      <c r="DG13925" s="256"/>
    </row>
    <row r="13926" spans="104:111">
      <c r="CZ13926" s="256"/>
      <c r="DG13926" s="256"/>
    </row>
    <row r="13927" spans="104:111">
      <c r="CZ13927" s="256"/>
      <c r="DG13927" s="256"/>
    </row>
    <row r="13928" spans="104:111">
      <c r="CZ13928" s="256"/>
      <c r="DG13928" s="256"/>
    </row>
    <row r="13929" spans="104:111">
      <c r="CZ13929" s="256"/>
      <c r="DG13929" s="256"/>
    </row>
    <row r="13930" spans="104:111">
      <c r="CZ13930" s="256"/>
      <c r="DG13930" s="256"/>
    </row>
    <row r="13931" spans="104:111">
      <c r="CZ13931" s="256"/>
      <c r="DG13931" s="256"/>
    </row>
    <row r="13932" spans="104:111">
      <c r="CZ13932" s="256"/>
      <c r="DG13932" s="256"/>
    </row>
    <row r="13933" spans="104:111">
      <c r="CZ13933" s="256"/>
      <c r="DG13933" s="256"/>
    </row>
    <row r="13934" spans="104:111">
      <c r="CZ13934" s="256"/>
      <c r="DG13934" s="256"/>
    </row>
    <row r="13935" spans="104:111">
      <c r="CZ13935" s="256"/>
      <c r="DG13935" s="256"/>
    </row>
    <row r="13936" spans="104:111">
      <c r="CZ13936" s="256"/>
      <c r="DG13936" s="256"/>
    </row>
    <row r="13937" spans="104:111">
      <c r="CZ13937" s="256"/>
      <c r="DG13937" s="256"/>
    </row>
    <row r="13938" spans="104:111">
      <c r="CZ13938" s="256"/>
      <c r="DG13938" s="256"/>
    </row>
    <row r="13939" spans="104:111">
      <c r="CZ13939" s="256"/>
      <c r="DG13939" s="256"/>
    </row>
    <row r="13940" spans="104:111">
      <c r="CZ13940" s="256"/>
      <c r="DG13940" s="256"/>
    </row>
    <row r="13941" spans="104:111">
      <c r="CZ13941" s="256"/>
      <c r="DG13941" s="256"/>
    </row>
    <row r="13942" spans="104:111">
      <c r="CZ13942" s="256"/>
      <c r="DG13942" s="256"/>
    </row>
    <row r="13943" spans="104:111">
      <c r="CZ13943" s="256"/>
      <c r="DG13943" s="256"/>
    </row>
    <row r="13944" spans="104:111">
      <c r="CZ13944" s="256"/>
      <c r="DG13944" s="256"/>
    </row>
    <row r="13945" spans="104:111">
      <c r="CZ13945" s="256"/>
      <c r="DG13945" s="256"/>
    </row>
    <row r="13946" spans="104:111">
      <c r="CZ13946" s="256"/>
      <c r="DG13946" s="256"/>
    </row>
    <row r="13947" spans="104:111">
      <c r="CZ13947" s="256"/>
      <c r="DG13947" s="256"/>
    </row>
    <row r="13948" spans="104:111">
      <c r="CZ13948" s="256"/>
      <c r="DG13948" s="256"/>
    </row>
    <row r="13949" spans="104:111">
      <c r="CZ13949" s="256"/>
      <c r="DG13949" s="256"/>
    </row>
    <row r="13950" spans="104:111">
      <c r="CZ13950" s="256"/>
      <c r="DG13950" s="256"/>
    </row>
    <row r="13951" spans="104:111">
      <c r="CZ13951" s="256"/>
      <c r="DG13951" s="256"/>
    </row>
    <row r="13952" spans="104:111">
      <c r="CZ13952" s="256"/>
      <c r="DG13952" s="256"/>
    </row>
    <row r="13953" spans="104:111">
      <c r="CZ13953" s="256"/>
      <c r="DG13953" s="256"/>
    </row>
    <row r="13954" spans="104:111">
      <c r="CZ13954" s="256"/>
      <c r="DG13954" s="256"/>
    </row>
    <row r="13955" spans="104:111">
      <c r="CZ13955" s="256"/>
      <c r="DG13955" s="256"/>
    </row>
    <row r="13956" spans="104:111">
      <c r="CZ13956" s="256"/>
      <c r="DG13956" s="256"/>
    </row>
    <row r="13957" spans="104:111">
      <c r="CZ13957" s="256"/>
      <c r="DG13957" s="256"/>
    </row>
    <row r="13958" spans="104:111">
      <c r="CZ13958" s="256"/>
      <c r="DG13958" s="256"/>
    </row>
    <row r="13959" spans="104:111">
      <c r="CZ13959" s="256"/>
      <c r="DG13959" s="256"/>
    </row>
    <row r="13960" spans="104:111">
      <c r="CZ13960" s="256"/>
      <c r="DG13960" s="256"/>
    </row>
    <row r="13961" spans="104:111">
      <c r="CZ13961" s="256"/>
      <c r="DG13961" s="256"/>
    </row>
    <row r="13962" spans="104:111">
      <c r="CZ13962" s="256"/>
      <c r="DG13962" s="256"/>
    </row>
    <row r="13963" spans="104:111">
      <c r="CZ13963" s="256"/>
      <c r="DG13963" s="256"/>
    </row>
    <row r="13964" spans="104:111">
      <c r="CZ13964" s="256"/>
      <c r="DG13964" s="256"/>
    </row>
    <row r="13965" spans="104:111">
      <c r="CZ13965" s="256"/>
      <c r="DG13965" s="256"/>
    </row>
    <row r="13966" spans="104:111">
      <c r="CZ13966" s="256"/>
      <c r="DG13966" s="256"/>
    </row>
    <row r="13967" spans="104:111">
      <c r="CZ13967" s="256"/>
      <c r="DG13967" s="256"/>
    </row>
    <row r="13968" spans="104:111">
      <c r="CZ13968" s="256"/>
      <c r="DG13968" s="256"/>
    </row>
    <row r="13969" spans="104:111">
      <c r="CZ13969" s="256"/>
      <c r="DG13969" s="256"/>
    </row>
    <row r="13970" spans="104:111">
      <c r="CZ13970" s="256"/>
      <c r="DG13970" s="256"/>
    </row>
    <row r="13971" spans="104:111">
      <c r="CZ13971" s="256"/>
      <c r="DG13971" s="256"/>
    </row>
    <row r="13972" spans="104:111">
      <c r="CZ13972" s="256"/>
      <c r="DG13972" s="256"/>
    </row>
    <row r="13973" spans="104:111">
      <c r="CZ13973" s="256"/>
      <c r="DG13973" s="256"/>
    </row>
    <row r="13974" spans="104:111">
      <c r="CZ13974" s="256"/>
      <c r="DG13974" s="256"/>
    </row>
    <row r="13975" spans="104:111">
      <c r="CZ13975" s="256"/>
      <c r="DG13975" s="256"/>
    </row>
    <row r="13976" spans="104:111">
      <c r="CZ13976" s="256"/>
      <c r="DG13976" s="256"/>
    </row>
    <row r="13977" spans="104:111">
      <c r="CZ13977" s="256"/>
      <c r="DG13977" s="256"/>
    </row>
    <row r="13978" spans="104:111">
      <c r="CZ13978" s="256"/>
      <c r="DG13978" s="256"/>
    </row>
    <row r="13979" spans="104:111">
      <c r="CZ13979" s="256"/>
      <c r="DG13979" s="256"/>
    </row>
    <row r="13980" spans="104:111">
      <c r="CZ13980" s="256"/>
      <c r="DG13980" s="256"/>
    </row>
    <row r="13981" spans="104:111">
      <c r="CZ13981" s="256"/>
      <c r="DG13981" s="256"/>
    </row>
    <row r="13982" spans="104:111">
      <c r="CZ13982" s="256"/>
      <c r="DG13982" s="256"/>
    </row>
    <row r="13983" spans="104:111">
      <c r="CZ13983" s="256"/>
      <c r="DG13983" s="256"/>
    </row>
    <row r="13984" spans="104:111">
      <c r="CZ13984" s="256"/>
      <c r="DG13984" s="256"/>
    </row>
    <row r="13985" spans="104:111">
      <c r="CZ13985" s="256"/>
      <c r="DG13985" s="256"/>
    </row>
    <row r="13986" spans="104:111">
      <c r="CZ13986" s="256"/>
      <c r="DG13986" s="256"/>
    </row>
    <row r="13987" spans="104:111">
      <c r="CZ13987" s="256"/>
      <c r="DG13987" s="256"/>
    </row>
    <row r="13988" spans="104:111">
      <c r="CZ13988" s="256"/>
      <c r="DG13988" s="256"/>
    </row>
    <row r="13989" spans="104:111">
      <c r="CZ13989" s="256"/>
      <c r="DG13989" s="256"/>
    </row>
    <row r="13990" spans="104:111">
      <c r="CZ13990" s="256"/>
      <c r="DG13990" s="256"/>
    </row>
    <row r="13991" spans="104:111">
      <c r="CZ13991" s="256"/>
      <c r="DG13991" s="256"/>
    </row>
    <row r="13992" spans="104:111">
      <c r="CZ13992" s="256"/>
      <c r="DG13992" s="256"/>
    </row>
    <row r="13993" spans="104:111">
      <c r="CZ13993" s="256"/>
      <c r="DG13993" s="256"/>
    </row>
    <row r="13994" spans="104:111">
      <c r="CZ13994" s="256"/>
      <c r="DG13994" s="256"/>
    </row>
    <row r="13995" spans="104:111">
      <c r="CZ13995" s="256"/>
      <c r="DG13995" s="256"/>
    </row>
    <row r="13996" spans="104:111">
      <c r="CZ13996" s="256"/>
      <c r="DG13996" s="256"/>
    </row>
    <row r="13997" spans="104:111">
      <c r="CZ13997" s="256"/>
      <c r="DG13997" s="256"/>
    </row>
    <row r="13998" spans="104:111">
      <c r="CZ13998" s="256"/>
      <c r="DG13998" s="256"/>
    </row>
    <row r="13999" spans="104:111">
      <c r="CZ13999" s="256"/>
      <c r="DG13999" s="256"/>
    </row>
    <row r="14000" spans="104:111">
      <c r="CZ14000" s="256"/>
      <c r="DG14000" s="256"/>
    </row>
    <row r="14001" spans="104:111">
      <c r="CZ14001" s="256"/>
      <c r="DG14001" s="256"/>
    </row>
    <row r="14002" spans="104:111">
      <c r="CZ14002" s="256"/>
      <c r="DG14002" s="256"/>
    </row>
    <row r="14003" spans="104:111">
      <c r="CZ14003" s="256"/>
      <c r="DG14003" s="256"/>
    </row>
    <row r="14004" spans="104:111">
      <c r="CZ14004" s="256"/>
      <c r="DG14004" s="256"/>
    </row>
    <row r="14005" spans="104:111">
      <c r="CZ14005" s="256"/>
      <c r="DG14005" s="256"/>
    </row>
    <row r="14006" spans="104:111">
      <c r="CZ14006" s="256"/>
      <c r="DG14006" s="256"/>
    </row>
    <row r="14007" spans="104:111">
      <c r="CZ14007" s="256"/>
      <c r="DG14007" s="256"/>
    </row>
    <row r="14008" spans="104:111">
      <c r="CZ14008" s="256"/>
      <c r="DG14008" s="256"/>
    </row>
    <row r="14009" spans="104:111">
      <c r="CZ14009" s="256"/>
      <c r="DG14009" s="256"/>
    </row>
    <row r="14010" spans="104:111">
      <c r="CZ14010" s="256"/>
      <c r="DG14010" s="256"/>
    </row>
    <row r="14011" spans="104:111">
      <c r="CZ14011" s="256"/>
      <c r="DG14011" s="256"/>
    </row>
    <row r="14012" spans="104:111">
      <c r="CZ14012" s="256"/>
      <c r="DG14012" s="256"/>
    </row>
    <row r="14013" spans="104:111">
      <c r="CZ14013" s="256"/>
      <c r="DG14013" s="256"/>
    </row>
    <row r="14014" spans="104:111">
      <c r="CZ14014" s="256"/>
      <c r="DG14014" s="256"/>
    </row>
    <row r="14015" spans="104:111">
      <c r="CZ14015" s="256"/>
      <c r="DG14015" s="256"/>
    </row>
    <row r="14016" spans="104:111">
      <c r="CZ14016" s="256"/>
      <c r="DG14016" s="256"/>
    </row>
    <row r="14017" spans="104:111">
      <c r="CZ14017" s="256"/>
      <c r="DG14017" s="256"/>
    </row>
    <row r="14018" spans="104:111">
      <c r="CZ14018" s="256"/>
      <c r="DG14018" s="256"/>
    </row>
    <row r="14019" spans="104:111">
      <c r="CZ14019" s="256"/>
      <c r="DG14019" s="256"/>
    </row>
    <row r="14020" spans="104:111">
      <c r="CZ14020" s="256"/>
      <c r="DG14020" s="256"/>
    </row>
    <row r="14021" spans="104:111">
      <c r="CZ14021" s="256"/>
      <c r="DG14021" s="256"/>
    </row>
    <row r="14022" spans="104:111">
      <c r="CZ14022" s="256"/>
      <c r="DG14022" s="256"/>
    </row>
    <row r="14023" spans="104:111">
      <c r="CZ14023" s="256"/>
      <c r="DG14023" s="256"/>
    </row>
    <row r="14024" spans="104:111">
      <c r="CZ14024" s="256"/>
      <c r="DG14024" s="256"/>
    </row>
    <row r="14025" spans="104:111">
      <c r="CZ14025" s="256"/>
      <c r="DG14025" s="256"/>
    </row>
    <row r="14026" spans="104:111">
      <c r="CZ14026" s="256"/>
      <c r="DG14026" s="256"/>
    </row>
    <row r="14027" spans="104:111">
      <c r="CZ14027" s="256"/>
      <c r="DG14027" s="256"/>
    </row>
    <row r="14028" spans="104:111">
      <c r="CZ14028" s="256"/>
      <c r="DG14028" s="256"/>
    </row>
    <row r="14029" spans="104:111">
      <c r="CZ14029" s="256"/>
      <c r="DG14029" s="256"/>
    </row>
    <row r="14030" spans="104:111">
      <c r="CZ14030" s="256"/>
      <c r="DG14030" s="256"/>
    </row>
    <row r="14031" spans="104:111">
      <c r="CZ14031" s="256"/>
      <c r="DG14031" s="256"/>
    </row>
    <row r="14032" spans="104:111">
      <c r="CZ14032" s="256"/>
      <c r="DG14032" s="256"/>
    </row>
    <row r="14033" spans="104:111">
      <c r="CZ14033" s="256"/>
      <c r="DG14033" s="256"/>
    </row>
    <row r="14034" spans="104:111">
      <c r="CZ14034" s="256"/>
      <c r="DG14034" s="256"/>
    </row>
    <row r="14035" spans="104:111">
      <c r="CZ14035" s="256"/>
      <c r="DG14035" s="256"/>
    </row>
    <row r="14036" spans="104:111">
      <c r="CZ14036" s="256"/>
      <c r="DG14036" s="256"/>
    </row>
    <row r="14037" spans="104:111">
      <c r="CZ14037" s="256"/>
      <c r="DG14037" s="256"/>
    </row>
    <row r="14038" spans="104:111">
      <c r="CZ14038" s="256"/>
      <c r="DG14038" s="256"/>
    </row>
    <row r="14039" spans="104:111">
      <c r="CZ14039" s="256"/>
      <c r="DG14039" s="256"/>
    </row>
    <row r="14040" spans="104:111">
      <c r="CZ14040" s="256"/>
      <c r="DG14040" s="256"/>
    </row>
    <row r="14041" spans="104:111">
      <c r="CZ14041" s="256"/>
      <c r="DG14041" s="256"/>
    </row>
    <row r="14042" spans="104:111">
      <c r="CZ14042" s="256"/>
      <c r="DG14042" s="256"/>
    </row>
    <row r="14043" spans="104:111">
      <c r="CZ14043" s="256"/>
      <c r="DG14043" s="256"/>
    </row>
    <row r="14044" spans="104:111">
      <c r="CZ14044" s="256"/>
      <c r="DG14044" s="256"/>
    </row>
    <row r="14045" spans="104:111">
      <c r="CZ14045" s="256"/>
      <c r="DG14045" s="256"/>
    </row>
    <row r="14046" spans="104:111">
      <c r="CZ14046" s="256"/>
      <c r="DG14046" s="256"/>
    </row>
    <row r="14047" spans="104:111">
      <c r="CZ14047" s="256"/>
      <c r="DG14047" s="256"/>
    </row>
    <row r="14048" spans="104:111">
      <c r="CZ14048" s="256"/>
      <c r="DG14048" s="256"/>
    </row>
    <row r="14049" spans="104:111">
      <c r="CZ14049" s="256"/>
      <c r="DG14049" s="256"/>
    </row>
    <row r="14050" spans="104:111">
      <c r="CZ14050" s="256"/>
      <c r="DG14050" s="256"/>
    </row>
    <row r="14051" spans="104:111">
      <c r="CZ14051" s="256"/>
      <c r="DG14051" s="256"/>
    </row>
    <row r="14052" spans="104:111">
      <c r="CZ14052" s="256"/>
      <c r="DG14052" s="256"/>
    </row>
    <row r="14053" spans="104:111">
      <c r="CZ14053" s="256"/>
      <c r="DG14053" s="256"/>
    </row>
    <row r="14054" spans="104:111">
      <c r="CZ14054" s="256"/>
      <c r="DG14054" s="256"/>
    </row>
    <row r="14055" spans="104:111">
      <c r="CZ14055" s="256"/>
      <c r="DG14055" s="256"/>
    </row>
    <row r="14056" spans="104:111">
      <c r="CZ14056" s="256"/>
      <c r="DG14056" s="256"/>
    </row>
    <row r="14057" spans="104:111">
      <c r="CZ14057" s="256"/>
      <c r="DG14057" s="256"/>
    </row>
    <row r="14058" spans="104:111">
      <c r="CZ14058" s="256"/>
      <c r="DG14058" s="256"/>
    </row>
    <row r="14059" spans="104:111">
      <c r="CZ14059" s="256"/>
      <c r="DG14059" s="256"/>
    </row>
    <row r="14060" spans="104:111">
      <c r="CZ14060" s="256"/>
      <c r="DG14060" s="256"/>
    </row>
    <row r="14061" spans="104:111">
      <c r="CZ14061" s="256"/>
      <c r="DG14061" s="256"/>
    </row>
    <row r="14062" spans="104:111">
      <c r="CZ14062" s="256"/>
      <c r="DG14062" s="256"/>
    </row>
    <row r="14063" spans="104:111">
      <c r="CZ14063" s="256"/>
      <c r="DG14063" s="256"/>
    </row>
    <row r="14064" spans="104:111">
      <c r="CZ14064" s="256"/>
      <c r="DG14064" s="256"/>
    </row>
    <row r="14065" spans="104:111">
      <c r="CZ14065" s="256"/>
      <c r="DG14065" s="256"/>
    </row>
    <row r="14066" spans="104:111">
      <c r="CZ14066" s="256"/>
      <c r="DG14066" s="256"/>
    </row>
    <row r="14067" spans="104:111">
      <c r="CZ14067" s="256"/>
      <c r="DG14067" s="256"/>
    </row>
    <row r="14068" spans="104:111">
      <c r="CZ14068" s="256"/>
      <c r="DG14068" s="256"/>
    </row>
    <row r="14069" spans="104:111">
      <c r="CZ14069" s="256"/>
      <c r="DG14069" s="256"/>
    </row>
    <row r="14070" spans="104:111">
      <c r="CZ14070" s="256"/>
      <c r="DG14070" s="256"/>
    </row>
    <row r="14071" spans="104:111">
      <c r="CZ14071" s="256"/>
      <c r="DG14071" s="256"/>
    </row>
    <row r="14072" spans="104:111">
      <c r="CZ14072" s="256"/>
      <c r="DG14072" s="256"/>
    </row>
    <row r="14073" spans="104:111">
      <c r="CZ14073" s="256"/>
      <c r="DG14073" s="256"/>
    </row>
    <row r="14074" spans="104:111">
      <c r="CZ14074" s="256"/>
      <c r="DG14074" s="256"/>
    </row>
    <row r="14075" spans="104:111">
      <c r="CZ14075" s="256"/>
      <c r="DG14075" s="256"/>
    </row>
    <row r="14076" spans="104:111">
      <c r="CZ14076" s="256"/>
      <c r="DG14076" s="256"/>
    </row>
    <row r="14077" spans="104:111">
      <c r="CZ14077" s="256"/>
      <c r="DG14077" s="256"/>
    </row>
    <row r="14078" spans="104:111">
      <c r="CZ14078" s="256"/>
      <c r="DG14078" s="256"/>
    </row>
    <row r="14079" spans="104:111">
      <c r="CZ14079" s="256"/>
      <c r="DG14079" s="256"/>
    </row>
    <row r="14080" spans="104:111">
      <c r="CZ14080" s="256"/>
      <c r="DG14080" s="256"/>
    </row>
    <row r="14081" spans="104:111">
      <c r="CZ14081" s="256"/>
      <c r="DG14081" s="256"/>
    </row>
    <row r="14082" spans="104:111">
      <c r="CZ14082" s="256"/>
      <c r="DG14082" s="256"/>
    </row>
    <row r="14083" spans="104:111">
      <c r="CZ14083" s="256"/>
      <c r="DG14083" s="256"/>
    </row>
    <row r="14084" spans="104:111">
      <c r="CZ14084" s="256"/>
      <c r="DG14084" s="256"/>
    </row>
    <row r="14085" spans="104:111">
      <c r="CZ14085" s="256"/>
      <c r="DG14085" s="256"/>
    </row>
    <row r="14086" spans="104:111">
      <c r="CZ14086" s="256"/>
      <c r="DG14086" s="256"/>
    </row>
    <row r="14087" spans="104:111">
      <c r="CZ14087" s="256"/>
      <c r="DG14087" s="256"/>
    </row>
    <row r="14088" spans="104:111">
      <c r="CZ14088" s="256"/>
      <c r="DG14088" s="256"/>
    </row>
    <row r="14089" spans="104:111">
      <c r="CZ14089" s="256"/>
      <c r="DG14089" s="256"/>
    </row>
    <row r="14090" spans="104:111">
      <c r="CZ14090" s="256"/>
      <c r="DG14090" s="256"/>
    </row>
    <row r="14091" spans="104:111">
      <c r="CZ14091" s="256"/>
      <c r="DG14091" s="256"/>
    </row>
    <row r="14092" spans="104:111">
      <c r="CZ14092" s="256"/>
      <c r="DG14092" s="256"/>
    </row>
    <row r="14093" spans="104:111">
      <c r="CZ14093" s="256"/>
      <c r="DG14093" s="256"/>
    </row>
    <row r="14094" spans="104:111">
      <c r="CZ14094" s="256"/>
      <c r="DG14094" s="256"/>
    </row>
    <row r="14095" spans="104:111">
      <c r="CZ14095" s="256"/>
      <c r="DG14095" s="256"/>
    </row>
    <row r="14096" spans="104:111">
      <c r="CZ14096" s="256"/>
      <c r="DG14096" s="256"/>
    </row>
    <row r="14097" spans="104:111">
      <c r="CZ14097" s="256"/>
      <c r="DG14097" s="256"/>
    </row>
    <row r="14098" spans="104:111">
      <c r="CZ14098" s="256"/>
      <c r="DG14098" s="256"/>
    </row>
    <row r="14099" spans="104:111">
      <c r="CZ14099" s="256"/>
      <c r="DG14099" s="256"/>
    </row>
    <row r="14100" spans="104:111">
      <c r="CZ14100" s="256"/>
      <c r="DG14100" s="256"/>
    </row>
    <row r="14101" spans="104:111">
      <c r="CZ14101" s="256"/>
      <c r="DG14101" s="256"/>
    </row>
    <row r="14102" spans="104:111">
      <c r="CZ14102" s="256"/>
      <c r="DG14102" s="256"/>
    </row>
    <row r="14103" spans="104:111">
      <c r="CZ14103" s="256"/>
      <c r="DG14103" s="256"/>
    </row>
    <row r="14104" spans="104:111">
      <c r="CZ14104" s="256"/>
      <c r="DG14104" s="256"/>
    </row>
    <row r="14105" spans="104:111">
      <c r="CZ14105" s="256"/>
      <c r="DG14105" s="256"/>
    </row>
    <row r="14106" spans="104:111">
      <c r="CZ14106" s="256"/>
      <c r="DG14106" s="256"/>
    </row>
    <row r="14107" spans="104:111">
      <c r="CZ14107" s="256"/>
      <c r="DG14107" s="256"/>
    </row>
    <row r="14108" spans="104:111">
      <c r="CZ14108" s="256"/>
      <c r="DG14108" s="256"/>
    </row>
    <row r="14109" spans="104:111">
      <c r="CZ14109" s="256"/>
      <c r="DG14109" s="256"/>
    </row>
    <row r="14110" spans="104:111">
      <c r="CZ14110" s="256"/>
      <c r="DG14110" s="256"/>
    </row>
    <row r="14111" spans="104:111">
      <c r="CZ14111" s="256"/>
      <c r="DG14111" s="256"/>
    </row>
    <row r="14112" spans="104:111">
      <c r="CZ14112" s="256"/>
      <c r="DG14112" s="256"/>
    </row>
    <row r="14113" spans="104:111">
      <c r="CZ14113" s="256"/>
      <c r="DG14113" s="256"/>
    </row>
    <row r="14114" spans="104:111">
      <c r="CZ14114" s="256"/>
      <c r="DG14114" s="256"/>
    </row>
    <row r="14115" spans="104:111">
      <c r="CZ14115" s="256"/>
      <c r="DG14115" s="256"/>
    </row>
    <row r="14116" spans="104:111">
      <c r="CZ14116" s="256"/>
      <c r="DG14116" s="256"/>
    </row>
    <row r="14117" spans="104:111">
      <c r="CZ14117" s="256"/>
      <c r="DG14117" s="256"/>
    </row>
    <row r="14118" spans="104:111">
      <c r="CZ14118" s="256"/>
      <c r="DG14118" s="256"/>
    </row>
    <row r="14119" spans="104:111">
      <c r="CZ14119" s="256"/>
      <c r="DG14119" s="256"/>
    </row>
    <row r="14120" spans="104:111">
      <c r="CZ14120" s="256"/>
      <c r="DG14120" s="256"/>
    </row>
    <row r="14121" spans="104:111">
      <c r="CZ14121" s="256"/>
      <c r="DG14121" s="256"/>
    </row>
    <row r="14122" spans="104:111">
      <c r="CZ14122" s="256"/>
      <c r="DG14122" s="256"/>
    </row>
    <row r="14123" spans="104:111">
      <c r="CZ14123" s="256"/>
      <c r="DG14123" s="256"/>
    </row>
    <row r="14124" spans="104:111">
      <c r="CZ14124" s="256"/>
      <c r="DG14124" s="256"/>
    </row>
    <row r="14125" spans="104:111">
      <c r="CZ14125" s="256"/>
      <c r="DG14125" s="256"/>
    </row>
    <row r="14126" spans="104:111">
      <c r="CZ14126" s="256"/>
      <c r="DG14126" s="256"/>
    </row>
    <row r="14127" spans="104:111">
      <c r="CZ14127" s="256"/>
      <c r="DG14127" s="256"/>
    </row>
    <row r="14128" spans="104:111">
      <c r="CZ14128" s="256"/>
      <c r="DG14128" s="256"/>
    </row>
    <row r="14129" spans="104:111">
      <c r="CZ14129" s="256"/>
      <c r="DG14129" s="256"/>
    </row>
    <row r="14130" spans="104:111">
      <c r="CZ14130" s="256"/>
      <c r="DG14130" s="256"/>
    </row>
    <row r="14131" spans="104:111">
      <c r="CZ14131" s="256"/>
      <c r="DG14131" s="256"/>
    </row>
    <row r="14132" spans="104:111">
      <c r="CZ14132" s="256"/>
      <c r="DG14132" s="256"/>
    </row>
    <row r="14133" spans="104:111">
      <c r="CZ14133" s="256"/>
      <c r="DG14133" s="256"/>
    </row>
    <row r="14134" spans="104:111">
      <c r="CZ14134" s="256"/>
      <c r="DG14134" s="256"/>
    </row>
    <row r="14135" spans="104:111">
      <c r="CZ14135" s="256"/>
      <c r="DG14135" s="256"/>
    </row>
    <row r="14136" spans="104:111">
      <c r="CZ14136" s="256"/>
      <c r="DG14136" s="256"/>
    </row>
    <row r="14137" spans="104:111">
      <c r="CZ14137" s="256"/>
      <c r="DG14137" s="256"/>
    </row>
    <row r="14138" spans="104:111">
      <c r="CZ14138" s="256"/>
      <c r="DG14138" s="256"/>
    </row>
    <row r="14139" spans="104:111">
      <c r="CZ14139" s="256"/>
      <c r="DG14139" s="256"/>
    </row>
    <row r="14140" spans="104:111">
      <c r="CZ14140" s="256"/>
      <c r="DG14140" s="256"/>
    </row>
    <row r="14141" spans="104:111">
      <c r="CZ14141" s="256"/>
      <c r="DG14141" s="256"/>
    </row>
    <row r="14142" spans="104:111">
      <c r="CZ14142" s="256"/>
      <c r="DG14142" s="256"/>
    </row>
    <row r="14143" spans="104:111">
      <c r="CZ14143" s="256"/>
      <c r="DG14143" s="256"/>
    </row>
    <row r="14144" spans="104:111">
      <c r="CZ14144" s="256"/>
      <c r="DG14144" s="256"/>
    </row>
    <row r="14145" spans="104:111">
      <c r="CZ14145" s="256"/>
      <c r="DG14145" s="256"/>
    </row>
    <row r="14146" spans="104:111">
      <c r="CZ14146" s="256"/>
      <c r="DG14146" s="256"/>
    </row>
    <row r="14147" spans="104:111">
      <c r="CZ14147" s="256"/>
      <c r="DG14147" s="256"/>
    </row>
    <row r="14148" spans="104:111">
      <c r="CZ14148" s="256"/>
      <c r="DG14148" s="256"/>
    </row>
    <row r="14149" spans="104:111">
      <c r="CZ14149" s="256"/>
      <c r="DG14149" s="256"/>
    </row>
    <row r="14150" spans="104:111">
      <c r="CZ14150" s="256"/>
      <c r="DG14150" s="256"/>
    </row>
    <row r="14151" spans="104:111">
      <c r="CZ14151" s="256"/>
      <c r="DG14151" s="256"/>
    </row>
    <row r="14152" spans="104:111">
      <c r="CZ14152" s="256"/>
      <c r="DG14152" s="256"/>
    </row>
    <row r="14153" spans="104:111">
      <c r="CZ14153" s="256"/>
      <c r="DG14153" s="256"/>
    </row>
    <row r="14154" spans="104:111">
      <c r="CZ14154" s="256"/>
      <c r="DG14154" s="256"/>
    </row>
    <row r="14155" spans="104:111">
      <c r="CZ14155" s="256"/>
      <c r="DG14155" s="256"/>
    </row>
    <row r="14156" spans="104:111">
      <c r="CZ14156" s="256"/>
      <c r="DG14156" s="256"/>
    </row>
    <row r="14157" spans="104:111">
      <c r="CZ14157" s="256"/>
      <c r="DG14157" s="256"/>
    </row>
    <row r="14158" spans="104:111">
      <c r="CZ14158" s="256"/>
      <c r="DG14158" s="256"/>
    </row>
    <row r="14159" spans="104:111">
      <c r="CZ14159" s="256"/>
      <c r="DG14159" s="256"/>
    </row>
    <row r="14160" spans="104:111">
      <c r="CZ14160" s="256"/>
      <c r="DG14160" s="256"/>
    </row>
    <row r="14161" spans="104:111">
      <c r="CZ14161" s="256"/>
      <c r="DG14161" s="256"/>
    </row>
    <row r="14162" spans="104:111">
      <c r="CZ14162" s="256"/>
      <c r="DG14162" s="256"/>
    </row>
    <row r="14163" spans="104:111">
      <c r="CZ14163" s="256"/>
      <c r="DG14163" s="256"/>
    </row>
    <row r="14164" spans="104:111">
      <c r="CZ14164" s="256"/>
      <c r="DG14164" s="256"/>
    </row>
    <row r="14165" spans="104:111">
      <c r="CZ14165" s="256"/>
      <c r="DG14165" s="256"/>
    </row>
    <row r="14166" spans="104:111">
      <c r="CZ14166" s="256"/>
      <c r="DG14166" s="256"/>
    </row>
    <row r="14167" spans="104:111">
      <c r="CZ14167" s="256"/>
      <c r="DG14167" s="256"/>
    </row>
    <row r="14168" spans="104:111">
      <c r="CZ14168" s="256"/>
      <c r="DG14168" s="256"/>
    </row>
    <row r="14169" spans="104:111">
      <c r="CZ14169" s="256"/>
      <c r="DG14169" s="256"/>
    </row>
    <row r="14170" spans="104:111">
      <c r="CZ14170" s="256"/>
      <c r="DG14170" s="256"/>
    </row>
    <row r="14171" spans="104:111">
      <c r="CZ14171" s="256"/>
      <c r="DG14171" s="256"/>
    </row>
    <row r="14172" spans="104:111">
      <c r="CZ14172" s="256"/>
      <c r="DG14172" s="256"/>
    </row>
    <row r="14173" spans="104:111">
      <c r="CZ14173" s="256"/>
      <c r="DG14173" s="256"/>
    </row>
    <row r="14174" spans="104:111">
      <c r="CZ14174" s="256"/>
      <c r="DG14174" s="256"/>
    </row>
    <row r="14175" spans="104:111">
      <c r="CZ14175" s="256"/>
      <c r="DG14175" s="256"/>
    </row>
    <row r="14176" spans="104:111">
      <c r="CZ14176" s="256"/>
      <c r="DG14176" s="256"/>
    </row>
    <row r="14177" spans="104:111">
      <c r="CZ14177" s="256"/>
      <c r="DG14177" s="256"/>
    </row>
    <row r="14178" spans="104:111">
      <c r="CZ14178" s="256"/>
      <c r="DG14178" s="256"/>
    </row>
    <row r="14179" spans="104:111">
      <c r="CZ14179" s="256"/>
      <c r="DG14179" s="256"/>
    </row>
    <row r="14180" spans="104:111">
      <c r="CZ14180" s="256"/>
      <c r="DG14180" s="256"/>
    </row>
    <row r="14181" spans="104:111">
      <c r="CZ14181" s="256"/>
      <c r="DG14181" s="256"/>
    </row>
    <row r="14182" spans="104:111">
      <c r="CZ14182" s="256"/>
      <c r="DG14182" s="256"/>
    </row>
    <row r="14183" spans="104:111">
      <c r="CZ14183" s="256"/>
      <c r="DG14183" s="256"/>
    </row>
    <row r="14184" spans="104:111">
      <c r="CZ14184" s="256"/>
      <c r="DG14184" s="256"/>
    </row>
    <row r="14185" spans="104:111">
      <c r="CZ14185" s="256"/>
      <c r="DG14185" s="256"/>
    </row>
    <row r="14186" spans="104:111">
      <c r="CZ14186" s="256"/>
      <c r="DG14186" s="256"/>
    </row>
    <row r="14187" spans="104:111">
      <c r="CZ14187" s="256"/>
      <c r="DG14187" s="256"/>
    </row>
    <row r="14188" spans="104:111">
      <c r="CZ14188" s="256"/>
      <c r="DG14188" s="256"/>
    </row>
    <row r="14189" spans="104:111">
      <c r="CZ14189" s="256"/>
      <c r="DG14189" s="256"/>
    </row>
    <row r="14190" spans="104:111">
      <c r="CZ14190" s="256"/>
      <c r="DG14190" s="256"/>
    </row>
    <row r="14191" spans="104:111">
      <c r="CZ14191" s="256"/>
      <c r="DG14191" s="256"/>
    </row>
    <row r="14192" spans="104:111">
      <c r="CZ14192" s="256"/>
      <c r="DG14192" s="256"/>
    </row>
    <row r="14193" spans="104:111">
      <c r="CZ14193" s="256"/>
      <c r="DG14193" s="256"/>
    </row>
    <row r="14194" spans="104:111">
      <c r="CZ14194" s="256"/>
      <c r="DG14194" s="256"/>
    </row>
    <row r="14195" spans="104:111">
      <c r="CZ14195" s="256"/>
      <c r="DG14195" s="256"/>
    </row>
    <row r="14196" spans="104:111">
      <c r="CZ14196" s="256"/>
      <c r="DG14196" s="256"/>
    </row>
    <row r="14197" spans="104:111">
      <c r="CZ14197" s="256"/>
      <c r="DG14197" s="256"/>
    </row>
    <row r="14198" spans="104:111">
      <c r="CZ14198" s="256"/>
      <c r="DG14198" s="256"/>
    </row>
    <row r="14199" spans="104:111">
      <c r="CZ14199" s="256"/>
      <c r="DG14199" s="256"/>
    </row>
    <row r="14200" spans="104:111">
      <c r="CZ14200" s="256"/>
      <c r="DG14200" s="256"/>
    </row>
    <row r="14201" spans="104:111">
      <c r="CZ14201" s="256"/>
      <c r="DG14201" s="256"/>
    </row>
    <row r="14202" spans="104:111">
      <c r="CZ14202" s="256"/>
      <c r="DG14202" s="256"/>
    </row>
    <row r="14203" spans="104:111">
      <c r="CZ14203" s="256"/>
      <c r="DG14203" s="256"/>
    </row>
    <row r="14204" spans="104:111">
      <c r="CZ14204" s="256"/>
      <c r="DG14204" s="256"/>
    </row>
    <row r="14205" spans="104:111">
      <c r="CZ14205" s="256"/>
      <c r="DG14205" s="256"/>
    </row>
    <row r="14206" spans="104:111">
      <c r="CZ14206" s="256"/>
      <c r="DG14206" s="256"/>
    </row>
    <row r="14207" spans="104:111">
      <c r="CZ14207" s="256"/>
      <c r="DG14207" s="256"/>
    </row>
    <row r="14208" spans="104:111">
      <c r="CZ14208" s="256"/>
      <c r="DG14208" s="256"/>
    </row>
    <row r="14209" spans="104:111">
      <c r="CZ14209" s="256"/>
      <c r="DG14209" s="256"/>
    </row>
    <row r="14210" spans="104:111">
      <c r="CZ14210" s="256"/>
      <c r="DG14210" s="256"/>
    </row>
    <row r="14211" spans="104:111">
      <c r="CZ14211" s="256"/>
      <c r="DG14211" s="256"/>
    </row>
    <row r="14212" spans="104:111">
      <c r="CZ14212" s="256"/>
      <c r="DG14212" s="256"/>
    </row>
    <row r="14213" spans="104:111">
      <c r="CZ14213" s="256"/>
      <c r="DG14213" s="256"/>
    </row>
    <row r="14214" spans="104:111">
      <c r="CZ14214" s="256"/>
      <c r="DG14214" s="256"/>
    </row>
    <row r="14215" spans="104:111">
      <c r="CZ14215" s="256"/>
      <c r="DG14215" s="256"/>
    </row>
    <row r="14216" spans="104:111">
      <c r="CZ14216" s="256"/>
      <c r="DG14216" s="256"/>
    </row>
    <row r="14217" spans="104:111">
      <c r="CZ14217" s="256"/>
      <c r="DG14217" s="256"/>
    </row>
    <row r="14218" spans="104:111">
      <c r="CZ14218" s="256"/>
      <c r="DG14218" s="256"/>
    </row>
    <row r="14219" spans="104:111">
      <c r="CZ14219" s="256"/>
      <c r="DG14219" s="256"/>
    </row>
    <row r="14220" spans="104:111">
      <c r="CZ14220" s="256"/>
      <c r="DG14220" s="256"/>
    </row>
    <row r="14221" spans="104:111">
      <c r="CZ14221" s="256"/>
      <c r="DG14221" s="256"/>
    </row>
    <row r="14222" spans="104:111">
      <c r="CZ14222" s="256"/>
      <c r="DG14222" s="256"/>
    </row>
    <row r="14223" spans="104:111">
      <c r="CZ14223" s="256"/>
      <c r="DG14223" s="256"/>
    </row>
    <row r="14224" spans="104:111">
      <c r="CZ14224" s="256"/>
      <c r="DG14224" s="256"/>
    </row>
    <row r="14225" spans="104:111">
      <c r="CZ14225" s="256"/>
      <c r="DG14225" s="256"/>
    </row>
    <row r="14226" spans="104:111">
      <c r="CZ14226" s="256"/>
      <c r="DG14226" s="256"/>
    </row>
    <row r="14227" spans="104:111">
      <c r="CZ14227" s="256"/>
      <c r="DG14227" s="256"/>
    </row>
    <row r="14228" spans="104:111">
      <c r="CZ14228" s="256"/>
      <c r="DG14228" s="256"/>
    </row>
    <row r="14229" spans="104:111">
      <c r="CZ14229" s="256"/>
      <c r="DG14229" s="256"/>
    </row>
    <row r="14230" spans="104:111">
      <c r="CZ14230" s="256"/>
      <c r="DG14230" s="256"/>
    </row>
    <row r="14231" spans="104:111">
      <c r="CZ14231" s="256"/>
      <c r="DG14231" s="256"/>
    </row>
    <row r="14232" spans="104:111">
      <c r="CZ14232" s="256"/>
      <c r="DG14232" s="256"/>
    </row>
    <row r="14233" spans="104:111">
      <c r="CZ14233" s="256"/>
      <c r="DG14233" s="256"/>
    </row>
    <row r="14234" spans="104:111">
      <c r="CZ14234" s="256"/>
      <c r="DG14234" s="256"/>
    </row>
    <row r="14235" spans="104:111">
      <c r="CZ14235" s="256"/>
      <c r="DG14235" s="256"/>
    </row>
    <row r="14236" spans="104:111">
      <c r="CZ14236" s="256"/>
      <c r="DG14236" s="256"/>
    </row>
    <row r="14237" spans="104:111">
      <c r="CZ14237" s="256"/>
      <c r="DG14237" s="256"/>
    </row>
    <row r="14238" spans="104:111">
      <c r="CZ14238" s="256"/>
      <c r="DG14238" s="256"/>
    </row>
    <row r="14239" spans="104:111">
      <c r="CZ14239" s="256"/>
      <c r="DG14239" s="256"/>
    </row>
    <row r="14240" spans="104:111">
      <c r="CZ14240" s="256"/>
      <c r="DG14240" s="256"/>
    </row>
    <row r="14241" spans="104:111">
      <c r="CZ14241" s="256"/>
      <c r="DG14241" s="256"/>
    </row>
    <row r="14242" spans="104:111">
      <c r="CZ14242" s="256"/>
      <c r="DG14242" s="256"/>
    </row>
    <row r="14243" spans="104:111">
      <c r="CZ14243" s="256"/>
      <c r="DG14243" s="256"/>
    </row>
    <row r="14244" spans="104:111">
      <c r="CZ14244" s="256"/>
      <c r="DG14244" s="256"/>
    </row>
    <row r="14245" spans="104:111">
      <c r="CZ14245" s="256"/>
      <c r="DG14245" s="256"/>
    </row>
    <row r="14246" spans="104:111">
      <c r="CZ14246" s="256"/>
      <c r="DG14246" s="256"/>
    </row>
    <row r="14247" spans="104:111">
      <c r="CZ14247" s="256"/>
      <c r="DG14247" s="256"/>
    </row>
    <row r="14248" spans="104:111">
      <c r="CZ14248" s="256"/>
      <c r="DG14248" s="256"/>
    </row>
    <row r="14249" spans="104:111">
      <c r="CZ14249" s="256"/>
      <c r="DG14249" s="256"/>
    </row>
    <row r="14250" spans="104:111">
      <c r="CZ14250" s="256"/>
      <c r="DG14250" s="256"/>
    </row>
    <row r="14251" spans="104:111">
      <c r="CZ14251" s="256"/>
      <c r="DG14251" s="256"/>
    </row>
    <row r="14252" spans="104:111">
      <c r="CZ14252" s="256"/>
      <c r="DG14252" s="256"/>
    </row>
    <row r="14253" spans="104:111">
      <c r="CZ14253" s="256"/>
      <c r="DG14253" s="256"/>
    </row>
    <row r="14254" spans="104:111">
      <c r="CZ14254" s="256"/>
      <c r="DG14254" s="256"/>
    </row>
    <row r="14255" spans="104:111">
      <c r="CZ14255" s="256"/>
      <c r="DG14255" s="256"/>
    </row>
    <row r="14256" spans="104:111">
      <c r="CZ14256" s="256"/>
      <c r="DG14256" s="256"/>
    </row>
    <row r="14257" spans="104:111">
      <c r="CZ14257" s="256"/>
      <c r="DG14257" s="256"/>
    </row>
    <row r="14258" spans="104:111">
      <c r="CZ14258" s="256"/>
      <c r="DG14258" s="256"/>
    </row>
    <row r="14259" spans="104:111">
      <c r="CZ14259" s="256"/>
      <c r="DG14259" s="256"/>
    </row>
    <row r="14260" spans="104:111">
      <c r="CZ14260" s="256"/>
      <c r="DG14260" s="256"/>
    </row>
    <row r="14261" spans="104:111">
      <c r="CZ14261" s="256"/>
      <c r="DG14261" s="256"/>
    </row>
    <row r="14262" spans="104:111">
      <c r="CZ14262" s="256"/>
      <c r="DG14262" s="256"/>
    </row>
    <row r="14263" spans="104:111">
      <c r="CZ14263" s="256"/>
      <c r="DG14263" s="256"/>
    </row>
    <row r="14264" spans="104:111">
      <c r="CZ14264" s="256"/>
      <c r="DG14264" s="256"/>
    </row>
    <row r="14265" spans="104:111">
      <c r="CZ14265" s="256"/>
      <c r="DG14265" s="256"/>
    </row>
    <row r="14266" spans="104:111">
      <c r="CZ14266" s="256"/>
      <c r="DG14266" s="256"/>
    </row>
    <row r="14267" spans="104:111">
      <c r="CZ14267" s="256"/>
      <c r="DG14267" s="256"/>
    </row>
    <row r="14268" spans="104:111">
      <c r="CZ14268" s="256"/>
      <c r="DG14268" s="256"/>
    </row>
    <row r="14269" spans="104:111">
      <c r="CZ14269" s="256"/>
      <c r="DG14269" s="256"/>
    </row>
    <row r="14270" spans="104:111">
      <c r="CZ14270" s="256"/>
      <c r="DG14270" s="256"/>
    </row>
    <row r="14271" spans="104:111">
      <c r="CZ14271" s="256"/>
      <c r="DG14271" s="256"/>
    </row>
    <row r="14272" spans="104:111">
      <c r="CZ14272" s="256"/>
      <c r="DG14272" s="256"/>
    </row>
    <row r="14273" spans="104:111">
      <c r="CZ14273" s="256"/>
      <c r="DG14273" s="256"/>
    </row>
    <row r="14274" spans="104:111">
      <c r="CZ14274" s="256"/>
      <c r="DG14274" s="256"/>
    </row>
    <row r="14275" spans="104:111">
      <c r="CZ14275" s="256"/>
      <c r="DG14275" s="256"/>
    </row>
    <row r="14276" spans="104:111">
      <c r="CZ14276" s="256"/>
      <c r="DG14276" s="256"/>
    </row>
    <row r="14277" spans="104:111">
      <c r="CZ14277" s="256"/>
      <c r="DG14277" s="256"/>
    </row>
    <row r="14278" spans="104:111">
      <c r="CZ14278" s="256"/>
      <c r="DG14278" s="256"/>
    </row>
    <row r="14279" spans="104:111">
      <c r="CZ14279" s="256"/>
      <c r="DG14279" s="256"/>
    </row>
    <row r="14280" spans="104:111">
      <c r="CZ14280" s="256"/>
      <c r="DG14280" s="256"/>
    </row>
    <row r="14281" spans="104:111">
      <c r="CZ14281" s="256"/>
      <c r="DG14281" s="256"/>
    </row>
    <row r="14282" spans="104:111">
      <c r="CZ14282" s="256"/>
      <c r="DG14282" s="256"/>
    </row>
    <row r="14283" spans="104:111">
      <c r="CZ14283" s="256"/>
      <c r="DG14283" s="256"/>
    </row>
    <row r="14284" spans="104:111">
      <c r="CZ14284" s="256"/>
      <c r="DG14284" s="256"/>
    </row>
    <row r="14285" spans="104:111">
      <c r="CZ14285" s="256"/>
      <c r="DG14285" s="256"/>
    </row>
    <row r="14286" spans="104:111">
      <c r="CZ14286" s="256"/>
      <c r="DG14286" s="256"/>
    </row>
    <row r="14287" spans="104:111">
      <c r="CZ14287" s="256"/>
      <c r="DG14287" s="256"/>
    </row>
    <row r="14288" spans="104:111">
      <c r="CZ14288" s="256"/>
      <c r="DG14288" s="256"/>
    </row>
    <row r="14289" spans="104:111">
      <c r="CZ14289" s="256"/>
      <c r="DG14289" s="256"/>
    </row>
    <row r="14290" spans="104:111">
      <c r="CZ14290" s="256"/>
      <c r="DG14290" s="256"/>
    </row>
    <row r="14291" spans="104:111">
      <c r="CZ14291" s="256"/>
      <c r="DG14291" s="256"/>
    </row>
    <row r="14292" spans="104:111">
      <c r="CZ14292" s="256"/>
      <c r="DG14292" s="256"/>
    </row>
    <row r="14293" spans="104:111">
      <c r="CZ14293" s="256"/>
      <c r="DG14293" s="256"/>
    </row>
    <row r="14294" spans="104:111">
      <c r="CZ14294" s="256"/>
      <c r="DG14294" s="256"/>
    </row>
    <row r="14295" spans="104:111">
      <c r="CZ14295" s="256"/>
      <c r="DG14295" s="256"/>
    </row>
    <row r="14296" spans="104:111">
      <c r="CZ14296" s="256"/>
      <c r="DG14296" s="256"/>
    </row>
    <row r="14297" spans="104:111">
      <c r="CZ14297" s="256"/>
      <c r="DG14297" s="256"/>
    </row>
    <row r="14298" spans="104:111">
      <c r="CZ14298" s="256"/>
      <c r="DG14298" s="256"/>
    </row>
    <row r="14299" spans="104:111">
      <c r="CZ14299" s="256"/>
      <c r="DG14299" s="256"/>
    </row>
    <row r="14300" spans="104:111">
      <c r="CZ14300" s="256"/>
      <c r="DG14300" s="256"/>
    </row>
    <row r="14301" spans="104:111">
      <c r="CZ14301" s="256"/>
      <c r="DG14301" s="256"/>
    </row>
    <row r="14302" spans="104:111">
      <c r="CZ14302" s="256"/>
      <c r="DG14302" s="256"/>
    </row>
    <row r="14303" spans="104:111">
      <c r="CZ14303" s="256"/>
      <c r="DG14303" s="256"/>
    </row>
    <row r="14304" spans="104:111">
      <c r="CZ14304" s="256"/>
      <c r="DG14304" s="256"/>
    </row>
    <row r="14305" spans="104:111">
      <c r="CZ14305" s="256"/>
      <c r="DG14305" s="256"/>
    </row>
    <row r="14306" spans="104:111">
      <c r="CZ14306" s="256"/>
      <c r="DG14306" s="256"/>
    </row>
    <row r="14307" spans="104:111">
      <c r="CZ14307" s="256"/>
      <c r="DG14307" s="256"/>
    </row>
    <row r="14308" spans="104:111">
      <c r="CZ14308" s="256"/>
      <c r="DG14308" s="256"/>
    </row>
    <row r="14309" spans="104:111">
      <c r="CZ14309" s="256"/>
      <c r="DG14309" s="256"/>
    </row>
    <row r="14310" spans="104:111">
      <c r="CZ14310" s="256"/>
      <c r="DG14310" s="256"/>
    </row>
    <row r="14311" spans="104:111">
      <c r="CZ14311" s="256"/>
      <c r="DG14311" s="256"/>
    </row>
    <row r="14312" spans="104:111">
      <c r="CZ14312" s="256"/>
      <c r="DG14312" s="256"/>
    </row>
    <row r="14313" spans="104:111">
      <c r="CZ14313" s="256"/>
      <c r="DG14313" s="256"/>
    </row>
    <row r="14314" spans="104:111">
      <c r="CZ14314" s="256"/>
      <c r="DG14314" s="256"/>
    </row>
    <row r="14315" spans="104:111">
      <c r="CZ14315" s="256"/>
      <c r="DG14315" s="256"/>
    </row>
    <row r="14316" spans="104:111">
      <c r="CZ14316" s="256"/>
      <c r="DG14316" s="256"/>
    </row>
    <row r="14317" spans="104:111">
      <c r="CZ14317" s="256"/>
      <c r="DG14317" s="256"/>
    </row>
    <row r="14318" spans="104:111">
      <c r="CZ14318" s="256"/>
      <c r="DG14318" s="256"/>
    </row>
    <row r="14319" spans="104:111">
      <c r="CZ14319" s="256"/>
      <c r="DG14319" s="256"/>
    </row>
    <row r="14320" spans="104:111">
      <c r="CZ14320" s="256"/>
      <c r="DG14320" s="256"/>
    </row>
    <row r="14321" spans="104:111">
      <c r="CZ14321" s="256"/>
      <c r="DG14321" s="256"/>
    </row>
    <row r="14322" spans="104:111">
      <c r="CZ14322" s="256"/>
      <c r="DG14322" s="256"/>
    </row>
    <row r="14323" spans="104:111">
      <c r="CZ14323" s="256"/>
      <c r="DG14323" s="256"/>
    </row>
    <row r="14324" spans="104:111">
      <c r="CZ14324" s="256"/>
      <c r="DG14324" s="256"/>
    </row>
    <row r="14325" spans="104:111">
      <c r="CZ14325" s="256"/>
      <c r="DG14325" s="256"/>
    </row>
    <row r="14326" spans="104:111">
      <c r="CZ14326" s="256"/>
      <c r="DG14326" s="256"/>
    </row>
    <row r="14327" spans="104:111">
      <c r="CZ14327" s="256"/>
      <c r="DG14327" s="256"/>
    </row>
    <row r="14328" spans="104:111">
      <c r="CZ14328" s="256"/>
      <c r="DG14328" s="256"/>
    </row>
    <row r="14329" spans="104:111">
      <c r="CZ14329" s="256"/>
      <c r="DG14329" s="256"/>
    </row>
    <row r="14330" spans="104:111">
      <c r="CZ14330" s="256"/>
      <c r="DG14330" s="256"/>
    </row>
    <row r="14331" spans="104:111">
      <c r="CZ14331" s="256"/>
      <c r="DG14331" s="256"/>
    </row>
    <row r="14332" spans="104:111">
      <c r="CZ14332" s="256"/>
      <c r="DG14332" s="256"/>
    </row>
    <row r="14333" spans="104:111">
      <c r="CZ14333" s="256"/>
      <c r="DG14333" s="256"/>
    </row>
    <row r="14334" spans="104:111">
      <c r="CZ14334" s="256"/>
      <c r="DG14334" s="256"/>
    </row>
    <row r="14335" spans="104:111">
      <c r="CZ14335" s="256"/>
      <c r="DG14335" s="256"/>
    </row>
    <row r="14336" spans="104:111">
      <c r="CZ14336" s="256"/>
      <c r="DG14336" s="256"/>
    </row>
    <row r="14337" spans="104:111">
      <c r="CZ14337" s="256"/>
      <c r="DG14337" s="256"/>
    </row>
    <row r="14338" spans="104:111">
      <c r="CZ14338" s="256"/>
      <c r="DG14338" s="256"/>
    </row>
    <row r="14339" spans="104:111">
      <c r="CZ14339" s="256"/>
      <c r="DG14339" s="256"/>
    </row>
    <row r="14340" spans="104:111">
      <c r="CZ14340" s="256"/>
      <c r="DG14340" s="256"/>
    </row>
    <row r="14341" spans="104:111">
      <c r="CZ14341" s="256"/>
      <c r="DG14341" s="256"/>
    </row>
    <row r="14342" spans="104:111">
      <c r="CZ14342" s="256"/>
      <c r="DG14342" s="256"/>
    </row>
    <row r="14343" spans="104:111">
      <c r="CZ14343" s="256"/>
      <c r="DG14343" s="256"/>
    </row>
    <row r="14344" spans="104:111">
      <c r="CZ14344" s="256"/>
      <c r="DG14344" s="256"/>
    </row>
    <row r="14345" spans="104:111">
      <c r="CZ14345" s="256"/>
      <c r="DG14345" s="256"/>
    </row>
    <row r="14346" spans="104:111">
      <c r="CZ14346" s="256"/>
      <c r="DG14346" s="256"/>
    </row>
    <row r="14347" spans="104:111">
      <c r="CZ14347" s="256"/>
      <c r="DG14347" s="256"/>
    </row>
    <row r="14348" spans="104:111">
      <c r="CZ14348" s="256"/>
      <c r="DG14348" s="256"/>
    </row>
    <row r="14349" spans="104:111">
      <c r="CZ14349" s="256"/>
      <c r="DG14349" s="256"/>
    </row>
    <row r="14350" spans="104:111">
      <c r="CZ14350" s="256"/>
      <c r="DG14350" s="256"/>
    </row>
    <row r="14351" spans="104:111">
      <c r="CZ14351" s="256"/>
      <c r="DG14351" s="256"/>
    </row>
    <row r="14352" spans="104:111">
      <c r="CZ14352" s="256"/>
      <c r="DG14352" s="256"/>
    </row>
    <row r="14353" spans="104:111">
      <c r="CZ14353" s="256"/>
      <c r="DG14353" s="256"/>
    </row>
    <row r="14354" spans="104:111">
      <c r="CZ14354" s="256"/>
      <c r="DG14354" s="256"/>
    </row>
    <row r="14355" spans="104:111">
      <c r="CZ14355" s="256"/>
      <c r="DG14355" s="256"/>
    </row>
    <row r="14356" spans="104:111">
      <c r="CZ14356" s="256"/>
      <c r="DG14356" s="256"/>
    </row>
    <row r="14357" spans="104:111">
      <c r="CZ14357" s="256"/>
      <c r="DG14357" s="256"/>
    </row>
    <row r="14358" spans="104:111">
      <c r="CZ14358" s="256"/>
      <c r="DG14358" s="256"/>
    </row>
    <row r="14359" spans="104:111">
      <c r="CZ14359" s="256"/>
      <c r="DG14359" s="256"/>
    </row>
    <row r="14360" spans="104:111">
      <c r="CZ14360" s="256"/>
      <c r="DG14360" s="256"/>
    </row>
    <row r="14361" spans="104:111">
      <c r="CZ14361" s="256"/>
      <c r="DG14361" s="256"/>
    </row>
    <row r="14362" spans="104:111">
      <c r="CZ14362" s="256"/>
      <c r="DG14362" s="256"/>
    </row>
    <row r="14363" spans="104:111">
      <c r="CZ14363" s="256"/>
      <c r="DG14363" s="256"/>
    </row>
    <row r="14364" spans="104:111">
      <c r="CZ14364" s="256"/>
      <c r="DG14364" s="256"/>
    </row>
    <row r="14365" spans="104:111">
      <c r="CZ14365" s="256"/>
      <c r="DG14365" s="256"/>
    </row>
    <row r="14366" spans="104:111">
      <c r="CZ14366" s="256"/>
      <c r="DG14366" s="256"/>
    </row>
    <row r="14367" spans="104:111">
      <c r="CZ14367" s="256"/>
      <c r="DG14367" s="256"/>
    </row>
    <row r="14368" spans="104:111">
      <c r="CZ14368" s="256"/>
      <c r="DG14368" s="256"/>
    </row>
    <row r="14369" spans="104:111">
      <c r="CZ14369" s="256"/>
      <c r="DG14369" s="256"/>
    </row>
    <row r="14370" spans="104:111">
      <c r="CZ14370" s="256"/>
      <c r="DG14370" s="256"/>
    </row>
    <row r="14371" spans="104:111">
      <c r="CZ14371" s="256"/>
      <c r="DG14371" s="256"/>
    </row>
    <row r="14372" spans="104:111">
      <c r="CZ14372" s="256"/>
      <c r="DG14372" s="256"/>
    </row>
    <row r="14373" spans="104:111">
      <c r="CZ14373" s="256"/>
      <c r="DG14373" s="256"/>
    </row>
    <row r="14374" spans="104:111">
      <c r="CZ14374" s="256"/>
      <c r="DG14374" s="256"/>
    </row>
    <row r="14375" spans="104:111">
      <c r="CZ14375" s="256"/>
      <c r="DG14375" s="256"/>
    </row>
    <row r="14376" spans="104:111">
      <c r="CZ14376" s="256"/>
      <c r="DG14376" s="256"/>
    </row>
    <row r="14377" spans="104:111">
      <c r="CZ14377" s="256"/>
      <c r="DG14377" s="256"/>
    </row>
    <row r="14378" spans="104:111">
      <c r="CZ14378" s="256"/>
      <c r="DG14378" s="256"/>
    </row>
    <row r="14379" spans="104:111">
      <c r="CZ14379" s="256"/>
      <c r="DG14379" s="256"/>
    </row>
    <row r="14380" spans="104:111">
      <c r="CZ14380" s="256"/>
      <c r="DG14380" s="256"/>
    </row>
    <row r="14381" spans="104:111">
      <c r="CZ14381" s="256"/>
      <c r="DG14381" s="256"/>
    </row>
    <row r="14382" spans="104:111">
      <c r="CZ14382" s="256"/>
      <c r="DG14382" s="256"/>
    </row>
    <row r="14383" spans="104:111">
      <c r="CZ14383" s="256"/>
      <c r="DG14383" s="256"/>
    </row>
    <row r="14384" spans="104:111">
      <c r="CZ14384" s="256"/>
      <c r="DG14384" s="256"/>
    </row>
    <row r="14385" spans="104:111">
      <c r="CZ14385" s="256"/>
      <c r="DG14385" s="256"/>
    </row>
    <row r="14386" spans="104:111">
      <c r="CZ14386" s="256"/>
      <c r="DG14386" s="256"/>
    </row>
    <row r="14387" spans="104:111">
      <c r="CZ14387" s="256"/>
      <c r="DG14387" s="256"/>
    </row>
    <row r="14388" spans="104:111">
      <c r="CZ14388" s="256"/>
      <c r="DG14388" s="256"/>
    </row>
    <row r="14389" spans="104:111">
      <c r="CZ14389" s="256"/>
      <c r="DG14389" s="256"/>
    </row>
    <row r="14390" spans="104:111">
      <c r="CZ14390" s="256"/>
      <c r="DG14390" s="256"/>
    </row>
    <row r="14391" spans="104:111">
      <c r="CZ14391" s="256"/>
      <c r="DG14391" s="256"/>
    </row>
    <row r="14392" spans="104:111">
      <c r="CZ14392" s="256"/>
      <c r="DG14392" s="256"/>
    </row>
    <row r="14393" spans="104:111">
      <c r="CZ14393" s="256"/>
      <c r="DG14393" s="256"/>
    </row>
    <row r="14394" spans="104:111">
      <c r="CZ14394" s="256"/>
      <c r="DG14394" s="256"/>
    </row>
    <row r="14395" spans="104:111">
      <c r="CZ14395" s="256"/>
      <c r="DG14395" s="256"/>
    </row>
    <row r="14396" spans="104:111">
      <c r="CZ14396" s="256"/>
      <c r="DG14396" s="256"/>
    </row>
    <row r="14397" spans="104:111">
      <c r="CZ14397" s="256"/>
      <c r="DG14397" s="256"/>
    </row>
    <row r="14398" spans="104:111">
      <c r="CZ14398" s="256"/>
      <c r="DG14398" s="256"/>
    </row>
    <row r="14399" spans="104:111">
      <c r="CZ14399" s="256"/>
      <c r="DG14399" s="256"/>
    </row>
    <row r="14400" spans="104:111">
      <c r="CZ14400" s="256"/>
      <c r="DG14400" s="256"/>
    </row>
    <row r="14401" spans="104:111">
      <c r="CZ14401" s="256"/>
      <c r="DG14401" s="256"/>
    </row>
    <row r="14402" spans="104:111">
      <c r="CZ14402" s="256"/>
      <c r="DG14402" s="256"/>
    </row>
    <row r="14403" spans="104:111">
      <c r="CZ14403" s="256"/>
      <c r="DG14403" s="256"/>
    </row>
    <row r="14404" spans="104:111">
      <c r="CZ14404" s="256"/>
      <c r="DG14404" s="256"/>
    </row>
    <row r="14405" spans="104:111">
      <c r="CZ14405" s="256"/>
      <c r="DG14405" s="256"/>
    </row>
    <row r="14406" spans="104:111">
      <c r="CZ14406" s="256"/>
      <c r="DG14406" s="256"/>
    </row>
    <row r="14407" spans="104:111">
      <c r="CZ14407" s="256"/>
      <c r="DG14407" s="256"/>
    </row>
    <row r="14408" spans="104:111">
      <c r="CZ14408" s="256"/>
      <c r="DG14408" s="256"/>
    </row>
    <row r="14409" spans="104:111">
      <c r="CZ14409" s="256"/>
      <c r="DG14409" s="256"/>
    </row>
    <row r="14410" spans="104:111">
      <c r="CZ14410" s="256"/>
      <c r="DG14410" s="256"/>
    </row>
    <row r="14411" spans="104:111">
      <c r="CZ14411" s="256"/>
      <c r="DG14411" s="256"/>
    </row>
    <row r="14412" spans="104:111">
      <c r="CZ14412" s="256"/>
      <c r="DG14412" s="256"/>
    </row>
    <row r="14413" spans="104:111">
      <c r="CZ14413" s="256"/>
      <c r="DG14413" s="256"/>
    </row>
    <row r="14414" spans="104:111">
      <c r="CZ14414" s="256"/>
      <c r="DG14414" s="256"/>
    </row>
    <row r="14415" spans="104:111">
      <c r="CZ14415" s="256"/>
      <c r="DG14415" s="256"/>
    </row>
    <row r="14416" spans="104:111">
      <c r="CZ14416" s="256"/>
      <c r="DG14416" s="256"/>
    </row>
    <row r="14417" spans="104:111">
      <c r="CZ14417" s="256"/>
      <c r="DG14417" s="256"/>
    </row>
    <row r="14418" spans="104:111">
      <c r="CZ14418" s="256"/>
      <c r="DG14418" s="256"/>
    </row>
    <row r="14419" spans="104:111">
      <c r="CZ14419" s="256"/>
      <c r="DG14419" s="256"/>
    </row>
    <row r="14420" spans="104:111">
      <c r="CZ14420" s="256"/>
      <c r="DG14420" s="256"/>
    </row>
    <row r="14421" spans="104:111">
      <c r="CZ14421" s="256"/>
      <c r="DG14421" s="256"/>
    </row>
    <row r="14422" spans="104:111">
      <c r="CZ14422" s="256"/>
      <c r="DG14422" s="256"/>
    </row>
    <row r="14423" spans="104:111">
      <c r="CZ14423" s="256"/>
      <c r="DG14423" s="256"/>
    </row>
    <row r="14424" spans="104:111">
      <c r="CZ14424" s="256"/>
      <c r="DG14424" s="256"/>
    </row>
    <row r="14425" spans="104:111">
      <c r="CZ14425" s="256"/>
      <c r="DG14425" s="256"/>
    </row>
    <row r="14426" spans="104:111">
      <c r="CZ14426" s="256"/>
      <c r="DG14426" s="256"/>
    </row>
    <row r="14427" spans="104:111">
      <c r="CZ14427" s="256"/>
      <c r="DG14427" s="256"/>
    </row>
    <row r="14428" spans="104:111">
      <c r="CZ14428" s="256"/>
      <c r="DG14428" s="256"/>
    </row>
    <row r="14429" spans="104:111">
      <c r="CZ14429" s="256"/>
      <c r="DG14429" s="256"/>
    </row>
    <row r="14430" spans="104:111">
      <c r="CZ14430" s="256"/>
      <c r="DG14430" s="256"/>
    </row>
    <row r="14431" spans="104:111">
      <c r="CZ14431" s="256"/>
      <c r="DG14431" s="256"/>
    </row>
    <row r="14432" spans="104:111">
      <c r="CZ14432" s="256"/>
      <c r="DG14432" s="256"/>
    </row>
    <row r="14433" spans="104:111">
      <c r="CZ14433" s="256"/>
      <c r="DG14433" s="256"/>
    </row>
    <row r="14434" spans="104:111">
      <c r="CZ14434" s="256"/>
      <c r="DG14434" s="256"/>
    </row>
    <row r="14435" spans="104:111">
      <c r="CZ14435" s="256"/>
      <c r="DG14435" s="256"/>
    </row>
    <row r="14436" spans="104:111">
      <c r="CZ14436" s="256"/>
      <c r="DG14436" s="256"/>
    </row>
    <row r="14437" spans="104:111">
      <c r="CZ14437" s="256"/>
      <c r="DG14437" s="256"/>
    </row>
    <row r="14438" spans="104:111">
      <c r="CZ14438" s="256"/>
      <c r="DG14438" s="256"/>
    </row>
    <row r="14439" spans="104:111">
      <c r="CZ14439" s="256"/>
      <c r="DG14439" s="256"/>
    </row>
    <row r="14440" spans="104:111">
      <c r="CZ14440" s="256"/>
      <c r="DG14440" s="256"/>
    </row>
    <row r="14441" spans="104:111">
      <c r="CZ14441" s="256"/>
      <c r="DG14441" s="256"/>
    </row>
    <row r="14442" spans="104:111">
      <c r="CZ14442" s="256"/>
      <c r="DG14442" s="256"/>
    </row>
    <row r="14443" spans="104:111">
      <c r="CZ14443" s="256"/>
      <c r="DG14443" s="256"/>
    </row>
    <row r="14444" spans="104:111">
      <c r="CZ14444" s="256"/>
      <c r="DG14444" s="256"/>
    </row>
    <row r="14445" spans="104:111">
      <c r="CZ14445" s="256"/>
      <c r="DG14445" s="256"/>
    </row>
    <row r="14446" spans="104:111">
      <c r="CZ14446" s="256"/>
      <c r="DG14446" s="256"/>
    </row>
    <row r="14447" spans="104:111">
      <c r="CZ14447" s="256"/>
      <c r="DG14447" s="256"/>
    </row>
    <row r="14448" spans="104:111">
      <c r="CZ14448" s="256"/>
      <c r="DG14448" s="256"/>
    </row>
    <row r="14449" spans="104:111">
      <c r="CZ14449" s="256"/>
      <c r="DG14449" s="256"/>
    </row>
    <row r="14450" spans="104:111">
      <c r="CZ14450" s="256"/>
      <c r="DG14450" s="256"/>
    </row>
    <row r="14451" spans="104:111">
      <c r="CZ14451" s="256"/>
      <c r="DG14451" s="256"/>
    </row>
    <row r="14452" spans="104:111">
      <c r="CZ14452" s="256"/>
      <c r="DG14452" s="256"/>
    </row>
    <row r="14453" spans="104:111">
      <c r="CZ14453" s="256"/>
      <c r="DG14453" s="256"/>
    </row>
    <row r="14454" spans="104:111">
      <c r="CZ14454" s="256"/>
      <c r="DG14454" s="256"/>
    </row>
    <row r="14455" spans="104:111">
      <c r="CZ14455" s="256"/>
      <c r="DG14455" s="256"/>
    </row>
    <row r="14456" spans="104:111">
      <c r="CZ14456" s="256"/>
      <c r="DG14456" s="256"/>
    </row>
    <row r="14457" spans="104:111">
      <c r="CZ14457" s="256"/>
      <c r="DG14457" s="256"/>
    </row>
    <row r="14458" spans="104:111">
      <c r="CZ14458" s="256"/>
      <c r="DG14458" s="256"/>
    </row>
    <row r="14459" spans="104:111">
      <c r="CZ14459" s="256"/>
      <c r="DG14459" s="256"/>
    </row>
    <row r="14460" spans="104:111">
      <c r="CZ14460" s="256"/>
      <c r="DG14460" s="256"/>
    </row>
    <row r="14461" spans="104:111">
      <c r="CZ14461" s="256"/>
      <c r="DG14461" s="256"/>
    </row>
    <row r="14462" spans="104:111">
      <c r="CZ14462" s="256"/>
      <c r="DG14462" s="256"/>
    </row>
    <row r="14463" spans="104:111">
      <c r="CZ14463" s="256"/>
      <c r="DG14463" s="256"/>
    </row>
    <row r="14464" spans="104:111">
      <c r="CZ14464" s="256"/>
      <c r="DG14464" s="256"/>
    </row>
    <row r="14465" spans="104:111">
      <c r="CZ14465" s="256"/>
      <c r="DG14465" s="256"/>
    </row>
    <row r="14466" spans="104:111">
      <c r="CZ14466" s="256"/>
      <c r="DG14466" s="256"/>
    </row>
    <row r="14467" spans="104:111">
      <c r="CZ14467" s="256"/>
      <c r="DG14467" s="256"/>
    </row>
    <row r="14468" spans="104:111">
      <c r="CZ14468" s="256"/>
      <c r="DG14468" s="256"/>
    </row>
    <row r="14469" spans="104:111">
      <c r="CZ14469" s="256"/>
      <c r="DG14469" s="256"/>
    </row>
    <row r="14470" spans="104:111">
      <c r="CZ14470" s="256"/>
      <c r="DG14470" s="256"/>
    </row>
    <row r="14471" spans="104:111">
      <c r="CZ14471" s="256"/>
      <c r="DG14471" s="256"/>
    </row>
    <row r="14472" spans="104:111">
      <c r="CZ14472" s="256"/>
      <c r="DG14472" s="256"/>
    </row>
    <row r="14473" spans="104:111">
      <c r="CZ14473" s="256"/>
      <c r="DG14473" s="256"/>
    </row>
    <row r="14474" spans="104:111">
      <c r="CZ14474" s="256"/>
      <c r="DG14474" s="256"/>
    </row>
    <row r="14475" spans="104:111">
      <c r="CZ14475" s="256"/>
      <c r="DG14475" s="256"/>
    </row>
    <row r="14476" spans="104:111">
      <c r="CZ14476" s="256"/>
      <c r="DG14476" s="256"/>
    </row>
    <row r="14477" spans="104:111">
      <c r="CZ14477" s="256"/>
      <c r="DG14477" s="256"/>
    </row>
    <row r="14478" spans="104:111">
      <c r="CZ14478" s="256"/>
      <c r="DG14478" s="256"/>
    </row>
    <row r="14479" spans="104:111">
      <c r="CZ14479" s="256"/>
      <c r="DG14479" s="256"/>
    </row>
    <row r="14480" spans="104:111">
      <c r="CZ14480" s="256"/>
      <c r="DG14480" s="256"/>
    </row>
    <row r="14481" spans="104:111">
      <c r="CZ14481" s="256"/>
      <c r="DG14481" s="256"/>
    </row>
    <row r="14482" spans="104:111">
      <c r="CZ14482" s="256"/>
      <c r="DG14482" s="256"/>
    </row>
    <row r="14483" spans="104:111">
      <c r="CZ14483" s="256"/>
      <c r="DG14483" s="256"/>
    </row>
    <row r="14484" spans="104:111">
      <c r="CZ14484" s="256"/>
      <c r="DG14484" s="256"/>
    </row>
    <row r="14485" spans="104:111">
      <c r="CZ14485" s="256"/>
      <c r="DG14485" s="256"/>
    </row>
    <row r="14486" spans="104:111">
      <c r="CZ14486" s="256"/>
      <c r="DG14486" s="256"/>
    </row>
    <row r="14487" spans="104:111">
      <c r="CZ14487" s="256"/>
      <c r="DG14487" s="256"/>
    </row>
    <row r="14488" spans="104:111">
      <c r="CZ14488" s="256"/>
      <c r="DG14488" s="256"/>
    </row>
    <row r="14489" spans="104:111">
      <c r="CZ14489" s="256"/>
      <c r="DG14489" s="256"/>
    </row>
    <row r="14490" spans="104:111">
      <c r="CZ14490" s="256"/>
      <c r="DG14490" s="256"/>
    </row>
    <row r="14491" spans="104:111">
      <c r="CZ14491" s="256"/>
      <c r="DG14491" s="256"/>
    </row>
    <row r="14492" spans="104:111">
      <c r="CZ14492" s="256"/>
      <c r="DG14492" s="256"/>
    </row>
    <row r="14493" spans="104:111">
      <c r="CZ14493" s="256"/>
      <c r="DG14493" s="256"/>
    </row>
    <row r="14494" spans="104:111">
      <c r="CZ14494" s="256"/>
      <c r="DG14494" s="256"/>
    </row>
    <row r="14495" spans="104:111">
      <c r="CZ14495" s="256"/>
      <c r="DG14495" s="256"/>
    </row>
    <row r="14496" spans="104:111">
      <c r="CZ14496" s="256"/>
      <c r="DG14496" s="256"/>
    </row>
    <row r="14497" spans="104:111">
      <c r="CZ14497" s="256"/>
      <c r="DG14497" s="256"/>
    </row>
    <row r="14498" spans="104:111">
      <c r="CZ14498" s="256"/>
      <c r="DG14498" s="256"/>
    </row>
    <row r="14499" spans="104:111">
      <c r="CZ14499" s="256"/>
      <c r="DG14499" s="256"/>
    </row>
    <row r="14500" spans="104:111">
      <c r="CZ14500" s="256"/>
      <c r="DG14500" s="256"/>
    </row>
    <row r="14501" spans="104:111">
      <c r="CZ14501" s="256"/>
      <c r="DG14501" s="256"/>
    </row>
    <row r="14502" spans="104:111">
      <c r="CZ14502" s="256"/>
      <c r="DG14502" s="256"/>
    </row>
    <row r="14503" spans="104:111">
      <c r="CZ14503" s="256"/>
      <c r="DG14503" s="256"/>
    </row>
    <row r="14504" spans="104:111">
      <c r="CZ14504" s="256"/>
      <c r="DG14504" s="256"/>
    </row>
    <row r="14505" spans="104:111">
      <c r="CZ14505" s="256"/>
      <c r="DG14505" s="256"/>
    </row>
    <row r="14506" spans="104:111">
      <c r="CZ14506" s="256"/>
      <c r="DG14506" s="256"/>
    </row>
    <row r="14507" spans="104:111">
      <c r="CZ14507" s="256"/>
      <c r="DG14507" s="256"/>
    </row>
    <row r="14508" spans="104:111">
      <c r="CZ14508" s="256"/>
      <c r="DG14508" s="256"/>
    </row>
    <row r="14509" spans="104:111">
      <c r="CZ14509" s="256"/>
      <c r="DG14509" s="256"/>
    </row>
    <row r="14510" spans="104:111">
      <c r="CZ14510" s="256"/>
      <c r="DG14510" s="256"/>
    </row>
    <row r="14511" spans="104:111">
      <c r="CZ14511" s="256"/>
      <c r="DG14511" s="256"/>
    </row>
    <row r="14512" spans="104:111">
      <c r="CZ14512" s="256"/>
      <c r="DG14512" s="256"/>
    </row>
    <row r="14513" spans="104:111">
      <c r="CZ14513" s="256"/>
      <c r="DG14513" s="256"/>
    </row>
    <row r="14514" spans="104:111">
      <c r="CZ14514" s="256"/>
      <c r="DG14514" s="256"/>
    </row>
    <row r="14515" spans="104:111">
      <c r="CZ14515" s="256"/>
      <c r="DG14515" s="256"/>
    </row>
    <row r="14516" spans="104:111">
      <c r="CZ14516" s="256"/>
      <c r="DG14516" s="256"/>
    </row>
    <row r="14517" spans="104:111">
      <c r="CZ14517" s="256"/>
      <c r="DG14517" s="256"/>
    </row>
    <row r="14518" spans="104:111">
      <c r="CZ14518" s="256"/>
      <c r="DG14518" s="256"/>
    </row>
    <row r="14519" spans="104:111">
      <c r="CZ14519" s="256"/>
      <c r="DG14519" s="256"/>
    </row>
    <row r="14520" spans="104:111">
      <c r="CZ14520" s="256"/>
      <c r="DG14520" s="256"/>
    </row>
    <row r="14521" spans="104:111">
      <c r="CZ14521" s="256"/>
      <c r="DG14521" s="256"/>
    </row>
    <row r="14522" spans="104:111">
      <c r="CZ14522" s="256"/>
      <c r="DG14522" s="256"/>
    </row>
    <row r="14523" spans="104:111">
      <c r="CZ14523" s="256"/>
      <c r="DG14523" s="256"/>
    </row>
    <row r="14524" spans="104:111">
      <c r="CZ14524" s="256"/>
      <c r="DG14524" s="256"/>
    </row>
    <row r="14525" spans="104:111">
      <c r="CZ14525" s="256"/>
      <c r="DG14525" s="256"/>
    </row>
    <row r="14526" spans="104:111">
      <c r="CZ14526" s="256"/>
      <c r="DG14526" s="256"/>
    </row>
    <row r="14527" spans="104:111">
      <c r="CZ14527" s="256"/>
      <c r="DG14527" s="256"/>
    </row>
    <row r="14528" spans="104:111">
      <c r="CZ14528" s="256"/>
      <c r="DG14528" s="256"/>
    </row>
    <row r="14529" spans="104:111">
      <c r="CZ14529" s="256"/>
      <c r="DG14529" s="256"/>
    </row>
    <row r="14530" spans="104:111">
      <c r="CZ14530" s="256"/>
      <c r="DG14530" s="256"/>
    </row>
    <row r="14531" spans="104:111">
      <c r="CZ14531" s="256"/>
      <c r="DG14531" s="256"/>
    </row>
    <row r="14532" spans="104:111">
      <c r="CZ14532" s="256"/>
      <c r="DG14532" s="256"/>
    </row>
    <row r="14533" spans="104:111">
      <c r="CZ14533" s="256"/>
      <c r="DG14533" s="256"/>
    </row>
    <row r="14534" spans="104:111">
      <c r="CZ14534" s="256"/>
      <c r="DG14534" s="256"/>
    </row>
    <row r="14535" spans="104:111">
      <c r="CZ14535" s="256"/>
      <c r="DG14535" s="256"/>
    </row>
    <row r="14536" spans="104:111">
      <c r="CZ14536" s="256"/>
      <c r="DG14536" s="256"/>
    </row>
    <row r="14537" spans="104:111">
      <c r="CZ14537" s="256"/>
      <c r="DG14537" s="256"/>
    </row>
    <row r="14538" spans="104:111">
      <c r="CZ14538" s="256"/>
      <c r="DG14538" s="256"/>
    </row>
    <row r="14539" spans="104:111">
      <c r="CZ14539" s="256"/>
      <c r="DG14539" s="256"/>
    </row>
    <row r="14540" spans="104:111">
      <c r="CZ14540" s="256"/>
      <c r="DG14540" s="256"/>
    </row>
    <row r="14541" spans="104:111">
      <c r="CZ14541" s="256"/>
      <c r="DG14541" s="256"/>
    </row>
    <row r="14542" spans="104:111">
      <c r="CZ14542" s="256"/>
      <c r="DG14542" s="256"/>
    </row>
    <row r="14543" spans="104:111">
      <c r="CZ14543" s="256"/>
      <c r="DG14543" s="256"/>
    </row>
    <row r="14544" spans="104:111">
      <c r="CZ14544" s="256"/>
      <c r="DG14544" s="256"/>
    </row>
    <row r="14545" spans="104:111">
      <c r="CZ14545" s="256"/>
      <c r="DG14545" s="256"/>
    </row>
    <row r="14546" spans="104:111">
      <c r="CZ14546" s="256"/>
      <c r="DG14546" s="256"/>
    </row>
    <row r="14547" spans="104:111">
      <c r="CZ14547" s="256"/>
      <c r="DG14547" s="256"/>
    </row>
    <row r="14548" spans="104:111">
      <c r="CZ14548" s="256"/>
      <c r="DG14548" s="256"/>
    </row>
    <row r="14549" spans="104:111">
      <c r="CZ14549" s="256"/>
      <c r="DG14549" s="256"/>
    </row>
    <row r="14550" spans="104:111">
      <c r="CZ14550" s="256"/>
      <c r="DG14550" s="256"/>
    </row>
    <row r="14551" spans="104:111">
      <c r="CZ14551" s="256"/>
      <c r="DG14551" s="256"/>
    </row>
    <row r="14552" spans="104:111">
      <c r="CZ14552" s="256"/>
      <c r="DG14552" s="256"/>
    </row>
    <row r="14553" spans="104:111">
      <c r="CZ14553" s="256"/>
      <c r="DG14553" s="256"/>
    </row>
    <row r="14554" spans="104:111">
      <c r="CZ14554" s="256"/>
      <c r="DG14554" s="256"/>
    </row>
    <row r="14555" spans="104:111">
      <c r="CZ14555" s="256"/>
      <c r="DG14555" s="256"/>
    </row>
    <row r="14556" spans="104:111">
      <c r="CZ14556" s="256"/>
      <c r="DG14556" s="256"/>
    </row>
    <row r="14557" spans="104:111">
      <c r="CZ14557" s="256"/>
      <c r="DG14557" s="256"/>
    </row>
    <row r="14558" spans="104:111">
      <c r="CZ14558" s="256"/>
      <c r="DG14558" s="256"/>
    </row>
    <row r="14559" spans="104:111">
      <c r="CZ14559" s="256"/>
      <c r="DG14559" s="256"/>
    </row>
    <row r="14560" spans="104:111">
      <c r="CZ14560" s="256"/>
      <c r="DG14560" s="256"/>
    </row>
    <row r="14561" spans="104:111">
      <c r="CZ14561" s="256"/>
      <c r="DG14561" s="256"/>
    </row>
    <row r="14562" spans="104:111">
      <c r="CZ14562" s="256"/>
      <c r="DG14562" s="256"/>
    </row>
    <row r="14563" spans="104:111">
      <c r="CZ14563" s="256"/>
      <c r="DG14563" s="256"/>
    </row>
    <row r="14564" spans="104:111">
      <c r="CZ14564" s="256"/>
      <c r="DG14564" s="256"/>
    </row>
    <row r="14565" spans="104:111">
      <c r="CZ14565" s="256"/>
      <c r="DG14565" s="256"/>
    </row>
    <row r="14566" spans="104:111">
      <c r="CZ14566" s="256"/>
      <c r="DG14566" s="256"/>
    </row>
    <row r="14567" spans="104:111">
      <c r="CZ14567" s="256"/>
      <c r="DG14567" s="256"/>
    </row>
    <row r="14568" spans="104:111">
      <c r="CZ14568" s="256"/>
      <c r="DG14568" s="256"/>
    </row>
    <row r="14569" spans="104:111">
      <c r="CZ14569" s="256"/>
      <c r="DG14569" s="256"/>
    </row>
    <row r="14570" spans="104:111">
      <c r="CZ14570" s="256"/>
      <c r="DG14570" s="256"/>
    </row>
    <row r="14571" spans="104:111">
      <c r="CZ14571" s="256"/>
      <c r="DG14571" s="256"/>
    </row>
    <row r="14572" spans="104:111">
      <c r="CZ14572" s="256"/>
      <c r="DG14572" s="256"/>
    </row>
    <row r="14573" spans="104:111">
      <c r="CZ14573" s="256"/>
      <c r="DG14573" s="256"/>
    </row>
    <row r="14574" spans="104:111">
      <c r="CZ14574" s="256"/>
      <c r="DG14574" s="256"/>
    </row>
    <row r="14575" spans="104:111">
      <c r="CZ14575" s="256"/>
      <c r="DG14575" s="256"/>
    </row>
    <row r="14576" spans="104:111">
      <c r="CZ14576" s="256"/>
      <c r="DG14576" s="256"/>
    </row>
    <row r="14577" spans="104:111">
      <c r="CZ14577" s="256"/>
      <c r="DG14577" s="256"/>
    </row>
    <row r="14578" spans="104:111">
      <c r="CZ14578" s="256"/>
      <c r="DG14578" s="256"/>
    </row>
    <row r="14579" spans="104:111">
      <c r="CZ14579" s="256"/>
      <c r="DG14579" s="256"/>
    </row>
    <row r="14580" spans="104:111">
      <c r="CZ14580" s="256"/>
      <c r="DG14580" s="256"/>
    </row>
    <row r="14581" spans="104:111">
      <c r="CZ14581" s="256"/>
      <c r="DG14581" s="256"/>
    </row>
    <row r="14582" spans="104:111">
      <c r="CZ14582" s="256"/>
      <c r="DG14582" s="256"/>
    </row>
    <row r="14583" spans="104:111">
      <c r="CZ14583" s="256"/>
      <c r="DG14583" s="256"/>
    </row>
    <row r="14584" spans="104:111">
      <c r="CZ14584" s="256"/>
      <c r="DG14584" s="256"/>
    </row>
    <row r="14585" spans="104:111">
      <c r="CZ14585" s="256"/>
      <c r="DG14585" s="256"/>
    </row>
    <row r="14586" spans="104:111">
      <c r="CZ14586" s="256"/>
      <c r="DG14586" s="256"/>
    </row>
    <row r="14587" spans="104:111">
      <c r="CZ14587" s="256"/>
      <c r="DG14587" s="256"/>
    </row>
    <row r="14588" spans="104:111">
      <c r="CZ14588" s="256"/>
      <c r="DG14588" s="256"/>
    </row>
    <row r="14589" spans="104:111">
      <c r="CZ14589" s="256"/>
      <c r="DG14589" s="256"/>
    </row>
    <row r="14590" spans="104:111">
      <c r="CZ14590" s="256"/>
      <c r="DG14590" s="256"/>
    </row>
    <row r="14591" spans="104:111">
      <c r="CZ14591" s="256"/>
      <c r="DG14591" s="256"/>
    </row>
    <row r="14592" spans="104:111">
      <c r="CZ14592" s="256"/>
      <c r="DG14592" s="256"/>
    </row>
    <row r="14593" spans="104:111">
      <c r="CZ14593" s="256"/>
      <c r="DG14593" s="256"/>
    </row>
    <row r="14594" spans="104:111">
      <c r="CZ14594" s="256"/>
      <c r="DG14594" s="256"/>
    </row>
    <row r="14595" spans="104:111">
      <c r="CZ14595" s="256"/>
      <c r="DG14595" s="256"/>
    </row>
    <row r="14596" spans="104:111">
      <c r="CZ14596" s="256"/>
      <c r="DG14596" s="256"/>
    </row>
    <row r="14597" spans="104:111">
      <c r="CZ14597" s="256"/>
      <c r="DG14597" s="256"/>
    </row>
    <row r="14598" spans="104:111">
      <c r="CZ14598" s="256"/>
      <c r="DG14598" s="256"/>
    </row>
    <row r="14599" spans="104:111">
      <c r="CZ14599" s="256"/>
      <c r="DG14599" s="256"/>
    </row>
    <row r="14600" spans="104:111">
      <c r="CZ14600" s="256"/>
      <c r="DG14600" s="256"/>
    </row>
    <row r="14601" spans="104:111">
      <c r="CZ14601" s="256"/>
      <c r="DG14601" s="256"/>
    </row>
    <row r="14602" spans="104:111">
      <c r="CZ14602" s="256"/>
      <c r="DG14602" s="256"/>
    </row>
    <row r="14603" spans="104:111">
      <c r="CZ14603" s="256"/>
      <c r="DG14603" s="256"/>
    </row>
    <row r="14604" spans="104:111">
      <c r="CZ14604" s="256"/>
      <c r="DG14604" s="256"/>
    </row>
    <row r="14605" spans="104:111">
      <c r="CZ14605" s="256"/>
      <c r="DG14605" s="256"/>
    </row>
    <row r="14606" spans="104:111">
      <c r="CZ14606" s="256"/>
      <c r="DG14606" s="256"/>
    </row>
    <row r="14607" spans="104:111">
      <c r="CZ14607" s="256"/>
      <c r="DG14607" s="256"/>
    </row>
    <row r="14608" spans="104:111">
      <c r="CZ14608" s="256"/>
      <c r="DG14608" s="256"/>
    </row>
    <row r="14609" spans="104:111">
      <c r="CZ14609" s="256"/>
      <c r="DG14609" s="256"/>
    </row>
    <row r="14610" spans="104:111">
      <c r="CZ14610" s="256"/>
      <c r="DG14610" s="256"/>
    </row>
    <row r="14611" spans="104:111">
      <c r="CZ14611" s="256"/>
      <c r="DG14611" s="256"/>
    </row>
    <row r="14612" spans="104:111">
      <c r="CZ14612" s="256"/>
      <c r="DG14612" s="256"/>
    </row>
    <row r="14613" spans="104:111">
      <c r="CZ14613" s="256"/>
      <c r="DG14613" s="256"/>
    </row>
    <row r="14614" spans="104:111">
      <c r="CZ14614" s="256"/>
      <c r="DG14614" s="256"/>
    </row>
    <row r="14615" spans="104:111">
      <c r="CZ14615" s="256"/>
      <c r="DG14615" s="256"/>
    </row>
    <row r="14616" spans="104:111">
      <c r="CZ14616" s="256"/>
      <c r="DG14616" s="256"/>
    </row>
    <row r="14617" spans="104:111">
      <c r="CZ14617" s="256"/>
      <c r="DG14617" s="256"/>
    </row>
    <row r="14618" spans="104:111">
      <c r="CZ14618" s="256"/>
      <c r="DG14618" s="256"/>
    </row>
    <row r="14619" spans="104:111">
      <c r="CZ14619" s="256"/>
      <c r="DG14619" s="256"/>
    </row>
    <row r="14620" spans="104:111">
      <c r="CZ14620" s="256"/>
      <c r="DG14620" s="256"/>
    </row>
    <row r="14621" spans="104:111">
      <c r="CZ14621" s="256"/>
      <c r="DG14621" s="256"/>
    </row>
    <row r="14622" spans="104:111">
      <c r="CZ14622" s="256"/>
      <c r="DG14622" s="256"/>
    </row>
    <row r="14623" spans="104:111">
      <c r="CZ14623" s="256"/>
      <c r="DG14623" s="256"/>
    </row>
    <row r="14624" spans="104:111">
      <c r="CZ14624" s="256"/>
      <c r="DG14624" s="256"/>
    </row>
    <row r="14625" spans="104:111">
      <c r="CZ14625" s="256"/>
      <c r="DG14625" s="256"/>
    </row>
    <row r="14626" spans="104:111">
      <c r="CZ14626" s="256"/>
      <c r="DG14626" s="256"/>
    </row>
    <row r="14627" spans="104:111">
      <c r="CZ14627" s="256"/>
      <c r="DG14627" s="256"/>
    </row>
    <row r="14628" spans="104:111">
      <c r="CZ14628" s="256"/>
      <c r="DG14628" s="256"/>
    </row>
    <row r="14629" spans="104:111">
      <c r="CZ14629" s="256"/>
      <c r="DG14629" s="256"/>
    </row>
    <row r="14630" spans="104:111">
      <c r="CZ14630" s="256"/>
      <c r="DG14630" s="256"/>
    </row>
    <row r="14631" spans="104:111">
      <c r="CZ14631" s="256"/>
      <c r="DG14631" s="256"/>
    </row>
    <row r="14632" spans="104:111">
      <c r="CZ14632" s="256"/>
      <c r="DG14632" s="256"/>
    </row>
    <row r="14633" spans="104:111">
      <c r="CZ14633" s="256"/>
      <c r="DG14633" s="256"/>
    </row>
    <row r="14634" spans="104:111">
      <c r="CZ14634" s="256"/>
      <c r="DG14634" s="256"/>
    </row>
    <row r="14635" spans="104:111">
      <c r="CZ14635" s="256"/>
      <c r="DG14635" s="256"/>
    </row>
    <row r="14636" spans="104:111">
      <c r="CZ14636" s="256"/>
      <c r="DG14636" s="256"/>
    </row>
    <row r="14637" spans="104:111">
      <c r="CZ14637" s="256"/>
      <c r="DG14637" s="256"/>
    </row>
    <row r="14638" spans="104:111">
      <c r="CZ14638" s="256"/>
      <c r="DG14638" s="256"/>
    </row>
    <row r="14639" spans="104:111">
      <c r="CZ14639" s="256"/>
      <c r="DG14639" s="256"/>
    </row>
    <row r="14640" spans="104:111">
      <c r="CZ14640" s="256"/>
      <c r="DG14640" s="256"/>
    </row>
    <row r="14641" spans="104:111">
      <c r="CZ14641" s="256"/>
      <c r="DG14641" s="256"/>
    </row>
    <row r="14642" spans="104:111">
      <c r="CZ14642" s="256"/>
      <c r="DG14642" s="256"/>
    </row>
    <row r="14643" spans="104:111">
      <c r="CZ14643" s="256"/>
      <c r="DG14643" s="256"/>
    </row>
    <row r="14644" spans="104:111">
      <c r="CZ14644" s="256"/>
      <c r="DG14644" s="256"/>
    </row>
    <row r="14645" spans="104:111">
      <c r="CZ14645" s="256"/>
      <c r="DG14645" s="256"/>
    </row>
    <row r="14646" spans="104:111">
      <c r="CZ14646" s="256"/>
      <c r="DG14646" s="256"/>
    </row>
    <row r="14647" spans="104:111">
      <c r="CZ14647" s="256"/>
      <c r="DG14647" s="256"/>
    </row>
    <row r="14648" spans="104:111">
      <c r="CZ14648" s="256"/>
      <c r="DG14648" s="256"/>
    </row>
    <row r="14649" spans="104:111">
      <c r="CZ14649" s="256"/>
      <c r="DG14649" s="256"/>
    </row>
    <row r="14650" spans="104:111">
      <c r="CZ14650" s="256"/>
      <c r="DG14650" s="256"/>
    </row>
    <row r="14651" spans="104:111">
      <c r="CZ14651" s="256"/>
      <c r="DG14651" s="256"/>
    </row>
    <row r="14652" spans="104:111">
      <c r="CZ14652" s="256"/>
      <c r="DG14652" s="256"/>
    </row>
    <row r="14653" spans="104:111">
      <c r="CZ14653" s="256"/>
      <c r="DG14653" s="256"/>
    </row>
    <row r="14654" spans="104:111">
      <c r="CZ14654" s="256"/>
      <c r="DG14654" s="256"/>
    </row>
    <row r="14655" spans="104:111">
      <c r="CZ14655" s="256"/>
      <c r="DG14655" s="256"/>
    </row>
    <row r="14656" spans="104:111">
      <c r="CZ14656" s="256"/>
      <c r="DG14656" s="256"/>
    </row>
    <row r="14657" spans="104:111">
      <c r="CZ14657" s="256"/>
      <c r="DG14657" s="256"/>
    </row>
    <row r="14658" spans="104:111">
      <c r="CZ14658" s="256"/>
      <c r="DG14658" s="256"/>
    </row>
    <row r="14659" spans="104:111">
      <c r="CZ14659" s="256"/>
      <c r="DG14659" s="256"/>
    </row>
    <row r="14660" spans="104:111">
      <c r="CZ14660" s="256"/>
      <c r="DG14660" s="256"/>
    </row>
    <row r="14661" spans="104:111">
      <c r="CZ14661" s="256"/>
      <c r="DG14661" s="256"/>
    </row>
    <row r="14662" spans="104:111">
      <c r="CZ14662" s="256"/>
      <c r="DG14662" s="256"/>
    </row>
    <row r="14663" spans="104:111">
      <c r="CZ14663" s="256"/>
      <c r="DG14663" s="256"/>
    </row>
    <row r="14664" spans="104:111">
      <c r="CZ14664" s="256"/>
      <c r="DG14664" s="256"/>
    </row>
    <row r="14665" spans="104:111">
      <c r="CZ14665" s="256"/>
      <c r="DG14665" s="256"/>
    </row>
    <row r="14666" spans="104:111">
      <c r="CZ14666" s="256"/>
      <c r="DG14666" s="256"/>
    </row>
    <row r="14667" spans="104:111">
      <c r="CZ14667" s="256"/>
      <c r="DG14667" s="256"/>
    </row>
    <row r="14668" spans="104:111">
      <c r="CZ14668" s="256"/>
      <c r="DG14668" s="256"/>
    </row>
    <row r="14669" spans="104:111">
      <c r="CZ14669" s="256"/>
      <c r="DG14669" s="256"/>
    </row>
    <row r="14670" spans="104:111">
      <c r="CZ14670" s="256"/>
      <c r="DG14670" s="256"/>
    </row>
    <row r="14671" spans="104:111">
      <c r="CZ14671" s="256"/>
      <c r="DG14671" s="256"/>
    </row>
    <row r="14672" spans="104:111">
      <c r="CZ14672" s="256"/>
      <c r="DG14672" s="256"/>
    </row>
    <row r="14673" spans="104:111">
      <c r="CZ14673" s="256"/>
      <c r="DG14673" s="256"/>
    </row>
    <row r="14674" spans="104:111">
      <c r="CZ14674" s="256"/>
      <c r="DG14674" s="256"/>
    </row>
    <row r="14675" spans="104:111">
      <c r="CZ14675" s="256"/>
      <c r="DG14675" s="256"/>
    </row>
    <row r="14676" spans="104:111">
      <c r="CZ14676" s="256"/>
      <c r="DG14676" s="256"/>
    </row>
    <row r="14677" spans="104:111">
      <c r="CZ14677" s="256"/>
      <c r="DG14677" s="256"/>
    </row>
    <row r="14678" spans="104:111">
      <c r="CZ14678" s="256"/>
      <c r="DG14678" s="256"/>
    </row>
    <row r="14679" spans="104:111">
      <c r="CZ14679" s="256"/>
      <c r="DG14679" s="256"/>
    </row>
    <row r="14680" spans="104:111">
      <c r="CZ14680" s="256"/>
      <c r="DG14680" s="256"/>
    </row>
    <row r="14681" spans="104:111">
      <c r="CZ14681" s="256"/>
      <c r="DG14681" s="256"/>
    </row>
    <row r="14682" spans="104:111">
      <c r="CZ14682" s="256"/>
      <c r="DG14682" s="256"/>
    </row>
    <row r="14683" spans="104:111">
      <c r="CZ14683" s="256"/>
      <c r="DG14683" s="256"/>
    </row>
    <row r="14684" spans="104:111">
      <c r="CZ14684" s="256"/>
      <c r="DG14684" s="256"/>
    </row>
    <row r="14685" spans="104:111">
      <c r="CZ14685" s="256"/>
      <c r="DG14685" s="256"/>
    </row>
    <row r="14686" spans="104:111">
      <c r="CZ14686" s="256"/>
      <c r="DG14686" s="256"/>
    </row>
    <row r="14687" spans="104:111">
      <c r="CZ14687" s="256"/>
      <c r="DG14687" s="256"/>
    </row>
    <row r="14688" spans="104:111">
      <c r="CZ14688" s="256"/>
      <c r="DG14688" s="256"/>
    </row>
    <row r="14689" spans="104:111">
      <c r="CZ14689" s="256"/>
      <c r="DG14689" s="256"/>
    </row>
    <row r="14690" spans="104:111">
      <c r="CZ14690" s="256"/>
      <c r="DG14690" s="256"/>
    </row>
    <row r="14691" spans="104:111">
      <c r="CZ14691" s="256"/>
      <c r="DG14691" s="256"/>
    </row>
    <row r="14692" spans="104:111">
      <c r="CZ14692" s="256"/>
      <c r="DG14692" s="256"/>
    </row>
    <row r="14693" spans="104:111">
      <c r="CZ14693" s="256"/>
      <c r="DG14693" s="256"/>
    </row>
    <row r="14694" spans="104:111">
      <c r="CZ14694" s="256"/>
      <c r="DG14694" s="256"/>
    </row>
    <row r="14695" spans="104:111">
      <c r="CZ14695" s="256"/>
      <c r="DG14695" s="256"/>
    </row>
    <row r="14696" spans="104:111">
      <c r="CZ14696" s="256"/>
      <c r="DG14696" s="256"/>
    </row>
    <row r="14697" spans="104:111">
      <c r="CZ14697" s="256"/>
      <c r="DG14697" s="256"/>
    </row>
    <row r="14698" spans="104:111">
      <c r="CZ14698" s="256"/>
      <c r="DG14698" s="256"/>
    </row>
    <row r="14699" spans="104:111">
      <c r="CZ14699" s="256"/>
      <c r="DG14699" s="256"/>
    </row>
    <row r="14700" spans="104:111">
      <c r="CZ14700" s="256"/>
      <c r="DG14700" s="256"/>
    </row>
    <row r="14701" spans="104:111">
      <c r="CZ14701" s="256"/>
      <c r="DG14701" s="256"/>
    </row>
    <row r="14702" spans="104:111">
      <c r="CZ14702" s="256"/>
      <c r="DG14702" s="256"/>
    </row>
    <row r="14703" spans="104:111">
      <c r="CZ14703" s="256"/>
      <c r="DG14703" s="256"/>
    </row>
    <row r="14704" spans="104:111">
      <c r="CZ14704" s="256"/>
      <c r="DG14704" s="256"/>
    </row>
    <row r="14705" spans="104:111">
      <c r="CZ14705" s="256"/>
      <c r="DG14705" s="256"/>
    </row>
    <row r="14706" spans="104:111">
      <c r="CZ14706" s="256"/>
      <c r="DG14706" s="256"/>
    </row>
    <row r="14707" spans="104:111">
      <c r="CZ14707" s="256"/>
      <c r="DG14707" s="256"/>
    </row>
    <row r="14708" spans="104:111">
      <c r="CZ14708" s="256"/>
      <c r="DG14708" s="256"/>
    </row>
    <row r="14709" spans="104:111">
      <c r="CZ14709" s="256"/>
      <c r="DG14709" s="256"/>
    </row>
    <row r="14710" spans="104:111">
      <c r="CZ14710" s="256"/>
      <c r="DG14710" s="256"/>
    </row>
    <row r="14711" spans="104:111">
      <c r="CZ14711" s="256"/>
      <c r="DG14711" s="256"/>
    </row>
    <row r="14712" spans="104:111">
      <c r="CZ14712" s="256"/>
      <c r="DG14712" s="256"/>
    </row>
    <row r="14713" spans="104:111">
      <c r="CZ14713" s="256"/>
      <c r="DG14713" s="256"/>
    </row>
    <row r="14714" spans="104:111">
      <c r="CZ14714" s="256"/>
      <c r="DG14714" s="256"/>
    </row>
    <row r="14715" spans="104:111">
      <c r="CZ14715" s="256"/>
      <c r="DG14715" s="256"/>
    </row>
    <row r="14716" spans="104:111">
      <c r="CZ14716" s="256"/>
      <c r="DG14716" s="256"/>
    </row>
    <row r="14717" spans="104:111">
      <c r="CZ14717" s="256"/>
      <c r="DG14717" s="256"/>
    </row>
    <row r="14718" spans="104:111">
      <c r="CZ14718" s="256"/>
      <c r="DG14718" s="256"/>
    </row>
    <row r="14719" spans="104:111">
      <c r="CZ14719" s="256"/>
      <c r="DG14719" s="256"/>
    </row>
    <row r="14720" spans="104:111">
      <c r="CZ14720" s="256"/>
      <c r="DG14720" s="256"/>
    </row>
    <row r="14721" spans="104:111">
      <c r="CZ14721" s="256"/>
      <c r="DG14721" s="256"/>
    </row>
    <row r="14722" spans="104:111">
      <c r="CZ14722" s="256"/>
      <c r="DG14722" s="256"/>
    </row>
    <row r="14723" spans="104:111">
      <c r="CZ14723" s="256"/>
      <c r="DG14723" s="256"/>
    </row>
    <row r="14724" spans="104:111">
      <c r="CZ14724" s="256"/>
      <c r="DG14724" s="256"/>
    </row>
    <row r="14725" spans="104:111">
      <c r="CZ14725" s="256"/>
      <c r="DG14725" s="256"/>
    </row>
    <row r="14726" spans="104:111">
      <c r="CZ14726" s="256"/>
      <c r="DG14726" s="256"/>
    </row>
    <row r="14727" spans="104:111">
      <c r="CZ14727" s="256"/>
      <c r="DG14727" s="256"/>
    </row>
    <row r="14728" spans="104:111">
      <c r="CZ14728" s="256"/>
      <c r="DG14728" s="256"/>
    </row>
    <row r="14729" spans="104:111">
      <c r="CZ14729" s="256"/>
      <c r="DG14729" s="256"/>
    </row>
    <row r="14730" spans="104:111">
      <c r="CZ14730" s="256"/>
      <c r="DG14730" s="256"/>
    </row>
    <row r="14731" spans="104:111">
      <c r="CZ14731" s="256"/>
      <c r="DG14731" s="256"/>
    </row>
    <row r="14732" spans="104:111">
      <c r="CZ14732" s="256"/>
      <c r="DG14732" s="256"/>
    </row>
    <row r="14733" spans="104:111">
      <c r="CZ14733" s="256"/>
      <c r="DG14733" s="256"/>
    </row>
    <row r="14734" spans="104:111">
      <c r="CZ14734" s="256"/>
      <c r="DG14734" s="256"/>
    </row>
    <row r="14735" spans="104:111">
      <c r="CZ14735" s="256"/>
      <c r="DG14735" s="256"/>
    </row>
    <row r="14736" spans="104:111">
      <c r="CZ14736" s="256"/>
      <c r="DG14736" s="256"/>
    </row>
    <row r="14737" spans="104:111">
      <c r="CZ14737" s="256"/>
      <c r="DG14737" s="256"/>
    </row>
    <row r="14738" spans="104:111">
      <c r="CZ14738" s="256"/>
      <c r="DG14738" s="256"/>
    </row>
    <row r="14739" spans="104:111">
      <c r="CZ14739" s="256"/>
      <c r="DG14739" s="256"/>
    </row>
    <row r="14740" spans="104:111">
      <c r="CZ14740" s="256"/>
      <c r="DG14740" s="256"/>
    </row>
    <row r="14741" spans="104:111">
      <c r="CZ14741" s="256"/>
      <c r="DG14741" s="256"/>
    </row>
    <row r="14742" spans="104:111">
      <c r="CZ14742" s="256"/>
      <c r="DG14742" s="256"/>
    </row>
    <row r="14743" spans="104:111">
      <c r="CZ14743" s="256"/>
      <c r="DG14743" s="256"/>
    </row>
    <row r="14744" spans="104:111">
      <c r="CZ14744" s="256"/>
      <c r="DG14744" s="256"/>
    </row>
    <row r="14745" spans="104:111">
      <c r="CZ14745" s="256"/>
      <c r="DG14745" s="256"/>
    </row>
    <row r="14746" spans="104:111">
      <c r="CZ14746" s="256"/>
      <c r="DG14746" s="256"/>
    </row>
    <row r="14747" spans="104:111">
      <c r="CZ14747" s="256"/>
      <c r="DG14747" s="256"/>
    </row>
    <row r="14748" spans="104:111">
      <c r="CZ14748" s="256"/>
      <c r="DG14748" s="256"/>
    </row>
    <row r="14749" spans="104:111">
      <c r="CZ14749" s="256"/>
      <c r="DG14749" s="256"/>
    </row>
    <row r="14750" spans="104:111">
      <c r="CZ14750" s="256"/>
      <c r="DG14750" s="256"/>
    </row>
    <row r="14751" spans="104:111">
      <c r="CZ14751" s="256"/>
      <c r="DG14751" s="256"/>
    </row>
    <row r="14752" spans="104:111">
      <c r="CZ14752" s="256"/>
      <c r="DG14752" s="256"/>
    </row>
    <row r="14753" spans="104:111">
      <c r="CZ14753" s="256"/>
      <c r="DG14753" s="256"/>
    </row>
    <row r="14754" spans="104:111">
      <c r="CZ14754" s="256"/>
      <c r="DG14754" s="256"/>
    </row>
    <row r="14755" spans="104:111">
      <c r="CZ14755" s="256"/>
      <c r="DG14755" s="256"/>
    </row>
    <row r="14756" spans="104:111">
      <c r="CZ14756" s="256"/>
      <c r="DG14756" s="256"/>
    </row>
    <row r="14757" spans="104:111">
      <c r="CZ14757" s="256"/>
      <c r="DG14757" s="256"/>
    </row>
    <row r="14758" spans="104:111">
      <c r="CZ14758" s="256"/>
      <c r="DG14758" s="256"/>
    </row>
    <row r="14759" spans="104:111">
      <c r="CZ14759" s="256"/>
      <c r="DG14759" s="256"/>
    </row>
    <row r="14760" spans="104:111">
      <c r="CZ14760" s="256"/>
      <c r="DG14760" s="256"/>
    </row>
    <row r="14761" spans="104:111">
      <c r="CZ14761" s="256"/>
      <c r="DG14761" s="256"/>
    </row>
    <row r="14762" spans="104:111">
      <c r="CZ14762" s="256"/>
      <c r="DG14762" s="256"/>
    </row>
    <row r="14763" spans="104:111">
      <c r="CZ14763" s="256"/>
      <c r="DG14763" s="256"/>
    </row>
    <row r="14764" spans="104:111">
      <c r="CZ14764" s="256"/>
      <c r="DG14764" s="256"/>
    </row>
    <row r="14765" spans="104:111">
      <c r="CZ14765" s="256"/>
      <c r="DG14765" s="256"/>
    </row>
    <row r="14766" spans="104:111">
      <c r="CZ14766" s="256"/>
      <c r="DG14766" s="256"/>
    </row>
    <row r="14767" spans="104:111">
      <c r="CZ14767" s="256"/>
      <c r="DG14767" s="256"/>
    </row>
    <row r="14768" spans="104:111">
      <c r="CZ14768" s="256"/>
      <c r="DG14768" s="256"/>
    </row>
    <row r="14769" spans="104:111">
      <c r="CZ14769" s="256"/>
      <c r="DG14769" s="256"/>
    </row>
    <row r="14770" spans="104:111">
      <c r="CZ14770" s="256"/>
      <c r="DG14770" s="256"/>
    </row>
    <row r="14771" spans="104:111">
      <c r="CZ14771" s="256"/>
      <c r="DG14771" s="256"/>
    </row>
    <row r="14772" spans="104:111">
      <c r="CZ14772" s="256"/>
      <c r="DG14772" s="256"/>
    </row>
    <row r="14773" spans="104:111">
      <c r="CZ14773" s="256"/>
      <c r="DG14773" s="256"/>
    </row>
    <row r="14774" spans="104:111">
      <c r="CZ14774" s="256"/>
      <c r="DG14774" s="256"/>
    </row>
    <row r="14775" spans="104:111">
      <c r="CZ14775" s="256"/>
      <c r="DG14775" s="256"/>
    </row>
    <row r="14776" spans="104:111">
      <c r="CZ14776" s="256"/>
      <c r="DG14776" s="256"/>
    </row>
    <row r="14777" spans="104:111">
      <c r="CZ14777" s="256"/>
      <c r="DG14777" s="256"/>
    </row>
    <row r="14778" spans="104:111">
      <c r="CZ14778" s="256"/>
      <c r="DG14778" s="256"/>
    </row>
    <row r="14779" spans="104:111">
      <c r="CZ14779" s="256"/>
      <c r="DG14779" s="256"/>
    </row>
    <row r="14780" spans="104:111">
      <c r="CZ14780" s="256"/>
      <c r="DG14780" s="256"/>
    </row>
    <row r="14781" spans="104:111">
      <c r="CZ14781" s="256"/>
      <c r="DG14781" s="256"/>
    </row>
    <row r="14782" spans="104:111">
      <c r="CZ14782" s="256"/>
      <c r="DG14782" s="256"/>
    </row>
    <row r="14783" spans="104:111">
      <c r="CZ14783" s="256"/>
      <c r="DG14783" s="256"/>
    </row>
    <row r="14784" spans="104:111">
      <c r="CZ14784" s="256"/>
      <c r="DG14784" s="256"/>
    </row>
    <row r="14785" spans="104:111">
      <c r="CZ14785" s="256"/>
      <c r="DG14785" s="256"/>
    </row>
    <row r="14786" spans="104:111">
      <c r="CZ14786" s="256"/>
      <c r="DG14786" s="256"/>
    </row>
    <row r="14787" spans="104:111">
      <c r="CZ14787" s="256"/>
      <c r="DG14787" s="256"/>
    </row>
    <row r="14788" spans="104:111">
      <c r="CZ14788" s="256"/>
      <c r="DG14788" s="256"/>
    </row>
    <row r="14789" spans="104:111">
      <c r="CZ14789" s="256"/>
      <c r="DG14789" s="256"/>
    </row>
    <row r="14790" spans="104:111">
      <c r="CZ14790" s="256"/>
      <c r="DG14790" s="256"/>
    </row>
    <row r="14791" spans="104:111">
      <c r="CZ14791" s="256"/>
      <c r="DG14791" s="256"/>
    </row>
    <row r="14792" spans="104:111">
      <c r="CZ14792" s="256"/>
      <c r="DG14792" s="256"/>
    </row>
    <row r="14793" spans="104:111">
      <c r="CZ14793" s="256"/>
      <c r="DG14793" s="256"/>
    </row>
    <row r="14794" spans="104:111">
      <c r="CZ14794" s="256"/>
      <c r="DG14794" s="256"/>
    </row>
    <row r="14795" spans="104:111">
      <c r="CZ14795" s="256"/>
      <c r="DG14795" s="256"/>
    </row>
    <row r="14796" spans="104:111">
      <c r="CZ14796" s="256"/>
      <c r="DG14796" s="256"/>
    </row>
    <row r="14797" spans="104:111">
      <c r="CZ14797" s="256"/>
      <c r="DG14797" s="256"/>
    </row>
    <row r="14798" spans="104:111">
      <c r="CZ14798" s="256"/>
      <c r="DG14798" s="256"/>
    </row>
    <row r="14799" spans="104:111">
      <c r="CZ14799" s="256"/>
      <c r="DG14799" s="256"/>
    </row>
    <row r="14800" spans="104:111">
      <c r="CZ14800" s="256"/>
      <c r="DG14800" s="256"/>
    </row>
    <row r="14801" spans="104:111">
      <c r="CZ14801" s="256"/>
      <c r="DG14801" s="256"/>
    </row>
    <row r="14802" spans="104:111">
      <c r="CZ14802" s="256"/>
      <c r="DG14802" s="256"/>
    </row>
    <row r="14803" spans="104:111">
      <c r="CZ14803" s="256"/>
      <c r="DG14803" s="256"/>
    </row>
    <row r="14804" spans="104:111">
      <c r="CZ14804" s="256"/>
      <c r="DG14804" s="256"/>
    </row>
    <row r="14805" spans="104:111">
      <c r="CZ14805" s="256"/>
      <c r="DG14805" s="256"/>
    </row>
    <row r="14806" spans="104:111">
      <c r="CZ14806" s="256"/>
      <c r="DG14806" s="256"/>
    </row>
    <row r="14807" spans="104:111">
      <c r="CZ14807" s="256"/>
      <c r="DG14807" s="256"/>
    </row>
    <row r="14808" spans="104:111">
      <c r="CZ14808" s="256"/>
      <c r="DG14808" s="256"/>
    </row>
    <row r="14809" spans="104:111">
      <c r="CZ14809" s="256"/>
      <c r="DG14809" s="256"/>
    </row>
    <row r="14810" spans="104:111">
      <c r="CZ14810" s="256"/>
      <c r="DG14810" s="256"/>
    </row>
    <row r="14811" spans="104:111">
      <c r="CZ14811" s="256"/>
      <c r="DG14811" s="256"/>
    </row>
    <row r="14812" spans="104:111">
      <c r="CZ14812" s="256"/>
      <c r="DG14812" s="256"/>
    </row>
    <row r="14813" spans="104:111">
      <c r="CZ14813" s="256"/>
      <c r="DG14813" s="256"/>
    </row>
    <row r="14814" spans="104:111">
      <c r="CZ14814" s="256"/>
      <c r="DG14814" s="256"/>
    </row>
    <row r="14815" spans="104:111">
      <c r="CZ14815" s="256"/>
      <c r="DG14815" s="256"/>
    </row>
    <row r="14816" spans="104:111">
      <c r="CZ14816" s="256"/>
      <c r="DG14816" s="256"/>
    </row>
    <row r="14817" spans="104:111">
      <c r="CZ14817" s="256"/>
      <c r="DG14817" s="256"/>
    </row>
    <row r="14818" spans="104:111">
      <c r="CZ14818" s="256"/>
      <c r="DG14818" s="256"/>
    </row>
    <row r="14819" spans="104:111">
      <c r="CZ14819" s="256"/>
      <c r="DG14819" s="256"/>
    </row>
    <row r="14820" spans="104:111">
      <c r="CZ14820" s="256"/>
      <c r="DG14820" s="256"/>
    </row>
    <row r="14821" spans="104:111">
      <c r="CZ14821" s="256"/>
      <c r="DG14821" s="256"/>
    </row>
    <row r="14822" spans="104:111">
      <c r="CZ14822" s="256"/>
      <c r="DG14822" s="256"/>
    </row>
    <row r="14823" spans="104:111">
      <c r="CZ14823" s="256"/>
      <c r="DG14823" s="256"/>
    </row>
    <row r="14824" spans="104:111">
      <c r="CZ14824" s="256"/>
      <c r="DG14824" s="256"/>
    </row>
    <row r="14825" spans="104:111">
      <c r="CZ14825" s="256"/>
      <c r="DG14825" s="256"/>
    </row>
    <row r="14826" spans="104:111">
      <c r="CZ14826" s="256"/>
      <c r="DG14826" s="256"/>
    </row>
    <row r="14827" spans="104:111">
      <c r="CZ14827" s="256"/>
      <c r="DG14827" s="256"/>
    </row>
    <row r="14828" spans="104:111">
      <c r="CZ14828" s="256"/>
      <c r="DG14828" s="256"/>
    </row>
    <row r="14829" spans="104:111">
      <c r="CZ14829" s="256"/>
      <c r="DG14829" s="256"/>
    </row>
    <row r="14830" spans="104:111">
      <c r="CZ14830" s="256"/>
      <c r="DG14830" s="256"/>
    </row>
    <row r="14831" spans="104:111">
      <c r="CZ14831" s="256"/>
      <c r="DG14831" s="256"/>
    </row>
    <row r="14832" spans="104:111">
      <c r="CZ14832" s="256"/>
      <c r="DG14832" s="256"/>
    </row>
    <row r="14833" spans="104:111">
      <c r="CZ14833" s="256"/>
      <c r="DG14833" s="256"/>
    </row>
    <row r="14834" spans="104:111">
      <c r="CZ14834" s="256"/>
      <c r="DG14834" s="256"/>
    </row>
    <row r="14835" spans="104:111">
      <c r="CZ14835" s="256"/>
      <c r="DG14835" s="256"/>
    </row>
    <row r="14836" spans="104:111">
      <c r="CZ14836" s="256"/>
      <c r="DG14836" s="256"/>
    </row>
    <row r="14837" spans="104:111">
      <c r="CZ14837" s="256"/>
      <c r="DG14837" s="256"/>
    </row>
    <row r="14838" spans="104:111">
      <c r="CZ14838" s="256"/>
      <c r="DG14838" s="256"/>
    </row>
    <row r="14839" spans="104:111">
      <c r="CZ14839" s="256"/>
      <c r="DG14839" s="256"/>
    </row>
    <row r="14840" spans="104:111">
      <c r="CZ14840" s="256"/>
      <c r="DG14840" s="256"/>
    </row>
    <row r="14841" spans="104:111">
      <c r="CZ14841" s="256"/>
      <c r="DG14841" s="256"/>
    </row>
    <row r="14842" spans="104:111">
      <c r="CZ14842" s="256"/>
      <c r="DG14842" s="256"/>
    </row>
    <row r="14843" spans="104:111">
      <c r="CZ14843" s="256"/>
      <c r="DG14843" s="256"/>
    </row>
    <row r="14844" spans="104:111">
      <c r="CZ14844" s="256"/>
      <c r="DG14844" s="256"/>
    </row>
    <row r="14845" spans="104:111">
      <c r="CZ14845" s="256"/>
      <c r="DG14845" s="256"/>
    </row>
    <row r="14846" spans="104:111">
      <c r="CZ14846" s="256"/>
      <c r="DG14846" s="256"/>
    </row>
    <row r="14847" spans="104:111">
      <c r="CZ14847" s="256"/>
      <c r="DG14847" s="256"/>
    </row>
    <row r="14848" spans="104:111">
      <c r="CZ14848" s="256"/>
      <c r="DG14848" s="256"/>
    </row>
    <row r="14849" spans="104:111">
      <c r="CZ14849" s="256"/>
      <c r="DG14849" s="256"/>
    </row>
    <row r="14850" spans="104:111">
      <c r="CZ14850" s="256"/>
      <c r="DG14850" s="256"/>
    </row>
    <row r="14851" spans="104:111">
      <c r="CZ14851" s="256"/>
      <c r="DG14851" s="256"/>
    </row>
    <row r="14852" spans="104:111">
      <c r="CZ14852" s="256"/>
      <c r="DG14852" s="256"/>
    </row>
    <row r="14853" spans="104:111">
      <c r="CZ14853" s="256"/>
      <c r="DG14853" s="256"/>
    </row>
    <row r="14854" spans="104:111">
      <c r="CZ14854" s="256"/>
      <c r="DG14854" s="256"/>
    </row>
    <row r="14855" spans="104:111">
      <c r="CZ14855" s="256"/>
      <c r="DG14855" s="256"/>
    </row>
    <row r="14856" spans="104:111">
      <c r="CZ14856" s="256"/>
      <c r="DG14856" s="256"/>
    </row>
    <row r="14857" spans="104:111">
      <c r="CZ14857" s="256"/>
      <c r="DG14857" s="256"/>
    </row>
    <row r="14858" spans="104:111">
      <c r="CZ14858" s="256"/>
      <c r="DG14858" s="256"/>
    </row>
    <row r="14859" spans="104:111">
      <c r="CZ14859" s="256"/>
      <c r="DG14859" s="256"/>
    </row>
    <row r="14860" spans="104:111">
      <c r="CZ14860" s="256"/>
      <c r="DG14860" s="256"/>
    </row>
    <row r="14861" spans="104:111">
      <c r="CZ14861" s="256"/>
      <c r="DG14861" s="256"/>
    </row>
    <row r="14862" spans="104:111">
      <c r="CZ14862" s="256"/>
      <c r="DG14862" s="256"/>
    </row>
    <row r="14863" spans="104:111">
      <c r="CZ14863" s="256"/>
      <c r="DG14863" s="256"/>
    </row>
    <row r="14864" spans="104:111">
      <c r="CZ14864" s="256"/>
      <c r="DG14864" s="256"/>
    </row>
    <row r="14865" spans="104:111">
      <c r="CZ14865" s="256"/>
      <c r="DG14865" s="256"/>
    </row>
    <row r="14866" spans="104:111">
      <c r="CZ14866" s="256"/>
      <c r="DG14866" s="256"/>
    </row>
    <row r="14867" spans="104:111">
      <c r="CZ14867" s="256"/>
      <c r="DG14867" s="256"/>
    </row>
    <row r="14868" spans="104:111">
      <c r="CZ14868" s="256"/>
      <c r="DG14868" s="256"/>
    </row>
    <row r="14869" spans="104:111">
      <c r="CZ14869" s="256"/>
      <c r="DG14869" s="256"/>
    </row>
    <row r="14870" spans="104:111">
      <c r="CZ14870" s="256"/>
      <c r="DG14870" s="256"/>
    </row>
    <row r="14871" spans="104:111">
      <c r="CZ14871" s="256"/>
      <c r="DG14871" s="256"/>
    </row>
    <row r="14872" spans="104:111">
      <c r="CZ14872" s="256"/>
      <c r="DG14872" s="256"/>
    </row>
    <row r="14873" spans="104:111">
      <c r="CZ14873" s="256"/>
      <c r="DG14873" s="256"/>
    </row>
    <row r="14874" spans="104:111">
      <c r="CZ14874" s="256"/>
      <c r="DG14874" s="256"/>
    </row>
    <row r="14875" spans="104:111">
      <c r="CZ14875" s="256"/>
      <c r="DG14875" s="256"/>
    </row>
    <row r="14876" spans="104:111">
      <c r="CZ14876" s="256"/>
      <c r="DG14876" s="256"/>
    </row>
    <row r="14877" spans="104:111">
      <c r="CZ14877" s="256"/>
      <c r="DG14877" s="256"/>
    </row>
    <row r="14878" spans="104:111">
      <c r="CZ14878" s="256"/>
      <c r="DG14878" s="256"/>
    </row>
    <row r="14879" spans="104:111">
      <c r="CZ14879" s="256"/>
      <c r="DG14879" s="256"/>
    </row>
    <row r="14880" spans="104:111">
      <c r="CZ14880" s="256"/>
      <c r="DG14880" s="256"/>
    </row>
    <row r="14881" spans="104:111">
      <c r="CZ14881" s="256"/>
      <c r="DG14881" s="256"/>
    </row>
    <row r="14882" spans="104:111">
      <c r="CZ14882" s="256"/>
      <c r="DG14882" s="256"/>
    </row>
    <row r="14883" spans="104:111">
      <c r="CZ14883" s="256"/>
      <c r="DG14883" s="256"/>
    </row>
    <row r="14884" spans="104:111">
      <c r="CZ14884" s="256"/>
      <c r="DG14884" s="256"/>
    </row>
    <row r="14885" spans="104:111">
      <c r="CZ14885" s="256"/>
      <c r="DG14885" s="256"/>
    </row>
    <row r="14886" spans="104:111">
      <c r="CZ14886" s="256"/>
      <c r="DG14886" s="256"/>
    </row>
    <row r="14887" spans="104:111">
      <c r="CZ14887" s="256"/>
      <c r="DG14887" s="256"/>
    </row>
    <row r="14888" spans="104:111">
      <c r="CZ14888" s="256"/>
      <c r="DG14888" s="256"/>
    </row>
    <row r="14889" spans="104:111">
      <c r="CZ14889" s="256"/>
      <c r="DG14889" s="256"/>
    </row>
    <row r="14890" spans="104:111">
      <c r="CZ14890" s="256"/>
      <c r="DG14890" s="256"/>
    </row>
    <row r="14891" spans="104:111">
      <c r="CZ14891" s="256"/>
      <c r="DG14891" s="256"/>
    </row>
    <row r="14892" spans="104:111">
      <c r="CZ14892" s="256"/>
      <c r="DG14892" s="256"/>
    </row>
    <row r="14893" spans="104:111">
      <c r="CZ14893" s="256"/>
      <c r="DG14893" s="256"/>
    </row>
    <row r="14894" spans="104:111">
      <c r="CZ14894" s="256"/>
      <c r="DG14894" s="256"/>
    </row>
    <row r="14895" spans="104:111">
      <c r="CZ14895" s="256"/>
      <c r="DG14895" s="256"/>
    </row>
    <row r="14896" spans="104:111">
      <c r="CZ14896" s="256"/>
      <c r="DG14896" s="256"/>
    </row>
    <row r="14897" spans="104:111">
      <c r="CZ14897" s="256"/>
      <c r="DG14897" s="256"/>
    </row>
    <row r="14898" spans="104:111">
      <c r="CZ14898" s="256"/>
      <c r="DG14898" s="256"/>
    </row>
    <row r="14899" spans="104:111">
      <c r="CZ14899" s="256"/>
      <c r="DG14899" s="256"/>
    </row>
    <row r="14900" spans="104:111">
      <c r="CZ14900" s="256"/>
      <c r="DG14900" s="256"/>
    </row>
    <row r="14901" spans="104:111">
      <c r="CZ14901" s="256"/>
      <c r="DG14901" s="256"/>
    </row>
    <row r="14902" spans="104:111">
      <c r="CZ14902" s="256"/>
      <c r="DG14902" s="256"/>
    </row>
    <row r="14903" spans="104:111">
      <c r="CZ14903" s="256"/>
      <c r="DG14903" s="256"/>
    </row>
    <row r="14904" spans="104:111">
      <c r="CZ14904" s="256"/>
      <c r="DG14904" s="256"/>
    </row>
    <row r="14905" spans="104:111">
      <c r="CZ14905" s="256"/>
      <c r="DG14905" s="256"/>
    </row>
    <row r="14906" spans="104:111">
      <c r="CZ14906" s="256"/>
      <c r="DG14906" s="256"/>
    </row>
    <row r="14907" spans="104:111">
      <c r="CZ14907" s="256"/>
      <c r="DG14907" s="256"/>
    </row>
    <row r="14908" spans="104:111">
      <c r="CZ14908" s="256"/>
      <c r="DG14908" s="256"/>
    </row>
    <row r="14909" spans="104:111">
      <c r="CZ14909" s="256"/>
      <c r="DG14909" s="256"/>
    </row>
    <row r="14910" spans="104:111">
      <c r="CZ14910" s="256"/>
      <c r="DG14910" s="256"/>
    </row>
    <row r="14911" spans="104:111">
      <c r="CZ14911" s="256"/>
      <c r="DG14911" s="256"/>
    </row>
    <row r="14912" spans="104:111">
      <c r="CZ14912" s="256"/>
      <c r="DG14912" s="256"/>
    </row>
    <row r="14913" spans="104:111">
      <c r="CZ14913" s="256"/>
      <c r="DG14913" s="256"/>
    </row>
    <row r="14914" spans="104:111">
      <c r="CZ14914" s="256"/>
      <c r="DG14914" s="256"/>
    </row>
    <row r="14915" spans="104:111">
      <c r="CZ14915" s="256"/>
      <c r="DG14915" s="256"/>
    </row>
    <row r="14916" spans="104:111">
      <c r="CZ14916" s="256"/>
      <c r="DG14916" s="256"/>
    </row>
    <row r="14917" spans="104:111">
      <c r="CZ14917" s="256"/>
      <c r="DG14917" s="256"/>
    </row>
    <row r="14918" spans="104:111">
      <c r="CZ14918" s="256"/>
      <c r="DG14918" s="256"/>
    </row>
    <row r="14919" spans="104:111">
      <c r="CZ14919" s="256"/>
      <c r="DG14919" s="256"/>
    </row>
    <row r="14920" spans="104:111">
      <c r="CZ14920" s="256"/>
      <c r="DG14920" s="256"/>
    </row>
    <row r="14921" spans="104:111">
      <c r="CZ14921" s="256"/>
      <c r="DG14921" s="256"/>
    </row>
    <row r="14922" spans="104:111">
      <c r="CZ14922" s="256"/>
      <c r="DG14922" s="256"/>
    </row>
    <row r="14923" spans="104:111">
      <c r="CZ14923" s="256"/>
      <c r="DG14923" s="256"/>
    </row>
    <row r="14924" spans="104:111">
      <c r="CZ14924" s="256"/>
      <c r="DG14924" s="256"/>
    </row>
    <row r="14925" spans="104:111">
      <c r="CZ14925" s="256"/>
      <c r="DG14925" s="256"/>
    </row>
    <row r="14926" spans="104:111">
      <c r="CZ14926" s="256"/>
      <c r="DG14926" s="256"/>
    </row>
    <row r="14927" spans="104:111">
      <c r="CZ14927" s="256"/>
      <c r="DG14927" s="256"/>
    </row>
    <row r="14928" spans="104:111">
      <c r="CZ14928" s="256"/>
      <c r="DG14928" s="256"/>
    </row>
    <row r="14929" spans="104:111">
      <c r="CZ14929" s="256"/>
      <c r="DG14929" s="256"/>
    </row>
    <row r="14930" spans="104:111">
      <c r="CZ14930" s="256"/>
      <c r="DG14930" s="256"/>
    </row>
    <row r="14931" spans="104:111">
      <c r="CZ14931" s="256"/>
      <c r="DG14931" s="256"/>
    </row>
    <row r="14932" spans="104:111">
      <c r="CZ14932" s="256"/>
      <c r="DG14932" s="256"/>
    </row>
    <row r="14933" spans="104:111">
      <c r="CZ14933" s="256"/>
      <c r="DG14933" s="256"/>
    </row>
    <row r="14934" spans="104:111">
      <c r="CZ14934" s="256"/>
      <c r="DG14934" s="256"/>
    </row>
    <row r="14935" spans="104:111">
      <c r="CZ14935" s="256"/>
      <c r="DG14935" s="256"/>
    </row>
    <row r="14936" spans="104:111">
      <c r="CZ14936" s="256"/>
      <c r="DG14936" s="256"/>
    </row>
    <row r="14937" spans="104:111">
      <c r="CZ14937" s="256"/>
      <c r="DG14937" s="256"/>
    </row>
    <row r="14938" spans="104:111">
      <c r="CZ14938" s="256"/>
      <c r="DG14938" s="256"/>
    </row>
    <row r="14939" spans="104:111">
      <c r="CZ14939" s="256"/>
      <c r="DG14939" s="256"/>
    </row>
    <row r="14940" spans="104:111">
      <c r="CZ14940" s="256"/>
      <c r="DG14940" s="256"/>
    </row>
    <row r="14941" spans="104:111">
      <c r="CZ14941" s="256"/>
      <c r="DG14941" s="256"/>
    </row>
    <row r="14942" spans="104:111">
      <c r="CZ14942" s="256"/>
      <c r="DG14942" s="256"/>
    </row>
    <row r="14943" spans="104:111">
      <c r="CZ14943" s="256"/>
      <c r="DG14943" s="256"/>
    </row>
    <row r="14944" spans="104:111">
      <c r="CZ14944" s="256"/>
      <c r="DG14944" s="256"/>
    </row>
    <row r="14945" spans="104:111">
      <c r="CZ14945" s="256"/>
      <c r="DG14945" s="256"/>
    </row>
    <row r="14946" spans="104:111">
      <c r="CZ14946" s="256"/>
      <c r="DG14946" s="256"/>
    </row>
    <row r="14947" spans="104:111">
      <c r="CZ14947" s="256"/>
      <c r="DG14947" s="256"/>
    </row>
    <row r="14948" spans="104:111">
      <c r="CZ14948" s="256"/>
      <c r="DG14948" s="256"/>
    </row>
    <row r="14949" spans="104:111">
      <c r="CZ14949" s="256"/>
      <c r="DG14949" s="256"/>
    </row>
    <row r="14950" spans="104:111">
      <c r="CZ14950" s="256"/>
      <c r="DG14950" s="256"/>
    </row>
    <row r="14951" spans="104:111">
      <c r="CZ14951" s="256"/>
      <c r="DG14951" s="256"/>
    </row>
    <row r="14952" spans="104:111">
      <c r="CZ14952" s="256"/>
      <c r="DG14952" s="256"/>
    </row>
    <row r="14953" spans="104:111">
      <c r="CZ14953" s="256"/>
      <c r="DG14953" s="256"/>
    </row>
    <row r="14954" spans="104:111">
      <c r="CZ14954" s="256"/>
      <c r="DG14954" s="256"/>
    </row>
    <row r="14955" spans="104:111">
      <c r="CZ14955" s="256"/>
      <c r="DG14955" s="256"/>
    </row>
    <row r="14956" spans="104:111">
      <c r="CZ14956" s="256"/>
      <c r="DG14956" s="256"/>
    </row>
    <row r="14957" spans="104:111">
      <c r="CZ14957" s="256"/>
      <c r="DG14957" s="256"/>
    </row>
    <row r="14958" spans="104:111">
      <c r="CZ14958" s="256"/>
      <c r="DG14958" s="256"/>
    </row>
    <row r="14959" spans="104:111">
      <c r="CZ14959" s="256"/>
      <c r="DG14959" s="256"/>
    </row>
    <row r="14960" spans="104:111">
      <c r="CZ14960" s="256"/>
      <c r="DG14960" s="256"/>
    </row>
    <row r="14961" spans="104:111">
      <c r="CZ14961" s="256"/>
      <c r="DG14961" s="256"/>
    </row>
    <row r="14962" spans="104:111">
      <c r="CZ14962" s="256"/>
      <c r="DG14962" s="256"/>
    </row>
    <row r="14963" spans="104:111">
      <c r="CZ14963" s="256"/>
      <c r="DG14963" s="256"/>
    </row>
    <row r="14964" spans="104:111">
      <c r="CZ14964" s="256"/>
      <c r="DG14964" s="256"/>
    </row>
    <row r="14965" spans="104:111">
      <c r="CZ14965" s="256"/>
      <c r="DG14965" s="256"/>
    </row>
    <row r="14966" spans="104:111">
      <c r="CZ14966" s="256"/>
      <c r="DG14966" s="256"/>
    </row>
    <row r="14967" spans="104:111">
      <c r="CZ14967" s="256"/>
      <c r="DG14967" s="256"/>
    </row>
    <row r="14968" spans="104:111">
      <c r="CZ14968" s="256"/>
      <c r="DG14968" s="256"/>
    </row>
    <row r="14969" spans="104:111">
      <c r="CZ14969" s="256"/>
      <c r="DG14969" s="256"/>
    </row>
    <row r="14970" spans="104:111">
      <c r="CZ14970" s="256"/>
      <c r="DG14970" s="256"/>
    </row>
    <row r="14971" spans="104:111">
      <c r="CZ14971" s="256"/>
      <c r="DG14971" s="256"/>
    </row>
    <row r="14972" spans="104:111">
      <c r="CZ14972" s="256"/>
      <c r="DG14972" s="256"/>
    </row>
    <row r="14973" spans="104:111">
      <c r="CZ14973" s="256"/>
      <c r="DG14973" s="256"/>
    </row>
    <row r="14974" spans="104:111">
      <c r="CZ14974" s="256"/>
      <c r="DG14974" s="256"/>
    </row>
    <row r="14975" spans="104:111">
      <c r="CZ14975" s="256"/>
      <c r="DG14975" s="256"/>
    </row>
    <row r="14976" spans="104:111">
      <c r="CZ14976" s="256"/>
      <c r="DG14976" s="256"/>
    </row>
    <row r="14977" spans="104:111">
      <c r="CZ14977" s="256"/>
      <c r="DG14977" s="256"/>
    </row>
    <row r="14978" spans="104:111">
      <c r="CZ14978" s="256"/>
      <c r="DG14978" s="256"/>
    </row>
    <row r="14979" spans="104:111">
      <c r="CZ14979" s="256"/>
      <c r="DG14979" s="256"/>
    </row>
    <row r="14980" spans="104:111">
      <c r="CZ14980" s="256"/>
      <c r="DG14980" s="256"/>
    </row>
    <row r="14981" spans="104:111">
      <c r="CZ14981" s="256"/>
      <c r="DG14981" s="256"/>
    </row>
    <row r="14982" spans="104:111">
      <c r="CZ14982" s="256"/>
      <c r="DG14982" s="256"/>
    </row>
    <row r="14983" spans="104:111">
      <c r="CZ14983" s="256"/>
      <c r="DG14983" s="256"/>
    </row>
    <row r="14984" spans="104:111">
      <c r="CZ14984" s="256"/>
      <c r="DG14984" s="256"/>
    </row>
    <row r="14985" spans="104:111">
      <c r="CZ14985" s="256"/>
      <c r="DG14985" s="256"/>
    </row>
    <row r="14986" spans="104:111">
      <c r="CZ14986" s="256"/>
      <c r="DG14986" s="256"/>
    </row>
    <row r="14987" spans="104:111">
      <c r="CZ14987" s="256"/>
      <c r="DG14987" s="256"/>
    </row>
    <row r="14988" spans="104:111">
      <c r="CZ14988" s="256"/>
      <c r="DG14988" s="256"/>
    </row>
    <row r="14989" spans="104:111">
      <c r="CZ14989" s="256"/>
      <c r="DG14989" s="256"/>
    </row>
    <row r="14990" spans="104:111">
      <c r="CZ14990" s="256"/>
      <c r="DG14990" s="256"/>
    </row>
    <row r="14991" spans="104:111">
      <c r="CZ14991" s="256"/>
      <c r="DG14991" s="256"/>
    </row>
    <row r="14992" spans="104:111">
      <c r="CZ14992" s="256"/>
      <c r="DG14992" s="256"/>
    </row>
    <row r="14993" spans="104:111">
      <c r="CZ14993" s="256"/>
      <c r="DG14993" s="256"/>
    </row>
    <row r="14994" spans="104:111">
      <c r="CZ14994" s="256"/>
      <c r="DG14994" s="256"/>
    </row>
    <row r="14995" spans="104:111">
      <c r="CZ14995" s="256"/>
      <c r="DG14995" s="256"/>
    </row>
    <row r="14996" spans="104:111">
      <c r="CZ14996" s="256"/>
      <c r="DG14996" s="256"/>
    </row>
    <row r="14997" spans="104:111">
      <c r="CZ14997" s="256"/>
      <c r="DG14997" s="256"/>
    </row>
    <row r="14998" spans="104:111">
      <c r="CZ14998" s="256"/>
      <c r="DG14998" s="256"/>
    </row>
    <row r="14999" spans="104:111">
      <c r="CZ14999" s="256"/>
      <c r="DG14999" s="256"/>
    </row>
    <row r="15000" spans="104:111">
      <c r="CZ15000" s="256"/>
      <c r="DG15000" s="256"/>
    </row>
    <row r="15001" spans="104:111">
      <c r="CZ15001" s="256"/>
      <c r="DG15001" s="256"/>
    </row>
    <row r="15002" spans="104:111">
      <c r="CZ15002" s="256"/>
      <c r="DG15002" s="256"/>
    </row>
    <row r="15003" spans="104:111">
      <c r="CZ15003" s="256"/>
      <c r="DG15003" s="256"/>
    </row>
    <row r="15004" spans="104:111">
      <c r="CZ15004" s="256"/>
      <c r="DG15004" s="256"/>
    </row>
    <row r="15005" spans="104:111">
      <c r="CZ15005" s="256"/>
      <c r="DG15005" s="256"/>
    </row>
    <row r="15006" spans="104:111">
      <c r="CZ15006" s="256"/>
      <c r="DG15006" s="256"/>
    </row>
    <row r="15007" spans="104:111">
      <c r="CZ15007" s="256"/>
      <c r="DG15007" s="256"/>
    </row>
    <row r="15008" spans="104:111">
      <c r="CZ15008" s="256"/>
      <c r="DG15008" s="256"/>
    </row>
    <row r="15009" spans="104:111">
      <c r="CZ15009" s="256"/>
      <c r="DG15009" s="256"/>
    </row>
    <row r="15010" spans="104:111">
      <c r="CZ15010" s="256"/>
      <c r="DG15010" s="256"/>
    </row>
    <row r="15011" spans="104:111">
      <c r="CZ15011" s="256"/>
      <c r="DG15011" s="256"/>
    </row>
    <row r="15012" spans="104:111">
      <c r="CZ15012" s="256"/>
      <c r="DG15012" s="256"/>
    </row>
    <row r="15013" spans="104:111">
      <c r="CZ15013" s="256"/>
      <c r="DG15013" s="256"/>
    </row>
    <row r="15014" spans="104:111">
      <c r="CZ15014" s="256"/>
      <c r="DG15014" s="256"/>
    </row>
    <row r="15015" spans="104:111">
      <c r="CZ15015" s="256"/>
      <c r="DG15015" s="256"/>
    </row>
    <row r="15016" spans="104:111">
      <c r="CZ15016" s="256"/>
      <c r="DG15016" s="256"/>
    </row>
    <row r="15017" spans="104:111">
      <c r="CZ15017" s="256"/>
      <c r="DG15017" s="256"/>
    </row>
    <row r="15018" spans="104:111">
      <c r="CZ15018" s="256"/>
      <c r="DG15018" s="256"/>
    </row>
    <row r="15019" spans="104:111">
      <c r="CZ15019" s="256"/>
      <c r="DG15019" s="256"/>
    </row>
    <row r="15020" spans="104:111">
      <c r="CZ15020" s="256"/>
      <c r="DG15020" s="256"/>
    </row>
    <row r="15021" spans="104:111">
      <c r="CZ15021" s="256"/>
      <c r="DG15021" s="256"/>
    </row>
    <row r="15022" spans="104:111">
      <c r="CZ15022" s="256"/>
      <c r="DG15022" s="256"/>
    </row>
    <row r="15023" spans="104:111">
      <c r="CZ15023" s="256"/>
      <c r="DG15023" s="256"/>
    </row>
    <row r="15024" spans="104:111">
      <c r="CZ15024" s="256"/>
      <c r="DG15024" s="256"/>
    </row>
    <row r="15025" spans="104:111">
      <c r="CZ15025" s="256"/>
      <c r="DG15025" s="256"/>
    </row>
    <row r="15026" spans="104:111">
      <c r="CZ15026" s="256"/>
      <c r="DG15026" s="256"/>
    </row>
    <row r="15027" spans="104:111">
      <c r="CZ15027" s="256"/>
      <c r="DG15027" s="256"/>
    </row>
    <row r="15028" spans="104:111">
      <c r="CZ15028" s="256"/>
      <c r="DG15028" s="256"/>
    </row>
    <row r="15029" spans="104:111">
      <c r="CZ15029" s="256"/>
      <c r="DG15029" s="256"/>
    </row>
    <row r="15030" spans="104:111">
      <c r="CZ15030" s="256"/>
      <c r="DG15030" s="256"/>
    </row>
    <row r="15031" spans="104:111">
      <c r="CZ15031" s="256"/>
      <c r="DG15031" s="256"/>
    </row>
    <row r="15032" spans="104:111">
      <c r="CZ15032" s="256"/>
      <c r="DG15032" s="256"/>
    </row>
    <row r="15033" spans="104:111">
      <c r="CZ15033" s="256"/>
      <c r="DG15033" s="256"/>
    </row>
    <row r="15034" spans="104:111">
      <c r="CZ15034" s="256"/>
      <c r="DG15034" s="256"/>
    </row>
    <row r="15035" spans="104:111">
      <c r="CZ15035" s="256"/>
      <c r="DG15035" s="256"/>
    </row>
    <row r="15036" spans="104:111">
      <c r="CZ15036" s="256"/>
      <c r="DG15036" s="256"/>
    </row>
    <row r="15037" spans="104:111">
      <c r="CZ15037" s="256"/>
      <c r="DG15037" s="256"/>
    </row>
    <row r="15038" spans="104:111">
      <c r="CZ15038" s="256"/>
      <c r="DG15038" s="256"/>
    </row>
    <row r="15039" spans="104:111">
      <c r="CZ15039" s="256"/>
      <c r="DG15039" s="256"/>
    </row>
    <row r="15040" spans="104:111">
      <c r="CZ15040" s="256"/>
      <c r="DG15040" s="256"/>
    </row>
    <row r="15041" spans="104:111">
      <c r="CZ15041" s="256"/>
      <c r="DG15041" s="256"/>
    </row>
    <row r="15042" spans="104:111">
      <c r="CZ15042" s="256"/>
      <c r="DG15042" s="256"/>
    </row>
    <row r="15043" spans="104:111">
      <c r="CZ15043" s="256"/>
      <c r="DG15043" s="256"/>
    </row>
    <row r="15044" spans="104:111">
      <c r="CZ15044" s="256"/>
      <c r="DG15044" s="256"/>
    </row>
    <row r="15045" spans="104:111">
      <c r="CZ15045" s="256"/>
      <c r="DG15045" s="256"/>
    </row>
    <row r="15046" spans="104:111">
      <c r="CZ15046" s="256"/>
      <c r="DG15046" s="256"/>
    </row>
    <row r="15047" spans="104:111">
      <c r="CZ15047" s="256"/>
      <c r="DG15047" s="256"/>
    </row>
    <row r="15048" spans="104:111">
      <c r="CZ15048" s="256"/>
      <c r="DG15048" s="256"/>
    </row>
    <row r="15049" spans="104:111">
      <c r="CZ15049" s="256"/>
      <c r="DG15049" s="256"/>
    </row>
    <row r="15050" spans="104:111">
      <c r="CZ15050" s="256"/>
      <c r="DG15050" s="256"/>
    </row>
    <row r="15051" spans="104:111">
      <c r="CZ15051" s="256"/>
      <c r="DG15051" s="256"/>
    </row>
    <row r="15052" spans="104:111">
      <c r="CZ15052" s="256"/>
      <c r="DG15052" s="256"/>
    </row>
    <row r="15053" spans="104:111">
      <c r="CZ15053" s="256"/>
      <c r="DG15053" s="256"/>
    </row>
    <row r="15054" spans="104:111">
      <c r="CZ15054" s="256"/>
      <c r="DG15054" s="256"/>
    </row>
    <row r="15055" spans="104:111">
      <c r="CZ15055" s="256"/>
      <c r="DG15055" s="256"/>
    </row>
    <row r="15056" spans="104:111">
      <c r="CZ15056" s="256"/>
      <c r="DG15056" s="256"/>
    </row>
    <row r="15057" spans="104:111">
      <c r="CZ15057" s="256"/>
      <c r="DG15057" s="256"/>
    </row>
    <row r="15058" spans="104:111">
      <c r="CZ15058" s="256"/>
      <c r="DG15058" s="256"/>
    </row>
    <row r="15059" spans="104:111">
      <c r="CZ15059" s="256"/>
      <c r="DG15059" s="256"/>
    </row>
    <row r="15060" spans="104:111">
      <c r="CZ15060" s="256"/>
      <c r="DG15060" s="256"/>
    </row>
    <row r="15061" spans="104:111">
      <c r="CZ15061" s="256"/>
      <c r="DG15061" s="256"/>
    </row>
    <row r="15062" spans="104:111">
      <c r="CZ15062" s="256"/>
      <c r="DG15062" s="256"/>
    </row>
    <row r="15063" spans="104:111">
      <c r="CZ15063" s="256"/>
      <c r="DG15063" s="256"/>
    </row>
    <row r="15064" spans="104:111">
      <c r="CZ15064" s="256"/>
      <c r="DG15064" s="256"/>
    </row>
    <row r="15065" spans="104:111">
      <c r="CZ15065" s="256"/>
      <c r="DG15065" s="256"/>
    </row>
    <row r="15066" spans="104:111">
      <c r="CZ15066" s="256"/>
      <c r="DG15066" s="256"/>
    </row>
    <row r="15067" spans="104:111">
      <c r="CZ15067" s="256"/>
      <c r="DG15067" s="256"/>
    </row>
    <row r="15068" spans="104:111">
      <c r="CZ15068" s="256"/>
      <c r="DG15068" s="256"/>
    </row>
    <row r="15069" spans="104:111">
      <c r="CZ15069" s="256"/>
      <c r="DG15069" s="256"/>
    </row>
    <row r="15070" spans="104:111">
      <c r="CZ15070" s="256"/>
      <c r="DG15070" s="256"/>
    </row>
    <row r="15071" spans="104:111">
      <c r="CZ15071" s="256"/>
      <c r="DG15071" s="256"/>
    </row>
    <row r="15072" spans="104:111">
      <c r="CZ15072" s="256"/>
      <c r="DG15072" s="256"/>
    </row>
    <row r="15073" spans="104:111">
      <c r="CZ15073" s="256"/>
      <c r="DG15073" s="256"/>
    </row>
    <row r="15074" spans="104:111">
      <c r="CZ15074" s="256"/>
      <c r="DG15074" s="256"/>
    </row>
    <row r="15075" spans="104:111">
      <c r="CZ15075" s="256"/>
      <c r="DG15075" s="256"/>
    </row>
    <row r="15076" spans="104:111">
      <c r="CZ15076" s="256"/>
      <c r="DG15076" s="256"/>
    </row>
    <row r="15077" spans="104:111">
      <c r="CZ15077" s="256"/>
      <c r="DG15077" s="256"/>
    </row>
    <row r="15078" spans="104:111">
      <c r="CZ15078" s="256"/>
      <c r="DG15078" s="256"/>
    </row>
    <row r="15079" spans="104:111">
      <c r="CZ15079" s="256"/>
      <c r="DG15079" s="256"/>
    </row>
    <row r="15080" spans="104:111">
      <c r="CZ15080" s="256"/>
      <c r="DG15080" s="256"/>
    </row>
    <row r="15081" spans="104:111">
      <c r="CZ15081" s="256"/>
      <c r="DG15081" s="256"/>
    </row>
    <row r="15082" spans="104:111">
      <c r="CZ15082" s="256"/>
      <c r="DG15082" s="256"/>
    </row>
    <row r="15083" spans="104:111">
      <c r="CZ15083" s="256"/>
      <c r="DG15083" s="256"/>
    </row>
    <row r="15084" spans="104:111">
      <c r="CZ15084" s="256"/>
      <c r="DG15084" s="256"/>
    </row>
    <row r="15085" spans="104:111">
      <c r="CZ15085" s="256"/>
      <c r="DG15085" s="256"/>
    </row>
    <row r="15086" spans="104:111">
      <c r="CZ15086" s="256"/>
      <c r="DG15086" s="256"/>
    </row>
    <row r="15087" spans="104:111">
      <c r="CZ15087" s="256"/>
      <c r="DG15087" s="256"/>
    </row>
    <row r="15088" spans="104:111">
      <c r="CZ15088" s="256"/>
      <c r="DG15088" s="256"/>
    </row>
    <row r="15089" spans="104:111">
      <c r="CZ15089" s="256"/>
      <c r="DG15089" s="256"/>
    </row>
    <row r="15090" spans="104:111">
      <c r="CZ15090" s="256"/>
      <c r="DG15090" s="256"/>
    </row>
    <row r="15091" spans="104:111">
      <c r="CZ15091" s="256"/>
      <c r="DG15091" s="256"/>
    </row>
    <row r="15092" spans="104:111">
      <c r="CZ15092" s="256"/>
      <c r="DG15092" s="256"/>
    </row>
    <row r="15093" spans="104:111">
      <c r="CZ15093" s="256"/>
      <c r="DG15093" s="256"/>
    </row>
    <row r="15094" spans="104:111">
      <c r="CZ15094" s="256"/>
      <c r="DG15094" s="256"/>
    </row>
    <row r="15095" spans="104:111">
      <c r="CZ15095" s="256"/>
      <c r="DG15095" s="256"/>
    </row>
    <row r="15096" spans="104:111">
      <c r="CZ15096" s="256"/>
      <c r="DG15096" s="256"/>
    </row>
    <row r="15097" spans="104:111">
      <c r="CZ15097" s="256"/>
      <c r="DG15097" s="256"/>
    </row>
    <row r="15098" spans="104:111">
      <c r="CZ15098" s="256"/>
      <c r="DG15098" s="256"/>
    </row>
    <row r="15099" spans="104:111">
      <c r="CZ15099" s="256"/>
      <c r="DG15099" s="256"/>
    </row>
    <row r="15100" spans="104:111">
      <c r="CZ15100" s="256"/>
      <c r="DG15100" s="256"/>
    </row>
    <row r="15101" spans="104:111">
      <c r="CZ15101" s="256"/>
      <c r="DG15101" s="256"/>
    </row>
    <row r="15102" spans="104:111">
      <c r="CZ15102" s="256"/>
      <c r="DG15102" s="256"/>
    </row>
    <row r="15103" spans="104:111">
      <c r="CZ15103" s="256"/>
      <c r="DG15103" s="256"/>
    </row>
    <row r="15104" spans="104:111">
      <c r="CZ15104" s="256"/>
      <c r="DG15104" s="256"/>
    </row>
    <row r="15105" spans="104:111">
      <c r="CZ15105" s="256"/>
      <c r="DG15105" s="256"/>
    </row>
    <row r="15106" spans="104:111">
      <c r="CZ15106" s="256"/>
      <c r="DG15106" s="256"/>
    </row>
    <row r="15107" spans="104:111">
      <c r="CZ15107" s="256"/>
      <c r="DG15107" s="256"/>
    </row>
    <row r="15108" spans="104:111">
      <c r="CZ15108" s="256"/>
      <c r="DG15108" s="256"/>
    </row>
    <row r="15109" spans="104:111">
      <c r="CZ15109" s="256"/>
      <c r="DG15109" s="256"/>
    </row>
    <row r="15110" spans="104:111">
      <c r="CZ15110" s="256"/>
      <c r="DG15110" s="256"/>
    </row>
    <row r="15111" spans="104:111">
      <c r="CZ15111" s="256"/>
      <c r="DG15111" s="256"/>
    </row>
    <row r="15112" spans="104:111">
      <c r="CZ15112" s="256"/>
      <c r="DG15112" s="256"/>
    </row>
    <row r="15113" spans="104:111">
      <c r="CZ15113" s="256"/>
      <c r="DG15113" s="256"/>
    </row>
    <row r="15114" spans="104:111">
      <c r="CZ15114" s="256"/>
      <c r="DG15114" s="256"/>
    </row>
    <row r="15115" spans="104:111">
      <c r="CZ15115" s="256"/>
      <c r="DG15115" s="256"/>
    </row>
    <row r="15116" spans="104:111">
      <c r="CZ15116" s="256"/>
      <c r="DG15116" s="256"/>
    </row>
    <row r="15117" spans="104:111">
      <c r="CZ15117" s="256"/>
      <c r="DG15117" s="256"/>
    </row>
    <row r="15118" spans="104:111">
      <c r="CZ15118" s="256"/>
      <c r="DG15118" s="256"/>
    </row>
    <row r="15119" spans="104:111">
      <c r="CZ15119" s="256"/>
      <c r="DG15119" s="256"/>
    </row>
    <row r="15120" spans="104:111">
      <c r="CZ15120" s="256"/>
      <c r="DG15120" s="256"/>
    </row>
    <row r="15121" spans="104:111">
      <c r="CZ15121" s="256"/>
      <c r="DG15121" s="256"/>
    </row>
    <row r="15122" spans="104:111">
      <c r="CZ15122" s="256"/>
      <c r="DG15122" s="256"/>
    </row>
    <row r="15123" spans="104:111">
      <c r="CZ15123" s="256"/>
      <c r="DG15123" s="256"/>
    </row>
    <row r="15124" spans="104:111">
      <c r="CZ15124" s="256"/>
      <c r="DG15124" s="256"/>
    </row>
    <row r="15125" spans="104:111">
      <c r="CZ15125" s="256"/>
      <c r="DG15125" s="256"/>
    </row>
    <row r="15126" spans="104:111">
      <c r="CZ15126" s="256"/>
      <c r="DG15126" s="256"/>
    </row>
    <row r="15127" spans="104:111">
      <c r="CZ15127" s="256"/>
      <c r="DG15127" s="256"/>
    </row>
    <row r="15128" spans="104:111">
      <c r="CZ15128" s="256"/>
      <c r="DG15128" s="256"/>
    </row>
    <row r="15129" spans="104:111">
      <c r="CZ15129" s="256"/>
      <c r="DG15129" s="256"/>
    </row>
    <row r="15130" spans="104:111">
      <c r="CZ15130" s="256"/>
      <c r="DG15130" s="256"/>
    </row>
    <row r="15131" spans="104:111">
      <c r="CZ15131" s="256"/>
      <c r="DG15131" s="256"/>
    </row>
    <row r="15132" spans="104:111">
      <c r="CZ15132" s="256"/>
      <c r="DG15132" s="256"/>
    </row>
    <row r="15133" spans="104:111">
      <c r="CZ15133" s="256"/>
      <c r="DG15133" s="256"/>
    </row>
    <row r="15134" spans="104:111">
      <c r="CZ15134" s="256"/>
      <c r="DG15134" s="256"/>
    </row>
    <row r="15135" spans="104:111">
      <c r="CZ15135" s="256"/>
      <c r="DG15135" s="256"/>
    </row>
    <row r="15136" spans="104:111">
      <c r="CZ15136" s="256"/>
      <c r="DG15136" s="256"/>
    </row>
    <row r="15137" spans="104:111">
      <c r="CZ15137" s="256"/>
      <c r="DG15137" s="256"/>
    </row>
    <row r="15138" spans="104:111">
      <c r="CZ15138" s="256"/>
      <c r="DG15138" s="256"/>
    </row>
    <row r="15139" spans="104:111">
      <c r="CZ15139" s="256"/>
      <c r="DG15139" s="256"/>
    </row>
    <row r="15140" spans="104:111">
      <c r="CZ15140" s="256"/>
      <c r="DG15140" s="256"/>
    </row>
    <row r="15141" spans="104:111">
      <c r="CZ15141" s="256"/>
      <c r="DG15141" s="256"/>
    </row>
    <row r="15142" spans="104:111">
      <c r="CZ15142" s="256"/>
      <c r="DG15142" s="256"/>
    </row>
    <row r="15143" spans="104:111">
      <c r="CZ15143" s="256"/>
      <c r="DG15143" s="256"/>
    </row>
    <row r="15144" spans="104:111">
      <c r="CZ15144" s="256"/>
      <c r="DG15144" s="256"/>
    </row>
    <row r="15145" spans="104:111">
      <c r="CZ15145" s="256"/>
      <c r="DG15145" s="256"/>
    </row>
    <row r="15146" spans="104:111">
      <c r="CZ15146" s="256"/>
      <c r="DG15146" s="256"/>
    </row>
    <row r="15147" spans="104:111">
      <c r="CZ15147" s="256"/>
      <c r="DG15147" s="256"/>
    </row>
    <row r="15148" spans="104:111">
      <c r="CZ15148" s="256"/>
      <c r="DG15148" s="256"/>
    </row>
    <row r="15149" spans="104:111">
      <c r="CZ15149" s="256"/>
      <c r="DG15149" s="256"/>
    </row>
    <row r="15150" spans="104:111">
      <c r="CZ15150" s="256"/>
      <c r="DG15150" s="256"/>
    </row>
    <row r="15151" spans="104:111">
      <c r="CZ15151" s="256"/>
      <c r="DG15151" s="256"/>
    </row>
    <row r="15152" spans="104:111">
      <c r="CZ15152" s="256"/>
      <c r="DG15152" s="256"/>
    </row>
    <row r="15153" spans="104:111">
      <c r="CZ15153" s="256"/>
      <c r="DG15153" s="256"/>
    </row>
    <row r="15154" spans="104:111">
      <c r="CZ15154" s="256"/>
      <c r="DG15154" s="256"/>
    </row>
    <row r="15155" spans="104:111">
      <c r="CZ15155" s="256"/>
      <c r="DG15155" s="256"/>
    </row>
    <row r="15156" spans="104:111">
      <c r="CZ15156" s="256"/>
      <c r="DG15156" s="256"/>
    </row>
    <row r="15157" spans="104:111">
      <c r="CZ15157" s="256"/>
      <c r="DG15157" s="256"/>
    </row>
    <row r="15158" spans="104:111">
      <c r="CZ15158" s="256"/>
      <c r="DG15158" s="256"/>
    </row>
    <row r="15159" spans="104:111">
      <c r="CZ15159" s="256"/>
      <c r="DG15159" s="256"/>
    </row>
    <row r="15160" spans="104:111">
      <c r="CZ15160" s="256"/>
      <c r="DG15160" s="256"/>
    </row>
    <row r="15161" spans="104:111">
      <c r="CZ15161" s="256"/>
      <c r="DG15161" s="256"/>
    </row>
    <row r="15162" spans="104:111">
      <c r="CZ15162" s="256"/>
      <c r="DG15162" s="256"/>
    </row>
    <row r="15163" spans="104:111">
      <c r="CZ15163" s="256"/>
      <c r="DG15163" s="256"/>
    </row>
    <row r="15164" spans="104:111">
      <c r="CZ15164" s="256"/>
      <c r="DG15164" s="256"/>
    </row>
    <row r="15165" spans="104:111">
      <c r="CZ15165" s="256"/>
      <c r="DG15165" s="256"/>
    </row>
    <row r="15166" spans="104:111">
      <c r="CZ15166" s="256"/>
      <c r="DG15166" s="256"/>
    </row>
    <row r="15167" spans="104:111">
      <c r="CZ15167" s="256"/>
      <c r="DG15167" s="256"/>
    </row>
    <row r="15168" spans="104:111">
      <c r="CZ15168" s="256"/>
      <c r="DG15168" s="256"/>
    </row>
    <row r="15169" spans="104:111">
      <c r="CZ15169" s="256"/>
      <c r="DG15169" s="256"/>
    </row>
    <row r="15170" spans="104:111">
      <c r="CZ15170" s="256"/>
      <c r="DG15170" s="256"/>
    </row>
    <row r="15171" spans="104:111">
      <c r="CZ15171" s="256"/>
      <c r="DG15171" s="256"/>
    </row>
    <row r="15172" spans="104:111">
      <c r="CZ15172" s="256"/>
      <c r="DG15172" s="256"/>
    </row>
    <row r="15173" spans="104:111">
      <c r="CZ15173" s="256"/>
      <c r="DG15173" s="256"/>
    </row>
    <row r="15174" spans="104:111">
      <c r="CZ15174" s="256"/>
      <c r="DG15174" s="256"/>
    </row>
    <row r="15175" spans="104:111">
      <c r="CZ15175" s="256"/>
      <c r="DG15175" s="256"/>
    </row>
    <row r="15176" spans="104:111">
      <c r="CZ15176" s="256"/>
      <c r="DG15176" s="256"/>
    </row>
    <row r="15177" spans="104:111">
      <c r="CZ15177" s="256"/>
      <c r="DG15177" s="256"/>
    </row>
    <row r="15178" spans="104:111">
      <c r="CZ15178" s="256"/>
      <c r="DG15178" s="256"/>
    </row>
    <row r="15179" spans="104:111">
      <c r="CZ15179" s="256"/>
      <c r="DG15179" s="256"/>
    </row>
    <row r="15180" spans="104:111">
      <c r="CZ15180" s="256"/>
      <c r="DG15180" s="256"/>
    </row>
    <row r="15181" spans="104:111">
      <c r="CZ15181" s="256"/>
      <c r="DG15181" s="256"/>
    </row>
    <row r="15182" spans="104:111">
      <c r="CZ15182" s="256"/>
      <c r="DG15182" s="256"/>
    </row>
    <row r="15183" spans="104:111">
      <c r="CZ15183" s="256"/>
      <c r="DG15183" s="256"/>
    </row>
    <row r="15184" spans="104:111">
      <c r="CZ15184" s="256"/>
      <c r="DG15184" s="256"/>
    </row>
    <row r="15185" spans="104:111">
      <c r="CZ15185" s="256"/>
      <c r="DG15185" s="256"/>
    </row>
    <row r="15186" spans="104:111">
      <c r="CZ15186" s="256"/>
      <c r="DG15186" s="256"/>
    </row>
    <row r="15187" spans="104:111">
      <c r="CZ15187" s="256"/>
      <c r="DG15187" s="256"/>
    </row>
    <row r="15188" spans="104:111">
      <c r="CZ15188" s="256"/>
      <c r="DG15188" s="256"/>
    </row>
    <row r="15189" spans="104:111">
      <c r="CZ15189" s="256"/>
      <c r="DG15189" s="256"/>
    </row>
    <row r="15190" spans="104:111">
      <c r="CZ15190" s="256"/>
      <c r="DG15190" s="256"/>
    </row>
    <row r="15191" spans="104:111">
      <c r="CZ15191" s="256"/>
      <c r="DG15191" s="256"/>
    </row>
    <row r="15192" spans="104:111">
      <c r="CZ15192" s="256"/>
      <c r="DG15192" s="256"/>
    </row>
    <row r="15193" spans="104:111">
      <c r="CZ15193" s="256"/>
      <c r="DG15193" s="256"/>
    </row>
    <row r="15194" spans="104:111">
      <c r="CZ15194" s="256"/>
      <c r="DG15194" s="256"/>
    </row>
    <row r="15195" spans="104:111">
      <c r="CZ15195" s="256"/>
      <c r="DG15195" s="256"/>
    </row>
    <row r="15196" spans="104:111">
      <c r="CZ15196" s="256"/>
      <c r="DG15196" s="256"/>
    </row>
    <row r="15197" spans="104:111">
      <c r="CZ15197" s="256"/>
      <c r="DG15197" s="256"/>
    </row>
    <row r="15198" spans="104:111">
      <c r="CZ15198" s="256"/>
      <c r="DG15198" s="256"/>
    </row>
    <row r="15199" spans="104:111">
      <c r="CZ15199" s="256"/>
      <c r="DG15199" s="256"/>
    </row>
    <row r="15200" spans="104:111">
      <c r="CZ15200" s="256"/>
      <c r="DG15200" s="256"/>
    </row>
    <row r="15201" spans="104:111">
      <c r="CZ15201" s="256"/>
      <c r="DG15201" s="256"/>
    </row>
    <row r="15202" spans="104:111">
      <c r="CZ15202" s="256"/>
      <c r="DG15202" s="256"/>
    </row>
    <row r="15203" spans="104:111">
      <c r="CZ15203" s="256"/>
      <c r="DG15203" s="256"/>
    </row>
    <row r="15204" spans="104:111">
      <c r="CZ15204" s="256"/>
      <c r="DG15204" s="256"/>
    </row>
    <row r="15205" spans="104:111">
      <c r="CZ15205" s="256"/>
      <c r="DG15205" s="256"/>
    </row>
    <row r="15206" spans="104:111">
      <c r="CZ15206" s="256"/>
      <c r="DG15206" s="256"/>
    </row>
    <row r="15207" spans="104:111">
      <c r="CZ15207" s="256"/>
      <c r="DG15207" s="256"/>
    </row>
    <row r="15208" spans="104:111">
      <c r="CZ15208" s="256"/>
      <c r="DG15208" s="256"/>
    </row>
    <row r="15209" spans="104:111">
      <c r="CZ15209" s="256"/>
      <c r="DG15209" s="256"/>
    </row>
    <row r="15210" spans="104:111">
      <c r="CZ15210" s="256"/>
      <c r="DG15210" s="256"/>
    </row>
    <row r="15211" spans="104:111">
      <c r="CZ15211" s="256"/>
      <c r="DG15211" s="256"/>
    </row>
    <row r="15212" spans="104:111">
      <c r="CZ15212" s="256"/>
      <c r="DG15212" s="256"/>
    </row>
    <row r="15213" spans="104:111">
      <c r="CZ15213" s="256"/>
      <c r="DG15213" s="256"/>
    </row>
    <row r="15214" spans="104:111">
      <c r="CZ15214" s="256"/>
      <c r="DG15214" s="256"/>
    </row>
    <row r="15215" spans="104:111">
      <c r="CZ15215" s="256"/>
      <c r="DG15215" s="256"/>
    </row>
    <row r="15216" spans="104:111">
      <c r="CZ15216" s="256"/>
      <c r="DG15216" s="256"/>
    </row>
    <row r="15217" spans="104:111">
      <c r="CZ15217" s="256"/>
      <c r="DG15217" s="256"/>
    </row>
    <row r="15218" spans="104:111">
      <c r="CZ15218" s="256"/>
      <c r="DG15218" s="256"/>
    </row>
    <row r="15219" spans="104:111">
      <c r="CZ15219" s="256"/>
      <c r="DG15219" s="256"/>
    </row>
    <row r="15220" spans="104:111">
      <c r="CZ15220" s="256"/>
      <c r="DG15220" s="256"/>
    </row>
    <row r="15221" spans="104:111">
      <c r="CZ15221" s="256"/>
      <c r="DG15221" s="256"/>
    </row>
    <row r="15222" spans="104:111">
      <c r="CZ15222" s="256"/>
      <c r="DG15222" s="256"/>
    </row>
    <row r="15223" spans="104:111">
      <c r="CZ15223" s="256"/>
      <c r="DG15223" s="256"/>
    </row>
    <row r="15224" spans="104:111">
      <c r="CZ15224" s="256"/>
      <c r="DG15224" s="256"/>
    </row>
    <row r="15225" spans="104:111">
      <c r="CZ15225" s="256"/>
      <c r="DG15225" s="256"/>
    </row>
    <row r="15226" spans="104:111">
      <c r="CZ15226" s="256"/>
      <c r="DG15226" s="256"/>
    </row>
    <row r="15227" spans="104:111">
      <c r="CZ15227" s="256"/>
      <c r="DG15227" s="256"/>
    </row>
    <row r="15228" spans="104:111">
      <c r="CZ15228" s="256"/>
      <c r="DG15228" s="256"/>
    </row>
    <row r="15229" spans="104:111">
      <c r="CZ15229" s="256"/>
      <c r="DG15229" s="256"/>
    </row>
    <row r="15230" spans="104:111">
      <c r="CZ15230" s="256"/>
      <c r="DG15230" s="256"/>
    </row>
    <row r="15231" spans="104:111">
      <c r="CZ15231" s="256"/>
      <c r="DG15231" s="256"/>
    </row>
    <row r="15232" spans="104:111">
      <c r="CZ15232" s="256"/>
      <c r="DG15232" s="256"/>
    </row>
    <row r="15233" spans="104:111">
      <c r="CZ15233" s="256"/>
      <c r="DG15233" s="256"/>
    </row>
    <row r="15234" spans="104:111">
      <c r="CZ15234" s="256"/>
      <c r="DG15234" s="256"/>
    </row>
    <row r="15235" spans="104:111">
      <c r="CZ15235" s="256"/>
      <c r="DG15235" s="256"/>
    </row>
    <row r="15236" spans="104:111">
      <c r="CZ15236" s="256"/>
      <c r="DG15236" s="256"/>
    </row>
    <row r="15237" spans="104:111">
      <c r="CZ15237" s="256"/>
      <c r="DG15237" s="256"/>
    </row>
    <row r="15238" spans="104:111">
      <c r="CZ15238" s="256"/>
      <c r="DG15238" s="256"/>
    </row>
    <row r="15239" spans="104:111">
      <c r="CZ15239" s="256"/>
      <c r="DG15239" s="256"/>
    </row>
    <row r="15240" spans="104:111">
      <c r="CZ15240" s="256"/>
      <c r="DG15240" s="256"/>
    </row>
    <row r="15241" spans="104:111">
      <c r="CZ15241" s="256"/>
      <c r="DG15241" s="256"/>
    </row>
    <row r="15242" spans="104:111">
      <c r="CZ15242" s="256"/>
      <c r="DG15242" s="256"/>
    </row>
    <row r="15243" spans="104:111">
      <c r="CZ15243" s="256"/>
      <c r="DG15243" s="256"/>
    </row>
    <row r="15244" spans="104:111">
      <c r="CZ15244" s="256"/>
      <c r="DG15244" s="256"/>
    </row>
    <row r="15245" spans="104:111">
      <c r="CZ15245" s="256"/>
      <c r="DG15245" s="256"/>
    </row>
    <row r="15246" spans="104:111">
      <c r="CZ15246" s="256"/>
      <c r="DG15246" s="256"/>
    </row>
    <row r="15247" spans="104:111">
      <c r="CZ15247" s="256"/>
      <c r="DG15247" s="256"/>
    </row>
    <row r="15248" spans="104:111">
      <c r="CZ15248" s="256"/>
      <c r="DG15248" s="256"/>
    </row>
    <row r="15249" spans="104:111">
      <c r="CZ15249" s="256"/>
      <c r="DG15249" s="256"/>
    </row>
    <row r="15250" spans="104:111">
      <c r="CZ15250" s="256"/>
      <c r="DG15250" s="256"/>
    </row>
    <row r="15251" spans="104:111">
      <c r="CZ15251" s="256"/>
      <c r="DG15251" s="256"/>
    </row>
    <row r="15252" spans="104:111">
      <c r="CZ15252" s="256"/>
      <c r="DG15252" s="256"/>
    </row>
    <row r="15253" spans="104:111">
      <c r="CZ15253" s="256"/>
      <c r="DG15253" s="256"/>
    </row>
    <row r="15254" spans="104:111">
      <c r="CZ15254" s="256"/>
      <c r="DG15254" s="256"/>
    </row>
    <row r="15255" spans="104:111">
      <c r="CZ15255" s="256"/>
      <c r="DG15255" s="256"/>
    </row>
    <row r="15256" spans="104:111">
      <c r="CZ15256" s="256"/>
      <c r="DG15256" s="256"/>
    </row>
    <row r="15257" spans="104:111">
      <c r="CZ15257" s="256"/>
      <c r="DG15257" s="256"/>
    </row>
    <row r="15258" spans="104:111">
      <c r="CZ15258" s="256"/>
      <c r="DG15258" s="256"/>
    </row>
    <row r="15259" spans="104:111">
      <c r="CZ15259" s="256"/>
      <c r="DG15259" s="256"/>
    </row>
    <row r="15260" spans="104:111">
      <c r="CZ15260" s="256"/>
      <c r="DG15260" s="256"/>
    </row>
    <row r="15261" spans="104:111">
      <c r="CZ15261" s="256"/>
      <c r="DG15261" s="256"/>
    </row>
    <row r="15262" spans="104:111">
      <c r="CZ15262" s="256"/>
      <c r="DG15262" s="256"/>
    </row>
    <row r="15263" spans="104:111">
      <c r="CZ15263" s="256"/>
      <c r="DG15263" s="256"/>
    </row>
    <row r="15264" spans="104:111">
      <c r="CZ15264" s="256"/>
      <c r="DG15264" s="256"/>
    </row>
    <row r="15265" spans="104:111">
      <c r="CZ15265" s="256"/>
      <c r="DG15265" s="256"/>
    </row>
    <row r="15266" spans="104:111">
      <c r="CZ15266" s="256"/>
      <c r="DG15266" s="256"/>
    </row>
    <row r="15267" spans="104:111">
      <c r="CZ15267" s="256"/>
      <c r="DG15267" s="256"/>
    </row>
    <row r="15268" spans="104:111">
      <c r="CZ15268" s="256"/>
      <c r="DG15268" s="256"/>
    </row>
    <row r="15269" spans="104:111">
      <c r="CZ15269" s="256"/>
      <c r="DG15269" s="256"/>
    </row>
    <row r="15270" spans="104:111">
      <c r="CZ15270" s="256"/>
      <c r="DG15270" s="256"/>
    </row>
    <row r="15271" spans="104:111">
      <c r="CZ15271" s="256"/>
      <c r="DG15271" s="256"/>
    </row>
    <row r="15272" spans="104:111">
      <c r="CZ15272" s="256"/>
      <c r="DG15272" s="256"/>
    </row>
    <row r="15273" spans="104:111">
      <c r="CZ15273" s="256"/>
      <c r="DG15273" s="256"/>
    </row>
    <row r="15274" spans="104:111">
      <c r="CZ15274" s="256"/>
      <c r="DG15274" s="256"/>
    </row>
    <row r="15275" spans="104:111">
      <c r="CZ15275" s="256"/>
      <c r="DG15275" s="256"/>
    </row>
    <row r="15276" spans="104:111">
      <c r="CZ15276" s="256"/>
      <c r="DG15276" s="256"/>
    </row>
    <row r="15277" spans="104:111">
      <c r="CZ15277" s="256"/>
      <c r="DG15277" s="256"/>
    </row>
    <row r="15278" spans="104:111">
      <c r="CZ15278" s="256"/>
      <c r="DG15278" s="256"/>
    </row>
    <row r="15279" spans="104:111">
      <c r="CZ15279" s="256"/>
      <c r="DG15279" s="256"/>
    </row>
    <row r="15280" spans="104:111">
      <c r="CZ15280" s="256"/>
      <c r="DG15280" s="256"/>
    </row>
    <row r="15281" spans="104:111">
      <c r="CZ15281" s="256"/>
      <c r="DG15281" s="256"/>
    </row>
    <row r="15282" spans="104:111">
      <c r="CZ15282" s="256"/>
      <c r="DG15282" s="256"/>
    </row>
    <row r="15283" spans="104:111">
      <c r="CZ15283" s="256"/>
      <c r="DG15283" s="256"/>
    </row>
    <row r="15284" spans="104:111">
      <c r="CZ15284" s="256"/>
      <c r="DG15284" s="256"/>
    </row>
    <row r="15285" spans="104:111">
      <c r="CZ15285" s="256"/>
      <c r="DG15285" s="256"/>
    </row>
    <row r="15286" spans="104:111">
      <c r="CZ15286" s="256"/>
      <c r="DG15286" s="256"/>
    </row>
    <row r="15287" spans="104:111">
      <c r="CZ15287" s="256"/>
      <c r="DG15287" s="256"/>
    </row>
    <row r="15288" spans="104:111">
      <c r="CZ15288" s="256"/>
      <c r="DG15288" s="256"/>
    </row>
    <row r="15289" spans="104:111">
      <c r="CZ15289" s="256"/>
      <c r="DG15289" s="256"/>
    </row>
    <row r="15290" spans="104:111">
      <c r="CZ15290" s="256"/>
      <c r="DG15290" s="256"/>
    </row>
    <row r="15291" spans="104:111">
      <c r="CZ15291" s="256"/>
      <c r="DG15291" s="256"/>
    </row>
    <row r="15292" spans="104:111">
      <c r="CZ15292" s="256"/>
      <c r="DG15292" s="256"/>
    </row>
    <row r="15293" spans="104:111">
      <c r="CZ15293" s="256"/>
      <c r="DG15293" s="256"/>
    </row>
    <row r="15294" spans="104:111">
      <c r="CZ15294" s="256"/>
      <c r="DG15294" s="256"/>
    </row>
    <row r="15295" spans="104:111">
      <c r="CZ15295" s="256"/>
      <c r="DG15295" s="256"/>
    </row>
    <row r="15296" spans="104:111">
      <c r="CZ15296" s="256"/>
      <c r="DG15296" s="256"/>
    </row>
    <row r="15297" spans="104:111">
      <c r="CZ15297" s="256"/>
      <c r="DG15297" s="256"/>
    </row>
    <row r="15298" spans="104:111">
      <c r="CZ15298" s="256"/>
      <c r="DG15298" s="256"/>
    </row>
    <row r="15299" spans="104:111">
      <c r="CZ15299" s="256"/>
      <c r="DG15299" s="256"/>
    </row>
    <row r="15300" spans="104:111">
      <c r="CZ15300" s="256"/>
      <c r="DG15300" s="256"/>
    </row>
    <row r="15301" spans="104:111">
      <c r="CZ15301" s="256"/>
      <c r="DG15301" s="256"/>
    </row>
    <row r="15302" spans="104:111">
      <c r="CZ15302" s="256"/>
      <c r="DG15302" s="256"/>
    </row>
    <row r="15303" spans="104:111">
      <c r="CZ15303" s="256"/>
      <c r="DG15303" s="256"/>
    </row>
    <row r="15304" spans="104:111">
      <c r="CZ15304" s="256"/>
      <c r="DG15304" s="256"/>
    </row>
    <row r="15305" spans="104:111">
      <c r="CZ15305" s="256"/>
      <c r="DG15305" s="256"/>
    </row>
    <row r="15306" spans="104:111">
      <c r="CZ15306" s="256"/>
      <c r="DG15306" s="256"/>
    </row>
    <row r="15307" spans="104:111">
      <c r="CZ15307" s="256"/>
      <c r="DG15307" s="256"/>
    </row>
    <row r="15308" spans="104:111">
      <c r="CZ15308" s="256"/>
      <c r="DG15308" s="256"/>
    </row>
    <row r="15309" spans="104:111">
      <c r="CZ15309" s="256"/>
      <c r="DG15309" s="256"/>
    </row>
    <row r="15310" spans="104:111">
      <c r="CZ15310" s="256"/>
      <c r="DG15310" s="256"/>
    </row>
    <row r="15311" spans="104:111">
      <c r="CZ15311" s="256"/>
      <c r="DG15311" s="256"/>
    </row>
    <row r="15312" spans="104:111">
      <c r="CZ15312" s="256"/>
      <c r="DG15312" s="256"/>
    </row>
    <row r="15313" spans="104:111">
      <c r="CZ15313" s="256"/>
      <c r="DG15313" s="256"/>
    </row>
    <row r="15314" spans="104:111">
      <c r="CZ15314" s="256"/>
      <c r="DG15314" s="256"/>
    </row>
    <row r="15315" spans="104:111">
      <c r="CZ15315" s="256"/>
      <c r="DG15315" s="256"/>
    </row>
    <row r="15316" spans="104:111">
      <c r="CZ15316" s="256"/>
      <c r="DG15316" s="256"/>
    </row>
    <row r="15317" spans="104:111">
      <c r="CZ15317" s="256"/>
      <c r="DG15317" s="256"/>
    </row>
    <row r="15318" spans="104:111">
      <c r="CZ15318" s="256"/>
      <c r="DG15318" s="256"/>
    </row>
    <row r="15319" spans="104:111">
      <c r="CZ15319" s="256"/>
      <c r="DG15319" s="256"/>
    </row>
    <row r="15320" spans="104:111">
      <c r="CZ15320" s="256"/>
      <c r="DG15320" s="256"/>
    </row>
    <row r="15321" spans="104:111">
      <c r="CZ15321" s="256"/>
      <c r="DG15321" s="256"/>
    </row>
    <row r="15322" spans="104:111">
      <c r="CZ15322" s="256"/>
      <c r="DG15322" s="256"/>
    </row>
    <row r="15323" spans="104:111">
      <c r="CZ15323" s="256"/>
      <c r="DG15323" s="256"/>
    </row>
    <row r="15324" spans="104:111">
      <c r="CZ15324" s="256"/>
      <c r="DG15324" s="256"/>
    </row>
    <row r="15325" spans="104:111">
      <c r="CZ15325" s="256"/>
      <c r="DG15325" s="256"/>
    </row>
    <row r="15326" spans="104:111">
      <c r="CZ15326" s="256"/>
      <c r="DG15326" s="256"/>
    </row>
    <row r="15327" spans="104:111">
      <c r="CZ15327" s="256"/>
      <c r="DG15327" s="256"/>
    </row>
    <row r="15328" spans="104:111">
      <c r="CZ15328" s="256"/>
      <c r="DG15328" s="256"/>
    </row>
    <row r="15329" spans="104:111">
      <c r="CZ15329" s="256"/>
      <c r="DG15329" s="256"/>
    </row>
    <row r="15330" spans="104:111">
      <c r="CZ15330" s="256"/>
      <c r="DG15330" s="256"/>
    </row>
    <row r="15331" spans="104:111">
      <c r="CZ15331" s="256"/>
      <c r="DG15331" s="256"/>
    </row>
    <row r="15332" spans="104:111">
      <c r="CZ15332" s="256"/>
      <c r="DG15332" s="256"/>
    </row>
    <row r="15333" spans="104:111">
      <c r="CZ15333" s="256"/>
      <c r="DG15333" s="256"/>
    </row>
    <row r="15334" spans="104:111">
      <c r="CZ15334" s="256"/>
      <c r="DG15334" s="256"/>
    </row>
    <row r="15335" spans="104:111">
      <c r="CZ15335" s="256"/>
      <c r="DG15335" s="256"/>
    </row>
    <row r="15336" spans="104:111">
      <c r="CZ15336" s="256"/>
      <c r="DG15336" s="256"/>
    </row>
    <row r="15337" spans="104:111">
      <c r="CZ15337" s="256"/>
      <c r="DG15337" s="256"/>
    </row>
    <row r="15338" spans="104:111">
      <c r="CZ15338" s="256"/>
      <c r="DG15338" s="256"/>
    </row>
    <row r="15339" spans="104:111">
      <c r="CZ15339" s="256"/>
      <c r="DG15339" s="256"/>
    </row>
    <row r="15340" spans="104:111">
      <c r="CZ15340" s="256"/>
      <c r="DG15340" s="256"/>
    </row>
    <row r="15341" spans="104:111">
      <c r="CZ15341" s="256"/>
      <c r="DG15341" s="256"/>
    </row>
    <row r="15342" spans="104:111">
      <c r="CZ15342" s="256"/>
      <c r="DG15342" s="256"/>
    </row>
    <row r="15343" spans="104:111">
      <c r="CZ15343" s="256"/>
      <c r="DG15343" s="256"/>
    </row>
    <row r="15344" spans="104:111">
      <c r="CZ15344" s="256"/>
      <c r="DG15344" s="256"/>
    </row>
    <row r="15345" spans="104:111">
      <c r="CZ15345" s="256"/>
      <c r="DG15345" s="256"/>
    </row>
    <row r="15346" spans="104:111">
      <c r="CZ15346" s="256"/>
      <c r="DG15346" s="256"/>
    </row>
    <row r="15347" spans="104:111">
      <c r="CZ15347" s="256"/>
      <c r="DG15347" s="256"/>
    </row>
    <row r="15348" spans="104:111">
      <c r="CZ15348" s="256"/>
      <c r="DG15348" s="256"/>
    </row>
    <row r="15349" spans="104:111">
      <c r="CZ15349" s="256"/>
      <c r="DG15349" s="256"/>
    </row>
    <row r="15350" spans="104:111">
      <c r="CZ15350" s="256"/>
      <c r="DG15350" s="256"/>
    </row>
    <row r="15351" spans="104:111">
      <c r="CZ15351" s="256"/>
      <c r="DG15351" s="256"/>
    </row>
    <row r="15352" spans="104:111">
      <c r="CZ15352" s="256"/>
      <c r="DG15352" s="256"/>
    </row>
    <row r="15353" spans="104:111">
      <c r="CZ15353" s="256"/>
      <c r="DG15353" s="256"/>
    </row>
    <row r="15354" spans="104:111">
      <c r="CZ15354" s="256"/>
      <c r="DG15354" s="256"/>
    </row>
    <row r="15355" spans="104:111">
      <c r="CZ15355" s="256"/>
      <c r="DG15355" s="256"/>
    </row>
    <row r="15356" spans="104:111">
      <c r="CZ15356" s="256"/>
      <c r="DG15356" s="256"/>
    </row>
    <row r="15357" spans="104:111">
      <c r="CZ15357" s="256"/>
      <c r="DG15357" s="256"/>
    </row>
    <row r="15358" spans="104:111">
      <c r="CZ15358" s="256"/>
      <c r="DG15358" s="256"/>
    </row>
    <row r="15359" spans="104:111">
      <c r="CZ15359" s="256"/>
      <c r="DG15359" s="256"/>
    </row>
    <row r="15360" spans="104:111">
      <c r="CZ15360" s="256"/>
      <c r="DG15360" s="256"/>
    </row>
    <row r="15361" spans="104:111">
      <c r="CZ15361" s="256"/>
      <c r="DG15361" s="256"/>
    </row>
    <row r="15362" spans="104:111">
      <c r="CZ15362" s="256"/>
      <c r="DG15362" s="256"/>
    </row>
    <row r="15363" spans="104:111">
      <c r="CZ15363" s="256"/>
      <c r="DG15363" s="256"/>
    </row>
    <row r="15364" spans="104:111">
      <c r="CZ15364" s="256"/>
      <c r="DG15364" s="256"/>
    </row>
    <row r="15365" spans="104:111">
      <c r="CZ15365" s="256"/>
      <c r="DG15365" s="256"/>
    </row>
    <row r="15366" spans="104:111">
      <c r="CZ15366" s="256"/>
      <c r="DG15366" s="256"/>
    </row>
    <row r="15367" spans="104:111">
      <c r="CZ15367" s="256"/>
      <c r="DG15367" s="256"/>
    </row>
    <row r="15368" spans="104:111">
      <c r="CZ15368" s="256"/>
      <c r="DG15368" s="256"/>
    </row>
    <row r="15369" spans="104:111">
      <c r="CZ15369" s="256"/>
      <c r="DG15369" s="256"/>
    </row>
    <row r="15370" spans="104:111">
      <c r="CZ15370" s="256"/>
      <c r="DG15370" s="256"/>
    </row>
    <row r="15371" spans="104:111">
      <c r="CZ15371" s="256"/>
      <c r="DG15371" s="256"/>
    </row>
    <row r="15372" spans="104:111">
      <c r="CZ15372" s="256"/>
      <c r="DG15372" s="256"/>
    </row>
    <row r="15373" spans="104:111">
      <c r="CZ15373" s="256"/>
      <c r="DG15373" s="256"/>
    </row>
    <row r="15374" spans="104:111">
      <c r="CZ15374" s="256"/>
      <c r="DG15374" s="256"/>
    </row>
    <row r="15375" spans="104:111">
      <c r="CZ15375" s="256"/>
      <c r="DG15375" s="256"/>
    </row>
    <row r="15376" spans="104:111">
      <c r="CZ15376" s="256"/>
      <c r="DG15376" s="256"/>
    </row>
    <row r="15377" spans="104:111">
      <c r="CZ15377" s="256"/>
      <c r="DG15377" s="256"/>
    </row>
    <row r="15378" spans="104:111">
      <c r="CZ15378" s="256"/>
      <c r="DG15378" s="256"/>
    </row>
    <row r="15379" spans="104:111">
      <c r="CZ15379" s="256"/>
      <c r="DG15379" s="256"/>
    </row>
    <row r="15380" spans="104:111">
      <c r="CZ15380" s="256"/>
      <c r="DG15380" s="256"/>
    </row>
    <row r="15381" spans="104:111">
      <c r="CZ15381" s="256"/>
      <c r="DG15381" s="256"/>
    </row>
    <row r="15382" spans="104:111">
      <c r="CZ15382" s="256"/>
      <c r="DG15382" s="256"/>
    </row>
    <row r="15383" spans="104:111">
      <c r="CZ15383" s="256"/>
      <c r="DG15383" s="256"/>
    </row>
    <row r="15384" spans="104:111">
      <c r="CZ15384" s="256"/>
      <c r="DG15384" s="256"/>
    </row>
    <row r="15385" spans="104:111">
      <c r="CZ15385" s="256"/>
      <c r="DG15385" s="256"/>
    </row>
    <row r="15386" spans="104:111">
      <c r="CZ15386" s="256"/>
      <c r="DG15386" s="256"/>
    </row>
    <row r="15387" spans="104:111">
      <c r="CZ15387" s="256"/>
      <c r="DG15387" s="256"/>
    </row>
    <row r="15388" spans="104:111">
      <c r="CZ15388" s="256"/>
      <c r="DG15388" s="256"/>
    </row>
    <row r="15389" spans="104:111">
      <c r="CZ15389" s="256"/>
      <c r="DG15389" s="256"/>
    </row>
    <row r="15390" spans="104:111">
      <c r="CZ15390" s="256"/>
      <c r="DG15390" s="256"/>
    </row>
    <row r="15391" spans="104:111">
      <c r="CZ15391" s="256"/>
      <c r="DG15391" s="256"/>
    </row>
    <row r="15392" spans="104:111">
      <c r="CZ15392" s="256"/>
      <c r="DG15392" s="256"/>
    </row>
    <row r="15393" spans="104:111">
      <c r="CZ15393" s="256"/>
      <c r="DG15393" s="256"/>
    </row>
    <row r="15394" spans="104:111">
      <c r="CZ15394" s="256"/>
      <c r="DG15394" s="256"/>
    </row>
    <row r="15395" spans="104:111">
      <c r="CZ15395" s="256"/>
      <c r="DG15395" s="256"/>
    </row>
    <row r="15396" spans="104:111">
      <c r="CZ15396" s="256"/>
      <c r="DG15396" s="256"/>
    </row>
    <row r="15397" spans="104:111">
      <c r="CZ15397" s="256"/>
      <c r="DG15397" s="256"/>
    </row>
    <row r="15398" spans="104:111">
      <c r="CZ15398" s="256"/>
      <c r="DG15398" s="256"/>
    </row>
    <row r="15399" spans="104:111">
      <c r="CZ15399" s="256"/>
      <c r="DG15399" s="256"/>
    </row>
    <row r="15400" spans="104:111">
      <c r="CZ15400" s="256"/>
      <c r="DG15400" s="256"/>
    </row>
    <row r="15401" spans="104:111">
      <c r="CZ15401" s="256"/>
      <c r="DG15401" s="256"/>
    </row>
    <row r="15402" spans="104:111">
      <c r="CZ15402" s="256"/>
      <c r="DG15402" s="256"/>
    </row>
    <row r="15403" spans="104:111">
      <c r="CZ15403" s="256"/>
      <c r="DG15403" s="256"/>
    </row>
    <row r="15404" spans="104:111">
      <c r="CZ15404" s="256"/>
      <c r="DG15404" s="256"/>
    </row>
    <row r="15405" spans="104:111">
      <c r="CZ15405" s="256"/>
      <c r="DG15405" s="256"/>
    </row>
    <row r="15406" spans="104:111">
      <c r="CZ15406" s="256"/>
      <c r="DG15406" s="256"/>
    </row>
    <row r="15407" spans="104:111">
      <c r="CZ15407" s="256"/>
      <c r="DG15407" s="256"/>
    </row>
    <row r="15408" spans="104:111">
      <c r="CZ15408" s="256"/>
      <c r="DG15408" s="256"/>
    </row>
    <row r="15409" spans="104:111">
      <c r="CZ15409" s="256"/>
      <c r="DG15409" s="256"/>
    </row>
    <row r="15410" spans="104:111">
      <c r="CZ15410" s="256"/>
      <c r="DG15410" s="256"/>
    </row>
    <row r="15411" spans="104:111">
      <c r="CZ15411" s="256"/>
      <c r="DG15411" s="256"/>
    </row>
    <row r="15412" spans="104:111">
      <c r="CZ15412" s="256"/>
      <c r="DG15412" s="256"/>
    </row>
    <row r="15413" spans="104:111">
      <c r="CZ15413" s="256"/>
      <c r="DG15413" s="256"/>
    </row>
    <row r="15414" spans="104:111">
      <c r="CZ15414" s="256"/>
      <c r="DG15414" s="256"/>
    </row>
    <row r="15415" spans="104:111">
      <c r="CZ15415" s="256"/>
      <c r="DG15415" s="256"/>
    </row>
    <row r="15416" spans="104:111">
      <c r="CZ15416" s="256"/>
      <c r="DG15416" s="256"/>
    </row>
    <row r="15417" spans="104:111">
      <c r="CZ15417" s="256"/>
      <c r="DG15417" s="256"/>
    </row>
    <row r="15418" spans="104:111">
      <c r="CZ15418" s="256"/>
      <c r="DG15418" s="256"/>
    </row>
    <row r="15419" spans="104:111">
      <c r="CZ15419" s="256"/>
      <c r="DG15419" s="256"/>
    </row>
    <row r="15420" spans="104:111">
      <c r="CZ15420" s="256"/>
      <c r="DG15420" s="256"/>
    </row>
    <row r="15421" spans="104:111">
      <c r="CZ15421" s="256"/>
      <c r="DG15421" s="256"/>
    </row>
    <row r="15422" spans="104:111">
      <c r="CZ15422" s="256"/>
      <c r="DG15422" s="256"/>
    </row>
    <row r="15423" spans="104:111">
      <c r="CZ15423" s="256"/>
      <c r="DG15423" s="256"/>
    </row>
    <row r="15424" spans="104:111">
      <c r="CZ15424" s="256"/>
      <c r="DG15424" s="256"/>
    </row>
    <row r="15425" spans="104:111">
      <c r="CZ15425" s="256"/>
      <c r="DG15425" s="256"/>
    </row>
    <row r="15426" spans="104:111">
      <c r="CZ15426" s="256"/>
      <c r="DG15426" s="256"/>
    </row>
    <row r="15427" spans="104:111">
      <c r="CZ15427" s="256"/>
      <c r="DG15427" s="256"/>
    </row>
    <row r="15428" spans="104:111">
      <c r="CZ15428" s="256"/>
      <c r="DG15428" s="256"/>
    </row>
    <row r="15429" spans="104:111">
      <c r="CZ15429" s="256"/>
      <c r="DG15429" s="256"/>
    </row>
    <row r="15430" spans="104:111">
      <c r="CZ15430" s="256"/>
      <c r="DG15430" s="256"/>
    </row>
    <row r="15431" spans="104:111">
      <c r="CZ15431" s="256"/>
      <c r="DG15431" s="256"/>
    </row>
    <row r="15432" spans="104:111">
      <c r="CZ15432" s="256"/>
      <c r="DG15432" s="256"/>
    </row>
    <row r="15433" spans="104:111">
      <c r="CZ15433" s="256"/>
      <c r="DG15433" s="256"/>
    </row>
    <row r="15434" spans="104:111">
      <c r="CZ15434" s="256"/>
      <c r="DG15434" s="256"/>
    </row>
    <row r="15435" spans="104:111">
      <c r="CZ15435" s="256"/>
      <c r="DG15435" s="256"/>
    </row>
    <row r="15436" spans="104:111">
      <c r="CZ15436" s="256"/>
      <c r="DG15436" s="256"/>
    </row>
    <row r="15437" spans="104:111">
      <c r="CZ15437" s="256"/>
      <c r="DG15437" s="256"/>
    </row>
    <row r="15438" spans="104:111">
      <c r="CZ15438" s="256"/>
      <c r="DG15438" s="256"/>
    </row>
    <row r="15439" spans="104:111">
      <c r="CZ15439" s="256"/>
      <c r="DG15439" s="256"/>
    </row>
    <row r="15440" spans="104:111">
      <c r="CZ15440" s="256"/>
      <c r="DG15440" s="256"/>
    </row>
    <row r="15441" spans="104:111">
      <c r="CZ15441" s="256"/>
      <c r="DG15441" s="256"/>
    </row>
    <row r="15442" spans="104:111">
      <c r="CZ15442" s="256"/>
      <c r="DG15442" s="256"/>
    </row>
    <row r="15443" spans="104:111">
      <c r="CZ15443" s="256"/>
      <c r="DG15443" s="256"/>
    </row>
    <row r="15444" spans="104:111">
      <c r="CZ15444" s="256"/>
      <c r="DG15444" s="256"/>
    </row>
    <row r="15445" spans="104:111">
      <c r="CZ15445" s="256"/>
      <c r="DG15445" s="256"/>
    </row>
    <row r="15446" spans="104:111">
      <c r="CZ15446" s="256"/>
      <c r="DG15446" s="256"/>
    </row>
    <row r="15447" spans="104:111">
      <c r="CZ15447" s="256"/>
      <c r="DG15447" s="256"/>
    </row>
    <row r="15448" spans="104:111">
      <c r="CZ15448" s="256"/>
      <c r="DG15448" s="256"/>
    </row>
    <row r="15449" spans="104:111">
      <c r="CZ15449" s="256"/>
      <c r="DG15449" s="256"/>
    </row>
    <row r="15450" spans="104:111">
      <c r="CZ15450" s="256"/>
      <c r="DG15450" s="256"/>
    </row>
    <row r="15451" spans="104:111">
      <c r="CZ15451" s="256"/>
      <c r="DG15451" s="256"/>
    </row>
    <row r="15452" spans="104:111">
      <c r="CZ15452" s="256"/>
      <c r="DG15452" s="256"/>
    </row>
    <row r="15453" spans="104:111">
      <c r="CZ15453" s="256"/>
      <c r="DG15453" s="256"/>
    </row>
    <row r="15454" spans="104:111">
      <c r="CZ15454" s="256"/>
      <c r="DG15454" s="256"/>
    </row>
    <row r="15455" spans="104:111">
      <c r="CZ15455" s="256"/>
      <c r="DG15455" s="256"/>
    </row>
    <row r="15456" spans="104:111">
      <c r="CZ15456" s="256"/>
      <c r="DG15456" s="256"/>
    </row>
    <row r="15457" spans="104:111">
      <c r="CZ15457" s="256"/>
      <c r="DG15457" s="256"/>
    </row>
    <row r="15458" spans="104:111">
      <c r="CZ15458" s="256"/>
      <c r="DG15458" s="256"/>
    </row>
    <row r="15459" spans="104:111">
      <c r="CZ15459" s="256"/>
      <c r="DG15459" s="256"/>
    </row>
    <row r="15460" spans="104:111">
      <c r="CZ15460" s="256"/>
      <c r="DG15460" s="256"/>
    </row>
    <row r="15461" spans="104:111">
      <c r="CZ15461" s="256"/>
      <c r="DG15461" s="256"/>
    </row>
    <row r="15462" spans="104:111">
      <c r="CZ15462" s="256"/>
      <c r="DG15462" s="256"/>
    </row>
    <row r="15463" spans="104:111">
      <c r="CZ15463" s="256"/>
      <c r="DG15463" s="256"/>
    </row>
    <row r="15464" spans="104:111">
      <c r="CZ15464" s="256"/>
      <c r="DG15464" s="256"/>
    </row>
    <row r="15465" spans="104:111">
      <c r="CZ15465" s="256"/>
      <c r="DG15465" s="256"/>
    </row>
    <row r="15466" spans="104:111">
      <c r="CZ15466" s="256"/>
      <c r="DG15466" s="256"/>
    </row>
    <row r="15467" spans="104:111">
      <c r="CZ15467" s="256"/>
      <c r="DG15467" s="256"/>
    </row>
    <row r="15468" spans="104:111">
      <c r="CZ15468" s="256"/>
      <c r="DG15468" s="256"/>
    </row>
    <row r="15469" spans="104:111">
      <c r="CZ15469" s="256"/>
      <c r="DG15469" s="256"/>
    </row>
    <row r="15470" spans="104:111">
      <c r="CZ15470" s="256"/>
      <c r="DG15470" s="256"/>
    </row>
    <row r="15471" spans="104:111">
      <c r="CZ15471" s="256"/>
      <c r="DG15471" s="256"/>
    </row>
    <row r="15472" spans="104:111">
      <c r="CZ15472" s="256"/>
      <c r="DG15472" s="256"/>
    </row>
    <row r="15473" spans="104:111">
      <c r="CZ15473" s="256"/>
      <c r="DG15473" s="256"/>
    </row>
    <row r="15474" spans="104:111">
      <c r="CZ15474" s="256"/>
      <c r="DG15474" s="256"/>
    </row>
    <row r="15475" spans="104:111">
      <c r="CZ15475" s="256"/>
      <c r="DG15475" s="256"/>
    </row>
    <row r="15476" spans="104:111">
      <c r="CZ15476" s="256"/>
      <c r="DG15476" s="256"/>
    </row>
    <row r="15477" spans="104:111">
      <c r="CZ15477" s="256"/>
      <c r="DG15477" s="256"/>
    </row>
    <row r="15478" spans="104:111">
      <c r="CZ15478" s="256"/>
      <c r="DG15478" s="256"/>
    </row>
    <row r="15479" spans="104:111">
      <c r="CZ15479" s="256"/>
      <c r="DG15479" s="256"/>
    </row>
    <row r="15480" spans="104:111">
      <c r="CZ15480" s="256"/>
      <c r="DG15480" s="256"/>
    </row>
    <row r="15481" spans="104:111">
      <c r="CZ15481" s="256"/>
      <c r="DG15481" s="256"/>
    </row>
    <row r="15482" spans="104:111">
      <c r="CZ15482" s="256"/>
      <c r="DG15482" s="256"/>
    </row>
    <row r="15483" spans="104:111">
      <c r="CZ15483" s="256"/>
      <c r="DG15483" s="256"/>
    </row>
    <row r="15484" spans="104:111">
      <c r="CZ15484" s="256"/>
      <c r="DG15484" s="256"/>
    </row>
    <row r="15485" spans="104:111">
      <c r="CZ15485" s="256"/>
      <c r="DG15485" s="256"/>
    </row>
    <row r="15486" spans="104:111">
      <c r="CZ15486" s="256"/>
      <c r="DG15486" s="256"/>
    </row>
    <row r="15487" spans="104:111">
      <c r="CZ15487" s="256"/>
      <c r="DG15487" s="256"/>
    </row>
    <row r="15488" spans="104:111">
      <c r="CZ15488" s="256"/>
      <c r="DG15488" s="256"/>
    </row>
    <row r="15489" spans="104:111">
      <c r="CZ15489" s="256"/>
      <c r="DG15489" s="256"/>
    </row>
    <row r="15490" spans="104:111">
      <c r="CZ15490" s="256"/>
      <c r="DG15490" s="256"/>
    </row>
    <row r="15491" spans="104:111">
      <c r="CZ15491" s="256"/>
      <c r="DG15491" s="256"/>
    </row>
    <row r="15492" spans="104:111">
      <c r="CZ15492" s="256"/>
      <c r="DG15492" s="256"/>
    </row>
    <row r="15493" spans="104:111">
      <c r="CZ15493" s="256"/>
      <c r="DG15493" s="256"/>
    </row>
    <row r="15494" spans="104:111">
      <c r="CZ15494" s="256"/>
      <c r="DG15494" s="256"/>
    </row>
    <row r="15495" spans="104:111">
      <c r="CZ15495" s="256"/>
      <c r="DG15495" s="256"/>
    </row>
    <row r="15496" spans="104:111">
      <c r="CZ15496" s="256"/>
      <c r="DG15496" s="256"/>
    </row>
    <row r="15497" spans="104:111">
      <c r="CZ15497" s="256"/>
      <c r="DG15497" s="256"/>
    </row>
    <row r="15498" spans="104:111">
      <c r="CZ15498" s="256"/>
      <c r="DG15498" s="256"/>
    </row>
    <row r="15499" spans="104:111">
      <c r="CZ15499" s="256"/>
      <c r="DG15499" s="256"/>
    </row>
    <row r="15500" spans="104:111">
      <c r="CZ15500" s="256"/>
      <c r="DG15500" s="256"/>
    </row>
    <row r="15501" spans="104:111">
      <c r="CZ15501" s="256"/>
      <c r="DG15501" s="256"/>
    </row>
    <row r="15502" spans="104:111">
      <c r="CZ15502" s="256"/>
      <c r="DG15502" s="256"/>
    </row>
    <row r="15503" spans="104:111">
      <c r="CZ15503" s="256"/>
      <c r="DG15503" s="256"/>
    </row>
    <row r="15504" spans="104:111">
      <c r="CZ15504" s="256"/>
      <c r="DG15504" s="256"/>
    </row>
    <row r="15505" spans="104:111">
      <c r="CZ15505" s="256"/>
      <c r="DG15505" s="256"/>
    </row>
    <row r="15506" spans="104:111">
      <c r="CZ15506" s="256"/>
      <c r="DG15506" s="256"/>
    </row>
    <row r="15507" spans="104:111">
      <c r="CZ15507" s="256"/>
      <c r="DG15507" s="256"/>
    </row>
    <row r="15508" spans="104:111">
      <c r="CZ15508" s="256"/>
      <c r="DG15508" s="256"/>
    </row>
    <row r="15509" spans="104:111">
      <c r="CZ15509" s="256"/>
      <c r="DG15509" s="256"/>
    </row>
    <row r="15510" spans="104:111">
      <c r="CZ15510" s="256"/>
      <c r="DG15510" s="256"/>
    </row>
    <row r="15511" spans="104:111">
      <c r="CZ15511" s="256"/>
      <c r="DG15511" s="256"/>
    </row>
    <row r="15512" spans="104:111">
      <c r="CZ15512" s="256"/>
      <c r="DG15512" s="256"/>
    </row>
    <row r="15513" spans="104:111">
      <c r="CZ15513" s="256"/>
      <c r="DG15513" s="256"/>
    </row>
    <row r="15514" spans="104:111">
      <c r="CZ15514" s="256"/>
      <c r="DG15514" s="256"/>
    </row>
    <row r="15515" spans="104:111">
      <c r="CZ15515" s="256"/>
      <c r="DG15515" s="256"/>
    </row>
    <row r="15516" spans="104:111">
      <c r="CZ15516" s="256"/>
      <c r="DG15516" s="256"/>
    </row>
    <row r="15517" spans="104:111">
      <c r="CZ15517" s="256"/>
      <c r="DG15517" s="256"/>
    </row>
    <row r="15518" spans="104:111">
      <c r="CZ15518" s="256"/>
      <c r="DG15518" s="256"/>
    </row>
    <row r="15519" spans="104:111">
      <c r="CZ15519" s="256"/>
      <c r="DG15519" s="256"/>
    </row>
    <row r="15520" spans="104:111">
      <c r="CZ15520" s="256"/>
      <c r="DG15520" s="256"/>
    </row>
    <row r="15521" spans="104:111">
      <c r="CZ15521" s="256"/>
      <c r="DG15521" s="256"/>
    </row>
    <row r="15522" spans="104:111">
      <c r="CZ15522" s="256"/>
      <c r="DG15522" s="256"/>
    </row>
    <row r="15523" spans="104:111">
      <c r="CZ15523" s="256"/>
      <c r="DG15523" s="256"/>
    </row>
    <row r="15524" spans="104:111">
      <c r="CZ15524" s="256"/>
      <c r="DG15524" s="256"/>
    </row>
    <row r="15525" spans="104:111">
      <c r="CZ15525" s="256"/>
      <c r="DG15525" s="256"/>
    </row>
    <row r="15526" spans="104:111">
      <c r="CZ15526" s="256"/>
      <c r="DG15526" s="256"/>
    </row>
    <row r="15527" spans="104:111">
      <c r="CZ15527" s="256"/>
      <c r="DG15527" s="256"/>
    </row>
    <row r="15528" spans="104:111">
      <c r="CZ15528" s="256"/>
      <c r="DG15528" s="256"/>
    </row>
    <row r="15529" spans="104:111">
      <c r="CZ15529" s="256"/>
      <c r="DG15529" s="256"/>
    </row>
    <row r="15530" spans="104:111">
      <c r="CZ15530" s="256"/>
      <c r="DG15530" s="256"/>
    </row>
    <row r="15531" spans="104:111">
      <c r="CZ15531" s="256"/>
      <c r="DG15531" s="256"/>
    </row>
    <row r="15532" spans="104:111">
      <c r="CZ15532" s="256"/>
      <c r="DG15532" s="256"/>
    </row>
    <row r="15533" spans="104:111">
      <c r="CZ15533" s="256"/>
      <c r="DG15533" s="256"/>
    </row>
    <row r="15534" spans="104:111">
      <c r="CZ15534" s="256"/>
      <c r="DG15534" s="256"/>
    </row>
    <row r="15535" spans="104:111">
      <c r="CZ15535" s="256"/>
      <c r="DG15535" s="256"/>
    </row>
    <row r="15536" spans="104:111">
      <c r="CZ15536" s="256"/>
      <c r="DG15536" s="256"/>
    </row>
    <row r="15537" spans="104:111">
      <c r="CZ15537" s="256"/>
      <c r="DG15537" s="256"/>
    </row>
    <row r="15538" spans="104:111">
      <c r="CZ15538" s="256"/>
      <c r="DG15538" s="256"/>
    </row>
    <row r="15539" spans="104:111">
      <c r="CZ15539" s="256"/>
      <c r="DG15539" s="256"/>
    </row>
    <row r="15540" spans="104:111">
      <c r="CZ15540" s="256"/>
      <c r="DG15540" s="256"/>
    </row>
    <row r="15541" spans="104:111">
      <c r="CZ15541" s="256"/>
      <c r="DG15541" s="256"/>
    </row>
    <row r="15542" spans="104:111">
      <c r="CZ15542" s="256"/>
      <c r="DG15542" s="256"/>
    </row>
    <row r="15543" spans="104:111">
      <c r="CZ15543" s="256"/>
      <c r="DG15543" s="256"/>
    </row>
    <row r="15544" spans="104:111">
      <c r="CZ15544" s="256"/>
      <c r="DG15544" s="256"/>
    </row>
    <row r="15545" spans="104:111">
      <c r="CZ15545" s="256"/>
      <c r="DG15545" s="256"/>
    </row>
    <row r="15546" spans="104:111">
      <c r="CZ15546" s="256"/>
      <c r="DG15546" s="256"/>
    </row>
    <row r="15547" spans="104:111">
      <c r="CZ15547" s="256"/>
      <c r="DG15547" s="256"/>
    </row>
    <row r="15548" spans="104:111">
      <c r="CZ15548" s="256"/>
      <c r="DG15548" s="256"/>
    </row>
    <row r="15549" spans="104:111">
      <c r="CZ15549" s="256"/>
      <c r="DG15549" s="256"/>
    </row>
    <row r="15550" spans="104:111">
      <c r="CZ15550" s="256"/>
      <c r="DG15550" s="256"/>
    </row>
    <row r="15551" spans="104:111">
      <c r="CZ15551" s="256"/>
      <c r="DG15551" s="256"/>
    </row>
    <row r="15552" spans="104:111">
      <c r="CZ15552" s="256"/>
      <c r="DG15552" s="256"/>
    </row>
    <row r="15553" spans="104:111">
      <c r="CZ15553" s="256"/>
      <c r="DG15553" s="256"/>
    </row>
    <row r="15554" spans="104:111">
      <c r="CZ15554" s="256"/>
      <c r="DG15554" s="256"/>
    </row>
    <row r="15555" spans="104:111">
      <c r="CZ15555" s="256"/>
      <c r="DG15555" s="256"/>
    </row>
    <row r="15556" spans="104:111">
      <c r="CZ15556" s="256"/>
      <c r="DG15556" s="256"/>
    </row>
    <row r="15557" spans="104:111">
      <c r="CZ15557" s="256"/>
      <c r="DG15557" s="256"/>
    </row>
    <row r="15558" spans="104:111">
      <c r="CZ15558" s="256"/>
      <c r="DG15558" s="256"/>
    </row>
    <row r="15559" spans="104:111">
      <c r="CZ15559" s="256"/>
      <c r="DG15559" s="256"/>
    </row>
    <row r="15560" spans="104:111">
      <c r="CZ15560" s="256"/>
      <c r="DG15560" s="256"/>
    </row>
    <row r="15561" spans="104:111">
      <c r="CZ15561" s="256"/>
      <c r="DG15561" s="256"/>
    </row>
    <row r="15562" spans="104:111">
      <c r="CZ15562" s="256"/>
      <c r="DG15562" s="256"/>
    </row>
    <row r="15563" spans="104:111">
      <c r="CZ15563" s="256"/>
      <c r="DG15563" s="256"/>
    </row>
    <row r="15564" spans="104:111">
      <c r="CZ15564" s="256"/>
      <c r="DG15564" s="256"/>
    </row>
    <row r="15565" spans="104:111">
      <c r="CZ15565" s="256"/>
      <c r="DG15565" s="256"/>
    </row>
    <row r="15566" spans="104:111">
      <c r="CZ15566" s="256"/>
      <c r="DG15566" s="256"/>
    </row>
    <row r="15567" spans="104:111">
      <c r="CZ15567" s="256"/>
      <c r="DG15567" s="256"/>
    </row>
    <row r="15568" spans="104:111">
      <c r="CZ15568" s="256"/>
      <c r="DG15568" s="256"/>
    </row>
    <row r="15569" spans="104:111">
      <c r="CZ15569" s="256"/>
      <c r="DG15569" s="256"/>
    </row>
    <row r="15570" spans="104:111">
      <c r="CZ15570" s="256"/>
      <c r="DG15570" s="256"/>
    </row>
    <row r="15571" spans="104:111">
      <c r="CZ15571" s="256"/>
      <c r="DG15571" s="256"/>
    </row>
    <row r="15572" spans="104:111">
      <c r="CZ15572" s="256"/>
      <c r="DG15572" s="256"/>
    </row>
    <row r="15573" spans="104:111">
      <c r="CZ15573" s="256"/>
      <c r="DG15573" s="256"/>
    </row>
    <row r="15574" spans="104:111">
      <c r="CZ15574" s="256"/>
      <c r="DG15574" s="256"/>
    </row>
    <row r="15575" spans="104:111">
      <c r="CZ15575" s="256"/>
      <c r="DG15575" s="256"/>
    </row>
    <row r="15576" spans="104:111">
      <c r="CZ15576" s="256"/>
      <c r="DG15576" s="256"/>
    </row>
    <row r="15577" spans="104:111">
      <c r="CZ15577" s="256"/>
      <c r="DG15577" s="256"/>
    </row>
    <row r="15578" spans="104:111">
      <c r="CZ15578" s="256"/>
      <c r="DG15578" s="256"/>
    </row>
    <row r="15579" spans="104:111">
      <c r="CZ15579" s="256"/>
      <c r="DG15579" s="256"/>
    </row>
    <row r="15580" spans="104:111">
      <c r="CZ15580" s="256"/>
      <c r="DG15580" s="256"/>
    </row>
    <row r="15581" spans="104:111">
      <c r="CZ15581" s="256"/>
      <c r="DG15581" s="256"/>
    </row>
    <row r="15582" spans="104:111">
      <c r="CZ15582" s="256"/>
      <c r="DG15582" s="256"/>
    </row>
    <row r="15583" spans="104:111">
      <c r="CZ15583" s="256"/>
      <c r="DG15583" s="256"/>
    </row>
    <row r="15584" spans="104:111">
      <c r="CZ15584" s="256"/>
      <c r="DG15584" s="256"/>
    </row>
    <row r="15585" spans="104:111">
      <c r="CZ15585" s="256"/>
      <c r="DG15585" s="256"/>
    </row>
    <row r="15586" spans="104:111">
      <c r="CZ15586" s="256"/>
      <c r="DG15586" s="256"/>
    </row>
    <row r="15587" spans="104:111">
      <c r="CZ15587" s="256"/>
      <c r="DG15587" s="256"/>
    </row>
    <row r="15588" spans="104:111">
      <c r="CZ15588" s="256"/>
      <c r="DG15588" s="256"/>
    </row>
    <row r="15589" spans="104:111">
      <c r="CZ15589" s="256"/>
      <c r="DG15589" s="256"/>
    </row>
    <row r="15590" spans="104:111">
      <c r="CZ15590" s="256"/>
      <c r="DG15590" s="256"/>
    </row>
    <row r="15591" spans="104:111">
      <c r="CZ15591" s="256"/>
      <c r="DG15591" s="256"/>
    </row>
    <row r="15592" spans="104:111">
      <c r="CZ15592" s="256"/>
      <c r="DG15592" s="256"/>
    </row>
    <row r="15593" spans="104:111">
      <c r="CZ15593" s="256"/>
      <c r="DG15593" s="256"/>
    </row>
    <row r="15594" spans="104:111">
      <c r="CZ15594" s="256"/>
      <c r="DG15594" s="256"/>
    </row>
    <row r="15595" spans="104:111">
      <c r="CZ15595" s="256"/>
      <c r="DG15595" s="256"/>
    </row>
    <row r="15596" spans="104:111">
      <c r="CZ15596" s="256"/>
      <c r="DG15596" s="256"/>
    </row>
    <row r="15597" spans="104:111">
      <c r="CZ15597" s="256"/>
      <c r="DG15597" s="256"/>
    </row>
    <row r="15598" spans="104:111">
      <c r="CZ15598" s="256"/>
      <c r="DG15598" s="256"/>
    </row>
    <row r="15599" spans="104:111">
      <c r="CZ15599" s="256"/>
      <c r="DG15599" s="256"/>
    </row>
    <row r="15600" spans="104:111">
      <c r="CZ15600" s="256"/>
      <c r="DG15600" s="256"/>
    </row>
    <row r="15601" spans="104:111">
      <c r="CZ15601" s="256"/>
      <c r="DG15601" s="256"/>
    </row>
    <row r="15602" spans="104:111">
      <c r="CZ15602" s="256"/>
      <c r="DG15602" s="256"/>
    </row>
    <row r="15603" spans="104:111">
      <c r="CZ15603" s="256"/>
      <c r="DG15603" s="256"/>
    </row>
    <row r="15604" spans="104:111">
      <c r="CZ15604" s="256"/>
      <c r="DG15604" s="256"/>
    </row>
    <row r="15605" spans="104:111">
      <c r="CZ15605" s="256"/>
      <c r="DG15605" s="256"/>
    </row>
    <row r="15606" spans="104:111">
      <c r="CZ15606" s="256"/>
      <c r="DG15606" s="256"/>
    </row>
    <row r="15607" spans="104:111">
      <c r="CZ15607" s="256"/>
      <c r="DG15607" s="256"/>
    </row>
    <row r="15608" spans="104:111">
      <c r="CZ15608" s="256"/>
      <c r="DG15608" s="256"/>
    </row>
    <row r="15609" spans="104:111">
      <c r="CZ15609" s="256"/>
      <c r="DG15609" s="256"/>
    </row>
    <row r="15610" spans="104:111">
      <c r="CZ15610" s="256"/>
      <c r="DG15610" s="256"/>
    </row>
    <row r="15611" spans="104:111">
      <c r="CZ15611" s="256"/>
      <c r="DG15611" s="256"/>
    </row>
    <row r="15612" spans="104:111">
      <c r="CZ15612" s="256"/>
      <c r="DG15612" s="256"/>
    </row>
    <row r="15613" spans="104:111">
      <c r="CZ15613" s="256"/>
      <c r="DG15613" s="256"/>
    </row>
    <row r="15614" spans="104:111">
      <c r="CZ15614" s="256"/>
      <c r="DG15614" s="256"/>
    </row>
    <row r="15615" spans="104:111">
      <c r="CZ15615" s="256"/>
      <c r="DG15615" s="256"/>
    </row>
    <row r="15616" spans="104:111">
      <c r="CZ15616" s="256"/>
      <c r="DG15616" s="256"/>
    </row>
    <row r="15617" spans="104:111">
      <c r="CZ15617" s="256"/>
      <c r="DG15617" s="256"/>
    </row>
    <row r="15618" spans="104:111">
      <c r="CZ15618" s="256"/>
      <c r="DG15618" s="256"/>
    </row>
    <row r="15619" spans="104:111">
      <c r="CZ15619" s="256"/>
      <c r="DG15619" s="256"/>
    </row>
    <row r="15620" spans="104:111">
      <c r="CZ15620" s="256"/>
      <c r="DG15620" s="256"/>
    </row>
    <row r="15621" spans="104:111">
      <c r="CZ15621" s="256"/>
      <c r="DG15621" s="256"/>
    </row>
    <row r="15622" spans="104:111">
      <c r="CZ15622" s="256"/>
      <c r="DG15622" s="256"/>
    </row>
    <row r="15623" spans="104:111">
      <c r="CZ15623" s="256"/>
      <c r="DG15623" s="256"/>
    </row>
    <row r="15624" spans="104:111">
      <c r="CZ15624" s="256"/>
      <c r="DG15624" s="256"/>
    </row>
    <row r="15625" spans="104:111">
      <c r="CZ15625" s="256"/>
      <c r="DG15625" s="256"/>
    </row>
    <row r="15626" spans="104:111">
      <c r="CZ15626" s="256"/>
      <c r="DG15626" s="256"/>
    </row>
    <row r="15627" spans="104:111">
      <c r="CZ15627" s="256"/>
      <c r="DG15627" s="256"/>
    </row>
    <row r="15628" spans="104:111">
      <c r="CZ15628" s="256"/>
      <c r="DG15628" s="256"/>
    </row>
    <row r="15629" spans="104:111">
      <c r="CZ15629" s="256"/>
      <c r="DG15629" s="256"/>
    </row>
    <row r="15630" spans="104:111">
      <c r="CZ15630" s="256"/>
      <c r="DG15630" s="256"/>
    </row>
    <row r="15631" spans="104:111">
      <c r="CZ15631" s="256"/>
      <c r="DG15631" s="256"/>
    </row>
    <row r="15632" spans="104:111">
      <c r="CZ15632" s="256"/>
      <c r="DG15632" s="256"/>
    </row>
    <row r="15633" spans="104:111">
      <c r="CZ15633" s="256"/>
      <c r="DG15633" s="256"/>
    </row>
    <row r="15634" spans="104:111">
      <c r="CZ15634" s="256"/>
      <c r="DG15634" s="256"/>
    </row>
    <row r="15635" spans="104:111">
      <c r="CZ15635" s="256"/>
      <c r="DG15635" s="256"/>
    </row>
    <row r="15636" spans="104:111">
      <c r="CZ15636" s="256"/>
      <c r="DG15636" s="256"/>
    </row>
    <row r="15637" spans="104:111">
      <c r="CZ15637" s="256"/>
      <c r="DG15637" s="256"/>
    </row>
    <row r="15638" spans="104:111">
      <c r="CZ15638" s="256"/>
      <c r="DG15638" s="256"/>
    </row>
    <row r="15639" spans="104:111">
      <c r="CZ15639" s="256"/>
      <c r="DG15639" s="256"/>
    </row>
    <row r="15640" spans="104:111">
      <c r="CZ15640" s="256"/>
      <c r="DG15640" s="256"/>
    </row>
    <row r="15641" spans="104:111">
      <c r="CZ15641" s="256"/>
      <c r="DG15641" s="256"/>
    </row>
    <row r="15642" spans="104:111">
      <c r="CZ15642" s="256"/>
      <c r="DG15642" s="256"/>
    </row>
    <row r="15643" spans="104:111">
      <c r="CZ15643" s="256"/>
      <c r="DG15643" s="256"/>
    </row>
    <row r="15644" spans="104:111">
      <c r="CZ15644" s="256"/>
      <c r="DG15644" s="256"/>
    </row>
    <row r="15645" spans="104:111">
      <c r="CZ15645" s="256"/>
      <c r="DG15645" s="256"/>
    </row>
    <row r="15646" spans="104:111">
      <c r="CZ15646" s="256"/>
      <c r="DG15646" s="256"/>
    </row>
    <row r="15647" spans="104:111">
      <c r="CZ15647" s="256"/>
      <c r="DG15647" s="256"/>
    </row>
    <row r="15648" spans="104:111">
      <c r="CZ15648" s="256"/>
      <c r="DG15648" s="256"/>
    </row>
    <row r="15649" spans="104:111">
      <c r="CZ15649" s="256"/>
      <c r="DG15649" s="256"/>
    </row>
    <row r="15650" spans="104:111">
      <c r="CZ15650" s="256"/>
      <c r="DG15650" s="256"/>
    </row>
    <row r="15651" spans="104:111">
      <c r="CZ15651" s="256"/>
      <c r="DG15651" s="256"/>
    </row>
    <row r="15652" spans="104:111">
      <c r="CZ15652" s="256"/>
      <c r="DG15652" s="256"/>
    </row>
    <row r="15653" spans="104:111">
      <c r="CZ15653" s="256"/>
      <c r="DG15653" s="256"/>
    </row>
    <row r="15654" spans="104:111">
      <c r="CZ15654" s="256"/>
      <c r="DG15654" s="256"/>
    </row>
    <row r="15655" spans="104:111">
      <c r="CZ15655" s="256"/>
      <c r="DG15655" s="256"/>
    </row>
    <row r="15656" spans="104:111">
      <c r="CZ15656" s="256"/>
      <c r="DG15656" s="256"/>
    </row>
    <row r="15657" spans="104:111">
      <c r="CZ15657" s="256"/>
      <c r="DG15657" s="256"/>
    </row>
    <row r="15658" spans="104:111">
      <c r="CZ15658" s="256"/>
      <c r="DG15658" s="256"/>
    </row>
    <row r="15659" spans="104:111">
      <c r="CZ15659" s="256"/>
      <c r="DG15659" s="256"/>
    </row>
    <row r="15660" spans="104:111">
      <c r="CZ15660" s="256"/>
      <c r="DG15660" s="256"/>
    </row>
    <row r="15661" spans="104:111">
      <c r="CZ15661" s="256"/>
      <c r="DG15661" s="256"/>
    </row>
    <row r="15662" spans="104:111">
      <c r="CZ15662" s="256"/>
      <c r="DG15662" s="256"/>
    </row>
    <row r="15663" spans="104:111">
      <c r="CZ15663" s="256"/>
      <c r="DG15663" s="256"/>
    </row>
    <row r="15664" spans="104:111">
      <c r="CZ15664" s="256"/>
      <c r="DG15664" s="256"/>
    </row>
    <row r="15665" spans="104:111">
      <c r="CZ15665" s="256"/>
      <c r="DG15665" s="256"/>
    </row>
    <row r="15666" spans="104:111">
      <c r="CZ15666" s="256"/>
      <c r="DG15666" s="256"/>
    </row>
    <row r="15667" spans="104:111">
      <c r="CZ15667" s="256"/>
      <c r="DG15667" s="256"/>
    </row>
    <row r="15668" spans="104:111">
      <c r="CZ15668" s="256"/>
      <c r="DG15668" s="256"/>
    </row>
    <row r="15669" spans="104:111">
      <c r="CZ15669" s="256"/>
      <c r="DG15669" s="256"/>
    </row>
    <row r="15670" spans="104:111">
      <c r="CZ15670" s="256"/>
      <c r="DG15670" s="256"/>
    </row>
    <row r="15671" spans="104:111">
      <c r="CZ15671" s="256"/>
      <c r="DG15671" s="256"/>
    </row>
    <row r="15672" spans="104:111">
      <c r="CZ15672" s="256"/>
      <c r="DG15672" s="256"/>
    </row>
    <row r="15673" spans="104:111">
      <c r="CZ15673" s="256"/>
      <c r="DG15673" s="256"/>
    </row>
    <row r="15674" spans="104:111">
      <c r="CZ15674" s="256"/>
      <c r="DG15674" s="256"/>
    </row>
    <row r="15675" spans="104:111">
      <c r="CZ15675" s="256"/>
      <c r="DG15675" s="256"/>
    </row>
    <row r="15676" spans="104:111">
      <c r="CZ15676" s="256"/>
      <c r="DG15676" s="256"/>
    </row>
    <row r="15677" spans="104:111">
      <c r="CZ15677" s="256"/>
      <c r="DG15677" s="256"/>
    </row>
    <row r="15678" spans="104:111">
      <c r="CZ15678" s="256"/>
      <c r="DG15678" s="256"/>
    </row>
    <row r="15679" spans="104:111">
      <c r="CZ15679" s="256"/>
      <c r="DG15679" s="256"/>
    </row>
    <row r="15680" spans="104:111">
      <c r="CZ15680" s="256"/>
      <c r="DG15680" s="256"/>
    </row>
    <row r="15681" spans="104:111">
      <c r="CZ15681" s="256"/>
      <c r="DG15681" s="256"/>
    </row>
    <row r="15682" spans="104:111">
      <c r="CZ15682" s="256"/>
      <c r="DG15682" s="256"/>
    </row>
    <row r="15683" spans="104:111">
      <c r="CZ15683" s="256"/>
      <c r="DG15683" s="256"/>
    </row>
    <row r="15684" spans="104:111">
      <c r="CZ15684" s="256"/>
      <c r="DG15684" s="256"/>
    </row>
    <row r="15685" spans="104:111">
      <c r="CZ15685" s="256"/>
      <c r="DG15685" s="256"/>
    </row>
    <row r="15686" spans="104:111">
      <c r="CZ15686" s="256"/>
      <c r="DG15686" s="256"/>
    </row>
    <row r="15687" spans="104:111">
      <c r="CZ15687" s="256"/>
      <c r="DG15687" s="256"/>
    </row>
    <row r="15688" spans="104:111">
      <c r="CZ15688" s="256"/>
      <c r="DG15688" s="256"/>
    </row>
    <row r="15689" spans="104:111">
      <c r="CZ15689" s="256"/>
      <c r="DG15689" s="256"/>
    </row>
    <row r="15690" spans="104:111">
      <c r="CZ15690" s="256"/>
      <c r="DG15690" s="256"/>
    </row>
    <row r="15691" spans="104:111">
      <c r="CZ15691" s="256"/>
      <c r="DG15691" s="256"/>
    </row>
    <row r="15692" spans="104:111">
      <c r="CZ15692" s="256"/>
      <c r="DG15692" s="256"/>
    </row>
    <row r="15693" spans="104:111">
      <c r="CZ15693" s="256"/>
      <c r="DG15693" s="256"/>
    </row>
    <row r="15694" spans="104:111">
      <c r="CZ15694" s="256"/>
      <c r="DG15694" s="256"/>
    </row>
    <row r="15695" spans="104:111">
      <c r="CZ15695" s="256"/>
      <c r="DG15695" s="256"/>
    </row>
    <row r="15696" spans="104:111">
      <c r="CZ15696" s="256"/>
      <c r="DG15696" s="256"/>
    </row>
    <row r="15697" spans="104:111">
      <c r="CZ15697" s="256"/>
      <c r="DG15697" s="256"/>
    </row>
    <row r="15698" spans="104:111">
      <c r="CZ15698" s="256"/>
      <c r="DG15698" s="256"/>
    </row>
    <row r="15699" spans="104:111">
      <c r="CZ15699" s="256"/>
      <c r="DG15699" s="256"/>
    </row>
    <row r="15700" spans="104:111">
      <c r="CZ15700" s="256"/>
      <c r="DG15700" s="256"/>
    </row>
    <row r="15701" spans="104:111">
      <c r="CZ15701" s="256"/>
      <c r="DG15701" s="256"/>
    </row>
    <row r="15702" spans="104:111">
      <c r="CZ15702" s="256"/>
      <c r="DG15702" s="256"/>
    </row>
    <row r="15703" spans="104:111">
      <c r="CZ15703" s="256"/>
      <c r="DG15703" s="256"/>
    </row>
    <row r="15704" spans="104:111">
      <c r="CZ15704" s="256"/>
      <c r="DG15704" s="256"/>
    </row>
    <row r="15705" spans="104:111">
      <c r="CZ15705" s="256"/>
      <c r="DG15705" s="256"/>
    </row>
    <row r="15706" spans="104:111">
      <c r="CZ15706" s="256"/>
      <c r="DG15706" s="256"/>
    </row>
    <row r="15707" spans="104:111">
      <c r="CZ15707" s="256"/>
      <c r="DG15707" s="256"/>
    </row>
    <row r="15708" spans="104:111">
      <c r="CZ15708" s="256"/>
      <c r="DG15708" s="256"/>
    </row>
    <row r="15709" spans="104:111">
      <c r="CZ15709" s="256"/>
      <c r="DG15709" s="256"/>
    </row>
    <row r="15710" spans="104:111">
      <c r="CZ15710" s="256"/>
      <c r="DG15710" s="256"/>
    </row>
    <row r="15711" spans="104:111">
      <c r="CZ15711" s="256"/>
      <c r="DG15711" s="256"/>
    </row>
    <row r="15712" spans="104:111">
      <c r="CZ15712" s="256"/>
      <c r="DG15712" s="256"/>
    </row>
    <row r="15713" spans="104:111">
      <c r="CZ15713" s="256"/>
      <c r="DG15713" s="256"/>
    </row>
    <row r="15714" spans="104:111">
      <c r="CZ15714" s="256"/>
      <c r="DG15714" s="256"/>
    </row>
    <row r="15715" spans="104:111">
      <c r="CZ15715" s="256"/>
      <c r="DG15715" s="256"/>
    </row>
    <row r="15716" spans="104:111">
      <c r="CZ15716" s="256"/>
      <c r="DG15716" s="256"/>
    </row>
    <row r="15717" spans="104:111">
      <c r="CZ15717" s="256"/>
      <c r="DG15717" s="256"/>
    </row>
    <row r="15718" spans="104:111">
      <c r="CZ15718" s="256"/>
      <c r="DG15718" s="256"/>
    </row>
    <row r="15719" spans="104:111">
      <c r="CZ15719" s="256"/>
      <c r="DG15719" s="256"/>
    </row>
    <row r="15720" spans="104:111">
      <c r="CZ15720" s="256"/>
      <c r="DG15720" s="256"/>
    </row>
    <row r="15721" spans="104:111">
      <c r="CZ15721" s="256"/>
      <c r="DG15721" s="256"/>
    </row>
    <row r="15722" spans="104:111">
      <c r="CZ15722" s="256"/>
      <c r="DG15722" s="256"/>
    </row>
    <row r="15723" spans="104:111">
      <c r="CZ15723" s="256"/>
      <c r="DG15723" s="256"/>
    </row>
    <row r="15724" spans="104:111">
      <c r="CZ15724" s="256"/>
      <c r="DG15724" s="256"/>
    </row>
    <row r="15725" spans="104:111">
      <c r="CZ15725" s="256"/>
      <c r="DG15725" s="256"/>
    </row>
    <row r="15726" spans="104:111">
      <c r="CZ15726" s="256"/>
      <c r="DG15726" s="256"/>
    </row>
    <row r="15727" spans="104:111">
      <c r="CZ15727" s="256"/>
      <c r="DG15727" s="256"/>
    </row>
    <row r="15728" spans="104:111">
      <c r="CZ15728" s="256"/>
      <c r="DG15728" s="256"/>
    </row>
    <row r="15729" spans="104:111">
      <c r="CZ15729" s="256"/>
      <c r="DG15729" s="256"/>
    </row>
    <row r="15730" spans="104:111">
      <c r="CZ15730" s="256"/>
      <c r="DG15730" s="256"/>
    </row>
    <row r="15731" spans="104:111">
      <c r="CZ15731" s="256"/>
      <c r="DG15731" s="256"/>
    </row>
    <row r="15732" spans="104:111">
      <c r="CZ15732" s="256"/>
      <c r="DG15732" s="256"/>
    </row>
    <row r="15733" spans="104:111">
      <c r="CZ15733" s="256"/>
      <c r="DG15733" s="256"/>
    </row>
    <row r="15734" spans="104:111">
      <c r="CZ15734" s="256"/>
      <c r="DG15734" s="256"/>
    </row>
    <row r="15735" spans="104:111">
      <c r="CZ15735" s="256"/>
      <c r="DG15735" s="256"/>
    </row>
    <row r="15736" spans="104:111">
      <c r="CZ15736" s="256"/>
      <c r="DG15736" s="256"/>
    </row>
    <row r="15737" spans="104:111">
      <c r="CZ15737" s="256"/>
      <c r="DG15737" s="256"/>
    </row>
    <row r="15738" spans="104:111">
      <c r="CZ15738" s="256"/>
      <c r="DG15738" s="256"/>
    </row>
    <row r="15739" spans="104:111">
      <c r="CZ15739" s="256"/>
      <c r="DG15739" s="256"/>
    </row>
    <row r="15740" spans="104:111">
      <c r="CZ15740" s="256"/>
      <c r="DG15740" s="256"/>
    </row>
    <row r="15741" spans="104:111">
      <c r="CZ15741" s="256"/>
      <c r="DG15741" s="256"/>
    </row>
    <row r="15742" spans="104:111">
      <c r="CZ15742" s="256"/>
      <c r="DG15742" s="256"/>
    </row>
    <row r="15743" spans="104:111">
      <c r="CZ15743" s="256"/>
      <c r="DG15743" s="256"/>
    </row>
    <row r="15744" spans="104:111">
      <c r="CZ15744" s="256"/>
      <c r="DG15744" s="256"/>
    </row>
    <row r="15745" spans="104:111">
      <c r="CZ15745" s="256"/>
      <c r="DG15745" s="256"/>
    </row>
    <row r="15746" spans="104:111">
      <c r="CZ15746" s="256"/>
      <c r="DG15746" s="256"/>
    </row>
    <row r="15747" spans="104:111">
      <c r="CZ15747" s="256"/>
      <c r="DG15747" s="256"/>
    </row>
    <row r="15748" spans="104:111">
      <c r="CZ15748" s="256"/>
      <c r="DG15748" s="256"/>
    </row>
    <row r="15749" spans="104:111">
      <c r="CZ15749" s="256"/>
      <c r="DG15749" s="256"/>
    </row>
    <row r="15750" spans="104:111">
      <c r="CZ15750" s="256"/>
      <c r="DG15750" s="256"/>
    </row>
    <row r="15751" spans="104:111">
      <c r="CZ15751" s="256"/>
      <c r="DG15751" s="256"/>
    </row>
    <row r="15752" spans="104:111">
      <c r="CZ15752" s="256"/>
      <c r="DG15752" s="256"/>
    </row>
    <row r="15753" spans="104:111">
      <c r="CZ15753" s="256"/>
      <c r="DG15753" s="256"/>
    </row>
    <row r="15754" spans="104:111">
      <c r="CZ15754" s="256"/>
      <c r="DG15754" s="256"/>
    </row>
    <row r="15755" spans="104:111">
      <c r="CZ15755" s="256"/>
      <c r="DG15755" s="256"/>
    </row>
    <row r="15756" spans="104:111">
      <c r="CZ15756" s="256"/>
      <c r="DG15756" s="256"/>
    </row>
    <row r="15757" spans="104:111">
      <c r="CZ15757" s="256"/>
      <c r="DG15757" s="256"/>
    </row>
    <row r="15758" spans="104:111">
      <c r="CZ15758" s="256"/>
      <c r="DG15758" s="256"/>
    </row>
    <row r="15759" spans="104:111">
      <c r="CZ15759" s="256"/>
      <c r="DG15759" s="256"/>
    </row>
    <row r="15760" spans="104:111">
      <c r="CZ15760" s="256"/>
      <c r="DG15760" s="256"/>
    </row>
    <row r="15761" spans="104:111">
      <c r="CZ15761" s="256"/>
      <c r="DG15761" s="256"/>
    </row>
    <row r="15762" spans="104:111">
      <c r="CZ15762" s="256"/>
      <c r="DG15762" s="256"/>
    </row>
    <row r="15763" spans="104:111">
      <c r="CZ15763" s="256"/>
      <c r="DG15763" s="256"/>
    </row>
    <row r="15764" spans="104:111">
      <c r="CZ15764" s="256"/>
      <c r="DG15764" s="256"/>
    </row>
    <row r="15765" spans="104:111">
      <c r="CZ15765" s="256"/>
      <c r="DG15765" s="256"/>
    </row>
    <row r="15766" spans="104:111">
      <c r="CZ15766" s="256"/>
      <c r="DG15766" s="256"/>
    </row>
    <row r="15767" spans="104:111">
      <c r="CZ15767" s="256"/>
      <c r="DG15767" s="256"/>
    </row>
    <row r="15768" spans="104:111">
      <c r="CZ15768" s="256"/>
      <c r="DG15768" s="256"/>
    </row>
    <row r="15769" spans="104:111">
      <c r="CZ15769" s="256"/>
      <c r="DG15769" s="256"/>
    </row>
    <row r="15770" spans="104:111">
      <c r="CZ15770" s="256"/>
      <c r="DG15770" s="256"/>
    </row>
    <row r="15771" spans="104:111">
      <c r="CZ15771" s="256"/>
      <c r="DG15771" s="256"/>
    </row>
    <row r="15772" spans="104:111">
      <c r="CZ15772" s="256"/>
      <c r="DG15772" s="256"/>
    </row>
    <row r="15773" spans="104:111">
      <c r="CZ15773" s="256"/>
      <c r="DG15773" s="256"/>
    </row>
    <row r="15774" spans="104:111">
      <c r="CZ15774" s="256"/>
      <c r="DG15774" s="256"/>
    </row>
    <row r="15775" spans="104:111">
      <c r="CZ15775" s="256"/>
      <c r="DG15775" s="256"/>
    </row>
    <row r="15776" spans="104:111">
      <c r="CZ15776" s="256"/>
      <c r="DG15776" s="256"/>
    </row>
    <row r="15777" spans="104:111">
      <c r="CZ15777" s="256"/>
      <c r="DG15777" s="256"/>
    </row>
    <row r="15778" spans="104:111">
      <c r="CZ15778" s="256"/>
      <c r="DG15778" s="256"/>
    </row>
    <row r="15779" spans="104:111">
      <c r="CZ15779" s="256"/>
      <c r="DG15779" s="256"/>
    </row>
    <row r="15780" spans="104:111">
      <c r="CZ15780" s="256"/>
      <c r="DG15780" s="256"/>
    </row>
    <row r="15781" spans="104:111">
      <c r="CZ15781" s="256"/>
      <c r="DG15781" s="256"/>
    </row>
    <row r="15782" spans="104:111">
      <c r="CZ15782" s="256"/>
      <c r="DG15782" s="256"/>
    </row>
    <row r="15783" spans="104:111">
      <c r="CZ15783" s="256"/>
      <c r="DG15783" s="256"/>
    </row>
    <row r="15784" spans="104:111">
      <c r="CZ15784" s="256"/>
      <c r="DG15784" s="256"/>
    </row>
    <row r="15785" spans="104:111">
      <c r="CZ15785" s="256"/>
      <c r="DG15785" s="256"/>
    </row>
    <row r="15786" spans="104:111">
      <c r="CZ15786" s="256"/>
      <c r="DG15786" s="256"/>
    </row>
    <row r="15787" spans="104:111">
      <c r="CZ15787" s="256"/>
      <c r="DG15787" s="256"/>
    </row>
    <row r="15788" spans="104:111">
      <c r="CZ15788" s="256"/>
      <c r="DG15788" s="256"/>
    </row>
    <row r="15789" spans="104:111">
      <c r="CZ15789" s="256"/>
      <c r="DG15789" s="256"/>
    </row>
    <row r="15790" spans="104:111">
      <c r="CZ15790" s="256"/>
      <c r="DG15790" s="256"/>
    </row>
    <row r="15791" spans="104:111">
      <c r="CZ15791" s="256"/>
      <c r="DG15791" s="256"/>
    </row>
    <row r="15792" spans="104:111">
      <c r="CZ15792" s="256"/>
      <c r="DG15792" s="256"/>
    </row>
    <row r="15793" spans="104:111">
      <c r="CZ15793" s="256"/>
      <c r="DG15793" s="256"/>
    </row>
    <row r="15794" spans="104:111">
      <c r="CZ15794" s="256"/>
      <c r="DG15794" s="256"/>
    </row>
    <row r="15795" spans="104:111">
      <c r="CZ15795" s="256"/>
      <c r="DG15795" s="256"/>
    </row>
    <row r="15796" spans="104:111">
      <c r="CZ15796" s="256"/>
      <c r="DG15796" s="256"/>
    </row>
    <row r="15797" spans="104:111">
      <c r="CZ15797" s="256"/>
      <c r="DG15797" s="256"/>
    </row>
    <row r="15798" spans="104:111">
      <c r="CZ15798" s="256"/>
      <c r="DG15798" s="256"/>
    </row>
    <row r="15799" spans="104:111">
      <c r="CZ15799" s="256"/>
      <c r="DG15799" s="256"/>
    </row>
    <row r="15800" spans="104:111">
      <c r="CZ15800" s="256"/>
      <c r="DG15800" s="256"/>
    </row>
    <row r="15801" spans="104:111">
      <c r="CZ15801" s="256"/>
      <c r="DG15801" s="256"/>
    </row>
    <row r="15802" spans="104:111">
      <c r="CZ15802" s="256"/>
      <c r="DG15802" s="256"/>
    </row>
    <row r="15803" spans="104:111">
      <c r="CZ15803" s="256"/>
      <c r="DG15803" s="256"/>
    </row>
    <row r="15804" spans="104:111">
      <c r="CZ15804" s="256"/>
      <c r="DG15804" s="256"/>
    </row>
    <row r="15805" spans="104:111">
      <c r="CZ15805" s="256"/>
      <c r="DG15805" s="256"/>
    </row>
    <row r="15806" spans="104:111">
      <c r="CZ15806" s="256"/>
      <c r="DG15806" s="256"/>
    </row>
    <row r="15807" spans="104:111">
      <c r="CZ15807" s="256"/>
      <c r="DG15807" s="256"/>
    </row>
    <row r="15808" spans="104:111">
      <c r="CZ15808" s="256"/>
      <c r="DG15808" s="256"/>
    </row>
    <row r="15809" spans="104:111">
      <c r="CZ15809" s="256"/>
      <c r="DG15809" s="256"/>
    </row>
    <row r="15810" spans="104:111">
      <c r="CZ15810" s="256"/>
      <c r="DG15810" s="256"/>
    </row>
    <row r="15811" spans="104:111">
      <c r="CZ15811" s="256"/>
      <c r="DG15811" s="256"/>
    </row>
    <row r="15812" spans="104:111">
      <c r="CZ15812" s="256"/>
      <c r="DG15812" s="256"/>
    </row>
    <row r="15813" spans="104:111">
      <c r="CZ15813" s="256"/>
      <c r="DG15813" s="256"/>
    </row>
    <row r="15814" spans="104:111">
      <c r="CZ15814" s="256"/>
      <c r="DG15814" s="256"/>
    </row>
    <row r="15815" spans="104:111">
      <c r="CZ15815" s="256"/>
      <c r="DG15815" s="256"/>
    </row>
    <row r="15816" spans="104:111">
      <c r="CZ15816" s="256"/>
      <c r="DG15816" s="256"/>
    </row>
    <row r="15817" spans="104:111">
      <c r="CZ15817" s="256"/>
      <c r="DG15817" s="256"/>
    </row>
    <row r="15818" spans="104:111">
      <c r="CZ15818" s="256"/>
      <c r="DG15818" s="256"/>
    </row>
    <row r="15819" spans="104:111">
      <c r="CZ15819" s="256"/>
      <c r="DG15819" s="256"/>
    </row>
    <row r="15820" spans="104:111">
      <c r="CZ15820" s="256"/>
      <c r="DG15820" s="256"/>
    </row>
    <row r="15821" spans="104:111">
      <c r="CZ15821" s="256"/>
      <c r="DG15821" s="256"/>
    </row>
    <row r="15822" spans="104:111">
      <c r="CZ15822" s="256"/>
      <c r="DG15822" s="256"/>
    </row>
    <row r="15823" spans="104:111">
      <c r="CZ15823" s="256"/>
      <c r="DG15823" s="256"/>
    </row>
    <row r="15824" spans="104:111">
      <c r="CZ15824" s="256"/>
      <c r="DG15824" s="256"/>
    </row>
    <row r="15825" spans="104:111">
      <c r="CZ15825" s="256"/>
      <c r="DG15825" s="256"/>
    </row>
    <row r="15826" spans="104:111">
      <c r="CZ15826" s="256"/>
      <c r="DG15826" s="256"/>
    </row>
    <row r="15827" spans="104:111">
      <c r="CZ15827" s="256"/>
      <c r="DG15827" s="256"/>
    </row>
    <row r="15828" spans="104:111">
      <c r="CZ15828" s="256"/>
      <c r="DG15828" s="256"/>
    </row>
    <row r="15829" spans="104:111">
      <c r="CZ15829" s="256"/>
      <c r="DG15829" s="256"/>
    </row>
    <row r="15830" spans="104:111">
      <c r="CZ15830" s="256"/>
      <c r="DG15830" s="256"/>
    </row>
    <row r="15831" spans="104:111">
      <c r="CZ15831" s="256"/>
      <c r="DG15831" s="256"/>
    </row>
    <row r="15832" spans="104:111">
      <c r="CZ15832" s="256"/>
      <c r="DG15832" s="256"/>
    </row>
    <row r="15833" spans="104:111">
      <c r="CZ15833" s="256"/>
      <c r="DG15833" s="256"/>
    </row>
    <row r="15834" spans="104:111">
      <c r="CZ15834" s="256"/>
      <c r="DG15834" s="256"/>
    </row>
    <row r="15835" spans="104:111">
      <c r="CZ15835" s="256"/>
      <c r="DG15835" s="256"/>
    </row>
    <row r="15836" spans="104:111">
      <c r="CZ15836" s="256"/>
      <c r="DG15836" s="256"/>
    </row>
    <row r="15837" spans="104:111">
      <c r="CZ15837" s="256"/>
      <c r="DG15837" s="256"/>
    </row>
    <row r="15838" spans="104:111">
      <c r="CZ15838" s="256"/>
      <c r="DG15838" s="256"/>
    </row>
    <row r="15839" spans="104:111">
      <c r="CZ15839" s="256"/>
      <c r="DG15839" s="256"/>
    </row>
    <row r="15840" spans="104:111">
      <c r="CZ15840" s="256"/>
      <c r="DG15840" s="256"/>
    </row>
    <row r="15841" spans="104:111">
      <c r="CZ15841" s="256"/>
      <c r="DG15841" s="256"/>
    </row>
    <row r="15842" spans="104:111">
      <c r="CZ15842" s="256"/>
      <c r="DG15842" s="256"/>
    </row>
    <row r="15843" spans="104:111">
      <c r="CZ15843" s="256"/>
      <c r="DG15843" s="256"/>
    </row>
    <row r="15844" spans="104:111">
      <c r="CZ15844" s="256"/>
      <c r="DG15844" s="256"/>
    </row>
    <row r="15845" spans="104:111">
      <c r="CZ15845" s="256"/>
      <c r="DG15845" s="256"/>
    </row>
    <row r="15846" spans="104:111">
      <c r="CZ15846" s="256"/>
      <c r="DG15846" s="256"/>
    </row>
    <row r="15847" spans="104:111">
      <c r="CZ15847" s="256"/>
      <c r="DG15847" s="256"/>
    </row>
    <row r="15848" spans="104:111">
      <c r="CZ15848" s="256"/>
      <c r="DG15848" s="256"/>
    </row>
    <row r="15849" spans="104:111">
      <c r="CZ15849" s="256"/>
      <c r="DG15849" s="256"/>
    </row>
    <row r="15850" spans="104:111">
      <c r="CZ15850" s="256"/>
      <c r="DG15850" s="256"/>
    </row>
    <row r="15851" spans="104:111">
      <c r="CZ15851" s="256"/>
      <c r="DG15851" s="256"/>
    </row>
    <row r="15852" spans="104:111">
      <c r="CZ15852" s="256"/>
      <c r="DG15852" s="256"/>
    </row>
    <row r="15853" spans="104:111">
      <c r="CZ15853" s="256"/>
      <c r="DG15853" s="256"/>
    </row>
    <row r="15854" spans="104:111">
      <c r="CZ15854" s="256"/>
      <c r="DG15854" s="256"/>
    </row>
    <row r="15855" spans="104:111">
      <c r="CZ15855" s="256"/>
      <c r="DG15855" s="256"/>
    </row>
    <row r="15856" spans="104:111">
      <c r="CZ15856" s="256"/>
      <c r="DG15856" s="256"/>
    </row>
    <row r="15857" spans="104:111">
      <c r="CZ15857" s="256"/>
      <c r="DG15857" s="256"/>
    </row>
    <row r="15858" spans="104:111">
      <c r="CZ15858" s="256"/>
      <c r="DG15858" s="256"/>
    </row>
    <row r="15859" spans="104:111">
      <c r="CZ15859" s="256"/>
      <c r="DG15859" s="256"/>
    </row>
    <row r="15860" spans="104:111">
      <c r="CZ15860" s="256"/>
      <c r="DG15860" s="256"/>
    </row>
    <row r="15861" spans="104:111">
      <c r="CZ15861" s="256"/>
      <c r="DG15861" s="256"/>
    </row>
    <row r="15862" spans="104:111">
      <c r="CZ15862" s="256"/>
      <c r="DG15862" s="256"/>
    </row>
    <row r="15863" spans="104:111">
      <c r="CZ15863" s="256"/>
      <c r="DG15863" s="256"/>
    </row>
    <row r="15864" spans="104:111">
      <c r="CZ15864" s="256"/>
      <c r="DG15864" s="256"/>
    </row>
    <row r="15865" spans="104:111">
      <c r="CZ15865" s="256"/>
      <c r="DG15865" s="256"/>
    </row>
    <row r="15866" spans="104:111">
      <c r="CZ15866" s="256"/>
      <c r="DG15866" s="256"/>
    </row>
    <row r="15867" spans="104:111">
      <c r="CZ15867" s="256"/>
      <c r="DG15867" s="256"/>
    </row>
    <row r="15868" spans="104:111">
      <c r="CZ15868" s="256"/>
      <c r="DG15868" s="256"/>
    </row>
    <row r="15869" spans="104:111">
      <c r="CZ15869" s="256"/>
      <c r="DG15869" s="256"/>
    </row>
    <row r="15870" spans="104:111">
      <c r="CZ15870" s="256"/>
      <c r="DG15870" s="256"/>
    </row>
    <row r="15871" spans="104:111">
      <c r="CZ15871" s="256"/>
      <c r="DG15871" s="256"/>
    </row>
    <row r="15872" spans="104:111">
      <c r="CZ15872" s="256"/>
      <c r="DG15872" s="256"/>
    </row>
    <row r="15873" spans="104:111">
      <c r="CZ15873" s="256"/>
      <c r="DG15873" s="256"/>
    </row>
    <row r="15874" spans="104:111">
      <c r="CZ15874" s="256"/>
      <c r="DG15874" s="256"/>
    </row>
    <row r="15875" spans="104:111">
      <c r="CZ15875" s="256"/>
      <c r="DG15875" s="256"/>
    </row>
    <row r="15876" spans="104:111">
      <c r="CZ15876" s="256"/>
      <c r="DG15876" s="256"/>
    </row>
    <row r="15877" spans="104:111">
      <c r="CZ15877" s="256"/>
      <c r="DG15877" s="256"/>
    </row>
    <row r="15878" spans="104:111">
      <c r="CZ15878" s="256"/>
      <c r="DG15878" s="256"/>
    </row>
    <row r="15879" spans="104:111">
      <c r="CZ15879" s="256"/>
      <c r="DG15879" s="256"/>
    </row>
    <row r="15880" spans="104:111">
      <c r="CZ15880" s="256"/>
      <c r="DG15880" s="256"/>
    </row>
    <row r="15881" spans="104:111">
      <c r="CZ15881" s="256"/>
      <c r="DG15881" s="256"/>
    </row>
    <row r="15882" spans="104:111">
      <c r="CZ15882" s="256"/>
      <c r="DG15882" s="256"/>
    </row>
    <row r="15883" spans="104:111">
      <c r="CZ15883" s="256"/>
      <c r="DG15883" s="256"/>
    </row>
    <row r="15884" spans="104:111">
      <c r="CZ15884" s="256"/>
      <c r="DG15884" s="256"/>
    </row>
    <row r="15885" spans="104:111">
      <c r="CZ15885" s="256"/>
      <c r="DG15885" s="256"/>
    </row>
    <row r="15886" spans="104:111">
      <c r="CZ15886" s="256"/>
      <c r="DG15886" s="256"/>
    </row>
    <row r="15887" spans="104:111">
      <c r="CZ15887" s="256"/>
      <c r="DG15887" s="256"/>
    </row>
    <row r="15888" spans="104:111">
      <c r="CZ15888" s="256"/>
      <c r="DG15888" s="256"/>
    </row>
    <row r="15889" spans="104:111">
      <c r="CZ15889" s="256"/>
      <c r="DG15889" s="256"/>
    </row>
    <row r="15890" spans="104:111">
      <c r="CZ15890" s="256"/>
      <c r="DG15890" s="256"/>
    </row>
    <row r="15891" spans="104:111">
      <c r="CZ15891" s="256"/>
      <c r="DG15891" s="256"/>
    </row>
    <row r="15892" spans="104:111">
      <c r="CZ15892" s="256"/>
      <c r="DG15892" s="256"/>
    </row>
    <row r="15893" spans="104:111">
      <c r="CZ15893" s="256"/>
      <c r="DG15893" s="256"/>
    </row>
    <row r="15894" spans="104:111">
      <c r="CZ15894" s="256"/>
      <c r="DG15894" s="256"/>
    </row>
    <row r="15895" spans="104:111">
      <c r="CZ15895" s="256"/>
      <c r="DG15895" s="256"/>
    </row>
    <row r="15896" spans="104:111">
      <c r="CZ15896" s="256"/>
      <c r="DG15896" s="256"/>
    </row>
    <row r="15897" spans="104:111">
      <c r="CZ15897" s="256"/>
      <c r="DG15897" s="256"/>
    </row>
    <row r="15898" spans="104:111">
      <c r="CZ15898" s="256"/>
      <c r="DG15898" s="256"/>
    </row>
    <row r="15899" spans="104:111">
      <c r="CZ15899" s="256"/>
      <c r="DG15899" s="256"/>
    </row>
    <row r="15900" spans="104:111">
      <c r="CZ15900" s="256"/>
      <c r="DG15900" s="256"/>
    </row>
    <row r="15901" spans="104:111">
      <c r="CZ15901" s="256"/>
      <c r="DG15901" s="256"/>
    </row>
    <row r="15902" spans="104:111">
      <c r="CZ15902" s="256"/>
      <c r="DG15902" s="256"/>
    </row>
    <row r="15903" spans="104:111">
      <c r="CZ15903" s="256"/>
      <c r="DG15903" s="256"/>
    </row>
    <row r="15904" spans="104:111">
      <c r="CZ15904" s="256"/>
      <c r="DG15904" s="256"/>
    </row>
    <row r="15905" spans="104:111">
      <c r="CZ15905" s="256"/>
      <c r="DG15905" s="256"/>
    </row>
    <row r="15906" spans="104:111">
      <c r="CZ15906" s="256"/>
      <c r="DG15906" s="256"/>
    </row>
    <row r="15907" spans="104:111">
      <c r="CZ15907" s="256"/>
      <c r="DG15907" s="256"/>
    </row>
    <row r="15908" spans="104:111">
      <c r="CZ15908" s="256"/>
      <c r="DG15908" s="256"/>
    </row>
    <row r="15909" spans="104:111">
      <c r="CZ15909" s="256"/>
      <c r="DG15909" s="256"/>
    </row>
    <row r="15910" spans="104:111">
      <c r="CZ15910" s="256"/>
      <c r="DG15910" s="256"/>
    </row>
    <row r="15911" spans="104:111">
      <c r="CZ15911" s="256"/>
      <c r="DG15911" s="256"/>
    </row>
    <row r="15912" spans="104:111">
      <c r="CZ15912" s="256"/>
      <c r="DG15912" s="256"/>
    </row>
    <row r="15913" spans="104:111">
      <c r="CZ15913" s="256"/>
      <c r="DG15913" s="256"/>
    </row>
    <row r="15914" spans="104:111">
      <c r="CZ15914" s="256"/>
      <c r="DG15914" s="256"/>
    </row>
    <row r="15915" spans="104:111">
      <c r="CZ15915" s="256"/>
      <c r="DG15915" s="256"/>
    </row>
    <row r="15916" spans="104:111">
      <c r="CZ15916" s="256"/>
      <c r="DG15916" s="256"/>
    </row>
    <row r="15917" spans="104:111">
      <c r="CZ15917" s="256"/>
      <c r="DG15917" s="256"/>
    </row>
    <row r="15918" spans="104:111">
      <c r="CZ15918" s="256"/>
      <c r="DG15918" s="256"/>
    </row>
    <row r="15919" spans="104:111">
      <c r="CZ15919" s="256"/>
      <c r="DG15919" s="256"/>
    </row>
    <row r="15920" spans="104:111">
      <c r="CZ15920" s="256"/>
      <c r="DG15920" s="256"/>
    </row>
    <row r="15921" spans="104:111">
      <c r="CZ15921" s="256"/>
      <c r="DG15921" s="256"/>
    </row>
    <row r="15922" spans="104:111">
      <c r="CZ15922" s="256"/>
      <c r="DG15922" s="256"/>
    </row>
    <row r="15923" spans="104:111">
      <c r="CZ15923" s="256"/>
      <c r="DG15923" s="256"/>
    </row>
    <row r="15924" spans="104:111">
      <c r="CZ15924" s="256"/>
      <c r="DG15924" s="256"/>
    </row>
    <row r="15925" spans="104:111">
      <c r="CZ15925" s="256"/>
      <c r="DG15925" s="256"/>
    </row>
    <row r="15926" spans="104:111">
      <c r="CZ15926" s="256"/>
      <c r="DG15926" s="256"/>
    </row>
    <row r="15927" spans="104:111">
      <c r="CZ15927" s="256"/>
      <c r="DG15927" s="256"/>
    </row>
    <row r="15928" spans="104:111">
      <c r="CZ15928" s="256"/>
      <c r="DG15928" s="256"/>
    </row>
    <row r="15929" spans="104:111">
      <c r="CZ15929" s="256"/>
      <c r="DG15929" s="256"/>
    </row>
    <row r="15930" spans="104:111">
      <c r="CZ15930" s="256"/>
      <c r="DG15930" s="256"/>
    </row>
    <row r="15931" spans="104:111">
      <c r="CZ15931" s="256"/>
      <c r="DG15931" s="256"/>
    </row>
    <row r="15932" spans="104:111">
      <c r="CZ15932" s="256"/>
      <c r="DG15932" s="256"/>
    </row>
    <row r="15933" spans="104:111">
      <c r="CZ15933" s="256"/>
      <c r="DG15933" s="256"/>
    </row>
    <row r="15934" spans="104:111">
      <c r="CZ15934" s="256"/>
      <c r="DG15934" s="256"/>
    </row>
    <row r="15935" spans="104:111">
      <c r="CZ15935" s="256"/>
      <c r="DG15935" s="256"/>
    </row>
    <row r="15936" spans="104:111">
      <c r="CZ15936" s="256"/>
      <c r="DG15936" s="256"/>
    </row>
    <row r="15937" spans="104:111">
      <c r="CZ15937" s="256"/>
      <c r="DG15937" s="256"/>
    </row>
    <row r="15938" spans="104:111">
      <c r="CZ15938" s="256"/>
      <c r="DG15938" s="256"/>
    </row>
    <row r="15939" spans="104:111">
      <c r="CZ15939" s="256"/>
      <c r="DG15939" s="256"/>
    </row>
    <row r="15940" spans="104:111">
      <c r="CZ15940" s="256"/>
      <c r="DG15940" s="256"/>
    </row>
    <row r="15941" spans="104:111">
      <c r="CZ15941" s="256"/>
      <c r="DG15941" s="256"/>
    </row>
    <row r="15942" spans="104:111">
      <c r="CZ15942" s="256"/>
      <c r="DG15942" s="256"/>
    </row>
    <row r="15943" spans="104:111">
      <c r="CZ15943" s="256"/>
      <c r="DG15943" s="256"/>
    </row>
    <row r="15944" spans="104:111">
      <c r="CZ15944" s="256"/>
      <c r="DG15944" s="256"/>
    </row>
    <row r="15945" spans="104:111">
      <c r="CZ15945" s="256"/>
      <c r="DG15945" s="256"/>
    </row>
    <row r="15946" spans="104:111">
      <c r="CZ15946" s="256"/>
      <c r="DG15946" s="256"/>
    </row>
    <row r="15947" spans="104:111">
      <c r="CZ15947" s="256"/>
      <c r="DG15947" s="256"/>
    </row>
    <row r="15948" spans="104:111">
      <c r="CZ15948" s="256"/>
      <c r="DG15948" s="256"/>
    </row>
    <row r="15949" spans="104:111">
      <c r="CZ15949" s="256"/>
      <c r="DG15949" s="256"/>
    </row>
    <row r="15950" spans="104:111">
      <c r="CZ15950" s="256"/>
      <c r="DG15950" s="256"/>
    </row>
    <row r="15951" spans="104:111">
      <c r="CZ15951" s="256"/>
      <c r="DG15951" s="256"/>
    </row>
    <row r="15952" spans="104:111">
      <c r="CZ15952" s="256"/>
      <c r="DG15952" s="256"/>
    </row>
    <row r="15953" spans="104:111">
      <c r="CZ15953" s="256"/>
      <c r="DG15953" s="256"/>
    </row>
    <row r="15954" spans="104:111">
      <c r="CZ15954" s="256"/>
      <c r="DG15954" s="256"/>
    </row>
    <row r="15955" spans="104:111">
      <c r="CZ15955" s="256"/>
      <c r="DG15955" s="256"/>
    </row>
    <row r="15956" spans="104:111">
      <c r="CZ15956" s="256"/>
      <c r="DG15956" s="256"/>
    </row>
    <row r="15957" spans="104:111">
      <c r="CZ15957" s="256"/>
      <c r="DG15957" s="256"/>
    </row>
    <row r="15958" spans="104:111">
      <c r="CZ15958" s="256"/>
      <c r="DG15958" s="256"/>
    </row>
    <row r="15959" spans="104:111">
      <c r="CZ15959" s="256"/>
      <c r="DG15959" s="256"/>
    </row>
    <row r="15960" spans="104:111">
      <c r="CZ15960" s="256"/>
      <c r="DG15960" s="256"/>
    </row>
    <row r="15961" spans="104:111">
      <c r="CZ15961" s="256"/>
      <c r="DG15961" s="256"/>
    </row>
    <row r="15962" spans="104:111">
      <c r="CZ15962" s="256"/>
      <c r="DG15962" s="256"/>
    </row>
    <row r="15963" spans="104:111">
      <c r="CZ15963" s="256"/>
      <c r="DG15963" s="256"/>
    </row>
    <row r="15964" spans="104:111">
      <c r="CZ15964" s="256"/>
      <c r="DG15964" s="256"/>
    </row>
    <row r="15965" spans="104:111">
      <c r="CZ15965" s="256"/>
      <c r="DG15965" s="256"/>
    </row>
    <row r="15966" spans="104:111">
      <c r="CZ15966" s="256"/>
      <c r="DG15966" s="256"/>
    </row>
    <row r="15967" spans="104:111">
      <c r="CZ15967" s="256"/>
      <c r="DG15967" s="256"/>
    </row>
    <row r="15968" spans="104:111">
      <c r="CZ15968" s="256"/>
      <c r="DG15968" s="256"/>
    </row>
    <row r="15969" spans="104:111">
      <c r="CZ15969" s="256"/>
      <c r="DG15969" s="256"/>
    </row>
    <row r="15970" spans="104:111">
      <c r="CZ15970" s="256"/>
      <c r="DG15970" s="256"/>
    </row>
    <row r="15971" spans="104:111">
      <c r="CZ15971" s="256"/>
      <c r="DG15971" s="256"/>
    </row>
    <row r="15972" spans="104:111">
      <c r="CZ15972" s="256"/>
      <c r="DG15972" s="256"/>
    </row>
    <row r="15973" spans="104:111">
      <c r="CZ15973" s="256"/>
      <c r="DG15973" s="256"/>
    </row>
    <row r="15974" spans="104:111">
      <c r="CZ15974" s="256"/>
      <c r="DG15974" s="256"/>
    </row>
    <row r="15975" spans="104:111">
      <c r="CZ15975" s="256"/>
      <c r="DG15975" s="256"/>
    </row>
    <row r="15976" spans="104:111">
      <c r="CZ15976" s="256"/>
      <c r="DG15976" s="256"/>
    </row>
    <row r="15977" spans="104:111">
      <c r="CZ15977" s="256"/>
      <c r="DG15977" s="256"/>
    </row>
    <row r="15978" spans="104:111">
      <c r="CZ15978" s="256"/>
      <c r="DG15978" s="256"/>
    </row>
    <row r="15979" spans="104:111">
      <c r="CZ15979" s="256"/>
      <c r="DG15979" s="256"/>
    </row>
    <row r="15980" spans="104:111">
      <c r="CZ15980" s="256"/>
      <c r="DG15980" s="256"/>
    </row>
    <row r="15981" spans="104:111">
      <c r="CZ15981" s="256"/>
      <c r="DG15981" s="256"/>
    </row>
    <row r="15982" spans="104:111">
      <c r="CZ15982" s="256"/>
      <c r="DG15982" s="256"/>
    </row>
    <row r="15983" spans="104:111">
      <c r="CZ15983" s="256"/>
      <c r="DG15983" s="256"/>
    </row>
    <row r="15984" spans="104:111">
      <c r="CZ15984" s="256"/>
      <c r="DG15984" s="256"/>
    </row>
    <row r="15985" spans="104:111">
      <c r="CZ15985" s="256"/>
      <c r="DG15985" s="256"/>
    </row>
    <row r="15986" spans="104:111">
      <c r="CZ15986" s="256"/>
      <c r="DG15986" s="256"/>
    </row>
    <row r="15987" spans="104:111">
      <c r="CZ15987" s="256"/>
      <c r="DG15987" s="256"/>
    </row>
    <row r="15988" spans="104:111">
      <c r="CZ15988" s="256"/>
      <c r="DG15988" s="256"/>
    </row>
    <row r="15989" spans="104:111">
      <c r="CZ15989" s="256"/>
      <c r="DG15989" s="256"/>
    </row>
    <row r="15990" spans="104:111">
      <c r="CZ15990" s="256"/>
      <c r="DG15990" s="256"/>
    </row>
    <row r="15991" spans="104:111">
      <c r="CZ15991" s="256"/>
      <c r="DG15991" s="256"/>
    </row>
    <row r="15992" spans="104:111">
      <c r="CZ15992" s="256"/>
      <c r="DG15992" s="256"/>
    </row>
    <row r="15993" spans="104:111">
      <c r="CZ15993" s="256"/>
      <c r="DG15993" s="256"/>
    </row>
    <row r="15994" spans="104:111">
      <c r="CZ15994" s="256"/>
      <c r="DG15994" s="256"/>
    </row>
    <row r="15995" spans="104:111">
      <c r="CZ15995" s="256"/>
      <c r="DG15995" s="256"/>
    </row>
    <row r="15996" spans="104:111">
      <c r="CZ15996" s="256"/>
      <c r="DG15996" s="256"/>
    </row>
    <row r="15997" spans="104:111">
      <c r="CZ15997" s="256"/>
      <c r="DG15997" s="256"/>
    </row>
    <row r="15998" spans="104:111">
      <c r="CZ15998" s="256"/>
      <c r="DG15998" s="256"/>
    </row>
    <row r="15999" spans="104:111">
      <c r="CZ15999" s="256"/>
      <c r="DG15999" s="256"/>
    </row>
    <row r="16000" spans="104:111">
      <c r="CZ16000" s="256"/>
      <c r="DG16000" s="256"/>
    </row>
    <row r="16001" spans="104:111">
      <c r="CZ16001" s="256"/>
      <c r="DG16001" s="256"/>
    </row>
    <row r="16002" spans="104:111">
      <c r="CZ16002" s="256"/>
      <c r="DG16002" s="256"/>
    </row>
    <row r="16003" spans="104:111">
      <c r="CZ16003" s="256"/>
      <c r="DG16003" s="256"/>
    </row>
    <row r="16004" spans="104:111">
      <c r="CZ16004" s="256"/>
      <c r="DG16004" s="256"/>
    </row>
    <row r="16005" spans="104:111">
      <c r="CZ16005" s="256"/>
      <c r="DG16005" s="256"/>
    </row>
    <row r="16006" spans="104:111">
      <c r="CZ16006" s="256"/>
      <c r="DG16006" s="256"/>
    </row>
    <row r="16007" spans="104:111">
      <c r="CZ16007" s="256"/>
      <c r="DG16007" s="256"/>
    </row>
    <row r="16008" spans="104:111">
      <c r="CZ16008" s="256"/>
      <c r="DG16008" s="256"/>
    </row>
    <row r="16009" spans="104:111">
      <c r="CZ16009" s="256"/>
      <c r="DG16009" s="256"/>
    </row>
    <row r="16010" spans="104:111">
      <c r="CZ16010" s="256"/>
      <c r="DG16010" s="256"/>
    </row>
    <row r="16011" spans="104:111">
      <c r="CZ16011" s="256"/>
      <c r="DG16011" s="256"/>
    </row>
    <row r="16012" spans="104:111">
      <c r="CZ16012" s="256"/>
      <c r="DG16012" s="256"/>
    </row>
    <row r="16013" spans="104:111">
      <c r="CZ16013" s="256"/>
      <c r="DG16013" s="256"/>
    </row>
    <row r="16014" spans="104:111">
      <c r="CZ16014" s="256"/>
      <c r="DG16014" s="256"/>
    </row>
    <row r="16015" spans="104:111">
      <c r="CZ16015" s="256"/>
      <c r="DG16015" s="256"/>
    </row>
    <row r="16016" spans="104:111">
      <c r="CZ16016" s="256"/>
      <c r="DG16016" s="256"/>
    </row>
    <row r="16017" spans="104:111">
      <c r="CZ16017" s="256"/>
      <c r="DG16017" s="256"/>
    </row>
    <row r="16018" spans="104:111">
      <c r="CZ16018" s="256"/>
      <c r="DG16018" s="256"/>
    </row>
    <row r="16019" spans="104:111">
      <c r="CZ16019" s="256"/>
      <c r="DG16019" s="256"/>
    </row>
    <row r="16020" spans="104:111">
      <c r="CZ16020" s="256"/>
      <c r="DG16020" s="256"/>
    </row>
    <row r="16021" spans="104:111">
      <c r="CZ16021" s="256"/>
      <c r="DG16021" s="256"/>
    </row>
    <row r="16022" spans="104:111">
      <c r="CZ16022" s="256"/>
      <c r="DG16022" s="256"/>
    </row>
    <row r="16023" spans="104:111">
      <c r="CZ16023" s="256"/>
      <c r="DG16023" s="256"/>
    </row>
    <row r="16024" spans="104:111">
      <c r="CZ16024" s="256"/>
      <c r="DG16024" s="256"/>
    </row>
    <row r="16025" spans="104:111">
      <c r="CZ16025" s="256"/>
      <c r="DG16025" s="256"/>
    </row>
    <row r="16026" spans="104:111">
      <c r="CZ16026" s="256"/>
      <c r="DG16026" s="256"/>
    </row>
    <row r="16027" spans="104:111">
      <c r="CZ16027" s="256"/>
      <c r="DG16027" s="256"/>
    </row>
    <row r="16028" spans="104:111">
      <c r="CZ16028" s="256"/>
      <c r="DG16028" s="256"/>
    </row>
    <row r="16029" spans="104:111">
      <c r="CZ16029" s="256"/>
      <c r="DG16029" s="256"/>
    </row>
    <row r="16030" spans="104:111">
      <c r="CZ16030" s="256"/>
      <c r="DG16030" s="256"/>
    </row>
    <row r="16031" spans="104:111">
      <c r="CZ16031" s="256"/>
      <c r="DG16031" s="256"/>
    </row>
    <row r="16032" spans="104:111">
      <c r="CZ16032" s="256"/>
      <c r="DG16032" s="256"/>
    </row>
    <row r="16033" spans="104:111">
      <c r="CZ16033" s="256"/>
      <c r="DG16033" s="256"/>
    </row>
    <row r="16034" spans="104:111">
      <c r="CZ16034" s="256"/>
      <c r="DG16034" s="256"/>
    </row>
    <row r="16035" spans="104:111">
      <c r="CZ16035" s="256"/>
      <c r="DG16035" s="256"/>
    </row>
    <row r="16036" spans="104:111">
      <c r="CZ16036" s="256"/>
      <c r="DG16036" s="256"/>
    </row>
    <row r="16037" spans="104:111">
      <c r="CZ16037" s="256"/>
      <c r="DG16037" s="256"/>
    </row>
    <row r="16038" spans="104:111">
      <c r="CZ16038" s="256"/>
      <c r="DG16038" s="256"/>
    </row>
    <row r="16039" spans="104:111">
      <c r="CZ16039" s="256"/>
      <c r="DG16039" s="256"/>
    </row>
    <row r="16040" spans="104:111">
      <c r="CZ16040" s="256"/>
      <c r="DG16040" s="256"/>
    </row>
    <row r="16041" spans="104:111">
      <c r="CZ16041" s="256"/>
      <c r="DG16041" s="256"/>
    </row>
    <row r="16042" spans="104:111">
      <c r="CZ16042" s="256"/>
      <c r="DG16042" s="256"/>
    </row>
    <row r="16043" spans="104:111">
      <c r="CZ16043" s="256"/>
      <c r="DG16043" s="256"/>
    </row>
    <row r="16044" spans="104:111">
      <c r="CZ16044" s="256"/>
      <c r="DG16044" s="256"/>
    </row>
    <row r="16045" spans="104:111">
      <c r="CZ16045" s="256"/>
      <c r="DG16045" s="256"/>
    </row>
    <row r="16046" spans="104:111">
      <c r="CZ16046" s="256"/>
      <c r="DG16046" s="256"/>
    </row>
    <row r="16047" spans="104:111">
      <c r="CZ16047" s="256"/>
      <c r="DG16047" s="256"/>
    </row>
    <row r="16048" spans="104:111">
      <c r="CZ16048" s="256"/>
      <c r="DG16048" s="256"/>
    </row>
    <row r="16049" spans="104:111">
      <c r="CZ16049" s="256"/>
      <c r="DG16049" s="256"/>
    </row>
    <row r="16050" spans="104:111">
      <c r="CZ16050" s="256"/>
      <c r="DG16050" s="256"/>
    </row>
    <row r="16051" spans="104:111">
      <c r="CZ16051" s="256"/>
      <c r="DG16051" s="256"/>
    </row>
    <row r="16052" spans="104:111">
      <c r="CZ16052" s="256"/>
      <c r="DG16052" s="256"/>
    </row>
    <row r="16053" spans="104:111">
      <c r="CZ16053" s="256"/>
      <c r="DG16053" s="256"/>
    </row>
    <row r="16054" spans="104:111">
      <c r="CZ16054" s="256"/>
      <c r="DG16054" s="256"/>
    </row>
    <row r="16055" spans="104:111">
      <c r="CZ16055" s="256"/>
      <c r="DG16055" s="256"/>
    </row>
    <row r="16056" spans="104:111">
      <c r="CZ16056" s="256"/>
      <c r="DG16056" s="256"/>
    </row>
    <row r="16057" spans="104:111">
      <c r="CZ16057" s="256"/>
      <c r="DG16057" s="256"/>
    </row>
    <row r="16058" spans="104:111">
      <c r="CZ16058" s="256"/>
      <c r="DG16058" s="256"/>
    </row>
    <row r="16059" spans="104:111">
      <c r="CZ16059" s="256"/>
      <c r="DG16059" s="256"/>
    </row>
    <row r="16060" spans="104:111">
      <c r="CZ16060" s="256"/>
      <c r="DG16060" s="256"/>
    </row>
    <row r="16061" spans="104:111">
      <c r="CZ16061" s="256"/>
      <c r="DG16061" s="256"/>
    </row>
    <row r="16062" spans="104:111">
      <c r="CZ16062" s="256"/>
      <c r="DG16062" s="256"/>
    </row>
    <row r="16063" spans="104:111">
      <c r="CZ16063" s="256"/>
      <c r="DG16063" s="256"/>
    </row>
    <row r="16064" spans="104:111">
      <c r="CZ16064" s="256"/>
      <c r="DG16064" s="256"/>
    </row>
    <row r="16065" spans="104:111">
      <c r="CZ16065" s="256"/>
      <c r="DG16065" s="256"/>
    </row>
    <row r="16066" spans="104:111">
      <c r="CZ16066" s="256"/>
      <c r="DG16066" s="256"/>
    </row>
    <row r="16067" spans="104:111">
      <c r="CZ16067" s="256"/>
      <c r="DG16067" s="256"/>
    </row>
    <row r="16068" spans="104:111">
      <c r="CZ16068" s="256"/>
      <c r="DG16068" s="256"/>
    </row>
    <row r="16069" spans="104:111">
      <c r="CZ16069" s="256"/>
      <c r="DG16069" s="256"/>
    </row>
    <row r="16070" spans="104:111">
      <c r="CZ16070" s="256"/>
      <c r="DG16070" s="256"/>
    </row>
    <row r="16071" spans="104:111">
      <c r="CZ16071" s="256"/>
      <c r="DG16071" s="256"/>
    </row>
    <row r="16072" spans="104:111">
      <c r="CZ16072" s="256"/>
      <c r="DG16072" s="256"/>
    </row>
    <row r="16073" spans="104:111">
      <c r="CZ16073" s="256"/>
      <c r="DG16073" s="256"/>
    </row>
    <row r="16074" spans="104:111">
      <c r="CZ16074" s="256"/>
      <c r="DG16074" s="256"/>
    </row>
    <row r="16075" spans="104:111">
      <c r="CZ16075" s="256"/>
      <c r="DG16075" s="256"/>
    </row>
    <row r="16076" spans="104:111">
      <c r="CZ16076" s="256"/>
      <c r="DG16076" s="256"/>
    </row>
    <row r="16077" spans="104:111">
      <c r="CZ16077" s="256"/>
      <c r="DG16077" s="256"/>
    </row>
    <row r="16078" spans="104:111">
      <c r="CZ16078" s="256"/>
      <c r="DG16078" s="256"/>
    </row>
    <row r="16079" spans="104:111">
      <c r="CZ16079" s="256"/>
      <c r="DG16079" s="256"/>
    </row>
    <row r="16080" spans="104:111">
      <c r="CZ16080" s="256"/>
      <c r="DG16080" s="256"/>
    </row>
    <row r="16081" spans="104:111">
      <c r="CZ16081" s="256"/>
      <c r="DG16081" s="256"/>
    </row>
    <row r="16082" spans="104:111">
      <c r="CZ16082" s="256"/>
      <c r="DG16082" s="256"/>
    </row>
    <row r="16083" spans="104:111">
      <c r="CZ16083" s="256"/>
      <c r="DG16083" s="256"/>
    </row>
    <row r="16084" spans="104:111">
      <c r="CZ16084" s="256"/>
      <c r="DG16084" s="256"/>
    </row>
    <row r="16085" spans="104:111">
      <c r="CZ16085" s="256"/>
      <c r="DG16085" s="256"/>
    </row>
    <row r="16086" spans="104:111">
      <c r="CZ16086" s="256"/>
      <c r="DG16086" s="256"/>
    </row>
    <row r="16087" spans="104:111">
      <c r="CZ16087" s="256"/>
      <c r="DG16087" s="256"/>
    </row>
    <row r="16088" spans="104:111">
      <c r="CZ16088" s="256"/>
      <c r="DG16088" s="256"/>
    </row>
    <row r="16089" spans="104:111">
      <c r="CZ16089" s="256"/>
      <c r="DG16089" s="256"/>
    </row>
    <row r="16090" spans="104:111">
      <c r="CZ16090" s="256"/>
      <c r="DG16090" s="256"/>
    </row>
    <row r="16091" spans="104:111">
      <c r="CZ16091" s="256"/>
      <c r="DG16091" s="256"/>
    </row>
    <row r="16092" spans="104:111">
      <c r="CZ16092" s="256"/>
      <c r="DG16092" s="256"/>
    </row>
    <row r="16093" spans="104:111">
      <c r="CZ16093" s="256"/>
      <c r="DG16093" s="256"/>
    </row>
    <row r="16094" spans="104:111">
      <c r="CZ16094" s="256"/>
      <c r="DG16094" s="256"/>
    </row>
    <row r="16095" spans="104:111">
      <c r="CZ16095" s="256"/>
      <c r="DG16095" s="256"/>
    </row>
    <row r="16096" spans="104:111">
      <c r="CZ16096" s="256"/>
      <c r="DG16096" s="256"/>
    </row>
    <row r="16097" spans="104:111">
      <c r="CZ16097" s="256"/>
      <c r="DG16097" s="256"/>
    </row>
    <row r="16098" spans="104:111">
      <c r="CZ16098" s="256"/>
      <c r="DG16098" s="256"/>
    </row>
    <row r="16099" spans="104:111">
      <c r="CZ16099" s="256"/>
      <c r="DG16099" s="256"/>
    </row>
    <row r="16100" spans="104:111">
      <c r="CZ16100" s="256"/>
      <c r="DG16100" s="256"/>
    </row>
    <row r="16101" spans="104:111">
      <c r="CZ16101" s="256"/>
      <c r="DG16101" s="256"/>
    </row>
    <row r="16102" spans="104:111">
      <c r="CZ16102" s="256"/>
      <c r="DG16102" s="256"/>
    </row>
    <row r="16103" spans="104:111">
      <c r="CZ16103" s="256"/>
      <c r="DG16103" s="256"/>
    </row>
    <row r="16104" spans="104:111">
      <c r="CZ16104" s="256"/>
      <c r="DG16104" s="256"/>
    </row>
    <row r="16105" spans="104:111">
      <c r="CZ16105" s="256"/>
      <c r="DG16105" s="256"/>
    </row>
    <row r="16106" spans="104:111">
      <c r="CZ16106" s="256"/>
      <c r="DG16106" s="256"/>
    </row>
    <row r="16107" spans="104:111">
      <c r="CZ16107" s="256"/>
      <c r="DG16107" s="256"/>
    </row>
    <row r="16108" spans="104:111">
      <c r="CZ16108" s="256"/>
      <c r="DG16108" s="256"/>
    </row>
    <row r="16109" spans="104:111">
      <c r="CZ16109" s="256"/>
      <c r="DG16109" s="256"/>
    </row>
    <row r="16110" spans="104:111">
      <c r="CZ16110" s="256"/>
      <c r="DG16110" s="256"/>
    </row>
    <row r="16111" spans="104:111">
      <c r="CZ16111" s="256"/>
      <c r="DG16111" s="256"/>
    </row>
    <row r="16112" spans="104:111">
      <c r="CZ16112" s="256"/>
      <c r="DG16112" s="256"/>
    </row>
    <row r="16113" spans="104:111">
      <c r="CZ16113" s="256"/>
      <c r="DG16113" s="256"/>
    </row>
    <row r="16114" spans="104:111">
      <c r="CZ16114" s="256"/>
      <c r="DG16114" s="256"/>
    </row>
    <row r="16115" spans="104:111">
      <c r="CZ16115" s="256"/>
      <c r="DG16115" s="256"/>
    </row>
    <row r="16116" spans="104:111">
      <c r="CZ16116" s="256"/>
      <c r="DG16116" s="256"/>
    </row>
    <row r="16117" spans="104:111">
      <c r="CZ16117" s="256"/>
      <c r="DG16117" s="256"/>
    </row>
    <row r="16118" spans="104:111">
      <c r="CZ16118" s="256"/>
      <c r="DG16118" s="256"/>
    </row>
    <row r="16119" spans="104:111">
      <c r="CZ16119" s="256"/>
      <c r="DG16119" s="256"/>
    </row>
    <row r="16120" spans="104:111">
      <c r="CZ16120" s="256"/>
      <c r="DG16120" s="256"/>
    </row>
    <row r="16121" spans="104:111">
      <c r="CZ16121" s="256"/>
      <c r="DG16121" s="256"/>
    </row>
    <row r="16122" spans="104:111">
      <c r="CZ16122" s="256"/>
      <c r="DG16122" s="256"/>
    </row>
    <row r="16123" spans="104:111">
      <c r="CZ16123" s="256"/>
      <c r="DG16123" s="256"/>
    </row>
    <row r="16124" spans="104:111">
      <c r="CZ16124" s="256"/>
      <c r="DG16124" s="256"/>
    </row>
    <row r="16125" spans="104:111">
      <c r="CZ16125" s="256"/>
      <c r="DG16125" s="256"/>
    </row>
    <row r="16126" spans="104:111">
      <c r="CZ16126" s="256"/>
      <c r="DG16126" s="256"/>
    </row>
    <row r="16127" spans="104:111">
      <c r="CZ16127" s="256"/>
      <c r="DG16127" s="256"/>
    </row>
    <row r="16128" spans="104:111">
      <c r="CZ16128" s="256"/>
      <c r="DG16128" s="256"/>
    </row>
    <row r="16129" spans="104:111">
      <c r="CZ16129" s="256"/>
      <c r="DG16129" s="256"/>
    </row>
    <row r="16130" spans="104:111">
      <c r="CZ16130" s="256"/>
      <c r="DG16130" s="256"/>
    </row>
    <row r="16131" spans="104:111">
      <c r="CZ16131" s="256"/>
      <c r="DG16131" s="256"/>
    </row>
    <row r="16132" spans="104:111">
      <c r="CZ16132" s="256"/>
      <c r="DG16132" s="256"/>
    </row>
    <row r="16133" spans="104:111">
      <c r="CZ16133" s="256"/>
      <c r="DG16133" s="256"/>
    </row>
    <row r="16134" spans="104:111">
      <c r="CZ16134" s="256"/>
      <c r="DG16134" s="256"/>
    </row>
    <row r="16135" spans="104:111">
      <c r="CZ16135" s="256"/>
      <c r="DG16135" s="256"/>
    </row>
    <row r="16136" spans="104:111">
      <c r="CZ16136" s="256"/>
      <c r="DG16136" s="256"/>
    </row>
    <row r="16137" spans="104:111">
      <c r="CZ16137" s="256"/>
      <c r="DG16137" s="256"/>
    </row>
    <row r="16138" spans="104:111">
      <c r="CZ16138" s="256"/>
      <c r="DG16138" s="256"/>
    </row>
    <row r="16139" spans="104:111">
      <c r="CZ16139" s="256"/>
      <c r="DG16139" s="256"/>
    </row>
    <row r="16140" spans="104:111">
      <c r="CZ16140" s="256"/>
      <c r="DG16140" s="256"/>
    </row>
    <row r="16141" spans="104:111">
      <c r="CZ16141" s="256"/>
      <c r="DG16141" s="256"/>
    </row>
    <row r="16142" spans="104:111">
      <c r="CZ16142" s="256"/>
      <c r="DG16142" s="256"/>
    </row>
    <row r="16143" spans="104:111">
      <c r="CZ16143" s="256"/>
      <c r="DG16143" s="256"/>
    </row>
    <row r="16144" spans="104:111">
      <c r="CZ16144" s="256"/>
      <c r="DG16144" s="256"/>
    </row>
    <row r="16145" spans="104:111">
      <c r="CZ16145" s="256"/>
      <c r="DG16145" s="256"/>
    </row>
    <row r="16146" spans="104:111">
      <c r="CZ16146" s="256"/>
      <c r="DG16146" s="256"/>
    </row>
    <row r="16147" spans="104:111">
      <c r="CZ16147" s="256"/>
      <c r="DG16147" s="256"/>
    </row>
    <row r="16148" spans="104:111">
      <c r="CZ16148" s="256"/>
      <c r="DG16148" s="256"/>
    </row>
    <row r="16149" spans="104:111">
      <c r="CZ16149" s="256"/>
      <c r="DG16149" s="256"/>
    </row>
    <row r="16150" spans="104:111">
      <c r="CZ16150" s="256"/>
      <c r="DG16150" s="256"/>
    </row>
    <row r="16151" spans="104:111">
      <c r="CZ16151" s="256"/>
      <c r="DG16151" s="256"/>
    </row>
    <row r="16152" spans="104:111">
      <c r="CZ16152" s="256"/>
      <c r="DG16152" s="256"/>
    </row>
    <row r="16153" spans="104:111">
      <c r="CZ16153" s="256"/>
      <c r="DG16153" s="256"/>
    </row>
    <row r="16154" spans="104:111">
      <c r="CZ16154" s="256"/>
      <c r="DG16154" s="256"/>
    </row>
    <row r="16155" spans="104:111">
      <c r="CZ16155" s="256"/>
      <c r="DG16155" s="256"/>
    </row>
    <row r="16156" spans="104:111">
      <c r="CZ16156" s="256"/>
      <c r="DG16156" s="256"/>
    </row>
    <row r="16157" spans="104:111">
      <c r="CZ16157" s="256"/>
      <c r="DG16157" s="256"/>
    </row>
    <row r="16158" spans="104:111">
      <c r="CZ16158" s="256"/>
      <c r="DG16158" s="256"/>
    </row>
    <row r="16159" spans="104:111">
      <c r="CZ16159" s="256"/>
      <c r="DG16159" s="256"/>
    </row>
    <row r="16160" spans="104:111">
      <c r="CZ16160" s="256"/>
      <c r="DG16160" s="256"/>
    </row>
    <row r="16161" spans="104:111">
      <c r="CZ16161" s="256"/>
      <c r="DG16161" s="256"/>
    </row>
    <row r="16162" spans="104:111">
      <c r="CZ16162" s="256"/>
      <c r="DG16162" s="256"/>
    </row>
    <row r="16163" spans="104:111">
      <c r="CZ16163" s="256"/>
      <c r="DG16163" s="256"/>
    </row>
    <row r="16164" spans="104:111">
      <c r="CZ16164" s="256"/>
      <c r="DG16164" s="256"/>
    </row>
    <row r="16165" spans="104:111">
      <c r="CZ16165" s="256"/>
      <c r="DG16165" s="256"/>
    </row>
    <row r="16166" spans="104:111">
      <c r="CZ16166" s="256"/>
      <c r="DG16166" s="256"/>
    </row>
    <row r="16167" spans="104:111">
      <c r="CZ16167" s="256"/>
      <c r="DG16167" s="256"/>
    </row>
    <row r="16168" spans="104:111">
      <c r="CZ16168" s="256"/>
      <c r="DG16168" s="256"/>
    </row>
    <row r="16169" spans="104:111">
      <c r="CZ16169" s="256"/>
      <c r="DG16169" s="256"/>
    </row>
    <row r="16170" spans="104:111">
      <c r="CZ16170" s="256"/>
      <c r="DG16170" s="256"/>
    </row>
    <row r="16171" spans="104:111">
      <c r="CZ16171" s="256"/>
      <c r="DG16171" s="256"/>
    </row>
    <row r="16172" spans="104:111">
      <c r="CZ16172" s="256"/>
      <c r="DG16172" s="256"/>
    </row>
    <row r="16173" spans="104:111">
      <c r="CZ16173" s="256"/>
      <c r="DG16173" s="256"/>
    </row>
    <row r="16174" spans="104:111">
      <c r="CZ16174" s="256"/>
      <c r="DG16174" s="256"/>
    </row>
    <row r="16175" spans="104:111">
      <c r="CZ16175" s="256"/>
      <c r="DG16175" s="256"/>
    </row>
    <row r="16176" spans="104:111">
      <c r="CZ16176" s="256"/>
      <c r="DG16176" s="256"/>
    </row>
    <row r="16177" spans="104:111">
      <c r="CZ16177" s="256"/>
      <c r="DG16177" s="256"/>
    </row>
    <row r="16178" spans="104:111">
      <c r="CZ16178" s="256"/>
      <c r="DG16178" s="256"/>
    </row>
    <row r="16179" spans="104:111">
      <c r="CZ16179" s="256"/>
      <c r="DG16179" s="256"/>
    </row>
    <row r="16180" spans="104:111">
      <c r="CZ16180" s="256"/>
      <c r="DG16180" s="256"/>
    </row>
    <row r="16181" spans="104:111">
      <c r="CZ16181" s="256"/>
      <c r="DG16181" s="256"/>
    </row>
    <row r="16182" spans="104:111">
      <c r="CZ16182" s="256"/>
      <c r="DG16182" s="256"/>
    </row>
    <row r="16183" spans="104:111">
      <c r="CZ16183" s="256"/>
      <c r="DG16183" s="256"/>
    </row>
    <row r="16184" spans="104:111">
      <c r="CZ16184" s="256"/>
      <c r="DG16184" s="256"/>
    </row>
    <row r="16185" spans="104:111">
      <c r="CZ16185" s="256"/>
      <c r="DG16185" s="256"/>
    </row>
    <row r="16186" spans="104:111">
      <c r="CZ16186" s="256"/>
      <c r="DG16186" s="256"/>
    </row>
    <row r="16187" spans="104:111">
      <c r="CZ16187" s="256"/>
      <c r="DG16187" s="256"/>
    </row>
    <row r="16188" spans="104:111">
      <c r="CZ16188" s="256"/>
      <c r="DG16188" s="256"/>
    </row>
    <row r="16189" spans="104:111">
      <c r="CZ16189" s="256"/>
      <c r="DG16189" s="256"/>
    </row>
    <row r="16190" spans="104:111">
      <c r="CZ16190" s="256"/>
      <c r="DG16190" s="256"/>
    </row>
    <row r="16191" spans="104:111">
      <c r="CZ16191" s="256"/>
      <c r="DG16191" s="256"/>
    </row>
    <row r="16192" spans="104:111">
      <c r="CZ16192" s="256"/>
      <c r="DG16192" s="256"/>
    </row>
    <row r="16193" spans="104:111">
      <c r="CZ16193" s="256"/>
      <c r="DG16193" s="256"/>
    </row>
    <row r="16194" spans="104:111">
      <c r="CZ16194" s="256"/>
      <c r="DG16194" s="256"/>
    </row>
    <row r="16195" spans="104:111">
      <c r="CZ16195" s="256"/>
      <c r="DG16195" s="256"/>
    </row>
    <row r="16196" spans="104:111">
      <c r="CZ16196" s="256"/>
      <c r="DG16196" s="256"/>
    </row>
    <row r="16197" spans="104:111">
      <c r="CZ16197" s="256"/>
      <c r="DG16197" s="256"/>
    </row>
    <row r="16198" spans="104:111">
      <c r="CZ16198" s="256"/>
      <c r="DG16198" s="256"/>
    </row>
    <row r="16199" spans="104:111">
      <c r="CZ16199" s="256"/>
      <c r="DG16199" s="256"/>
    </row>
    <row r="16200" spans="104:111">
      <c r="CZ16200" s="256"/>
      <c r="DG16200" s="256"/>
    </row>
    <row r="16201" spans="104:111">
      <c r="CZ16201" s="256"/>
      <c r="DG16201" s="256"/>
    </row>
    <row r="16202" spans="104:111">
      <c r="CZ16202" s="256"/>
      <c r="DG16202" s="256"/>
    </row>
    <row r="16203" spans="104:111">
      <c r="CZ16203" s="256"/>
      <c r="DG16203" s="256"/>
    </row>
    <row r="16204" spans="104:111">
      <c r="CZ16204" s="256"/>
      <c r="DG16204" s="256"/>
    </row>
    <row r="16205" spans="104:111">
      <c r="CZ16205" s="256"/>
      <c r="DG16205" s="256"/>
    </row>
    <row r="16206" spans="104:111">
      <c r="CZ16206" s="256"/>
      <c r="DG16206" s="256"/>
    </row>
    <row r="16207" spans="104:111">
      <c r="CZ16207" s="256"/>
      <c r="DG16207" s="256"/>
    </row>
    <row r="16208" spans="104:111">
      <c r="CZ16208" s="256"/>
      <c r="DG16208" s="256"/>
    </row>
    <row r="16209" spans="104:111">
      <c r="CZ16209" s="256"/>
      <c r="DG16209" s="256"/>
    </row>
    <row r="16210" spans="104:111">
      <c r="CZ16210" s="256"/>
      <c r="DG16210" s="256"/>
    </row>
    <row r="16211" spans="104:111">
      <c r="CZ16211" s="256"/>
      <c r="DG16211" s="256"/>
    </row>
    <row r="16212" spans="104:111">
      <c r="CZ16212" s="256"/>
      <c r="DG16212" s="256"/>
    </row>
    <row r="16213" spans="104:111">
      <c r="CZ16213" s="256"/>
      <c r="DG16213" s="256"/>
    </row>
    <row r="16214" spans="104:111">
      <c r="CZ16214" s="256"/>
      <c r="DG16214" s="256"/>
    </row>
    <row r="16215" spans="104:111">
      <c r="CZ16215" s="256"/>
      <c r="DG16215" s="256"/>
    </row>
    <row r="16216" spans="104:111">
      <c r="CZ16216" s="256"/>
      <c r="DG16216" s="256"/>
    </row>
    <row r="16217" spans="104:111">
      <c r="CZ16217" s="256"/>
      <c r="DG16217" s="256"/>
    </row>
    <row r="16218" spans="104:111">
      <c r="CZ16218" s="256"/>
      <c r="DG16218" s="256"/>
    </row>
    <row r="16219" spans="104:111">
      <c r="CZ16219" s="256"/>
      <c r="DG16219" s="256"/>
    </row>
    <row r="16220" spans="104:111">
      <c r="CZ16220" s="256"/>
      <c r="DG16220" s="256"/>
    </row>
    <row r="16221" spans="104:111">
      <c r="CZ16221" s="256"/>
      <c r="DG16221" s="256"/>
    </row>
    <row r="16222" spans="104:111">
      <c r="CZ16222" s="256"/>
      <c r="DG16222" s="256"/>
    </row>
    <row r="16223" spans="104:111">
      <c r="CZ16223" s="256"/>
      <c r="DG16223" s="256"/>
    </row>
    <row r="16224" spans="104:111">
      <c r="CZ16224" s="256"/>
      <c r="DG16224" s="256"/>
    </row>
    <row r="16225" spans="104:111">
      <c r="CZ16225" s="256"/>
      <c r="DG16225" s="256"/>
    </row>
    <row r="16226" spans="104:111">
      <c r="CZ16226" s="256"/>
      <c r="DG16226" s="256"/>
    </row>
    <row r="16227" spans="104:111">
      <c r="CZ16227" s="256"/>
      <c r="DG16227" s="256"/>
    </row>
    <row r="16228" spans="104:111">
      <c r="CZ16228" s="256"/>
      <c r="DG16228" s="256"/>
    </row>
    <row r="16229" spans="104:111">
      <c r="CZ16229" s="256"/>
      <c r="DG16229" s="256"/>
    </row>
    <row r="16230" spans="104:111">
      <c r="CZ16230" s="256"/>
      <c r="DG16230" s="256"/>
    </row>
    <row r="16231" spans="104:111">
      <c r="CZ16231" s="256"/>
      <c r="DG16231" s="256"/>
    </row>
    <row r="16232" spans="104:111">
      <c r="CZ16232" s="256"/>
      <c r="DG16232" s="256"/>
    </row>
    <row r="16233" spans="104:111">
      <c r="CZ16233" s="256"/>
      <c r="DG16233" s="256"/>
    </row>
    <row r="16234" spans="104:111">
      <c r="CZ16234" s="256"/>
      <c r="DG16234" s="256"/>
    </row>
    <row r="16235" spans="104:111">
      <c r="CZ16235" s="256"/>
      <c r="DG16235" s="256"/>
    </row>
    <row r="16236" spans="104:111">
      <c r="CZ16236" s="256"/>
      <c r="DG16236" s="256"/>
    </row>
    <row r="16237" spans="104:111">
      <c r="CZ16237" s="256"/>
      <c r="DG16237" s="256"/>
    </row>
    <row r="16238" spans="104:111">
      <c r="CZ16238" s="256"/>
      <c r="DG16238" s="256"/>
    </row>
    <row r="16239" spans="104:111">
      <c r="CZ16239" s="256"/>
      <c r="DG16239" s="256"/>
    </row>
    <row r="16240" spans="104:111">
      <c r="CZ16240" s="256"/>
      <c r="DG16240" s="256"/>
    </row>
    <row r="16241" spans="104:111">
      <c r="CZ16241" s="256"/>
      <c r="DG16241" s="256"/>
    </row>
    <row r="16242" spans="104:111">
      <c r="CZ16242" s="256"/>
      <c r="DG16242" s="256"/>
    </row>
    <row r="16243" spans="104:111">
      <c r="CZ16243" s="256"/>
      <c r="DG16243" s="256"/>
    </row>
    <row r="16244" spans="104:111">
      <c r="CZ16244" s="256"/>
      <c r="DG16244" s="256"/>
    </row>
    <row r="16245" spans="104:111">
      <c r="CZ16245" s="256"/>
      <c r="DG16245" s="256"/>
    </row>
    <row r="16246" spans="104:111">
      <c r="CZ16246" s="256"/>
      <c r="DG16246" s="256"/>
    </row>
    <row r="16247" spans="104:111">
      <c r="CZ16247" s="256"/>
      <c r="DG16247" s="256"/>
    </row>
    <row r="16248" spans="104:111">
      <c r="CZ16248" s="256"/>
      <c r="DG16248" s="256"/>
    </row>
    <row r="16249" spans="104:111">
      <c r="CZ16249" s="256"/>
      <c r="DG16249" s="256"/>
    </row>
    <row r="16250" spans="104:111">
      <c r="CZ16250" s="256"/>
      <c r="DG16250" s="256"/>
    </row>
    <row r="16251" spans="104:111">
      <c r="CZ16251" s="256"/>
      <c r="DG16251" s="256"/>
    </row>
    <row r="16252" spans="104:111">
      <c r="CZ16252" s="256"/>
      <c r="DG16252" s="256"/>
    </row>
    <row r="16253" spans="104:111">
      <c r="CZ16253" s="256"/>
      <c r="DG16253" s="256"/>
    </row>
    <row r="16254" spans="104:111">
      <c r="CZ16254" s="256"/>
      <c r="DG16254" s="256"/>
    </row>
    <row r="16255" spans="104:111">
      <c r="CZ16255" s="256"/>
      <c r="DG16255" s="256"/>
    </row>
    <row r="16256" spans="104:111">
      <c r="CZ16256" s="256"/>
      <c r="DG16256" s="256"/>
    </row>
    <row r="16257" spans="104:111">
      <c r="CZ16257" s="256"/>
      <c r="DG16257" s="256"/>
    </row>
    <row r="16258" spans="104:111">
      <c r="CZ16258" s="256"/>
      <c r="DG16258" s="256"/>
    </row>
    <row r="16259" spans="104:111">
      <c r="CZ16259" s="256"/>
      <c r="DG16259" s="256"/>
    </row>
    <row r="16260" spans="104:111">
      <c r="CZ16260" s="256"/>
      <c r="DG16260" s="256"/>
    </row>
    <row r="16261" spans="104:111">
      <c r="CZ16261" s="256"/>
      <c r="DG16261" s="256"/>
    </row>
    <row r="16262" spans="104:111">
      <c r="CZ16262" s="256"/>
      <c r="DG16262" s="256"/>
    </row>
    <row r="16263" spans="104:111">
      <c r="CZ16263" s="256"/>
      <c r="DG16263" s="256"/>
    </row>
    <row r="16264" spans="104:111">
      <c r="CZ16264" s="256"/>
      <c r="DG16264" s="256"/>
    </row>
    <row r="16265" spans="104:111">
      <c r="CZ16265" s="256"/>
      <c r="DG16265" s="256"/>
    </row>
    <row r="16266" spans="104:111">
      <c r="CZ16266" s="256"/>
      <c r="DG16266" s="256"/>
    </row>
    <row r="16267" spans="104:111">
      <c r="CZ16267" s="256"/>
      <c r="DG16267" s="256"/>
    </row>
    <row r="16268" spans="104:111">
      <c r="CZ16268" s="256"/>
      <c r="DG16268" s="256"/>
    </row>
    <row r="16269" spans="104:111">
      <c r="CZ16269" s="256"/>
      <c r="DG16269" s="256"/>
    </row>
    <row r="16270" spans="104:111">
      <c r="CZ16270" s="256"/>
      <c r="DG16270" s="256"/>
    </row>
    <row r="16271" spans="104:111">
      <c r="CZ16271" s="256"/>
      <c r="DG16271" s="256"/>
    </row>
    <row r="16272" spans="104:111">
      <c r="CZ16272" s="256"/>
      <c r="DG16272" s="256"/>
    </row>
    <row r="16273" spans="104:111">
      <c r="CZ16273" s="256"/>
      <c r="DG16273" s="256"/>
    </row>
    <row r="16274" spans="104:111">
      <c r="CZ16274" s="256"/>
      <c r="DG16274" s="256"/>
    </row>
    <row r="16275" spans="104:111">
      <c r="CZ16275" s="256"/>
      <c r="DG16275" s="256"/>
    </row>
    <row r="16276" spans="104:111">
      <c r="CZ16276" s="256"/>
      <c r="DG16276" s="256"/>
    </row>
    <row r="16277" spans="104:111">
      <c r="CZ16277" s="256"/>
      <c r="DG16277" s="256"/>
    </row>
    <row r="16278" spans="104:111">
      <c r="CZ16278" s="256"/>
      <c r="DG16278" s="256"/>
    </row>
    <row r="16279" spans="104:111">
      <c r="CZ16279" s="256"/>
      <c r="DG16279" s="256"/>
    </row>
    <row r="16280" spans="104:111">
      <c r="CZ16280" s="256"/>
      <c r="DG16280" s="256"/>
    </row>
    <row r="16281" spans="104:111">
      <c r="CZ16281" s="256"/>
      <c r="DG16281" s="256"/>
    </row>
    <row r="16282" spans="104:111">
      <c r="CZ16282" s="256"/>
      <c r="DG16282" s="256"/>
    </row>
    <row r="16283" spans="104:111">
      <c r="CZ16283" s="256"/>
      <c r="DG16283" s="256"/>
    </row>
    <row r="16284" spans="104:111">
      <c r="CZ16284" s="256"/>
      <c r="DG16284" s="256"/>
    </row>
    <row r="16285" spans="104:111">
      <c r="CZ16285" s="256"/>
      <c r="DG16285" s="256"/>
    </row>
    <row r="16286" spans="104:111">
      <c r="CZ16286" s="256"/>
      <c r="DG16286" s="256"/>
    </row>
    <row r="16287" spans="104:111">
      <c r="CZ16287" s="256"/>
      <c r="DG16287" s="256"/>
    </row>
    <row r="16288" spans="104:111">
      <c r="CZ16288" s="256"/>
      <c r="DG16288" s="256"/>
    </row>
    <row r="16289" spans="104:111">
      <c r="CZ16289" s="256"/>
      <c r="DG16289" s="256"/>
    </row>
    <row r="16290" spans="104:111">
      <c r="CZ16290" s="256"/>
      <c r="DG16290" s="256"/>
    </row>
    <row r="16291" spans="104:111">
      <c r="CZ16291" s="256"/>
      <c r="DG16291" s="256"/>
    </row>
    <row r="16292" spans="104:111">
      <c r="CZ16292" s="256"/>
      <c r="DG16292" s="256"/>
    </row>
    <row r="16293" spans="104:111">
      <c r="CZ16293" s="256"/>
      <c r="DG16293" s="256"/>
    </row>
    <row r="16294" spans="104:111">
      <c r="CZ16294" s="256"/>
      <c r="DG16294" s="256"/>
    </row>
    <row r="16295" spans="104:111">
      <c r="CZ16295" s="256"/>
      <c r="DG16295" s="256"/>
    </row>
    <row r="16296" spans="104:111">
      <c r="CZ16296" s="256"/>
      <c r="DG16296" s="256"/>
    </row>
    <row r="16297" spans="104:111">
      <c r="CZ16297" s="256"/>
      <c r="DG16297" s="256"/>
    </row>
    <row r="16298" spans="104:111">
      <c r="CZ16298" s="256"/>
      <c r="DG16298" s="256"/>
    </row>
    <row r="16299" spans="104:111">
      <c r="CZ16299" s="256"/>
      <c r="DG16299" s="256"/>
    </row>
    <row r="16300" spans="104:111">
      <c r="CZ16300" s="256"/>
      <c r="DG16300" s="256"/>
    </row>
    <row r="16301" spans="104:111">
      <c r="CZ16301" s="256"/>
      <c r="DG16301" s="256"/>
    </row>
    <row r="16302" spans="104:111">
      <c r="CZ16302" s="256"/>
      <c r="DG16302" s="256"/>
    </row>
    <row r="16303" spans="104:111">
      <c r="CZ16303" s="256"/>
      <c r="DG16303" s="256"/>
    </row>
    <row r="16304" spans="104:111">
      <c r="CZ16304" s="256"/>
      <c r="DG16304" s="256"/>
    </row>
    <row r="16305" spans="104:111">
      <c r="CZ16305" s="256"/>
      <c r="DG16305" s="256"/>
    </row>
    <row r="16306" spans="104:111">
      <c r="CZ16306" s="256"/>
      <c r="DG16306" s="256"/>
    </row>
    <row r="16307" spans="104:111">
      <c r="CZ16307" s="256"/>
      <c r="DG16307" s="256"/>
    </row>
    <row r="16308" spans="104:111">
      <c r="CZ16308" s="256"/>
      <c r="DG16308" s="256"/>
    </row>
    <row r="16309" spans="104:111">
      <c r="CZ16309" s="256"/>
      <c r="DG16309" s="256"/>
    </row>
    <row r="16310" spans="104:111">
      <c r="CZ16310" s="256"/>
      <c r="DG16310" s="256"/>
    </row>
    <row r="16311" spans="104:111">
      <c r="CZ16311" s="256"/>
      <c r="DG16311" s="256"/>
    </row>
    <row r="16312" spans="104:111">
      <c r="CZ16312" s="256"/>
      <c r="DG16312" s="256"/>
    </row>
    <row r="16313" spans="104:111">
      <c r="CZ16313" s="256"/>
      <c r="DG16313" s="256"/>
    </row>
    <row r="16314" spans="104:111">
      <c r="CZ16314" s="256"/>
      <c r="DG16314" s="256"/>
    </row>
    <row r="16315" spans="104:111">
      <c r="CZ16315" s="256"/>
      <c r="DG16315" s="256"/>
    </row>
    <row r="16316" spans="104:111">
      <c r="CZ16316" s="256"/>
      <c r="DG16316" s="256"/>
    </row>
    <row r="16317" spans="104:111">
      <c r="CZ16317" s="256"/>
      <c r="DG16317" s="256"/>
    </row>
    <row r="16318" spans="104:111">
      <c r="CZ16318" s="256"/>
      <c r="DG16318" s="256"/>
    </row>
    <row r="16319" spans="104:111">
      <c r="CZ16319" s="256"/>
      <c r="DG16319" s="256"/>
    </row>
    <row r="16320" spans="104:111">
      <c r="CZ16320" s="256"/>
      <c r="DG16320" s="256"/>
    </row>
    <row r="16321" spans="104:111">
      <c r="CZ16321" s="256"/>
      <c r="DG16321" s="256"/>
    </row>
    <row r="16322" spans="104:111">
      <c r="CZ16322" s="256"/>
      <c r="DG16322" s="256"/>
    </row>
    <row r="16323" spans="104:111">
      <c r="CZ16323" s="256"/>
      <c r="DG16323" s="256"/>
    </row>
    <row r="16324" spans="104:111">
      <c r="CZ16324" s="256"/>
      <c r="DG16324" s="256"/>
    </row>
    <row r="16325" spans="104:111">
      <c r="CZ16325" s="256"/>
      <c r="DG16325" s="256"/>
    </row>
    <row r="16326" spans="104:111">
      <c r="CZ16326" s="256"/>
      <c r="DG16326" s="256"/>
    </row>
    <row r="16327" spans="104:111">
      <c r="CZ16327" s="256"/>
      <c r="DG16327" s="256"/>
    </row>
    <row r="16328" spans="104:111">
      <c r="CZ16328" s="256"/>
      <c r="DG16328" s="256"/>
    </row>
    <row r="16329" spans="104:111">
      <c r="CZ16329" s="256"/>
      <c r="DG16329" s="256"/>
    </row>
    <row r="16330" spans="104:111">
      <c r="CZ16330" s="256"/>
      <c r="DG16330" s="256"/>
    </row>
    <row r="16331" spans="104:111">
      <c r="CZ16331" s="256"/>
      <c r="DG16331" s="256"/>
    </row>
    <row r="16332" spans="104:111">
      <c r="CZ16332" s="256"/>
      <c r="DG16332" s="256"/>
    </row>
    <row r="16333" spans="104:111">
      <c r="CZ16333" s="256"/>
      <c r="DG16333" s="256"/>
    </row>
    <row r="16334" spans="104:111">
      <c r="CZ16334" s="256"/>
      <c r="DG16334" s="256"/>
    </row>
    <row r="16335" spans="104:111">
      <c r="CZ16335" s="256"/>
      <c r="DG16335" s="256"/>
    </row>
    <row r="16336" spans="104:111">
      <c r="CZ16336" s="256"/>
      <c r="DG16336" s="256"/>
    </row>
    <row r="16337" spans="104:111">
      <c r="CZ16337" s="256"/>
      <c r="DG16337" s="256"/>
    </row>
    <row r="16338" spans="104:111">
      <c r="CZ16338" s="256"/>
      <c r="DG16338" s="256"/>
    </row>
    <row r="16339" spans="104:111">
      <c r="CZ16339" s="256"/>
      <c r="DG16339" s="256"/>
    </row>
    <row r="16340" spans="104:111">
      <c r="CZ16340" s="256"/>
      <c r="DG16340" s="256"/>
    </row>
    <row r="16341" spans="104:111">
      <c r="CZ16341" s="256"/>
      <c r="DG16341" s="256"/>
    </row>
    <row r="16342" spans="104:111">
      <c r="CZ16342" s="256"/>
      <c r="DG16342" s="256"/>
    </row>
    <row r="16343" spans="104:111">
      <c r="CZ16343" s="256"/>
      <c r="DG16343" s="256"/>
    </row>
    <row r="16344" spans="104:111">
      <c r="CZ16344" s="256"/>
      <c r="DG16344" s="256"/>
    </row>
    <row r="16345" spans="104:111">
      <c r="CZ16345" s="256"/>
      <c r="DG16345" s="256"/>
    </row>
    <row r="16346" spans="104:111">
      <c r="CZ16346" s="256"/>
      <c r="DG16346" s="256"/>
    </row>
    <row r="16347" spans="104:111">
      <c r="CZ16347" s="256"/>
      <c r="DG16347" s="256"/>
    </row>
    <row r="16348" spans="104:111">
      <c r="CZ16348" s="256"/>
      <c r="DG16348" s="256"/>
    </row>
    <row r="16349" spans="104:111">
      <c r="CZ16349" s="256"/>
      <c r="DG16349" s="256"/>
    </row>
    <row r="16350" spans="104:111">
      <c r="CZ16350" s="256"/>
      <c r="DG16350" s="256"/>
    </row>
    <row r="16351" spans="104:111">
      <c r="CZ16351" s="256"/>
      <c r="DG16351" s="256"/>
    </row>
    <row r="16352" spans="104:111">
      <c r="CZ16352" s="256"/>
      <c r="DG16352" s="256"/>
    </row>
    <row r="16353" spans="104:111">
      <c r="CZ16353" s="256"/>
      <c r="DG16353" s="256"/>
    </row>
    <row r="16354" spans="104:111">
      <c r="CZ16354" s="256"/>
      <c r="DG16354" s="256"/>
    </row>
    <row r="16355" spans="104:111">
      <c r="CZ16355" s="256"/>
      <c r="DG16355" s="256"/>
    </row>
    <row r="16356" spans="104:111">
      <c r="CZ16356" s="256"/>
      <c r="DG16356" s="256"/>
    </row>
    <row r="16357" spans="104:111">
      <c r="CZ16357" s="256"/>
      <c r="DG16357" s="256"/>
    </row>
    <row r="16358" spans="104:111">
      <c r="CZ16358" s="256"/>
      <c r="DG16358" s="256"/>
    </row>
    <row r="16359" spans="104:111">
      <c r="CZ16359" s="256"/>
      <c r="DG16359" s="256"/>
    </row>
    <row r="16360" spans="104:111">
      <c r="CZ16360" s="256"/>
      <c r="DG16360" s="256"/>
    </row>
    <row r="16361" spans="104:111">
      <c r="CZ16361" s="256"/>
      <c r="DG16361" s="256"/>
    </row>
    <row r="16362" spans="104:111">
      <c r="CZ16362" s="256"/>
      <c r="DG16362" s="256"/>
    </row>
    <row r="16363" spans="104:111">
      <c r="CZ16363" s="256"/>
      <c r="DG16363" s="256"/>
    </row>
    <row r="16364" spans="104:111">
      <c r="CZ16364" s="256"/>
      <c r="DG16364" s="256"/>
    </row>
    <row r="16365" spans="104:111">
      <c r="CZ16365" s="256"/>
      <c r="DG16365" s="256"/>
    </row>
    <row r="16366" spans="104:111">
      <c r="CZ16366" s="256"/>
      <c r="DG16366" s="256"/>
    </row>
    <row r="16367" spans="104:111">
      <c r="CZ16367" s="256"/>
      <c r="DG16367" s="256"/>
    </row>
    <row r="16368" spans="104:111">
      <c r="CZ16368" s="256"/>
      <c r="DG16368" s="256"/>
    </row>
    <row r="16369" spans="104:111">
      <c r="CZ16369" s="256"/>
      <c r="DG16369" s="256"/>
    </row>
    <row r="16370" spans="104:111">
      <c r="CZ16370" s="256"/>
      <c r="DG16370" s="256"/>
    </row>
    <row r="16371" spans="104:111">
      <c r="CZ16371" s="256"/>
      <c r="DG16371" s="256"/>
    </row>
    <row r="16372" spans="104:111">
      <c r="CZ16372" s="256"/>
      <c r="DG16372" s="256"/>
    </row>
    <row r="16373" spans="104:111">
      <c r="CZ16373" s="256"/>
      <c r="DG16373" s="256"/>
    </row>
    <row r="16374" spans="104:111">
      <c r="CZ16374" s="256"/>
      <c r="DG16374" s="256"/>
    </row>
    <row r="16375" spans="104:111">
      <c r="CZ16375" s="256"/>
      <c r="DG16375" s="256"/>
    </row>
    <row r="16376" spans="104:111">
      <c r="CZ16376" s="256"/>
      <c r="DG16376" s="256"/>
    </row>
    <row r="16377" spans="104:111">
      <c r="CZ16377" s="256"/>
      <c r="DG16377" s="256"/>
    </row>
    <row r="16378" spans="104:111">
      <c r="CZ16378" s="256"/>
      <c r="DG16378" s="256"/>
    </row>
    <row r="16379" spans="104:111">
      <c r="CZ16379" s="256"/>
      <c r="DG16379" s="256"/>
    </row>
    <row r="16380" spans="104:111">
      <c r="CZ16380" s="256"/>
      <c r="DG16380" s="256"/>
    </row>
    <row r="16381" spans="104:111">
      <c r="CZ16381" s="256"/>
      <c r="DG16381" s="256"/>
    </row>
    <row r="16382" spans="104:111">
      <c r="CZ16382" s="256"/>
      <c r="DG16382" s="256"/>
    </row>
    <row r="16383" spans="104:111">
      <c r="CZ16383" s="256"/>
      <c r="DG16383" s="256"/>
    </row>
    <row r="16384" spans="104:111">
      <c r="CZ16384" s="256"/>
      <c r="DG16384" s="256"/>
    </row>
    <row r="16385" spans="104:111">
      <c r="CZ16385" s="256"/>
      <c r="DG16385" s="256"/>
    </row>
    <row r="16386" spans="104:111">
      <c r="CZ16386" s="256"/>
      <c r="DG16386" s="256"/>
    </row>
    <row r="16387" spans="104:111">
      <c r="CZ16387" s="256"/>
      <c r="DG16387" s="256"/>
    </row>
    <row r="16388" spans="104:111">
      <c r="CZ16388" s="256"/>
      <c r="DG16388" s="256"/>
    </row>
    <row r="16389" spans="104:111">
      <c r="CZ16389" s="256"/>
      <c r="DG16389" s="256"/>
    </row>
    <row r="16390" spans="104:111">
      <c r="CZ16390" s="256"/>
      <c r="DG16390" s="256"/>
    </row>
    <row r="16391" spans="104:111">
      <c r="CZ16391" s="256"/>
      <c r="DG16391" s="256"/>
    </row>
    <row r="16392" spans="104:111">
      <c r="CZ16392" s="256"/>
      <c r="DG16392" s="256"/>
    </row>
    <row r="16393" spans="104:111">
      <c r="CZ16393" s="256"/>
      <c r="DG16393" s="256"/>
    </row>
    <row r="16394" spans="104:111">
      <c r="CZ16394" s="256"/>
      <c r="DG16394" s="256"/>
    </row>
    <row r="16395" spans="104:111">
      <c r="CZ16395" s="256"/>
      <c r="DG16395" s="256"/>
    </row>
    <row r="16396" spans="104:111">
      <c r="CZ16396" s="256"/>
      <c r="DG16396" s="256"/>
    </row>
    <row r="16397" spans="104:111">
      <c r="CZ16397" s="256"/>
      <c r="DG16397" s="256"/>
    </row>
    <row r="16398" spans="104:111">
      <c r="CZ16398" s="256"/>
      <c r="DG16398" s="256"/>
    </row>
    <row r="16399" spans="104:111">
      <c r="CZ16399" s="256"/>
      <c r="DG16399" s="256"/>
    </row>
    <row r="16400" spans="104:111">
      <c r="CZ16400" s="256"/>
      <c r="DG16400" s="256"/>
    </row>
    <row r="16401" spans="104:111">
      <c r="CZ16401" s="256"/>
      <c r="DG16401" s="256"/>
    </row>
    <row r="16402" spans="104:111">
      <c r="CZ16402" s="256"/>
      <c r="DG16402" s="256"/>
    </row>
    <row r="16403" spans="104:111">
      <c r="CZ16403" s="256"/>
      <c r="DG16403" s="256"/>
    </row>
    <row r="16404" spans="104:111">
      <c r="CZ16404" s="256"/>
      <c r="DG16404" s="256"/>
    </row>
    <row r="16405" spans="104:111">
      <c r="CZ16405" s="256"/>
      <c r="DG16405" s="256"/>
    </row>
    <row r="16406" spans="104:111">
      <c r="CZ16406" s="256"/>
      <c r="DG16406" s="256"/>
    </row>
    <row r="16407" spans="104:111">
      <c r="CZ16407" s="256"/>
      <c r="DG16407" s="256"/>
    </row>
    <row r="16408" spans="104:111">
      <c r="CZ16408" s="256"/>
      <c r="DG16408" s="256"/>
    </row>
    <row r="16409" spans="104:111">
      <c r="CZ16409" s="256"/>
      <c r="DG16409" s="256"/>
    </row>
    <row r="16410" spans="104:111">
      <c r="CZ16410" s="256"/>
      <c r="DG16410" s="256"/>
    </row>
    <row r="16411" spans="104:111">
      <c r="CZ16411" s="256"/>
      <c r="DG16411" s="256"/>
    </row>
    <row r="16412" spans="104:111">
      <c r="CZ16412" s="256"/>
      <c r="DG16412" s="256"/>
    </row>
    <row r="16413" spans="104:111">
      <c r="CZ16413" s="256"/>
      <c r="DG16413" s="256"/>
    </row>
    <row r="16414" spans="104:111">
      <c r="CZ16414" s="256"/>
      <c r="DG16414" s="256"/>
    </row>
    <row r="16415" spans="104:111">
      <c r="CZ16415" s="256"/>
      <c r="DG16415" s="256"/>
    </row>
    <row r="16416" spans="104:111">
      <c r="CZ16416" s="256"/>
      <c r="DG16416" s="256"/>
    </row>
    <row r="16417" spans="104:111">
      <c r="CZ16417" s="256"/>
      <c r="DG16417" s="256"/>
    </row>
    <row r="16418" spans="104:111">
      <c r="CZ16418" s="256"/>
      <c r="DG16418" s="256"/>
    </row>
    <row r="16419" spans="104:111">
      <c r="CZ16419" s="256"/>
      <c r="DG16419" s="256"/>
    </row>
    <row r="16420" spans="104:111">
      <c r="CZ16420" s="256"/>
      <c r="DG16420" s="256"/>
    </row>
    <row r="16421" spans="104:111">
      <c r="CZ16421" s="256"/>
      <c r="DG16421" s="256"/>
    </row>
    <row r="16422" spans="104:111">
      <c r="CZ16422" s="256"/>
      <c r="DG16422" s="256"/>
    </row>
    <row r="16423" spans="104:111">
      <c r="CZ16423" s="256"/>
      <c r="DG16423" s="256"/>
    </row>
    <row r="16424" spans="104:111">
      <c r="CZ16424" s="256"/>
      <c r="DG16424" s="256"/>
    </row>
    <row r="16425" spans="104:111">
      <c r="CZ16425" s="256"/>
      <c r="DG16425" s="256"/>
    </row>
    <row r="16426" spans="104:111">
      <c r="CZ16426" s="256"/>
      <c r="DG16426" s="256"/>
    </row>
    <row r="16427" spans="104:111">
      <c r="CZ16427" s="256"/>
      <c r="DG16427" s="256"/>
    </row>
    <row r="16428" spans="104:111">
      <c r="CZ16428" s="256"/>
      <c r="DG16428" s="256"/>
    </row>
    <row r="16429" spans="104:111">
      <c r="CZ16429" s="256"/>
      <c r="DG16429" s="256"/>
    </row>
    <row r="16430" spans="104:111">
      <c r="CZ16430" s="256"/>
      <c r="DG16430" s="256"/>
    </row>
    <row r="16431" spans="104:111">
      <c r="CZ16431" s="256"/>
      <c r="DG16431" s="256"/>
    </row>
    <row r="16432" spans="104:111">
      <c r="CZ16432" s="256"/>
      <c r="DG16432" s="256"/>
    </row>
    <row r="16433" spans="104:111">
      <c r="CZ16433" s="256"/>
      <c r="DG16433" s="256"/>
    </row>
    <row r="16434" spans="104:111">
      <c r="CZ16434" s="256"/>
      <c r="DG16434" s="256"/>
    </row>
    <row r="16435" spans="104:111">
      <c r="CZ16435" s="256"/>
      <c r="DG16435" s="256"/>
    </row>
    <row r="16436" spans="104:111">
      <c r="CZ16436" s="256"/>
      <c r="DG16436" s="256"/>
    </row>
    <row r="16437" spans="104:111">
      <c r="CZ16437" s="256"/>
      <c r="DG16437" s="256"/>
    </row>
    <row r="16438" spans="104:111">
      <c r="CZ16438" s="256"/>
      <c r="DG16438" s="256"/>
    </row>
    <row r="16439" spans="104:111">
      <c r="CZ16439" s="256"/>
      <c r="DG16439" s="256"/>
    </row>
    <row r="16440" spans="104:111">
      <c r="CZ16440" s="256"/>
      <c r="DG16440" s="256"/>
    </row>
    <row r="16441" spans="104:111">
      <c r="CZ16441" s="256"/>
      <c r="DG16441" s="256"/>
    </row>
    <row r="16442" spans="104:111">
      <c r="CZ16442" s="256"/>
      <c r="DG16442" s="256"/>
    </row>
    <row r="16443" spans="104:111">
      <c r="CZ16443" s="256"/>
      <c r="DG16443" s="256"/>
    </row>
    <row r="16444" spans="104:111">
      <c r="CZ16444" s="256"/>
      <c r="DG16444" s="256"/>
    </row>
    <row r="16445" spans="104:111">
      <c r="CZ16445" s="256"/>
      <c r="DG16445" s="256"/>
    </row>
    <row r="16446" spans="104:111">
      <c r="CZ16446" s="256"/>
      <c r="DG16446" s="256"/>
    </row>
    <row r="16447" spans="104:111">
      <c r="CZ16447" s="256"/>
      <c r="DG16447" s="256"/>
    </row>
    <row r="16448" spans="104:111">
      <c r="CZ16448" s="256"/>
      <c r="DG16448" s="256"/>
    </row>
    <row r="16449" spans="104:111">
      <c r="CZ16449" s="256"/>
      <c r="DG16449" s="256"/>
    </row>
    <row r="16450" spans="104:111">
      <c r="CZ16450" s="256"/>
      <c r="DG16450" s="256"/>
    </row>
    <row r="16451" spans="104:111">
      <c r="CZ16451" s="256"/>
      <c r="DG16451" s="256"/>
    </row>
    <row r="16452" spans="104:111">
      <c r="CZ16452" s="256"/>
      <c r="DG16452" s="256"/>
    </row>
    <row r="16453" spans="104:111">
      <c r="CZ16453" s="256"/>
      <c r="DG16453" s="256"/>
    </row>
    <row r="16454" spans="104:111">
      <c r="CZ16454" s="256"/>
      <c r="DG16454" s="256"/>
    </row>
    <row r="16455" spans="104:111">
      <c r="CZ16455" s="256"/>
      <c r="DG16455" s="256"/>
    </row>
    <row r="16456" spans="104:111">
      <c r="CZ16456" s="256"/>
      <c r="DG16456" s="256"/>
    </row>
    <row r="16457" spans="104:111">
      <c r="CZ16457" s="256"/>
      <c r="DG16457" s="256"/>
    </row>
    <row r="16458" spans="104:111">
      <c r="CZ16458" s="256"/>
      <c r="DG16458" s="256"/>
    </row>
    <row r="16459" spans="104:111">
      <c r="CZ16459" s="256"/>
      <c r="DG16459" s="256"/>
    </row>
    <row r="16460" spans="104:111">
      <c r="CZ16460" s="256"/>
      <c r="DG16460" s="256"/>
    </row>
    <row r="16461" spans="104:111">
      <c r="CZ16461" s="256"/>
      <c r="DG16461" s="256"/>
    </row>
    <row r="16462" spans="104:111">
      <c r="CZ16462" s="256"/>
      <c r="DG16462" s="256"/>
    </row>
    <row r="16463" spans="104:111">
      <c r="CZ16463" s="256"/>
      <c r="DG16463" s="256"/>
    </row>
    <row r="16464" spans="104:111">
      <c r="CZ16464" s="256"/>
      <c r="DG16464" s="256"/>
    </row>
    <row r="16465" spans="104:111">
      <c r="CZ16465" s="256"/>
      <c r="DG16465" s="256"/>
    </row>
    <row r="16466" spans="104:111">
      <c r="CZ16466" s="256"/>
      <c r="DG16466" s="256"/>
    </row>
    <row r="16467" spans="104:111">
      <c r="CZ16467" s="256"/>
      <c r="DG16467" s="256"/>
    </row>
    <row r="16468" spans="104:111">
      <c r="CZ16468" s="256"/>
      <c r="DG16468" s="256"/>
    </row>
    <row r="16469" spans="104:111">
      <c r="CZ16469" s="256"/>
      <c r="DG16469" s="256"/>
    </row>
    <row r="16470" spans="104:111">
      <c r="CZ16470" s="256"/>
      <c r="DG16470" s="256"/>
    </row>
    <row r="16471" spans="104:111">
      <c r="CZ16471" s="256"/>
      <c r="DG16471" s="256"/>
    </row>
    <row r="16472" spans="104:111">
      <c r="CZ16472" s="256"/>
      <c r="DG16472" s="256"/>
    </row>
    <row r="16473" spans="104:111">
      <c r="CZ16473" s="256"/>
      <c r="DG16473" s="256"/>
    </row>
    <row r="16474" spans="104:111">
      <c r="CZ16474" s="256"/>
      <c r="DG16474" s="256"/>
    </row>
    <row r="16475" spans="104:111">
      <c r="CZ16475" s="256"/>
      <c r="DG16475" s="256"/>
    </row>
    <row r="16476" spans="104:111">
      <c r="CZ16476" s="256"/>
      <c r="DG16476" s="256"/>
    </row>
    <row r="16477" spans="104:111">
      <c r="CZ16477" s="256"/>
      <c r="DG16477" s="256"/>
    </row>
    <row r="16478" spans="104:111">
      <c r="CZ16478" s="256"/>
      <c r="DG16478" s="256"/>
    </row>
    <row r="16479" spans="104:111">
      <c r="CZ16479" s="256"/>
      <c r="DG16479" s="256"/>
    </row>
    <row r="16480" spans="104:111">
      <c r="CZ16480" s="256"/>
      <c r="DG16480" s="256"/>
    </row>
    <row r="16481" spans="104:111">
      <c r="CZ16481" s="256"/>
      <c r="DG16481" s="256"/>
    </row>
    <row r="16482" spans="104:111">
      <c r="CZ16482" s="256"/>
      <c r="DG16482" s="256"/>
    </row>
    <row r="16483" spans="104:111">
      <c r="CZ16483" s="256"/>
      <c r="DG16483" s="256"/>
    </row>
    <row r="16484" spans="104:111">
      <c r="CZ16484" s="256"/>
      <c r="DG16484" s="256"/>
    </row>
    <row r="16485" spans="104:111">
      <c r="CZ16485" s="256"/>
      <c r="DG16485" s="256"/>
    </row>
    <row r="16486" spans="104:111">
      <c r="CZ16486" s="256"/>
      <c r="DG16486" s="256"/>
    </row>
    <row r="16487" spans="104:111">
      <c r="CZ16487" s="256"/>
      <c r="DG16487" s="256"/>
    </row>
    <row r="16488" spans="104:111">
      <c r="CZ16488" s="256"/>
      <c r="DG16488" s="256"/>
    </row>
    <row r="16489" spans="104:111">
      <c r="CZ16489" s="256"/>
      <c r="DG16489" s="256"/>
    </row>
    <row r="16490" spans="104:111">
      <c r="CZ16490" s="256"/>
      <c r="DG16490" s="256"/>
    </row>
    <row r="16491" spans="104:111">
      <c r="CZ16491" s="256"/>
      <c r="DG16491" s="256"/>
    </row>
    <row r="16492" spans="104:111">
      <c r="CZ16492" s="256"/>
      <c r="DG16492" s="256"/>
    </row>
    <row r="16493" spans="104:111">
      <c r="CZ16493" s="256"/>
      <c r="DG16493" s="256"/>
    </row>
    <row r="16494" spans="104:111">
      <c r="CZ16494" s="256"/>
      <c r="DG16494" s="256"/>
    </row>
    <row r="16495" spans="104:111">
      <c r="CZ16495" s="256"/>
      <c r="DG16495" s="256"/>
    </row>
    <row r="16496" spans="104:111">
      <c r="CZ16496" s="256"/>
      <c r="DG16496" s="256"/>
    </row>
    <row r="16497" spans="104:111">
      <c r="CZ16497" s="256"/>
      <c r="DG16497" s="256"/>
    </row>
    <row r="16498" spans="104:111">
      <c r="CZ16498" s="256"/>
      <c r="DG16498" s="256"/>
    </row>
    <row r="16499" spans="104:111">
      <c r="CZ16499" s="256"/>
      <c r="DG16499" s="256"/>
    </row>
    <row r="16500" spans="104:111">
      <c r="CZ16500" s="256"/>
      <c r="DG16500" s="256"/>
    </row>
    <row r="16501" spans="104:111">
      <c r="CZ16501" s="256"/>
      <c r="DG16501" s="256"/>
    </row>
    <row r="16502" spans="104:111">
      <c r="CZ16502" s="256"/>
      <c r="DG16502" s="256"/>
    </row>
    <row r="16503" spans="104:111">
      <c r="CZ16503" s="256"/>
      <c r="DG16503" s="256"/>
    </row>
    <row r="16504" spans="104:111">
      <c r="CZ16504" s="256"/>
      <c r="DG16504" s="256"/>
    </row>
    <row r="16505" spans="104:111">
      <c r="CZ16505" s="256"/>
      <c r="DG16505" s="256"/>
    </row>
    <row r="16506" spans="104:111">
      <c r="CZ16506" s="256"/>
      <c r="DG16506" s="256"/>
    </row>
    <row r="16507" spans="104:111">
      <c r="CZ16507" s="256"/>
      <c r="DG16507" s="256"/>
    </row>
    <row r="16508" spans="104:111">
      <c r="CZ16508" s="256"/>
      <c r="DG16508" s="256"/>
    </row>
    <row r="16509" spans="104:111">
      <c r="CZ16509" s="256"/>
      <c r="DG16509" s="256"/>
    </row>
    <row r="16510" spans="104:111">
      <c r="CZ16510" s="256"/>
      <c r="DG16510" s="256"/>
    </row>
    <row r="16511" spans="104:111">
      <c r="CZ16511" s="256"/>
      <c r="DG16511" s="256"/>
    </row>
    <row r="16512" spans="104:111">
      <c r="CZ16512" s="256"/>
      <c r="DG16512" s="256"/>
    </row>
    <row r="16513" spans="104:111">
      <c r="CZ16513" s="256"/>
      <c r="DG16513" s="256"/>
    </row>
    <row r="16514" spans="104:111">
      <c r="CZ16514" s="256"/>
      <c r="DG16514" s="256"/>
    </row>
    <row r="16515" spans="104:111">
      <c r="CZ16515" s="256"/>
      <c r="DG16515" s="256"/>
    </row>
    <row r="16516" spans="104:111">
      <c r="CZ16516" s="256"/>
      <c r="DG16516" s="256"/>
    </row>
    <row r="16517" spans="104:111">
      <c r="CZ16517" s="256"/>
      <c r="DG16517" s="256"/>
    </row>
    <row r="16518" spans="104:111">
      <c r="CZ16518" s="256"/>
      <c r="DG16518" s="256"/>
    </row>
    <row r="16519" spans="104:111">
      <c r="CZ16519" s="256"/>
      <c r="DG16519" s="256"/>
    </row>
    <row r="16520" spans="104:111">
      <c r="CZ16520" s="256"/>
      <c r="DG16520" s="256"/>
    </row>
    <row r="16521" spans="104:111">
      <c r="CZ16521" s="256"/>
      <c r="DG16521" s="256"/>
    </row>
    <row r="16522" spans="104:111">
      <c r="CZ16522" s="256"/>
      <c r="DG16522" s="256"/>
    </row>
    <row r="16523" spans="104:111">
      <c r="CZ16523" s="256"/>
      <c r="DG16523" s="256"/>
    </row>
    <row r="16524" spans="104:111">
      <c r="CZ16524" s="256"/>
      <c r="DG16524" s="256"/>
    </row>
    <row r="16525" spans="104:111">
      <c r="CZ16525" s="256"/>
      <c r="DG16525" s="256"/>
    </row>
    <row r="16526" spans="104:111">
      <c r="CZ16526" s="256"/>
      <c r="DG16526" s="256"/>
    </row>
    <row r="16527" spans="104:111">
      <c r="CZ16527" s="256"/>
      <c r="DG16527" s="256"/>
    </row>
    <row r="16528" spans="104:111">
      <c r="CZ16528" s="256"/>
      <c r="DG16528" s="256"/>
    </row>
    <row r="16529" spans="104:111">
      <c r="CZ16529" s="256"/>
      <c r="DG16529" s="256"/>
    </row>
    <row r="16530" spans="104:111">
      <c r="CZ16530" s="256"/>
      <c r="DG16530" s="256"/>
    </row>
    <row r="16531" spans="104:111">
      <c r="CZ16531" s="256"/>
      <c r="DG16531" s="256"/>
    </row>
    <row r="16532" spans="104:111">
      <c r="CZ16532" s="256"/>
      <c r="DG16532" s="256"/>
    </row>
    <row r="16533" spans="104:111">
      <c r="CZ16533" s="256"/>
      <c r="DG16533" s="256"/>
    </row>
    <row r="16534" spans="104:111">
      <c r="CZ16534" s="256"/>
      <c r="DG16534" s="256"/>
    </row>
    <row r="16535" spans="104:111">
      <c r="CZ16535" s="256"/>
      <c r="DG16535" s="256"/>
    </row>
    <row r="16536" spans="104:111">
      <c r="CZ16536" s="256"/>
      <c r="DG16536" s="256"/>
    </row>
    <row r="16537" spans="104:111">
      <c r="CZ16537" s="256"/>
      <c r="DG16537" s="256"/>
    </row>
    <row r="16538" spans="104:111">
      <c r="CZ16538" s="256"/>
      <c r="DG16538" s="256"/>
    </row>
    <row r="16539" spans="104:111">
      <c r="CZ16539" s="256"/>
      <c r="DG16539" s="256"/>
    </row>
    <row r="16540" spans="104:111">
      <c r="CZ16540" s="256"/>
      <c r="DG16540" s="256"/>
    </row>
    <row r="16541" spans="104:111">
      <c r="CZ16541" s="256"/>
      <c r="DG16541" s="256"/>
    </row>
    <row r="16542" spans="104:111">
      <c r="CZ16542" s="256"/>
      <c r="DG16542" s="256"/>
    </row>
    <row r="16543" spans="104:111">
      <c r="CZ16543" s="256"/>
      <c r="DG16543" s="256"/>
    </row>
    <row r="16544" spans="104:111">
      <c r="CZ16544" s="256"/>
      <c r="DG16544" s="256"/>
    </row>
    <row r="16545" spans="104:111">
      <c r="CZ16545" s="256"/>
      <c r="DG16545" s="256"/>
    </row>
    <row r="16546" spans="104:111">
      <c r="CZ16546" s="256"/>
      <c r="DG16546" s="256"/>
    </row>
    <row r="16547" spans="104:111">
      <c r="CZ16547" s="256"/>
      <c r="DG16547" s="256"/>
    </row>
    <row r="16548" spans="104:111">
      <c r="CZ16548" s="256"/>
      <c r="DG16548" s="256"/>
    </row>
    <row r="16549" spans="104:111">
      <c r="CZ16549" s="256"/>
      <c r="DG16549" s="256"/>
    </row>
    <row r="16550" spans="104:111">
      <c r="CZ16550" s="256"/>
      <c r="DG16550" s="256"/>
    </row>
    <row r="16551" spans="104:111">
      <c r="CZ16551" s="256"/>
      <c r="DG16551" s="256"/>
    </row>
    <row r="16552" spans="104:111">
      <c r="CZ16552" s="256"/>
      <c r="DG16552" s="256"/>
    </row>
    <row r="16553" spans="104:111">
      <c r="CZ16553" s="256"/>
      <c r="DG16553" s="256"/>
    </row>
    <row r="16554" spans="104:111">
      <c r="CZ16554" s="256"/>
      <c r="DG16554" s="256"/>
    </row>
    <row r="16555" spans="104:111">
      <c r="CZ16555" s="256"/>
      <c r="DG16555" s="256"/>
    </row>
    <row r="16556" spans="104:111">
      <c r="CZ16556" s="256"/>
      <c r="DG16556" s="256"/>
    </row>
    <row r="16557" spans="104:111">
      <c r="CZ16557" s="256"/>
      <c r="DG16557" s="256"/>
    </row>
    <row r="16558" spans="104:111">
      <c r="CZ16558" s="256"/>
      <c r="DG16558" s="256"/>
    </row>
    <row r="16559" spans="104:111">
      <c r="CZ16559" s="256"/>
      <c r="DG16559" s="256"/>
    </row>
    <row r="16560" spans="104:111">
      <c r="CZ16560" s="256"/>
      <c r="DG16560" s="256"/>
    </row>
    <row r="16561" spans="104:111">
      <c r="CZ16561" s="256"/>
      <c r="DG16561" s="256"/>
    </row>
    <row r="16562" spans="104:111">
      <c r="CZ16562" s="256"/>
      <c r="DG16562" s="256"/>
    </row>
    <row r="16563" spans="104:111">
      <c r="CZ16563" s="256"/>
      <c r="DG16563" s="256"/>
    </row>
    <row r="16564" spans="104:111">
      <c r="CZ16564" s="256"/>
      <c r="DG16564" s="256"/>
    </row>
    <row r="16565" spans="104:111">
      <c r="CZ16565" s="256"/>
      <c r="DG16565" s="256"/>
    </row>
    <row r="16566" spans="104:111">
      <c r="CZ16566" s="256"/>
      <c r="DG16566" s="256"/>
    </row>
    <row r="16567" spans="104:111">
      <c r="CZ16567" s="256"/>
      <c r="DG16567" s="256"/>
    </row>
    <row r="16568" spans="104:111">
      <c r="CZ16568" s="256"/>
      <c r="DG16568" s="256"/>
    </row>
    <row r="16569" spans="104:111">
      <c r="CZ16569" s="256"/>
      <c r="DG16569" s="256"/>
    </row>
    <row r="16570" spans="104:111">
      <c r="CZ16570" s="256"/>
      <c r="DG16570" s="256"/>
    </row>
    <row r="16571" spans="104:111">
      <c r="CZ16571" s="256"/>
      <c r="DG16571" s="256"/>
    </row>
    <row r="16572" spans="104:111">
      <c r="CZ16572" s="256"/>
      <c r="DG16572" s="256"/>
    </row>
    <row r="16573" spans="104:111">
      <c r="CZ16573" s="256"/>
      <c r="DG16573" s="256"/>
    </row>
    <row r="16574" spans="104:111">
      <c r="CZ16574" s="256"/>
      <c r="DG16574" s="256"/>
    </row>
    <row r="16575" spans="104:111">
      <c r="CZ16575" s="256"/>
      <c r="DG16575" s="256"/>
    </row>
    <row r="16576" spans="104:111">
      <c r="CZ16576" s="256"/>
      <c r="DG16576" s="256"/>
    </row>
    <row r="16577" spans="104:111">
      <c r="CZ16577" s="256"/>
      <c r="DG16577" s="256"/>
    </row>
    <row r="16578" spans="104:111">
      <c r="CZ16578" s="256"/>
      <c r="DG16578" s="256"/>
    </row>
    <row r="16579" spans="104:111">
      <c r="CZ16579" s="256"/>
      <c r="DG16579" s="256"/>
    </row>
    <row r="16580" spans="104:111">
      <c r="CZ16580" s="256"/>
      <c r="DG16580" s="256"/>
    </row>
    <row r="16581" spans="104:111">
      <c r="CZ16581" s="256"/>
      <c r="DG16581" s="256"/>
    </row>
    <row r="16582" spans="104:111">
      <c r="CZ16582" s="256"/>
      <c r="DG16582" s="256"/>
    </row>
    <row r="16583" spans="104:111">
      <c r="CZ16583" s="256"/>
      <c r="DG16583" s="256"/>
    </row>
    <row r="16584" spans="104:111">
      <c r="CZ16584" s="256"/>
      <c r="DG16584" s="256"/>
    </row>
    <row r="16585" spans="104:111">
      <c r="CZ16585" s="256"/>
      <c r="DG16585" s="256"/>
    </row>
    <row r="16586" spans="104:111">
      <c r="CZ16586" s="256"/>
      <c r="DG16586" s="256"/>
    </row>
    <row r="16587" spans="104:111">
      <c r="CZ16587" s="256"/>
      <c r="DG16587" s="256"/>
    </row>
    <row r="16588" spans="104:111">
      <c r="CZ16588" s="256"/>
      <c r="DG16588" s="256"/>
    </row>
    <row r="16589" spans="104:111">
      <c r="CZ16589" s="256"/>
      <c r="DG16589" s="256"/>
    </row>
    <row r="16590" spans="104:111">
      <c r="CZ16590" s="256"/>
      <c r="DG16590" s="256"/>
    </row>
    <row r="16591" spans="104:111">
      <c r="CZ16591" s="256"/>
      <c r="DG16591" s="256"/>
    </row>
    <row r="16592" spans="104:111">
      <c r="CZ16592" s="256"/>
      <c r="DG16592" s="256"/>
    </row>
    <row r="16593" spans="104:111">
      <c r="CZ16593" s="256"/>
      <c r="DG16593" s="256"/>
    </row>
    <row r="16594" spans="104:111">
      <c r="CZ16594" s="256"/>
      <c r="DG16594" s="256"/>
    </row>
    <row r="16595" spans="104:111">
      <c r="CZ16595" s="256"/>
      <c r="DG16595" s="256"/>
    </row>
    <row r="16596" spans="104:111">
      <c r="CZ16596" s="256"/>
      <c r="DG16596" s="256"/>
    </row>
    <row r="16597" spans="104:111">
      <c r="CZ16597" s="256"/>
      <c r="DG16597" s="256"/>
    </row>
    <row r="16598" spans="104:111">
      <c r="CZ16598" s="256"/>
      <c r="DG16598" s="256"/>
    </row>
    <row r="16599" spans="104:111">
      <c r="CZ16599" s="256"/>
      <c r="DG16599" s="256"/>
    </row>
    <row r="16600" spans="104:111">
      <c r="CZ16600" s="256"/>
      <c r="DG16600" s="256"/>
    </row>
    <row r="16601" spans="104:111">
      <c r="CZ16601" s="256"/>
      <c r="DG16601" s="256"/>
    </row>
    <row r="16602" spans="104:111">
      <c r="CZ16602" s="256"/>
      <c r="DG16602" s="256"/>
    </row>
    <row r="16603" spans="104:111">
      <c r="CZ16603" s="256"/>
      <c r="DG16603" s="256"/>
    </row>
    <row r="16604" spans="104:111">
      <c r="CZ16604" s="256"/>
      <c r="DG16604" s="256"/>
    </row>
    <row r="16605" spans="104:111">
      <c r="CZ16605" s="256"/>
      <c r="DG16605" s="256"/>
    </row>
    <row r="16606" spans="104:111">
      <c r="CZ16606" s="256"/>
      <c r="DG16606" s="256"/>
    </row>
    <row r="16607" spans="104:111">
      <c r="CZ16607" s="256"/>
      <c r="DG16607" s="256"/>
    </row>
    <row r="16608" spans="104:111">
      <c r="CZ16608" s="256"/>
      <c r="DG16608" s="256"/>
    </row>
    <row r="16609" spans="104:111">
      <c r="CZ16609" s="256"/>
      <c r="DG16609" s="256"/>
    </row>
    <row r="16610" spans="104:111">
      <c r="CZ16610" s="256"/>
      <c r="DG16610" s="256"/>
    </row>
    <row r="16611" spans="104:111">
      <c r="CZ16611" s="256"/>
      <c r="DG16611" s="256"/>
    </row>
    <row r="16612" spans="104:111">
      <c r="CZ16612" s="256"/>
      <c r="DG16612" s="256"/>
    </row>
    <row r="16613" spans="104:111">
      <c r="CZ16613" s="256"/>
      <c r="DG16613" s="256"/>
    </row>
    <row r="16614" spans="104:111">
      <c r="CZ16614" s="256"/>
      <c r="DG16614" s="256"/>
    </row>
    <row r="16615" spans="104:111">
      <c r="CZ16615" s="256"/>
      <c r="DG16615" s="256"/>
    </row>
    <row r="16616" spans="104:111">
      <c r="CZ16616" s="256"/>
      <c r="DG16616" s="256"/>
    </row>
    <row r="16617" spans="104:111">
      <c r="CZ16617" s="256"/>
      <c r="DG16617" s="256"/>
    </row>
    <row r="16618" spans="104:111">
      <c r="CZ16618" s="256"/>
      <c r="DG16618" s="256"/>
    </row>
    <row r="16619" spans="104:111">
      <c r="CZ16619" s="256"/>
      <c r="DG16619" s="256"/>
    </row>
    <row r="16620" spans="104:111">
      <c r="CZ16620" s="256"/>
      <c r="DG16620" s="256"/>
    </row>
    <row r="16621" spans="104:111">
      <c r="CZ16621" s="256"/>
      <c r="DG16621" s="256"/>
    </row>
    <row r="16622" spans="104:111">
      <c r="CZ16622" s="256"/>
      <c r="DG16622" s="256"/>
    </row>
    <row r="16623" spans="104:111">
      <c r="CZ16623" s="256"/>
      <c r="DG16623" s="256"/>
    </row>
    <row r="16624" spans="104:111">
      <c r="CZ16624" s="256"/>
      <c r="DG16624" s="256"/>
    </row>
    <row r="16625" spans="104:111">
      <c r="CZ16625" s="256"/>
      <c r="DG16625" s="256"/>
    </row>
    <row r="16626" spans="104:111">
      <c r="CZ16626" s="256"/>
      <c r="DG16626" s="256"/>
    </row>
    <row r="16627" spans="104:111">
      <c r="CZ16627" s="256"/>
      <c r="DG16627" s="256"/>
    </row>
    <row r="16628" spans="104:111">
      <c r="CZ16628" s="256"/>
      <c r="DG16628" s="256"/>
    </row>
    <row r="16629" spans="104:111">
      <c r="CZ16629" s="256"/>
      <c r="DG16629" s="256"/>
    </row>
    <row r="16630" spans="104:111">
      <c r="CZ16630" s="256"/>
      <c r="DG16630" s="256"/>
    </row>
    <row r="16631" spans="104:111">
      <c r="CZ16631" s="256"/>
      <c r="DG16631" s="256"/>
    </row>
    <row r="16632" spans="104:111">
      <c r="CZ16632" s="256"/>
      <c r="DG16632" s="256"/>
    </row>
    <row r="16633" spans="104:111">
      <c r="CZ16633" s="256"/>
      <c r="DG16633" s="256"/>
    </row>
    <row r="16634" spans="104:111">
      <c r="CZ16634" s="256"/>
      <c r="DG16634" s="256"/>
    </row>
    <row r="16635" spans="104:111">
      <c r="CZ16635" s="256"/>
      <c r="DG16635" s="256"/>
    </row>
    <row r="16636" spans="104:111">
      <c r="CZ16636" s="256"/>
      <c r="DG16636" s="256"/>
    </row>
    <row r="16637" spans="104:111">
      <c r="CZ16637" s="256"/>
      <c r="DG16637" s="256"/>
    </row>
    <row r="16638" spans="104:111">
      <c r="CZ16638" s="256"/>
      <c r="DG16638" s="256"/>
    </row>
    <row r="16639" spans="104:111">
      <c r="CZ16639" s="256"/>
      <c r="DG16639" s="256"/>
    </row>
    <row r="16640" spans="104:111">
      <c r="CZ16640" s="256"/>
      <c r="DG16640" s="256"/>
    </row>
    <row r="16641" spans="104:111">
      <c r="CZ16641" s="256"/>
      <c r="DG16641" s="256"/>
    </row>
    <row r="16642" spans="104:111">
      <c r="CZ16642" s="256"/>
      <c r="DG16642" s="256"/>
    </row>
    <row r="16643" spans="104:111">
      <c r="CZ16643" s="256"/>
      <c r="DG16643" s="256"/>
    </row>
    <row r="16644" spans="104:111">
      <c r="CZ16644" s="256"/>
      <c r="DG16644" s="256"/>
    </row>
    <row r="16645" spans="104:111">
      <c r="CZ16645" s="256"/>
      <c r="DG16645" s="256"/>
    </row>
    <row r="16646" spans="104:111">
      <c r="CZ16646" s="256"/>
      <c r="DG16646" s="256"/>
    </row>
    <row r="16647" spans="104:111">
      <c r="CZ16647" s="256"/>
      <c r="DG16647" s="256"/>
    </row>
    <row r="16648" spans="104:111">
      <c r="CZ16648" s="256"/>
      <c r="DG16648" s="256"/>
    </row>
    <row r="16649" spans="104:111">
      <c r="CZ16649" s="256"/>
      <c r="DG16649" s="256"/>
    </row>
    <row r="16650" spans="104:111">
      <c r="CZ16650" s="256"/>
      <c r="DG16650" s="256"/>
    </row>
    <row r="16651" spans="104:111">
      <c r="CZ16651" s="256"/>
      <c r="DG16651" s="256"/>
    </row>
    <row r="16652" spans="104:111">
      <c r="CZ16652" s="256"/>
      <c r="DG16652" s="256"/>
    </row>
    <row r="16653" spans="104:111">
      <c r="CZ16653" s="256"/>
      <c r="DG16653" s="256"/>
    </row>
    <row r="16654" spans="104:111">
      <c r="CZ16654" s="256"/>
      <c r="DG16654" s="256"/>
    </row>
    <row r="16655" spans="104:111">
      <c r="CZ16655" s="256"/>
      <c r="DG16655" s="256"/>
    </row>
    <row r="16656" spans="104:111">
      <c r="CZ16656" s="256"/>
      <c r="DG16656" s="256"/>
    </row>
    <row r="16657" spans="104:111">
      <c r="CZ16657" s="256"/>
      <c r="DG16657" s="256"/>
    </row>
    <row r="16658" spans="104:111">
      <c r="CZ16658" s="256"/>
      <c r="DG16658" s="256"/>
    </row>
    <row r="16659" spans="104:111">
      <c r="CZ16659" s="256"/>
      <c r="DG16659" s="256"/>
    </row>
    <row r="16660" spans="104:111">
      <c r="CZ16660" s="256"/>
      <c r="DG16660" s="256"/>
    </row>
    <row r="16661" spans="104:111">
      <c r="CZ16661" s="256"/>
      <c r="DG16661" s="256"/>
    </row>
    <row r="16662" spans="104:111">
      <c r="CZ16662" s="256"/>
      <c r="DG16662" s="256"/>
    </row>
    <row r="16663" spans="104:111">
      <c r="CZ16663" s="256"/>
      <c r="DG16663" s="256"/>
    </row>
    <row r="16664" spans="104:111">
      <c r="CZ16664" s="256"/>
      <c r="DG16664" s="256"/>
    </row>
    <row r="16665" spans="104:111">
      <c r="CZ16665" s="256"/>
      <c r="DG16665" s="256"/>
    </row>
    <row r="16666" spans="104:111">
      <c r="CZ16666" s="256"/>
      <c r="DG16666" s="256"/>
    </row>
    <row r="16667" spans="104:111">
      <c r="CZ16667" s="256"/>
      <c r="DG16667" s="256"/>
    </row>
    <row r="16668" spans="104:111">
      <c r="CZ16668" s="256"/>
      <c r="DG16668" s="256"/>
    </row>
    <row r="16669" spans="104:111">
      <c r="CZ16669" s="256"/>
      <c r="DG16669" s="256"/>
    </row>
    <row r="16670" spans="104:111">
      <c r="CZ16670" s="256"/>
      <c r="DG16670" s="256"/>
    </row>
    <row r="16671" spans="104:111">
      <c r="CZ16671" s="256"/>
      <c r="DG16671" s="256"/>
    </row>
    <row r="16672" spans="104:111">
      <c r="CZ16672" s="256"/>
      <c r="DG16672" s="256"/>
    </row>
    <row r="16673" spans="104:111">
      <c r="CZ16673" s="256"/>
      <c r="DG16673" s="256"/>
    </row>
    <row r="16674" spans="104:111">
      <c r="CZ16674" s="256"/>
      <c r="DG16674" s="256"/>
    </row>
    <row r="16675" spans="104:111">
      <c r="CZ16675" s="256"/>
      <c r="DG16675" s="256"/>
    </row>
    <row r="16676" spans="104:111">
      <c r="CZ16676" s="256"/>
      <c r="DG16676" s="256"/>
    </row>
    <row r="16677" spans="104:111">
      <c r="CZ16677" s="256"/>
      <c r="DG16677" s="256"/>
    </row>
    <row r="16678" spans="104:111">
      <c r="CZ16678" s="256"/>
      <c r="DG16678" s="256"/>
    </row>
    <row r="16679" spans="104:111">
      <c r="CZ16679" s="256"/>
      <c r="DG16679" s="256"/>
    </row>
    <row r="16680" spans="104:111">
      <c r="CZ16680" s="256"/>
      <c r="DG16680" s="256"/>
    </row>
    <row r="16681" spans="104:111">
      <c r="CZ16681" s="256"/>
      <c r="DG16681" s="256"/>
    </row>
    <row r="16682" spans="104:111">
      <c r="CZ16682" s="256"/>
      <c r="DG16682" s="256"/>
    </row>
    <row r="16683" spans="104:111">
      <c r="CZ16683" s="256"/>
      <c r="DG16683" s="256"/>
    </row>
    <row r="16684" spans="104:111">
      <c r="CZ16684" s="256"/>
      <c r="DG16684" s="256"/>
    </row>
    <row r="16685" spans="104:111">
      <c r="CZ16685" s="256"/>
      <c r="DG16685" s="256"/>
    </row>
    <row r="16686" spans="104:111">
      <c r="CZ16686" s="256"/>
      <c r="DG16686" s="256"/>
    </row>
    <row r="16687" spans="104:111">
      <c r="CZ16687" s="256"/>
      <c r="DG16687" s="256"/>
    </row>
    <row r="16688" spans="104:111">
      <c r="CZ16688" s="256"/>
      <c r="DG16688" s="256"/>
    </row>
    <row r="16689" spans="104:111">
      <c r="CZ16689" s="256"/>
      <c r="DG16689" s="256"/>
    </row>
    <row r="16690" spans="104:111">
      <c r="CZ16690" s="256"/>
      <c r="DG16690" s="256"/>
    </row>
    <row r="16691" spans="104:111">
      <c r="CZ16691" s="256"/>
      <c r="DG16691" s="256"/>
    </row>
    <row r="16692" spans="104:111">
      <c r="CZ16692" s="256"/>
      <c r="DG16692" s="256"/>
    </row>
    <row r="16693" spans="104:111">
      <c r="CZ16693" s="256"/>
      <c r="DG16693" s="256"/>
    </row>
    <row r="16694" spans="104:111">
      <c r="CZ16694" s="256"/>
      <c r="DG16694" s="256"/>
    </row>
    <row r="16695" spans="104:111">
      <c r="CZ16695" s="256"/>
      <c r="DG16695" s="256"/>
    </row>
    <row r="16696" spans="104:111">
      <c r="CZ16696" s="256"/>
      <c r="DG16696" s="256"/>
    </row>
    <row r="16697" spans="104:111">
      <c r="CZ16697" s="256"/>
      <c r="DG16697" s="256"/>
    </row>
    <row r="16698" spans="104:111">
      <c r="CZ16698" s="256"/>
      <c r="DG16698" s="256"/>
    </row>
    <row r="16699" spans="104:111">
      <c r="CZ16699" s="256"/>
      <c r="DG16699" s="256"/>
    </row>
    <row r="16700" spans="104:111">
      <c r="CZ16700" s="256"/>
      <c r="DG16700" s="256"/>
    </row>
    <row r="16701" spans="104:111">
      <c r="CZ16701" s="256"/>
      <c r="DG16701" s="256"/>
    </row>
    <row r="16702" spans="104:111">
      <c r="CZ16702" s="256"/>
      <c r="DG16702" s="256"/>
    </row>
    <row r="16703" spans="104:111">
      <c r="CZ16703" s="256"/>
      <c r="DG16703" s="256"/>
    </row>
    <row r="16704" spans="104:111">
      <c r="CZ16704" s="256"/>
      <c r="DG16704" s="256"/>
    </row>
    <row r="16705" spans="104:111">
      <c r="CZ16705" s="256"/>
      <c r="DG16705" s="256"/>
    </row>
    <row r="16706" spans="104:111">
      <c r="CZ16706" s="256"/>
      <c r="DG16706" s="256"/>
    </row>
    <row r="16707" spans="104:111">
      <c r="CZ16707" s="256"/>
      <c r="DG16707" s="256"/>
    </row>
    <row r="16708" spans="104:111">
      <c r="CZ16708" s="256"/>
      <c r="DG16708" s="256"/>
    </row>
    <row r="16709" spans="104:111">
      <c r="CZ16709" s="256"/>
      <c r="DG16709" s="256"/>
    </row>
    <row r="16710" spans="104:111">
      <c r="CZ16710" s="256"/>
      <c r="DG16710" s="256"/>
    </row>
    <row r="16711" spans="104:111">
      <c r="CZ16711" s="256"/>
      <c r="DG16711" s="256"/>
    </row>
    <row r="16712" spans="104:111">
      <c r="CZ16712" s="256"/>
      <c r="DG16712" s="256"/>
    </row>
    <row r="16713" spans="104:111">
      <c r="CZ16713" s="256"/>
      <c r="DG16713" s="256"/>
    </row>
    <row r="16714" spans="104:111">
      <c r="CZ16714" s="256"/>
      <c r="DG16714" s="256"/>
    </row>
    <row r="16715" spans="104:111">
      <c r="CZ16715" s="256"/>
      <c r="DG16715" s="256"/>
    </row>
    <row r="16716" spans="104:111">
      <c r="CZ16716" s="256"/>
      <c r="DG16716" s="256"/>
    </row>
    <row r="16717" spans="104:111">
      <c r="CZ16717" s="256"/>
      <c r="DG16717" s="256"/>
    </row>
    <row r="16718" spans="104:111">
      <c r="CZ16718" s="256"/>
      <c r="DG16718" s="256"/>
    </row>
    <row r="16719" spans="104:111">
      <c r="CZ16719" s="256"/>
      <c r="DG16719" s="256"/>
    </row>
    <row r="16720" spans="104:111">
      <c r="CZ16720" s="256"/>
      <c r="DG16720" s="256"/>
    </row>
    <row r="16721" spans="104:111">
      <c r="CZ16721" s="256"/>
      <c r="DG16721" s="256"/>
    </row>
    <row r="16722" spans="104:111">
      <c r="CZ16722" s="256"/>
      <c r="DG16722" s="256"/>
    </row>
    <row r="16723" spans="104:111">
      <c r="CZ16723" s="256"/>
      <c r="DG16723" s="256"/>
    </row>
    <row r="16724" spans="104:111">
      <c r="CZ16724" s="256"/>
      <c r="DG16724" s="256"/>
    </row>
    <row r="16725" spans="104:111">
      <c r="CZ16725" s="256"/>
      <c r="DG16725" s="256"/>
    </row>
    <row r="16726" spans="104:111">
      <c r="CZ16726" s="256"/>
      <c r="DG16726" s="256"/>
    </row>
    <row r="16727" spans="104:111">
      <c r="CZ16727" s="256"/>
      <c r="DG16727" s="256"/>
    </row>
    <row r="16728" spans="104:111">
      <c r="CZ16728" s="256"/>
      <c r="DG16728" s="256"/>
    </row>
    <row r="16729" spans="104:111">
      <c r="CZ16729" s="256"/>
      <c r="DG16729" s="256"/>
    </row>
    <row r="16730" spans="104:111">
      <c r="CZ16730" s="256"/>
      <c r="DG16730" s="256"/>
    </row>
    <row r="16731" spans="104:111">
      <c r="CZ16731" s="256"/>
      <c r="DG16731" s="256"/>
    </row>
    <row r="16732" spans="104:111">
      <c r="CZ16732" s="256"/>
      <c r="DG16732" s="256"/>
    </row>
    <row r="16733" spans="104:111">
      <c r="CZ16733" s="256"/>
      <c r="DG16733" s="256"/>
    </row>
    <row r="16734" spans="104:111">
      <c r="CZ16734" s="256"/>
      <c r="DG16734" s="256"/>
    </row>
    <row r="16735" spans="104:111">
      <c r="CZ16735" s="256"/>
      <c r="DG16735" s="256"/>
    </row>
    <row r="16736" spans="104:111">
      <c r="CZ16736" s="256"/>
      <c r="DG16736" s="256"/>
    </row>
    <row r="16737" spans="104:111">
      <c r="CZ16737" s="256"/>
      <c r="DG16737" s="256"/>
    </row>
    <row r="16738" spans="104:111">
      <c r="CZ16738" s="256"/>
      <c r="DG16738" s="256"/>
    </row>
    <row r="16739" spans="104:111">
      <c r="CZ16739" s="256"/>
      <c r="DG16739" s="256"/>
    </row>
    <row r="16740" spans="104:111">
      <c r="CZ16740" s="256"/>
      <c r="DG16740" s="256"/>
    </row>
    <row r="16741" spans="104:111">
      <c r="CZ16741" s="256"/>
      <c r="DG16741" s="256"/>
    </row>
    <row r="16742" spans="104:111">
      <c r="CZ16742" s="256"/>
      <c r="DG16742" s="256"/>
    </row>
    <row r="16743" spans="104:111">
      <c r="CZ16743" s="256"/>
      <c r="DG16743" s="256"/>
    </row>
    <row r="16744" spans="104:111">
      <c r="CZ16744" s="256"/>
      <c r="DG16744" s="256"/>
    </row>
    <row r="16745" spans="104:111">
      <c r="CZ16745" s="256"/>
      <c r="DG16745" s="256"/>
    </row>
    <row r="16746" spans="104:111">
      <c r="CZ16746" s="256"/>
      <c r="DG16746" s="256"/>
    </row>
    <row r="16747" spans="104:111">
      <c r="CZ16747" s="256"/>
      <c r="DG16747" s="256"/>
    </row>
    <row r="16748" spans="104:111">
      <c r="CZ16748" s="256"/>
      <c r="DG16748" s="256"/>
    </row>
    <row r="16749" spans="104:111">
      <c r="CZ16749" s="256"/>
      <c r="DG16749" s="256"/>
    </row>
    <row r="16750" spans="104:111">
      <c r="CZ16750" s="256"/>
      <c r="DG16750" s="256"/>
    </row>
    <row r="16751" spans="104:111">
      <c r="CZ16751" s="256"/>
      <c r="DG16751" s="256"/>
    </row>
    <row r="16752" spans="104:111">
      <c r="CZ16752" s="256"/>
      <c r="DG16752" s="256"/>
    </row>
    <row r="16753" spans="104:111">
      <c r="CZ16753" s="256"/>
      <c r="DG16753" s="256"/>
    </row>
    <row r="16754" spans="104:111">
      <c r="CZ16754" s="256"/>
      <c r="DG16754" s="256"/>
    </row>
    <row r="16755" spans="104:111">
      <c r="CZ16755" s="256"/>
      <c r="DG16755" s="256"/>
    </row>
    <row r="16756" spans="104:111">
      <c r="CZ16756" s="256"/>
      <c r="DG16756" s="256"/>
    </row>
    <row r="16757" spans="104:111">
      <c r="CZ16757" s="256"/>
      <c r="DG16757" s="256"/>
    </row>
    <row r="16758" spans="104:111">
      <c r="CZ16758" s="256"/>
      <c r="DG16758" s="256"/>
    </row>
    <row r="16759" spans="104:111">
      <c r="CZ16759" s="256"/>
      <c r="DG16759" s="256"/>
    </row>
    <row r="16760" spans="104:111">
      <c r="CZ16760" s="256"/>
      <c r="DG16760" s="256"/>
    </row>
    <row r="16761" spans="104:111">
      <c r="CZ16761" s="256"/>
      <c r="DG16761" s="256"/>
    </row>
    <row r="16762" spans="104:111">
      <c r="CZ16762" s="256"/>
      <c r="DG16762" s="256"/>
    </row>
    <row r="16763" spans="104:111">
      <c r="CZ16763" s="256"/>
      <c r="DG16763" s="256"/>
    </row>
    <row r="16764" spans="104:111">
      <c r="CZ16764" s="256"/>
      <c r="DG16764" s="256"/>
    </row>
    <row r="16765" spans="104:111">
      <c r="CZ16765" s="256"/>
      <c r="DG16765" s="256"/>
    </row>
    <row r="16766" spans="104:111">
      <c r="CZ16766" s="256"/>
      <c r="DG16766" s="256"/>
    </row>
    <row r="16767" spans="104:111">
      <c r="CZ16767" s="256"/>
      <c r="DG16767" s="256"/>
    </row>
    <row r="16768" spans="104:111">
      <c r="CZ16768" s="256"/>
      <c r="DG16768" s="256"/>
    </row>
    <row r="16769" spans="104:111">
      <c r="CZ16769" s="256"/>
      <c r="DG16769" s="256"/>
    </row>
    <row r="16770" spans="104:111">
      <c r="CZ16770" s="256"/>
      <c r="DG16770" s="256"/>
    </row>
    <row r="16771" spans="104:111">
      <c r="CZ16771" s="256"/>
      <c r="DG16771" s="256"/>
    </row>
    <row r="16772" spans="104:111">
      <c r="CZ16772" s="256"/>
      <c r="DG16772" s="256"/>
    </row>
    <row r="16773" spans="104:111">
      <c r="CZ16773" s="256"/>
      <c r="DG16773" s="256"/>
    </row>
    <row r="16774" spans="104:111">
      <c r="CZ16774" s="256"/>
      <c r="DG16774" s="256"/>
    </row>
    <row r="16775" spans="104:111">
      <c r="CZ16775" s="256"/>
      <c r="DG16775" s="256"/>
    </row>
    <row r="16776" spans="104:111">
      <c r="CZ16776" s="256"/>
      <c r="DG16776" s="256"/>
    </row>
    <row r="16777" spans="104:111">
      <c r="CZ16777" s="256"/>
      <c r="DG16777" s="256"/>
    </row>
    <row r="16778" spans="104:111">
      <c r="CZ16778" s="256"/>
      <c r="DG16778" s="256"/>
    </row>
    <row r="16779" spans="104:111">
      <c r="CZ16779" s="256"/>
      <c r="DG16779" s="256"/>
    </row>
    <row r="16780" spans="104:111">
      <c r="CZ16780" s="256"/>
      <c r="DG16780" s="256"/>
    </row>
    <row r="16781" spans="104:111">
      <c r="CZ16781" s="256"/>
      <c r="DG16781" s="256"/>
    </row>
    <row r="16782" spans="104:111">
      <c r="CZ16782" s="256"/>
      <c r="DG16782" s="256"/>
    </row>
    <row r="16783" spans="104:111">
      <c r="CZ16783" s="256"/>
      <c r="DG16783" s="256"/>
    </row>
    <row r="16784" spans="104:111">
      <c r="CZ16784" s="256"/>
      <c r="DG16784" s="256"/>
    </row>
    <row r="16785" spans="104:111">
      <c r="CZ16785" s="256"/>
      <c r="DG16785" s="256"/>
    </row>
    <row r="16786" spans="104:111">
      <c r="CZ16786" s="256"/>
      <c r="DG16786" s="256"/>
    </row>
    <row r="16787" spans="104:111">
      <c r="CZ16787" s="256"/>
      <c r="DG16787" s="256"/>
    </row>
    <row r="16788" spans="104:111">
      <c r="CZ16788" s="256"/>
      <c r="DG16788" s="256"/>
    </row>
    <row r="16789" spans="104:111">
      <c r="CZ16789" s="256"/>
      <c r="DG16789" s="256"/>
    </row>
    <row r="16790" spans="104:111">
      <c r="CZ16790" s="256"/>
      <c r="DG16790" s="256"/>
    </row>
    <row r="16791" spans="104:111">
      <c r="CZ16791" s="256"/>
      <c r="DG16791" s="256"/>
    </row>
    <row r="16792" spans="104:111">
      <c r="CZ16792" s="256"/>
      <c r="DG16792" s="256"/>
    </row>
    <row r="16793" spans="104:111">
      <c r="CZ16793" s="256"/>
      <c r="DG16793" s="256"/>
    </row>
    <row r="16794" spans="104:111">
      <c r="CZ16794" s="256"/>
      <c r="DG16794" s="256"/>
    </row>
    <row r="16795" spans="104:111">
      <c r="CZ16795" s="256"/>
      <c r="DG16795" s="256"/>
    </row>
    <row r="16796" spans="104:111">
      <c r="CZ16796" s="256"/>
      <c r="DG16796" s="256"/>
    </row>
    <row r="16797" spans="104:111">
      <c r="CZ16797" s="256"/>
      <c r="DG16797" s="256"/>
    </row>
    <row r="16798" spans="104:111">
      <c r="CZ16798" s="256"/>
      <c r="DG16798" s="256"/>
    </row>
    <row r="16799" spans="104:111">
      <c r="CZ16799" s="256"/>
      <c r="DG16799" s="256"/>
    </row>
    <row r="16800" spans="104:111">
      <c r="CZ16800" s="256"/>
      <c r="DG16800" s="256"/>
    </row>
    <row r="16801" spans="104:111">
      <c r="CZ16801" s="256"/>
      <c r="DG16801" s="256"/>
    </row>
    <row r="16802" spans="104:111">
      <c r="CZ16802" s="256"/>
      <c r="DG16802" s="256"/>
    </row>
    <row r="16803" spans="104:111">
      <c r="CZ16803" s="256"/>
      <c r="DG16803" s="256"/>
    </row>
    <row r="16804" spans="104:111">
      <c r="CZ16804" s="256"/>
      <c r="DG16804" s="256"/>
    </row>
    <row r="16805" spans="104:111">
      <c r="CZ16805" s="256"/>
      <c r="DG16805" s="256"/>
    </row>
    <row r="16806" spans="104:111">
      <c r="CZ16806" s="256"/>
      <c r="DG16806" s="256"/>
    </row>
    <row r="16807" spans="104:111">
      <c r="CZ16807" s="256"/>
      <c r="DG16807" s="256"/>
    </row>
    <row r="16808" spans="104:111">
      <c r="CZ16808" s="256"/>
      <c r="DG16808" s="256"/>
    </row>
    <row r="16809" spans="104:111">
      <c r="CZ16809" s="256"/>
      <c r="DG16809" s="256"/>
    </row>
    <row r="16810" spans="104:111">
      <c r="CZ16810" s="256"/>
      <c r="DG16810" s="256"/>
    </row>
    <row r="16811" spans="104:111">
      <c r="CZ16811" s="256"/>
      <c r="DG16811" s="256"/>
    </row>
    <row r="16812" spans="104:111">
      <c r="CZ16812" s="256"/>
      <c r="DG16812" s="256"/>
    </row>
    <row r="16813" spans="104:111">
      <c r="CZ16813" s="256"/>
      <c r="DG16813" s="256"/>
    </row>
    <row r="16814" spans="104:111">
      <c r="CZ16814" s="256"/>
      <c r="DG16814" s="256"/>
    </row>
    <row r="16815" spans="104:111">
      <c r="CZ16815" s="256"/>
      <c r="DG16815" s="256"/>
    </row>
    <row r="16816" spans="104:111">
      <c r="CZ16816" s="256"/>
      <c r="DG16816" s="256"/>
    </row>
    <row r="16817" spans="104:111">
      <c r="CZ16817" s="256"/>
      <c r="DG16817" s="256"/>
    </row>
    <row r="16818" spans="104:111">
      <c r="CZ16818" s="256"/>
      <c r="DG16818" s="256"/>
    </row>
    <row r="16819" spans="104:111">
      <c r="CZ16819" s="256"/>
      <c r="DG16819" s="256"/>
    </row>
    <row r="16820" spans="104:111">
      <c r="CZ16820" s="256"/>
      <c r="DG16820" s="256"/>
    </row>
    <row r="16821" spans="104:111">
      <c r="CZ16821" s="256"/>
      <c r="DG16821" s="256"/>
    </row>
    <row r="16822" spans="104:111">
      <c r="CZ16822" s="256"/>
      <c r="DG16822" s="256"/>
    </row>
    <row r="16823" spans="104:111">
      <c r="CZ16823" s="256"/>
      <c r="DG16823" s="256"/>
    </row>
    <row r="16824" spans="104:111">
      <c r="CZ16824" s="256"/>
      <c r="DG16824" s="256"/>
    </row>
    <row r="16825" spans="104:111">
      <c r="CZ16825" s="256"/>
      <c r="DG16825" s="256"/>
    </row>
    <row r="16826" spans="104:111">
      <c r="CZ16826" s="256"/>
      <c r="DG16826" s="256"/>
    </row>
    <row r="16827" spans="104:111">
      <c r="CZ16827" s="256"/>
      <c r="DG16827" s="256"/>
    </row>
    <row r="16828" spans="104:111">
      <c r="CZ16828" s="256"/>
      <c r="DG16828" s="256"/>
    </row>
    <row r="16829" spans="104:111">
      <c r="CZ16829" s="256"/>
      <c r="DG16829" s="256"/>
    </row>
    <row r="16830" spans="104:111">
      <c r="CZ16830" s="256"/>
      <c r="DG16830" s="256"/>
    </row>
    <row r="16831" spans="104:111">
      <c r="CZ16831" s="256"/>
      <c r="DG16831" s="256"/>
    </row>
    <row r="16832" spans="104:111">
      <c r="CZ16832" s="256"/>
      <c r="DG16832" s="256"/>
    </row>
    <row r="16833" spans="104:111">
      <c r="CZ16833" s="256"/>
      <c r="DG16833" s="256"/>
    </row>
    <row r="16834" spans="104:111">
      <c r="CZ16834" s="256"/>
      <c r="DG16834" s="256"/>
    </row>
    <row r="16835" spans="104:111">
      <c r="CZ16835" s="256"/>
      <c r="DG16835" s="256"/>
    </row>
    <row r="16836" spans="104:111">
      <c r="CZ16836" s="256"/>
      <c r="DG16836" s="256"/>
    </row>
    <row r="16837" spans="104:111">
      <c r="CZ16837" s="256"/>
      <c r="DG16837" s="256"/>
    </row>
    <row r="16838" spans="104:111">
      <c r="CZ16838" s="256"/>
      <c r="DG16838" s="256"/>
    </row>
    <row r="16839" spans="104:111">
      <c r="CZ16839" s="256"/>
      <c r="DG16839" s="256"/>
    </row>
    <row r="16840" spans="104:111">
      <c r="CZ16840" s="256"/>
      <c r="DG16840" s="256"/>
    </row>
    <row r="16841" spans="104:111">
      <c r="CZ16841" s="256"/>
      <c r="DG16841" s="256"/>
    </row>
    <row r="16842" spans="104:111">
      <c r="CZ16842" s="256"/>
      <c r="DG16842" s="256"/>
    </row>
    <row r="16843" spans="104:111">
      <c r="CZ16843" s="256"/>
      <c r="DG16843" s="256"/>
    </row>
    <row r="16844" spans="104:111">
      <c r="CZ16844" s="256"/>
      <c r="DG16844" s="256"/>
    </row>
    <row r="16845" spans="104:111">
      <c r="CZ16845" s="256"/>
      <c r="DG16845" s="256"/>
    </row>
    <row r="16846" spans="104:111">
      <c r="CZ16846" s="256"/>
      <c r="DG16846" s="256"/>
    </row>
    <row r="16847" spans="104:111">
      <c r="CZ16847" s="256"/>
      <c r="DG16847" s="256"/>
    </row>
    <row r="16848" spans="104:111">
      <c r="CZ16848" s="256"/>
      <c r="DG16848" s="256"/>
    </row>
    <row r="16849" spans="104:111">
      <c r="CZ16849" s="256"/>
      <c r="DG16849" s="256"/>
    </row>
    <row r="16850" spans="104:111">
      <c r="CZ16850" s="256"/>
      <c r="DG16850" s="256"/>
    </row>
    <row r="16851" spans="104:111">
      <c r="CZ16851" s="256"/>
      <c r="DG16851" s="256"/>
    </row>
    <row r="16852" spans="104:111">
      <c r="CZ16852" s="256"/>
      <c r="DG16852" s="256"/>
    </row>
    <row r="16853" spans="104:111">
      <c r="CZ16853" s="256"/>
      <c r="DG16853" s="256"/>
    </row>
    <row r="16854" spans="104:111">
      <c r="CZ16854" s="256"/>
      <c r="DG16854" s="256"/>
    </row>
    <row r="16855" spans="104:111">
      <c r="CZ16855" s="256"/>
      <c r="DG16855" s="256"/>
    </row>
    <row r="16856" spans="104:111">
      <c r="CZ16856" s="256"/>
      <c r="DG16856" s="256"/>
    </row>
    <row r="16857" spans="104:111">
      <c r="CZ16857" s="256"/>
      <c r="DG16857" s="256"/>
    </row>
    <row r="16858" spans="104:111">
      <c r="CZ16858" s="256"/>
      <c r="DG16858" s="256"/>
    </row>
    <row r="16859" spans="104:111">
      <c r="CZ16859" s="256"/>
      <c r="DG16859" s="256"/>
    </row>
    <row r="16860" spans="104:111">
      <c r="CZ16860" s="256"/>
      <c r="DG16860" s="256"/>
    </row>
    <row r="16861" spans="104:111">
      <c r="CZ16861" s="256"/>
      <c r="DG16861" s="256"/>
    </row>
    <row r="16862" spans="104:111">
      <c r="CZ16862" s="256"/>
      <c r="DG16862" s="256"/>
    </row>
    <row r="16863" spans="104:111">
      <c r="CZ16863" s="256"/>
      <c r="DG16863" s="256"/>
    </row>
    <row r="16864" spans="104:111">
      <c r="CZ16864" s="256"/>
      <c r="DG16864" s="256"/>
    </row>
    <row r="16865" spans="104:111">
      <c r="CZ16865" s="256"/>
      <c r="DG16865" s="256"/>
    </row>
    <row r="16866" spans="104:111">
      <c r="CZ16866" s="256"/>
      <c r="DG16866" s="256"/>
    </row>
    <row r="16867" spans="104:111">
      <c r="CZ16867" s="256"/>
      <c r="DG16867" s="256"/>
    </row>
    <row r="16868" spans="104:111">
      <c r="CZ16868" s="256"/>
      <c r="DG16868" s="256"/>
    </row>
    <row r="16869" spans="104:111">
      <c r="CZ16869" s="256"/>
      <c r="DG16869" s="256"/>
    </row>
    <row r="16870" spans="104:111">
      <c r="CZ16870" s="256"/>
      <c r="DG16870" s="256"/>
    </row>
    <row r="16871" spans="104:111">
      <c r="CZ16871" s="256"/>
      <c r="DG16871" s="256"/>
    </row>
    <row r="16872" spans="104:111">
      <c r="CZ16872" s="256"/>
      <c r="DG16872" s="256"/>
    </row>
    <row r="16873" spans="104:111">
      <c r="CZ16873" s="256"/>
      <c r="DG16873" s="256"/>
    </row>
    <row r="16874" spans="104:111">
      <c r="CZ16874" s="256"/>
      <c r="DG16874" s="256"/>
    </row>
    <row r="16875" spans="104:111">
      <c r="CZ16875" s="256"/>
      <c r="DG16875" s="256"/>
    </row>
    <row r="16876" spans="104:111">
      <c r="CZ16876" s="256"/>
      <c r="DG16876" s="256"/>
    </row>
    <row r="16877" spans="104:111">
      <c r="CZ16877" s="256"/>
      <c r="DG16877" s="256"/>
    </row>
    <row r="16878" spans="104:111">
      <c r="CZ16878" s="256"/>
      <c r="DG16878" s="256"/>
    </row>
    <row r="16879" spans="104:111">
      <c r="CZ16879" s="256"/>
      <c r="DG16879" s="256"/>
    </row>
    <row r="16880" spans="104:111">
      <c r="CZ16880" s="256"/>
      <c r="DG16880" s="256"/>
    </row>
    <row r="16881" spans="104:111">
      <c r="CZ16881" s="256"/>
      <c r="DG16881" s="256"/>
    </row>
    <row r="16882" spans="104:111">
      <c r="CZ16882" s="256"/>
      <c r="DG16882" s="256"/>
    </row>
    <row r="16883" spans="104:111">
      <c r="CZ16883" s="256"/>
      <c r="DG16883" s="256"/>
    </row>
    <row r="16884" spans="104:111">
      <c r="CZ16884" s="256"/>
      <c r="DG16884" s="256"/>
    </row>
    <row r="16885" spans="104:111">
      <c r="CZ16885" s="256"/>
      <c r="DG16885" s="256"/>
    </row>
    <row r="16886" spans="104:111">
      <c r="CZ16886" s="256"/>
      <c r="DG16886" s="256"/>
    </row>
    <row r="16887" spans="104:111">
      <c r="CZ16887" s="256"/>
      <c r="DG16887" s="256"/>
    </row>
    <row r="16888" spans="104:111">
      <c r="CZ16888" s="256"/>
      <c r="DG16888" s="256"/>
    </row>
    <row r="16889" spans="104:111">
      <c r="CZ16889" s="256"/>
      <c r="DG16889" s="256"/>
    </row>
    <row r="16890" spans="104:111">
      <c r="CZ16890" s="256"/>
      <c r="DG16890" s="256"/>
    </row>
    <row r="16891" spans="104:111">
      <c r="CZ16891" s="256"/>
      <c r="DG16891" s="256"/>
    </row>
    <row r="16892" spans="104:111">
      <c r="CZ16892" s="256"/>
      <c r="DG16892" s="256"/>
    </row>
    <row r="16893" spans="104:111">
      <c r="CZ16893" s="256"/>
      <c r="DG16893" s="256"/>
    </row>
    <row r="16894" spans="104:111">
      <c r="CZ16894" s="256"/>
      <c r="DG16894" s="256"/>
    </row>
    <row r="16895" spans="104:111">
      <c r="CZ16895" s="256"/>
      <c r="DG16895" s="256"/>
    </row>
    <row r="16896" spans="104:111">
      <c r="CZ16896" s="256"/>
      <c r="DG16896" s="256"/>
    </row>
    <row r="16897" spans="104:111">
      <c r="CZ16897" s="256"/>
      <c r="DG16897" s="256"/>
    </row>
    <row r="16898" spans="104:111">
      <c r="CZ16898" s="256"/>
      <c r="DG16898" s="256"/>
    </row>
    <row r="16899" spans="104:111">
      <c r="CZ16899" s="256"/>
      <c r="DG16899" s="256"/>
    </row>
    <row r="16900" spans="104:111">
      <c r="CZ16900" s="256"/>
      <c r="DG16900" s="256"/>
    </row>
    <row r="16901" spans="104:111">
      <c r="CZ16901" s="256"/>
      <c r="DG16901" s="256"/>
    </row>
    <row r="16902" spans="104:111">
      <c r="CZ16902" s="256"/>
      <c r="DG16902" s="256"/>
    </row>
    <row r="16903" spans="104:111">
      <c r="CZ16903" s="256"/>
      <c r="DG16903" s="256"/>
    </row>
    <row r="16904" spans="104:111">
      <c r="CZ16904" s="256"/>
      <c r="DG16904" s="256"/>
    </row>
    <row r="16905" spans="104:111">
      <c r="CZ16905" s="256"/>
      <c r="DG16905" s="256"/>
    </row>
    <row r="16906" spans="104:111">
      <c r="CZ16906" s="256"/>
      <c r="DG16906" s="256"/>
    </row>
    <row r="16907" spans="104:111">
      <c r="CZ16907" s="256"/>
      <c r="DG16907" s="256"/>
    </row>
    <row r="16908" spans="104:111">
      <c r="CZ16908" s="256"/>
      <c r="DG16908" s="256"/>
    </row>
    <row r="16909" spans="104:111">
      <c r="CZ16909" s="256"/>
      <c r="DG16909" s="256"/>
    </row>
    <row r="16910" spans="104:111">
      <c r="CZ16910" s="256"/>
      <c r="DG16910" s="256"/>
    </row>
    <row r="16911" spans="104:111">
      <c r="CZ16911" s="256"/>
      <c r="DG16911" s="256"/>
    </row>
    <row r="16912" spans="104:111">
      <c r="CZ16912" s="256"/>
      <c r="DG16912" s="256"/>
    </row>
    <row r="16913" spans="104:111">
      <c r="CZ16913" s="256"/>
      <c r="DG16913" s="256"/>
    </row>
    <row r="16914" spans="104:111">
      <c r="CZ16914" s="256"/>
      <c r="DG16914" s="256"/>
    </row>
    <row r="16915" spans="104:111">
      <c r="CZ16915" s="256"/>
      <c r="DG16915" s="256"/>
    </row>
    <row r="16916" spans="104:111">
      <c r="CZ16916" s="256"/>
      <c r="DG16916" s="256"/>
    </row>
    <row r="16917" spans="104:111">
      <c r="CZ16917" s="256"/>
      <c r="DG16917" s="256"/>
    </row>
    <row r="16918" spans="104:111">
      <c r="CZ16918" s="256"/>
      <c r="DG16918" s="256"/>
    </row>
    <row r="16919" spans="104:111">
      <c r="CZ16919" s="256"/>
      <c r="DG16919" s="256"/>
    </row>
    <row r="16920" spans="104:111">
      <c r="CZ16920" s="256"/>
      <c r="DG16920" s="256"/>
    </row>
    <row r="16921" spans="104:111">
      <c r="CZ16921" s="256"/>
      <c r="DG16921" s="256"/>
    </row>
    <row r="16922" spans="104:111">
      <c r="CZ16922" s="256"/>
      <c r="DG16922" s="256"/>
    </row>
    <row r="16923" spans="104:111">
      <c r="CZ16923" s="256"/>
      <c r="DG16923" s="256"/>
    </row>
    <row r="16924" spans="104:111">
      <c r="CZ16924" s="256"/>
      <c r="DG16924" s="256"/>
    </row>
    <row r="16925" spans="104:111">
      <c r="CZ16925" s="256"/>
      <c r="DG16925" s="256"/>
    </row>
    <row r="16926" spans="104:111">
      <c r="CZ16926" s="256"/>
      <c r="DG16926" s="256"/>
    </row>
    <row r="16927" spans="104:111">
      <c r="CZ16927" s="256"/>
      <c r="DG16927" s="256"/>
    </row>
    <row r="16928" spans="104:111">
      <c r="CZ16928" s="256"/>
      <c r="DG16928" s="256"/>
    </row>
    <row r="16929" spans="104:111">
      <c r="CZ16929" s="256"/>
      <c r="DG16929" s="256"/>
    </row>
    <row r="16930" spans="104:111">
      <c r="CZ16930" s="256"/>
      <c r="DG16930" s="256"/>
    </row>
    <row r="16931" spans="104:111">
      <c r="CZ16931" s="256"/>
      <c r="DG16931" s="256"/>
    </row>
    <row r="16932" spans="104:111">
      <c r="CZ16932" s="256"/>
      <c r="DG16932" s="256"/>
    </row>
    <row r="16933" spans="104:111">
      <c r="CZ16933" s="256"/>
      <c r="DG16933" s="256"/>
    </row>
    <row r="16934" spans="104:111">
      <c r="CZ16934" s="256"/>
      <c r="DG16934" s="256"/>
    </row>
    <row r="16935" spans="104:111">
      <c r="CZ16935" s="256"/>
      <c r="DG16935" s="256"/>
    </row>
    <row r="16936" spans="104:111">
      <c r="CZ16936" s="256"/>
      <c r="DG16936" s="256"/>
    </row>
    <row r="16937" spans="104:111">
      <c r="CZ16937" s="256"/>
      <c r="DG16937" s="256"/>
    </row>
    <row r="16938" spans="104:111">
      <c r="CZ16938" s="256"/>
      <c r="DG16938" s="256"/>
    </row>
    <row r="16939" spans="104:111">
      <c r="CZ16939" s="256"/>
      <c r="DG16939" s="256"/>
    </row>
    <row r="16940" spans="104:111">
      <c r="CZ16940" s="256"/>
      <c r="DG16940" s="256"/>
    </row>
    <row r="16941" spans="104:111">
      <c r="CZ16941" s="256"/>
      <c r="DG16941" s="256"/>
    </row>
    <row r="16942" spans="104:111">
      <c r="CZ16942" s="256"/>
      <c r="DG16942" s="256"/>
    </row>
    <row r="16943" spans="104:111">
      <c r="CZ16943" s="256"/>
      <c r="DG16943" s="256"/>
    </row>
    <row r="16944" spans="104:111">
      <c r="CZ16944" s="256"/>
      <c r="DG16944" s="256"/>
    </row>
    <row r="16945" spans="104:111">
      <c r="CZ16945" s="256"/>
      <c r="DG16945" s="256"/>
    </row>
    <row r="16946" spans="104:111">
      <c r="CZ16946" s="256"/>
      <c r="DG16946" s="256"/>
    </row>
    <row r="16947" spans="104:111">
      <c r="CZ16947" s="256"/>
      <c r="DG16947" s="256"/>
    </row>
    <row r="16948" spans="104:111">
      <c r="CZ16948" s="256"/>
      <c r="DG16948" s="256"/>
    </row>
    <row r="16949" spans="104:111">
      <c r="CZ16949" s="256"/>
      <c r="DG16949" s="256"/>
    </row>
    <row r="16950" spans="104:111">
      <c r="CZ16950" s="256"/>
      <c r="DG16950" s="256"/>
    </row>
    <row r="16951" spans="104:111">
      <c r="CZ16951" s="256"/>
      <c r="DG16951" s="256"/>
    </row>
    <row r="16952" spans="104:111">
      <c r="CZ16952" s="256"/>
      <c r="DG16952" s="256"/>
    </row>
    <row r="16953" spans="104:111">
      <c r="CZ16953" s="256"/>
      <c r="DG16953" s="256"/>
    </row>
    <row r="16954" spans="104:111">
      <c r="CZ16954" s="256"/>
      <c r="DG16954" s="256"/>
    </row>
    <row r="16955" spans="104:111">
      <c r="CZ16955" s="256"/>
      <c r="DG16955" s="256"/>
    </row>
    <row r="16956" spans="104:111">
      <c r="CZ16956" s="256"/>
      <c r="DG16956" s="256"/>
    </row>
    <row r="16957" spans="104:111">
      <c r="CZ16957" s="256"/>
      <c r="DG16957" s="256"/>
    </row>
    <row r="16958" spans="104:111">
      <c r="CZ16958" s="256"/>
      <c r="DG16958" s="256"/>
    </row>
    <row r="16959" spans="104:111">
      <c r="CZ16959" s="256"/>
      <c r="DG16959" s="256"/>
    </row>
    <row r="16960" spans="104:111">
      <c r="CZ16960" s="256"/>
      <c r="DG16960" s="256"/>
    </row>
    <row r="16961" spans="104:111">
      <c r="CZ16961" s="256"/>
      <c r="DG16961" s="256"/>
    </row>
    <row r="16962" spans="104:111">
      <c r="CZ16962" s="256"/>
      <c r="DG16962" s="256"/>
    </row>
    <row r="16963" spans="104:111">
      <c r="CZ16963" s="256"/>
      <c r="DG16963" s="256"/>
    </row>
    <row r="16964" spans="104:111">
      <c r="CZ16964" s="256"/>
      <c r="DG16964" s="256"/>
    </row>
    <row r="16965" spans="104:111">
      <c r="CZ16965" s="256"/>
      <c r="DG16965" s="256"/>
    </row>
    <row r="16966" spans="104:111">
      <c r="CZ16966" s="256"/>
      <c r="DG16966" s="256"/>
    </row>
    <row r="16967" spans="104:111">
      <c r="CZ16967" s="256"/>
      <c r="DG16967" s="256"/>
    </row>
    <row r="16968" spans="104:111">
      <c r="CZ16968" s="256"/>
      <c r="DG16968" s="256"/>
    </row>
    <row r="16969" spans="104:111">
      <c r="CZ16969" s="256"/>
      <c r="DG16969" s="256"/>
    </row>
    <row r="16970" spans="104:111">
      <c r="CZ16970" s="256"/>
      <c r="DG16970" s="256"/>
    </row>
    <row r="16971" spans="104:111">
      <c r="CZ16971" s="256"/>
      <c r="DG16971" s="256"/>
    </row>
    <row r="16972" spans="104:111">
      <c r="CZ16972" s="256"/>
      <c r="DG16972" s="256"/>
    </row>
    <row r="16973" spans="104:111">
      <c r="CZ16973" s="256"/>
      <c r="DG16973" s="256"/>
    </row>
    <row r="16974" spans="104:111">
      <c r="CZ16974" s="256"/>
      <c r="DG16974" s="256"/>
    </row>
    <row r="16975" spans="104:111">
      <c r="CZ16975" s="256"/>
      <c r="DG16975" s="256"/>
    </row>
    <row r="16976" spans="104:111">
      <c r="CZ16976" s="256"/>
      <c r="DG16976" s="256"/>
    </row>
    <row r="16977" spans="104:111">
      <c r="CZ16977" s="256"/>
      <c r="DG16977" s="256"/>
    </row>
    <row r="16978" spans="104:111">
      <c r="CZ16978" s="256"/>
      <c r="DG16978" s="256"/>
    </row>
    <row r="16979" spans="104:111">
      <c r="CZ16979" s="256"/>
      <c r="DG16979" s="256"/>
    </row>
    <row r="16980" spans="104:111">
      <c r="CZ16980" s="256"/>
      <c r="DG16980" s="256"/>
    </row>
    <row r="16981" spans="104:111">
      <c r="CZ16981" s="256"/>
      <c r="DG16981" s="256"/>
    </row>
    <row r="16982" spans="104:111">
      <c r="CZ16982" s="256"/>
      <c r="DG16982" s="256"/>
    </row>
    <row r="16983" spans="104:111">
      <c r="CZ16983" s="256"/>
      <c r="DG16983" s="256"/>
    </row>
    <row r="16984" spans="104:111">
      <c r="CZ16984" s="256"/>
      <c r="DG16984" s="256"/>
    </row>
    <row r="16985" spans="104:111">
      <c r="CZ16985" s="256"/>
      <c r="DG16985" s="256"/>
    </row>
    <row r="16986" spans="104:111">
      <c r="CZ16986" s="256"/>
      <c r="DG16986" s="256"/>
    </row>
    <row r="16987" spans="104:111">
      <c r="CZ16987" s="256"/>
      <c r="DG16987" s="256"/>
    </row>
    <row r="16988" spans="104:111">
      <c r="CZ16988" s="256"/>
      <c r="DG16988" s="256"/>
    </row>
    <row r="16989" spans="104:111">
      <c r="CZ16989" s="256"/>
      <c r="DG16989" s="256"/>
    </row>
    <row r="16990" spans="104:111">
      <c r="CZ16990" s="256"/>
      <c r="DG16990" s="256"/>
    </row>
    <row r="16991" spans="104:111">
      <c r="CZ16991" s="256"/>
      <c r="DG16991" s="256"/>
    </row>
    <row r="16992" spans="104:111">
      <c r="CZ16992" s="256"/>
      <c r="DG16992" s="256"/>
    </row>
    <row r="16993" spans="104:111">
      <c r="CZ16993" s="256"/>
      <c r="DG16993" s="256"/>
    </row>
    <row r="16994" spans="104:111">
      <c r="CZ16994" s="256"/>
      <c r="DG16994" s="256"/>
    </row>
    <row r="16995" spans="104:111">
      <c r="CZ16995" s="256"/>
      <c r="DG16995" s="256"/>
    </row>
    <row r="16996" spans="104:111">
      <c r="CZ16996" s="256"/>
      <c r="DG16996" s="256"/>
    </row>
    <row r="16997" spans="104:111">
      <c r="CZ16997" s="256"/>
      <c r="DG16997" s="256"/>
    </row>
    <row r="16998" spans="104:111">
      <c r="CZ16998" s="256"/>
      <c r="DG16998" s="256"/>
    </row>
    <row r="16999" spans="104:111">
      <c r="CZ16999" s="256"/>
      <c r="DG16999" s="256"/>
    </row>
    <row r="17000" spans="104:111">
      <c r="CZ17000" s="256"/>
      <c r="DG17000" s="256"/>
    </row>
    <row r="17001" spans="104:111">
      <c r="CZ17001" s="256"/>
      <c r="DG17001" s="256"/>
    </row>
    <row r="17002" spans="104:111">
      <c r="CZ17002" s="256"/>
      <c r="DG17002" s="256"/>
    </row>
    <row r="17003" spans="104:111">
      <c r="CZ17003" s="256"/>
      <c r="DG17003" s="256"/>
    </row>
    <row r="17004" spans="104:111">
      <c r="CZ17004" s="256"/>
      <c r="DG17004" s="256"/>
    </row>
    <row r="17005" spans="104:111">
      <c r="CZ17005" s="256"/>
      <c r="DG17005" s="256"/>
    </row>
    <row r="17006" spans="104:111">
      <c r="CZ17006" s="256"/>
      <c r="DG17006" s="256"/>
    </row>
    <row r="17007" spans="104:111">
      <c r="CZ17007" s="256"/>
      <c r="DG17007" s="256"/>
    </row>
    <row r="17008" spans="104:111">
      <c r="CZ17008" s="256"/>
      <c r="DG17008" s="256"/>
    </row>
    <row r="17009" spans="104:111">
      <c r="CZ17009" s="256"/>
      <c r="DG17009" s="256"/>
    </row>
    <row r="17010" spans="104:111">
      <c r="CZ17010" s="256"/>
      <c r="DG17010" s="256"/>
    </row>
    <row r="17011" spans="104:111">
      <c r="CZ17011" s="256"/>
      <c r="DG17011" s="256"/>
    </row>
    <row r="17012" spans="104:111">
      <c r="CZ17012" s="256"/>
      <c r="DG17012" s="256"/>
    </row>
    <row r="17013" spans="104:111">
      <c r="CZ17013" s="256"/>
      <c r="DG17013" s="256"/>
    </row>
    <row r="17014" spans="104:111">
      <c r="CZ17014" s="256"/>
      <c r="DG17014" s="256"/>
    </row>
    <row r="17015" spans="104:111">
      <c r="CZ17015" s="256"/>
      <c r="DG17015" s="256"/>
    </row>
    <row r="17016" spans="104:111">
      <c r="CZ17016" s="256"/>
      <c r="DG17016" s="256"/>
    </row>
    <row r="17017" spans="104:111">
      <c r="CZ17017" s="256"/>
      <c r="DG17017" s="256"/>
    </row>
    <row r="17018" spans="104:111">
      <c r="CZ17018" s="256"/>
      <c r="DG17018" s="256"/>
    </row>
    <row r="17019" spans="104:111">
      <c r="CZ17019" s="256"/>
      <c r="DG17019" s="256"/>
    </row>
    <row r="17020" spans="104:111">
      <c r="CZ17020" s="256"/>
      <c r="DG17020" s="256"/>
    </row>
    <row r="17021" spans="104:111">
      <c r="CZ17021" s="256"/>
      <c r="DG17021" s="256"/>
    </row>
    <row r="17022" spans="104:111">
      <c r="CZ17022" s="256"/>
      <c r="DG17022" s="256"/>
    </row>
    <row r="17023" spans="104:111">
      <c r="CZ17023" s="256"/>
      <c r="DG17023" s="256"/>
    </row>
    <row r="17024" spans="104:111">
      <c r="CZ17024" s="256"/>
      <c r="DG17024" s="256"/>
    </row>
    <row r="17025" spans="104:111">
      <c r="CZ17025" s="256"/>
      <c r="DG17025" s="256"/>
    </row>
    <row r="17026" spans="104:111">
      <c r="CZ17026" s="256"/>
      <c r="DG17026" s="256"/>
    </row>
    <row r="17027" spans="104:111">
      <c r="CZ17027" s="256"/>
      <c r="DG17027" s="256"/>
    </row>
    <row r="17028" spans="104:111">
      <c r="CZ17028" s="256"/>
      <c r="DG17028" s="256"/>
    </row>
    <row r="17029" spans="104:111">
      <c r="CZ17029" s="256"/>
      <c r="DG17029" s="256"/>
    </row>
    <row r="17030" spans="104:111">
      <c r="CZ17030" s="256"/>
      <c r="DG17030" s="256"/>
    </row>
    <row r="17031" spans="104:111">
      <c r="CZ17031" s="256"/>
      <c r="DG17031" s="256"/>
    </row>
    <row r="17032" spans="104:111">
      <c r="CZ17032" s="256"/>
      <c r="DG17032" s="256"/>
    </row>
    <row r="17033" spans="104:111">
      <c r="CZ17033" s="256"/>
      <c r="DG17033" s="256"/>
    </row>
    <row r="17034" spans="104:111">
      <c r="CZ17034" s="256"/>
      <c r="DG17034" s="256"/>
    </row>
    <row r="17035" spans="104:111">
      <c r="CZ17035" s="256"/>
      <c r="DG17035" s="256"/>
    </row>
    <row r="17036" spans="104:111">
      <c r="CZ17036" s="256"/>
      <c r="DG17036" s="256"/>
    </row>
    <row r="17037" spans="104:111">
      <c r="CZ17037" s="256"/>
      <c r="DG17037" s="256"/>
    </row>
    <row r="17038" spans="104:111">
      <c r="CZ17038" s="256"/>
      <c r="DG17038" s="256"/>
    </row>
    <row r="17039" spans="104:111">
      <c r="CZ17039" s="256"/>
      <c r="DG17039" s="256"/>
    </row>
    <row r="17040" spans="104:111">
      <c r="CZ17040" s="256"/>
      <c r="DG17040" s="256"/>
    </row>
    <row r="17041" spans="104:111">
      <c r="CZ17041" s="256"/>
      <c r="DG17041" s="256"/>
    </row>
    <row r="17042" spans="104:111">
      <c r="CZ17042" s="256"/>
      <c r="DG17042" s="256"/>
    </row>
    <row r="17043" spans="104:111">
      <c r="CZ17043" s="256"/>
      <c r="DG17043" s="256"/>
    </row>
    <row r="17044" spans="104:111">
      <c r="CZ17044" s="256"/>
      <c r="DG17044" s="256"/>
    </row>
    <row r="17045" spans="104:111">
      <c r="CZ17045" s="256"/>
      <c r="DG17045" s="256"/>
    </row>
    <row r="17046" spans="104:111">
      <c r="CZ17046" s="256"/>
      <c r="DG17046" s="256"/>
    </row>
    <row r="17047" spans="104:111">
      <c r="CZ17047" s="256"/>
      <c r="DG17047" s="256"/>
    </row>
    <row r="17048" spans="104:111">
      <c r="CZ17048" s="256"/>
      <c r="DG17048" s="256"/>
    </row>
    <row r="17049" spans="104:111">
      <c r="CZ17049" s="256"/>
      <c r="DG17049" s="256"/>
    </row>
    <row r="17050" spans="104:111">
      <c r="CZ17050" s="256"/>
      <c r="DG17050" s="256"/>
    </row>
    <row r="17051" spans="104:111">
      <c r="CZ17051" s="256"/>
      <c r="DG17051" s="256"/>
    </row>
    <row r="17052" spans="104:111">
      <c r="CZ17052" s="256"/>
      <c r="DG17052" s="256"/>
    </row>
    <row r="17053" spans="104:111">
      <c r="CZ17053" s="256"/>
      <c r="DG17053" s="256"/>
    </row>
    <row r="17054" spans="104:111">
      <c r="CZ17054" s="256"/>
      <c r="DG17054" s="256"/>
    </row>
    <row r="17055" spans="104:111">
      <c r="CZ17055" s="256"/>
      <c r="DG17055" s="256"/>
    </row>
    <row r="17056" spans="104:111">
      <c r="CZ17056" s="256"/>
      <c r="DG17056" s="256"/>
    </row>
    <row r="17057" spans="104:111">
      <c r="CZ17057" s="256"/>
      <c r="DG17057" s="256"/>
    </row>
    <row r="17058" spans="104:111">
      <c r="CZ17058" s="256"/>
      <c r="DG17058" s="256"/>
    </row>
    <row r="17059" spans="104:111">
      <c r="CZ17059" s="256"/>
      <c r="DG17059" s="256"/>
    </row>
    <row r="17060" spans="104:111">
      <c r="CZ17060" s="256"/>
      <c r="DG17060" s="256"/>
    </row>
    <row r="17061" spans="104:111">
      <c r="CZ17061" s="256"/>
      <c r="DG17061" s="256"/>
    </row>
    <row r="17062" spans="104:111">
      <c r="CZ17062" s="256"/>
      <c r="DG17062" s="256"/>
    </row>
    <row r="17063" spans="104:111">
      <c r="CZ17063" s="256"/>
      <c r="DG17063" s="256"/>
    </row>
    <row r="17064" spans="104:111">
      <c r="CZ17064" s="256"/>
      <c r="DG17064" s="256"/>
    </row>
    <row r="17065" spans="104:111">
      <c r="CZ17065" s="256"/>
      <c r="DG17065" s="256"/>
    </row>
    <row r="17066" spans="104:111">
      <c r="CZ17066" s="256"/>
      <c r="DG17066" s="256"/>
    </row>
    <row r="17067" spans="104:111">
      <c r="CZ17067" s="256"/>
      <c r="DG17067" s="256"/>
    </row>
    <row r="17068" spans="104:111">
      <c r="CZ17068" s="256"/>
      <c r="DG17068" s="256"/>
    </row>
    <row r="17069" spans="104:111">
      <c r="CZ17069" s="256"/>
      <c r="DG17069" s="256"/>
    </row>
    <row r="17070" spans="104:111">
      <c r="CZ17070" s="256"/>
      <c r="DG17070" s="256"/>
    </row>
    <row r="17071" spans="104:111">
      <c r="CZ17071" s="256"/>
      <c r="DG17071" s="256"/>
    </row>
    <row r="17072" spans="104:111">
      <c r="CZ17072" s="256"/>
      <c r="DG17072" s="256"/>
    </row>
    <row r="17073" spans="104:111">
      <c r="CZ17073" s="256"/>
      <c r="DG17073" s="256"/>
    </row>
    <row r="17074" spans="104:111">
      <c r="CZ17074" s="256"/>
      <c r="DG17074" s="256"/>
    </row>
    <row r="17075" spans="104:111">
      <c r="CZ17075" s="256"/>
      <c r="DG17075" s="256"/>
    </row>
    <row r="17076" spans="104:111">
      <c r="CZ17076" s="256"/>
      <c r="DG17076" s="256"/>
    </row>
    <row r="17077" spans="104:111">
      <c r="CZ17077" s="256"/>
      <c r="DG17077" s="256"/>
    </row>
    <row r="17078" spans="104:111">
      <c r="CZ17078" s="256"/>
      <c r="DG17078" s="256"/>
    </row>
    <row r="17079" spans="104:111">
      <c r="CZ17079" s="256"/>
      <c r="DG17079" s="256"/>
    </row>
    <row r="17080" spans="104:111">
      <c r="CZ17080" s="256"/>
      <c r="DG17080" s="256"/>
    </row>
    <row r="17081" spans="104:111">
      <c r="CZ17081" s="256"/>
      <c r="DG17081" s="256"/>
    </row>
    <row r="17082" spans="104:111">
      <c r="CZ17082" s="256"/>
      <c r="DG17082" s="256"/>
    </row>
    <row r="17083" spans="104:111">
      <c r="CZ17083" s="256"/>
      <c r="DG17083" s="256"/>
    </row>
    <row r="17084" spans="104:111">
      <c r="CZ17084" s="256"/>
      <c r="DG17084" s="256"/>
    </row>
    <row r="17085" spans="104:111">
      <c r="CZ17085" s="256"/>
      <c r="DG17085" s="256"/>
    </row>
    <row r="17086" spans="104:111">
      <c r="CZ17086" s="256"/>
      <c r="DG17086" s="256"/>
    </row>
    <row r="17087" spans="104:111">
      <c r="CZ17087" s="256"/>
      <c r="DG17087" s="256"/>
    </row>
    <row r="17088" spans="104:111">
      <c r="CZ17088" s="256"/>
      <c r="DG17088" s="256"/>
    </row>
    <row r="17089" spans="104:111">
      <c r="CZ17089" s="256"/>
      <c r="DG17089" s="256"/>
    </row>
    <row r="17090" spans="104:111">
      <c r="CZ17090" s="256"/>
      <c r="DG17090" s="256"/>
    </row>
    <row r="17091" spans="104:111">
      <c r="CZ17091" s="256"/>
      <c r="DG17091" s="256"/>
    </row>
    <row r="17092" spans="104:111">
      <c r="CZ17092" s="256"/>
      <c r="DG17092" s="256"/>
    </row>
    <row r="17093" spans="104:111">
      <c r="CZ17093" s="256"/>
      <c r="DG17093" s="256"/>
    </row>
    <row r="17094" spans="104:111">
      <c r="CZ17094" s="256"/>
      <c r="DG17094" s="256"/>
    </row>
    <row r="17095" spans="104:111">
      <c r="CZ17095" s="256"/>
      <c r="DG17095" s="256"/>
    </row>
    <row r="17096" spans="104:111">
      <c r="CZ17096" s="256"/>
      <c r="DG17096" s="256"/>
    </row>
    <row r="17097" spans="104:111">
      <c r="CZ17097" s="256"/>
      <c r="DG17097" s="256"/>
    </row>
    <row r="17098" spans="104:111">
      <c r="CZ17098" s="256"/>
      <c r="DG17098" s="256"/>
    </row>
    <row r="17099" spans="104:111">
      <c r="CZ17099" s="256"/>
      <c r="DG17099" s="256"/>
    </row>
    <row r="17100" spans="104:111">
      <c r="CZ17100" s="256"/>
      <c r="DG17100" s="256"/>
    </row>
    <row r="17101" spans="104:111">
      <c r="CZ17101" s="256"/>
      <c r="DG17101" s="256"/>
    </row>
    <row r="17102" spans="104:111">
      <c r="CZ17102" s="256"/>
      <c r="DG17102" s="256"/>
    </row>
    <row r="17103" spans="104:111">
      <c r="CZ17103" s="256"/>
      <c r="DG17103" s="256"/>
    </row>
    <row r="17104" spans="104:111">
      <c r="CZ17104" s="256"/>
      <c r="DG17104" s="256"/>
    </row>
    <row r="17105" spans="104:111">
      <c r="CZ17105" s="256"/>
      <c r="DG17105" s="256"/>
    </row>
    <row r="17106" spans="104:111">
      <c r="CZ17106" s="256"/>
      <c r="DG17106" s="256"/>
    </row>
    <row r="17107" spans="104:111">
      <c r="CZ17107" s="256"/>
      <c r="DG17107" s="256"/>
    </row>
    <row r="17108" spans="104:111">
      <c r="CZ17108" s="256"/>
      <c r="DG17108" s="256"/>
    </row>
    <row r="17109" spans="104:111">
      <c r="CZ17109" s="256"/>
      <c r="DG17109" s="256"/>
    </row>
    <row r="17110" spans="104:111">
      <c r="CZ17110" s="256"/>
      <c r="DG17110" s="256"/>
    </row>
    <row r="17111" spans="104:111">
      <c r="CZ17111" s="256"/>
      <c r="DG17111" s="256"/>
    </row>
    <row r="17112" spans="104:111">
      <c r="CZ17112" s="256"/>
      <c r="DG17112" s="256"/>
    </row>
    <row r="17113" spans="104:111">
      <c r="CZ17113" s="256"/>
      <c r="DG17113" s="256"/>
    </row>
    <row r="17114" spans="104:111">
      <c r="CZ17114" s="256"/>
      <c r="DG17114" s="256"/>
    </row>
    <row r="17115" spans="104:111">
      <c r="CZ17115" s="256"/>
      <c r="DG17115" s="256"/>
    </row>
    <row r="17116" spans="104:111">
      <c r="CZ17116" s="256"/>
      <c r="DG17116" s="256"/>
    </row>
    <row r="17117" spans="104:111">
      <c r="CZ17117" s="256"/>
      <c r="DG17117" s="256"/>
    </row>
    <row r="17118" spans="104:111">
      <c r="CZ17118" s="256"/>
      <c r="DG17118" s="256"/>
    </row>
    <row r="17119" spans="104:111">
      <c r="CZ17119" s="256"/>
      <c r="DG17119" s="256"/>
    </row>
    <row r="17120" spans="104:111">
      <c r="CZ17120" s="256"/>
      <c r="DG17120" s="256"/>
    </row>
    <row r="17121" spans="104:111">
      <c r="CZ17121" s="256"/>
      <c r="DG17121" s="256"/>
    </row>
    <row r="17122" spans="104:111">
      <c r="CZ17122" s="256"/>
      <c r="DG17122" s="256"/>
    </row>
    <row r="17123" spans="104:111">
      <c r="CZ17123" s="256"/>
      <c r="DG17123" s="256"/>
    </row>
    <row r="17124" spans="104:111">
      <c r="CZ17124" s="256"/>
      <c r="DG17124" s="256"/>
    </row>
    <row r="17125" spans="104:111">
      <c r="CZ17125" s="256"/>
      <c r="DG17125" s="256"/>
    </row>
    <row r="17126" spans="104:111">
      <c r="CZ17126" s="256"/>
      <c r="DG17126" s="256"/>
    </row>
    <row r="17127" spans="104:111">
      <c r="CZ17127" s="256"/>
      <c r="DG17127" s="256"/>
    </row>
    <row r="17128" spans="104:111">
      <c r="CZ17128" s="256"/>
      <c r="DG17128" s="256"/>
    </row>
    <row r="17129" spans="104:111">
      <c r="CZ17129" s="256"/>
      <c r="DG17129" s="256"/>
    </row>
    <row r="17130" spans="104:111">
      <c r="CZ17130" s="256"/>
      <c r="DG17130" s="256"/>
    </row>
    <row r="17131" spans="104:111">
      <c r="CZ17131" s="256"/>
      <c r="DG17131" s="256"/>
    </row>
    <row r="17132" spans="104:111">
      <c r="CZ17132" s="256"/>
      <c r="DG17132" s="256"/>
    </row>
    <row r="17133" spans="104:111">
      <c r="CZ17133" s="256"/>
      <c r="DG17133" s="256"/>
    </row>
    <row r="17134" spans="104:111">
      <c r="CZ17134" s="256"/>
      <c r="DG17134" s="256"/>
    </row>
    <row r="17135" spans="104:111">
      <c r="CZ17135" s="256"/>
      <c r="DG17135" s="256"/>
    </row>
    <row r="17136" spans="104:111">
      <c r="CZ17136" s="256"/>
      <c r="DG17136" s="256"/>
    </row>
    <row r="17137" spans="104:111">
      <c r="CZ17137" s="256"/>
      <c r="DG17137" s="256"/>
    </row>
    <row r="17138" spans="104:111">
      <c r="CZ17138" s="256"/>
      <c r="DG17138" s="256"/>
    </row>
    <row r="17139" spans="104:111">
      <c r="CZ17139" s="256"/>
      <c r="DG17139" s="256"/>
    </row>
    <row r="17140" spans="104:111">
      <c r="CZ17140" s="256"/>
      <c r="DG17140" s="256"/>
    </row>
    <row r="17141" spans="104:111">
      <c r="CZ17141" s="256"/>
      <c r="DG17141" s="256"/>
    </row>
    <row r="17142" spans="104:111">
      <c r="CZ17142" s="256"/>
      <c r="DG17142" s="256"/>
    </row>
    <row r="17143" spans="104:111">
      <c r="CZ17143" s="256"/>
      <c r="DG17143" s="256"/>
    </row>
    <row r="17144" spans="104:111">
      <c r="CZ17144" s="256"/>
      <c r="DG17144" s="256"/>
    </row>
    <row r="17145" spans="104:111">
      <c r="CZ17145" s="256"/>
      <c r="DG17145" s="256"/>
    </row>
    <row r="17146" spans="104:111">
      <c r="CZ17146" s="256"/>
      <c r="DG17146" s="256"/>
    </row>
    <row r="17147" spans="104:111">
      <c r="CZ17147" s="256"/>
      <c r="DG17147" s="256"/>
    </row>
    <row r="17148" spans="104:111">
      <c r="CZ17148" s="256"/>
      <c r="DG17148" s="256"/>
    </row>
    <row r="17149" spans="104:111">
      <c r="CZ17149" s="256"/>
      <c r="DG17149" s="256"/>
    </row>
    <row r="17150" spans="104:111">
      <c r="CZ17150" s="256"/>
      <c r="DG17150" s="256"/>
    </row>
    <row r="17151" spans="104:111">
      <c r="CZ17151" s="256"/>
      <c r="DG17151" s="256"/>
    </row>
    <row r="17152" spans="104:111">
      <c r="CZ17152" s="256"/>
      <c r="DG17152" s="256"/>
    </row>
    <row r="17153" spans="104:111">
      <c r="CZ17153" s="256"/>
      <c r="DG17153" s="256"/>
    </row>
    <row r="17154" spans="104:111">
      <c r="CZ17154" s="256"/>
      <c r="DG17154" s="256"/>
    </row>
    <row r="17155" spans="104:111">
      <c r="CZ17155" s="256"/>
      <c r="DG17155" s="256"/>
    </row>
    <row r="17156" spans="104:111">
      <c r="CZ17156" s="256"/>
      <c r="DG17156" s="256"/>
    </row>
    <row r="17157" spans="104:111">
      <c r="CZ17157" s="256"/>
      <c r="DG17157" s="256"/>
    </row>
    <row r="17158" spans="104:111">
      <c r="CZ17158" s="256"/>
      <c r="DG17158" s="256"/>
    </row>
    <row r="17159" spans="104:111">
      <c r="CZ17159" s="256"/>
      <c r="DG17159" s="256"/>
    </row>
    <row r="17160" spans="104:111">
      <c r="CZ17160" s="256"/>
      <c r="DG17160" s="256"/>
    </row>
    <row r="17161" spans="104:111">
      <c r="CZ17161" s="256"/>
      <c r="DG17161" s="256"/>
    </row>
    <row r="17162" spans="104:111">
      <c r="CZ17162" s="256"/>
      <c r="DG17162" s="256"/>
    </row>
    <row r="17163" spans="104:111">
      <c r="CZ17163" s="256"/>
      <c r="DG17163" s="256"/>
    </row>
    <row r="17164" spans="104:111">
      <c r="CZ17164" s="256"/>
      <c r="DG17164" s="256"/>
    </row>
    <row r="17165" spans="104:111">
      <c r="CZ17165" s="256"/>
      <c r="DG17165" s="256"/>
    </row>
    <row r="17166" spans="104:111">
      <c r="CZ17166" s="256"/>
      <c r="DG17166" s="256"/>
    </row>
    <row r="17167" spans="104:111">
      <c r="CZ17167" s="256"/>
      <c r="DG17167" s="256"/>
    </row>
    <row r="17168" spans="104:111">
      <c r="CZ17168" s="256"/>
      <c r="DG17168" s="256"/>
    </row>
    <row r="17169" spans="104:111">
      <c r="CZ17169" s="256"/>
      <c r="DG17169" s="256"/>
    </row>
    <row r="17170" spans="104:111">
      <c r="CZ17170" s="256"/>
      <c r="DG17170" s="256"/>
    </row>
    <row r="17171" spans="104:111">
      <c r="CZ17171" s="256"/>
      <c r="DG17171" s="256"/>
    </row>
    <row r="17172" spans="104:111">
      <c r="CZ17172" s="256"/>
      <c r="DG17172" s="256"/>
    </row>
    <row r="17173" spans="104:111">
      <c r="CZ17173" s="256"/>
      <c r="DG17173" s="256"/>
    </row>
    <row r="17174" spans="104:111">
      <c r="CZ17174" s="256"/>
      <c r="DG17174" s="256"/>
    </row>
    <row r="17175" spans="104:111">
      <c r="CZ17175" s="256"/>
      <c r="DG17175" s="256"/>
    </row>
    <row r="17176" spans="104:111">
      <c r="CZ17176" s="256"/>
      <c r="DG17176" s="256"/>
    </row>
    <row r="17177" spans="104:111">
      <c r="CZ17177" s="256"/>
      <c r="DG17177" s="256"/>
    </row>
    <row r="17178" spans="104:111">
      <c r="CZ17178" s="256"/>
      <c r="DG17178" s="256"/>
    </row>
    <row r="17179" spans="104:111">
      <c r="CZ17179" s="256"/>
      <c r="DG17179" s="256"/>
    </row>
    <row r="17180" spans="104:111">
      <c r="CZ17180" s="256"/>
      <c r="DG17180" s="256"/>
    </row>
    <row r="17181" spans="104:111">
      <c r="CZ17181" s="256"/>
      <c r="DG17181" s="256"/>
    </row>
    <row r="17182" spans="104:111">
      <c r="CZ17182" s="256"/>
      <c r="DG17182" s="256"/>
    </row>
    <row r="17183" spans="104:111">
      <c r="CZ17183" s="256"/>
      <c r="DG17183" s="256"/>
    </row>
    <row r="17184" spans="104:111">
      <c r="CZ17184" s="256"/>
      <c r="DG17184" s="256"/>
    </row>
    <row r="17185" spans="104:111">
      <c r="CZ17185" s="256"/>
      <c r="DG17185" s="256"/>
    </row>
    <row r="17186" spans="104:111">
      <c r="CZ17186" s="256"/>
      <c r="DG17186" s="256"/>
    </row>
    <row r="17187" spans="104:111">
      <c r="CZ17187" s="256"/>
      <c r="DG17187" s="256"/>
    </row>
    <row r="17188" spans="104:111">
      <c r="CZ17188" s="256"/>
      <c r="DG17188" s="256"/>
    </row>
    <row r="17189" spans="104:111">
      <c r="CZ17189" s="256"/>
      <c r="DG17189" s="256"/>
    </row>
    <row r="17190" spans="104:111">
      <c r="CZ17190" s="256"/>
      <c r="DG17190" s="256"/>
    </row>
    <row r="17191" spans="104:111">
      <c r="CZ17191" s="256"/>
      <c r="DG17191" s="256"/>
    </row>
    <row r="17192" spans="104:111">
      <c r="CZ17192" s="256"/>
      <c r="DG17192" s="256"/>
    </row>
    <row r="17193" spans="104:111">
      <c r="CZ17193" s="256"/>
      <c r="DG17193" s="256"/>
    </row>
    <row r="17194" spans="104:111">
      <c r="CZ17194" s="256"/>
      <c r="DG17194" s="256"/>
    </row>
    <row r="17195" spans="104:111">
      <c r="CZ17195" s="256"/>
      <c r="DG17195" s="256"/>
    </row>
    <row r="17196" spans="104:111">
      <c r="CZ17196" s="256"/>
      <c r="DG17196" s="256"/>
    </row>
    <row r="17197" spans="104:111">
      <c r="CZ17197" s="256"/>
      <c r="DG17197" s="256"/>
    </row>
    <row r="17198" spans="104:111">
      <c r="CZ17198" s="256"/>
      <c r="DG17198" s="256"/>
    </row>
    <row r="17199" spans="104:111">
      <c r="CZ17199" s="256"/>
      <c r="DG17199" s="256"/>
    </row>
    <row r="17200" spans="104:111">
      <c r="CZ17200" s="256"/>
      <c r="DG17200" s="256"/>
    </row>
    <row r="17201" spans="104:111">
      <c r="CZ17201" s="256"/>
      <c r="DG17201" s="256"/>
    </row>
    <row r="17202" spans="104:111">
      <c r="CZ17202" s="256"/>
      <c r="DG17202" s="256"/>
    </row>
    <row r="17203" spans="104:111">
      <c r="CZ17203" s="256"/>
      <c r="DG17203" s="256"/>
    </row>
    <row r="17204" spans="104:111">
      <c r="CZ17204" s="256"/>
      <c r="DG17204" s="256"/>
    </row>
    <row r="17205" spans="104:111">
      <c r="CZ17205" s="256"/>
      <c r="DG17205" s="256"/>
    </row>
    <row r="17206" spans="104:111">
      <c r="CZ17206" s="256"/>
      <c r="DG17206" s="256"/>
    </row>
    <row r="17207" spans="104:111">
      <c r="CZ17207" s="256"/>
      <c r="DG17207" s="256"/>
    </row>
    <row r="17208" spans="104:111">
      <c r="CZ17208" s="256"/>
      <c r="DG17208" s="256"/>
    </row>
    <row r="17209" spans="104:111">
      <c r="CZ17209" s="256"/>
      <c r="DG17209" s="256"/>
    </row>
    <row r="17210" spans="104:111">
      <c r="CZ17210" s="256"/>
      <c r="DG17210" s="256"/>
    </row>
    <row r="17211" spans="104:111">
      <c r="CZ17211" s="256"/>
      <c r="DG17211" s="256"/>
    </row>
    <row r="17212" spans="104:111">
      <c r="CZ17212" s="256"/>
      <c r="DG17212" s="256"/>
    </row>
    <row r="17213" spans="104:111">
      <c r="CZ17213" s="256"/>
      <c r="DG17213" s="256"/>
    </row>
    <row r="17214" spans="104:111">
      <c r="CZ17214" s="256"/>
      <c r="DG17214" s="256"/>
    </row>
    <row r="17215" spans="104:111">
      <c r="CZ17215" s="256"/>
      <c r="DG17215" s="256"/>
    </row>
    <row r="17216" spans="104:111">
      <c r="CZ17216" s="256"/>
      <c r="DG17216" s="256"/>
    </row>
    <row r="17217" spans="104:111">
      <c r="CZ17217" s="256"/>
      <c r="DG17217" s="256"/>
    </row>
    <row r="17218" spans="104:111">
      <c r="CZ17218" s="256"/>
      <c r="DG17218" s="256"/>
    </row>
    <row r="17219" spans="104:111">
      <c r="CZ17219" s="256"/>
      <c r="DG17219" s="256"/>
    </row>
    <row r="17220" spans="104:111">
      <c r="CZ17220" s="256"/>
      <c r="DG17220" s="256"/>
    </row>
    <row r="17221" spans="104:111">
      <c r="CZ17221" s="256"/>
      <c r="DG17221" s="256"/>
    </row>
    <row r="17222" spans="104:111">
      <c r="CZ17222" s="256"/>
      <c r="DG17222" s="256"/>
    </row>
    <row r="17223" spans="104:111">
      <c r="CZ17223" s="256"/>
      <c r="DG17223" s="256"/>
    </row>
    <row r="17224" spans="104:111">
      <c r="CZ17224" s="256"/>
      <c r="DG17224" s="256"/>
    </row>
    <row r="17225" spans="104:111">
      <c r="CZ17225" s="256"/>
      <c r="DG17225" s="256"/>
    </row>
    <row r="17226" spans="104:111">
      <c r="CZ17226" s="256"/>
      <c r="DG17226" s="256"/>
    </row>
    <row r="17227" spans="104:111">
      <c r="CZ17227" s="256"/>
      <c r="DG17227" s="256"/>
    </row>
    <row r="17228" spans="104:111">
      <c r="CZ17228" s="256"/>
      <c r="DG17228" s="256"/>
    </row>
    <row r="17229" spans="104:111">
      <c r="CZ17229" s="256"/>
      <c r="DG17229" s="256"/>
    </row>
    <row r="17230" spans="104:111">
      <c r="CZ17230" s="256"/>
      <c r="DG17230" s="256"/>
    </row>
    <row r="17231" spans="104:111">
      <c r="CZ17231" s="256"/>
      <c r="DG17231" s="256"/>
    </row>
    <row r="17232" spans="104:111">
      <c r="CZ17232" s="256"/>
      <c r="DG17232" s="256"/>
    </row>
    <row r="17233" spans="104:111">
      <c r="CZ17233" s="256"/>
      <c r="DG17233" s="256"/>
    </row>
    <row r="17234" spans="104:111">
      <c r="CZ17234" s="256"/>
      <c r="DG17234" s="256"/>
    </row>
    <row r="17235" spans="104:111">
      <c r="CZ17235" s="256"/>
      <c r="DG17235" s="256"/>
    </row>
    <row r="17236" spans="104:111">
      <c r="CZ17236" s="256"/>
      <c r="DG17236" s="256"/>
    </row>
    <row r="17237" spans="104:111">
      <c r="CZ17237" s="256"/>
      <c r="DG17237" s="256"/>
    </row>
    <row r="17238" spans="104:111">
      <c r="CZ17238" s="256"/>
      <c r="DG17238" s="256"/>
    </row>
    <row r="17239" spans="104:111">
      <c r="CZ17239" s="256"/>
      <c r="DG17239" s="256"/>
    </row>
    <row r="17240" spans="104:111">
      <c r="CZ17240" s="256"/>
      <c r="DG17240" s="256"/>
    </row>
    <row r="17241" spans="104:111">
      <c r="CZ17241" s="256"/>
      <c r="DG17241" s="256"/>
    </row>
    <row r="17242" spans="104:111">
      <c r="CZ17242" s="256"/>
      <c r="DG17242" s="256"/>
    </row>
    <row r="17243" spans="104:111">
      <c r="CZ17243" s="256"/>
      <c r="DG17243" s="256"/>
    </row>
    <row r="17244" spans="104:111">
      <c r="CZ17244" s="256"/>
      <c r="DG17244" s="256"/>
    </row>
    <row r="17245" spans="104:111">
      <c r="CZ17245" s="256"/>
      <c r="DG17245" s="256"/>
    </row>
    <row r="17246" spans="104:111">
      <c r="CZ17246" s="256"/>
      <c r="DG17246" s="256"/>
    </row>
    <row r="17247" spans="104:111">
      <c r="CZ17247" s="256"/>
      <c r="DG17247" s="256"/>
    </row>
    <row r="17248" spans="104:111">
      <c r="CZ17248" s="256"/>
      <c r="DG17248" s="256"/>
    </row>
    <row r="17249" spans="104:111">
      <c r="CZ17249" s="256"/>
      <c r="DG17249" s="256"/>
    </row>
    <row r="17250" spans="104:111">
      <c r="CZ17250" s="256"/>
      <c r="DG17250" s="256"/>
    </row>
    <row r="17251" spans="104:111">
      <c r="CZ17251" s="256"/>
      <c r="DG17251" s="256"/>
    </row>
    <row r="17252" spans="104:111">
      <c r="CZ17252" s="256"/>
      <c r="DG17252" s="256"/>
    </row>
    <row r="17253" spans="104:111">
      <c r="CZ17253" s="256"/>
      <c r="DG17253" s="256"/>
    </row>
    <row r="17254" spans="104:111">
      <c r="CZ17254" s="256"/>
      <c r="DG17254" s="256"/>
    </row>
    <row r="17255" spans="104:111">
      <c r="CZ17255" s="256"/>
      <c r="DG17255" s="256"/>
    </row>
    <row r="17256" spans="104:111">
      <c r="CZ17256" s="256"/>
      <c r="DG17256" s="256"/>
    </row>
    <row r="17257" spans="104:111">
      <c r="CZ17257" s="256"/>
      <c r="DG17257" s="256"/>
    </row>
    <row r="17258" spans="104:111">
      <c r="CZ17258" s="256"/>
      <c r="DG17258" s="256"/>
    </row>
    <row r="17259" spans="104:111">
      <c r="CZ17259" s="256"/>
      <c r="DG17259" s="256"/>
    </row>
    <row r="17260" spans="104:111">
      <c r="CZ17260" s="256"/>
      <c r="DG17260" s="256"/>
    </row>
    <row r="17261" spans="104:111">
      <c r="CZ17261" s="256"/>
      <c r="DG17261" s="256"/>
    </row>
    <row r="17262" spans="104:111">
      <c r="CZ17262" s="256"/>
      <c r="DG17262" s="256"/>
    </row>
    <row r="17263" spans="104:111">
      <c r="CZ17263" s="256"/>
      <c r="DG17263" s="256"/>
    </row>
    <row r="17264" spans="104:111">
      <c r="CZ17264" s="256"/>
      <c r="DG17264" s="256"/>
    </row>
    <row r="17265" spans="104:111">
      <c r="CZ17265" s="256"/>
      <c r="DG17265" s="256"/>
    </row>
    <row r="17266" spans="104:111">
      <c r="CZ17266" s="256"/>
      <c r="DG17266" s="256"/>
    </row>
    <row r="17267" spans="104:111">
      <c r="CZ17267" s="256"/>
      <c r="DG17267" s="256"/>
    </row>
    <row r="17268" spans="104:111">
      <c r="CZ17268" s="256"/>
      <c r="DG17268" s="256"/>
    </row>
    <row r="17269" spans="104:111">
      <c r="CZ17269" s="256"/>
      <c r="DG17269" s="256"/>
    </row>
    <row r="17270" spans="104:111">
      <c r="CZ17270" s="256"/>
      <c r="DG17270" s="256"/>
    </row>
    <row r="17271" spans="104:111">
      <c r="CZ17271" s="256"/>
      <c r="DG17271" s="256"/>
    </row>
    <row r="17272" spans="104:111">
      <c r="CZ17272" s="256"/>
      <c r="DG17272" s="256"/>
    </row>
    <row r="17273" spans="104:111">
      <c r="CZ17273" s="256"/>
      <c r="DG17273" s="256"/>
    </row>
    <row r="17274" spans="104:111">
      <c r="CZ17274" s="256"/>
      <c r="DG17274" s="256"/>
    </row>
    <row r="17275" spans="104:111">
      <c r="CZ17275" s="256"/>
      <c r="DG17275" s="256"/>
    </row>
    <row r="17276" spans="104:111">
      <c r="CZ17276" s="256"/>
      <c r="DG17276" s="256"/>
    </row>
    <row r="17277" spans="104:111">
      <c r="CZ17277" s="256"/>
      <c r="DG17277" s="256"/>
    </row>
    <row r="17278" spans="104:111">
      <c r="CZ17278" s="256"/>
      <c r="DG17278" s="256"/>
    </row>
    <row r="17279" spans="104:111">
      <c r="CZ17279" s="256"/>
      <c r="DG17279" s="256"/>
    </row>
    <row r="17280" spans="104:111">
      <c r="CZ17280" s="256"/>
      <c r="DG17280" s="256"/>
    </row>
    <row r="17281" spans="104:111">
      <c r="CZ17281" s="256"/>
      <c r="DG17281" s="256"/>
    </row>
    <row r="17282" spans="104:111">
      <c r="CZ17282" s="256"/>
      <c r="DG17282" s="256"/>
    </row>
    <row r="17283" spans="104:111">
      <c r="CZ17283" s="256"/>
      <c r="DG17283" s="256"/>
    </row>
    <row r="17284" spans="104:111">
      <c r="CZ17284" s="256"/>
      <c r="DG17284" s="256"/>
    </row>
    <row r="17285" spans="104:111">
      <c r="CZ17285" s="256"/>
      <c r="DG17285" s="256"/>
    </row>
    <row r="17286" spans="104:111">
      <c r="CZ17286" s="256"/>
      <c r="DG17286" s="256"/>
    </row>
    <row r="17287" spans="104:111">
      <c r="CZ17287" s="256"/>
      <c r="DG17287" s="256"/>
    </row>
    <row r="17288" spans="104:111">
      <c r="CZ17288" s="256"/>
      <c r="DG17288" s="256"/>
    </row>
    <row r="17289" spans="104:111">
      <c r="CZ17289" s="256"/>
      <c r="DG17289" s="256"/>
    </row>
    <row r="17290" spans="104:111">
      <c r="CZ17290" s="256"/>
      <c r="DG17290" s="256"/>
    </row>
    <row r="17291" spans="104:111">
      <c r="CZ17291" s="256"/>
      <c r="DG17291" s="256"/>
    </row>
    <row r="17292" spans="104:111">
      <c r="CZ17292" s="256"/>
      <c r="DG17292" s="256"/>
    </row>
    <row r="17293" spans="104:111">
      <c r="CZ17293" s="256"/>
      <c r="DG17293" s="256"/>
    </row>
    <row r="17294" spans="104:111">
      <c r="CZ17294" s="256"/>
      <c r="DG17294" s="256"/>
    </row>
    <row r="17295" spans="104:111">
      <c r="CZ17295" s="256"/>
      <c r="DG17295" s="256"/>
    </row>
    <row r="17296" spans="104:111">
      <c r="CZ17296" s="256"/>
      <c r="DG17296" s="256"/>
    </row>
    <row r="17297" spans="104:111">
      <c r="CZ17297" s="256"/>
      <c r="DG17297" s="256"/>
    </row>
    <row r="17298" spans="104:111">
      <c r="CZ17298" s="256"/>
      <c r="DG17298" s="256"/>
    </row>
    <row r="17299" spans="104:111">
      <c r="CZ17299" s="256"/>
      <c r="DG17299" s="256"/>
    </row>
    <row r="17300" spans="104:111">
      <c r="CZ17300" s="256"/>
      <c r="DG17300" s="256"/>
    </row>
    <row r="17301" spans="104:111">
      <c r="CZ17301" s="256"/>
      <c r="DG17301" s="256"/>
    </row>
    <row r="17302" spans="104:111">
      <c r="CZ17302" s="256"/>
      <c r="DG17302" s="256"/>
    </row>
    <row r="17303" spans="104:111">
      <c r="CZ17303" s="256"/>
      <c r="DG17303" s="256"/>
    </row>
    <row r="17304" spans="104:111">
      <c r="CZ17304" s="256"/>
      <c r="DG17304" s="256"/>
    </row>
    <row r="17305" spans="104:111">
      <c r="CZ17305" s="256"/>
      <c r="DG17305" s="256"/>
    </row>
    <row r="17306" spans="104:111">
      <c r="CZ17306" s="256"/>
      <c r="DG17306" s="256"/>
    </row>
    <row r="17307" spans="104:111">
      <c r="CZ17307" s="256"/>
      <c r="DG17307" s="256"/>
    </row>
    <row r="17308" spans="104:111">
      <c r="CZ17308" s="256"/>
      <c r="DG17308" s="256"/>
    </row>
    <row r="17309" spans="104:111">
      <c r="CZ17309" s="256"/>
      <c r="DG17309" s="256"/>
    </row>
    <row r="17310" spans="104:111">
      <c r="CZ17310" s="256"/>
      <c r="DG17310" s="256"/>
    </row>
    <row r="17311" spans="104:111">
      <c r="CZ17311" s="256"/>
      <c r="DG17311" s="256"/>
    </row>
    <row r="17312" spans="104:111">
      <c r="CZ17312" s="256"/>
      <c r="DG17312" s="256"/>
    </row>
    <row r="17313" spans="104:111">
      <c r="CZ17313" s="256"/>
      <c r="DG17313" s="256"/>
    </row>
    <row r="17314" spans="104:111">
      <c r="CZ17314" s="256"/>
      <c r="DG17314" s="256"/>
    </row>
    <row r="17315" spans="104:111">
      <c r="CZ17315" s="256"/>
      <c r="DG17315" s="256"/>
    </row>
    <row r="17316" spans="104:111">
      <c r="CZ17316" s="256"/>
      <c r="DG17316" s="256"/>
    </row>
    <row r="17317" spans="104:111">
      <c r="CZ17317" s="256"/>
      <c r="DG17317" s="256"/>
    </row>
    <row r="17318" spans="104:111">
      <c r="CZ17318" s="256"/>
      <c r="DG17318" s="256"/>
    </row>
    <row r="17319" spans="104:111">
      <c r="CZ17319" s="256"/>
      <c r="DG17319" s="256"/>
    </row>
    <row r="17320" spans="104:111">
      <c r="CZ17320" s="256"/>
      <c r="DG17320" s="256"/>
    </row>
    <row r="17321" spans="104:111">
      <c r="CZ17321" s="256"/>
      <c r="DG17321" s="256"/>
    </row>
    <row r="17322" spans="104:111">
      <c r="CZ17322" s="256"/>
      <c r="DG17322" s="256"/>
    </row>
    <row r="17323" spans="104:111">
      <c r="CZ17323" s="256"/>
      <c r="DG17323" s="256"/>
    </row>
    <row r="17324" spans="104:111">
      <c r="CZ17324" s="256"/>
      <c r="DG17324" s="256"/>
    </row>
    <row r="17325" spans="104:111">
      <c r="CZ17325" s="256"/>
      <c r="DG17325" s="256"/>
    </row>
    <row r="17326" spans="104:111">
      <c r="CZ17326" s="256"/>
      <c r="DG17326" s="256"/>
    </row>
    <row r="17327" spans="104:111">
      <c r="CZ17327" s="256"/>
      <c r="DG17327" s="256"/>
    </row>
    <row r="17328" spans="104:111">
      <c r="CZ17328" s="256"/>
      <c r="DG17328" s="256"/>
    </row>
    <row r="17329" spans="104:111">
      <c r="CZ17329" s="256"/>
      <c r="DG17329" s="256"/>
    </row>
    <row r="17330" spans="104:111">
      <c r="CZ17330" s="256"/>
      <c r="DG17330" s="256"/>
    </row>
    <row r="17331" spans="104:111">
      <c r="CZ17331" s="256"/>
      <c r="DG17331" s="256"/>
    </row>
    <row r="17332" spans="104:111">
      <c r="CZ17332" s="256"/>
      <c r="DG17332" s="256"/>
    </row>
    <row r="17333" spans="104:111">
      <c r="CZ17333" s="256"/>
      <c r="DG17333" s="256"/>
    </row>
    <row r="17334" spans="104:111">
      <c r="CZ17334" s="256"/>
      <c r="DG17334" s="256"/>
    </row>
    <row r="17335" spans="104:111">
      <c r="CZ17335" s="256"/>
      <c r="DG17335" s="256"/>
    </row>
    <row r="17336" spans="104:111">
      <c r="CZ17336" s="256"/>
      <c r="DG17336" s="256"/>
    </row>
    <row r="17337" spans="104:111">
      <c r="CZ17337" s="256"/>
      <c r="DG17337" s="256"/>
    </row>
    <row r="17338" spans="104:111">
      <c r="CZ17338" s="256"/>
      <c r="DG17338" s="256"/>
    </row>
    <row r="17339" spans="104:111">
      <c r="CZ17339" s="256"/>
      <c r="DG17339" s="256"/>
    </row>
    <row r="17340" spans="104:111">
      <c r="CZ17340" s="256"/>
      <c r="DG17340" s="256"/>
    </row>
    <row r="17341" spans="104:111">
      <c r="CZ17341" s="256"/>
      <c r="DG17341" s="256"/>
    </row>
    <row r="17342" spans="104:111">
      <c r="CZ17342" s="256"/>
      <c r="DG17342" s="256"/>
    </row>
    <row r="17343" spans="104:111">
      <c r="CZ17343" s="256"/>
      <c r="DG17343" s="256"/>
    </row>
    <row r="17344" spans="104:111">
      <c r="CZ17344" s="256"/>
      <c r="DG17344" s="256"/>
    </row>
    <row r="17345" spans="104:111">
      <c r="CZ17345" s="256"/>
      <c r="DG17345" s="256"/>
    </row>
    <row r="17346" spans="104:111">
      <c r="CZ17346" s="256"/>
      <c r="DG17346" s="256"/>
    </row>
    <row r="17347" spans="104:111">
      <c r="CZ17347" s="256"/>
      <c r="DG17347" s="256"/>
    </row>
    <row r="17348" spans="104:111">
      <c r="CZ17348" s="256"/>
      <c r="DG17348" s="256"/>
    </row>
    <row r="17349" spans="104:111">
      <c r="CZ17349" s="256"/>
      <c r="DG17349" s="256"/>
    </row>
    <row r="17350" spans="104:111">
      <c r="CZ17350" s="256"/>
      <c r="DG17350" s="256"/>
    </row>
    <row r="17351" spans="104:111">
      <c r="CZ17351" s="256"/>
      <c r="DG17351" s="256"/>
    </row>
    <row r="17352" spans="104:111">
      <c r="CZ17352" s="256"/>
      <c r="DG17352" s="256"/>
    </row>
    <row r="17353" spans="104:111">
      <c r="CZ17353" s="256"/>
      <c r="DG17353" s="256"/>
    </row>
    <row r="17354" spans="104:111">
      <c r="CZ17354" s="256"/>
      <c r="DG17354" s="256"/>
    </row>
    <row r="17355" spans="104:111">
      <c r="CZ17355" s="256"/>
      <c r="DG17355" s="256"/>
    </row>
    <row r="17356" spans="104:111">
      <c r="CZ17356" s="256"/>
      <c r="DG17356" s="256"/>
    </row>
    <row r="17357" spans="104:111">
      <c r="CZ17357" s="256"/>
      <c r="DG17357" s="256"/>
    </row>
    <row r="17358" spans="104:111">
      <c r="CZ17358" s="256"/>
      <c r="DG17358" s="256"/>
    </row>
    <row r="17359" spans="104:111">
      <c r="CZ17359" s="256"/>
      <c r="DG17359" s="256"/>
    </row>
    <row r="17360" spans="104:111">
      <c r="CZ17360" s="256"/>
      <c r="DG17360" s="256"/>
    </row>
    <row r="17361" spans="104:111">
      <c r="CZ17361" s="256"/>
      <c r="DG17361" s="256"/>
    </row>
    <row r="17362" spans="104:111">
      <c r="CZ17362" s="256"/>
      <c r="DG17362" s="256"/>
    </row>
    <row r="17363" spans="104:111">
      <c r="CZ17363" s="256"/>
      <c r="DG17363" s="256"/>
    </row>
    <row r="17364" spans="104:111">
      <c r="CZ17364" s="256"/>
      <c r="DG17364" s="256"/>
    </row>
    <row r="17365" spans="104:111">
      <c r="CZ17365" s="256"/>
      <c r="DG17365" s="256"/>
    </row>
    <row r="17366" spans="104:111">
      <c r="CZ17366" s="256"/>
      <c r="DG17366" s="256"/>
    </row>
    <row r="17367" spans="104:111">
      <c r="CZ17367" s="256"/>
      <c r="DG17367" s="256"/>
    </row>
    <row r="17368" spans="104:111">
      <c r="CZ17368" s="256"/>
      <c r="DG17368" s="256"/>
    </row>
    <row r="17369" spans="104:111">
      <c r="CZ17369" s="256"/>
      <c r="DG17369" s="256"/>
    </row>
    <row r="17370" spans="104:111">
      <c r="CZ17370" s="256"/>
      <c r="DG17370" s="256"/>
    </row>
    <row r="17371" spans="104:111">
      <c r="CZ17371" s="256"/>
      <c r="DG17371" s="256"/>
    </row>
    <row r="17372" spans="104:111">
      <c r="CZ17372" s="256"/>
      <c r="DG17372" s="256"/>
    </row>
    <row r="17373" spans="104:111">
      <c r="CZ17373" s="256"/>
      <c r="DG17373" s="256"/>
    </row>
    <row r="17374" spans="104:111">
      <c r="CZ17374" s="256"/>
      <c r="DG17374" s="256"/>
    </row>
    <row r="17375" spans="104:111">
      <c r="CZ17375" s="256"/>
      <c r="DG17375" s="256"/>
    </row>
    <row r="17376" spans="104:111">
      <c r="CZ17376" s="256"/>
      <c r="DG17376" s="256"/>
    </row>
    <row r="17377" spans="104:111">
      <c r="CZ17377" s="256"/>
      <c r="DG17377" s="256"/>
    </row>
    <row r="17378" spans="104:111">
      <c r="CZ17378" s="256"/>
      <c r="DG17378" s="256"/>
    </row>
    <row r="17379" spans="104:111">
      <c r="CZ17379" s="256"/>
      <c r="DG17379" s="256"/>
    </row>
    <row r="17380" spans="104:111">
      <c r="CZ17380" s="256"/>
      <c r="DG17380" s="256"/>
    </row>
    <row r="17381" spans="104:111">
      <c r="CZ17381" s="256"/>
      <c r="DG17381" s="256"/>
    </row>
    <row r="17382" spans="104:111">
      <c r="CZ17382" s="256"/>
      <c r="DG17382" s="256"/>
    </row>
    <row r="17383" spans="104:111">
      <c r="CZ17383" s="256"/>
      <c r="DG17383" s="256"/>
    </row>
    <row r="17384" spans="104:111">
      <c r="CZ17384" s="256"/>
      <c r="DG17384" s="256"/>
    </row>
    <row r="17385" spans="104:111">
      <c r="CZ17385" s="256"/>
      <c r="DG17385" s="256"/>
    </row>
    <row r="17386" spans="104:111">
      <c r="CZ17386" s="256"/>
      <c r="DG17386" s="256"/>
    </row>
    <row r="17387" spans="104:111">
      <c r="CZ17387" s="256"/>
      <c r="DG17387" s="256"/>
    </row>
    <row r="17388" spans="104:111">
      <c r="CZ17388" s="256"/>
      <c r="DG17388" s="256"/>
    </row>
    <row r="17389" spans="104:111">
      <c r="CZ17389" s="256"/>
      <c r="DG17389" s="256"/>
    </row>
    <row r="17390" spans="104:111">
      <c r="CZ17390" s="256"/>
      <c r="DG17390" s="256"/>
    </row>
    <row r="17391" spans="104:111">
      <c r="CZ17391" s="256"/>
      <c r="DG17391" s="256"/>
    </row>
    <row r="17392" spans="104:111">
      <c r="CZ17392" s="256"/>
      <c r="DG17392" s="256"/>
    </row>
    <row r="17393" spans="104:111">
      <c r="CZ17393" s="256"/>
      <c r="DG17393" s="256"/>
    </row>
    <row r="17394" spans="104:111">
      <c r="CZ17394" s="256"/>
      <c r="DG17394" s="256"/>
    </row>
    <row r="17395" spans="104:111">
      <c r="CZ17395" s="256"/>
      <c r="DG17395" s="256"/>
    </row>
    <row r="17396" spans="104:111">
      <c r="CZ17396" s="256"/>
      <c r="DG17396" s="256"/>
    </row>
    <row r="17397" spans="104:111">
      <c r="CZ17397" s="256"/>
      <c r="DG17397" s="256"/>
    </row>
    <row r="17398" spans="104:111">
      <c r="CZ17398" s="256"/>
      <c r="DG17398" s="256"/>
    </row>
    <row r="17399" spans="104:111">
      <c r="CZ17399" s="256"/>
      <c r="DG17399" s="256"/>
    </row>
    <row r="17400" spans="104:111">
      <c r="CZ17400" s="256"/>
      <c r="DG17400" s="256"/>
    </row>
    <row r="17401" spans="104:111">
      <c r="CZ17401" s="256"/>
      <c r="DG17401" s="256"/>
    </row>
    <row r="17402" spans="104:111">
      <c r="CZ17402" s="256"/>
      <c r="DG17402" s="256"/>
    </row>
    <row r="17403" spans="104:111">
      <c r="CZ17403" s="256"/>
      <c r="DG17403" s="256"/>
    </row>
    <row r="17404" spans="104:111">
      <c r="CZ17404" s="256"/>
      <c r="DG17404" s="256"/>
    </row>
    <row r="17405" spans="104:111">
      <c r="CZ17405" s="256"/>
      <c r="DG17405" s="256"/>
    </row>
    <row r="17406" spans="104:111">
      <c r="CZ17406" s="256"/>
      <c r="DG17406" s="256"/>
    </row>
    <row r="17407" spans="104:111">
      <c r="CZ17407" s="256"/>
      <c r="DG17407" s="256"/>
    </row>
    <row r="17408" spans="104:111">
      <c r="CZ17408" s="256"/>
      <c r="DG17408" s="256"/>
    </row>
    <row r="17409" spans="104:111">
      <c r="CZ17409" s="256"/>
      <c r="DG17409" s="256"/>
    </row>
    <row r="17410" spans="104:111">
      <c r="CZ17410" s="256"/>
      <c r="DG17410" s="256"/>
    </row>
    <row r="17411" spans="104:111">
      <c r="CZ17411" s="256"/>
      <c r="DG17411" s="256"/>
    </row>
    <row r="17412" spans="104:111">
      <c r="CZ17412" s="256"/>
      <c r="DG17412" s="256"/>
    </row>
    <row r="17413" spans="104:111">
      <c r="CZ17413" s="256"/>
      <c r="DG17413" s="256"/>
    </row>
    <row r="17414" spans="104:111">
      <c r="CZ17414" s="256"/>
      <c r="DG17414" s="256"/>
    </row>
    <row r="17415" spans="104:111">
      <c r="CZ17415" s="256"/>
      <c r="DG17415" s="256"/>
    </row>
    <row r="17416" spans="104:111">
      <c r="CZ17416" s="256"/>
      <c r="DG17416" s="256"/>
    </row>
    <row r="17417" spans="104:111">
      <c r="CZ17417" s="256"/>
      <c r="DG17417" s="256"/>
    </row>
    <row r="17418" spans="104:111">
      <c r="CZ17418" s="256"/>
      <c r="DG17418" s="256"/>
    </row>
    <row r="17419" spans="104:111">
      <c r="CZ17419" s="256"/>
      <c r="DG17419" s="256"/>
    </row>
    <row r="17420" spans="104:111">
      <c r="CZ17420" s="256"/>
      <c r="DG17420" s="256"/>
    </row>
    <row r="17421" spans="104:111">
      <c r="CZ17421" s="256"/>
      <c r="DG17421" s="256"/>
    </row>
    <row r="17422" spans="104:111">
      <c r="CZ17422" s="256"/>
      <c r="DG17422" s="256"/>
    </row>
    <row r="17423" spans="104:111">
      <c r="CZ17423" s="256"/>
      <c r="DG17423" s="256"/>
    </row>
    <row r="17424" spans="104:111">
      <c r="CZ17424" s="256"/>
      <c r="DG17424" s="256"/>
    </row>
    <row r="17425" spans="104:111">
      <c r="CZ17425" s="256"/>
      <c r="DG17425" s="256"/>
    </row>
    <row r="17426" spans="104:111">
      <c r="CZ17426" s="256"/>
      <c r="DG17426" s="256"/>
    </row>
    <row r="17427" spans="104:111">
      <c r="CZ17427" s="256"/>
      <c r="DG17427" s="256"/>
    </row>
    <row r="17428" spans="104:111">
      <c r="CZ17428" s="256"/>
      <c r="DG17428" s="256"/>
    </row>
    <row r="17429" spans="104:111">
      <c r="CZ17429" s="256"/>
      <c r="DG17429" s="256"/>
    </row>
    <row r="17430" spans="104:111">
      <c r="CZ17430" s="256"/>
      <c r="DG17430" s="256"/>
    </row>
    <row r="17431" spans="104:111">
      <c r="CZ17431" s="256"/>
      <c r="DG17431" s="256"/>
    </row>
    <row r="17432" spans="104:111">
      <c r="CZ17432" s="256"/>
      <c r="DG17432" s="256"/>
    </row>
    <row r="17433" spans="104:111">
      <c r="CZ17433" s="256"/>
      <c r="DG17433" s="256"/>
    </row>
    <row r="17434" spans="104:111">
      <c r="CZ17434" s="256"/>
      <c r="DG17434" s="256"/>
    </row>
    <row r="17435" spans="104:111">
      <c r="CZ17435" s="256"/>
      <c r="DG17435" s="256"/>
    </row>
    <row r="17436" spans="104:111">
      <c r="CZ17436" s="256"/>
      <c r="DG17436" s="256"/>
    </row>
    <row r="17437" spans="104:111">
      <c r="CZ17437" s="256"/>
      <c r="DG17437" s="256"/>
    </row>
    <row r="17438" spans="104:111">
      <c r="CZ17438" s="256"/>
      <c r="DG17438" s="256"/>
    </row>
    <row r="17439" spans="104:111">
      <c r="CZ17439" s="256"/>
      <c r="DG17439" s="256"/>
    </row>
    <row r="17440" spans="104:111">
      <c r="CZ17440" s="256"/>
      <c r="DG17440" s="256"/>
    </row>
    <row r="17441" spans="104:111">
      <c r="CZ17441" s="256"/>
      <c r="DG17441" s="256"/>
    </row>
    <row r="17442" spans="104:111">
      <c r="CZ17442" s="256"/>
      <c r="DG17442" s="256"/>
    </row>
    <row r="17443" spans="104:111">
      <c r="CZ17443" s="256"/>
      <c r="DG17443" s="256"/>
    </row>
    <row r="17444" spans="104:111">
      <c r="CZ17444" s="256"/>
      <c r="DG17444" s="256"/>
    </row>
    <row r="17445" spans="104:111">
      <c r="CZ17445" s="256"/>
      <c r="DG17445" s="256"/>
    </row>
    <row r="17446" spans="104:111">
      <c r="CZ17446" s="256"/>
      <c r="DG17446" s="256"/>
    </row>
    <row r="17447" spans="104:111">
      <c r="CZ17447" s="256"/>
      <c r="DG17447" s="256"/>
    </row>
    <row r="17448" spans="104:111">
      <c r="CZ17448" s="256"/>
      <c r="DG17448" s="256"/>
    </row>
    <row r="17449" spans="104:111">
      <c r="CZ17449" s="256"/>
      <c r="DG17449" s="256"/>
    </row>
    <row r="17450" spans="104:111">
      <c r="CZ17450" s="256"/>
      <c r="DG17450" s="256"/>
    </row>
    <row r="17451" spans="104:111">
      <c r="CZ17451" s="256"/>
      <c r="DG17451" s="256"/>
    </row>
    <row r="17452" spans="104:111">
      <c r="CZ17452" s="256"/>
      <c r="DG17452" s="256"/>
    </row>
    <row r="17453" spans="104:111">
      <c r="CZ17453" s="256"/>
      <c r="DG17453" s="256"/>
    </row>
    <row r="17454" spans="104:111">
      <c r="CZ17454" s="256"/>
      <c r="DG17454" s="256"/>
    </row>
    <row r="17455" spans="104:111">
      <c r="CZ17455" s="256"/>
      <c r="DG17455" s="256"/>
    </row>
    <row r="17456" spans="104:111">
      <c r="CZ17456" s="256"/>
      <c r="DG17456" s="256"/>
    </row>
    <row r="17457" spans="104:111">
      <c r="CZ17457" s="256"/>
      <c r="DG17457" s="256"/>
    </row>
    <row r="17458" spans="104:111">
      <c r="CZ17458" s="256"/>
      <c r="DG17458" s="256"/>
    </row>
    <row r="17459" spans="104:111">
      <c r="CZ17459" s="256"/>
      <c r="DG17459" s="256"/>
    </row>
    <row r="17460" spans="104:111">
      <c r="CZ17460" s="256"/>
      <c r="DG17460" s="256"/>
    </row>
    <row r="17461" spans="104:111">
      <c r="CZ17461" s="256"/>
      <c r="DG17461" s="256"/>
    </row>
    <row r="17462" spans="104:111">
      <c r="CZ17462" s="256"/>
      <c r="DG17462" s="256"/>
    </row>
    <row r="17463" spans="104:111">
      <c r="CZ17463" s="256"/>
      <c r="DG17463" s="256"/>
    </row>
    <row r="17464" spans="104:111">
      <c r="CZ17464" s="256"/>
      <c r="DG17464" s="256"/>
    </row>
    <row r="17465" spans="104:111">
      <c r="CZ17465" s="256"/>
      <c r="DG17465" s="256"/>
    </row>
    <row r="17466" spans="104:111">
      <c r="CZ17466" s="256"/>
      <c r="DG17466" s="256"/>
    </row>
    <row r="17467" spans="104:111">
      <c r="CZ17467" s="256"/>
      <c r="DG17467" s="256"/>
    </row>
    <row r="17468" spans="104:111">
      <c r="CZ17468" s="256"/>
      <c r="DG17468" s="256"/>
    </row>
    <row r="17469" spans="104:111">
      <c r="CZ17469" s="256"/>
      <c r="DG17469" s="256"/>
    </row>
    <row r="17470" spans="104:111">
      <c r="CZ17470" s="256"/>
      <c r="DG17470" s="256"/>
    </row>
    <row r="17471" spans="104:111">
      <c r="CZ17471" s="256"/>
      <c r="DG17471" s="256"/>
    </row>
    <row r="17472" spans="104:111">
      <c r="CZ17472" s="256"/>
      <c r="DG17472" s="256"/>
    </row>
    <row r="17473" spans="104:111">
      <c r="CZ17473" s="256"/>
      <c r="DG17473" s="256"/>
    </row>
    <row r="17474" spans="104:111">
      <c r="CZ17474" s="256"/>
      <c r="DG17474" s="256"/>
    </row>
    <row r="17475" spans="104:111">
      <c r="CZ17475" s="256"/>
      <c r="DG17475" s="256"/>
    </row>
    <row r="17476" spans="104:111">
      <c r="CZ17476" s="256"/>
      <c r="DG17476" s="256"/>
    </row>
    <row r="17477" spans="104:111">
      <c r="CZ17477" s="256"/>
      <c r="DG17477" s="256"/>
    </row>
    <row r="17478" spans="104:111">
      <c r="CZ17478" s="256"/>
      <c r="DG17478" s="256"/>
    </row>
    <row r="17479" spans="104:111">
      <c r="CZ17479" s="256"/>
      <c r="DG17479" s="256"/>
    </row>
    <row r="17480" spans="104:111">
      <c r="CZ17480" s="256"/>
      <c r="DG17480" s="256"/>
    </row>
    <row r="17481" spans="104:111">
      <c r="CZ17481" s="256"/>
      <c r="DG17481" s="256"/>
    </row>
    <row r="17482" spans="104:111">
      <c r="CZ17482" s="256"/>
      <c r="DG17482" s="256"/>
    </row>
    <row r="17483" spans="104:111">
      <c r="CZ17483" s="256"/>
      <c r="DG17483" s="256"/>
    </row>
    <row r="17484" spans="104:111">
      <c r="CZ17484" s="256"/>
      <c r="DG17484" s="256"/>
    </row>
    <row r="17485" spans="104:111">
      <c r="CZ17485" s="256"/>
      <c r="DG17485" s="256"/>
    </row>
    <row r="17486" spans="104:111">
      <c r="CZ17486" s="256"/>
      <c r="DG17486" s="256"/>
    </row>
    <row r="17487" spans="104:111">
      <c r="CZ17487" s="256"/>
      <c r="DG17487" s="256"/>
    </row>
    <row r="17488" spans="104:111">
      <c r="CZ17488" s="256"/>
      <c r="DG17488" s="256"/>
    </row>
    <row r="17489" spans="104:111">
      <c r="CZ17489" s="256"/>
      <c r="DG17489" s="256"/>
    </row>
    <row r="17490" spans="104:111">
      <c r="CZ17490" s="256"/>
      <c r="DG17490" s="256"/>
    </row>
    <row r="17491" spans="104:111">
      <c r="CZ17491" s="256"/>
      <c r="DG17491" s="256"/>
    </row>
    <row r="17492" spans="104:111">
      <c r="CZ17492" s="256"/>
      <c r="DG17492" s="256"/>
    </row>
    <row r="17493" spans="104:111">
      <c r="CZ17493" s="256"/>
      <c r="DG17493" s="256"/>
    </row>
    <row r="17494" spans="104:111">
      <c r="CZ17494" s="256"/>
      <c r="DG17494" s="256"/>
    </row>
    <row r="17495" spans="104:111">
      <c r="CZ17495" s="256"/>
      <c r="DG17495" s="256"/>
    </row>
    <row r="17496" spans="104:111">
      <c r="CZ17496" s="256"/>
      <c r="DG17496" s="256"/>
    </row>
    <row r="17497" spans="104:111">
      <c r="CZ17497" s="256"/>
      <c r="DG17497" s="256"/>
    </row>
    <row r="17498" spans="104:111">
      <c r="CZ17498" s="256"/>
      <c r="DG17498" s="256"/>
    </row>
    <row r="17499" spans="104:111">
      <c r="CZ17499" s="256"/>
      <c r="DG17499" s="256"/>
    </row>
    <row r="17500" spans="104:111">
      <c r="CZ17500" s="256"/>
      <c r="DG17500" s="256"/>
    </row>
    <row r="17501" spans="104:111">
      <c r="CZ17501" s="256"/>
      <c r="DG17501" s="256"/>
    </row>
    <row r="17502" spans="104:111">
      <c r="CZ17502" s="256"/>
      <c r="DG17502" s="256"/>
    </row>
    <row r="17503" spans="104:111">
      <c r="CZ17503" s="256"/>
      <c r="DG17503" s="256"/>
    </row>
    <row r="17504" spans="104:111">
      <c r="CZ17504" s="256"/>
      <c r="DG17504" s="256"/>
    </row>
    <row r="17505" spans="104:111">
      <c r="CZ17505" s="256"/>
      <c r="DG17505" s="256"/>
    </row>
    <row r="17506" spans="104:111">
      <c r="CZ17506" s="256"/>
      <c r="DG17506" s="256"/>
    </row>
    <row r="17507" spans="104:111">
      <c r="CZ17507" s="256"/>
      <c r="DG17507" s="256"/>
    </row>
    <row r="17508" spans="104:111">
      <c r="CZ17508" s="256"/>
      <c r="DG17508" s="256"/>
    </row>
    <row r="17509" spans="104:111">
      <c r="CZ17509" s="256"/>
      <c r="DG17509" s="256"/>
    </row>
    <row r="17510" spans="104:111">
      <c r="CZ17510" s="256"/>
      <c r="DG17510" s="256"/>
    </row>
    <row r="17511" spans="104:111">
      <c r="CZ17511" s="256"/>
      <c r="DG17511" s="256"/>
    </row>
    <row r="17512" spans="104:111">
      <c r="CZ17512" s="256"/>
      <c r="DG17512" s="256"/>
    </row>
    <row r="17513" spans="104:111">
      <c r="CZ17513" s="256"/>
      <c r="DG17513" s="256"/>
    </row>
    <row r="17514" spans="104:111">
      <c r="CZ17514" s="256"/>
      <c r="DG17514" s="256"/>
    </row>
    <row r="17515" spans="104:111">
      <c r="CZ17515" s="256"/>
      <c r="DG17515" s="256"/>
    </row>
    <row r="17516" spans="104:111">
      <c r="CZ17516" s="256"/>
      <c r="DG17516" s="256"/>
    </row>
    <row r="17517" spans="104:111">
      <c r="CZ17517" s="256"/>
      <c r="DG17517" s="256"/>
    </row>
    <row r="17518" spans="104:111">
      <c r="CZ17518" s="256"/>
      <c r="DG17518" s="256"/>
    </row>
    <row r="17519" spans="104:111">
      <c r="CZ17519" s="256"/>
      <c r="DG17519" s="256"/>
    </row>
    <row r="17520" spans="104:111">
      <c r="CZ17520" s="256"/>
      <c r="DG17520" s="256"/>
    </row>
    <row r="17521" spans="104:111">
      <c r="CZ17521" s="256"/>
      <c r="DG17521" s="256"/>
    </row>
    <row r="17522" spans="104:111">
      <c r="CZ17522" s="256"/>
      <c r="DG17522" s="256"/>
    </row>
    <row r="17523" spans="104:111">
      <c r="CZ17523" s="256"/>
      <c r="DG17523" s="256"/>
    </row>
    <row r="17524" spans="104:111">
      <c r="CZ17524" s="256"/>
      <c r="DG17524" s="256"/>
    </row>
    <row r="17525" spans="104:111">
      <c r="CZ17525" s="256"/>
      <c r="DG17525" s="256"/>
    </row>
    <row r="17526" spans="104:111">
      <c r="CZ17526" s="256"/>
      <c r="DG17526" s="256"/>
    </row>
    <row r="17527" spans="104:111">
      <c r="CZ17527" s="256"/>
      <c r="DG17527" s="256"/>
    </row>
    <row r="17528" spans="104:111">
      <c r="CZ17528" s="256"/>
      <c r="DG17528" s="256"/>
    </row>
    <row r="17529" spans="104:111">
      <c r="CZ17529" s="256"/>
      <c r="DG17529" s="256"/>
    </row>
    <row r="17530" spans="104:111">
      <c r="CZ17530" s="256"/>
      <c r="DG17530" s="256"/>
    </row>
    <row r="17531" spans="104:111">
      <c r="CZ17531" s="256"/>
      <c r="DG17531" s="256"/>
    </row>
    <row r="17532" spans="104:111">
      <c r="CZ17532" s="256"/>
      <c r="DG17532" s="256"/>
    </row>
    <row r="17533" spans="104:111">
      <c r="CZ17533" s="256"/>
      <c r="DG17533" s="256"/>
    </row>
    <row r="17534" spans="104:111">
      <c r="CZ17534" s="256"/>
      <c r="DG17534" s="256"/>
    </row>
    <row r="17535" spans="104:111">
      <c r="CZ17535" s="256"/>
      <c r="DG17535" s="256"/>
    </row>
    <row r="17536" spans="104:111">
      <c r="CZ17536" s="256"/>
      <c r="DG17536" s="256"/>
    </row>
    <row r="17537" spans="104:111">
      <c r="CZ17537" s="256"/>
      <c r="DG17537" s="256"/>
    </row>
    <row r="17538" spans="104:111">
      <c r="CZ17538" s="256"/>
      <c r="DG17538" s="256"/>
    </row>
    <row r="17539" spans="104:111">
      <c r="CZ17539" s="256"/>
      <c r="DG17539" s="256"/>
    </row>
    <row r="17540" spans="104:111">
      <c r="CZ17540" s="256"/>
      <c r="DG17540" s="256"/>
    </row>
    <row r="17541" spans="104:111">
      <c r="CZ17541" s="256"/>
      <c r="DG17541" s="256"/>
    </row>
    <row r="17542" spans="104:111">
      <c r="CZ17542" s="256"/>
      <c r="DG17542" s="256"/>
    </row>
    <row r="17543" spans="104:111">
      <c r="CZ17543" s="256"/>
      <c r="DG17543" s="256"/>
    </row>
    <row r="17544" spans="104:111">
      <c r="CZ17544" s="256"/>
      <c r="DG17544" s="256"/>
    </row>
    <row r="17545" spans="104:111">
      <c r="CZ17545" s="256"/>
      <c r="DG17545" s="256"/>
    </row>
    <row r="17546" spans="104:111">
      <c r="CZ17546" s="256"/>
      <c r="DG17546" s="256"/>
    </row>
    <row r="17547" spans="104:111">
      <c r="CZ17547" s="256"/>
      <c r="DG17547" s="256"/>
    </row>
    <row r="17548" spans="104:111">
      <c r="CZ17548" s="256"/>
      <c r="DG17548" s="256"/>
    </row>
    <row r="17549" spans="104:111">
      <c r="CZ17549" s="256"/>
      <c r="DG17549" s="256"/>
    </row>
    <row r="17550" spans="104:111">
      <c r="CZ17550" s="256"/>
      <c r="DG17550" s="256"/>
    </row>
    <row r="17551" spans="104:111">
      <c r="CZ17551" s="256"/>
      <c r="DG17551" s="256"/>
    </row>
    <row r="17552" spans="104:111">
      <c r="CZ17552" s="256"/>
      <c r="DG17552" s="256"/>
    </row>
    <row r="17553" spans="104:111">
      <c r="CZ17553" s="256"/>
      <c r="DG17553" s="256"/>
    </row>
    <row r="17554" spans="104:111">
      <c r="CZ17554" s="256"/>
      <c r="DG17554" s="256"/>
    </row>
    <row r="17555" spans="104:111">
      <c r="CZ17555" s="256"/>
      <c r="DG17555" s="256"/>
    </row>
    <row r="17556" spans="104:111">
      <c r="CZ17556" s="256"/>
      <c r="DG17556" s="256"/>
    </row>
    <row r="17557" spans="104:111">
      <c r="CZ17557" s="256"/>
      <c r="DG17557" s="256"/>
    </row>
    <row r="17558" spans="104:111">
      <c r="CZ17558" s="256"/>
      <c r="DG17558" s="256"/>
    </row>
    <row r="17559" spans="104:111">
      <c r="CZ17559" s="256"/>
      <c r="DG17559" s="256"/>
    </row>
    <row r="17560" spans="104:111">
      <c r="CZ17560" s="256"/>
      <c r="DG17560" s="256"/>
    </row>
    <row r="17561" spans="104:111">
      <c r="CZ17561" s="256"/>
      <c r="DG17561" s="256"/>
    </row>
    <row r="17562" spans="104:111">
      <c r="CZ17562" s="256"/>
      <c r="DG17562" s="256"/>
    </row>
    <row r="17563" spans="104:111">
      <c r="CZ17563" s="256"/>
      <c r="DG17563" s="256"/>
    </row>
    <row r="17564" spans="104:111">
      <c r="CZ17564" s="256"/>
      <c r="DG17564" s="256"/>
    </row>
    <row r="17565" spans="104:111">
      <c r="CZ17565" s="256"/>
      <c r="DG17565" s="256"/>
    </row>
    <row r="17566" spans="104:111">
      <c r="CZ17566" s="256"/>
      <c r="DG17566" s="256"/>
    </row>
    <row r="17567" spans="104:111">
      <c r="CZ17567" s="256"/>
      <c r="DG17567" s="256"/>
    </row>
    <row r="17568" spans="104:111">
      <c r="CZ17568" s="256"/>
      <c r="DG17568" s="256"/>
    </row>
    <row r="17569" spans="104:111">
      <c r="CZ17569" s="256"/>
      <c r="DG17569" s="256"/>
    </row>
    <row r="17570" spans="104:111">
      <c r="CZ17570" s="256"/>
      <c r="DG17570" s="256"/>
    </row>
    <row r="17571" spans="104:111">
      <c r="CZ17571" s="256"/>
      <c r="DG17571" s="256"/>
    </row>
    <row r="17572" spans="104:111">
      <c r="CZ17572" s="256"/>
      <c r="DG17572" s="256"/>
    </row>
    <row r="17573" spans="104:111">
      <c r="CZ17573" s="256"/>
      <c r="DG17573" s="256"/>
    </row>
    <row r="17574" spans="104:111">
      <c r="CZ17574" s="256"/>
      <c r="DG17574" s="256"/>
    </row>
    <row r="17575" spans="104:111">
      <c r="CZ17575" s="256"/>
      <c r="DG17575" s="256"/>
    </row>
    <row r="17576" spans="104:111">
      <c r="CZ17576" s="256"/>
      <c r="DG17576" s="256"/>
    </row>
    <row r="17577" spans="104:111">
      <c r="CZ17577" s="256"/>
      <c r="DG17577" s="256"/>
    </row>
    <row r="17578" spans="104:111">
      <c r="CZ17578" s="256"/>
      <c r="DG17578" s="256"/>
    </row>
    <row r="17579" spans="104:111">
      <c r="CZ17579" s="256"/>
      <c r="DG17579" s="256"/>
    </row>
    <row r="17580" spans="104:111">
      <c r="CZ17580" s="256"/>
      <c r="DG17580" s="256"/>
    </row>
    <row r="17581" spans="104:111">
      <c r="CZ17581" s="256"/>
      <c r="DG17581" s="256"/>
    </row>
    <row r="17582" spans="104:111">
      <c r="CZ17582" s="256"/>
      <c r="DG17582" s="256"/>
    </row>
    <row r="17583" spans="104:111">
      <c r="CZ17583" s="256"/>
      <c r="DG17583" s="256"/>
    </row>
    <row r="17584" spans="104:111">
      <c r="CZ17584" s="256"/>
      <c r="DG17584" s="256"/>
    </row>
    <row r="17585" spans="104:111">
      <c r="CZ17585" s="256"/>
      <c r="DG17585" s="256"/>
    </row>
    <row r="17586" spans="104:111">
      <c r="CZ17586" s="256"/>
      <c r="DG17586" s="256"/>
    </row>
    <row r="17587" spans="104:111">
      <c r="CZ17587" s="256"/>
      <c r="DG17587" s="256"/>
    </row>
    <row r="17588" spans="104:111">
      <c r="CZ17588" s="256"/>
      <c r="DG17588" s="256"/>
    </row>
    <row r="17589" spans="104:111">
      <c r="CZ17589" s="256"/>
      <c r="DG17589" s="256"/>
    </row>
    <row r="17590" spans="104:111">
      <c r="CZ17590" s="256"/>
      <c r="DG17590" s="256"/>
    </row>
    <row r="17591" spans="104:111">
      <c r="CZ17591" s="256"/>
      <c r="DG17591" s="256"/>
    </row>
    <row r="17592" spans="104:111">
      <c r="CZ17592" s="256"/>
      <c r="DG17592" s="256"/>
    </row>
    <row r="17593" spans="104:111">
      <c r="CZ17593" s="256"/>
      <c r="DG17593" s="256"/>
    </row>
    <row r="17594" spans="104:111">
      <c r="CZ17594" s="256"/>
      <c r="DG17594" s="256"/>
    </row>
    <row r="17595" spans="104:111">
      <c r="CZ17595" s="256"/>
      <c r="DG17595" s="256"/>
    </row>
    <row r="17596" spans="104:111">
      <c r="CZ17596" s="256"/>
      <c r="DG17596" s="256"/>
    </row>
    <row r="17597" spans="104:111">
      <c r="CZ17597" s="256"/>
      <c r="DG17597" s="256"/>
    </row>
    <row r="17598" spans="104:111">
      <c r="CZ17598" s="256"/>
      <c r="DG17598" s="256"/>
    </row>
    <row r="17599" spans="104:111">
      <c r="CZ17599" s="256"/>
      <c r="DG17599" s="256"/>
    </row>
    <row r="17600" spans="104:111">
      <c r="CZ17600" s="256"/>
      <c r="DG17600" s="256"/>
    </row>
    <row r="17601" spans="104:111">
      <c r="CZ17601" s="256"/>
      <c r="DG17601" s="256"/>
    </row>
    <row r="17602" spans="104:111">
      <c r="CZ17602" s="256"/>
      <c r="DG17602" s="256"/>
    </row>
    <row r="17603" spans="104:111">
      <c r="CZ17603" s="256"/>
      <c r="DG17603" s="256"/>
    </row>
    <row r="17604" spans="104:111">
      <c r="CZ17604" s="256"/>
      <c r="DG17604" s="256"/>
    </row>
    <row r="17605" spans="104:111">
      <c r="CZ17605" s="256"/>
      <c r="DG17605" s="256"/>
    </row>
    <row r="17606" spans="104:111">
      <c r="CZ17606" s="256"/>
      <c r="DG17606" s="256"/>
    </row>
    <row r="17607" spans="104:111">
      <c r="CZ17607" s="256"/>
      <c r="DG17607" s="256"/>
    </row>
    <row r="17608" spans="104:111">
      <c r="CZ17608" s="256"/>
      <c r="DG17608" s="256"/>
    </row>
    <row r="17609" spans="104:111">
      <c r="CZ17609" s="256"/>
      <c r="DG17609" s="256"/>
    </row>
    <row r="17610" spans="104:111">
      <c r="CZ17610" s="256"/>
      <c r="DG17610" s="256"/>
    </row>
    <row r="17611" spans="104:111">
      <c r="CZ17611" s="256"/>
      <c r="DG17611" s="256"/>
    </row>
    <row r="17612" spans="104:111">
      <c r="CZ17612" s="256"/>
      <c r="DG17612" s="256"/>
    </row>
    <row r="17613" spans="104:111">
      <c r="CZ17613" s="256"/>
      <c r="DG17613" s="256"/>
    </row>
    <row r="17614" spans="104:111">
      <c r="CZ17614" s="256"/>
      <c r="DG17614" s="256"/>
    </row>
    <row r="17615" spans="104:111">
      <c r="CZ17615" s="256"/>
      <c r="DG17615" s="256"/>
    </row>
    <row r="17616" spans="104:111">
      <c r="CZ17616" s="256"/>
      <c r="DG17616" s="256"/>
    </row>
    <row r="17617" spans="104:111">
      <c r="CZ17617" s="256"/>
      <c r="DG17617" s="256"/>
    </row>
    <row r="17618" spans="104:111">
      <c r="CZ17618" s="256"/>
      <c r="DG17618" s="256"/>
    </row>
    <row r="17619" spans="104:111">
      <c r="CZ17619" s="256"/>
      <c r="DG17619" s="256"/>
    </row>
    <row r="17620" spans="104:111">
      <c r="CZ17620" s="256"/>
      <c r="DG17620" s="256"/>
    </row>
    <row r="17621" spans="104:111">
      <c r="CZ17621" s="256"/>
      <c r="DG17621" s="256"/>
    </row>
    <row r="17622" spans="104:111">
      <c r="CZ17622" s="256"/>
      <c r="DG17622" s="256"/>
    </row>
    <row r="17623" spans="104:111">
      <c r="CZ17623" s="256"/>
      <c r="DG17623" s="256"/>
    </row>
    <row r="17624" spans="104:111">
      <c r="CZ17624" s="256"/>
      <c r="DG17624" s="256"/>
    </row>
    <row r="17625" spans="104:111">
      <c r="CZ17625" s="256"/>
      <c r="DG17625" s="256"/>
    </row>
    <row r="17626" spans="104:111">
      <c r="CZ17626" s="256"/>
      <c r="DG17626" s="256"/>
    </row>
    <row r="17627" spans="104:111">
      <c r="CZ17627" s="256"/>
      <c r="DG17627" s="256"/>
    </row>
    <row r="17628" spans="104:111">
      <c r="CZ17628" s="256"/>
      <c r="DG17628" s="256"/>
    </row>
    <row r="17629" spans="104:111">
      <c r="CZ17629" s="256"/>
      <c r="DG17629" s="256"/>
    </row>
    <row r="17630" spans="104:111">
      <c r="CZ17630" s="256"/>
      <c r="DG17630" s="256"/>
    </row>
    <row r="17631" spans="104:111">
      <c r="CZ17631" s="256"/>
      <c r="DG17631" s="256"/>
    </row>
    <row r="17632" spans="104:111">
      <c r="CZ17632" s="256"/>
      <c r="DG17632" s="256"/>
    </row>
    <row r="17633" spans="104:111">
      <c r="CZ17633" s="256"/>
      <c r="DG17633" s="256"/>
    </row>
    <row r="17634" spans="104:111">
      <c r="CZ17634" s="256"/>
      <c r="DG17634" s="256"/>
    </row>
    <row r="17635" spans="104:111">
      <c r="CZ17635" s="256"/>
      <c r="DG17635" s="256"/>
    </row>
    <row r="17636" spans="104:111">
      <c r="CZ17636" s="256"/>
      <c r="DG17636" s="256"/>
    </row>
    <row r="17637" spans="104:111">
      <c r="CZ17637" s="256"/>
      <c r="DG17637" s="256"/>
    </row>
    <row r="17638" spans="104:111">
      <c r="CZ17638" s="256"/>
      <c r="DG17638" s="256"/>
    </row>
    <row r="17639" spans="104:111">
      <c r="CZ17639" s="256"/>
      <c r="DG17639" s="256"/>
    </row>
    <row r="17640" spans="104:111">
      <c r="CZ17640" s="256"/>
      <c r="DG17640" s="256"/>
    </row>
    <row r="17641" spans="104:111">
      <c r="CZ17641" s="256"/>
      <c r="DG17641" s="256"/>
    </row>
    <row r="17642" spans="104:111">
      <c r="CZ17642" s="256"/>
      <c r="DG17642" s="256"/>
    </row>
    <row r="17643" spans="104:111">
      <c r="CZ17643" s="256"/>
      <c r="DG17643" s="256"/>
    </row>
    <row r="17644" spans="104:111">
      <c r="CZ17644" s="256"/>
      <c r="DG17644" s="256"/>
    </row>
    <row r="17645" spans="104:111">
      <c r="CZ17645" s="256"/>
      <c r="DG17645" s="256"/>
    </row>
    <row r="17646" spans="104:111">
      <c r="CZ17646" s="256"/>
      <c r="DG17646" s="256"/>
    </row>
    <row r="17647" spans="104:111">
      <c r="CZ17647" s="256"/>
      <c r="DG17647" s="256"/>
    </row>
    <row r="17648" spans="104:111">
      <c r="CZ17648" s="256"/>
      <c r="DG17648" s="256"/>
    </row>
    <row r="17649" spans="104:111">
      <c r="CZ17649" s="256"/>
      <c r="DG17649" s="256"/>
    </row>
    <row r="17650" spans="104:111">
      <c r="CZ17650" s="256"/>
      <c r="DG17650" s="256"/>
    </row>
    <row r="17651" spans="104:111">
      <c r="CZ17651" s="256"/>
      <c r="DG17651" s="256"/>
    </row>
    <row r="17652" spans="104:111">
      <c r="CZ17652" s="256"/>
      <c r="DG17652" s="256"/>
    </row>
    <row r="17653" spans="104:111">
      <c r="CZ17653" s="256"/>
      <c r="DG17653" s="256"/>
    </row>
    <row r="17654" spans="104:111">
      <c r="CZ17654" s="256"/>
      <c r="DG17654" s="256"/>
    </row>
    <row r="17655" spans="104:111">
      <c r="CZ17655" s="256"/>
      <c r="DG17655" s="256"/>
    </row>
    <row r="17656" spans="104:111">
      <c r="CZ17656" s="256"/>
      <c r="DG17656" s="256"/>
    </row>
    <row r="17657" spans="104:111">
      <c r="CZ17657" s="256"/>
      <c r="DG17657" s="256"/>
    </row>
    <row r="17658" spans="104:111">
      <c r="CZ17658" s="256"/>
      <c r="DG17658" s="256"/>
    </row>
    <row r="17659" spans="104:111">
      <c r="CZ17659" s="256"/>
      <c r="DG17659" s="256"/>
    </row>
    <row r="17660" spans="104:111">
      <c r="CZ17660" s="256"/>
      <c r="DG17660" s="256"/>
    </row>
    <row r="17661" spans="104:111">
      <c r="CZ17661" s="256"/>
      <c r="DG17661" s="256"/>
    </row>
    <row r="17662" spans="104:111">
      <c r="CZ17662" s="256"/>
      <c r="DG17662" s="256"/>
    </row>
    <row r="17663" spans="104:111">
      <c r="CZ17663" s="256"/>
      <c r="DG17663" s="256"/>
    </row>
    <row r="17664" spans="104:111">
      <c r="CZ17664" s="256"/>
      <c r="DG17664" s="256"/>
    </row>
    <row r="17665" spans="104:111">
      <c r="CZ17665" s="256"/>
      <c r="DG17665" s="256"/>
    </row>
    <row r="17666" spans="104:111">
      <c r="CZ17666" s="256"/>
      <c r="DG17666" s="256"/>
    </row>
    <row r="17667" spans="104:111">
      <c r="CZ17667" s="256"/>
      <c r="DG17667" s="256"/>
    </row>
    <row r="17668" spans="104:111">
      <c r="CZ17668" s="256"/>
      <c r="DG17668" s="256"/>
    </row>
    <row r="17669" spans="104:111">
      <c r="CZ17669" s="256"/>
      <c r="DG17669" s="256"/>
    </row>
    <row r="17670" spans="104:111">
      <c r="CZ17670" s="256"/>
      <c r="DG17670" s="256"/>
    </row>
    <row r="17671" spans="104:111">
      <c r="CZ17671" s="256"/>
      <c r="DG17671" s="256"/>
    </row>
    <row r="17672" spans="104:111">
      <c r="CZ17672" s="256"/>
      <c r="DG17672" s="256"/>
    </row>
    <row r="17673" spans="104:111">
      <c r="CZ17673" s="256"/>
      <c r="DG17673" s="256"/>
    </row>
    <row r="17674" spans="104:111">
      <c r="CZ17674" s="256"/>
      <c r="DG17674" s="256"/>
    </row>
    <row r="17675" spans="104:111">
      <c r="CZ17675" s="256"/>
      <c r="DG17675" s="256"/>
    </row>
    <row r="17676" spans="104:111">
      <c r="CZ17676" s="256"/>
      <c r="DG17676" s="256"/>
    </row>
    <row r="17677" spans="104:111">
      <c r="CZ17677" s="256"/>
      <c r="DG17677" s="256"/>
    </row>
    <row r="17678" spans="104:111">
      <c r="CZ17678" s="256"/>
      <c r="DG17678" s="256"/>
    </row>
    <row r="17679" spans="104:111">
      <c r="CZ17679" s="256"/>
      <c r="DG17679" s="256"/>
    </row>
    <row r="17680" spans="104:111">
      <c r="CZ17680" s="256"/>
      <c r="DG17680" s="256"/>
    </row>
    <row r="17681" spans="104:111">
      <c r="CZ17681" s="256"/>
      <c r="DG17681" s="256"/>
    </row>
    <row r="17682" spans="104:111">
      <c r="CZ17682" s="256"/>
      <c r="DG17682" s="256"/>
    </row>
    <row r="17683" spans="104:111">
      <c r="CZ17683" s="256"/>
      <c r="DG17683" s="256"/>
    </row>
    <row r="17684" spans="104:111">
      <c r="CZ17684" s="256"/>
      <c r="DG17684" s="256"/>
    </row>
    <row r="17685" spans="104:111">
      <c r="CZ17685" s="256"/>
      <c r="DG17685" s="256"/>
    </row>
    <row r="17686" spans="104:111">
      <c r="CZ17686" s="256"/>
      <c r="DG17686" s="256"/>
    </row>
    <row r="17687" spans="104:111">
      <c r="CZ17687" s="256"/>
      <c r="DG17687" s="256"/>
    </row>
    <row r="17688" spans="104:111">
      <c r="CZ17688" s="256"/>
      <c r="DG17688" s="256"/>
    </row>
    <row r="17689" spans="104:111">
      <c r="CZ17689" s="256"/>
      <c r="DG17689" s="256"/>
    </row>
    <row r="17690" spans="104:111">
      <c r="CZ17690" s="256"/>
      <c r="DG17690" s="256"/>
    </row>
    <row r="17691" spans="104:111">
      <c r="CZ17691" s="256"/>
      <c r="DG17691" s="256"/>
    </row>
    <row r="17692" spans="104:111">
      <c r="CZ17692" s="256"/>
      <c r="DG17692" s="256"/>
    </row>
    <row r="17693" spans="104:111">
      <c r="CZ17693" s="256"/>
      <c r="DG17693" s="256"/>
    </row>
    <row r="17694" spans="104:111">
      <c r="CZ17694" s="256"/>
      <c r="DG17694" s="256"/>
    </row>
    <row r="17695" spans="104:111">
      <c r="CZ17695" s="256"/>
      <c r="DG17695" s="256"/>
    </row>
    <row r="17696" spans="104:111">
      <c r="CZ17696" s="256"/>
      <c r="DG17696" s="256"/>
    </row>
    <row r="17697" spans="104:111">
      <c r="CZ17697" s="256"/>
      <c r="DG17697" s="256"/>
    </row>
    <row r="17698" spans="104:111">
      <c r="CZ17698" s="256"/>
      <c r="DG17698" s="256"/>
    </row>
    <row r="17699" spans="104:111">
      <c r="CZ17699" s="256"/>
      <c r="DG17699" s="256"/>
    </row>
    <row r="17700" spans="104:111">
      <c r="CZ17700" s="256"/>
      <c r="DG17700" s="256"/>
    </row>
    <row r="17701" spans="104:111">
      <c r="CZ17701" s="256"/>
      <c r="DG17701" s="256"/>
    </row>
    <row r="17702" spans="104:111">
      <c r="CZ17702" s="256"/>
      <c r="DG17702" s="256"/>
    </row>
    <row r="17703" spans="104:111">
      <c r="CZ17703" s="256"/>
      <c r="DG17703" s="256"/>
    </row>
    <row r="17704" spans="104:111">
      <c r="CZ17704" s="256"/>
      <c r="DG17704" s="256"/>
    </row>
    <row r="17705" spans="104:111">
      <c r="CZ17705" s="256"/>
      <c r="DG17705" s="256"/>
    </row>
    <row r="17706" spans="104:111">
      <c r="CZ17706" s="256"/>
      <c r="DG17706" s="256"/>
    </row>
    <row r="17707" spans="104:111">
      <c r="CZ17707" s="256"/>
      <c r="DG17707" s="256"/>
    </row>
    <row r="17708" spans="104:111">
      <c r="CZ17708" s="256"/>
      <c r="DG17708" s="256"/>
    </row>
    <row r="17709" spans="104:111">
      <c r="CZ17709" s="256"/>
      <c r="DG17709" s="256"/>
    </row>
    <row r="17710" spans="104:111">
      <c r="CZ17710" s="256"/>
      <c r="DG17710" s="256"/>
    </row>
    <row r="17711" spans="104:111">
      <c r="CZ17711" s="256"/>
      <c r="DG17711" s="256"/>
    </row>
    <row r="17712" spans="104:111">
      <c r="CZ17712" s="256"/>
      <c r="DG17712" s="256"/>
    </row>
    <row r="17713" spans="104:111">
      <c r="CZ17713" s="256"/>
      <c r="DG17713" s="256"/>
    </row>
    <row r="17714" spans="104:111">
      <c r="CZ17714" s="256"/>
      <c r="DG17714" s="256"/>
    </row>
    <row r="17715" spans="104:111">
      <c r="CZ17715" s="256"/>
      <c r="DG17715" s="256"/>
    </row>
    <row r="17716" spans="104:111">
      <c r="CZ17716" s="256"/>
      <c r="DG17716" s="256"/>
    </row>
    <row r="17717" spans="104:111">
      <c r="CZ17717" s="256"/>
      <c r="DG17717" s="256"/>
    </row>
    <row r="17718" spans="104:111">
      <c r="CZ17718" s="256"/>
      <c r="DG17718" s="256"/>
    </row>
    <row r="17719" spans="104:111">
      <c r="CZ17719" s="256"/>
      <c r="DG17719" s="256"/>
    </row>
    <row r="17720" spans="104:111">
      <c r="CZ17720" s="256"/>
      <c r="DG17720" s="256"/>
    </row>
    <row r="17721" spans="104:111">
      <c r="CZ17721" s="256"/>
      <c r="DG17721" s="256"/>
    </row>
    <row r="17722" spans="104:111">
      <c r="CZ17722" s="256"/>
      <c r="DG17722" s="256"/>
    </row>
    <row r="17723" spans="104:111">
      <c r="CZ17723" s="256"/>
      <c r="DG17723" s="256"/>
    </row>
    <row r="17724" spans="104:111">
      <c r="CZ17724" s="256"/>
      <c r="DG17724" s="256"/>
    </row>
    <row r="17725" spans="104:111">
      <c r="CZ17725" s="256"/>
      <c r="DG17725" s="256"/>
    </row>
    <row r="17726" spans="104:111">
      <c r="CZ17726" s="256"/>
      <c r="DG17726" s="256"/>
    </row>
    <row r="17727" spans="104:111">
      <c r="CZ17727" s="256"/>
      <c r="DG17727" s="256"/>
    </row>
    <row r="17728" spans="104:111">
      <c r="CZ17728" s="256"/>
      <c r="DG17728" s="256"/>
    </row>
    <row r="17729" spans="104:111">
      <c r="CZ17729" s="256"/>
      <c r="DG17729" s="256"/>
    </row>
    <row r="17730" spans="104:111">
      <c r="CZ17730" s="256"/>
      <c r="DG17730" s="256"/>
    </row>
    <row r="17731" spans="104:111">
      <c r="CZ17731" s="256"/>
      <c r="DG17731" s="256"/>
    </row>
    <row r="17732" spans="104:111">
      <c r="CZ17732" s="256"/>
      <c r="DG17732" s="256"/>
    </row>
    <row r="17733" spans="104:111">
      <c r="CZ17733" s="256"/>
      <c r="DG17733" s="256"/>
    </row>
    <row r="17734" spans="104:111">
      <c r="CZ17734" s="256"/>
      <c r="DG17734" s="256"/>
    </row>
    <row r="17735" spans="104:111">
      <c r="CZ17735" s="256"/>
      <c r="DG17735" s="256"/>
    </row>
    <row r="17736" spans="104:111">
      <c r="CZ17736" s="256"/>
      <c r="DG17736" s="256"/>
    </row>
    <row r="17737" spans="104:111">
      <c r="CZ17737" s="256"/>
      <c r="DG17737" s="256"/>
    </row>
    <row r="17738" spans="104:111">
      <c r="CZ17738" s="256"/>
      <c r="DG17738" s="256"/>
    </row>
    <row r="17739" spans="104:111">
      <c r="CZ17739" s="256"/>
      <c r="DG17739" s="256"/>
    </row>
    <row r="17740" spans="104:111">
      <c r="CZ17740" s="256"/>
      <c r="DG17740" s="256"/>
    </row>
    <row r="17741" spans="104:111">
      <c r="CZ17741" s="256"/>
      <c r="DG17741" s="256"/>
    </row>
    <row r="17742" spans="104:111">
      <c r="CZ17742" s="256"/>
      <c r="DG17742" s="256"/>
    </row>
    <row r="17743" spans="104:111">
      <c r="CZ17743" s="256"/>
      <c r="DG17743" s="256"/>
    </row>
    <row r="17744" spans="104:111">
      <c r="CZ17744" s="256"/>
      <c r="DG17744" s="256"/>
    </row>
    <row r="17745" spans="104:111">
      <c r="CZ17745" s="256"/>
      <c r="DG17745" s="256"/>
    </row>
    <row r="17746" spans="104:111">
      <c r="CZ17746" s="256"/>
      <c r="DG17746" s="256"/>
    </row>
    <row r="17747" spans="104:111">
      <c r="CZ17747" s="256"/>
      <c r="DG17747" s="256"/>
    </row>
    <row r="17748" spans="104:111">
      <c r="CZ17748" s="256"/>
      <c r="DG17748" s="256"/>
    </row>
    <row r="17749" spans="104:111">
      <c r="CZ17749" s="256"/>
      <c r="DG17749" s="256"/>
    </row>
    <row r="17750" spans="104:111">
      <c r="CZ17750" s="256"/>
      <c r="DG17750" s="256"/>
    </row>
    <row r="17751" spans="104:111">
      <c r="CZ17751" s="256"/>
      <c r="DG17751" s="256"/>
    </row>
    <row r="17752" spans="104:111">
      <c r="CZ17752" s="256"/>
      <c r="DG17752" s="256"/>
    </row>
    <row r="17753" spans="104:111">
      <c r="CZ17753" s="256"/>
      <c r="DG17753" s="256"/>
    </row>
    <row r="17754" spans="104:111">
      <c r="CZ17754" s="256"/>
      <c r="DG17754" s="256"/>
    </row>
    <row r="17755" spans="104:111">
      <c r="CZ17755" s="256"/>
      <c r="DG17755" s="256"/>
    </row>
    <row r="17756" spans="104:111">
      <c r="CZ17756" s="256"/>
      <c r="DG17756" s="256"/>
    </row>
    <row r="17757" spans="104:111">
      <c r="CZ17757" s="256"/>
      <c r="DG17757" s="256"/>
    </row>
    <row r="17758" spans="104:111">
      <c r="CZ17758" s="256"/>
      <c r="DG17758" s="256"/>
    </row>
    <row r="17759" spans="104:111">
      <c r="CZ17759" s="256"/>
      <c r="DG17759" s="256"/>
    </row>
    <row r="17760" spans="104:111">
      <c r="CZ17760" s="256"/>
      <c r="DG17760" s="256"/>
    </row>
    <row r="17761" spans="104:111">
      <c r="CZ17761" s="256"/>
      <c r="DG17761" s="256"/>
    </row>
    <row r="17762" spans="104:111">
      <c r="CZ17762" s="256"/>
      <c r="DG17762" s="256"/>
    </row>
    <row r="17763" spans="104:111">
      <c r="CZ17763" s="256"/>
      <c r="DG17763" s="256"/>
    </row>
    <row r="17764" spans="104:111">
      <c r="CZ17764" s="256"/>
      <c r="DG17764" s="256"/>
    </row>
    <row r="17765" spans="104:111">
      <c r="CZ17765" s="256"/>
      <c r="DG17765" s="256"/>
    </row>
    <row r="17766" spans="104:111">
      <c r="CZ17766" s="256"/>
      <c r="DG17766" s="256"/>
    </row>
    <row r="17767" spans="104:111">
      <c r="CZ17767" s="256"/>
      <c r="DG17767" s="256"/>
    </row>
    <row r="17768" spans="104:111">
      <c r="CZ17768" s="256"/>
      <c r="DG17768" s="256"/>
    </row>
    <row r="17769" spans="104:111">
      <c r="CZ17769" s="256"/>
      <c r="DG17769" s="256"/>
    </row>
    <row r="17770" spans="104:111">
      <c r="CZ17770" s="256"/>
      <c r="DG17770" s="256"/>
    </row>
    <row r="17771" spans="104:111">
      <c r="CZ17771" s="256"/>
      <c r="DG17771" s="256"/>
    </row>
    <row r="17772" spans="104:111">
      <c r="CZ17772" s="256"/>
      <c r="DG17772" s="256"/>
    </row>
    <row r="17773" spans="104:111">
      <c r="CZ17773" s="256"/>
      <c r="DG17773" s="256"/>
    </row>
    <row r="17774" spans="104:111">
      <c r="CZ17774" s="256"/>
      <c r="DG17774" s="256"/>
    </row>
    <row r="17775" spans="104:111">
      <c r="CZ17775" s="256"/>
      <c r="DG17775" s="256"/>
    </row>
    <row r="17776" spans="104:111">
      <c r="CZ17776" s="256"/>
      <c r="DG17776" s="256"/>
    </row>
    <row r="17777" spans="104:111">
      <c r="CZ17777" s="256"/>
      <c r="DG17777" s="256"/>
    </row>
    <row r="17778" spans="104:111">
      <c r="CZ17778" s="256"/>
      <c r="DG17778" s="256"/>
    </row>
    <row r="17779" spans="104:111">
      <c r="CZ17779" s="256"/>
      <c r="DG17779" s="256"/>
    </row>
    <row r="17780" spans="104:111">
      <c r="CZ17780" s="256"/>
      <c r="DG17780" s="256"/>
    </row>
    <row r="17781" spans="104:111">
      <c r="CZ17781" s="256"/>
      <c r="DG17781" s="256"/>
    </row>
    <row r="17782" spans="104:111">
      <c r="CZ17782" s="256"/>
      <c r="DG17782" s="256"/>
    </row>
    <row r="17783" spans="104:111">
      <c r="CZ17783" s="256"/>
      <c r="DG17783" s="256"/>
    </row>
    <row r="17784" spans="104:111">
      <c r="CZ17784" s="256"/>
      <c r="DG17784" s="256"/>
    </row>
    <row r="17785" spans="104:111">
      <c r="CZ17785" s="256"/>
      <c r="DG17785" s="256"/>
    </row>
    <row r="17786" spans="104:111">
      <c r="CZ17786" s="256"/>
      <c r="DG17786" s="256"/>
    </row>
    <row r="17787" spans="104:111">
      <c r="CZ17787" s="256"/>
      <c r="DG17787" s="256"/>
    </row>
    <row r="17788" spans="104:111">
      <c r="CZ17788" s="256"/>
      <c r="DG17788" s="256"/>
    </row>
    <row r="17789" spans="104:111">
      <c r="CZ17789" s="256"/>
      <c r="DG17789" s="256"/>
    </row>
    <row r="17790" spans="104:111">
      <c r="CZ17790" s="256"/>
      <c r="DG17790" s="256"/>
    </row>
    <row r="17791" spans="104:111">
      <c r="CZ17791" s="256"/>
      <c r="DG17791" s="256"/>
    </row>
    <row r="17792" spans="104:111">
      <c r="CZ17792" s="256"/>
      <c r="DG17792" s="256"/>
    </row>
    <row r="17793" spans="104:111">
      <c r="CZ17793" s="256"/>
      <c r="DG17793" s="256"/>
    </row>
    <row r="17794" spans="104:111">
      <c r="CZ17794" s="256"/>
      <c r="DG17794" s="256"/>
    </row>
    <row r="17795" spans="104:111">
      <c r="CZ17795" s="256"/>
      <c r="DG17795" s="256"/>
    </row>
    <row r="17796" spans="104:111">
      <c r="CZ17796" s="256"/>
      <c r="DG17796" s="256"/>
    </row>
    <row r="17797" spans="104:111">
      <c r="CZ17797" s="256"/>
      <c r="DG17797" s="256"/>
    </row>
    <row r="17798" spans="104:111">
      <c r="CZ17798" s="256"/>
      <c r="DG17798" s="256"/>
    </row>
    <row r="17799" spans="104:111">
      <c r="CZ17799" s="256"/>
      <c r="DG17799" s="256"/>
    </row>
    <row r="17800" spans="104:111">
      <c r="CZ17800" s="256"/>
      <c r="DG17800" s="256"/>
    </row>
    <row r="17801" spans="104:111">
      <c r="CZ17801" s="256"/>
      <c r="DG17801" s="256"/>
    </row>
    <row r="17802" spans="104:111">
      <c r="CZ17802" s="256"/>
      <c r="DG17802" s="256"/>
    </row>
    <row r="17803" spans="104:111">
      <c r="CZ17803" s="256"/>
      <c r="DG17803" s="256"/>
    </row>
    <row r="17804" spans="104:111">
      <c r="CZ17804" s="256"/>
      <c r="DG17804" s="256"/>
    </row>
    <row r="17805" spans="104:111">
      <c r="CZ17805" s="256"/>
      <c r="DG17805" s="256"/>
    </row>
    <row r="17806" spans="104:111">
      <c r="CZ17806" s="256"/>
      <c r="DG17806" s="256"/>
    </row>
    <row r="17807" spans="104:111">
      <c r="CZ17807" s="256"/>
      <c r="DG17807" s="256"/>
    </row>
    <row r="17808" spans="104:111">
      <c r="CZ17808" s="256"/>
      <c r="DG17808" s="256"/>
    </row>
    <row r="17809" spans="104:111">
      <c r="CZ17809" s="256"/>
      <c r="DG17809" s="256"/>
    </row>
    <row r="17810" spans="104:111">
      <c r="CZ17810" s="256"/>
      <c r="DG17810" s="256"/>
    </row>
    <row r="17811" spans="104:111">
      <c r="CZ17811" s="256"/>
      <c r="DG17811" s="256"/>
    </row>
    <row r="17812" spans="104:111">
      <c r="CZ17812" s="256"/>
      <c r="DG17812" s="256"/>
    </row>
    <row r="17813" spans="104:111">
      <c r="CZ17813" s="256"/>
      <c r="DG17813" s="256"/>
    </row>
    <row r="17814" spans="104:111">
      <c r="CZ17814" s="256"/>
      <c r="DG17814" s="256"/>
    </row>
    <row r="17815" spans="104:111">
      <c r="CZ17815" s="256"/>
      <c r="DG17815" s="256"/>
    </row>
    <row r="17816" spans="104:111">
      <c r="CZ17816" s="256"/>
      <c r="DG17816" s="256"/>
    </row>
    <row r="17817" spans="104:111">
      <c r="CZ17817" s="256"/>
      <c r="DG17817" s="256"/>
    </row>
    <row r="17818" spans="104:111">
      <c r="CZ17818" s="256"/>
      <c r="DG17818" s="256"/>
    </row>
    <row r="17819" spans="104:111">
      <c r="CZ17819" s="256"/>
      <c r="DG17819" s="256"/>
    </row>
    <row r="17820" spans="104:111">
      <c r="CZ17820" s="256"/>
      <c r="DG17820" s="256"/>
    </row>
    <row r="17821" spans="104:111">
      <c r="CZ17821" s="256"/>
      <c r="DG17821" s="256"/>
    </row>
    <row r="17822" spans="104:111">
      <c r="CZ17822" s="256"/>
      <c r="DG17822" s="256"/>
    </row>
    <row r="17823" spans="104:111">
      <c r="CZ17823" s="256"/>
      <c r="DG17823" s="256"/>
    </row>
    <row r="17824" spans="104:111">
      <c r="CZ17824" s="256"/>
      <c r="DG17824" s="256"/>
    </row>
    <row r="17825" spans="104:111">
      <c r="CZ17825" s="256"/>
      <c r="DG17825" s="256"/>
    </row>
    <row r="17826" spans="104:111">
      <c r="CZ17826" s="256"/>
      <c r="DG17826" s="256"/>
    </row>
    <row r="17827" spans="104:111">
      <c r="CZ17827" s="256"/>
      <c r="DG17827" s="256"/>
    </row>
    <row r="17828" spans="104:111">
      <c r="CZ17828" s="256"/>
      <c r="DG17828" s="256"/>
    </row>
    <row r="17829" spans="104:111">
      <c r="CZ17829" s="256"/>
      <c r="DG17829" s="256"/>
    </row>
    <row r="17830" spans="104:111">
      <c r="CZ17830" s="256"/>
      <c r="DG17830" s="256"/>
    </row>
    <row r="17831" spans="104:111">
      <c r="CZ17831" s="256"/>
      <c r="DG17831" s="256"/>
    </row>
    <row r="17832" spans="104:111">
      <c r="CZ17832" s="256"/>
      <c r="DG17832" s="256"/>
    </row>
    <row r="17833" spans="104:111">
      <c r="CZ17833" s="256"/>
      <c r="DG17833" s="256"/>
    </row>
    <row r="17834" spans="104:111">
      <c r="CZ17834" s="256"/>
      <c r="DG17834" s="256"/>
    </row>
    <row r="17835" spans="104:111">
      <c r="CZ17835" s="256"/>
      <c r="DG17835" s="256"/>
    </row>
    <row r="17836" spans="104:111">
      <c r="CZ17836" s="256"/>
      <c r="DG17836" s="256"/>
    </row>
    <row r="17837" spans="104:111">
      <c r="CZ17837" s="256"/>
      <c r="DG17837" s="256"/>
    </row>
    <row r="17838" spans="104:111">
      <c r="CZ17838" s="256"/>
      <c r="DG17838" s="256"/>
    </row>
    <row r="17839" spans="104:111">
      <c r="CZ17839" s="256"/>
      <c r="DG17839" s="256"/>
    </row>
    <row r="17840" spans="104:111">
      <c r="CZ17840" s="256"/>
      <c r="DG17840" s="256"/>
    </row>
    <row r="17841" spans="104:111">
      <c r="CZ17841" s="256"/>
      <c r="DG17841" s="256"/>
    </row>
    <row r="17842" spans="104:111">
      <c r="CZ17842" s="256"/>
      <c r="DG17842" s="256"/>
    </row>
    <row r="17843" spans="104:111">
      <c r="CZ17843" s="256"/>
      <c r="DG17843" s="256"/>
    </row>
    <row r="17844" spans="104:111">
      <c r="CZ17844" s="256"/>
      <c r="DG17844" s="256"/>
    </row>
    <row r="17845" spans="104:111">
      <c r="CZ17845" s="256"/>
      <c r="DG17845" s="256"/>
    </row>
    <row r="17846" spans="104:111">
      <c r="CZ17846" s="256"/>
      <c r="DG17846" s="256"/>
    </row>
    <row r="17847" spans="104:111">
      <c r="CZ17847" s="256"/>
      <c r="DG17847" s="256"/>
    </row>
    <row r="17848" spans="104:111">
      <c r="CZ17848" s="256"/>
      <c r="DG17848" s="256"/>
    </row>
    <row r="17849" spans="104:111">
      <c r="CZ17849" s="256"/>
      <c r="DG17849" s="256"/>
    </row>
    <row r="17850" spans="104:111">
      <c r="CZ17850" s="256"/>
      <c r="DG17850" s="256"/>
    </row>
    <row r="17851" spans="104:111">
      <c r="CZ17851" s="256"/>
      <c r="DG17851" s="256"/>
    </row>
    <row r="17852" spans="104:111">
      <c r="CZ17852" s="256"/>
      <c r="DG17852" s="256"/>
    </row>
    <row r="17853" spans="104:111">
      <c r="CZ17853" s="256"/>
      <c r="DG17853" s="256"/>
    </row>
    <row r="17854" spans="104:111">
      <c r="CZ17854" s="256"/>
      <c r="DG17854" s="256"/>
    </row>
    <row r="17855" spans="104:111">
      <c r="CZ17855" s="256"/>
      <c r="DG17855" s="256"/>
    </row>
    <row r="17856" spans="104:111">
      <c r="CZ17856" s="256"/>
      <c r="DG17856" s="256"/>
    </row>
    <row r="17857" spans="104:111">
      <c r="CZ17857" s="256"/>
      <c r="DG17857" s="256"/>
    </row>
    <row r="17858" spans="104:111">
      <c r="CZ17858" s="256"/>
      <c r="DG17858" s="256"/>
    </row>
    <row r="17859" spans="104:111">
      <c r="CZ17859" s="256"/>
      <c r="DG17859" s="256"/>
    </row>
    <row r="17860" spans="104:111">
      <c r="CZ17860" s="256"/>
      <c r="DG17860" s="256"/>
    </row>
    <row r="17861" spans="104:111">
      <c r="CZ17861" s="256"/>
      <c r="DG17861" s="256"/>
    </row>
    <row r="17862" spans="104:111">
      <c r="CZ17862" s="256"/>
      <c r="DG17862" s="256"/>
    </row>
    <row r="17863" spans="104:111">
      <c r="CZ17863" s="256"/>
      <c r="DG17863" s="256"/>
    </row>
    <row r="17864" spans="104:111">
      <c r="CZ17864" s="256"/>
      <c r="DG17864" s="256"/>
    </row>
    <row r="17865" spans="104:111">
      <c r="CZ17865" s="256"/>
      <c r="DG17865" s="256"/>
    </row>
    <row r="17866" spans="104:111">
      <c r="CZ17866" s="256"/>
      <c r="DG17866" s="256"/>
    </row>
    <row r="17867" spans="104:111">
      <c r="CZ17867" s="256"/>
      <c r="DG17867" s="256"/>
    </row>
    <row r="17868" spans="104:111">
      <c r="CZ17868" s="256"/>
      <c r="DG17868" s="256"/>
    </row>
    <row r="17869" spans="104:111">
      <c r="CZ17869" s="256"/>
      <c r="DG17869" s="256"/>
    </row>
    <row r="17870" spans="104:111">
      <c r="CZ17870" s="256"/>
      <c r="DG17870" s="256"/>
    </row>
    <row r="17871" spans="104:111">
      <c r="CZ17871" s="256"/>
      <c r="DG17871" s="256"/>
    </row>
    <row r="17872" spans="104:111">
      <c r="CZ17872" s="256"/>
      <c r="DG17872" s="256"/>
    </row>
    <row r="17873" spans="104:111">
      <c r="CZ17873" s="256"/>
      <c r="DG17873" s="256"/>
    </row>
    <row r="17874" spans="104:111">
      <c r="CZ17874" s="256"/>
      <c r="DG17874" s="256"/>
    </row>
    <row r="17875" spans="104:111">
      <c r="CZ17875" s="256"/>
      <c r="DG17875" s="256"/>
    </row>
    <row r="17876" spans="104:111">
      <c r="CZ17876" s="256"/>
      <c r="DG17876" s="256"/>
    </row>
    <row r="17877" spans="104:111">
      <c r="CZ17877" s="256"/>
      <c r="DG17877" s="256"/>
    </row>
    <row r="17878" spans="104:111">
      <c r="CZ17878" s="256"/>
      <c r="DG17878" s="256"/>
    </row>
    <row r="17879" spans="104:111">
      <c r="CZ17879" s="256"/>
      <c r="DG17879" s="256"/>
    </row>
    <row r="17880" spans="104:111">
      <c r="CZ17880" s="256"/>
      <c r="DG17880" s="256"/>
    </row>
    <row r="17881" spans="104:111">
      <c r="CZ17881" s="256"/>
      <c r="DG17881" s="256"/>
    </row>
    <row r="17882" spans="104:111">
      <c r="CZ17882" s="256"/>
      <c r="DG17882" s="256"/>
    </row>
    <row r="17883" spans="104:111">
      <c r="CZ17883" s="256"/>
      <c r="DG17883" s="256"/>
    </row>
    <row r="17884" spans="104:111">
      <c r="CZ17884" s="256"/>
      <c r="DG17884" s="256"/>
    </row>
    <row r="17885" spans="104:111">
      <c r="CZ17885" s="256"/>
      <c r="DG17885" s="256"/>
    </row>
    <row r="17886" spans="104:111">
      <c r="CZ17886" s="256"/>
      <c r="DG17886" s="256"/>
    </row>
    <row r="17887" spans="104:111">
      <c r="CZ17887" s="256"/>
      <c r="DG17887" s="256"/>
    </row>
    <row r="17888" spans="104:111">
      <c r="CZ17888" s="256"/>
      <c r="DG17888" s="256"/>
    </row>
    <row r="17889" spans="104:111">
      <c r="CZ17889" s="256"/>
      <c r="DG17889" s="256"/>
    </row>
    <row r="17890" spans="104:111">
      <c r="CZ17890" s="256"/>
      <c r="DG17890" s="256"/>
    </row>
    <row r="17891" spans="104:111">
      <c r="CZ17891" s="256"/>
      <c r="DG17891" s="256"/>
    </row>
    <row r="17892" spans="104:111">
      <c r="CZ17892" s="256"/>
      <c r="DG17892" s="256"/>
    </row>
    <row r="17893" spans="104:111">
      <c r="CZ17893" s="256"/>
      <c r="DG17893" s="256"/>
    </row>
    <row r="17894" spans="104:111">
      <c r="CZ17894" s="256"/>
      <c r="DG17894" s="256"/>
    </row>
    <row r="17895" spans="104:111">
      <c r="CZ17895" s="256"/>
      <c r="DG17895" s="256"/>
    </row>
    <row r="17896" spans="104:111">
      <c r="CZ17896" s="256"/>
      <c r="DG17896" s="256"/>
    </row>
    <row r="17897" spans="104:111">
      <c r="CZ17897" s="256"/>
      <c r="DG17897" s="256"/>
    </row>
    <row r="17898" spans="104:111">
      <c r="CZ17898" s="256"/>
      <c r="DG17898" s="256"/>
    </row>
    <row r="17899" spans="104:111">
      <c r="CZ17899" s="256"/>
      <c r="DG17899" s="256"/>
    </row>
    <row r="17900" spans="104:111">
      <c r="CZ17900" s="256"/>
      <c r="DG17900" s="256"/>
    </row>
    <row r="17901" spans="104:111">
      <c r="CZ17901" s="256"/>
      <c r="DG17901" s="256"/>
    </row>
    <row r="17902" spans="104:111">
      <c r="CZ17902" s="256"/>
      <c r="DG17902" s="256"/>
    </row>
    <row r="17903" spans="104:111">
      <c r="CZ17903" s="256"/>
      <c r="DG17903" s="256"/>
    </row>
    <row r="17904" spans="104:111">
      <c r="CZ17904" s="256"/>
      <c r="DG17904" s="256"/>
    </row>
    <row r="17905" spans="104:111">
      <c r="CZ17905" s="256"/>
      <c r="DG17905" s="256"/>
    </row>
    <row r="17906" spans="104:111">
      <c r="CZ17906" s="256"/>
      <c r="DG17906" s="256"/>
    </row>
    <row r="17907" spans="104:111">
      <c r="CZ17907" s="256"/>
      <c r="DG17907" s="256"/>
    </row>
    <row r="17908" spans="104:111">
      <c r="CZ17908" s="256"/>
      <c r="DG17908" s="256"/>
    </row>
    <row r="17909" spans="104:111">
      <c r="CZ17909" s="256"/>
      <c r="DG17909" s="256"/>
    </row>
    <row r="17910" spans="104:111">
      <c r="CZ17910" s="256"/>
      <c r="DG17910" s="256"/>
    </row>
    <row r="17911" spans="104:111">
      <c r="CZ17911" s="256"/>
      <c r="DG17911" s="256"/>
    </row>
    <row r="17912" spans="104:111">
      <c r="CZ17912" s="256"/>
      <c r="DG17912" s="256"/>
    </row>
    <row r="17913" spans="104:111">
      <c r="CZ17913" s="256"/>
      <c r="DG17913" s="256"/>
    </row>
    <row r="17914" spans="104:111">
      <c r="CZ17914" s="256"/>
      <c r="DG17914" s="256"/>
    </row>
    <row r="17915" spans="104:111">
      <c r="CZ17915" s="256"/>
      <c r="DG17915" s="256"/>
    </row>
    <row r="17916" spans="104:111">
      <c r="CZ17916" s="256"/>
      <c r="DG17916" s="256"/>
    </row>
    <row r="17917" spans="104:111">
      <c r="CZ17917" s="256"/>
      <c r="DG17917" s="256"/>
    </row>
    <row r="17918" spans="104:111">
      <c r="CZ17918" s="256"/>
      <c r="DG17918" s="256"/>
    </row>
    <row r="17919" spans="104:111">
      <c r="CZ17919" s="256"/>
      <c r="DG17919" s="256"/>
    </row>
    <row r="17920" spans="104:111">
      <c r="CZ17920" s="256"/>
      <c r="DG17920" s="256"/>
    </row>
    <row r="17921" spans="104:111">
      <c r="CZ17921" s="256"/>
      <c r="DG17921" s="256"/>
    </row>
    <row r="17922" spans="104:111">
      <c r="CZ17922" s="256"/>
      <c r="DG17922" s="256"/>
    </row>
    <row r="17923" spans="104:111">
      <c r="CZ17923" s="256"/>
      <c r="DG17923" s="256"/>
    </row>
    <row r="17924" spans="104:111">
      <c r="CZ17924" s="256"/>
      <c r="DG17924" s="256"/>
    </row>
    <row r="17925" spans="104:111">
      <c r="CZ17925" s="256"/>
      <c r="DG17925" s="256"/>
    </row>
    <row r="17926" spans="104:111">
      <c r="CZ17926" s="256"/>
      <c r="DG17926" s="256"/>
    </row>
    <row r="17927" spans="104:111">
      <c r="CZ17927" s="256"/>
      <c r="DG17927" s="256"/>
    </row>
    <row r="17928" spans="104:111">
      <c r="CZ17928" s="256"/>
      <c r="DG17928" s="256"/>
    </row>
    <row r="17929" spans="104:111">
      <c r="CZ17929" s="256"/>
      <c r="DG17929" s="256"/>
    </row>
    <row r="17930" spans="104:111">
      <c r="CZ17930" s="256"/>
      <c r="DG17930" s="256"/>
    </row>
    <row r="17931" spans="104:111">
      <c r="CZ17931" s="256"/>
      <c r="DG17931" s="256"/>
    </row>
    <row r="17932" spans="104:111">
      <c r="CZ17932" s="256"/>
      <c r="DG17932" s="256"/>
    </row>
    <row r="17933" spans="104:111">
      <c r="CZ17933" s="256"/>
      <c r="DG17933" s="256"/>
    </row>
    <row r="17934" spans="104:111">
      <c r="CZ17934" s="256"/>
      <c r="DG17934" s="256"/>
    </row>
    <row r="17935" spans="104:111">
      <c r="CZ17935" s="256"/>
      <c r="DG17935" s="256"/>
    </row>
    <row r="17936" spans="104:111">
      <c r="CZ17936" s="256"/>
      <c r="DG17936" s="256"/>
    </row>
    <row r="17937" spans="104:111">
      <c r="CZ17937" s="256"/>
      <c r="DG17937" s="256"/>
    </row>
    <row r="17938" spans="104:111">
      <c r="CZ17938" s="256"/>
      <c r="DG17938" s="256"/>
    </row>
    <row r="17939" spans="104:111">
      <c r="CZ17939" s="256"/>
      <c r="DG17939" s="256"/>
    </row>
    <row r="17940" spans="104:111">
      <c r="CZ17940" s="256"/>
      <c r="DG17940" s="256"/>
    </row>
    <row r="17941" spans="104:111">
      <c r="CZ17941" s="256"/>
      <c r="DG17941" s="256"/>
    </row>
    <row r="17942" spans="104:111">
      <c r="CZ17942" s="256"/>
      <c r="DG17942" s="256"/>
    </row>
    <row r="17943" spans="104:111">
      <c r="CZ17943" s="256"/>
      <c r="DG17943" s="256"/>
    </row>
    <row r="17944" spans="104:111">
      <c r="CZ17944" s="256"/>
      <c r="DG17944" s="256"/>
    </row>
    <row r="17945" spans="104:111">
      <c r="CZ17945" s="256"/>
      <c r="DG17945" s="256"/>
    </row>
    <row r="17946" spans="104:111">
      <c r="CZ17946" s="256"/>
      <c r="DG17946" s="256"/>
    </row>
    <row r="17947" spans="104:111">
      <c r="CZ17947" s="256"/>
      <c r="DG17947" s="256"/>
    </row>
    <row r="17948" spans="104:111">
      <c r="CZ17948" s="256"/>
      <c r="DG17948" s="256"/>
    </row>
    <row r="17949" spans="104:111">
      <c r="CZ17949" s="256"/>
      <c r="DG17949" s="256"/>
    </row>
    <row r="17950" spans="104:111">
      <c r="CZ17950" s="256"/>
      <c r="DG17950" s="256"/>
    </row>
    <row r="17951" spans="104:111">
      <c r="CZ17951" s="256"/>
      <c r="DG17951" s="256"/>
    </row>
    <row r="17952" spans="104:111">
      <c r="CZ17952" s="256"/>
      <c r="DG17952" s="256"/>
    </row>
    <row r="17953" spans="104:111">
      <c r="CZ17953" s="256"/>
      <c r="DG17953" s="256"/>
    </row>
    <row r="17954" spans="104:111">
      <c r="CZ17954" s="256"/>
      <c r="DG17954" s="256"/>
    </row>
    <row r="17955" spans="104:111">
      <c r="CZ17955" s="256"/>
      <c r="DG17955" s="256"/>
    </row>
    <row r="17956" spans="104:111">
      <c r="CZ17956" s="256"/>
      <c r="DG17956" s="256"/>
    </row>
    <row r="17957" spans="104:111">
      <c r="CZ17957" s="256"/>
      <c r="DG17957" s="256"/>
    </row>
    <row r="17958" spans="104:111">
      <c r="CZ17958" s="256"/>
      <c r="DG17958" s="256"/>
    </row>
    <row r="17959" spans="104:111">
      <c r="CZ17959" s="256"/>
      <c r="DG17959" s="256"/>
    </row>
    <row r="17960" spans="104:111">
      <c r="CZ17960" s="256"/>
      <c r="DG17960" s="256"/>
    </row>
    <row r="17961" spans="104:111">
      <c r="CZ17961" s="256"/>
      <c r="DG17961" s="256"/>
    </row>
    <row r="17962" spans="104:111">
      <c r="CZ17962" s="256"/>
      <c r="DG17962" s="256"/>
    </row>
    <row r="17963" spans="104:111">
      <c r="CZ17963" s="256"/>
      <c r="DG17963" s="256"/>
    </row>
    <row r="17964" spans="104:111">
      <c r="CZ17964" s="256"/>
      <c r="DG17964" s="256"/>
    </row>
    <row r="17965" spans="104:111">
      <c r="CZ17965" s="256"/>
      <c r="DG17965" s="256"/>
    </row>
    <row r="17966" spans="104:111">
      <c r="CZ17966" s="256"/>
      <c r="DG17966" s="256"/>
    </row>
    <row r="17967" spans="104:111">
      <c r="CZ17967" s="256"/>
      <c r="DG17967" s="256"/>
    </row>
    <row r="17968" spans="104:111">
      <c r="CZ17968" s="256"/>
      <c r="DG17968" s="256"/>
    </row>
    <row r="17969" spans="104:111">
      <c r="CZ17969" s="256"/>
      <c r="DG17969" s="256"/>
    </row>
    <row r="17970" spans="104:111">
      <c r="CZ17970" s="256"/>
      <c r="DG17970" s="256"/>
    </row>
    <row r="17971" spans="104:111">
      <c r="CZ17971" s="256"/>
      <c r="DG17971" s="256"/>
    </row>
    <row r="17972" spans="104:111">
      <c r="CZ17972" s="256"/>
      <c r="DG17972" s="256"/>
    </row>
    <row r="17973" spans="104:111">
      <c r="CZ17973" s="256"/>
      <c r="DG17973" s="256"/>
    </row>
    <row r="17974" spans="104:111">
      <c r="CZ17974" s="256"/>
      <c r="DG17974" s="256"/>
    </row>
    <row r="17975" spans="104:111">
      <c r="CZ17975" s="256"/>
      <c r="DG17975" s="256"/>
    </row>
    <row r="17976" spans="104:111">
      <c r="CZ17976" s="256"/>
      <c r="DG17976" s="256"/>
    </row>
    <row r="17977" spans="104:111">
      <c r="CZ17977" s="256"/>
      <c r="DG17977" s="256"/>
    </row>
    <row r="17978" spans="104:111">
      <c r="CZ17978" s="256"/>
      <c r="DG17978" s="256"/>
    </row>
    <row r="17979" spans="104:111">
      <c r="CZ17979" s="256"/>
      <c r="DG17979" s="256"/>
    </row>
    <row r="17980" spans="104:111">
      <c r="CZ17980" s="256"/>
      <c r="DG17980" s="256"/>
    </row>
    <row r="17981" spans="104:111">
      <c r="CZ17981" s="256"/>
      <c r="DG17981" s="256"/>
    </row>
    <row r="17982" spans="104:111">
      <c r="CZ17982" s="256"/>
      <c r="DG17982" s="256"/>
    </row>
    <row r="17983" spans="104:111">
      <c r="CZ17983" s="256"/>
      <c r="DG17983" s="256"/>
    </row>
    <row r="17984" spans="104:111">
      <c r="CZ17984" s="256"/>
      <c r="DG17984" s="256"/>
    </row>
    <row r="17985" spans="104:111">
      <c r="CZ17985" s="256"/>
      <c r="DG17985" s="256"/>
    </row>
    <row r="17986" spans="104:111">
      <c r="CZ17986" s="256"/>
      <c r="DG17986" s="256"/>
    </row>
    <row r="17987" spans="104:111">
      <c r="CZ17987" s="256"/>
      <c r="DG17987" s="256"/>
    </row>
    <row r="17988" spans="104:111">
      <c r="CZ17988" s="256"/>
      <c r="DG17988" s="256"/>
    </row>
    <row r="17989" spans="104:111">
      <c r="CZ17989" s="256"/>
      <c r="DG17989" s="256"/>
    </row>
    <row r="17990" spans="104:111">
      <c r="CZ17990" s="256"/>
      <c r="DG17990" s="256"/>
    </row>
    <row r="17991" spans="104:111">
      <c r="CZ17991" s="256"/>
      <c r="DG17991" s="256"/>
    </row>
    <row r="17992" spans="104:111">
      <c r="CZ17992" s="256"/>
      <c r="DG17992" s="256"/>
    </row>
    <row r="17993" spans="104:111">
      <c r="CZ17993" s="256"/>
      <c r="DG17993" s="256"/>
    </row>
    <row r="17994" spans="104:111">
      <c r="CZ17994" s="256"/>
      <c r="DG17994" s="256"/>
    </row>
    <row r="17995" spans="104:111">
      <c r="CZ17995" s="256"/>
      <c r="DG17995" s="256"/>
    </row>
    <row r="17996" spans="104:111">
      <c r="CZ17996" s="256"/>
      <c r="DG17996" s="256"/>
    </row>
    <row r="17997" spans="104:111">
      <c r="CZ17997" s="256"/>
      <c r="DG17997" s="256"/>
    </row>
    <row r="17998" spans="104:111">
      <c r="CZ17998" s="256"/>
      <c r="DG17998" s="256"/>
    </row>
    <row r="17999" spans="104:111">
      <c r="CZ17999" s="256"/>
      <c r="DG17999" s="256"/>
    </row>
    <row r="18000" spans="104:111">
      <c r="CZ18000" s="256"/>
      <c r="DG18000" s="256"/>
    </row>
    <row r="18001" spans="104:111">
      <c r="CZ18001" s="256"/>
      <c r="DG18001" s="256"/>
    </row>
    <row r="18002" spans="104:111">
      <c r="CZ18002" s="256"/>
      <c r="DG18002" s="256"/>
    </row>
    <row r="18003" spans="104:111">
      <c r="CZ18003" s="256"/>
      <c r="DG18003" s="256"/>
    </row>
    <row r="18004" spans="104:111">
      <c r="CZ18004" s="256"/>
      <c r="DG18004" s="256"/>
    </row>
    <row r="18005" spans="104:111">
      <c r="CZ18005" s="256"/>
      <c r="DG18005" s="256"/>
    </row>
    <row r="18006" spans="104:111">
      <c r="CZ18006" s="256"/>
      <c r="DG18006" s="256"/>
    </row>
    <row r="18007" spans="104:111">
      <c r="CZ18007" s="256"/>
      <c r="DG18007" s="256"/>
    </row>
    <row r="18008" spans="104:111">
      <c r="CZ18008" s="256"/>
      <c r="DG18008" s="256"/>
    </row>
    <row r="18009" spans="104:111">
      <c r="CZ18009" s="256"/>
      <c r="DG18009" s="256"/>
    </row>
    <row r="18010" spans="104:111">
      <c r="CZ18010" s="256"/>
      <c r="DG18010" s="256"/>
    </row>
    <row r="18011" spans="104:111">
      <c r="CZ18011" s="256"/>
      <c r="DG18011" s="256"/>
    </row>
    <row r="18012" spans="104:111">
      <c r="CZ18012" s="256"/>
      <c r="DG18012" s="256"/>
    </row>
    <row r="18013" spans="104:111">
      <c r="CZ18013" s="256"/>
      <c r="DG18013" s="256"/>
    </row>
    <row r="18014" spans="104:111">
      <c r="CZ18014" s="256"/>
      <c r="DG18014" s="256"/>
    </row>
    <row r="18015" spans="104:111">
      <c r="CZ18015" s="256"/>
      <c r="DG18015" s="256"/>
    </row>
    <row r="18016" spans="104:111">
      <c r="CZ18016" s="256"/>
      <c r="DG18016" s="256"/>
    </row>
    <row r="18017" spans="104:111">
      <c r="CZ18017" s="256"/>
      <c r="DG18017" s="256"/>
    </row>
    <row r="18018" spans="104:111">
      <c r="CZ18018" s="256"/>
      <c r="DG18018" s="256"/>
    </row>
    <row r="18019" spans="104:111">
      <c r="CZ18019" s="256"/>
      <c r="DG18019" s="256"/>
    </row>
    <row r="18020" spans="104:111">
      <c r="CZ18020" s="256"/>
      <c r="DG18020" s="256"/>
    </row>
    <row r="18021" spans="104:111">
      <c r="CZ18021" s="256"/>
      <c r="DG18021" s="256"/>
    </row>
    <row r="18022" spans="104:111">
      <c r="CZ18022" s="256"/>
      <c r="DG18022" s="256"/>
    </row>
    <row r="18023" spans="104:111">
      <c r="CZ18023" s="256"/>
      <c r="DG18023" s="256"/>
    </row>
    <row r="18024" spans="104:111">
      <c r="CZ18024" s="256"/>
      <c r="DG18024" s="256"/>
    </row>
    <row r="18025" spans="104:111">
      <c r="CZ18025" s="256"/>
      <c r="DG18025" s="256"/>
    </row>
    <row r="18026" spans="104:111">
      <c r="CZ18026" s="256"/>
      <c r="DG18026" s="256"/>
    </row>
    <row r="18027" spans="104:111">
      <c r="CZ18027" s="256"/>
      <c r="DG18027" s="256"/>
    </row>
    <row r="18028" spans="104:111">
      <c r="CZ18028" s="256"/>
      <c r="DG18028" s="256"/>
    </row>
    <row r="18029" spans="104:111">
      <c r="CZ18029" s="256"/>
      <c r="DG18029" s="256"/>
    </row>
    <row r="18030" spans="104:111">
      <c r="CZ18030" s="256"/>
      <c r="DG18030" s="256"/>
    </row>
    <row r="18031" spans="104:111">
      <c r="CZ18031" s="256"/>
      <c r="DG18031" s="256"/>
    </row>
    <row r="18032" spans="104:111">
      <c r="CZ18032" s="256"/>
      <c r="DG18032" s="256"/>
    </row>
    <row r="18033" spans="104:111">
      <c r="CZ18033" s="256"/>
      <c r="DG18033" s="256"/>
    </row>
    <row r="18034" spans="104:111">
      <c r="CZ18034" s="256"/>
      <c r="DG18034" s="256"/>
    </row>
    <row r="18035" spans="104:111">
      <c r="CZ18035" s="256"/>
      <c r="DG18035" s="256"/>
    </row>
    <row r="18036" spans="104:111">
      <c r="CZ18036" s="256"/>
      <c r="DG18036" s="256"/>
    </row>
    <row r="18037" spans="104:111">
      <c r="CZ18037" s="256"/>
      <c r="DG18037" s="256"/>
    </row>
    <row r="18038" spans="104:111">
      <c r="CZ18038" s="256"/>
      <c r="DG18038" s="256"/>
    </row>
    <row r="18039" spans="104:111">
      <c r="CZ18039" s="256"/>
      <c r="DG18039" s="256"/>
    </row>
    <row r="18040" spans="104:111">
      <c r="CZ18040" s="256"/>
      <c r="DG18040" s="256"/>
    </row>
    <row r="18041" spans="104:111">
      <c r="CZ18041" s="256"/>
      <c r="DG18041" s="256"/>
    </row>
    <row r="18042" spans="104:111">
      <c r="CZ18042" s="256"/>
      <c r="DG18042" s="256"/>
    </row>
    <row r="18043" spans="104:111">
      <c r="CZ18043" s="256"/>
      <c r="DG18043" s="256"/>
    </row>
    <row r="18044" spans="104:111">
      <c r="CZ18044" s="256"/>
      <c r="DG18044" s="256"/>
    </row>
    <row r="18045" spans="104:111">
      <c r="CZ18045" s="256"/>
      <c r="DG18045" s="256"/>
    </row>
    <row r="18046" spans="104:111">
      <c r="CZ18046" s="256"/>
      <c r="DG18046" s="256"/>
    </row>
    <row r="18047" spans="104:111">
      <c r="CZ18047" s="256"/>
      <c r="DG18047" s="256"/>
    </row>
    <row r="18048" spans="104:111">
      <c r="CZ18048" s="256"/>
      <c r="DG18048" s="256"/>
    </row>
    <row r="18049" spans="104:111">
      <c r="CZ18049" s="256"/>
      <c r="DG18049" s="256"/>
    </row>
    <row r="18050" spans="104:111">
      <c r="CZ18050" s="256"/>
      <c r="DG18050" s="256"/>
    </row>
    <row r="18051" spans="104:111">
      <c r="CZ18051" s="256"/>
      <c r="DG18051" s="256"/>
    </row>
    <row r="18052" spans="104:111">
      <c r="CZ18052" s="256"/>
      <c r="DG18052" s="256"/>
    </row>
    <row r="18053" spans="104:111">
      <c r="CZ18053" s="256"/>
      <c r="DG18053" s="256"/>
    </row>
    <row r="18054" spans="104:111">
      <c r="CZ18054" s="256"/>
      <c r="DG18054" s="256"/>
    </row>
    <row r="18055" spans="104:111">
      <c r="CZ18055" s="256"/>
      <c r="DG18055" s="256"/>
    </row>
    <row r="18056" spans="104:111">
      <c r="CZ18056" s="256"/>
      <c r="DG18056" s="256"/>
    </row>
    <row r="18057" spans="104:111">
      <c r="CZ18057" s="256"/>
      <c r="DG18057" s="256"/>
    </row>
    <row r="18058" spans="104:111">
      <c r="CZ18058" s="256"/>
      <c r="DG18058" s="256"/>
    </row>
    <row r="18059" spans="104:111">
      <c r="CZ18059" s="256"/>
      <c r="DG18059" s="256"/>
    </row>
    <row r="18060" spans="104:111">
      <c r="CZ18060" s="256"/>
      <c r="DG18060" s="256"/>
    </row>
    <row r="18061" spans="104:111">
      <c r="CZ18061" s="256"/>
      <c r="DG18061" s="256"/>
    </row>
    <row r="18062" spans="104:111">
      <c r="CZ18062" s="256"/>
      <c r="DG18062" s="256"/>
    </row>
    <row r="18063" spans="104:111">
      <c r="CZ18063" s="256"/>
      <c r="DG18063" s="256"/>
    </row>
    <row r="18064" spans="104:111">
      <c r="CZ18064" s="256"/>
      <c r="DG18064" s="256"/>
    </row>
    <row r="18065" spans="104:111">
      <c r="CZ18065" s="256"/>
      <c r="DG18065" s="256"/>
    </row>
    <row r="18066" spans="104:111">
      <c r="CZ18066" s="256"/>
      <c r="DG18066" s="256"/>
    </row>
    <row r="18067" spans="104:111">
      <c r="CZ18067" s="256"/>
      <c r="DG18067" s="256"/>
    </row>
    <row r="18068" spans="104:111">
      <c r="CZ18068" s="256"/>
      <c r="DG18068" s="256"/>
    </row>
    <row r="18069" spans="104:111">
      <c r="CZ18069" s="256"/>
      <c r="DG18069" s="256"/>
    </row>
    <row r="18070" spans="104:111">
      <c r="CZ18070" s="256"/>
      <c r="DG18070" s="256"/>
    </row>
    <row r="18071" spans="104:111">
      <c r="CZ18071" s="256"/>
      <c r="DG18071" s="256"/>
    </row>
    <row r="18072" spans="104:111">
      <c r="CZ18072" s="256"/>
      <c r="DG18072" s="256"/>
    </row>
    <row r="18073" spans="104:111">
      <c r="CZ18073" s="256"/>
      <c r="DG18073" s="256"/>
    </row>
    <row r="18074" spans="104:111">
      <c r="CZ18074" s="256"/>
      <c r="DG18074" s="256"/>
    </row>
    <row r="18075" spans="104:111">
      <c r="CZ18075" s="256"/>
      <c r="DG18075" s="256"/>
    </row>
    <row r="18076" spans="104:111">
      <c r="CZ18076" s="256"/>
      <c r="DG18076" s="256"/>
    </row>
    <row r="18077" spans="104:111">
      <c r="CZ18077" s="256"/>
      <c r="DG18077" s="256"/>
    </row>
    <row r="18078" spans="104:111">
      <c r="CZ18078" s="256"/>
      <c r="DG18078" s="256"/>
    </row>
    <row r="18079" spans="104:111">
      <c r="CZ18079" s="256"/>
      <c r="DG18079" s="256"/>
    </row>
    <row r="18080" spans="104:111">
      <c r="CZ18080" s="256"/>
      <c r="DG18080" s="256"/>
    </row>
    <row r="18081" spans="104:111">
      <c r="CZ18081" s="256"/>
      <c r="DG18081" s="256"/>
    </row>
    <row r="18082" spans="104:111">
      <c r="CZ18082" s="256"/>
      <c r="DG18082" s="256"/>
    </row>
    <row r="18083" spans="104:111">
      <c r="CZ18083" s="256"/>
      <c r="DG18083" s="256"/>
    </row>
    <row r="18084" spans="104:111">
      <c r="CZ18084" s="256"/>
      <c r="DG18084" s="256"/>
    </row>
    <row r="18085" spans="104:111">
      <c r="CZ18085" s="256"/>
      <c r="DG18085" s="256"/>
    </row>
    <row r="18086" spans="104:111">
      <c r="CZ18086" s="256"/>
      <c r="DG18086" s="256"/>
    </row>
    <row r="18087" spans="104:111">
      <c r="CZ18087" s="256"/>
      <c r="DG18087" s="256"/>
    </row>
    <row r="18088" spans="104:111">
      <c r="CZ18088" s="256"/>
      <c r="DG18088" s="256"/>
    </row>
    <row r="18089" spans="104:111">
      <c r="CZ18089" s="256"/>
      <c r="DG18089" s="256"/>
    </row>
    <row r="18090" spans="104:111">
      <c r="CZ18090" s="256"/>
      <c r="DG18090" s="256"/>
    </row>
    <row r="18091" spans="104:111">
      <c r="CZ18091" s="256"/>
      <c r="DG18091" s="256"/>
    </row>
    <row r="18092" spans="104:111">
      <c r="CZ18092" s="256"/>
      <c r="DG18092" s="256"/>
    </row>
    <row r="18093" spans="104:111">
      <c r="CZ18093" s="256"/>
      <c r="DG18093" s="256"/>
    </row>
    <row r="18094" spans="104:111">
      <c r="CZ18094" s="256"/>
      <c r="DG18094" s="256"/>
    </row>
    <row r="18095" spans="104:111">
      <c r="CZ18095" s="256"/>
      <c r="DG18095" s="256"/>
    </row>
    <row r="18096" spans="104:111">
      <c r="CZ18096" s="256"/>
      <c r="DG18096" s="256"/>
    </row>
    <row r="18097" spans="104:111">
      <c r="CZ18097" s="256"/>
      <c r="DG18097" s="256"/>
    </row>
    <row r="18098" spans="104:111">
      <c r="CZ18098" s="256"/>
      <c r="DG18098" s="256"/>
    </row>
    <row r="18099" spans="104:111">
      <c r="CZ18099" s="256"/>
      <c r="DG18099" s="256"/>
    </row>
    <row r="18100" spans="104:111">
      <c r="CZ18100" s="256"/>
      <c r="DG18100" s="256"/>
    </row>
    <row r="18101" spans="104:111">
      <c r="CZ18101" s="256"/>
      <c r="DG18101" s="256"/>
    </row>
    <row r="18102" spans="104:111">
      <c r="CZ18102" s="256"/>
      <c r="DG18102" s="256"/>
    </row>
    <row r="18103" spans="104:111">
      <c r="CZ18103" s="256"/>
      <c r="DG18103" s="256"/>
    </row>
    <row r="18104" spans="104:111">
      <c r="CZ18104" s="256"/>
      <c r="DG18104" s="256"/>
    </row>
    <row r="18105" spans="104:111">
      <c r="CZ18105" s="256"/>
      <c r="DG18105" s="256"/>
    </row>
    <row r="18106" spans="104:111">
      <c r="CZ18106" s="256"/>
      <c r="DG18106" s="256"/>
    </row>
    <row r="18107" spans="104:111">
      <c r="CZ18107" s="256"/>
      <c r="DG18107" s="256"/>
    </row>
    <row r="18108" spans="104:111">
      <c r="CZ18108" s="256"/>
      <c r="DG18108" s="256"/>
    </row>
    <row r="18109" spans="104:111">
      <c r="CZ18109" s="256"/>
      <c r="DG18109" s="256"/>
    </row>
    <row r="18110" spans="104:111">
      <c r="CZ18110" s="256"/>
      <c r="DG18110" s="256"/>
    </row>
    <row r="18111" spans="104:111">
      <c r="CZ18111" s="256"/>
      <c r="DG18111" s="256"/>
    </row>
    <row r="18112" spans="104:111">
      <c r="CZ18112" s="256"/>
      <c r="DG18112" s="256"/>
    </row>
    <row r="18113" spans="104:111">
      <c r="CZ18113" s="256"/>
      <c r="DG18113" s="256"/>
    </row>
    <row r="18114" spans="104:111">
      <c r="CZ18114" s="256"/>
      <c r="DG18114" s="256"/>
    </row>
    <row r="18115" spans="104:111">
      <c r="CZ18115" s="256"/>
      <c r="DG18115" s="256"/>
    </row>
    <row r="18116" spans="104:111">
      <c r="CZ18116" s="256"/>
      <c r="DG18116" s="256"/>
    </row>
    <row r="18117" spans="104:111">
      <c r="CZ18117" s="256"/>
      <c r="DG18117" s="256"/>
    </row>
    <row r="18118" spans="104:111">
      <c r="CZ18118" s="256"/>
      <c r="DG18118" s="256"/>
    </row>
    <row r="18119" spans="104:111">
      <c r="CZ18119" s="256"/>
      <c r="DG18119" s="256"/>
    </row>
    <row r="18120" spans="104:111">
      <c r="CZ18120" s="256"/>
      <c r="DG18120" s="256"/>
    </row>
    <row r="18121" spans="104:111">
      <c r="CZ18121" s="256"/>
      <c r="DG18121" s="256"/>
    </row>
    <row r="18122" spans="104:111">
      <c r="CZ18122" s="256"/>
      <c r="DG18122" s="256"/>
    </row>
    <row r="18123" spans="104:111">
      <c r="CZ18123" s="256"/>
      <c r="DG18123" s="256"/>
    </row>
    <row r="18124" spans="104:111">
      <c r="CZ18124" s="256"/>
      <c r="DG18124" s="256"/>
    </row>
    <row r="18125" spans="104:111">
      <c r="CZ18125" s="256"/>
      <c r="DG18125" s="256"/>
    </row>
    <row r="18126" spans="104:111">
      <c r="CZ18126" s="256"/>
      <c r="DG18126" s="256"/>
    </row>
    <row r="18127" spans="104:111">
      <c r="CZ18127" s="256"/>
      <c r="DG18127" s="256"/>
    </row>
    <row r="18128" spans="104:111">
      <c r="CZ18128" s="256"/>
      <c r="DG18128" s="256"/>
    </row>
    <row r="18129" spans="104:111">
      <c r="CZ18129" s="256"/>
      <c r="DG18129" s="256"/>
    </row>
    <row r="18130" spans="104:111">
      <c r="CZ18130" s="256"/>
      <c r="DG18130" s="256"/>
    </row>
    <row r="18131" spans="104:111">
      <c r="CZ18131" s="256"/>
      <c r="DG18131" s="256"/>
    </row>
    <row r="18132" spans="104:111">
      <c r="CZ18132" s="256"/>
      <c r="DG18132" s="256"/>
    </row>
    <row r="18133" spans="104:111">
      <c r="CZ18133" s="256"/>
      <c r="DG18133" s="256"/>
    </row>
    <row r="18134" spans="104:111">
      <c r="CZ18134" s="256"/>
      <c r="DG18134" s="256"/>
    </row>
    <row r="18135" spans="104:111">
      <c r="CZ18135" s="256"/>
      <c r="DG18135" s="256"/>
    </row>
    <row r="18136" spans="104:111">
      <c r="CZ18136" s="256"/>
      <c r="DG18136" s="256"/>
    </row>
    <row r="18137" spans="104:111">
      <c r="CZ18137" s="256"/>
      <c r="DG18137" s="256"/>
    </row>
    <row r="18138" spans="104:111">
      <c r="CZ18138" s="256"/>
      <c r="DG18138" s="256"/>
    </row>
    <row r="18139" spans="104:111">
      <c r="CZ18139" s="256"/>
      <c r="DG18139" s="256"/>
    </row>
    <row r="18140" spans="104:111">
      <c r="CZ18140" s="256"/>
      <c r="DG18140" s="256"/>
    </row>
    <row r="18141" spans="104:111">
      <c r="CZ18141" s="256"/>
      <c r="DG18141" s="256"/>
    </row>
    <row r="18142" spans="104:111">
      <c r="CZ18142" s="256"/>
      <c r="DG18142" s="256"/>
    </row>
    <row r="18143" spans="104:111">
      <c r="CZ18143" s="256"/>
      <c r="DG18143" s="256"/>
    </row>
    <row r="18144" spans="104:111">
      <c r="CZ18144" s="256"/>
      <c r="DG18144" s="256"/>
    </row>
    <row r="18145" spans="104:111">
      <c r="CZ18145" s="256"/>
      <c r="DG18145" s="256"/>
    </row>
    <row r="18146" spans="104:111">
      <c r="CZ18146" s="256"/>
      <c r="DG18146" s="256"/>
    </row>
    <row r="18147" spans="104:111">
      <c r="CZ18147" s="256"/>
      <c r="DG18147" s="256"/>
    </row>
    <row r="18148" spans="104:111">
      <c r="CZ18148" s="256"/>
      <c r="DG18148" s="256"/>
    </row>
    <row r="18149" spans="104:111">
      <c r="CZ18149" s="256"/>
      <c r="DG18149" s="256"/>
    </row>
    <row r="18150" spans="104:111">
      <c r="CZ18150" s="256"/>
      <c r="DG18150" s="256"/>
    </row>
    <row r="18151" spans="104:111">
      <c r="CZ18151" s="256"/>
      <c r="DG18151" s="256"/>
    </row>
    <row r="18152" spans="104:111">
      <c r="CZ18152" s="256"/>
      <c r="DG18152" s="256"/>
    </row>
    <row r="18153" spans="104:111">
      <c r="CZ18153" s="256"/>
      <c r="DG18153" s="256"/>
    </row>
    <row r="18154" spans="104:111">
      <c r="CZ18154" s="256"/>
      <c r="DG18154" s="256"/>
    </row>
    <row r="18155" spans="104:111">
      <c r="CZ18155" s="256"/>
      <c r="DG18155" s="256"/>
    </row>
    <row r="18156" spans="104:111">
      <c r="CZ18156" s="256"/>
      <c r="DG18156" s="256"/>
    </row>
    <row r="18157" spans="104:111">
      <c r="CZ18157" s="256"/>
      <c r="DG18157" s="256"/>
    </row>
    <row r="18158" spans="104:111">
      <c r="CZ18158" s="256"/>
      <c r="DG18158" s="256"/>
    </row>
    <row r="18159" spans="104:111">
      <c r="CZ18159" s="256"/>
      <c r="DG18159" s="256"/>
    </row>
    <row r="18160" spans="104:111">
      <c r="CZ18160" s="256"/>
      <c r="DG18160" s="256"/>
    </row>
    <row r="18161" spans="104:111">
      <c r="CZ18161" s="256"/>
      <c r="DG18161" s="256"/>
    </row>
    <row r="18162" spans="104:111">
      <c r="CZ18162" s="256"/>
      <c r="DG18162" s="256"/>
    </row>
    <row r="18163" spans="104:111">
      <c r="CZ18163" s="256"/>
      <c r="DG18163" s="256"/>
    </row>
    <row r="18164" spans="104:111">
      <c r="CZ18164" s="256"/>
      <c r="DG18164" s="256"/>
    </row>
    <row r="18165" spans="104:111">
      <c r="CZ18165" s="256"/>
      <c r="DG18165" s="256"/>
    </row>
    <row r="18166" spans="104:111">
      <c r="CZ18166" s="256"/>
      <c r="DG18166" s="256"/>
    </row>
    <row r="18167" spans="104:111">
      <c r="CZ18167" s="256"/>
      <c r="DG18167" s="256"/>
    </row>
    <row r="18168" spans="104:111">
      <c r="CZ18168" s="256"/>
      <c r="DG18168" s="256"/>
    </row>
    <row r="18169" spans="104:111">
      <c r="CZ18169" s="256"/>
      <c r="DG18169" s="256"/>
    </row>
    <row r="18170" spans="104:111">
      <c r="CZ18170" s="256"/>
      <c r="DG18170" s="256"/>
    </row>
    <row r="18171" spans="104:111">
      <c r="CZ18171" s="256"/>
      <c r="DG18171" s="256"/>
    </row>
    <row r="18172" spans="104:111">
      <c r="CZ18172" s="256"/>
      <c r="DG18172" s="256"/>
    </row>
    <row r="18173" spans="104:111">
      <c r="CZ18173" s="256"/>
      <c r="DG18173" s="256"/>
    </row>
    <row r="18174" spans="104:111">
      <c r="CZ18174" s="256"/>
      <c r="DG18174" s="256"/>
    </row>
    <row r="18175" spans="104:111">
      <c r="CZ18175" s="256"/>
      <c r="DG18175" s="256"/>
    </row>
    <row r="18176" spans="104:111">
      <c r="CZ18176" s="256"/>
      <c r="DG18176" s="256"/>
    </row>
    <row r="18177" spans="104:111">
      <c r="CZ18177" s="256"/>
      <c r="DG18177" s="256"/>
    </row>
    <row r="18178" spans="104:111">
      <c r="CZ18178" s="256"/>
      <c r="DG18178" s="256"/>
    </row>
    <row r="18179" spans="104:111">
      <c r="CZ18179" s="256"/>
      <c r="DG18179" s="256"/>
    </row>
    <row r="18180" spans="104:111">
      <c r="CZ18180" s="256"/>
      <c r="DG18180" s="256"/>
    </row>
    <row r="18181" spans="104:111">
      <c r="CZ18181" s="256"/>
      <c r="DG18181" s="256"/>
    </row>
    <row r="18182" spans="104:111">
      <c r="CZ18182" s="256"/>
      <c r="DG18182" s="256"/>
    </row>
    <row r="18183" spans="104:111">
      <c r="CZ18183" s="256"/>
      <c r="DG18183" s="256"/>
    </row>
    <row r="18184" spans="104:111">
      <c r="CZ18184" s="256"/>
      <c r="DG18184" s="256"/>
    </row>
    <row r="18185" spans="104:111">
      <c r="CZ18185" s="256"/>
      <c r="DG18185" s="256"/>
    </row>
    <row r="18186" spans="104:111">
      <c r="CZ18186" s="256"/>
      <c r="DG18186" s="256"/>
    </row>
    <row r="18187" spans="104:111">
      <c r="CZ18187" s="256"/>
      <c r="DG18187" s="256"/>
    </row>
    <row r="18188" spans="104:111">
      <c r="CZ18188" s="256"/>
      <c r="DG18188" s="256"/>
    </row>
    <row r="18189" spans="104:111">
      <c r="CZ18189" s="256"/>
      <c r="DG18189" s="256"/>
    </row>
    <row r="18190" spans="104:111">
      <c r="CZ18190" s="256"/>
      <c r="DG18190" s="256"/>
    </row>
    <row r="18191" spans="104:111">
      <c r="CZ18191" s="256"/>
      <c r="DG18191" s="256"/>
    </row>
    <row r="18192" spans="104:111">
      <c r="CZ18192" s="256"/>
      <c r="DG18192" s="256"/>
    </row>
    <row r="18193" spans="104:111">
      <c r="CZ18193" s="256"/>
      <c r="DG18193" s="256"/>
    </row>
    <row r="18194" spans="104:111">
      <c r="CZ18194" s="256"/>
      <c r="DG18194" s="256"/>
    </row>
    <row r="18195" spans="104:111">
      <c r="CZ18195" s="256"/>
      <c r="DG18195" s="256"/>
    </row>
    <row r="18196" spans="104:111">
      <c r="CZ18196" s="256"/>
      <c r="DG18196" s="256"/>
    </row>
    <row r="18197" spans="104:111">
      <c r="CZ18197" s="256"/>
      <c r="DG18197" s="256"/>
    </row>
    <row r="18198" spans="104:111">
      <c r="CZ18198" s="256"/>
      <c r="DG18198" s="256"/>
    </row>
    <row r="18199" spans="104:111">
      <c r="CZ18199" s="256"/>
      <c r="DG18199" s="256"/>
    </row>
    <row r="18200" spans="104:111">
      <c r="CZ18200" s="256"/>
      <c r="DG18200" s="256"/>
    </row>
    <row r="18201" spans="104:111">
      <c r="CZ18201" s="256"/>
      <c r="DG18201" s="256"/>
    </row>
    <row r="18202" spans="104:111">
      <c r="CZ18202" s="256"/>
      <c r="DG18202" s="256"/>
    </row>
    <row r="18203" spans="104:111">
      <c r="CZ18203" s="256"/>
      <c r="DG18203" s="256"/>
    </row>
    <row r="18204" spans="104:111">
      <c r="CZ18204" s="256"/>
      <c r="DG18204" s="256"/>
    </row>
    <row r="18205" spans="104:111">
      <c r="CZ18205" s="256"/>
      <c r="DG18205" s="256"/>
    </row>
    <row r="18206" spans="104:111">
      <c r="CZ18206" s="256"/>
      <c r="DG18206" s="256"/>
    </row>
    <row r="18207" spans="104:111">
      <c r="CZ18207" s="256"/>
      <c r="DG18207" s="256"/>
    </row>
    <row r="18208" spans="104:111">
      <c r="CZ18208" s="256"/>
      <c r="DG18208" s="256"/>
    </row>
    <row r="18209" spans="104:111">
      <c r="CZ18209" s="256"/>
      <c r="DG18209" s="256"/>
    </row>
    <row r="18210" spans="104:111">
      <c r="CZ18210" s="256"/>
      <c r="DG18210" s="256"/>
    </row>
    <row r="18211" spans="104:111">
      <c r="CZ18211" s="256"/>
      <c r="DG18211" s="256"/>
    </row>
    <row r="18212" spans="104:111">
      <c r="CZ18212" s="256"/>
      <c r="DG18212" s="256"/>
    </row>
    <row r="18213" spans="104:111">
      <c r="CZ18213" s="256"/>
      <c r="DG18213" s="256"/>
    </row>
    <row r="18214" spans="104:111">
      <c r="CZ18214" s="256"/>
      <c r="DG18214" s="256"/>
    </row>
    <row r="18215" spans="104:111">
      <c r="CZ18215" s="256"/>
      <c r="DG18215" s="256"/>
    </row>
    <row r="18216" spans="104:111">
      <c r="CZ18216" s="256"/>
      <c r="DG18216" s="256"/>
    </row>
    <row r="18217" spans="104:111">
      <c r="CZ18217" s="256"/>
      <c r="DG18217" s="256"/>
    </row>
    <row r="18218" spans="104:111">
      <c r="CZ18218" s="256"/>
      <c r="DG18218" s="256"/>
    </row>
    <row r="18219" spans="104:111">
      <c r="CZ18219" s="256"/>
      <c r="DG18219" s="256"/>
    </row>
    <row r="18220" spans="104:111">
      <c r="CZ18220" s="256"/>
      <c r="DG18220" s="256"/>
    </row>
    <row r="18221" spans="104:111">
      <c r="CZ18221" s="256"/>
      <c r="DG18221" s="256"/>
    </row>
    <row r="18222" spans="104:111">
      <c r="CZ18222" s="256"/>
      <c r="DG18222" s="256"/>
    </row>
    <row r="18223" spans="104:111">
      <c r="CZ18223" s="256"/>
      <c r="DG18223" s="256"/>
    </row>
    <row r="18224" spans="104:111">
      <c r="CZ18224" s="256"/>
      <c r="DG18224" s="256"/>
    </row>
    <row r="18225" spans="104:111">
      <c r="CZ18225" s="256"/>
      <c r="DG18225" s="256"/>
    </row>
    <row r="18226" spans="104:111">
      <c r="CZ18226" s="256"/>
      <c r="DG18226" s="256"/>
    </row>
    <row r="18227" spans="104:111">
      <c r="CZ18227" s="256"/>
      <c r="DG18227" s="256"/>
    </row>
    <row r="18228" spans="104:111">
      <c r="CZ18228" s="256"/>
      <c r="DG18228" s="256"/>
    </row>
    <row r="18229" spans="104:111">
      <c r="CZ18229" s="256"/>
      <c r="DG18229" s="256"/>
    </row>
    <row r="18230" spans="104:111">
      <c r="CZ18230" s="256"/>
      <c r="DG18230" s="256"/>
    </row>
    <row r="18231" spans="104:111">
      <c r="CZ18231" s="256"/>
      <c r="DG18231" s="256"/>
    </row>
    <row r="18232" spans="104:111">
      <c r="CZ18232" s="256"/>
      <c r="DG18232" s="256"/>
    </row>
    <row r="18233" spans="104:111">
      <c r="CZ18233" s="256"/>
      <c r="DG18233" s="256"/>
    </row>
    <row r="18234" spans="104:111">
      <c r="CZ18234" s="256"/>
      <c r="DG18234" s="256"/>
    </row>
    <row r="18235" spans="104:111">
      <c r="CZ18235" s="256"/>
      <c r="DG18235" s="256"/>
    </row>
    <row r="18236" spans="104:111">
      <c r="CZ18236" s="256"/>
      <c r="DG18236" s="256"/>
    </row>
    <row r="18237" spans="104:111">
      <c r="CZ18237" s="256"/>
      <c r="DG18237" s="256"/>
    </row>
    <row r="18238" spans="104:111">
      <c r="CZ18238" s="256"/>
      <c r="DG18238" s="256"/>
    </row>
    <row r="18239" spans="104:111">
      <c r="CZ18239" s="256"/>
      <c r="DG18239" s="256"/>
    </row>
    <row r="18240" spans="104:111">
      <c r="CZ18240" s="256"/>
      <c r="DG18240" s="256"/>
    </row>
    <row r="18241" spans="104:111">
      <c r="CZ18241" s="256"/>
      <c r="DG18241" s="256"/>
    </row>
    <row r="18242" spans="104:111">
      <c r="CZ18242" s="256"/>
      <c r="DG18242" s="256"/>
    </row>
    <row r="18243" spans="104:111">
      <c r="CZ18243" s="256"/>
      <c r="DG18243" s="256"/>
    </row>
    <row r="18244" spans="104:111">
      <c r="CZ18244" s="256"/>
      <c r="DG18244" s="256"/>
    </row>
    <row r="18245" spans="104:111">
      <c r="CZ18245" s="256"/>
      <c r="DG18245" s="256"/>
    </row>
    <row r="18246" spans="104:111">
      <c r="CZ18246" s="256"/>
      <c r="DG18246" s="256"/>
    </row>
    <row r="18247" spans="104:111">
      <c r="CZ18247" s="256"/>
      <c r="DG18247" s="256"/>
    </row>
    <row r="18248" spans="104:111">
      <c r="CZ18248" s="256"/>
      <c r="DG18248" s="256"/>
    </row>
    <row r="18249" spans="104:111">
      <c r="CZ18249" s="256"/>
      <c r="DG18249" s="256"/>
    </row>
    <row r="18250" spans="104:111">
      <c r="CZ18250" s="256"/>
      <c r="DG18250" s="256"/>
    </row>
    <row r="18251" spans="104:111">
      <c r="CZ18251" s="256"/>
      <c r="DG18251" s="256"/>
    </row>
    <row r="18252" spans="104:111">
      <c r="CZ18252" s="256"/>
      <c r="DG18252" s="256"/>
    </row>
    <row r="18253" spans="104:111">
      <c r="CZ18253" s="256"/>
      <c r="DG18253" s="256"/>
    </row>
    <row r="18254" spans="104:111">
      <c r="CZ18254" s="256"/>
      <c r="DG18254" s="256"/>
    </row>
    <row r="18255" spans="104:111">
      <c r="CZ18255" s="256"/>
      <c r="DG18255" s="256"/>
    </row>
    <row r="18256" spans="104:111">
      <c r="CZ18256" s="256"/>
      <c r="DG18256" s="256"/>
    </row>
    <row r="18257" spans="104:111">
      <c r="CZ18257" s="256"/>
      <c r="DG18257" s="256"/>
    </row>
    <row r="18258" spans="104:111">
      <c r="CZ18258" s="256"/>
      <c r="DG18258" s="256"/>
    </row>
    <row r="18259" spans="104:111">
      <c r="CZ18259" s="256"/>
      <c r="DG18259" s="256"/>
    </row>
    <row r="18260" spans="104:111">
      <c r="CZ18260" s="256"/>
      <c r="DG18260" s="256"/>
    </row>
    <row r="18261" spans="104:111">
      <c r="CZ18261" s="256"/>
      <c r="DG18261" s="256"/>
    </row>
    <row r="18262" spans="104:111">
      <c r="CZ18262" s="256"/>
      <c r="DG18262" s="256"/>
    </row>
    <row r="18263" spans="104:111">
      <c r="CZ18263" s="256"/>
      <c r="DG18263" s="256"/>
    </row>
    <row r="18264" spans="104:111">
      <c r="CZ18264" s="256"/>
      <c r="DG18264" s="256"/>
    </row>
    <row r="18265" spans="104:111">
      <c r="CZ18265" s="256"/>
      <c r="DG18265" s="256"/>
    </row>
    <row r="18266" spans="104:111">
      <c r="CZ18266" s="256"/>
      <c r="DG18266" s="256"/>
    </row>
    <row r="18267" spans="104:111">
      <c r="CZ18267" s="256"/>
      <c r="DG18267" s="256"/>
    </row>
    <row r="18268" spans="104:111">
      <c r="CZ18268" s="256"/>
      <c r="DG18268" s="256"/>
    </row>
    <row r="18269" spans="104:111">
      <c r="CZ18269" s="256"/>
      <c r="DG18269" s="256"/>
    </row>
    <row r="18270" spans="104:111">
      <c r="CZ18270" s="256"/>
      <c r="DG18270" s="256"/>
    </row>
    <row r="18271" spans="104:111">
      <c r="CZ18271" s="256"/>
      <c r="DG18271" s="256"/>
    </row>
    <row r="18272" spans="104:111">
      <c r="CZ18272" s="256"/>
      <c r="DG18272" s="256"/>
    </row>
    <row r="18273" spans="104:111">
      <c r="CZ18273" s="256"/>
      <c r="DG18273" s="256"/>
    </row>
    <row r="18274" spans="104:111">
      <c r="CZ18274" s="256"/>
      <c r="DG18274" s="256"/>
    </row>
    <row r="18275" spans="104:111">
      <c r="CZ18275" s="256"/>
      <c r="DG18275" s="256"/>
    </row>
    <row r="18276" spans="104:111">
      <c r="CZ18276" s="256"/>
      <c r="DG18276" s="256"/>
    </row>
    <row r="18277" spans="104:111">
      <c r="CZ18277" s="256"/>
      <c r="DG18277" s="256"/>
    </row>
    <row r="18278" spans="104:111">
      <c r="CZ18278" s="256"/>
      <c r="DG18278" s="256"/>
    </row>
    <row r="18279" spans="104:111">
      <c r="CZ18279" s="256"/>
      <c r="DG18279" s="256"/>
    </row>
    <row r="18280" spans="104:111">
      <c r="CZ18280" s="256"/>
      <c r="DG18280" s="256"/>
    </row>
    <row r="18281" spans="104:111">
      <c r="CZ18281" s="256"/>
      <c r="DG18281" s="256"/>
    </row>
    <row r="18282" spans="104:111">
      <c r="CZ18282" s="256"/>
      <c r="DG18282" s="256"/>
    </row>
    <row r="18283" spans="104:111">
      <c r="CZ18283" s="256"/>
      <c r="DG18283" s="256"/>
    </row>
    <row r="18284" spans="104:111">
      <c r="CZ18284" s="256"/>
      <c r="DG18284" s="256"/>
    </row>
    <row r="18285" spans="104:111">
      <c r="CZ18285" s="256"/>
      <c r="DG18285" s="256"/>
    </row>
    <row r="18286" spans="104:111">
      <c r="CZ18286" s="256"/>
      <c r="DG18286" s="256"/>
    </row>
    <row r="18287" spans="104:111">
      <c r="CZ18287" s="256"/>
      <c r="DG18287" s="256"/>
    </row>
    <row r="18288" spans="104:111">
      <c r="CZ18288" s="256"/>
      <c r="DG18288" s="256"/>
    </row>
    <row r="18289" spans="104:111">
      <c r="CZ18289" s="256"/>
      <c r="DG18289" s="256"/>
    </row>
    <row r="18290" spans="104:111">
      <c r="CZ18290" s="256"/>
      <c r="DG18290" s="256"/>
    </row>
    <row r="18291" spans="104:111">
      <c r="CZ18291" s="256"/>
      <c r="DG18291" s="256"/>
    </row>
    <row r="18292" spans="104:111">
      <c r="CZ18292" s="256"/>
      <c r="DG18292" s="256"/>
    </row>
    <row r="18293" spans="104:111">
      <c r="CZ18293" s="256"/>
      <c r="DG18293" s="256"/>
    </row>
    <row r="18294" spans="104:111">
      <c r="CZ18294" s="256"/>
      <c r="DG18294" s="256"/>
    </row>
    <row r="18295" spans="104:111">
      <c r="CZ18295" s="256"/>
      <c r="DG18295" s="256"/>
    </row>
    <row r="18296" spans="104:111">
      <c r="CZ18296" s="256"/>
      <c r="DG18296" s="256"/>
    </row>
    <row r="18297" spans="104:111">
      <c r="CZ18297" s="256"/>
      <c r="DG18297" s="256"/>
    </row>
    <row r="18298" spans="104:111">
      <c r="CZ18298" s="256"/>
      <c r="DG18298" s="256"/>
    </row>
    <row r="18299" spans="104:111">
      <c r="CZ18299" s="256"/>
      <c r="DG18299" s="256"/>
    </row>
    <row r="18300" spans="104:111">
      <c r="CZ18300" s="256"/>
      <c r="DG18300" s="256"/>
    </row>
    <row r="18301" spans="104:111">
      <c r="CZ18301" s="256"/>
      <c r="DG18301" s="256"/>
    </row>
    <row r="18302" spans="104:111">
      <c r="CZ18302" s="256"/>
      <c r="DG18302" s="256"/>
    </row>
    <row r="18303" spans="104:111">
      <c r="CZ18303" s="256"/>
      <c r="DG18303" s="256"/>
    </row>
    <row r="18304" spans="104:111">
      <c r="CZ18304" s="256"/>
      <c r="DG18304" s="256"/>
    </row>
    <row r="18305" spans="104:111">
      <c r="CZ18305" s="256"/>
      <c r="DG18305" s="256"/>
    </row>
    <row r="18306" spans="104:111">
      <c r="CZ18306" s="256"/>
      <c r="DG18306" s="256"/>
    </row>
    <row r="18307" spans="104:111">
      <c r="CZ18307" s="256"/>
      <c r="DG18307" s="256"/>
    </row>
    <row r="18308" spans="104:111">
      <c r="CZ18308" s="256"/>
      <c r="DG18308" s="256"/>
    </row>
    <row r="18309" spans="104:111">
      <c r="CZ18309" s="256"/>
      <c r="DG18309" s="256"/>
    </row>
    <row r="18310" spans="104:111">
      <c r="CZ18310" s="256"/>
      <c r="DG18310" s="256"/>
    </row>
    <row r="18311" spans="104:111">
      <c r="CZ18311" s="256"/>
      <c r="DG18311" s="256"/>
    </row>
    <row r="18312" spans="104:111">
      <c r="CZ18312" s="256"/>
      <c r="DG18312" s="256"/>
    </row>
    <row r="18313" spans="104:111">
      <c r="CZ18313" s="256"/>
      <c r="DG18313" s="256"/>
    </row>
    <row r="18314" spans="104:111">
      <c r="CZ18314" s="256"/>
      <c r="DG18314" s="256"/>
    </row>
    <row r="18315" spans="104:111">
      <c r="CZ18315" s="256"/>
      <c r="DG18315" s="256"/>
    </row>
    <row r="18316" spans="104:111">
      <c r="CZ18316" s="256"/>
      <c r="DG18316" s="256"/>
    </row>
    <row r="18317" spans="104:111">
      <c r="CZ18317" s="256"/>
      <c r="DG18317" s="256"/>
    </row>
    <row r="18318" spans="104:111">
      <c r="CZ18318" s="256"/>
      <c r="DG18318" s="256"/>
    </row>
    <row r="18319" spans="104:111">
      <c r="CZ18319" s="256"/>
      <c r="DG18319" s="256"/>
    </row>
    <row r="18320" spans="104:111">
      <c r="CZ18320" s="256"/>
      <c r="DG18320" s="256"/>
    </row>
    <row r="18321" spans="104:111">
      <c r="CZ18321" s="256"/>
      <c r="DG18321" s="256"/>
    </row>
    <row r="18322" spans="104:111">
      <c r="CZ18322" s="256"/>
      <c r="DG18322" s="256"/>
    </row>
    <row r="18323" spans="104:111">
      <c r="CZ18323" s="256"/>
      <c r="DG18323" s="256"/>
    </row>
    <row r="18324" spans="104:111">
      <c r="CZ18324" s="256"/>
      <c r="DG18324" s="256"/>
    </row>
    <row r="18325" spans="104:111">
      <c r="CZ18325" s="256"/>
      <c r="DG18325" s="256"/>
    </row>
    <row r="18326" spans="104:111">
      <c r="CZ18326" s="256"/>
      <c r="DG18326" s="256"/>
    </row>
    <row r="18327" spans="104:111">
      <c r="CZ18327" s="256"/>
      <c r="DG18327" s="256"/>
    </row>
    <row r="18328" spans="104:111">
      <c r="CZ18328" s="256"/>
      <c r="DG18328" s="256"/>
    </row>
    <row r="18329" spans="104:111">
      <c r="CZ18329" s="256"/>
      <c r="DG18329" s="256"/>
    </row>
    <row r="18330" spans="104:111">
      <c r="CZ18330" s="256"/>
      <c r="DG18330" s="256"/>
    </row>
    <row r="18331" spans="104:111">
      <c r="CZ18331" s="256"/>
      <c r="DG18331" s="256"/>
    </row>
    <row r="18332" spans="104:111">
      <c r="CZ18332" s="256"/>
      <c r="DG18332" s="256"/>
    </row>
    <row r="18333" spans="104:111">
      <c r="CZ18333" s="256"/>
      <c r="DG18333" s="256"/>
    </row>
    <row r="18334" spans="104:111">
      <c r="CZ18334" s="256"/>
      <c r="DG18334" s="256"/>
    </row>
    <row r="18335" spans="104:111">
      <c r="CZ18335" s="256"/>
      <c r="DG18335" s="256"/>
    </row>
    <row r="18336" spans="104:111">
      <c r="CZ18336" s="256"/>
      <c r="DG18336" s="256"/>
    </row>
    <row r="18337" spans="104:111">
      <c r="CZ18337" s="256"/>
      <c r="DG18337" s="256"/>
    </row>
    <row r="18338" spans="104:111">
      <c r="CZ18338" s="256"/>
      <c r="DG18338" s="256"/>
    </row>
    <row r="18339" spans="104:111">
      <c r="CZ18339" s="256"/>
      <c r="DG18339" s="256"/>
    </row>
    <row r="18340" spans="104:111">
      <c r="CZ18340" s="256"/>
      <c r="DG18340" s="256"/>
    </row>
    <row r="18341" spans="104:111">
      <c r="CZ18341" s="256"/>
      <c r="DG18341" s="256"/>
    </row>
    <row r="18342" spans="104:111">
      <c r="CZ18342" s="256"/>
      <c r="DG18342" s="256"/>
    </row>
    <row r="18343" spans="104:111">
      <c r="CZ18343" s="256"/>
      <c r="DG18343" s="256"/>
    </row>
    <row r="18344" spans="104:111">
      <c r="CZ18344" s="256"/>
      <c r="DG18344" s="256"/>
    </row>
    <row r="18345" spans="104:111">
      <c r="CZ18345" s="256"/>
      <c r="DG18345" s="256"/>
    </row>
    <row r="18346" spans="104:111">
      <c r="CZ18346" s="256"/>
      <c r="DG18346" s="256"/>
    </row>
    <row r="18347" spans="104:111">
      <c r="CZ18347" s="256"/>
      <c r="DG18347" s="256"/>
    </row>
    <row r="18348" spans="104:111">
      <c r="CZ18348" s="256"/>
      <c r="DG18348" s="256"/>
    </row>
    <row r="18349" spans="104:111">
      <c r="CZ18349" s="256"/>
      <c r="DG18349" s="256"/>
    </row>
    <row r="18350" spans="104:111">
      <c r="CZ18350" s="256"/>
      <c r="DG18350" s="256"/>
    </row>
    <row r="18351" spans="104:111">
      <c r="CZ18351" s="256"/>
      <c r="DG18351" s="256"/>
    </row>
    <row r="18352" spans="104:111">
      <c r="CZ18352" s="256"/>
      <c r="DG18352" s="256"/>
    </row>
    <row r="18353" spans="104:111">
      <c r="CZ18353" s="256"/>
      <c r="DG18353" s="256"/>
    </row>
    <row r="18354" spans="104:111">
      <c r="CZ18354" s="256"/>
      <c r="DG18354" s="256"/>
    </row>
    <row r="18355" spans="104:111">
      <c r="CZ18355" s="256"/>
      <c r="DG18355" s="256"/>
    </row>
    <row r="18356" spans="104:111">
      <c r="CZ18356" s="256"/>
      <c r="DG18356" s="256"/>
    </row>
    <row r="18357" spans="104:111">
      <c r="CZ18357" s="256"/>
      <c r="DG18357" s="256"/>
    </row>
    <row r="18358" spans="104:111">
      <c r="CZ18358" s="256"/>
      <c r="DG18358" s="256"/>
    </row>
    <row r="18359" spans="104:111">
      <c r="CZ18359" s="256"/>
      <c r="DG18359" s="256"/>
    </row>
    <row r="18360" spans="104:111">
      <c r="CZ18360" s="256"/>
      <c r="DG18360" s="256"/>
    </row>
    <row r="18361" spans="104:111">
      <c r="CZ18361" s="256"/>
      <c r="DG18361" s="256"/>
    </row>
    <row r="18362" spans="104:111">
      <c r="CZ18362" s="256"/>
      <c r="DG18362" s="256"/>
    </row>
    <row r="18363" spans="104:111">
      <c r="CZ18363" s="256"/>
      <c r="DG18363" s="256"/>
    </row>
    <row r="18364" spans="104:111">
      <c r="CZ18364" s="256"/>
      <c r="DG18364" s="256"/>
    </row>
    <row r="18365" spans="104:111">
      <c r="CZ18365" s="256"/>
      <c r="DG18365" s="256"/>
    </row>
    <row r="18366" spans="104:111">
      <c r="CZ18366" s="256"/>
      <c r="DG18366" s="256"/>
    </row>
    <row r="18367" spans="104:111">
      <c r="CZ18367" s="256"/>
      <c r="DG18367" s="256"/>
    </row>
    <row r="18368" spans="104:111">
      <c r="CZ18368" s="256"/>
      <c r="DG18368" s="256"/>
    </row>
    <row r="18369" spans="104:111">
      <c r="CZ18369" s="256"/>
      <c r="DG18369" s="256"/>
    </row>
    <row r="18370" spans="104:111">
      <c r="CZ18370" s="256"/>
      <c r="DG18370" s="256"/>
    </row>
    <row r="18371" spans="104:111">
      <c r="CZ18371" s="256"/>
      <c r="DG18371" s="256"/>
    </row>
    <row r="18372" spans="104:111">
      <c r="CZ18372" s="256"/>
      <c r="DG18372" s="256"/>
    </row>
    <row r="18373" spans="104:111">
      <c r="CZ18373" s="256"/>
      <c r="DG18373" s="256"/>
    </row>
    <row r="18374" spans="104:111">
      <c r="CZ18374" s="256"/>
      <c r="DG18374" s="256"/>
    </row>
    <row r="18375" spans="104:111">
      <c r="CZ18375" s="256"/>
      <c r="DG18375" s="256"/>
    </row>
    <row r="18376" spans="104:111">
      <c r="CZ18376" s="256"/>
      <c r="DG18376" s="256"/>
    </row>
    <row r="18377" spans="104:111">
      <c r="CZ18377" s="256"/>
      <c r="DG18377" s="256"/>
    </row>
    <row r="18378" spans="104:111">
      <c r="CZ18378" s="256"/>
      <c r="DG18378" s="256"/>
    </row>
    <row r="18379" spans="104:111">
      <c r="CZ18379" s="256"/>
      <c r="DG18379" s="256"/>
    </row>
    <row r="18380" spans="104:111">
      <c r="CZ18380" s="256"/>
      <c r="DG18380" s="256"/>
    </row>
    <row r="18381" spans="104:111">
      <c r="CZ18381" s="256"/>
      <c r="DG18381" s="256"/>
    </row>
    <row r="18382" spans="104:111">
      <c r="CZ18382" s="256"/>
      <c r="DG18382" s="256"/>
    </row>
    <row r="18383" spans="104:111">
      <c r="CZ18383" s="256"/>
      <c r="DG18383" s="256"/>
    </row>
    <row r="18384" spans="104:111">
      <c r="CZ18384" s="256"/>
      <c r="DG18384" s="256"/>
    </row>
    <row r="18385" spans="104:111">
      <c r="CZ18385" s="256"/>
      <c r="DG18385" s="256"/>
    </row>
    <row r="18386" spans="104:111">
      <c r="CZ18386" s="256"/>
      <c r="DG18386" s="256"/>
    </row>
    <row r="18387" spans="104:111">
      <c r="CZ18387" s="256"/>
      <c r="DG18387" s="256"/>
    </row>
    <row r="18388" spans="104:111">
      <c r="CZ18388" s="256"/>
      <c r="DG18388" s="256"/>
    </row>
    <row r="18389" spans="104:111">
      <c r="CZ18389" s="256"/>
      <c r="DG18389" s="256"/>
    </row>
    <row r="18390" spans="104:111">
      <c r="CZ18390" s="256"/>
      <c r="DG18390" s="256"/>
    </row>
    <row r="18391" spans="104:111">
      <c r="CZ18391" s="256"/>
      <c r="DG18391" s="256"/>
    </row>
    <row r="18392" spans="104:111">
      <c r="CZ18392" s="256"/>
      <c r="DG18392" s="256"/>
    </row>
    <row r="18393" spans="104:111">
      <c r="CZ18393" s="256"/>
      <c r="DG18393" s="256"/>
    </row>
    <row r="18394" spans="104:111">
      <c r="CZ18394" s="256"/>
      <c r="DG18394" s="256"/>
    </row>
    <row r="18395" spans="104:111">
      <c r="CZ18395" s="256"/>
      <c r="DG18395" s="256"/>
    </row>
    <row r="18396" spans="104:111">
      <c r="CZ18396" s="256"/>
      <c r="DG18396" s="256"/>
    </row>
    <row r="18397" spans="104:111">
      <c r="CZ18397" s="256"/>
      <c r="DG18397" s="256"/>
    </row>
    <row r="18398" spans="104:111">
      <c r="CZ18398" s="256"/>
      <c r="DG18398" s="256"/>
    </row>
    <row r="18399" spans="104:111">
      <c r="CZ18399" s="256"/>
      <c r="DG18399" s="256"/>
    </row>
    <row r="18400" spans="104:111">
      <c r="CZ18400" s="256"/>
      <c r="DG18400" s="256"/>
    </row>
    <row r="18401" spans="104:111">
      <c r="CZ18401" s="256"/>
      <c r="DG18401" s="256"/>
    </row>
    <row r="18402" spans="104:111">
      <c r="CZ18402" s="256"/>
      <c r="DG18402" s="256"/>
    </row>
    <row r="18403" spans="104:111">
      <c r="CZ18403" s="256"/>
      <c r="DG18403" s="256"/>
    </row>
    <row r="18404" spans="104:111">
      <c r="CZ18404" s="256"/>
      <c r="DG18404" s="256"/>
    </row>
    <row r="18405" spans="104:111">
      <c r="CZ18405" s="256"/>
      <c r="DG18405" s="256"/>
    </row>
    <row r="18406" spans="104:111">
      <c r="CZ18406" s="256"/>
      <c r="DG18406" s="256"/>
    </row>
    <row r="18407" spans="104:111">
      <c r="CZ18407" s="256"/>
      <c r="DG18407" s="256"/>
    </row>
    <row r="18408" spans="104:111">
      <c r="CZ18408" s="256"/>
      <c r="DG18408" s="256"/>
    </row>
    <row r="18409" spans="104:111">
      <c r="CZ18409" s="256"/>
      <c r="DG18409" s="256"/>
    </row>
    <row r="18410" spans="104:111">
      <c r="CZ18410" s="256"/>
      <c r="DG18410" s="256"/>
    </row>
    <row r="18411" spans="104:111">
      <c r="CZ18411" s="256"/>
      <c r="DG18411" s="256"/>
    </row>
    <row r="18412" spans="104:111">
      <c r="CZ18412" s="256"/>
      <c r="DG18412" s="256"/>
    </row>
    <row r="18413" spans="104:111">
      <c r="CZ18413" s="256"/>
      <c r="DG18413" s="256"/>
    </row>
    <row r="18414" spans="104:111">
      <c r="CZ18414" s="256"/>
      <c r="DG18414" s="256"/>
    </row>
    <row r="18415" spans="104:111">
      <c r="CZ18415" s="256"/>
      <c r="DG18415" s="256"/>
    </row>
    <row r="18416" spans="104:111">
      <c r="CZ18416" s="256"/>
      <c r="DG18416" s="256"/>
    </row>
    <row r="18417" spans="104:111">
      <c r="CZ18417" s="256"/>
      <c r="DG18417" s="256"/>
    </row>
    <row r="18418" spans="104:111">
      <c r="CZ18418" s="256"/>
      <c r="DG18418" s="256"/>
    </row>
    <row r="18419" spans="104:111">
      <c r="CZ18419" s="256"/>
      <c r="DG18419" s="256"/>
    </row>
    <row r="18420" spans="104:111">
      <c r="CZ18420" s="256"/>
      <c r="DG18420" s="256"/>
    </row>
    <row r="18421" spans="104:111">
      <c r="CZ18421" s="256"/>
      <c r="DG18421" s="256"/>
    </row>
    <row r="18422" spans="104:111">
      <c r="CZ18422" s="256"/>
      <c r="DG18422" s="256"/>
    </row>
    <row r="18423" spans="104:111">
      <c r="CZ18423" s="256"/>
      <c r="DG18423" s="256"/>
    </row>
    <row r="18424" spans="104:111">
      <c r="CZ18424" s="256"/>
      <c r="DG18424" s="256"/>
    </row>
    <row r="18425" spans="104:111">
      <c r="CZ18425" s="256"/>
      <c r="DG18425" s="256"/>
    </row>
    <row r="18426" spans="104:111">
      <c r="CZ18426" s="256"/>
      <c r="DG18426" s="256"/>
    </row>
    <row r="18427" spans="104:111">
      <c r="CZ18427" s="256"/>
      <c r="DG18427" s="256"/>
    </row>
    <row r="18428" spans="104:111">
      <c r="CZ18428" s="256"/>
      <c r="DG18428" s="256"/>
    </row>
    <row r="18429" spans="104:111">
      <c r="CZ18429" s="256"/>
      <c r="DG18429" s="256"/>
    </row>
    <row r="18430" spans="104:111">
      <c r="CZ18430" s="256"/>
      <c r="DG18430" s="256"/>
    </row>
    <row r="18431" spans="104:111">
      <c r="CZ18431" s="256"/>
      <c r="DG18431" s="256"/>
    </row>
    <row r="18432" spans="104:111">
      <c r="CZ18432" s="256"/>
      <c r="DG18432" s="256"/>
    </row>
    <row r="18433" spans="104:111">
      <c r="CZ18433" s="256"/>
      <c r="DG18433" s="256"/>
    </row>
    <row r="18434" spans="104:111">
      <c r="CZ18434" s="256"/>
      <c r="DG18434" s="256"/>
    </row>
    <row r="18435" spans="104:111">
      <c r="CZ18435" s="256"/>
      <c r="DG18435" s="256"/>
    </row>
    <row r="18436" spans="104:111">
      <c r="CZ18436" s="256"/>
      <c r="DG18436" s="256"/>
    </row>
    <row r="18437" spans="104:111">
      <c r="CZ18437" s="256"/>
      <c r="DG18437" s="256"/>
    </row>
    <row r="18438" spans="104:111">
      <c r="CZ18438" s="256"/>
      <c r="DG18438" s="256"/>
    </row>
    <row r="18439" spans="104:111">
      <c r="CZ18439" s="256"/>
      <c r="DG18439" s="256"/>
    </row>
    <row r="18440" spans="104:111">
      <c r="CZ18440" s="256"/>
      <c r="DG18440" s="256"/>
    </row>
    <row r="18441" spans="104:111">
      <c r="CZ18441" s="256"/>
      <c r="DG18441" s="256"/>
    </row>
    <row r="18442" spans="104:111">
      <c r="CZ18442" s="256"/>
      <c r="DG18442" s="256"/>
    </row>
    <row r="18443" spans="104:111">
      <c r="CZ18443" s="256"/>
      <c r="DG18443" s="256"/>
    </row>
    <row r="18444" spans="104:111">
      <c r="CZ18444" s="256"/>
      <c r="DG18444" s="256"/>
    </row>
    <row r="18445" spans="104:111">
      <c r="CZ18445" s="256"/>
      <c r="DG18445" s="256"/>
    </row>
    <row r="18446" spans="104:111">
      <c r="CZ18446" s="256"/>
      <c r="DG18446" s="256"/>
    </row>
    <row r="18447" spans="104:111">
      <c r="CZ18447" s="256"/>
      <c r="DG18447" s="256"/>
    </row>
    <row r="18448" spans="104:111">
      <c r="CZ18448" s="256"/>
      <c r="DG18448" s="256"/>
    </row>
    <row r="18449" spans="104:111">
      <c r="CZ18449" s="256"/>
      <c r="DG18449" s="256"/>
    </row>
    <row r="18450" spans="104:111">
      <c r="CZ18450" s="256"/>
      <c r="DG18450" s="256"/>
    </row>
    <row r="18451" spans="104:111">
      <c r="CZ18451" s="256"/>
      <c r="DG18451" s="256"/>
    </row>
    <row r="18452" spans="104:111">
      <c r="CZ18452" s="256"/>
      <c r="DG18452" s="256"/>
    </row>
    <row r="18453" spans="104:111">
      <c r="CZ18453" s="256"/>
      <c r="DG18453" s="256"/>
    </row>
    <row r="18454" spans="104:111">
      <c r="CZ18454" s="256"/>
      <c r="DG18454" s="256"/>
    </row>
    <row r="18455" spans="104:111">
      <c r="CZ18455" s="256"/>
      <c r="DG18455" s="256"/>
    </row>
    <row r="18456" spans="104:111">
      <c r="CZ18456" s="256"/>
      <c r="DG18456" s="256"/>
    </row>
    <row r="18457" spans="104:111">
      <c r="CZ18457" s="256"/>
      <c r="DG18457" s="256"/>
    </row>
    <row r="18458" spans="104:111">
      <c r="CZ18458" s="256"/>
      <c r="DG18458" s="256"/>
    </row>
    <row r="18459" spans="104:111">
      <c r="CZ18459" s="256"/>
      <c r="DG18459" s="256"/>
    </row>
    <row r="18460" spans="104:111">
      <c r="CZ18460" s="256"/>
      <c r="DG18460" s="256"/>
    </row>
    <row r="18461" spans="104:111">
      <c r="CZ18461" s="256"/>
      <c r="DG18461" s="256"/>
    </row>
    <row r="18462" spans="104:111">
      <c r="CZ18462" s="256"/>
      <c r="DG18462" s="256"/>
    </row>
    <row r="18463" spans="104:111">
      <c r="CZ18463" s="256"/>
      <c r="DG18463" s="256"/>
    </row>
    <row r="18464" spans="104:111">
      <c r="CZ18464" s="256"/>
      <c r="DG18464" s="256"/>
    </row>
    <row r="18465" spans="104:111">
      <c r="CZ18465" s="256"/>
      <c r="DG18465" s="256"/>
    </row>
    <row r="18466" spans="104:111">
      <c r="CZ18466" s="256"/>
      <c r="DG18466" s="256"/>
    </row>
    <row r="18467" spans="104:111">
      <c r="CZ18467" s="256"/>
      <c r="DG18467" s="256"/>
    </row>
    <row r="18468" spans="104:111">
      <c r="CZ18468" s="256"/>
      <c r="DG18468" s="256"/>
    </row>
    <row r="18469" spans="104:111">
      <c r="CZ18469" s="256"/>
      <c r="DG18469" s="256"/>
    </row>
    <row r="18470" spans="104:111">
      <c r="CZ18470" s="256"/>
      <c r="DG18470" s="256"/>
    </row>
    <row r="18471" spans="104:111">
      <c r="CZ18471" s="256"/>
      <c r="DG18471" s="256"/>
    </row>
    <row r="18472" spans="104:111">
      <c r="CZ18472" s="256"/>
      <c r="DG18472" s="256"/>
    </row>
    <row r="18473" spans="104:111">
      <c r="CZ18473" s="256"/>
      <c r="DG18473" s="256"/>
    </row>
    <row r="18474" spans="104:111">
      <c r="CZ18474" s="256"/>
      <c r="DG18474" s="256"/>
    </row>
    <row r="18475" spans="104:111">
      <c r="CZ18475" s="256"/>
      <c r="DG18475" s="256"/>
    </row>
    <row r="18476" spans="104:111">
      <c r="CZ18476" s="256"/>
      <c r="DG18476" s="256"/>
    </row>
    <row r="18477" spans="104:111">
      <c r="CZ18477" s="256"/>
      <c r="DG18477" s="256"/>
    </row>
    <row r="18478" spans="104:111">
      <c r="CZ18478" s="256"/>
      <c r="DG18478" s="256"/>
    </row>
    <row r="18479" spans="104:111">
      <c r="CZ18479" s="256"/>
      <c r="DG18479" s="256"/>
    </row>
    <row r="18480" spans="104:111">
      <c r="CZ18480" s="256"/>
      <c r="DG18480" s="256"/>
    </row>
    <row r="18481" spans="104:111">
      <c r="CZ18481" s="256"/>
      <c r="DG18481" s="256"/>
    </row>
    <row r="18482" spans="104:111">
      <c r="CZ18482" s="256"/>
      <c r="DG18482" s="256"/>
    </row>
    <row r="18483" spans="104:111">
      <c r="CZ18483" s="256"/>
      <c r="DG18483" s="256"/>
    </row>
    <row r="18484" spans="104:111">
      <c r="CZ18484" s="256"/>
      <c r="DG18484" s="256"/>
    </row>
    <row r="18485" spans="104:111">
      <c r="CZ18485" s="256"/>
      <c r="DG18485" s="256"/>
    </row>
    <row r="18486" spans="104:111">
      <c r="CZ18486" s="256"/>
      <c r="DG18486" s="256"/>
    </row>
    <row r="18487" spans="104:111">
      <c r="CZ18487" s="256"/>
      <c r="DG18487" s="256"/>
    </row>
    <row r="18488" spans="104:111">
      <c r="CZ18488" s="256"/>
      <c r="DG18488" s="256"/>
    </row>
    <row r="18489" spans="104:111">
      <c r="CZ18489" s="256"/>
      <c r="DG18489" s="256"/>
    </row>
    <row r="18490" spans="104:111">
      <c r="CZ18490" s="256"/>
      <c r="DG18490" s="256"/>
    </row>
    <row r="18491" spans="104:111">
      <c r="CZ18491" s="256"/>
      <c r="DG18491" s="256"/>
    </row>
    <row r="18492" spans="104:111">
      <c r="CZ18492" s="256"/>
      <c r="DG18492" s="256"/>
    </row>
    <row r="18493" spans="104:111">
      <c r="CZ18493" s="256"/>
      <c r="DG18493" s="256"/>
    </row>
    <row r="18494" spans="104:111">
      <c r="CZ18494" s="256"/>
      <c r="DG18494" s="256"/>
    </row>
    <row r="18495" spans="104:111">
      <c r="CZ18495" s="256"/>
      <c r="DG18495" s="256"/>
    </row>
    <row r="18496" spans="104:111">
      <c r="CZ18496" s="256"/>
      <c r="DG18496" s="256"/>
    </row>
    <row r="18497" spans="104:111">
      <c r="CZ18497" s="256"/>
      <c r="DG18497" s="256"/>
    </row>
    <row r="18498" spans="104:111">
      <c r="CZ18498" s="256"/>
      <c r="DG18498" s="256"/>
    </row>
    <row r="18499" spans="104:111">
      <c r="CZ18499" s="256"/>
      <c r="DG18499" s="256"/>
    </row>
    <row r="18500" spans="104:111">
      <c r="CZ18500" s="256"/>
      <c r="DG18500" s="256"/>
    </row>
    <row r="18501" spans="104:111">
      <c r="CZ18501" s="256"/>
      <c r="DG18501" s="256"/>
    </row>
    <row r="18502" spans="104:111">
      <c r="CZ18502" s="256"/>
      <c r="DG18502" s="256"/>
    </row>
    <row r="18503" spans="104:111">
      <c r="CZ18503" s="256"/>
      <c r="DG18503" s="256"/>
    </row>
    <row r="18504" spans="104:111">
      <c r="CZ18504" s="256"/>
      <c r="DG18504" s="256"/>
    </row>
    <row r="18505" spans="104:111">
      <c r="CZ18505" s="256"/>
      <c r="DG18505" s="256"/>
    </row>
    <row r="18506" spans="104:111">
      <c r="CZ18506" s="256"/>
      <c r="DG18506" s="256"/>
    </row>
    <row r="18507" spans="104:111">
      <c r="CZ18507" s="256"/>
      <c r="DG18507" s="256"/>
    </row>
    <row r="18508" spans="104:111">
      <c r="CZ18508" s="256"/>
      <c r="DG18508" s="256"/>
    </row>
    <row r="18509" spans="104:111">
      <c r="CZ18509" s="256"/>
      <c r="DG18509" s="256"/>
    </row>
    <row r="18510" spans="104:111">
      <c r="CZ18510" s="256"/>
      <c r="DG18510" s="256"/>
    </row>
    <row r="18511" spans="104:111">
      <c r="CZ18511" s="256"/>
      <c r="DG18511" s="256"/>
    </row>
    <row r="18512" spans="104:111">
      <c r="CZ18512" s="256"/>
      <c r="DG18512" s="256"/>
    </row>
    <row r="18513" spans="104:111">
      <c r="CZ18513" s="256"/>
      <c r="DG18513" s="256"/>
    </row>
    <row r="18514" spans="104:111">
      <c r="CZ18514" s="256"/>
      <c r="DG18514" s="256"/>
    </row>
    <row r="18515" spans="104:111">
      <c r="CZ18515" s="256"/>
      <c r="DG18515" s="256"/>
    </row>
    <row r="18516" spans="104:111">
      <c r="CZ18516" s="256"/>
      <c r="DG18516" s="256"/>
    </row>
    <row r="18517" spans="104:111">
      <c r="CZ18517" s="256"/>
      <c r="DG18517" s="256"/>
    </row>
    <row r="18518" spans="104:111">
      <c r="CZ18518" s="256"/>
      <c r="DG18518" s="256"/>
    </row>
    <row r="18519" spans="104:111">
      <c r="CZ18519" s="256"/>
      <c r="DG18519" s="256"/>
    </row>
    <row r="18520" spans="104:111">
      <c r="CZ18520" s="256"/>
      <c r="DG18520" s="256"/>
    </row>
    <row r="18521" spans="104:111">
      <c r="CZ18521" s="256"/>
      <c r="DG18521" s="256"/>
    </row>
    <row r="18522" spans="104:111">
      <c r="CZ18522" s="256"/>
      <c r="DG18522" s="256"/>
    </row>
    <row r="18523" spans="104:111">
      <c r="CZ18523" s="256"/>
      <c r="DG18523" s="256"/>
    </row>
    <row r="18524" spans="104:111">
      <c r="CZ18524" s="256"/>
      <c r="DG18524" s="256"/>
    </row>
    <row r="18525" spans="104:111">
      <c r="CZ18525" s="256"/>
      <c r="DG18525" s="256"/>
    </row>
    <row r="18526" spans="104:111">
      <c r="CZ18526" s="256"/>
      <c r="DG18526" s="256"/>
    </row>
    <row r="18527" spans="104:111">
      <c r="CZ18527" s="256"/>
      <c r="DG18527" s="256"/>
    </row>
    <row r="18528" spans="104:111">
      <c r="CZ18528" s="256"/>
      <c r="DG18528" s="256"/>
    </row>
    <row r="18529" spans="104:111">
      <c r="CZ18529" s="256"/>
      <c r="DG18529" s="256"/>
    </row>
    <row r="18530" spans="104:111">
      <c r="CZ18530" s="256"/>
      <c r="DG18530" s="256"/>
    </row>
    <row r="18531" spans="104:111">
      <c r="CZ18531" s="256"/>
      <c r="DG18531" s="256"/>
    </row>
    <row r="18532" spans="104:111">
      <c r="CZ18532" s="256"/>
      <c r="DG18532" s="256"/>
    </row>
    <row r="18533" spans="104:111">
      <c r="CZ18533" s="256"/>
      <c r="DG18533" s="256"/>
    </row>
    <row r="18534" spans="104:111">
      <c r="CZ18534" s="256"/>
      <c r="DG18534" s="256"/>
    </row>
    <row r="18535" spans="104:111">
      <c r="CZ18535" s="256"/>
      <c r="DG18535" s="256"/>
    </row>
    <row r="18536" spans="104:111">
      <c r="CZ18536" s="256"/>
      <c r="DG18536" s="256"/>
    </row>
    <row r="18537" spans="104:111">
      <c r="CZ18537" s="256"/>
      <c r="DG18537" s="256"/>
    </row>
    <row r="18538" spans="104:111">
      <c r="CZ18538" s="256"/>
      <c r="DG18538" s="256"/>
    </row>
    <row r="18539" spans="104:111">
      <c r="CZ18539" s="256"/>
      <c r="DG18539" s="256"/>
    </row>
    <row r="18540" spans="104:111">
      <c r="CZ18540" s="256"/>
      <c r="DG18540" s="256"/>
    </row>
    <row r="18541" spans="104:111">
      <c r="CZ18541" s="256"/>
      <c r="DG18541" s="256"/>
    </row>
    <row r="18542" spans="104:111">
      <c r="CZ18542" s="256"/>
      <c r="DG18542" s="256"/>
    </row>
    <row r="18543" spans="104:111">
      <c r="CZ18543" s="256"/>
      <c r="DG18543" s="256"/>
    </row>
    <row r="18544" spans="104:111">
      <c r="CZ18544" s="256"/>
      <c r="DG18544" s="256"/>
    </row>
    <row r="18545" spans="104:111">
      <c r="CZ18545" s="256"/>
      <c r="DG18545" s="256"/>
    </row>
    <row r="18546" spans="104:111">
      <c r="CZ18546" s="256"/>
      <c r="DG18546" s="256"/>
    </row>
    <row r="18547" spans="104:111">
      <c r="CZ18547" s="256"/>
      <c r="DG18547" s="256"/>
    </row>
    <row r="18548" spans="104:111">
      <c r="CZ18548" s="256"/>
      <c r="DG18548" s="256"/>
    </row>
    <row r="18549" spans="104:111">
      <c r="CZ18549" s="256"/>
      <c r="DG18549" s="256"/>
    </row>
    <row r="18550" spans="104:111">
      <c r="CZ18550" s="256"/>
      <c r="DG18550" s="256"/>
    </row>
    <row r="18551" spans="104:111">
      <c r="CZ18551" s="256"/>
      <c r="DG18551" s="256"/>
    </row>
    <row r="18552" spans="104:111">
      <c r="CZ18552" s="256"/>
      <c r="DG18552" s="256"/>
    </row>
    <row r="18553" spans="104:111">
      <c r="CZ18553" s="256"/>
      <c r="DG18553" s="256"/>
    </row>
    <row r="18554" spans="104:111">
      <c r="CZ18554" s="256"/>
      <c r="DG18554" s="256"/>
    </row>
    <row r="18555" spans="104:111">
      <c r="CZ18555" s="256"/>
      <c r="DG18555" s="256"/>
    </row>
    <row r="18556" spans="104:111">
      <c r="CZ18556" s="256"/>
      <c r="DG18556" s="256"/>
    </row>
    <row r="18557" spans="104:111">
      <c r="CZ18557" s="256"/>
      <c r="DG18557" s="256"/>
    </row>
    <row r="18558" spans="104:111">
      <c r="CZ18558" s="256"/>
      <c r="DG18558" s="256"/>
    </row>
    <row r="18559" spans="104:111">
      <c r="CZ18559" s="256"/>
      <c r="DG18559" s="256"/>
    </row>
    <row r="18560" spans="104:111">
      <c r="CZ18560" s="256"/>
      <c r="DG18560" s="256"/>
    </row>
    <row r="18561" spans="104:111">
      <c r="CZ18561" s="256"/>
      <c r="DG18561" s="256"/>
    </row>
    <row r="18562" spans="104:111">
      <c r="CZ18562" s="256"/>
      <c r="DG18562" s="256"/>
    </row>
    <row r="18563" spans="104:111">
      <c r="CZ18563" s="256"/>
      <c r="DG18563" s="256"/>
    </row>
    <row r="18564" spans="104:111">
      <c r="CZ18564" s="256"/>
      <c r="DG18564" s="256"/>
    </row>
    <row r="18565" spans="104:111">
      <c r="CZ18565" s="256"/>
      <c r="DG18565" s="256"/>
    </row>
    <row r="18566" spans="104:111">
      <c r="CZ18566" s="256"/>
      <c r="DG18566" s="256"/>
    </row>
    <row r="18567" spans="104:111">
      <c r="CZ18567" s="256"/>
      <c r="DG18567" s="256"/>
    </row>
    <row r="18568" spans="104:111">
      <c r="CZ18568" s="256"/>
      <c r="DG18568" s="256"/>
    </row>
    <row r="18569" spans="104:111">
      <c r="CZ18569" s="256"/>
      <c r="DG18569" s="256"/>
    </row>
    <row r="18570" spans="104:111">
      <c r="CZ18570" s="256"/>
      <c r="DG18570" s="256"/>
    </row>
    <row r="18571" spans="104:111">
      <c r="CZ18571" s="256"/>
      <c r="DG18571" s="256"/>
    </row>
    <row r="18572" spans="104:111">
      <c r="CZ18572" s="256"/>
      <c r="DG18572" s="256"/>
    </row>
    <row r="18573" spans="104:111">
      <c r="CZ18573" s="256"/>
      <c r="DG18573" s="256"/>
    </row>
    <row r="18574" spans="104:111">
      <c r="CZ18574" s="256"/>
      <c r="DG18574" s="256"/>
    </row>
    <row r="18575" spans="104:111">
      <c r="CZ18575" s="256"/>
      <c r="DG18575" s="256"/>
    </row>
    <row r="18576" spans="104:111">
      <c r="CZ18576" s="256"/>
      <c r="DG18576" s="256"/>
    </row>
    <row r="18577" spans="104:111">
      <c r="CZ18577" s="256"/>
      <c r="DG18577" s="256"/>
    </row>
    <row r="18578" spans="104:111">
      <c r="CZ18578" s="256"/>
      <c r="DG18578" s="256"/>
    </row>
    <row r="18579" spans="104:111">
      <c r="CZ18579" s="256"/>
      <c r="DG18579" s="256"/>
    </row>
    <row r="18580" spans="104:111">
      <c r="CZ18580" s="256"/>
      <c r="DG18580" s="256"/>
    </row>
    <row r="18581" spans="104:111">
      <c r="CZ18581" s="256"/>
      <c r="DG18581" s="256"/>
    </row>
    <row r="18582" spans="104:111">
      <c r="CZ18582" s="256"/>
      <c r="DG18582" s="256"/>
    </row>
    <row r="18583" spans="104:111">
      <c r="CZ18583" s="256"/>
      <c r="DG18583" s="256"/>
    </row>
    <row r="18584" spans="104:111">
      <c r="CZ18584" s="256"/>
      <c r="DG18584" s="256"/>
    </row>
    <row r="18585" spans="104:111">
      <c r="CZ18585" s="256"/>
      <c r="DG18585" s="256"/>
    </row>
    <row r="18586" spans="104:111">
      <c r="CZ18586" s="256"/>
      <c r="DG18586" s="256"/>
    </row>
    <row r="18587" spans="104:111">
      <c r="CZ18587" s="256"/>
      <c r="DG18587" s="256"/>
    </row>
    <row r="18588" spans="104:111">
      <c r="CZ18588" s="256"/>
      <c r="DG18588" s="256"/>
    </row>
    <row r="18589" spans="104:111">
      <c r="CZ18589" s="256"/>
      <c r="DG18589" s="256"/>
    </row>
    <row r="18590" spans="104:111">
      <c r="CZ18590" s="256"/>
      <c r="DG18590" s="256"/>
    </row>
    <row r="18591" spans="104:111">
      <c r="CZ18591" s="256"/>
      <c r="DG18591" s="256"/>
    </row>
    <row r="18592" spans="104:111">
      <c r="CZ18592" s="256"/>
      <c r="DG18592" s="256"/>
    </row>
    <row r="18593" spans="104:111">
      <c r="CZ18593" s="256"/>
      <c r="DG18593" s="256"/>
    </row>
    <row r="18594" spans="104:111">
      <c r="CZ18594" s="256"/>
      <c r="DG18594" s="256"/>
    </row>
    <row r="18595" spans="104:111">
      <c r="CZ18595" s="256"/>
      <c r="DG18595" s="256"/>
    </row>
    <row r="18596" spans="104:111">
      <c r="CZ18596" s="256"/>
      <c r="DG18596" s="256"/>
    </row>
    <row r="18597" spans="104:111">
      <c r="CZ18597" s="256"/>
      <c r="DG18597" s="256"/>
    </row>
    <row r="18598" spans="104:111">
      <c r="CZ18598" s="256"/>
      <c r="DG18598" s="256"/>
    </row>
    <row r="18599" spans="104:111">
      <c r="CZ18599" s="256"/>
      <c r="DG18599" s="256"/>
    </row>
    <row r="18600" spans="104:111">
      <c r="CZ18600" s="256"/>
      <c r="DG18600" s="256"/>
    </row>
    <row r="18601" spans="104:111">
      <c r="CZ18601" s="256"/>
      <c r="DG18601" s="256"/>
    </row>
    <row r="18602" spans="104:111">
      <c r="CZ18602" s="256"/>
      <c r="DG18602" s="256"/>
    </row>
    <row r="18603" spans="104:111">
      <c r="CZ18603" s="256"/>
      <c r="DG18603" s="256"/>
    </row>
    <row r="18604" spans="104:111">
      <c r="CZ18604" s="256"/>
      <c r="DG18604" s="256"/>
    </row>
    <row r="18605" spans="104:111">
      <c r="CZ18605" s="256"/>
      <c r="DG18605" s="256"/>
    </row>
    <row r="18606" spans="104:111">
      <c r="CZ18606" s="256"/>
      <c r="DG18606" s="256"/>
    </row>
    <row r="18607" spans="104:111">
      <c r="CZ18607" s="256"/>
      <c r="DG18607" s="256"/>
    </row>
    <row r="18608" spans="104:111">
      <c r="CZ18608" s="256"/>
      <c r="DG18608" s="256"/>
    </row>
    <row r="18609" spans="104:111">
      <c r="CZ18609" s="256"/>
      <c r="DG18609" s="256"/>
    </row>
    <row r="18610" spans="104:111">
      <c r="CZ18610" s="256"/>
      <c r="DG18610" s="256"/>
    </row>
    <row r="18611" spans="104:111">
      <c r="CZ18611" s="256"/>
      <c r="DG18611" s="256"/>
    </row>
    <row r="18612" spans="104:111">
      <c r="CZ18612" s="256"/>
      <c r="DG18612" s="256"/>
    </row>
    <row r="18613" spans="104:111">
      <c r="CZ18613" s="256"/>
      <c r="DG18613" s="256"/>
    </row>
    <row r="18614" spans="104:111">
      <c r="CZ18614" s="256"/>
      <c r="DG18614" s="256"/>
    </row>
    <row r="18615" spans="104:111">
      <c r="CZ18615" s="256"/>
      <c r="DG18615" s="256"/>
    </row>
    <row r="18616" spans="104:111">
      <c r="CZ18616" s="256"/>
      <c r="DG18616" s="256"/>
    </row>
    <row r="18617" spans="104:111">
      <c r="CZ18617" s="256"/>
      <c r="DG18617" s="256"/>
    </row>
    <row r="18618" spans="104:111">
      <c r="CZ18618" s="256"/>
      <c r="DG18618" s="256"/>
    </row>
    <row r="18619" spans="104:111">
      <c r="CZ18619" s="256"/>
      <c r="DG18619" s="256"/>
    </row>
    <row r="18620" spans="104:111">
      <c r="CZ18620" s="256"/>
      <c r="DG18620" s="256"/>
    </row>
    <row r="18621" spans="104:111">
      <c r="CZ18621" s="256"/>
      <c r="DG18621" s="256"/>
    </row>
    <row r="18622" spans="104:111">
      <c r="CZ18622" s="256"/>
      <c r="DG18622" s="256"/>
    </row>
    <row r="18623" spans="104:111">
      <c r="CZ18623" s="256"/>
      <c r="DG18623" s="256"/>
    </row>
    <row r="18624" spans="104:111">
      <c r="CZ18624" s="256"/>
      <c r="DG18624" s="256"/>
    </row>
    <row r="18625" spans="104:111">
      <c r="CZ18625" s="256"/>
      <c r="DG18625" s="256"/>
    </row>
    <row r="18626" spans="104:111">
      <c r="CZ18626" s="256"/>
      <c r="DG18626" s="256"/>
    </row>
    <row r="18627" spans="104:111">
      <c r="CZ18627" s="256"/>
      <c r="DG18627" s="256"/>
    </row>
    <row r="18628" spans="104:111">
      <c r="CZ18628" s="256"/>
      <c r="DG18628" s="256"/>
    </row>
    <row r="18629" spans="104:111">
      <c r="CZ18629" s="256"/>
      <c r="DG18629" s="256"/>
    </row>
    <row r="18630" spans="104:111">
      <c r="CZ18630" s="256"/>
      <c r="DG18630" s="256"/>
    </row>
    <row r="18631" spans="104:111">
      <c r="CZ18631" s="256"/>
      <c r="DG18631" s="256"/>
    </row>
    <row r="18632" spans="104:111">
      <c r="CZ18632" s="256"/>
      <c r="DG18632" s="256"/>
    </row>
    <row r="18633" spans="104:111">
      <c r="CZ18633" s="256"/>
      <c r="DG18633" s="256"/>
    </row>
    <row r="18634" spans="104:111">
      <c r="CZ18634" s="256"/>
      <c r="DG18634" s="256"/>
    </row>
    <row r="18635" spans="104:111">
      <c r="CZ18635" s="256"/>
      <c r="DG18635" s="256"/>
    </row>
    <row r="18636" spans="104:111">
      <c r="CZ18636" s="256"/>
      <c r="DG18636" s="256"/>
    </row>
    <row r="18637" spans="104:111">
      <c r="CZ18637" s="256"/>
      <c r="DG18637" s="256"/>
    </row>
    <row r="18638" spans="104:111">
      <c r="CZ18638" s="256"/>
      <c r="DG18638" s="256"/>
    </row>
    <row r="18639" spans="104:111">
      <c r="CZ18639" s="256"/>
      <c r="DG18639" s="256"/>
    </row>
    <row r="18640" spans="104:111">
      <c r="CZ18640" s="256"/>
      <c r="DG18640" s="256"/>
    </row>
    <row r="18641" spans="104:111">
      <c r="CZ18641" s="256"/>
      <c r="DG18641" s="256"/>
    </row>
    <row r="18642" spans="104:111">
      <c r="CZ18642" s="256"/>
      <c r="DG18642" s="256"/>
    </row>
    <row r="18643" spans="104:111">
      <c r="CZ18643" s="256"/>
      <c r="DG18643" s="256"/>
    </row>
    <row r="18644" spans="104:111">
      <c r="CZ18644" s="256"/>
      <c r="DG18644" s="256"/>
    </row>
    <row r="18645" spans="104:111">
      <c r="CZ18645" s="256"/>
      <c r="DG18645" s="256"/>
    </row>
    <row r="18646" spans="104:111">
      <c r="CZ18646" s="256"/>
      <c r="DG18646" s="256"/>
    </row>
    <row r="18647" spans="104:111">
      <c r="CZ18647" s="256"/>
      <c r="DG18647" s="256"/>
    </row>
    <row r="18648" spans="104:111">
      <c r="CZ18648" s="256"/>
      <c r="DG18648" s="256"/>
    </row>
    <row r="18649" spans="104:111">
      <c r="CZ18649" s="256"/>
      <c r="DG18649" s="256"/>
    </row>
    <row r="18650" spans="104:111">
      <c r="CZ18650" s="256"/>
      <c r="DG18650" s="256"/>
    </row>
    <row r="18651" spans="104:111">
      <c r="CZ18651" s="256"/>
      <c r="DG18651" s="256"/>
    </row>
    <row r="18652" spans="104:111">
      <c r="CZ18652" s="256"/>
      <c r="DG18652" s="256"/>
    </row>
    <row r="18653" spans="104:111">
      <c r="CZ18653" s="256"/>
      <c r="DG18653" s="256"/>
    </row>
    <row r="18654" spans="104:111">
      <c r="CZ18654" s="256"/>
      <c r="DG18654" s="256"/>
    </row>
    <row r="18655" spans="104:111">
      <c r="CZ18655" s="256"/>
      <c r="DG18655" s="256"/>
    </row>
    <row r="18656" spans="104:111">
      <c r="CZ18656" s="256"/>
      <c r="DG18656" s="256"/>
    </row>
    <row r="18657" spans="104:111">
      <c r="CZ18657" s="256"/>
      <c r="DG18657" s="256"/>
    </row>
    <row r="18658" spans="104:111">
      <c r="CZ18658" s="256"/>
      <c r="DG18658" s="256"/>
    </row>
    <row r="18659" spans="104:111">
      <c r="CZ18659" s="256"/>
      <c r="DG18659" s="256"/>
    </row>
    <row r="18660" spans="104:111">
      <c r="CZ18660" s="256"/>
      <c r="DG18660" s="256"/>
    </row>
    <row r="18661" spans="104:111">
      <c r="CZ18661" s="256"/>
      <c r="DG18661" s="256"/>
    </row>
    <row r="18662" spans="104:111">
      <c r="CZ18662" s="256"/>
      <c r="DG18662" s="256"/>
    </row>
    <row r="18663" spans="104:111">
      <c r="CZ18663" s="256"/>
      <c r="DG18663" s="256"/>
    </row>
    <row r="18664" spans="104:111">
      <c r="CZ18664" s="256"/>
      <c r="DG18664" s="256"/>
    </row>
    <row r="18665" spans="104:111">
      <c r="CZ18665" s="256"/>
      <c r="DG18665" s="256"/>
    </row>
    <row r="18666" spans="104:111">
      <c r="CZ18666" s="256"/>
      <c r="DG18666" s="256"/>
    </row>
    <row r="18667" spans="104:111">
      <c r="CZ18667" s="256"/>
      <c r="DG18667" s="256"/>
    </row>
    <row r="18668" spans="104:111">
      <c r="CZ18668" s="256"/>
      <c r="DG18668" s="256"/>
    </row>
    <row r="18669" spans="104:111">
      <c r="CZ18669" s="256"/>
      <c r="DG18669" s="256"/>
    </row>
    <row r="18670" spans="104:111">
      <c r="CZ18670" s="256"/>
      <c r="DG18670" s="256"/>
    </row>
    <row r="18671" spans="104:111">
      <c r="CZ18671" s="256"/>
      <c r="DG18671" s="256"/>
    </row>
    <row r="18672" spans="104:111">
      <c r="CZ18672" s="256"/>
      <c r="DG18672" s="256"/>
    </row>
    <row r="18673" spans="104:111">
      <c r="CZ18673" s="256"/>
      <c r="DG18673" s="256"/>
    </row>
    <row r="18674" spans="104:111">
      <c r="CZ18674" s="256"/>
      <c r="DG18674" s="256"/>
    </row>
    <row r="18675" spans="104:111">
      <c r="CZ18675" s="256"/>
      <c r="DG18675" s="256"/>
    </row>
    <row r="18676" spans="104:111">
      <c r="CZ18676" s="256"/>
      <c r="DG18676" s="256"/>
    </row>
    <row r="18677" spans="104:111">
      <c r="CZ18677" s="256"/>
      <c r="DG18677" s="256"/>
    </row>
    <row r="18678" spans="104:111">
      <c r="CZ18678" s="256"/>
      <c r="DG18678" s="256"/>
    </row>
    <row r="18679" spans="104:111">
      <c r="CZ18679" s="256"/>
      <c r="DG18679" s="256"/>
    </row>
    <row r="18680" spans="104:111">
      <c r="CZ18680" s="256"/>
      <c r="DG18680" s="256"/>
    </row>
    <row r="18681" spans="104:111">
      <c r="CZ18681" s="256"/>
      <c r="DG18681" s="256"/>
    </row>
    <row r="18682" spans="104:111">
      <c r="CZ18682" s="256"/>
      <c r="DG18682" s="256"/>
    </row>
    <row r="18683" spans="104:111">
      <c r="CZ18683" s="256"/>
      <c r="DG18683" s="256"/>
    </row>
    <row r="18684" spans="104:111">
      <c r="CZ18684" s="256"/>
      <c r="DG18684" s="256"/>
    </row>
    <row r="18685" spans="104:111">
      <c r="CZ18685" s="256"/>
      <c r="DG18685" s="256"/>
    </row>
    <row r="18686" spans="104:111">
      <c r="CZ18686" s="256"/>
      <c r="DG18686" s="256"/>
    </row>
    <row r="18687" spans="104:111">
      <c r="CZ18687" s="256"/>
      <c r="DG18687" s="256"/>
    </row>
    <row r="18688" spans="104:111">
      <c r="CZ18688" s="256"/>
      <c r="DG18688" s="256"/>
    </row>
    <row r="18689" spans="104:111">
      <c r="CZ18689" s="256"/>
      <c r="DG18689" s="256"/>
    </row>
    <row r="18690" spans="104:111">
      <c r="CZ18690" s="256"/>
      <c r="DG18690" s="256"/>
    </row>
    <row r="18691" spans="104:111">
      <c r="CZ18691" s="256"/>
      <c r="DG18691" s="256"/>
    </row>
    <row r="18692" spans="104:111">
      <c r="CZ18692" s="256"/>
      <c r="DG18692" s="256"/>
    </row>
    <row r="18693" spans="104:111">
      <c r="CZ18693" s="256"/>
      <c r="DG18693" s="256"/>
    </row>
    <row r="18694" spans="104:111">
      <c r="CZ18694" s="256"/>
      <c r="DG18694" s="256"/>
    </row>
    <row r="18695" spans="104:111">
      <c r="CZ18695" s="256"/>
      <c r="DG18695" s="256"/>
    </row>
    <row r="18696" spans="104:111">
      <c r="CZ18696" s="256"/>
      <c r="DG18696" s="256"/>
    </row>
    <row r="18697" spans="104:111">
      <c r="CZ18697" s="256"/>
      <c r="DG18697" s="256"/>
    </row>
    <row r="18698" spans="104:111">
      <c r="CZ18698" s="256"/>
      <c r="DG18698" s="256"/>
    </row>
    <row r="18699" spans="104:111">
      <c r="CZ18699" s="256"/>
      <c r="DG18699" s="256"/>
    </row>
    <row r="18700" spans="104:111">
      <c r="CZ18700" s="256"/>
      <c r="DG18700" s="256"/>
    </row>
    <row r="18701" spans="104:111">
      <c r="CZ18701" s="256"/>
      <c r="DG18701" s="256"/>
    </row>
    <row r="18702" spans="104:111">
      <c r="CZ18702" s="256"/>
      <c r="DG18702" s="256"/>
    </row>
    <row r="18703" spans="104:111">
      <c r="CZ18703" s="256"/>
      <c r="DG18703" s="256"/>
    </row>
    <row r="18704" spans="104:111">
      <c r="CZ18704" s="256"/>
      <c r="DG18704" s="256"/>
    </row>
    <row r="18705" spans="104:111">
      <c r="CZ18705" s="256"/>
      <c r="DG18705" s="256"/>
    </row>
    <row r="18706" spans="104:111">
      <c r="CZ18706" s="256"/>
      <c r="DG18706" s="256"/>
    </row>
    <row r="18707" spans="104:111">
      <c r="CZ18707" s="256"/>
      <c r="DG18707" s="256"/>
    </row>
    <row r="18708" spans="104:111">
      <c r="CZ18708" s="256"/>
      <c r="DG18708" s="256"/>
    </row>
    <row r="18709" spans="104:111">
      <c r="CZ18709" s="256"/>
      <c r="DG18709" s="256"/>
    </row>
    <row r="18710" spans="104:111">
      <c r="CZ18710" s="256"/>
      <c r="DG18710" s="256"/>
    </row>
    <row r="18711" spans="104:111">
      <c r="CZ18711" s="256"/>
      <c r="DG18711" s="256"/>
    </row>
    <row r="18712" spans="104:111">
      <c r="CZ18712" s="256"/>
      <c r="DG18712" s="256"/>
    </row>
    <row r="18713" spans="104:111">
      <c r="CZ18713" s="256"/>
      <c r="DG18713" s="256"/>
    </row>
    <row r="18714" spans="104:111">
      <c r="CZ18714" s="256"/>
      <c r="DG18714" s="256"/>
    </row>
    <row r="18715" spans="104:111">
      <c r="CZ18715" s="256"/>
      <c r="DG18715" s="256"/>
    </row>
    <row r="18716" spans="104:111">
      <c r="CZ18716" s="256"/>
      <c r="DG18716" s="256"/>
    </row>
    <row r="18717" spans="104:111">
      <c r="CZ18717" s="256"/>
      <c r="DG18717" s="256"/>
    </row>
    <row r="18718" spans="104:111">
      <c r="CZ18718" s="256"/>
      <c r="DG18718" s="256"/>
    </row>
    <row r="18719" spans="104:111">
      <c r="CZ18719" s="256"/>
      <c r="DG18719" s="256"/>
    </row>
    <row r="18720" spans="104:111">
      <c r="CZ18720" s="256"/>
      <c r="DG18720" s="256"/>
    </row>
    <row r="18721" spans="104:111">
      <c r="CZ18721" s="256"/>
      <c r="DG18721" s="256"/>
    </row>
    <row r="18722" spans="104:111">
      <c r="CZ18722" s="256"/>
      <c r="DG18722" s="256"/>
    </row>
    <row r="18723" spans="104:111">
      <c r="CZ18723" s="256"/>
      <c r="DG18723" s="256"/>
    </row>
    <row r="18724" spans="104:111">
      <c r="CZ18724" s="256"/>
      <c r="DG18724" s="256"/>
    </row>
    <row r="18725" spans="104:111">
      <c r="CZ18725" s="256"/>
      <c r="DG18725" s="256"/>
    </row>
    <row r="18726" spans="104:111">
      <c r="CZ18726" s="256"/>
      <c r="DG18726" s="256"/>
    </row>
    <row r="18727" spans="104:111">
      <c r="CZ18727" s="256"/>
      <c r="DG18727" s="256"/>
    </row>
    <row r="18728" spans="104:111">
      <c r="CZ18728" s="256"/>
      <c r="DG18728" s="256"/>
    </row>
    <row r="18729" spans="104:111">
      <c r="CZ18729" s="256"/>
      <c r="DG18729" s="256"/>
    </row>
    <row r="18730" spans="104:111">
      <c r="CZ18730" s="256"/>
      <c r="DG18730" s="256"/>
    </row>
    <row r="18731" spans="104:111">
      <c r="CZ18731" s="256"/>
      <c r="DG18731" s="256"/>
    </row>
    <row r="18732" spans="104:111">
      <c r="CZ18732" s="256"/>
      <c r="DG18732" s="256"/>
    </row>
    <row r="18733" spans="104:111">
      <c r="CZ18733" s="256"/>
      <c r="DG18733" s="256"/>
    </row>
    <row r="18734" spans="104:111">
      <c r="CZ18734" s="256"/>
      <c r="DG18734" s="256"/>
    </row>
    <row r="18735" spans="104:111">
      <c r="CZ18735" s="256"/>
      <c r="DG18735" s="256"/>
    </row>
    <row r="18736" spans="104:111">
      <c r="CZ18736" s="256"/>
      <c r="DG18736" s="256"/>
    </row>
    <row r="18737" spans="104:111">
      <c r="CZ18737" s="256"/>
      <c r="DG18737" s="256"/>
    </row>
    <row r="18738" spans="104:111">
      <c r="CZ18738" s="256"/>
      <c r="DG18738" s="256"/>
    </row>
    <row r="18739" spans="104:111">
      <c r="CZ18739" s="256"/>
      <c r="DG18739" s="256"/>
    </row>
    <row r="18740" spans="104:111">
      <c r="CZ18740" s="256"/>
      <c r="DG18740" s="256"/>
    </row>
    <row r="18741" spans="104:111">
      <c r="CZ18741" s="256"/>
      <c r="DG18741" s="256"/>
    </row>
    <row r="18742" spans="104:111">
      <c r="CZ18742" s="256"/>
      <c r="DG18742" s="256"/>
    </row>
    <row r="18743" spans="104:111">
      <c r="CZ18743" s="256"/>
      <c r="DG18743" s="256"/>
    </row>
    <row r="18744" spans="104:111">
      <c r="CZ18744" s="256"/>
      <c r="DG18744" s="256"/>
    </row>
    <row r="18745" spans="104:111">
      <c r="CZ18745" s="256"/>
      <c r="DG18745" s="256"/>
    </row>
    <row r="18746" spans="104:111">
      <c r="CZ18746" s="256"/>
      <c r="DG18746" s="256"/>
    </row>
    <row r="18747" spans="104:111">
      <c r="CZ18747" s="256"/>
      <c r="DG18747" s="256"/>
    </row>
    <row r="18748" spans="104:111">
      <c r="CZ18748" s="256"/>
      <c r="DG18748" s="256"/>
    </row>
    <row r="18749" spans="104:111">
      <c r="CZ18749" s="256"/>
      <c r="DG18749" s="256"/>
    </row>
    <row r="18750" spans="104:111">
      <c r="CZ18750" s="256"/>
      <c r="DG18750" s="256"/>
    </row>
    <row r="18751" spans="104:111">
      <c r="CZ18751" s="256"/>
      <c r="DG18751" s="256"/>
    </row>
    <row r="18752" spans="104:111">
      <c r="CZ18752" s="256"/>
      <c r="DG18752" s="256"/>
    </row>
    <row r="18753" spans="104:111">
      <c r="CZ18753" s="256"/>
      <c r="DG18753" s="256"/>
    </row>
    <row r="18754" spans="104:111">
      <c r="CZ18754" s="256"/>
      <c r="DG18754" s="256"/>
    </row>
    <row r="18755" spans="104:111">
      <c r="CZ18755" s="256"/>
      <c r="DG18755" s="256"/>
    </row>
    <row r="18756" spans="104:111">
      <c r="CZ18756" s="256"/>
      <c r="DG18756" s="256"/>
    </row>
    <row r="18757" spans="104:111">
      <c r="CZ18757" s="256"/>
      <c r="DG18757" s="256"/>
    </row>
    <row r="18758" spans="104:111">
      <c r="CZ18758" s="256"/>
      <c r="DG18758" s="256"/>
    </row>
    <row r="18759" spans="104:111">
      <c r="CZ18759" s="256"/>
      <c r="DG18759" s="256"/>
    </row>
    <row r="18760" spans="104:111">
      <c r="CZ18760" s="256"/>
      <c r="DG18760" s="256"/>
    </row>
    <row r="18761" spans="104:111">
      <c r="CZ18761" s="256"/>
      <c r="DG18761" s="256"/>
    </row>
    <row r="18762" spans="104:111">
      <c r="CZ18762" s="256"/>
      <c r="DG18762" s="256"/>
    </row>
    <row r="18763" spans="104:111">
      <c r="CZ18763" s="256"/>
      <c r="DG18763" s="256"/>
    </row>
    <row r="18764" spans="104:111">
      <c r="CZ18764" s="256"/>
      <c r="DG18764" s="256"/>
    </row>
    <row r="18765" spans="104:111">
      <c r="CZ18765" s="256"/>
      <c r="DG18765" s="256"/>
    </row>
    <row r="18766" spans="104:111">
      <c r="CZ18766" s="256"/>
      <c r="DG18766" s="256"/>
    </row>
    <row r="18767" spans="104:111">
      <c r="CZ18767" s="256"/>
      <c r="DG18767" s="256"/>
    </row>
    <row r="18768" spans="104:111">
      <c r="CZ18768" s="256"/>
      <c r="DG18768" s="256"/>
    </row>
    <row r="18769" spans="104:111">
      <c r="CZ18769" s="256"/>
      <c r="DG18769" s="256"/>
    </row>
    <row r="18770" spans="104:111">
      <c r="CZ18770" s="256"/>
      <c r="DG18770" s="256"/>
    </row>
    <row r="18771" spans="104:111">
      <c r="CZ18771" s="256"/>
      <c r="DG18771" s="256"/>
    </row>
    <row r="18772" spans="104:111">
      <c r="CZ18772" s="256"/>
      <c r="DG18772" s="256"/>
    </row>
    <row r="18773" spans="104:111">
      <c r="CZ18773" s="256"/>
      <c r="DG18773" s="256"/>
    </row>
    <row r="18774" spans="104:111">
      <c r="CZ18774" s="256"/>
      <c r="DG18774" s="256"/>
    </row>
    <row r="18775" spans="104:111">
      <c r="CZ18775" s="256"/>
      <c r="DG18775" s="256"/>
    </row>
    <row r="18776" spans="104:111">
      <c r="CZ18776" s="256"/>
      <c r="DG18776" s="256"/>
    </row>
    <row r="18777" spans="104:111">
      <c r="CZ18777" s="256"/>
      <c r="DG18777" s="256"/>
    </row>
    <row r="18778" spans="104:111">
      <c r="CZ18778" s="256"/>
      <c r="DG18778" s="256"/>
    </row>
    <row r="18779" spans="104:111">
      <c r="CZ18779" s="256"/>
      <c r="DG18779" s="256"/>
    </row>
    <row r="18780" spans="104:111">
      <c r="CZ18780" s="256"/>
      <c r="DG18780" s="256"/>
    </row>
    <row r="18781" spans="104:111">
      <c r="CZ18781" s="256"/>
      <c r="DG18781" s="256"/>
    </row>
    <row r="18782" spans="104:111">
      <c r="CZ18782" s="256"/>
      <c r="DG18782" s="256"/>
    </row>
    <row r="18783" spans="104:111">
      <c r="CZ18783" s="256"/>
      <c r="DG18783" s="256"/>
    </row>
    <row r="18784" spans="104:111">
      <c r="CZ18784" s="256"/>
      <c r="DG18784" s="256"/>
    </row>
    <row r="18785" spans="104:111">
      <c r="CZ18785" s="256"/>
      <c r="DG18785" s="256"/>
    </row>
    <row r="18786" spans="104:111">
      <c r="CZ18786" s="256"/>
      <c r="DG18786" s="256"/>
    </row>
    <row r="18787" spans="104:111">
      <c r="CZ18787" s="256"/>
      <c r="DG18787" s="256"/>
    </row>
    <row r="18788" spans="104:111">
      <c r="CZ18788" s="256"/>
      <c r="DG18788" s="256"/>
    </row>
    <row r="18789" spans="104:111">
      <c r="CZ18789" s="256"/>
      <c r="DG18789" s="256"/>
    </row>
    <row r="18790" spans="104:111">
      <c r="CZ18790" s="256"/>
      <c r="DG18790" s="256"/>
    </row>
    <row r="18791" spans="104:111">
      <c r="CZ18791" s="256"/>
      <c r="DG18791" s="256"/>
    </row>
    <row r="18792" spans="104:111">
      <c r="CZ18792" s="256"/>
      <c r="DG18792" s="256"/>
    </row>
    <row r="18793" spans="104:111">
      <c r="CZ18793" s="256"/>
      <c r="DG18793" s="256"/>
    </row>
    <row r="18794" spans="104:111">
      <c r="CZ18794" s="256"/>
      <c r="DG18794" s="256"/>
    </row>
    <row r="18795" spans="104:111">
      <c r="CZ18795" s="256"/>
      <c r="DG18795" s="256"/>
    </row>
    <row r="18796" spans="104:111">
      <c r="CZ18796" s="256"/>
      <c r="DG18796" s="256"/>
    </row>
    <row r="18797" spans="104:111">
      <c r="CZ18797" s="256"/>
      <c r="DG18797" s="256"/>
    </row>
    <row r="18798" spans="104:111">
      <c r="CZ18798" s="256"/>
      <c r="DG18798" s="256"/>
    </row>
    <row r="18799" spans="104:111">
      <c r="CZ18799" s="256"/>
      <c r="DG18799" s="256"/>
    </row>
    <row r="18800" spans="104:111">
      <c r="CZ18800" s="256"/>
      <c r="DG18800" s="256"/>
    </row>
    <row r="18801" spans="104:111">
      <c r="CZ18801" s="256"/>
      <c r="DG18801" s="256"/>
    </row>
    <row r="18802" spans="104:111">
      <c r="CZ18802" s="256"/>
      <c r="DG18802" s="256"/>
    </row>
    <row r="18803" spans="104:111">
      <c r="CZ18803" s="256"/>
      <c r="DG18803" s="256"/>
    </row>
    <row r="18804" spans="104:111">
      <c r="CZ18804" s="256"/>
      <c r="DG18804" s="256"/>
    </row>
    <row r="18805" spans="104:111">
      <c r="CZ18805" s="256"/>
      <c r="DG18805" s="256"/>
    </row>
    <row r="18806" spans="104:111">
      <c r="CZ18806" s="256"/>
      <c r="DG18806" s="256"/>
    </row>
    <row r="18807" spans="104:111">
      <c r="CZ18807" s="256"/>
      <c r="DG18807" s="256"/>
    </row>
    <row r="18808" spans="104:111">
      <c r="CZ18808" s="256"/>
      <c r="DG18808" s="256"/>
    </row>
    <row r="18809" spans="104:111">
      <c r="CZ18809" s="256"/>
      <c r="DG18809" s="256"/>
    </row>
    <row r="18810" spans="104:111">
      <c r="CZ18810" s="256"/>
      <c r="DG18810" s="256"/>
    </row>
    <row r="18811" spans="104:111">
      <c r="CZ18811" s="256"/>
      <c r="DG18811" s="256"/>
    </row>
    <row r="18812" spans="104:111">
      <c r="CZ18812" s="256"/>
      <c r="DG18812" s="256"/>
    </row>
    <row r="18813" spans="104:111">
      <c r="CZ18813" s="256"/>
      <c r="DG18813" s="256"/>
    </row>
    <row r="18814" spans="104:111">
      <c r="CZ18814" s="256"/>
      <c r="DG18814" s="256"/>
    </row>
    <row r="18815" spans="104:111">
      <c r="CZ18815" s="256"/>
      <c r="DG18815" s="256"/>
    </row>
    <row r="18816" spans="104:111">
      <c r="CZ18816" s="256"/>
      <c r="DG18816" s="256"/>
    </row>
    <row r="18817" spans="104:111">
      <c r="CZ18817" s="256"/>
      <c r="DG18817" s="256"/>
    </row>
    <row r="18818" spans="104:111">
      <c r="CZ18818" s="256"/>
      <c r="DG18818" s="256"/>
    </row>
    <row r="18819" spans="104:111">
      <c r="CZ18819" s="256"/>
      <c r="DG18819" s="256"/>
    </row>
    <row r="18820" spans="104:111">
      <c r="CZ18820" s="256"/>
      <c r="DG18820" s="256"/>
    </row>
    <row r="18821" spans="104:111">
      <c r="CZ18821" s="256"/>
      <c r="DG18821" s="256"/>
    </row>
    <row r="18822" spans="104:111">
      <c r="CZ18822" s="256"/>
      <c r="DG18822" s="256"/>
    </row>
    <row r="18823" spans="104:111">
      <c r="CZ18823" s="256"/>
      <c r="DG18823" s="256"/>
    </row>
    <row r="18824" spans="104:111">
      <c r="CZ18824" s="256"/>
      <c r="DG18824" s="256"/>
    </row>
    <row r="18825" spans="104:111">
      <c r="CZ18825" s="256"/>
      <c r="DG18825" s="256"/>
    </row>
    <row r="18826" spans="104:111">
      <c r="CZ18826" s="256"/>
      <c r="DG18826" s="256"/>
    </row>
    <row r="18827" spans="104:111">
      <c r="CZ18827" s="256"/>
      <c r="DG18827" s="256"/>
    </row>
    <row r="18828" spans="104:111">
      <c r="CZ18828" s="256"/>
      <c r="DG18828" s="256"/>
    </row>
    <row r="18829" spans="104:111">
      <c r="CZ18829" s="256"/>
      <c r="DG18829" s="256"/>
    </row>
    <row r="18830" spans="104:111">
      <c r="CZ18830" s="256"/>
      <c r="DG18830" s="256"/>
    </row>
    <row r="18831" spans="104:111">
      <c r="CZ18831" s="256"/>
      <c r="DG18831" s="256"/>
    </row>
    <row r="18832" spans="104:111">
      <c r="CZ18832" s="256"/>
      <c r="DG18832" s="256"/>
    </row>
    <row r="18833" spans="104:111">
      <c r="CZ18833" s="256"/>
      <c r="DG18833" s="256"/>
    </row>
    <row r="18834" spans="104:111">
      <c r="CZ18834" s="256"/>
      <c r="DG18834" s="256"/>
    </row>
    <row r="18835" spans="104:111">
      <c r="CZ18835" s="256"/>
      <c r="DG18835" s="256"/>
    </row>
    <row r="18836" spans="104:111">
      <c r="CZ18836" s="256"/>
      <c r="DG18836" s="256"/>
    </row>
    <row r="18837" spans="104:111">
      <c r="CZ18837" s="256"/>
      <c r="DG18837" s="256"/>
    </row>
    <row r="18838" spans="104:111">
      <c r="CZ18838" s="256"/>
      <c r="DG18838" s="256"/>
    </row>
    <row r="18839" spans="104:111">
      <c r="CZ18839" s="256"/>
      <c r="DG18839" s="256"/>
    </row>
    <row r="18840" spans="104:111">
      <c r="CZ18840" s="256"/>
      <c r="DG18840" s="256"/>
    </row>
    <row r="18841" spans="104:111">
      <c r="CZ18841" s="256"/>
      <c r="DG18841" s="256"/>
    </row>
    <row r="18842" spans="104:111">
      <c r="CZ18842" s="256"/>
      <c r="DG18842" s="256"/>
    </row>
    <row r="18843" spans="104:111">
      <c r="CZ18843" s="256"/>
      <c r="DG18843" s="256"/>
    </row>
    <row r="18844" spans="104:111">
      <c r="CZ18844" s="256"/>
      <c r="DG18844" s="256"/>
    </row>
    <row r="18845" spans="104:111">
      <c r="CZ18845" s="256"/>
      <c r="DG18845" s="256"/>
    </row>
    <row r="18846" spans="104:111">
      <c r="CZ18846" s="256"/>
      <c r="DG18846" s="256"/>
    </row>
    <row r="18847" spans="104:111">
      <c r="CZ18847" s="256"/>
      <c r="DG18847" s="256"/>
    </row>
    <row r="18848" spans="104:111">
      <c r="CZ18848" s="256"/>
      <c r="DG18848" s="256"/>
    </row>
    <row r="18849" spans="104:111">
      <c r="CZ18849" s="256"/>
      <c r="DG18849" s="256"/>
    </row>
    <row r="18850" spans="104:111">
      <c r="CZ18850" s="256"/>
      <c r="DG18850" s="256"/>
    </row>
    <row r="18851" spans="104:111">
      <c r="CZ18851" s="256"/>
      <c r="DG18851" s="256"/>
    </row>
    <row r="18852" spans="104:111">
      <c r="CZ18852" s="256"/>
      <c r="DG18852" s="256"/>
    </row>
    <row r="18853" spans="104:111">
      <c r="CZ18853" s="256"/>
      <c r="DG18853" s="256"/>
    </row>
    <row r="18854" spans="104:111">
      <c r="CZ18854" s="256"/>
      <c r="DG18854" s="256"/>
    </row>
    <row r="18855" spans="104:111">
      <c r="CZ18855" s="256"/>
      <c r="DG18855" s="256"/>
    </row>
    <row r="18856" spans="104:111">
      <c r="CZ18856" s="256"/>
      <c r="DG18856" s="256"/>
    </row>
    <row r="18857" spans="104:111">
      <c r="CZ18857" s="256"/>
      <c r="DG18857" s="256"/>
    </row>
    <row r="18858" spans="104:111">
      <c r="CZ18858" s="256"/>
      <c r="DG18858" s="256"/>
    </row>
    <row r="18859" spans="104:111">
      <c r="CZ18859" s="256"/>
      <c r="DG18859" s="256"/>
    </row>
    <row r="18860" spans="104:111">
      <c r="CZ18860" s="256"/>
      <c r="DG18860" s="256"/>
    </row>
    <row r="18861" spans="104:111">
      <c r="CZ18861" s="256"/>
      <c r="DG18861" s="256"/>
    </row>
    <row r="18862" spans="104:111">
      <c r="CZ18862" s="256"/>
      <c r="DG18862" s="256"/>
    </row>
    <row r="18863" spans="104:111">
      <c r="CZ18863" s="256"/>
      <c r="DG18863" s="256"/>
    </row>
    <row r="18864" spans="104:111">
      <c r="CZ18864" s="256"/>
      <c r="DG18864" s="256"/>
    </row>
    <row r="18865" spans="104:111">
      <c r="CZ18865" s="256"/>
      <c r="DG18865" s="256"/>
    </row>
    <row r="18866" spans="104:111">
      <c r="CZ18866" s="256"/>
      <c r="DG18866" s="256"/>
    </row>
    <row r="18867" spans="104:111">
      <c r="CZ18867" s="256"/>
      <c r="DG18867" s="256"/>
    </row>
    <row r="18868" spans="104:111">
      <c r="CZ18868" s="256"/>
      <c r="DG18868" s="256"/>
    </row>
    <row r="18869" spans="104:111">
      <c r="CZ18869" s="256"/>
      <c r="DG18869" s="256"/>
    </row>
    <row r="18870" spans="104:111">
      <c r="CZ18870" s="256"/>
      <c r="DG18870" s="256"/>
    </row>
    <row r="18871" spans="104:111">
      <c r="CZ18871" s="256"/>
      <c r="DG18871" s="256"/>
    </row>
    <row r="18872" spans="104:111">
      <c r="CZ18872" s="256"/>
      <c r="DG18872" s="256"/>
    </row>
    <row r="18873" spans="104:111">
      <c r="CZ18873" s="256"/>
      <c r="DG18873" s="256"/>
    </row>
    <row r="18874" spans="104:111">
      <c r="CZ18874" s="256"/>
      <c r="DG18874" s="256"/>
    </row>
    <row r="18875" spans="104:111">
      <c r="CZ18875" s="256"/>
      <c r="DG18875" s="256"/>
    </row>
    <row r="18876" spans="104:111">
      <c r="CZ18876" s="256"/>
      <c r="DG18876" s="256"/>
    </row>
    <row r="18877" spans="104:111">
      <c r="CZ18877" s="256"/>
      <c r="DG18877" s="256"/>
    </row>
    <row r="18878" spans="104:111">
      <c r="CZ18878" s="256"/>
      <c r="DG18878" s="256"/>
    </row>
    <row r="18879" spans="104:111">
      <c r="CZ18879" s="256"/>
      <c r="DG18879" s="256"/>
    </row>
    <row r="18880" spans="104:111">
      <c r="CZ18880" s="256"/>
      <c r="DG18880" s="256"/>
    </row>
    <row r="18881" spans="104:111">
      <c r="CZ18881" s="256"/>
      <c r="DG18881" s="256"/>
    </row>
    <row r="18882" spans="104:111">
      <c r="CZ18882" s="256"/>
      <c r="DG18882" s="256"/>
    </row>
    <row r="18883" spans="104:111">
      <c r="CZ18883" s="256"/>
      <c r="DG18883" s="256"/>
    </row>
    <row r="18884" spans="104:111">
      <c r="CZ18884" s="256"/>
      <c r="DG18884" s="256"/>
    </row>
    <row r="18885" spans="104:111">
      <c r="CZ18885" s="256"/>
      <c r="DG18885" s="256"/>
    </row>
    <row r="18886" spans="104:111">
      <c r="CZ18886" s="256"/>
      <c r="DG18886" s="256"/>
    </row>
    <row r="18887" spans="104:111">
      <c r="CZ18887" s="256"/>
      <c r="DG18887" s="256"/>
    </row>
    <row r="18888" spans="104:111">
      <c r="CZ18888" s="256"/>
      <c r="DG18888" s="256"/>
    </row>
    <row r="18889" spans="104:111">
      <c r="CZ18889" s="256"/>
      <c r="DG18889" s="256"/>
    </row>
    <row r="18890" spans="104:111">
      <c r="CZ18890" s="256"/>
      <c r="DG18890" s="256"/>
    </row>
    <row r="18891" spans="104:111">
      <c r="CZ18891" s="256"/>
      <c r="DG18891" s="256"/>
    </row>
    <row r="18892" spans="104:111">
      <c r="CZ18892" s="256"/>
      <c r="DG18892" s="256"/>
    </row>
    <row r="18893" spans="104:111">
      <c r="CZ18893" s="256"/>
      <c r="DG18893" s="256"/>
    </row>
    <row r="18894" spans="104:111">
      <c r="CZ18894" s="256"/>
      <c r="DG18894" s="256"/>
    </row>
    <row r="18895" spans="104:111">
      <c r="CZ18895" s="256"/>
      <c r="DG18895" s="256"/>
    </row>
    <row r="18896" spans="104:111">
      <c r="CZ18896" s="256"/>
      <c r="DG18896" s="256"/>
    </row>
    <row r="18897" spans="104:111">
      <c r="CZ18897" s="256"/>
      <c r="DG18897" s="256"/>
    </row>
    <row r="18898" spans="104:111">
      <c r="CZ18898" s="256"/>
      <c r="DG18898" s="256"/>
    </row>
    <row r="18899" spans="104:111">
      <c r="CZ18899" s="256"/>
      <c r="DG18899" s="256"/>
    </row>
    <row r="18900" spans="104:111">
      <c r="CZ18900" s="256"/>
      <c r="DG18900" s="256"/>
    </row>
    <row r="18901" spans="104:111">
      <c r="CZ18901" s="256"/>
      <c r="DG18901" s="256"/>
    </row>
    <row r="18902" spans="104:111">
      <c r="CZ18902" s="256"/>
      <c r="DG18902" s="256"/>
    </row>
    <row r="18903" spans="104:111">
      <c r="CZ18903" s="256"/>
      <c r="DG18903" s="256"/>
    </row>
    <row r="18904" spans="104:111">
      <c r="CZ18904" s="256"/>
      <c r="DG18904" s="256"/>
    </row>
    <row r="18905" spans="104:111">
      <c r="CZ18905" s="256"/>
      <c r="DG18905" s="256"/>
    </row>
    <row r="18906" spans="104:111">
      <c r="CZ18906" s="256"/>
      <c r="DG18906" s="256"/>
    </row>
    <row r="18907" spans="104:111">
      <c r="CZ18907" s="256"/>
      <c r="DG18907" s="256"/>
    </row>
    <row r="18908" spans="104:111">
      <c r="CZ18908" s="256"/>
      <c r="DG18908" s="256"/>
    </row>
    <row r="18909" spans="104:111">
      <c r="CZ18909" s="256"/>
      <c r="DG18909" s="256"/>
    </row>
    <row r="18910" spans="104:111">
      <c r="CZ18910" s="256"/>
      <c r="DG18910" s="256"/>
    </row>
    <row r="18911" spans="104:111">
      <c r="CZ18911" s="256"/>
      <c r="DG18911" s="256"/>
    </row>
    <row r="18912" spans="104:111">
      <c r="CZ18912" s="256"/>
      <c r="DG18912" s="256"/>
    </row>
    <row r="18913" spans="104:111">
      <c r="CZ18913" s="256"/>
      <c r="DG18913" s="256"/>
    </row>
    <row r="18914" spans="104:111">
      <c r="CZ18914" s="256"/>
      <c r="DG18914" s="256"/>
    </row>
    <row r="18915" spans="104:111">
      <c r="CZ18915" s="256"/>
      <c r="DG18915" s="256"/>
    </row>
    <row r="18916" spans="104:111">
      <c r="CZ18916" s="256"/>
      <c r="DG18916" s="256"/>
    </row>
    <row r="18917" spans="104:111">
      <c r="CZ18917" s="256"/>
      <c r="DG18917" s="256"/>
    </row>
    <row r="18918" spans="104:111">
      <c r="CZ18918" s="256"/>
      <c r="DG18918" s="256"/>
    </row>
    <row r="18919" spans="104:111">
      <c r="CZ18919" s="256"/>
      <c r="DG18919" s="256"/>
    </row>
    <row r="18920" spans="104:111">
      <c r="CZ18920" s="256"/>
      <c r="DG18920" s="256"/>
    </row>
    <row r="18921" spans="104:111">
      <c r="CZ18921" s="256"/>
      <c r="DG18921" s="256"/>
    </row>
    <row r="18922" spans="104:111">
      <c r="CZ18922" s="256"/>
      <c r="DG18922" s="256"/>
    </row>
    <row r="18923" spans="104:111">
      <c r="CZ18923" s="256"/>
      <c r="DG18923" s="256"/>
    </row>
    <row r="18924" spans="104:111">
      <c r="CZ18924" s="256"/>
      <c r="DG18924" s="256"/>
    </row>
    <row r="18925" spans="104:111">
      <c r="CZ18925" s="256"/>
      <c r="DG18925" s="256"/>
    </row>
    <row r="18926" spans="104:111">
      <c r="CZ18926" s="256"/>
      <c r="DG18926" s="256"/>
    </row>
    <row r="18927" spans="104:111">
      <c r="CZ18927" s="256"/>
      <c r="DG18927" s="256"/>
    </row>
    <row r="18928" spans="104:111">
      <c r="CZ18928" s="256"/>
      <c r="DG18928" s="256"/>
    </row>
    <row r="18929" spans="104:111">
      <c r="CZ18929" s="256"/>
      <c r="DG18929" s="256"/>
    </row>
    <row r="18930" spans="104:111">
      <c r="CZ18930" s="256"/>
      <c r="DG18930" s="256"/>
    </row>
    <row r="18931" spans="104:111">
      <c r="CZ18931" s="256"/>
      <c r="DG18931" s="256"/>
    </row>
    <row r="18932" spans="104:111">
      <c r="CZ18932" s="256"/>
      <c r="DG18932" s="256"/>
    </row>
    <row r="18933" spans="104:111">
      <c r="CZ18933" s="256"/>
      <c r="DG18933" s="256"/>
    </row>
    <row r="18934" spans="104:111">
      <c r="CZ18934" s="256"/>
      <c r="DG18934" s="256"/>
    </row>
    <row r="18935" spans="104:111">
      <c r="CZ18935" s="256"/>
      <c r="DG18935" s="256"/>
    </row>
    <row r="18936" spans="104:111">
      <c r="CZ18936" s="256"/>
      <c r="DG18936" s="256"/>
    </row>
    <row r="18937" spans="104:111">
      <c r="CZ18937" s="256"/>
      <c r="DG18937" s="256"/>
    </row>
    <row r="18938" spans="104:111">
      <c r="CZ18938" s="256"/>
      <c r="DG18938" s="256"/>
    </row>
    <row r="18939" spans="104:111">
      <c r="CZ18939" s="256"/>
      <c r="DG18939" s="256"/>
    </row>
    <row r="18940" spans="104:111">
      <c r="CZ18940" s="256"/>
      <c r="DG18940" s="256"/>
    </row>
    <row r="18941" spans="104:111">
      <c r="CZ18941" s="256"/>
      <c r="DG18941" s="256"/>
    </row>
    <row r="18942" spans="104:111">
      <c r="CZ18942" s="256"/>
      <c r="DG18942" s="256"/>
    </row>
    <row r="18943" spans="104:111">
      <c r="CZ18943" s="256"/>
      <c r="DG18943" s="256"/>
    </row>
    <row r="18944" spans="104:111">
      <c r="CZ18944" s="256"/>
      <c r="DG18944" s="256"/>
    </row>
    <row r="18945" spans="104:111">
      <c r="CZ18945" s="256"/>
      <c r="DG18945" s="256"/>
    </row>
    <row r="18946" spans="104:111">
      <c r="CZ18946" s="256"/>
      <c r="DG18946" s="256"/>
    </row>
    <row r="18947" spans="104:111">
      <c r="CZ18947" s="256"/>
      <c r="DG18947" s="256"/>
    </row>
    <row r="18948" spans="104:111">
      <c r="CZ18948" s="256"/>
      <c r="DG18948" s="256"/>
    </row>
    <row r="18949" spans="104:111">
      <c r="CZ18949" s="256"/>
      <c r="DG18949" s="256"/>
    </row>
    <row r="18950" spans="104:111">
      <c r="CZ18950" s="256"/>
      <c r="DG18950" s="256"/>
    </row>
    <row r="18951" spans="104:111">
      <c r="CZ18951" s="256"/>
      <c r="DG18951" s="256"/>
    </row>
    <row r="18952" spans="104:111">
      <c r="CZ18952" s="256"/>
      <c r="DG18952" s="256"/>
    </row>
    <row r="18953" spans="104:111">
      <c r="CZ18953" s="256"/>
      <c r="DG18953" s="256"/>
    </row>
    <row r="18954" spans="104:111">
      <c r="CZ18954" s="256"/>
      <c r="DG18954" s="256"/>
    </row>
    <row r="18955" spans="104:111">
      <c r="CZ18955" s="256"/>
      <c r="DG18955" s="256"/>
    </row>
    <row r="18956" spans="104:111">
      <c r="CZ18956" s="256"/>
      <c r="DG18956" s="256"/>
    </row>
    <row r="18957" spans="104:111">
      <c r="CZ18957" s="256"/>
      <c r="DG18957" s="256"/>
    </row>
    <row r="18958" spans="104:111">
      <c r="CZ18958" s="256"/>
      <c r="DG18958" s="256"/>
    </row>
    <row r="18959" spans="104:111">
      <c r="CZ18959" s="256"/>
      <c r="DG18959" s="256"/>
    </row>
    <row r="18960" spans="104:111">
      <c r="CZ18960" s="256"/>
      <c r="DG18960" s="256"/>
    </row>
    <row r="18961" spans="104:111">
      <c r="CZ18961" s="256"/>
      <c r="DG18961" s="256"/>
    </row>
    <row r="18962" spans="104:111">
      <c r="CZ18962" s="256"/>
      <c r="DG18962" s="256"/>
    </row>
    <row r="18963" spans="104:111">
      <c r="CZ18963" s="256"/>
      <c r="DG18963" s="256"/>
    </row>
    <row r="18964" spans="104:111">
      <c r="CZ18964" s="256"/>
      <c r="DG18964" s="256"/>
    </row>
    <row r="18965" spans="104:111">
      <c r="CZ18965" s="256"/>
      <c r="DG18965" s="256"/>
    </row>
    <row r="18966" spans="104:111">
      <c r="CZ18966" s="256"/>
      <c r="DG18966" s="256"/>
    </row>
    <row r="18967" spans="104:111">
      <c r="CZ18967" s="256"/>
      <c r="DG18967" s="256"/>
    </row>
    <row r="18968" spans="104:111">
      <c r="CZ18968" s="256"/>
      <c r="DG18968" s="256"/>
    </row>
    <row r="18969" spans="104:111">
      <c r="CZ18969" s="256"/>
      <c r="DG18969" s="256"/>
    </row>
    <row r="18970" spans="104:111">
      <c r="CZ18970" s="256"/>
      <c r="DG18970" s="256"/>
    </row>
    <row r="18971" spans="104:111">
      <c r="CZ18971" s="256"/>
      <c r="DG18971" s="256"/>
    </row>
    <row r="18972" spans="104:111">
      <c r="CZ18972" s="256"/>
      <c r="DG18972" s="256"/>
    </row>
    <row r="18973" spans="104:111">
      <c r="CZ18973" s="256"/>
      <c r="DG18973" s="256"/>
    </row>
    <row r="18974" spans="104:111">
      <c r="CZ18974" s="256"/>
      <c r="DG18974" s="256"/>
    </row>
    <row r="18975" spans="104:111">
      <c r="CZ18975" s="256"/>
      <c r="DG18975" s="256"/>
    </row>
    <row r="18976" spans="104:111">
      <c r="CZ18976" s="256"/>
      <c r="DG18976" s="256"/>
    </row>
    <row r="18977" spans="104:111">
      <c r="CZ18977" s="256"/>
      <c r="DG18977" s="256"/>
    </row>
    <row r="18978" spans="104:111">
      <c r="CZ18978" s="256"/>
      <c r="DG18978" s="256"/>
    </row>
    <row r="18979" spans="104:111">
      <c r="CZ18979" s="256"/>
      <c r="DG18979" s="256"/>
    </row>
    <row r="18980" spans="104:111">
      <c r="CZ18980" s="256"/>
      <c r="DG18980" s="256"/>
    </row>
    <row r="18981" spans="104:111">
      <c r="CZ18981" s="256"/>
      <c r="DG18981" s="256"/>
    </row>
    <row r="18982" spans="104:111">
      <c r="CZ18982" s="256"/>
      <c r="DG18982" s="256"/>
    </row>
    <row r="18983" spans="104:111">
      <c r="CZ18983" s="256"/>
      <c r="DG18983" s="256"/>
    </row>
    <row r="18984" spans="104:111">
      <c r="CZ18984" s="256"/>
      <c r="DG18984" s="256"/>
    </row>
    <row r="18985" spans="104:111">
      <c r="CZ18985" s="256"/>
      <c r="DG18985" s="256"/>
    </row>
    <row r="18986" spans="104:111">
      <c r="CZ18986" s="256"/>
      <c r="DG18986" s="256"/>
    </row>
    <row r="18987" spans="104:111">
      <c r="CZ18987" s="256"/>
      <c r="DG18987" s="256"/>
    </row>
    <row r="18988" spans="104:111">
      <c r="CZ18988" s="256"/>
      <c r="DG18988" s="256"/>
    </row>
    <row r="18989" spans="104:111">
      <c r="CZ18989" s="256"/>
      <c r="DG18989" s="256"/>
    </row>
    <row r="18990" spans="104:111">
      <c r="CZ18990" s="256"/>
      <c r="DG18990" s="256"/>
    </row>
    <row r="18991" spans="104:111">
      <c r="CZ18991" s="256"/>
      <c r="DG18991" s="256"/>
    </row>
    <row r="18992" spans="104:111">
      <c r="CZ18992" s="256"/>
      <c r="DG18992" s="256"/>
    </row>
    <row r="18993" spans="104:111">
      <c r="CZ18993" s="256"/>
      <c r="DG18993" s="256"/>
    </row>
    <row r="18994" spans="104:111">
      <c r="CZ18994" s="256"/>
      <c r="DG18994" s="256"/>
    </row>
    <row r="18995" spans="104:111">
      <c r="CZ18995" s="256"/>
      <c r="DG18995" s="256"/>
    </row>
    <row r="18996" spans="104:111">
      <c r="CZ18996" s="256"/>
      <c r="DG18996" s="256"/>
    </row>
    <row r="18997" spans="104:111">
      <c r="CZ18997" s="256"/>
      <c r="DG18997" s="256"/>
    </row>
    <row r="18998" spans="104:111">
      <c r="CZ18998" s="256"/>
      <c r="DG18998" s="256"/>
    </row>
    <row r="18999" spans="104:111">
      <c r="CZ18999" s="256"/>
      <c r="DG18999" s="256"/>
    </row>
    <row r="19000" spans="104:111">
      <c r="CZ19000" s="256"/>
      <c r="DG19000" s="256"/>
    </row>
    <row r="19001" spans="104:111">
      <c r="CZ19001" s="256"/>
      <c r="DG19001" s="256"/>
    </row>
    <row r="19002" spans="104:111">
      <c r="CZ19002" s="256"/>
      <c r="DG19002" s="256"/>
    </row>
    <row r="19003" spans="104:111">
      <c r="CZ19003" s="256"/>
      <c r="DG19003" s="256"/>
    </row>
    <row r="19004" spans="104:111">
      <c r="CZ19004" s="256"/>
      <c r="DG19004" s="256"/>
    </row>
    <row r="19005" spans="104:111">
      <c r="CZ19005" s="256"/>
      <c r="DG19005" s="256"/>
    </row>
    <row r="19006" spans="104:111">
      <c r="CZ19006" s="256"/>
      <c r="DG19006" s="256"/>
    </row>
    <row r="19007" spans="104:111">
      <c r="CZ19007" s="256"/>
      <c r="DG19007" s="256"/>
    </row>
    <row r="19008" spans="104:111">
      <c r="CZ19008" s="256"/>
      <c r="DG19008" s="256"/>
    </row>
    <row r="19009" spans="104:111">
      <c r="CZ19009" s="256"/>
      <c r="DG19009" s="256"/>
    </row>
    <row r="19010" spans="104:111">
      <c r="CZ19010" s="256"/>
      <c r="DG19010" s="256"/>
    </row>
    <row r="19011" spans="104:111">
      <c r="CZ19011" s="256"/>
      <c r="DG19011" s="256"/>
    </row>
    <row r="19012" spans="104:111">
      <c r="CZ19012" s="256"/>
      <c r="DG19012" s="256"/>
    </row>
    <row r="19013" spans="104:111">
      <c r="CZ19013" s="256"/>
      <c r="DG19013" s="256"/>
    </row>
    <row r="19014" spans="104:111">
      <c r="CZ19014" s="256"/>
      <c r="DG19014" s="256"/>
    </row>
    <row r="19015" spans="104:111">
      <c r="CZ19015" s="256"/>
      <c r="DG19015" s="256"/>
    </row>
    <row r="19016" spans="104:111">
      <c r="CZ19016" s="256"/>
      <c r="DG19016" s="256"/>
    </row>
    <row r="19017" spans="104:111">
      <c r="CZ19017" s="256"/>
      <c r="DG19017" s="256"/>
    </row>
    <row r="19018" spans="104:111">
      <c r="CZ19018" s="256"/>
      <c r="DG19018" s="256"/>
    </row>
    <row r="19019" spans="104:111">
      <c r="CZ19019" s="256"/>
      <c r="DG19019" s="256"/>
    </row>
    <row r="19020" spans="104:111">
      <c r="CZ19020" s="256"/>
      <c r="DG19020" s="256"/>
    </row>
    <row r="19021" spans="104:111">
      <c r="CZ19021" s="256"/>
      <c r="DG19021" s="256"/>
    </row>
    <row r="19022" spans="104:111">
      <c r="CZ19022" s="256"/>
      <c r="DG19022" s="256"/>
    </row>
    <row r="19023" spans="104:111">
      <c r="CZ19023" s="256"/>
      <c r="DG19023" s="256"/>
    </row>
    <row r="19024" spans="104:111">
      <c r="CZ19024" s="256"/>
      <c r="DG19024" s="256"/>
    </row>
    <row r="19025" spans="104:111">
      <c r="CZ19025" s="256"/>
      <c r="DG19025" s="256"/>
    </row>
    <row r="19026" spans="104:111">
      <c r="CZ19026" s="256"/>
      <c r="DG19026" s="256"/>
    </row>
    <row r="19027" spans="104:111">
      <c r="CZ19027" s="256"/>
      <c r="DG19027" s="256"/>
    </row>
    <row r="19028" spans="104:111">
      <c r="CZ19028" s="256"/>
      <c r="DG19028" s="256"/>
    </row>
    <row r="19029" spans="104:111">
      <c r="CZ19029" s="256"/>
      <c r="DG19029" s="256"/>
    </row>
    <row r="19030" spans="104:111">
      <c r="CZ19030" s="256"/>
      <c r="DG19030" s="256"/>
    </row>
    <row r="19031" spans="104:111">
      <c r="CZ19031" s="256"/>
      <c r="DG19031" s="256"/>
    </row>
    <row r="19032" spans="104:111">
      <c r="CZ19032" s="256"/>
      <c r="DG19032" s="256"/>
    </row>
    <row r="19033" spans="104:111">
      <c r="CZ19033" s="256"/>
      <c r="DG19033" s="256"/>
    </row>
    <row r="19034" spans="104:111">
      <c r="CZ19034" s="256"/>
      <c r="DG19034" s="256"/>
    </row>
    <row r="19035" spans="104:111">
      <c r="CZ19035" s="256"/>
      <c r="DG19035" s="256"/>
    </row>
    <row r="19036" spans="104:111">
      <c r="CZ19036" s="256"/>
      <c r="DG19036" s="256"/>
    </row>
    <row r="19037" spans="104:111">
      <c r="CZ19037" s="256"/>
      <c r="DG19037" s="256"/>
    </row>
    <row r="19038" spans="104:111">
      <c r="CZ19038" s="256"/>
      <c r="DG19038" s="256"/>
    </row>
    <row r="19039" spans="104:111">
      <c r="CZ19039" s="256"/>
      <c r="DG19039" s="256"/>
    </row>
    <row r="19040" spans="104:111">
      <c r="CZ19040" s="256"/>
      <c r="DG19040" s="256"/>
    </row>
    <row r="19041" spans="104:111">
      <c r="CZ19041" s="256"/>
      <c r="DG19041" s="256"/>
    </row>
    <row r="19042" spans="104:111">
      <c r="CZ19042" s="256"/>
      <c r="DG19042" s="256"/>
    </row>
    <row r="19043" spans="104:111">
      <c r="CZ19043" s="256"/>
      <c r="DG19043" s="256"/>
    </row>
    <row r="19044" spans="104:111">
      <c r="CZ19044" s="256"/>
      <c r="DG19044" s="256"/>
    </row>
    <row r="19045" spans="104:111">
      <c r="CZ19045" s="256"/>
      <c r="DG19045" s="256"/>
    </row>
    <row r="19046" spans="104:111">
      <c r="CZ19046" s="256"/>
      <c r="DG19046" s="256"/>
    </row>
    <row r="19047" spans="104:111">
      <c r="CZ19047" s="256"/>
      <c r="DG19047" s="256"/>
    </row>
    <row r="19048" spans="104:111">
      <c r="CZ19048" s="256"/>
      <c r="DG19048" s="256"/>
    </row>
    <row r="19049" spans="104:111">
      <c r="CZ19049" s="256"/>
      <c r="DG19049" s="256"/>
    </row>
    <row r="19050" spans="104:111">
      <c r="CZ19050" s="256"/>
      <c r="DG19050" s="256"/>
    </row>
    <row r="19051" spans="104:111">
      <c r="CZ19051" s="256"/>
      <c r="DG19051" s="256"/>
    </row>
    <row r="19052" spans="104:111">
      <c r="CZ19052" s="256"/>
      <c r="DG19052" s="256"/>
    </row>
    <row r="19053" spans="104:111">
      <c r="CZ19053" s="256"/>
      <c r="DG19053" s="256"/>
    </row>
    <row r="19054" spans="104:111">
      <c r="CZ19054" s="256"/>
      <c r="DG19054" s="256"/>
    </row>
    <row r="19055" spans="104:111">
      <c r="CZ19055" s="256"/>
      <c r="DG19055" s="256"/>
    </row>
    <row r="19056" spans="104:111">
      <c r="CZ19056" s="256"/>
      <c r="DG19056" s="256"/>
    </row>
    <row r="19057" spans="104:111">
      <c r="CZ19057" s="256"/>
      <c r="DG19057" s="256"/>
    </row>
    <row r="19058" spans="104:111">
      <c r="CZ19058" s="256"/>
      <c r="DG19058" s="256"/>
    </row>
    <row r="19059" spans="104:111">
      <c r="CZ19059" s="256"/>
      <c r="DG19059" s="256"/>
    </row>
    <row r="19060" spans="104:111">
      <c r="CZ19060" s="256"/>
      <c r="DG19060" s="256"/>
    </row>
    <row r="19061" spans="104:111">
      <c r="CZ19061" s="256"/>
      <c r="DG19061" s="256"/>
    </row>
    <row r="19062" spans="104:111">
      <c r="CZ19062" s="256"/>
      <c r="DG19062" s="256"/>
    </row>
    <row r="19063" spans="104:111">
      <c r="CZ19063" s="256"/>
      <c r="DG19063" s="256"/>
    </row>
    <row r="19064" spans="104:111">
      <c r="CZ19064" s="256"/>
      <c r="DG19064" s="256"/>
    </row>
    <row r="19065" spans="104:111">
      <c r="CZ19065" s="256"/>
      <c r="DG19065" s="256"/>
    </row>
    <row r="19066" spans="104:111">
      <c r="CZ19066" s="256"/>
      <c r="DG19066" s="256"/>
    </row>
    <row r="19067" spans="104:111">
      <c r="CZ19067" s="256"/>
      <c r="DG19067" s="256"/>
    </row>
    <row r="19068" spans="104:111">
      <c r="CZ19068" s="256"/>
      <c r="DG19068" s="256"/>
    </row>
    <row r="19069" spans="104:111">
      <c r="CZ19069" s="256"/>
      <c r="DG19069" s="256"/>
    </row>
    <row r="19070" spans="104:111">
      <c r="CZ19070" s="256"/>
      <c r="DG19070" s="256"/>
    </row>
    <row r="19071" spans="104:111">
      <c r="CZ19071" s="256"/>
      <c r="DG19071" s="256"/>
    </row>
    <row r="19072" spans="104:111">
      <c r="CZ19072" s="256"/>
      <c r="DG19072" s="256"/>
    </row>
    <row r="19073" spans="104:111">
      <c r="CZ19073" s="256"/>
      <c r="DG19073" s="256"/>
    </row>
    <row r="19074" spans="104:111">
      <c r="CZ19074" s="256"/>
      <c r="DG19074" s="256"/>
    </row>
    <row r="19075" spans="104:111">
      <c r="CZ19075" s="256"/>
      <c r="DG19075" s="256"/>
    </row>
    <row r="19076" spans="104:111">
      <c r="CZ19076" s="256"/>
      <c r="DG19076" s="256"/>
    </row>
    <row r="19077" spans="104:111">
      <c r="CZ19077" s="256"/>
      <c r="DG19077" s="256"/>
    </row>
    <row r="19078" spans="104:111">
      <c r="CZ19078" s="256"/>
      <c r="DG19078" s="256"/>
    </row>
    <row r="19079" spans="104:111">
      <c r="CZ19079" s="256"/>
      <c r="DG19079" s="256"/>
    </row>
    <row r="19080" spans="104:111">
      <c r="CZ19080" s="256"/>
      <c r="DG19080" s="256"/>
    </row>
    <row r="19081" spans="104:111">
      <c r="CZ19081" s="256"/>
      <c r="DG19081" s="256"/>
    </row>
    <row r="19082" spans="104:111">
      <c r="CZ19082" s="256"/>
      <c r="DG19082" s="256"/>
    </row>
    <row r="19083" spans="104:111">
      <c r="CZ19083" s="256"/>
      <c r="DG19083" s="256"/>
    </row>
    <row r="19084" spans="104:111">
      <c r="CZ19084" s="256"/>
      <c r="DG19084" s="256"/>
    </row>
    <row r="19085" spans="104:111">
      <c r="CZ19085" s="256"/>
      <c r="DG19085" s="256"/>
    </row>
    <row r="19086" spans="104:111">
      <c r="CZ19086" s="256"/>
      <c r="DG19086" s="256"/>
    </row>
    <row r="19087" spans="104:111">
      <c r="CZ19087" s="256"/>
      <c r="DG19087" s="256"/>
    </row>
    <row r="19088" spans="104:111">
      <c r="CZ19088" s="256"/>
      <c r="DG19088" s="256"/>
    </row>
    <row r="19089" spans="104:111">
      <c r="CZ19089" s="256"/>
      <c r="DG19089" s="256"/>
    </row>
    <row r="19090" spans="104:111">
      <c r="CZ19090" s="256"/>
      <c r="DG19090" s="256"/>
    </row>
    <row r="19091" spans="104:111">
      <c r="CZ19091" s="256"/>
      <c r="DG19091" s="256"/>
    </row>
    <row r="19092" spans="104:111">
      <c r="CZ19092" s="256"/>
      <c r="DG19092" s="256"/>
    </row>
    <row r="19093" spans="104:111">
      <c r="CZ19093" s="256"/>
      <c r="DG19093" s="256"/>
    </row>
    <row r="19094" spans="104:111">
      <c r="CZ19094" s="256"/>
      <c r="DG19094" s="256"/>
    </row>
    <row r="19095" spans="104:111">
      <c r="CZ19095" s="256"/>
      <c r="DG19095" s="256"/>
    </row>
    <row r="19096" spans="104:111">
      <c r="CZ19096" s="256"/>
      <c r="DG19096" s="256"/>
    </row>
    <row r="19097" spans="104:111">
      <c r="CZ19097" s="256"/>
      <c r="DG19097" s="256"/>
    </row>
    <row r="19098" spans="104:111">
      <c r="CZ19098" s="256"/>
      <c r="DG19098" s="256"/>
    </row>
    <row r="19099" spans="104:111">
      <c r="CZ19099" s="256"/>
      <c r="DG19099" s="256"/>
    </row>
    <row r="19100" spans="104:111">
      <c r="CZ19100" s="256"/>
      <c r="DG19100" s="256"/>
    </row>
    <row r="19101" spans="104:111">
      <c r="CZ19101" s="256"/>
      <c r="DG19101" s="256"/>
    </row>
    <row r="19102" spans="104:111">
      <c r="CZ19102" s="256"/>
      <c r="DG19102" s="256"/>
    </row>
    <row r="19103" spans="104:111">
      <c r="CZ19103" s="256"/>
      <c r="DG19103" s="256"/>
    </row>
    <row r="19104" spans="104:111">
      <c r="CZ19104" s="256"/>
      <c r="DG19104" s="256"/>
    </row>
    <row r="19105" spans="104:111">
      <c r="CZ19105" s="256"/>
      <c r="DG19105" s="256"/>
    </row>
    <row r="19106" spans="104:111">
      <c r="CZ19106" s="256"/>
      <c r="DG19106" s="256"/>
    </row>
    <row r="19107" spans="104:111">
      <c r="CZ19107" s="256"/>
      <c r="DG19107" s="256"/>
    </row>
    <row r="19108" spans="104:111">
      <c r="CZ19108" s="256"/>
      <c r="DG19108" s="256"/>
    </row>
    <row r="19109" spans="104:111">
      <c r="CZ19109" s="256"/>
      <c r="DG19109" s="256"/>
    </row>
    <row r="19110" spans="104:111">
      <c r="CZ19110" s="256"/>
      <c r="DG19110" s="256"/>
    </row>
    <row r="19111" spans="104:111">
      <c r="CZ19111" s="256"/>
      <c r="DG19111" s="256"/>
    </row>
    <row r="19112" spans="104:111">
      <c r="CZ19112" s="256"/>
      <c r="DG19112" s="256"/>
    </row>
    <row r="19113" spans="104:111">
      <c r="CZ19113" s="256"/>
      <c r="DG19113" s="256"/>
    </row>
    <row r="19114" spans="104:111">
      <c r="CZ19114" s="256"/>
      <c r="DG19114" s="256"/>
    </row>
    <row r="19115" spans="104:111">
      <c r="CZ19115" s="256"/>
      <c r="DG19115" s="256"/>
    </row>
    <row r="19116" spans="104:111">
      <c r="CZ19116" s="256"/>
      <c r="DG19116" s="256"/>
    </row>
    <row r="19117" spans="104:111">
      <c r="CZ19117" s="256"/>
      <c r="DG19117" s="256"/>
    </row>
    <row r="19118" spans="104:111">
      <c r="CZ19118" s="256"/>
      <c r="DG19118" s="256"/>
    </row>
    <row r="19119" spans="104:111">
      <c r="CZ19119" s="256"/>
      <c r="DG19119" s="256"/>
    </row>
    <row r="19120" spans="104:111">
      <c r="CZ19120" s="256"/>
      <c r="DG19120" s="256"/>
    </row>
    <row r="19121" spans="104:111">
      <c r="CZ19121" s="256"/>
      <c r="DG19121" s="256"/>
    </row>
    <row r="19122" spans="104:111">
      <c r="CZ19122" s="256"/>
      <c r="DG19122" s="256"/>
    </row>
    <row r="19123" spans="104:111">
      <c r="CZ19123" s="256"/>
      <c r="DG19123" s="256"/>
    </row>
    <row r="19124" spans="104:111">
      <c r="CZ19124" s="256"/>
      <c r="DG19124" s="256"/>
    </row>
    <row r="19125" spans="104:111">
      <c r="CZ19125" s="256"/>
      <c r="DG19125" s="256"/>
    </row>
    <row r="19126" spans="104:111">
      <c r="CZ19126" s="256"/>
      <c r="DG19126" s="256"/>
    </row>
    <row r="19127" spans="104:111">
      <c r="CZ19127" s="256"/>
      <c r="DG19127" s="256"/>
    </row>
    <row r="19128" spans="104:111">
      <c r="CZ19128" s="256"/>
      <c r="DG19128" s="256"/>
    </row>
    <row r="19129" spans="104:111">
      <c r="CZ19129" s="256"/>
      <c r="DG19129" s="256"/>
    </row>
    <row r="19130" spans="104:111">
      <c r="CZ19130" s="256"/>
      <c r="DG19130" s="256"/>
    </row>
    <row r="19131" spans="104:111">
      <c r="CZ19131" s="256"/>
      <c r="DG19131" s="256"/>
    </row>
    <row r="19132" spans="104:111">
      <c r="CZ19132" s="256"/>
      <c r="DG19132" s="256"/>
    </row>
    <row r="19133" spans="104:111">
      <c r="CZ19133" s="256"/>
      <c r="DG19133" s="256"/>
    </row>
    <row r="19134" spans="104:111">
      <c r="CZ19134" s="256"/>
      <c r="DG19134" s="256"/>
    </row>
    <row r="19135" spans="104:111">
      <c r="CZ19135" s="256"/>
      <c r="DG19135" s="256"/>
    </row>
    <row r="19136" spans="104:111">
      <c r="CZ19136" s="256"/>
      <c r="DG19136" s="256"/>
    </row>
    <row r="19137" spans="104:111">
      <c r="CZ19137" s="256"/>
      <c r="DG19137" s="256"/>
    </row>
    <row r="19138" spans="104:111">
      <c r="CZ19138" s="256"/>
      <c r="DG19138" s="256"/>
    </row>
    <row r="19139" spans="104:111">
      <c r="CZ19139" s="256"/>
      <c r="DG19139" s="256"/>
    </row>
    <row r="19140" spans="104:111">
      <c r="CZ19140" s="256"/>
      <c r="DG19140" s="256"/>
    </row>
    <row r="19141" spans="104:111">
      <c r="CZ19141" s="256"/>
      <c r="DG19141" s="256"/>
    </row>
    <row r="19142" spans="104:111">
      <c r="CZ19142" s="256"/>
      <c r="DG19142" s="256"/>
    </row>
    <row r="19143" spans="104:111">
      <c r="CZ19143" s="256"/>
      <c r="DG19143" s="256"/>
    </row>
    <row r="19144" spans="104:111">
      <c r="CZ19144" s="256"/>
      <c r="DG19144" s="256"/>
    </row>
    <row r="19145" spans="104:111">
      <c r="CZ19145" s="256"/>
      <c r="DG19145" s="256"/>
    </row>
    <row r="19146" spans="104:111">
      <c r="CZ19146" s="256"/>
      <c r="DG19146" s="256"/>
    </row>
    <row r="19147" spans="104:111">
      <c r="CZ19147" s="256"/>
      <c r="DG19147" s="256"/>
    </row>
    <row r="19148" spans="104:111">
      <c r="CZ19148" s="256"/>
      <c r="DG19148" s="256"/>
    </row>
    <row r="19149" spans="104:111">
      <c r="CZ19149" s="256"/>
      <c r="DG19149" s="256"/>
    </row>
    <row r="19150" spans="104:111">
      <c r="CZ19150" s="256"/>
      <c r="DG19150" s="256"/>
    </row>
    <row r="19151" spans="104:111">
      <c r="CZ19151" s="256"/>
      <c r="DG19151" s="256"/>
    </row>
    <row r="19152" spans="104:111">
      <c r="CZ19152" s="256"/>
      <c r="DG19152" s="256"/>
    </row>
    <row r="19153" spans="104:111">
      <c r="CZ19153" s="256"/>
      <c r="DG19153" s="256"/>
    </row>
    <row r="19154" spans="104:111">
      <c r="CZ19154" s="256"/>
      <c r="DG19154" s="256"/>
    </row>
    <row r="19155" spans="104:111">
      <c r="CZ19155" s="256"/>
      <c r="DG19155" s="256"/>
    </row>
    <row r="19156" spans="104:111">
      <c r="CZ19156" s="256"/>
      <c r="DG19156" s="256"/>
    </row>
    <row r="19157" spans="104:111">
      <c r="CZ19157" s="256"/>
      <c r="DG19157" s="256"/>
    </row>
    <row r="19158" spans="104:111">
      <c r="CZ19158" s="256"/>
      <c r="DG19158" s="256"/>
    </row>
    <row r="19159" spans="104:111">
      <c r="CZ19159" s="256"/>
      <c r="DG19159" s="256"/>
    </row>
    <row r="19160" spans="104:111">
      <c r="CZ19160" s="256"/>
      <c r="DG19160" s="256"/>
    </row>
    <row r="19161" spans="104:111">
      <c r="CZ19161" s="256"/>
      <c r="DG19161" s="256"/>
    </row>
    <row r="19162" spans="104:111">
      <c r="CZ19162" s="256"/>
      <c r="DG19162" s="256"/>
    </row>
    <row r="19163" spans="104:111">
      <c r="CZ19163" s="256"/>
      <c r="DG19163" s="256"/>
    </row>
    <row r="19164" spans="104:111">
      <c r="CZ19164" s="256"/>
      <c r="DG19164" s="256"/>
    </row>
    <row r="19165" spans="104:111">
      <c r="CZ19165" s="256"/>
      <c r="DG19165" s="256"/>
    </row>
    <row r="19166" spans="104:111">
      <c r="CZ19166" s="256"/>
      <c r="DG19166" s="256"/>
    </row>
    <row r="19167" spans="104:111">
      <c r="CZ19167" s="256"/>
      <c r="DG19167" s="256"/>
    </row>
    <row r="19168" spans="104:111">
      <c r="CZ19168" s="256"/>
      <c r="DG19168" s="256"/>
    </row>
    <row r="19169" spans="104:111">
      <c r="CZ19169" s="256"/>
      <c r="DG19169" s="256"/>
    </row>
    <row r="19170" spans="104:111">
      <c r="CZ19170" s="256"/>
      <c r="DG19170" s="256"/>
    </row>
    <row r="19171" spans="104:111">
      <c r="CZ19171" s="256"/>
      <c r="DG19171" s="256"/>
    </row>
    <row r="19172" spans="104:111">
      <c r="CZ19172" s="256"/>
      <c r="DG19172" s="256"/>
    </row>
    <row r="19173" spans="104:111">
      <c r="CZ19173" s="256"/>
      <c r="DG19173" s="256"/>
    </row>
    <row r="19174" spans="104:111">
      <c r="CZ19174" s="256"/>
      <c r="DG19174" s="256"/>
    </row>
    <row r="19175" spans="104:111">
      <c r="CZ19175" s="256"/>
      <c r="DG19175" s="256"/>
    </row>
    <row r="19176" spans="104:111">
      <c r="CZ19176" s="256"/>
      <c r="DG19176" s="256"/>
    </row>
    <row r="19177" spans="104:111">
      <c r="CZ19177" s="256"/>
      <c r="DG19177" s="256"/>
    </row>
    <row r="19178" spans="104:111">
      <c r="CZ19178" s="256"/>
      <c r="DG19178" s="256"/>
    </row>
    <row r="19179" spans="104:111">
      <c r="CZ19179" s="256"/>
      <c r="DG19179" s="256"/>
    </row>
    <row r="19180" spans="104:111">
      <c r="CZ19180" s="256"/>
      <c r="DG19180" s="256"/>
    </row>
    <row r="19181" spans="104:111">
      <c r="CZ19181" s="256"/>
      <c r="DG19181" s="256"/>
    </row>
    <row r="19182" spans="104:111">
      <c r="CZ19182" s="256"/>
      <c r="DG19182" s="256"/>
    </row>
    <row r="19183" spans="104:111">
      <c r="CZ19183" s="256"/>
      <c r="DG19183" s="256"/>
    </row>
    <row r="19184" spans="104:111">
      <c r="CZ19184" s="256"/>
      <c r="DG19184" s="256"/>
    </row>
    <row r="19185" spans="104:111">
      <c r="CZ19185" s="256"/>
      <c r="DG19185" s="256"/>
    </row>
    <row r="19186" spans="104:111">
      <c r="CZ19186" s="256"/>
      <c r="DG19186" s="256"/>
    </row>
    <row r="19187" spans="104:111">
      <c r="CZ19187" s="256"/>
      <c r="DG19187" s="256"/>
    </row>
    <row r="19188" spans="104:111">
      <c r="CZ19188" s="256"/>
      <c r="DG19188" s="256"/>
    </row>
    <row r="19189" spans="104:111">
      <c r="CZ19189" s="256"/>
      <c r="DG19189" s="256"/>
    </row>
    <row r="19190" spans="104:111">
      <c r="CZ19190" s="256"/>
      <c r="DG19190" s="256"/>
    </row>
    <row r="19191" spans="104:111">
      <c r="CZ19191" s="256"/>
      <c r="DG19191" s="256"/>
    </row>
    <row r="19192" spans="104:111">
      <c r="CZ19192" s="256"/>
      <c r="DG19192" s="256"/>
    </row>
    <row r="19193" spans="104:111">
      <c r="CZ19193" s="256"/>
      <c r="DG19193" s="256"/>
    </row>
    <row r="19194" spans="104:111">
      <c r="CZ19194" s="256"/>
      <c r="DG19194" s="256"/>
    </row>
    <row r="19195" spans="104:111">
      <c r="CZ19195" s="256"/>
      <c r="DG19195" s="256"/>
    </row>
    <row r="19196" spans="104:111">
      <c r="CZ19196" s="256"/>
      <c r="DG19196" s="256"/>
    </row>
    <row r="19197" spans="104:111">
      <c r="CZ19197" s="256"/>
      <c r="DG19197" s="256"/>
    </row>
    <row r="19198" spans="104:111">
      <c r="CZ19198" s="256"/>
      <c r="DG19198" s="256"/>
    </row>
    <row r="19199" spans="104:111">
      <c r="CZ19199" s="256"/>
      <c r="DG19199" s="256"/>
    </row>
    <row r="19200" spans="104:111">
      <c r="CZ19200" s="256"/>
      <c r="DG19200" s="256"/>
    </row>
    <row r="19201" spans="104:111">
      <c r="CZ19201" s="256"/>
      <c r="DG19201" s="256"/>
    </row>
    <row r="19202" spans="104:111">
      <c r="CZ19202" s="256"/>
      <c r="DG19202" s="256"/>
    </row>
    <row r="19203" spans="104:111">
      <c r="CZ19203" s="256"/>
      <c r="DG19203" s="256"/>
    </row>
    <row r="19204" spans="104:111">
      <c r="CZ19204" s="256"/>
      <c r="DG19204" s="256"/>
    </row>
    <row r="19205" spans="104:111">
      <c r="CZ19205" s="256"/>
      <c r="DG19205" s="256"/>
    </row>
    <row r="19206" spans="104:111">
      <c r="CZ19206" s="256"/>
      <c r="DG19206" s="256"/>
    </row>
    <row r="19207" spans="104:111">
      <c r="CZ19207" s="256"/>
      <c r="DG19207" s="256"/>
    </row>
    <row r="19208" spans="104:111">
      <c r="CZ19208" s="256"/>
      <c r="DG19208" s="256"/>
    </row>
    <row r="19209" spans="104:111">
      <c r="CZ19209" s="256"/>
      <c r="DG19209" s="256"/>
    </row>
    <row r="19210" spans="104:111">
      <c r="CZ19210" s="256"/>
      <c r="DG19210" s="256"/>
    </row>
    <row r="19211" spans="104:111">
      <c r="CZ19211" s="256"/>
      <c r="DG19211" s="256"/>
    </row>
    <row r="19212" spans="104:111">
      <c r="CZ19212" s="256"/>
      <c r="DG19212" s="256"/>
    </row>
    <row r="19213" spans="104:111">
      <c r="CZ19213" s="256"/>
      <c r="DG19213" s="256"/>
    </row>
    <row r="19214" spans="104:111">
      <c r="CZ19214" s="256"/>
      <c r="DG19214" s="256"/>
    </row>
    <row r="19215" spans="104:111">
      <c r="CZ19215" s="256"/>
      <c r="DG19215" s="256"/>
    </row>
    <row r="19216" spans="104:111">
      <c r="CZ19216" s="256"/>
      <c r="DG19216" s="256"/>
    </row>
    <row r="19217" spans="104:111">
      <c r="CZ19217" s="256"/>
      <c r="DG19217" s="256"/>
    </row>
    <row r="19218" spans="104:111">
      <c r="CZ19218" s="256"/>
      <c r="DG19218" s="256"/>
    </row>
    <row r="19219" spans="104:111">
      <c r="CZ19219" s="256"/>
      <c r="DG19219" s="256"/>
    </row>
    <row r="19220" spans="104:111">
      <c r="CZ19220" s="256"/>
      <c r="DG19220" s="256"/>
    </row>
    <row r="19221" spans="104:111">
      <c r="CZ19221" s="256"/>
      <c r="DG19221" s="256"/>
    </row>
    <row r="19222" spans="104:111">
      <c r="CZ19222" s="256"/>
      <c r="DG19222" s="256"/>
    </row>
    <row r="19223" spans="104:111">
      <c r="CZ19223" s="256"/>
      <c r="DG19223" s="256"/>
    </row>
    <row r="19224" spans="104:111">
      <c r="CZ19224" s="256"/>
      <c r="DG19224" s="256"/>
    </row>
    <row r="19225" spans="104:111">
      <c r="CZ19225" s="256"/>
      <c r="DG19225" s="256"/>
    </row>
    <row r="19226" spans="104:111">
      <c r="CZ19226" s="256"/>
      <c r="DG19226" s="256"/>
    </row>
    <row r="19227" spans="104:111">
      <c r="CZ19227" s="256"/>
      <c r="DG19227" s="256"/>
    </row>
    <row r="19228" spans="104:111">
      <c r="CZ19228" s="256"/>
      <c r="DG19228" s="256"/>
    </row>
    <row r="19229" spans="104:111">
      <c r="CZ19229" s="256"/>
      <c r="DG19229" s="256"/>
    </row>
    <row r="19230" spans="104:111">
      <c r="CZ19230" s="256"/>
      <c r="DG19230" s="256"/>
    </row>
    <row r="19231" spans="104:111">
      <c r="CZ19231" s="256"/>
      <c r="DG19231" s="256"/>
    </row>
    <row r="19232" spans="104:111">
      <c r="CZ19232" s="256"/>
      <c r="DG19232" s="256"/>
    </row>
    <row r="19233" spans="104:111">
      <c r="CZ19233" s="256"/>
      <c r="DG19233" s="256"/>
    </row>
    <row r="19234" spans="104:111">
      <c r="CZ19234" s="256"/>
      <c r="DG19234" s="256"/>
    </row>
    <row r="19235" spans="104:111">
      <c r="CZ19235" s="256"/>
      <c r="DG19235" s="256"/>
    </row>
    <row r="19236" spans="104:111">
      <c r="CZ19236" s="256"/>
      <c r="DG19236" s="256"/>
    </row>
    <row r="19237" spans="104:111">
      <c r="CZ19237" s="256"/>
      <c r="DG19237" s="256"/>
    </row>
    <row r="19238" spans="104:111">
      <c r="CZ19238" s="256"/>
      <c r="DG19238" s="256"/>
    </row>
    <row r="19239" spans="104:111">
      <c r="CZ19239" s="256"/>
      <c r="DG19239" s="256"/>
    </row>
    <row r="19240" spans="104:111">
      <c r="CZ19240" s="256"/>
      <c r="DG19240" s="256"/>
    </row>
    <row r="19241" spans="104:111">
      <c r="CZ19241" s="256"/>
      <c r="DG19241" s="256"/>
    </row>
    <row r="19242" spans="104:111">
      <c r="CZ19242" s="256"/>
      <c r="DG19242" s="256"/>
    </row>
    <row r="19243" spans="104:111">
      <c r="CZ19243" s="256"/>
      <c r="DG19243" s="256"/>
    </row>
    <row r="19244" spans="104:111">
      <c r="CZ19244" s="256"/>
      <c r="DG19244" s="256"/>
    </row>
    <row r="19245" spans="104:111">
      <c r="CZ19245" s="256"/>
      <c r="DG19245" s="256"/>
    </row>
    <row r="19246" spans="104:111">
      <c r="CZ19246" s="256"/>
      <c r="DG19246" s="256"/>
    </row>
    <row r="19247" spans="104:111">
      <c r="CZ19247" s="256"/>
      <c r="DG19247" s="256"/>
    </row>
    <row r="19248" spans="104:111">
      <c r="CZ19248" s="256"/>
      <c r="DG19248" s="256"/>
    </row>
    <row r="19249" spans="104:111">
      <c r="CZ19249" s="256"/>
      <c r="DG19249" s="256"/>
    </row>
    <row r="19250" spans="104:111">
      <c r="CZ19250" s="256"/>
      <c r="DG19250" s="256"/>
    </row>
    <row r="19251" spans="104:111">
      <c r="CZ19251" s="256"/>
      <c r="DG19251" s="256"/>
    </row>
    <row r="19252" spans="104:111">
      <c r="CZ19252" s="256"/>
      <c r="DG19252" s="256"/>
    </row>
    <row r="19253" spans="104:111">
      <c r="CZ19253" s="256"/>
      <c r="DG19253" s="256"/>
    </row>
    <row r="19254" spans="104:111">
      <c r="CZ19254" s="256"/>
      <c r="DG19254" s="256"/>
    </row>
    <row r="19255" spans="104:111">
      <c r="CZ19255" s="256"/>
      <c r="DG19255" s="256"/>
    </row>
    <row r="19256" spans="104:111">
      <c r="CZ19256" s="256"/>
      <c r="DG19256" s="256"/>
    </row>
    <row r="19257" spans="104:111">
      <c r="CZ19257" s="256"/>
      <c r="DG19257" s="256"/>
    </row>
    <row r="19258" spans="104:111">
      <c r="CZ19258" s="256"/>
      <c r="DG19258" s="256"/>
    </row>
    <row r="19259" spans="104:111">
      <c r="CZ19259" s="256"/>
      <c r="DG19259" s="256"/>
    </row>
    <row r="19260" spans="104:111">
      <c r="CZ19260" s="256"/>
      <c r="DG19260" s="256"/>
    </row>
    <row r="19261" spans="104:111">
      <c r="CZ19261" s="256"/>
      <c r="DG19261" s="256"/>
    </row>
    <row r="19262" spans="104:111">
      <c r="CZ19262" s="256"/>
      <c r="DG19262" s="256"/>
    </row>
    <row r="19263" spans="104:111">
      <c r="CZ19263" s="256"/>
      <c r="DG19263" s="256"/>
    </row>
    <row r="19264" spans="104:111">
      <c r="CZ19264" s="256"/>
      <c r="DG19264" s="256"/>
    </row>
    <row r="19265" spans="104:111">
      <c r="CZ19265" s="256"/>
      <c r="DG19265" s="256"/>
    </row>
    <row r="19266" spans="104:111">
      <c r="CZ19266" s="256"/>
      <c r="DG19266" s="256"/>
    </row>
    <row r="19267" spans="104:111">
      <c r="CZ19267" s="256"/>
      <c r="DG19267" s="256"/>
    </row>
    <row r="19268" spans="104:111">
      <c r="CZ19268" s="256"/>
      <c r="DG19268" s="256"/>
    </row>
    <row r="19269" spans="104:111">
      <c r="CZ19269" s="256"/>
      <c r="DG19269" s="256"/>
    </row>
    <row r="19270" spans="104:111">
      <c r="CZ19270" s="256"/>
      <c r="DG19270" s="256"/>
    </row>
    <row r="19271" spans="104:111">
      <c r="CZ19271" s="256"/>
      <c r="DG19271" s="256"/>
    </row>
    <row r="19272" spans="104:111">
      <c r="CZ19272" s="256"/>
      <c r="DG19272" s="256"/>
    </row>
    <row r="19273" spans="104:111">
      <c r="CZ19273" s="256"/>
      <c r="DG19273" s="256"/>
    </row>
    <row r="19274" spans="104:111">
      <c r="CZ19274" s="256"/>
      <c r="DG19274" s="256"/>
    </row>
    <row r="19275" spans="104:111">
      <c r="CZ19275" s="256"/>
      <c r="DG19275" s="256"/>
    </row>
    <row r="19276" spans="104:111">
      <c r="CZ19276" s="256"/>
      <c r="DG19276" s="256"/>
    </row>
    <row r="19277" spans="104:111">
      <c r="CZ19277" s="256"/>
      <c r="DG19277" s="256"/>
    </row>
    <row r="19278" spans="104:111">
      <c r="CZ19278" s="256"/>
      <c r="DG19278" s="256"/>
    </row>
    <row r="19279" spans="104:111">
      <c r="CZ19279" s="256"/>
      <c r="DG19279" s="256"/>
    </row>
    <row r="19280" spans="104:111">
      <c r="CZ19280" s="256"/>
      <c r="DG19280" s="256"/>
    </row>
    <row r="19281" spans="104:111">
      <c r="CZ19281" s="256"/>
      <c r="DG19281" s="256"/>
    </row>
    <row r="19282" spans="104:111">
      <c r="CZ19282" s="256"/>
      <c r="DG19282" s="256"/>
    </row>
    <row r="19283" spans="104:111">
      <c r="CZ19283" s="256"/>
      <c r="DG19283" s="256"/>
    </row>
    <row r="19284" spans="104:111">
      <c r="CZ19284" s="256"/>
      <c r="DG19284" s="256"/>
    </row>
    <row r="19285" spans="104:111">
      <c r="CZ19285" s="256"/>
      <c r="DG19285" s="256"/>
    </row>
    <row r="19286" spans="104:111">
      <c r="CZ19286" s="256"/>
      <c r="DG19286" s="256"/>
    </row>
    <row r="19287" spans="104:111">
      <c r="CZ19287" s="256"/>
      <c r="DG19287" s="256"/>
    </row>
    <row r="19288" spans="104:111">
      <c r="CZ19288" s="256"/>
      <c r="DG19288" s="256"/>
    </row>
    <row r="19289" spans="104:111">
      <c r="CZ19289" s="256"/>
      <c r="DG19289" s="256"/>
    </row>
    <row r="19290" spans="104:111">
      <c r="CZ19290" s="256"/>
      <c r="DG19290" s="256"/>
    </row>
    <row r="19291" spans="104:111">
      <c r="CZ19291" s="256"/>
      <c r="DG19291" s="256"/>
    </row>
    <row r="19292" spans="104:111">
      <c r="CZ19292" s="256"/>
      <c r="DG19292" s="256"/>
    </row>
    <row r="19293" spans="104:111">
      <c r="CZ19293" s="256"/>
      <c r="DG19293" s="256"/>
    </row>
    <row r="19294" spans="104:111">
      <c r="CZ19294" s="256"/>
      <c r="DG19294" s="256"/>
    </row>
    <row r="19295" spans="104:111">
      <c r="CZ19295" s="256"/>
      <c r="DG19295" s="256"/>
    </row>
    <row r="19296" spans="104:111">
      <c r="CZ19296" s="256"/>
      <c r="DG19296" s="256"/>
    </row>
    <row r="19297" spans="104:111">
      <c r="CZ19297" s="256"/>
      <c r="DG19297" s="256"/>
    </row>
    <row r="19298" spans="104:111">
      <c r="CZ19298" s="256"/>
      <c r="DG19298" s="256"/>
    </row>
    <row r="19299" spans="104:111">
      <c r="CZ19299" s="256"/>
      <c r="DG19299" s="256"/>
    </row>
    <row r="19300" spans="104:111">
      <c r="CZ19300" s="256"/>
      <c r="DG19300" s="256"/>
    </row>
    <row r="19301" spans="104:111">
      <c r="CZ19301" s="256"/>
      <c r="DG19301" s="256"/>
    </row>
    <row r="19302" spans="104:111">
      <c r="CZ19302" s="256"/>
      <c r="DG19302" s="256"/>
    </row>
    <row r="19303" spans="104:111">
      <c r="CZ19303" s="256"/>
      <c r="DG19303" s="256"/>
    </row>
    <row r="19304" spans="104:111">
      <c r="CZ19304" s="256"/>
      <c r="DG19304" s="256"/>
    </row>
    <row r="19305" spans="104:111">
      <c r="CZ19305" s="256"/>
      <c r="DG19305" s="256"/>
    </row>
    <row r="19306" spans="104:111">
      <c r="CZ19306" s="256"/>
      <c r="DG19306" s="256"/>
    </row>
    <row r="19307" spans="104:111">
      <c r="CZ19307" s="256"/>
      <c r="DG19307" s="256"/>
    </row>
    <row r="19308" spans="104:111">
      <c r="CZ19308" s="256"/>
      <c r="DG19308" s="256"/>
    </row>
    <row r="19309" spans="104:111">
      <c r="CZ19309" s="256"/>
      <c r="DG19309" s="256"/>
    </row>
    <row r="19310" spans="104:111">
      <c r="CZ19310" s="256"/>
      <c r="DG19310" s="256"/>
    </row>
    <row r="19311" spans="104:111">
      <c r="CZ19311" s="256"/>
      <c r="DG19311" s="256"/>
    </row>
    <row r="19312" spans="104:111">
      <c r="CZ19312" s="256"/>
      <c r="DG19312" s="256"/>
    </row>
    <row r="19313" spans="104:111">
      <c r="CZ19313" s="256"/>
      <c r="DG19313" s="256"/>
    </row>
    <row r="19314" spans="104:111">
      <c r="CZ19314" s="256"/>
      <c r="DG19314" s="256"/>
    </row>
    <row r="19315" spans="104:111">
      <c r="CZ19315" s="256"/>
      <c r="DG19315" s="256"/>
    </row>
    <row r="19316" spans="104:111">
      <c r="CZ19316" s="256"/>
      <c r="DG19316" s="256"/>
    </row>
    <row r="19317" spans="104:111">
      <c r="CZ19317" s="256"/>
      <c r="DG19317" s="256"/>
    </row>
    <row r="19318" spans="104:111">
      <c r="CZ19318" s="256"/>
      <c r="DG19318" s="256"/>
    </row>
    <row r="19319" spans="104:111">
      <c r="CZ19319" s="256"/>
      <c r="DG19319" s="256"/>
    </row>
    <row r="19320" spans="104:111">
      <c r="CZ19320" s="256"/>
      <c r="DG19320" s="256"/>
    </row>
    <row r="19321" spans="104:111">
      <c r="CZ19321" s="256"/>
      <c r="DG19321" s="256"/>
    </row>
    <row r="19322" spans="104:111">
      <c r="CZ19322" s="256"/>
      <c r="DG19322" s="256"/>
    </row>
    <row r="19323" spans="104:111">
      <c r="CZ19323" s="256"/>
      <c r="DG19323" s="256"/>
    </row>
    <row r="19324" spans="104:111">
      <c r="CZ19324" s="256"/>
      <c r="DG19324" s="256"/>
    </row>
    <row r="19325" spans="104:111">
      <c r="CZ19325" s="256"/>
      <c r="DG19325" s="256"/>
    </row>
    <row r="19326" spans="104:111">
      <c r="CZ19326" s="256"/>
      <c r="DG19326" s="256"/>
    </row>
    <row r="19327" spans="104:111">
      <c r="CZ19327" s="256"/>
      <c r="DG19327" s="256"/>
    </row>
    <row r="19328" spans="104:111">
      <c r="CZ19328" s="256"/>
      <c r="DG19328" s="256"/>
    </row>
    <row r="19329" spans="104:111">
      <c r="CZ19329" s="256"/>
      <c r="DG19329" s="256"/>
    </row>
    <row r="19330" spans="104:111">
      <c r="CZ19330" s="256"/>
      <c r="DG19330" s="256"/>
    </row>
    <row r="19331" spans="104:111">
      <c r="CZ19331" s="256"/>
      <c r="DG19331" s="256"/>
    </row>
    <row r="19332" spans="104:111">
      <c r="CZ19332" s="256"/>
      <c r="DG19332" s="256"/>
    </row>
    <row r="19333" spans="104:111">
      <c r="CZ19333" s="256"/>
      <c r="DG19333" s="256"/>
    </row>
    <row r="19334" spans="104:111">
      <c r="CZ19334" s="256"/>
      <c r="DG19334" s="256"/>
    </row>
    <row r="19335" spans="104:111">
      <c r="CZ19335" s="256"/>
      <c r="DG19335" s="256"/>
    </row>
    <row r="19336" spans="104:111">
      <c r="CZ19336" s="256"/>
      <c r="DG19336" s="256"/>
    </row>
    <row r="19337" spans="104:111">
      <c r="CZ19337" s="256"/>
      <c r="DG19337" s="256"/>
    </row>
    <row r="19338" spans="104:111">
      <c r="CZ19338" s="256"/>
      <c r="DG19338" s="256"/>
    </row>
    <row r="19339" spans="104:111">
      <c r="CZ19339" s="256"/>
      <c r="DG19339" s="256"/>
    </row>
    <row r="19340" spans="104:111">
      <c r="CZ19340" s="256"/>
      <c r="DG19340" s="256"/>
    </row>
    <row r="19341" spans="104:111">
      <c r="CZ19341" s="256"/>
      <c r="DG19341" s="256"/>
    </row>
    <row r="19342" spans="104:111">
      <c r="CZ19342" s="256"/>
      <c r="DG19342" s="256"/>
    </row>
    <row r="19343" spans="104:111">
      <c r="CZ19343" s="256"/>
      <c r="DG19343" s="256"/>
    </row>
    <row r="19344" spans="104:111">
      <c r="CZ19344" s="256"/>
      <c r="DG19344" s="256"/>
    </row>
    <row r="19345" spans="104:111">
      <c r="CZ19345" s="256"/>
      <c r="DG19345" s="256"/>
    </row>
    <row r="19346" spans="104:111">
      <c r="CZ19346" s="256"/>
      <c r="DG19346" s="256"/>
    </row>
    <row r="19347" spans="104:111">
      <c r="CZ19347" s="256"/>
      <c r="DG19347" s="256"/>
    </row>
    <row r="19348" spans="104:111">
      <c r="CZ19348" s="256"/>
      <c r="DG19348" s="256"/>
    </row>
    <row r="19349" spans="104:111">
      <c r="CZ19349" s="256"/>
      <c r="DG19349" s="256"/>
    </row>
    <row r="19350" spans="104:111">
      <c r="CZ19350" s="256"/>
      <c r="DG19350" s="256"/>
    </row>
    <row r="19351" spans="104:111">
      <c r="CZ19351" s="256"/>
      <c r="DG19351" s="256"/>
    </row>
    <row r="19352" spans="104:111">
      <c r="CZ19352" s="256"/>
      <c r="DG19352" s="256"/>
    </row>
    <row r="19353" spans="104:111">
      <c r="CZ19353" s="256"/>
      <c r="DG19353" s="256"/>
    </row>
    <row r="19354" spans="104:111">
      <c r="CZ19354" s="256"/>
      <c r="DG19354" s="256"/>
    </row>
    <row r="19355" spans="104:111">
      <c r="CZ19355" s="256"/>
      <c r="DG19355" s="256"/>
    </row>
    <row r="19356" spans="104:111">
      <c r="CZ19356" s="256"/>
      <c r="DG19356" s="256"/>
    </row>
    <row r="19357" spans="104:111">
      <c r="CZ19357" s="256"/>
      <c r="DG19357" s="256"/>
    </row>
    <row r="19358" spans="104:111">
      <c r="CZ19358" s="256"/>
      <c r="DG19358" s="256"/>
    </row>
    <row r="19359" spans="104:111">
      <c r="CZ19359" s="256"/>
      <c r="DG19359" s="256"/>
    </row>
    <row r="19360" spans="104:111">
      <c r="CZ19360" s="256"/>
      <c r="DG19360" s="256"/>
    </row>
    <row r="19361" spans="104:111">
      <c r="CZ19361" s="256"/>
      <c r="DG19361" s="256"/>
    </row>
    <row r="19362" spans="104:111">
      <c r="CZ19362" s="256"/>
      <c r="DG19362" s="256"/>
    </row>
    <row r="19363" spans="104:111">
      <c r="CZ19363" s="256"/>
      <c r="DG19363" s="256"/>
    </row>
    <row r="19364" spans="104:111">
      <c r="CZ19364" s="256"/>
      <c r="DG19364" s="256"/>
    </row>
    <row r="19365" spans="104:111">
      <c r="CZ19365" s="256"/>
      <c r="DG19365" s="256"/>
    </row>
    <row r="19366" spans="104:111">
      <c r="CZ19366" s="256"/>
      <c r="DG19366" s="256"/>
    </row>
    <row r="19367" spans="104:111">
      <c r="CZ19367" s="256"/>
      <c r="DG19367" s="256"/>
    </row>
    <row r="19368" spans="104:111">
      <c r="CZ19368" s="256"/>
      <c r="DG19368" s="256"/>
    </row>
    <row r="19369" spans="104:111">
      <c r="CZ19369" s="256"/>
      <c r="DG19369" s="256"/>
    </row>
    <row r="19370" spans="104:111">
      <c r="CZ19370" s="256"/>
      <c r="DG19370" s="256"/>
    </row>
    <row r="19371" spans="104:111">
      <c r="CZ19371" s="256"/>
      <c r="DG19371" s="256"/>
    </row>
    <row r="19372" spans="104:111">
      <c r="CZ19372" s="256"/>
      <c r="DG19372" s="256"/>
    </row>
    <row r="19373" spans="104:111">
      <c r="CZ19373" s="256"/>
      <c r="DG19373" s="256"/>
    </row>
    <row r="19374" spans="104:111">
      <c r="CZ19374" s="256"/>
      <c r="DG19374" s="256"/>
    </row>
    <row r="19375" spans="104:111">
      <c r="CZ19375" s="256"/>
      <c r="DG19375" s="256"/>
    </row>
    <row r="19376" spans="104:111">
      <c r="CZ19376" s="256"/>
      <c r="DG19376" s="256"/>
    </row>
    <row r="19377" spans="104:111">
      <c r="CZ19377" s="256"/>
      <c r="DG19377" s="256"/>
    </row>
    <row r="19378" spans="104:111">
      <c r="CZ19378" s="256"/>
      <c r="DG19378" s="256"/>
    </row>
    <row r="19379" spans="104:111">
      <c r="CZ19379" s="256"/>
      <c r="DG19379" s="256"/>
    </row>
    <row r="19380" spans="104:111">
      <c r="CZ19380" s="256"/>
      <c r="DG19380" s="256"/>
    </row>
    <row r="19381" spans="104:111">
      <c r="CZ19381" s="256"/>
      <c r="DG19381" s="256"/>
    </row>
    <row r="19382" spans="104:111">
      <c r="CZ19382" s="256"/>
      <c r="DG19382" s="256"/>
    </row>
    <row r="19383" spans="104:111">
      <c r="CZ19383" s="256"/>
      <c r="DG19383" s="256"/>
    </row>
    <row r="19384" spans="104:111">
      <c r="CZ19384" s="256"/>
      <c r="DG19384" s="256"/>
    </row>
    <row r="19385" spans="104:111">
      <c r="CZ19385" s="256"/>
      <c r="DG19385" s="256"/>
    </row>
    <row r="19386" spans="104:111">
      <c r="CZ19386" s="256"/>
      <c r="DG19386" s="256"/>
    </row>
    <row r="19387" spans="104:111">
      <c r="CZ19387" s="256"/>
      <c r="DG19387" s="256"/>
    </row>
    <row r="19388" spans="104:111">
      <c r="CZ19388" s="256"/>
      <c r="DG19388" s="256"/>
    </row>
    <row r="19389" spans="104:111">
      <c r="CZ19389" s="256"/>
      <c r="DG19389" s="256"/>
    </row>
    <row r="19390" spans="104:111">
      <c r="CZ19390" s="256"/>
      <c r="DG19390" s="256"/>
    </row>
    <row r="19391" spans="104:111">
      <c r="CZ19391" s="256"/>
      <c r="DG19391" s="256"/>
    </row>
    <row r="19392" spans="104:111">
      <c r="CZ19392" s="256"/>
      <c r="DG19392" s="256"/>
    </row>
    <row r="19393" spans="104:111">
      <c r="CZ19393" s="256"/>
      <c r="DG19393" s="256"/>
    </row>
    <row r="19394" spans="104:111">
      <c r="CZ19394" s="256"/>
      <c r="DG19394" s="256"/>
    </row>
    <row r="19395" spans="104:111">
      <c r="CZ19395" s="256"/>
      <c r="DG19395" s="256"/>
    </row>
    <row r="19396" spans="104:111">
      <c r="CZ19396" s="256"/>
      <c r="DG19396" s="256"/>
    </row>
    <row r="19397" spans="104:111">
      <c r="CZ19397" s="256"/>
      <c r="DG19397" s="256"/>
    </row>
    <row r="19398" spans="104:111">
      <c r="CZ19398" s="256"/>
      <c r="DG19398" s="256"/>
    </row>
    <row r="19399" spans="104:111">
      <c r="CZ19399" s="256"/>
      <c r="DG19399" s="256"/>
    </row>
    <row r="19400" spans="104:111">
      <c r="CZ19400" s="256"/>
      <c r="DG19400" s="256"/>
    </row>
    <row r="19401" spans="104:111">
      <c r="CZ19401" s="256"/>
      <c r="DG19401" s="256"/>
    </row>
    <row r="19402" spans="104:111">
      <c r="CZ19402" s="256"/>
      <c r="DG19402" s="256"/>
    </row>
    <row r="19403" spans="104:111">
      <c r="CZ19403" s="256"/>
      <c r="DG19403" s="256"/>
    </row>
    <row r="19404" spans="104:111">
      <c r="CZ19404" s="256"/>
      <c r="DG19404" s="256"/>
    </row>
    <row r="19405" spans="104:111">
      <c r="CZ19405" s="256"/>
      <c r="DG19405" s="256"/>
    </row>
    <row r="19406" spans="104:111">
      <c r="CZ19406" s="256"/>
      <c r="DG19406" s="256"/>
    </row>
    <row r="19407" spans="104:111">
      <c r="CZ19407" s="256"/>
      <c r="DG19407" s="256"/>
    </row>
    <row r="19408" spans="104:111">
      <c r="CZ19408" s="256"/>
      <c r="DG19408" s="256"/>
    </row>
    <row r="19409" spans="104:111">
      <c r="CZ19409" s="256"/>
      <c r="DG19409" s="256"/>
    </row>
    <row r="19410" spans="104:111">
      <c r="CZ19410" s="256"/>
      <c r="DG19410" s="256"/>
    </row>
    <row r="19411" spans="104:111">
      <c r="CZ19411" s="256"/>
      <c r="DG19411" s="256"/>
    </row>
    <row r="19412" spans="104:111">
      <c r="CZ19412" s="256"/>
      <c r="DG19412" s="256"/>
    </row>
    <row r="19413" spans="104:111">
      <c r="CZ19413" s="256"/>
      <c r="DG19413" s="256"/>
    </row>
    <row r="19414" spans="104:111">
      <c r="CZ19414" s="256"/>
      <c r="DG19414" s="256"/>
    </row>
    <row r="19415" spans="104:111">
      <c r="CZ19415" s="256"/>
      <c r="DG19415" s="256"/>
    </row>
    <row r="19416" spans="104:111">
      <c r="CZ19416" s="256"/>
      <c r="DG19416" s="256"/>
    </row>
    <row r="19417" spans="104:111">
      <c r="CZ19417" s="256"/>
      <c r="DG19417" s="256"/>
    </row>
    <row r="19418" spans="104:111">
      <c r="CZ19418" s="256"/>
      <c r="DG19418" s="256"/>
    </row>
    <row r="19419" spans="104:111">
      <c r="CZ19419" s="256"/>
      <c r="DG19419" s="256"/>
    </row>
    <row r="19420" spans="104:111">
      <c r="CZ19420" s="256"/>
      <c r="DG19420" s="256"/>
    </row>
    <row r="19421" spans="104:111">
      <c r="CZ19421" s="256"/>
      <c r="DG19421" s="256"/>
    </row>
    <row r="19422" spans="104:111">
      <c r="CZ19422" s="256"/>
      <c r="DG19422" s="256"/>
    </row>
    <row r="19423" spans="104:111">
      <c r="CZ19423" s="256"/>
      <c r="DG19423" s="256"/>
    </row>
    <row r="19424" spans="104:111">
      <c r="CZ19424" s="256"/>
      <c r="DG19424" s="256"/>
    </row>
    <row r="19425" spans="104:111">
      <c r="CZ19425" s="256"/>
      <c r="DG19425" s="256"/>
    </row>
    <row r="19426" spans="104:111">
      <c r="CZ19426" s="256"/>
      <c r="DG19426" s="256"/>
    </row>
    <row r="19427" spans="104:111">
      <c r="CZ19427" s="256"/>
      <c r="DG19427" s="256"/>
    </row>
    <row r="19428" spans="104:111">
      <c r="CZ19428" s="256"/>
      <c r="DG19428" s="256"/>
    </row>
    <row r="19429" spans="104:111">
      <c r="CZ19429" s="256"/>
      <c r="DG19429" s="256"/>
    </row>
    <row r="19430" spans="104:111">
      <c r="CZ19430" s="256"/>
      <c r="DG19430" s="256"/>
    </row>
    <row r="19431" spans="104:111">
      <c r="CZ19431" s="256"/>
      <c r="DG19431" s="256"/>
    </row>
    <row r="19432" spans="104:111">
      <c r="CZ19432" s="256"/>
      <c r="DG19432" s="256"/>
    </row>
    <row r="19433" spans="104:111">
      <c r="CZ19433" s="256"/>
      <c r="DG19433" s="256"/>
    </row>
    <row r="19434" spans="104:111">
      <c r="CZ19434" s="256"/>
      <c r="DG19434" s="256"/>
    </row>
    <row r="19435" spans="104:111">
      <c r="CZ19435" s="256"/>
      <c r="DG19435" s="256"/>
    </row>
    <row r="19436" spans="104:111">
      <c r="CZ19436" s="256"/>
      <c r="DG19436" s="256"/>
    </row>
    <row r="19437" spans="104:111">
      <c r="CZ19437" s="256"/>
      <c r="DG19437" s="256"/>
    </row>
    <row r="19438" spans="104:111">
      <c r="CZ19438" s="256"/>
      <c r="DG19438" s="256"/>
    </row>
    <row r="19439" spans="104:111">
      <c r="CZ19439" s="256"/>
      <c r="DG19439" s="256"/>
    </row>
    <row r="19440" spans="104:111">
      <c r="CZ19440" s="256"/>
      <c r="DG19440" s="256"/>
    </row>
    <row r="19441" spans="104:111">
      <c r="CZ19441" s="256"/>
      <c r="DG19441" s="256"/>
    </row>
    <row r="19442" spans="104:111">
      <c r="CZ19442" s="256"/>
      <c r="DG19442" s="256"/>
    </row>
    <row r="19443" spans="104:111">
      <c r="CZ19443" s="256"/>
      <c r="DG19443" s="256"/>
    </row>
    <row r="19444" spans="104:111">
      <c r="CZ19444" s="256"/>
      <c r="DG19444" s="256"/>
    </row>
    <row r="19445" spans="104:111">
      <c r="CZ19445" s="256"/>
      <c r="DG19445" s="256"/>
    </row>
    <row r="19446" spans="104:111">
      <c r="CZ19446" s="256"/>
      <c r="DG19446" s="256"/>
    </row>
    <row r="19447" spans="104:111">
      <c r="CZ19447" s="256"/>
      <c r="DG19447" s="256"/>
    </row>
    <row r="19448" spans="104:111">
      <c r="CZ19448" s="256"/>
      <c r="DG19448" s="256"/>
    </row>
    <row r="19449" spans="104:111">
      <c r="CZ19449" s="256"/>
      <c r="DG19449" s="256"/>
    </row>
    <row r="19450" spans="104:111">
      <c r="CZ19450" s="256"/>
      <c r="DG19450" s="256"/>
    </row>
    <row r="19451" spans="104:111">
      <c r="CZ19451" s="256"/>
      <c r="DG19451" s="256"/>
    </row>
    <row r="19452" spans="104:111">
      <c r="CZ19452" s="256"/>
      <c r="DG19452" s="256"/>
    </row>
    <row r="19453" spans="104:111">
      <c r="CZ19453" s="256"/>
      <c r="DG19453" s="256"/>
    </row>
    <row r="19454" spans="104:111">
      <c r="CZ19454" s="256"/>
      <c r="DG19454" s="256"/>
    </row>
    <row r="19455" spans="104:111">
      <c r="CZ19455" s="256"/>
      <c r="DG19455" s="256"/>
    </row>
    <row r="19456" spans="104:111">
      <c r="CZ19456" s="256"/>
      <c r="DG19456" s="256"/>
    </row>
    <row r="19457" spans="104:111">
      <c r="CZ19457" s="256"/>
      <c r="DG19457" s="256"/>
    </row>
    <row r="19458" spans="104:111">
      <c r="CZ19458" s="256"/>
      <c r="DG19458" s="256"/>
    </row>
    <row r="19459" spans="104:111">
      <c r="CZ19459" s="256"/>
      <c r="DG19459" s="256"/>
    </row>
    <row r="19460" spans="104:111">
      <c r="CZ19460" s="256"/>
      <c r="DG19460" s="256"/>
    </row>
    <row r="19461" spans="104:111">
      <c r="CZ19461" s="256"/>
      <c r="DG19461" s="256"/>
    </row>
    <row r="19462" spans="104:111">
      <c r="CZ19462" s="256"/>
      <c r="DG19462" s="256"/>
    </row>
    <row r="19463" spans="104:111">
      <c r="CZ19463" s="256"/>
      <c r="DG19463" s="256"/>
    </row>
    <row r="19464" spans="104:111">
      <c r="CZ19464" s="256"/>
      <c r="DG19464" s="256"/>
    </row>
    <row r="19465" spans="104:111">
      <c r="CZ19465" s="256"/>
      <c r="DG19465" s="256"/>
    </row>
    <row r="19466" spans="104:111">
      <c r="CZ19466" s="256"/>
      <c r="DG19466" s="256"/>
    </row>
    <row r="19467" spans="104:111">
      <c r="CZ19467" s="256"/>
      <c r="DG19467" s="256"/>
    </row>
    <row r="19468" spans="104:111">
      <c r="CZ19468" s="256"/>
      <c r="DG19468" s="256"/>
    </row>
    <row r="19469" spans="104:111">
      <c r="CZ19469" s="256"/>
      <c r="DG19469" s="256"/>
    </row>
    <row r="19470" spans="104:111">
      <c r="CZ19470" s="256"/>
      <c r="DG19470" s="256"/>
    </row>
    <row r="19471" spans="104:111">
      <c r="CZ19471" s="256"/>
      <c r="DG19471" s="256"/>
    </row>
    <row r="19472" spans="104:111">
      <c r="CZ19472" s="256"/>
      <c r="DG19472" s="256"/>
    </row>
    <row r="19473" spans="104:111">
      <c r="CZ19473" s="256"/>
      <c r="DG19473" s="256"/>
    </row>
    <row r="19474" spans="104:111">
      <c r="CZ19474" s="256"/>
      <c r="DG19474" s="256"/>
    </row>
    <row r="19475" spans="104:111">
      <c r="CZ19475" s="256"/>
      <c r="DG19475" s="256"/>
    </row>
    <row r="19476" spans="104:111">
      <c r="CZ19476" s="256"/>
      <c r="DG19476" s="256"/>
    </row>
    <row r="19477" spans="104:111">
      <c r="CZ19477" s="256"/>
      <c r="DG19477" s="256"/>
    </row>
    <row r="19478" spans="104:111">
      <c r="CZ19478" s="256"/>
      <c r="DG19478" s="256"/>
    </row>
    <row r="19479" spans="104:111">
      <c r="CZ19479" s="256"/>
      <c r="DG19479" s="256"/>
    </row>
    <row r="19480" spans="104:111">
      <c r="CZ19480" s="256"/>
      <c r="DG19480" s="256"/>
    </row>
    <row r="19481" spans="104:111">
      <c r="CZ19481" s="256"/>
      <c r="DG19481" s="256"/>
    </row>
    <row r="19482" spans="104:111">
      <c r="CZ19482" s="256"/>
      <c r="DG19482" s="256"/>
    </row>
    <row r="19483" spans="104:111">
      <c r="CZ19483" s="256"/>
      <c r="DG19483" s="256"/>
    </row>
    <row r="19484" spans="104:111">
      <c r="CZ19484" s="256"/>
      <c r="DG19484" s="256"/>
    </row>
    <row r="19485" spans="104:111">
      <c r="CZ19485" s="256"/>
      <c r="DG19485" s="256"/>
    </row>
    <row r="19486" spans="104:111">
      <c r="CZ19486" s="256"/>
      <c r="DG19486" s="256"/>
    </row>
    <row r="19487" spans="104:111">
      <c r="CZ19487" s="256"/>
      <c r="DG19487" s="256"/>
    </row>
    <row r="19488" spans="104:111">
      <c r="CZ19488" s="256"/>
      <c r="DG19488" s="256"/>
    </row>
    <row r="19489" spans="104:111">
      <c r="CZ19489" s="256"/>
      <c r="DG19489" s="256"/>
    </row>
    <row r="19490" spans="104:111">
      <c r="CZ19490" s="256"/>
      <c r="DG19490" s="256"/>
    </row>
    <row r="19491" spans="104:111">
      <c r="CZ19491" s="256"/>
      <c r="DG19491" s="256"/>
    </row>
    <row r="19492" spans="104:111">
      <c r="CZ19492" s="256"/>
      <c r="DG19492" s="256"/>
    </row>
    <row r="19493" spans="104:111">
      <c r="CZ19493" s="256"/>
      <c r="DG19493" s="256"/>
    </row>
    <row r="19494" spans="104:111">
      <c r="CZ19494" s="256"/>
      <c r="DG19494" s="256"/>
    </row>
    <row r="19495" spans="104:111">
      <c r="CZ19495" s="256"/>
      <c r="DG19495" s="256"/>
    </row>
    <row r="19496" spans="104:111">
      <c r="CZ19496" s="256"/>
      <c r="DG19496" s="256"/>
    </row>
    <row r="19497" spans="104:111">
      <c r="CZ19497" s="256"/>
      <c r="DG19497" s="256"/>
    </row>
    <row r="19498" spans="104:111">
      <c r="CZ19498" s="256"/>
      <c r="DG19498" s="256"/>
    </row>
    <row r="19499" spans="104:111">
      <c r="CZ19499" s="256"/>
      <c r="DG19499" s="256"/>
    </row>
    <row r="19500" spans="104:111">
      <c r="CZ19500" s="256"/>
      <c r="DG19500" s="256"/>
    </row>
    <row r="19501" spans="104:111">
      <c r="CZ19501" s="256"/>
      <c r="DG19501" s="256"/>
    </row>
    <row r="19502" spans="104:111">
      <c r="CZ19502" s="256"/>
      <c r="DG19502" s="256"/>
    </row>
    <row r="19503" spans="104:111">
      <c r="CZ19503" s="256"/>
      <c r="DG19503" s="256"/>
    </row>
    <row r="19504" spans="104:111">
      <c r="CZ19504" s="256"/>
      <c r="DG19504" s="256"/>
    </row>
    <row r="19505" spans="104:111">
      <c r="CZ19505" s="256"/>
      <c r="DG19505" s="256"/>
    </row>
    <row r="19506" spans="104:111">
      <c r="CZ19506" s="256"/>
      <c r="DG19506" s="256"/>
    </row>
    <row r="19507" spans="104:111">
      <c r="CZ19507" s="256"/>
      <c r="DG19507" s="256"/>
    </row>
    <row r="19508" spans="104:111">
      <c r="CZ19508" s="256"/>
      <c r="DG19508" s="256"/>
    </row>
    <row r="19509" spans="104:111">
      <c r="CZ19509" s="256"/>
      <c r="DG19509" s="256"/>
    </row>
    <row r="19510" spans="104:111">
      <c r="CZ19510" s="256"/>
      <c r="DG19510" s="256"/>
    </row>
    <row r="19511" spans="104:111">
      <c r="CZ19511" s="256"/>
      <c r="DG19511" s="256"/>
    </row>
    <row r="19512" spans="104:111">
      <c r="CZ19512" s="256"/>
      <c r="DG19512" s="256"/>
    </row>
    <row r="19513" spans="104:111">
      <c r="CZ19513" s="256"/>
      <c r="DG19513" s="256"/>
    </row>
    <row r="19514" spans="104:111">
      <c r="CZ19514" s="256"/>
      <c r="DG19514" s="256"/>
    </row>
    <row r="19515" spans="104:111">
      <c r="CZ19515" s="256"/>
      <c r="DG19515" s="256"/>
    </row>
    <row r="19516" spans="104:111">
      <c r="CZ19516" s="256"/>
      <c r="DG19516" s="256"/>
    </row>
    <row r="19517" spans="104:111">
      <c r="CZ19517" s="256"/>
      <c r="DG19517" s="256"/>
    </row>
    <row r="19518" spans="104:111">
      <c r="CZ19518" s="256"/>
      <c r="DG19518" s="256"/>
    </row>
    <row r="19519" spans="104:111">
      <c r="CZ19519" s="256"/>
      <c r="DG19519" s="256"/>
    </row>
    <row r="19520" spans="104:111">
      <c r="CZ19520" s="256"/>
      <c r="DG19520" s="256"/>
    </row>
    <row r="19521" spans="104:111">
      <c r="CZ19521" s="256"/>
      <c r="DG19521" s="256"/>
    </row>
    <row r="19522" spans="104:111">
      <c r="CZ19522" s="256"/>
      <c r="DG19522" s="256"/>
    </row>
    <row r="19523" spans="104:111">
      <c r="CZ19523" s="256"/>
      <c r="DG19523" s="256"/>
    </row>
    <row r="19524" spans="104:111">
      <c r="CZ19524" s="256"/>
      <c r="DG19524" s="256"/>
    </row>
    <row r="19525" spans="104:111">
      <c r="CZ19525" s="256"/>
      <c r="DG19525" s="256"/>
    </row>
    <row r="19526" spans="104:111">
      <c r="CZ19526" s="256"/>
      <c r="DG19526" s="256"/>
    </row>
    <row r="19527" spans="104:111">
      <c r="CZ19527" s="256"/>
      <c r="DG19527" s="256"/>
    </row>
    <row r="19528" spans="104:111">
      <c r="CZ19528" s="256"/>
      <c r="DG19528" s="256"/>
    </row>
    <row r="19529" spans="104:111">
      <c r="CZ19529" s="256"/>
      <c r="DG19529" s="256"/>
    </row>
    <row r="19530" spans="104:111">
      <c r="CZ19530" s="256"/>
      <c r="DG19530" s="256"/>
    </row>
    <row r="19531" spans="104:111">
      <c r="CZ19531" s="256"/>
      <c r="DG19531" s="256"/>
    </row>
    <row r="19532" spans="104:111">
      <c r="CZ19532" s="256"/>
      <c r="DG19532" s="256"/>
    </row>
    <row r="19533" spans="104:111">
      <c r="CZ19533" s="256"/>
      <c r="DG19533" s="256"/>
    </row>
    <row r="19534" spans="104:111">
      <c r="CZ19534" s="256"/>
      <c r="DG19534" s="256"/>
    </row>
    <row r="19535" spans="104:111">
      <c r="CZ19535" s="256"/>
      <c r="DG19535" s="256"/>
    </row>
    <row r="19536" spans="104:111">
      <c r="CZ19536" s="256"/>
      <c r="DG19536" s="256"/>
    </row>
    <row r="19537" spans="104:111">
      <c r="CZ19537" s="256"/>
      <c r="DG19537" s="256"/>
    </row>
    <row r="19538" spans="104:111">
      <c r="CZ19538" s="256"/>
      <c r="DG19538" s="256"/>
    </row>
    <row r="19539" spans="104:111">
      <c r="CZ19539" s="256"/>
      <c r="DG19539" s="256"/>
    </row>
    <row r="19540" spans="104:111">
      <c r="CZ19540" s="256"/>
      <c r="DG19540" s="256"/>
    </row>
    <row r="19541" spans="104:111">
      <c r="CZ19541" s="256"/>
      <c r="DG19541" s="256"/>
    </row>
    <row r="19542" spans="104:111">
      <c r="CZ19542" s="256"/>
      <c r="DG19542" s="256"/>
    </row>
    <row r="19543" spans="104:111">
      <c r="CZ19543" s="256"/>
      <c r="DG19543" s="256"/>
    </row>
    <row r="19544" spans="104:111">
      <c r="CZ19544" s="256"/>
      <c r="DG19544" s="256"/>
    </row>
    <row r="19545" spans="104:111">
      <c r="CZ19545" s="256"/>
      <c r="DG19545" s="256"/>
    </row>
    <row r="19546" spans="104:111">
      <c r="CZ19546" s="256"/>
      <c r="DG19546" s="256"/>
    </row>
    <row r="19547" spans="104:111">
      <c r="CZ19547" s="256"/>
      <c r="DG19547" s="256"/>
    </row>
    <row r="19548" spans="104:111">
      <c r="CZ19548" s="256"/>
      <c r="DG19548" s="256"/>
    </row>
    <row r="19549" spans="104:111">
      <c r="CZ19549" s="256"/>
      <c r="DG19549" s="256"/>
    </row>
    <row r="19550" spans="104:111">
      <c r="CZ19550" s="256"/>
      <c r="DG19550" s="256"/>
    </row>
    <row r="19551" spans="104:111">
      <c r="CZ19551" s="256"/>
      <c r="DG19551" s="256"/>
    </row>
    <row r="19552" spans="104:111">
      <c r="CZ19552" s="256"/>
      <c r="DG19552" s="256"/>
    </row>
    <row r="19553" spans="104:111">
      <c r="CZ19553" s="256"/>
      <c r="DG19553" s="256"/>
    </row>
    <row r="19554" spans="104:111">
      <c r="CZ19554" s="256"/>
      <c r="DG19554" s="256"/>
    </row>
    <row r="19555" spans="104:111">
      <c r="CZ19555" s="256"/>
      <c r="DG19555" s="256"/>
    </row>
    <row r="19556" spans="104:111">
      <c r="CZ19556" s="256"/>
      <c r="DG19556" s="256"/>
    </row>
    <row r="19557" spans="104:111">
      <c r="CZ19557" s="256"/>
      <c r="DG19557" s="256"/>
    </row>
    <row r="19558" spans="104:111">
      <c r="CZ19558" s="256"/>
      <c r="DG19558" s="256"/>
    </row>
    <row r="19559" spans="104:111">
      <c r="CZ19559" s="256"/>
      <c r="DG19559" s="256"/>
    </row>
    <row r="19560" spans="104:111">
      <c r="CZ19560" s="256"/>
      <c r="DG19560" s="256"/>
    </row>
    <row r="19561" spans="104:111">
      <c r="CZ19561" s="256"/>
      <c r="DG19561" s="256"/>
    </row>
    <row r="19562" spans="104:111">
      <c r="CZ19562" s="256"/>
      <c r="DG19562" s="256"/>
    </row>
    <row r="19563" spans="104:111">
      <c r="CZ19563" s="256"/>
      <c r="DG19563" s="256"/>
    </row>
    <row r="19564" spans="104:111">
      <c r="CZ19564" s="256"/>
      <c r="DG19564" s="256"/>
    </row>
    <row r="19565" spans="104:111">
      <c r="CZ19565" s="256"/>
      <c r="DG19565" s="256"/>
    </row>
    <row r="19566" spans="104:111">
      <c r="CZ19566" s="256"/>
      <c r="DG19566" s="256"/>
    </row>
    <row r="19567" spans="104:111">
      <c r="CZ19567" s="256"/>
      <c r="DG19567" s="256"/>
    </row>
    <row r="19568" spans="104:111">
      <c r="CZ19568" s="256"/>
      <c r="DG19568" s="256"/>
    </row>
    <row r="19569" spans="104:111">
      <c r="CZ19569" s="256"/>
      <c r="DG19569" s="256"/>
    </row>
    <row r="19570" spans="104:111">
      <c r="CZ19570" s="256"/>
      <c r="DG19570" s="256"/>
    </row>
    <row r="19571" spans="104:111">
      <c r="CZ19571" s="256"/>
      <c r="DG19571" s="256"/>
    </row>
    <row r="19572" spans="104:111">
      <c r="CZ19572" s="256"/>
      <c r="DG19572" s="256"/>
    </row>
    <row r="19573" spans="104:111">
      <c r="CZ19573" s="256"/>
      <c r="DG19573" s="256"/>
    </row>
    <row r="19574" spans="104:111">
      <c r="CZ19574" s="256"/>
      <c r="DG19574" s="256"/>
    </row>
    <row r="19575" spans="104:111">
      <c r="CZ19575" s="256"/>
      <c r="DG19575" s="256"/>
    </row>
    <row r="19576" spans="104:111">
      <c r="CZ19576" s="256"/>
      <c r="DG19576" s="256"/>
    </row>
    <row r="19577" spans="104:111">
      <c r="CZ19577" s="256"/>
      <c r="DG19577" s="256"/>
    </row>
    <row r="19578" spans="104:111">
      <c r="CZ19578" s="256"/>
      <c r="DG19578" s="256"/>
    </row>
    <row r="19579" spans="104:111">
      <c r="CZ19579" s="256"/>
      <c r="DG19579" s="256"/>
    </row>
    <row r="19580" spans="104:111">
      <c r="CZ19580" s="256"/>
      <c r="DG19580" s="256"/>
    </row>
    <row r="19581" spans="104:111">
      <c r="CZ19581" s="256"/>
      <c r="DG19581" s="256"/>
    </row>
    <row r="19582" spans="104:111">
      <c r="CZ19582" s="256"/>
      <c r="DG19582" s="256"/>
    </row>
    <row r="19583" spans="104:111">
      <c r="CZ19583" s="256"/>
      <c r="DG19583" s="256"/>
    </row>
    <row r="19584" spans="104:111">
      <c r="CZ19584" s="256"/>
      <c r="DG19584" s="256"/>
    </row>
    <row r="19585" spans="104:111">
      <c r="CZ19585" s="256"/>
      <c r="DG19585" s="256"/>
    </row>
    <row r="19586" spans="104:111">
      <c r="CZ19586" s="256"/>
      <c r="DG19586" s="256"/>
    </row>
    <row r="19587" spans="104:111">
      <c r="CZ19587" s="256"/>
      <c r="DG19587" s="256"/>
    </row>
    <row r="19588" spans="104:111">
      <c r="CZ19588" s="256"/>
      <c r="DG19588" s="256"/>
    </row>
    <row r="19589" spans="104:111">
      <c r="CZ19589" s="256"/>
      <c r="DG19589" s="256"/>
    </row>
    <row r="19590" spans="104:111">
      <c r="CZ19590" s="256"/>
      <c r="DG19590" s="256"/>
    </row>
    <row r="19591" spans="104:111">
      <c r="CZ19591" s="256"/>
      <c r="DG19591" s="256"/>
    </row>
    <row r="19592" spans="104:111">
      <c r="CZ19592" s="256"/>
      <c r="DG19592" s="256"/>
    </row>
    <row r="19593" spans="104:111">
      <c r="CZ19593" s="256"/>
      <c r="DG19593" s="256"/>
    </row>
    <row r="19594" spans="104:111">
      <c r="CZ19594" s="256"/>
      <c r="DG19594" s="256"/>
    </row>
    <row r="19595" spans="104:111">
      <c r="CZ19595" s="256"/>
      <c r="DG19595" s="256"/>
    </row>
    <row r="19596" spans="104:111">
      <c r="CZ19596" s="256"/>
      <c r="DG19596" s="256"/>
    </row>
    <row r="19597" spans="104:111">
      <c r="CZ19597" s="256"/>
      <c r="DG19597" s="256"/>
    </row>
    <row r="19598" spans="104:111">
      <c r="CZ19598" s="256"/>
      <c r="DG19598" s="256"/>
    </row>
    <row r="19599" spans="104:111">
      <c r="CZ19599" s="256"/>
      <c r="DG19599" s="256"/>
    </row>
    <row r="19600" spans="104:111">
      <c r="CZ19600" s="256"/>
      <c r="DG19600" s="256"/>
    </row>
    <row r="19601" spans="104:111">
      <c r="CZ19601" s="256"/>
      <c r="DG19601" s="256"/>
    </row>
    <row r="19602" spans="104:111">
      <c r="CZ19602" s="256"/>
      <c r="DG19602" s="256"/>
    </row>
    <row r="19603" spans="104:111">
      <c r="CZ19603" s="256"/>
      <c r="DG19603" s="256"/>
    </row>
    <row r="19604" spans="104:111">
      <c r="CZ19604" s="256"/>
      <c r="DG19604" s="256"/>
    </row>
    <row r="19605" spans="104:111">
      <c r="CZ19605" s="256"/>
      <c r="DG19605" s="256"/>
    </row>
    <row r="19606" spans="104:111">
      <c r="CZ19606" s="256"/>
      <c r="DG19606" s="256"/>
    </row>
    <row r="19607" spans="104:111">
      <c r="CZ19607" s="256"/>
      <c r="DG19607" s="256"/>
    </row>
    <row r="19608" spans="104:111">
      <c r="CZ19608" s="256"/>
      <c r="DG19608" s="256"/>
    </row>
    <row r="19609" spans="104:111">
      <c r="CZ19609" s="256"/>
      <c r="DG19609" s="256"/>
    </row>
    <row r="19610" spans="104:111">
      <c r="CZ19610" s="256"/>
      <c r="DG19610" s="256"/>
    </row>
    <row r="19611" spans="104:111">
      <c r="CZ19611" s="256"/>
      <c r="DG19611" s="256"/>
    </row>
    <row r="19612" spans="104:111">
      <c r="CZ19612" s="256"/>
      <c r="DG19612" s="256"/>
    </row>
    <row r="19613" spans="104:111">
      <c r="CZ19613" s="256"/>
      <c r="DG19613" s="256"/>
    </row>
    <row r="19614" spans="104:111">
      <c r="CZ19614" s="256"/>
      <c r="DG19614" s="256"/>
    </row>
    <row r="19615" spans="104:111">
      <c r="CZ19615" s="256"/>
      <c r="DG19615" s="256"/>
    </row>
    <row r="19616" spans="104:111">
      <c r="CZ19616" s="256"/>
      <c r="DG19616" s="256"/>
    </row>
    <row r="19617" spans="104:111">
      <c r="CZ19617" s="256"/>
      <c r="DG19617" s="256"/>
    </row>
    <row r="19618" spans="104:111">
      <c r="CZ19618" s="256"/>
      <c r="DG19618" s="256"/>
    </row>
    <row r="19619" spans="104:111">
      <c r="CZ19619" s="256"/>
      <c r="DG19619" s="256"/>
    </row>
    <row r="19620" spans="104:111">
      <c r="CZ19620" s="256"/>
      <c r="DG19620" s="256"/>
    </row>
    <row r="19621" spans="104:111">
      <c r="CZ19621" s="256"/>
      <c r="DG19621" s="256"/>
    </row>
    <row r="19622" spans="104:111">
      <c r="CZ19622" s="256"/>
      <c r="DG19622" s="256"/>
    </row>
    <row r="19623" spans="104:111">
      <c r="CZ19623" s="256"/>
      <c r="DG19623" s="256"/>
    </row>
    <row r="19624" spans="104:111">
      <c r="CZ19624" s="256"/>
      <c r="DG19624" s="256"/>
    </row>
    <row r="19625" spans="104:111">
      <c r="CZ19625" s="256"/>
      <c r="DG19625" s="256"/>
    </row>
    <row r="19626" spans="104:111">
      <c r="CZ19626" s="256"/>
      <c r="DG19626" s="256"/>
    </row>
    <row r="19627" spans="104:111">
      <c r="CZ19627" s="256"/>
      <c r="DG19627" s="256"/>
    </row>
    <row r="19628" spans="104:111">
      <c r="CZ19628" s="256"/>
      <c r="DG19628" s="256"/>
    </row>
    <row r="19629" spans="104:111">
      <c r="CZ19629" s="256"/>
      <c r="DG19629" s="256"/>
    </row>
    <row r="19630" spans="104:111">
      <c r="CZ19630" s="256"/>
      <c r="DG19630" s="256"/>
    </row>
    <row r="19631" spans="104:111">
      <c r="CZ19631" s="256"/>
      <c r="DG19631" s="256"/>
    </row>
    <row r="19632" spans="104:111">
      <c r="CZ19632" s="256"/>
      <c r="DG19632" s="256"/>
    </row>
    <row r="19633" spans="104:111">
      <c r="CZ19633" s="256"/>
      <c r="DG19633" s="256"/>
    </row>
    <row r="19634" spans="104:111">
      <c r="CZ19634" s="256"/>
      <c r="DG19634" s="256"/>
    </row>
    <row r="19635" spans="104:111">
      <c r="CZ19635" s="256"/>
      <c r="DG19635" s="256"/>
    </row>
    <row r="19636" spans="104:111">
      <c r="CZ19636" s="256"/>
      <c r="DG19636" s="256"/>
    </row>
    <row r="19637" spans="104:111">
      <c r="CZ19637" s="256"/>
      <c r="DG19637" s="256"/>
    </row>
    <row r="19638" spans="104:111">
      <c r="CZ19638" s="256"/>
      <c r="DG19638" s="256"/>
    </row>
    <row r="19639" spans="104:111">
      <c r="CZ19639" s="256"/>
      <c r="DG19639" s="256"/>
    </row>
    <row r="19640" spans="104:111">
      <c r="CZ19640" s="256"/>
      <c r="DG19640" s="256"/>
    </row>
    <row r="19641" spans="104:111">
      <c r="CZ19641" s="256"/>
      <c r="DG19641" s="256"/>
    </row>
    <row r="19642" spans="104:111">
      <c r="CZ19642" s="256"/>
      <c r="DG19642" s="256"/>
    </row>
    <row r="19643" spans="104:111">
      <c r="CZ19643" s="256"/>
      <c r="DG19643" s="256"/>
    </row>
    <row r="19644" spans="104:111">
      <c r="CZ19644" s="256"/>
      <c r="DG19644" s="256"/>
    </row>
    <row r="19645" spans="104:111">
      <c r="CZ19645" s="256"/>
      <c r="DG19645" s="256"/>
    </row>
    <row r="19646" spans="104:111">
      <c r="CZ19646" s="256"/>
      <c r="DG19646" s="256"/>
    </row>
    <row r="19647" spans="104:111">
      <c r="CZ19647" s="256"/>
      <c r="DG19647" s="256"/>
    </row>
    <row r="19648" spans="104:111">
      <c r="CZ19648" s="256"/>
      <c r="DG19648" s="256"/>
    </row>
    <row r="19649" spans="104:111">
      <c r="CZ19649" s="256"/>
      <c r="DG19649" s="256"/>
    </row>
    <row r="19650" spans="104:111">
      <c r="CZ19650" s="256"/>
      <c r="DG19650" s="256"/>
    </row>
    <row r="19651" spans="104:111">
      <c r="CZ19651" s="256"/>
      <c r="DG19651" s="256"/>
    </row>
    <row r="19652" spans="104:111">
      <c r="CZ19652" s="256"/>
      <c r="DG19652" s="256"/>
    </row>
    <row r="19653" spans="104:111">
      <c r="CZ19653" s="256"/>
      <c r="DG19653" s="256"/>
    </row>
    <row r="19654" spans="104:111">
      <c r="CZ19654" s="256"/>
      <c r="DG19654" s="256"/>
    </row>
    <row r="19655" spans="104:111">
      <c r="CZ19655" s="256"/>
      <c r="DG19655" s="256"/>
    </row>
    <row r="19656" spans="104:111">
      <c r="CZ19656" s="256"/>
      <c r="DG19656" s="256"/>
    </row>
    <row r="19657" spans="104:111">
      <c r="CZ19657" s="256"/>
      <c r="DG19657" s="256"/>
    </row>
    <row r="19658" spans="104:111">
      <c r="CZ19658" s="256"/>
      <c r="DG19658" s="256"/>
    </row>
    <row r="19659" spans="104:111">
      <c r="CZ19659" s="256"/>
      <c r="DG19659" s="256"/>
    </row>
    <row r="19660" spans="104:111">
      <c r="CZ19660" s="256"/>
      <c r="DG19660" s="256"/>
    </row>
    <row r="19661" spans="104:111">
      <c r="CZ19661" s="256"/>
      <c r="DG19661" s="256"/>
    </row>
    <row r="19662" spans="104:111">
      <c r="CZ19662" s="256"/>
      <c r="DG19662" s="256"/>
    </row>
    <row r="19663" spans="104:111">
      <c r="CZ19663" s="256"/>
      <c r="DG19663" s="256"/>
    </row>
    <row r="19664" spans="104:111">
      <c r="CZ19664" s="256"/>
      <c r="DG19664" s="256"/>
    </row>
    <row r="19665" spans="104:111">
      <c r="CZ19665" s="256"/>
      <c r="DG19665" s="256"/>
    </row>
    <row r="19666" spans="104:111">
      <c r="CZ19666" s="256"/>
      <c r="DG19666" s="256"/>
    </row>
    <row r="19667" spans="104:111">
      <c r="CZ19667" s="256"/>
      <c r="DG19667" s="256"/>
    </row>
    <row r="19668" spans="104:111">
      <c r="CZ19668" s="256"/>
      <c r="DG19668" s="256"/>
    </row>
    <row r="19669" spans="104:111">
      <c r="CZ19669" s="256"/>
      <c r="DG19669" s="256"/>
    </row>
    <row r="19670" spans="104:111">
      <c r="CZ19670" s="256"/>
      <c r="DG19670" s="256"/>
    </row>
    <row r="19671" spans="104:111">
      <c r="CZ19671" s="256"/>
      <c r="DG19671" s="256"/>
    </row>
    <row r="19672" spans="104:111">
      <c r="CZ19672" s="256"/>
      <c r="DG19672" s="256"/>
    </row>
    <row r="19673" spans="104:111">
      <c r="CZ19673" s="256"/>
      <c r="DG19673" s="256"/>
    </row>
    <row r="19674" spans="104:111">
      <c r="CZ19674" s="256"/>
      <c r="DG19674" s="256"/>
    </row>
    <row r="19675" spans="104:111">
      <c r="CZ19675" s="256"/>
      <c r="DG19675" s="256"/>
    </row>
    <row r="19676" spans="104:111">
      <c r="CZ19676" s="256"/>
      <c r="DG19676" s="256"/>
    </row>
    <row r="19677" spans="104:111">
      <c r="CZ19677" s="256"/>
      <c r="DG19677" s="256"/>
    </row>
    <row r="19678" spans="104:111">
      <c r="CZ19678" s="256"/>
      <c r="DG19678" s="256"/>
    </row>
    <row r="19679" spans="104:111">
      <c r="CZ19679" s="256"/>
      <c r="DG19679" s="256"/>
    </row>
    <row r="19680" spans="104:111">
      <c r="CZ19680" s="256"/>
      <c r="DG19680" s="256"/>
    </row>
    <row r="19681" spans="104:111">
      <c r="CZ19681" s="256"/>
      <c r="DG19681" s="256"/>
    </row>
    <row r="19682" spans="104:111">
      <c r="CZ19682" s="256"/>
      <c r="DG19682" s="256"/>
    </row>
    <row r="19683" spans="104:111">
      <c r="CZ19683" s="256"/>
      <c r="DG19683" s="256"/>
    </row>
    <row r="19684" spans="104:111">
      <c r="CZ19684" s="256"/>
      <c r="DG19684" s="256"/>
    </row>
    <row r="19685" spans="104:111">
      <c r="CZ19685" s="256"/>
      <c r="DG19685" s="256"/>
    </row>
    <row r="19686" spans="104:111">
      <c r="CZ19686" s="256"/>
      <c r="DG19686" s="256"/>
    </row>
    <row r="19687" spans="104:111">
      <c r="CZ19687" s="256"/>
      <c r="DG19687" s="256"/>
    </row>
    <row r="19688" spans="104:111">
      <c r="CZ19688" s="256"/>
      <c r="DG19688" s="256"/>
    </row>
    <row r="19689" spans="104:111">
      <c r="CZ19689" s="256"/>
      <c r="DG19689" s="256"/>
    </row>
    <row r="19690" spans="104:111">
      <c r="CZ19690" s="256"/>
      <c r="DG19690" s="256"/>
    </row>
    <row r="19691" spans="104:111">
      <c r="CZ19691" s="256"/>
      <c r="DG19691" s="256"/>
    </row>
    <row r="19692" spans="104:111">
      <c r="CZ19692" s="256"/>
      <c r="DG19692" s="256"/>
    </row>
    <row r="19693" spans="104:111">
      <c r="CZ19693" s="256"/>
      <c r="DG19693" s="256"/>
    </row>
    <row r="19694" spans="104:111">
      <c r="CZ19694" s="256"/>
      <c r="DG19694" s="256"/>
    </row>
    <row r="19695" spans="104:111">
      <c r="CZ19695" s="256"/>
      <c r="DG19695" s="256"/>
    </row>
    <row r="19696" spans="104:111">
      <c r="CZ19696" s="256"/>
      <c r="DG19696" s="256"/>
    </row>
    <row r="19697" spans="104:111">
      <c r="CZ19697" s="256"/>
      <c r="DG19697" s="256"/>
    </row>
    <row r="19698" spans="104:111">
      <c r="CZ19698" s="256"/>
      <c r="DG19698" s="256"/>
    </row>
    <row r="19699" spans="104:111">
      <c r="CZ19699" s="256"/>
      <c r="DG19699" s="256"/>
    </row>
    <row r="19700" spans="104:111">
      <c r="CZ19700" s="256"/>
      <c r="DG19700" s="256"/>
    </row>
    <row r="19701" spans="104:111">
      <c r="CZ19701" s="256"/>
      <c r="DG19701" s="256"/>
    </row>
    <row r="19702" spans="104:111">
      <c r="CZ19702" s="256"/>
      <c r="DG19702" s="256"/>
    </row>
    <row r="19703" spans="104:111">
      <c r="CZ19703" s="256"/>
      <c r="DG19703" s="256"/>
    </row>
    <row r="19704" spans="104:111">
      <c r="CZ19704" s="256"/>
      <c r="DG19704" s="256"/>
    </row>
    <row r="19705" spans="104:111">
      <c r="CZ19705" s="256"/>
      <c r="DG19705" s="256"/>
    </row>
    <row r="19706" spans="104:111">
      <c r="CZ19706" s="256"/>
      <c r="DG19706" s="256"/>
    </row>
    <row r="19707" spans="104:111">
      <c r="CZ19707" s="256"/>
      <c r="DG19707" s="256"/>
    </row>
    <row r="19708" spans="104:111">
      <c r="CZ19708" s="256"/>
      <c r="DG19708" s="256"/>
    </row>
    <row r="19709" spans="104:111">
      <c r="CZ19709" s="256"/>
      <c r="DG19709" s="256"/>
    </row>
    <row r="19710" spans="104:111">
      <c r="CZ19710" s="256"/>
      <c r="DG19710" s="256"/>
    </row>
    <row r="19711" spans="104:111">
      <c r="CZ19711" s="256"/>
      <c r="DG19711" s="256"/>
    </row>
    <row r="19712" spans="104:111">
      <c r="CZ19712" s="256"/>
      <c r="DG19712" s="256"/>
    </row>
    <row r="19713" spans="104:111">
      <c r="CZ19713" s="256"/>
      <c r="DG19713" s="256"/>
    </row>
    <row r="19714" spans="104:111">
      <c r="CZ19714" s="256"/>
      <c r="DG19714" s="256"/>
    </row>
    <row r="19715" spans="104:111">
      <c r="CZ19715" s="256"/>
      <c r="DG19715" s="256"/>
    </row>
    <row r="19716" spans="104:111">
      <c r="CZ19716" s="256"/>
      <c r="DG19716" s="256"/>
    </row>
    <row r="19717" spans="104:111">
      <c r="CZ19717" s="256"/>
      <c r="DG19717" s="256"/>
    </row>
    <row r="19718" spans="104:111">
      <c r="CZ19718" s="256"/>
      <c r="DG19718" s="256"/>
    </row>
    <row r="19719" spans="104:111">
      <c r="CZ19719" s="256"/>
      <c r="DG19719" s="256"/>
    </row>
    <row r="19720" spans="104:111">
      <c r="CZ19720" s="256"/>
      <c r="DG19720" s="256"/>
    </row>
    <row r="19721" spans="104:111">
      <c r="CZ19721" s="256"/>
      <c r="DG19721" s="256"/>
    </row>
    <row r="19722" spans="104:111">
      <c r="CZ19722" s="256"/>
      <c r="DG19722" s="256"/>
    </row>
    <row r="19723" spans="104:111">
      <c r="CZ19723" s="256"/>
      <c r="DG19723" s="256"/>
    </row>
    <row r="19724" spans="104:111">
      <c r="CZ19724" s="256"/>
      <c r="DG19724" s="256"/>
    </row>
    <row r="19725" spans="104:111">
      <c r="CZ19725" s="256"/>
      <c r="DG19725" s="256"/>
    </row>
    <row r="19726" spans="104:111">
      <c r="CZ19726" s="256"/>
      <c r="DG19726" s="256"/>
    </row>
    <row r="19727" spans="104:111">
      <c r="CZ19727" s="256"/>
      <c r="DG19727" s="256"/>
    </row>
    <row r="19728" spans="104:111">
      <c r="CZ19728" s="256"/>
      <c r="DG19728" s="256"/>
    </row>
    <row r="19729" spans="104:111">
      <c r="CZ19729" s="256"/>
      <c r="DG19729" s="256"/>
    </row>
    <row r="19730" spans="104:111">
      <c r="CZ19730" s="256"/>
      <c r="DG19730" s="256"/>
    </row>
    <row r="19731" spans="104:111">
      <c r="CZ19731" s="256"/>
      <c r="DG19731" s="256"/>
    </row>
    <row r="19732" spans="104:111">
      <c r="CZ19732" s="256"/>
      <c r="DG19732" s="256"/>
    </row>
    <row r="19733" spans="104:111">
      <c r="CZ19733" s="256"/>
      <c r="DG19733" s="256"/>
    </row>
    <row r="19734" spans="104:111">
      <c r="CZ19734" s="256"/>
      <c r="DG19734" s="256"/>
    </row>
    <row r="19735" spans="104:111">
      <c r="CZ19735" s="256"/>
      <c r="DG19735" s="256"/>
    </row>
    <row r="19736" spans="104:111">
      <c r="CZ19736" s="256"/>
      <c r="DG19736" s="256"/>
    </row>
    <row r="19737" spans="104:111">
      <c r="CZ19737" s="256"/>
      <c r="DG19737" s="256"/>
    </row>
    <row r="19738" spans="104:111">
      <c r="CZ19738" s="256"/>
      <c r="DG19738" s="256"/>
    </row>
    <row r="19739" spans="104:111">
      <c r="CZ19739" s="256"/>
      <c r="DG19739" s="256"/>
    </row>
    <row r="19740" spans="104:111">
      <c r="CZ19740" s="256"/>
      <c r="DG19740" s="256"/>
    </row>
    <row r="19741" spans="104:111">
      <c r="CZ19741" s="256"/>
      <c r="DG19741" s="256"/>
    </row>
    <row r="19742" spans="104:111">
      <c r="CZ19742" s="256"/>
      <c r="DG19742" s="256"/>
    </row>
    <row r="19743" spans="104:111">
      <c r="CZ19743" s="256"/>
      <c r="DG19743" s="256"/>
    </row>
    <row r="19744" spans="104:111">
      <c r="CZ19744" s="256"/>
      <c r="DG19744" s="256"/>
    </row>
    <row r="19745" spans="104:111">
      <c r="CZ19745" s="256"/>
      <c r="DG19745" s="256"/>
    </row>
    <row r="19746" spans="104:111">
      <c r="CZ19746" s="256"/>
      <c r="DG19746" s="256"/>
    </row>
    <row r="19747" spans="104:111">
      <c r="CZ19747" s="256"/>
      <c r="DG19747" s="256"/>
    </row>
    <row r="19748" spans="104:111">
      <c r="CZ19748" s="256"/>
      <c r="DG19748" s="256"/>
    </row>
    <row r="19749" spans="104:111">
      <c r="CZ19749" s="256"/>
      <c r="DG19749" s="256"/>
    </row>
    <row r="19750" spans="104:111">
      <c r="CZ19750" s="256"/>
      <c r="DG19750" s="256"/>
    </row>
    <row r="19751" spans="104:111">
      <c r="CZ19751" s="256"/>
      <c r="DG19751" s="256"/>
    </row>
    <row r="19752" spans="104:111">
      <c r="CZ19752" s="256"/>
      <c r="DG19752" s="256"/>
    </row>
    <row r="19753" spans="104:111">
      <c r="CZ19753" s="256"/>
      <c r="DG19753" s="256"/>
    </row>
    <row r="19754" spans="104:111">
      <c r="CZ19754" s="256"/>
      <c r="DG19754" s="256"/>
    </row>
    <row r="19755" spans="104:111">
      <c r="CZ19755" s="256"/>
      <c r="DG19755" s="256"/>
    </row>
    <row r="19756" spans="104:111">
      <c r="CZ19756" s="256"/>
      <c r="DG19756" s="256"/>
    </row>
    <row r="19757" spans="104:111">
      <c r="CZ19757" s="256"/>
      <c r="DG19757" s="256"/>
    </row>
    <row r="19758" spans="104:111">
      <c r="CZ19758" s="256"/>
      <c r="DG19758" s="256"/>
    </row>
    <row r="19759" spans="104:111">
      <c r="CZ19759" s="256"/>
      <c r="DG19759" s="256"/>
    </row>
    <row r="19760" spans="104:111">
      <c r="CZ19760" s="256"/>
      <c r="DG19760" s="256"/>
    </row>
    <row r="19761" spans="104:111">
      <c r="CZ19761" s="256"/>
      <c r="DG19761" s="256"/>
    </row>
    <row r="19762" spans="104:111">
      <c r="CZ19762" s="256"/>
      <c r="DG19762" s="256"/>
    </row>
    <row r="19763" spans="104:111">
      <c r="CZ19763" s="256"/>
      <c r="DG19763" s="256"/>
    </row>
    <row r="19764" spans="104:111">
      <c r="CZ19764" s="256"/>
      <c r="DG19764" s="256"/>
    </row>
    <row r="19765" spans="104:111">
      <c r="CZ19765" s="256"/>
      <c r="DG19765" s="256"/>
    </row>
    <row r="19766" spans="104:111">
      <c r="CZ19766" s="256"/>
      <c r="DG19766" s="256"/>
    </row>
    <row r="19767" spans="104:111">
      <c r="CZ19767" s="256"/>
      <c r="DG19767" s="256"/>
    </row>
    <row r="19768" spans="104:111">
      <c r="CZ19768" s="256"/>
      <c r="DG19768" s="256"/>
    </row>
    <row r="19769" spans="104:111">
      <c r="CZ19769" s="256"/>
      <c r="DG19769" s="256"/>
    </row>
    <row r="19770" spans="104:111">
      <c r="CZ19770" s="256"/>
      <c r="DG19770" s="256"/>
    </row>
    <row r="19771" spans="104:111">
      <c r="CZ19771" s="256"/>
      <c r="DG19771" s="256"/>
    </row>
    <row r="19772" spans="104:111">
      <c r="CZ19772" s="256"/>
      <c r="DG19772" s="256"/>
    </row>
    <row r="19773" spans="104:111">
      <c r="CZ19773" s="256"/>
      <c r="DG19773" s="256"/>
    </row>
    <row r="19774" spans="104:111">
      <c r="CZ19774" s="256"/>
      <c r="DG19774" s="256"/>
    </row>
    <row r="19775" spans="104:111">
      <c r="CZ19775" s="256"/>
      <c r="DG19775" s="256"/>
    </row>
    <row r="19776" spans="104:111">
      <c r="CZ19776" s="256"/>
      <c r="DG19776" s="256"/>
    </row>
    <row r="19777" spans="104:111">
      <c r="CZ19777" s="256"/>
      <c r="DG19777" s="256"/>
    </row>
    <row r="19778" spans="104:111">
      <c r="CZ19778" s="256"/>
      <c r="DG19778" s="256"/>
    </row>
    <row r="19779" spans="104:111">
      <c r="CZ19779" s="256"/>
      <c r="DG19779" s="256"/>
    </row>
    <row r="19780" spans="104:111">
      <c r="CZ19780" s="256"/>
      <c r="DG19780" s="256"/>
    </row>
    <row r="19781" spans="104:111">
      <c r="CZ19781" s="256"/>
      <c r="DG19781" s="256"/>
    </row>
    <row r="19782" spans="104:111">
      <c r="CZ19782" s="256"/>
      <c r="DG19782" s="256"/>
    </row>
    <row r="19783" spans="104:111">
      <c r="CZ19783" s="256"/>
      <c r="DG19783" s="256"/>
    </row>
    <row r="19784" spans="104:111">
      <c r="CZ19784" s="256"/>
      <c r="DG19784" s="256"/>
    </row>
    <row r="19785" spans="104:111">
      <c r="CZ19785" s="256"/>
      <c r="DG19785" s="256"/>
    </row>
    <row r="19786" spans="104:111">
      <c r="CZ19786" s="256"/>
      <c r="DG19786" s="256"/>
    </row>
    <row r="19787" spans="104:111">
      <c r="CZ19787" s="256"/>
      <c r="DG19787" s="256"/>
    </row>
    <row r="19788" spans="104:111">
      <c r="CZ19788" s="256"/>
      <c r="DG19788" s="256"/>
    </row>
    <row r="19789" spans="104:111">
      <c r="CZ19789" s="256"/>
      <c r="DG19789" s="256"/>
    </row>
    <row r="19790" spans="104:111">
      <c r="CZ19790" s="256"/>
      <c r="DG19790" s="256"/>
    </row>
    <row r="19791" spans="104:111">
      <c r="CZ19791" s="256"/>
      <c r="DG19791" s="256"/>
    </row>
    <row r="19792" spans="104:111">
      <c r="CZ19792" s="256"/>
      <c r="DG19792" s="256"/>
    </row>
    <row r="19793" spans="104:111">
      <c r="CZ19793" s="256"/>
      <c r="DG19793" s="256"/>
    </row>
    <row r="19794" spans="104:111">
      <c r="CZ19794" s="256"/>
      <c r="DG19794" s="256"/>
    </row>
    <row r="19795" spans="104:111">
      <c r="CZ19795" s="256"/>
      <c r="DG19795" s="256"/>
    </row>
    <row r="19796" spans="104:111">
      <c r="CZ19796" s="256"/>
      <c r="DG19796" s="256"/>
    </row>
    <row r="19797" spans="104:111">
      <c r="CZ19797" s="256"/>
      <c r="DG19797" s="256"/>
    </row>
    <row r="19798" spans="104:111">
      <c r="CZ19798" s="256"/>
      <c r="DG19798" s="256"/>
    </row>
    <row r="19799" spans="104:111">
      <c r="CZ19799" s="256"/>
      <c r="DG19799" s="256"/>
    </row>
    <row r="19800" spans="104:111">
      <c r="CZ19800" s="256"/>
      <c r="DG19800" s="256"/>
    </row>
    <row r="19801" spans="104:111">
      <c r="CZ19801" s="256"/>
      <c r="DG19801" s="256"/>
    </row>
    <row r="19802" spans="104:111">
      <c r="CZ19802" s="256"/>
      <c r="DG19802" s="256"/>
    </row>
    <row r="19803" spans="104:111">
      <c r="CZ19803" s="256"/>
      <c r="DG19803" s="256"/>
    </row>
    <row r="19804" spans="104:111">
      <c r="CZ19804" s="256"/>
      <c r="DG19804" s="256"/>
    </row>
    <row r="19805" spans="104:111">
      <c r="CZ19805" s="256"/>
      <c r="DG19805" s="256"/>
    </row>
    <row r="19806" spans="104:111">
      <c r="CZ19806" s="256"/>
      <c r="DG19806" s="256"/>
    </row>
    <row r="19807" spans="104:111">
      <c r="CZ19807" s="256"/>
      <c r="DG19807" s="256"/>
    </row>
    <row r="19808" spans="104:111">
      <c r="CZ19808" s="256"/>
      <c r="DG19808" s="256"/>
    </row>
    <row r="19809" spans="104:111">
      <c r="CZ19809" s="256"/>
      <c r="DG19809" s="256"/>
    </row>
    <row r="19810" spans="104:111">
      <c r="CZ19810" s="256"/>
      <c r="DG19810" s="256"/>
    </row>
    <row r="19811" spans="104:111">
      <c r="CZ19811" s="256"/>
      <c r="DG19811" s="256"/>
    </row>
    <row r="19812" spans="104:111">
      <c r="CZ19812" s="256"/>
      <c r="DG19812" s="256"/>
    </row>
    <row r="19813" spans="104:111">
      <c r="CZ19813" s="256"/>
      <c r="DG19813" s="256"/>
    </row>
    <row r="19814" spans="104:111">
      <c r="CZ19814" s="256"/>
      <c r="DG19814" s="256"/>
    </row>
    <row r="19815" spans="104:111">
      <c r="CZ19815" s="256"/>
      <c r="DG19815" s="256"/>
    </row>
    <row r="19816" spans="104:111">
      <c r="CZ19816" s="256"/>
      <c r="DG19816" s="256"/>
    </row>
    <row r="19817" spans="104:111">
      <c r="CZ19817" s="256"/>
      <c r="DG19817" s="256"/>
    </row>
    <row r="19818" spans="104:111">
      <c r="CZ19818" s="256"/>
      <c r="DG19818" s="256"/>
    </row>
    <row r="19819" spans="104:111">
      <c r="CZ19819" s="256"/>
      <c r="DG19819" s="256"/>
    </row>
    <row r="19820" spans="104:111">
      <c r="CZ19820" s="256"/>
      <c r="DG19820" s="256"/>
    </row>
    <row r="19821" spans="104:111">
      <c r="CZ19821" s="256"/>
      <c r="DG19821" s="256"/>
    </row>
    <row r="19822" spans="104:111">
      <c r="CZ19822" s="256"/>
      <c r="DG19822" s="256"/>
    </row>
    <row r="19823" spans="104:111">
      <c r="CZ19823" s="256"/>
      <c r="DG19823" s="256"/>
    </row>
    <row r="19824" spans="104:111">
      <c r="CZ19824" s="256"/>
      <c r="DG19824" s="256"/>
    </row>
    <row r="19825" spans="104:111">
      <c r="CZ19825" s="256"/>
      <c r="DG19825" s="256"/>
    </row>
    <row r="19826" spans="104:111">
      <c r="CZ19826" s="256"/>
      <c r="DG19826" s="256"/>
    </row>
    <row r="19827" spans="104:111">
      <c r="CZ19827" s="256"/>
      <c r="DG19827" s="256"/>
    </row>
    <row r="19828" spans="104:111">
      <c r="CZ19828" s="256"/>
      <c r="DG19828" s="256"/>
    </row>
    <row r="19829" spans="104:111">
      <c r="CZ19829" s="256"/>
      <c r="DG19829" s="256"/>
    </row>
    <row r="19830" spans="104:111">
      <c r="CZ19830" s="256"/>
      <c r="DG19830" s="256"/>
    </row>
    <row r="19831" spans="104:111">
      <c r="CZ19831" s="256"/>
      <c r="DG19831" s="256"/>
    </row>
    <row r="19832" spans="104:111">
      <c r="CZ19832" s="256"/>
      <c r="DG19832" s="256"/>
    </row>
    <row r="19833" spans="104:111">
      <c r="CZ19833" s="256"/>
      <c r="DG19833" s="256"/>
    </row>
    <row r="19834" spans="104:111">
      <c r="CZ19834" s="256"/>
      <c r="DG19834" s="256"/>
    </row>
    <row r="19835" spans="104:111">
      <c r="CZ19835" s="256"/>
      <c r="DG19835" s="256"/>
    </row>
    <row r="19836" spans="104:111">
      <c r="CZ19836" s="256"/>
      <c r="DG19836" s="256"/>
    </row>
    <row r="19837" spans="104:111">
      <c r="CZ19837" s="256"/>
      <c r="DG19837" s="256"/>
    </row>
    <row r="19838" spans="104:111">
      <c r="CZ19838" s="256"/>
      <c r="DG19838" s="256"/>
    </row>
    <row r="19839" spans="104:111">
      <c r="CZ19839" s="256"/>
      <c r="DG19839" s="256"/>
    </row>
    <row r="19840" spans="104:111">
      <c r="CZ19840" s="256"/>
      <c r="DG19840" s="256"/>
    </row>
    <row r="19841" spans="104:111">
      <c r="CZ19841" s="256"/>
      <c r="DG19841" s="256"/>
    </row>
    <row r="19842" spans="104:111">
      <c r="CZ19842" s="256"/>
      <c r="DG19842" s="256"/>
    </row>
    <row r="19843" spans="104:111">
      <c r="CZ19843" s="256"/>
      <c r="DG19843" s="256"/>
    </row>
    <row r="19844" spans="104:111">
      <c r="CZ19844" s="256"/>
      <c r="DG19844" s="256"/>
    </row>
    <row r="19845" spans="104:111">
      <c r="CZ19845" s="256"/>
      <c r="DG19845" s="256"/>
    </row>
    <row r="19846" spans="104:111">
      <c r="CZ19846" s="256"/>
      <c r="DG19846" s="256"/>
    </row>
    <row r="19847" spans="104:111">
      <c r="CZ19847" s="256"/>
      <c r="DG19847" s="256"/>
    </row>
    <row r="19848" spans="104:111">
      <c r="CZ19848" s="256"/>
      <c r="DG19848" s="256"/>
    </row>
    <row r="19849" spans="104:111">
      <c r="CZ19849" s="256"/>
      <c r="DG19849" s="256"/>
    </row>
    <row r="19850" spans="104:111">
      <c r="CZ19850" s="256"/>
      <c r="DG19850" s="256"/>
    </row>
    <row r="19851" spans="104:111">
      <c r="CZ19851" s="256"/>
      <c r="DG19851" s="256"/>
    </row>
    <row r="19852" spans="104:111">
      <c r="CZ19852" s="256"/>
      <c r="DG19852" s="256"/>
    </row>
    <row r="19853" spans="104:111">
      <c r="CZ19853" s="256"/>
      <c r="DG19853" s="256"/>
    </row>
    <row r="19854" spans="104:111">
      <c r="CZ19854" s="256"/>
      <c r="DG19854" s="256"/>
    </row>
    <row r="19855" spans="104:111">
      <c r="CZ19855" s="256"/>
      <c r="DG19855" s="256"/>
    </row>
    <row r="19856" spans="104:111">
      <c r="CZ19856" s="256"/>
      <c r="DG19856" s="256"/>
    </row>
    <row r="19857" spans="104:111">
      <c r="CZ19857" s="256"/>
      <c r="DG19857" s="256"/>
    </row>
    <row r="19858" spans="104:111">
      <c r="CZ19858" s="256"/>
      <c r="DG19858" s="256"/>
    </row>
    <row r="19859" spans="104:111">
      <c r="CZ19859" s="256"/>
      <c r="DG19859" s="256"/>
    </row>
    <row r="19860" spans="104:111">
      <c r="CZ19860" s="256"/>
      <c r="DG19860" s="256"/>
    </row>
    <row r="19861" spans="104:111">
      <c r="CZ19861" s="256"/>
      <c r="DG19861" s="256"/>
    </row>
    <row r="19862" spans="104:111">
      <c r="CZ19862" s="256"/>
      <c r="DG19862" s="256"/>
    </row>
    <row r="19863" spans="104:111">
      <c r="CZ19863" s="256"/>
      <c r="DG19863" s="256"/>
    </row>
    <row r="19864" spans="104:111">
      <c r="CZ19864" s="256"/>
      <c r="DG19864" s="256"/>
    </row>
    <row r="19865" spans="104:111">
      <c r="CZ19865" s="256"/>
      <c r="DG19865" s="256"/>
    </row>
    <row r="19866" spans="104:111">
      <c r="CZ19866" s="256"/>
      <c r="DG19866" s="256"/>
    </row>
    <row r="19867" spans="104:111">
      <c r="CZ19867" s="256"/>
      <c r="DG19867" s="256"/>
    </row>
    <row r="19868" spans="104:111">
      <c r="CZ19868" s="256"/>
      <c r="DG19868" s="256"/>
    </row>
    <row r="19869" spans="104:111">
      <c r="CZ19869" s="256"/>
      <c r="DG19869" s="256"/>
    </row>
    <row r="19870" spans="104:111">
      <c r="CZ19870" s="256"/>
      <c r="DG19870" s="256"/>
    </row>
    <row r="19871" spans="104:111">
      <c r="CZ19871" s="256"/>
      <c r="DG19871" s="256"/>
    </row>
    <row r="19872" spans="104:111">
      <c r="CZ19872" s="256"/>
      <c r="DG19872" s="256"/>
    </row>
    <row r="19873" spans="104:111">
      <c r="CZ19873" s="256"/>
      <c r="DG19873" s="256"/>
    </row>
    <row r="19874" spans="104:111">
      <c r="CZ19874" s="256"/>
      <c r="DG19874" s="256"/>
    </row>
    <row r="19875" spans="104:111">
      <c r="CZ19875" s="256"/>
      <c r="DG19875" s="256"/>
    </row>
    <row r="19876" spans="104:111">
      <c r="CZ19876" s="256"/>
      <c r="DG19876" s="256"/>
    </row>
    <row r="19877" spans="104:111">
      <c r="CZ19877" s="256"/>
      <c r="DG19877" s="256"/>
    </row>
    <row r="19878" spans="104:111">
      <c r="CZ19878" s="256"/>
      <c r="DG19878" s="256"/>
    </row>
    <row r="19879" spans="104:111">
      <c r="CZ19879" s="256"/>
      <c r="DG19879" s="256"/>
    </row>
    <row r="19880" spans="104:111">
      <c r="CZ19880" s="256"/>
      <c r="DG19880" s="256"/>
    </row>
    <row r="19881" spans="104:111">
      <c r="CZ19881" s="256"/>
      <c r="DG19881" s="256"/>
    </row>
    <row r="19882" spans="104:111">
      <c r="CZ19882" s="256"/>
      <c r="DG19882" s="256"/>
    </row>
    <row r="19883" spans="104:111">
      <c r="CZ19883" s="256"/>
      <c r="DG19883" s="256"/>
    </row>
    <row r="19884" spans="104:111">
      <c r="CZ19884" s="256"/>
      <c r="DG19884" s="256"/>
    </row>
    <row r="19885" spans="104:111">
      <c r="CZ19885" s="256"/>
      <c r="DG19885" s="256"/>
    </row>
    <row r="19886" spans="104:111">
      <c r="CZ19886" s="256"/>
      <c r="DG19886" s="256"/>
    </row>
    <row r="19887" spans="104:111">
      <c r="CZ19887" s="256"/>
      <c r="DG19887" s="256"/>
    </row>
    <row r="19888" spans="104:111">
      <c r="CZ19888" s="256"/>
      <c r="DG19888" s="256"/>
    </row>
    <row r="19889" spans="104:111">
      <c r="CZ19889" s="256"/>
      <c r="DG19889" s="256"/>
    </row>
    <row r="19890" spans="104:111">
      <c r="CZ19890" s="256"/>
      <c r="DG19890" s="256"/>
    </row>
    <row r="19891" spans="104:111">
      <c r="CZ19891" s="256"/>
      <c r="DG19891" s="256"/>
    </row>
    <row r="19892" spans="104:111">
      <c r="CZ19892" s="256"/>
      <c r="DG19892" s="256"/>
    </row>
    <row r="19893" spans="104:111">
      <c r="CZ19893" s="256"/>
      <c r="DG19893" s="256"/>
    </row>
    <row r="19894" spans="104:111">
      <c r="CZ19894" s="256"/>
      <c r="DG19894" s="256"/>
    </row>
    <row r="19895" spans="104:111">
      <c r="CZ19895" s="256"/>
      <c r="DG19895" s="256"/>
    </row>
    <row r="19896" spans="104:111">
      <c r="CZ19896" s="256"/>
      <c r="DG19896" s="256"/>
    </row>
    <row r="19897" spans="104:111">
      <c r="CZ19897" s="256"/>
      <c r="DG19897" s="256"/>
    </row>
    <row r="19898" spans="104:111">
      <c r="CZ19898" s="256"/>
      <c r="DG19898" s="256"/>
    </row>
    <row r="19899" spans="104:111">
      <c r="CZ19899" s="256"/>
      <c r="DG19899" s="256"/>
    </row>
    <row r="19900" spans="104:111">
      <c r="CZ19900" s="256"/>
      <c r="DG19900" s="256"/>
    </row>
    <row r="19901" spans="104:111">
      <c r="CZ19901" s="256"/>
      <c r="DG19901" s="256"/>
    </row>
    <row r="19902" spans="104:111">
      <c r="CZ19902" s="256"/>
      <c r="DG19902" s="256"/>
    </row>
    <row r="19903" spans="104:111">
      <c r="CZ19903" s="256"/>
      <c r="DG19903" s="256"/>
    </row>
    <row r="19904" spans="104:111">
      <c r="CZ19904" s="256"/>
      <c r="DG19904" s="256"/>
    </row>
    <row r="19905" spans="104:111">
      <c r="CZ19905" s="256"/>
      <c r="DG19905" s="256"/>
    </row>
    <row r="19906" spans="104:111">
      <c r="CZ19906" s="256"/>
      <c r="DG19906" s="256"/>
    </row>
    <row r="19907" spans="104:111">
      <c r="CZ19907" s="256"/>
      <c r="DG19907" s="256"/>
    </row>
    <row r="19908" spans="104:111">
      <c r="CZ19908" s="256"/>
      <c r="DG19908" s="256"/>
    </row>
    <row r="19909" spans="104:111">
      <c r="CZ19909" s="256"/>
      <c r="DG19909" s="256"/>
    </row>
    <row r="19910" spans="104:111">
      <c r="CZ19910" s="256"/>
      <c r="DG19910" s="256"/>
    </row>
    <row r="19911" spans="104:111">
      <c r="CZ19911" s="256"/>
      <c r="DG19911" s="256"/>
    </row>
    <row r="19912" spans="104:111">
      <c r="CZ19912" s="256"/>
      <c r="DG19912" s="256"/>
    </row>
    <row r="19913" spans="104:111">
      <c r="CZ19913" s="256"/>
      <c r="DG19913" s="256"/>
    </row>
    <row r="19914" spans="104:111">
      <c r="CZ19914" s="256"/>
      <c r="DG19914" s="256"/>
    </row>
    <row r="19915" spans="104:111">
      <c r="CZ19915" s="256"/>
      <c r="DG19915" s="256"/>
    </row>
    <row r="19916" spans="104:111">
      <c r="CZ19916" s="256"/>
      <c r="DG19916" s="256"/>
    </row>
    <row r="19917" spans="104:111">
      <c r="CZ19917" s="256"/>
      <c r="DG19917" s="256"/>
    </row>
    <row r="19918" spans="104:111">
      <c r="CZ19918" s="256"/>
      <c r="DG19918" s="256"/>
    </row>
    <row r="19919" spans="104:111">
      <c r="CZ19919" s="256"/>
      <c r="DG19919" s="256"/>
    </row>
    <row r="19920" spans="104:111">
      <c r="CZ19920" s="256"/>
      <c r="DG19920" s="256"/>
    </row>
    <row r="19921" spans="104:111">
      <c r="CZ19921" s="256"/>
      <c r="DG19921" s="256"/>
    </row>
    <row r="19922" spans="104:111">
      <c r="CZ19922" s="256"/>
      <c r="DG19922" s="256"/>
    </row>
    <row r="19923" spans="104:111">
      <c r="CZ19923" s="256"/>
      <c r="DG19923" s="256"/>
    </row>
    <row r="19924" spans="104:111">
      <c r="CZ19924" s="256"/>
      <c r="DG19924" s="256"/>
    </row>
    <row r="19925" spans="104:111">
      <c r="CZ19925" s="256"/>
      <c r="DG19925" s="256"/>
    </row>
    <row r="19926" spans="104:111">
      <c r="CZ19926" s="256"/>
      <c r="DG19926" s="256"/>
    </row>
    <row r="19927" spans="104:111">
      <c r="CZ19927" s="256"/>
      <c r="DG19927" s="256"/>
    </row>
    <row r="19928" spans="104:111">
      <c r="CZ19928" s="256"/>
      <c r="DG19928" s="256"/>
    </row>
    <row r="19929" spans="104:111">
      <c r="CZ19929" s="256"/>
      <c r="DG19929" s="256"/>
    </row>
    <row r="19930" spans="104:111">
      <c r="CZ19930" s="256"/>
      <c r="DG19930" s="256"/>
    </row>
    <row r="19931" spans="104:111">
      <c r="CZ19931" s="256"/>
      <c r="DG19931" s="256"/>
    </row>
    <row r="19932" spans="104:111">
      <c r="CZ19932" s="256"/>
      <c r="DG19932" s="256"/>
    </row>
    <row r="19933" spans="104:111">
      <c r="CZ19933" s="256"/>
      <c r="DG19933" s="256"/>
    </row>
    <row r="19934" spans="104:111">
      <c r="CZ19934" s="256"/>
      <c r="DG19934" s="256"/>
    </row>
    <row r="19935" spans="104:111">
      <c r="CZ19935" s="256"/>
      <c r="DG19935" s="256"/>
    </row>
    <row r="19936" spans="104:111">
      <c r="CZ19936" s="256"/>
      <c r="DG19936" s="256"/>
    </row>
    <row r="19937" spans="104:111">
      <c r="CZ19937" s="256"/>
      <c r="DG19937" s="256"/>
    </row>
    <row r="19938" spans="104:111">
      <c r="CZ19938" s="256"/>
      <c r="DG19938" s="256"/>
    </row>
    <row r="19939" spans="104:111">
      <c r="CZ19939" s="256"/>
      <c r="DG19939" s="256"/>
    </row>
    <row r="19940" spans="104:111">
      <c r="CZ19940" s="256"/>
      <c r="DG19940" s="256"/>
    </row>
    <row r="19941" spans="104:111">
      <c r="CZ19941" s="256"/>
      <c r="DG19941" s="256"/>
    </row>
    <row r="19942" spans="104:111">
      <c r="CZ19942" s="256"/>
      <c r="DG19942" s="256"/>
    </row>
    <row r="19943" spans="104:111">
      <c r="CZ19943" s="256"/>
      <c r="DG19943" s="256"/>
    </row>
    <row r="19944" spans="104:111">
      <c r="CZ19944" s="256"/>
      <c r="DG19944" s="256"/>
    </row>
    <row r="19945" spans="104:111">
      <c r="CZ19945" s="256"/>
      <c r="DG19945" s="256"/>
    </row>
    <row r="19946" spans="104:111">
      <c r="CZ19946" s="256"/>
      <c r="DG19946" s="256"/>
    </row>
    <row r="19947" spans="104:111">
      <c r="CZ19947" s="256"/>
      <c r="DG19947" s="256"/>
    </row>
    <row r="19948" spans="104:111">
      <c r="CZ19948" s="256"/>
      <c r="DG19948" s="256"/>
    </row>
    <row r="19949" spans="104:111">
      <c r="CZ19949" s="256"/>
      <c r="DG19949" s="256"/>
    </row>
    <row r="19950" spans="104:111">
      <c r="CZ19950" s="256"/>
      <c r="DG19950" s="256"/>
    </row>
    <row r="19951" spans="104:111">
      <c r="CZ19951" s="256"/>
      <c r="DG19951" s="256"/>
    </row>
    <row r="19952" spans="104:111">
      <c r="CZ19952" s="256"/>
      <c r="DG19952" s="256"/>
    </row>
    <row r="19953" spans="104:111">
      <c r="CZ19953" s="256"/>
      <c r="DG19953" s="256"/>
    </row>
    <row r="19954" spans="104:111">
      <c r="CZ19954" s="256"/>
      <c r="DG19954" s="256"/>
    </row>
    <row r="19955" spans="104:111">
      <c r="CZ19955" s="256"/>
      <c r="DG19955" s="256"/>
    </row>
    <row r="19956" spans="104:111">
      <c r="CZ19956" s="256"/>
      <c r="DG19956" s="256"/>
    </row>
    <row r="19957" spans="104:111">
      <c r="CZ19957" s="256"/>
      <c r="DG19957" s="256"/>
    </row>
    <row r="19958" spans="104:111">
      <c r="CZ19958" s="256"/>
      <c r="DG19958" s="256"/>
    </row>
    <row r="19959" spans="104:111">
      <c r="CZ19959" s="256"/>
      <c r="DG19959" s="256"/>
    </row>
    <row r="19960" spans="104:111">
      <c r="CZ19960" s="256"/>
      <c r="DG19960" s="256"/>
    </row>
    <row r="19961" spans="104:111">
      <c r="CZ19961" s="256"/>
      <c r="DG19961" s="256"/>
    </row>
    <row r="19962" spans="104:111">
      <c r="CZ19962" s="256"/>
      <c r="DG19962" s="256"/>
    </row>
    <row r="19963" spans="104:111">
      <c r="CZ19963" s="256"/>
      <c r="DG19963" s="256"/>
    </row>
    <row r="19964" spans="104:111">
      <c r="CZ19964" s="256"/>
      <c r="DG19964" s="256"/>
    </row>
    <row r="19965" spans="104:111">
      <c r="CZ19965" s="256"/>
      <c r="DG19965" s="256"/>
    </row>
    <row r="19966" spans="104:111">
      <c r="CZ19966" s="256"/>
      <c r="DG19966" s="256"/>
    </row>
    <row r="19967" spans="104:111">
      <c r="CZ19967" s="256"/>
      <c r="DG19967" s="256"/>
    </row>
    <row r="19968" spans="104:111">
      <c r="CZ19968" s="256"/>
      <c r="DG19968" s="256"/>
    </row>
    <row r="19969" spans="104:111">
      <c r="CZ19969" s="256"/>
      <c r="DG19969" s="256"/>
    </row>
    <row r="19970" spans="104:111">
      <c r="CZ19970" s="256"/>
      <c r="DG19970" s="256"/>
    </row>
    <row r="19971" spans="104:111">
      <c r="CZ19971" s="256"/>
      <c r="DG19971" s="256"/>
    </row>
    <row r="19972" spans="104:111">
      <c r="CZ19972" s="256"/>
      <c r="DG19972" s="256"/>
    </row>
    <row r="19973" spans="104:111">
      <c r="CZ19973" s="256"/>
      <c r="DG19973" s="256"/>
    </row>
    <row r="19974" spans="104:111">
      <c r="CZ19974" s="256"/>
      <c r="DG19974" s="256"/>
    </row>
    <row r="19975" spans="104:111">
      <c r="CZ19975" s="256"/>
      <c r="DG19975" s="256"/>
    </row>
    <row r="19976" spans="104:111">
      <c r="CZ19976" s="256"/>
      <c r="DG19976" s="256"/>
    </row>
    <row r="19977" spans="104:111">
      <c r="CZ19977" s="256"/>
      <c r="DG19977" s="256"/>
    </row>
    <row r="19978" spans="104:111">
      <c r="CZ19978" s="256"/>
      <c r="DG19978" s="256"/>
    </row>
    <row r="19979" spans="104:111">
      <c r="CZ19979" s="256"/>
      <c r="DG19979" s="256"/>
    </row>
    <row r="19980" spans="104:111">
      <c r="CZ19980" s="256"/>
      <c r="DG19980" s="256"/>
    </row>
    <row r="19981" spans="104:111">
      <c r="CZ19981" s="256"/>
      <c r="DG19981" s="256"/>
    </row>
    <row r="19982" spans="104:111">
      <c r="CZ19982" s="256"/>
      <c r="DG19982" s="256"/>
    </row>
    <row r="19983" spans="104:111">
      <c r="CZ19983" s="256"/>
      <c r="DG19983" s="256"/>
    </row>
    <row r="19984" spans="104:111">
      <c r="CZ19984" s="256"/>
      <c r="DG19984" s="256"/>
    </row>
    <row r="19985" spans="104:111">
      <c r="CZ19985" s="256"/>
      <c r="DG19985" s="256"/>
    </row>
    <row r="19986" spans="104:111">
      <c r="CZ19986" s="256"/>
      <c r="DG19986" s="256"/>
    </row>
    <row r="19987" spans="104:111">
      <c r="CZ19987" s="256"/>
      <c r="DG19987" s="256"/>
    </row>
    <row r="19988" spans="104:111">
      <c r="CZ19988" s="256"/>
      <c r="DG19988" s="256"/>
    </row>
    <row r="19989" spans="104:111">
      <c r="CZ19989" s="256"/>
      <c r="DG19989" s="256"/>
    </row>
    <row r="19990" spans="104:111">
      <c r="CZ19990" s="256"/>
      <c r="DG19990" s="256"/>
    </row>
    <row r="19991" spans="104:111">
      <c r="CZ19991" s="256"/>
      <c r="DG19991" s="256"/>
    </row>
    <row r="19992" spans="104:111">
      <c r="CZ19992" s="256"/>
      <c r="DG19992" s="256"/>
    </row>
    <row r="19993" spans="104:111">
      <c r="CZ19993" s="256"/>
      <c r="DG19993" s="256"/>
    </row>
    <row r="19994" spans="104:111">
      <c r="CZ19994" s="256"/>
      <c r="DG19994" s="256"/>
    </row>
    <row r="19995" spans="104:111">
      <c r="CZ19995" s="256"/>
      <c r="DG19995" s="256"/>
    </row>
    <row r="19996" spans="104:111">
      <c r="CZ19996" s="256"/>
      <c r="DG19996" s="256"/>
    </row>
    <row r="19997" spans="104:111">
      <c r="CZ19997" s="256"/>
      <c r="DG19997" s="256"/>
    </row>
    <row r="19998" spans="104:111">
      <c r="CZ19998" s="256"/>
      <c r="DG19998" s="256"/>
    </row>
    <row r="19999" spans="104:111">
      <c r="CZ19999" s="256"/>
      <c r="DG19999" s="256"/>
    </row>
    <row r="20000" spans="104:111">
      <c r="CZ20000" s="256"/>
      <c r="DG20000" s="256"/>
    </row>
    <row r="20001" spans="104:111">
      <c r="CZ20001" s="256"/>
      <c r="DG20001" s="256"/>
    </row>
    <row r="20002" spans="104:111">
      <c r="CZ20002" s="256"/>
      <c r="DG20002" s="256"/>
    </row>
    <row r="20003" spans="104:111">
      <c r="CZ20003" s="256"/>
      <c r="DG20003" s="256"/>
    </row>
    <row r="20004" spans="104:111">
      <c r="CZ20004" s="256"/>
      <c r="DG20004" s="256"/>
    </row>
    <row r="20005" spans="104:111">
      <c r="CZ20005" s="256"/>
      <c r="DG20005" s="256"/>
    </row>
    <row r="20006" spans="104:111">
      <c r="CZ20006" s="256"/>
      <c r="DG20006" s="256"/>
    </row>
    <row r="20007" spans="104:111">
      <c r="CZ20007" s="256"/>
      <c r="DG20007" s="256"/>
    </row>
    <row r="20008" spans="104:111">
      <c r="CZ20008" s="256"/>
      <c r="DG20008" s="256"/>
    </row>
    <row r="20009" spans="104:111">
      <c r="CZ20009" s="256"/>
      <c r="DG20009" s="256"/>
    </row>
    <row r="20010" spans="104:111">
      <c r="CZ20010" s="256"/>
      <c r="DG20010" s="256"/>
    </row>
    <row r="20011" spans="104:111">
      <c r="CZ20011" s="256"/>
      <c r="DG20011" s="256"/>
    </row>
    <row r="20012" spans="104:111">
      <c r="CZ20012" s="256"/>
      <c r="DG20012" s="256"/>
    </row>
    <row r="20013" spans="104:111">
      <c r="CZ20013" s="256"/>
      <c r="DG20013" s="256"/>
    </row>
    <row r="20014" spans="104:111">
      <c r="CZ20014" s="256"/>
      <c r="DG20014" s="256"/>
    </row>
    <row r="20015" spans="104:111">
      <c r="CZ20015" s="256"/>
      <c r="DG20015" s="256"/>
    </row>
    <row r="20016" spans="104:111">
      <c r="CZ20016" s="256"/>
      <c r="DG20016" s="256"/>
    </row>
    <row r="20017" spans="104:111">
      <c r="CZ20017" s="256"/>
      <c r="DG20017" s="256"/>
    </row>
    <row r="20018" spans="104:111">
      <c r="CZ20018" s="256"/>
      <c r="DG20018" s="256"/>
    </row>
    <row r="20019" spans="104:111">
      <c r="CZ20019" s="256"/>
      <c r="DG20019" s="256"/>
    </row>
    <row r="20020" spans="104:111">
      <c r="CZ20020" s="256"/>
      <c r="DG20020" s="256"/>
    </row>
    <row r="20021" spans="104:111">
      <c r="CZ20021" s="256"/>
      <c r="DG20021" s="256"/>
    </row>
    <row r="20022" spans="104:111">
      <c r="CZ20022" s="256"/>
      <c r="DG20022" s="256"/>
    </row>
    <row r="20023" spans="104:111">
      <c r="CZ20023" s="256"/>
      <c r="DG20023" s="256"/>
    </row>
    <row r="20024" spans="104:111">
      <c r="CZ20024" s="256"/>
      <c r="DG20024" s="256"/>
    </row>
    <row r="20025" spans="104:111">
      <c r="CZ20025" s="256"/>
      <c r="DG20025" s="256"/>
    </row>
    <row r="20026" spans="104:111">
      <c r="CZ20026" s="256"/>
      <c r="DG20026" s="256"/>
    </row>
    <row r="20027" spans="104:111">
      <c r="CZ20027" s="256"/>
      <c r="DG20027" s="256"/>
    </row>
    <row r="20028" spans="104:111">
      <c r="CZ20028" s="256"/>
      <c r="DG20028" s="256"/>
    </row>
    <row r="20029" spans="104:111">
      <c r="CZ20029" s="256"/>
      <c r="DG20029" s="256"/>
    </row>
    <row r="20030" spans="104:111">
      <c r="CZ20030" s="256"/>
      <c r="DG20030" s="256"/>
    </row>
    <row r="20031" spans="104:111">
      <c r="CZ20031" s="256"/>
      <c r="DG20031" s="256"/>
    </row>
    <row r="20032" spans="104:111">
      <c r="CZ20032" s="256"/>
      <c r="DG20032" s="256"/>
    </row>
    <row r="20033" spans="104:111">
      <c r="CZ20033" s="256"/>
      <c r="DG20033" s="256"/>
    </row>
    <row r="20034" spans="104:111">
      <c r="CZ20034" s="256"/>
      <c r="DG20034" s="256"/>
    </row>
    <row r="20035" spans="104:111">
      <c r="CZ20035" s="256"/>
      <c r="DG20035" s="256"/>
    </row>
    <row r="20036" spans="104:111">
      <c r="CZ20036" s="256"/>
      <c r="DG20036" s="256"/>
    </row>
    <row r="20037" spans="104:111">
      <c r="CZ20037" s="256"/>
      <c r="DG20037" s="256"/>
    </row>
    <row r="20038" spans="104:111">
      <c r="CZ20038" s="256"/>
      <c r="DG20038" s="256"/>
    </row>
    <row r="20039" spans="104:111">
      <c r="CZ20039" s="256"/>
      <c r="DG20039" s="256"/>
    </row>
    <row r="20040" spans="104:111">
      <c r="CZ20040" s="256"/>
      <c r="DG20040" s="256"/>
    </row>
    <row r="20041" spans="104:111">
      <c r="CZ20041" s="256"/>
      <c r="DG20041" s="256"/>
    </row>
    <row r="20042" spans="104:111">
      <c r="CZ20042" s="256"/>
      <c r="DG20042" s="256"/>
    </row>
    <row r="20043" spans="104:111">
      <c r="CZ20043" s="256"/>
      <c r="DG20043" s="256"/>
    </row>
    <row r="20044" spans="104:111">
      <c r="CZ20044" s="256"/>
      <c r="DG20044" s="256"/>
    </row>
    <row r="20045" spans="104:111">
      <c r="CZ20045" s="256"/>
      <c r="DG20045" s="256"/>
    </row>
    <row r="20046" spans="104:111">
      <c r="CZ20046" s="256"/>
      <c r="DG20046" s="256"/>
    </row>
    <row r="20047" spans="104:111">
      <c r="CZ20047" s="256"/>
      <c r="DG20047" s="256"/>
    </row>
    <row r="20048" spans="104:111">
      <c r="CZ20048" s="256"/>
      <c r="DG20048" s="256"/>
    </row>
    <row r="20049" spans="104:111">
      <c r="CZ20049" s="256"/>
      <c r="DG20049" s="256"/>
    </row>
    <row r="20050" spans="104:111">
      <c r="CZ20050" s="256"/>
      <c r="DG20050" s="256"/>
    </row>
    <row r="20051" spans="104:111">
      <c r="CZ20051" s="256"/>
      <c r="DG20051" s="256"/>
    </row>
    <row r="20052" spans="104:111">
      <c r="CZ20052" s="256"/>
      <c r="DG20052" s="256"/>
    </row>
    <row r="20053" spans="104:111">
      <c r="CZ20053" s="256"/>
      <c r="DG20053" s="256"/>
    </row>
    <row r="20054" spans="104:111">
      <c r="CZ20054" s="256"/>
      <c r="DG20054" s="256"/>
    </row>
    <row r="20055" spans="104:111">
      <c r="CZ20055" s="256"/>
      <c r="DG20055" s="256"/>
    </row>
    <row r="20056" spans="104:111">
      <c r="CZ20056" s="256"/>
      <c r="DG20056" s="256"/>
    </row>
    <row r="20057" spans="104:111">
      <c r="CZ20057" s="256"/>
      <c r="DG20057" s="256"/>
    </row>
    <row r="20058" spans="104:111">
      <c r="CZ20058" s="256"/>
      <c r="DG20058" s="256"/>
    </row>
    <row r="20059" spans="104:111">
      <c r="CZ20059" s="256"/>
      <c r="DG20059" s="256"/>
    </row>
    <row r="20060" spans="104:111">
      <c r="CZ20060" s="256"/>
      <c r="DG20060" s="256"/>
    </row>
    <row r="20061" spans="104:111">
      <c r="CZ20061" s="256"/>
      <c r="DG20061" s="256"/>
    </row>
    <row r="20062" spans="104:111">
      <c r="CZ20062" s="256"/>
      <c r="DG20062" s="256"/>
    </row>
    <row r="20063" spans="104:111">
      <c r="CZ20063" s="256"/>
      <c r="DG20063" s="256"/>
    </row>
    <row r="20064" spans="104:111">
      <c r="CZ20064" s="256"/>
      <c r="DG20064" s="256"/>
    </row>
    <row r="20065" spans="104:111">
      <c r="CZ20065" s="256"/>
      <c r="DG20065" s="256"/>
    </row>
    <row r="20066" spans="104:111">
      <c r="CZ20066" s="256"/>
      <c r="DG20066" s="256"/>
    </row>
    <row r="20067" spans="104:111">
      <c r="CZ20067" s="256"/>
      <c r="DG20067" s="256"/>
    </row>
    <row r="20068" spans="104:111">
      <c r="CZ20068" s="256"/>
      <c r="DG20068" s="256"/>
    </row>
    <row r="20069" spans="104:111">
      <c r="CZ20069" s="256"/>
      <c r="DG20069" s="256"/>
    </row>
    <row r="20070" spans="104:111">
      <c r="CZ20070" s="256"/>
      <c r="DG20070" s="256"/>
    </row>
    <row r="20071" spans="104:111">
      <c r="CZ20071" s="256"/>
      <c r="DG20071" s="256"/>
    </row>
    <row r="20072" spans="104:111">
      <c r="CZ20072" s="256"/>
      <c r="DG20072" s="256"/>
    </row>
    <row r="20073" spans="104:111">
      <c r="CZ20073" s="256"/>
      <c r="DG20073" s="256"/>
    </row>
    <row r="20074" spans="104:111">
      <c r="CZ20074" s="256"/>
      <c r="DG20074" s="256"/>
    </row>
    <row r="20075" spans="104:111">
      <c r="CZ20075" s="256"/>
      <c r="DG20075" s="256"/>
    </row>
    <row r="20076" spans="104:111">
      <c r="CZ20076" s="256"/>
      <c r="DG20076" s="256"/>
    </row>
    <row r="20077" spans="104:111">
      <c r="CZ20077" s="256"/>
      <c r="DG20077" s="256"/>
    </row>
    <row r="20078" spans="104:111">
      <c r="CZ20078" s="256"/>
      <c r="DG20078" s="256"/>
    </row>
    <row r="20079" spans="104:111">
      <c r="CZ20079" s="256"/>
      <c r="DG20079" s="256"/>
    </row>
    <row r="20080" spans="104:111">
      <c r="CZ20080" s="256"/>
      <c r="DG20080" s="256"/>
    </row>
    <row r="20081" spans="104:111">
      <c r="CZ20081" s="256"/>
      <c r="DG20081" s="256"/>
    </row>
    <row r="20082" spans="104:111">
      <c r="CZ20082" s="256"/>
      <c r="DG20082" s="256"/>
    </row>
    <row r="20083" spans="104:111">
      <c r="CZ20083" s="256"/>
      <c r="DG20083" s="256"/>
    </row>
    <row r="20084" spans="104:111">
      <c r="CZ20084" s="256"/>
      <c r="DG20084" s="256"/>
    </row>
    <row r="20085" spans="104:111">
      <c r="CZ20085" s="256"/>
      <c r="DG20085" s="256"/>
    </row>
    <row r="20086" spans="104:111">
      <c r="CZ20086" s="256"/>
      <c r="DG20086" s="256"/>
    </row>
    <row r="20087" spans="104:111">
      <c r="CZ20087" s="256"/>
      <c r="DG20087" s="256"/>
    </row>
    <row r="20088" spans="104:111">
      <c r="CZ20088" s="256"/>
      <c r="DG20088" s="256"/>
    </row>
    <row r="20089" spans="104:111">
      <c r="CZ20089" s="256"/>
      <c r="DG20089" s="256"/>
    </row>
    <row r="20090" spans="104:111">
      <c r="CZ20090" s="256"/>
      <c r="DG20090" s="256"/>
    </row>
    <row r="20091" spans="104:111">
      <c r="CZ20091" s="256"/>
      <c r="DG20091" s="256"/>
    </row>
    <row r="20092" spans="104:111">
      <c r="CZ20092" s="256"/>
      <c r="DG20092" s="256"/>
    </row>
    <row r="20093" spans="104:111">
      <c r="CZ20093" s="256"/>
      <c r="DG20093" s="256"/>
    </row>
    <row r="20094" spans="104:111">
      <c r="CZ20094" s="256"/>
      <c r="DG20094" s="256"/>
    </row>
    <row r="20095" spans="104:111">
      <c r="CZ20095" s="256"/>
      <c r="DG20095" s="256"/>
    </row>
    <row r="20096" spans="104:111">
      <c r="CZ20096" s="256"/>
      <c r="DG20096" s="256"/>
    </row>
    <row r="20097" spans="104:111">
      <c r="CZ20097" s="256"/>
      <c r="DG20097" s="256"/>
    </row>
    <row r="20098" spans="104:111">
      <c r="CZ20098" s="256"/>
      <c r="DG20098" s="256"/>
    </row>
    <row r="20099" spans="104:111">
      <c r="CZ20099" s="256"/>
      <c r="DG20099" s="256"/>
    </row>
    <row r="20100" spans="104:111">
      <c r="CZ20100" s="256"/>
      <c r="DG20100" s="256"/>
    </row>
    <row r="20101" spans="104:111">
      <c r="CZ20101" s="256"/>
      <c r="DG20101" s="256"/>
    </row>
    <row r="20102" spans="104:111">
      <c r="CZ20102" s="256"/>
      <c r="DG20102" s="256"/>
    </row>
    <row r="20103" spans="104:111">
      <c r="CZ20103" s="256"/>
      <c r="DG20103" s="256"/>
    </row>
    <row r="20104" spans="104:111">
      <c r="CZ20104" s="256"/>
      <c r="DG20104" s="256"/>
    </row>
    <row r="20105" spans="104:111">
      <c r="CZ20105" s="256"/>
      <c r="DG20105" s="256"/>
    </row>
    <row r="20106" spans="104:111">
      <c r="CZ20106" s="256"/>
      <c r="DG20106" s="256"/>
    </row>
    <row r="20107" spans="104:111">
      <c r="CZ20107" s="256"/>
      <c r="DG20107" s="256"/>
    </row>
    <row r="20108" spans="104:111">
      <c r="CZ20108" s="256"/>
      <c r="DG20108" s="256"/>
    </row>
    <row r="20109" spans="104:111">
      <c r="CZ20109" s="256"/>
      <c r="DG20109" s="256"/>
    </row>
    <row r="20110" spans="104:111">
      <c r="CZ20110" s="256"/>
      <c r="DG20110" s="256"/>
    </row>
    <row r="20111" spans="104:111">
      <c r="CZ20111" s="256"/>
      <c r="DG20111" s="256"/>
    </row>
    <row r="20112" spans="104:111">
      <c r="CZ20112" s="256"/>
      <c r="DG20112" s="256"/>
    </row>
    <row r="20113" spans="104:111">
      <c r="CZ20113" s="256"/>
      <c r="DG20113" s="256"/>
    </row>
    <row r="20114" spans="104:111">
      <c r="CZ20114" s="256"/>
      <c r="DG20114" s="256"/>
    </row>
    <row r="20115" spans="104:111">
      <c r="CZ20115" s="256"/>
      <c r="DG20115" s="256"/>
    </row>
    <row r="20116" spans="104:111">
      <c r="CZ20116" s="256"/>
      <c r="DG20116" s="256"/>
    </row>
    <row r="20117" spans="104:111">
      <c r="CZ20117" s="256"/>
      <c r="DG20117" s="256"/>
    </row>
    <row r="20118" spans="104:111">
      <c r="CZ20118" s="256"/>
      <c r="DG20118" s="256"/>
    </row>
    <row r="20119" spans="104:111">
      <c r="CZ20119" s="256"/>
      <c r="DG20119" s="256"/>
    </row>
    <row r="20120" spans="104:111">
      <c r="CZ20120" s="256"/>
      <c r="DG20120" s="256"/>
    </row>
    <row r="20121" spans="104:111">
      <c r="CZ20121" s="256"/>
      <c r="DG20121" s="256"/>
    </row>
    <row r="20122" spans="104:111">
      <c r="CZ20122" s="256"/>
      <c r="DG20122" s="256"/>
    </row>
    <row r="20123" spans="104:111">
      <c r="CZ20123" s="256"/>
      <c r="DG20123" s="256"/>
    </row>
    <row r="20124" spans="104:111">
      <c r="CZ20124" s="256"/>
      <c r="DG20124" s="256"/>
    </row>
    <row r="20125" spans="104:111">
      <c r="CZ20125" s="256"/>
      <c r="DG20125" s="256"/>
    </row>
    <row r="20126" spans="104:111">
      <c r="CZ20126" s="256"/>
      <c r="DG20126" s="256"/>
    </row>
    <row r="20127" spans="104:111">
      <c r="CZ20127" s="256"/>
      <c r="DG20127" s="256"/>
    </row>
    <row r="20128" spans="104:111">
      <c r="CZ20128" s="256"/>
      <c r="DG20128" s="256"/>
    </row>
    <row r="20129" spans="104:111">
      <c r="CZ20129" s="256"/>
      <c r="DG20129" s="256"/>
    </row>
    <row r="20130" spans="104:111">
      <c r="CZ20130" s="256"/>
      <c r="DG20130" s="256"/>
    </row>
    <row r="20131" spans="104:111">
      <c r="CZ20131" s="256"/>
      <c r="DG20131" s="256"/>
    </row>
    <row r="20132" spans="104:111">
      <c r="CZ20132" s="256"/>
      <c r="DG20132" s="256"/>
    </row>
    <row r="20133" spans="104:111">
      <c r="CZ20133" s="256"/>
      <c r="DG20133" s="256"/>
    </row>
    <row r="20134" spans="104:111">
      <c r="CZ20134" s="256"/>
      <c r="DG20134" s="256"/>
    </row>
    <row r="20135" spans="104:111">
      <c r="CZ20135" s="256"/>
      <c r="DG20135" s="256"/>
    </row>
    <row r="20136" spans="104:111">
      <c r="CZ20136" s="256"/>
      <c r="DG20136" s="256"/>
    </row>
    <row r="20137" spans="104:111">
      <c r="CZ20137" s="256"/>
      <c r="DG20137" s="256"/>
    </row>
    <row r="20138" spans="104:111">
      <c r="CZ20138" s="256"/>
      <c r="DG20138" s="256"/>
    </row>
    <row r="20139" spans="104:111">
      <c r="CZ20139" s="256"/>
      <c r="DG20139" s="256"/>
    </row>
    <row r="20140" spans="104:111">
      <c r="CZ20140" s="256"/>
      <c r="DG20140" s="256"/>
    </row>
    <row r="20141" spans="104:111">
      <c r="CZ20141" s="256"/>
      <c r="DG20141" s="256"/>
    </row>
    <row r="20142" spans="104:111">
      <c r="CZ20142" s="256"/>
      <c r="DG20142" s="256"/>
    </row>
    <row r="20143" spans="104:111">
      <c r="CZ20143" s="256"/>
      <c r="DG20143" s="256"/>
    </row>
    <row r="20144" spans="104:111">
      <c r="CZ20144" s="256"/>
      <c r="DG20144" s="256"/>
    </row>
    <row r="20145" spans="104:111">
      <c r="CZ20145" s="256"/>
      <c r="DG20145" s="256"/>
    </row>
    <row r="20146" spans="104:111">
      <c r="CZ20146" s="256"/>
      <c r="DG20146" s="256"/>
    </row>
    <row r="20147" spans="104:111">
      <c r="CZ20147" s="256"/>
      <c r="DG20147" s="256"/>
    </row>
    <row r="20148" spans="104:111">
      <c r="CZ20148" s="256"/>
      <c r="DG20148" s="256"/>
    </row>
    <row r="20149" spans="104:111">
      <c r="CZ20149" s="256"/>
      <c r="DG20149" s="256"/>
    </row>
    <row r="20150" spans="104:111">
      <c r="CZ20150" s="256"/>
      <c r="DG20150" s="256"/>
    </row>
    <row r="20151" spans="104:111">
      <c r="CZ20151" s="256"/>
      <c r="DG20151" s="256"/>
    </row>
    <row r="20152" spans="104:111">
      <c r="CZ20152" s="256"/>
      <c r="DG20152" s="256"/>
    </row>
    <row r="20153" spans="104:111">
      <c r="CZ20153" s="256"/>
      <c r="DG20153" s="256"/>
    </row>
    <row r="20154" spans="104:111">
      <c r="CZ20154" s="256"/>
      <c r="DG20154" s="256"/>
    </row>
    <row r="20155" spans="104:111">
      <c r="CZ20155" s="256"/>
      <c r="DG20155" s="256"/>
    </row>
    <row r="20156" spans="104:111">
      <c r="CZ20156" s="256"/>
      <c r="DG20156" s="256"/>
    </row>
    <row r="20157" spans="104:111">
      <c r="CZ20157" s="256"/>
      <c r="DG20157" s="256"/>
    </row>
    <row r="20158" spans="104:111">
      <c r="CZ20158" s="256"/>
      <c r="DG20158" s="256"/>
    </row>
    <row r="20159" spans="104:111">
      <c r="CZ20159" s="256"/>
      <c r="DG20159" s="256"/>
    </row>
    <row r="20160" spans="104:111">
      <c r="CZ20160" s="256"/>
      <c r="DG20160" s="256"/>
    </row>
    <row r="20161" spans="104:111">
      <c r="CZ20161" s="256"/>
      <c r="DG20161" s="256"/>
    </row>
    <row r="20162" spans="104:111">
      <c r="CZ20162" s="256"/>
      <c r="DG20162" s="256"/>
    </row>
    <row r="20163" spans="104:111">
      <c r="CZ20163" s="256"/>
      <c r="DG20163" s="256"/>
    </row>
    <row r="20164" spans="104:111">
      <c r="CZ20164" s="256"/>
      <c r="DG20164" s="256"/>
    </row>
    <row r="20165" spans="104:111">
      <c r="CZ20165" s="256"/>
      <c r="DG20165" s="256"/>
    </row>
    <row r="20166" spans="104:111">
      <c r="CZ20166" s="256"/>
      <c r="DG20166" s="256"/>
    </row>
    <row r="20167" spans="104:111">
      <c r="CZ20167" s="256"/>
      <c r="DG20167" s="256"/>
    </row>
    <row r="20168" spans="104:111">
      <c r="CZ20168" s="256"/>
      <c r="DG20168" s="256"/>
    </row>
    <row r="20169" spans="104:111">
      <c r="CZ20169" s="256"/>
      <c r="DG20169" s="256"/>
    </row>
    <row r="20170" spans="104:111">
      <c r="CZ20170" s="256"/>
      <c r="DG20170" s="256"/>
    </row>
    <row r="20171" spans="104:111">
      <c r="CZ20171" s="256"/>
      <c r="DG20171" s="256"/>
    </row>
    <row r="20172" spans="104:111">
      <c r="CZ20172" s="256"/>
      <c r="DG20172" s="256"/>
    </row>
    <row r="20173" spans="104:111">
      <c r="CZ20173" s="256"/>
      <c r="DG20173" s="256"/>
    </row>
    <row r="20174" spans="104:111">
      <c r="CZ20174" s="256"/>
      <c r="DG20174" s="256"/>
    </row>
    <row r="20175" spans="104:111">
      <c r="CZ20175" s="256"/>
      <c r="DG20175" s="256"/>
    </row>
    <row r="20176" spans="104:111">
      <c r="CZ20176" s="256"/>
      <c r="DG20176" s="256"/>
    </row>
    <row r="20177" spans="104:111">
      <c r="CZ20177" s="256"/>
      <c r="DG20177" s="256"/>
    </row>
    <row r="20178" spans="104:111">
      <c r="CZ20178" s="256"/>
      <c r="DG20178" s="256"/>
    </row>
    <row r="20179" spans="104:111">
      <c r="CZ20179" s="256"/>
      <c r="DG20179" s="256"/>
    </row>
    <row r="20180" spans="104:111">
      <c r="CZ20180" s="256"/>
      <c r="DG20180" s="256"/>
    </row>
    <row r="20181" spans="104:111">
      <c r="CZ20181" s="256"/>
      <c r="DG20181" s="256"/>
    </row>
    <row r="20182" spans="104:111">
      <c r="CZ20182" s="256"/>
      <c r="DG20182" s="256"/>
    </row>
    <row r="20183" spans="104:111">
      <c r="CZ20183" s="256"/>
      <c r="DG20183" s="256"/>
    </row>
    <row r="20184" spans="104:111">
      <c r="CZ20184" s="256"/>
      <c r="DG20184" s="256"/>
    </row>
    <row r="20185" spans="104:111">
      <c r="CZ20185" s="256"/>
      <c r="DG20185" s="256"/>
    </row>
    <row r="20186" spans="104:111">
      <c r="CZ20186" s="256"/>
      <c r="DG20186" s="256"/>
    </row>
    <row r="20187" spans="104:111">
      <c r="CZ20187" s="256"/>
      <c r="DG20187" s="256"/>
    </row>
    <row r="20188" spans="104:111">
      <c r="CZ20188" s="256"/>
      <c r="DG20188" s="256"/>
    </row>
    <row r="20189" spans="104:111">
      <c r="CZ20189" s="256"/>
      <c r="DG20189" s="256"/>
    </row>
    <row r="20190" spans="104:111">
      <c r="CZ20190" s="256"/>
      <c r="DG20190" s="256"/>
    </row>
    <row r="20191" spans="104:111">
      <c r="CZ20191" s="256"/>
      <c r="DG20191" s="256"/>
    </row>
    <row r="20192" spans="104:111">
      <c r="CZ20192" s="256"/>
      <c r="DG20192" s="256"/>
    </row>
    <row r="20193" spans="104:111">
      <c r="CZ20193" s="256"/>
      <c r="DG20193" s="256"/>
    </row>
    <row r="20194" spans="104:111">
      <c r="CZ20194" s="256"/>
      <c r="DG20194" s="256"/>
    </row>
    <row r="20195" spans="104:111">
      <c r="CZ20195" s="256"/>
      <c r="DG20195" s="256"/>
    </row>
    <row r="20196" spans="104:111">
      <c r="CZ20196" s="256"/>
      <c r="DG20196" s="256"/>
    </row>
    <row r="20197" spans="104:111">
      <c r="CZ20197" s="256"/>
      <c r="DG20197" s="256"/>
    </row>
    <row r="20198" spans="104:111">
      <c r="CZ20198" s="256"/>
      <c r="DG20198" s="256"/>
    </row>
    <row r="20199" spans="104:111">
      <c r="CZ20199" s="256"/>
      <c r="DG20199" s="256"/>
    </row>
    <row r="20200" spans="104:111">
      <c r="CZ20200" s="256"/>
      <c r="DG20200" s="256"/>
    </row>
    <row r="20201" spans="104:111">
      <c r="CZ20201" s="256"/>
      <c r="DG20201" s="256"/>
    </row>
    <row r="20202" spans="104:111">
      <c r="CZ20202" s="256"/>
      <c r="DG20202" s="256"/>
    </row>
    <row r="20203" spans="104:111">
      <c r="CZ20203" s="256"/>
      <c r="DG20203" s="256"/>
    </row>
    <row r="20204" spans="104:111">
      <c r="CZ20204" s="256"/>
      <c r="DG20204" s="256"/>
    </row>
    <row r="20205" spans="104:111">
      <c r="CZ20205" s="256"/>
      <c r="DG20205" s="256"/>
    </row>
    <row r="20206" spans="104:111">
      <c r="CZ20206" s="256"/>
      <c r="DG20206" s="256"/>
    </row>
    <row r="20207" spans="104:111">
      <c r="CZ20207" s="256"/>
      <c r="DG20207" s="256"/>
    </row>
    <row r="20208" spans="104:111">
      <c r="CZ20208" s="256"/>
      <c r="DG20208" s="256"/>
    </row>
    <row r="20209" spans="104:111">
      <c r="CZ20209" s="256"/>
      <c r="DG20209" s="256"/>
    </row>
    <row r="20210" spans="104:111">
      <c r="CZ20210" s="256"/>
      <c r="DG20210" s="256"/>
    </row>
    <row r="20211" spans="104:111">
      <c r="CZ20211" s="256"/>
      <c r="DG20211" s="256"/>
    </row>
    <row r="20212" spans="104:111">
      <c r="CZ20212" s="256"/>
      <c r="DG20212" s="256"/>
    </row>
    <row r="20213" spans="104:111">
      <c r="CZ20213" s="256"/>
      <c r="DG20213" s="256"/>
    </row>
    <row r="20214" spans="104:111">
      <c r="CZ20214" s="256"/>
      <c r="DG20214" s="256"/>
    </row>
    <row r="20215" spans="104:111">
      <c r="CZ20215" s="256"/>
      <c r="DG20215" s="256"/>
    </row>
    <row r="20216" spans="104:111">
      <c r="CZ20216" s="256"/>
      <c r="DG20216" s="256"/>
    </row>
    <row r="20217" spans="104:111">
      <c r="CZ20217" s="256"/>
      <c r="DG20217" s="256"/>
    </row>
    <row r="20218" spans="104:111">
      <c r="CZ20218" s="256"/>
      <c r="DG20218" s="256"/>
    </row>
    <row r="20219" spans="104:111">
      <c r="CZ20219" s="256"/>
      <c r="DG20219" s="256"/>
    </row>
    <row r="20220" spans="104:111">
      <c r="CZ20220" s="256"/>
      <c r="DG20220" s="256"/>
    </row>
    <row r="20221" spans="104:111">
      <c r="CZ20221" s="256"/>
      <c r="DG20221" s="256"/>
    </row>
    <row r="20222" spans="104:111">
      <c r="CZ20222" s="256"/>
      <c r="DG20222" s="256"/>
    </row>
    <row r="20223" spans="104:111">
      <c r="CZ20223" s="256"/>
      <c r="DG20223" s="256"/>
    </row>
    <row r="20224" spans="104:111">
      <c r="CZ20224" s="256"/>
      <c r="DG20224" s="256"/>
    </row>
    <row r="20225" spans="104:111">
      <c r="CZ20225" s="256"/>
      <c r="DG20225" s="256"/>
    </row>
    <row r="20226" spans="104:111">
      <c r="CZ20226" s="256"/>
      <c r="DG20226" s="256"/>
    </row>
    <row r="20227" spans="104:111">
      <c r="CZ20227" s="256"/>
      <c r="DG20227" s="256"/>
    </row>
    <row r="20228" spans="104:111">
      <c r="CZ20228" s="256"/>
      <c r="DG20228" s="256"/>
    </row>
    <row r="20229" spans="104:111">
      <c r="CZ20229" s="256"/>
      <c r="DG20229" s="256"/>
    </row>
    <row r="20230" spans="104:111">
      <c r="CZ20230" s="256"/>
      <c r="DG20230" s="256"/>
    </row>
    <row r="20231" spans="104:111">
      <c r="CZ20231" s="256"/>
      <c r="DG20231" s="256"/>
    </row>
    <row r="20232" spans="104:111">
      <c r="CZ20232" s="256"/>
      <c r="DG20232" s="256"/>
    </row>
    <row r="20233" spans="104:111">
      <c r="CZ20233" s="256"/>
      <c r="DG20233" s="256"/>
    </row>
    <row r="20234" spans="104:111">
      <c r="CZ20234" s="256"/>
      <c r="DG20234" s="256"/>
    </row>
    <row r="20235" spans="104:111">
      <c r="CZ20235" s="256"/>
      <c r="DG20235" s="256"/>
    </row>
    <row r="20236" spans="104:111">
      <c r="CZ20236" s="256"/>
      <c r="DG20236" s="256"/>
    </row>
    <row r="20237" spans="104:111">
      <c r="CZ20237" s="256"/>
      <c r="DG20237" s="256"/>
    </row>
    <row r="20238" spans="104:111">
      <c r="CZ20238" s="256"/>
      <c r="DG20238" s="256"/>
    </row>
    <row r="20239" spans="104:111">
      <c r="CZ20239" s="256"/>
      <c r="DG20239" s="256"/>
    </row>
    <row r="20240" spans="104:111">
      <c r="CZ20240" s="256"/>
      <c r="DG20240" s="256"/>
    </row>
    <row r="20241" spans="104:111">
      <c r="CZ20241" s="256"/>
      <c r="DG20241" s="256"/>
    </row>
    <row r="20242" spans="104:111">
      <c r="CZ20242" s="256"/>
      <c r="DG20242" s="256"/>
    </row>
    <row r="20243" spans="104:111">
      <c r="CZ20243" s="256"/>
      <c r="DG20243" s="256"/>
    </row>
    <row r="20244" spans="104:111">
      <c r="CZ20244" s="256"/>
      <c r="DG20244" s="256"/>
    </row>
    <row r="20245" spans="104:111">
      <c r="CZ20245" s="256"/>
      <c r="DG20245" s="256"/>
    </row>
    <row r="20246" spans="104:111">
      <c r="CZ20246" s="256"/>
      <c r="DG20246" s="256"/>
    </row>
    <row r="20247" spans="104:111">
      <c r="CZ20247" s="256"/>
      <c r="DG20247" s="256"/>
    </row>
    <row r="20248" spans="104:111">
      <c r="CZ20248" s="256"/>
      <c r="DG20248" s="256"/>
    </row>
    <row r="20249" spans="104:111">
      <c r="CZ20249" s="256"/>
      <c r="DG20249" s="256"/>
    </row>
    <row r="20250" spans="104:111">
      <c r="CZ20250" s="256"/>
      <c r="DG20250" s="256"/>
    </row>
    <row r="20251" spans="104:111">
      <c r="CZ20251" s="256"/>
      <c r="DG20251" s="256"/>
    </row>
    <row r="20252" spans="104:111">
      <c r="CZ20252" s="256"/>
      <c r="DG20252" s="256"/>
    </row>
    <row r="20253" spans="104:111">
      <c r="CZ20253" s="256"/>
      <c r="DG20253" s="256"/>
    </row>
    <row r="20254" spans="104:111">
      <c r="CZ20254" s="256"/>
      <c r="DG20254" s="256"/>
    </row>
    <row r="20255" spans="104:111">
      <c r="CZ20255" s="256"/>
      <c r="DG20255" s="256"/>
    </row>
    <row r="20256" spans="104:111">
      <c r="CZ20256" s="256"/>
      <c r="DG20256" s="256"/>
    </row>
    <row r="20257" spans="104:111">
      <c r="CZ20257" s="256"/>
      <c r="DG20257" s="256"/>
    </row>
    <row r="20258" spans="104:111">
      <c r="CZ20258" s="256"/>
      <c r="DG20258" s="256"/>
    </row>
    <row r="20259" spans="104:111">
      <c r="CZ20259" s="256"/>
      <c r="DG20259" s="256"/>
    </row>
    <row r="20260" spans="104:111">
      <c r="CZ20260" s="256"/>
      <c r="DG20260" s="256"/>
    </row>
    <row r="20261" spans="104:111">
      <c r="CZ20261" s="256"/>
      <c r="DG20261" s="256"/>
    </row>
    <row r="20262" spans="104:111">
      <c r="CZ20262" s="256"/>
      <c r="DG20262" s="256"/>
    </row>
    <row r="20263" spans="104:111">
      <c r="CZ20263" s="256"/>
      <c r="DG20263" s="256"/>
    </row>
    <row r="20264" spans="104:111">
      <c r="CZ20264" s="256"/>
      <c r="DG20264" s="256"/>
    </row>
    <row r="20265" spans="104:111">
      <c r="CZ20265" s="256"/>
      <c r="DG20265" s="256"/>
    </row>
    <row r="20266" spans="104:111">
      <c r="CZ20266" s="256"/>
      <c r="DG20266" s="256"/>
    </row>
    <row r="20267" spans="104:111">
      <c r="CZ20267" s="256"/>
      <c r="DG20267" s="256"/>
    </row>
    <row r="20268" spans="104:111">
      <c r="CZ20268" s="256"/>
      <c r="DG20268" s="256"/>
    </row>
    <row r="20269" spans="104:111">
      <c r="CZ20269" s="256"/>
      <c r="DG20269" s="256"/>
    </row>
    <row r="20270" spans="104:111">
      <c r="CZ20270" s="256"/>
      <c r="DG20270" s="256"/>
    </row>
    <row r="20271" spans="104:111">
      <c r="CZ20271" s="256"/>
      <c r="DG20271" s="256"/>
    </row>
    <row r="20272" spans="104:111">
      <c r="CZ20272" s="256"/>
      <c r="DG20272" s="256"/>
    </row>
    <row r="20273" spans="104:111">
      <c r="CZ20273" s="256"/>
      <c r="DG20273" s="256"/>
    </row>
    <row r="20274" spans="104:111">
      <c r="CZ20274" s="256"/>
      <c r="DG20274" s="256"/>
    </row>
    <row r="20275" spans="104:111">
      <c r="CZ20275" s="256"/>
      <c r="DG20275" s="256"/>
    </row>
    <row r="20276" spans="104:111">
      <c r="CZ20276" s="256"/>
      <c r="DG20276" s="256"/>
    </row>
    <row r="20277" spans="104:111">
      <c r="CZ20277" s="256"/>
      <c r="DG20277" s="256"/>
    </row>
    <row r="20278" spans="104:111">
      <c r="CZ20278" s="256"/>
      <c r="DG20278" s="256"/>
    </row>
    <row r="20279" spans="104:111">
      <c r="CZ20279" s="256"/>
      <c r="DG20279" s="256"/>
    </row>
    <row r="20280" spans="104:111">
      <c r="CZ20280" s="256"/>
      <c r="DG20280" s="256"/>
    </row>
    <row r="20281" spans="104:111">
      <c r="CZ20281" s="256"/>
      <c r="DG20281" s="256"/>
    </row>
    <row r="20282" spans="104:111">
      <c r="CZ20282" s="256"/>
      <c r="DG20282" s="256"/>
    </row>
    <row r="20283" spans="104:111">
      <c r="CZ20283" s="256"/>
      <c r="DG20283" s="256"/>
    </row>
    <row r="20284" spans="104:111">
      <c r="CZ20284" s="256"/>
      <c r="DG20284" s="256"/>
    </row>
    <row r="20285" spans="104:111">
      <c r="CZ20285" s="256"/>
      <c r="DG20285" s="256"/>
    </row>
    <row r="20286" spans="104:111">
      <c r="CZ20286" s="256"/>
      <c r="DG20286" s="256"/>
    </row>
    <row r="20287" spans="104:111">
      <c r="CZ20287" s="256"/>
      <c r="DG20287" s="256"/>
    </row>
    <row r="20288" spans="104:111">
      <c r="CZ20288" s="256"/>
      <c r="DG20288" s="256"/>
    </row>
    <row r="20289" spans="104:111">
      <c r="CZ20289" s="256"/>
      <c r="DG20289" s="256"/>
    </row>
    <row r="20290" spans="104:111">
      <c r="CZ20290" s="256"/>
      <c r="DG20290" s="256"/>
    </row>
    <row r="20291" spans="104:111">
      <c r="CZ20291" s="256"/>
      <c r="DG20291" s="256"/>
    </row>
    <row r="20292" spans="104:111">
      <c r="CZ20292" s="256"/>
      <c r="DG20292" s="256"/>
    </row>
    <row r="20293" spans="104:111">
      <c r="CZ20293" s="256"/>
      <c r="DG20293" s="256"/>
    </row>
    <row r="20294" spans="104:111">
      <c r="CZ20294" s="256"/>
      <c r="DG20294" s="256"/>
    </row>
    <row r="20295" spans="104:111">
      <c r="CZ20295" s="256"/>
      <c r="DG20295" s="256"/>
    </row>
    <row r="20296" spans="104:111">
      <c r="CZ20296" s="256"/>
      <c r="DG20296" s="256"/>
    </row>
    <row r="20297" spans="104:111">
      <c r="CZ20297" s="256"/>
      <c r="DG20297" s="256"/>
    </row>
    <row r="20298" spans="104:111">
      <c r="CZ20298" s="256"/>
      <c r="DG20298" s="256"/>
    </row>
    <row r="20299" spans="104:111">
      <c r="CZ20299" s="256"/>
      <c r="DG20299" s="256"/>
    </row>
    <row r="20300" spans="104:111">
      <c r="CZ20300" s="256"/>
      <c r="DG20300" s="256"/>
    </row>
    <row r="20301" spans="104:111">
      <c r="CZ20301" s="256"/>
      <c r="DG20301" s="256"/>
    </row>
    <row r="20302" spans="104:111">
      <c r="CZ20302" s="256"/>
      <c r="DG20302" s="256"/>
    </row>
    <row r="20303" spans="104:111">
      <c r="CZ20303" s="256"/>
      <c r="DG20303" s="256"/>
    </row>
    <row r="20304" spans="104:111">
      <c r="CZ20304" s="256"/>
      <c r="DG20304" s="256"/>
    </row>
    <row r="20305" spans="104:111">
      <c r="CZ20305" s="256"/>
      <c r="DG20305" s="256"/>
    </row>
    <row r="20306" spans="104:111">
      <c r="CZ20306" s="256"/>
      <c r="DG20306" s="256"/>
    </row>
    <row r="20307" spans="104:111">
      <c r="CZ20307" s="256"/>
      <c r="DG20307" s="256"/>
    </row>
    <row r="20308" spans="104:111">
      <c r="CZ20308" s="256"/>
      <c r="DG20308" s="256"/>
    </row>
    <row r="20309" spans="104:111">
      <c r="CZ20309" s="256"/>
      <c r="DG20309" s="256"/>
    </row>
    <row r="20310" spans="104:111">
      <c r="CZ20310" s="256"/>
      <c r="DG20310" s="256"/>
    </row>
    <row r="20311" spans="104:111">
      <c r="CZ20311" s="256"/>
      <c r="DG20311" s="256"/>
    </row>
    <row r="20312" spans="104:111">
      <c r="CZ20312" s="256"/>
      <c r="DG20312" s="256"/>
    </row>
    <row r="20313" spans="104:111">
      <c r="CZ20313" s="256"/>
      <c r="DG20313" s="256"/>
    </row>
    <row r="20314" spans="104:111">
      <c r="CZ20314" s="256"/>
      <c r="DG20314" s="256"/>
    </row>
    <row r="20315" spans="104:111">
      <c r="CZ20315" s="256"/>
      <c r="DG20315" s="256"/>
    </row>
    <row r="20316" spans="104:111">
      <c r="CZ20316" s="256"/>
      <c r="DG20316" s="256"/>
    </row>
    <row r="20317" spans="104:111">
      <c r="CZ20317" s="256"/>
      <c r="DG20317" s="256"/>
    </row>
    <row r="20318" spans="104:111">
      <c r="CZ20318" s="256"/>
      <c r="DG20318" s="256"/>
    </row>
    <row r="20319" spans="104:111">
      <c r="CZ20319" s="256"/>
      <c r="DG20319" s="256"/>
    </row>
    <row r="20320" spans="104:111">
      <c r="CZ20320" s="256"/>
      <c r="DG20320" s="256"/>
    </row>
    <row r="20321" spans="104:111">
      <c r="CZ20321" s="256"/>
      <c r="DG20321" s="256"/>
    </row>
    <row r="20322" spans="104:111">
      <c r="CZ20322" s="256"/>
      <c r="DG20322" s="256"/>
    </row>
    <row r="20323" spans="104:111">
      <c r="CZ20323" s="256"/>
      <c r="DG20323" s="256"/>
    </row>
    <row r="20324" spans="104:111">
      <c r="CZ20324" s="256"/>
      <c r="DG20324" s="256"/>
    </row>
    <row r="20325" spans="104:111">
      <c r="CZ20325" s="256"/>
      <c r="DG20325" s="256"/>
    </row>
    <row r="20326" spans="104:111">
      <c r="CZ20326" s="256"/>
      <c r="DG20326" s="256"/>
    </row>
    <row r="20327" spans="104:111">
      <c r="CZ20327" s="256"/>
      <c r="DG20327" s="256"/>
    </row>
    <row r="20328" spans="104:111">
      <c r="CZ20328" s="256"/>
      <c r="DG20328" s="256"/>
    </row>
    <row r="20329" spans="104:111">
      <c r="CZ20329" s="256"/>
      <c r="DG20329" s="256"/>
    </row>
    <row r="20330" spans="104:111">
      <c r="CZ20330" s="256"/>
      <c r="DG20330" s="256"/>
    </row>
    <row r="20331" spans="104:111">
      <c r="CZ20331" s="256"/>
      <c r="DG20331" s="256"/>
    </row>
    <row r="20332" spans="104:111">
      <c r="CZ20332" s="256"/>
      <c r="DG20332" s="256"/>
    </row>
    <row r="20333" spans="104:111">
      <c r="CZ20333" s="256"/>
      <c r="DG20333" s="256"/>
    </row>
    <row r="20334" spans="104:111">
      <c r="CZ20334" s="256"/>
      <c r="DG20334" s="256"/>
    </row>
    <row r="20335" spans="104:111">
      <c r="CZ20335" s="256"/>
      <c r="DG20335" s="256"/>
    </row>
    <row r="20336" spans="104:111">
      <c r="CZ20336" s="256"/>
      <c r="DG20336" s="256"/>
    </row>
    <row r="20337" spans="104:111">
      <c r="CZ20337" s="256"/>
      <c r="DG20337" s="256"/>
    </row>
    <row r="20338" spans="104:111">
      <c r="CZ20338" s="256"/>
      <c r="DG20338" s="256"/>
    </row>
    <row r="20339" spans="104:111">
      <c r="CZ20339" s="256"/>
      <c r="DG20339" s="256"/>
    </row>
    <row r="20340" spans="104:111">
      <c r="CZ20340" s="256"/>
      <c r="DG20340" s="256"/>
    </row>
    <row r="20341" spans="104:111">
      <c r="CZ20341" s="256"/>
      <c r="DG20341" s="256"/>
    </row>
    <row r="20342" spans="104:111">
      <c r="CZ20342" s="256"/>
      <c r="DG20342" s="256"/>
    </row>
    <row r="20343" spans="104:111">
      <c r="CZ20343" s="256"/>
      <c r="DG20343" s="256"/>
    </row>
    <row r="20344" spans="104:111">
      <c r="CZ20344" s="256"/>
      <c r="DG20344" s="256"/>
    </row>
    <row r="20345" spans="104:111">
      <c r="CZ20345" s="256"/>
      <c r="DG20345" s="256"/>
    </row>
    <row r="20346" spans="104:111">
      <c r="CZ20346" s="256"/>
      <c r="DG20346" s="256"/>
    </row>
    <row r="20347" spans="104:111">
      <c r="CZ20347" s="256"/>
      <c r="DG20347" s="256"/>
    </row>
    <row r="20348" spans="104:111">
      <c r="CZ20348" s="256"/>
      <c r="DG20348" s="256"/>
    </row>
    <row r="20349" spans="104:111">
      <c r="CZ20349" s="256"/>
      <c r="DG20349" s="256"/>
    </row>
    <row r="20350" spans="104:111">
      <c r="CZ20350" s="256"/>
      <c r="DG20350" s="256"/>
    </row>
    <row r="20351" spans="104:111">
      <c r="CZ20351" s="256"/>
      <c r="DG20351" s="256"/>
    </row>
    <row r="20352" spans="104:111">
      <c r="CZ20352" s="256"/>
      <c r="DG20352" s="256"/>
    </row>
    <row r="20353" spans="104:111">
      <c r="CZ20353" s="256"/>
      <c r="DG20353" s="256"/>
    </row>
    <row r="20354" spans="104:111">
      <c r="CZ20354" s="256"/>
      <c r="DG20354" s="256"/>
    </row>
    <row r="20355" spans="104:111">
      <c r="CZ20355" s="256"/>
      <c r="DG20355" s="256"/>
    </row>
    <row r="20356" spans="104:111">
      <c r="CZ20356" s="256"/>
      <c r="DG20356" s="256"/>
    </row>
    <row r="20357" spans="104:111">
      <c r="CZ20357" s="256"/>
      <c r="DG20357" s="256"/>
    </row>
    <row r="20358" spans="104:111">
      <c r="CZ20358" s="256"/>
      <c r="DG20358" s="256"/>
    </row>
    <row r="20359" spans="104:111">
      <c r="CZ20359" s="256"/>
      <c r="DG20359" s="256"/>
    </row>
    <row r="20360" spans="104:111">
      <c r="CZ20360" s="256"/>
      <c r="DG20360" s="256"/>
    </row>
    <row r="20361" spans="104:111">
      <c r="CZ20361" s="256"/>
      <c r="DG20361" s="256"/>
    </row>
    <row r="20362" spans="104:111">
      <c r="CZ20362" s="256"/>
      <c r="DG20362" s="256"/>
    </row>
    <row r="20363" spans="104:111">
      <c r="CZ20363" s="256"/>
      <c r="DG20363" s="256"/>
    </row>
    <row r="20364" spans="104:111">
      <c r="CZ20364" s="256"/>
      <c r="DG20364" s="256"/>
    </row>
    <row r="20365" spans="104:111">
      <c r="CZ20365" s="256"/>
      <c r="DG20365" s="256"/>
    </row>
    <row r="20366" spans="104:111">
      <c r="CZ20366" s="256"/>
      <c r="DG20366" s="256"/>
    </row>
    <row r="20367" spans="104:111">
      <c r="CZ20367" s="256"/>
      <c r="DG20367" s="256"/>
    </row>
    <row r="20368" spans="104:111">
      <c r="CZ20368" s="256"/>
      <c r="DG20368" s="256"/>
    </row>
    <row r="20369" spans="104:111">
      <c r="CZ20369" s="256"/>
      <c r="DG20369" s="256"/>
    </row>
    <row r="20370" spans="104:111">
      <c r="CZ20370" s="256"/>
      <c r="DG20370" s="256"/>
    </row>
    <row r="20371" spans="104:111">
      <c r="CZ20371" s="256"/>
      <c r="DG20371" s="256"/>
    </row>
    <row r="20372" spans="104:111">
      <c r="CZ20372" s="256"/>
      <c r="DG20372" s="256"/>
    </row>
    <row r="20373" spans="104:111">
      <c r="CZ20373" s="256"/>
      <c r="DG20373" s="256"/>
    </row>
    <row r="20374" spans="104:111">
      <c r="CZ20374" s="256"/>
      <c r="DG20374" s="256"/>
    </row>
    <row r="20375" spans="104:111">
      <c r="CZ20375" s="256"/>
      <c r="DG20375" s="256"/>
    </row>
    <row r="20376" spans="104:111">
      <c r="CZ20376" s="256"/>
      <c r="DG20376" s="256"/>
    </row>
    <row r="20377" spans="104:111">
      <c r="CZ20377" s="256"/>
      <c r="DG20377" s="256"/>
    </row>
    <row r="20378" spans="104:111">
      <c r="CZ20378" s="256"/>
      <c r="DG20378" s="256"/>
    </row>
    <row r="20379" spans="104:111">
      <c r="CZ20379" s="256"/>
      <c r="DG20379" s="256"/>
    </row>
    <row r="20380" spans="104:111">
      <c r="CZ20380" s="256"/>
      <c r="DG20380" s="256"/>
    </row>
    <row r="20381" spans="104:111">
      <c r="CZ20381" s="256"/>
      <c r="DG20381" s="256"/>
    </row>
    <row r="20382" spans="104:111">
      <c r="CZ20382" s="256"/>
      <c r="DG20382" s="256"/>
    </row>
    <row r="20383" spans="104:111">
      <c r="CZ20383" s="256"/>
      <c r="DG20383" s="256"/>
    </row>
    <row r="20384" spans="104:111">
      <c r="CZ20384" s="256"/>
      <c r="DG20384" s="256"/>
    </row>
    <row r="20385" spans="104:111">
      <c r="CZ20385" s="256"/>
      <c r="DG20385" s="256"/>
    </row>
    <row r="20386" spans="104:111">
      <c r="CZ20386" s="256"/>
      <c r="DG20386" s="256"/>
    </row>
    <row r="20387" spans="104:111">
      <c r="CZ20387" s="256"/>
      <c r="DG20387" s="256"/>
    </row>
    <row r="20388" spans="104:111">
      <c r="CZ20388" s="256"/>
      <c r="DG20388" s="256"/>
    </row>
    <row r="20389" spans="104:111">
      <c r="CZ20389" s="256"/>
      <c r="DG20389" s="256"/>
    </row>
    <row r="20390" spans="104:111">
      <c r="CZ20390" s="256"/>
      <c r="DG20390" s="256"/>
    </row>
    <row r="20391" spans="104:111">
      <c r="CZ20391" s="256"/>
      <c r="DG20391" s="256"/>
    </row>
    <row r="20392" spans="104:111">
      <c r="CZ20392" s="256"/>
      <c r="DG20392" s="256"/>
    </row>
    <row r="20393" spans="104:111">
      <c r="CZ20393" s="256"/>
      <c r="DG20393" s="256"/>
    </row>
    <row r="20394" spans="104:111">
      <c r="CZ20394" s="256"/>
      <c r="DG20394" s="256"/>
    </row>
    <row r="20395" spans="104:111">
      <c r="CZ20395" s="256"/>
      <c r="DG20395" s="256"/>
    </row>
    <row r="20396" spans="104:111">
      <c r="CZ20396" s="256"/>
      <c r="DG20396" s="256"/>
    </row>
    <row r="20397" spans="104:111">
      <c r="CZ20397" s="256"/>
      <c r="DG20397" s="256"/>
    </row>
    <row r="20398" spans="104:111">
      <c r="CZ20398" s="256"/>
      <c r="DG20398" s="256"/>
    </row>
    <row r="20399" spans="104:111">
      <c r="CZ20399" s="256"/>
      <c r="DG20399" s="256"/>
    </row>
    <row r="20400" spans="104:111">
      <c r="CZ20400" s="256"/>
      <c r="DG20400" s="256"/>
    </row>
    <row r="20401" spans="104:111">
      <c r="CZ20401" s="256"/>
      <c r="DG20401" s="256"/>
    </row>
    <row r="20402" spans="104:111">
      <c r="CZ20402" s="256"/>
      <c r="DG20402" s="256"/>
    </row>
    <row r="20403" spans="104:111">
      <c r="CZ20403" s="256"/>
      <c r="DG20403" s="256"/>
    </row>
    <row r="20404" spans="104:111">
      <c r="CZ20404" s="256"/>
      <c r="DG20404" s="256"/>
    </row>
    <row r="20405" spans="104:111">
      <c r="CZ20405" s="256"/>
      <c r="DG20405" s="256"/>
    </row>
    <row r="20406" spans="104:111">
      <c r="CZ20406" s="256"/>
      <c r="DG20406" s="256"/>
    </row>
    <row r="20407" spans="104:111">
      <c r="CZ20407" s="256"/>
      <c r="DG20407" s="256"/>
    </row>
    <row r="20408" spans="104:111">
      <c r="CZ20408" s="256"/>
      <c r="DG20408" s="256"/>
    </row>
    <row r="20409" spans="104:111">
      <c r="CZ20409" s="256"/>
      <c r="DG20409" s="256"/>
    </row>
    <row r="20410" spans="104:111">
      <c r="CZ20410" s="256"/>
      <c r="DG20410" s="256"/>
    </row>
    <row r="20411" spans="104:111">
      <c r="CZ20411" s="256"/>
      <c r="DG20411" s="256"/>
    </row>
    <row r="20412" spans="104:111">
      <c r="CZ20412" s="256"/>
      <c r="DG20412" s="256"/>
    </row>
    <row r="20413" spans="104:111">
      <c r="CZ20413" s="256"/>
      <c r="DG20413" s="256"/>
    </row>
    <row r="20414" spans="104:111">
      <c r="CZ20414" s="256"/>
      <c r="DG20414" s="256"/>
    </row>
    <row r="20415" spans="104:111">
      <c r="CZ20415" s="256"/>
      <c r="DG20415" s="256"/>
    </row>
    <row r="20416" spans="104:111">
      <c r="CZ20416" s="256"/>
      <c r="DG20416" s="256"/>
    </row>
    <row r="20417" spans="104:111">
      <c r="CZ20417" s="256"/>
      <c r="DG20417" s="256"/>
    </row>
    <row r="20418" spans="104:111">
      <c r="CZ20418" s="256"/>
      <c r="DG20418" s="256"/>
    </row>
    <row r="20419" spans="104:111">
      <c r="CZ20419" s="256"/>
      <c r="DG20419" s="256"/>
    </row>
    <row r="20420" spans="104:111">
      <c r="CZ20420" s="256"/>
      <c r="DG20420" s="256"/>
    </row>
    <row r="20421" spans="104:111">
      <c r="CZ20421" s="256"/>
      <c r="DG20421" s="256"/>
    </row>
    <row r="20422" spans="104:111">
      <c r="CZ20422" s="256"/>
      <c r="DG20422" s="256"/>
    </row>
    <row r="20423" spans="104:111">
      <c r="CZ20423" s="256"/>
      <c r="DG20423" s="256"/>
    </row>
    <row r="20424" spans="104:111">
      <c r="CZ20424" s="256"/>
      <c r="DG20424" s="256"/>
    </row>
    <row r="20425" spans="104:111">
      <c r="CZ20425" s="256"/>
      <c r="DG20425" s="256"/>
    </row>
    <row r="20426" spans="104:111">
      <c r="CZ20426" s="256"/>
      <c r="DG20426" s="256"/>
    </row>
    <row r="20427" spans="104:111">
      <c r="CZ20427" s="256"/>
      <c r="DG20427" s="256"/>
    </row>
    <row r="20428" spans="104:111">
      <c r="CZ20428" s="256"/>
      <c r="DG20428" s="256"/>
    </row>
    <row r="20429" spans="104:111">
      <c r="CZ20429" s="256"/>
      <c r="DG20429" s="256"/>
    </row>
    <row r="20430" spans="104:111">
      <c r="CZ20430" s="256"/>
      <c r="DG20430" s="256"/>
    </row>
    <row r="20431" spans="104:111">
      <c r="CZ20431" s="256"/>
      <c r="DG20431" s="256"/>
    </row>
    <row r="20432" spans="104:111">
      <c r="CZ20432" s="256"/>
      <c r="DG20432" s="256"/>
    </row>
    <row r="20433" spans="104:111">
      <c r="CZ20433" s="256"/>
      <c r="DG20433" s="256"/>
    </row>
    <row r="20434" spans="104:111">
      <c r="CZ20434" s="256"/>
      <c r="DG20434" s="256"/>
    </row>
    <row r="20435" spans="104:111">
      <c r="CZ20435" s="256"/>
      <c r="DG20435" s="256"/>
    </row>
    <row r="20436" spans="104:111">
      <c r="CZ20436" s="256"/>
      <c r="DG20436" s="256"/>
    </row>
    <row r="20437" spans="104:111">
      <c r="CZ20437" s="256"/>
      <c r="DG20437" s="256"/>
    </row>
    <row r="20438" spans="104:111">
      <c r="CZ20438" s="256"/>
      <c r="DG20438" s="256"/>
    </row>
    <row r="20439" spans="104:111">
      <c r="CZ20439" s="256"/>
      <c r="DG20439" s="256"/>
    </row>
    <row r="20440" spans="104:111">
      <c r="CZ20440" s="256"/>
      <c r="DG20440" s="256"/>
    </row>
    <row r="20441" spans="104:111">
      <c r="CZ20441" s="256"/>
      <c r="DG20441" s="256"/>
    </row>
    <row r="20442" spans="104:111">
      <c r="CZ20442" s="256"/>
      <c r="DG20442" s="256"/>
    </row>
    <row r="20443" spans="104:111">
      <c r="CZ20443" s="256"/>
      <c r="DG20443" s="256"/>
    </row>
    <row r="20444" spans="104:111">
      <c r="CZ20444" s="256"/>
      <c r="DG20444" s="256"/>
    </row>
    <row r="20445" spans="104:111">
      <c r="CZ20445" s="256"/>
      <c r="DG20445" s="256"/>
    </row>
    <row r="20446" spans="104:111">
      <c r="CZ20446" s="256"/>
      <c r="DG20446" s="256"/>
    </row>
    <row r="20447" spans="104:111">
      <c r="CZ20447" s="256"/>
      <c r="DG20447" s="256"/>
    </row>
    <row r="20448" spans="104:111">
      <c r="CZ20448" s="256"/>
      <c r="DG20448" s="256"/>
    </row>
    <row r="20449" spans="104:111">
      <c r="CZ20449" s="256"/>
      <c r="DG20449" s="256"/>
    </row>
    <row r="20450" spans="104:111">
      <c r="CZ20450" s="256"/>
      <c r="DG20450" s="256"/>
    </row>
    <row r="20451" spans="104:111">
      <c r="CZ20451" s="256"/>
      <c r="DG20451" s="256"/>
    </row>
    <row r="20452" spans="104:111">
      <c r="CZ20452" s="256"/>
      <c r="DG20452" s="256"/>
    </row>
    <row r="20453" spans="104:111">
      <c r="CZ20453" s="256"/>
      <c r="DG20453" s="256"/>
    </row>
    <row r="20454" spans="104:111">
      <c r="CZ20454" s="256"/>
      <c r="DG20454" s="256"/>
    </row>
    <row r="20455" spans="104:111">
      <c r="CZ20455" s="256"/>
      <c r="DG20455" s="256"/>
    </row>
    <row r="20456" spans="104:111">
      <c r="CZ20456" s="256"/>
      <c r="DG20456" s="256"/>
    </row>
    <row r="20457" spans="104:111">
      <c r="CZ20457" s="256"/>
      <c r="DG20457" s="256"/>
    </row>
    <row r="20458" spans="104:111">
      <c r="CZ20458" s="256"/>
      <c r="DG20458" s="256"/>
    </row>
    <row r="20459" spans="104:111">
      <c r="CZ20459" s="256"/>
      <c r="DG20459" s="256"/>
    </row>
    <row r="20460" spans="104:111">
      <c r="CZ20460" s="256"/>
      <c r="DG20460" s="256"/>
    </row>
    <row r="20461" spans="104:111">
      <c r="CZ20461" s="256"/>
      <c r="DG20461" s="256"/>
    </row>
    <row r="20462" spans="104:111">
      <c r="CZ20462" s="256"/>
      <c r="DG20462" s="256"/>
    </row>
    <row r="20463" spans="104:111">
      <c r="CZ20463" s="256"/>
      <c r="DG20463" s="256"/>
    </row>
    <row r="20464" spans="104:111">
      <c r="CZ20464" s="256"/>
      <c r="DG20464" s="256"/>
    </row>
    <row r="20465" spans="104:111">
      <c r="CZ20465" s="256"/>
      <c r="DG20465" s="256"/>
    </row>
    <row r="20466" spans="104:111">
      <c r="CZ20466" s="256"/>
      <c r="DG20466" s="256"/>
    </row>
    <row r="20467" spans="104:111">
      <c r="CZ20467" s="256"/>
      <c r="DG20467" s="256"/>
    </row>
    <row r="20468" spans="104:111">
      <c r="CZ20468" s="256"/>
      <c r="DG20468" s="256"/>
    </row>
    <row r="20469" spans="104:111">
      <c r="CZ20469" s="256"/>
      <c r="DG20469" s="256"/>
    </row>
    <row r="20470" spans="104:111">
      <c r="CZ20470" s="256"/>
      <c r="DG20470" s="256"/>
    </row>
    <row r="20471" spans="104:111">
      <c r="CZ20471" s="256"/>
      <c r="DG20471" s="256"/>
    </row>
    <row r="20472" spans="104:111">
      <c r="CZ20472" s="256"/>
      <c r="DG20472" s="256"/>
    </row>
    <row r="20473" spans="104:111">
      <c r="CZ20473" s="256"/>
      <c r="DG20473" s="256"/>
    </row>
    <row r="20474" spans="104:111">
      <c r="CZ20474" s="256"/>
      <c r="DG20474" s="256"/>
    </row>
    <row r="20475" spans="104:111">
      <c r="CZ20475" s="256"/>
      <c r="DG20475" s="256"/>
    </row>
    <row r="20476" spans="104:111">
      <c r="CZ20476" s="256"/>
      <c r="DG20476" s="256"/>
    </row>
    <row r="20477" spans="104:111">
      <c r="CZ20477" s="256"/>
      <c r="DG20477" s="256"/>
    </row>
    <row r="20478" spans="104:111">
      <c r="CZ20478" s="256"/>
      <c r="DG20478" s="256"/>
    </row>
    <row r="20479" spans="104:111">
      <c r="CZ20479" s="256"/>
      <c r="DG20479" s="256"/>
    </row>
    <row r="20480" spans="104:111">
      <c r="CZ20480" s="256"/>
      <c r="DG20480" s="256"/>
    </row>
    <row r="20481" spans="104:111">
      <c r="CZ20481" s="256"/>
      <c r="DG20481" s="256"/>
    </row>
    <row r="20482" spans="104:111">
      <c r="CZ20482" s="256"/>
      <c r="DG20482" s="256"/>
    </row>
    <row r="20483" spans="104:111">
      <c r="CZ20483" s="256"/>
      <c r="DG20483" s="256"/>
    </row>
    <row r="20484" spans="104:111">
      <c r="CZ20484" s="256"/>
      <c r="DG20484" s="256"/>
    </row>
    <row r="20485" spans="104:111">
      <c r="CZ20485" s="256"/>
      <c r="DG20485" s="256"/>
    </row>
    <row r="20486" spans="104:111">
      <c r="CZ20486" s="256"/>
      <c r="DG20486" s="256"/>
    </row>
    <row r="20487" spans="104:111">
      <c r="CZ20487" s="256"/>
      <c r="DG20487" s="256"/>
    </row>
    <row r="20488" spans="104:111">
      <c r="CZ20488" s="256"/>
      <c r="DG20488" s="256"/>
    </row>
    <row r="20489" spans="104:111">
      <c r="CZ20489" s="256"/>
      <c r="DG20489" s="256"/>
    </row>
    <row r="20490" spans="104:111">
      <c r="CZ20490" s="256"/>
      <c r="DG20490" s="256"/>
    </row>
    <row r="20491" spans="104:111">
      <c r="CZ20491" s="256"/>
      <c r="DG20491" s="256"/>
    </row>
    <row r="20492" spans="104:111">
      <c r="CZ20492" s="256"/>
      <c r="DG20492" s="256"/>
    </row>
    <row r="20493" spans="104:111">
      <c r="CZ20493" s="256"/>
      <c r="DG20493" s="256"/>
    </row>
    <row r="20494" spans="104:111">
      <c r="CZ20494" s="256"/>
      <c r="DG20494" s="256"/>
    </row>
    <row r="20495" spans="104:111">
      <c r="CZ20495" s="256"/>
      <c r="DG20495" s="256"/>
    </row>
    <row r="20496" spans="104:111">
      <c r="CZ20496" s="256"/>
      <c r="DG20496" s="256"/>
    </row>
    <row r="20497" spans="104:111">
      <c r="CZ20497" s="256"/>
      <c r="DG20497" s="256"/>
    </row>
    <row r="20498" spans="104:111">
      <c r="CZ20498" s="256"/>
      <c r="DG20498" s="256"/>
    </row>
    <row r="20499" spans="104:111">
      <c r="CZ20499" s="256"/>
      <c r="DG20499" s="256"/>
    </row>
    <row r="20500" spans="104:111">
      <c r="CZ20500" s="256"/>
      <c r="DG20500" s="256"/>
    </row>
    <row r="20501" spans="104:111">
      <c r="CZ20501" s="256"/>
      <c r="DG20501" s="256"/>
    </row>
    <row r="20502" spans="104:111">
      <c r="CZ20502" s="256"/>
      <c r="DG20502" s="256"/>
    </row>
    <row r="20503" spans="104:111">
      <c r="CZ20503" s="256"/>
      <c r="DG20503" s="256"/>
    </row>
    <row r="20504" spans="104:111">
      <c r="CZ20504" s="256"/>
      <c r="DG20504" s="256"/>
    </row>
    <row r="20505" spans="104:111">
      <c r="CZ20505" s="256"/>
      <c r="DG20505" s="256"/>
    </row>
    <row r="20506" spans="104:111">
      <c r="CZ20506" s="256"/>
      <c r="DG20506" s="256"/>
    </row>
    <row r="20507" spans="104:111">
      <c r="CZ20507" s="256"/>
      <c r="DG20507" s="256"/>
    </row>
    <row r="20508" spans="104:111">
      <c r="CZ20508" s="256"/>
      <c r="DG20508" s="256"/>
    </row>
    <row r="20509" spans="104:111">
      <c r="CZ20509" s="256"/>
      <c r="DG20509" s="256"/>
    </row>
    <row r="20510" spans="104:111">
      <c r="CZ20510" s="256"/>
      <c r="DG20510" s="256"/>
    </row>
    <row r="20511" spans="104:111">
      <c r="CZ20511" s="256"/>
      <c r="DG20511" s="256"/>
    </row>
    <row r="20512" spans="104:111">
      <c r="CZ20512" s="256"/>
      <c r="DG20512" s="256"/>
    </row>
    <row r="20513" spans="104:111">
      <c r="CZ20513" s="256"/>
      <c r="DG20513" s="256"/>
    </row>
    <row r="20514" spans="104:111">
      <c r="CZ20514" s="256"/>
      <c r="DG20514" s="256"/>
    </row>
    <row r="20515" spans="104:111">
      <c r="CZ20515" s="256"/>
      <c r="DG20515" s="256"/>
    </row>
    <row r="20516" spans="104:111">
      <c r="CZ20516" s="256"/>
      <c r="DG20516" s="256"/>
    </row>
    <row r="20517" spans="104:111">
      <c r="CZ20517" s="256"/>
      <c r="DG20517" s="256"/>
    </row>
    <row r="20518" spans="104:111">
      <c r="CZ20518" s="256"/>
      <c r="DG20518" s="256"/>
    </row>
    <row r="20519" spans="104:111">
      <c r="CZ20519" s="256"/>
      <c r="DG20519" s="256"/>
    </row>
    <row r="20520" spans="104:111">
      <c r="CZ20520" s="256"/>
      <c r="DG20520" s="256"/>
    </row>
    <row r="20521" spans="104:111">
      <c r="CZ20521" s="256"/>
      <c r="DG20521" s="256"/>
    </row>
    <row r="20522" spans="104:111">
      <c r="CZ20522" s="256"/>
      <c r="DG20522" s="256"/>
    </row>
    <row r="20523" spans="104:111">
      <c r="CZ20523" s="256"/>
      <c r="DG20523" s="256"/>
    </row>
    <row r="20524" spans="104:111">
      <c r="CZ20524" s="256"/>
      <c r="DG20524" s="256"/>
    </row>
    <row r="20525" spans="104:111">
      <c r="CZ20525" s="256"/>
      <c r="DG20525" s="256"/>
    </row>
    <row r="20526" spans="104:111">
      <c r="CZ20526" s="256"/>
      <c r="DG20526" s="256"/>
    </row>
    <row r="20527" spans="104:111">
      <c r="CZ20527" s="256"/>
      <c r="DG20527" s="256"/>
    </row>
    <row r="20528" spans="104:111">
      <c r="CZ20528" s="256"/>
      <c r="DG20528" s="256"/>
    </row>
    <row r="20529" spans="104:111">
      <c r="CZ20529" s="256"/>
      <c r="DG20529" s="256"/>
    </row>
    <row r="20530" spans="104:111">
      <c r="CZ20530" s="256"/>
      <c r="DG20530" s="256"/>
    </row>
    <row r="20531" spans="104:111">
      <c r="CZ20531" s="256"/>
      <c r="DG20531" s="256"/>
    </row>
    <row r="20532" spans="104:111">
      <c r="CZ20532" s="256"/>
      <c r="DG20532" s="256"/>
    </row>
    <row r="20533" spans="104:111">
      <c r="CZ20533" s="256"/>
      <c r="DG20533" s="256"/>
    </row>
    <row r="20534" spans="104:111">
      <c r="CZ20534" s="256"/>
      <c r="DG20534" s="256"/>
    </row>
    <row r="20535" spans="104:111">
      <c r="CZ20535" s="256"/>
      <c r="DG20535" s="256"/>
    </row>
    <row r="20536" spans="104:111">
      <c r="CZ20536" s="256"/>
      <c r="DG20536" s="256"/>
    </row>
    <row r="20537" spans="104:111">
      <c r="CZ20537" s="256"/>
      <c r="DG20537" s="256"/>
    </row>
    <row r="20538" spans="104:111">
      <c r="CZ20538" s="256"/>
      <c r="DG20538" s="256"/>
    </row>
    <row r="20539" spans="104:111">
      <c r="CZ20539" s="256"/>
      <c r="DG20539" s="256"/>
    </row>
    <row r="20540" spans="104:111">
      <c r="CZ20540" s="256"/>
      <c r="DG20540" s="256"/>
    </row>
    <row r="20541" spans="104:111">
      <c r="CZ20541" s="256"/>
      <c r="DG20541" s="256"/>
    </row>
    <row r="20542" spans="104:111">
      <c r="CZ20542" s="256"/>
      <c r="DG20542" s="256"/>
    </row>
    <row r="20543" spans="104:111">
      <c r="CZ20543" s="256"/>
      <c r="DG20543" s="256"/>
    </row>
    <row r="20544" spans="104:111">
      <c r="CZ20544" s="256"/>
      <c r="DG20544" s="256"/>
    </row>
    <row r="20545" spans="104:111">
      <c r="CZ20545" s="256"/>
      <c r="DG20545" s="256"/>
    </row>
    <row r="20546" spans="104:111">
      <c r="CZ20546" s="256"/>
      <c r="DG20546" s="256"/>
    </row>
    <row r="20547" spans="104:111">
      <c r="CZ20547" s="256"/>
      <c r="DG20547" s="256"/>
    </row>
    <row r="20548" spans="104:111">
      <c r="CZ20548" s="256"/>
      <c r="DG20548" s="256"/>
    </row>
    <row r="20549" spans="104:111">
      <c r="CZ20549" s="256"/>
      <c r="DG20549" s="256"/>
    </row>
    <row r="20550" spans="104:111">
      <c r="CZ20550" s="256"/>
      <c r="DG20550" s="256"/>
    </row>
    <row r="20551" spans="104:111">
      <c r="CZ20551" s="256"/>
      <c r="DG20551" s="256"/>
    </row>
    <row r="20552" spans="104:111">
      <c r="CZ20552" s="256"/>
      <c r="DG20552" s="256"/>
    </row>
    <row r="20553" spans="104:111">
      <c r="CZ20553" s="256"/>
      <c r="DG20553" s="256"/>
    </row>
    <row r="20554" spans="104:111">
      <c r="CZ20554" s="256"/>
      <c r="DG20554" s="256"/>
    </row>
    <row r="20555" spans="104:111">
      <c r="CZ20555" s="256"/>
      <c r="DG20555" s="256"/>
    </row>
    <row r="20556" spans="104:111">
      <c r="CZ20556" s="256"/>
      <c r="DG20556" s="256"/>
    </row>
    <row r="20557" spans="104:111">
      <c r="CZ20557" s="256"/>
      <c r="DG20557" s="256"/>
    </row>
    <row r="20558" spans="104:111">
      <c r="CZ20558" s="256"/>
      <c r="DG20558" s="256"/>
    </row>
    <row r="20559" spans="104:111">
      <c r="CZ20559" s="256"/>
      <c r="DG20559" s="256"/>
    </row>
    <row r="20560" spans="104:111">
      <c r="CZ20560" s="256"/>
      <c r="DG20560" s="256"/>
    </row>
    <row r="20561" spans="104:111">
      <c r="CZ20561" s="256"/>
      <c r="DG20561" s="256"/>
    </row>
    <row r="20562" spans="104:111">
      <c r="CZ20562" s="256"/>
      <c r="DG20562" s="256"/>
    </row>
    <row r="20563" spans="104:111">
      <c r="CZ20563" s="256"/>
      <c r="DG20563" s="256"/>
    </row>
    <row r="20564" spans="104:111">
      <c r="CZ20564" s="256"/>
      <c r="DG20564" s="256"/>
    </row>
    <row r="20565" spans="104:111">
      <c r="CZ20565" s="256"/>
      <c r="DG20565" s="256"/>
    </row>
    <row r="20566" spans="104:111">
      <c r="CZ20566" s="256"/>
      <c r="DG20566" s="256"/>
    </row>
    <row r="20567" spans="104:111">
      <c r="CZ20567" s="256"/>
      <c r="DG20567" s="256"/>
    </row>
    <row r="20568" spans="104:111">
      <c r="CZ20568" s="256"/>
      <c r="DG20568" s="256"/>
    </row>
    <row r="20569" spans="104:111">
      <c r="CZ20569" s="256"/>
      <c r="DG20569" s="256"/>
    </row>
    <row r="20570" spans="104:111">
      <c r="CZ20570" s="256"/>
      <c r="DG20570" s="256"/>
    </row>
    <row r="20571" spans="104:111">
      <c r="CZ20571" s="256"/>
      <c r="DG20571" s="256"/>
    </row>
    <row r="20572" spans="104:111">
      <c r="CZ20572" s="256"/>
      <c r="DG20572" s="256"/>
    </row>
    <row r="20573" spans="104:111">
      <c r="CZ20573" s="256"/>
      <c r="DG20573" s="256"/>
    </row>
    <row r="20574" spans="104:111">
      <c r="CZ20574" s="256"/>
      <c r="DG20574" s="256"/>
    </row>
    <row r="20575" spans="104:111">
      <c r="CZ20575" s="256"/>
      <c r="DG20575" s="256"/>
    </row>
    <row r="20576" spans="104:111">
      <c r="CZ20576" s="256"/>
      <c r="DG20576" s="256"/>
    </row>
    <row r="20577" spans="104:111">
      <c r="CZ20577" s="256"/>
      <c r="DG20577" s="256"/>
    </row>
    <row r="20578" spans="104:111">
      <c r="CZ20578" s="256"/>
      <c r="DG20578" s="256"/>
    </row>
    <row r="20579" spans="104:111">
      <c r="CZ20579" s="256"/>
      <c r="DG20579" s="256"/>
    </row>
    <row r="20580" spans="104:111">
      <c r="CZ20580" s="256"/>
      <c r="DG20580" s="256"/>
    </row>
    <row r="20581" spans="104:111">
      <c r="CZ20581" s="256"/>
      <c r="DG20581" s="256"/>
    </row>
    <row r="20582" spans="104:111">
      <c r="CZ20582" s="256"/>
      <c r="DG20582" s="256"/>
    </row>
    <row r="20583" spans="104:111">
      <c r="CZ20583" s="256"/>
      <c r="DG20583" s="256"/>
    </row>
    <row r="20584" spans="104:111">
      <c r="CZ20584" s="256"/>
      <c r="DG20584" s="256"/>
    </row>
    <row r="20585" spans="104:111">
      <c r="CZ20585" s="256"/>
      <c r="DG20585" s="256"/>
    </row>
    <row r="20586" spans="104:111">
      <c r="CZ20586" s="256"/>
      <c r="DG20586" s="256"/>
    </row>
    <row r="20587" spans="104:111">
      <c r="CZ20587" s="256"/>
      <c r="DG20587" s="256"/>
    </row>
    <row r="20588" spans="104:111">
      <c r="CZ20588" s="256"/>
      <c r="DG20588" s="256"/>
    </row>
    <row r="20589" spans="104:111">
      <c r="CZ20589" s="256"/>
      <c r="DG20589" s="256"/>
    </row>
    <row r="20590" spans="104:111">
      <c r="CZ20590" s="256"/>
      <c r="DG20590" s="256"/>
    </row>
    <row r="20591" spans="104:111">
      <c r="CZ20591" s="256"/>
      <c r="DG20591" s="256"/>
    </row>
    <row r="20592" spans="104:111">
      <c r="CZ20592" s="256"/>
      <c r="DG20592" s="256"/>
    </row>
    <row r="20593" spans="104:111">
      <c r="CZ20593" s="256"/>
      <c r="DG20593" s="256"/>
    </row>
    <row r="20594" spans="104:111">
      <c r="CZ20594" s="256"/>
      <c r="DG20594" s="256"/>
    </row>
    <row r="20595" spans="104:111">
      <c r="CZ20595" s="256"/>
      <c r="DG20595" s="256"/>
    </row>
    <row r="20596" spans="104:111">
      <c r="CZ20596" s="256"/>
      <c r="DG20596" s="256"/>
    </row>
    <row r="20597" spans="104:111">
      <c r="CZ20597" s="256"/>
      <c r="DG20597" s="256"/>
    </row>
    <row r="20598" spans="104:111">
      <c r="CZ20598" s="256"/>
      <c r="DG20598" s="256"/>
    </row>
    <row r="20599" spans="104:111">
      <c r="CZ20599" s="256"/>
      <c r="DG20599" s="256"/>
    </row>
    <row r="20600" spans="104:111">
      <c r="CZ20600" s="256"/>
      <c r="DG20600" s="256"/>
    </row>
    <row r="20601" spans="104:111">
      <c r="CZ20601" s="256"/>
      <c r="DG20601" s="256"/>
    </row>
    <row r="20602" spans="104:111">
      <c r="CZ20602" s="256"/>
      <c r="DG20602" s="256"/>
    </row>
    <row r="20603" spans="104:111">
      <c r="CZ20603" s="256"/>
      <c r="DG20603" s="256"/>
    </row>
    <row r="20604" spans="104:111">
      <c r="CZ20604" s="256"/>
      <c r="DG20604" s="256"/>
    </row>
    <row r="20605" spans="104:111">
      <c r="CZ20605" s="256"/>
      <c r="DG20605" s="256"/>
    </row>
    <row r="20606" spans="104:111">
      <c r="CZ20606" s="256"/>
      <c r="DG20606" s="256"/>
    </row>
    <row r="20607" spans="104:111">
      <c r="CZ20607" s="256"/>
      <c r="DG20607" s="256"/>
    </row>
    <row r="20608" spans="104:111">
      <c r="CZ20608" s="256"/>
      <c r="DG20608" s="256"/>
    </row>
    <row r="20609" spans="104:111">
      <c r="CZ20609" s="256"/>
      <c r="DG20609" s="256"/>
    </row>
    <row r="20610" spans="104:111">
      <c r="CZ20610" s="256"/>
      <c r="DG20610" s="256"/>
    </row>
    <row r="20611" spans="104:111">
      <c r="CZ20611" s="256"/>
      <c r="DG20611" s="256"/>
    </row>
    <row r="20612" spans="104:111">
      <c r="CZ20612" s="256"/>
      <c r="DG20612" s="256"/>
    </row>
    <row r="20613" spans="104:111">
      <c r="CZ20613" s="256"/>
      <c r="DG20613" s="256"/>
    </row>
    <row r="20614" spans="104:111">
      <c r="CZ20614" s="256"/>
      <c r="DG20614" s="256"/>
    </row>
    <row r="20615" spans="104:111">
      <c r="CZ20615" s="256"/>
      <c r="DG20615" s="256"/>
    </row>
    <row r="20616" spans="104:111">
      <c r="CZ20616" s="256"/>
      <c r="DG20616" s="256"/>
    </row>
    <row r="20617" spans="104:111">
      <c r="CZ20617" s="256"/>
      <c r="DG20617" s="256"/>
    </row>
    <row r="20618" spans="104:111">
      <c r="CZ20618" s="256"/>
      <c r="DG20618" s="256"/>
    </row>
    <row r="20619" spans="104:111">
      <c r="CZ20619" s="256"/>
      <c r="DG20619" s="256"/>
    </row>
    <row r="20620" spans="104:111">
      <c r="CZ20620" s="256"/>
      <c r="DG20620" s="256"/>
    </row>
    <row r="20621" spans="104:111">
      <c r="CZ20621" s="256"/>
      <c r="DG20621" s="256"/>
    </row>
    <row r="20622" spans="104:111">
      <c r="CZ20622" s="256"/>
      <c r="DG20622" s="256"/>
    </row>
    <row r="20623" spans="104:111">
      <c r="CZ20623" s="256"/>
      <c r="DG20623" s="256"/>
    </row>
    <row r="20624" spans="104:111">
      <c r="CZ20624" s="256"/>
      <c r="DG20624" s="256"/>
    </row>
    <row r="20625" spans="104:111">
      <c r="CZ20625" s="256"/>
      <c r="DG20625" s="256"/>
    </row>
    <row r="20626" spans="104:111">
      <c r="CZ20626" s="256"/>
      <c r="DG20626" s="256"/>
    </row>
    <row r="20627" spans="104:111">
      <c r="CZ20627" s="256"/>
      <c r="DG20627" s="256"/>
    </row>
    <row r="20628" spans="104:111">
      <c r="CZ20628" s="256"/>
      <c r="DG20628" s="256"/>
    </row>
    <row r="20629" spans="104:111">
      <c r="CZ20629" s="256"/>
      <c r="DG20629" s="256"/>
    </row>
    <row r="20630" spans="104:111">
      <c r="CZ20630" s="256"/>
      <c r="DG20630" s="256"/>
    </row>
    <row r="20631" spans="104:111">
      <c r="CZ20631" s="256"/>
      <c r="DG20631" s="256"/>
    </row>
    <row r="20632" spans="104:111">
      <c r="CZ20632" s="256"/>
      <c r="DG20632" s="256"/>
    </row>
    <row r="20633" spans="104:111">
      <c r="CZ20633" s="256"/>
      <c r="DG20633" s="256"/>
    </row>
    <row r="20634" spans="104:111">
      <c r="CZ20634" s="256"/>
      <c r="DG20634" s="256"/>
    </row>
    <row r="20635" spans="104:111">
      <c r="CZ20635" s="256"/>
      <c r="DG20635" s="256"/>
    </row>
    <row r="20636" spans="104:111">
      <c r="CZ20636" s="256"/>
      <c r="DG20636" s="256"/>
    </row>
    <row r="20637" spans="104:111">
      <c r="CZ20637" s="256"/>
      <c r="DG20637" s="256"/>
    </row>
    <row r="20638" spans="104:111">
      <c r="CZ20638" s="256"/>
      <c r="DG20638" s="256"/>
    </row>
    <row r="20639" spans="104:111">
      <c r="CZ20639" s="256"/>
      <c r="DG20639" s="256"/>
    </row>
    <row r="20640" spans="104:111">
      <c r="CZ20640" s="256"/>
      <c r="DG20640" s="256"/>
    </row>
    <row r="20641" spans="104:111">
      <c r="CZ20641" s="256"/>
      <c r="DG20641" s="256"/>
    </row>
    <row r="20642" spans="104:111">
      <c r="CZ20642" s="256"/>
      <c r="DG20642" s="256"/>
    </row>
    <row r="20643" spans="104:111">
      <c r="CZ20643" s="256"/>
      <c r="DG20643" s="256"/>
    </row>
    <row r="20644" spans="104:111">
      <c r="CZ20644" s="256"/>
      <c r="DG20644" s="256"/>
    </row>
    <row r="20645" spans="104:111">
      <c r="CZ20645" s="256"/>
      <c r="DG20645" s="256"/>
    </row>
    <row r="20646" spans="104:111">
      <c r="CZ20646" s="256"/>
      <c r="DG20646" s="256"/>
    </row>
    <row r="20647" spans="104:111">
      <c r="CZ20647" s="256"/>
      <c r="DG20647" s="256"/>
    </row>
    <row r="20648" spans="104:111">
      <c r="CZ20648" s="256"/>
      <c r="DG20648" s="256"/>
    </row>
    <row r="20649" spans="104:111">
      <c r="CZ20649" s="256"/>
      <c r="DG20649" s="256"/>
    </row>
    <row r="20650" spans="104:111">
      <c r="CZ20650" s="256"/>
      <c r="DG20650" s="256"/>
    </row>
    <row r="20651" spans="104:111">
      <c r="CZ20651" s="256"/>
      <c r="DG20651" s="256"/>
    </row>
    <row r="20652" spans="104:111">
      <c r="CZ20652" s="256"/>
      <c r="DG20652" s="256"/>
    </row>
    <row r="20653" spans="104:111">
      <c r="CZ20653" s="256"/>
      <c r="DG20653" s="256"/>
    </row>
    <row r="20654" spans="104:111">
      <c r="CZ20654" s="256"/>
      <c r="DG20654" s="256"/>
    </row>
    <row r="20655" spans="104:111">
      <c r="CZ20655" s="256"/>
      <c r="DG20655" s="256"/>
    </row>
    <row r="20656" spans="104:111">
      <c r="CZ20656" s="256"/>
      <c r="DG20656" s="256"/>
    </row>
    <row r="20657" spans="104:111">
      <c r="CZ20657" s="256"/>
      <c r="DG20657" s="256"/>
    </row>
    <row r="20658" spans="104:111">
      <c r="CZ20658" s="256"/>
      <c r="DG20658" s="256"/>
    </row>
    <row r="20659" spans="104:111">
      <c r="CZ20659" s="256"/>
      <c r="DG20659" s="256"/>
    </row>
    <row r="20660" spans="104:111">
      <c r="CZ20660" s="256"/>
      <c r="DG20660" s="256"/>
    </row>
    <row r="20661" spans="104:111">
      <c r="CZ20661" s="256"/>
      <c r="DG20661" s="256"/>
    </row>
    <row r="20662" spans="104:111">
      <c r="CZ20662" s="256"/>
      <c r="DG20662" s="256"/>
    </row>
    <row r="20663" spans="104:111">
      <c r="CZ20663" s="256"/>
      <c r="DG20663" s="256"/>
    </row>
    <row r="20664" spans="104:111">
      <c r="CZ20664" s="256"/>
      <c r="DG20664" s="256"/>
    </row>
    <row r="20665" spans="104:111">
      <c r="CZ20665" s="256"/>
      <c r="DG20665" s="256"/>
    </row>
    <row r="20666" spans="104:111">
      <c r="CZ20666" s="256"/>
      <c r="DG20666" s="256"/>
    </row>
    <row r="20667" spans="104:111">
      <c r="CZ20667" s="256"/>
      <c r="DG20667" s="256"/>
    </row>
    <row r="20668" spans="104:111">
      <c r="CZ20668" s="256"/>
      <c r="DG20668" s="256"/>
    </row>
    <row r="20669" spans="104:111">
      <c r="CZ20669" s="256"/>
      <c r="DG20669" s="256"/>
    </row>
    <row r="20670" spans="104:111">
      <c r="CZ20670" s="256"/>
      <c r="DG20670" s="256"/>
    </row>
    <row r="20671" spans="104:111">
      <c r="CZ20671" s="256"/>
      <c r="DG20671" s="256"/>
    </row>
    <row r="20672" spans="104:111">
      <c r="CZ20672" s="256"/>
      <c r="DG20672" s="256"/>
    </row>
    <row r="20673" spans="104:111">
      <c r="CZ20673" s="256"/>
      <c r="DG20673" s="256"/>
    </row>
    <row r="20674" spans="104:111">
      <c r="CZ20674" s="256"/>
      <c r="DG20674" s="256"/>
    </row>
    <row r="20675" spans="104:111">
      <c r="CZ20675" s="256"/>
      <c r="DG20675" s="256"/>
    </row>
    <row r="20676" spans="104:111">
      <c r="CZ20676" s="256"/>
      <c r="DG20676" s="256"/>
    </row>
    <row r="20677" spans="104:111">
      <c r="CZ20677" s="256"/>
      <c r="DG20677" s="256"/>
    </row>
    <row r="20678" spans="104:111">
      <c r="CZ20678" s="256"/>
      <c r="DG20678" s="256"/>
    </row>
    <row r="20679" spans="104:111">
      <c r="CZ20679" s="256"/>
      <c r="DG20679" s="256"/>
    </row>
    <row r="20680" spans="104:111">
      <c r="CZ20680" s="256"/>
      <c r="DG20680" s="256"/>
    </row>
    <row r="20681" spans="104:111">
      <c r="CZ20681" s="256"/>
      <c r="DG20681" s="256"/>
    </row>
    <row r="20682" spans="104:111">
      <c r="CZ20682" s="256"/>
      <c r="DG20682" s="256"/>
    </row>
    <row r="20683" spans="104:111">
      <c r="CZ20683" s="256"/>
      <c r="DG20683" s="256"/>
    </row>
    <row r="20684" spans="104:111">
      <c r="CZ20684" s="256"/>
      <c r="DG20684" s="256"/>
    </row>
    <row r="20685" spans="104:111">
      <c r="CZ20685" s="256"/>
      <c r="DG20685" s="256"/>
    </row>
    <row r="20686" spans="104:111">
      <c r="CZ20686" s="256"/>
      <c r="DG20686" s="256"/>
    </row>
    <row r="20687" spans="104:111">
      <c r="CZ20687" s="256"/>
      <c r="DG20687" s="256"/>
    </row>
    <row r="20688" spans="104:111">
      <c r="CZ20688" s="256"/>
      <c r="DG20688" s="256"/>
    </row>
    <row r="20689" spans="104:111">
      <c r="CZ20689" s="256"/>
      <c r="DG20689" s="256"/>
    </row>
    <row r="20690" spans="104:111">
      <c r="CZ20690" s="256"/>
      <c r="DG20690" s="256"/>
    </row>
    <row r="20691" spans="104:111">
      <c r="CZ20691" s="256"/>
      <c r="DG20691" s="256"/>
    </row>
    <row r="20692" spans="104:111">
      <c r="CZ20692" s="256"/>
      <c r="DG20692" s="256"/>
    </row>
    <row r="20693" spans="104:111">
      <c r="CZ20693" s="256"/>
      <c r="DG20693" s="256"/>
    </row>
    <row r="20694" spans="104:111">
      <c r="CZ20694" s="256"/>
      <c r="DG20694" s="256"/>
    </row>
    <row r="20695" spans="104:111">
      <c r="CZ20695" s="256"/>
      <c r="DG20695" s="256"/>
    </row>
    <row r="20696" spans="104:111">
      <c r="CZ20696" s="256"/>
      <c r="DG20696" s="256"/>
    </row>
    <row r="20697" spans="104:111">
      <c r="CZ20697" s="256"/>
      <c r="DG20697" s="256"/>
    </row>
    <row r="20698" spans="104:111">
      <c r="CZ20698" s="256"/>
      <c r="DG20698" s="256"/>
    </row>
    <row r="20699" spans="104:111">
      <c r="CZ20699" s="256"/>
      <c r="DG20699" s="256"/>
    </row>
    <row r="20700" spans="104:111">
      <c r="CZ20700" s="256"/>
      <c r="DG20700" s="256"/>
    </row>
    <row r="20701" spans="104:111">
      <c r="CZ20701" s="256"/>
      <c r="DG20701" s="256"/>
    </row>
    <row r="20702" spans="104:111">
      <c r="CZ20702" s="256"/>
      <c r="DG20702" s="256"/>
    </row>
    <row r="20703" spans="104:111">
      <c r="CZ20703" s="256"/>
      <c r="DG20703" s="256"/>
    </row>
    <row r="20704" spans="104:111">
      <c r="CZ20704" s="256"/>
      <c r="DG20704" s="256"/>
    </row>
    <row r="20705" spans="104:111">
      <c r="CZ20705" s="256"/>
      <c r="DG20705" s="256"/>
    </row>
    <row r="20706" spans="104:111">
      <c r="CZ20706" s="256"/>
      <c r="DG20706" s="256"/>
    </row>
    <row r="20707" spans="104:111">
      <c r="CZ20707" s="256"/>
      <c r="DG20707" s="256"/>
    </row>
    <row r="20708" spans="104:111">
      <c r="CZ20708" s="256"/>
      <c r="DG20708" s="256"/>
    </row>
    <row r="20709" spans="104:111">
      <c r="CZ20709" s="256"/>
      <c r="DG20709" s="256"/>
    </row>
    <row r="20710" spans="104:111">
      <c r="CZ20710" s="256"/>
      <c r="DG20710" s="256"/>
    </row>
    <row r="20711" spans="104:111">
      <c r="CZ20711" s="256"/>
      <c r="DG20711" s="256"/>
    </row>
    <row r="20712" spans="104:111">
      <c r="CZ20712" s="256"/>
      <c r="DG20712" s="256"/>
    </row>
    <row r="20713" spans="104:111">
      <c r="CZ20713" s="256"/>
      <c r="DG20713" s="256"/>
    </row>
    <row r="20714" spans="104:111">
      <c r="CZ20714" s="256"/>
      <c r="DG20714" s="256"/>
    </row>
    <row r="20715" spans="104:111">
      <c r="CZ20715" s="256"/>
      <c r="DG20715" s="256"/>
    </row>
    <row r="20716" spans="104:111">
      <c r="CZ20716" s="256"/>
      <c r="DG20716" s="256"/>
    </row>
    <row r="20717" spans="104:111">
      <c r="CZ20717" s="256"/>
      <c r="DG20717" s="256"/>
    </row>
    <row r="20718" spans="104:111">
      <c r="CZ20718" s="256"/>
      <c r="DG20718" s="256"/>
    </row>
    <row r="20719" spans="104:111">
      <c r="CZ20719" s="256"/>
      <c r="DG20719" s="256"/>
    </row>
    <row r="20720" spans="104:111">
      <c r="CZ20720" s="256"/>
      <c r="DG20720" s="256"/>
    </row>
    <row r="20721" spans="104:111">
      <c r="CZ20721" s="256"/>
      <c r="DG20721" s="256"/>
    </row>
    <row r="20722" spans="104:111">
      <c r="CZ20722" s="256"/>
      <c r="DG20722" s="256"/>
    </row>
    <row r="20723" spans="104:111">
      <c r="CZ20723" s="256"/>
      <c r="DG20723" s="256"/>
    </row>
    <row r="20724" spans="104:111">
      <c r="CZ20724" s="256"/>
      <c r="DG20724" s="256"/>
    </row>
    <row r="20725" spans="104:111">
      <c r="CZ20725" s="256"/>
      <c r="DG20725" s="256"/>
    </row>
    <row r="20726" spans="104:111">
      <c r="CZ20726" s="256"/>
      <c r="DG20726" s="256"/>
    </row>
    <row r="20727" spans="104:111">
      <c r="CZ20727" s="256"/>
      <c r="DG20727" s="256"/>
    </row>
    <row r="20728" spans="104:111">
      <c r="CZ20728" s="256"/>
      <c r="DG20728" s="256"/>
    </row>
    <row r="20729" spans="104:111">
      <c r="CZ20729" s="256"/>
      <c r="DG20729" s="256"/>
    </row>
    <row r="20730" spans="104:111">
      <c r="CZ20730" s="256"/>
      <c r="DG20730" s="256"/>
    </row>
    <row r="20731" spans="104:111">
      <c r="CZ20731" s="256"/>
      <c r="DG20731" s="256"/>
    </row>
    <row r="20732" spans="104:111">
      <c r="CZ20732" s="256"/>
      <c r="DG20732" s="256"/>
    </row>
    <row r="20733" spans="104:111">
      <c r="CZ20733" s="256"/>
      <c r="DG20733" s="256"/>
    </row>
    <row r="20734" spans="104:111">
      <c r="CZ20734" s="256"/>
      <c r="DG20734" s="256"/>
    </row>
    <row r="20735" spans="104:111">
      <c r="CZ20735" s="256"/>
      <c r="DG20735" s="256"/>
    </row>
    <row r="20736" spans="104:111">
      <c r="CZ20736" s="256"/>
      <c r="DG20736" s="256"/>
    </row>
    <row r="20737" spans="104:111">
      <c r="CZ20737" s="256"/>
      <c r="DG20737" s="256"/>
    </row>
    <row r="20738" spans="104:111">
      <c r="CZ20738" s="256"/>
      <c r="DG20738" s="256"/>
    </row>
    <row r="20739" spans="104:111">
      <c r="CZ20739" s="256"/>
      <c r="DG20739" s="256"/>
    </row>
    <row r="20740" spans="104:111">
      <c r="CZ20740" s="256"/>
      <c r="DG20740" s="256"/>
    </row>
    <row r="20741" spans="104:111">
      <c r="CZ20741" s="256"/>
      <c r="DG20741" s="256"/>
    </row>
    <row r="20742" spans="104:111">
      <c r="CZ20742" s="256"/>
      <c r="DG20742" s="256"/>
    </row>
    <row r="20743" spans="104:111">
      <c r="CZ20743" s="256"/>
      <c r="DG20743" s="256"/>
    </row>
    <row r="20744" spans="104:111">
      <c r="CZ20744" s="256"/>
      <c r="DG20744" s="256"/>
    </row>
    <row r="20745" spans="104:111">
      <c r="CZ20745" s="256"/>
      <c r="DG20745" s="256"/>
    </row>
    <row r="20746" spans="104:111">
      <c r="CZ20746" s="256"/>
      <c r="DG20746" s="256"/>
    </row>
    <row r="20747" spans="104:111">
      <c r="CZ20747" s="256"/>
      <c r="DG20747" s="256"/>
    </row>
    <row r="20748" spans="104:111">
      <c r="CZ20748" s="256"/>
      <c r="DG20748" s="256"/>
    </row>
    <row r="20749" spans="104:111">
      <c r="CZ20749" s="256"/>
      <c r="DG20749" s="256"/>
    </row>
    <row r="20750" spans="104:111">
      <c r="CZ20750" s="256"/>
      <c r="DG20750" s="256"/>
    </row>
    <row r="20751" spans="104:111">
      <c r="CZ20751" s="256"/>
      <c r="DG20751" s="256"/>
    </row>
    <row r="20752" spans="104:111">
      <c r="CZ20752" s="256"/>
      <c r="DG20752" s="256"/>
    </row>
    <row r="20753" spans="104:111">
      <c r="CZ20753" s="256"/>
      <c r="DG20753" s="256"/>
    </row>
    <row r="20754" spans="104:111">
      <c r="CZ20754" s="256"/>
      <c r="DG20754" s="256"/>
    </row>
    <row r="20755" spans="104:111">
      <c r="CZ20755" s="256"/>
      <c r="DG20755" s="256"/>
    </row>
    <row r="20756" spans="104:111">
      <c r="CZ20756" s="256"/>
      <c r="DG20756" s="256"/>
    </row>
    <row r="20757" spans="104:111">
      <c r="CZ20757" s="256"/>
      <c r="DG20757" s="256"/>
    </row>
    <row r="20758" spans="104:111">
      <c r="CZ20758" s="256"/>
      <c r="DG20758" s="256"/>
    </row>
    <row r="20759" spans="104:111">
      <c r="CZ20759" s="256"/>
      <c r="DG20759" s="256"/>
    </row>
    <row r="20760" spans="104:111">
      <c r="CZ20760" s="256"/>
      <c r="DG20760" s="256"/>
    </row>
    <row r="20761" spans="104:111">
      <c r="CZ20761" s="256"/>
      <c r="DG20761" s="256"/>
    </row>
    <row r="20762" spans="104:111">
      <c r="CZ20762" s="256"/>
      <c r="DG20762" s="256"/>
    </row>
    <row r="20763" spans="104:111">
      <c r="CZ20763" s="256"/>
      <c r="DG20763" s="256"/>
    </row>
    <row r="20764" spans="104:111">
      <c r="CZ20764" s="256"/>
      <c r="DG20764" s="256"/>
    </row>
    <row r="20765" spans="104:111">
      <c r="CZ20765" s="256"/>
      <c r="DG20765" s="256"/>
    </row>
    <row r="20766" spans="104:111">
      <c r="CZ20766" s="256"/>
      <c r="DG20766" s="256"/>
    </row>
    <row r="20767" spans="104:111">
      <c r="CZ20767" s="256"/>
      <c r="DG20767" s="256"/>
    </row>
    <row r="20768" spans="104:111">
      <c r="CZ20768" s="256"/>
      <c r="DG20768" s="256"/>
    </row>
    <row r="20769" spans="104:111">
      <c r="CZ20769" s="256"/>
      <c r="DG20769" s="256"/>
    </row>
    <row r="20770" spans="104:111">
      <c r="CZ20770" s="256"/>
      <c r="DG20770" s="256"/>
    </row>
    <row r="20771" spans="104:111">
      <c r="CZ20771" s="256"/>
      <c r="DG20771" s="256"/>
    </row>
    <row r="20772" spans="104:111">
      <c r="CZ20772" s="256"/>
      <c r="DG20772" s="256"/>
    </row>
    <row r="20773" spans="104:111">
      <c r="CZ20773" s="256"/>
      <c r="DG20773" s="256"/>
    </row>
    <row r="20774" spans="104:111">
      <c r="CZ20774" s="256"/>
      <c r="DG20774" s="256"/>
    </row>
    <row r="20775" spans="104:111">
      <c r="CZ20775" s="256"/>
      <c r="DG20775" s="256"/>
    </row>
    <row r="20776" spans="104:111">
      <c r="CZ20776" s="256"/>
      <c r="DG20776" s="256"/>
    </row>
    <row r="20777" spans="104:111">
      <c r="CZ20777" s="256"/>
      <c r="DG20777" s="256"/>
    </row>
    <row r="20778" spans="104:111">
      <c r="CZ20778" s="256"/>
      <c r="DG20778" s="256"/>
    </row>
    <row r="20779" spans="104:111">
      <c r="CZ20779" s="256"/>
      <c r="DG20779" s="256"/>
    </row>
    <row r="20780" spans="104:111">
      <c r="CZ20780" s="256"/>
      <c r="DG20780" s="256"/>
    </row>
    <row r="20781" spans="104:111">
      <c r="CZ20781" s="256"/>
      <c r="DG20781" s="256"/>
    </row>
    <row r="20782" spans="104:111">
      <c r="CZ20782" s="256"/>
      <c r="DG20782" s="256"/>
    </row>
    <row r="20783" spans="104:111">
      <c r="CZ20783" s="256"/>
      <c r="DG20783" s="256"/>
    </row>
    <row r="20784" spans="104:111">
      <c r="CZ20784" s="256"/>
      <c r="DG20784" s="256"/>
    </row>
    <row r="20785" spans="104:111">
      <c r="CZ20785" s="256"/>
      <c r="DG20785" s="256"/>
    </row>
    <row r="20786" spans="104:111">
      <c r="CZ20786" s="256"/>
      <c r="DG20786" s="256"/>
    </row>
    <row r="20787" spans="104:111">
      <c r="CZ20787" s="256"/>
      <c r="DG20787" s="256"/>
    </row>
    <row r="20788" spans="104:111">
      <c r="CZ20788" s="256"/>
      <c r="DG20788" s="256"/>
    </row>
    <row r="20789" spans="104:111">
      <c r="CZ20789" s="256"/>
      <c r="DG20789" s="256"/>
    </row>
    <row r="20790" spans="104:111">
      <c r="CZ20790" s="256"/>
      <c r="DG20790" s="256"/>
    </row>
    <row r="20791" spans="104:111">
      <c r="CZ20791" s="256"/>
      <c r="DG20791" s="256"/>
    </row>
    <row r="20792" spans="104:111">
      <c r="CZ20792" s="256"/>
      <c r="DG20792" s="256"/>
    </row>
    <row r="20793" spans="104:111">
      <c r="CZ20793" s="256"/>
      <c r="DG20793" s="256"/>
    </row>
    <row r="20794" spans="104:111">
      <c r="CZ20794" s="256"/>
      <c r="DG20794" s="256"/>
    </row>
    <row r="20795" spans="104:111">
      <c r="CZ20795" s="256"/>
      <c r="DG20795" s="256"/>
    </row>
    <row r="20796" spans="104:111">
      <c r="CZ20796" s="256"/>
      <c r="DG20796" s="256"/>
    </row>
    <row r="20797" spans="104:111">
      <c r="CZ20797" s="256"/>
      <c r="DG20797" s="256"/>
    </row>
    <row r="20798" spans="104:111">
      <c r="CZ20798" s="256"/>
      <c r="DG20798" s="256"/>
    </row>
    <row r="20799" spans="104:111">
      <c r="CZ20799" s="256"/>
      <c r="DG20799" s="256"/>
    </row>
    <row r="20800" spans="104:111">
      <c r="CZ20800" s="256"/>
      <c r="DG20800" s="256"/>
    </row>
    <row r="20801" spans="104:111">
      <c r="CZ20801" s="256"/>
      <c r="DG20801" s="256"/>
    </row>
    <row r="20802" spans="104:111">
      <c r="CZ20802" s="256"/>
      <c r="DG20802" s="256"/>
    </row>
    <row r="20803" spans="104:111">
      <c r="CZ20803" s="256"/>
      <c r="DG20803" s="256"/>
    </row>
    <row r="20804" spans="104:111">
      <c r="CZ20804" s="256"/>
      <c r="DG20804" s="256"/>
    </row>
    <row r="20805" spans="104:111">
      <c r="CZ20805" s="256"/>
      <c r="DG20805" s="256"/>
    </row>
    <row r="20806" spans="104:111">
      <c r="CZ20806" s="256"/>
      <c r="DG20806" s="256"/>
    </row>
    <row r="20807" spans="104:111">
      <c r="CZ20807" s="256"/>
      <c r="DG20807" s="256"/>
    </row>
    <row r="20808" spans="104:111">
      <c r="CZ20808" s="256"/>
      <c r="DG20808" s="256"/>
    </row>
    <row r="20809" spans="104:111">
      <c r="CZ20809" s="256"/>
      <c r="DG20809" s="256"/>
    </row>
    <row r="20810" spans="104:111">
      <c r="CZ20810" s="256"/>
      <c r="DG20810" s="256"/>
    </row>
    <row r="20811" spans="104:111">
      <c r="CZ20811" s="256"/>
      <c r="DG20811" s="256"/>
    </row>
    <row r="20812" spans="104:111">
      <c r="CZ20812" s="256"/>
      <c r="DG20812" s="256"/>
    </row>
    <row r="20813" spans="104:111">
      <c r="CZ20813" s="256"/>
      <c r="DG20813" s="256"/>
    </row>
    <row r="20814" spans="104:111">
      <c r="CZ20814" s="256"/>
      <c r="DG20814" s="256"/>
    </row>
    <row r="20815" spans="104:111">
      <c r="CZ20815" s="256"/>
      <c r="DG20815" s="256"/>
    </row>
    <row r="20816" spans="104:111">
      <c r="CZ20816" s="256"/>
      <c r="DG20816" s="256"/>
    </row>
    <row r="20817" spans="104:111">
      <c r="CZ20817" s="256"/>
      <c r="DG20817" s="256"/>
    </row>
    <row r="20818" spans="104:111">
      <c r="CZ20818" s="256"/>
      <c r="DG20818" s="256"/>
    </row>
    <row r="20819" spans="104:111">
      <c r="CZ20819" s="256"/>
      <c r="DG20819" s="256"/>
    </row>
    <row r="20820" spans="104:111">
      <c r="CZ20820" s="256"/>
      <c r="DG20820" s="256"/>
    </row>
    <row r="20821" spans="104:111">
      <c r="CZ20821" s="256"/>
      <c r="DG20821" s="256"/>
    </row>
    <row r="20822" spans="104:111">
      <c r="CZ20822" s="256"/>
      <c r="DG20822" s="256"/>
    </row>
    <row r="20823" spans="104:111">
      <c r="CZ20823" s="256"/>
      <c r="DG20823" s="256"/>
    </row>
    <row r="20824" spans="104:111">
      <c r="CZ20824" s="256"/>
      <c r="DG20824" s="256"/>
    </row>
    <row r="20825" spans="104:111">
      <c r="CZ20825" s="256"/>
      <c r="DG20825" s="256"/>
    </row>
    <row r="20826" spans="104:111">
      <c r="CZ20826" s="256"/>
      <c r="DG20826" s="256"/>
    </row>
    <row r="20827" spans="104:111">
      <c r="CZ20827" s="256"/>
      <c r="DG20827" s="256"/>
    </row>
    <row r="20828" spans="104:111">
      <c r="CZ20828" s="256"/>
      <c r="DG20828" s="256"/>
    </row>
    <row r="20829" spans="104:111">
      <c r="CZ20829" s="256"/>
      <c r="DG20829" s="256"/>
    </row>
    <row r="20830" spans="104:111">
      <c r="CZ20830" s="256"/>
      <c r="DG20830" s="256"/>
    </row>
    <row r="20831" spans="104:111">
      <c r="CZ20831" s="256"/>
      <c r="DG20831" s="256"/>
    </row>
    <row r="20832" spans="104:111">
      <c r="CZ20832" s="256"/>
      <c r="DG20832" s="256"/>
    </row>
    <row r="20833" spans="104:111">
      <c r="CZ20833" s="256"/>
      <c r="DG20833" s="256"/>
    </row>
    <row r="20834" spans="104:111">
      <c r="CZ20834" s="256"/>
      <c r="DG20834" s="256"/>
    </row>
    <row r="20835" spans="104:111">
      <c r="CZ20835" s="256"/>
      <c r="DG20835" s="256"/>
    </row>
    <row r="20836" spans="104:111">
      <c r="CZ20836" s="256"/>
      <c r="DG20836" s="256"/>
    </row>
    <row r="20837" spans="104:111">
      <c r="CZ20837" s="256"/>
      <c r="DG20837" s="256"/>
    </row>
    <row r="20838" spans="104:111">
      <c r="CZ20838" s="256"/>
      <c r="DG20838" s="256"/>
    </row>
    <row r="20839" spans="104:111">
      <c r="CZ20839" s="256"/>
      <c r="DG20839" s="256"/>
    </row>
    <row r="20840" spans="104:111">
      <c r="CZ20840" s="256"/>
      <c r="DG20840" s="256"/>
    </row>
    <row r="20841" spans="104:111">
      <c r="CZ20841" s="256"/>
      <c r="DG20841" s="256"/>
    </row>
    <row r="20842" spans="104:111">
      <c r="CZ20842" s="256"/>
      <c r="DG20842" s="256"/>
    </row>
    <row r="20843" spans="104:111">
      <c r="CZ20843" s="256"/>
      <c r="DG20843" s="256"/>
    </row>
    <row r="20844" spans="104:111">
      <c r="CZ20844" s="256"/>
      <c r="DG20844" s="256"/>
    </row>
    <row r="20845" spans="104:111">
      <c r="CZ20845" s="256"/>
      <c r="DG20845" s="256"/>
    </row>
    <row r="20846" spans="104:111">
      <c r="CZ20846" s="256"/>
      <c r="DG20846" s="256"/>
    </row>
    <row r="20847" spans="104:111">
      <c r="CZ20847" s="256"/>
      <c r="DG20847" s="256"/>
    </row>
    <row r="20848" spans="104:111">
      <c r="CZ20848" s="256"/>
      <c r="DG20848" s="256"/>
    </row>
    <row r="20849" spans="104:111">
      <c r="CZ20849" s="256"/>
      <c r="DG20849" s="256"/>
    </row>
    <row r="20850" spans="104:111">
      <c r="CZ20850" s="256"/>
      <c r="DG20850" s="256"/>
    </row>
    <row r="20851" spans="104:111">
      <c r="CZ20851" s="256"/>
      <c r="DG20851" s="256"/>
    </row>
    <row r="20852" spans="104:111">
      <c r="CZ20852" s="256"/>
      <c r="DG20852" s="256"/>
    </row>
    <row r="20853" spans="104:111">
      <c r="CZ20853" s="256"/>
      <c r="DG20853" s="256"/>
    </row>
    <row r="20854" spans="104:111">
      <c r="CZ20854" s="256"/>
      <c r="DG20854" s="256"/>
    </row>
    <row r="20855" spans="104:111">
      <c r="CZ20855" s="256"/>
      <c r="DG20855" s="256"/>
    </row>
    <row r="20856" spans="104:111">
      <c r="CZ20856" s="256"/>
      <c r="DG20856" s="256"/>
    </row>
    <row r="20857" spans="104:111">
      <c r="CZ20857" s="256"/>
      <c r="DG20857" s="256"/>
    </row>
    <row r="20858" spans="104:111">
      <c r="CZ20858" s="256"/>
      <c r="DG20858" s="256"/>
    </row>
    <row r="20859" spans="104:111">
      <c r="CZ20859" s="256"/>
      <c r="DG20859" s="256"/>
    </row>
    <row r="20860" spans="104:111">
      <c r="CZ20860" s="256"/>
      <c r="DG20860" s="256"/>
    </row>
    <row r="20861" spans="104:111">
      <c r="CZ20861" s="256"/>
      <c r="DG20861" s="256"/>
    </row>
    <row r="20862" spans="104:111">
      <c r="CZ20862" s="256"/>
      <c r="DG20862" s="256"/>
    </row>
    <row r="20863" spans="104:111">
      <c r="CZ20863" s="256"/>
      <c r="DG20863" s="256"/>
    </row>
    <row r="20864" spans="104:111">
      <c r="CZ20864" s="256"/>
      <c r="DG20864" s="256"/>
    </row>
    <row r="20865" spans="104:111">
      <c r="CZ20865" s="256"/>
      <c r="DG20865" s="256"/>
    </row>
    <row r="20866" spans="104:111">
      <c r="CZ20866" s="256"/>
      <c r="DG20866" s="256"/>
    </row>
    <row r="20867" spans="104:111">
      <c r="CZ20867" s="256"/>
      <c r="DG20867" s="256"/>
    </row>
    <row r="20868" spans="104:111">
      <c r="CZ20868" s="256"/>
      <c r="DG20868" s="256"/>
    </row>
    <row r="20869" spans="104:111">
      <c r="CZ20869" s="256"/>
      <c r="DG20869" s="256"/>
    </row>
    <row r="20870" spans="104:111">
      <c r="CZ20870" s="256"/>
      <c r="DG20870" s="256"/>
    </row>
    <row r="20871" spans="104:111">
      <c r="CZ20871" s="256"/>
      <c r="DG20871" s="256"/>
    </row>
    <row r="20872" spans="104:111">
      <c r="CZ20872" s="256"/>
      <c r="DG20872" s="256"/>
    </row>
    <row r="20873" spans="104:111">
      <c r="CZ20873" s="256"/>
      <c r="DG20873" s="256"/>
    </row>
    <row r="20874" spans="104:111">
      <c r="CZ20874" s="256"/>
      <c r="DG20874" s="256"/>
    </row>
    <row r="20875" spans="104:111">
      <c r="CZ20875" s="256"/>
      <c r="DG20875" s="256"/>
    </row>
    <row r="20876" spans="104:111">
      <c r="CZ20876" s="256"/>
      <c r="DG20876" s="256"/>
    </row>
    <row r="20877" spans="104:111">
      <c r="CZ20877" s="256"/>
      <c r="DG20877" s="256"/>
    </row>
    <row r="20878" spans="104:111">
      <c r="CZ20878" s="256"/>
      <c r="DG20878" s="256"/>
    </row>
    <row r="20879" spans="104:111">
      <c r="CZ20879" s="256"/>
      <c r="DG20879" s="256"/>
    </row>
    <row r="20880" spans="104:111">
      <c r="CZ20880" s="256"/>
      <c r="DG20880" s="256"/>
    </row>
    <row r="20881" spans="104:111">
      <c r="CZ20881" s="256"/>
      <c r="DG20881" s="256"/>
    </row>
    <row r="20882" spans="104:111">
      <c r="CZ20882" s="256"/>
      <c r="DG20882" s="256"/>
    </row>
    <row r="20883" spans="104:111">
      <c r="CZ20883" s="256"/>
      <c r="DG20883" s="256"/>
    </row>
    <row r="20884" spans="104:111">
      <c r="CZ20884" s="256"/>
      <c r="DG20884" s="256"/>
    </row>
    <row r="20885" spans="104:111">
      <c r="CZ20885" s="256"/>
      <c r="DG20885" s="256"/>
    </row>
    <row r="20886" spans="104:111">
      <c r="CZ20886" s="256"/>
      <c r="DG20886" s="256"/>
    </row>
    <row r="20887" spans="104:111">
      <c r="CZ20887" s="256"/>
      <c r="DG20887" s="256"/>
    </row>
    <row r="20888" spans="104:111">
      <c r="CZ20888" s="256"/>
      <c r="DG20888" s="256"/>
    </row>
    <row r="20889" spans="104:111">
      <c r="CZ20889" s="256"/>
      <c r="DG20889" s="256"/>
    </row>
    <row r="20890" spans="104:111">
      <c r="CZ20890" s="256"/>
      <c r="DG20890" s="256"/>
    </row>
    <row r="20891" spans="104:111">
      <c r="CZ20891" s="256"/>
      <c r="DG20891" s="256"/>
    </row>
    <row r="20892" spans="104:111">
      <c r="CZ20892" s="256"/>
      <c r="DG20892" s="256"/>
    </row>
    <row r="20893" spans="104:111">
      <c r="CZ20893" s="256"/>
      <c r="DG20893" s="256"/>
    </row>
    <row r="20894" spans="104:111">
      <c r="CZ20894" s="256"/>
      <c r="DG20894" s="256"/>
    </row>
    <row r="20895" spans="104:111">
      <c r="CZ20895" s="256"/>
      <c r="DG20895" s="256"/>
    </row>
    <row r="20896" spans="104:111">
      <c r="CZ20896" s="256"/>
      <c r="DG20896" s="256"/>
    </row>
    <row r="20897" spans="104:111">
      <c r="CZ20897" s="256"/>
      <c r="DG20897" s="256"/>
    </row>
    <row r="20898" spans="104:111">
      <c r="CZ20898" s="256"/>
      <c r="DG20898" s="256"/>
    </row>
    <row r="20899" spans="104:111">
      <c r="CZ20899" s="256"/>
      <c r="DG20899" s="256"/>
    </row>
    <row r="20900" spans="104:111">
      <c r="CZ20900" s="256"/>
      <c r="DG20900" s="256"/>
    </row>
    <row r="20901" spans="104:111">
      <c r="CZ20901" s="256"/>
      <c r="DG20901" s="256"/>
    </row>
    <row r="20902" spans="104:111">
      <c r="CZ20902" s="256"/>
      <c r="DG20902" s="256"/>
    </row>
    <row r="20903" spans="104:111">
      <c r="CZ20903" s="256"/>
      <c r="DG20903" s="256"/>
    </row>
    <row r="20904" spans="104:111">
      <c r="CZ20904" s="256"/>
      <c r="DG20904" s="256"/>
    </row>
    <row r="20905" spans="104:111">
      <c r="CZ20905" s="256"/>
      <c r="DG20905" s="256"/>
    </row>
    <row r="20906" spans="104:111">
      <c r="CZ20906" s="256"/>
      <c r="DG20906" s="256"/>
    </row>
    <row r="20907" spans="104:111">
      <c r="CZ20907" s="256"/>
      <c r="DG20907" s="256"/>
    </row>
    <row r="20908" spans="104:111">
      <c r="CZ20908" s="256"/>
      <c r="DG20908" s="256"/>
    </row>
    <row r="20909" spans="104:111">
      <c r="CZ20909" s="256"/>
      <c r="DG20909" s="256"/>
    </row>
    <row r="20910" spans="104:111">
      <c r="CZ20910" s="256"/>
      <c r="DG20910" s="256"/>
    </row>
    <row r="20911" spans="104:111">
      <c r="CZ20911" s="256"/>
      <c r="DG20911" s="256"/>
    </row>
    <row r="20912" spans="104:111">
      <c r="CZ20912" s="256"/>
      <c r="DG20912" s="256"/>
    </row>
    <row r="20913" spans="104:111">
      <c r="CZ20913" s="256"/>
      <c r="DG20913" s="256"/>
    </row>
    <row r="20914" spans="104:111">
      <c r="CZ20914" s="256"/>
      <c r="DG20914" s="256"/>
    </row>
    <row r="20915" spans="104:111">
      <c r="CZ20915" s="256"/>
      <c r="DG20915" s="256"/>
    </row>
    <row r="20916" spans="104:111">
      <c r="CZ20916" s="256"/>
      <c r="DG20916" s="256"/>
    </row>
    <row r="20917" spans="104:111">
      <c r="CZ20917" s="256"/>
      <c r="DG20917" s="256"/>
    </row>
    <row r="20918" spans="104:111">
      <c r="CZ20918" s="256"/>
      <c r="DG20918" s="256"/>
    </row>
    <row r="20919" spans="104:111">
      <c r="CZ20919" s="256"/>
      <c r="DG20919" s="256"/>
    </row>
    <row r="20920" spans="104:111">
      <c r="CZ20920" s="256"/>
      <c r="DG20920" s="256"/>
    </row>
    <row r="20921" spans="104:111">
      <c r="CZ20921" s="256"/>
      <c r="DG20921" s="256"/>
    </row>
    <row r="20922" spans="104:111">
      <c r="CZ20922" s="256"/>
      <c r="DG20922" s="256"/>
    </row>
    <row r="20923" spans="104:111">
      <c r="CZ20923" s="256"/>
      <c r="DG20923" s="256"/>
    </row>
    <row r="20924" spans="104:111">
      <c r="CZ20924" s="256"/>
      <c r="DG20924" s="256"/>
    </row>
    <row r="20925" spans="104:111">
      <c r="CZ20925" s="256"/>
      <c r="DG20925" s="256"/>
    </row>
    <row r="20926" spans="104:111">
      <c r="CZ20926" s="256"/>
      <c r="DG20926" s="256"/>
    </row>
    <row r="20927" spans="104:111">
      <c r="CZ20927" s="256"/>
      <c r="DG20927" s="256"/>
    </row>
    <row r="20928" spans="104:111">
      <c r="CZ20928" s="256"/>
      <c r="DG20928" s="256"/>
    </row>
    <row r="20929" spans="104:111">
      <c r="CZ20929" s="256"/>
      <c r="DG20929" s="256"/>
    </row>
    <row r="20930" spans="104:111">
      <c r="CZ20930" s="256"/>
      <c r="DG20930" s="256"/>
    </row>
    <row r="20931" spans="104:111">
      <c r="CZ20931" s="256"/>
      <c r="DG20931" s="256"/>
    </row>
    <row r="20932" spans="104:111">
      <c r="CZ20932" s="256"/>
      <c r="DG20932" s="256"/>
    </row>
    <row r="20933" spans="104:111">
      <c r="CZ20933" s="256"/>
      <c r="DG20933" s="256"/>
    </row>
    <row r="20934" spans="104:111">
      <c r="CZ20934" s="256"/>
      <c r="DG20934" s="256"/>
    </row>
    <row r="20935" spans="104:111">
      <c r="CZ20935" s="256"/>
      <c r="DG20935" s="256"/>
    </row>
    <row r="20936" spans="104:111">
      <c r="CZ20936" s="256"/>
      <c r="DG20936" s="256"/>
    </row>
    <row r="20937" spans="104:111">
      <c r="CZ20937" s="256"/>
      <c r="DG20937" s="256"/>
    </row>
    <row r="20938" spans="104:111">
      <c r="CZ20938" s="256"/>
      <c r="DG20938" s="256"/>
    </row>
    <row r="20939" spans="104:111">
      <c r="CZ20939" s="256"/>
      <c r="DG20939" s="256"/>
    </row>
    <row r="20940" spans="104:111">
      <c r="CZ20940" s="256"/>
      <c r="DG20940" s="256"/>
    </row>
    <row r="20941" spans="104:111">
      <c r="CZ20941" s="256"/>
      <c r="DG20941" s="256"/>
    </row>
    <row r="20942" spans="104:111">
      <c r="CZ20942" s="256"/>
      <c r="DG20942" s="256"/>
    </row>
    <row r="20943" spans="104:111">
      <c r="CZ20943" s="256"/>
      <c r="DG20943" s="256"/>
    </row>
    <row r="20944" spans="104:111">
      <c r="CZ20944" s="256"/>
      <c r="DG20944" s="256"/>
    </row>
    <row r="20945" spans="104:111">
      <c r="CZ20945" s="256"/>
      <c r="DG20945" s="256"/>
    </row>
    <row r="20946" spans="104:111">
      <c r="CZ20946" s="256"/>
      <c r="DG20946" s="256"/>
    </row>
    <row r="20947" spans="104:111">
      <c r="CZ20947" s="256"/>
      <c r="DG20947" s="256"/>
    </row>
    <row r="20948" spans="104:111">
      <c r="CZ20948" s="256"/>
      <c r="DG20948" s="256"/>
    </row>
    <row r="20949" spans="104:111">
      <c r="CZ20949" s="256"/>
      <c r="DG20949" s="256"/>
    </row>
    <row r="20950" spans="104:111">
      <c r="CZ20950" s="256"/>
      <c r="DG20950" s="256"/>
    </row>
    <row r="20951" spans="104:111">
      <c r="CZ20951" s="256"/>
      <c r="DG20951" s="256"/>
    </row>
    <row r="20952" spans="104:111">
      <c r="CZ20952" s="256"/>
      <c r="DG20952" s="256"/>
    </row>
    <row r="20953" spans="104:111">
      <c r="CZ20953" s="256"/>
      <c r="DG20953" s="256"/>
    </row>
    <row r="20954" spans="104:111">
      <c r="CZ20954" s="256"/>
      <c r="DG20954" s="256"/>
    </row>
    <row r="20955" spans="104:111">
      <c r="CZ20955" s="256"/>
      <c r="DG20955" s="256"/>
    </row>
    <row r="20956" spans="104:111">
      <c r="CZ20956" s="256"/>
      <c r="DG20956" s="256"/>
    </row>
    <row r="20957" spans="104:111">
      <c r="CZ20957" s="256"/>
      <c r="DG20957" s="256"/>
    </row>
    <row r="20958" spans="104:111">
      <c r="CZ20958" s="256"/>
      <c r="DG20958" s="256"/>
    </row>
    <row r="20959" spans="104:111">
      <c r="CZ20959" s="256"/>
      <c r="DG20959" s="256"/>
    </row>
    <row r="20960" spans="104:111">
      <c r="CZ20960" s="256"/>
      <c r="DG20960" s="256"/>
    </row>
    <row r="20961" spans="104:111">
      <c r="CZ20961" s="256"/>
      <c r="DG20961" s="256"/>
    </row>
    <row r="20962" spans="104:111">
      <c r="CZ20962" s="256"/>
      <c r="DG20962" s="256"/>
    </row>
    <row r="20963" spans="104:111">
      <c r="CZ20963" s="256"/>
      <c r="DG20963" s="256"/>
    </row>
    <row r="20964" spans="104:111">
      <c r="CZ20964" s="256"/>
      <c r="DG20964" s="256"/>
    </row>
    <row r="20965" spans="104:111">
      <c r="CZ20965" s="256"/>
      <c r="DG20965" s="256"/>
    </row>
    <row r="20966" spans="104:111">
      <c r="CZ20966" s="256"/>
      <c r="DG20966" s="256"/>
    </row>
    <row r="20967" spans="104:111">
      <c r="CZ20967" s="256"/>
      <c r="DG20967" s="256"/>
    </row>
    <row r="20968" spans="104:111">
      <c r="CZ20968" s="256"/>
      <c r="DG20968" s="256"/>
    </row>
    <row r="20969" spans="104:111">
      <c r="CZ20969" s="256"/>
      <c r="DG20969" s="256"/>
    </row>
    <row r="20970" spans="104:111">
      <c r="CZ20970" s="256"/>
      <c r="DG20970" s="256"/>
    </row>
    <row r="20971" spans="104:111">
      <c r="CZ20971" s="256"/>
      <c r="DG20971" s="256"/>
    </row>
    <row r="20972" spans="104:111">
      <c r="CZ20972" s="256"/>
      <c r="DG20972" s="256"/>
    </row>
    <row r="20973" spans="104:111">
      <c r="CZ20973" s="256"/>
      <c r="DG20973" s="256"/>
    </row>
    <row r="20974" spans="104:111">
      <c r="CZ20974" s="256"/>
      <c r="DG20974" s="256"/>
    </row>
    <row r="20975" spans="104:111">
      <c r="CZ20975" s="256"/>
      <c r="DG20975" s="256"/>
    </row>
    <row r="20976" spans="104:111">
      <c r="CZ20976" s="256"/>
      <c r="DG20976" s="256"/>
    </row>
    <row r="20977" spans="104:111">
      <c r="CZ20977" s="256"/>
      <c r="DG20977" s="256"/>
    </row>
    <row r="20978" spans="104:111">
      <c r="CZ20978" s="256"/>
      <c r="DG20978" s="256"/>
    </row>
    <row r="20979" spans="104:111">
      <c r="CZ20979" s="256"/>
      <c r="DG20979" s="256"/>
    </row>
    <row r="20980" spans="104:111">
      <c r="CZ20980" s="256"/>
      <c r="DG20980" s="256"/>
    </row>
    <row r="20981" spans="104:111">
      <c r="CZ20981" s="256"/>
      <c r="DG20981" s="256"/>
    </row>
    <row r="20982" spans="104:111">
      <c r="CZ20982" s="256"/>
      <c r="DG20982" s="256"/>
    </row>
    <row r="20983" spans="104:111">
      <c r="CZ20983" s="256"/>
      <c r="DG20983" s="256"/>
    </row>
    <row r="20984" spans="104:111">
      <c r="CZ20984" s="256"/>
      <c r="DG20984" s="256"/>
    </row>
    <row r="20985" spans="104:111">
      <c r="CZ20985" s="256"/>
      <c r="DG20985" s="256"/>
    </row>
    <row r="20986" spans="104:111">
      <c r="CZ20986" s="256"/>
      <c r="DG20986" s="256"/>
    </row>
    <row r="20987" spans="104:111">
      <c r="CZ20987" s="256"/>
      <c r="DG20987" s="256"/>
    </row>
    <row r="20988" spans="104:111">
      <c r="CZ20988" s="256"/>
      <c r="DG20988" s="256"/>
    </row>
    <row r="20989" spans="104:111">
      <c r="CZ20989" s="256"/>
      <c r="DG20989" s="256"/>
    </row>
    <row r="20990" spans="104:111">
      <c r="CZ20990" s="256"/>
      <c r="DG20990" s="256"/>
    </row>
    <row r="20991" spans="104:111">
      <c r="CZ20991" s="256"/>
      <c r="DG20991" s="256"/>
    </row>
    <row r="20992" spans="104:111">
      <c r="CZ20992" s="256"/>
      <c r="DG20992" s="256"/>
    </row>
    <row r="20993" spans="104:111">
      <c r="CZ20993" s="256"/>
      <c r="DG20993" s="256"/>
    </row>
    <row r="20994" spans="104:111">
      <c r="CZ20994" s="256"/>
      <c r="DG20994" s="256"/>
    </row>
    <row r="20995" spans="104:111">
      <c r="CZ20995" s="256"/>
      <c r="DG20995" s="256"/>
    </row>
    <row r="20996" spans="104:111">
      <c r="CZ20996" s="256"/>
      <c r="DG20996" s="256"/>
    </row>
    <row r="20997" spans="104:111">
      <c r="CZ20997" s="256"/>
      <c r="DG20997" s="256"/>
    </row>
    <row r="20998" spans="104:111">
      <c r="CZ20998" s="256"/>
      <c r="DG20998" s="256"/>
    </row>
    <row r="20999" spans="104:111">
      <c r="CZ20999" s="256"/>
      <c r="DG20999" s="256"/>
    </row>
    <row r="21000" spans="104:111">
      <c r="CZ21000" s="256"/>
      <c r="DG21000" s="256"/>
    </row>
    <row r="21001" spans="104:111">
      <c r="CZ21001" s="256"/>
      <c r="DG21001" s="256"/>
    </row>
    <row r="21002" spans="104:111">
      <c r="CZ21002" s="256"/>
      <c r="DG21002" s="256"/>
    </row>
    <row r="21003" spans="104:111">
      <c r="CZ21003" s="256"/>
      <c r="DG21003" s="256"/>
    </row>
    <row r="21004" spans="104:111">
      <c r="CZ21004" s="256"/>
      <c r="DG21004" s="256"/>
    </row>
    <row r="21005" spans="104:111">
      <c r="CZ21005" s="256"/>
      <c r="DG21005" s="256"/>
    </row>
    <row r="21006" spans="104:111">
      <c r="CZ21006" s="256"/>
      <c r="DG21006" s="256"/>
    </row>
    <row r="21007" spans="104:111">
      <c r="CZ21007" s="256"/>
      <c r="DG21007" s="256"/>
    </row>
    <row r="21008" spans="104:111">
      <c r="CZ21008" s="256"/>
      <c r="DG21008" s="256"/>
    </row>
    <row r="21009" spans="104:111">
      <c r="CZ21009" s="256"/>
      <c r="DG21009" s="256"/>
    </row>
    <row r="21010" spans="104:111">
      <c r="CZ21010" s="256"/>
      <c r="DG21010" s="256"/>
    </row>
    <row r="21011" spans="104:111">
      <c r="CZ21011" s="256"/>
      <c r="DG21011" s="256"/>
    </row>
    <row r="21012" spans="104:111">
      <c r="CZ21012" s="256"/>
      <c r="DG21012" s="256"/>
    </row>
    <row r="21013" spans="104:111">
      <c r="CZ21013" s="256"/>
      <c r="DG21013" s="256"/>
    </row>
    <row r="21014" spans="104:111">
      <c r="CZ21014" s="256"/>
      <c r="DG21014" s="256"/>
    </row>
    <row r="21015" spans="104:111">
      <c r="CZ21015" s="256"/>
      <c r="DG21015" s="256"/>
    </row>
    <row r="21016" spans="104:111">
      <c r="CZ21016" s="256"/>
      <c r="DG21016" s="256"/>
    </row>
    <row r="21017" spans="104:111">
      <c r="CZ21017" s="256"/>
      <c r="DG21017" s="256"/>
    </row>
    <row r="21018" spans="104:111">
      <c r="CZ21018" s="256"/>
      <c r="DG21018" s="256"/>
    </row>
    <row r="21019" spans="104:111">
      <c r="CZ21019" s="256"/>
      <c r="DG21019" s="256"/>
    </row>
    <row r="21020" spans="104:111">
      <c r="CZ21020" s="256"/>
      <c r="DG21020" s="256"/>
    </row>
    <row r="21021" spans="104:111">
      <c r="CZ21021" s="256"/>
      <c r="DG21021" s="256"/>
    </row>
    <row r="21022" spans="104:111">
      <c r="CZ21022" s="256"/>
      <c r="DG21022" s="256"/>
    </row>
    <row r="21023" spans="104:111">
      <c r="CZ21023" s="256"/>
      <c r="DG21023" s="256"/>
    </row>
    <row r="21024" spans="104:111">
      <c r="CZ21024" s="256"/>
      <c r="DG21024" s="256"/>
    </row>
    <row r="21025" spans="104:111">
      <c r="CZ21025" s="256"/>
      <c r="DG21025" s="256"/>
    </row>
    <row r="21026" spans="104:111">
      <c r="CZ21026" s="256"/>
      <c r="DG21026" s="256"/>
    </row>
    <row r="21027" spans="104:111">
      <c r="CZ21027" s="256"/>
      <c r="DG21027" s="256"/>
    </row>
    <row r="21028" spans="104:111">
      <c r="CZ21028" s="256"/>
      <c r="DG21028" s="256"/>
    </row>
    <row r="21029" spans="104:111">
      <c r="CZ21029" s="256"/>
      <c r="DG21029" s="256"/>
    </row>
    <row r="21030" spans="104:111">
      <c r="CZ21030" s="256"/>
      <c r="DG21030" s="256"/>
    </row>
    <row r="21031" spans="104:111">
      <c r="CZ21031" s="256"/>
      <c r="DG21031" s="256"/>
    </row>
    <row r="21032" spans="104:111">
      <c r="CZ21032" s="256"/>
      <c r="DG21032" s="256"/>
    </row>
    <row r="21033" spans="104:111">
      <c r="CZ21033" s="256"/>
      <c r="DG21033" s="256"/>
    </row>
    <row r="21034" spans="104:111">
      <c r="CZ21034" s="256"/>
      <c r="DG21034" s="256"/>
    </row>
    <row r="21035" spans="104:111">
      <c r="CZ21035" s="256"/>
      <c r="DG21035" s="256"/>
    </row>
    <row r="21036" spans="104:111">
      <c r="CZ21036" s="256"/>
      <c r="DG21036" s="256"/>
    </row>
    <row r="21037" spans="104:111">
      <c r="CZ21037" s="256"/>
      <c r="DG21037" s="256"/>
    </row>
    <row r="21038" spans="104:111">
      <c r="CZ21038" s="256"/>
      <c r="DG21038" s="256"/>
    </row>
    <row r="21039" spans="104:111">
      <c r="CZ21039" s="256"/>
      <c r="DG21039" s="256"/>
    </row>
    <row r="21040" spans="104:111">
      <c r="CZ21040" s="256"/>
      <c r="DG21040" s="256"/>
    </row>
    <row r="21041" spans="104:111">
      <c r="CZ21041" s="256"/>
      <c r="DG21041" s="256"/>
    </row>
    <row r="21042" spans="104:111">
      <c r="CZ21042" s="256"/>
      <c r="DG21042" s="256"/>
    </row>
    <row r="21043" spans="104:111">
      <c r="CZ21043" s="256"/>
      <c r="DG21043" s="256"/>
    </row>
    <row r="21044" spans="104:111">
      <c r="CZ21044" s="256"/>
      <c r="DG21044" s="256"/>
    </row>
    <row r="21045" spans="104:111">
      <c r="CZ21045" s="256"/>
      <c r="DG21045" s="256"/>
    </row>
    <row r="21046" spans="104:111">
      <c r="CZ21046" s="256"/>
      <c r="DG21046" s="256"/>
    </row>
    <row r="21047" spans="104:111">
      <c r="CZ21047" s="256"/>
      <c r="DG21047" s="256"/>
    </row>
    <row r="21048" spans="104:111">
      <c r="CZ21048" s="256"/>
      <c r="DG21048" s="256"/>
    </row>
    <row r="21049" spans="104:111">
      <c r="CZ21049" s="256"/>
      <c r="DG21049" s="256"/>
    </row>
    <row r="21050" spans="104:111">
      <c r="CZ21050" s="256"/>
      <c r="DG21050" s="256"/>
    </row>
    <row r="21051" spans="104:111">
      <c r="CZ21051" s="256"/>
      <c r="DG21051" s="256"/>
    </row>
    <row r="21052" spans="104:111">
      <c r="CZ21052" s="256"/>
      <c r="DG21052" s="256"/>
    </row>
    <row r="21053" spans="104:111">
      <c r="CZ21053" s="256"/>
      <c r="DG21053" s="256"/>
    </row>
    <row r="21054" spans="104:111">
      <c r="CZ21054" s="256"/>
      <c r="DG21054" s="256"/>
    </row>
    <row r="21055" spans="104:111">
      <c r="CZ21055" s="256"/>
      <c r="DG21055" s="256"/>
    </row>
    <row r="21056" spans="104:111">
      <c r="CZ21056" s="256"/>
      <c r="DG21056" s="256"/>
    </row>
    <row r="21057" spans="104:111">
      <c r="CZ21057" s="256"/>
      <c r="DG21057" s="256"/>
    </row>
    <row r="21058" spans="104:111">
      <c r="CZ21058" s="256"/>
      <c r="DG21058" s="256"/>
    </row>
    <row r="21059" spans="104:111">
      <c r="CZ21059" s="256"/>
      <c r="DG21059" s="256"/>
    </row>
    <row r="21060" spans="104:111">
      <c r="CZ21060" s="256"/>
      <c r="DG21060" s="256"/>
    </row>
    <row r="21061" spans="104:111">
      <c r="CZ21061" s="256"/>
      <c r="DG21061" s="256"/>
    </row>
    <row r="21062" spans="104:111">
      <c r="CZ21062" s="256"/>
      <c r="DG21062" s="256"/>
    </row>
    <row r="21063" spans="104:111">
      <c r="CZ21063" s="256"/>
      <c r="DG21063" s="256"/>
    </row>
    <row r="21064" spans="104:111">
      <c r="CZ21064" s="256"/>
      <c r="DG21064" s="256"/>
    </row>
    <row r="21065" spans="104:111">
      <c r="CZ21065" s="256"/>
      <c r="DG21065" s="256"/>
    </row>
    <row r="21066" spans="104:111">
      <c r="CZ21066" s="256"/>
      <c r="DG21066" s="256"/>
    </row>
    <row r="21067" spans="104:111">
      <c r="CZ21067" s="256"/>
      <c r="DG21067" s="256"/>
    </row>
    <row r="21068" spans="104:111">
      <c r="CZ21068" s="256"/>
      <c r="DG21068" s="256"/>
    </row>
    <row r="21069" spans="104:111">
      <c r="CZ21069" s="256"/>
      <c r="DG21069" s="256"/>
    </row>
    <row r="21070" spans="104:111">
      <c r="CZ21070" s="256"/>
      <c r="DG21070" s="256"/>
    </row>
    <row r="21071" spans="104:111">
      <c r="CZ21071" s="256"/>
      <c r="DG21071" s="256"/>
    </row>
    <row r="21072" spans="104:111">
      <c r="CZ21072" s="256"/>
      <c r="DG21072" s="256"/>
    </row>
    <row r="21073" spans="104:111">
      <c r="CZ21073" s="256"/>
      <c r="DG21073" s="256"/>
    </row>
    <row r="21074" spans="104:111">
      <c r="CZ21074" s="256"/>
      <c r="DG21074" s="256"/>
    </row>
    <row r="21075" spans="104:111">
      <c r="CZ21075" s="256"/>
      <c r="DG21075" s="256"/>
    </row>
    <row r="21076" spans="104:111">
      <c r="CZ21076" s="256"/>
      <c r="DG21076" s="256"/>
    </row>
    <row r="21077" spans="104:111">
      <c r="CZ21077" s="256"/>
      <c r="DG21077" s="256"/>
    </row>
    <row r="21078" spans="104:111">
      <c r="CZ21078" s="256"/>
      <c r="DG21078" s="256"/>
    </row>
    <row r="21079" spans="104:111">
      <c r="CZ21079" s="256"/>
      <c r="DG21079" s="256"/>
    </row>
    <row r="21080" spans="104:111">
      <c r="CZ21080" s="256"/>
      <c r="DG21080" s="256"/>
    </row>
    <row r="21081" spans="104:111">
      <c r="CZ21081" s="256"/>
      <c r="DG21081" s="256"/>
    </row>
    <row r="21082" spans="104:111">
      <c r="CZ21082" s="256"/>
      <c r="DG21082" s="256"/>
    </row>
    <row r="21083" spans="104:111">
      <c r="CZ21083" s="256"/>
      <c r="DG21083" s="256"/>
    </row>
    <row r="21084" spans="104:111">
      <c r="CZ21084" s="256"/>
      <c r="DG21084" s="256"/>
    </row>
    <row r="21085" spans="104:111">
      <c r="CZ21085" s="256"/>
      <c r="DG21085" s="256"/>
    </row>
    <row r="21086" spans="104:111">
      <c r="CZ21086" s="256"/>
      <c r="DG21086" s="256"/>
    </row>
    <row r="21087" spans="104:111">
      <c r="CZ21087" s="256"/>
      <c r="DG21087" s="256"/>
    </row>
    <row r="21088" spans="104:111">
      <c r="CZ21088" s="256"/>
      <c r="DG21088" s="256"/>
    </row>
    <row r="21089" spans="104:111">
      <c r="CZ21089" s="256"/>
      <c r="DG21089" s="256"/>
    </row>
    <row r="21090" spans="104:111">
      <c r="CZ21090" s="256"/>
      <c r="DG21090" s="256"/>
    </row>
    <row r="21091" spans="104:111">
      <c r="CZ21091" s="256"/>
      <c r="DG21091" s="256"/>
    </row>
    <row r="21092" spans="104:111">
      <c r="CZ21092" s="256"/>
      <c r="DG21092" s="256"/>
    </row>
    <row r="21093" spans="104:111">
      <c r="CZ21093" s="256"/>
      <c r="DG21093" s="256"/>
    </row>
    <row r="21094" spans="104:111">
      <c r="CZ21094" s="256"/>
      <c r="DG21094" s="256"/>
    </row>
    <row r="21095" spans="104:111">
      <c r="CZ21095" s="256"/>
      <c r="DG21095" s="256"/>
    </row>
    <row r="21096" spans="104:111">
      <c r="CZ21096" s="256"/>
      <c r="DG21096" s="256"/>
    </row>
    <row r="21097" spans="104:111">
      <c r="CZ21097" s="256"/>
      <c r="DG21097" s="256"/>
    </row>
    <row r="21098" spans="104:111">
      <c r="CZ21098" s="256"/>
      <c r="DG21098" s="256"/>
    </row>
    <row r="21099" spans="104:111">
      <c r="CZ21099" s="256"/>
      <c r="DG21099" s="256"/>
    </row>
    <row r="21100" spans="104:111">
      <c r="CZ21100" s="256"/>
      <c r="DG21100" s="256"/>
    </row>
    <row r="21101" spans="104:111">
      <c r="CZ21101" s="256"/>
      <c r="DG21101" s="256"/>
    </row>
    <row r="21102" spans="104:111">
      <c r="CZ21102" s="256"/>
      <c r="DG21102" s="256"/>
    </row>
    <row r="21103" spans="104:111">
      <c r="CZ21103" s="256"/>
      <c r="DG21103" s="256"/>
    </row>
    <row r="21104" spans="104:111">
      <c r="CZ21104" s="256"/>
      <c r="DG21104" s="256"/>
    </row>
    <row r="21105" spans="104:111">
      <c r="CZ21105" s="256"/>
      <c r="DG21105" s="256"/>
    </row>
    <row r="21106" spans="104:111">
      <c r="CZ21106" s="256"/>
      <c r="DG21106" s="256"/>
    </row>
    <row r="21107" spans="104:111">
      <c r="CZ21107" s="256"/>
      <c r="DG21107" s="256"/>
    </row>
    <row r="21108" spans="104:111">
      <c r="CZ21108" s="256"/>
      <c r="DG21108" s="256"/>
    </row>
    <row r="21109" spans="104:111">
      <c r="CZ21109" s="256"/>
      <c r="DG21109" s="256"/>
    </row>
    <row r="21110" spans="104:111">
      <c r="CZ21110" s="256"/>
      <c r="DG21110" s="256"/>
    </row>
    <row r="21111" spans="104:111">
      <c r="CZ21111" s="256"/>
      <c r="DG21111" s="256"/>
    </row>
    <row r="21112" spans="104:111">
      <c r="CZ21112" s="256"/>
      <c r="DG21112" s="256"/>
    </row>
    <row r="21113" spans="104:111">
      <c r="CZ21113" s="256"/>
      <c r="DG21113" s="256"/>
    </row>
    <row r="21114" spans="104:111">
      <c r="CZ21114" s="256"/>
      <c r="DG21114" s="256"/>
    </row>
    <row r="21115" spans="104:111">
      <c r="CZ21115" s="256"/>
      <c r="DG21115" s="256"/>
    </row>
    <row r="21116" spans="104:111">
      <c r="CZ21116" s="256"/>
      <c r="DG21116" s="256"/>
    </row>
    <row r="21117" spans="104:111">
      <c r="CZ21117" s="256"/>
      <c r="DG21117" s="256"/>
    </row>
    <row r="21118" spans="104:111">
      <c r="CZ21118" s="256"/>
      <c r="DG21118" s="256"/>
    </row>
    <row r="21119" spans="104:111">
      <c r="CZ21119" s="256"/>
      <c r="DG21119" s="256"/>
    </row>
    <row r="21120" spans="104:111">
      <c r="CZ21120" s="256"/>
      <c r="DG21120" s="256"/>
    </row>
    <row r="21121" spans="104:111">
      <c r="CZ21121" s="256"/>
      <c r="DG21121" s="256"/>
    </row>
    <row r="21122" spans="104:111">
      <c r="CZ21122" s="256"/>
      <c r="DG21122" s="256"/>
    </row>
    <row r="21123" spans="104:111">
      <c r="CZ21123" s="256"/>
      <c r="DG21123" s="256"/>
    </row>
    <row r="21124" spans="104:111">
      <c r="CZ21124" s="256"/>
      <c r="DG21124" s="256"/>
    </row>
    <row r="21125" spans="104:111">
      <c r="CZ21125" s="256"/>
      <c r="DG21125" s="256"/>
    </row>
    <row r="21126" spans="104:111">
      <c r="CZ21126" s="256"/>
      <c r="DG21126" s="256"/>
    </row>
    <row r="21127" spans="104:111">
      <c r="CZ21127" s="256"/>
      <c r="DG21127" s="256"/>
    </row>
    <row r="21128" spans="104:111">
      <c r="CZ21128" s="256"/>
      <c r="DG21128" s="256"/>
    </row>
    <row r="21129" spans="104:111">
      <c r="CZ21129" s="256"/>
      <c r="DG21129" s="256"/>
    </row>
    <row r="21130" spans="104:111">
      <c r="CZ21130" s="256"/>
      <c r="DG21130" s="256"/>
    </row>
    <row r="21131" spans="104:111">
      <c r="CZ21131" s="256"/>
      <c r="DG21131" s="256"/>
    </row>
    <row r="21132" spans="104:111">
      <c r="CZ21132" s="256"/>
      <c r="DG21132" s="256"/>
    </row>
    <row r="21133" spans="104:111">
      <c r="CZ21133" s="256"/>
      <c r="DG21133" s="256"/>
    </row>
    <row r="21134" spans="104:111">
      <c r="CZ21134" s="256"/>
      <c r="DG21134" s="256"/>
    </row>
    <row r="21135" spans="104:111">
      <c r="CZ21135" s="256"/>
      <c r="DG21135" s="256"/>
    </row>
    <row r="21136" spans="104:111">
      <c r="CZ21136" s="256"/>
      <c r="DG21136" s="256"/>
    </row>
    <row r="21137" spans="104:111">
      <c r="CZ21137" s="256"/>
      <c r="DG21137" s="256"/>
    </row>
    <row r="21138" spans="104:111">
      <c r="CZ21138" s="256"/>
      <c r="DG21138" s="256"/>
    </row>
    <row r="21139" spans="104:111">
      <c r="CZ21139" s="256"/>
      <c r="DG21139" s="256"/>
    </row>
    <row r="21140" spans="104:111">
      <c r="CZ21140" s="256"/>
      <c r="DG21140" s="256"/>
    </row>
    <row r="21141" spans="104:111">
      <c r="CZ21141" s="256"/>
      <c r="DG21141" s="256"/>
    </row>
    <row r="21142" spans="104:111">
      <c r="CZ21142" s="256"/>
      <c r="DG21142" s="256"/>
    </row>
    <row r="21143" spans="104:111">
      <c r="CZ21143" s="256"/>
      <c r="DG21143" s="256"/>
    </row>
    <row r="21144" spans="104:111">
      <c r="CZ21144" s="256"/>
      <c r="DG21144" s="256"/>
    </row>
    <row r="21145" spans="104:111">
      <c r="CZ21145" s="256"/>
      <c r="DG21145" s="256"/>
    </row>
    <row r="21146" spans="104:111">
      <c r="CZ21146" s="256"/>
      <c r="DG21146" s="256"/>
    </row>
    <row r="21147" spans="104:111">
      <c r="CZ21147" s="256"/>
      <c r="DG21147" s="256"/>
    </row>
    <row r="21148" spans="104:111">
      <c r="CZ21148" s="256"/>
      <c r="DG21148" s="256"/>
    </row>
    <row r="21149" spans="104:111">
      <c r="CZ21149" s="256"/>
      <c r="DG21149" s="256"/>
    </row>
    <row r="21150" spans="104:111">
      <c r="CZ21150" s="256"/>
      <c r="DG21150" s="256"/>
    </row>
    <row r="21151" spans="104:111">
      <c r="CZ21151" s="256"/>
      <c r="DG21151" s="256"/>
    </row>
    <row r="21152" spans="104:111">
      <c r="CZ21152" s="256"/>
      <c r="DG21152" s="256"/>
    </row>
    <row r="21153" spans="104:111">
      <c r="CZ21153" s="256"/>
      <c r="DG21153" s="256"/>
    </row>
    <row r="21154" spans="104:111">
      <c r="CZ21154" s="256"/>
      <c r="DG21154" s="256"/>
    </row>
    <row r="21155" spans="104:111">
      <c r="CZ21155" s="256"/>
      <c r="DG21155" s="256"/>
    </row>
    <row r="21156" spans="104:111">
      <c r="CZ21156" s="256"/>
      <c r="DG21156" s="256"/>
    </row>
    <row r="21157" spans="104:111">
      <c r="CZ21157" s="256"/>
      <c r="DG21157" s="256"/>
    </row>
    <row r="21158" spans="104:111">
      <c r="CZ21158" s="256"/>
      <c r="DG21158" s="256"/>
    </row>
    <row r="21159" spans="104:111">
      <c r="CZ21159" s="256"/>
      <c r="DG21159" s="256"/>
    </row>
    <row r="21160" spans="104:111">
      <c r="CZ21160" s="256"/>
      <c r="DG21160" s="256"/>
    </row>
    <row r="21161" spans="104:111">
      <c r="CZ21161" s="256"/>
      <c r="DG21161" s="256"/>
    </row>
    <row r="21162" spans="104:111">
      <c r="CZ21162" s="256"/>
      <c r="DG21162" s="256"/>
    </row>
    <row r="21163" spans="104:111">
      <c r="CZ21163" s="256"/>
      <c r="DG21163" s="256"/>
    </row>
    <row r="21164" spans="104:111">
      <c r="CZ21164" s="256"/>
      <c r="DG21164" s="256"/>
    </row>
    <row r="21165" spans="104:111">
      <c r="CZ21165" s="256"/>
      <c r="DG21165" s="256"/>
    </row>
    <row r="21166" spans="104:111">
      <c r="CZ21166" s="256"/>
      <c r="DG21166" s="256"/>
    </row>
    <row r="21167" spans="104:111">
      <c r="CZ21167" s="256"/>
      <c r="DG21167" s="256"/>
    </row>
    <row r="21168" spans="104:111">
      <c r="CZ21168" s="256"/>
      <c r="DG21168" s="256"/>
    </row>
    <row r="21169" spans="104:111">
      <c r="CZ21169" s="256"/>
      <c r="DG21169" s="256"/>
    </row>
    <row r="21170" spans="104:111">
      <c r="CZ21170" s="256"/>
      <c r="DG21170" s="256"/>
    </row>
    <row r="21171" spans="104:111">
      <c r="CZ21171" s="256"/>
      <c r="DG21171" s="256"/>
    </row>
    <row r="21172" spans="104:111">
      <c r="CZ21172" s="256"/>
      <c r="DG21172" s="256"/>
    </row>
    <row r="21173" spans="104:111">
      <c r="CZ21173" s="256"/>
      <c r="DG21173" s="256"/>
    </row>
    <row r="21174" spans="104:111">
      <c r="CZ21174" s="256"/>
      <c r="DG21174" s="256"/>
    </row>
    <row r="21175" spans="104:111">
      <c r="CZ21175" s="256"/>
      <c r="DG21175" s="256"/>
    </row>
    <row r="21176" spans="104:111">
      <c r="CZ21176" s="256"/>
      <c r="DG21176" s="256"/>
    </row>
    <row r="21177" spans="104:111">
      <c r="CZ21177" s="256"/>
      <c r="DG21177" s="256"/>
    </row>
    <row r="21178" spans="104:111">
      <c r="CZ21178" s="256"/>
      <c r="DG21178" s="256"/>
    </row>
    <row r="21179" spans="104:111">
      <c r="CZ21179" s="256"/>
      <c r="DG21179" s="256"/>
    </row>
    <row r="21180" spans="104:111">
      <c r="CZ21180" s="256"/>
      <c r="DG21180" s="256"/>
    </row>
    <row r="21181" spans="104:111">
      <c r="CZ21181" s="256"/>
      <c r="DG21181" s="256"/>
    </row>
    <row r="21182" spans="104:111">
      <c r="CZ21182" s="256"/>
      <c r="DG21182" s="256"/>
    </row>
    <row r="21183" spans="104:111">
      <c r="CZ21183" s="256"/>
      <c r="DG21183" s="256"/>
    </row>
    <row r="21184" spans="104:111">
      <c r="CZ21184" s="256"/>
      <c r="DG21184" s="256"/>
    </row>
    <row r="21185" spans="104:111">
      <c r="CZ21185" s="256"/>
      <c r="DG21185" s="256"/>
    </row>
    <row r="21186" spans="104:111">
      <c r="CZ21186" s="256"/>
      <c r="DG21186" s="256"/>
    </row>
    <row r="21187" spans="104:111">
      <c r="CZ21187" s="256"/>
      <c r="DG21187" s="256"/>
    </row>
    <row r="21188" spans="104:111">
      <c r="CZ21188" s="256"/>
      <c r="DG21188" s="256"/>
    </row>
    <row r="21189" spans="104:111">
      <c r="CZ21189" s="256"/>
      <c r="DG21189" s="256"/>
    </row>
    <row r="21190" spans="104:111">
      <c r="CZ21190" s="256"/>
      <c r="DG21190" s="256"/>
    </row>
    <row r="21191" spans="104:111">
      <c r="CZ21191" s="256"/>
      <c r="DG21191" s="256"/>
    </row>
    <row r="21192" spans="104:111">
      <c r="CZ21192" s="256"/>
      <c r="DG21192" s="256"/>
    </row>
    <row r="21193" spans="104:111">
      <c r="CZ21193" s="256"/>
      <c r="DG21193" s="256"/>
    </row>
    <row r="21194" spans="104:111">
      <c r="CZ21194" s="256"/>
      <c r="DG21194" s="256"/>
    </row>
    <row r="21195" spans="104:111">
      <c r="CZ21195" s="256"/>
      <c r="DG21195" s="256"/>
    </row>
    <row r="21196" spans="104:111">
      <c r="CZ21196" s="256"/>
      <c r="DG21196" s="256"/>
    </row>
    <row r="21197" spans="104:111">
      <c r="CZ21197" s="256"/>
      <c r="DG21197" s="256"/>
    </row>
    <row r="21198" spans="104:111">
      <c r="CZ21198" s="256"/>
      <c r="DG21198" s="256"/>
    </row>
    <row r="21199" spans="104:111">
      <c r="CZ21199" s="256"/>
      <c r="DG21199" s="256"/>
    </row>
    <row r="21200" spans="104:111">
      <c r="CZ21200" s="256"/>
      <c r="DG21200" s="256"/>
    </row>
    <row r="21201" spans="104:111">
      <c r="CZ21201" s="256"/>
      <c r="DG21201" s="256"/>
    </row>
    <row r="21202" spans="104:111">
      <c r="CZ21202" s="256"/>
      <c r="DG21202" s="256"/>
    </row>
    <row r="21203" spans="104:111">
      <c r="CZ21203" s="256"/>
      <c r="DG21203" s="256"/>
    </row>
    <row r="21204" spans="104:111">
      <c r="CZ21204" s="256"/>
      <c r="DG21204" s="256"/>
    </row>
    <row r="21205" spans="104:111">
      <c r="CZ21205" s="256"/>
      <c r="DG21205" s="256"/>
    </row>
    <row r="21206" spans="104:111">
      <c r="CZ21206" s="256"/>
      <c r="DG21206" s="256"/>
    </row>
    <row r="21207" spans="104:111">
      <c r="CZ21207" s="256"/>
      <c r="DG21207" s="256"/>
    </row>
    <row r="21208" spans="104:111">
      <c r="CZ21208" s="256"/>
      <c r="DG21208" s="256"/>
    </row>
    <row r="21209" spans="104:111">
      <c r="CZ21209" s="256"/>
      <c r="DG21209" s="256"/>
    </row>
    <row r="21210" spans="104:111">
      <c r="CZ21210" s="256"/>
      <c r="DG21210" s="256"/>
    </row>
    <row r="21211" spans="104:111">
      <c r="CZ21211" s="256"/>
      <c r="DG21211" s="256"/>
    </row>
    <row r="21212" spans="104:111">
      <c r="CZ21212" s="256"/>
      <c r="DG21212" s="256"/>
    </row>
    <row r="21213" spans="104:111">
      <c r="CZ21213" s="256"/>
      <c r="DG21213" s="256"/>
    </row>
    <row r="21214" spans="104:111">
      <c r="CZ21214" s="256"/>
      <c r="DG21214" s="256"/>
    </row>
    <row r="21215" spans="104:111">
      <c r="CZ21215" s="256"/>
      <c r="DG21215" s="256"/>
    </row>
    <row r="21216" spans="104:111">
      <c r="CZ21216" s="256"/>
      <c r="DG21216" s="256"/>
    </row>
    <row r="21217" spans="104:111">
      <c r="CZ21217" s="256"/>
      <c r="DG21217" s="256"/>
    </row>
    <row r="21218" spans="104:111">
      <c r="CZ21218" s="256"/>
      <c r="DG21218" s="256"/>
    </row>
    <row r="21219" spans="104:111">
      <c r="CZ21219" s="256"/>
      <c r="DG21219" s="256"/>
    </row>
    <row r="21220" spans="104:111">
      <c r="CZ21220" s="256"/>
      <c r="DG21220" s="256"/>
    </row>
    <row r="21221" spans="104:111">
      <c r="CZ21221" s="256"/>
      <c r="DG21221" s="256"/>
    </row>
    <row r="21222" spans="104:111">
      <c r="CZ21222" s="256"/>
      <c r="DG21222" s="256"/>
    </row>
    <row r="21223" spans="104:111">
      <c r="CZ21223" s="256"/>
      <c r="DG21223" s="256"/>
    </row>
    <row r="21224" spans="104:111">
      <c r="CZ21224" s="256"/>
      <c r="DG21224" s="256"/>
    </row>
    <row r="21225" spans="104:111">
      <c r="CZ21225" s="256"/>
      <c r="DG21225" s="256"/>
    </row>
    <row r="21226" spans="104:111">
      <c r="CZ21226" s="256"/>
      <c r="DG21226" s="256"/>
    </row>
    <row r="21227" spans="104:111">
      <c r="CZ21227" s="256"/>
      <c r="DG21227" s="256"/>
    </row>
    <row r="21228" spans="104:111">
      <c r="CZ21228" s="256"/>
      <c r="DG21228" s="256"/>
    </row>
    <row r="21229" spans="104:111">
      <c r="CZ21229" s="256"/>
      <c r="DG21229" s="256"/>
    </row>
    <row r="21230" spans="104:111">
      <c r="CZ21230" s="256"/>
      <c r="DG21230" s="256"/>
    </row>
    <row r="21231" spans="104:111">
      <c r="CZ21231" s="256"/>
      <c r="DG21231" s="256"/>
    </row>
    <row r="21232" spans="104:111">
      <c r="CZ21232" s="256"/>
      <c r="DG21232" s="256"/>
    </row>
    <row r="21233" spans="104:111">
      <c r="CZ21233" s="256"/>
      <c r="DG21233" s="256"/>
    </row>
    <row r="21234" spans="104:111">
      <c r="CZ21234" s="256"/>
      <c r="DG21234" s="256"/>
    </row>
    <row r="21235" spans="104:111">
      <c r="CZ21235" s="256"/>
      <c r="DG21235" s="256"/>
    </row>
    <row r="21236" spans="104:111">
      <c r="CZ21236" s="256"/>
      <c r="DG21236" s="256"/>
    </row>
    <row r="21237" spans="104:111">
      <c r="CZ21237" s="256"/>
      <c r="DG21237" s="256"/>
    </row>
    <row r="21238" spans="104:111">
      <c r="CZ21238" s="256"/>
      <c r="DG21238" s="256"/>
    </row>
    <row r="21239" spans="104:111">
      <c r="CZ21239" s="256"/>
      <c r="DG21239" s="256"/>
    </row>
    <row r="21240" spans="104:111">
      <c r="CZ21240" s="256"/>
      <c r="DG21240" s="256"/>
    </row>
    <row r="21241" spans="104:111">
      <c r="CZ21241" s="256"/>
      <c r="DG21241" s="256"/>
    </row>
    <row r="21242" spans="104:111">
      <c r="CZ21242" s="256"/>
      <c r="DG21242" s="256"/>
    </row>
    <row r="21243" spans="104:111">
      <c r="CZ21243" s="256"/>
      <c r="DG21243" s="256"/>
    </row>
    <row r="21244" spans="104:111">
      <c r="CZ21244" s="256"/>
      <c r="DG21244" s="256"/>
    </row>
    <row r="21245" spans="104:111">
      <c r="CZ21245" s="256"/>
      <c r="DG21245" s="256"/>
    </row>
    <row r="21246" spans="104:111">
      <c r="CZ21246" s="256"/>
      <c r="DG21246" s="256"/>
    </row>
    <row r="21247" spans="104:111">
      <c r="CZ21247" s="256"/>
      <c r="DG21247" s="256"/>
    </row>
    <row r="21248" spans="104:111">
      <c r="CZ21248" s="256"/>
      <c r="DG21248" s="256"/>
    </row>
    <row r="21249" spans="104:111">
      <c r="CZ21249" s="256"/>
      <c r="DG21249" s="256"/>
    </row>
    <row r="21250" spans="104:111">
      <c r="CZ21250" s="256"/>
      <c r="DG21250" s="256"/>
    </row>
    <row r="21251" spans="104:111">
      <c r="CZ21251" s="256"/>
      <c r="DG21251" s="256"/>
    </row>
    <row r="21252" spans="104:111">
      <c r="CZ21252" s="256"/>
      <c r="DG21252" s="256"/>
    </row>
    <row r="21253" spans="104:111">
      <c r="CZ21253" s="256"/>
      <c r="DG21253" s="256"/>
    </row>
    <row r="21254" spans="104:111">
      <c r="CZ21254" s="256"/>
      <c r="DG21254" s="256"/>
    </row>
    <row r="21255" spans="104:111">
      <c r="CZ21255" s="256"/>
      <c r="DG21255" s="256"/>
    </row>
    <row r="21256" spans="104:111">
      <c r="CZ21256" s="256"/>
      <c r="DG21256" s="256"/>
    </row>
    <row r="21257" spans="104:111">
      <c r="CZ21257" s="256"/>
      <c r="DG21257" s="256"/>
    </row>
    <row r="21258" spans="104:111">
      <c r="CZ21258" s="256"/>
      <c r="DG21258" s="256"/>
    </row>
    <row r="21259" spans="104:111">
      <c r="CZ21259" s="256"/>
      <c r="DG21259" s="256"/>
    </row>
    <row r="21260" spans="104:111">
      <c r="CZ21260" s="256"/>
      <c r="DG21260" s="256"/>
    </row>
    <row r="21261" spans="104:111">
      <c r="CZ21261" s="256"/>
      <c r="DG21261" s="256"/>
    </row>
    <row r="21262" spans="104:111">
      <c r="CZ21262" s="256"/>
      <c r="DG21262" s="256"/>
    </row>
    <row r="21263" spans="104:111">
      <c r="CZ21263" s="256"/>
      <c r="DG21263" s="256"/>
    </row>
    <row r="21264" spans="104:111">
      <c r="CZ21264" s="256"/>
      <c r="DG21264" s="256"/>
    </row>
    <row r="21265" spans="104:111">
      <c r="CZ21265" s="256"/>
      <c r="DG21265" s="256"/>
    </row>
    <row r="21266" spans="104:111">
      <c r="CZ21266" s="256"/>
      <c r="DG21266" s="256"/>
    </row>
    <row r="21267" spans="104:111">
      <c r="CZ21267" s="256"/>
      <c r="DG21267" s="256"/>
    </row>
    <row r="21268" spans="104:111">
      <c r="CZ21268" s="256"/>
      <c r="DG21268" s="256"/>
    </row>
    <row r="21269" spans="104:111">
      <c r="CZ21269" s="256"/>
      <c r="DG21269" s="256"/>
    </row>
    <row r="21270" spans="104:111">
      <c r="CZ21270" s="256"/>
      <c r="DG21270" s="256"/>
    </row>
    <row r="21271" spans="104:111">
      <c r="CZ21271" s="256"/>
      <c r="DG21271" s="256"/>
    </row>
    <row r="21272" spans="104:111">
      <c r="CZ21272" s="256"/>
      <c r="DG21272" s="256"/>
    </row>
    <row r="21273" spans="104:111">
      <c r="CZ21273" s="256"/>
      <c r="DG21273" s="256"/>
    </row>
    <row r="21274" spans="104:111">
      <c r="CZ21274" s="256"/>
      <c r="DG21274" s="256"/>
    </row>
    <row r="21275" spans="104:111">
      <c r="CZ21275" s="256"/>
      <c r="DG21275" s="256"/>
    </row>
    <row r="21276" spans="104:111">
      <c r="CZ21276" s="256"/>
      <c r="DG21276" s="256"/>
    </row>
    <row r="21277" spans="104:111">
      <c r="CZ21277" s="256"/>
      <c r="DG21277" s="256"/>
    </row>
    <row r="21278" spans="104:111">
      <c r="CZ21278" s="256"/>
      <c r="DG21278" s="256"/>
    </row>
    <row r="21279" spans="104:111">
      <c r="CZ21279" s="256"/>
      <c r="DG21279" s="256"/>
    </row>
    <row r="21280" spans="104:111">
      <c r="CZ21280" s="256"/>
      <c r="DG21280" s="256"/>
    </row>
    <row r="21281" spans="104:111">
      <c r="CZ21281" s="256"/>
      <c r="DG21281" s="256"/>
    </row>
    <row r="21282" spans="104:111">
      <c r="CZ21282" s="256"/>
      <c r="DG21282" s="256"/>
    </row>
    <row r="21283" spans="104:111">
      <c r="CZ21283" s="256"/>
      <c r="DG21283" s="256"/>
    </row>
    <row r="21284" spans="104:111">
      <c r="CZ21284" s="256"/>
      <c r="DG21284" s="256"/>
    </row>
    <row r="21285" spans="104:111">
      <c r="CZ21285" s="256"/>
      <c r="DG21285" s="256"/>
    </row>
    <row r="21286" spans="104:111">
      <c r="CZ21286" s="256"/>
      <c r="DG21286" s="256"/>
    </row>
    <row r="21287" spans="104:111">
      <c r="CZ21287" s="256"/>
      <c r="DG21287" s="256"/>
    </row>
    <row r="21288" spans="104:111">
      <c r="CZ21288" s="256"/>
      <c r="DG21288" s="256"/>
    </row>
    <row r="21289" spans="104:111">
      <c r="CZ21289" s="256"/>
      <c r="DG21289" s="256"/>
    </row>
    <row r="21290" spans="104:111">
      <c r="CZ21290" s="256"/>
      <c r="DG21290" s="256"/>
    </row>
    <row r="21291" spans="104:111">
      <c r="CZ21291" s="256"/>
      <c r="DG21291" s="256"/>
    </row>
    <row r="21292" spans="104:111">
      <c r="CZ21292" s="256"/>
      <c r="DG21292" s="256"/>
    </row>
    <row r="21293" spans="104:111">
      <c r="CZ21293" s="256"/>
      <c r="DG21293" s="256"/>
    </row>
    <row r="21294" spans="104:111">
      <c r="CZ21294" s="256"/>
      <c r="DG21294" s="256"/>
    </row>
    <row r="21295" spans="104:111">
      <c r="CZ21295" s="256"/>
      <c r="DG21295" s="256"/>
    </row>
    <row r="21296" spans="104:111">
      <c r="CZ21296" s="256"/>
      <c r="DG21296" s="256"/>
    </row>
    <row r="21297" spans="104:111">
      <c r="CZ21297" s="256"/>
      <c r="DG21297" s="256"/>
    </row>
    <row r="21298" spans="104:111">
      <c r="CZ21298" s="256"/>
      <c r="DG21298" s="256"/>
    </row>
    <row r="21299" spans="104:111">
      <c r="CZ21299" s="256"/>
      <c r="DG21299" s="256"/>
    </row>
    <row r="21300" spans="104:111">
      <c r="CZ21300" s="256"/>
      <c r="DG21300" s="256"/>
    </row>
    <row r="21301" spans="104:111">
      <c r="CZ21301" s="256"/>
      <c r="DG21301" s="256"/>
    </row>
    <row r="21302" spans="104:111">
      <c r="CZ21302" s="256"/>
      <c r="DG21302" s="256"/>
    </row>
    <row r="21303" spans="104:111">
      <c r="CZ21303" s="256"/>
      <c r="DG21303" s="256"/>
    </row>
    <row r="21304" spans="104:111">
      <c r="CZ21304" s="256"/>
      <c r="DG21304" s="256"/>
    </row>
    <row r="21305" spans="104:111">
      <c r="CZ21305" s="256"/>
      <c r="DG21305" s="256"/>
    </row>
    <row r="21306" spans="104:111">
      <c r="CZ21306" s="256"/>
      <c r="DG21306" s="256"/>
    </row>
    <row r="21307" spans="104:111">
      <c r="CZ21307" s="256"/>
      <c r="DG21307" s="256"/>
    </row>
    <row r="21308" spans="104:111">
      <c r="CZ21308" s="256"/>
      <c r="DG21308" s="256"/>
    </row>
    <row r="21309" spans="104:111">
      <c r="CZ21309" s="256"/>
      <c r="DG21309" s="256"/>
    </row>
    <row r="21310" spans="104:111">
      <c r="CZ21310" s="256"/>
      <c r="DG21310" s="256"/>
    </row>
    <row r="21311" spans="104:111">
      <c r="CZ21311" s="256"/>
      <c r="DG21311" s="256"/>
    </row>
    <row r="21312" spans="104:111">
      <c r="CZ21312" s="256"/>
      <c r="DG21312" s="256"/>
    </row>
    <row r="21313" spans="104:111">
      <c r="CZ21313" s="256"/>
      <c r="DG21313" s="256"/>
    </row>
    <row r="21314" spans="104:111">
      <c r="CZ21314" s="256"/>
      <c r="DG21314" s="256"/>
    </row>
    <row r="21315" spans="104:111">
      <c r="CZ21315" s="256"/>
      <c r="DG21315" s="256"/>
    </row>
    <row r="21316" spans="104:111">
      <c r="CZ21316" s="256"/>
      <c r="DG21316" s="256"/>
    </row>
    <row r="21317" spans="104:111">
      <c r="CZ21317" s="256"/>
      <c r="DG21317" s="256"/>
    </row>
    <row r="21318" spans="104:111">
      <c r="CZ21318" s="256"/>
      <c r="DG21318" s="256"/>
    </row>
    <row r="21319" spans="104:111">
      <c r="CZ21319" s="256"/>
      <c r="DG21319" s="256"/>
    </row>
    <row r="21320" spans="104:111">
      <c r="CZ21320" s="256"/>
      <c r="DG21320" s="256"/>
    </row>
    <row r="21321" spans="104:111">
      <c r="CZ21321" s="256"/>
      <c r="DG21321" s="256"/>
    </row>
    <row r="21322" spans="104:111">
      <c r="CZ21322" s="256"/>
      <c r="DG21322" s="256"/>
    </row>
    <row r="21323" spans="104:111">
      <c r="CZ21323" s="256"/>
      <c r="DG21323" s="256"/>
    </row>
    <row r="21324" spans="104:111">
      <c r="CZ21324" s="256"/>
      <c r="DG21324" s="256"/>
    </row>
    <row r="21325" spans="104:111">
      <c r="CZ21325" s="256"/>
      <c r="DG21325" s="256"/>
    </row>
    <row r="21326" spans="104:111">
      <c r="CZ21326" s="256"/>
      <c r="DG21326" s="256"/>
    </row>
    <row r="21327" spans="104:111">
      <c r="CZ21327" s="256"/>
      <c r="DG21327" s="256"/>
    </row>
    <row r="21328" spans="104:111">
      <c r="CZ21328" s="256"/>
      <c r="DG21328" s="256"/>
    </row>
    <row r="21329" spans="104:111">
      <c r="CZ21329" s="256"/>
      <c r="DG21329" s="256"/>
    </row>
    <row r="21330" spans="104:111">
      <c r="CZ21330" s="256"/>
      <c r="DG21330" s="256"/>
    </row>
    <row r="21331" spans="104:111">
      <c r="CZ21331" s="256"/>
      <c r="DG21331" s="256"/>
    </row>
    <row r="21332" spans="104:111">
      <c r="CZ21332" s="256"/>
      <c r="DG21332" s="256"/>
    </row>
    <row r="21333" spans="104:111">
      <c r="CZ21333" s="256"/>
      <c r="DG21333" s="256"/>
    </row>
    <row r="21334" spans="104:111">
      <c r="CZ21334" s="256"/>
      <c r="DG21334" s="256"/>
    </row>
    <row r="21335" spans="104:111">
      <c r="CZ21335" s="256"/>
      <c r="DG21335" s="256"/>
    </row>
    <row r="21336" spans="104:111">
      <c r="CZ21336" s="256"/>
      <c r="DG21336" s="256"/>
    </row>
    <row r="21337" spans="104:111">
      <c r="CZ21337" s="256"/>
      <c r="DG21337" s="256"/>
    </row>
    <row r="21338" spans="104:111">
      <c r="CZ21338" s="256"/>
      <c r="DG21338" s="256"/>
    </row>
    <row r="21339" spans="104:111">
      <c r="CZ21339" s="256"/>
      <c r="DG21339" s="256"/>
    </row>
    <row r="21340" spans="104:111">
      <c r="CZ21340" s="256"/>
      <c r="DG21340" s="256"/>
    </row>
    <row r="21341" spans="104:111">
      <c r="CZ21341" s="256"/>
      <c r="DG21341" s="256"/>
    </row>
    <row r="21342" spans="104:111">
      <c r="CZ21342" s="256"/>
      <c r="DG21342" s="256"/>
    </row>
    <row r="21343" spans="104:111">
      <c r="CZ21343" s="256"/>
      <c r="DG21343" s="256"/>
    </row>
    <row r="21344" spans="104:111">
      <c r="CZ21344" s="256"/>
      <c r="DG21344" s="256"/>
    </row>
    <row r="21345" spans="104:111">
      <c r="CZ21345" s="256"/>
      <c r="DG21345" s="256"/>
    </row>
    <row r="21346" spans="104:111">
      <c r="CZ21346" s="256"/>
      <c r="DG21346" s="256"/>
    </row>
    <row r="21347" spans="104:111">
      <c r="CZ21347" s="256"/>
      <c r="DG21347" s="256"/>
    </row>
    <row r="21348" spans="104:111">
      <c r="CZ21348" s="256"/>
      <c r="DG21348" s="256"/>
    </row>
    <row r="21349" spans="104:111">
      <c r="CZ21349" s="256"/>
      <c r="DG21349" s="256"/>
    </row>
    <row r="21350" spans="104:111">
      <c r="CZ21350" s="256"/>
      <c r="DG21350" s="256"/>
    </row>
    <row r="21351" spans="104:111">
      <c r="CZ21351" s="256"/>
      <c r="DG21351" s="256"/>
    </row>
    <row r="21352" spans="104:111">
      <c r="CZ21352" s="256"/>
      <c r="DG21352" s="256"/>
    </row>
    <row r="21353" spans="104:111">
      <c r="CZ21353" s="256"/>
      <c r="DG21353" s="256"/>
    </row>
    <row r="21354" spans="104:111">
      <c r="CZ21354" s="256"/>
      <c r="DG21354" s="256"/>
    </row>
    <row r="21355" spans="104:111">
      <c r="CZ21355" s="256"/>
      <c r="DG21355" s="256"/>
    </row>
    <row r="21356" spans="104:111">
      <c r="CZ21356" s="256"/>
      <c r="DG21356" s="256"/>
    </row>
    <row r="21357" spans="104:111">
      <c r="CZ21357" s="256"/>
      <c r="DG21357" s="256"/>
    </row>
    <row r="21358" spans="104:111">
      <c r="CZ21358" s="256"/>
      <c r="DG21358" s="256"/>
    </row>
    <row r="21359" spans="104:111">
      <c r="CZ21359" s="256"/>
      <c r="DG21359" s="256"/>
    </row>
    <row r="21360" spans="104:111">
      <c r="CZ21360" s="256"/>
      <c r="DG21360" s="256"/>
    </row>
    <row r="21361" spans="104:111">
      <c r="CZ21361" s="256"/>
      <c r="DG21361" s="256"/>
    </row>
    <row r="21362" spans="104:111">
      <c r="CZ21362" s="256"/>
      <c r="DG21362" s="256"/>
    </row>
    <row r="21363" spans="104:111">
      <c r="CZ21363" s="256"/>
      <c r="DG21363" s="256"/>
    </row>
    <row r="21364" spans="104:111">
      <c r="CZ21364" s="256"/>
      <c r="DG21364" s="256"/>
    </row>
    <row r="21365" spans="104:111">
      <c r="CZ21365" s="256"/>
      <c r="DG21365" s="256"/>
    </row>
    <row r="21366" spans="104:111">
      <c r="CZ21366" s="256"/>
      <c r="DG21366" s="256"/>
    </row>
    <row r="21367" spans="104:111">
      <c r="CZ21367" s="256"/>
      <c r="DG21367" s="256"/>
    </row>
    <row r="21368" spans="104:111">
      <c r="CZ21368" s="256"/>
      <c r="DG21368" s="256"/>
    </row>
    <row r="21369" spans="104:111">
      <c r="CZ21369" s="256"/>
      <c r="DG21369" s="256"/>
    </row>
    <row r="21370" spans="104:111">
      <c r="CZ21370" s="256"/>
      <c r="DG21370" s="256"/>
    </row>
    <row r="21371" spans="104:111">
      <c r="CZ21371" s="256"/>
      <c r="DG21371" s="256"/>
    </row>
    <row r="21372" spans="104:111">
      <c r="CZ21372" s="256"/>
      <c r="DG21372" s="256"/>
    </row>
    <row r="21373" spans="104:111">
      <c r="CZ21373" s="256"/>
      <c r="DG21373" s="256"/>
    </row>
    <row r="21374" spans="104:111">
      <c r="CZ21374" s="256"/>
      <c r="DG21374" s="256"/>
    </row>
    <row r="21375" spans="104:111">
      <c r="CZ21375" s="256"/>
      <c r="DG21375" s="256"/>
    </row>
    <row r="21376" spans="104:111">
      <c r="CZ21376" s="256"/>
      <c r="DG21376" s="256"/>
    </row>
    <row r="21377" spans="104:111">
      <c r="CZ21377" s="256"/>
      <c r="DG21377" s="256"/>
    </row>
    <row r="21378" spans="104:111">
      <c r="CZ21378" s="256"/>
      <c r="DG21378" s="256"/>
    </row>
    <row r="21379" spans="104:111">
      <c r="CZ21379" s="256"/>
      <c r="DG21379" s="256"/>
    </row>
    <row r="21380" spans="104:111">
      <c r="CZ21380" s="256"/>
      <c r="DG21380" s="256"/>
    </row>
    <row r="21381" spans="104:111">
      <c r="CZ21381" s="256"/>
      <c r="DG21381" s="256"/>
    </row>
    <row r="21382" spans="104:111">
      <c r="CZ21382" s="256"/>
      <c r="DG21382" s="256"/>
    </row>
    <row r="21383" spans="104:111">
      <c r="CZ21383" s="256"/>
      <c r="DG21383" s="256"/>
    </row>
    <row r="21384" spans="104:111">
      <c r="CZ21384" s="256"/>
      <c r="DG21384" s="256"/>
    </row>
    <row r="21385" spans="104:111">
      <c r="CZ21385" s="256"/>
      <c r="DG21385" s="256"/>
    </row>
    <row r="21386" spans="104:111">
      <c r="CZ21386" s="256"/>
      <c r="DG21386" s="256"/>
    </row>
    <row r="21387" spans="104:111">
      <c r="CZ21387" s="256"/>
      <c r="DG21387" s="256"/>
    </row>
    <row r="21388" spans="104:111">
      <c r="CZ21388" s="256"/>
      <c r="DG21388" s="256"/>
    </row>
    <row r="21389" spans="104:111">
      <c r="CZ21389" s="256"/>
      <c r="DG21389" s="256"/>
    </row>
    <row r="21390" spans="104:111">
      <c r="CZ21390" s="256"/>
      <c r="DG21390" s="256"/>
    </row>
    <row r="21391" spans="104:111">
      <c r="CZ21391" s="256"/>
      <c r="DG21391" s="256"/>
    </row>
    <row r="21392" spans="104:111">
      <c r="CZ21392" s="256"/>
      <c r="DG21392" s="256"/>
    </row>
    <row r="21393" spans="104:111">
      <c r="CZ21393" s="256"/>
      <c r="DG21393" s="256"/>
    </row>
    <row r="21394" spans="104:111">
      <c r="CZ21394" s="256"/>
      <c r="DG21394" s="256"/>
    </row>
    <row r="21395" spans="104:111">
      <c r="CZ21395" s="256"/>
      <c r="DG21395" s="256"/>
    </row>
    <row r="21396" spans="104:111">
      <c r="CZ21396" s="256"/>
      <c r="DG21396" s="256"/>
    </row>
    <row r="21397" spans="104:111">
      <c r="CZ21397" s="256"/>
      <c r="DG21397" s="256"/>
    </row>
    <row r="21398" spans="104:111">
      <c r="CZ21398" s="256"/>
      <c r="DG21398" s="256"/>
    </row>
    <row r="21399" spans="104:111">
      <c r="CZ21399" s="256"/>
      <c r="DG21399" s="256"/>
    </row>
    <row r="21400" spans="104:111">
      <c r="CZ21400" s="256"/>
      <c r="DG21400" s="256"/>
    </row>
    <row r="21401" spans="104:111">
      <c r="CZ21401" s="256"/>
      <c r="DG21401" s="256"/>
    </row>
    <row r="21402" spans="104:111">
      <c r="CZ21402" s="256"/>
      <c r="DG21402" s="256"/>
    </row>
    <row r="21403" spans="104:111">
      <c r="CZ21403" s="256"/>
      <c r="DG21403" s="256"/>
    </row>
    <row r="21404" spans="104:111">
      <c r="CZ21404" s="256"/>
      <c r="DG21404" s="256"/>
    </row>
    <row r="21405" spans="104:111">
      <c r="CZ21405" s="256"/>
      <c r="DG21405" s="256"/>
    </row>
    <row r="21406" spans="104:111">
      <c r="CZ21406" s="256"/>
      <c r="DG21406" s="256"/>
    </row>
    <row r="21407" spans="104:111">
      <c r="CZ21407" s="256"/>
      <c r="DG21407" s="256"/>
    </row>
    <row r="21408" spans="104:111">
      <c r="CZ21408" s="256"/>
      <c r="DG21408" s="256"/>
    </row>
    <row r="21409" spans="104:111">
      <c r="CZ21409" s="256"/>
      <c r="DG21409" s="256"/>
    </row>
    <row r="21410" spans="104:111">
      <c r="CZ21410" s="256"/>
      <c r="DG21410" s="256"/>
    </row>
    <row r="21411" spans="104:111">
      <c r="CZ21411" s="256"/>
      <c r="DG21411" s="256"/>
    </row>
    <row r="21412" spans="104:111">
      <c r="CZ21412" s="256"/>
      <c r="DG21412" s="256"/>
    </row>
    <row r="21413" spans="104:111">
      <c r="CZ21413" s="256"/>
      <c r="DG21413" s="256"/>
    </row>
    <row r="21414" spans="104:111">
      <c r="CZ21414" s="256"/>
      <c r="DG21414" s="256"/>
    </row>
    <row r="21415" spans="104:111">
      <c r="CZ21415" s="256"/>
      <c r="DG21415" s="256"/>
    </row>
    <row r="21416" spans="104:111">
      <c r="CZ21416" s="256"/>
      <c r="DG21416" s="256"/>
    </row>
    <row r="21417" spans="104:111">
      <c r="CZ21417" s="256"/>
      <c r="DG21417" s="256"/>
    </row>
    <row r="21418" spans="104:111">
      <c r="CZ21418" s="256"/>
      <c r="DG21418" s="256"/>
    </row>
    <row r="21419" spans="104:111">
      <c r="CZ21419" s="256"/>
      <c r="DG21419" s="256"/>
    </row>
    <row r="21420" spans="104:111">
      <c r="CZ21420" s="256"/>
      <c r="DG21420" s="256"/>
    </row>
    <row r="21421" spans="104:111">
      <c r="CZ21421" s="256"/>
      <c r="DG21421" s="256"/>
    </row>
    <row r="21422" spans="104:111">
      <c r="CZ21422" s="256"/>
      <c r="DG21422" s="256"/>
    </row>
    <row r="21423" spans="104:111">
      <c r="CZ21423" s="256"/>
      <c r="DG21423" s="256"/>
    </row>
    <row r="21424" spans="104:111">
      <c r="CZ21424" s="256"/>
      <c r="DG21424" s="256"/>
    </row>
    <row r="21425" spans="104:111">
      <c r="CZ21425" s="256"/>
      <c r="DG21425" s="256"/>
    </row>
    <row r="21426" spans="104:111">
      <c r="CZ21426" s="256"/>
      <c r="DG21426" s="256"/>
    </row>
    <row r="21427" spans="104:111">
      <c r="CZ21427" s="256"/>
      <c r="DG21427" s="256"/>
    </row>
    <row r="21428" spans="104:111">
      <c r="CZ21428" s="256"/>
      <c r="DG21428" s="256"/>
    </row>
    <row r="21429" spans="104:111">
      <c r="CZ21429" s="256"/>
      <c r="DG21429" s="256"/>
    </row>
    <row r="21430" spans="104:111">
      <c r="CZ21430" s="256"/>
      <c r="DG21430" s="256"/>
    </row>
    <row r="21431" spans="104:111">
      <c r="CZ21431" s="256"/>
      <c r="DG21431" s="256"/>
    </row>
    <row r="21432" spans="104:111">
      <c r="CZ21432" s="256"/>
      <c r="DG21432" s="256"/>
    </row>
    <row r="21433" spans="104:111">
      <c r="CZ21433" s="256"/>
      <c r="DG21433" s="256"/>
    </row>
    <row r="21434" spans="104:111">
      <c r="CZ21434" s="256"/>
      <c r="DG21434" s="256"/>
    </row>
    <row r="21435" spans="104:111">
      <c r="CZ21435" s="256"/>
      <c r="DG21435" s="256"/>
    </row>
    <row r="21436" spans="104:111">
      <c r="CZ21436" s="256"/>
      <c r="DG21436" s="256"/>
    </row>
    <row r="21437" spans="104:111">
      <c r="CZ21437" s="256"/>
      <c r="DG21437" s="256"/>
    </row>
    <row r="21438" spans="104:111">
      <c r="CZ21438" s="256"/>
      <c r="DG21438" s="256"/>
    </row>
    <row r="21439" spans="104:111">
      <c r="CZ21439" s="256"/>
      <c r="DG21439" s="256"/>
    </row>
    <row r="21440" spans="104:111">
      <c r="CZ21440" s="256"/>
      <c r="DG21440" s="256"/>
    </row>
    <row r="21441" spans="104:111">
      <c r="CZ21441" s="256"/>
      <c r="DG21441" s="256"/>
    </row>
    <row r="21442" spans="104:111">
      <c r="CZ21442" s="256"/>
      <c r="DG21442" s="256"/>
    </row>
    <row r="21443" spans="104:111">
      <c r="CZ21443" s="256"/>
      <c r="DG21443" s="256"/>
    </row>
    <row r="21444" spans="104:111">
      <c r="CZ21444" s="256"/>
      <c r="DG21444" s="256"/>
    </row>
    <row r="21445" spans="104:111">
      <c r="CZ21445" s="256"/>
      <c r="DG21445" s="256"/>
    </row>
    <row r="21446" spans="104:111">
      <c r="CZ21446" s="256"/>
      <c r="DG21446" s="256"/>
    </row>
    <row r="21447" spans="104:111">
      <c r="CZ21447" s="256"/>
      <c r="DG21447" s="256"/>
    </row>
    <row r="21448" spans="104:111">
      <c r="CZ21448" s="256"/>
      <c r="DG21448" s="256"/>
    </row>
    <row r="21449" spans="104:111">
      <c r="CZ21449" s="256"/>
      <c r="DG21449" s="256"/>
    </row>
    <row r="21450" spans="104:111">
      <c r="CZ21450" s="256"/>
      <c r="DG21450" s="256"/>
    </row>
    <row r="21451" spans="104:111">
      <c r="CZ21451" s="256"/>
      <c r="DG21451" s="256"/>
    </row>
    <row r="21452" spans="104:111">
      <c r="CZ21452" s="256"/>
      <c r="DG21452" s="256"/>
    </row>
    <row r="21453" spans="104:111">
      <c r="CZ21453" s="256"/>
      <c r="DG21453" s="256"/>
    </row>
    <row r="21454" spans="104:111">
      <c r="CZ21454" s="256"/>
      <c r="DG21454" s="256"/>
    </row>
    <row r="21455" spans="104:111">
      <c r="CZ21455" s="256"/>
      <c r="DG21455" s="256"/>
    </row>
    <row r="21456" spans="104:111">
      <c r="CZ21456" s="256"/>
      <c r="DG21456" s="256"/>
    </row>
    <row r="21457" spans="104:111">
      <c r="CZ21457" s="256"/>
      <c r="DG21457" s="256"/>
    </row>
    <row r="21458" spans="104:111">
      <c r="CZ21458" s="256"/>
      <c r="DG21458" s="256"/>
    </row>
    <row r="21459" spans="104:111">
      <c r="CZ21459" s="256"/>
      <c r="DG21459" s="256"/>
    </row>
    <row r="21460" spans="104:111">
      <c r="CZ21460" s="256"/>
      <c r="DG21460" s="256"/>
    </row>
    <row r="21461" spans="104:111">
      <c r="CZ21461" s="256"/>
      <c r="DG21461" s="256"/>
    </row>
    <row r="21462" spans="104:111">
      <c r="CZ21462" s="256"/>
      <c r="DG21462" s="256"/>
    </row>
    <row r="21463" spans="104:111">
      <c r="CZ21463" s="256"/>
      <c r="DG21463" s="256"/>
    </row>
    <row r="21464" spans="104:111">
      <c r="CZ21464" s="256"/>
      <c r="DG21464" s="256"/>
    </row>
    <row r="21465" spans="104:111">
      <c r="CZ21465" s="256"/>
      <c r="DG21465" s="256"/>
    </row>
    <row r="21466" spans="104:111">
      <c r="CZ21466" s="256"/>
      <c r="DG21466" s="256"/>
    </row>
    <row r="21467" spans="104:111">
      <c r="CZ21467" s="256"/>
      <c r="DG21467" s="256"/>
    </row>
    <row r="21468" spans="104:111">
      <c r="CZ21468" s="256"/>
      <c r="DG21468" s="256"/>
    </row>
    <row r="21469" spans="104:111">
      <c r="CZ21469" s="256"/>
      <c r="DG21469" s="256"/>
    </row>
    <row r="21470" spans="104:111">
      <c r="CZ21470" s="256"/>
      <c r="DG21470" s="256"/>
    </row>
    <row r="21471" spans="104:111">
      <c r="CZ21471" s="256"/>
      <c r="DG21471" s="256"/>
    </row>
    <row r="21472" spans="104:111">
      <c r="CZ21472" s="256"/>
      <c r="DG21472" s="256"/>
    </row>
    <row r="21473" spans="104:111">
      <c r="CZ21473" s="256"/>
      <c r="DG21473" s="256"/>
    </row>
    <row r="21474" spans="104:111">
      <c r="CZ21474" s="256"/>
      <c r="DG21474" s="256"/>
    </row>
    <row r="21475" spans="104:111">
      <c r="CZ21475" s="256"/>
      <c r="DG21475" s="256"/>
    </row>
    <row r="21476" spans="104:111">
      <c r="CZ21476" s="256"/>
      <c r="DG21476" s="256"/>
    </row>
    <row r="21477" spans="104:111">
      <c r="CZ21477" s="256"/>
      <c r="DG21477" s="256"/>
    </row>
    <row r="21478" spans="104:111">
      <c r="CZ21478" s="256"/>
      <c r="DG21478" s="256"/>
    </row>
    <row r="21479" spans="104:111">
      <c r="CZ21479" s="256"/>
      <c r="DG21479" s="256"/>
    </row>
    <row r="21480" spans="104:111">
      <c r="CZ21480" s="256"/>
      <c r="DG21480" s="256"/>
    </row>
    <row r="21481" spans="104:111">
      <c r="CZ21481" s="256"/>
      <c r="DG21481" s="256"/>
    </row>
    <row r="21482" spans="104:111">
      <c r="CZ21482" s="256"/>
      <c r="DG21482" s="256"/>
    </row>
    <row r="21483" spans="104:111">
      <c r="CZ21483" s="256"/>
      <c r="DG21483" s="256"/>
    </row>
    <row r="21484" spans="104:111">
      <c r="CZ21484" s="256"/>
      <c r="DG21484" s="256"/>
    </row>
    <row r="21485" spans="104:111">
      <c r="CZ21485" s="256"/>
      <c r="DG21485" s="256"/>
    </row>
    <row r="21486" spans="104:111">
      <c r="CZ21486" s="256"/>
      <c r="DG21486" s="256"/>
    </row>
    <row r="21487" spans="104:111">
      <c r="CZ21487" s="256"/>
      <c r="DG21487" s="256"/>
    </row>
    <row r="21488" spans="104:111">
      <c r="CZ21488" s="256"/>
      <c r="DG21488" s="256"/>
    </row>
    <row r="21489" spans="104:111">
      <c r="CZ21489" s="256"/>
      <c r="DG21489" s="256"/>
    </row>
    <row r="21490" spans="104:111">
      <c r="CZ21490" s="256"/>
      <c r="DG21490" s="256"/>
    </row>
    <row r="21491" spans="104:111">
      <c r="CZ21491" s="256"/>
      <c r="DG21491" s="256"/>
    </row>
    <row r="21492" spans="104:111">
      <c r="CZ21492" s="256"/>
      <c r="DG21492" s="256"/>
    </row>
    <row r="21493" spans="104:111">
      <c r="CZ21493" s="256"/>
      <c r="DG21493" s="256"/>
    </row>
    <row r="21494" spans="104:111">
      <c r="CZ21494" s="256"/>
      <c r="DG21494" s="256"/>
    </row>
    <row r="21495" spans="104:111">
      <c r="CZ21495" s="256"/>
      <c r="DG21495" s="256"/>
    </row>
    <row r="21496" spans="104:111">
      <c r="CZ21496" s="256"/>
      <c r="DG21496" s="256"/>
    </row>
    <row r="21497" spans="104:111">
      <c r="CZ21497" s="256"/>
      <c r="DG21497" s="256"/>
    </row>
    <row r="21498" spans="104:111">
      <c r="CZ21498" s="256"/>
      <c r="DG21498" s="256"/>
    </row>
    <row r="21499" spans="104:111">
      <c r="CZ21499" s="256"/>
      <c r="DG21499" s="256"/>
    </row>
    <row r="21500" spans="104:111">
      <c r="CZ21500" s="256"/>
      <c r="DG21500" s="256"/>
    </row>
    <row r="21501" spans="104:111">
      <c r="CZ21501" s="256"/>
      <c r="DG21501" s="256"/>
    </row>
    <row r="21502" spans="104:111">
      <c r="CZ21502" s="256"/>
      <c r="DG21502" s="256"/>
    </row>
    <row r="21503" spans="104:111">
      <c r="CZ21503" s="256"/>
      <c r="DG21503" s="256"/>
    </row>
    <row r="21504" spans="104:111">
      <c r="CZ21504" s="256"/>
      <c r="DG21504" s="256"/>
    </row>
    <row r="21505" spans="104:111">
      <c r="CZ21505" s="256"/>
      <c r="DG21505" s="256"/>
    </row>
    <row r="21506" spans="104:111">
      <c r="CZ21506" s="256"/>
      <c r="DG21506" s="256"/>
    </row>
    <row r="21507" spans="104:111">
      <c r="CZ21507" s="256"/>
      <c r="DG21507" s="256"/>
    </row>
    <row r="21508" spans="104:111">
      <c r="CZ21508" s="256"/>
      <c r="DG21508" s="256"/>
    </row>
    <row r="21509" spans="104:111">
      <c r="CZ21509" s="256"/>
      <c r="DG21509" s="256"/>
    </row>
    <row r="21510" spans="104:111">
      <c r="CZ21510" s="256"/>
      <c r="DG21510" s="256"/>
    </row>
    <row r="21511" spans="104:111">
      <c r="CZ21511" s="256"/>
      <c r="DG21511" s="256"/>
    </row>
    <row r="21512" spans="104:111">
      <c r="CZ21512" s="256"/>
      <c r="DG21512" s="256"/>
    </row>
    <row r="21513" spans="104:111">
      <c r="CZ21513" s="256"/>
      <c r="DG21513" s="256"/>
    </row>
    <row r="21514" spans="104:111">
      <c r="CZ21514" s="256"/>
      <c r="DG21514" s="256"/>
    </row>
    <row r="21515" spans="104:111">
      <c r="CZ21515" s="256"/>
      <c r="DG21515" s="256"/>
    </row>
    <row r="21516" spans="104:111">
      <c r="CZ21516" s="256"/>
      <c r="DG21516" s="256"/>
    </row>
    <row r="21517" spans="104:111">
      <c r="CZ21517" s="256"/>
      <c r="DG21517" s="256"/>
    </row>
    <row r="21518" spans="104:111">
      <c r="CZ21518" s="256"/>
      <c r="DG21518" s="256"/>
    </row>
    <row r="21519" spans="104:111">
      <c r="CZ21519" s="256"/>
      <c r="DG21519" s="256"/>
    </row>
    <row r="21520" spans="104:111">
      <c r="CZ21520" s="256"/>
      <c r="DG21520" s="256"/>
    </row>
    <row r="21521" spans="104:111">
      <c r="CZ21521" s="256"/>
      <c r="DG21521" s="256"/>
    </row>
    <row r="21522" spans="104:111">
      <c r="CZ21522" s="256"/>
      <c r="DG21522" s="256"/>
    </row>
    <row r="21523" spans="104:111">
      <c r="CZ21523" s="256"/>
      <c r="DG21523" s="256"/>
    </row>
    <row r="21524" spans="104:111">
      <c r="CZ21524" s="256"/>
      <c r="DG21524" s="256"/>
    </row>
    <row r="21525" spans="104:111">
      <c r="CZ21525" s="256"/>
      <c r="DG21525" s="256"/>
    </row>
    <row r="21526" spans="104:111">
      <c r="CZ21526" s="256"/>
      <c r="DG21526" s="256"/>
    </row>
    <row r="21527" spans="104:111">
      <c r="CZ21527" s="256"/>
      <c r="DG21527" s="256"/>
    </row>
    <row r="21528" spans="104:111">
      <c r="CZ21528" s="256"/>
      <c r="DG21528" s="256"/>
    </row>
    <row r="21529" spans="104:111">
      <c r="CZ21529" s="256"/>
      <c r="DG21529" s="256"/>
    </row>
    <row r="21530" spans="104:111">
      <c r="CZ21530" s="256"/>
      <c r="DG21530" s="256"/>
    </row>
    <row r="21531" spans="104:111">
      <c r="CZ21531" s="256"/>
      <c r="DG21531" s="256"/>
    </row>
    <row r="21532" spans="104:111">
      <c r="CZ21532" s="256"/>
      <c r="DG21532" s="256"/>
    </row>
    <row r="21533" spans="104:111">
      <c r="CZ21533" s="256"/>
      <c r="DG21533" s="256"/>
    </row>
    <row r="21534" spans="104:111">
      <c r="CZ21534" s="256"/>
      <c r="DG21534" s="256"/>
    </row>
    <row r="21535" spans="104:111">
      <c r="CZ21535" s="256"/>
      <c r="DG21535" s="256"/>
    </row>
    <row r="21536" spans="104:111">
      <c r="CZ21536" s="256"/>
      <c r="DG21536" s="256"/>
    </row>
    <row r="21537" spans="104:111">
      <c r="CZ21537" s="256"/>
      <c r="DG21537" s="256"/>
    </row>
    <row r="21538" spans="104:111">
      <c r="CZ21538" s="256"/>
      <c r="DG21538" s="256"/>
    </row>
    <row r="21539" spans="104:111">
      <c r="CZ21539" s="256"/>
      <c r="DG21539" s="256"/>
    </row>
    <row r="21540" spans="104:111">
      <c r="CZ21540" s="256"/>
      <c r="DG21540" s="256"/>
    </row>
    <row r="21541" spans="104:111">
      <c r="CZ21541" s="256"/>
      <c r="DG21541" s="256"/>
    </row>
    <row r="21542" spans="104:111">
      <c r="CZ21542" s="256"/>
      <c r="DG21542" s="256"/>
    </row>
    <row r="21543" spans="104:111">
      <c r="CZ21543" s="256"/>
      <c r="DG21543" s="256"/>
    </row>
    <row r="21544" spans="104:111">
      <c r="CZ21544" s="256"/>
      <c r="DG21544" s="256"/>
    </row>
    <row r="21545" spans="104:111">
      <c r="CZ21545" s="256"/>
      <c r="DG21545" s="256"/>
    </row>
    <row r="21546" spans="104:111">
      <c r="CZ21546" s="256"/>
      <c r="DG21546" s="256"/>
    </row>
    <row r="21547" spans="104:111">
      <c r="CZ21547" s="256"/>
      <c r="DG21547" s="256"/>
    </row>
    <row r="21548" spans="104:111">
      <c r="CZ21548" s="256"/>
      <c r="DG21548" s="256"/>
    </row>
    <row r="21549" spans="104:111">
      <c r="CZ21549" s="256"/>
      <c r="DG21549" s="256"/>
    </row>
    <row r="21550" spans="104:111">
      <c r="CZ21550" s="256"/>
      <c r="DG21550" s="256"/>
    </row>
    <row r="21551" spans="104:111">
      <c r="CZ21551" s="256"/>
      <c r="DG21551" s="256"/>
    </row>
    <row r="21552" spans="104:111">
      <c r="CZ21552" s="256"/>
      <c r="DG21552" s="256"/>
    </row>
    <row r="21553" spans="104:111">
      <c r="CZ21553" s="256"/>
      <c r="DG21553" s="256"/>
    </row>
    <row r="21554" spans="104:111">
      <c r="CZ21554" s="256"/>
      <c r="DG21554" s="256"/>
    </row>
    <row r="21555" spans="104:111">
      <c r="CZ21555" s="256"/>
      <c r="DG21555" s="256"/>
    </row>
    <row r="21556" spans="104:111">
      <c r="CZ21556" s="256"/>
      <c r="DG21556" s="256"/>
    </row>
    <row r="21557" spans="104:111">
      <c r="CZ21557" s="256"/>
      <c r="DG21557" s="256"/>
    </row>
    <row r="21558" spans="104:111">
      <c r="CZ21558" s="256"/>
      <c r="DG21558" s="256"/>
    </row>
    <row r="21559" spans="104:111">
      <c r="CZ21559" s="256"/>
      <c r="DG21559" s="256"/>
    </row>
    <row r="21560" spans="104:111">
      <c r="CZ21560" s="256"/>
      <c r="DG21560" s="256"/>
    </row>
    <row r="21561" spans="104:111">
      <c r="CZ21561" s="256"/>
      <c r="DG21561" s="256"/>
    </row>
    <row r="21562" spans="104:111">
      <c r="CZ21562" s="256"/>
      <c r="DG21562" s="256"/>
    </row>
    <row r="21563" spans="104:111">
      <c r="CZ21563" s="256"/>
      <c r="DG21563" s="256"/>
    </row>
    <row r="21564" spans="104:111">
      <c r="CZ21564" s="256"/>
      <c r="DG21564" s="256"/>
    </row>
    <row r="21565" spans="104:111">
      <c r="CZ21565" s="256"/>
      <c r="DG21565" s="256"/>
    </row>
    <row r="21566" spans="104:111">
      <c r="CZ21566" s="256"/>
      <c r="DG21566" s="256"/>
    </row>
    <row r="21567" spans="104:111">
      <c r="CZ21567" s="256"/>
      <c r="DG21567" s="256"/>
    </row>
    <row r="21568" spans="104:111">
      <c r="CZ21568" s="256"/>
      <c r="DG21568" s="256"/>
    </row>
    <row r="21569" spans="104:111">
      <c r="CZ21569" s="256"/>
      <c r="DG21569" s="256"/>
    </row>
    <row r="21570" spans="104:111">
      <c r="CZ21570" s="256"/>
      <c r="DG21570" s="256"/>
    </row>
    <row r="21571" spans="104:111">
      <c r="CZ21571" s="256"/>
      <c r="DG21571" s="256"/>
    </row>
    <row r="21572" spans="104:111">
      <c r="CZ21572" s="256"/>
      <c r="DG21572" s="256"/>
    </row>
    <row r="21573" spans="104:111">
      <c r="CZ21573" s="256"/>
      <c r="DG21573" s="256"/>
    </row>
    <row r="21574" spans="104:111">
      <c r="CZ21574" s="256"/>
      <c r="DG21574" s="256"/>
    </row>
    <row r="21575" spans="104:111">
      <c r="CZ21575" s="256"/>
      <c r="DG21575" s="256"/>
    </row>
    <row r="21576" spans="104:111">
      <c r="CZ21576" s="256"/>
      <c r="DG21576" s="256"/>
    </row>
    <row r="21577" spans="104:111">
      <c r="CZ21577" s="256"/>
      <c r="DG21577" s="256"/>
    </row>
    <row r="21578" spans="104:111">
      <c r="CZ21578" s="256"/>
      <c r="DG21578" s="256"/>
    </row>
    <row r="21579" spans="104:111">
      <c r="CZ21579" s="256"/>
      <c r="DG21579" s="256"/>
    </row>
    <row r="21580" spans="104:111">
      <c r="CZ21580" s="256"/>
      <c r="DG21580" s="256"/>
    </row>
    <row r="21581" spans="104:111">
      <c r="CZ21581" s="256"/>
      <c r="DG21581" s="256"/>
    </row>
    <row r="21582" spans="104:111">
      <c r="CZ21582" s="256"/>
      <c r="DG21582" s="256"/>
    </row>
    <row r="21583" spans="104:111">
      <c r="CZ21583" s="256"/>
      <c r="DG21583" s="256"/>
    </row>
    <row r="21584" spans="104:111">
      <c r="CZ21584" s="256"/>
      <c r="DG21584" s="256"/>
    </row>
    <row r="21585" spans="104:111">
      <c r="CZ21585" s="256"/>
      <c r="DG21585" s="256"/>
    </row>
    <row r="21586" spans="104:111">
      <c r="CZ21586" s="256"/>
      <c r="DG21586" s="256"/>
    </row>
    <row r="21587" spans="104:111">
      <c r="CZ21587" s="256"/>
      <c r="DG21587" s="256"/>
    </row>
    <row r="21588" spans="104:111">
      <c r="CZ21588" s="256"/>
      <c r="DG21588" s="256"/>
    </row>
    <row r="21589" spans="104:111">
      <c r="CZ21589" s="256"/>
      <c r="DG21589" s="256"/>
    </row>
    <row r="21590" spans="104:111">
      <c r="CZ21590" s="256"/>
      <c r="DG21590" s="256"/>
    </row>
    <row r="21591" spans="104:111">
      <c r="CZ21591" s="256"/>
      <c r="DG21591" s="256"/>
    </row>
    <row r="21592" spans="104:111">
      <c r="CZ21592" s="256"/>
      <c r="DG21592" s="256"/>
    </row>
    <row r="21593" spans="104:111">
      <c r="CZ21593" s="256"/>
      <c r="DG21593" s="256"/>
    </row>
    <row r="21594" spans="104:111">
      <c r="CZ21594" s="256"/>
      <c r="DG21594" s="256"/>
    </row>
    <row r="21595" spans="104:111">
      <c r="CZ21595" s="256"/>
      <c r="DG21595" s="256"/>
    </row>
    <row r="21596" spans="104:111">
      <c r="CZ21596" s="256"/>
      <c r="DG21596" s="256"/>
    </row>
    <row r="21597" spans="104:111">
      <c r="CZ21597" s="256"/>
      <c r="DG21597" s="256"/>
    </row>
    <row r="21598" spans="104:111">
      <c r="CZ21598" s="256"/>
      <c r="DG21598" s="256"/>
    </row>
    <row r="21599" spans="104:111">
      <c r="CZ21599" s="256"/>
      <c r="DG21599" s="256"/>
    </row>
    <row r="21600" spans="104:111">
      <c r="CZ21600" s="256"/>
      <c r="DG21600" s="256"/>
    </row>
    <row r="21601" spans="104:111">
      <c r="CZ21601" s="256"/>
      <c r="DG21601" s="256"/>
    </row>
    <row r="21602" spans="104:111">
      <c r="CZ21602" s="256"/>
      <c r="DG21602" s="256"/>
    </row>
    <row r="21603" spans="104:111">
      <c r="CZ21603" s="256"/>
      <c r="DG21603" s="256"/>
    </row>
    <row r="21604" spans="104:111">
      <c r="CZ21604" s="256"/>
      <c r="DG21604" s="256"/>
    </row>
    <row r="21605" spans="104:111">
      <c r="CZ21605" s="256"/>
      <c r="DG21605" s="256"/>
    </row>
    <row r="21606" spans="104:111">
      <c r="CZ21606" s="256"/>
      <c r="DG21606" s="256"/>
    </row>
    <row r="21607" spans="104:111">
      <c r="CZ21607" s="256"/>
      <c r="DG21607" s="256"/>
    </row>
    <row r="21608" spans="104:111">
      <c r="CZ21608" s="256"/>
      <c r="DG21608" s="256"/>
    </row>
    <row r="21609" spans="104:111">
      <c r="CZ21609" s="256"/>
      <c r="DG21609" s="256"/>
    </row>
    <row r="21610" spans="104:111">
      <c r="CZ21610" s="256"/>
      <c r="DG21610" s="256"/>
    </row>
    <row r="21611" spans="104:111">
      <c r="CZ21611" s="256"/>
      <c r="DG21611" s="256"/>
    </row>
    <row r="21612" spans="104:111">
      <c r="CZ21612" s="256"/>
      <c r="DG21612" s="256"/>
    </row>
    <row r="21613" spans="104:111">
      <c r="CZ21613" s="256"/>
      <c r="DG21613" s="256"/>
    </row>
    <row r="21614" spans="104:111">
      <c r="CZ21614" s="256"/>
      <c r="DG21614" s="256"/>
    </row>
    <row r="21615" spans="104:111">
      <c r="CZ21615" s="256"/>
      <c r="DG21615" s="256"/>
    </row>
    <row r="21616" spans="104:111">
      <c r="CZ21616" s="256"/>
      <c r="DG21616" s="256"/>
    </row>
    <row r="21617" spans="104:111">
      <c r="CZ21617" s="256"/>
      <c r="DG21617" s="256"/>
    </row>
    <row r="21618" spans="104:111">
      <c r="CZ21618" s="256"/>
      <c r="DG21618" s="256"/>
    </row>
    <row r="21619" spans="104:111">
      <c r="CZ21619" s="256"/>
      <c r="DG21619" s="256"/>
    </row>
    <row r="21620" spans="104:111">
      <c r="CZ21620" s="256"/>
      <c r="DG21620" s="256"/>
    </row>
    <row r="21621" spans="104:111">
      <c r="CZ21621" s="256"/>
      <c r="DG21621" s="256"/>
    </row>
    <row r="21622" spans="104:111">
      <c r="CZ21622" s="256"/>
      <c r="DG21622" s="256"/>
    </row>
    <row r="21623" spans="104:111">
      <c r="CZ21623" s="256"/>
      <c r="DG21623" s="256"/>
    </row>
    <row r="21624" spans="104:111">
      <c r="CZ21624" s="256"/>
      <c r="DG21624" s="256"/>
    </row>
    <row r="21625" spans="104:111">
      <c r="CZ21625" s="256"/>
      <c r="DG21625" s="256"/>
    </row>
    <row r="21626" spans="104:111">
      <c r="CZ21626" s="256"/>
      <c r="DG21626" s="256"/>
    </row>
    <row r="21627" spans="104:111">
      <c r="CZ21627" s="256"/>
      <c r="DG21627" s="256"/>
    </row>
    <row r="21628" spans="104:111">
      <c r="CZ21628" s="256"/>
      <c r="DG21628" s="256"/>
    </row>
    <row r="21629" spans="104:111">
      <c r="CZ21629" s="256"/>
      <c r="DG21629" s="256"/>
    </row>
    <row r="21630" spans="104:111">
      <c r="CZ21630" s="256"/>
      <c r="DG21630" s="256"/>
    </row>
    <row r="21631" spans="104:111">
      <c r="CZ21631" s="256"/>
      <c r="DG21631" s="256"/>
    </row>
    <row r="21632" spans="104:111">
      <c r="CZ21632" s="256"/>
      <c r="DG21632" s="256"/>
    </row>
    <row r="21633" spans="104:111">
      <c r="CZ21633" s="256"/>
      <c r="DG21633" s="256"/>
    </row>
    <row r="21634" spans="104:111">
      <c r="CZ21634" s="256"/>
      <c r="DG21634" s="256"/>
    </row>
    <row r="21635" spans="104:111">
      <c r="CZ21635" s="256"/>
      <c r="DG21635" s="256"/>
    </row>
    <row r="21636" spans="104:111">
      <c r="CZ21636" s="256"/>
      <c r="DG21636" s="256"/>
    </row>
    <row r="21637" spans="104:111">
      <c r="CZ21637" s="256"/>
      <c r="DG21637" s="256"/>
    </row>
    <row r="21638" spans="104:111">
      <c r="CZ21638" s="256"/>
      <c r="DG21638" s="256"/>
    </row>
    <row r="21639" spans="104:111">
      <c r="CZ21639" s="256"/>
      <c r="DG21639" s="256"/>
    </row>
    <row r="21640" spans="104:111">
      <c r="CZ21640" s="256"/>
      <c r="DG21640" s="256"/>
    </row>
    <row r="21641" spans="104:111">
      <c r="CZ21641" s="256"/>
      <c r="DG21641" s="256"/>
    </row>
    <row r="21642" spans="104:111">
      <c r="CZ21642" s="256"/>
      <c r="DG21642" s="256"/>
    </row>
    <row r="21643" spans="104:111">
      <c r="CZ21643" s="256"/>
      <c r="DG21643" s="256"/>
    </row>
    <row r="21644" spans="104:111">
      <c r="CZ21644" s="256"/>
      <c r="DG21644" s="256"/>
    </row>
    <row r="21645" spans="104:111">
      <c r="CZ21645" s="256"/>
      <c r="DG21645" s="256"/>
    </row>
    <row r="21646" spans="104:111">
      <c r="CZ21646" s="256"/>
      <c r="DG21646" s="256"/>
    </row>
    <row r="21647" spans="104:111">
      <c r="CZ21647" s="256"/>
      <c r="DG21647" s="256"/>
    </row>
    <row r="21648" spans="104:111">
      <c r="CZ21648" s="256"/>
      <c r="DG21648" s="256"/>
    </row>
    <row r="21649" spans="104:111">
      <c r="CZ21649" s="256"/>
      <c r="DG21649" s="256"/>
    </row>
    <row r="21650" spans="104:111">
      <c r="CZ21650" s="256"/>
      <c r="DG21650" s="256"/>
    </row>
    <row r="21651" spans="104:111">
      <c r="CZ21651" s="256"/>
      <c r="DG21651" s="256"/>
    </row>
    <row r="21652" spans="104:111">
      <c r="CZ21652" s="256"/>
      <c r="DG21652" s="256"/>
    </row>
    <row r="21653" spans="104:111">
      <c r="CZ21653" s="256"/>
      <c r="DG21653" s="256"/>
    </row>
    <row r="21654" spans="104:111">
      <c r="CZ21654" s="256"/>
      <c r="DG21654" s="256"/>
    </row>
    <row r="21655" spans="104:111">
      <c r="CZ21655" s="256"/>
      <c r="DG21655" s="256"/>
    </row>
    <row r="21656" spans="104:111">
      <c r="CZ21656" s="256"/>
      <c r="DG21656" s="256"/>
    </row>
    <row r="21657" spans="104:111">
      <c r="CZ21657" s="256"/>
      <c r="DG21657" s="256"/>
    </row>
    <row r="21658" spans="104:111">
      <c r="CZ21658" s="256"/>
      <c r="DG21658" s="256"/>
    </row>
    <row r="21659" spans="104:111">
      <c r="CZ21659" s="256"/>
      <c r="DG21659" s="256"/>
    </row>
    <row r="21660" spans="104:111">
      <c r="CZ21660" s="256"/>
      <c r="DG21660" s="256"/>
    </row>
    <row r="21661" spans="104:111">
      <c r="CZ21661" s="256"/>
      <c r="DG21661" s="256"/>
    </row>
    <row r="21662" spans="104:111">
      <c r="CZ21662" s="256"/>
      <c r="DG21662" s="256"/>
    </row>
    <row r="21663" spans="104:111">
      <c r="CZ21663" s="256"/>
      <c r="DG21663" s="256"/>
    </row>
    <row r="21664" spans="104:111">
      <c r="CZ21664" s="256"/>
      <c r="DG21664" s="256"/>
    </row>
    <row r="21665" spans="104:111">
      <c r="CZ21665" s="256"/>
      <c r="DG21665" s="256"/>
    </row>
    <row r="21666" spans="104:111">
      <c r="CZ21666" s="256"/>
      <c r="DG21666" s="256"/>
    </row>
    <row r="21667" spans="104:111">
      <c r="CZ21667" s="256"/>
      <c r="DG21667" s="256"/>
    </row>
    <row r="21668" spans="104:111">
      <c r="CZ21668" s="256"/>
      <c r="DG21668" s="256"/>
    </row>
    <row r="21669" spans="104:111">
      <c r="CZ21669" s="256"/>
      <c r="DG21669" s="256"/>
    </row>
    <row r="21670" spans="104:111">
      <c r="CZ21670" s="256"/>
      <c r="DG21670" s="256"/>
    </row>
    <row r="21671" spans="104:111">
      <c r="CZ21671" s="256"/>
      <c r="DG21671" s="256"/>
    </row>
    <row r="21672" spans="104:111">
      <c r="CZ21672" s="256"/>
      <c r="DG21672" s="256"/>
    </row>
    <row r="21673" spans="104:111">
      <c r="CZ21673" s="256"/>
      <c r="DG21673" s="256"/>
    </row>
    <row r="21674" spans="104:111">
      <c r="CZ21674" s="256"/>
      <c r="DG21674" s="256"/>
    </row>
    <row r="21675" spans="104:111">
      <c r="CZ21675" s="256"/>
      <c r="DG21675" s="256"/>
    </row>
    <row r="21676" spans="104:111">
      <c r="CZ21676" s="256"/>
      <c r="DG21676" s="256"/>
    </row>
    <row r="21677" spans="104:111">
      <c r="CZ21677" s="256"/>
      <c r="DG21677" s="256"/>
    </row>
    <row r="21678" spans="104:111">
      <c r="CZ21678" s="256"/>
      <c r="DG21678" s="256"/>
    </row>
    <row r="21679" spans="104:111">
      <c r="CZ21679" s="256"/>
      <c r="DG21679" s="256"/>
    </row>
    <row r="21680" spans="104:111">
      <c r="CZ21680" s="256"/>
      <c r="DG21680" s="256"/>
    </row>
    <row r="21681" spans="104:111">
      <c r="CZ21681" s="256"/>
      <c r="DG21681" s="256"/>
    </row>
    <row r="21682" spans="104:111">
      <c r="CZ21682" s="256"/>
      <c r="DG21682" s="256"/>
    </row>
    <row r="21683" spans="104:111">
      <c r="CZ21683" s="256"/>
      <c r="DG21683" s="256"/>
    </row>
    <row r="21684" spans="104:111">
      <c r="CZ21684" s="256"/>
      <c r="DG21684" s="256"/>
    </row>
    <row r="21685" spans="104:111">
      <c r="CZ21685" s="256"/>
      <c r="DG21685" s="256"/>
    </row>
    <row r="21686" spans="104:111">
      <c r="CZ21686" s="256"/>
      <c r="DG21686" s="256"/>
    </row>
    <row r="21687" spans="104:111">
      <c r="CZ21687" s="256"/>
      <c r="DG21687" s="256"/>
    </row>
    <row r="21688" spans="104:111">
      <c r="CZ21688" s="256"/>
      <c r="DG21688" s="256"/>
    </row>
    <row r="21689" spans="104:111">
      <c r="CZ21689" s="256"/>
      <c r="DG21689" s="256"/>
    </row>
    <row r="21690" spans="104:111">
      <c r="CZ21690" s="256"/>
      <c r="DG21690" s="256"/>
    </row>
    <row r="21691" spans="104:111">
      <c r="CZ21691" s="256"/>
      <c r="DG21691" s="256"/>
    </row>
    <row r="21692" spans="104:111">
      <c r="CZ21692" s="256"/>
      <c r="DG21692" s="256"/>
    </row>
    <row r="21693" spans="104:111">
      <c r="CZ21693" s="256"/>
      <c r="DG21693" s="256"/>
    </row>
    <row r="21694" spans="104:111">
      <c r="CZ21694" s="256"/>
      <c r="DG21694" s="256"/>
    </row>
    <row r="21695" spans="104:111">
      <c r="CZ21695" s="256"/>
      <c r="DG21695" s="256"/>
    </row>
    <row r="21696" spans="104:111">
      <c r="CZ21696" s="256"/>
      <c r="DG21696" s="256"/>
    </row>
    <row r="21697" spans="104:111">
      <c r="CZ21697" s="256"/>
      <c r="DG21697" s="256"/>
    </row>
    <row r="21698" spans="104:111">
      <c r="CZ21698" s="256"/>
      <c r="DG21698" s="256"/>
    </row>
    <row r="21699" spans="104:111">
      <c r="CZ21699" s="256"/>
      <c r="DG21699" s="256"/>
    </row>
    <row r="21700" spans="104:111">
      <c r="CZ21700" s="256"/>
      <c r="DG21700" s="256"/>
    </row>
    <row r="21701" spans="104:111">
      <c r="CZ21701" s="256"/>
      <c r="DG21701" s="256"/>
    </row>
    <row r="21702" spans="104:111">
      <c r="CZ21702" s="256"/>
      <c r="DG21702" s="256"/>
    </row>
    <row r="21703" spans="104:111">
      <c r="CZ21703" s="256"/>
      <c r="DG21703" s="256"/>
    </row>
    <row r="21704" spans="104:111">
      <c r="CZ21704" s="256"/>
      <c r="DG21704" s="256"/>
    </row>
    <row r="21705" spans="104:111">
      <c r="CZ21705" s="256"/>
      <c r="DG21705" s="256"/>
    </row>
    <row r="21706" spans="104:111">
      <c r="CZ21706" s="256"/>
      <c r="DG21706" s="256"/>
    </row>
    <row r="21707" spans="104:111">
      <c r="CZ21707" s="256"/>
      <c r="DG21707" s="256"/>
    </row>
    <row r="21708" spans="104:111">
      <c r="CZ21708" s="256"/>
      <c r="DG21708" s="256"/>
    </row>
    <row r="21709" spans="104:111">
      <c r="CZ21709" s="256"/>
      <c r="DG21709" s="256"/>
    </row>
    <row r="21710" spans="104:111">
      <c r="CZ21710" s="256"/>
      <c r="DG21710" s="256"/>
    </row>
    <row r="21711" spans="104:111">
      <c r="CZ21711" s="256"/>
      <c r="DG21711" s="256"/>
    </row>
    <row r="21712" spans="104:111">
      <c r="CZ21712" s="256"/>
      <c r="DG21712" s="256"/>
    </row>
    <row r="21713" spans="104:111">
      <c r="CZ21713" s="256"/>
      <c r="DG21713" s="256"/>
    </row>
    <row r="21714" spans="104:111">
      <c r="CZ21714" s="256"/>
      <c r="DG21714" s="256"/>
    </row>
    <row r="21715" spans="104:111">
      <c r="CZ21715" s="256"/>
      <c r="DG21715" s="256"/>
    </row>
    <row r="21716" spans="104:111">
      <c r="CZ21716" s="256"/>
      <c r="DG21716" s="256"/>
    </row>
    <row r="21717" spans="104:111">
      <c r="CZ21717" s="256"/>
      <c r="DG21717" s="256"/>
    </row>
    <row r="21718" spans="104:111">
      <c r="CZ21718" s="256"/>
      <c r="DG21718" s="256"/>
    </row>
    <row r="21719" spans="104:111">
      <c r="CZ21719" s="256"/>
      <c r="DG21719" s="256"/>
    </row>
    <row r="21720" spans="104:111">
      <c r="CZ21720" s="256"/>
      <c r="DG21720" s="256"/>
    </row>
    <row r="21721" spans="104:111">
      <c r="CZ21721" s="256"/>
      <c r="DG21721" s="256"/>
    </row>
    <row r="21722" spans="104:111">
      <c r="CZ21722" s="256"/>
      <c r="DG21722" s="256"/>
    </row>
    <row r="21723" spans="104:111">
      <c r="CZ21723" s="256"/>
      <c r="DG21723" s="256"/>
    </row>
    <row r="21724" spans="104:111">
      <c r="CZ21724" s="256"/>
      <c r="DG21724" s="256"/>
    </row>
    <row r="21725" spans="104:111">
      <c r="CZ21725" s="256"/>
      <c r="DG21725" s="256"/>
    </row>
    <row r="21726" spans="104:111">
      <c r="CZ21726" s="256"/>
      <c r="DG21726" s="256"/>
    </row>
    <row r="21727" spans="104:111">
      <c r="CZ21727" s="256"/>
      <c r="DG21727" s="256"/>
    </row>
    <row r="21728" spans="104:111">
      <c r="CZ21728" s="256"/>
      <c r="DG21728" s="256"/>
    </row>
    <row r="21729" spans="104:111">
      <c r="CZ21729" s="256"/>
      <c r="DG21729" s="256"/>
    </row>
    <row r="21730" spans="104:111">
      <c r="CZ21730" s="256"/>
      <c r="DG21730" s="256"/>
    </row>
    <row r="21731" spans="104:111">
      <c r="CZ21731" s="256"/>
      <c r="DG21731" s="256"/>
    </row>
    <row r="21732" spans="104:111">
      <c r="CZ21732" s="256"/>
      <c r="DG21732" s="256"/>
    </row>
    <row r="21733" spans="104:111">
      <c r="CZ21733" s="256"/>
      <c r="DG21733" s="256"/>
    </row>
    <row r="21734" spans="104:111">
      <c r="CZ21734" s="256"/>
      <c r="DG21734" s="256"/>
    </row>
    <row r="21735" spans="104:111">
      <c r="CZ21735" s="256"/>
      <c r="DG21735" s="256"/>
    </row>
    <row r="21736" spans="104:111">
      <c r="CZ21736" s="256"/>
      <c r="DG21736" s="256"/>
    </row>
    <row r="21737" spans="104:111">
      <c r="CZ21737" s="256"/>
      <c r="DG21737" s="256"/>
    </row>
    <row r="21738" spans="104:111">
      <c r="CZ21738" s="256"/>
      <c r="DG21738" s="256"/>
    </row>
    <row r="21739" spans="104:111">
      <c r="CZ21739" s="256"/>
      <c r="DG21739" s="256"/>
    </row>
    <row r="21740" spans="104:111">
      <c r="CZ21740" s="256"/>
      <c r="DG21740" s="256"/>
    </row>
    <row r="21741" spans="104:111">
      <c r="CZ21741" s="256"/>
      <c r="DG21741" s="256"/>
    </row>
    <row r="21742" spans="104:111">
      <c r="CZ21742" s="256"/>
      <c r="DG21742" s="256"/>
    </row>
    <row r="21743" spans="104:111">
      <c r="CZ21743" s="256"/>
      <c r="DG21743" s="256"/>
    </row>
    <row r="21744" spans="104:111">
      <c r="CZ21744" s="256"/>
      <c r="DG21744" s="256"/>
    </row>
    <row r="21745" spans="104:111">
      <c r="CZ21745" s="256"/>
      <c r="DG21745" s="256"/>
    </row>
    <row r="21746" spans="104:111">
      <c r="CZ21746" s="256"/>
      <c r="DG21746" s="256"/>
    </row>
    <row r="21747" spans="104:111">
      <c r="CZ21747" s="256"/>
      <c r="DG21747" s="256"/>
    </row>
    <row r="21748" spans="104:111">
      <c r="CZ21748" s="256"/>
      <c r="DG21748" s="256"/>
    </row>
    <row r="21749" spans="104:111">
      <c r="CZ21749" s="256"/>
      <c r="DG21749" s="256"/>
    </row>
    <row r="21750" spans="104:111">
      <c r="CZ21750" s="256"/>
      <c r="DG21750" s="256"/>
    </row>
    <row r="21751" spans="104:111">
      <c r="CZ21751" s="256"/>
      <c r="DG21751" s="256"/>
    </row>
    <row r="21752" spans="104:111">
      <c r="CZ21752" s="256"/>
      <c r="DG21752" s="256"/>
    </row>
    <row r="21753" spans="104:111">
      <c r="CZ21753" s="256"/>
      <c r="DG21753" s="256"/>
    </row>
    <row r="21754" spans="104:111">
      <c r="CZ21754" s="256"/>
      <c r="DG21754" s="256"/>
    </row>
    <row r="21755" spans="104:111">
      <c r="CZ21755" s="256"/>
      <c r="DG21755" s="256"/>
    </row>
    <row r="21756" spans="104:111">
      <c r="CZ21756" s="256"/>
      <c r="DG21756" s="256"/>
    </row>
    <row r="21757" spans="104:111">
      <c r="CZ21757" s="256"/>
      <c r="DG21757" s="256"/>
    </row>
    <row r="21758" spans="104:111">
      <c r="CZ21758" s="256"/>
      <c r="DG21758" s="256"/>
    </row>
    <row r="21759" spans="104:111">
      <c r="CZ21759" s="256"/>
      <c r="DG21759" s="256"/>
    </row>
    <row r="21760" spans="104:111">
      <c r="CZ21760" s="256"/>
      <c r="DG21760" s="256"/>
    </row>
    <row r="21761" spans="104:111">
      <c r="CZ21761" s="256"/>
      <c r="DG21761" s="256"/>
    </row>
    <row r="21762" spans="104:111">
      <c r="CZ21762" s="256"/>
      <c r="DG21762" s="256"/>
    </row>
    <row r="21763" spans="104:111">
      <c r="CZ21763" s="256"/>
      <c r="DG21763" s="256"/>
    </row>
    <row r="21764" spans="104:111">
      <c r="CZ21764" s="256"/>
      <c r="DG21764" s="256"/>
    </row>
    <row r="21765" spans="104:111">
      <c r="CZ21765" s="256"/>
      <c r="DG21765" s="256"/>
    </row>
    <row r="21766" spans="104:111">
      <c r="CZ21766" s="256"/>
      <c r="DG21766" s="256"/>
    </row>
    <row r="21767" spans="104:111">
      <c r="CZ21767" s="256"/>
      <c r="DG21767" s="256"/>
    </row>
    <row r="21768" spans="104:111">
      <c r="CZ21768" s="256"/>
      <c r="DG21768" s="256"/>
    </row>
    <row r="21769" spans="104:111">
      <c r="CZ21769" s="256"/>
      <c r="DG21769" s="256"/>
    </row>
    <row r="21770" spans="104:111">
      <c r="CZ21770" s="256"/>
      <c r="DG21770" s="256"/>
    </row>
    <row r="21771" spans="104:111">
      <c r="CZ21771" s="256"/>
      <c r="DG21771" s="256"/>
    </row>
    <row r="21772" spans="104:111">
      <c r="CZ21772" s="256"/>
      <c r="DG21772" s="256"/>
    </row>
    <row r="21773" spans="104:111">
      <c r="CZ21773" s="256"/>
      <c r="DG21773" s="256"/>
    </row>
    <row r="21774" spans="104:111">
      <c r="CZ21774" s="256"/>
      <c r="DG21774" s="256"/>
    </row>
    <row r="21775" spans="104:111">
      <c r="CZ21775" s="256"/>
      <c r="DG21775" s="256"/>
    </row>
    <row r="21776" spans="104:111">
      <c r="CZ21776" s="256"/>
      <c r="DG21776" s="256"/>
    </row>
    <row r="21777" spans="104:111">
      <c r="CZ21777" s="256"/>
      <c r="DG21777" s="256"/>
    </row>
    <row r="21778" spans="104:111">
      <c r="CZ21778" s="256"/>
      <c r="DG21778" s="256"/>
    </row>
    <row r="21779" spans="104:111">
      <c r="CZ21779" s="256"/>
      <c r="DG21779" s="256"/>
    </row>
    <row r="21780" spans="104:111">
      <c r="CZ21780" s="256"/>
      <c r="DG21780" s="256"/>
    </row>
    <row r="21781" spans="104:111">
      <c r="CZ21781" s="256"/>
      <c r="DG21781" s="256"/>
    </row>
    <row r="21782" spans="104:111">
      <c r="CZ21782" s="256"/>
      <c r="DG21782" s="256"/>
    </row>
    <row r="21783" spans="104:111">
      <c r="CZ21783" s="256"/>
      <c r="DG21783" s="256"/>
    </row>
    <row r="21784" spans="104:111">
      <c r="CZ21784" s="256"/>
      <c r="DG21784" s="256"/>
    </row>
    <row r="21785" spans="104:111">
      <c r="CZ21785" s="256"/>
      <c r="DG21785" s="256"/>
    </row>
    <row r="21786" spans="104:111">
      <c r="CZ21786" s="256"/>
      <c r="DG21786" s="256"/>
    </row>
    <row r="21787" spans="104:111">
      <c r="CZ21787" s="256"/>
      <c r="DG21787" s="256"/>
    </row>
    <row r="21788" spans="104:111">
      <c r="CZ21788" s="256"/>
      <c r="DG21788" s="256"/>
    </row>
    <row r="21789" spans="104:111">
      <c r="CZ21789" s="256"/>
      <c r="DG21789" s="256"/>
    </row>
    <row r="21790" spans="104:111">
      <c r="CZ21790" s="256"/>
      <c r="DG21790" s="256"/>
    </row>
    <row r="21791" spans="104:111">
      <c r="CZ21791" s="256"/>
      <c r="DG21791" s="256"/>
    </row>
    <row r="21792" spans="104:111">
      <c r="CZ21792" s="256"/>
      <c r="DG21792" s="256"/>
    </row>
    <row r="21793" spans="104:111">
      <c r="CZ21793" s="256"/>
      <c r="DG21793" s="256"/>
    </row>
    <row r="21794" spans="104:111">
      <c r="CZ21794" s="256"/>
      <c r="DG21794" s="256"/>
    </row>
    <row r="21795" spans="104:111">
      <c r="CZ21795" s="256"/>
      <c r="DG21795" s="256"/>
    </row>
    <row r="21796" spans="104:111">
      <c r="CZ21796" s="256"/>
      <c r="DG21796" s="256"/>
    </row>
    <row r="21797" spans="104:111">
      <c r="CZ21797" s="256"/>
      <c r="DG21797" s="256"/>
    </row>
    <row r="21798" spans="104:111">
      <c r="CZ21798" s="256"/>
      <c r="DG21798" s="256"/>
    </row>
    <row r="21799" spans="104:111">
      <c r="CZ21799" s="256"/>
      <c r="DG21799" s="256"/>
    </row>
    <row r="21800" spans="104:111">
      <c r="CZ21800" s="256"/>
      <c r="DG21800" s="256"/>
    </row>
    <row r="21801" spans="104:111">
      <c r="CZ21801" s="256"/>
      <c r="DG21801" s="256"/>
    </row>
    <row r="21802" spans="104:111">
      <c r="CZ21802" s="256"/>
      <c r="DG21802" s="256"/>
    </row>
    <row r="21803" spans="104:111">
      <c r="CZ21803" s="256"/>
      <c r="DG21803" s="256"/>
    </row>
    <row r="21804" spans="104:111">
      <c r="CZ21804" s="256"/>
      <c r="DG21804" s="256"/>
    </row>
    <row r="21805" spans="104:111">
      <c r="CZ21805" s="256"/>
      <c r="DG21805" s="256"/>
    </row>
    <row r="21806" spans="104:111">
      <c r="CZ21806" s="256"/>
      <c r="DG21806" s="256"/>
    </row>
    <row r="21807" spans="104:111">
      <c r="CZ21807" s="256"/>
      <c r="DG21807" s="256"/>
    </row>
    <row r="21808" spans="104:111">
      <c r="CZ21808" s="256"/>
      <c r="DG21808" s="256"/>
    </row>
    <row r="21809" spans="104:111">
      <c r="CZ21809" s="256"/>
      <c r="DG21809" s="256"/>
    </row>
    <row r="21810" spans="104:111">
      <c r="CZ21810" s="256"/>
      <c r="DG21810" s="256"/>
    </row>
    <row r="21811" spans="104:111">
      <c r="CZ21811" s="256"/>
      <c r="DG21811" s="256"/>
    </row>
    <row r="21812" spans="104:111">
      <c r="CZ21812" s="256"/>
      <c r="DG21812" s="256"/>
    </row>
    <row r="21813" spans="104:111">
      <c r="CZ21813" s="256"/>
      <c r="DG21813" s="256"/>
    </row>
    <row r="21814" spans="104:111">
      <c r="CZ21814" s="256"/>
      <c r="DG21814" s="256"/>
    </row>
    <row r="21815" spans="104:111">
      <c r="CZ21815" s="256"/>
      <c r="DG21815" s="256"/>
    </row>
    <row r="21816" spans="104:111">
      <c r="CZ21816" s="256"/>
      <c r="DG21816" s="256"/>
    </row>
    <row r="21817" spans="104:111">
      <c r="CZ21817" s="256"/>
      <c r="DG21817" s="256"/>
    </row>
    <row r="21818" spans="104:111">
      <c r="CZ21818" s="256"/>
      <c r="DG21818" s="256"/>
    </row>
    <row r="21819" spans="104:111">
      <c r="CZ21819" s="256"/>
      <c r="DG21819" s="256"/>
    </row>
    <row r="21820" spans="104:111">
      <c r="CZ21820" s="256"/>
      <c r="DG21820" s="256"/>
    </row>
    <row r="21821" spans="104:111">
      <c r="CZ21821" s="256"/>
      <c r="DG21821" s="256"/>
    </row>
    <row r="21822" spans="104:111">
      <c r="CZ21822" s="256"/>
      <c r="DG21822" s="256"/>
    </row>
    <row r="21823" spans="104:111">
      <c r="CZ21823" s="256"/>
      <c r="DG21823" s="256"/>
    </row>
    <row r="21824" spans="104:111">
      <c r="CZ21824" s="256"/>
      <c r="DG21824" s="256"/>
    </row>
    <row r="21825" spans="104:111">
      <c r="CZ21825" s="256"/>
      <c r="DG21825" s="256"/>
    </row>
    <row r="21826" spans="104:111">
      <c r="CZ21826" s="256"/>
      <c r="DG21826" s="256"/>
    </row>
    <row r="21827" spans="104:111">
      <c r="CZ21827" s="256"/>
      <c r="DG21827" s="256"/>
    </row>
    <row r="21828" spans="104:111">
      <c r="CZ21828" s="256"/>
      <c r="DG21828" s="256"/>
    </row>
    <row r="21829" spans="104:111">
      <c r="CZ21829" s="256"/>
      <c r="DG21829" s="256"/>
    </row>
    <row r="21830" spans="104:111">
      <c r="CZ21830" s="256"/>
      <c r="DG21830" s="256"/>
    </row>
    <row r="21831" spans="104:111">
      <c r="CZ21831" s="256"/>
      <c r="DG21831" s="256"/>
    </row>
    <row r="21832" spans="104:111">
      <c r="CZ21832" s="256"/>
      <c r="DG21832" s="256"/>
    </row>
    <row r="21833" spans="104:111">
      <c r="CZ21833" s="256"/>
      <c r="DG21833" s="256"/>
    </row>
    <row r="21834" spans="104:111">
      <c r="CZ21834" s="256"/>
      <c r="DG21834" s="256"/>
    </row>
    <row r="21835" spans="104:111">
      <c r="CZ21835" s="256"/>
      <c r="DG21835" s="256"/>
    </row>
    <row r="21836" spans="104:111">
      <c r="CZ21836" s="256"/>
      <c r="DG21836" s="256"/>
    </row>
    <row r="21837" spans="104:111">
      <c r="CZ21837" s="256"/>
      <c r="DG21837" s="256"/>
    </row>
    <row r="21838" spans="104:111">
      <c r="CZ21838" s="256"/>
      <c r="DG21838" s="256"/>
    </row>
    <row r="21839" spans="104:111">
      <c r="CZ21839" s="256"/>
      <c r="DG21839" s="256"/>
    </row>
    <row r="21840" spans="104:111">
      <c r="CZ21840" s="256"/>
      <c r="DG21840" s="256"/>
    </row>
    <row r="21841" spans="104:111">
      <c r="CZ21841" s="256"/>
      <c r="DG21841" s="256"/>
    </row>
    <row r="21842" spans="104:111">
      <c r="CZ21842" s="256"/>
      <c r="DG21842" s="256"/>
    </row>
    <row r="21843" spans="104:111">
      <c r="CZ21843" s="256"/>
      <c r="DG21843" s="256"/>
    </row>
    <row r="21844" spans="104:111">
      <c r="CZ21844" s="256"/>
      <c r="DG21844" s="256"/>
    </row>
    <row r="21845" spans="104:111">
      <c r="CZ21845" s="256"/>
      <c r="DG21845" s="256"/>
    </row>
    <row r="21846" spans="104:111">
      <c r="CZ21846" s="256"/>
      <c r="DG21846" s="256"/>
    </row>
    <row r="21847" spans="104:111">
      <c r="CZ21847" s="256"/>
      <c r="DG21847" s="256"/>
    </row>
    <row r="21848" spans="104:111">
      <c r="CZ21848" s="256"/>
      <c r="DG21848" s="256"/>
    </row>
    <row r="21849" spans="104:111">
      <c r="CZ21849" s="256"/>
      <c r="DG21849" s="256"/>
    </row>
    <row r="21850" spans="104:111">
      <c r="CZ21850" s="256"/>
      <c r="DG21850" s="256"/>
    </row>
    <row r="21851" spans="104:111">
      <c r="CZ21851" s="256"/>
      <c r="DG21851" s="256"/>
    </row>
    <row r="21852" spans="104:111">
      <c r="CZ21852" s="256"/>
      <c r="DG21852" s="256"/>
    </row>
    <row r="21853" spans="104:111">
      <c r="CZ21853" s="256"/>
      <c r="DG21853" s="256"/>
    </row>
    <row r="21854" spans="104:111">
      <c r="CZ21854" s="256"/>
      <c r="DG21854" s="256"/>
    </row>
    <row r="21855" spans="104:111">
      <c r="CZ21855" s="256"/>
      <c r="DG21855" s="256"/>
    </row>
    <row r="21856" spans="104:111">
      <c r="CZ21856" s="256"/>
      <c r="DG21856" s="256"/>
    </row>
    <row r="21857" spans="104:111">
      <c r="CZ21857" s="256"/>
      <c r="DG21857" s="256"/>
    </row>
    <row r="21858" spans="104:111">
      <c r="CZ21858" s="256"/>
      <c r="DG21858" s="256"/>
    </row>
    <row r="21859" spans="104:111">
      <c r="CZ21859" s="256"/>
      <c r="DG21859" s="256"/>
    </row>
    <row r="21860" spans="104:111">
      <c r="CZ21860" s="256"/>
      <c r="DG21860" s="256"/>
    </row>
    <row r="21861" spans="104:111">
      <c r="CZ21861" s="256"/>
      <c r="DG21861" s="256"/>
    </row>
    <row r="21862" spans="104:111">
      <c r="CZ21862" s="256"/>
      <c r="DG21862" s="256"/>
    </row>
    <row r="21863" spans="104:111">
      <c r="CZ21863" s="256"/>
      <c r="DG21863" s="256"/>
    </row>
    <row r="21864" spans="104:111">
      <c r="CZ21864" s="256"/>
      <c r="DG21864" s="256"/>
    </row>
    <row r="21865" spans="104:111">
      <c r="CZ21865" s="256"/>
      <c r="DG21865" s="256"/>
    </row>
    <row r="21866" spans="104:111">
      <c r="CZ21866" s="256"/>
      <c r="DG21866" s="256"/>
    </row>
    <row r="21867" spans="104:111">
      <c r="CZ21867" s="256"/>
      <c r="DG21867" s="256"/>
    </row>
    <row r="21868" spans="104:111">
      <c r="CZ21868" s="256"/>
      <c r="DG21868" s="256"/>
    </row>
    <row r="21869" spans="104:111">
      <c r="CZ21869" s="256"/>
      <c r="DG21869" s="256"/>
    </row>
    <row r="21870" spans="104:111">
      <c r="CZ21870" s="256"/>
      <c r="DG21870" s="256"/>
    </row>
    <row r="21871" spans="104:111">
      <c r="CZ21871" s="256"/>
      <c r="DG21871" s="256"/>
    </row>
    <row r="21872" spans="104:111">
      <c r="CZ21872" s="256"/>
      <c r="DG21872" s="256"/>
    </row>
    <row r="21873" spans="104:111">
      <c r="CZ21873" s="256"/>
      <c r="DG21873" s="256"/>
    </row>
    <row r="21874" spans="104:111">
      <c r="CZ21874" s="256"/>
      <c r="DG21874" s="256"/>
    </row>
    <row r="21875" spans="104:111">
      <c r="CZ21875" s="256"/>
      <c r="DG21875" s="256"/>
    </row>
    <row r="21876" spans="104:111">
      <c r="CZ21876" s="256"/>
      <c r="DG21876" s="256"/>
    </row>
    <row r="21877" spans="104:111">
      <c r="CZ21877" s="256"/>
      <c r="DG21877" s="256"/>
    </row>
    <row r="21878" spans="104:111">
      <c r="CZ21878" s="256"/>
      <c r="DG21878" s="256"/>
    </row>
    <row r="21879" spans="104:111">
      <c r="CZ21879" s="256"/>
      <c r="DG21879" s="256"/>
    </row>
    <row r="21880" spans="104:111">
      <c r="CZ21880" s="256"/>
      <c r="DG21880" s="256"/>
    </row>
    <row r="21881" spans="104:111">
      <c r="CZ21881" s="256"/>
      <c r="DG21881" s="256"/>
    </row>
    <row r="21882" spans="104:111">
      <c r="CZ21882" s="256"/>
      <c r="DG21882" s="256"/>
    </row>
    <row r="21883" spans="104:111">
      <c r="CZ21883" s="256"/>
      <c r="DG21883" s="256"/>
    </row>
    <row r="21884" spans="104:111">
      <c r="CZ21884" s="256"/>
      <c r="DG21884" s="256"/>
    </row>
    <row r="21885" spans="104:111">
      <c r="CZ21885" s="256"/>
      <c r="DG21885" s="256"/>
    </row>
    <row r="21886" spans="104:111">
      <c r="CZ21886" s="256"/>
      <c r="DG21886" s="256"/>
    </row>
    <row r="21887" spans="104:111">
      <c r="CZ21887" s="256"/>
      <c r="DG21887" s="256"/>
    </row>
    <row r="21888" spans="104:111">
      <c r="CZ21888" s="256"/>
      <c r="DG21888" s="256"/>
    </row>
    <row r="21889" spans="104:111">
      <c r="CZ21889" s="256"/>
      <c r="DG21889" s="256"/>
    </row>
    <row r="21890" spans="104:111">
      <c r="CZ21890" s="256"/>
      <c r="DG21890" s="256"/>
    </row>
    <row r="21891" spans="104:111">
      <c r="CZ21891" s="256"/>
      <c r="DG21891" s="256"/>
    </row>
    <row r="21892" spans="104:111">
      <c r="CZ21892" s="256"/>
      <c r="DG21892" s="256"/>
    </row>
    <row r="21893" spans="104:111">
      <c r="CZ21893" s="256"/>
      <c r="DG21893" s="256"/>
    </row>
    <row r="21894" spans="104:111">
      <c r="CZ21894" s="256"/>
      <c r="DG21894" s="256"/>
    </row>
    <row r="21895" spans="104:111">
      <c r="CZ21895" s="256"/>
      <c r="DG21895" s="256"/>
    </row>
    <row r="21896" spans="104:111">
      <c r="CZ21896" s="256"/>
      <c r="DG21896" s="256"/>
    </row>
    <row r="21897" spans="104:111">
      <c r="CZ21897" s="256"/>
      <c r="DG21897" s="256"/>
    </row>
    <row r="21898" spans="104:111">
      <c r="CZ21898" s="256"/>
      <c r="DG21898" s="256"/>
    </row>
    <row r="21899" spans="104:111">
      <c r="CZ21899" s="256"/>
      <c r="DG21899" s="256"/>
    </row>
    <row r="21900" spans="104:111">
      <c r="CZ21900" s="256"/>
      <c r="DG21900" s="256"/>
    </row>
    <row r="21901" spans="104:111">
      <c r="CZ21901" s="256"/>
      <c r="DG21901" s="256"/>
    </row>
    <row r="21902" spans="104:111">
      <c r="CZ21902" s="256"/>
      <c r="DG21902" s="256"/>
    </row>
    <row r="21903" spans="104:111">
      <c r="CZ21903" s="256"/>
      <c r="DG21903" s="256"/>
    </row>
    <row r="21904" spans="104:111">
      <c r="CZ21904" s="256"/>
      <c r="DG21904" s="256"/>
    </row>
    <row r="21905" spans="104:111">
      <c r="CZ21905" s="256"/>
      <c r="DG21905" s="256"/>
    </row>
    <row r="21906" spans="104:111">
      <c r="CZ21906" s="256"/>
      <c r="DG21906" s="256"/>
    </row>
    <row r="21907" spans="104:111">
      <c r="CZ21907" s="256"/>
      <c r="DG21907" s="256"/>
    </row>
    <row r="21908" spans="104:111">
      <c r="CZ21908" s="256"/>
      <c r="DG21908" s="256"/>
    </row>
    <row r="21909" spans="104:111">
      <c r="CZ21909" s="256"/>
      <c r="DG21909" s="256"/>
    </row>
    <row r="21910" spans="104:111">
      <c r="CZ21910" s="256"/>
      <c r="DG21910" s="256"/>
    </row>
    <row r="21911" spans="104:111">
      <c r="CZ21911" s="256"/>
      <c r="DG21911" s="256"/>
    </row>
    <row r="21912" spans="104:111">
      <c r="CZ21912" s="256"/>
      <c r="DG21912" s="256"/>
    </row>
    <row r="21913" spans="104:111">
      <c r="CZ21913" s="256"/>
      <c r="DG21913" s="256"/>
    </row>
    <row r="21914" spans="104:111">
      <c r="CZ21914" s="256"/>
      <c r="DG21914" s="256"/>
    </row>
    <row r="21915" spans="104:111">
      <c r="CZ21915" s="256"/>
      <c r="DG21915" s="256"/>
    </row>
    <row r="21916" spans="104:111">
      <c r="CZ21916" s="256"/>
      <c r="DG21916" s="256"/>
    </row>
    <row r="21917" spans="104:111">
      <c r="CZ21917" s="256"/>
      <c r="DG21917" s="256"/>
    </row>
    <row r="21918" spans="104:111">
      <c r="CZ21918" s="256"/>
      <c r="DG21918" s="256"/>
    </row>
    <row r="21919" spans="104:111">
      <c r="CZ21919" s="256"/>
      <c r="DG21919" s="256"/>
    </row>
    <row r="21920" spans="104:111">
      <c r="CZ21920" s="256"/>
      <c r="DG21920" s="256"/>
    </row>
    <row r="21921" spans="104:111">
      <c r="CZ21921" s="256"/>
      <c r="DG21921" s="256"/>
    </row>
    <row r="21922" spans="104:111">
      <c r="CZ21922" s="256"/>
      <c r="DG21922" s="256"/>
    </row>
    <row r="21923" spans="104:111">
      <c r="CZ21923" s="256"/>
      <c r="DG21923" s="256"/>
    </row>
    <row r="21924" spans="104:111">
      <c r="CZ21924" s="256"/>
      <c r="DG21924" s="256"/>
    </row>
    <row r="21925" spans="104:111">
      <c r="CZ21925" s="256"/>
      <c r="DG21925" s="256"/>
    </row>
    <row r="21926" spans="104:111">
      <c r="CZ21926" s="256"/>
      <c r="DG21926" s="256"/>
    </row>
    <row r="21927" spans="104:111">
      <c r="CZ21927" s="256"/>
      <c r="DG21927" s="256"/>
    </row>
    <row r="21928" spans="104:111">
      <c r="CZ21928" s="256"/>
      <c r="DG21928" s="256"/>
    </row>
    <row r="21929" spans="104:111">
      <c r="CZ21929" s="256"/>
      <c r="DG21929" s="256"/>
    </row>
    <row r="21930" spans="104:111">
      <c r="CZ21930" s="256"/>
      <c r="DG21930" s="256"/>
    </row>
    <row r="21931" spans="104:111">
      <c r="CZ21931" s="256"/>
      <c r="DG21931" s="256"/>
    </row>
    <row r="21932" spans="104:111">
      <c r="CZ21932" s="256"/>
      <c r="DG21932" s="256"/>
    </row>
    <row r="21933" spans="104:111">
      <c r="CZ21933" s="256"/>
      <c r="DG21933" s="256"/>
    </row>
    <row r="21934" spans="104:111">
      <c r="CZ21934" s="256"/>
      <c r="DG21934" s="256"/>
    </row>
    <row r="21935" spans="104:111">
      <c r="CZ21935" s="256"/>
      <c r="DG21935" s="256"/>
    </row>
    <row r="21936" spans="104:111">
      <c r="CZ21936" s="256"/>
      <c r="DG21936" s="256"/>
    </row>
    <row r="21937" spans="104:111">
      <c r="CZ21937" s="256"/>
      <c r="DG21937" s="256"/>
    </row>
    <row r="21938" spans="104:111">
      <c r="CZ21938" s="256"/>
      <c r="DG21938" s="256"/>
    </row>
    <row r="21939" spans="104:111">
      <c r="CZ21939" s="256"/>
      <c r="DG21939" s="256"/>
    </row>
    <row r="21940" spans="104:111">
      <c r="CZ21940" s="256"/>
      <c r="DG21940" s="256"/>
    </row>
    <row r="21941" spans="104:111">
      <c r="CZ21941" s="256"/>
      <c r="DG21941" s="256"/>
    </row>
    <row r="21942" spans="104:111">
      <c r="CZ21942" s="256"/>
      <c r="DG21942" s="256"/>
    </row>
    <row r="21943" spans="104:111">
      <c r="CZ21943" s="256"/>
      <c r="DG21943" s="256"/>
    </row>
    <row r="21944" spans="104:111">
      <c r="CZ21944" s="256"/>
      <c r="DG21944" s="256"/>
    </row>
    <row r="21945" spans="104:111">
      <c r="CZ21945" s="256"/>
      <c r="DG21945" s="256"/>
    </row>
    <row r="21946" spans="104:111">
      <c r="CZ21946" s="256"/>
      <c r="DG21946" s="256"/>
    </row>
    <row r="21947" spans="104:111">
      <c r="CZ21947" s="256"/>
      <c r="DG21947" s="256"/>
    </row>
    <row r="21948" spans="104:111">
      <c r="CZ21948" s="256"/>
      <c r="DG21948" s="256"/>
    </row>
    <row r="21949" spans="104:111">
      <c r="CZ21949" s="256"/>
      <c r="DG21949" s="256"/>
    </row>
    <row r="21950" spans="104:111">
      <c r="CZ21950" s="256"/>
      <c r="DG21950" s="256"/>
    </row>
    <row r="21951" spans="104:111">
      <c r="CZ21951" s="256"/>
      <c r="DG21951" s="256"/>
    </row>
    <row r="21952" spans="104:111">
      <c r="CZ21952" s="256"/>
      <c r="DG21952" s="256"/>
    </row>
    <row r="21953" spans="104:111">
      <c r="CZ21953" s="256"/>
      <c r="DG21953" s="256"/>
    </row>
    <row r="21954" spans="104:111">
      <c r="CZ21954" s="256"/>
      <c r="DG21954" s="256"/>
    </row>
    <row r="21955" spans="104:111">
      <c r="CZ21955" s="256"/>
      <c r="DG21955" s="256"/>
    </row>
    <row r="21956" spans="104:111">
      <c r="CZ21956" s="256"/>
      <c r="DG21956" s="256"/>
    </row>
    <row r="21957" spans="104:111">
      <c r="CZ21957" s="256"/>
      <c r="DG21957" s="256"/>
    </row>
    <row r="21958" spans="104:111">
      <c r="CZ21958" s="256"/>
      <c r="DG21958" s="256"/>
    </row>
    <row r="21959" spans="104:111">
      <c r="CZ21959" s="256"/>
      <c r="DG21959" s="256"/>
    </row>
    <row r="21960" spans="104:111">
      <c r="CZ21960" s="256"/>
      <c r="DG21960" s="256"/>
    </row>
    <row r="21961" spans="104:111">
      <c r="CZ21961" s="256"/>
      <c r="DG21961" s="256"/>
    </row>
    <row r="21962" spans="104:111">
      <c r="CZ21962" s="256"/>
      <c r="DG21962" s="256"/>
    </row>
    <row r="21963" spans="104:111">
      <c r="CZ21963" s="256"/>
      <c r="DG21963" s="256"/>
    </row>
    <row r="21964" spans="104:111">
      <c r="CZ21964" s="256"/>
      <c r="DG21964" s="256"/>
    </row>
    <row r="21965" spans="104:111">
      <c r="CZ21965" s="256"/>
      <c r="DG21965" s="256"/>
    </row>
    <row r="21966" spans="104:111">
      <c r="CZ21966" s="256"/>
      <c r="DG21966" s="256"/>
    </row>
    <row r="21967" spans="104:111">
      <c r="CZ21967" s="256"/>
      <c r="DG21967" s="256"/>
    </row>
    <row r="21968" spans="104:111">
      <c r="CZ21968" s="256"/>
      <c r="DG21968" s="256"/>
    </row>
    <row r="21969" spans="104:111">
      <c r="CZ21969" s="256"/>
      <c r="DG21969" s="256"/>
    </row>
    <row r="21970" spans="104:111">
      <c r="CZ21970" s="256"/>
      <c r="DG21970" s="256"/>
    </row>
    <row r="21971" spans="104:111">
      <c r="CZ21971" s="256"/>
      <c r="DG21971" s="256"/>
    </row>
    <row r="21972" spans="104:111">
      <c r="CZ21972" s="256"/>
      <c r="DG21972" s="256"/>
    </row>
    <row r="21973" spans="104:111">
      <c r="CZ21973" s="256"/>
      <c r="DG21973" s="256"/>
    </row>
    <row r="21974" spans="104:111">
      <c r="CZ21974" s="256"/>
      <c r="DG21974" s="256"/>
    </row>
    <row r="21975" spans="104:111">
      <c r="CZ21975" s="256"/>
      <c r="DG21975" s="256"/>
    </row>
    <row r="21976" spans="104:111">
      <c r="CZ21976" s="256"/>
      <c r="DG21976" s="256"/>
    </row>
    <row r="21977" spans="104:111">
      <c r="CZ21977" s="256"/>
      <c r="DG21977" s="256"/>
    </row>
    <row r="21978" spans="104:111">
      <c r="CZ21978" s="256"/>
      <c r="DG21978" s="256"/>
    </row>
    <row r="21979" spans="104:111">
      <c r="CZ21979" s="256"/>
      <c r="DG21979" s="256"/>
    </row>
    <row r="21980" spans="104:111">
      <c r="CZ21980" s="256"/>
      <c r="DG21980" s="256"/>
    </row>
    <row r="21981" spans="104:111">
      <c r="CZ21981" s="256"/>
      <c r="DG21981" s="256"/>
    </row>
    <row r="21982" spans="104:111">
      <c r="CZ21982" s="256"/>
      <c r="DG21982" s="256"/>
    </row>
    <row r="21983" spans="104:111">
      <c r="CZ21983" s="256"/>
      <c r="DG21983" s="256"/>
    </row>
    <row r="21984" spans="104:111">
      <c r="CZ21984" s="256"/>
      <c r="DG21984" s="256"/>
    </row>
    <row r="21985" spans="104:111">
      <c r="CZ21985" s="256"/>
      <c r="DG21985" s="256"/>
    </row>
    <row r="21986" spans="104:111">
      <c r="CZ21986" s="256"/>
      <c r="DG21986" s="256"/>
    </row>
    <row r="21987" spans="104:111">
      <c r="CZ21987" s="256"/>
      <c r="DG21987" s="256"/>
    </row>
    <row r="21988" spans="104:111">
      <c r="CZ21988" s="256"/>
      <c r="DG21988" s="256"/>
    </row>
    <row r="21989" spans="104:111">
      <c r="CZ21989" s="256"/>
      <c r="DG21989" s="256"/>
    </row>
    <row r="21990" spans="104:111">
      <c r="CZ21990" s="256"/>
      <c r="DG21990" s="256"/>
    </row>
    <row r="21991" spans="104:111">
      <c r="CZ21991" s="256"/>
      <c r="DG21991" s="256"/>
    </row>
    <row r="21992" spans="104:111">
      <c r="CZ21992" s="256"/>
      <c r="DG21992" s="256"/>
    </row>
    <row r="21993" spans="104:111">
      <c r="CZ21993" s="256"/>
      <c r="DG21993" s="256"/>
    </row>
    <row r="21994" spans="104:111">
      <c r="CZ21994" s="256"/>
      <c r="DG21994" s="256"/>
    </row>
    <row r="21995" spans="104:111">
      <c r="CZ21995" s="256"/>
      <c r="DG21995" s="256"/>
    </row>
    <row r="21996" spans="104:111">
      <c r="CZ21996" s="256"/>
      <c r="DG21996" s="256"/>
    </row>
    <row r="21997" spans="104:111">
      <c r="CZ21997" s="256"/>
      <c r="DG21997" s="256"/>
    </row>
    <row r="21998" spans="104:111">
      <c r="CZ21998" s="256"/>
      <c r="DG21998" s="256"/>
    </row>
    <row r="21999" spans="104:111">
      <c r="CZ21999" s="256"/>
      <c r="DG21999" s="256"/>
    </row>
    <row r="22000" spans="104:111">
      <c r="CZ22000" s="256"/>
      <c r="DG22000" s="256"/>
    </row>
    <row r="22001" spans="104:111">
      <c r="CZ22001" s="256"/>
      <c r="DG22001" s="256"/>
    </row>
    <row r="22002" spans="104:111">
      <c r="CZ22002" s="256"/>
      <c r="DG22002" s="256"/>
    </row>
    <row r="22003" spans="104:111">
      <c r="CZ22003" s="256"/>
      <c r="DG22003" s="256"/>
    </row>
    <row r="22004" spans="104:111">
      <c r="CZ22004" s="256"/>
      <c r="DG22004" s="256"/>
    </row>
    <row r="22005" spans="104:111">
      <c r="CZ22005" s="256"/>
      <c r="DG22005" s="256"/>
    </row>
    <row r="22006" spans="104:111">
      <c r="CZ22006" s="256"/>
      <c r="DG22006" s="256"/>
    </row>
    <row r="22007" spans="104:111">
      <c r="CZ22007" s="256"/>
      <c r="DG22007" s="256"/>
    </row>
    <row r="22008" spans="104:111">
      <c r="CZ22008" s="256"/>
      <c r="DG22008" s="256"/>
    </row>
    <row r="22009" spans="104:111">
      <c r="CZ22009" s="256"/>
      <c r="DG22009" s="256"/>
    </row>
    <row r="22010" spans="104:111">
      <c r="CZ22010" s="256"/>
      <c r="DG22010" s="256"/>
    </row>
    <row r="22011" spans="104:111">
      <c r="CZ22011" s="256"/>
      <c r="DG22011" s="256"/>
    </row>
    <row r="22012" spans="104:111">
      <c r="CZ22012" s="256"/>
      <c r="DG22012" s="256"/>
    </row>
    <row r="22013" spans="104:111">
      <c r="CZ22013" s="256"/>
      <c r="DG22013" s="256"/>
    </row>
    <row r="22014" spans="104:111">
      <c r="CZ22014" s="256"/>
      <c r="DG22014" s="256"/>
    </row>
    <row r="22015" spans="104:111">
      <c r="CZ22015" s="256"/>
      <c r="DG22015" s="256"/>
    </row>
    <row r="22016" spans="104:111">
      <c r="CZ22016" s="256"/>
      <c r="DG22016" s="256"/>
    </row>
    <row r="22017" spans="104:111">
      <c r="CZ22017" s="256"/>
      <c r="DG22017" s="256"/>
    </row>
    <row r="22018" spans="104:111">
      <c r="CZ22018" s="256"/>
      <c r="DG22018" s="256"/>
    </row>
    <row r="22019" spans="104:111">
      <c r="CZ22019" s="256"/>
      <c r="DG22019" s="256"/>
    </row>
    <row r="22020" spans="104:111">
      <c r="CZ22020" s="256"/>
      <c r="DG22020" s="256"/>
    </row>
    <row r="22021" spans="104:111">
      <c r="CZ22021" s="256"/>
      <c r="DG22021" s="256"/>
    </row>
    <row r="22022" spans="104:111">
      <c r="CZ22022" s="256"/>
      <c r="DG22022" s="256"/>
    </row>
    <row r="22023" spans="104:111">
      <c r="CZ22023" s="256"/>
      <c r="DG22023" s="256"/>
    </row>
    <row r="22024" spans="104:111">
      <c r="CZ22024" s="256"/>
      <c r="DG22024" s="256"/>
    </row>
    <row r="22025" spans="104:111">
      <c r="CZ22025" s="256"/>
      <c r="DG22025" s="256"/>
    </row>
    <row r="22026" spans="104:111">
      <c r="CZ22026" s="256"/>
      <c r="DG22026" s="256"/>
    </row>
    <row r="22027" spans="104:111">
      <c r="CZ22027" s="256"/>
      <c r="DG22027" s="256"/>
    </row>
    <row r="22028" spans="104:111">
      <c r="CZ22028" s="256"/>
      <c r="DG22028" s="256"/>
    </row>
    <row r="22029" spans="104:111">
      <c r="CZ22029" s="256"/>
      <c r="DG22029" s="256"/>
    </row>
    <row r="22030" spans="104:111">
      <c r="CZ22030" s="256"/>
      <c r="DG22030" s="256"/>
    </row>
    <row r="22031" spans="104:111">
      <c r="CZ22031" s="256"/>
      <c r="DG22031" s="256"/>
    </row>
    <row r="22032" spans="104:111">
      <c r="CZ22032" s="256"/>
      <c r="DG22032" s="256"/>
    </row>
    <row r="22033" spans="104:111">
      <c r="CZ22033" s="256"/>
      <c r="DG22033" s="256"/>
    </row>
    <row r="22034" spans="104:111">
      <c r="CZ22034" s="256"/>
      <c r="DG22034" s="256"/>
    </row>
    <row r="22035" spans="104:111">
      <c r="CZ22035" s="256"/>
      <c r="DG22035" s="256"/>
    </row>
    <row r="22036" spans="104:111">
      <c r="CZ22036" s="256"/>
      <c r="DG22036" s="256"/>
    </row>
    <row r="22037" spans="104:111">
      <c r="CZ22037" s="256"/>
      <c r="DG22037" s="256"/>
    </row>
    <row r="22038" spans="104:111">
      <c r="CZ22038" s="256"/>
      <c r="DG22038" s="256"/>
    </row>
    <row r="22039" spans="104:111">
      <c r="CZ22039" s="256"/>
      <c r="DG22039" s="256"/>
    </row>
    <row r="22040" spans="104:111">
      <c r="CZ22040" s="256"/>
      <c r="DG22040" s="256"/>
    </row>
    <row r="22041" spans="104:111">
      <c r="CZ22041" s="256"/>
      <c r="DG22041" s="256"/>
    </row>
    <row r="22042" spans="104:111">
      <c r="CZ22042" s="256"/>
      <c r="DG22042" s="256"/>
    </row>
    <row r="22043" spans="104:111">
      <c r="CZ22043" s="256"/>
      <c r="DG22043" s="256"/>
    </row>
    <row r="22044" spans="104:111">
      <c r="CZ22044" s="256"/>
      <c r="DG22044" s="256"/>
    </row>
    <row r="22045" spans="104:111">
      <c r="CZ22045" s="256"/>
      <c r="DG22045" s="256"/>
    </row>
    <row r="22046" spans="104:111">
      <c r="CZ22046" s="256"/>
      <c r="DG22046" s="256"/>
    </row>
    <row r="22047" spans="104:111">
      <c r="CZ22047" s="256"/>
      <c r="DG22047" s="256"/>
    </row>
    <row r="22048" spans="104:111">
      <c r="CZ22048" s="256"/>
      <c r="DG22048" s="256"/>
    </row>
    <row r="22049" spans="104:111">
      <c r="CZ22049" s="256"/>
      <c r="DG22049" s="256"/>
    </row>
    <row r="22050" spans="104:111">
      <c r="CZ22050" s="256"/>
      <c r="DG22050" s="256"/>
    </row>
    <row r="22051" spans="104:111">
      <c r="CZ22051" s="256"/>
      <c r="DG22051" s="256"/>
    </row>
    <row r="22052" spans="104:111">
      <c r="CZ22052" s="256"/>
      <c r="DG22052" s="256"/>
    </row>
    <row r="22053" spans="104:111">
      <c r="CZ22053" s="256"/>
      <c r="DG22053" s="256"/>
    </row>
    <row r="22054" spans="104:111">
      <c r="CZ22054" s="256"/>
      <c r="DG22054" s="256"/>
    </row>
    <row r="22055" spans="104:111">
      <c r="CZ22055" s="256"/>
      <c r="DG22055" s="256"/>
    </row>
    <row r="22056" spans="104:111">
      <c r="CZ22056" s="256"/>
      <c r="DG22056" s="256"/>
    </row>
    <row r="22057" spans="104:111">
      <c r="CZ22057" s="256"/>
      <c r="DG22057" s="256"/>
    </row>
    <row r="22058" spans="104:111">
      <c r="CZ22058" s="256"/>
      <c r="DG22058" s="256"/>
    </row>
    <row r="22059" spans="104:111">
      <c r="CZ22059" s="256"/>
      <c r="DG22059" s="256"/>
    </row>
    <row r="22060" spans="104:111">
      <c r="CZ22060" s="256"/>
      <c r="DG22060" s="256"/>
    </row>
    <row r="22061" spans="104:111">
      <c r="CZ22061" s="256"/>
      <c r="DG22061" s="256"/>
    </row>
    <row r="22062" spans="104:111">
      <c r="CZ22062" s="256"/>
      <c r="DG22062" s="256"/>
    </row>
    <row r="22063" spans="104:111">
      <c r="CZ22063" s="256"/>
      <c r="DG22063" s="256"/>
    </row>
    <row r="22064" spans="104:111">
      <c r="CZ22064" s="256"/>
      <c r="DG22064" s="256"/>
    </row>
    <row r="22065" spans="104:111">
      <c r="CZ22065" s="256"/>
      <c r="DG22065" s="256"/>
    </row>
    <row r="22066" spans="104:111">
      <c r="CZ22066" s="256"/>
      <c r="DG22066" s="256"/>
    </row>
    <row r="22067" spans="104:111">
      <c r="CZ22067" s="256"/>
      <c r="DG22067" s="256"/>
    </row>
    <row r="22068" spans="104:111">
      <c r="CZ22068" s="256"/>
      <c r="DG22068" s="256"/>
    </row>
    <row r="22069" spans="104:111">
      <c r="CZ22069" s="256"/>
      <c r="DG22069" s="256"/>
    </row>
    <row r="22070" spans="104:111">
      <c r="CZ22070" s="256"/>
      <c r="DG22070" s="256"/>
    </row>
    <row r="22071" spans="104:111">
      <c r="CZ22071" s="256"/>
      <c r="DG22071" s="256"/>
    </row>
    <row r="22072" spans="104:111">
      <c r="CZ22072" s="256"/>
      <c r="DG22072" s="256"/>
    </row>
    <row r="22073" spans="104:111">
      <c r="CZ22073" s="256"/>
      <c r="DG22073" s="256"/>
    </row>
    <row r="22074" spans="104:111">
      <c r="CZ22074" s="256"/>
      <c r="DG22074" s="256"/>
    </row>
    <row r="22075" spans="104:111">
      <c r="CZ22075" s="256"/>
      <c r="DG22075" s="256"/>
    </row>
    <row r="22076" spans="104:111">
      <c r="CZ22076" s="256"/>
      <c r="DG22076" s="256"/>
    </row>
    <row r="22077" spans="104:111">
      <c r="CZ22077" s="256"/>
      <c r="DG22077" s="256"/>
    </row>
    <row r="22078" spans="104:111">
      <c r="CZ22078" s="256"/>
      <c r="DG22078" s="256"/>
    </row>
    <row r="22079" spans="104:111">
      <c r="CZ22079" s="256"/>
      <c r="DG22079" s="256"/>
    </row>
    <row r="22080" spans="104:111">
      <c r="CZ22080" s="256"/>
      <c r="DG22080" s="256"/>
    </row>
    <row r="22081" spans="104:111">
      <c r="CZ22081" s="256"/>
      <c r="DG22081" s="256"/>
    </row>
    <row r="22082" spans="104:111">
      <c r="CZ22082" s="256"/>
      <c r="DG22082" s="256"/>
    </row>
    <row r="22083" spans="104:111">
      <c r="CZ22083" s="256"/>
      <c r="DG22083" s="256"/>
    </row>
    <row r="22084" spans="104:111">
      <c r="CZ22084" s="256"/>
      <c r="DG22084" s="256"/>
    </row>
    <row r="22085" spans="104:111">
      <c r="CZ22085" s="256"/>
      <c r="DG22085" s="256"/>
    </row>
    <row r="22086" spans="104:111">
      <c r="CZ22086" s="256"/>
      <c r="DG22086" s="256"/>
    </row>
    <row r="22087" spans="104:111">
      <c r="CZ22087" s="256"/>
      <c r="DG22087" s="256"/>
    </row>
    <row r="22088" spans="104:111">
      <c r="CZ22088" s="256"/>
      <c r="DG22088" s="256"/>
    </row>
    <row r="22089" spans="104:111">
      <c r="CZ22089" s="256"/>
      <c r="DG22089" s="256"/>
    </row>
    <row r="22090" spans="104:111">
      <c r="CZ22090" s="256"/>
      <c r="DG22090" s="256"/>
    </row>
    <row r="22091" spans="104:111">
      <c r="CZ22091" s="256"/>
      <c r="DG22091" s="256"/>
    </row>
    <row r="22092" spans="104:111">
      <c r="CZ22092" s="256"/>
      <c r="DG22092" s="256"/>
    </row>
    <row r="22093" spans="104:111">
      <c r="CZ22093" s="256"/>
      <c r="DG22093" s="256"/>
    </row>
    <row r="22094" spans="104:111">
      <c r="CZ22094" s="256"/>
      <c r="DG22094" s="256"/>
    </row>
    <row r="22095" spans="104:111">
      <c r="CZ22095" s="256"/>
      <c r="DG22095" s="256"/>
    </row>
    <row r="22096" spans="104:111">
      <c r="CZ22096" s="256"/>
      <c r="DG22096" s="256"/>
    </row>
    <row r="22097" spans="104:111">
      <c r="CZ22097" s="256"/>
      <c r="DG22097" s="256"/>
    </row>
    <row r="22098" spans="104:111">
      <c r="CZ22098" s="256"/>
      <c r="DG22098" s="256"/>
    </row>
    <row r="22099" spans="104:111">
      <c r="CZ22099" s="256"/>
      <c r="DG22099" s="256"/>
    </row>
    <row r="22100" spans="104:111">
      <c r="CZ22100" s="256"/>
      <c r="DG22100" s="256"/>
    </row>
    <row r="22101" spans="104:111">
      <c r="CZ22101" s="256"/>
      <c r="DG22101" s="256"/>
    </row>
    <row r="22102" spans="104:111">
      <c r="CZ22102" s="256"/>
      <c r="DG22102" s="256"/>
    </row>
    <row r="22103" spans="104:111">
      <c r="CZ22103" s="256"/>
      <c r="DG22103" s="256"/>
    </row>
    <row r="22104" spans="104:111">
      <c r="CZ22104" s="256"/>
      <c r="DG22104" s="256"/>
    </row>
    <row r="22105" spans="104:111">
      <c r="CZ22105" s="256"/>
      <c r="DG22105" s="256"/>
    </row>
    <row r="22106" spans="104:111">
      <c r="CZ22106" s="256"/>
      <c r="DG22106" s="256"/>
    </row>
    <row r="22107" spans="104:111">
      <c r="CZ22107" s="256"/>
      <c r="DG22107" s="256"/>
    </row>
    <row r="22108" spans="104:111">
      <c r="CZ22108" s="256"/>
      <c r="DG22108" s="256"/>
    </row>
    <row r="22109" spans="104:111">
      <c r="CZ22109" s="256"/>
      <c r="DG22109" s="256"/>
    </row>
    <row r="22110" spans="104:111">
      <c r="CZ22110" s="256"/>
      <c r="DG22110" s="256"/>
    </row>
    <row r="22111" spans="104:111">
      <c r="CZ22111" s="256"/>
      <c r="DG22111" s="256"/>
    </row>
    <row r="22112" spans="104:111">
      <c r="CZ22112" s="256"/>
      <c r="DG22112" s="256"/>
    </row>
    <row r="22113" spans="104:111">
      <c r="CZ22113" s="256"/>
      <c r="DG22113" s="256"/>
    </row>
    <row r="22114" spans="104:111">
      <c r="CZ22114" s="256"/>
      <c r="DG22114" s="256"/>
    </row>
    <row r="22115" spans="104:111">
      <c r="CZ22115" s="256"/>
      <c r="DG22115" s="256"/>
    </row>
    <row r="22116" spans="104:111">
      <c r="CZ22116" s="256"/>
      <c r="DG22116" s="256"/>
    </row>
    <row r="22117" spans="104:111">
      <c r="CZ22117" s="256"/>
      <c r="DG22117" s="256"/>
    </row>
    <row r="22118" spans="104:111">
      <c r="CZ22118" s="256"/>
      <c r="DG22118" s="256"/>
    </row>
    <row r="22119" spans="104:111">
      <c r="CZ22119" s="256"/>
      <c r="DG22119" s="256"/>
    </row>
    <row r="22120" spans="104:111">
      <c r="CZ22120" s="256"/>
      <c r="DG22120" s="256"/>
    </row>
    <row r="22121" spans="104:111">
      <c r="CZ22121" s="256"/>
      <c r="DG22121" s="256"/>
    </row>
    <row r="22122" spans="104:111">
      <c r="CZ22122" s="256"/>
      <c r="DG22122" s="256"/>
    </row>
    <row r="22123" spans="104:111">
      <c r="CZ22123" s="256"/>
      <c r="DG22123" s="256"/>
    </row>
    <row r="22124" spans="104:111">
      <c r="CZ22124" s="256"/>
      <c r="DG22124" s="256"/>
    </row>
    <row r="22125" spans="104:111">
      <c r="CZ22125" s="256"/>
      <c r="DG22125" s="256"/>
    </row>
    <row r="22126" spans="104:111">
      <c r="CZ22126" s="256"/>
      <c r="DG22126" s="256"/>
    </row>
    <row r="22127" spans="104:111">
      <c r="CZ22127" s="256"/>
      <c r="DG22127" s="256"/>
    </row>
    <row r="22128" spans="104:111">
      <c r="CZ22128" s="256"/>
      <c r="DG22128" s="256"/>
    </row>
    <row r="22129" spans="104:111">
      <c r="CZ22129" s="256"/>
      <c r="DG22129" s="256"/>
    </row>
    <row r="22130" spans="104:111">
      <c r="CZ22130" s="256"/>
      <c r="DG22130" s="256"/>
    </row>
    <row r="22131" spans="104:111">
      <c r="CZ22131" s="256"/>
      <c r="DG22131" s="256"/>
    </row>
    <row r="22132" spans="104:111">
      <c r="CZ22132" s="256"/>
      <c r="DG22132" s="256"/>
    </row>
    <row r="22133" spans="104:111">
      <c r="CZ22133" s="256"/>
      <c r="DG22133" s="256"/>
    </row>
    <row r="22134" spans="104:111">
      <c r="CZ22134" s="256"/>
      <c r="DG22134" s="256"/>
    </row>
    <row r="22135" spans="104:111">
      <c r="CZ22135" s="256"/>
      <c r="DG22135" s="256"/>
    </row>
    <row r="22136" spans="104:111">
      <c r="CZ22136" s="256"/>
      <c r="DG22136" s="256"/>
    </row>
    <row r="22137" spans="104:111">
      <c r="CZ22137" s="256"/>
      <c r="DG22137" s="256"/>
    </row>
    <row r="22138" spans="104:111">
      <c r="CZ22138" s="256"/>
      <c r="DG22138" s="256"/>
    </row>
    <row r="22139" spans="104:111">
      <c r="CZ22139" s="256"/>
      <c r="DG22139" s="256"/>
    </row>
    <row r="22140" spans="104:111">
      <c r="CZ22140" s="256"/>
      <c r="DG22140" s="256"/>
    </row>
    <row r="22141" spans="104:111">
      <c r="CZ22141" s="256"/>
      <c r="DG22141" s="256"/>
    </row>
    <row r="22142" spans="104:111">
      <c r="CZ22142" s="256"/>
      <c r="DG22142" s="256"/>
    </row>
    <row r="22143" spans="104:111">
      <c r="CZ22143" s="256"/>
      <c r="DG22143" s="256"/>
    </row>
    <row r="22144" spans="104:111">
      <c r="CZ22144" s="256"/>
      <c r="DG22144" s="256"/>
    </row>
    <row r="22145" spans="104:111">
      <c r="CZ22145" s="256"/>
      <c r="DG22145" s="256"/>
    </row>
    <row r="22146" spans="104:111">
      <c r="CZ22146" s="256"/>
      <c r="DG22146" s="256"/>
    </row>
    <row r="22147" spans="104:111">
      <c r="CZ22147" s="256"/>
      <c r="DG22147" s="256"/>
    </row>
    <row r="22148" spans="104:111">
      <c r="CZ22148" s="256"/>
      <c r="DG22148" s="256"/>
    </row>
    <row r="22149" spans="104:111">
      <c r="CZ22149" s="256"/>
      <c r="DG22149" s="256"/>
    </row>
    <row r="22150" spans="104:111">
      <c r="CZ22150" s="256"/>
      <c r="DG22150" s="256"/>
    </row>
    <row r="22151" spans="104:111">
      <c r="CZ22151" s="256"/>
      <c r="DG22151" s="256"/>
    </row>
    <row r="22152" spans="104:111">
      <c r="CZ22152" s="256"/>
      <c r="DG22152" s="256"/>
    </row>
    <row r="22153" spans="104:111">
      <c r="CZ22153" s="256"/>
      <c r="DG22153" s="256"/>
    </row>
    <row r="22154" spans="104:111">
      <c r="CZ22154" s="256"/>
      <c r="DG22154" s="256"/>
    </row>
    <row r="22155" spans="104:111">
      <c r="CZ22155" s="256"/>
      <c r="DG22155" s="256"/>
    </row>
    <row r="22156" spans="104:111">
      <c r="CZ22156" s="256"/>
      <c r="DG22156" s="256"/>
    </row>
    <row r="22157" spans="104:111">
      <c r="CZ22157" s="256"/>
      <c r="DG22157" s="256"/>
    </row>
    <row r="22158" spans="104:111">
      <c r="CZ22158" s="256"/>
      <c r="DG22158" s="256"/>
    </row>
    <row r="22159" spans="104:111">
      <c r="CZ22159" s="256"/>
      <c r="DG22159" s="256"/>
    </row>
    <row r="22160" spans="104:111">
      <c r="CZ22160" s="256"/>
      <c r="DG22160" s="256"/>
    </row>
    <row r="22161" spans="104:111">
      <c r="CZ22161" s="256"/>
      <c r="DG22161" s="256"/>
    </row>
    <row r="22162" spans="104:111">
      <c r="CZ22162" s="256"/>
      <c r="DG22162" s="256"/>
    </row>
    <row r="22163" spans="104:111">
      <c r="CZ22163" s="256"/>
      <c r="DG22163" s="256"/>
    </row>
    <row r="22164" spans="104:111">
      <c r="CZ22164" s="256"/>
      <c r="DG22164" s="256"/>
    </row>
    <row r="22165" spans="104:111">
      <c r="CZ22165" s="256"/>
      <c r="DG22165" s="256"/>
    </row>
    <row r="22166" spans="104:111">
      <c r="CZ22166" s="256"/>
      <c r="DG22166" s="256"/>
    </row>
    <row r="22167" spans="104:111">
      <c r="CZ22167" s="256"/>
      <c r="DG22167" s="256"/>
    </row>
    <row r="22168" spans="104:111">
      <c r="CZ22168" s="256"/>
      <c r="DG22168" s="256"/>
    </row>
    <row r="22169" spans="104:111">
      <c r="CZ22169" s="256"/>
      <c r="DG22169" s="256"/>
    </row>
    <row r="22170" spans="104:111">
      <c r="CZ22170" s="256"/>
      <c r="DG22170" s="256"/>
    </row>
    <row r="22171" spans="104:111">
      <c r="CZ22171" s="256"/>
      <c r="DG22171" s="256"/>
    </row>
    <row r="22172" spans="104:111">
      <c r="CZ22172" s="256"/>
      <c r="DG22172" s="256"/>
    </row>
    <row r="22173" spans="104:111">
      <c r="CZ22173" s="256"/>
      <c r="DG22173" s="256"/>
    </row>
    <row r="22174" spans="104:111">
      <c r="CZ22174" s="256"/>
      <c r="DG22174" s="256"/>
    </row>
    <row r="22175" spans="104:111">
      <c r="CZ22175" s="256"/>
      <c r="DG22175" s="256"/>
    </row>
    <row r="22176" spans="104:111">
      <c r="CZ22176" s="256"/>
      <c r="DG22176" s="256"/>
    </row>
    <row r="22177" spans="104:111">
      <c r="CZ22177" s="256"/>
      <c r="DG22177" s="256"/>
    </row>
    <row r="22178" spans="104:111">
      <c r="CZ22178" s="256"/>
      <c r="DG22178" s="256"/>
    </row>
    <row r="22179" spans="104:111">
      <c r="CZ22179" s="256"/>
      <c r="DG22179" s="256"/>
    </row>
    <row r="22180" spans="104:111">
      <c r="CZ22180" s="256"/>
      <c r="DG22180" s="256"/>
    </row>
    <row r="22181" spans="104:111">
      <c r="CZ22181" s="256"/>
      <c r="DG22181" s="256"/>
    </row>
    <row r="22182" spans="104:111">
      <c r="CZ22182" s="256"/>
      <c r="DG22182" s="256"/>
    </row>
    <row r="22183" spans="104:111">
      <c r="CZ22183" s="256"/>
      <c r="DG22183" s="256"/>
    </row>
    <row r="22184" spans="104:111">
      <c r="CZ22184" s="256"/>
      <c r="DG22184" s="256"/>
    </row>
    <row r="22185" spans="104:111">
      <c r="CZ22185" s="256"/>
      <c r="DG22185" s="256"/>
    </row>
    <row r="22186" spans="104:111">
      <c r="CZ22186" s="256"/>
      <c r="DG22186" s="256"/>
    </row>
    <row r="22187" spans="104:111">
      <c r="CZ22187" s="256"/>
      <c r="DG22187" s="256"/>
    </row>
    <row r="22188" spans="104:111">
      <c r="CZ22188" s="256"/>
      <c r="DG22188" s="256"/>
    </row>
    <row r="22189" spans="104:111">
      <c r="CZ22189" s="256"/>
      <c r="DG22189" s="256"/>
    </row>
    <row r="22190" spans="104:111">
      <c r="CZ22190" s="256"/>
      <c r="DG22190" s="256"/>
    </row>
    <row r="22191" spans="104:111">
      <c r="CZ22191" s="256"/>
      <c r="DG22191" s="256"/>
    </row>
    <row r="22192" spans="104:111">
      <c r="CZ22192" s="256"/>
      <c r="DG22192" s="256"/>
    </row>
    <row r="22193" spans="104:111">
      <c r="CZ22193" s="256"/>
      <c r="DG22193" s="256"/>
    </row>
    <row r="22194" spans="104:111">
      <c r="CZ22194" s="256"/>
      <c r="DG22194" s="256"/>
    </row>
    <row r="22195" spans="104:111">
      <c r="CZ22195" s="256"/>
      <c r="DG22195" s="256"/>
    </row>
    <row r="22196" spans="104:111">
      <c r="CZ22196" s="256"/>
      <c r="DG22196" s="256"/>
    </row>
    <row r="22197" spans="104:111">
      <c r="CZ22197" s="256"/>
      <c r="DG22197" s="256"/>
    </row>
    <row r="22198" spans="104:111">
      <c r="CZ22198" s="256"/>
      <c r="DG22198" s="256"/>
    </row>
    <row r="22199" spans="104:111">
      <c r="CZ22199" s="256"/>
      <c r="DG22199" s="256"/>
    </row>
    <row r="22200" spans="104:111">
      <c r="CZ22200" s="256"/>
      <c r="DG22200" s="256"/>
    </row>
    <row r="22201" spans="104:111">
      <c r="CZ22201" s="256"/>
      <c r="DG22201" s="256"/>
    </row>
    <row r="22202" spans="104:111">
      <c r="CZ22202" s="256"/>
      <c r="DG22202" s="256"/>
    </row>
    <row r="22203" spans="104:111">
      <c r="CZ22203" s="256"/>
      <c r="DG22203" s="256"/>
    </row>
    <row r="22204" spans="104:111">
      <c r="CZ22204" s="256"/>
      <c r="DG22204" s="256"/>
    </row>
    <row r="22205" spans="104:111">
      <c r="CZ22205" s="256"/>
      <c r="DG22205" s="256"/>
    </row>
    <row r="22206" spans="104:111">
      <c r="CZ22206" s="256"/>
      <c r="DG22206" s="256"/>
    </row>
    <row r="22207" spans="104:111">
      <c r="CZ22207" s="256"/>
      <c r="DG22207" s="256"/>
    </row>
    <row r="22208" spans="104:111">
      <c r="CZ22208" s="256"/>
      <c r="DG22208" s="256"/>
    </row>
    <row r="22209" spans="104:111">
      <c r="CZ22209" s="256"/>
      <c r="DG22209" s="256"/>
    </row>
    <row r="22210" spans="104:111">
      <c r="CZ22210" s="256"/>
      <c r="DG22210" s="256"/>
    </row>
    <row r="22211" spans="104:111">
      <c r="CZ22211" s="256"/>
      <c r="DG22211" s="256"/>
    </row>
    <row r="22212" spans="104:111">
      <c r="CZ22212" s="256"/>
      <c r="DG22212" s="256"/>
    </row>
    <row r="22213" spans="104:111">
      <c r="CZ22213" s="256"/>
      <c r="DG22213" s="256"/>
    </row>
    <row r="22214" spans="104:111">
      <c r="CZ22214" s="256"/>
      <c r="DG22214" s="256"/>
    </row>
    <row r="22215" spans="104:111">
      <c r="CZ22215" s="256"/>
      <c r="DG22215" s="256"/>
    </row>
    <row r="22216" spans="104:111">
      <c r="CZ22216" s="256"/>
      <c r="DG22216" s="256"/>
    </row>
    <row r="22217" spans="104:111">
      <c r="CZ22217" s="256"/>
      <c r="DG22217" s="256"/>
    </row>
    <row r="22218" spans="104:111">
      <c r="CZ22218" s="256"/>
      <c r="DG22218" s="256"/>
    </row>
    <row r="22219" spans="104:111">
      <c r="CZ22219" s="256"/>
      <c r="DG22219" s="256"/>
    </row>
    <row r="22220" spans="104:111">
      <c r="CZ22220" s="256"/>
      <c r="DG22220" s="256"/>
    </row>
    <row r="22221" spans="104:111">
      <c r="CZ22221" s="256"/>
      <c r="DG22221" s="256"/>
    </row>
    <row r="22222" spans="104:111">
      <c r="CZ22222" s="256"/>
      <c r="DG22222" s="256"/>
    </row>
    <row r="22223" spans="104:111">
      <c r="CZ22223" s="256"/>
      <c r="DG22223" s="256"/>
    </row>
    <row r="22224" spans="104:111">
      <c r="CZ22224" s="256"/>
      <c r="DG22224" s="256"/>
    </row>
    <row r="22225" spans="104:111">
      <c r="CZ22225" s="256"/>
      <c r="DG22225" s="256"/>
    </row>
    <row r="22226" spans="104:111">
      <c r="CZ22226" s="256"/>
      <c r="DG22226" s="256"/>
    </row>
    <row r="22227" spans="104:111">
      <c r="CZ22227" s="256"/>
      <c r="DG22227" s="256"/>
    </row>
    <row r="22228" spans="104:111">
      <c r="CZ22228" s="256"/>
      <c r="DG22228" s="256"/>
    </row>
    <row r="22229" spans="104:111">
      <c r="CZ22229" s="256"/>
      <c r="DG22229" s="256"/>
    </row>
    <row r="22230" spans="104:111">
      <c r="CZ22230" s="256"/>
      <c r="DG22230" s="256"/>
    </row>
    <row r="22231" spans="104:111">
      <c r="CZ22231" s="256"/>
      <c r="DG22231" s="256"/>
    </row>
    <row r="22232" spans="104:111">
      <c r="CZ22232" s="256"/>
      <c r="DG22232" s="256"/>
    </row>
    <row r="22233" spans="104:111">
      <c r="CZ22233" s="256"/>
      <c r="DG22233" s="256"/>
    </row>
    <row r="22234" spans="104:111">
      <c r="CZ22234" s="256"/>
      <c r="DG22234" s="256"/>
    </row>
    <row r="22235" spans="104:111">
      <c r="CZ22235" s="256"/>
      <c r="DG22235" s="256"/>
    </row>
    <row r="22236" spans="104:111">
      <c r="CZ22236" s="256"/>
      <c r="DG22236" s="256"/>
    </row>
    <row r="22237" spans="104:111">
      <c r="CZ22237" s="256"/>
      <c r="DG22237" s="256"/>
    </row>
    <row r="22238" spans="104:111">
      <c r="CZ22238" s="256"/>
      <c r="DG22238" s="256"/>
    </row>
    <row r="22239" spans="104:111">
      <c r="CZ22239" s="256"/>
      <c r="DG22239" s="256"/>
    </row>
    <row r="22240" spans="104:111">
      <c r="CZ22240" s="256"/>
      <c r="DG22240" s="256"/>
    </row>
    <row r="22241" spans="104:111">
      <c r="CZ22241" s="256"/>
      <c r="DG22241" s="256"/>
    </row>
    <row r="22242" spans="104:111">
      <c r="CZ22242" s="256"/>
      <c r="DG22242" s="256"/>
    </row>
    <row r="22243" spans="104:111">
      <c r="CZ22243" s="256"/>
      <c r="DG22243" s="256"/>
    </row>
    <row r="22244" spans="104:111">
      <c r="CZ22244" s="256"/>
      <c r="DG22244" s="256"/>
    </row>
    <row r="22245" spans="104:111">
      <c r="CZ22245" s="256"/>
      <c r="DG22245" s="256"/>
    </row>
    <row r="22246" spans="104:111">
      <c r="CZ22246" s="256"/>
      <c r="DG22246" s="256"/>
    </row>
    <row r="22247" spans="104:111">
      <c r="CZ22247" s="256"/>
      <c r="DG22247" s="256"/>
    </row>
    <row r="22248" spans="104:111">
      <c r="CZ22248" s="256"/>
      <c r="DG22248" s="256"/>
    </row>
    <row r="22249" spans="104:111">
      <c r="CZ22249" s="256"/>
      <c r="DG22249" s="256"/>
    </row>
    <row r="22250" spans="104:111">
      <c r="CZ22250" s="256"/>
      <c r="DG22250" s="256"/>
    </row>
    <row r="22251" spans="104:111">
      <c r="CZ22251" s="256"/>
      <c r="DG22251" s="256"/>
    </row>
    <row r="22252" spans="104:111">
      <c r="CZ22252" s="256"/>
      <c r="DG22252" s="256"/>
    </row>
    <row r="22253" spans="104:111">
      <c r="CZ22253" s="256"/>
      <c r="DG22253" s="256"/>
    </row>
    <row r="22254" spans="104:111">
      <c r="CZ22254" s="256"/>
      <c r="DG22254" s="256"/>
    </row>
    <row r="22255" spans="104:111">
      <c r="CZ22255" s="256"/>
      <c r="DG22255" s="256"/>
    </row>
    <row r="22256" spans="104:111">
      <c r="CZ22256" s="256"/>
      <c r="DG22256" s="256"/>
    </row>
    <row r="22257" spans="104:111">
      <c r="CZ22257" s="256"/>
      <c r="DG22257" s="256"/>
    </row>
    <row r="22258" spans="104:111">
      <c r="CZ22258" s="256"/>
      <c r="DG22258" s="256"/>
    </row>
    <row r="22259" spans="104:111">
      <c r="CZ22259" s="256"/>
      <c r="DG22259" s="256"/>
    </row>
    <row r="22260" spans="104:111">
      <c r="CZ22260" s="256"/>
      <c r="DG22260" s="256"/>
    </row>
    <row r="22261" spans="104:111">
      <c r="CZ22261" s="256"/>
      <c r="DG22261" s="256"/>
    </row>
    <row r="22262" spans="104:111">
      <c r="CZ22262" s="256"/>
      <c r="DG22262" s="256"/>
    </row>
    <row r="22263" spans="104:111">
      <c r="CZ22263" s="256"/>
      <c r="DG22263" s="256"/>
    </row>
    <row r="22264" spans="104:111">
      <c r="CZ22264" s="256"/>
      <c r="DG22264" s="256"/>
    </row>
    <row r="22265" spans="104:111">
      <c r="CZ22265" s="256"/>
      <c r="DG22265" s="256"/>
    </row>
    <row r="22266" spans="104:111">
      <c r="CZ22266" s="256"/>
      <c r="DG22266" s="256"/>
    </row>
    <row r="22267" spans="104:111">
      <c r="CZ22267" s="256"/>
      <c r="DG22267" s="256"/>
    </row>
    <row r="22268" spans="104:111">
      <c r="CZ22268" s="256"/>
      <c r="DG22268" s="256"/>
    </row>
    <row r="22269" spans="104:111">
      <c r="CZ22269" s="256"/>
      <c r="DG22269" s="256"/>
    </row>
    <row r="22270" spans="104:111">
      <c r="CZ22270" s="256"/>
      <c r="DG22270" s="256"/>
    </row>
    <row r="22271" spans="104:111">
      <c r="CZ22271" s="256"/>
      <c r="DG22271" s="256"/>
    </row>
    <row r="22272" spans="104:111">
      <c r="CZ22272" s="256"/>
      <c r="DG22272" s="256"/>
    </row>
    <row r="22273" spans="104:111">
      <c r="CZ22273" s="256"/>
      <c r="DG22273" s="256"/>
    </row>
    <row r="22274" spans="104:111">
      <c r="CZ22274" s="256"/>
      <c r="DG22274" s="256"/>
    </row>
    <row r="22275" spans="104:111">
      <c r="CZ22275" s="256"/>
      <c r="DG22275" s="256"/>
    </row>
    <row r="22276" spans="104:111">
      <c r="CZ22276" s="256"/>
      <c r="DG22276" s="256"/>
    </row>
    <row r="22277" spans="104:111">
      <c r="CZ22277" s="256"/>
      <c r="DG22277" s="256"/>
    </row>
    <row r="22278" spans="104:111">
      <c r="CZ22278" s="256"/>
      <c r="DG22278" s="256"/>
    </row>
    <row r="22279" spans="104:111">
      <c r="CZ22279" s="256"/>
      <c r="DG22279" s="256"/>
    </row>
    <row r="22280" spans="104:111">
      <c r="CZ22280" s="256"/>
      <c r="DG22280" s="256"/>
    </row>
    <row r="22281" spans="104:111">
      <c r="CZ22281" s="256"/>
      <c r="DG22281" s="256"/>
    </row>
    <row r="22282" spans="104:111">
      <c r="CZ22282" s="256"/>
      <c r="DG22282" s="256"/>
    </row>
    <row r="22283" spans="104:111">
      <c r="CZ22283" s="256"/>
      <c r="DG22283" s="256"/>
    </row>
    <row r="22284" spans="104:111">
      <c r="CZ22284" s="256"/>
      <c r="DG22284" s="256"/>
    </row>
    <row r="22285" spans="104:111">
      <c r="CZ22285" s="256"/>
      <c r="DG22285" s="256"/>
    </row>
    <row r="22286" spans="104:111">
      <c r="CZ22286" s="256"/>
      <c r="DG22286" s="256"/>
    </row>
    <row r="22287" spans="104:111">
      <c r="CZ22287" s="256"/>
      <c r="DG22287" s="256"/>
    </row>
    <row r="22288" spans="104:111">
      <c r="CZ22288" s="256"/>
      <c r="DG22288" s="256"/>
    </row>
    <row r="22289" spans="104:111">
      <c r="CZ22289" s="256"/>
      <c r="DG22289" s="256"/>
    </row>
    <row r="22290" spans="104:111">
      <c r="CZ22290" s="256"/>
      <c r="DG22290" s="256"/>
    </row>
    <row r="22291" spans="104:111">
      <c r="CZ22291" s="256"/>
      <c r="DG22291" s="256"/>
    </row>
    <row r="22292" spans="104:111">
      <c r="CZ22292" s="256"/>
      <c r="DG22292" s="256"/>
    </row>
    <row r="22293" spans="104:111">
      <c r="CZ22293" s="256"/>
      <c r="DG22293" s="256"/>
    </row>
    <row r="22294" spans="104:111">
      <c r="CZ22294" s="256"/>
      <c r="DG22294" s="256"/>
    </row>
    <row r="22295" spans="104:111">
      <c r="CZ22295" s="256"/>
      <c r="DG22295" s="256"/>
    </row>
    <row r="22296" spans="104:111">
      <c r="CZ22296" s="256"/>
      <c r="DG22296" s="256"/>
    </row>
    <row r="22297" spans="104:111">
      <c r="CZ22297" s="256"/>
      <c r="DG22297" s="256"/>
    </row>
    <row r="22298" spans="104:111">
      <c r="CZ22298" s="256"/>
      <c r="DG22298" s="256"/>
    </row>
    <row r="22299" spans="104:111">
      <c r="CZ22299" s="256"/>
      <c r="DG22299" s="256"/>
    </row>
    <row r="22300" spans="104:111">
      <c r="CZ22300" s="256"/>
      <c r="DG22300" s="256"/>
    </row>
    <row r="22301" spans="104:111">
      <c r="CZ22301" s="256"/>
      <c r="DG22301" s="256"/>
    </row>
    <row r="22302" spans="104:111">
      <c r="CZ22302" s="256"/>
      <c r="DG22302" s="256"/>
    </row>
    <row r="22303" spans="104:111">
      <c r="CZ22303" s="256"/>
      <c r="DG22303" s="256"/>
    </row>
    <row r="22304" spans="104:111">
      <c r="CZ22304" s="256"/>
      <c r="DG22304" s="256"/>
    </row>
    <row r="22305" spans="104:111">
      <c r="CZ22305" s="256"/>
      <c r="DG22305" s="256"/>
    </row>
    <row r="22306" spans="104:111">
      <c r="CZ22306" s="256"/>
      <c r="DG22306" s="256"/>
    </row>
    <row r="22307" spans="104:111">
      <c r="CZ22307" s="256"/>
      <c r="DG22307" s="256"/>
    </row>
    <row r="22308" spans="104:111">
      <c r="CZ22308" s="256"/>
      <c r="DG22308" s="256"/>
    </row>
    <row r="22309" spans="104:111">
      <c r="CZ22309" s="256"/>
      <c r="DG22309" s="256"/>
    </row>
    <row r="22310" spans="104:111">
      <c r="CZ22310" s="256"/>
      <c r="DG22310" s="256"/>
    </row>
    <row r="22311" spans="104:111">
      <c r="CZ22311" s="256"/>
      <c r="DG22311" s="256"/>
    </row>
    <row r="22312" spans="104:111">
      <c r="CZ22312" s="256"/>
      <c r="DG22312" s="256"/>
    </row>
    <row r="22313" spans="104:111">
      <c r="CZ22313" s="256"/>
      <c r="DG22313" s="256"/>
    </row>
    <row r="22314" spans="104:111">
      <c r="CZ22314" s="256"/>
      <c r="DG22314" s="256"/>
    </row>
    <row r="22315" spans="104:111">
      <c r="CZ22315" s="256"/>
      <c r="DG22315" s="256"/>
    </row>
    <row r="22316" spans="104:111">
      <c r="CZ22316" s="256"/>
      <c r="DG22316" s="256"/>
    </row>
    <row r="22317" spans="104:111">
      <c r="CZ22317" s="256"/>
      <c r="DG22317" s="256"/>
    </row>
    <row r="22318" spans="104:111">
      <c r="CZ22318" s="256"/>
      <c r="DG22318" s="256"/>
    </row>
    <row r="22319" spans="104:111">
      <c r="CZ22319" s="256"/>
      <c r="DG22319" s="256"/>
    </row>
    <row r="22320" spans="104:111">
      <c r="CZ22320" s="256"/>
      <c r="DG22320" s="256"/>
    </row>
    <row r="22321" spans="104:111">
      <c r="CZ22321" s="256"/>
      <c r="DG22321" s="256"/>
    </row>
    <row r="22322" spans="104:111">
      <c r="CZ22322" s="256"/>
      <c r="DG22322" s="256"/>
    </row>
    <row r="22323" spans="104:111">
      <c r="CZ22323" s="256"/>
      <c r="DG22323" s="256"/>
    </row>
    <row r="22324" spans="104:111">
      <c r="CZ22324" s="256"/>
      <c r="DG22324" s="256"/>
    </row>
    <row r="22325" spans="104:111">
      <c r="CZ22325" s="256"/>
      <c r="DG22325" s="256"/>
    </row>
    <row r="22326" spans="104:111">
      <c r="CZ22326" s="256"/>
      <c r="DG22326" s="256"/>
    </row>
    <row r="22327" spans="104:111">
      <c r="CZ22327" s="256"/>
      <c r="DG22327" s="256"/>
    </row>
    <row r="22328" spans="104:111">
      <c r="CZ22328" s="256"/>
      <c r="DG22328" s="256"/>
    </row>
    <row r="22329" spans="104:111">
      <c r="CZ22329" s="256"/>
      <c r="DG22329" s="256"/>
    </row>
    <row r="22330" spans="104:111">
      <c r="CZ22330" s="256"/>
      <c r="DG22330" s="256"/>
    </row>
    <row r="22331" spans="104:111">
      <c r="CZ22331" s="256"/>
      <c r="DG22331" s="256"/>
    </row>
    <row r="22332" spans="104:111">
      <c r="CZ22332" s="256"/>
      <c r="DG22332" s="256"/>
    </row>
    <row r="22333" spans="104:111">
      <c r="CZ22333" s="256"/>
      <c r="DG22333" s="256"/>
    </row>
    <row r="22334" spans="104:111">
      <c r="CZ22334" s="256"/>
      <c r="DG22334" s="256"/>
    </row>
    <row r="22335" spans="104:111">
      <c r="CZ22335" s="256"/>
      <c r="DG22335" s="256"/>
    </row>
    <row r="22336" spans="104:111">
      <c r="CZ22336" s="256"/>
      <c r="DG22336" s="256"/>
    </row>
    <row r="22337" spans="104:111">
      <c r="CZ22337" s="256"/>
      <c r="DG22337" s="256"/>
    </row>
    <row r="22338" spans="104:111">
      <c r="CZ22338" s="256"/>
      <c r="DG22338" s="256"/>
    </row>
    <row r="22339" spans="104:111">
      <c r="CZ22339" s="256"/>
      <c r="DG22339" s="256"/>
    </row>
    <row r="22340" spans="104:111">
      <c r="CZ22340" s="256"/>
      <c r="DG22340" s="256"/>
    </row>
    <row r="22341" spans="104:111">
      <c r="CZ22341" s="256"/>
      <c r="DG22341" s="256"/>
    </row>
    <row r="22342" spans="104:111">
      <c r="CZ22342" s="256"/>
      <c r="DG22342" s="256"/>
    </row>
    <row r="22343" spans="104:111">
      <c r="CZ22343" s="256"/>
      <c r="DG22343" s="256"/>
    </row>
    <row r="22344" spans="104:111">
      <c r="CZ22344" s="256"/>
      <c r="DG22344" s="256"/>
    </row>
    <row r="22345" spans="104:111">
      <c r="CZ22345" s="256"/>
      <c r="DG22345" s="256"/>
    </row>
    <row r="22346" spans="104:111">
      <c r="CZ22346" s="256"/>
      <c r="DG22346" s="256"/>
    </row>
    <row r="22347" spans="104:111">
      <c r="CZ22347" s="256"/>
      <c r="DG22347" s="256"/>
    </row>
    <row r="22348" spans="104:111">
      <c r="CZ22348" s="256"/>
      <c r="DG22348" s="256"/>
    </row>
    <row r="22349" spans="104:111">
      <c r="CZ22349" s="256"/>
      <c r="DG22349" s="256"/>
    </row>
    <row r="22350" spans="104:111">
      <c r="CZ22350" s="256"/>
      <c r="DG22350" s="256"/>
    </row>
    <row r="22351" spans="104:111">
      <c r="CZ22351" s="256"/>
      <c r="DG22351" s="256"/>
    </row>
    <row r="22352" spans="104:111">
      <c r="CZ22352" s="256"/>
      <c r="DG22352" s="256"/>
    </row>
    <row r="22353" spans="104:111">
      <c r="CZ22353" s="256"/>
      <c r="DG22353" s="256"/>
    </row>
    <row r="22354" spans="104:111">
      <c r="CZ22354" s="256"/>
      <c r="DG22354" s="256"/>
    </row>
    <row r="22355" spans="104:111">
      <c r="CZ22355" s="256"/>
      <c r="DG22355" s="256"/>
    </row>
    <row r="22356" spans="104:111">
      <c r="CZ22356" s="256"/>
      <c r="DG22356" s="256"/>
    </row>
    <row r="22357" spans="104:111">
      <c r="CZ22357" s="256"/>
      <c r="DG22357" s="256"/>
    </row>
    <row r="22358" spans="104:111">
      <c r="CZ22358" s="256"/>
      <c r="DG22358" s="256"/>
    </row>
    <row r="22359" spans="104:111">
      <c r="CZ22359" s="256"/>
      <c r="DG22359" s="256"/>
    </row>
    <row r="22360" spans="104:111">
      <c r="CZ22360" s="256"/>
      <c r="DG22360" s="256"/>
    </row>
    <row r="22361" spans="104:111">
      <c r="CZ22361" s="256"/>
      <c r="DG22361" s="256"/>
    </row>
    <row r="22362" spans="104:111">
      <c r="CZ22362" s="256"/>
      <c r="DG22362" s="256"/>
    </row>
    <row r="22363" spans="104:111">
      <c r="CZ22363" s="256"/>
      <c r="DG22363" s="256"/>
    </row>
    <row r="22364" spans="104:111">
      <c r="CZ22364" s="256"/>
      <c r="DG22364" s="256"/>
    </row>
    <row r="22365" spans="104:111">
      <c r="CZ22365" s="256"/>
      <c r="DG22365" s="256"/>
    </row>
    <row r="22366" spans="104:111">
      <c r="CZ22366" s="256"/>
      <c r="DG22366" s="256"/>
    </row>
    <row r="22367" spans="104:111">
      <c r="CZ22367" s="256"/>
      <c r="DG22367" s="256"/>
    </row>
    <row r="22368" spans="104:111">
      <c r="CZ22368" s="256"/>
      <c r="DG22368" s="256"/>
    </row>
    <row r="22369" spans="104:111">
      <c r="CZ22369" s="256"/>
      <c r="DG22369" s="256"/>
    </row>
    <row r="22370" spans="104:111">
      <c r="CZ22370" s="256"/>
      <c r="DG22370" s="256"/>
    </row>
    <row r="22371" spans="104:111">
      <c r="CZ22371" s="256"/>
      <c r="DG22371" s="256"/>
    </row>
    <row r="22372" spans="104:111">
      <c r="CZ22372" s="256"/>
      <c r="DG22372" s="256"/>
    </row>
    <row r="22373" spans="104:111">
      <c r="CZ22373" s="256"/>
      <c r="DG22373" s="256"/>
    </row>
    <row r="22374" spans="104:111">
      <c r="CZ22374" s="256"/>
      <c r="DG22374" s="256"/>
    </row>
    <row r="22375" spans="104:111">
      <c r="CZ22375" s="256"/>
      <c r="DG22375" s="256"/>
    </row>
    <row r="22376" spans="104:111">
      <c r="CZ22376" s="256"/>
      <c r="DG22376" s="256"/>
    </row>
    <row r="22377" spans="104:111">
      <c r="CZ22377" s="256"/>
      <c r="DG22377" s="256"/>
    </row>
    <row r="22378" spans="104:111">
      <c r="CZ22378" s="256"/>
      <c r="DG22378" s="256"/>
    </row>
    <row r="22379" spans="104:111">
      <c r="CZ22379" s="256"/>
      <c r="DG22379" s="256"/>
    </row>
    <row r="22380" spans="104:111">
      <c r="CZ22380" s="256"/>
      <c r="DG22380" s="256"/>
    </row>
    <row r="22381" spans="104:111">
      <c r="CZ22381" s="256"/>
      <c r="DG22381" s="256"/>
    </row>
    <row r="22382" spans="104:111">
      <c r="CZ22382" s="256"/>
      <c r="DG22382" s="256"/>
    </row>
    <row r="22383" spans="104:111">
      <c r="CZ22383" s="256"/>
      <c r="DG22383" s="256"/>
    </row>
    <row r="22384" spans="104:111">
      <c r="CZ22384" s="256"/>
      <c r="DG22384" s="256"/>
    </row>
    <row r="22385" spans="104:111">
      <c r="CZ22385" s="256"/>
      <c r="DG22385" s="256"/>
    </row>
    <row r="22386" spans="104:111">
      <c r="CZ22386" s="256"/>
      <c r="DG22386" s="256"/>
    </row>
    <row r="22387" spans="104:111">
      <c r="CZ22387" s="256"/>
      <c r="DG22387" s="256"/>
    </row>
    <row r="22388" spans="104:111">
      <c r="CZ22388" s="256"/>
      <c r="DG22388" s="256"/>
    </row>
    <row r="22389" spans="104:111">
      <c r="CZ22389" s="256"/>
      <c r="DG22389" s="256"/>
    </row>
    <row r="22390" spans="104:111">
      <c r="CZ22390" s="256"/>
      <c r="DG22390" s="256"/>
    </row>
    <row r="22391" spans="104:111">
      <c r="CZ22391" s="256"/>
      <c r="DG22391" s="256"/>
    </row>
    <row r="22392" spans="104:111">
      <c r="CZ22392" s="256"/>
      <c r="DG22392" s="256"/>
    </row>
    <row r="22393" spans="104:111">
      <c r="CZ22393" s="256"/>
      <c r="DG22393" s="256"/>
    </row>
    <row r="22394" spans="104:111">
      <c r="CZ22394" s="256"/>
      <c r="DG22394" s="256"/>
    </row>
    <row r="22395" spans="104:111">
      <c r="CZ22395" s="256"/>
      <c r="DG22395" s="256"/>
    </row>
    <row r="22396" spans="104:111">
      <c r="CZ22396" s="256"/>
      <c r="DG22396" s="256"/>
    </row>
    <row r="22397" spans="104:111">
      <c r="CZ22397" s="256"/>
      <c r="DG22397" s="256"/>
    </row>
    <row r="22398" spans="104:111">
      <c r="CZ22398" s="256"/>
      <c r="DG22398" s="256"/>
    </row>
    <row r="22399" spans="104:111">
      <c r="CZ22399" s="256"/>
      <c r="DG22399" s="256"/>
    </row>
    <row r="22400" spans="104:111">
      <c r="CZ22400" s="256"/>
      <c r="DG22400" s="256"/>
    </row>
    <row r="22401" spans="104:111">
      <c r="CZ22401" s="256"/>
      <c r="DG22401" s="256"/>
    </row>
    <row r="22402" spans="104:111">
      <c r="CZ22402" s="256"/>
      <c r="DG22402" s="256"/>
    </row>
    <row r="22403" spans="104:111">
      <c r="CZ22403" s="256"/>
      <c r="DG22403" s="256"/>
    </row>
    <row r="22404" spans="104:111">
      <c r="CZ22404" s="256"/>
      <c r="DG22404" s="256"/>
    </row>
    <row r="22405" spans="104:111">
      <c r="CZ22405" s="256"/>
      <c r="DG22405" s="256"/>
    </row>
    <row r="22406" spans="104:111">
      <c r="CZ22406" s="256"/>
      <c r="DG22406" s="256"/>
    </row>
    <row r="22407" spans="104:111">
      <c r="CZ22407" s="256"/>
      <c r="DG22407" s="256"/>
    </row>
    <row r="22408" spans="104:111">
      <c r="CZ22408" s="256"/>
      <c r="DG22408" s="256"/>
    </row>
    <row r="22409" spans="104:111">
      <c r="CZ22409" s="256"/>
      <c r="DG22409" s="256"/>
    </row>
    <row r="22410" spans="104:111">
      <c r="CZ22410" s="256"/>
      <c r="DG22410" s="256"/>
    </row>
    <row r="22411" spans="104:111">
      <c r="CZ22411" s="256"/>
      <c r="DG22411" s="256"/>
    </row>
    <row r="22412" spans="104:111">
      <c r="CZ22412" s="256"/>
      <c r="DG22412" s="256"/>
    </row>
    <row r="22413" spans="104:111">
      <c r="CZ22413" s="256"/>
      <c r="DG22413" s="256"/>
    </row>
    <row r="22414" spans="104:111">
      <c r="CZ22414" s="256"/>
      <c r="DG22414" s="256"/>
    </row>
    <row r="22415" spans="104:111">
      <c r="CZ22415" s="256"/>
      <c r="DG22415" s="256"/>
    </row>
    <row r="22416" spans="104:111">
      <c r="CZ22416" s="256"/>
      <c r="DG22416" s="256"/>
    </row>
    <row r="22417" spans="104:111">
      <c r="CZ22417" s="256"/>
      <c r="DG22417" s="256"/>
    </row>
    <row r="22418" spans="104:111">
      <c r="CZ22418" s="256"/>
      <c r="DG22418" s="256"/>
    </row>
    <row r="22419" spans="104:111">
      <c r="CZ22419" s="256"/>
      <c r="DG22419" s="256"/>
    </row>
    <row r="22420" spans="104:111">
      <c r="CZ22420" s="256"/>
      <c r="DG22420" s="256"/>
    </row>
    <row r="22421" spans="104:111">
      <c r="CZ22421" s="256"/>
      <c r="DG22421" s="256"/>
    </row>
    <row r="22422" spans="104:111">
      <c r="CZ22422" s="256"/>
      <c r="DG22422" s="256"/>
    </row>
    <row r="22423" spans="104:111">
      <c r="CZ22423" s="256"/>
      <c r="DG22423" s="256"/>
    </row>
    <row r="22424" spans="104:111">
      <c r="CZ22424" s="256"/>
      <c r="DG22424" s="256"/>
    </row>
    <row r="22425" spans="104:111">
      <c r="CZ22425" s="256"/>
      <c r="DG22425" s="256"/>
    </row>
    <row r="22426" spans="104:111">
      <c r="CZ22426" s="256"/>
      <c r="DG22426" s="256"/>
    </row>
    <row r="22427" spans="104:111">
      <c r="CZ22427" s="256"/>
      <c r="DG22427" s="256"/>
    </row>
    <row r="22428" spans="104:111">
      <c r="CZ22428" s="256"/>
      <c r="DG22428" s="256"/>
    </row>
    <row r="22429" spans="104:111">
      <c r="CZ22429" s="256"/>
      <c r="DG22429" s="256"/>
    </row>
    <row r="22430" spans="104:111">
      <c r="CZ22430" s="256"/>
      <c r="DG22430" s="256"/>
    </row>
    <row r="22431" spans="104:111">
      <c r="CZ22431" s="256"/>
      <c r="DG22431" s="256"/>
    </row>
    <row r="22432" spans="104:111">
      <c r="CZ22432" s="256"/>
      <c r="DG22432" s="256"/>
    </row>
    <row r="22433" spans="104:111">
      <c r="CZ22433" s="256"/>
      <c r="DG22433" s="256"/>
    </row>
    <row r="22434" spans="104:111">
      <c r="CZ22434" s="256"/>
      <c r="DG22434" s="256"/>
    </row>
    <row r="22435" spans="104:111">
      <c r="CZ22435" s="256"/>
      <c r="DG22435" s="256"/>
    </row>
    <row r="22436" spans="104:111">
      <c r="CZ22436" s="256"/>
      <c r="DG22436" s="256"/>
    </row>
    <row r="22437" spans="104:111">
      <c r="CZ22437" s="256"/>
      <c r="DG22437" s="256"/>
    </row>
    <row r="22438" spans="104:111">
      <c r="CZ22438" s="256"/>
      <c r="DG22438" s="256"/>
    </row>
    <row r="22439" spans="104:111">
      <c r="CZ22439" s="256"/>
      <c r="DG22439" s="256"/>
    </row>
    <row r="22440" spans="104:111">
      <c r="CZ22440" s="256"/>
      <c r="DG22440" s="256"/>
    </row>
    <row r="22441" spans="104:111">
      <c r="CZ22441" s="256"/>
      <c r="DG22441" s="256"/>
    </row>
    <row r="22442" spans="104:111">
      <c r="CZ22442" s="256"/>
      <c r="DG22442" s="256"/>
    </row>
    <row r="22443" spans="104:111">
      <c r="CZ22443" s="256"/>
      <c r="DG22443" s="256"/>
    </row>
    <row r="22444" spans="104:111">
      <c r="CZ22444" s="256"/>
      <c r="DG22444" s="256"/>
    </row>
    <row r="22445" spans="104:111">
      <c r="CZ22445" s="256"/>
      <c r="DG22445" s="256"/>
    </row>
    <row r="22446" spans="104:111">
      <c r="CZ22446" s="256"/>
      <c r="DG22446" s="256"/>
    </row>
    <row r="22447" spans="104:111">
      <c r="CZ22447" s="256"/>
      <c r="DG22447" s="256"/>
    </row>
    <row r="22448" spans="104:111">
      <c r="CZ22448" s="256"/>
      <c r="DG22448" s="256"/>
    </row>
    <row r="22449" spans="104:111">
      <c r="CZ22449" s="256"/>
      <c r="DG22449" s="256"/>
    </row>
    <row r="22450" spans="104:111">
      <c r="CZ22450" s="256"/>
      <c r="DG22450" s="256"/>
    </row>
    <row r="22451" spans="104:111">
      <c r="CZ22451" s="256"/>
      <c r="DG22451" s="256"/>
    </row>
    <row r="22452" spans="104:111">
      <c r="CZ22452" s="256"/>
      <c r="DG22452" s="256"/>
    </row>
    <row r="22453" spans="104:111">
      <c r="CZ22453" s="256"/>
      <c r="DG22453" s="256"/>
    </row>
    <row r="22454" spans="104:111">
      <c r="CZ22454" s="256"/>
      <c r="DG22454" s="256"/>
    </row>
    <row r="22455" spans="104:111">
      <c r="CZ22455" s="256"/>
      <c r="DG22455" s="256"/>
    </row>
    <row r="22456" spans="104:111">
      <c r="CZ22456" s="256"/>
      <c r="DG22456" s="256"/>
    </row>
    <row r="22457" spans="104:111">
      <c r="CZ22457" s="256"/>
      <c r="DG22457" s="256"/>
    </row>
    <row r="22458" spans="104:111">
      <c r="CZ22458" s="256"/>
      <c r="DG22458" s="256"/>
    </row>
    <row r="22459" spans="104:111">
      <c r="CZ22459" s="256"/>
      <c r="DG22459" s="256"/>
    </row>
    <row r="22460" spans="104:111">
      <c r="CZ22460" s="256"/>
      <c r="DG22460" s="256"/>
    </row>
    <row r="22461" spans="104:111">
      <c r="CZ22461" s="256"/>
      <c r="DG22461" s="256"/>
    </row>
    <row r="22462" spans="104:111">
      <c r="CZ22462" s="256"/>
      <c r="DG22462" s="256"/>
    </row>
    <row r="22463" spans="104:111">
      <c r="CZ22463" s="256"/>
      <c r="DG22463" s="256"/>
    </row>
    <row r="22464" spans="104:111">
      <c r="CZ22464" s="256"/>
      <c r="DG22464" s="256"/>
    </row>
    <row r="22465" spans="104:111">
      <c r="CZ22465" s="256"/>
      <c r="DG22465" s="256"/>
    </row>
    <row r="22466" spans="104:111">
      <c r="CZ22466" s="256"/>
      <c r="DG22466" s="256"/>
    </row>
    <row r="22467" spans="104:111">
      <c r="CZ22467" s="256"/>
      <c r="DG22467" s="256"/>
    </row>
    <row r="22468" spans="104:111">
      <c r="CZ22468" s="256"/>
      <c r="DG22468" s="256"/>
    </row>
    <row r="22469" spans="104:111">
      <c r="CZ22469" s="256"/>
      <c r="DG22469" s="256"/>
    </row>
    <row r="22470" spans="104:111">
      <c r="CZ22470" s="256"/>
      <c r="DG22470" s="256"/>
    </row>
    <row r="22471" spans="104:111">
      <c r="CZ22471" s="256"/>
      <c r="DG22471" s="256"/>
    </row>
    <row r="22472" spans="104:111">
      <c r="CZ22472" s="256"/>
      <c r="DG22472" s="256"/>
    </row>
    <row r="22473" spans="104:111">
      <c r="CZ22473" s="256"/>
      <c r="DG22473" s="256"/>
    </row>
    <row r="22474" spans="104:111">
      <c r="CZ22474" s="256"/>
      <c r="DG22474" s="256"/>
    </row>
    <row r="22475" spans="104:111">
      <c r="CZ22475" s="256"/>
      <c r="DG22475" s="256"/>
    </row>
    <row r="22476" spans="104:111">
      <c r="CZ22476" s="256"/>
      <c r="DG22476" s="256"/>
    </row>
    <row r="22477" spans="104:111">
      <c r="CZ22477" s="256"/>
      <c r="DG22477" s="256"/>
    </row>
    <row r="22478" spans="104:111">
      <c r="CZ22478" s="256"/>
      <c r="DG22478" s="256"/>
    </row>
    <row r="22479" spans="104:111">
      <c r="CZ22479" s="256"/>
      <c r="DG22479" s="256"/>
    </row>
    <row r="22480" spans="104:111">
      <c r="CZ22480" s="256"/>
      <c r="DG22480" s="256"/>
    </row>
    <row r="22481" spans="104:111">
      <c r="CZ22481" s="256"/>
      <c r="DG22481" s="256"/>
    </row>
    <row r="22482" spans="104:111">
      <c r="CZ22482" s="256"/>
      <c r="DG22482" s="256"/>
    </row>
    <row r="22483" spans="104:111">
      <c r="CZ22483" s="256"/>
      <c r="DG22483" s="256"/>
    </row>
    <row r="22484" spans="104:111">
      <c r="CZ22484" s="256"/>
      <c r="DG22484" s="256"/>
    </row>
    <row r="22485" spans="104:111">
      <c r="CZ22485" s="256"/>
      <c r="DG22485" s="256"/>
    </row>
    <row r="22486" spans="104:111">
      <c r="CZ22486" s="256"/>
      <c r="DG22486" s="256"/>
    </row>
    <row r="22487" spans="104:111">
      <c r="CZ22487" s="256"/>
      <c r="DG22487" s="256"/>
    </row>
    <row r="22488" spans="104:111">
      <c r="CZ22488" s="256"/>
      <c r="DG22488" s="256"/>
    </row>
    <row r="22489" spans="104:111">
      <c r="CZ22489" s="256"/>
      <c r="DG22489" s="256"/>
    </row>
    <row r="22490" spans="104:111">
      <c r="CZ22490" s="256"/>
      <c r="DG22490" s="256"/>
    </row>
    <row r="22491" spans="104:111">
      <c r="CZ22491" s="256"/>
      <c r="DG22491" s="256"/>
    </row>
    <row r="22492" spans="104:111">
      <c r="CZ22492" s="256"/>
      <c r="DG22492" s="256"/>
    </row>
    <row r="22493" spans="104:111">
      <c r="CZ22493" s="256"/>
      <c r="DG22493" s="256"/>
    </row>
    <row r="22494" spans="104:111">
      <c r="CZ22494" s="256"/>
      <c r="DG22494" s="256"/>
    </row>
    <row r="22495" spans="104:111">
      <c r="CZ22495" s="256"/>
      <c r="DG22495" s="256"/>
    </row>
    <row r="22496" spans="104:111">
      <c r="CZ22496" s="256"/>
      <c r="DG22496" s="256"/>
    </row>
    <row r="22497" spans="104:111">
      <c r="CZ22497" s="256"/>
      <c r="DG22497" s="256"/>
    </row>
    <row r="22498" spans="104:111">
      <c r="CZ22498" s="256"/>
      <c r="DG22498" s="256"/>
    </row>
    <row r="22499" spans="104:111">
      <c r="CZ22499" s="256"/>
      <c r="DG22499" s="256"/>
    </row>
    <row r="22500" spans="104:111">
      <c r="CZ22500" s="256"/>
      <c r="DG22500" s="256"/>
    </row>
    <row r="22501" spans="104:111">
      <c r="CZ22501" s="256"/>
      <c r="DG22501" s="256"/>
    </row>
    <row r="22502" spans="104:111">
      <c r="CZ22502" s="256"/>
      <c r="DG22502" s="256"/>
    </row>
    <row r="22503" spans="104:111">
      <c r="CZ22503" s="256"/>
      <c r="DG22503" s="256"/>
    </row>
    <row r="22504" spans="104:111">
      <c r="CZ22504" s="256"/>
      <c r="DG22504" s="256"/>
    </row>
    <row r="22505" spans="104:111">
      <c r="CZ22505" s="256"/>
      <c r="DG22505" s="256"/>
    </row>
    <row r="22506" spans="104:111">
      <c r="CZ22506" s="256"/>
      <c r="DG22506" s="256"/>
    </row>
    <row r="22507" spans="104:111">
      <c r="CZ22507" s="256"/>
      <c r="DG22507" s="256"/>
    </row>
    <row r="22508" spans="104:111">
      <c r="CZ22508" s="256"/>
      <c r="DG22508" s="256"/>
    </row>
    <row r="22509" spans="104:111">
      <c r="CZ22509" s="256"/>
      <c r="DG22509" s="256"/>
    </row>
    <row r="22510" spans="104:111">
      <c r="CZ22510" s="256"/>
      <c r="DG22510" s="256"/>
    </row>
    <row r="22511" spans="104:111">
      <c r="CZ22511" s="256"/>
      <c r="DG22511" s="256"/>
    </row>
    <row r="22512" spans="104:111">
      <c r="CZ22512" s="256"/>
      <c r="DG22512" s="256"/>
    </row>
    <row r="22513" spans="104:111">
      <c r="CZ22513" s="256"/>
      <c r="DG22513" s="256"/>
    </row>
    <row r="22514" spans="104:111">
      <c r="CZ22514" s="256"/>
      <c r="DG22514" s="256"/>
    </row>
    <row r="22515" spans="104:111">
      <c r="CZ22515" s="256"/>
      <c r="DG22515" s="256"/>
    </row>
    <row r="22516" spans="104:111">
      <c r="CZ22516" s="256"/>
      <c r="DG22516" s="256"/>
    </row>
    <row r="22517" spans="104:111">
      <c r="CZ22517" s="256"/>
      <c r="DG22517" s="256"/>
    </row>
    <row r="22518" spans="104:111">
      <c r="CZ22518" s="256"/>
      <c r="DG22518" s="256"/>
    </row>
    <row r="22519" spans="104:111">
      <c r="CZ22519" s="256"/>
      <c r="DG22519" s="256"/>
    </row>
    <row r="22520" spans="104:111">
      <c r="CZ22520" s="256"/>
      <c r="DG22520" s="256"/>
    </row>
    <row r="22521" spans="104:111">
      <c r="CZ22521" s="256"/>
      <c r="DG22521" s="256"/>
    </row>
    <row r="22522" spans="104:111">
      <c r="CZ22522" s="256"/>
      <c r="DG22522" s="256"/>
    </row>
    <row r="22523" spans="104:111">
      <c r="CZ22523" s="256"/>
      <c r="DG22523" s="256"/>
    </row>
    <row r="22524" spans="104:111">
      <c r="CZ22524" s="256"/>
      <c r="DG22524" s="256"/>
    </row>
    <row r="22525" spans="104:111">
      <c r="CZ22525" s="256"/>
      <c r="DG22525" s="256"/>
    </row>
    <row r="22526" spans="104:111">
      <c r="CZ22526" s="256"/>
      <c r="DG22526" s="256"/>
    </row>
    <row r="22527" spans="104:111">
      <c r="CZ22527" s="256"/>
      <c r="DG22527" s="256"/>
    </row>
    <row r="22528" spans="104:111">
      <c r="CZ22528" s="256"/>
      <c r="DG22528" s="256"/>
    </row>
    <row r="22529" spans="104:111">
      <c r="CZ22529" s="256"/>
      <c r="DG22529" s="256"/>
    </row>
    <row r="22530" spans="104:111">
      <c r="CZ22530" s="256"/>
      <c r="DG22530" s="256"/>
    </row>
    <row r="22531" spans="104:111">
      <c r="CZ22531" s="256"/>
      <c r="DG22531" s="256"/>
    </row>
    <row r="22532" spans="104:111">
      <c r="CZ22532" s="256"/>
      <c r="DG22532" s="256"/>
    </row>
    <row r="22533" spans="104:111">
      <c r="CZ22533" s="256"/>
      <c r="DG22533" s="256"/>
    </row>
    <row r="22534" spans="104:111">
      <c r="CZ22534" s="256"/>
      <c r="DG22534" s="256"/>
    </row>
    <row r="22535" spans="104:111">
      <c r="CZ22535" s="256"/>
      <c r="DG22535" s="256"/>
    </row>
    <row r="22536" spans="104:111">
      <c r="CZ22536" s="256"/>
      <c r="DG22536" s="256"/>
    </row>
    <row r="22537" spans="104:111">
      <c r="CZ22537" s="256"/>
      <c r="DG22537" s="256"/>
    </row>
    <row r="22538" spans="104:111">
      <c r="CZ22538" s="256"/>
      <c r="DG22538" s="256"/>
    </row>
    <row r="22539" spans="104:111">
      <c r="CZ22539" s="256"/>
      <c r="DG22539" s="256"/>
    </row>
    <row r="22540" spans="104:111">
      <c r="CZ22540" s="256"/>
      <c r="DG22540" s="256"/>
    </row>
    <row r="22541" spans="104:111">
      <c r="CZ22541" s="256"/>
      <c r="DG22541" s="256"/>
    </row>
    <row r="22542" spans="104:111">
      <c r="CZ22542" s="256"/>
      <c r="DG22542" s="256"/>
    </row>
    <row r="22543" spans="104:111">
      <c r="CZ22543" s="256"/>
      <c r="DG22543" s="256"/>
    </row>
    <row r="22544" spans="104:111">
      <c r="CZ22544" s="256"/>
      <c r="DG22544" s="256"/>
    </row>
    <row r="22545" spans="104:111">
      <c r="CZ22545" s="256"/>
      <c r="DG22545" s="256"/>
    </row>
    <row r="22546" spans="104:111">
      <c r="CZ22546" s="256"/>
      <c r="DG22546" s="256"/>
    </row>
    <row r="22547" spans="104:111">
      <c r="CZ22547" s="256"/>
      <c r="DG22547" s="256"/>
    </row>
    <row r="22548" spans="104:111">
      <c r="CZ22548" s="256"/>
      <c r="DG22548" s="256"/>
    </row>
    <row r="22549" spans="104:111">
      <c r="CZ22549" s="256"/>
      <c r="DG22549" s="256"/>
    </row>
    <row r="22550" spans="104:111">
      <c r="CZ22550" s="256"/>
      <c r="DG22550" s="256"/>
    </row>
    <row r="22551" spans="104:111">
      <c r="CZ22551" s="256"/>
      <c r="DG22551" s="256"/>
    </row>
    <row r="22552" spans="104:111">
      <c r="CZ22552" s="256"/>
      <c r="DG22552" s="256"/>
    </row>
    <row r="22553" spans="104:111">
      <c r="CZ22553" s="256"/>
      <c r="DG22553" s="256"/>
    </row>
    <row r="22554" spans="104:111">
      <c r="CZ22554" s="256"/>
      <c r="DG22554" s="256"/>
    </row>
    <row r="22555" spans="104:111">
      <c r="CZ22555" s="256"/>
      <c r="DG22555" s="256"/>
    </row>
    <row r="22556" spans="104:111">
      <c r="CZ22556" s="256"/>
      <c r="DG22556" s="256"/>
    </row>
    <row r="22557" spans="104:111">
      <c r="CZ22557" s="256"/>
      <c r="DG22557" s="256"/>
    </row>
    <row r="22558" spans="104:111">
      <c r="CZ22558" s="256"/>
      <c r="DG22558" s="256"/>
    </row>
    <row r="22559" spans="104:111">
      <c r="CZ22559" s="256"/>
      <c r="DG22559" s="256"/>
    </row>
    <row r="22560" spans="104:111">
      <c r="CZ22560" s="256"/>
      <c r="DG22560" s="256"/>
    </row>
    <row r="22561" spans="104:111">
      <c r="CZ22561" s="256"/>
      <c r="DG22561" s="256"/>
    </row>
    <row r="22562" spans="104:111">
      <c r="CZ22562" s="256"/>
      <c r="DG22562" s="256"/>
    </row>
    <row r="22563" spans="104:111">
      <c r="CZ22563" s="256"/>
      <c r="DG22563" s="256"/>
    </row>
    <row r="22564" spans="104:111">
      <c r="CZ22564" s="256"/>
      <c r="DG22564" s="256"/>
    </row>
    <row r="22565" spans="104:111">
      <c r="CZ22565" s="256"/>
      <c r="DG22565" s="256"/>
    </row>
    <row r="22566" spans="104:111">
      <c r="CZ22566" s="256"/>
      <c r="DG22566" s="256"/>
    </row>
    <row r="22567" spans="104:111">
      <c r="CZ22567" s="256"/>
      <c r="DG22567" s="256"/>
    </row>
    <row r="22568" spans="104:111">
      <c r="CZ22568" s="256"/>
      <c r="DG22568" s="256"/>
    </row>
    <row r="22569" spans="104:111">
      <c r="CZ22569" s="256"/>
      <c r="DG22569" s="256"/>
    </row>
    <row r="22570" spans="104:111">
      <c r="CZ22570" s="256"/>
      <c r="DG22570" s="256"/>
    </row>
    <row r="22571" spans="104:111">
      <c r="CZ22571" s="256"/>
      <c r="DG22571" s="256"/>
    </row>
    <row r="22572" spans="104:111">
      <c r="CZ22572" s="256"/>
      <c r="DG22572" s="256"/>
    </row>
    <row r="22573" spans="104:111">
      <c r="CZ22573" s="256"/>
      <c r="DG22573" s="256"/>
    </row>
    <row r="22574" spans="104:111">
      <c r="CZ22574" s="256"/>
      <c r="DG22574" s="256"/>
    </row>
    <row r="22575" spans="104:111">
      <c r="CZ22575" s="256"/>
      <c r="DG22575" s="256"/>
    </row>
    <row r="22576" spans="104:111">
      <c r="CZ22576" s="256"/>
      <c r="DG22576" s="256"/>
    </row>
    <row r="22577" spans="104:111">
      <c r="CZ22577" s="256"/>
      <c r="DG22577" s="256"/>
    </row>
    <row r="22578" spans="104:111">
      <c r="CZ22578" s="256"/>
      <c r="DG22578" s="256"/>
    </row>
    <row r="22579" spans="104:111">
      <c r="CZ22579" s="256"/>
      <c r="DG22579" s="256"/>
    </row>
    <row r="22580" spans="104:111">
      <c r="CZ22580" s="256"/>
      <c r="DG22580" s="256"/>
    </row>
    <row r="22581" spans="104:111">
      <c r="CZ22581" s="256"/>
      <c r="DG22581" s="256"/>
    </row>
    <row r="22582" spans="104:111">
      <c r="CZ22582" s="256"/>
      <c r="DG22582" s="256"/>
    </row>
    <row r="22583" spans="104:111">
      <c r="CZ22583" s="256"/>
      <c r="DG22583" s="256"/>
    </row>
    <row r="22584" spans="104:111">
      <c r="CZ22584" s="256"/>
      <c r="DG22584" s="256"/>
    </row>
    <row r="22585" spans="104:111">
      <c r="CZ22585" s="256"/>
      <c r="DG22585" s="256"/>
    </row>
    <row r="22586" spans="104:111">
      <c r="CZ22586" s="256"/>
      <c r="DG22586" s="256"/>
    </row>
    <row r="22587" spans="104:111">
      <c r="CZ22587" s="256"/>
      <c r="DG22587" s="256"/>
    </row>
    <row r="22588" spans="104:111">
      <c r="CZ22588" s="256"/>
      <c r="DG22588" s="256"/>
    </row>
    <row r="22589" spans="104:111">
      <c r="CZ22589" s="256"/>
      <c r="DG22589" s="256"/>
    </row>
    <row r="22590" spans="104:111">
      <c r="CZ22590" s="256"/>
      <c r="DG22590" s="256"/>
    </row>
    <row r="22591" spans="104:111">
      <c r="CZ22591" s="256"/>
      <c r="DG22591" s="256"/>
    </row>
    <row r="22592" spans="104:111">
      <c r="CZ22592" s="256"/>
      <c r="DG22592" s="256"/>
    </row>
    <row r="22593" spans="104:111">
      <c r="CZ22593" s="256"/>
      <c r="DG22593" s="256"/>
    </row>
    <row r="22594" spans="104:111">
      <c r="CZ22594" s="256"/>
      <c r="DG22594" s="256"/>
    </row>
    <row r="22595" spans="104:111">
      <c r="CZ22595" s="256"/>
      <c r="DG22595" s="256"/>
    </row>
    <row r="22596" spans="104:111">
      <c r="CZ22596" s="256"/>
      <c r="DG22596" s="256"/>
    </row>
    <row r="22597" spans="104:111">
      <c r="CZ22597" s="256"/>
      <c r="DG22597" s="256"/>
    </row>
    <row r="22598" spans="104:111">
      <c r="CZ22598" s="256"/>
      <c r="DG22598" s="256"/>
    </row>
    <row r="22599" spans="104:111">
      <c r="CZ22599" s="256"/>
      <c r="DG22599" s="256"/>
    </row>
    <row r="22600" spans="104:111">
      <c r="CZ22600" s="256"/>
      <c r="DG22600" s="256"/>
    </row>
    <row r="22601" spans="104:111">
      <c r="CZ22601" s="256"/>
      <c r="DG22601" s="256"/>
    </row>
    <row r="22602" spans="104:111">
      <c r="CZ22602" s="256"/>
      <c r="DG22602" s="256"/>
    </row>
    <row r="22603" spans="104:111">
      <c r="CZ22603" s="256"/>
      <c r="DG22603" s="256"/>
    </row>
    <row r="22604" spans="104:111">
      <c r="CZ22604" s="256"/>
      <c r="DG22604" s="256"/>
    </row>
    <row r="22605" spans="104:111">
      <c r="CZ22605" s="256"/>
      <c r="DG22605" s="256"/>
    </row>
    <row r="22606" spans="104:111">
      <c r="CZ22606" s="256"/>
      <c r="DG22606" s="256"/>
    </row>
    <row r="22607" spans="104:111">
      <c r="CZ22607" s="256"/>
      <c r="DG22607" s="256"/>
    </row>
    <row r="22608" spans="104:111">
      <c r="CZ22608" s="256"/>
      <c r="DG22608" s="256"/>
    </row>
    <row r="22609" spans="104:111">
      <c r="CZ22609" s="256"/>
      <c r="DG22609" s="256"/>
    </row>
    <row r="22610" spans="104:111">
      <c r="CZ22610" s="256"/>
      <c r="DG22610" s="256"/>
    </row>
    <row r="22611" spans="104:111">
      <c r="CZ22611" s="256"/>
      <c r="DG22611" s="256"/>
    </row>
    <row r="22612" spans="104:111">
      <c r="CZ22612" s="256"/>
      <c r="DG22612" s="256"/>
    </row>
    <row r="22613" spans="104:111">
      <c r="CZ22613" s="256"/>
      <c r="DG22613" s="256"/>
    </row>
    <row r="22614" spans="104:111">
      <c r="CZ22614" s="256"/>
      <c r="DG22614" s="256"/>
    </row>
    <row r="22615" spans="104:111">
      <c r="CZ22615" s="256"/>
      <c r="DG22615" s="256"/>
    </row>
    <row r="22616" spans="104:111">
      <c r="CZ22616" s="256"/>
      <c r="DG22616" s="256"/>
    </row>
    <row r="22617" spans="104:111">
      <c r="CZ22617" s="256"/>
      <c r="DG22617" s="256"/>
    </row>
    <row r="22618" spans="104:111">
      <c r="CZ22618" s="256"/>
      <c r="DG22618" s="256"/>
    </row>
    <row r="22619" spans="104:111">
      <c r="CZ22619" s="256"/>
      <c r="DG22619" s="256"/>
    </row>
    <row r="22620" spans="104:111">
      <c r="CZ22620" s="256"/>
      <c r="DG22620" s="256"/>
    </row>
    <row r="22621" spans="104:111">
      <c r="CZ22621" s="256"/>
      <c r="DG22621" s="256"/>
    </row>
    <row r="22622" spans="104:111">
      <c r="CZ22622" s="256"/>
      <c r="DG22622" s="256"/>
    </row>
    <row r="22623" spans="104:111">
      <c r="CZ22623" s="256"/>
      <c r="DG22623" s="256"/>
    </row>
    <row r="22624" spans="104:111">
      <c r="CZ22624" s="256"/>
      <c r="DG22624" s="256"/>
    </row>
    <row r="22625" spans="104:111">
      <c r="CZ22625" s="256"/>
      <c r="DG22625" s="256"/>
    </row>
    <row r="22626" spans="104:111">
      <c r="CZ22626" s="256"/>
      <c r="DG22626" s="256"/>
    </row>
    <row r="22627" spans="104:111">
      <c r="CZ22627" s="256"/>
      <c r="DG22627" s="256"/>
    </row>
    <row r="22628" spans="104:111">
      <c r="CZ22628" s="256"/>
      <c r="DG22628" s="256"/>
    </row>
    <row r="22629" spans="104:111">
      <c r="CZ22629" s="256"/>
      <c r="DG22629" s="256"/>
    </row>
    <row r="22630" spans="104:111">
      <c r="CZ22630" s="256"/>
      <c r="DG22630" s="256"/>
    </row>
    <row r="22631" spans="104:111">
      <c r="CZ22631" s="256"/>
      <c r="DG22631" s="256"/>
    </row>
    <row r="22632" spans="104:111">
      <c r="CZ22632" s="256"/>
      <c r="DG22632" s="256"/>
    </row>
    <row r="22633" spans="104:111">
      <c r="CZ22633" s="256"/>
      <c r="DG22633" s="256"/>
    </row>
    <row r="22634" spans="104:111">
      <c r="CZ22634" s="256"/>
      <c r="DG22634" s="256"/>
    </row>
    <row r="22635" spans="104:111">
      <c r="CZ22635" s="256"/>
      <c r="DG22635" s="256"/>
    </row>
    <row r="22636" spans="104:111">
      <c r="CZ22636" s="256"/>
      <c r="DG22636" s="256"/>
    </row>
    <row r="22637" spans="104:111">
      <c r="CZ22637" s="256"/>
      <c r="DG22637" s="256"/>
    </row>
    <row r="22638" spans="104:111">
      <c r="CZ22638" s="256"/>
      <c r="DG22638" s="256"/>
    </row>
    <row r="22639" spans="104:111">
      <c r="CZ22639" s="256"/>
      <c r="DG22639" s="256"/>
    </row>
    <row r="22640" spans="104:111">
      <c r="CZ22640" s="256"/>
      <c r="DG22640" s="256"/>
    </row>
    <row r="22641" spans="104:111">
      <c r="CZ22641" s="256"/>
      <c r="DG22641" s="256"/>
    </row>
    <row r="22642" spans="104:111">
      <c r="CZ22642" s="256"/>
      <c r="DG22642" s="256"/>
    </row>
    <row r="22643" spans="104:111">
      <c r="CZ22643" s="256"/>
      <c r="DG22643" s="256"/>
    </row>
    <row r="22644" spans="104:111">
      <c r="CZ22644" s="256"/>
      <c r="DG22644" s="256"/>
    </row>
    <row r="22645" spans="104:111">
      <c r="CZ22645" s="256"/>
      <c r="DG22645" s="256"/>
    </row>
    <row r="22646" spans="104:111">
      <c r="CZ22646" s="256"/>
      <c r="DG22646" s="256"/>
    </row>
    <row r="22647" spans="104:111">
      <c r="CZ22647" s="256"/>
      <c r="DG22647" s="256"/>
    </row>
    <row r="22648" spans="104:111">
      <c r="CZ22648" s="256"/>
      <c r="DG22648" s="256"/>
    </row>
    <row r="22649" spans="104:111">
      <c r="CZ22649" s="256"/>
      <c r="DG22649" s="256"/>
    </row>
    <row r="22650" spans="104:111">
      <c r="CZ22650" s="256"/>
      <c r="DG22650" s="256"/>
    </row>
    <row r="22651" spans="104:111">
      <c r="CZ22651" s="256"/>
      <c r="DG22651" s="256"/>
    </row>
    <row r="22652" spans="104:111">
      <c r="CZ22652" s="256"/>
      <c r="DG22652" s="256"/>
    </row>
    <row r="22653" spans="104:111">
      <c r="CZ22653" s="256"/>
      <c r="DG22653" s="256"/>
    </row>
    <row r="22654" spans="104:111">
      <c r="CZ22654" s="256"/>
      <c r="DG22654" s="256"/>
    </row>
    <row r="22655" spans="104:111">
      <c r="CZ22655" s="256"/>
      <c r="DG22655" s="256"/>
    </row>
    <row r="22656" spans="104:111">
      <c r="CZ22656" s="256"/>
      <c r="DG22656" s="256"/>
    </row>
    <row r="22657" spans="104:111">
      <c r="CZ22657" s="256"/>
      <c r="DG22657" s="256"/>
    </row>
    <row r="22658" spans="104:111">
      <c r="CZ22658" s="256"/>
      <c r="DG22658" s="256"/>
    </row>
    <row r="22659" spans="104:111">
      <c r="CZ22659" s="256"/>
      <c r="DG22659" s="256"/>
    </row>
    <row r="22660" spans="104:111">
      <c r="CZ22660" s="256"/>
      <c r="DG22660" s="256"/>
    </row>
    <row r="22661" spans="104:111">
      <c r="CZ22661" s="256"/>
      <c r="DG22661" s="256"/>
    </row>
    <row r="22662" spans="104:111">
      <c r="CZ22662" s="256"/>
      <c r="DG22662" s="256"/>
    </row>
    <row r="22663" spans="104:111">
      <c r="CZ22663" s="256"/>
      <c r="DG22663" s="256"/>
    </row>
    <row r="22664" spans="104:111">
      <c r="CZ22664" s="256"/>
      <c r="DG22664" s="256"/>
    </row>
    <row r="22665" spans="104:111">
      <c r="CZ22665" s="256"/>
      <c r="DG22665" s="256"/>
    </row>
    <row r="22666" spans="104:111">
      <c r="CZ22666" s="256"/>
      <c r="DG22666" s="256"/>
    </row>
    <row r="22667" spans="104:111">
      <c r="CZ22667" s="256"/>
      <c r="DG22667" s="256"/>
    </row>
    <row r="22668" spans="104:111">
      <c r="CZ22668" s="256"/>
      <c r="DG22668" s="256"/>
    </row>
    <row r="22669" spans="104:111">
      <c r="CZ22669" s="256"/>
      <c r="DG22669" s="256"/>
    </row>
    <row r="22670" spans="104:111">
      <c r="CZ22670" s="256"/>
      <c r="DG22670" s="256"/>
    </row>
    <row r="22671" spans="104:111">
      <c r="CZ22671" s="256"/>
      <c r="DG22671" s="256"/>
    </row>
    <row r="22672" spans="104:111">
      <c r="CZ22672" s="256"/>
      <c r="DG22672" s="256"/>
    </row>
    <row r="22673" spans="104:111">
      <c r="CZ22673" s="256"/>
      <c r="DG22673" s="256"/>
    </row>
    <row r="22674" spans="104:111">
      <c r="CZ22674" s="256"/>
      <c r="DG22674" s="256"/>
    </row>
    <row r="22675" spans="104:111">
      <c r="CZ22675" s="256"/>
      <c r="DG22675" s="256"/>
    </row>
    <row r="22676" spans="104:111">
      <c r="CZ22676" s="256"/>
      <c r="DG22676" s="256"/>
    </row>
    <row r="22677" spans="104:111">
      <c r="CZ22677" s="256"/>
      <c r="DG22677" s="256"/>
    </row>
    <row r="22678" spans="104:111">
      <c r="CZ22678" s="256"/>
      <c r="DG22678" s="256"/>
    </row>
    <row r="22679" spans="104:111">
      <c r="CZ22679" s="256"/>
      <c r="DG22679" s="256"/>
    </row>
    <row r="22680" spans="104:111">
      <c r="CZ22680" s="256"/>
      <c r="DG22680" s="256"/>
    </row>
    <row r="22681" spans="104:111">
      <c r="CZ22681" s="256"/>
      <c r="DG22681" s="256"/>
    </row>
    <row r="22682" spans="104:111">
      <c r="CZ22682" s="256"/>
      <c r="DG22682" s="256"/>
    </row>
    <row r="22683" spans="104:111">
      <c r="CZ22683" s="256"/>
      <c r="DG22683" s="256"/>
    </row>
    <row r="22684" spans="104:111">
      <c r="CZ22684" s="256"/>
      <c r="DG22684" s="256"/>
    </row>
    <row r="22685" spans="104:111">
      <c r="CZ22685" s="256"/>
      <c r="DG22685" s="256"/>
    </row>
    <row r="22686" spans="104:111">
      <c r="CZ22686" s="256"/>
      <c r="DG22686" s="256"/>
    </row>
    <row r="22687" spans="104:111">
      <c r="CZ22687" s="256"/>
      <c r="DG22687" s="256"/>
    </row>
    <row r="22688" spans="104:111">
      <c r="CZ22688" s="256"/>
      <c r="DG22688" s="256"/>
    </row>
    <row r="22689" spans="104:111">
      <c r="CZ22689" s="256"/>
      <c r="DG22689" s="256"/>
    </row>
    <row r="22690" spans="104:111">
      <c r="CZ22690" s="256"/>
      <c r="DG22690" s="256"/>
    </row>
    <row r="22691" spans="104:111">
      <c r="CZ22691" s="256"/>
      <c r="DG22691" s="256"/>
    </row>
    <row r="22692" spans="104:111">
      <c r="CZ22692" s="256"/>
      <c r="DG22692" s="256"/>
    </row>
    <row r="22693" spans="104:111">
      <c r="CZ22693" s="256"/>
      <c r="DG22693" s="256"/>
    </row>
    <row r="22694" spans="104:111">
      <c r="CZ22694" s="256"/>
      <c r="DG22694" s="256"/>
    </row>
    <row r="22695" spans="104:111">
      <c r="CZ22695" s="256"/>
      <c r="DG22695" s="256"/>
    </row>
    <row r="22696" spans="104:111">
      <c r="CZ22696" s="256"/>
      <c r="DG22696" s="256"/>
    </row>
    <row r="22697" spans="104:111">
      <c r="CZ22697" s="256"/>
      <c r="DG22697" s="256"/>
    </row>
    <row r="22698" spans="104:111">
      <c r="CZ22698" s="256"/>
      <c r="DG22698" s="256"/>
    </row>
    <row r="22699" spans="104:111">
      <c r="CZ22699" s="256"/>
      <c r="DG22699" s="256"/>
    </row>
    <row r="22700" spans="104:111">
      <c r="CZ22700" s="256"/>
      <c r="DG22700" s="256"/>
    </row>
    <row r="22701" spans="104:111">
      <c r="CZ22701" s="256"/>
      <c r="DG22701" s="256"/>
    </row>
    <row r="22702" spans="104:111">
      <c r="CZ22702" s="256"/>
      <c r="DG22702" s="256"/>
    </row>
    <row r="22703" spans="104:111">
      <c r="CZ22703" s="256"/>
      <c r="DG22703" s="256"/>
    </row>
    <row r="22704" spans="104:111">
      <c r="CZ22704" s="256"/>
      <c r="DG22704" s="256"/>
    </row>
    <row r="22705" spans="104:111">
      <c r="CZ22705" s="256"/>
      <c r="DG22705" s="256"/>
    </row>
    <row r="22706" spans="104:111">
      <c r="CZ22706" s="256"/>
      <c r="DG22706" s="256"/>
    </row>
    <row r="22707" spans="104:111">
      <c r="CZ22707" s="256"/>
      <c r="DG22707" s="256"/>
    </row>
    <row r="22708" spans="104:111">
      <c r="CZ22708" s="256"/>
      <c r="DG22708" s="256"/>
    </row>
    <row r="22709" spans="104:111">
      <c r="CZ22709" s="256"/>
      <c r="DG22709" s="256"/>
    </row>
    <row r="22710" spans="104:111">
      <c r="CZ22710" s="256"/>
      <c r="DG22710" s="256"/>
    </row>
    <row r="22711" spans="104:111">
      <c r="CZ22711" s="256"/>
      <c r="DG22711" s="256"/>
    </row>
    <row r="22712" spans="104:111">
      <c r="CZ22712" s="256"/>
      <c r="DG22712" s="256"/>
    </row>
    <row r="22713" spans="104:111">
      <c r="CZ22713" s="256"/>
      <c r="DG22713" s="256"/>
    </row>
    <row r="22714" spans="104:111">
      <c r="CZ22714" s="256"/>
      <c r="DG22714" s="256"/>
    </row>
    <row r="22715" spans="104:111">
      <c r="CZ22715" s="256"/>
      <c r="DG22715" s="256"/>
    </row>
    <row r="22716" spans="104:111">
      <c r="CZ22716" s="256"/>
      <c r="DG22716" s="256"/>
    </row>
    <row r="22717" spans="104:111">
      <c r="CZ22717" s="256"/>
      <c r="DG22717" s="256"/>
    </row>
    <row r="22718" spans="104:111">
      <c r="CZ22718" s="256"/>
      <c r="DG22718" s="256"/>
    </row>
    <row r="22719" spans="104:111">
      <c r="CZ22719" s="256"/>
      <c r="DG22719" s="256"/>
    </row>
    <row r="22720" spans="104:111">
      <c r="CZ22720" s="256"/>
      <c r="DG22720" s="256"/>
    </row>
    <row r="22721" spans="104:111">
      <c r="CZ22721" s="256"/>
      <c r="DG22721" s="256"/>
    </row>
    <row r="22722" spans="104:111">
      <c r="CZ22722" s="256"/>
      <c r="DG22722" s="256"/>
    </row>
    <row r="22723" spans="104:111">
      <c r="CZ22723" s="256"/>
      <c r="DG22723" s="256"/>
    </row>
    <row r="22724" spans="104:111">
      <c r="CZ22724" s="256"/>
      <c r="DG22724" s="256"/>
    </row>
    <row r="22725" spans="104:111">
      <c r="CZ22725" s="256"/>
      <c r="DG22725" s="256"/>
    </row>
    <row r="22726" spans="104:111">
      <c r="CZ22726" s="256"/>
      <c r="DG22726" s="256"/>
    </row>
    <row r="22727" spans="104:111">
      <c r="CZ22727" s="256"/>
      <c r="DG22727" s="256"/>
    </row>
    <row r="22728" spans="104:111">
      <c r="CZ22728" s="256"/>
      <c r="DG22728" s="256"/>
    </row>
    <row r="22729" spans="104:111">
      <c r="CZ22729" s="256"/>
      <c r="DG22729" s="256"/>
    </row>
    <row r="22730" spans="104:111">
      <c r="CZ22730" s="256"/>
      <c r="DG22730" s="256"/>
    </row>
    <row r="22731" spans="104:111">
      <c r="CZ22731" s="256"/>
      <c r="DG22731" s="256"/>
    </row>
    <row r="22732" spans="104:111">
      <c r="CZ22732" s="256"/>
      <c r="DG22732" s="256"/>
    </row>
    <row r="22733" spans="104:111">
      <c r="CZ22733" s="256"/>
      <c r="DG22733" s="256"/>
    </row>
    <row r="22734" spans="104:111">
      <c r="CZ22734" s="256"/>
      <c r="DG22734" s="256"/>
    </row>
    <row r="22735" spans="104:111">
      <c r="CZ22735" s="256"/>
      <c r="DG22735" s="256"/>
    </row>
    <row r="22736" spans="104:111">
      <c r="CZ22736" s="256"/>
      <c r="DG22736" s="256"/>
    </row>
    <row r="22737" spans="104:111">
      <c r="CZ22737" s="256"/>
      <c r="DG22737" s="256"/>
    </row>
    <row r="22738" spans="104:111">
      <c r="CZ22738" s="256"/>
      <c r="DG22738" s="256"/>
    </row>
    <row r="22739" spans="104:111">
      <c r="CZ22739" s="256"/>
      <c r="DG22739" s="256"/>
    </row>
    <row r="22740" spans="104:111">
      <c r="CZ22740" s="256"/>
      <c r="DG22740" s="256"/>
    </row>
    <row r="22741" spans="104:111">
      <c r="CZ22741" s="256"/>
      <c r="DG22741" s="256"/>
    </row>
    <row r="22742" spans="104:111">
      <c r="CZ22742" s="256"/>
      <c r="DG22742" s="256"/>
    </row>
    <row r="22743" spans="104:111">
      <c r="CZ22743" s="256"/>
      <c r="DG22743" s="256"/>
    </row>
    <row r="22744" spans="104:111">
      <c r="CZ22744" s="256"/>
      <c r="DG22744" s="256"/>
    </row>
    <row r="22745" spans="104:111">
      <c r="CZ22745" s="256"/>
      <c r="DG22745" s="256"/>
    </row>
    <row r="22746" spans="104:111">
      <c r="CZ22746" s="256"/>
      <c r="DG22746" s="256"/>
    </row>
    <row r="22747" spans="104:111">
      <c r="CZ22747" s="256"/>
      <c r="DG22747" s="256"/>
    </row>
    <row r="22748" spans="104:111">
      <c r="CZ22748" s="256"/>
      <c r="DG22748" s="256"/>
    </row>
    <row r="22749" spans="104:111">
      <c r="CZ22749" s="256"/>
      <c r="DG22749" s="256"/>
    </row>
    <row r="22750" spans="104:111">
      <c r="CZ22750" s="256"/>
      <c r="DG22750" s="256"/>
    </row>
    <row r="22751" spans="104:111">
      <c r="CZ22751" s="256"/>
      <c r="DG22751" s="256"/>
    </row>
    <row r="22752" spans="104:111">
      <c r="CZ22752" s="256"/>
      <c r="DG22752" s="256"/>
    </row>
    <row r="22753" spans="104:111">
      <c r="CZ22753" s="256"/>
      <c r="DG22753" s="256"/>
    </row>
    <row r="22754" spans="104:111">
      <c r="CZ22754" s="256"/>
      <c r="DG22754" s="256"/>
    </row>
    <row r="22755" spans="104:111">
      <c r="CZ22755" s="256"/>
      <c r="DG22755" s="256"/>
    </row>
    <row r="22756" spans="104:111">
      <c r="CZ22756" s="256"/>
      <c r="DG22756" s="256"/>
    </row>
    <row r="22757" spans="104:111">
      <c r="CZ22757" s="256"/>
      <c r="DG22757" s="256"/>
    </row>
    <row r="22758" spans="104:111">
      <c r="CZ22758" s="256"/>
      <c r="DG22758" s="256"/>
    </row>
    <row r="22759" spans="104:111">
      <c r="CZ22759" s="256"/>
      <c r="DG22759" s="256"/>
    </row>
    <row r="22760" spans="104:111">
      <c r="CZ22760" s="256"/>
      <c r="DG22760" s="256"/>
    </row>
    <row r="22761" spans="104:111">
      <c r="CZ22761" s="256"/>
      <c r="DG22761" s="256"/>
    </row>
    <row r="22762" spans="104:111">
      <c r="CZ22762" s="256"/>
      <c r="DG22762" s="256"/>
    </row>
    <row r="22763" spans="104:111">
      <c r="CZ22763" s="256"/>
      <c r="DG22763" s="256"/>
    </row>
    <row r="22764" spans="104:111">
      <c r="CZ22764" s="256"/>
      <c r="DG22764" s="256"/>
    </row>
    <row r="22765" spans="104:111">
      <c r="CZ22765" s="256"/>
      <c r="DG22765" s="256"/>
    </row>
    <row r="22766" spans="104:111">
      <c r="CZ22766" s="256"/>
      <c r="DG22766" s="256"/>
    </row>
    <row r="22767" spans="104:111">
      <c r="CZ22767" s="256"/>
      <c r="DG22767" s="256"/>
    </row>
    <row r="22768" spans="104:111">
      <c r="CZ22768" s="256"/>
      <c r="DG22768" s="256"/>
    </row>
    <row r="22769" spans="104:111">
      <c r="CZ22769" s="256"/>
      <c r="DG22769" s="256"/>
    </row>
    <row r="22770" spans="104:111">
      <c r="CZ22770" s="256"/>
      <c r="DG22770" s="256"/>
    </row>
    <row r="22771" spans="104:111">
      <c r="CZ22771" s="256"/>
      <c r="DG22771" s="256"/>
    </row>
    <row r="22772" spans="104:111">
      <c r="CZ22772" s="256"/>
      <c r="DG22772" s="256"/>
    </row>
    <row r="22773" spans="104:111">
      <c r="CZ22773" s="256"/>
      <c r="DG22773" s="256"/>
    </row>
    <row r="22774" spans="104:111">
      <c r="CZ22774" s="256"/>
      <c r="DG22774" s="256"/>
    </row>
    <row r="22775" spans="104:111">
      <c r="CZ22775" s="256"/>
      <c r="DG22775" s="256"/>
    </row>
    <row r="22776" spans="104:111">
      <c r="CZ22776" s="256"/>
      <c r="DG22776" s="256"/>
    </row>
    <row r="22777" spans="104:111">
      <c r="CZ22777" s="256"/>
      <c r="DG22777" s="256"/>
    </row>
    <row r="22778" spans="104:111">
      <c r="CZ22778" s="256"/>
      <c r="DG22778" s="256"/>
    </row>
    <row r="22779" spans="104:111">
      <c r="CZ22779" s="256"/>
      <c r="DG22779" s="256"/>
    </row>
    <row r="22780" spans="104:111">
      <c r="CZ22780" s="256"/>
      <c r="DG22780" s="256"/>
    </row>
    <row r="22781" spans="104:111">
      <c r="CZ22781" s="256"/>
      <c r="DG22781" s="256"/>
    </row>
    <row r="22782" spans="104:111">
      <c r="CZ22782" s="256"/>
      <c r="DG22782" s="256"/>
    </row>
    <row r="22783" spans="104:111">
      <c r="CZ22783" s="256"/>
      <c r="DG22783" s="256"/>
    </row>
    <row r="22784" spans="104:111">
      <c r="CZ22784" s="256"/>
      <c r="DG22784" s="256"/>
    </row>
    <row r="22785" spans="104:111">
      <c r="CZ22785" s="256"/>
      <c r="DG22785" s="256"/>
    </row>
    <row r="22786" spans="104:111">
      <c r="CZ22786" s="256"/>
      <c r="DG22786" s="256"/>
    </row>
    <row r="22787" spans="104:111">
      <c r="CZ22787" s="256"/>
      <c r="DG22787" s="256"/>
    </row>
    <row r="22788" spans="104:111">
      <c r="CZ22788" s="256"/>
      <c r="DG22788" s="256"/>
    </row>
    <row r="22789" spans="104:111">
      <c r="CZ22789" s="256"/>
      <c r="DG22789" s="256"/>
    </row>
    <row r="22790" spans="104:111">
      <c r="CZ22790" s="256"/>
      <c r="DG22790" s="256"/>
    </row>
    <row r="22791" spans="104:111">
      <c r="CZ22791" s="256"/>
      <c r="DG22791" s="256"/>
    </row>
    <row r="22792" spans="104:111">
      <c r="CZ22792" s="256"/>
      <c r="DG22792" s="256"/>
    </row>
    <row r="22793" spans="104:111">
      <c r="CZ22793" s="256"/>
      <c r="DG22793" s="256"/>
    </row>
    <row r="22794" spans="104:111">
      <c r="CZ22794" s="256"/>
      <c r="DG22794" s="256"/>
    </row>
    <row r="22795" spans="104:111">
      <c r="CZ22795" s="256"/>
      <c r="DG22795" s="256"/>
    </row>
    <row r="22796" spans="104:111">
      <c r="CZ22796" s="256"/>
      <c r="DG22796" s="256"/>
    </row>
    <row r="22797" spans="104:111">
      <c r="CZ22797" s="256"/>
      <c r="DG22797" s="256"/>
    </row>
    <row r="22798" spans="104:111">
      <c r="CZ22798" s="256"/>
      <c r="DG22798" s="256"/>
    </row>
    <row r="22799" spans="104:111">
      <c r="CZ22799" s="256"/>
      <c r="DG22799" s="256"/>
    </row>
    <row r="22800" spans="104:111">
      <c r="CZ22800" s="256"/>
      <c r="DG22800" s="256"/>
    </row>
    <row r="22801" spans="104:111">
      <c r="CZ22801" s="256"/>
      <c r="DG22801" s="256"/>
    </row>
    <row r="22802" spans="104:111">
      <c r="CZ22802" s="256"/>
      <c r="DG22802" s="256"/>
    </row>
    <row r="22803" spans="104:111">
      <c r="CZ22803" s="256"/>
      <c r="DG22803" s="256"/>
    </row>
    <row r="22804" spans="104:111">
      <c r="CZ22804" s="256"/>
      <c r="DG22804" s="256"/>
    </row>
    <row r="22805" spans="104:111">
      <c r="CZ22805" s="256"/>
      <c r="DG22805" s="256"/>
    </row>
    <row r="22806" spans="104:111">
      <c r="CZ22806" s="256"/>
      <c r="DG22806" s="256"/>
    </row>
    <row r="22807" spans="104:111">
      <c r="CZ22807" s="256"/>
      <c r="DG22807" s="256"/>
    </row>
    <row r="22808" spans="104:111">
      <c r="CZ22808" s="256"/>
      <c r="DG22808" s="256"/>
    </row>
    <row r="22809" spans="104:111">
      <c r="CZ22809" s="256"/>
      <c r="DG22809" s="256"/>
    </row>
    <row r="22810" spans="104:111">
      <c r="CZ22810" s="256"/>
      <c r="DG22810" s="256"/>
    </row>
    <row r="22811" spans="104:111">
      <c r="CZ22811" s="256"/>
      <c r="DG22811" s="256"/>
    </row>
    <row r="22812" spans="104:111">
      <c r="CZ22812" s="256"/>
      <c r="DG22812" s="256"/>
    </row>
    <row r="22813" spans="104:111">
      <c r="CZ22813" s="256"/>
      <c r="DG22813" s="256"/>
    </row>
    <row r="22814" spans="104:111">
      <c r="CZ22814" s="256"/>
      <c r="DG22814" s="256"/>
    </row>
    <row r="22815" spans="104:111">
      <c r="CZ22815" s="256"/>
      <c r="DG22815" s="256"/>
    </row>
    <row r="22816" spans="104:111">
      <c r="CZ22816" s="256"/>
      <c r="DG22816" s="256"/>
    </row>
    <row r="22817" spans="104:111">
      <c r="CZ22817" s="256"/>
      <c r="DG22817" s="256"/>
    </row>
    <row r="22818" spans="104:111">
      <c r="CZ22818" s="256"/>
      <c r="DG22818" s="256"/>
    </row>
    <row r="22819" spans="104:111">
      <c r="CZ22819" s="256"/>
      <c r="DG22819" s="256"/>
    </row>
    <row r="22820" spans="104:111">
      <c r="CZ22820" s="256"/>
      <c r="DG22820" s="256"/>
    </row>
    <row r="22821" spans="104:111">
      <c r="CZ22821" s="256"/>
      <c r="DG22821" s="256"/>
    </row>
    <row r="22822" spans="104:111">
      <c r="CZ22822" s="256"/>
      <c r="DG22822" s="256"/>
    </row>
    <row r="22823" spans="104:111">
      <c r="CZ22823" s="256"/>
      <c r="DG22823" s="256"/>
    </row>
    <row r="22824" spans="104:111">
      <c r="CZ22824" s="256"/>
      <c r="DG22824" s="256"/>
    </row>
    <row r="22825" spans="104:111">
      <c r="CZ22825" s="256"/>
      <c r="DG22825" s="256"/>
    </row>
    <row r="22826" spans="104:111">
      <c r="CZ22826" s="256"/>
      <c r="DG22826" s="256"/>
    </row>
    <row r="22827" spans="104:111">
      <c r="CZ22827" s="256"/>
      <c r="DG22827" s="256"/>
    </row>
    <row r="22828" spans="104:111">
      <c r="CZ22828" s="256"/>
      <c r="DG22828" s="256"/>
    </row>
    <row r="22829" spans="104:111">
      <c r="CZ22829" s="256"/>
      <c r="DG22829" s="256"/>
    </row>
    <row r="22830" spans="104:111">
      <c r="CZ22830" s="256"/>
      <c r="DG22830" s="256"/>
    </row>
    <row r="22831" spans="104:111">
      <c r="CZ22831" s="256"/>
      <c r="DG22831" s="256"/>
    </row>
    <row r="22832" spans="104:111">
      <c r="CZ22832" s="256"/>
      <c r="DG22832" s="256"/>
    </row>
    <row r="22833" spans="104:111">
      <c r="CZ22833" s="256"/>
      <c r="DG22833" s="256"/>
    </row>
    <row r="22834" spans="104:111">
      <c r="CZ22834" s="256"/>
      <c r="DG22834" s="256"/>
    </row>
    <row r="22835" spans="104:111">
      <c r="CZ22835" s="256"/>
      <c r="DG22835" s="256"/>
    </row>
    <row r="22836" spans="104:111">
      <c r="CZ22836" s="256"/>
      <c r="DG22836" s="256"/>
    </row>
    <row r="22837" spans="104:111">
      <c r="CZ22837" s="256"/>
      <c r="DG22837" s="256"/>
    </row>
    <row r="22838" spans="104:111">
      <c r="CZ22838" s="256"/>
      <c r="DG22838" s="256"/>
    </row>
    <row r="22839" spans="104:111">
      <c r="CZ22839" s="256"/>
      <c r="DG22839" s="256"/>
    </row>
    <row r="22840" spans="104:111">
      <c r="CZ22840" s="256"/>
      <c r="DG22840" s="256"/>
    </row>
    <row r="22841" spans="104:111">
      <c r="CZ22841" s="256"/>
      <c r="DG22841" s="256"/>
    </row>
    <row r="22842" spans="104:111">
      <c r="CZ22842" s="256"/>
      <c r="DG22842" s="256"/>
    </row>
    <row r="22843" spans="104:111">
      <c r="CZ22843" s="256"/>
      <c r="DG22843" s="256"/>
    </row>
    <row r="22844" spans="104:111">
      <c r="CZ22844" s="256"/>
      <c r="DG22844" s="256"/>
    </row>
    <row r="22845" spans="104:111">
      <c r="CZ22845" s="256"/>
      <c r="DG22845" s="256"/>
    </row>
    <row r="22846" spans="104:111">
      <c r="CZ22846" s="256"/>
      <c r="DG22846" s="256"/>
    </row>
    <row r="22847" spans="104:111">
      <c r="CZ22847" s="256"/>
      <c r="DG22847" s="256"/>
    </row>
    <row r="22848" spans="104:111">
      <c r="CZ22848" s="256"/>
      <c r="DG22848" s="256"/>
    </row>
    <row r="22849" spans="104:111">
      <c r="CZ22849" s="256"/>
      <c r="DG22849" s="256"/>
    </row>
    <row r="22850" spans="104:111">
      <c r="CZ22850" s="256"/>
      <c r="DG22850" s="256"/>
    </row>
    <row r="22851" spans="104:111">
      <c r="CZ22851" s="256"/>
      <c r="DG22851" s="256"/>
    </row>
    <row r="22852" spans="104:111">
      <c r="CZ22852" s="256"/>
      <c r="DG22852" s="256"/>
    </row>
    <row r="22853" spans="104:111">
      <c r="CZ22853" s="256"/>
      <c r="DG22853" s="256"/>
    </row>
    <row r="22854" spans="104:111">
      <c r="CZ22854" s="256"/>
      <c r="DG22854" s="256"/>
    </row>
    <row r="22855" spans="104:111">
      <c r="CZ22855" s="256"/>
      <c r="DG22855" s="256"/>
    </row>
    <row r="22856" spans="104:111">
      <c r="CZ22856" s="256"/>
      <c r="DG22856" s="256"/>
    </row>
    <row r="22857" spans="104:111">
      <c r="CZ22857" s="256"/>
      <c r="DG22857" s="256"/>
    </row>
    <row r="22858" spans="104:111">
      <c r="CZ22858" s="256"/>
      <c r="DG22858" s="256"/>
    </row>
    <row r="22859" spans="104:111">
      <c r="CZ22859" s="256"/>
      <c r="DG22859" s="256"/>
    </row>
    <row r="22860" spans="104:111">
      <c r="CZ22860" s="256"/>
      <c r="DG22860" s="256"/>
    </row>
    <row r="22861" spans="104:111">
      <c r="CZ22861" s="256"/>
      <c r="DG22861" s="256"/>
    </row>
    <row r="22862" spans="104:111">
      <c r="CZ22862" s="256"/>
      <c r="DG22862" s="256"/>
    </row>
    <row r="22863" spans="104:111">
      <c r="CZ22863" s="256"/>
      <c r="DG22863" s="256"/>
    </row>
    <row r="22864" spans="104:111">
      <c r="CZ22864" s="256"/>
      <c r="DG22864" s="256"/>
    </row>
    <row r="22865" spans="104:111">
      <c r="CZ22865" s="256"/>
      <c r="DG22865" s="256"/>
    </row>
    <row r="22866" spans="104:111">
      <c r="CZ22866" s="256"/>
      <c r="DG22866" s="256"/>
    </row>
    <row r="22867" spans="104:111">
      <c r="CZ22867" s="256"/>
      <c r="DG22867" s="256"/>
    </row>
    <row r="22868" spans="104:111">
      <c r="CZ22868" s="256"/>
      <c r="DG22868" s="256"/>
    </row>
    <row r="22869" spans="104:111">
      <c r="CZ22869" s="256"/>
      <c r="DG22869" s="256"/>
    </row>
    <row r="22870" spans="104:111">
      <c r="CZ22870" s="256"/>
      <c r="DG22870" s="256"/>
    </row>
    <row r="22871" spans="104:111">
      <c r="CZ22871" s="256"/>
      <c r="DG22871" s="256"/>
    </row>
    <row r="22872" spans="104:111">
      <c r="CZ22872" s="256"/>
      <c r="DG22872" s="256"/>
    </row>
    <row r="22873" spans="104:111">
      <c r="CZ22873" s="256"/>
      <c r="DG22873" s="256"/>
    </row>
    <row r="22874" spans="104:111">
      <c r="CZ22874" s="256"/>
      <c r="DG22874" s="256"/>
    </row>
    <row r="22875" spans="104:111">
      <c r="CZ22875" s="256"/>
      <c r="DG22875" s="256"/>
    </row>
    <row r="22876" spans="104:111">
      <c r="CZ22876" s="256"/>
      <c r="DG22876" s="256"/>
    </row>
    <row r="22877" spans="104:111">
      <c r="CZ22877" s="256"/>
      <c r="DG22877" s="256"/>
    </row>
    <row r="22878" spans="104:111">
      <c r="CZ22878" s="256"/>
      <c r="DG22878" s="256"/>
    </row>
    <row r="22879" spans="104:111">
      <c r="CZ22879" s="256"/>
      <c r="DG22879" s="256"/>
    </row>
    <row r="22880" spans="104:111">
      <c r="CZ22880" s="256"/>
      <c r="DG22880" s="256"/>
    </row>
    <row r="22881" spans="104:111">
      <c r="CZ22881" s="256"/>
      <c r="DG22881" s="256"/>
    </row>
    <row r="22882" spans="104:111">
      <c r="CZ22882" s="256"/>
      <c r="DG22882" s="256"/>
    </row>
    <row r="22883" spans="104:111">
      <c r="CZ22883" s="256"/>
      <c r="DG22883" s="256"/>
    </row>
    <row r="22884" spans="104:111">
      <c r="CZ22884" s="256"/>
      <c r="DG22884" s="256"/>
    </row>
    <row r="22885" spans="104:111">
      <c r="CZ22885" s="256"/>
      <c r="DG22885" s="256"/>
    </row>
    <row r="22886" spans="104:111">
      <c r="CZ22886" s="256"/>
      <c r="DG22886" s="256"/>
    </row>
    <row r="22887" spans="104:111">
      <c r="CZ22887" s="256"/>
      <c r="DG22887" s="256"/>
    </row>
    <row r="22888" spans="104:111">
      <c r="CZ22888" s="256"/>
      <c r="DG22888" s="256"/>
    </row>
    <row r="22889" spans="104:111">
      <c r="CZ22889" s="256"/>
      <c r="DG22889" s="256"/>
    </row>
    <row r="22890" spans="104:111">
      <c r="CZ22890" s="256"/>
      <c r="DG22890" s="256"/>
    </row>
    <row r="22891" spans="104:111">
      <c r="CZ22891" s="256"/>
      <c r="DG22891" s="256"/>
    </row>
    <row r="22892" spans="104:111">
      <c r="CZ22892" s="256"/>
      <c r="DG22892" s="256"/>
    </row>
    <row r="22893" spans="104:111">
      <c r="CZ22893" s="256"/>
      <c r="DG22893" s="256"/>
    </row>
    <row r="22894" spans="104:111">
      <c r="CZ22894" s="256"/>
      <c r="DG22894" s="256"/>
    </row>
    <row r="22895" spans="104:111">
      <c r="CZ22895" s="256"/>
      <c r="DG22895" s="256"/>
    </row>
    <row r="22896" spans="104:111">
      <c r="CZ22896" s="256"/>
      <c r="DG22896" s="256"/>
    </row>
    <row r="22897" spans="104:111">
      <c r="CZ22897" s="256"/>
      <c r="DG22897" s="256"/>
    </row>
    <row r="22898" spans="104:111">
      <c r="CZ22898" s="256"/>
      <c r="DG22898" s="256"/>
    </row>
    <row r="22899" spans="104:111">
      <c r="CZ22899" s="256"/>
      <c r="DG22899" s="256"/>
    </row>
    <row r="22900" spans="104:111">
      <c r="CZ22900" s="256"/>
      <c r="DG22900" s="256"/>
    </row>
    <row r="22901" spans="104:111">
      <c r="CZ22901" s="256"/>
      <c r="DG22901" s="256"/>
    </row>
    <row r="22902" spans="104:111">
      <c r="CZ22902" s="256"/>
      <c r="DG22902" s="256"/>
    </row>
    <row r="22903" spans="104:111">
      <c r="CZ22903" s="256"/>
      <c r="DG22903" s="256"/>
    </row>
    <row r="22904" spans="104:111">
      <c r="CZ22904" s="256"/>
      <c r="DG22904" s="256"/>
    </row>
    <row r="22905" spans="104:111">
      <c r="CZ22905" s="256"/>
      <c r="DG22905" s="256"/>
    </row>
    <row r="22906" spans="104:111">
      <c r="CZ22906" s="256"/>
      <c r="DG22906" s="256"/>
    </row>
    <row r="22907" spans="104:111">
      <c r="CZ22907" s="256"/>
      <c r="DG22907" s="256"/>
    </row>
    <row r="22908" spans="104:111">
      <c r="CZ22908" s="256"/>
      <c r="DG22908" s="256"/>
    </row>
    <row r="22909" spans="104:111">
      <c r="CZ22909" s="256"/>
      <c r="DG22909" s="256"/>
    </row>
    <row r="22910" spans="104:111">
      <c r="CZ22910" s="256"/>
      <c r="DG22910" s="256"/>
    </row>
    <row r="22911" spans="104:111">
      <c r="CZ22911" s="256"/>
      <c r="DG22911" s="256"/>
    </row>
    <row r="22912" spans="104:111">
      <c r="CZ22912" s="256"/>
      <c r="DG22912" s="256"/>
    </row>
    <row r="22913" spans="104:111">
      <c r="CZ22913" s="256"/>
      <c r="DG22913" s="256"/>
    </row>
    <row r="22914" spans="104:111">
      <c r="CZ22914" s="256"/>
      <c r="DG22914" s="256"/>
    </row>
    <row r="22915" spans="104:111">
      <c r="CZ22915" s="256"/>
      <c r="DG22915" s="256"/>
    </row>
    <row r="22916" spans="104:111">
      <c r="CZ22916" s="256"/>
      <c r="DG22916" s="256"/>
    </row>
    <row r="22917" spans="104:111">
      <c r="CZ22917" s="256"/>
      <c r="DG22917" s="256"/>
    </row>
    <row r="22918" spans="104:111">
      <c r="CZ22918" s="256"/>
      <c r="DG22918" s="256"/>
    </row>
    <row r="22919" spans="104:111">
      <c r="CZ22919" s="256"/>
      <c r="DG22919" s="256"/>
    </row>
    <row r="22920" spans="104:111">
      <c r="CZ22920" s="256"/>
      <c r="DG22920" s="256"/>
    </row>
    <row r="22921" spans="104:111">
      <c r="CZ22921" s="256"/>
      <c r="DG22921" s="256"/>
    </row>
    <row r="22922" spans="104:111">
      <c r="CZ22922" s="256"/>
      <c r="DG22922" s="256"/>
    </row>
    <row r="22923" spans="104:111">
      <c r="CZ22923" s="256"/>
      <c r="DG22923" s="256"/>
    </row>
    <row r="22924" spans="104:111">
      <c r="CZ22924" s="256"/>
      <c r="DG22924" s="256"/>
    </row>
    <row r="22925" spans="104:111">
      <c r="CZ22925" s="256"/>
      <c r="DG22925" s="256"/>
    </row>
    <row r="22926" spans="104:111">
      <c r="CZ22926" s="256"/>
      <c r="DG22926" s="256"/>
    </row>
    <row r="22927" spans="104:111">
      <c r="CZ22927" s="256"/>
      <c r="DG22927" s="256"/>
    </row>
    <row r="22928" spans="104:111">
      <c r="CZ22928" s="256"/>
      <c r="DG22928" s="256"/>
    </row>
    <row r="22929" spans="104:111">
      <c r="CZ22929" s="256"/>
      <c r="DG22929" s="256"/>
    </row>
    <row r="22930" spans="104:111">
      <c r="CZ22930" s="256"/>
      <c r="DG22930" s="256"/>
    </row>
    <row r="22931" spans="104:111">
      <c r="CZ22931" s="256"/>
      <c r="DG22931" s="256"/>
    </row>
    <row r="22932" spans="104:111">
      <c r="CZ22932" s="256"/>
      <c r="DG22932" s="256"/>
    </row>
    <row r="22933" spans="104:111">
      <c r="CZ22933" s="256"/>
      <c r="DG22933" s="256"/>
    </row>
    <row r="22934" spans="104:111">
      <c r="CZ22934" s="256"/>
      <c r="DG22934" s="256"/>
    </row>
    <row r="22935" spans="104:111">
      <c r="CZ22935" s="256"/>
      <c r="DG22935" s="256"/>
    </row>
    <row r="22936" spans="104:111">
      <c r="CZ22936" s="256"/>
      <c r="DG22936" s="256"/>
    </row>
    <row r="22937" spans="104:111">
      <c r="CZ22937" s="256"/>
      <c r="DG22937" s="256"/>
    </row>
    <row r="22938" spans="104:111">
      <c r="CZ22938" s="256"/>
      <c r="DG22938" s="256"/>
    </row>
    <row r="22939" spans="104:111">
      <c r="CZ22939" s="256"/>
      <c r="DG22939" s="256"/>
    </row>
    <row r="22940" spans="104:111">
      <c r="CZ22940" s="256"/>
      <c r="DG22940" s="256"/>
    </row>
    <row r="22941" spans="104:111">
      <c r="CZ22941" s="256"/>
      <c r="DG22941" s="256"/>
    </row>
    <row r="22942" spans="104:111">
      <c r="CZ22942" s="256"/>
      <c r="DG22942" s="256"/>
    </row>
    <row r="22943" spans="104:111">
      <c r="CZ22943" s="256"/>
      <c r="DG22943" s="256"/>
    </row>
    <row r="22944" spans="104:111">
      <c r="CZ22944" s="256"/>
      <c r="DG22944" s="256"/>
    </row>
    <row r="22945" spans="104:111">
      <c r="CZ22945" s="256"/>
      <c r="DG22945" s="256"/>
    </row>
    <row r="22946" spans="104:111">
      <c r="CZ22946" s="256"/>
      <c r="DG22946" s="256"/>
    </row>
    <row r="22947" spans="104:111">
      <c r="CZ22947" s="256"/>
      <c r="DG22947" s="256"/>
    </row>
    <row r="22948" spans="104:111">
      <c r="CZ22948" s="256"/>
      <c r="DG22948" s="256"/>
    </row>
    <row r="22949" spans="104:111">
      <c r="CZ22949" s="256"/>
      <c r="DG22949" s="256"/>
    </row>
    <row r="22950" spans="104:111">
      <c r="CZ22950" s="256"/>
      <c r="DG22950" s="256"/>
    </row>
    <row r="22951" spans="104:111">
      <c r="CZ22951" s="256"/>
      <c r="DG22951" s="256"/>
    </row>
    <row r="22952" spans="104:111">
      <c r="CZ22952" s="256"/>
      <c r="DG22952" s="256"/>
    </row>
    <row r="22953" spans="104:111">
      <c r="CZ22953" s="256"/>
      <c r="DG22953" s="256"/>
    </row>
    <row r="22954" spans="104:111">
      <c r="CZ22954" s="256"/>
      <c r="DG22954" s="256"/>
    </row>
    <row r="22955" spans="104:111">
      <c r="CZ22955" s="256"/>
      <c r="DG22955" s="256"/>
    </row>
    <row r="22956" spans="104:111">
      <c r="CZ22956" s="256"/>
      <c r="DG22956" s="256"/>
    </row>
    <row r="22957" spans="104:111">
      <c r="CZ22957" s="256"/>
      <c r="DG22957" s="256"/>
    </row>
    <row r="22958" spans="104:111">
      <c r="CZ22958" s="256"/>
      <c r="DG22958" s="256"/>
    </row>
    <row r="22959" spans="104:111">
      <c r="CZ22959" s="256"/>
      <c r="DG22959" s="256"/>
    </row>
    <row r="22960" spans="104:111">
      <c r="CZ22960" s="256"/>
      <c r="DG22960" s="256"/>
    </row>
    <row r="22961" spans="104:111">
      <c r="CZ22961" s="256"/>
      <c r="DG22961" s="256"/>
    </row>
    <row r="22962" spans="104:111">
      <c r="CZ22962" s="256"/>
      <c r="DG22962" s="256"/>
    </row>
    <row r="22963" spans="104:111">
      <c r="CZ22963" s="256"/>
      <c r="DG22963" s="256"/>
    </row>
    <row r="22964" spans="104:111">
      <c r="CZ22964" s="256"/>
      <c r="DG22964" s="256"/>
    </row>
    <row r="22965" spans="104:111">
      <c r="CZ22965" s="256"/>
      <c r="DG22965" s="256"/>
    </row>
    <row r="22966" spans="104:111">
      <c r="CZ22966" s="256"/>
      <c r="DG22966" s="256"/>
    </row>
    <row r="22967" spans="104:111">
      <c r="CZ22967" s="256"/>
      <c r="DG22967" s="256"/>
    </row>
    <row r="22968" spans="104:111">
      <c r="CZ22968" s="256"/>
      <c r="DG22968" s="256"/>
    </row>
    <row r="22969" spans="104:111">
      <c r="CZ22969" s="256"/>
      <c r="DG22969" s="256"/>
    </row>
    <row r="22970" spans="104:111">
      <c r="CZ22970" s="256"/>
      <c r="DG22970" s="256"/>
    </row>
    <row r="22971" spans="104:111">
      <c r="CZ22971" s="256"/>
      <c r="DG22971" s="256"/>
    </row>
    <row r="22972" spans="104:111">
      <c r="CZ22972" s="256"/>
      <c r="DG22972" s="256"/>
    </row>
    <row r="22973" spans="104:111">
      <c r="CZ22973" s="256"/>
      <c r="DG22973" s="256"/>
    </row>
    <row r="22974" spans="104:111">
      <c r="CZ22974" s="256"/>
      <c r="DG22974" s="256"/>
    </row>
    <row r="22975" spans="104:111">
      <c r="CZ22975" s="256"/>
      <c r="DG22975" s="256"/>
    </row>
    <row r="22976" spans="104:111">
      <c r="CZ22976" s="256"/>
      <c r="DG22976" s="256"/>
    </row>
    <row r="22977" spans="104:111">
      <c r="CZ22977" s="256"/>
      <c r="DG22977" s="256"/>
    </row>
    <row r="22978" spans="104:111">
      <c r="CZ22978" s="256"/>
      <c r="DG22978" s="256"/>
    </row>
    <row r="22979" spans="104:111">
      <c r="CZ22979" s="256"/>
      <c r="DG22979" s="256"/>
    </row>
    <row r="22980" spans="104:111">
      <c r="CZ22980" s="256"/>
      <c r="DG22980" s="256"/>
    </row>
    <row r="22981" spans="104:111">
      <c r="CZ22981" s="256"/>
      <c r="DG22981" s="256"/>
    </row>
    <row r="22982" spans="104:111">
      <c r="CZ22982" s="256"/>
      <c r="DG22982" s="256"/>
    </row>
    <row r="22983" spans="104:111">
      <c r="CZ22983" s="256"/>
      <c r="DG22983" s="256"/>
    </row>
    <row r="22984" spans="104:111">
      <c r="CZ22984" s="256"/>
      <c r="DG22984" s="256"/>
    </row>
    <row r="22985" spans="104:111">
      <c r="CZ22985" s="256"/>
      <c r="DG22985" s="256"/>
    </row>
    <row r="22986" spans="104:111">
      <c r="CZ22986" s="256"/>
      <c r="DG22986" s="256"/>
    </row>
    <row r="22987" spans="104:111">
      <c r="CZ22987" s="256"/>
      <c r="DG22987" s="256"/>
    </row>
    <row r="22988" spans="104:111">
      <c r="CZ22988" s="256"/>
      <c r="DG22988" s="256"/>
    </row>
    <row r="22989" spans="104:111">
      <c r="CZ22989" s="256"/>
      <c r="DG22989" s="256"/>
    </row>
    <row r="22990" spans="104:111">
      <c r="CZ22990" s="256"/>
      <c r="DG22990" s="256"/>
    </row>
    <row r="22991" spans="104:111">
      <c r="CZ22991" s="256"/>
      <c r="DG22991" s="256"/>
    </row>
    <row r="22992" spans="104:111">
      <c r="CZ22992" s="256"/>
      <c r="DG22992" s="256"/>
    </row>
    <row r="22993" spans="104:111">
      <c r="CZ22993" s="256"/>
      <c r="DG22993" s="256"/>
    </row>
    <row r="22994" spans="104:111">
      <c r="CZ22994" s="256"/>
      <c r="DG22994" s="256"/>
    </row>
    <row r="22995" spans="104:111">
      <c r="CZ22995" s="256"/>
      <c r="DG22995" s="256"/>
    </row>
    <row r="22996" spans="104:111">
      <c r="CZ22996" s="256"/>
      <c r="DG22996" s="256"/>
    </row>
    <row r="22997" spans="104:111">
      <c r="CZ22997" s="256"/>
      <c r="DG22997" s="256"/>
    </row>
    <row r="22998" spans="104:111">
      <c r="CZ22998" s="256"/>
      <c r="DG22998" s="256"/>
    </row>
    <row r="22999" spans="104:111">
      <c r="CZ22999" s="256"/>
      <c r="DG22999" s="256"/>
    </row>
    <row r="23000" spans="104:111">
      <c r="CZ23000" s="256"/>
      <c r="DG23000" s="256"/>
    </row>
    <row r="23001" spans="104:111">
      <c r="CZ23001" s="256"/>
      <c r="DG23001" s="256"/>
    </row>
    <row r="23002" spans="104:111">
      <c r="CZ23002" s="256"/>
      <c r="DG23002" s="256"/>
    </row>
    <row r="23003" spans="104:111">
      <c r="CZ23003" s="256"/>
      <c r="DG23003" s="256"/>
    </row>
    <row r="23004" spans="104:111">
      <c r="CZ23004" s="256"/>
      <c r="DG23004" s="256"/>
    </row>
    <row r="23005" spans="104:111">
      <c r="CZ23005" s="256"/>
      <c r="DG23005" s="256"/>
    </row>
    <row r="23006" spans="104:111">
      <c r="CZ23006" s="256"/>
      <c r="DG23006" s="256"/>
    </row>
    <row r="23007" spans="104:111">
      <c r="CZ23007" s="256"/>
      <c r="DG23007" s="256"/>
    </row>
    <row r="23008" spans="104:111">
      <c r="CZ23008" s="256"/>
      <c r="DG23008" s="256"/>
    </row>
    <row r="23009" spans="104:111">
      <c r="CZ23009" s="256"/>
      <c r="DG23009" s="256"/>
    </row>
    <row r="23010" spans="104:111">
      <c r="CZ23010" s="256"/>
      <c r="DG23010" s="256"/>
    </row>
    <row r="23011" spans="104:111">
      <c r="CZ23011" s="256"/>
      <c r="DG23011" s="256"/>
    </row>
    <row r="23012" spans="104:111">
      <c r="CZ23012" s="256"/>
      <c r="DG23012" s="256"/>
    </row>
    <row r="23013" spans="104:111">
      <c r="CZ23013" s="256"/>
      <c r="DG23013" s="256"/>
    </row>
    <row r="23014" spans="104:111">
      <c r="CZ23014" s="256"/>
      <c r="DG23014" s="256"/>
    </row>
    <row r="23015" spans="104:111">
      <c r="CZ23015" s="256"/>
      <c r="DG23015" s="256"/>
    </row>
    <row r="23016" spans="104:111">
      <c r="CZ23016" s="256"/>
      <c r="DG23016" s="256"/>
    </row>
    <row r="23017" spans="104:111">
      <c r="CZ23017" s="256"/>
      <c r="DG23017" s="256"/>
    </row>
    <row r="23018" spans="104:111">
      <c r="CZ23018" s="256"/>
      <c r="DG23018" s="256"/>
    </row>
    <row r="23019" spans="104:111">
      <c r="CZ23019" s="256"/>
      <c r="DG23019" s="256"/>
    </row>
    <row r="23020" spans="104:111">
      <c r="CZ23020" s="256"/>
      <c r="DG23020" s="256"/>
    </row>
    <row r="23021" spans="104:111">
      <c r="CZ23021" s="256"/>
      <c r="DG23021" s="256"/>
    </row>
    <row r="23022" spans="104:111">
      <c r="CZ23022" s="256"/>
      <c r="DG23022" s="256"/>
    </row>
    <row r="23023" spans="104:111">
      <c r="CZ23023" s="256"/>
      <c r="DG23023" s="256"/>
    </row>
    <row r="23024" spans="104:111">
      <c r="CZ23024" s="256"/>
      <c r="DG23024" s="256"/>
    </row>
    <row r="23025" spans="104:111">
      <c r="CZ23025" s="256"/>
      <c r="DG23025" s="256"/>
    </row>
    <row r="23026" spans="104:111">
      <c r="CZ23026" s="256"/>
      <c r="DG23026" s="256"/>
    </row>
    <row r="23027" spans="104:111">
      <c r="CZ23027" s="256"/>
      <c r="DG23027" s="256"/>
    </row>
    <row r="23028" spans="104:111">
      <c r="CZ23028" s="256"/>
      <c r="DG23028" s="256"/>
    </row>
    <row r="23029" spans="104:111">
      <c r="CZ23029" s="256"/>
      <c r="DG23029" s="256"/>
    </row>
    <row r="23030" spans="104:111">
      <c r="CZ23030" s="256"/>
      <c r="DG23030" s="256"/>
    </row>
    <row r="23031" spans="104:111">
      <c r="CZ23031" s="256"/>
      <c r="DG23031" s="256"/>
    </row>
    <row r="23032" spans="104:111">
      <c r="CZ23032" s="256"/>
      <c r="DG23032" s="256"/>
    </row>
    <row r="23033" spans="104:111">
      <c r="CZ23033" s="256"/>
      <c r="DG23033" s="256"/>
    </row>
    <row r="23034" spans="104:111">
      <c r="CZ23034" s="256"/>
      <c r="DG23034" s="256"/>
    </row>
    <row r="23035" spans="104:111">
      <c r="CZ23035" s="256"/>
      <c r="DG23035" s="256"/>
    </row>
    <row r="23036" spans="104:111">
      <c r="CZ23036" s="256"/>
      <c r="DG23036" s="256"/>
    </row>
    <row r="23037" spans="104:111">
      <c r="CZ23037" s="256"/>
      <c r="DG23037" s="256"/>
    </row>
    <row r="23038" spans="104:111">
      <c r="CZ23038" s="256"/>
      <c r="DG23038" s="256"/>
    </row>
    <row r="23039" spans="104:111">
      <c r="CZ23039" s="256"/>
      <c r="DG23039" s="256"/>
    </row>
    <row r="23040" spans="104:111">
      <c r="CZ23040" s="256"/>
      <c r="DG23040" s="256"/>
    </row>
    <row r="23041" spans="104:111">
      <c r="CZ23041" s="256"/>
      <c r="DG23041" s="256"/>
    </row>
    <row r="23042" spans="104:111">
      <c r="CZ23042" s="256"/>
      <c r="DG23042" s="256"/>
    </row>
    <row r="23043" spans="104:111">
      <c r="CZ23043" s="256"/>
      <c r="DG23043" s="256"/>
    </row>
    <row r="23044" spans="104:111">
      <c r="CZ23044" s="256"/>
      <c r="DG23044" s="256"/>
    </row>
    <row r="23045" spans="104:111">
      <c r="CZ23045" s="256"/>
      <c r="DG23045" s="256"/>
    </row>
    <row r="23046" spans="104:111">
      <c r="CZ23046" s="256"/>
      <c r="DG23046" s="256"/>
    </row>
    <row r="23047" spans="104:111">
      <c r="CZ23047" s="256"/>
      <c r="DG23047" s="256"/>
    </row>
    <row r="23048" spans="104:111">
      <c r="CZ23048" s="256"/>
      <c r="DG23048" s="256"/>
    </row>
    <row r="23049" spans="104:111">
      <c r="CZ23049" s="256"/>
      <c r="DG23049" s="256"/>
    </row>
    <row r="23050" spans="104:111">
      <c r="CZ23050" s="256"/>
      <c r="DG23050" s="256"/>
    </row>
    <row r="23051" spans="104:111">
      <c r="CZ23051" s="256"/>
      <c r="DG23051" s="256"/>
    </row>
    <row r="23052" spans="104:111">
      <c r="CZ23052" s="256"/>
      <c r="DG23052" s="256"/>
    </row>
    <row r="23053" spans="104:111">
      <c r="CZ23053" s="256"/>
      <c r="DG23053" s="256"/>
    </row>
    <row r="23054" spans="104:111">
      <c r="CZ23054" s="256"/>
      <c r="DG23054" s="256"/>
    </row>
    <row r="23055" spans="104:111">
      <c r="CZ23055" s="256"/>
      <c r="DG23055" s="256"/>
    </row>
    <row r="23056" spans="104:111">
      <c r="CZ23056" s="256"/>
      <c r="DG23056" s="256"/>
    </row>
    <row r="23057" spans="104:111">
      <c r="CZ23057" s="256"/>
      <c r="DG23057" s="256"/>
    </row>
    <row r="23058" spans="104:111">
      <c r="CZ23058" s="256"/>
      <c r="DG23058" s="256"/>
    </row>
    <row r="23059" spans="104:111">
      <c r="CZ23059" s="256"/>
      <c r="DG23059" s="256"/>
    </row>
    <row r="23060" spans="104:111">
      <c r="CZ23060" s="256"/>
      <c r="DG23060" s="256"/>
    </row>
    <row r="23061" spans="104:111">
      <c r="CZ23061" s="256"/>
      <c r="DG23061" s="256"/>
    </row>
    <row r="23062" spans="104:111">
      <c r="CZ23062" s="256"/>
      <c r="DG23062" s="256"/>
    </row>
    <row r="23063" spans="104:111">
      <c r="CZ23063" s="256"/>
      <c r="DG23063" s="256"/>
    </row>
    <row r="23064" spans="104:111">
      <c r="CZ23064" s="256"/>
      <c r="DG23064" s="256"/>
    </row>
    <row r="23065" spans="104:111">
      <c r="CZ23065" s="256"/>
      <c r="DG23065" s="256"/>
    </row>
    <row r="23066" spans="104:111">
      <c r="CZ23066" s="256"/>
      <c r="DG23066" s="256"/>
    </row>
    <row r="23067" spans="104:111">
      <c r="CZ23067" s="256"/>
      <c r="DG23067" s="256"/>
    </row>
    <row r="23068" spans="104:111">
      <c r="CZ23068" s="256"/>
      <c r="DG23068" s="256"/>
    </row>
    <row r="23069" spans="104:111">
      <c r="CZ23069" s="256"/>
      <c r="DG23069" s="256"/>
    </row>
    <row r="23070" spans="104:111">
      <c r="CZ23070" s="256"/>
      <c r="DG23070" s="256"/>
    </row>
    <row r="23071" spans="104:111">
      <c r="CZ23071" s="256"/>
      <c r="DG23071" s="256"/>
    </row>
    <row r="23072" spans="104:111">
      <c r="CZ23072" s="256"/>
      <c r="DG23072" s="256"/>
    </row>
    <row r="23073" spans="104:111">
      <c r="CZ23073" s="256"/>
      <c r="DG23073" s="256"/>
    </row>
    <row r="23074" spans="104:111">
      <c r="CZ23074" s="256"/>
      <c r="DG23074" s="256"/>
    </row>
    <row r="23075" spans="104:111">
      <c r="CZ23075" s="256"/>
      <c r="DG23075" s="256"/>
    </row>
    <row r="23076" spans="104:111">
      <c r="CZ23076" s="256"/>
      <c r="DG23076" s="256"/>
    </row>
    <row r="23077" spans="104:111">
      <c r="CZ23077" s="256"/>
      <c r="DG23077" s="256"/>
    </row>
    <row r="23078" spans="104:111">
      <c r="CZ23078" s="256"/>
      <c r="DG23078" s="256"/>
    </row>
    <row r="23079" spans="104:111">
      <c r="CZ23079" s="256"/>
      <c r="DG23079" s="256"/>
    </row>
    <row r="23080" spans="104:111">
      <c r="CZ23080" s="256"/>
      <c r="DG23080" s="256"/>
    </row>
    <row r="23081" spans="104:111">
      <c r="CZ23081" s="256"/>
      <c r="DG23081" s="256"/>
    </row>
    <row r="23082" spans="104:111">
      <c r="CZ23082" s="256"/>
      <c r="DG23082" s="256"/>
    </row>
    <row r="23083" spans="104:111">
      <c r="CZ23083" s="256"/>
      <c r="DG23083" s="256"/>
    </row>
    <row r="23084" spans="104:111">
      <c r="CZ23084" s="256"/>
      <c r="DG23084" s="256"/>
    </row>
    <row r="23085" spans="104:111">
      <c r="CZ23085" s="256"/>
      <c r="DG23085" s="256"/>
    </row>
    <row r="23086" spans="104:111">
      <c r="CZ23086" s="256"/>
      <c r="DG23086" s="256"/>
    </row>
    <row r="23087" spans="104:111">
      <c r="CZ23087" s="256"/>
      <c r="DG23087" s="256"/>
    </row>
    <row r="23088" spans="104:111">
      <c r="CZ23088" s="256"/>
      <c r="DG23088" s="256"/>
    </row>
    <row r="23089" spans="104:111">
      <c r="CZ23089" s="256"/>
      <c r="DG23089" s="256"/>
    </row>
    <row r="23090" spans="104:111">
      <c r="CZ23090" s="256"/>
      <c r="DG23090" s="256"/>
    </row>
    <row r="23091" spans="104:111">
      <c r="CZ23091" s="256"/>
      <c r="DG23091" s="256"/>
    </row>
    <row r="23092" spans="104:111">
      <c r="CZ23092" s="256"/>
      <c r="DG23092" s="256"/>
    </row>
    <row r="23093" spans="104:111">
      <c r="CZ23093" s="256"/>
      <c r="DG23093" s="256"/>
    </row>
    <row r="23094" spans="104:111">
      <c r="CZ23094" s="256"/>
      <c r="DG23094" s="256"/>
    </row>
    <row r="23095" spans="104:111">
      <c r="CZ23095" s="256"/>
      <c r="DG23095" s="256"/>
    </row>
    <row r="23096" spans="104:111">
      <c r="CZ23096" s="256"/>
      <c r="DG23096" s="256"/>
    </row>
    <row r="23097" spans="104:111">
      <c r="CZ23097" s="256"/>
      <c r="DG23097" s="256"/>
    </row>
    <row r="23098" spans="104:111">
      <c r="CZ23098" s="256"/>
      <c r="DG23098" s="256"/>
    </row>
    <row r="23099" spans="104:111">
      <c r="CZ23099" s="256"/>
      <c r="DG23099" s="256"/>
    </row>
    <row r="23100" spans="104:111">
      <c r="CZ23100" s="256"/>
      <c r="DG23100" s="256"/>
    </row>
    <row r="23101" spans="104:111">
      <c r="CZ23101" s="256"/>
      <c r="DG23101" s="256"/>
    </row>
    <row r="23102" spans="104:111">
      <c r="CZ23102" s="256"/>
      <c r="DG23102" s="256"/>
    </row>
    <row r="23103" spans="104:111">
      <c r="CZ23103" s="256"/>
      <c r="DG23103" s="256"/>
    </row>
    <row r="23104" spans="104:111">
      <c r="CZ23104" s="256"/>
      <c r="DG23104" s="256"/>
    </row>
    <row r="23105" spans="104:111">
      <c r="CZ23105" s="256"/>
      <c r="DG23105" s="256"/>
    </row>
    <row r="23106" spans="104:111">
      <c r="CZ23106" s="256"/>
      <c r="DG23106" s="256"/>
    </row>
    <row r="23107" spans="104:111">
      <c r="CZ23107" s="256"/>
      <c r="DG23107" s="256"/>
    </row>
    <row r="23108" spans="104:111">
      <c r="CZ23108" s="256"/>
      <c r="DG23108" s="256"/>
    </row>
    <row r="23109" spans="104:111">
      <c r="CZ23109" s="256"/>
      <c r="DG23109" s="256"/>
    </row>
    <row r="23110" spans="104:111">
      <c r="CZ23110" s="256"/>
      <c r="DG23110" s="256"/>
    </row>
    <row r="23111" spans="104:111">
      <c r="CZ23111" s="256"/>
      <c r="DG23111" s="256"/>
    </row>
    <row r="23112" spans="104:111">
      <c r="CZ23112" s="256"/>
      <c r="DG23112" s="256"/>
    </row>
    <row r="23113" spans="104:111">
      <c r="CZ23113" s="256"/>
      <c r="DG23113" s="256"/>
    </row>
    <row r="23114" spans="104:111">
      <c r="CZ23114" s="256"/>
      <c r="DG23114" s="256"/>
    </row>
    <row r="23115" spans="104:111">
      <c r="CZ23115" s="256"/>
      <c r="DG23115" s="256"/>
    </row>
    <row r="23116" spans="104:111">
      <c r="CZ23116" s="256"/>
      <c r="DG23116" s="256"/>
    </row>
    <row r="23117" spans="104:111">
      <c r="CZ23117" s="256"/>
      <c r="DG23117" s="256"/>
    </row>
    <row r="23118" spans="104:111">
      <c r="CZ23118" s="256"/>
      <c r="DG23118" s="256"/>
    </row>
    <row r="23119" spans="104:111">
      <c r="CZ23119" s="256"/>
      <c r="DG23119" s="256"/>
    </row>
    <row r="23120" spans="104:111">
      <c r="CZ23120" s="256"/>
      <c r="DG23120" s="256"/>
    </row>
    <row r="23121" spans="104:111">
      <c r="CZ23121" s="256"/>
      <c r="DG23121" s="256"/>
    </row>
    <row r="23122" spans="104:111">
      <c r="CZ23122" s="256"/>
      <c r="DG23122" s="256"/>
    </row>
    <row r="23123" spans="104:111">
      <c r="CZ23123" s="256"/>
      <c r="DG23123" s="256"/>
    </row>
    <row r="23124" spans="104:111">
      <c r="CZ23124" s="256"/>
      <c r="DG23124" s="256"/>
    </row>
    <row r="23125" spans="104:111">
      <c r="CZ23125" s="256"/>
      <c r="DG23125" s="256"/>
    </row>
    <row r="23126" spans="104:111">
      <c r="CZ23126" s="256"/>
      <c r="DG23126" s="256"/>
    </row>
    <row r="23127" spans="104:111">
      <c r="CZ23127" s="256"/>
      <c r="DG23127" s="256"/>
    </row>
    <row r="23128" spans="104:111">
      <c r="CZ23128" s="256"/>
      <c r="DG23128" s="256"/>
    </row>
    <row r="23129" spans="104:111">
      <c r="CZ23129" s="256"/>
      <c r="DG23129" s="256"/>
    </row>
    <row r="23130" spans="104:111">
      <c r="CZ23130" s="256"/>
      <c r="DG23130" s="256"/>
    </row>
    <row r="23131" spans="104:111">
      <c r="CZ23131" s="256"/>
      <c r="DG23131" s="256"/>
    </row>
    <row r="23132" spans="104:111">
      <c r="CZ23132" s="256"/>
      <c r="DG23132" s="256"/>
    </row>
    <row r="23133" spans="104:111">
      <c r="CZ23133" s="256"/>
      <c r="DG23133" s="256"/>
    </row>
    <row r="23134" spans="104:111">
      <c r="CZ23134" s="256"/>
      <c r="DG23134" s="256"/>
    </row>
    <row r="23135" spans="104:111">
      <c r="CZ23135" s="256"/>
      <c r="DG23135" s="256"/>
    </row>
    <row r="23136" spans="104:111">
      <c r="CZ23136" s="256"/>
      <c r="DG23136" s="256"/>
    </row>
    <row r="23137" spans="104:111">
      <c r="CZ23137" s="256"/>
      <c r="DG23137" s="256"/>
    </row>
    <row r="23138" spans="104:111">
      <c r="CZ23138" s="256"/>
      <c r="DG23138" s="256"/>
    </row>
    <row r="23139" spans="104:111">
      <c r="CZ23139" s="256"/>
      <c r="DG23139" s="256"/>
    </row>
    <row r="23140" spans="104:111">
      <c r="CZ23140" s="256"/>
      <c r="DG23140" s="256"/>
    </row>
    <row r="23141" spans="104:111">
      <c r="CZ23141" s="256"/>
      <c r="DG23141" s="256"/>
    </row>
    <row r="23142" spans="104:111">
      <c r="CZ23142" s="256"/>
      <c r="DG23142" s="256"/>
    </row>
    <row r="23143" spans="104:111">
      <c r="CZ23143" s="256"/>
      <c r="DG23143" s="256"/>
    </row>
    <row r="23144" spans="104:111">
      <c r="CZ23144" s="256"/>
      <c r="DG23144" s="256"/>
    </row>
    <row r="23145" spans="104:111">
      <c r="CZ23145" s="256"/>
      <c r="DG23145" s="256"/>
    </row>
    <row r="23146" spans="104:111">
      <c r="CZ23146" s="256"/>
      <c r="DG23146" s="256"/>
    </row>
    <row r="23147" spans="104:111">
      <c r="CZ23147" s="256"/>
      <c r="DG23147" s="256"/>
    </row>
    <row r="23148" spans="104:111">
      <c r="CZ23148" s="256"/>
      <c r="DG23148" s="256"/>
    </row>
    <row r="23149" spans="104:111">
      <c r="CZ23149" s="256"/>
      <c r="DG23149" s="256"/>
    </row>
    <row r="23150" spans="104:111">
      <c r="CZ23150" s="256"/>
      <c r="DG23150" s="256"/>
    </row>
    <row r="23151" spans="104:111">
      <c r="CZ23151" s="256"/>
      <c r="DG23151" s="256"/>
    </row>
    <row r="23152" spans="104:111">
      <c r="CZ23152" s="256"/>
      <c r="DG23152" s="256"/>
    </row>
    <row r="23153" spans="104:111">
      <c r="CZ23153" s="256"/>
      <c r="DG23153" s="256"/>
    </row>
    <row r="23154" spans="104:111">
      <c r="CZ23154" s="256"/>
      <c r="DG23154" s="256"/>
    </row>
    <row r="23155" spans="104:111">
      <c r="CZ23155" s="256"/>
      <c r="DG23155" s="256"/>
    </row>
    <row r="23156" spans="104:111">
      <c r="CZ23156" s="256"/>
      <c r="DG23156" s="256"/>
    </row>
    <row r="23157" spans="104:111">
      <c r="CZ23157" s="256"/>
      <c r="DG23157" s="256"/>
    </row>
    <row r="23158" spans="104:111">
      <c r="CZ23158" s="256"/>
      <c r="DG23158" s="256"/>
    </row>
    <row r="23159" spans="104:111">
      <c r="CZ23159" s="256"/>
      <c r="DG23159" s="256"/>
    </row>
    <row r="23160" spans="104:111">
      <c r="CZ23160" s="256"/>
      <c r="DG23160" s="256"/>
    </row>
    <row r="23161" spans="104:111">
      <c r="CZ23161" s="256"/>
      <c r="DG23161" s="256"/>
    </row>
    <row r="23162" spans="104:111">
      <c r="CZ23162" s="256"/>
      <c r="DG23162" s="256"/>
    </row>
    <row r="23163" spans="104:111">
      <c r="CZ23163" s="256"/>
      <c r="DG23163" s="256"/>
    </row>
    <row r="23164" spans="104:111">
      <c r="CZ23164" s="256"/>
      <c r="DG23164" s="256"/>
    </row>
    <row r="23165" spans="104:111">
      <c r="CZ23165" s="256"/>
      <c r="DG23165" s="256"/>
    </row>
    <row r="23166" spans="104:111">
      <c r="CZ23166" s="256"/>
      <c r="DG23166" s="256"/>
    </row>
    <row r="23167" spans="104:111">
      <c r="CZ23167" s="256"/>
      <c r="DG23167" s="256"/>
    </row>
    <row r="23168" spans="104:111">
      <c r="CZ23168" s="256"/>
      <c r="DG23168" s="256"/>
    </row>
    <row r="23169" spans="104:111">
      <c r="CZ23169" s="256"/>
      <c r="DG23169" s="256"/>
    </row>
    <row r="23170" spans="104:111">
      <c r="CZ23170" s="256"/>
      <c r="DG23170" s="256"/>
    </row>
    <row r="23171" spans="104:111">
      <c r="CZ23171" s="256"/>
      <c r="DG23171" s="256"/>
    </row>
    <row r="23172" spans="104:111">
      <c r="CZ23172" s="256"/>
      <c r="DG23172" s="256"/>
    </row>
    <row r="23173" spans="104:111">
      <c r="CZ23173" s="256"/>
      <c r="DG23173" s="256"/>
    </row>
    <row r="23174" spans="104:111">
      <c r="CZ23174" s="256"/>
      <c r="DG23174" s="256"/>
    </row>
    <row r="23175" spans="104:111">
      <c r="CZ23175" s="256"/>
      <c r="DG23175" s="256"/>
    </row>
    <row r="23176" spans="104:111">
      <c r="CZ23176" s="256"/>
      <c r="DG23176" s="256"/>
    </row>
    <row r="23177" spans="104:111">
      <c r="CZ23177" s="256"/>
      <c r="DG23177" s="256"/>
    </row>
    <row r="23178" spans="104:111">
      <c r="CZ23178" s="256"/>
      <c r="DG23178" s="256"/>
    </row>
    <row r="23179" spans="104:111">
      <c r="CZ23179" s="256"/>
      <c r="DG23179" s="256"/>
    </row>
    <row r="23180" spans="104:111">
      <c r="CZ23180" s="256"/>
      <c r="DG23180" s="256"/>
    </row>
    <row r="23181" spans="104:111">
      <c r="CZ23181" s="256"/>
      <c r="DG23181" s="256"/>
    </row>
    <row r="23182" spans="104:111">
      <c r="CZ23182" s="256"/>
      <c r="DG23182" s="256"/>
    </row>
    <row r="23183" spans="104:111">
      <c r="CZ23183" s="256"/>
      <c r="DG23183" s="256"/>
    </row>
    <row r="23184" spans="104:111">
      <c r="CZ23184" s="256"/>
      <c r="DG23184" s="256"/>
    </row>
    <row r="23185" spans="104:111">
      <c r="CZ23185" s="256"/>
      <c r="DG23185" s="256"/>
    </row>
    <row r="23186" spans="104:111">
      <c r="CZ23186" s="256"/>
      <c r="DG23186" s="256"/>
    </row>
    <row r="23187" spans="104:111">
      <c r="CZ23187" s="256"/>
      <c r="DG23187" s="256"/>
    </row>
    <row r="23188" spans="104:111">
      <c r="CZ23188" s="256"/>
      <c r="DG23188" s="256"/>
    </row>
    <row r="23189" spans="104:111">
      <c r="CZ23189" s="256"/>
      <c r="DG23189" s="256"/>
    </row>
    <row r="23190" spans="104:111">
      <c r="CZ23190" s="256"/>
      <c r="DG23190" s="256"/>
    </row>
    <row r="23191" spans="104:111">
      <c r="CZ23191" s="256"/>
      <c r="DG23191" s="256"/>
    </row>
    <row r="23192" spans="104:111">
      <c r="CZ23192" s="256"/>
      <c r="DG23192" s="256"/>
    </row>
    <row r="23193" spans="104:111">
      <c r="CZ23193" s="256"/>
      <c r="DG23193" s="256"/>
    </row>
    <row r="23194" spans="104:111">
      <c r="CZ23194" s="256"/>
      <c r="DG23194" s="256"/>
    </row>
    <row r="23195" spans="104:111">
      <c r="CZ23195" s="256"/>
      <c r="DG23195" s="256"/>
    </row>
    <row r="23196" spans="104:111">
      <c r="CZ23196" s="256"/>
      <c r="DG23196" s="256"/>
    </row>
    <row r="23197" spans="104:111">
      <c r="CZ23197" s="256"/>
      <c r="DG23197" s="256"/>
    </row>
    <row r="23198" spans="104:111">
      <c r="CZ23198" s="256"/>
      <c r="DG23198" s="256"/>
    </row>
    <row r="23199" spans="104:111">
      <c r="CZ23199" s="256"/>
      <c r="DG23199" s="256"/>
    </row>
    <row r="23200" spans="104:111">
      <c r="CZ23200" s="256"/>
      <c r="DG23200" s="256"/>
    </row>
    <row r="23201" spans="104:111">
      <c r="CZ23201" s="256"/>
      <c r="DG23201" s="256"/>
    </row>
    <row r="23202" spans="104:111">
      <c r="CZ23202" s="256"/>
      <c r="DG23202" s="256"/>
    </row>
    <row r="23203" spans="104:111">
      <c r="CZ23203" s="256"/>
      <c r="DG23203" s="256"/>
    </row>
    <row r="23204" spans="104:111">
      <c r="CZ23204" s="256"/>
      <c r="DG23204" s="256"/>
    </row>
    <row r="23205" spans="104:111">
      <c r="CZ23205" s="256"/>
      <c r="DG23205" s="256"/>
    </row>
    <row r="23206" spans="104:111">
      <c r="CZ23206" s="256"/>
      <c r="DG23206" s="256"/>
    </row>
    <row r="23207" spans="104:111">
      <c r="CZ23207" s="256"/>
      <c r="DG23207" s="256"/>
    </row>
    <row r="23208" spans="104:111">
      <c r="CZ23208" s="256"/>
      <c r="DG23208" s="256"/>
    </row>
    <row r="23209" spans="104:111">
      <c r="CZ23209" s="256"/>
      <c r="DG23209" s="256"/>
    </row>
    <row r="23210" spans="104:111">
      <c r="CZ23210" s="256"/>
      <c r="DG23210" s="256"/>
    </row>
    <row r="23211" spans="104:111">
      <c r="CZ23211" s="256"/>
      <c r="DG23211" s="256"/>
    </row>
    <row r="23212" spans="104:111">
      <c r="CZ23212" s="256"/>
      <c r="DG23212" s="256"/>
    </row>
    <row r="23213" spans="104:111">
      <c r="CZ23213" s="256"/>
      <c r="DG23213" s="256"/>
    </row>
    <row r="23214" spans="104:111">
      <c r="CZ23214" s="256"/>
      <c r="DG23214" s="256"/>
    </row>
    <row r="23215" spans="104:111">
      <c r="CZ23215" s="256"/>
      <c r="DG23215" s="256"/>
    </row>
    <row r="23216" spans="104:111">
      <c r="CZ23216" s="256"/>
      <c r="DG23216" s="256"/>
    </row>
    <row r="23217" spans="104:111">
      <c r="CZ23217" s="256"/>
      <c r="DG23217" s="256"/>
    </row>
    <row r="23218" spans="104:111">
      <c r="CZ23218" s="256"/>
      <c r="DG23218" s="256"/>
    </row>
    <row r="23219" spans="104:111">
      <c r="CZ23219" s="256"/>
      <c r="DG23219" s="256"/>
    </row>
    <row r="23220" spans="104:111">
      <c r="CZ23220" s="256"/>
      <c r="DG23220" s="256"/>
    </row>
    <row r="23221" spans="104:111">
      <c r="CZ23221" s="256"/>
      <c r="DG23221" s="256"/>
    </row>
    <row r="23222" spans="104:111">
      <c r="CZ23222" s="256"/>
      <c r="DG23222" s="256"/>
    </row>
    <row r="23223" spans="104:111">
      <c r="CZ23223" s="256"/>
      <c r="DG23223" s="256"/>
    </row>
    <row r="23224" spans="104:111">
      <c r="CZ23224" s="256"/>
      <c r="DG23224" s="256"/>
    </row>
    <row r="23225" spans="104:111">
      <c r="CZ23225" s="256"/>
      <c r="DG23225" s="256"/>
    </row>
    <row r="23226" spans="104:111">
      <c r="CZ23226" s="256"/>
      <c r="DG23226" s="256"/>
    </row>
    <row r="23227" spans="104:111">
      <c r="CZ23227" s="256"/>
      <c r="DG23227" s="256"/>
    </row>
    <row r="23228" spans="104:111">
      <c r="CZ23228" s="256"/>
      <c r="DG23228" s="256"/>
    </row>
    <row r="23229" spans="104:111">
      <c r="CZ23229" s="256"/>
      <c r="DG23229" s="256"/>
    </row>
    <row r="23230" spans="104:111">
      <c r="CZ23230" s="256"/>
      <c r="DG23230" s="256"/>
    </row>
    <row r="23231" spans="104:111">
      <c r="CZ23231" s="256"/>
      <c r="DG23231" s="256"/>
    </row>
    <row r="23232" spans="104:111">
      <c r="CZ23232" s="256"/>
      <c r="DG23232" s="256"/>
    </row>
    <row r="23233" spans="104:111">
      <c r="CZ23233" s="256"/>
      <c r="DG23233" s="256"/>
    </row>
    <row r="23234" spans="104:111">
      <c r="CZ23234" s="256"/>
      <c r="DG23234" s="256"/>
    </row>
    <row r="23235" spans="104:111">
      <c r="CZ23235" s="256"/>
      <c r="DG23235" s="256"/>
    </row>
    <row r="23236" spans="104:111">
      <c r="CZ23236" s="256"/>
      <c r="DG23236" s="256"/>
    </row>
    <row r="23237" spans="104:111">
      <c r="CZ23237" s="256"/>
      <c r="DG23237" s="256"/>
    </row>
    <row r="23238" spans="104:111">
      <c r="CZ23238" s="256"/>
      <c r="DG23238" s="256"/>
    </row>
    <row r="23239" spans="104:111">
      <c r="CZ23239" s="256"/>
      <c r="DG23239" s="256"/>
    </row>
    <row r="23240" spans="104:111">
      <c r="CZ23240" s="256"/>
      <c r="DG23240" s="256"/>
    </row>
    <row r="23241" spans="104:111">
      <c r="CZ23241" s="256"/>
      <c r="DG23241" s="256"/>
    </row>
    <row r="23242" spans="104:111">
      <c r="CZ23242" s="256"/>
      <c r="DG23242" s="256"/>
    </row>
    <row r="23243" spans="104:111">
      <c r="CZ23243" s="256"/>
      <c r="DG23243" s="256"/>
    </row>
    <row r="23244" spans="104:111">
      <c r="CZ23244" s="256"/>
      <c r="DG23244" s="256"/>
    </row>
    <row r="23245" spans="104:111">
      <c r="CZ23245" s="256"/>
      <c r="DG23245" s="256"/>
    </row>
    <row r="23246" spans="104:111">
      <c r="CZ23246" s="256"/>
      <c r="DG23246" s="256"/>
    </row>
    <row r="23247" spans="104:111">
      <c r="CZ23247" s="256"/>
      <c r="DG23247" s="256"/>
    </row>
    <row r="23248" spans="104:111">
      <c r="CZ23248" s="256"/>
      <c r="DG23248" s="256"/>
    </row>
    <row r="23249" spans="104:111">
      <c r="CZ23249" s="256"/>
      <c r="DG23249" s="256"/>
    </row>
    <row r="23250" spans="104:111">
      <c r="CZ23250" s="256"/>
      <c r="DG23250" s="256"/>
    </row>
    <row r="23251" spans="104:111">
      <c r="CZ23251" s="256"/>
      <c r="DG23251" s="256"/>
    </row>
    <row r="23252" spans="104:111">
      <c r="CZ23252" s="256"/>
      <c r="DG23252" s="256"/>
    </row>
    <row r="23253" spans="104:111">
      <c r="CZ23253" s="256"/>
      <c r="DG23253" s="256"/>
    </row>
    <row r="23254" spans="104:111">
      <c r="CZ23254" s="256"/>
      <c r="DG23254" s="256"/>
    </row>
    <row r="23255" spans="104:111">
      <c r="CZ23255" s="256"/>
      <c r="DG23255" s="256"/>
    </row>
    <row r="23256" spans="104:111">
      <c r="CZ23256" s="256"/>
      <c r="DG23256" s="256"/>
    </row>
    <row r="23257" spans="104:111">
      <c r="CZ23257" s="256"/>
      <c r="DG23257" s="256"/>
    </row>
    <row r="23258" spans="104:111">
      <c r="CZ23258" s="256"/>
      <c r="DG23258" s="256"/>
    </row>
    <row r="23259" spans="104:111">
      <c r="CZ23259" s="256"/>
      <c r="DG23259" s="256"/>
    </row>
    <row r="23260" spans="104:111">
      <c r="CZ23260" s="256"/>
      <c r="DG23260" s="256"/>
    </row>
    <row r="23261" spans="104:111">
      <c r="CZ23261" s="256"/>
      <c r="DG23261" s="256"/>
    </row>
    <row r="23262" spans="104:111">
      <c r="CZ23262" s="256"/>
      <c r="DG23262" s="256"/>
    </row>
    <row r="23263" spans="104:111">
      <c r="CZ23263" s="256"/>
      <c r="DG23263" s="256"/>
    </row>
    <row r="23264" spans="104:111">
      <c r="CZ23264" s="256"/>
      <c r="DG23264" s="256"/>
    </row>
    <row r="23265" spans="104:111">
      <c r="CZ23265" s="256"/>
      <c r="DG23265" s="256"/>
    </row>
    <row r="23266" spans="104:111">
      <c r="CZ23266" s="256"/>
      <c r="DG23266" s="256"/>
    </row>
    <row r="23267" spans="104:111">
      <c r="CZ23267" s="256"/>
      <c r="DG23267" s="256"/>
    </row>
    <row r="23268" spans="104:111">
      <c r="CZ23268" s="256"/>
      <c r="DG23268" s="256"/>
    </row>
    <row r="23269" spans="104:111">
      <c r="CZ23269" s="256"/>
      <c r="DG23269" s="256"/>
    </row>
    <row r="23270" spans="104:111">
      <c r="CZ23270" s="256"/>
      <c r="DG23270" s="256"/>
    </row>
    <row r="23271" spans="104:111">
      <c r="CZ23271" s="256"/>
      <c r="DG23271" s="256"/>
    </row>
    <row r="23272" spans="104:111">
      <c r="CZ23272" s="256"/>
      <c r="DG23272" s="256"/>
    </row>
    <row r="23273" spans="104:111">
      <c r="CZ23273" s="256"/>
      <c r="DG23273" s="256"/>
    </row>
    <row r="23274" spans="104:111">
      <c r="CZ23274" s="256"/>
      <c r="DG23274" s="256"/>
    </row>
    <row r="23275" spans="104:111">
      <c r="CZ23275" s="256"/>
      <c r="DG23275" s="256"/>
    </row>
    <row r="23276" spans="104:111">
      <c r="CZ23276" s="256"/>
      <c r="DG23276" s="256"/>
    </row>
    <row r="23277" spans="104:111">
      <c r="CZ23277" s="256"/>
      <c r="DG23277" s="256"/>
    </row>
    <row r="23278" spans="104:111">
      <c r="CZ23278" s="256"/>
      <c r="DG23278" s="256"/>
    </row>
    <row r="23279" spans="104:111">
      <c r="CZ23279" s="256"/>
      <c r="DG23279" s="256"/>
    </row>
    <row r="23280" spans="104:111">
      <c r="CZ23280" s="256"/>
      <c r="DG23280" s="256"/>
    </row>
    <row r="23281" spans="104:111">
      <c r="CZ23281" s="256"/>
      <c r="DG23281" s="256"/>
    </row>
    <row r="23282" spans="104:111">
      <c r="CZ23282" s="256"/>
      <c r="DG23282" s="256"/>
    </row>
    <row r="23283" spans="104:111">
      <c r="CZ23283" s="256"/>
      <c r="DG23283" s="256"/>
    </row>
    <row r="23284" spans="104:111">
      <c r="CZ23284" s="256"/>
      <c r="DG23284" s="256"/>
    </row>
    <row r="23285" spans="104:111">
      <c r="CZ23285" s="256"/>
      <c r="DG23285" s="256"/>
    </row>
    <row r="23286" spans="104:111">
      <c r="CZ23286" s="256"/>
      <c r="DG23286" s="256"/>
    </row>
    <row r="23287" spans="104:111">
      <c r="CZ23287" s="256"/>
      <c r="DG23287" s="256"/>
    </row>
    <row r="23288" spans="104:111">
      <c r="CZ23288" s="256"/>
      <c r="DG23288" s="256"/>
    </row>
    <row r="23289" spans="104:111">
      <c r="CZ23289" s="256"/>
      <c r="DG23289" s="256"/>
    </row>
    <row r="23290" spans="104:111">
      <c r="CZ23290" s="256"/>
      <c r="DG23290" s="256"/>
    </row>
    <row r="23291" spans="104:111">
      <c r="CZ23291" s="256"/>
      <c r="DG23291" s="256"/>
    </row>
    <row r="23292" spans="104:111">
      <c r="CZ23292" s="256"/>
      <c r="DG23292" s="256"/>
    </row>
    <row r="23293" spans="104:111">
      <c r="CZ23293" s="256"/>
      <c r="DG23293" s="256"/>
    </row>
    <row r="23294" spans="104:111">
      <c r="CZ23294" s="256"/>
      <c r="DG23294" s="256"/>
    </row>
    <row r="23295" spans="104:111">
      <c r="CZ23295" s="256"/>
      <c r="DG23295" s="256"/>
    </row>
    <row r="23296" spans="104:111">
      <c r="CZ23296" s="256"/>
      <c r="DG23296" s="256"/>
    </row>
    <row r="23297" spans="104:111">
      <c r="CZ23297" s="256"/>
      <c r="DG23297" s="256"/>
    </row>
    <row r="23298" spans="104:111">
      <c r="CZ23298" s="256"/>
      <c r="DG23298" s="256"/>
    </row>
    <row r="23299" spans="104:111">
      <c r="CZ23299" s="256"/>
      <c r="DG23299" s="256"/>
    </row>
    <row r="23300" spans="104:111">
      <c r="CZ23300" s="256"/>
      <c r="DG23300" s="256"/>
    </row>
    <row r="23301" spans="104:111">
      <c r="CZ23301" s="256"/>
      <c r="DG23301" s="256"/>
    </row>
    <row r="23302" spans="104:111">
      <c r="CZ23302" s="256"/>
      <c r="DG23302" s="256"/>
    </row>
    <row r="23303" spans="104:111">
      <c r="CZ23303" s="256"/>
      <c r="DG23303" s="256"/>
    </row>
    <row r="23304" spans="104:111">
      <c r="CZ23304" s="256"/>
      <c r="DG23304" s="256"/>
    </row>
    <row r="23305" spans="104:111">
      <c r="CZ23305" s="256"/>
      <c r="DG23305" s="256"/>
    </row>
    <row r="23306" spans="104:111">
      <c r="CZ23306" s="256"/>
      <c r="DG23306" s="256"/>
    </row>
    <row r="23307" spans="104:111">
      <c r="CZ23307" s="256"/>
      <c r="DG23307" s="256"/>
    </row>
    <row r="23308" spans="104:111">
      <c r="CZ23308" s="256"/>
      <c r="DG23308" s="256"/>
    </row>
    <row r="23309" spans="104:111">
      <c r="CZ23309" s="256"/>
      <c r="DG23309" s="256"/>
    </row>
    <row r="23310" spans="104:111">
      <c r="CZ23310" s="256"/>
      <c r="DG23310" s="256"/>
    </row>
    <row r="23311" spans="104:111">
      <c r="CZ23311" s="256"/>
      <c r="DG23311" s="256"/>
    </row>
    <row r="23312" spans="104:111">
      <c r="CZ23312" s="256"/>
      <c r="DG23312" s="256"/>
    </row>
    <row r="23313" spans="104:111">
      <c r="CZ23313" s="256"/>
      <c r="DG23313" s="256"/>
    </row>
    <row r="23314" spans="104:111">
      <c r="CZ23314" s="256"/>
      <c r="DG23314" s="256"/>
    </row>
    <row r="23315" spans="104:111">
      <c r="CZ23315" s="256"/>
      <c r="DG23315" s="256"/>
    </row>
    <row r="23316" spans="104:111">
      <c r="CZ23316" s="256"/>
      <c r="DG23316" s="256"/>
    </row>
    <row r="23317" spans="104:111">
      <c r="CZ23317" s="256"/>
      <c r="DG23317" s="256"/>
    </row>
    <row r="23318" spans="104:111">
      <c r="CZ23318" s="256"/>
      <c r="DG23318" s="256"/>
    </row>
    <row r="23319" spans="104:111">
      <c r="CZ23319" s="256"/>
      <c r="DG23319" s="256"/>
    </row>
    <row r="23320" spans="104:111">
      <c r="CZ23320" s="256"/>
      <c r="DG23320" s="256"/>
    </row>
    <row r="23321" spans="104:111">
      <c r="CZ23321" s="256"/>
      <c r="DG23321" s="256"/>
    </row>
    <row r="23322" spans="104:111">
      <c r="CZ23322" s="256"/>
      <c r="DG23322" s="256"/>
    </row>
    <row r="23323" spans="104:111">
      <c r="CZ23323" s="256"/>
      <c r="DG23323" s="256"/>
    </row>
    <row r="23324" spans="104:111">
      <c r="CZ23324" s="256"/>
      <c r="DG23324" s="256"/>
    </row>
    <row r="23325" spans="104:111">
      <c r="CZ23325" s="256"/>
      <c r="DG23325" s="256"/>
    </row>
    <row r="23326" spans="104:111">
      <c r="CZ23326" s="256"/>
      <c r="DG23326" s="256"/>
    </row>
    <row r="23327" spans="104:111">
      <c r="CZ23327" s="256"/>
      <c r="DG23327" s="256"/>
    </row>
    <row r="23328" spans="104:111">
      <c r="CZ23328" s="256"/>
      <c r="DG23328" s="256"/>
    </row>
    <row r="23329" spans="104:111">
      <c r="CZ23329" s="256"/>
      <c r="DG23329" s="256"/>
    </row>
    <row r="23330" spans="104:111">
      <c r="CZ23330" s="256"/>
      <c r="DG23330" s="256"/>
    </row>
    <row r="23331" spans="104:111">
      <c r="CZ23331" s="256"/>
      <c r="DG23331" s="256"/>
    </row>
    <row r="23332" spans="104:111">
      <c r="CZ23332" s="256"/>
      <c r="DG23332" s="256"/>
    </row>
    <row r="23333" spans="104:111">
      <c r="CZ23333" s="256"/>
      <c r="DG23333" s="256"/>
    </row>
    <row r="23334" spans="104:111">
      <c r="CZ23334" s="256"/>
      <c r="DG23334" s="256"/>
    </row>
    <row r="23335" spans="104:111">
      <c r="CZ23335" s="256"/>
      <c r="DG23335" s="256"/>
    </row>
    <row r="23336" spans="104:111">
      <c r="CZ23336" s="256"/>
      <c r="DG23336" s="256"/>
    </row>
    <row r="23337" spans="104:111">
      <c r="CZ23337" s="256"/>
      <c r="DG23337" s="256"/>
    </row>
    <row r="23338" spans="104:111">
      <c r="CZ23338" s="256"/>
      <c r="DG23338" s="256"/>
    </row>
    <row r="23339" spans="104:111">
      <c r="CZ23339" s="256"/>
      <c r="DG23339" s="256"/>
    </row>
    <row r="23340" spans="104:111">
      <c r="CZ23340" s="256"/>
      <c r="DG23340" s="256"/>
    </row>
    <row r="23341" spans="104:111">
      <c r="CZ23341" s="256"/>
      <c r="DG23341" s="256"/>
    </row>
    <row r="23342" spans="104:111">
      <c r="CZ23342" s="256"/>
      <c r="DG23342" s="256"/>
    </row>
    <row r="23343" spans="104:111">
      <c r="CZ23343" s="256"/>
      <c r="DG23343" s="256"/>
    </row>
    <row r="23344" spans="104:111">
      <c r="CZ23344" s="256"/>
      <c r="DG23344" s="256"/>
    </row>
    <row r="23345" spans="104:111">
      <c r="CZ23345" s="256"/>
      <c r="DG23345" s="256"/>
    </row>
    <row r="23346" spans="104:111">
      <c r="CZ23346" s="256"/>
      <c r="DG23346" s="256"/>
    </row>
    <row r="23347" spans="104:111">
      <c r="CZ23347" s="256"/>
      <c r="DG23347" s="256"/>
    </row>
    <row r="23348" spans="104:111">
      <c r="CZ23348" s="256"/>
      <c r="DG23348" s="256"/>
    </row>
    <row r="23349" spans="104:111">
      <c r="CZ23349" s="256"/>
      <c r="DG23349" s="256"/>
    </row>
    <row r="23350" spans="104:111">
      <c r="CZ23350" s="256"/>
      <c r="DG23350" s="256"/>
    </row>
    <row r="23351" spans="104:111">
      <c r="CZ23351" s="256"/>
      <c r="DG23351" s="256"/>
    </row>
    <row r="23352" spans="104:111">
      <c r="CZ23352" s="256"/>
      <c r="DG23352" s="256"/>
    </row>
    <row r="23353" spans="104:111">
      <c r="CZ23353" s="256"/>
      <c r="DG23353" s="256"/>
    </row>
    <row r="23354" spans="104:111">
      <c r="CZ23354" s="256"/>
      <c r="DG23354" s="256"/>
    </row>
    <row r="23355" spans="104:111">
      <c r="CZ23355" s="256"/>
      <c r="DG23355" s="256"/>
    </row>
    <row r="23356" spans="104:111">
      <c r="CZ23356" s="256"/>
      <c r="DG23356" s="256"/>
    </row>
    <row r="23357" spans="104:111">
      <c r="CZ23357" s="256"/>
      <c r="DG23357" s="256"/>
    </row>
    <row r="23358" spans="104:111">
      <c r="CZ23358" s="256"/>
      <c r="DG23358" s="256"/>
    </row>
    <row r="23359" spans="104:111">
      <c r="CZ23359" s="256"/>
      <c r="DG23359" s="256"/>
    </row>
    <row r="23360" spans="104:111">
      <c r="CZ23360" s="256"/>
      <c r="DG23360" s="256"/>
    </row>
    <row r="23361" spans="104:111">
      <c r="CZ23361" s="256"/>
      <c r="DG23361" s="256"/>
    </row>
    <row r="23362" spans="104:111">
      <c r="CZ23362" s="256"/>
      <c r="DG23362" s="256"/>
    </row>
    <row r="23363" spans="104:111">
      <c r="CZ23363" s="256"/>
      <c r="DG23363" s="256"/>
    </row>
    <row r="23364" spans="104:111">
      <c r="CZ23364" s="256"/>
      <c r="DG23364" s="256"/>
    </row>
    <row r="23365" spans="104:111">
      <c r="CZ23365" s="256"/>
      <c r="DG23365" s="256"/>
    </row>
    <row r="23366" spans="104:111">
      <c r="CZ23366" s="256"/>
      <c r="DG23366" s="256"/>
    </row>
    <row r="23367" spans="104:111">
      <c r="CZ23367" s="256"/>
      <c r="DG23367" s="256"/>
    </row>
    <row r="23368" spans="104:111">
      <c r="CZ23368" s="256"/>
      <c r="DG23368" s="256"/>
    </row>
    <row r="23369" spans="104:111">
      <c r="CZ23369" s="256"/>
      <c r="DG23369" s="256"/>
    </row>
    <row r="23370" spans="104:111">
      <c r="CZ23370" s="256"/>
      <c r="DG23370" s="256"/>
    </row>
    <row r="23371" spans="104:111">
      <c r="CZ23371" s="256"/>
      <c r="DG23371" s="256"/>
    </row>
    <row r="23372" spans="104:111">
      <c r="CZ23372" s="256"/>
      <c r="DG23372" s="256"/>
    </row>
    <row r="23373" spans="104:111">
      <c r="CZ23373" s="256"/>
      <c r="DG23373" s="256"/>
    </row>
    <row r="23374" spans="104:111">
      <c r="CZ23374" s="256"/>
      <c r="DG23374" s="256"/>
    </row>
    <row r="23375" spans="104:111">
      <c r="CZ23375" s="256"/>
      <c r="DG23375" s="256"/>
    </row>
    <row r="23376" spans="104:111">
      <c r="CZ23376" s="256"/>
      <c r="DG23376" s="256"/>
    </row>
    <row r="23377" spans="104:111">
      <c r="CZ23377" s="256"/>
      <c r="DG23377" s="256"/>
    </row>
    <row r="23378" spans="104:111">
      <c r="CZ23378" s="256"/>
      <c r="DG23378" s="256"/>
    </row>
    <row r="23379" spans="104:111">
      <c r="CZ23379" s="256"/>
      <c r="DG23379" s="256"/>
    </row>
    <row r="23380" spans="104:111">
      <c r="CZ23380" s="256"/>
      <c r="DG23380" s="256"/>
    </row>
    <row r="23381" spans="104:111">
      <c r="CZ23381" s="256"/>
      <c r="DG23381" s="256"/>
    </row>
    <row r="23382" spans="104:111">
      <c r="CZ23382" s="256"/>
      <c r="DG23382" s="256"/>
    </row>
    <row r="23383" spans="104:111">
      <c r="CZ23383" s="256"/>
      <c r="DG23383" s="256"/>
    </row>
    <row r="23384" spans="104:111">
      <c r="CZ23384" s="256"/>
      <c r="DG23384" s="256"/>
    </row>
    <row r="23385" spans="104:111">
      <c r="CZ23385" s="256"/>
      <c r="DG23385" s="256"/>
    </row>
    <row r="23386" spans="104:111">
      <c r="CZ23386" s="256"/>
      <c r="DG23386" s="256"/>
    </row>
    <row r="23387" spans="104:111">
      <c r="CZ23387" s="256"/>
      <c r="DG23387" s="256"/>
    </row>
    <row r="23388" spans="104:111">
      <c r="CZ23388" s="256"/>
      <c r="DG23388" s="256"/>
    </row>
    <row r="23389" spans="104:111">
      <c r="CZ23389" s="256"/>
      <c r="DG23389" s="256"/>
    </row>
    <row r="23390" spans="104:111">
      <c r="CZ23390" s="256"/>
      <c r="DG23390" s="256"/>
    </row>
    <row r="23391" spans="104:111">
      <c r="CZ23391" s="256"/>
      <c r="DG23391" s="256"/>
    </row>
    <row r="23392" spans="104:111">
      <c r="CZ23392" s="256"/>
      <c r="DG23392" s="256"/>
    </row>
    <row r="23393" spans="104:111">
      <c r="CZ23393" s="256"/>
      <c r="DG23393" s="256"/>
    </row>
    <row r="23394" spans="104:111">
      <c r="CZ23394" s="256"/>
      <c r="DG23394" s="256"/>
    </row>
    <row r="23395" spans="104:111">
      <c r="CZ23395" s="256"/>
      <c r="DG23395" s="256"/>
    </row>
    <row r="23396" spans="104:111">
      <c r="CZ23396" s="256"/>
      <c r="DG23396" s="256"/>
    </row>
    <row r="23397" spans="104:111">
      <c r="CZ23397" s="256"/>
      <c r="DG23397" s="256"/>
    </row>
    <row r="23398" spans="104:111">
      <c r="CZ23398" s="256"/>
      <c r="DG23398" s="256"/>
    </row>
    <row r="23399" spans="104:111">
      <c r="CZ23399" s="256"/>
      <c r="DG23399" s="256"/>
    </row>
    <row r="23400" spans="104:111">
      <c r="CZ23400" s="256"/>
      <c r="DG23400" s="256"/>
    </row>
    <row r="23401" spans="104:111">
      <c r="CZ23401" s="256"/>
      <c r="DG23401" s="256"/>
    </row>
    <row r="23402" spans="104:111">
      <c r="CZ23402" s="256"/>
      <c r="DG23402" s="256"/>
    </row>
    <row r="23403" spans="104:111">
      <c r="CZ23403" s="256"/>
      <c r="DG23403" s="256"/>
    </row>
    <row r="23404" spans="104:111">
      <c r="CZ23404" s="256"/>
      <c r="DG23404" s="256"/>
    </row>
    <row r="23405" spans="104:111">
      <c r="CZ23405" s="256"/>
      <c r="DG23405" s="256"/>
    </row>
    <row r="23406" spans="104:111">
      <c r="CZ23406" s="256"/>
      <c r="DG23406" s="256"/>
    </row>
    <row r="23407" spans="104:111">
      <c r="CZ23407" s="256"/>
      <c r="DG23407" s="256"/>
    </row>
    <row r="23408" spans="104:111">
      <c r="CZ23408" s="256"/>
      <c r="DG23408" s="256"/>
    </row>
    <row r="23409" spans="104:111">
      <c r="CZ23409" s="256"/>
      <c r="DG23409" s="256"/>
    </row>
    <row r="23410" spans="104:111">
      <c r="CZ23410" s="256"/>
      <c r="DG23410" s="256"/>
    </row>
    <row r="23411" spans="104:111">
      <c r="CZ23411" s="256"/>
      <c r="DG23411" s="256"/>
    </row>
    <row r="23412" spans="104:111">
      <c r="CZ23412" s="256"/>
      <c r="DG23412" s="256"/>
    </row>
    <row r="23413" spans="104:111">
      <c r="CZ23413" s="256"/>
      <c r="DG23413" s="256"/>
    </row>
    <row r="23414" spans="104:111">
      <c r="CZ23414" s="256"/>
      <c r="DG23414" s="256"/>
    </row>
    <row r="23415" spans="104:111">
      <c r="CZ23415" s="256"/>
      <c r="DG23415" s="256"/>
    </row>
    <row r="23416" spans="104:111">
      <c r="CZ23416" s="256"/>
      <c r="DG23416" s="256"/>
    </row>
    <row r="23417" spans="104:111">
      <c r="CZ23417" s="256"/>
      <c r="DG23417" s="256"/>
    </row>
    <row r="23418" spans="104:111">
      <c r="CZ23418" s="256"/>
      <c r="DG23418" s="256"/>
    </row>
    <row r="23419" spans="104:111">
      <c r="CZ23419" s="256"/>
      <c r="DG23419" s="256"/>
    </row>
    <row r="23420" spans="104:111">
      <c r="CZ23420" s="256"/>
      <c r="DG23420" s="256"/>
    </row>
    <row r="23421" spans="104:111">
      <c r="CZ23421" s="256"/>
      <c r="DG23421" s="256"/>
    </row>
    <row r="23422" spans="104:111">
      <c r="CZ23422" s="256"/>
      <c r="DG23422" s="256"/>
    </row>
    <row r="23423" spans="104:111">
      <c r="CZ23423" s="256"/>
      <c r="DG23423" s="256"/>
    </row>
    <row r="23424" spans="104:111">
      <c r="CZ23424" s="256"/>
      <c r="DG23424" s="256"/>
    </row>
    <row r="23425" spans="104:111">
      <c r="CZ23425" s="256"/>
      <c r="DG23425" s="256"/>
    </row>
    <row r="23426" spans="104:111">
      <c r="CZ23426" s="256"/>
      <c r="DG23426" s="256"/>
    </row>
    <row r="23427" spans="104:111">
      <c r="CZ23427" s="256"/>
      <c r="DG23427" s="256"/>
    </row>
    <row r="23428" spans="104:111">
      <c r="CZ23428" s="256"/>
      <c r="DG23428" s="256"/>
    </row>
    <row r="23429" spans="104:111">
      <c r="CZ23429" s="256"/>
      <c r="DG23429" s="256"/>
    </row>
    <row r="23430" spans="104:111">
      <c r="CZ23430" s="256"/>
      <c r="DG23430" s="256"/>
    </row>
    <row r="23431" spans="104:111">
      <c r="CZ23431" s="256"/>
      <c r="DG23431" s="256"/>
    </row>
    <row r="23432" spans="104:111">
      <c r="CZ23432" s="256"/>
      <c r="DG23432" s="256"/>
    </row>
    <row r="23433" spans="104:111">
      <c r="CZ23433" s="256"/>
      <c r="DG23433" s="256"/>
    </row>
    <row r="23434" spans="104:111">
      <c r="CZ23434" s="256"/>
      <c r="DG23434" s="256"/>
    </row>
    <row r="23435" spans="104:111">
      <c r="CZ23435" s="256"/>
      <c r="DG23435" s="256"/>
    </row>
    <row r="23436" spans="104:111">
      <c r="CZ23436" s="256"/>
      <c r="DG23436" s="256"/>
    </row>
    <row r="23437" spans="104:111">
      <c r="CZ23437" s="256"/>
      <c r="DG23437" s="256"/>
    </row>
    <row r="23438" spans="104:111">
      <c r="CZ23438" s="256"/>
      <c r="DG23438" s="256"/>
    </row>
    <row r="23439" spans="104:111">
      <c r="CZ23439" s="256"/>
      <c r="DG23439" s="256"/>
    </row>
    <row r="23440" spans="104:111">
      <c r="CZ23440" s="256"/>
      <c r="DG23440" s="256"/>
    </row>
    <row r="23441" spans="104:111">
      <c r="CZ23441" s="256"/>
      <c r="DG23441" s="256"/>
    </row>
    <row r="23442" spans="104:111">
      <c r="CZ23442" s="256"/>
      <c r="DG23442" s="256"/>
    </row>
    <row r="23443" spans="104:111">
      <c r="CZ23443" s="256"/>
      <c r="DG23443" s="256"/>
    </row>
    <row r="23444" spans="104:111">
      <c r="CZ23444" s="256"/>
      <c r="DG23444" s="256"/>
    </row>
    <row r="23445" spans="104:111">
      <c r="CZ23445" s="256"/>
      <c r="DG23445" s="256"/>
    </row>
    <row r="23446" spans="104:111">
      <c r="CZ23446" s="256"/>
      <c r="DG23446" s="256"/>
    </row>
    <row r="23447" spans="104:111">
      <c r="CZ23447" s="256"/>
      <c r="DG23447" s="256"/>
    </row>
    <row r="23448" spans="104:111">
      <c r="CZ23448" s="256"/>
      <c r="DG23448" s="256"/>
    </row>
    <row r="23449" spans="104:111">
      <c r="CZ23449" s="256"/>
      <c r="DG23449" s="256"/>
    </row>
    <row r="23450" spans="104:111">
      <c r="CZ23450" s="256"/>
      <c r="DG23450" s="256"/>
    </row>
    <row r="23451" spans="104:111">
      <c r="CZ23451" s="256"/>
      <c r="DG23451" s="256"/>
    </row>
    <row r="23452" spans="104:111">
      <c r="CZ23452" s="256"/>
      <c r="DG23452" s="256"/>
    </row>
    <row r="23453" spans="104:111">
      <c r="CZ23453" s="256"/>
      <c r="DG23453" s="256"/>
    </row>
    <row r="23454" spans="104:111">
      <c r="CZ23454" s="256"/>
      <c r="DG23454" s="256"/>
    </row>
    <row r="23455" spans="104:111">
      <c r="CZ23455" s="256"/>
      <c r="DG23455" s="256"/>
    </row>
    <row r="23456" spans="104:111">
      <c r="CZ23456" s="256"/>
      <c r="DG23456" s="256"/>
    </row>
    <row r="23457" spans="104:111">
      <c r="CZ23457" s="256"/>
      <c r="DG23457" s="256"/>
    </row>
    <row r="23458" spans="104:111">
      <c r="CZ23458" s="256"/>
      <c r="DG23458" s="256"/>
    </row>
    <row r="23459" spans="104:111">
      <c r="CZ23459" s="256"/>
      <c r="DG23459" s="256"/>
    </row>
    <row r="23460" spans="104:111">
      <c r="CZ23460" s="256"/>
      <c r="DG23460" s="256"/>
    </row>
    <row r="23461" spans="104:111">
      <c r="CZ23461" s="256"/>
      <c r="DG23461" s="256"/>
    </row>
    <row r="23462" spans="104:111">
      <c r="CZ23462" s="256"/>
      <c r="DG23462" s="256"/>
    </row>
    <row r="23463" spans="104:111">
      <c r="CZ23463" s="256"/>
      <c r="DG23463" s="256"/>
    </row>
    <row r="23464" spans="104:111">
      <c r="CZ23464" s="256"/>
      <c r="DG23464" s="256"/>
    </row>
    <row r="23465" spans="104:111">
      <c r="CZ23465" s="256"/>
      <c r="DG23465" s="256"/>
    </row>
    <row r="23466" spans="104:111">
      <c r="CZ23466" s="256"/>
      <c r="DG23466" s="256"/>
    </row>
    <row r="23467" spans="104:111">
      <c r="CZ23467" s="256"/>
      <c r="DG23467" s="256"/>
    </row>
    <row r="23468" spans="104:111">
      <c r="CZ23468" s="256"/>
      <c r="DG23468" s="256"/>
    </row>
    <row r="23469" spans="104:111">
      <c r="CZ23469" s="256"/>
      <c r="DG23469" s="256"/>
    </row>
    <row r="23470" spans="104:111">
      <c r="CZ23470" s="256"/>
      <c r="DG23470" s="256"/>
    </row>
    <row r="23471" spans="104:111">
      <c r="CZ23471" s="256"/>
      <c r="DG23471" s="256"/>
    </row>
    <row r="23472" spans="104:111">
      <c r="CZ23472" s="256"/>
      <c r="DG23472" s="256"/>
    </row>
    <row r="23473" spans="104:111">
      <c r="CZ23473" s="256"/>
      <c r="DG23473" s="256"/>
    </row>
    <row r="23474" spans="104:111">
      <c r="CZ23474" s="256"/>
      <c r="DG23474" s="256"/>
    </row>
    <row r="23475" spans="104:111">
      <c r="CZ23475" s="256"/>
      <c r="DG23475" s="256"/>
    </row>
    <row r="23476" spans="104:111">
      <c r="CZ23476" s="256"/>
      <c r="DG23476" s="256"/>
    </row>
    <row r="23477" spans="104:111">
      <c r="CZ23477" s="256"/>
      <c r="DG23477" s="256"/>
    </row>
    <row r="23478" spans="104:111">
      <c r="CZ23478" s="256"/>
      <c r="DG23478" s="256"/>
    </row>
    <row r="23479" spans="104:111">
      <c r="CZ23479" s="256"/>
      <c r="DG23479" s="256"/>
    </row>
    <row r="23480" spans="104:111">
      <c r="CZ23480" s="256"/>
      <c r="DG23480" s="256"/>
    </row>
    <row r="23481" spans="104:111">
      <c r="CZ23481" s="256"/>
      <c r="DG23481" s="256"/>
    </row>
    <row r="23482" spans="104:111">
      <c r="CZ23482" s="256"/>
      <c r="DG23482" s="256"/>
    </row>
    <row r="23483" spans="104:111">
      <c r="CZ23483" s="256"/>
      <c r="DG23483" s="256"/>
    </row>
    <row r="23484" spans="104:111">
      <c r="CZ23484" s="256"/>
      <c r="DG23484" s="256"/>
    </row>
    <row r="23485" spans="104:111">
      <c r="CZ23485" s="256"/>
      <c r="DG23485" s="256"/>
    </row>
    <row r="23486" spans="104:111">
      <c r="CZ23486" s="256"/>
      <c r="DG23486" s="256"/>
    </row>
    <row r="23487" spans="104:111">
      <c r="CZ23487" s="256"/>
      <c r="DG23487" s="256"/>
    </row>
    <row r="23488" spans="104:111">
      <c r="CZ23488" s="256"/>
      <c r="DG23488" s="256"/>
    </row>
    <row r="23489" spans="104:111">
      <c r="CZ23489" s="256"/>
      <c r="DG23489" s="256"/>
    </row>
    <row r="23490" spans="104:111">
      <c r="CZ23490" s="256"/>
      <c r="DG23490" s="256"/>
    </row>
    <row r="23491" spans="104:111">
      <c r="CZ23491" s="256"/>
      <c r="DG23491" s="256"/>
    </row>
    <row r="23492" spans="104:111">
      <c r="CZ23492" s="256"/>
      <c r="DG23492" s="256"/>
    </row>
    <row r="23493" spans="104:111">
      <c r="CZ23493" s="256"/>
      <c r="DG23493" s="256"/>
    </row>
    <row r="23494" spans="104:111">
      <c r="CZ23494" s="256"/>
      <c r="DG23494" s="256"/>
    </row>
    <row r="23495" spans="104:111">
      <c r="CZ23495" s="256"/>
      <c r="DG23495" s="256"/>
    </row>
    <row r="23496" spans="104:111">
      <c r="CZ23496" s="256"/>
      <c r="DG23496" s="256"/>
    </row>
    <row r="23497" spans="104:111">
      <c r="CZ23497" s="256"/>
      <c r="DG23497" s="256"/>
    </row>
    <row r="23498" spans="104:111">
      <c r="CZ23498" s="256"/>
      <c r="DG23498" s="256"/>
    </row>
    <row r="23499" spans="104:111">
      <c r="CZ23499" s="256"/>
      <c r="DG23499" s="256"/>
    </row>
    <row r="23500" spans="104:111">
      <c r="CZ23500" s="256"/>
      <c r="DG23500" s="256"/>
    </row>
    <row r="23501" spans="104:111">
      <c r="CZ23501" s="256"/>
      <c r="DG23501" s="256"/>
    </row>
    <row r="23502" spans="104:111">
      <c r="CZ23502" s="256"/>
      <c r="DG23502" s="256"/>
    </row>
    <row r="23503" spans="104:111">
      <c r="CZ23503" s="256"/>
      <c r="DG23503" s="256"/>
    </row>
    <row r="23504" spans="104:111">
      <c r="CZ23504" s="256"/>
      <c r="DG23504" s="256"/>
    </row>
    <row r="23505" spans="104:111">
      <c r="CZ23505" s="256"/>
      <c r="DG23505" s="256"/>
    </row>
    <row r="23506" spans="104:111">
      <c r="CZ23506" s="256"/>
      <c r="DG23506" s="256"/>
    </row>
    <row r="23507" spans="104:111">
      <c r="CZ23507" s="256"/>
      <c r="DG23507" s="256"/>
    </row>
    <row r="23508" spans="104:111">
      <c r="CZ23508" s="256"/>
      <c r="DG23508" s="256"/>
    </row>
    <row r="23509" spans="104:111">
      <c r="CZ23509" s="256"/>
      <c r="DG23509" s="256"/>
    </row>
    <row r="23510" spans="104:111">
      <c r="CZ23510" s="256"/>
      <c r="DG23510" s="256"/>
    </row>
    <row r="23511" spans="104:111">
      <c r="CZ23511" s="256"/>
      <c r="DG23511" s="256"/>
    </row>
    <row r="23512" spans="104:111">
      <c r="CZ23512" s="256"/>
      <c r="DG23512" s="256"/>
    </row>
    <row r="23513" spans="104:111">
      <c r="CZ23513" s="256"/>
      <c r="DG23513" s="256"/>
    </row>
    <row r="23514" spans="104:111">
      <c r="CZ23514" s="256"/>
      <c r="DG23514" s="256"/>
    </row>
    <row r="23515" spans="104:111">
      <c r="CZ23515" s="256"/>
      <c r="DG23515" s="256"/>
    </row>
    <row r="23516" spans="104:111">
      <c r="CZ23516" s="256"/>
      <c r="DG23516" s="256"/>
    </row>
    <row r="23517" spans="104:111">
      <c r="CZ23517" s="256"/>
      <c r="DG23517" s="256"/>
    </row>
    <row r="23518" spans="104:111">
      <c r="CZ23518" s="256"/>
      <c r="DG23518" s="256"/>
    </row>
    <row r="23519" spans="104:111">
      <c r="CZ23519" s="256"/>
      <c r="DG23519" s="256"/>
    </row>
    <row r="23520" spans="104:111">
      <c r="CZ23520" s="256"/>
      <c r="DG23520" s="256"/>
    </row>
    <row r="23521" spans="104:111">
      <c r="CZ23521" s="256"/>
      <c r="DG23521" s="256"/>
    </row>
    <row r="23522" spans="104:111">
      <c r="CZ23522" s="256"/>
      <c r="DG23522" s="256"/>
    </row>
    <row r="23523" spans="104:111">
      <c r="CZ23523" s="256"/>
      <c r="DG23523" s="256"/>
    </row>
    <row r="23524" spans="104:111">
      <c r="CZ23524" s="256"/>
      <c r="DG23524" s="256"/>
    </row>
    <row r="23525" spans="104:111">
      <c r="CZ23525" s="256"/>
      <c r="DG23525" s="256"/>
    </row>
    <row r="23526" spans="104:111">
      <c r="CZ23526" s="256"/>
      <c r="DG23526" s="256"/>
    </row>
    <row r="23527" spans="104:111">
      <c r="CZ23527" s="256"/>
      <c r="DG23527" s="256"/>
    </row>
    <row r="23528" spans="104:111">
      <c r="CZ23528" s="256"/>
      <c r="DG23528" s="256"/>
    </row>
    <row r="23529" spans="104:111">
      <c r="CZ23529" s="256"/>
      <c r="DG23529" s="256"/>
    </row>
    <row r="23530" spans="104:111">
      <c r="CZ23530" s="256"/>
      <c r="DG23530" s="256"/>
    </row>
    <row r="23531" spans="104:111">
      <c r="CZ23531" s="256"/>
      <c r="DG23531" s="256"/>
    </row>
    <row r="23532" spans="104:111">
      <c r="CZ23532" s="256"/>
      <c r="DG23532" s="256"/>
    </row>
    <row r="23533" spans="104:111">
      <c r="CZ23533" s="256"/>
      <c r="DG23533" s="256"/>
    </row>
    <row r="23534" spans="104:111">
      <c r="CZ23534" s="256"/>
      <c r="DG23534" s="256"/>
    </row>
    <row r="23535" spans="104:111">
      <c r="CZ23535" s="256"/>
      <c r="DG23535" s="256"/>
    </row>
    <row r="23536" spans="104:111">
      <c r="CZ23536" s="256"/>
      <c r="DG23536" s="256"/>
    </row>
    <row r="23537" spans="104:111">
      <c r="CZ23537" s="256"/>
      <c r="DG23537" s="256"/>
    </row>
    <row r="23538" spans="104:111">
      <c r="CZ23538" s="256"/>
      <c r="DG23538" s="256"/>
    </row>
    <row r="23539" spans="104:111">
      <c r="CZ23539" s="256"/>
      <c r="DG23539" s="256"/>
    </row>
    <row r="23540" spans="104:111">
      <c r="CZ23540" s="256"/>
      <c r="DG23540" s="256"/>
    </row>
    <row r="23541" spans="104:111">
      <c r="CZ23541" s="256"/>
      <c r="DG23541" s="256"/>
    </row>
    <row r="23542" spans="104:111">
      <c r="CZ23542" s="256"/>
      <c r="DG23542" s="256"/>
    </row>
    <row r="23543" spans="104:111">
      <c r="CZ23543" s="256"/>
      <c r="DG23543" s="256"/>
    </row>
    <row r="23544" spans="104:111">
      <c r="CZ23544" s="256"/>
      <c r="DG23544" s="256"/>
    </row>
    <row r="23545" spans="104:111">
      <c r="CZ23545" s="256"/>
      <c r="DG23545" s="256"/>
    </row>
    <row r="23546" spans="104:111">
      <c r="CZ23546" s="256"/>
      <c r="DG23546" s="256"/>
    </row>
    <row r="23547" spans="104:111">
      <c r="CZ23547" s="256"/>
      <c r="DG23547" s="256"/>
    </row>
    <row r="23548" spans="104:111">
      <c r="CZ23548" s="256"/>
      <c r="DG23548" s="256"/>
    </row>
    <row r="23549" spans="104:111">
      <c r="CZ23549" s="256"/>
      <c r="DG23549" s="256"/>
    </row>
    <row r="23550" spans="104:111">
      <c r="CZ23550" s="256"/>
      <c r="DG23550" s="256"/>
    </row>
    <row r="23551" spans="104:111">
      <c r="CZ23551" s="256"/>
      <c r="DG23551" s="256"/>
    </row>
    <row r="23552" spans="104:111">
      <c r="CZ23552" s="256"/>
      <c r="DG23552" s="256"/>
    </row>
    <row r="23553" spans="104:111">
      <c r="CZ23553" s="256"/>
      <c r="DG23553" s="256"/>
    </row>
    <row r="23554" spans="104:111">
      <c r="CZ23554" s="256"/>
      <c r="DG23554" s="256"/>
    </row>
    <row r="23555" spans="104:111">
      <c r="CZ23555" s="256"/>
      <c r="DG23555" s="256"/>
    </row>
    <row r="23556" spans="104:111">
      <c r="CZ23556" s="256"/>
      <c r="DG23556" s="256"/>
    </row>
    <row r="23557" spans="104:111">
      <c r="CZ23557" s="256"/>
      <c r="DG23557" s="256"/>
    </row>
    <row r="23558" spans="104:111">
      <c r="CZ23558" s="256"/>
      <c r="DG23558" s="256"/>
    </row>
    <row r="23559" spans="104:111">
      <c r="CZ23559" s="256"/>
      <c r="DG23559" s="256"/>
    </row>
    <row r="23560" spans="104:111">
      <c r="CZ23560" s="256"/>
      <c r="DG23560" s="256"/>
    </row>
    <row r="23561" spans="104:111">
      <c r="CZ23561" s="256"/>
      <c r="DG23561" s="256"/>
    </row>
    <row r="23562" spans="104:111">
      <c r="CZ23562" s="256"/>
      <c r="DG23562" s="256"/>
    </row>
    <row r="23563" spans="104:111">
      <c r="CZ23563" s="256"/>
      <c r="DG23563" s="256"/>
    </row>
    <row r="23564" spans="104:111">
      <c r="CZ23564" s="256"/>
      <c r="DG23564" s="256"/>
    </row>
    <row r="23565" spans="104:111">
      <c r="CZ23565" s="256"/>
      <c r="DG23565" s="256"/>
    </row>
    <row r="23566" spans="104:111">
      <c r="CZ23566" s="256"/>
      <c r="DG23566" s="256"/>
    </row>
    <row r="23567" spans="104:111">
      <c r="CZ23567" s="256"/>
      <c r="DG23567" s="256"/>
    </row>
    <row r="23568" spans="104:111">
      <c r="CZ23568" s="256"/>
      <c r="DG23568" s="256"/>
    </row>
    <row r="23569" spans="104:111">
      <c r="CZ23569" s="256"/>
      <c r="DG23569" s="256"/>
    </row>
    <row r="23570" spans="104:111">
      <c r="CZ23570" s="256"/>
      <c r="DG23570" s="256"/>
    </row>
    <row r="23571" spans="104:111">
      <c r="CZ23571" s="256"/>
      <c r="DG23571" s="256"/>
    </row>
    <row r="23572" spans="104:111">
      <c r="CZ23572" s="256"/>
      <c r="DG23572" s="256"/>
    </row>
    <row r="23573" spans="104:111">
      <c r="CZ23573" s="256"/>
      <c r="DG23573" s="256"/>
    </row>
    <row r="23574" spans="104:111">
      <c r="CZ23574" s="256"/>
      <c r="DG23574" s="256"/>
    </row>
    <row r="23575" spans="104:111">
      <c r="CZ23575" s="256"/>
      <c r="DG23575" s="256"/>
    </row>
    <row r="23576" spans="104:111">
      <c r="CZ23576" s="256"/>
      <c r="DG23576" s="256"/>
    </row>
    <row r="23577" spans="104:111">
      <c r="CZ23577" s="256"/>
      <c r="DG23577" s="256"/>
    </row>
    <row r="23578" spans="104:111">
      <c r="CZ23578" s="256"/>
      <c r="DG23578" s="256"/>
    </row>
    <row r="23579" spans="104:111">
      <c r="CZ23579" s="256"/>
      <c r="DG23579" s="256"/>
    </row>
    <row r="23580" spans="104:111">
      <c r="CZ23580" s="256"/>
      <c r="DG23580" s="256"/>
    </row>
    <row r="23581" spans="104:111">
      <c r="CZ23581" s="256"/>
      <c r="DG23581" s="256"/>
    </row>
    <row r="23582" spans="104:111">
      <c r="CZ23582" s="256"/>
      <c r="DG23582" s="256"/>
    </row>
    <row r="23583" spans="104:111">
      <c r="CZ23583" s="256"/>
      <c r="DG23583" s="256"/>
    </row>
    <row r="23584" spans="104:111">
      <c r="CZ23584" s="256"/>
      <c r="DG23584" s="256"/>
    </row>
    <row r="23585" spans="104:111">
      <c r="CZ23585" s="256"/>
      <c r="DG23585" s="256"/>
    </row>
    <row r="23586" spans="104:111">
      <c r="CZ23586" s="256"/>
      <c r="DG23586" s="256"/>
    </row>
    <row r="23587" spans="104:111">
      <c r="CZ23587" s="256"/>
      <c r="DG23587" s="256"/>
    </row>
    <row r="23588" spans="104:111">
      <c r="CZ23588" s="256"/>
      <c r="DG23588" s="256"/>
    </row>
    <row r="23589" spans="104:111">
      <c r="CZ23589" s="256"/>
      <c r="DG23589" s="256"/>
    </row>
    <row r="23590" spans="104:111">
      <c r="CZ23590" s="256"/>
      <c r="DG23590" s="256"/>
    </row>
    <row r="23591" spans="104:111">
      <c r="CZ23591" s="256"/>
      <c r="DG23591" s="256"/>
    </row>
    <row r="23592" spans="104:111">
      <c r="CZ23592" s="256"/>
      <c r="DG23592" s="256"/>
    </row>
    <row r="23593" spans="104:111">
      <c r="CZ23593" s="256"/>
      <c r="DG23593" s="256"/>
    </row>
    <row r="23594" spans="104:111">
      <c r="CZ23594" s="256"/>
      <c r="DG23594" s="256"/>
    </row>
    <row r="23595" spans="104:111">
      <c r="CZ23595" s="256"/>
      <c r="DG23595" s="256"/>
    </row>
    <row r="23596" spans="104:111">
      <c r="CZ23596" s="256"/>
      <c r="DG23596" s="256"/>
    </row>
    <row r="23597" spans="104:111">
      <c r="CZ23597" s="256"/>
      <c r="DG23597" s="256"/>
    </row>
    <row r="23598" spans="104:111">
      <c r="CZ23598" s="256"/>
      <c r="DG23598" s="256"/>
    </row>
    <row r="23599" spans="104:111">
      <c r="CZ23599" s="256"/>
      <c r="DG23599" s="256"/>
    </row>
    <row r="23600" spans="104:111">
      <c r="CZ23600" s="256"/>
      <c r="DG23600" s="256"/>
    </row>
    <row r="23601" spans="104:111">
      <c r="CZ23601" s="256"/>
      <c r="DG23601" s="256"/>
    </row>
    <row r="23602" spans="104:111">
      <c r="CZ23602" s="256"/>
      <c r="DG23602" s="256"/>
    </row>
    <row r="23603" spans="104:111">
      <c r="CZ23603" s="256"/>
      <c r="DG23603" s="256"/>
    </row>
    <row r="23604" spans="104:111">
      <c r="CZ23604" s="256"/>
      <c r="DG23604" s="256"/>
    </row>
    <row r="23605" spans="104:111">
      <c r="CZ23605" s="256"/>
      <c r="DG23605" s="256"/>
    </row>
    <row r="23606" spans="104:111">
      <c r="CZ23606" s="256"/>
      <c r="DG23606" s="256"/>
    </row>
    <row r="23607" spans="104:111">
      <c r="CZ23607" s="256"/>
      <c r="DG23607" s="256"/>
    </row>
    <row r="23608" spans="104:111">
      <c r="CZ23608" s="256"/>
      <c r="DG23608" s="256"/>
    </row>
    <row r="23609" spans="104:111">
      <c r="CZ23609" s="256"/>
      <c r="DG23609" s="256"/>
    </row>
    <row r="23610" spans="104:111">
      <c r="CZ23610" s="256"/>
      <c r="DG23610" s="256"/>
    </row>
    <row r="23611" spans="104:111">
      <c r="CZ23611" s="256"/>
      <c r="DG23611" s="256"/>
    </row>
    <row r="23612" spans="104:111">
      <c r="CZ23612" s="256"/>
      <c r="DG23612" s="256"/>
    </row>
    <row r="23613" spans="104:111">
      <c r="CZ23613" s="256"/>
      <c r="DG23613" s="256"/>
    </row>
    <row r="23614" spans="104:111">
      <c r="CZ23614" s="256"/>
      <c r="DG23614" s="256"/>
    </row>
    <row r="23615" spans="104:111">
      <c r="CZ23615" s="256"/>
      <c r="DG23615" s="256"/>
    </row>
    <row r="23616" spans="104:111">
      <c r="CZ23616" s="256"/>
      <c r="DG23616" s="256"/>
    </row>
    <row r="23617" spans="104:111">
      <c r="CZ23617" s="256"/>
      <c r="DG23617" s="256"/>
    </row>
    <row r="23618" spans="104:111">
      <c r="CZ23618" s="256"/>
      <c r="DG23618" s="256"/>
    </row>
    <row r="23619" spans="104:111">
      <c r="CZ23619" s="256"/>
      <c r="DG23619" s="256"/>
    </row>
    <row r="23620" spans="104:111">
      <c r="CZ23620" s="256"/>
      <c r="DG23620" s="256"/>
    </row>
    <row r="23621" spans="104:111">
      <c r="CZ23621" s="256"/>
      <c r="DG23621" s="256"/>
    </row>
    <row r="23622" spans="104:111">
      <c r="CZ23622" s="256"/>
      <c r="DG23622" s="256"/>
    </row>
    <row r="23623" spans="104:111">
      <c r="CZ23623" s="256"/>
      <c r="DG23623" s="256"/>
    </row>
    <row r="23624" spans="104:111">
      <c r="CZ23624" s="256"/>
      <c r="DG23624" s="256"/>
    </row>
    <row r="23625" spans="104:111">
      <c r="CZ23625" s="256"/>
      <c r="DG23625" s="256"/>
    </row>
    <row r="23626" spans="104:111">
      <c r="CZ23626" s="256"/>
      <c r="DG23626" s="256"/>
    </row>
    <row r="23627" spans="104:111">
      <c r="CZ23627" s="256"/>
      <c r="DG23627" s="256"/>
    </row>
    <row r="23628" spans="104:111">
      <c r="CZ23628" s="256"/>
      <c r="DG23628" s="256"/>
    </row>
    <row r="23629" spans="104:111">
      <c r="CZ23629" s="256"/>
      <c r="DG23629" s="256"/>
    </row>
    <row r="23630" spans="104:111">
      <c r="CZ23630" s="256"/>
      <c r="DG23630" s="256"/>
    </row>
    <row r="23631" spans="104:111">
      <c r="CZ23631" s="256"/>
      <c r="DG23631" s="256"/>
    </row>
    <row r="23632" spans="104:111">
      <c r="CZ23632" s="256"/>
      <c r="DG23632" s="256"/>
    </row>
    <row r="23633" spans="104:111">
      <c r="CZ23633" s="256"/>
      <c r="DG23633" s="256"/>
    </row>
    <row r="23634" spans="104:111">
      <c r="CZ23634" s="256"/>
      <c r="DG23634" s="256"/>
    </row>
    <row r="23635" spans="104:111">
      <c r="CZ23635" s="256"/>
      <c r="DG23635" s="256"/>
    </row>
    <row r="23636" spans="104:111">
      <c r="CZ23636" s="256"/>
      <c r="DG23636" s="256"/>
    </row>
    <row r="23637" spans="104:111">
      <c r="CZ23637" s="256"/>
      <c r="DG23637" s="256"/>
    </row>
    <row r="23638" spans="104:111">
      <c r="CZ23638" s="256"/>
      <c r="DG23638" s="256"/>
    </row>
    <row r="23639" spans="104:111">
      <c r="CZ23639" s="256"/>
      <c r="DG23639" s="256"/>
    </row>
    <row r="23640" spans="104:111">
      <c r="CZ23640" s="256"/>
      <c r="DG23640" s="256"/>
    </row>
    <row r="23641" spans="104:111">
      <c r="CZ23641" s="256"/>
      <c r="DG23641" s="256"/>
    </row>
    <row r="23642" spans="104:111">
      <c r="CZ23642" s="256"/>
      <c r="DG23642" s="256"/>
    </row>
    <row r="23643" spans="104:111">
      <c r="CZ23643" s="256"/>
      <c r="DG23643" s="256"/>
    </row>
    <row r="23644" spans="104:111">
      <c r="CZ23644" s="256"/>
      <c r="DG23644" s="256"/>
    </row>
    <row r="23645" spans="104:111">
      <c r="CZ23645" s="256"/>
      <c r="DG23645" s="256"/>
    </row>
    <row r="23646" spans="104:111">
      <c r="CZ23646" s="256"/>
      <c r="DG23646" s="256"/>
    </row>
    <row r="23647" spans="104:111">
      <c r="CZ23647" s="256"/>
      <c r="DG23647" s="256"/>
    </row>
    <row r="23648" spans="104:111">
      <c r="CZ23648" s="256"/>
      <c r="DG23648" s="256"/>
    </row>
    <row r="23649" spans="104:111">
      <c r="CZ23649" s="256"/>
      <c r="DG23649" s="256"/>
    </row>
    <row r="23650" spans="104:111">
      <c r="CZ23650" s="256"/>
      <c r="DG23650" s="256"/>
    </row>
    <row r="23651" spans="104:111">
      <c r="CZ23651" s="256"/>
      <c r="DG23651" s="256"/>
    </row>
    <row r="23652" spans="104:111">
      <c r="CZ23652" s="256"/>
      <c r="DG23652" s="256"/>
    </row>
    <row r="23653" spans="104:111">
      <c r="CZ23653" s="256"/>
      <c r="DG23653" s="256"/>
    </row>
    <row r="23654" spans="104:111">
      <c r="CZ23654" s="256"/>
      <c r="DG23654" s="256"/>
    </row>
    <row r="23655" spans="104:111">
      <c r="CZ23655" s="256"/>
      <c r="DG23655" s="256"/>
    </row>
    <row r="23656" spans="104:111">
      <c r="CZ23656" s="256"/>
      <c r="DG23656" s="256"/>
    </row>
    <row r="23657" spans="104:111">
      <c r="CZ23657" s="256"/>
      <c r="DG23657" s="256"/>
    </row>
    <row r="23658" spans="104:111">
      <c r="CZ23658" s="256"/>
      <c r="DG23658" s="256"/>
    </row>
    <row r="23659" spans="104:111">
      <c r="CZ23659" s="256"/>
      <c r="DG23659" s="256"/>
    </row>
    <row r="23660" spans="104:111">
      <c r="CZ23660" s="256"/>
      <c r="DG23660" s="256"/>
    </row>
    <row r="23661" spans="104:111">
      <c r="CZ23661" s="256"/>
      <c r="DG23661" s="256"/>
    </row>
    <row r="23662" spans="104:111">
      <c r="CZ23662" s="256"/>
      <c r="DG23662" s="256"/>
    </row>
    <row r="23663" spans="104:111">
      <c r="CZ23663" s="256"/>
      <c r="DG23663" s="256"/>
    </row>
    <row r="23664" spans="104:111">
      <c r="CZ23664" s="256"/>
      <c r="DG23664" s="256"/>
    </row>
    <row r="23665" spans="104:111">
      <c r="CZ23665" s="256"/>
      <c r="DG23665" s="256"/>
    </row>
    <row r="23666" spans="104:111">
      <c r="CZ23666" s="256"/>
      <c r="DG23666" s="256"/>
    </row>
    <row r="23667" spans="104:111">
      <c r="CZ23667" s="256"/>
      <c r="DG23667" s="256"/>
    </row>
    <row r="23668" spans="104:111">
      <c r="CZ23668" s="256"/>
      <c r="DG23668" s="256"/>
    </row>
    <row r="23669" spans="104:111">
      <c r="CZ23669" s="256"/>
      <c r="DG23669" s="256"/>
    </row>
    <row r="23670" spans="104:111">
      <c r="CZ23670" s="256"/>
      <c r="DG23670" s="256"/>
    </row>
    <row r="23671" spans="104:111">
      <c r="CZ23671" s="256"/>
      <c r="DG23671" s="256"/>
    </row>
    <row r="23672" spans="104:111">
      <c r="CZ23672" s="256"/>
      <c r="DG23672" s="256"/>
    </row>
    <row r="23673" spans="104:111">
      <c r="CZ23673" s="256"/>
      <c r="DG23673" s="256"/>
    </row>
    <row r="23674" spans="104:111">
      <c r="CZ23674" s="256"/>
      <c r="DG23674" s="256"/>
    </row>
    <row r="23675" spans="104:111">
      <c r="CZ23675" s="256"/>
      <c r="DG23675" s="256"/>
    </row>
    <row r="23676" spans="104:111">
      <c r="CZ23676" s="256"/>
      <c r="DG23676" s="256"/>
    </row>
    <row r="23677" spans="104:111">
      <c r="CZ23677" s="256"/>
      <c r="DG23677" s="256"/>
    </row>
    <row r="23678" spans="104:111">
      <c r="CZ23678" s="256"/>
      <c r="DG23678" s="256"/>
    </row>
    <row r="23679" spans="104:111">
      <c r="CZ23679" s="256"/>
      <c r="DG23679" s="256"/>
    </row>
    <row r="23680" spans="104:111">
      <c r="CZ23680" s="256"/>
      <c r="DG23680" s="256"/>
    </row>
    <row r="23681" spans="104:111">
      <c r="CZ23681" s="256"/>
      <c r="DG23681" s="256"/>
    </row>
    <row r="23682" spans="104:111">
      <c r="CZ23682" s="256"/>
      <c r="DG23682" s="256"/>
    </row>
    <row r="23683" spans="104:111">
      <c r="CZ23683" s="256"/>
      <c r="DG23683" s="256"/>
    </row>
    <row r="23684" spans="104:111">
      <c r="CZ23684" s="256"/>
      <c r="DG23684" s="256"/>
    </row>
    <row r="23685" spans="104:111">
      <c r="CZ23685" s="256"/>
      <c r="DG23685" s="256"/>
    </row>
    <row r="23686" spans="104:111">
      <c r="CZ23686" s="256"/>
      <c r="DG23686" s="256"/>
    </row>
    <row r="23687" spans="104:111">
      <c r="CZ23687" s="256"/>
      <c r="DG23687" s="256"/>
    </row>
    <row r="23688" spans="104:111">
      <c r="CZ23688" s="256"/>
      <c r="DG23688" s="256"/>
    </row>
    <row r="23689" spans="104:111">
      <c r="CZ23689" s="256"/>
      <c r="DG23689" s="256"/>
    </row>
    <row r="23690" spans="104:111">
      <c r="CZ23690" s="256"/>
      <c r="DG23690" s="256"/>
    </row>
    <row r="23691" spans="104:111">
      <c r="CZ23691" s="256"/>
      <c r="DG23691" s="256"/>
    </row>
    <row r="23692" spans="104:111">
      <c r="CZ23692" s="256"/>
      <c r="DG23692" s="256"/>
    </row>
    <row r="23693" spans="104:111">
      <c r="CZ23693" s="256"/>
      <c r="DG23693" s="256"/>
    </row>
    <row r="23694" spans="104:111">
      <c r="CZ23694" s="256"/>
      <c r="DG23694" s="256"/>
    </row>
    <row r="23695" spans="104:111">
      <c r="CZ23695" s="256"/>
      <c r="DG23695" s="256"/>
    </row>
    <row r="23696" spans="104:111">
      <c r="CZ23696" s="256"/>
      <c r="DG23696" s="256"/>
    </row>
    <row r="23697" spans="104:111">
      <c r="CZ23697" s="256"/>
      <c r="DG23697" s="256"/>
    </row>
    <row r="23698" spans="104:111">
      <c r="CZ23698" s="256"/>
      <c r="DG23698" s="256"/>
    </row>
    <row r="23699" spans="104:111">
      <c r="CZ23699" s="256"/>
      <c r="DG23699" s="256"/>
    </row>
    <row r="23700" spans="104:111">
      <c r="CZ23700" s="256"/>
      <c r="DG23700" s="256"/>
    </row>
    <row r="23701" spans="104:111">
      <c r="CZ23701" s="256"/>
      <c r="DG23701" s="256"/>
    </row>
    <row r="23702" spans="104:111">
      <c r="CZ23702" s="256"/>
      <c r="DG23702" s="256"/>
    </row>
    <row r="23703" spans="104:111">
      <c r="CZ23703" s="256"/>
      <c r="DG23703" s="256"/>
    </row>
    <row r="23704" spans="104:111">
      <c r="CZ23704" s="256"/>
      <c r="DG23704" s="256"/>
    </row>
    <row r="23705" spans="104:111">
      <c r="CZ23705" s="256"/>
      <c r="DG23705" s="256"/>
    </row>
    <row r="23706" spans="104:111">
      <c r="CZ23706" s="256"/>
      <c r="DG23706" s="256"/>
    </row>
    <row r="23707" spans="104:111">
      <c r="CZ23707" s="256"/>
      <c r="DG23707" s="256"/>
    </row>
    <row r="23708" spans="104:111">
      <c r="CZ23708" s="256"/>
      <c r="DG23708" s="256"/>
    </row>
    <row r="23709" spans="104:111">
      <c r="CZ23709" s="256"/>
      <c r="DG23709" s="256"/>
    </row>
    <row r="23710" spans="104:111">
      <c r="CZ23710" s="256"/>
      <c r="DG23710" s="256"/>
    </row>
    <row r="23711" spans="104:111">
      <c r="CZ23711" s="256"/>
      <c r="DG23711" s="256"/>
    </row>
    <row r="23712" spans="104:111">
      <c r="CZ23712" s="256"/>
      <c r="DG23712" s="256"/>
    </row>
    <row r="23713" spans="104:111">
      <c r="CZ23713" s="256"/>
      <c r="DG23713" s="256"/>
    </row>
    <row r="23714" spans="104:111">
      <c r="CZ23714" s="256"/>
      <c r="DG23714" s="256"/>
    </row>
    <row r="23715" spans="104:111">
      <c r="CZ23715" s="256"/>
      <c r="DG23715" s="256"/>
    </row>
    <row r="23716" spans="104:111">
      <c r="CZ23716" s="256"/>
      <c r="DG23716" s="256"/>
    </row>
    <row r="23717" spans="104:111">
      <c r="CZ23717" s="256"/>
      <c r="DG23717" s="256"/>
    </row>
    <row r="23718" spans="104:111">
      <c r="CZ23718" s="256"/>
      <c r="DG23718" s="256"/>
    </row>
    <row r="23719" spans="104:111">
      <c r="CZ23719" s="256"/>
      <c r="DG23719" s="256"/>
    </row>
    <row r="23720" spans="104:111">
      <c r="CZ23720" s="256"/>
      <c r="DG23720" s="256"/>
    </row>
    <row r="23721" spans="104:111">
      <c r="CZ23721" s="256"/>
      <c r="DG23721" s="256"/>
    </row>
    <row r="23722" spans="104:111">
      <c r="CZ23722" s="256"/>
      <c r="DG23722" s="256"/>
    </row>
    <row r="23723" spans="104:111">
      <c r="CZ23723" s="256"/>
      <c r="DG23723" s="256"/>
    </row>
    <row r="23724" spans="104:111">
      <c r="CZ23724" s="256"/>
      <c r="DG23724" s="256"/>
    </row>
    <row r="23725" spans="104:111">
      <c r="CZ23725" s="256"/>
      <c r="DG23725" s="256"/>
    </row>
    <row r="23726" spans="104:111">
      <c r="CZ23726" s="256"/>
      <c r="DG23726" s="256"/>
    </row>
    <row r="23727" spans="104:111">
      <c r="CZ23727" s="256"/>
      <c r="DG23727" s="256"/>
    </row>
    <row r="23728" spans="104:111">
      <c r="CZ23728" s="256"/>
      <c r="DG23728" s="256"/>
    </row>
    <row r="23729" spans="104:111">
      <c r="CZ23729" s="256"/>
      <c r="DG23729" s="256"/>
    </row>
    <row r="23730" spans="104:111">
      <c r="CZ23730" s="256"/>
      <c r="DG23730" s="256"/>
    </row>
    <row r="23731" spans="104:111">
      <c r="CZ23731" s="256"/>
      <c r="DG23731" s="256"/>
    </row>
    <row r="23732" spans="104:111">
      <c r="CZ23732" s="256"/>
      <c r="DG23732" s="256"/>
    </row>
    <row r="23733" spans="104:111">
      <c r="CZ23733" s="256"/>
      <c r="DG23733" s="256"/>
    </row>
    <row r="23734" spans="104:111">
      <c r="CZ23734" s="256"/>
      <c r="DG23734" s="256"/>
    </row>
    <row r="23735" spans="104:111">
      <c r="CZ23735" s="256"/>
      <c r="DG23735" s="256"/>
    </row>
    <row r="23736" spans="104:111">
      <c r="CZ23736" s="256"/>
      <c r="DG23736" s="256"/>
    </row>
    <row r="23737" spans="104:111">
      <c r="CZ23737" s="256"/>
      <c r="DG23737" s="256"/>
    </row>
    <row r="23738" spans="104:111">
      <c r="CZ23738" s="256"/>
      <c r="DG23738" s="256"/>
    </row>
    <row r="23739" spans="104:111">
      <c r="CZ23739" s="256"/>
      <c r="DG23739" s="256"/>
    </row>
    <row r="23740" spans="104:111">
      <c r="CZ23740" s="256"/>
      <c r="DG23740" s="256"/>
    </row>
    <row r="23741" spans="104:111">
      <c r="CZ23741" s="256"/>
      <c r="DG23741" s="256"/>
    </row>
    <row r="23742" spans="104:111">
      <c r="CZ23742" s="256"/>
      <c r="DG23742" s="256"/>
    </row>
    <row r="23743" spans="104:111">
      <c r="CZ23743" s="256"/>
      <c r="DG23743" s="256"/>
    </row>
    <row r="23744" spans="104:111">
      <c r="CZ23744" s="256"/>
      <c r="DG23744" s="256"/>
    </row>
    <row r="23745" spans="104:111">
      <c r="CZ23745" s="256"/>
      <c r="DG23745" s="256"/>
    </row>
    <row r="23746" spans="104:111">
      <c r="CZ23746" s="256"/>
      <c r="DG23746" s="256"/>
    </row>
    <row r="23747" spans="104:111">
      <c r="CZ23747" s="256"/>
      <c r="DG23747" s="256"/>
    </row>
    <row r="23748" spans="104:111">
      <c r="CZ23748" s="256"/>
      <c r="DG23748" s="256"/>
    </row>
    <row r="23749" spans="104:111">
      <c r="CZ23749" s="256"/>
      <c r="DG23749" s="256"/>
    </row>
    <row r="23750" spans="104:111">
      <c r="CZ23750" s="256"/>
      <c r="DG23750" s="256"/>
    </row>
    <row r="23751" spans="104:111">
      <c r="CZ23751" s="256"/>
      <c r="DG23751" s="256"/>
    </row>
    <row r="23752" spans="104:111">
      <c r="CZ23752" s="256"/>
      <c r="DG23752" s="256"/>
    </row>
    <row r="23753" spans="104:111">
      <c r="CZ23753" s="256"/>
      <c r="DG23753" s="256"/>
    </row>
    <row r="23754" spans="104:111">
      <c r="CZ23754" s="256"/>
      <c r="DG23754" s="256"/>
    </row>
    <row r="23755" spans="104:111">
      <c r="CZ23755" s="256"/>
      <c r="DG23755" s="256"/>
    </row>
    <row r="23756" spans="104:111">
      <c r="CZ23756" s="256"/>
      <c r="DG23756" s="256"/>
    </row>
    <row r="23757" spans="104:111">
      <c r="CZ23757" s="256"/>
      <c r="DG23757" s="256"/>
    </row>
    <row r="23758" spans="104:111">
      <c r="CZ23758" s="256"/>
      <c r="DG23758" s="256"/>
    </row>
    <row r="23759" spans="104:111">
      <c r="CZ23759" s="256"/>
      <c r="DG23759" s="256"/>
    </row>
    <row r="23760" spans="104:111">
      <c r="CZ23760" s="256"/>
      <c r="DG23760" s="256"/>
    </row>
    <row r="23761" spans="104:111">
      <c r="CZ23761" s="256"/>
      <c r="DG23761" s="256"/>
    </row>
    <row r="23762" spans="104:111">
      <c r="CZ23762" s="256"/>
      <c r="DG23762" s="256"/>
    </row>
    <row r="23763" spans="104:111">
      <c r="CZ23763" s="256"/>
      <c r="DG23763" s="256"/>
    </row>
    <row r="23764" spans="104:111">
      <c r="CZ23764" s="256"/>
      <c r="DG23764" s="256"/>
    </row>
    <row r="23765" spans="104:111">
      <c r="CZ23765" s="256"/>
      <c r="DG23765" s="256"/>
    </row>
    <row r="23766" spans="104:111">
      <c r="CZ23766" s="256"/>
      <c r="DG23766" s="256"/>
    </row>
    <row r="23767" spans="104:111">
      <c r="CZ23767" s="256"/>
      <c r="DG23767" s="256"/>
    </row>
    <row r="23768" spans="104:111">
      <c r="CZ23768" s="256"/>
      <c r="DG23768" s="256"/>
    </row>
    <row r="23769" spans="104:111">
      <c r="CZ23769" s="256"/>
      <c r="DG23769" s="256"/>
    </row>
    <row r="23770" spans="104:111">
      <c r="CZ23770" s="256"/>
      <c r="DG23770" s="256"/>
    </row>
    <row r="23771" spans="104:111">
      <c r="CZ23771" s="256"/>
      <c r="DG23771" s="256"/>
    </row>
    <row r="23772" spans="104:111">
      <c r="CZ23772" s="256"/>
      <c r="DG23772" s="256"/>
    </row>
    <row r="23773" spans="104:111">
      <c r="CZ23773" s="256"/>
      <c r="DG23773" s="256"/>
    </row>
    <row r="23774" spans="104:111">
      <c r="CZ23774" s="256"/>
      <c r="DG23774" s="256"/>
    </row>
    <row r="23775" spans="104:111">
      <c r="CZ23775" s="256"/>
      <c r="DG23775" s="256"/>
    </row>
    <row r="23776" spans="104:111">
      <c r="CZ23776" s="256"/>
      <c r="DG23776" s="256"/>
    </row>
    <row r="23777" spans="104:111">
      <c r="CZ23777" s="256"/>
      <c r="DG23777" s="256"/>
    </row>
    <row r="23778" spans="104:111">
      <c r="CZ23778" s="256"/>
      <c r="DG23778" s="256"/>
    </row>
    <row r="23779" spans="104:111">
      <c r="CZ23779" s="256"/>
      <c r="DG23779" s="256"/>
    </row>
    <row r="23780" spans="104:111">
      <c r="CZ23780" s="256"/>
      <c r="DG23780" s="256"/>
    </row>
    <row r="23781" spans="104:111">
      <c r="CZ23781" s="256"/>
      <c r="DG23781" s="256"/>
    </row>
    <row r="23782" spans="104:111">
      <c r="CZ23782" s="256"/>
      <c r="DG23782" s="256"/>
    </row>
    <row r="23783" spans="104:111">
      <c r="CZ23783" s="256"/>
      <c r="DG23783" s="256"/>
    </row>
    <row r="23784" spans="104:111">
      <c r="CZ23784" s="256"/>
      <c r="DG23784" s="256"/>
    </row>
    <row r="23785" spans="104:111">
      <c r="CZ23785" s="256"/>
      <c r="DG23785" s="256"/>
    </row>
    <row r="23786" spans="104:111">
      <c r="CZ23786" s="256"/>
      <c r="DG23786" s="256"/>
    </row>
    <row r="23787" spans="104:111">
      <c r="CZ23787" s="256"/>
      <c r="DG23787" s="256"/>
    </row>
    <row r="23788" spans="104:111">
      <c r="CZ23788" s="256"/>
      <c r="DG23788" s="256"/>
    </row>
    <row r="23789" spans="104:111">
      <c r="CZ23789" s="256"/>
      <c r="DG23789" s="256"/>
    </row>
    <row r="23790" spans="104:111">
      <c r="CZ23790" s="256"/>
      <c r="DG23790" s="256"/>
    </row>
    <row r="23791" spans="104:111">
      <c r="CZ23791" s="256"/>
      <c r="DG23791" s="256"/>
    </row>
    <row r="23792" spans="104:111">
      <c r="CZ23792" s="256"/>
      <c r="DG23792" s="256"/>
    </row>
    <row r="23793" spans="104:111">
      <c r="CZ23793" s="256"/>
      <c r="DG23793" s="256"/>
    </row>
    <row r="23794" spans="104:111">
      <c r="CZ23794" s="256"/>
      <c r="DG23794" s="256"/>
    </row>
    <row r="23795" spans="104:111">
      <c r="CZ23795" s="256"/>
      <c r="DG23795" s="256"/>
    </row>
    <row r="23796" spans="104:111">
      <c r="CZ23796" s="256"/>
      <c r="DG23796" s="256"/>
    </row>
    <row r="23797" spans="104:111">
      <c r="CZ23797" s="256"/>
      <c r="DG23797" s="256"/>
    </row>
    <row r="23798" spans="104:111">
      <c r="CZ23798" s="256"/>
      <c r="DG23798" s="256"/>
    </row>
    <row r="23799" spans="104:111">
      <c r="CZ23799" s="256"/>
      <c r="DG23799" s="256"/>
    </row>
    <row r="23800" spans="104:111">
      <c r="CZ23800" s="256"/>
      <c r="DG23800" s="256"/>
    </row>
    <row r="23801" spans="104:111">
      <c r="CZ23801" s="256"/>
      <c r="DG23801" s="256"/>
    </row>
    <row r="23802" spans="104:111">
      <c r="CZ23802" s="256"/>
      <c r="DG23802" s="256"/>
    </row>
    <row r="23803" spans="104:111">
      <c r="CZ23803" s="256"/>
      <c r="DG23803" s="256"/>
    </row>
    <row r="23804" spans="104:111">
      <c r="CZ23804" s="256"/>
      <c r="DG23804" s="256"/>
    </row>
    <row r="23805" spans="104:111">
      <c r="CZ23805" s="256"/>
      <c r="DG23805" s="256"/>
    </row>
    <row r="23806" spans="104:111">
      <c r="CZ23806" s="256"/>
      <c r="DG23806" s="256"/>
    </row>
    <row r="23807" spans="104:111">
      <c r="CZ23807" s="256"/>
      <c r="DG23807" s="256"/>
    </row>
    <row r="23808" spans="104:111">
      <c r="CZ23808" s="256"/>
      <c r="DG23808" s="256"/>
    </row>
    <row r="23809" spans="104:111">
      <c r="CZ23809" s="256"/>
      <c r="DG23809" s="256"/>
    </row>
    <row r="23810" spans="104:111">
      <c r="CZ23810" s="256"/>
      <c r="DG23810" s="256"/>
    </row>
    <row r="23811" spans="104:111">
      <c r="CZ23811" s="256"/>
      <c r="DG23811" s="256"/>
    </row>
    <row r="23812" spans="104:111">
      <c r="CZ23812" s="256"/>
      <c r="DG23812" s="256"/>
    </row>
    <row r="23813" spans="104:111">
      <c r="CZ23813" s="256"/>
      <c r="DG23813" s="256"/>
    </row>
    <row r="23814" spans="104:111">
      <c r="CZ23814" s="256"/>
      <c r="DG23814" s="256"/>
    </row>
    <row r="23815" spans="104:111">
      <c r="CZ23815" s="256"/>
      <c r="DG23815" s="256"/>
    </row>
    <row r="23816" spans="104:111">
      <c r="CZ23816" s="256"/>
      <c r="DG23816" s="256"/>
    </row>
    <row r="23817" spans="104:111">
      <c r="CZ23817" s="256"/>
      <c r="DG23817" s="256"/>
    </row>
    <row r="23818" spans="104:111">
      <c r="CZ23818" s="256"/>
      <c r="DG23818" s="256"/>
    </row>
    <row r="23819" spans="104:111">
      <c r="CZ23819" s="256"/>
      <c r="DG23819" s="256"/>
    </row>
    <row r="23820" spans="104:111">
      <c r="CZ23820" s="256"/>
      <c r="DG23820" s="256"/>
    </row>
    <row r="23821" spans="104:111">
      <c r="CZ23821" s="256"/>
      <c r="DG23821" s="256"/>
    </row>
    <row r="23822" spans="104:111">
      <c r="CZ23822" s="256"/>
      <c r="DG23822" s="256"/>
    </row>
    <row r="23823" spans="104:111">
      <c r="CZ23823" s="256"/>
      <c r="DG23823" s="256"/>
    </row>
    <row r="23824" spans="104:111">
      <c r="CZ23824" s="256"/>
      <c r="DG23824" s="256"/>
    </row>
    <row r="23825" spans="104:111">
      <c r="CZ23825" s="256"/>
      <c r="DG23825" s="256"/>
    </row>
    <row r="23826" spans="104:111">
      <c r="CZ23826" s="256"/>
      <c r="DG23826" s="256"/>
    </row>
    <row r="23827" spans="104:111">
      <c r="CZ23827" s="256"/>
      <c r="DG23827" s="256"/>
    </row>
    <row r="23828" spans="104:111">
      <c r="CZ23828" s="256"/>
      <c r="DG23828" s="256"/>
    </row>
    <row r="23829" spans="104:111">
      <c r="CZ23829" s="256"/>
      <c r="DG23829" s="256"/>
    </row>
    <row r="23830" spans="104:111">
      <c r="CZ23830" s="256"/>
      <c r="DG23830" s="256"/>
    </row>
    <row r="23831" spans="104:111">
      <c r="CZ23831" s="256"/>
      <c r="DG23831" s="256"/>
    </row>
    <row r="23832" spans="104:111">
      <c r="CZ23832" s="256"/>
      <c r="DG23832" s="256"/>
    </row>
    <row r="23833" spans="104:111">
      <c r="CZ23833" s="256"/>
      <c r="DG23833" s="256"/>
    </row>
    <row r="23834" spans="104:111">
      <c r="CZ23834" s="256"/>
      <c r="DG23834" s="256"/>
    </row>
    <row r="23835" spans="104:111">
      <c r="CZ23835" s="256"/>
      <c r="DG23835" s="256"/>
    </row>
    <row r="23836" spans="104:111">
      <c r="CZ23836" s="256"/>
      <c r="DG23836" s="256"/>
    </row>
    <row r="23837" spans="104:111">
      <c r="CZ23837" s="256"/>
      <c r="DG23837" s="256"/>
    </row>
    <row r="23838" spans="104:111">
      <c r="CZ23838" s="256"/>
      <c r="DG23838" s="256"/>
    </row>
    <row r="23839" spans="104:111">
      <c r="CZ23839" s="256"/>
      <c r="DG23839" s="256"/>
    </row>
    <row r="23840" spans="104:111">
      <c r="CZ23840" s="256"/>
      <c r="DG23840" s="256"/>
    </row>
    <row r="23841" spans="104:111">
      <c r="CZ23841" s="256"/>
      <c r="DG23841" s="256"/>
    </row>
    <row r="23842" spans="104:111">
      <c r="CZ23842" s="256"/>
      <c r="DG23842" s="256"/>
    </row>
    <row r="23843" spans="104:111">
      <c r="CZ23843" s="256"/>
      <c r="DG23843" s="256"/>
    </row>
    <row r="23844" spans="104:111">
      <c r="CZ23844" s="256"/>
      <c r="DG23844" s="256"/>
    </row>
    <row r="23845" spans="104:111">
      <c r="CZ23845" s="256"/>
      <c r="DG23845" s="256"/>
    </row>
    <row r="23846" spans="104:111">
      <c r="CZ23846" s="256"/>
      <c r="DG23846" s="256"/>
    </row>
    <row r="23847" spans="104:111">
      <c r="CZ23847" s="256"/>
      <c r="DG23847" s="256"/>
    </row>
    <row r="23848" spans="104:111">
      <c r="CZ23848" s="256"/>
      <c r="DG23848" s="256"/>
    </row>
    <row r="23849" spans="104:111">
      <c r="CZ23849" s="256"/>
      <c r="DG23849" s="256"/>
    </row>
    <row r="23850" spans="104:111">
      <c r="CZ23850" s="256"/>
      <c r="DG23850" s="256"/>
    </row>
    <row r="23851" spans="104:111">
      <c r="CZ23851" s="256"/>
      <c r="DG23851" s="256"/>
    </row>
    <row r="23852" spans="104:111">
      <c r="CZ23852" s="256"/>
      <c r="DG23852" s="256"/>
    </row>
    <row r="23853" spans="104:111">
      <c r="CZ23853" s="256"/>
      <c r="DG23853" s="256"/>
    </row>
    <row r="23854" spans="104:111">
      <c r="CZ23854" s="256"/>
      <c r="DG23854" s="256"/>
    </row>
    <row r="23855" spans="104:111">
      <c r="CZ23855" s="256"/>
      <c r="DG23855" s="256"/>
    </row>
    <row r="23856" spans="104:111">
      <c r="CZ23856" s="256"/>
      <c r="DG23856" s="256"/>
    </row>
    <row r="23857" spans="104:111">
      <c r="CZ23857" s="256"/>
      <c r="DG23857" s="256"/>
    </row>
    <row r="23858" spans="104:111">
      <c r="CZ23858" s="256"/>
      <c r="DG23858" s="256"/>
    </row>
    <row r="23859" spans="104:111">
      <c r="CZ23859" s="256"/>
      <c r="DG23859" s="256"/>
    </row>
    <row r="23860" spans="104:111">
      <c r="CZ23860" s="256"/>
      <c r="DG23860" s="256"/>
    </row>
    <row r="23861" spans="104:111">
      <c r="CZ23861" s="256"/>
      <c r="DG23861" s="256"/>
    </row>
    <row r="23862" spans="104:111">
      <c r="CZ23862" s="256"/>
      <c r="DG23862" s="256"/>
    </row>
    <row r="23863" spans="104:111">
      <c r="CZ23863" s="256"/>
      <c r="DG23863" s="256"/>
    </row>
    <row r="23864" spans="104:111">
      <c r="CZ23864" s="256"/>
      <c r="DG23864" s="256"/>
    </row>
    <row r="23865" spans="104:111">
      <c r="CZ23865" s="256"/>
      <c r="DG23865" s="256"/>
    </row>
    <row r="23866" spans="104:111">
      <c r="CZ23866" s="256"/>
      <c r="DG23866" s="256"/>
    </row>
    <row r="23867" spans="104:111">
      <c r="CZ23867" s="256"/>
      <c r="DG23867" s="256"/>
    </row>
    <row r="23868" spans="104:111">
      <c r="CZ23868" s="256"/>
      <c r="DG23868" s="256"/>
    </row>
    <row r="23869" spans="104:111">
      <c r="CZ23869" s="256"/>
      <c r="DG23869" s="256"/>
    </row>
    <row r="23870" spans="104:111">
      <c r="CZ23870" s="256"/>
      <c r="DG23870" s="256"/>
    </row>
    <row r="23871" spans="104:111">
      <c r="CZ23871" s="256"/>
      <c r="DG23871" s="256"/>
    </row>
    <row r="23872" spans="104:111">
      <c r="CZ23872" s="256"/>
      <c r="DG23872" s="256"/>
    </row>
    <row r="23873" spans="104:111">
      <c r="CZ23873" s="256"/>
      <c r="DG23873" s="256"/>
    </row>
    <row r="23874" spans="104:111">
      <c r="CZ23874" s="256"/>
      <c r="DG23874" s="256"/>
    </row>
    <row r="23875" spans="104:111">
      <c r="CZ23875" s="256"/>
      <c r="DG23875" s="256"/>
    </row>
    <row r="23876" spans="104:111">
      <c r="CZ23876" s="256"/>
      <c r="DG23876" s="256"/>
    </row>
    <row r="23877" spans="104:111">
      <c r="CZ23877" s="256"/>
      <c r="DG23877" s="256"/>
    </row>
    <row r="23878" spans="104:111">
      <c r="CZ23878" s="256"/>
      <c r="DG23878" s="256"/>
    </row>
    <row r="23879" spans="104:111">
      <c r="CZ23879" s="256"/>
      <c r="DG23879" s="256"/>
    </row>
    <row r="23880" spans="104:111">
      <c r="CZ23880" s="256"/>
      <c r="DG23880" s="256"/>
    </row>
    <row r="23881" spans="104:111">
      <c r="CZ23881" s="256"/>
      <c r="DG23881" s="256"/>
    </row>
    <row r="23882" spans="104:111">
      <c r="CZ23882" s="256"/>
      <c r="DG23882" s="256"/>
    </row>
    <row r="23883" spans="104:111">
      <c r="CZ23883" s="256"/>
      <c r="DG23883" s="256"/>
    </row>
    <row r="23884" spans="104:111">
      <c r="CZ23884" s="256"/>
      <c r="DG23884" s="256"/>
    </row>
    <row r="23885" spans="104:111">
      <c r="CZ23885" s="256"/>
      <c r="DG23885" s="256"/>
    </row>
    <row r="23886" spans="104:111">
      <c r="CZ23886" s="256"/>
      <c r="DG23886" s="256"/>
    </row>
    <row r="23887" spans="104:111">
      <c r="CZ23887" s="256"/>
      <c r="DG23887" s="256"/>
    </row>
    <row r="23888" spans="104:111">
      <c r="CZ23888" s="256"/>
      <c r="DG23888" s="256"/>
    </row>
    <row r="23889" spans="104:111">
      <c r="CZ23889" s="256"/>
      <c r="DG23889" s="256"/>
    </row>
    <row r="23890" spans="104:111">
      <c r="CZ23890" s="256"/>
      <c r="DG23890" s="256"/>
    </row>
    <row r="23891" spans="104:111">
      <c r="CZ23891" s="256"/>
      <c r="DG23891" s="256"/>
    </row>
    <row r="23892" spans="104:111">
      <c r="CZ23892" s="256"/>
      <c r="DG23892" s="256"/>
    </row>
    <row r="23893" spans="104:111">
      <c r="CZ23893" s="256"/>
      <c r="DG23893" s="256"/>
    </row>
    <row r="23894" spans="104:111">
      <c r="CZ23894" s="256"/>
      <c r="DG23894" s="256"/>
    </row>
    <row r="23895" spans="104:111">
      <c r="CZ23895" s="256"/>
      <c r="DG23895" s="256"/>
    </row>
    <row r="23896" spans="104:111">
      <c r="CZ23896" s="256"/>
      <c r="DG23896" s="256"/>
    </row>
    <row r="23897" spans="104:111">
      <c r="CZ23897" s="256"/>
      <c r="DG23897" s="256"/>
    </row>
    <row r="23898" spans="104:111">
      <c r="CZ23898" s="256"/>
      <c r="DG23898" s="256"/>
    </row>
    <row r="23899" spans="104:111">
      <c r="CZ23899" s="256"/>
      <c r="DG23899" s="256"/>
    </row>
    <row r="23900" spans="104:111">
      <c r="CZ23900" s="256"/>
      <c r="DG23900" s="256"/>
    </row>
    <row r="23901" spans="104:111">
      <c r="CZ23901" s="256"/>
      <c r="DG23901" s="256"/>
    </row>
    <row r="23902" spans="104:111">
      <c r="CZ23902" s="256"/>
      <c r="DG23902" s="256"/>
    </row>
    <row r="23903" spans="104:111">
      <c r="CZ23903" s="256"/>
      <c r="DG23903" s="256"/>
    </row>
    <row r="23904" spans="104:111">
      <c r="CZ23904" s="256"/>
      <c r="DG23904" s="256"/>
    </row>
    <row r="23905" spans="104:111">
      <c r="CZ23905" s="256"/>
      <c r="DG23905" s="256"/>
    </row>
    <row r="23906" spans="104:111">
      <c r="CZ23906" s="256"/>
      <c r="DG23906" s="256"/>
    </row>
    <row r="23907" spans="104:111">
      <c r="CZ23907" s="256"/>
      <c r="DG23907" s="256"/>
    </row>
    <row r="23908" spans="104:111">
      <c r="CZ23908" s="256"/>
      <c r="DG23908" s="256"/>
    </row>
    <row r="23909" spans="104:111">
      <c r="CZ23909" s="256"/>
      <c r="DG23909" s="256"/>
    </row>
    <row r="23910" spans="104:111">
      <c r="CZ23910" s="256"/>
      <c r="DG23910" s="256"/>
    </row>
    <row r="23911" spans="104:111">
      <c r="CZ23911" s="256"/>
      <c r="DG23911" s="256"/>
    </row>
    <row r="23912" spans="104:111">
      <c r="CZ23912" s="256"/>
      <c r="DG23912" s="256"/>
    </row>
    <row r="23913" spans="104:111">
      <c r="CZ23913" s="256"/>
      <c r="DG23913" s="256"/>
    </row>
    <row r="23914" spans="104:111">
      <c r="CZ23914" s="256"/>
      <c r="DG23914" s="256"/>
    </row>
    <row r="23915" spans="104:111">
      <c r="CZ23915" s="256"/>
      <c r="DG23915" s="256"/>
    </row>
    <row r="23916" spans="104:111">
      <c r="CZ23916" s="256"/>
      <c r="DG23916" s="256"/>
    </row>
    <row r="23917" spans="104:111">
      <c r="CZ23917" s="256"/>
      <c r="DG23917" s="256"/>
    </row>
    <row r="23918" spans="104:111">
      <c r="CZ23918" s="256"/>
      <c r="DG23918" s="256"/>
    </row>
    <row r="23919" spans="104:111">
      <c r="CZ23919" s="256"/>
      <c r="DG23919" s="256"/>
    </row>
    <row r="23920" spans="104:111">
      <c r="CZ23920" s="256"/>
      <c r="DG23920" s="256"/>
    </row>
    <row r="23921" spans="104:111">
      <c r="CZ23921" s="256"/>
      <c r="DG23921" s="256"/>
    </row>
    <row r="23922" spans="104:111">
      <c r="CZ23922" s="256"/>
      <c r="DG23922" s="256"/>
    </row>
    <row r="23923" spans="104:111">
      <c r="CZ23923" s="256"/>
      <c r="DG23923" s="256"/>
    </row>
    <row r="23924" spans="104:111">
      <c r="CZ23924" s="256"/>
      <c r="DG23924" s="256"/>
    </row>
    <row r="23925" spans="104:111">
      <c r="CZ23925" s="256"/>
      <c r="DG23925" s="256"/>
    </row>
    <row r="23926" spans="104:111">
      <c r="CZ23926" s="256"/>
      <c r="DG23926" s="256"/>
    </row>
    <row r="23927" spans="104:111">
      <c r="CZ23927" s="256"/>
      <c r="DG23927" s="256"/>
    </row>
    <row r="23928" spans="104:111">
      <c r="CZ23928" s="256"/>
      <c r="DG23928" s="256"/>
    </row>
    <row r="23929" spans="104:111">
      <c r="CZ23929" s="256"/>
      <c r="DG23929" s="256"/>
    </row>
    <row r="23930" spans="104:111">
      <c r="CZ23930" s="256"/>
      <c r="DG23930" s="256"/>
    </row>
    <row r="23931" spans="104:111">
      <c r="CZ23931" s="256"/>
      <c r="DG23931" s="256"/>
    </row>
    <row r="23932" spans="104:111">
      <c r="CZ23932" s="256"/>
      <c r="DG23932" s="256"/>
    </row>
    <row r="23933" spans="104:111">
      <c r="CZ23933" s="256"/>
      <c r="DG23933" s="256"/>
    </row>
    <row r="23934" spans="104:111">
      <c r="CZ23934" s="256"/>
      <c r="DG23934" s="256"/>
    </row>
    <row r="23935" spans="104:111">
      <c r="CZ23935" s="256"/>
      <c r="DG23935" s="256"/>
    </row>
    <row r="23936" spans="104:111">
      <c r="CZ23936" s="256"/>
      <c r="DG23936" s="256"/>
    </row>
    <row r="23937" spans="104:111">
      <c r="CZ23937" s="256"/>
      <c r="DG23937" s="256"/>
    </row>
    <row r="23938" spans="104:111">
      <c r="CZ23938" s="256"/>
      <c r="DG23938" s="256"/>
    </row>
    <row r="23939" spans="104:111">
      <c r="CZ23939" s="256"/>
      <c r="DG23939" s="256"/>
    </row>
    <row r="23940" spans="104:111">
      <c r="CZ23940" s="256"/>
      <c r="DG23940" s="256"/>
    </row>
    <row r="23941" spans="104:111">
      <c r="CZ23941" s="256"/>
      <c r="DG23941" s="256"/>
    </row>
    <row r="23942" spans="104:111">
      <c r="CZ23942" s="256"/>
      <c r="DG23942" s="256"/>
    </row>
    <row r="23943" spans="104:111">
      <c r="CZ23943" s="256"/>
      <c r="DG23943" s="256"/>
    </row>
    <row r="23944" spans="104:111">
      <c r="CZ23944" s="256"/>
      <c r="DG23944" s="256"/>
    </row>
    <row r="23945" spans="104:111">
      <c r="CZ23945" s="256"/>
      <c r="DG23945" s="256"/>
    </row>
    <row r="23946" spans="104:111">
      <c r="CZ23946" s="256"/>
      <c r="DG23946" s="256"/>
    </row>
    <row r="23947" spans="104:111">
      <c r="CZ23947" s="256"/>
      <c r="DG23947" s="256"/>
    </row>
    <row r="23948" spans="104:111">
      <c r="CZ23948" s="256"/>
      <c r="DG23948" s="256"/>
    </row>
    <row r="23949" spans="104:111">
      <c r="CZ23949" s="256"/>
      <c r="DG23949" s="256"/>
    </row>
    <row r="23950" spans="104:111">
      <c r="CZ23950" s="256"/>
      <c r="DG23950" s="256"/>
    </row>
    <row r="23951" spans="104:111">
      <c r="CZ23951" s="256"/>
      <c r="DG23951" s="256"/>
    </row>
    <row r="23952" spans="104:111">
      <c r="CZ23952" s="256"/>
      <c r="DG23952" s="256"/>
    </row>
    <row r="23953" spans="104:111">
      <c r="CZ23953" s="256"/>
      <c r="DG23953" s="256"/>
    </row>
    <row r="23954" spans="104:111">
      <c r="CZ23954" s="256"/>
      <c r="DG23954" s="256"/>
    </row>
    <row r="23955" spans="104:111">
      <c r="CZ23955" s="256"/>
      <c r="DG23955" s="256"/>
    </row>
    <row r="23956" spans="104:111">
      <c r="CZ23956" s="256"/>
      <c r="DG23956" s="256"/>
    </row>
    <row r="23957" spans="104:111">
      <c r="CZ23957" s="256"/>
      <c r="DG23957" s="256"/>
    </row>
    <row r="23958" spans="104:111">
      <c r="CZ23958" s="256"/>
      <c r="DG23958" s="256"/>
    </row>
    <row r="23959" spans="104:111">
      <c r="CZ23959" s="256"/>
      <c r="DG23959" s="256"/>
    </row>
    <row r="23960" spans="104:111">
      <c r="CZ23960" s="256"/>
      <c r="DG23960" s="256"/>
    </row>
    <row r="23961" spans="104:111">
      <c r="CZ23961" s="256"/>
      <c r="DG23961" s="256"/>
    </row>
    <row r="23962" spans="104:111">
      <c r="CZ23962" s="256"/>
      <c r="DG23962" s="256"/>
    </row>
    <row r="23963" spans="104:111">
      <c r="CZ23963" s="256"/>
      <c r="DG23963" s="256"/>
    </row>
    <row r="23964" spans="104:111">
      <c r="CZ23964" s="256"/>
      <c r="DG23964" s="256"/>
    </row>
    <row r="23965" spans="104:111">
      <c r="CZ23965" s="256"/>
      <c r="DG23965" s="256"/>
    </row>
    <row r="23966" spans="104:111">
      <c r="CZ23966" s="256"/>
      <c r="DG23966" s="256"/>
    </row>
    <row r="23967" spans="104:111">
      <c r="CZ23967" s="256"/>
      <c r="DG23967" s="256"/>
    </row>
    <row r="23968" spans="104:111">
      <c r="CZ23968" s="256"/>
      <c r="DG23968" s="256"/>
    </row>
    <row r="23969" spans="104:111">
      <c r="CZ23969" s="256"/>
      <c r="DG23969" s="256"/>
    </row>
    <row r="23970" spans="104:111">
      <c r="CZ23970" s="256"/>
      <c r="DG23970" s="256"/>
    </row>
    <row r="23971" spans="104:111">
      <c r="CZ23971" s="256"/>
      <c r="DG23971" s="256"/>
    </row>
    <row r="23972" spans="104:111">
      <c r="CZ23972" s="256"/>
      <c r="DG23972" s="256"/>
    </row>
    <row r="23973" spans="104:111">
      <c r="CZ23973" s="256"/>
      <c r="DG23973" s="256"/>
    </row>
    <row r="23974" spans="104:111">
      <c r="CZ23974" s="256"/>
      <c r="DG23974" s="256"/>
    </row>
    <row r="23975" spans="104:111">
      <c r="CZ23975" s="256"/>
      <c r="DG23975" s="256"/>
    </row>
    <row r="23976" spans="104:111">
      <c r="CZ23976" s="256"/>
      <c r="DG23976" s="256"/>
    </row>
    <row r="23977" spans="104:111">
      <c r="CZ23977" s="256"/>
      <c r="DG23977" s="256"/>
    </row>
    <row r="23978" spans="104:111">
      <c r="CZ23978" s="256"/>
      <c r="DG23978" s="256"/>
    </row>
    <row r="23979" spans="104:111">
      <c r="CZ23979" s="256"/>
      <c r="DG23979" s="256"/>
    </row>
    <row r="23980" spans="104:111">
      <c r="CZ23980" s="256"/>
      <c r="DG23980" s="256"/>
    </row>
    <row r="23981" spans="104:111">
      <c r="CZ23981" s="256"/>
      <c r="DG23981" s="256"/>
    </row>
    <row r="23982" spans="104:111">
      <c r="CZ23982" s="256"/>
      <c r="DG23982" s="256"/>
    </row>
    <row r="23983" spans="104:111">
      <c r="CZ23983" s="256"/>
      <c r="DG23983" s="256"/>
    </row>
    <row r="23984" spans="104:111">
      <c r="CZ23984" s="256"/>
      <c r="DG23984" s="256"/>
    </row>
    <row r="23985" spans="104:111">
      <c r="CZ23985" s="256"/>
      <c r="DG23985" s="256"/>
    </row>
    <row r="23986" spans="104:111">
      <c r="CZ23986" s="256"/>
      <c r="DG23986" s="256"/>
    </row>
    <row r="23987" spans="104:111">
      <c r="CZ23987" s="256"/>
      <c r="DG23987" s="256"/>
    </row>
    <row r="23988" spans="104:111">
      <c r="CZ23988" s="256"/>
      <c r="DG23988" s="256"/>
    </row>
    <row r="23989" spans="104:111">
      <c r="CZ23989" s="256"/>
      <c r="DG23989" s="256"/>
    </row>
    <row r="23990" spans="104:111">
      <c r="CZ23990" s="256"/>
      <c r="DG23990" s="256"/>
    </row>
    <row r="23991" spans="104:111">
      <c r="CZ23991" s="256"/>
      <c r="DG23991" s="256"/>
    </row>
    <row r="23992" spans="104:111">
      <c r="CZ23992" s="256"/>
      <c r="DG23992" s="256"/>
    </row>
    <row r="23993" spans="104:111">
      <c r="CZ23993" s="256"/>
      <c r="DG23993" s="256"/>
    </row>
    <row r="23994" spans="104:111">
      <c r="CZ23994" s="256"/>
      <c r="DG23994" s="256"/>
    </row>
    <row r="23995" spans="104:111">
      <c r="CZ23995" s="256"/>
      <c r="DG23995" s="256"/>
    </row>
    <row r="23996" spans="104:111">
      <c r="CZ23996" s="256"/>
      <c r="DG23996" s="256"/>
    </row>
    <row r="23997" spans="104:111">
      <c r="CZ23997" s="256"/>
      <c r="DG23997" s="256"/>
    </row>
    <row r="23998" spans="104:111">
      <c r="CZ23998" s="256"/>
      <c r="DG23998" s="256"/>
    </row>
    <row r="23999" spans="104:111">
      <c r="CZ23999" s="256"/>
      <c r="DG23999" s="256"/>
    </row>
    <row r="24000" spans="104:111">
      <c r="CZ24000" s="256"/>
      <c r="DG24000" s="256"/>
    </row>
    <row r="24001" spans="104:111">
      <c r="CZ24001" s="256"/>
      <c r="DG24001" s="256"/>
    </row>
    <row r="24002" spans="104:111">
      <c r="CZ24002" s="256"/>
      <c r="DG24002" s="256"/>
    </row>
    <row r="24003" spans="104:111">
      <c r="CZ24003" s="256"/>
      <c r="DG24003" s="256"/>
    </row>
    <row r="24004" spans="104:111">
      <c r="CZ24004" s="256"/>
      <c r="DG24004" s="256"/>
    </row>
    <row r="24005" spans="104:111">
      <c r="CZ24005" s="256"/>
      <c r="DG24005" s="256"/>
    </row>
    <row r="24006" spans="104:111">
      <c r="CZ24006" s="256"/>
      <c r="DG24006" s="256"/>
    </row>
    <row r="24007" spans="104:111">
      <c r="CZ24007" s="256"/>
      <c r="DG24007" s="256"/>
    </row>
    <row r="24008" spans="104:111">
      <c r="CZ24008" s="256"/>
      <c r="DG24008" s="256"/>
    </row>
    <row r="24009" spans="104:111">
      <c r="CZ24009" s="256"/>
      <c r="DG24009" s="256"/>
    </row>
    <row r="24010" spans="104:111">
      <c r="CZ24010" s="256"/>
      <c r="DG24010" s="256"/>
    </row>
    <row r="24011" spans="104:111">
      <c r="CZ24011" s="256"/>
      <c r="DG24011" s="256"/>
    </row>
    <row r="24012" spans="104:111">
      <c r="CZ24012" s="256"/>
      <c r="DG24012" s="256"/>
    </row>
    <row r="24013" spans="104:111">
      <c r="CZ24013" s="256"/>
      <c r="DG24013" s="256"/>
    </row>
    <row r="24014" spans="104:111">
      <c r="CZ24014" s="256"/>
      <c r="DG24014" s="256"/>
    </row>
    <row r="24015" spans="104:111">
      <c r="CZ24015" s="256"/>
      <c r="DG24015" s="256"/>
    </row>
    <row r="24016" spans="104:111">
      <c r="CZ24016" s="256"/>
      <c r="DG24016" s="256"/>
    </row>
    <row r="24017" spans="104:111">
      <c r="CZ24017" s="256"/>
      <c r="DG24017" s="256"/>
    </row>
    <row r="24018" spans="104:111">
      <c r="CZ24018" s="256"/>
      <c r="DG24018" s="256"/>
    </row>
    <row r="24019" spans="104:111">
      <c r="CZ24019" s="256"/>
      <c r="DG24019" s="256"/>
    </row>
    <row r="24020" spans="104:111">
      <c r="CZ24020" s="256"/>
      <c r="DG24020" s="256"/>
    </row>
    <row r="24021" spans="104:111">
      <c r="CZ24021" s="256"/>
      <c r="DG24021" s="256"/>
    </row>
    <row r="24022" spans="104:111">
      <c r="CZ24022" s="256"/>
      <c r="DG24022" s="256"/>
    </row>
    <row r="24023" spans="104:111">
      <c r="CZ24023" s="256"/>
      <c r="DG24023" s="256"/>
    </row>
    <row r="24024" spans="104:111">
      <c r="CZ24024" s="256"/>
      <c r="DG24024" s="256"/>
    </row>
    <row r="24025" spans="104:111">
      <c r="CZ24025" s="256"/>
      <c r="DG24025" s="256"/>
    </row>
    <row r="24026" spans="104:111">
      <c r="CZ24026" s="256"/>
      <c r="DG24026" s="256"/>
    </row>
    <row r="24027" spans="104:111">
      <c r="CZ24027" s="256"/>
      <c r="DG24027" s="256"/>
    </row>
    <row r="24028" spans="104:111">
      <c r="CZ24028" s="256"/>
      <c r="DG24028" s="256"/>
    </row>
    <row r="24029" spans="104:111">
      <c r="CZ24029" s="256"/>
      <c r="DG24029" s="256"/>
    </row>
    <row r="24030" spans="104:111">
      <c r="CZ24030" s="256"/>
      <c r="DG24030" s="256"/>
    </row>
    <row r="24031" spans="104:111">
      <c r="CZ24031" s="256"/>
      <c r="DG24031" s="256"/>
    </row>
    <row r="24032" spans="104:111">
      <c r="CZ24032" s="256"/>
      <c r="DG24032" s="256"/>
    </row>
    <row r="24033" spans="104:111">
      <c r="CZ24033" s="256"/>
      <c r="DG24033" s="256"/>
    </row>
    <row r="24034" spans="104:111">
      <c r="CZ24034" s="256"/>
      <c r="DG24034" s="256"/>
    </row>
    <row r="24035" spans="104:111">
      <c r="CZ24035" s="256"/>
      <c r="DG24035" s="256"/>
    </row>
    <row r="24036" spans="104:111">
      <c r="CZ24036" s="256"/>
      <c r="DG24036" s="256"/>
    </row>
    <row r="24037" spans="104:111">
      <c r="CZ24037" s="256"/>
      <c r="DG24037" s="256"/>
    </row>
    <row r="24038" spans="104:111">
      <c r="CZ24038" s="256"/>
      <c r="DG24038" s="256"/>
    </row>
    <row r="24039" spans="104:111">
      <c r="CZ24039" s="256"/>
      <c r="DG24039" s="256"/>
    </row>
    <row r="24040" spans="104:111">
      <c r="CZ24040" s="256"/>
      <c r="DG24040" s="256"/>
    </row>
    <row r="24041" spans="104:111">
      <c r="CZ24041" s="256"/>
      <c r="DG24041" s="256"/>
    </row>
    <row r="24042" spans="104:111">
      <c r="CZ24042" s="256"/>
      <c r="DG24042" s="256"/>
    </row>
    <row r="24043" spans="104:111">
      <c r="CZ24043" s="256"/>
      <c r="DG24043" s="256"/>
    </row>
    <row r="24044" spans="104:111">
      <c r="CZ24044" s="256"/>
      <c r="DG24044" s="256"/>
    </row>
    <row r="24045" spans="104:111">
      <c r="CZ24045" s="256"/>
      <c r="DG24045" s="256"/>
    </row>
    <row r="24046" spans="104:111">
      <c r="CZ24046" s="256"/>
      <c r="DG24046" s="256"/>
    </row>
    <row r="24047" spans="104:111">
      <c r="CZ24047" s="256"/>
      <c r="DG24047" s="256"/>
    </row>
    <row r="24048" spans="104:111">
      <c r="CZ24048" s="256"/>
      <c r="DG24048" s="256"/>
    </row>
    <row r="24049" spans="104:111">
      <c r="CZ24049" s="256"/>
      <c r="DG24049" s="256"/>
    </row>
    <row r="24050" spans="104:111">
      <c r="CZ24050" s="256"/>
      <c r="DG24050" s="256"/>
    </row>
    <row r="24051" spans="104:111">
      <c r="CZ24051" s="256"/>
      <c r="DG24051" s="256"/>
    </row>
    <row r="24052" spans="104:111">
      <c r="CZ24052" s="256"/>
      <c r="DG24052" s="256"/>
    </row>
    <row r="24053" spans="104:111">
      <c r="CZ24053" s="256"/>
      <c r="DG24053" s="256"/>
    </row>
    <row r="24054" spans="104:111">
      <c r="CZ24054" s="256"/>
      <c r="DG24054" s="256"/>
    </row>
    <row r="24055" spans="104:111">
      <c r="CZ24055" s="256"/>
      <c r="DG24055" s="256"/>
    </row>
    <row r="24056" spans="104:111">
      <c r="CZ24056" s="256"/>
      <c r="DG24056" s="256"/>
    </row>
    <row r="24057" spans="104:111">
      <c r="CZ24057" s="256"/>
      <c r="DG24057" s="256"/>
    </row>
    <row r="24058" spans="104:111">
      <c r="CZ24058" s="256"/>
      <c r="DG24058" s="256"/>
    </row>
    <row r="24059" spans="104:111">
      <c r="CZ24059" s="256"/>
      <c r="DG24059" s="256"/>
    </row>
    <row r="24060" spans="104:111">
      <c r="CZ24060" s="256"/>
      <c r="DG24060" s="256"/>
    </row>
    <row r="24061" spans="104:111">
      <c r="CZ24061" s="256"/>
      <c r="DG24061" s="256"/>
    </row>
    <row r="24062" spans="104:111">
      <c r="CZ24062" s="256"/>
      <c r="DG24062" s="256"/>
    </row>
    <row r="24063" spans="104:111">
      <c r="CZ24063" s="256"/>
      <c r="DG24063" s="256"/>
    </row>
    <row r="24064" spans="104:111">
      <c r="CZ24064" s="256"/>
      <c r="DG24064" s="256"/>
    </row>
    <row r="24065" spans="104:111">
      <c r="CZ24065" s="256"/>
      <c r="DG24065" s="256"/>
    </row>
    <row r="24066" spans="104:111">
      <c r="CZ24066" s="256"/>
      <c r="DG24066" s="256"/>
    </row>
    <row r="24067" spans="104:111">
      <c r="CZ24067" s="256"/>
      <c r="DG24067" s="256"/>
    </row>
    <row r="24068" spans="104:111">
      <c r="CZ24068" s="256"/>
      <c r="DG24068" s="256"/>
    </row>
    <row r="24069" spans="104:111">
      <c r="CZ24069" s="256"/>
      <c r="DG24069" s="256"/>
    </row>
    <row r="24070" spans="104:111">
      <c r="CZ24070" s="256"/>
      <c r="DG24070" s="256"/>
    </row>
    <row r="24071" spans="104:111">
      <c r="CZ24071" s="256"/>
      <c r="DG24071" s="256"/>
    </row>
    <row r="24072" spans="104:111">
      <c r="CZ24072" s="256"/>
      <c r="DG24072" s="256"/>
    </row>
    <row r="24073" spans="104:111">
      <c r="CZ24073" s="256"/>
      <c r="DG24073" s="256"/>
    </row>
    <row r="24074" spans="104:111">
      <c r="CZ24074" s="256"/>
      <c r="DG24074" s="256"/>
    </row>
    <row r="24075" spans="104:111">
      <c r="CZ24075" s="256"/>
      <c r="DG24075" s="256"/>
    </row>
    <row r="24076" spans="104:111">
      <c r="CZ24076" s="256"/>
      <c r="DG24076" s="256"/>
    </row>
    <row r="24077" spans="104:111">
      <c r="CZ24077" s="256"/>
      <c r="DG24077" s="256"/>
    </row>
    <row r="24078" spans="104:111">
      <c r="CZ24078" s="256"/>
      <c r="DG24078" s="256"/>
    </row>
    <row r="24079" spans="104:111">
      <c r="CZ24079" s="256"/>
      <c r="DG24079" s="256"/>
    </row>
    <row r="24080" spans="104:111">
      <c r="CZ24080" s="256"/>
      <c r="DG24080" s="256"/>
    </row>
    <row r="24081" spans="104:111">
      <c r="CZ24081" s="256"/>
      <c r="DG24081" s="256"/>
    </row>
    <row r="24082" spans="104:111">
      <c r="CZ24082" s="256"/>
      <c r="DG24082" s="256"/>
    </row>
    <row r="24083" spans="104:111">
      <c r="CZ24083" s="256"/>
      <c r="DG24083" s="256"/>
    </row>
    <row r="24084" spans="104:111">
      <c r="CZ24084" s="256"/>
      <c r="DG24084" s="256"/>
    </row>
    <row r="24085" spans="104:111">
      <c r="CZ24085" s="256"/>
      <c r="DG24085" s="256"/>
    </row>
    <row r="24086" spans="104:111">
      <c r="CZ24086" s="256"/>
      <c r="DG24086" s="256"/>
    </row>
    <row r="24087" spans="104:111">
      <c r="CZ24087" s="256"/>
      <c r="DG24087" s="256"/>
    </row>
    <row r="24088" spans="104:111">
      <c r="CZ24088" s="256"/>
      <c r="DG24088" s="256"/>
    </row>
    <row r="24089" spans="104:111">
      <c r="CZ24089" s="256"/>
      <c r="DG24089" s="256"/>
    </row>
    <row r="24090" spans="104:111">
      <c r="CZ24090" s="256"/>
      <c r="DG24090" s="256"/>
    </row>
    <row r="24091" spans="104:111">
      <c r="CZ24091" s="256"/>
      <c r="DG24091" s="256"/>
    </row>
    <row r="24092" spans="104:111">
      <c r="CZ24092" s="256"/>
      <c r="DG24092" s="256"/>
    </row>
    <row r="24093" spans="104:111">
      <c r="CZ24093" s="256"/>
      <c r="DG24093" s="256"/>
    </row>
    <row r="24094" spans="104:111">
      <c r="CZ24094" s="256"/>
      <c r="DG24094" s="256"/>
    </row>
    <row r="24095" spans="104:111">
      <c r="CZ24095" s="256"/>
      <c r="DG24095" s="256"/>
    </row>
    <row r="24096" spans="104:111">
      <c r="CZ24096" s="256"/>
      <c r="DG24096" s="256"/>
    </row>
    <row r="24097" spans="104:111">
      <c r="CZ24097" s="256"/>
      <c r="DG24097" s="256"/>
    </row>
    <row r="24098" spans="104:111">
      <c r="CZ24098" s="256"/>
      <c r="DG24098" s="256"/>
    </row>
    <row r="24099" spans="104:111">
      <c r="CZ24099" s="256"/>
      <c r="DG24099" s="256"/>
    </row>
    <row r="24100" spans="104:111">
      <c r="CZ24100" s="256"/>
      <c r="DG24100" s="256"/>
    </row>
    <row r="24101" spans="104:111">
      <c r="CZ24101" s="256"/>
      <c r="DG24101" s="256"/>
    </row>
    <row r="24102" spans="104:111">
      <c r="CZ24102" s="256"/>
      <c r="DG24102" s="256"/>
    </row>
    <row r="24103" spans="104:111">
      <c r="CZ24103" s="256"/>
      <c r="DG24103" s="256"/>
    </row>
    <row r="24104" spans="104:111">
      <c r="CZ24104" s="256"/>
      <c r="DG24104" s="256"/>
    </row>
    <row r="24105" spans="104:111">
      <c r="CZ24105" s="256"/>
      <c r="DG24105" s="256"/>
    </row>
    <row r="24106" spans="104:111">
      <c r="CZ24106" s="256"/>
      <c r="DG24106" s="256"/>
    </row>
    <row r="24107" spans="104:111">
      <c r="CZ24107" s="256"/>
      <c r="DG24107" s="256"/>
    </row>
    <row r="24108" spans="104:111">
      <c r="CZ24108" s="256"/>
      <c r="DG24108" s="256"/>
    </row>
    <row r="24109" spans="104:111">
      <c r="CZ24109" s="256"/>
      <c r="DG24109" s="256"/>
    </row>
    <row r="24110" spans="104:111">
      <c r="CZ24110" s="256"/>
      <c r="DG24110" s="256"/>
    </row>
    <row r="24111" spans="104:111">
      <c r="CZ24111" s="256"/>
      <c r="DG24111" s="256"/>
    </row>
    <row r="24112" spans="104:111">
      <c r="CZ24112" s="256"/>
      <c r="DG24112" s="256"/>
    </row>
    <row r="24113" spans="104:111">
      <c r="CZ24113" s="256"/>
      <c r="DG24113" s="256"/>
    </row>
    <row r="24114" spans="104:111">
      <c r="CZ24114" s="256"/>
      <c r="DG24114" s="256"/>
    </row>
    <row r="24115" spans="104:111">
      <c r="CZ24115" s="256"/>
      <c r="DG24115" s="256"/>
    </row>
    <row r="24116" spans="104:111">
      <c r="CZ24116" s="256"/>
      <c r="DG24116" s="256"/>
    </row>
    <row r="24117" spans="104:111">
      <c r="CZ24117" s="256"/>
      <c r="DG24117" s="256"/>
    </row>
    <row r="24118" spans="104:111">
      <c r="CZ24118" s="256"/>
      <c r="DG24118" s="256"/>
    </row>
    <row r="24119" spans="104:111">
      <c r="CZ24119" s="256"/>
      <c r="DG24119" s="256"/>
    </row>
    <row r="24120" spans="104:111">
      <c r="CZ24120" s="256"/>
      <c r="DG24120" s="256"/>
    </row>
    <row r="24121" spans="104:111">
      <c r="CZ24121" s="256"/>
      <c r="DG24121" s="256"/>
    </row>
    <row r="24122" spans="104:111">
      <c r="CZ24122" s="256"/>
      <c r="DG24122" s="256"/>
    </row>
    <row r="24123" spans="104:111">
      <c r="CZ24123" s="256"/>
      <c r="DG24123" s="256"/>
    </row>
    <row r="24124" spans="104:111">
      <c r="CZ24124" s="256"/>
      <c r="DG24124" s="256"/>
    </row>
    <row r="24125" spans="104:111">
      <c r="CZ24125" s="256"/>
      <c r="DG24125" s="256"/>
    </row>
    <row r="24126" spans="104:111">
      <c r="CZ24126" s="256"/>
      <c r="DG24126" s="256"/>
    </row>
    <row r="24127" spans="104:111">
      <c r="CZ24127" s="256"/>
      <c r="DG24127" s="256"/>
    </row>
    <row r="24128" spans="104:111">
      <c r="CZ24128" s="256"/>
      <c r="DG24128" s="256"/>
    </row>
    <row r="24129" spans="104:111">
      <c r="CZ24129" s="256"/>
      <c r="DG24129" s="256"/>
    </row>
    <row r="24130" spans="104:111">
      <c r="CZ24130" s="256"/>
      <c r="DG24130" s="256"/>
    </row>
    <row r="24131" spans="104:111">
      <c r="CZ24131" s="256"/>
      <c r="DG24131" s="256"/>
    </row>
    <row r="24132" spans="104:111">
      <c r="CZ24132" s="256"/>
      <c r="DG24132" s="256"/>
    </row>
    <row r="24133" spans="104:111">
      <c r="CZ24133" s="256"/>
      <c r="DG24133" s="256"/>
    </row>
    <row r="24134" spans="104:111">
      <c r="CZ24134" s="256"/>
      <c r="DG24134" s="256"/>
    </row>
    <row r="24135" spans="104:111">
      <c r="CZ24135" s="256"/>
      <c r="DG24135" s="256"/>
    </row>
    <row r="24136" spans="104:111">
      <c r="CZ24136" s="256"/>
      <c r="DG24136" s="256"/>
    </row>
    <row r="24137" spans="104:111">
      <c r="CZ24137" s="256"/>
      <c r="DG24137" s="256"/>
    </row>
    <row r="24138" spans="104:111">
      <c r="CZ24138" s="256"/>
      <c r="DG24138" s="256"/>
    </row>
    <row r="24139" spans="104:111">
      <c r="CZ24139" s="256"/>
      <c r="DG24139" s="256"/>
    </row>
    <row r="24140" spans="104:111">
      <c r="CZ24140" s="256"/>
      <c r="DG24140" s="256"/>
    </row>
    <row r="24141" spans="104:111">
      <c r="CZ24141" s="256"/>
      <c r="DG24141" s="256"/>
    </row>
    <row r="24142" spans="104:111">
      <c r="CZ24142" s="256"/>
      <c r="DG24142" s="256"/>
    </row>
    <row r="24143" spans="104:111">
      <c r="CZ24143" s="256"/>
      <c r="DG24143" s="256"/>
    </row>
    <row r="24144" spans="104:111">
      <c r="CZ24144" s="256"/>
      <c r="DG24144" s="256"/>
    </row>
    <row r="24145" spans="104:111">
      <c r="CZ24145" s="256"/>
      <c r="DG24145" s="256"/>
    </row>
    <row r="24146" spans="104:111">
      <c r="CZ24146" s="256"/>
      <c r="DG24146" s="256"/>
    </row>
    <row r="24147" spans="104:111">
      <c r="CZ24147" s="256"/>
      <c r="DG24147" s="256"/>
    </row>
    <row r="24148" spans="104:111">
      <c r="CZ24148" s="256"/>
      <c r="DG24148" s="256"/>
    </row>
    <row r="24149" spans="104:111">
      <c r="CZ24149" s="256"/>
      <c r="DG24149" s="256"/>
    </row>
    <row r="24150" spans="104:111">
      <c r="CZ24150" s="256"/>
      <c r="DG24150" s="256"/>
    </row>
    <row r="24151" spans="104:111">
      <c r="CZ24151" s="256"/>
      <c r="DG24151" s="256"/>
    </row>
    <row r="24152" spans="104:111">
      <c r="CZ24152" s="256"/>
      <c r="DG24152" s="256"/>
    </row>
    <row r="24153" spans="104:111">
      <c r="CZ24153" s="256"/>
      <c r="DG24153" s="256"/>
    </row>
    <row r="24154" spans="104:111">
      <c r="CZ24154" s="256"/>
      <c r="DG24154" s="256"/>
    </row>
    <row r="24155" spans="104:111">
      <c r="CZ24155" s="256"/>
      <c r="DG24155" s="256"/>
    </row>
    <row r="24156" spans="104:111">
      <c r="CZ24156" s="256"/>
      <c r="DG24156" s="256"/>
    </row>
    <row r="24157" spans="104:111">
      <c r="CZ24157" s="256"/>
      <c r="DG24157" s="256"/>
    </row>
    <row r="24158" spans="104:111">
      <c r="CZ24158" s="256"/>
      <c r="DG24158" s="256"/>
    </row>
    <row r="24159" spans="104:111">
      <c r="CZ24159" s="256"/>
      <c r="DG24159" s="256"/>
    </row>
    <row r="24160" spans="104:111">
      <c r="CZ24160" s="256"/>
      <c r="DG24160" s="256"/>
    </row>
    <row r="24161" spans="104:111">
      <c r="CZ24161" s="256"/>
      <c r="DG24161" s="256"/>
    </row>
    <row r="24162" spans="104:111">
      <c r="CZ24162" s="256"/>
      <c r="DG24162" s="256"/>
    </row>
    <row r="24163" spans="104:111">
      <c r="CZ24163" s="256"/>
      <c r="DG24163" s="256"/>
    </row>
    <row r="24164" spans="104:111">
      <c r="CZ24164" s="256"/>
      <c r="DG24164" s="256"/>
    </row>
    <row r="24165" spans="104:111">
      <c r="CZ24165" s="256"/>
      <c r="DG24165" s="256"/>
    </row>
    <row r="24166" spans="104:111">
      <c r="CZ24166" s="256"/>
      <c r="DG24166" s="256"/>
    </row>
    <row r="24167" spans="104:111">
      <c r="CZ24167" s="256"/>
      <c r="DG24167" s="256"/>
    </row>
    <row r="24168" spans="104:111">
      <c r="CZ24168" s="256"/>
      <c r="DG24168" s="256"/>
    </row>
    <row r="24169" spans="104:111">
      <c r="CZ24169" s="256"/>
      <c r="DG24169" s="256"/>
    </row>
    <row r="24170" spans="104:111">
      <c r="CZ24170" s="256"/>
      <c r="DG24170" s="256"/>
    </row>
    <row r="24171" spans="104:111">
      <c r="CZ24171" s="256"/>
      <c r="DG24171" s="256"/>
    </row>
    <row r="24172" spans="104:111">
      <c r="CZ24172" s="256"/>
      <c r="DG24172" s="256"/>
    </row>
    <row r="24173" spans="104:111">
      <c r="CZ24173" s="256"/>
      <c r="DG24173" s="256"/>
    </row>
    <row r="24174" spans="104:111">
      <c r="CZ24174" s="256"/>
      <c r="DG24174" s="256"/>
    </row>
    <row r="24175" spans="104:111">
      <c r="CZ24175" s="256"/>
      <c r="DG24175" s="256"/>
    </row>
    <row r="24176" spans="104:111">
      <c r="CZ24176" s="256"/>
      <c r="DG24176" s="256"/>
    </row>
    <row r="24177" spans="104:111">
      <c r="CZ24177" s="256"/>
      <c r="DG24177" s="256"/>
    </row>
    <row r="24178" spans="104:111">
      <c r="CZ24178" s="256"/>
      <c r="DG24178" s="256"/>
    </row>
    <row r="24179" spans="104:111">
      <c r="CZ24179" s="256"/>
      <c r="DG24179" s="256"/>
    </row>
    <row r="24180" spans="104:111">
      <c r="CZ24180" s="256"/>
      <c r="DG24180" s="256"/>
    </row>
    <row r="24181" spans="104:111">
      <c r="CZ24181" s="256"/>
      <c r="DG24181" s="256"/>
    </row>
    <row r="24182" spans="104:111">
      <c r="CZ24182" s="256"/>
      <c r="DG24182" s="256"/>
    </row>
    <row r="24183" spans="104:111">
      <c r="CZ24183" s="256"/>
      <c r="DG24183" s="256"/>
    </row>
    <row r="24184" spans="104:111">
      <c r="CZ24184" s="256"/>
      <c r="DG24184" s="256"/>
    </row>
    <row r="24185" spans="104:111">
      <c r="CZ24185" s="256"/>
      <c r="DG24185" s="256"/>
    </row>
    <row r="24186" spans="104:111">
      <c r="CZ24186" s="256"/>
      <c r="DG24186" s="256"/>
    </row>
    <row r="24187" spans="104:111">
      <c r="CZ24187" s="256"/>
      <c r="DG24187" s="256"/>
    </row>
    <row r="24188" spans="104:111">
      <c r="CZ24188" s="256"/>
      <c r="DG24188" s="256"/>
    </row>
    <row r="24189" spans="104:111">
      <c r="CZ24189" s="256"/>
      <c r="DG24189" s="256"/>
    </row>
    <row r="24190" spans="104:111">
      <c r="CZ24190" s="256"/>
      <c r="DG24190" s="256"/>
    </row>
    <row r="24191" spans="104:111">
      <c r="CZ24191" s="256"/>
      <c r="DG24191" s="256"/>
    </row>
    <row r="24192" spans="104:111">
      <c r="CZ24192" s="256"/>
      <c r="DG24192" s="256"/>
    </row>
    <row r="24193" spans="104:111">
      <c r="CZ24193" s="256"/>
      <c r="DG24193" s="256"/>
    </row>
    <row r="24194" spans="104:111">
      <c r="CZ24194" s="256"/>
      <c r="DG24194" s="256"/>
    </row>
    <row r="24195" spans="104:111">
      <c r="CZ24195" s="256"/>
      <c r="DG24195" s="256"/>
    </row>
    <row r="24196" spans="104:111">
      <c r="CZ24196" s="256"/>
      <c r="DG24196" s="256"/>
    </row>
    <row r="24197" spans="104:111">
      <c r="CZ24197" s="256"/>
      <c r="DG24197" s="256"/>
    </row>
    <row r="24198" spans="104:111">
      <c r="CZ24198" s="256"/>
      <c r="DG24198" s="256"/>
    </row>
    <row r="24199" spans="104:111">
      <c r="CZ24199" s="256"/>
      <c r="DG24199" s="256"/>
    </row>
    <row r="24200" spans="104:111">
      <c r="CZ24200" s="256"/>
      <c r="DG24200" s="256"/>
    </row>
    <row r="24201" spans="104:111">
      <c r="CZ24201" s="256"/>
      <c r="DG24201" s="256"/>
    </row>
    <row r="24202" spans="104:111">
      <c r="CZ24202" s="256"/>
      <c r="DG24202" s="256"/>
    </row>
    <row r="24203" spans="104:111">
      <c r="CZ24203" s="256"/>
      <c r="DG24203" s="256"/>
    </row>
    <row r="24204" spans="104:111">
      <c r="CZ24204" s="256"/>
      <c r="DG24204" s="256"/>
    </row>
    <row r="24205" spans="104:111">
      <c r="CZ24205" s="256"/>
      <c r="DG24205" s="256"/>
    </row>
    <row r="24206" spans="104:111">
      <c r="CZ24206" s="256"/>
      <c r="DG24206" s="256"/>
    </row>
    <row r="24207" spans="104:111">
      <c r="CZ24207" s="256"/>
      <c r="DG24207" s="256"/>
    </row>
    <row r="24208" spans="104:111">
      <c r="CZ24208" s="256"/>
      <c r="DG24208" s="256"/>
    </row>
    <row r="24209" spans="104:111">
      <c r="CZ24209" s="256"/>
      <c r="DG24209" s="256"/>
    </row>
    <row r="24210" spans="104:111">
      <c r="CZ24210" s="256"/>
      <c r="DG24210" s="256"/>
    </row>
    <row r="24211" spans="104:111">
      <c r="CZ24211" s="256"/>
      <c r="DG24211" s="256"/>
    </row>
    <row r="24212" spans="104:111">
      <c r="CZ24212" s="256"/>
      <c r="DG24212" s="256"/>
    </row>
    <row r="24213" spans="104:111">
      <c r="CZ24213" s="256"/>
      <c r="DG24213" s="256"/>
    </row>
    <row r="24214" spans="104:111">
      <c r="CZ24214" s="256"/>
      <c r="DG24214" s="256"/>
    </row>
    <row r="24215" spans="104:111">
      <c r="CZ24215" s="256"/>
      <c r="DG24215" s="256"/>
    </row>
    <row r="24216" spans="104:111">
      <c r="CZ24216" s="256"/>
      <c r="DG24216" s="256"/>
    </row>
    <row r="24217" spans="104:111">
      <c r="CZ24217" s="256"/>
      <c r="DG24217" s="256"/>
    </row>
    <row r="24218" spans="104:111">
      <c r="CZ24218" s="256"/>
      <c r="DG24218" s="256"/>
    </row>
    <row r="24219" spans="104:111">
      <c r="CZ24219" s="256"/>
      <c r="DG24219" s="256"/>
    </row>
    <row r="24220" spans="104:111">
      <c r="CZ24220" s="256"/>
      <c r="DG24220" s="256"/>
    </row>
    <row r="24221" spans="104:111">
      <c r="CZ24221" s="256"/>
      <c r="DG24221" s="256"/>
    </row>
    <row r="24222" spans="104:111">
      <c r="CZ24222" s="256"/>
      <c r="DG24222" s="256"/>
    </row>
    <row r="24223" spans="104:111">
      <c r="CZ24223" s="256"/>
      <c r="DG24223" s="256"/>
    </row>
    <row r="24224" spans="104:111">
      <c r="CZ24224" s="256"/>
      <c r="DG24224" s="256"/>
    </row>
    <row r="24225" spans="104:111">
      <c r="CZ24225" s="256"/>
      <c r="DG24225" s="256"/>
    </row>
    <row r="24226" spans="104:111">
      <c r="CZ24226" s="256"/>
      <c r="DG24226" s="256"/>
    </row>
    <row r="24227" spans="104:111">
      <c r="CZ24227" s="256"/>
      <c r="DG24227" s="256"/>
    </row>
    <row r="24228" spans="104:111">
      <c r="CZ24228" s="256"/>
      <c r="DG24228" s="256"/>
    </row>
    <row r="24229" spans="104:111">
      <c r="CZ24229" s="256"/>
      <c r="DG24229" s="256"/>
    </row>
    <row r="24230" spans="104:111">
      <c r="CZ24230" s="256"/>
      <c r="DG24230" s="256"/>
    </row>
    <row r="24231" spans="104:111">
      <c r="CZ24231" s="256"/>
      <c r="DG24231" s="256"/>
    </row>
    <row r="24232" spans="104:111">
      <c r="CZ24232" s="256"/>
      <c r="DG24232" s="256"/>
    </row>
    <row r="24233" spans="104:111">
      <c r="CZ24233" s="256"/>
      <c r="DG24233" s="256"/>
    </row>
    <row r="24234" spans="104:111">
      <c r="CZ24234" s="256"/>
      <c r="DG24234" s="256"/>
    </row>
    <row r="24235" spans="104:111">
      <c r="CZ24235" s="256"/>
      <c r="DG24235" s="256"/>
    </row>
    <row r="24236" spans="104:111">
      <c r="CZ24236" s="256"/>
      <c r="DG24236" s="256"/>
    </row>
    <row r="24237" spans="104:111">
      <c r="CZ24237" s="256"/>
      <c r="DG24237" s="256"/>
    </row>
    <row r="24238" spans="104:111">
      <c r="CZ24238" s="256"/>
      <c r="DG24238" s="256"/>
    </row>
    <row r="24239" spans="104:111">
      <c r="CZ24239" s="256"/>
      <c r="DG24239" s="256"/>
    </row>
    <row r="24240" spans="104:111">
      <c r="CZ24240" s="256"/>
      <c r="DG24240" s="256"/>
    </row>
    <row r="24241" spans="104:111">
      <c r="CZ24241" s="256"/>
      <c r="DG24241" s="256"/>
    </row>
    <row r="24242" spans="104:111">
      <c r="CZ24242" s="256"/>
      <c r="DG24242" s="256"/>
    </row>
    <row r="24243" spans="104:111">
      <c r="CZ24243" s="256"/>
      <c r="DG24243" s="256"/>
    </row>
    <row r="24244" spans="104:111">
      <c r="CZ24244" s="256"/>
      <c r="DG24244" s="256"/>
    </row>
    <row r="24245" spans="104:111">
      <c r="CZ24245" s="256"/>
      <c r="DG24245" s="256"/>
    </row>
    <row r="24246" spans="104:111">
      <c r="CZ24246" s="256"/>
      <c r="DG24246" s="256"/>
    </row>
    <row r="24247" spans="104:111">
      <c r="CZ24247" s="256"/>
      <c r="DG24247" s="256"/>
    </row>
    <row r="24248" spans="104:111">
      <c r="CZ24248" s="256"/>
      <c r="DG24248" s="256"/>
    </row>
    <row r="24249" spans="104:111">
      <c r="CZ24249" s="256"/>
      <c r="DG24249" s="256"/>
    </row>
    <row r="24250" spans="104:111">
      <c r="CZ24250" s="256"/>
      <c r="DG24250" s="256"/>
    </row>
    <row r="24251" spans="104:111">
      <c r="CZ24251" s="256"/>
      <c r="DG24251" s="256"/>
    </row>
    <row r="24252" spans="104:111">
      <c r="CZ24252" s="256"/>
      <c r="DG24252" s="256"/>
    </row>
    <row r="24253" spans="104:111">
      <c r="CZ24253" s="256"/>
      <c r="DG24253" s="256"/>
    </row>
    <row r="24254" spans="104:111">
      <c r="CZ24254" s="256"/>
      <c r="DG24254" s="256"/>
    </row>
    <row r="24255" spans="104:111">
      <c r="CZ24255" s="256"/>
      <c r="DG24255" s="256"/>
    </row>
    <row r="24256" spans="104:111">
      <c r="CZ24256" s="256"/>
      <c r="DG24256" s="256"/>
    </row>
    <row r="24257" spans="104:111">
      <c r="CZ24257" s="256"/>
      <c r="DG24257" s="256"/>
    </row>
    <row r="24258" spans="104:111">
      <c r="CZ24258" s="256"/>
      <c r="DG24258" s="256"/>
    </row>
    <row r="24259" spans="104:111">
      <c r="CZ24259" s="256"/>
      <c r="DG24259" s="256"/>
    </row>
    <row r="24260" spans="104:111">
      <c r="CZ24260" s="256"/>
      <c r="DG24260" s="256"/>
    </row>
    <row r="24261" spans="104:111">
      <c r="CZ24261" s="256"/>
      <c r="DG24261" s="256"/>
    </row>
    <row r="24262" spans="104:111">
      <c r="CZ24262" s="256"/>
      <c r="DG24262" s="256"/>
    </row>
    <row r="24263" spans="104:111">
      <c r="CZ24263" s="256"/>
      <c r="DG24263" s="256"/>
    </row>
    <row r="24264" spans="104:111">
      <c r="CZ24264" s="256"/>
      <c r="DG24264" s="256"/>
    </row>
    <row r="24265" spans="104:111">
      <c r="CZ24265" s="256"/>
      <c r="DG24265" s="256"/>
    </row>
    <row r="24266" spans="104:111">
      <c r="CZ24266" s="256"/>
      <c r="DG24266" s="256"/>
    </row>
    <row r="24267" spans="104:111">
      <c r="CZ24267" s="256"/>
      <c r="DG24267" s="256"/>
    </row>
    <row r="24268" spans="104:111">
      <c r="CZ24268" s="256"/>
      <c r="DG24268" s="256"/>
    </row>
    <row r="24269" spans="104:111">
      <c r="CZ24269" s="256"/>
      <c r="DG24269" s="256"/>
    </row>
    <row r="24270" spans="104:111">
      <c r="CZ24270" s="256"/>
      <c r="DG24270" s="256"/>
    </row>
    <row r="24271" spans="104:111">
      <c r="CZ24271" s="256"/>
      <c r="DG24271" s="256"/>
    </row>
    <row r="24272" spans="104:111">
      <c r="CZ24272" s="256"/>
      <c r="DG24272" s="256"/>
    </row>
    <row r="24273" spans="104:111">
      <c r="CZ24273" s="256"/>
      <c r="DG24273" s="256"/>
    </row>
    <row r="24274" spans="104:111">
      <c r="CZ24274" s="256"/>
      <c r="DG24274" s="256"/>
    </row>
    <row r="24275" spans="104:111">
      <c r="CZ24275" s="256"/>
      <c r="DG24275" s="256"/>
    </row>
    <row r="24276" spans="104:111">
      <c r="CZ24276" s="256"/>
      <c r="DG24276" s="256"/>
    </row>
    <row r="24277" spans="104:111">
      <c r="CZ24277" s="256"/>
      <c r="DG24277" s="256"/>
    </row>
    <row r="24278" spans="104:111">
      <c r="CZ24278" s="256"/>
      <c r="DG24278" s="256"/>
    </row>
    <row r="24279" spans="104:111">
      <c r="CZ24279" s="256"/>
      <c r="DG24279" s="256"/>
    </row>
    <row r="24280" spans="104:111">
      <c r="CZ24280" s="256"/>
      <c r="DG24280" s="256"/>
    </row>
    <row r="24281" spans="104:111">
      <c r="CZ24281" s="256"/>
      <c r="DG24281" s="256"/>
    </row>
    <row r="24282" spans="104:111">
      <c r="CZ24282" s="256"/>
      <c r="DG24282" s="256"/>
    </row>
    <row r="24283" spans="104:111">
      <c r="CZ24283" s="256"/>
      <c r="DG24283" s="256"/>
    </row>
    <row r="24284" spans="104:111">
      <c r="CZ24284" s="256"/>
      <c r="DG24284" s="256"/>
    </row>
    <row r="24285" spans="104:111">
      <c r="CZ24285" s="256"/>
      <c r="DG24285" s="256"/>
    </row>
    <row r="24286" spans="104:111">
      <c r="CZ24286" s="256"/>
      <c r="DG24286" s="256"/>
    </row>
    <row r="24287" spans="104:111">
      <c r="CZ24287" s="256"/>
      <c r="DG24287" s="256"/>
    </row>
    <row r="24288" spans="104:111">
      <c r="CZ24288" s="256"/>
      <c r="DG24288" s="256"/>
    </row>
    <row r="24289" spans="104:111">
      <c r="CZ24289" s="256"/>
      <c r="DG24289" s="256"/>
    </row>
    <row r="24290" spans="104:111">
      <c r="CZ24290" s="256"/>
      <c r="DG24290" s="256"/>
    </row>
    <row r="24291" spans="104:111">
      <c r="CZ24291" s="256"/>
      <c r="DG24291" s="256"/>
    </row>
    <row r="24292" spans="104:111">
      <c r="CZ24292" s="256"/>
      <c r="DG24292" s="256"/>
    </row>
    <row r="24293" spans="104:111">
      <c r="CZ24293" s="256"/>
      <c r="DG24293" s="256"/>
    </row>
    <row r="24294" spans="104:111">
      <c r="CZ24294" s="256"/>
      <c r="DG24294" s="256"/>
    </row>
    <row r="24295" spans="104:111">
      <c r="CZ24295" s="256"/>
      <c r="DG24295" s="256"/>
    </row>
    <row r="24296" spans="104:111">
      <c r="CZ24296" s="256"/>
      <c r="DG24296" s="256"/>
    </row>
    <row r="24297" spans="104:111">
      <c r="CZ24297" s="256"/>
      <c r="DG24297" s="256"/>
    </row>
    <row r="24298" spans="104:111">
      <c r="CZ24298" s="256"/>
      <c r="DG24298" s="256"/>
    </row>
    <row r="24299" spans="104:111">
      <c r="CZ24299" s="256"/>
      <c r="DG24299" s="256"/>
    </row>
    <row r="24300" spans="104:111">
      <c r="CZ24300" s="256"/>
      <c r="DG24300" s="256"/>
    </row>
    <row r="24301" spans="104:111">
      <c r="CZ24301" s="256"/>
      <c r="DG24301" s="256"/>
    </row>
    <row r="24302" spans="104:111">
      <c r="CZ24302" s="256"/>
      <c r="DG24302" s="256"/>
    </row>
    <row r="24303" spans="104:111">
      <c r="CZ24303" s="256"/>
      <c r="DG24303" s="256"/>
    </row>
    <row r="24304" spans="104:111">
      <c r="CZ24304" s="256"/>
      <c r="DG24304" s="256"/>
    </row>
    <row r="24305" spans="104:111">
      <c r="CZ24305" s="256"/>
      <c r="DG24305" s="256"/>
    </row>
    <row r="24306" spans="104:111">
      <c r="CZ24306" s="256"/>
      <c r="DG24306" s="256"/>
    </row>
    <row r="24307" spans="104:111">
      <c r="CZ24307" s="256"/>
      <c r="DG24307" s="256"/>
    </row>
    <row r="24308" spans="104:111">
      <c r="CZ24308" s="256"/>
      <c r="DG24308" s="256"/>
    </row>
    <row r="24309" spans="104:111">
      <c r="CZ24309" s="256"/>
      <c r="DG24309" s="256"/>
    </row>
    <row r="24310" spans="104:111">
      <c r="CZ24310" s="256"/>
      <c r="DG24310" s="256"/>
    </row>
    <row r="24311" spans="104:111">
      <c r="CZ24311" s="256"/>
      <c r="DG24311" s="256"/>
    </row>
    <row r="24312" spans="104:111">
      <c r="CZ24312" s="256"/>
      <c r="DG24312" s="256"/>
    </row>
    <row r="24313" spans="104:111">
      <c r="CZ24313" s="256"/>
      <c r="DG24313" s="256"/>
    </row>
    <row r="24314" spans="104:111">
      <c r="CZ24314" s="256"/>
      <c r="DG24314" s="256"/>
    </row>
    <row r="24315" spans="104:111">
      <c r="CZ24315" s="256"/>
      <c r="DG24315" s="256"/>
    </row>
    <row r="24316" spans="104:111">
      <c r="CZ24316" s="256"/>
      <c r="DG24316" s="256"/>
    </row>
    <row r="24317" spans="104:111">
      <c r="CZ24317" s="256"/>
      <c r="DG24317" s="256"/>
    </row>
    <row r="24318" spans="104:111">
      <c r="CZ24318" s="256"/>
      <c r="DG24318" s="256"/>
    </row>
    <row r="24319" spans="104:111">
      <c r="CZ24319" s="256"/>
      <c r="DG24319" s="256"/>
    </row>
    <row r="24320" spans="104:111">
      <c r="CZ24320" s="256"/>
      <c r="DG24320" s="256"/>
    </row>
    <row r="24321" spans="104:111">
      <c r="CZ24321" s="256"/>
      <c r="DG24321" s="256"/>
    </row>
    <row r="24322" spans="104:111">
      <c r="CZ24322" s="256"/>
      <c r="DG24322" s="256"/>
    </row>
    <row r="24323" spans="104:111">
      <c r="CZ24323" s="256"/>
      <c r="DG24323" s="256"/>
    </row>
    <row r="24324" spans="104:111">
      <c r="CZ24324" s="256"/>
      <c r="DG24324" s="256"/>
    </row>
    <row r="24325" spans="104:111">
      <c r="CZ24325" s="256"/>
      <c r="DG24325" s="256"/>
    </row>
    <row r="24326" spans="104:111">
      <c r="CZ24326" s="256"/>
      <c r="DG24326" s="256"/>
    </row>
    <row r="24327" spans="104:111">
      <c r="CZ24327" s="256"/>
      <c r="DG24327" s="256"/>
    </row>
    <row r="24328" spans="104:111">
      <c r="CZ24328" s="256"/>
      <c r="DG24328" s="256"/>
    </row>
    <row r="24329" spans="104:111">
      <c r="CZ24329" s="256"/>
      <c r="DG24329" s="256"/>
    </row>
    <row r="24330" spans="104:111">
      <c r="CZ24330" s="256"/>
      <c r="DG24330" s="256"/>
    </row>
    <row r="24331" spans="104:111">
      <c r="CZ24331" s="256"/>
      <c r="DG24331" s="256"/>
    </row>
    <row r="24332" spans="104:111">
      <c r="CZ24332" s="256"/>
      <c r="DG24332" s="256"/>
    </row>
    <row r="24333" spans="104:111">
      <c r="CZ24333" s="256"/>
      <c r="DG24333" s="256"/>
    </row>
    <row r="24334" spans="104:111">
      <c r="CZ24334" s="256"/>
      <c r="DG24334" s="256"/>
    </row>
    <row r="24335" spans="104:111">
      <c r="CZ24335" s="256"/>
      <c r="DG24335" s="256"/>
    </row>
    <row r="24336" spans="104:111">
      <c r="CZ24336" s="256"/>
      <c r="DG24336" s="256"/>
    </row>
    <row r="24337" spans="104:111">
      <c r="CZ24337" s="256"/>
      <c r="DG24337" s="256"/>
    </row>
    <row r="24338" spans="104:111">
      <c r="CZ24338" s="256"/>
      <c r="DG24338" s="256"/>
    </row>
    <row r="24339" spans="104:111">
      <c r="CZ24339" s="256"/>
      <c r="DG24339" s="256"/>
    </row>
    <row r="24340" spans="104:111">
      <c r="CZ24340" s="256"/>
      <c r="DG24340" s="256"/>
    </row>
    <row r="24341" spans="104:111">
      <c r="CZ24341" s="256"/>
      <c r="DG24341" s="256"/>
    </row>
    <row r="24342" spans="104:111">
      <c r="CZ24342" s="256"/>
      <c r="DG24342" s="256"/>
    </row>
    <row r="24343" spans="104:111">
      <c r="CZ24343" s="256"/>
      <c r="DG24343" s="256"/>
    </row>
    <row r="24344" spans="104:111">
      <c r="CZ24344" s="256"/>
      <c r="DG24344" s="256"/>
    </row>
    <row r="24345" spans="104:111">
      <c r="CZ24345" s="256"/>
      <c r="DG24345" s="256"/>
    </row>
    <row r="24346" spans="104:111">
      <c r="CZ24346" s="256"/>
      <c r="DG24346" s="256"/>
    </row>
    <row r="24347" spans="104:111">
      <c r="CZ24347" s="256"/>
      <c r="DG24347" s="256"/>
    </row>
    <row r="24348" spans="104:111">
      <c r="CZ24348" s="256"/>
      <c r="DG24348" s="256"/>
    </row>
    <row r="24349" spans="104:111">
      <c r="CZ24349" s="256"/>
      <c r="DG24349" s="256"/>
    </row>
    <row r="24350" spans="104:111">
      <c r="CZ24350" s="256"/>
      <c r="DG24350" s="256"/>
    </row>
    <row r="24351" spans="104:111">
      <c r="CZ24351" s="256"/>
      <c r="DG24351" s="256"/>
    </row>
    <row r="24352" spans="104:111">
      <c r="CZ24352" s="256"/>
      <c r="DG24352" s="256"/>
    </row>
    <row r="24353" spans="104:111">
      <c r="CZ24353" s="256"/>
      <c r="DG24353" s="256"/>
    </row>
    <row r="24354" spans="104:111">
      <c r="CZ24354" s="256"/>
      <c r="DG24354" s="256"/>
    </row>
    <row r="24355" spans="104:111">
      <c r="CZ24355" s="256"/>
      <c r="DG24355" s="256"/>
    </row>
    <row r="24356" spans="104:111">
      <c r="CZ24356" s="256"/>
      <c r="DG24356" s="256"/>
    </row>
    <row r="24357" spans="104:111">
      <c r="CZ24357" s="256"/>
      <c r="DG24357" s="256"/>
    </row>
    <row r="24358" spans="104:111">
      <c r="CZ24358" s="256"/>
      <c r="DG24358" s="256"/>
    </row>
    <row r="24359" spans="104:111">
      <c r="CZ24359" s="256"/>
      <c r="DG24359" s="256"/>
    </row>
    <row r="24360" spans="104:111">
      <c r="CZ24360" s="256"/>
      <c r="DG24360" s="256"/>
    </row>
    <row r="24361" spans="104:111">
      <c r="CZ24361" s="256"/>
      <c r="DG24361" s="256"/>
    </row>
    <row r="24362" spans="104:111">
      <c r="CZ24362" s="256"/>
      <c r="DG24362" s="256"/>
    </row>
    <row r="24363" spans="104:111">
      <c r="CZ24363" s="256"/>
      <c r="DG24363" s="256"/>
    </row>
    <row r="24364" spans="104:111">
      <c r="CZ24364" s="256"/>
      <c r="DG24364" s="256"/>
    </row>
    <row r="24365" spans="104:111">
      <c r="CZ24365" s="256"/>
      <c r="DG24365" s="256"/>
    </row>
    <row r="24366" spans="104:111">
      <c r="CZ24366" s="256"/>
      <c r="DG24366" s="256"/>
    </row>
    <row r="24367" spans="104:111">
      <c r="CZ24367" s="256"/>
      <c r="DG24367" s="256"/>
    </row>
    <row r="24368" spans="104:111">
      <c r="CZ24368" s="256"/>
      <c r="DG24368" s="256"/>
    </row>
    <row r="24369" spans="104:111">
      <c r="CZ24369" s="256"/>
      <c r="DG24369" s="256"/>
    </row>
    <row r="24370" spans="104:111">
      <c r="CZ24370" s="256"/>
      <c r="DG24370" s="256"/>
    </row>
    <row r="24371" spans="104:111">
      <c r="CZ24371" s="256"/>
      <c r="DG24371" s="256"/>
    </row>
    <row r="24372" spans="104:111">
      <c r="CZ24372" s="256"/>
      <c r="DG24372" s="256"/>
    </row>
    <row r="24373" spans="104:111">
      <c r="CZ24373" s="256"/>
      <c r="DG24373" s="256"/>
    </row>
    <row r="24374" spans="104:111">
      <c r="CZ24374" s="256"/>
      <c r="DG24374" s="256"/>
    </row>
    <row r="24375" spans="104:111">
      <c r="CZ24375" s="256"/>
      <c r="DG24375" s="256"/>
    </row>
    <row r="24376" spans="104:111">
      <c r="CZ24376" s="256"/>
      <c r="DG24376" s="256"/>
    </row>
    <row r="24377" spans="104:111">
      <c r="CZ24377" s="256"/>
      <c r="DG24377" s="256"/>
    </row>
    <row r="24378" spans="104:111">
      <c r="CZ24378" s="256"/>
      <c r="DG24378" s="256"/>
    </row>
    <row r="24379" spans="104:111">
      <c r="CZ24379" s="256"/>
      <c r="DG24379" s="256"/>
    </row>
    <row r="24380" spans="104:111">
      <c r="CZ24380" s="256"/>
      <c r="DG24380" s="256"/>
    </row>
    <row r="24381" spans="104:111">
      <c r="CZ24381" s="256"/>
      <c r="DG24381" s="256"/>
    </row>
    <row r="24382" spans="104:111">
      <c r="CZ24382" s="256"/>
      <c r="DG24382" s="256"/>
    </row>
    <row r="24383" spans="104:111">
      <c r="CZ24383" s="256"/>
      <c r="DG24383" s="256"/>
    </row>
    <row r="24384" spans="104:111">
      <c r="CZ24384" s="256"/>
      <c r="DG24384" s="256"/>
    </row>
    <row r="24385" spans="104:111">
      <c r="CZ24385" s="256"/>
      <c r="DG24385" s="256"/>
    </row>
    <row r="24386" spans="104:111">
      <c r="CZ24386" s="256"/>
      <c r="DG24386" s="256"/>
    </row>
    <row r="24387" spans="104:111">
      <c r="CZ24387" s="256"/>
      <c r="DG24387" s="256"/>
    </row>
    <row r="24388" spans="104:111">
      <c r="CZ24388" s="256"/>
      <c r="DG24388" s="256"/>
    </row>
    <row r="24389" spans="104:111">
      <c r="CZ24389" s="256"/>
      <c r="DG24389" s="256"/>
    </row>
    <row r="24390" spans="104:111">
      <c r="CZ24390" s="256"/>
      <c r="DG24390" s="256"/>
    </row>
    <row r="24391" spans="104:111">
      <c r="CZ24391" s="256"/>
      <c r="DG24391" s="256"/>
    </row>
    <row r="24392" spans="104:111">
      <c r="CZ24392" s="256"/>
      <c r="DG24392" s="256"/>
    </row>
    <row r="24393" spans="104:111">
      <c r="CZ24393" s="256"/>
      <c r="DG24393" s="256"/>
    </row>
    <row r="24394" spans="104:111">
      <c r="CZ24394" s="256"/>
      <c r="DG24394" s="256"/>
    </row>
    <row r="24395" spans="104:111">
      <c r="CZ24395" s="256"/>
      <c r="DG24395" s="256"/>
    </row>
    <row r="24396" spans="104:111">
      <c r="CZ24396" s="256"/>
      <c r="DG24396" s="256"/>
    </row>
    <row r="24397" spans="104:111">
      <c r="CZ24397" s="256"/>
      <c r="DG24397" s="256"/>
    </row>
    <row r="24398" spans="104:111">
      <c r="CZ24398" s="256"/>
      <c r="DG24398" s="256"/>
    </row>
    <row r="24399" spans="104:111">
      <c r="CZ24399" s="256"/>
      <c r="DG24399" s="256"/>
    </row>
    <row r="24400" spans="104:111">
      <c r="CZ24400" s="256"/>
      <c r="DG24400" s="256"/>
    </row>
    <row r="24401" spans="104:111">
      <c r="CZ24401" s="256"/>
      <c r="DG24401" s="256"/>
    </row>
    <row r="24402" spans="104:111">
      <c r="CZ24402" s="256"/>
      <c r="DG24402" s="256"/>
    </row>
    <row r="24403" spans="104:111">
      <c r="CZ24403" s="256"/>
      <c r="DG24403" s="256"/>
    </row>
    <row r="24404" spans="104:111">
      <c r="CZ24404" s="256"/>
      <c r="DG24404" s="256"/>
    </row>
    <row r="24405" spans="104:111">
      <c r="CZ24405" s="256"/>
      <c r="DG24405" s="256"/>
    </row>
    <row r="24406" spans="104:111">
      <c r="CZ24406" s="256"/>
      <c r="DG24406" s="256"/>
    </row>
    <row r="24407" spans="104:111">
      <c r="CZ24407" s="256"/>
      <c r="DG24407" s="256"/>
    </row>
    <row r="24408" spans="104:111">
      <c r="CZ24408" s="256"/>
      <c r="DG24408" s="256"/>
    </row>
    <row r="24409" spans="104:111">
      <c r="CZ24409" s="256"/>
      <c r="DG24409" s="256"/>
    </row>
    <row r="24410" spans="104:111">
      <c r="CZ24410" s="256"/>
      <c r="DG24410" s="256"/>
    </row>
    <row r="24411" spans="104:111">
      <c r="CZ24411" s="256"/>
      <c r="DG24411" s="256"/>
    </row>
    <row r="24412" spans="104:111">
      <c r="CZ24412" s="256"/>
      <c r="DG24412" s="256"/>
    </row>
    <row r="24413" spans="104:111">
      <c r="CZ24413" s="256"/>
      <c r="DG24413" s="256"/>
    </row>
    <row r="24414" spans="104:111">
      <c r="CZ24414" s="256"/>
      <c r="DG24414" s="256"/>
    </row>
    <row r="24415" spans="104:111">
      <c r="CZ24415" s="256"/>
      <c r="DG24415" s="256"/>
    </row>
    <row r="24416" spans="104:111">
      <c r="CZ24416" s="256"/>
      <c r="DG24416" s="256"/>
    </row>
    <row r="24417" spans="104:111">
      <c r="CZ24417" s="256"/>
      <c r="DG24417" s="256"/>
    </row>
    <row r="24418" spans="104:111">
      <c r="CZ24418" s="256"/>
      <c r="DG24418" s="256"/>
    </row>
    <row r="24419" spans="104:111">
      <c r="CZ24419" s="256"/>
      <c r="DG24419" s="256"/>
    </row>
    <row r="24420" spans="104:111">
      <c r="CZ24420" s="256"/>
      <c r="DG24420" s="256"/>
    </row>
    <row r="24421" spans="104:111">
      <c r="CZ24421" s="256"/>
      <c r="DG24421" s="256"/>
    </row>
    <row r="24422" spans="104:111">
      <c r="CZ24422" s="256"/>
      <c r="DG24422" s="256"/>
    </row>
    <row r="24423" spans="104:111">
      <c r="CZ24423" s="256"/>
      <c r="DG24423" s="256"/>
    </row>
    <row r="24424" spans="104:111">
      <c r="CZ24424" s="256"/>
      <c r="DG24424" s="256"/>
    </row>
    <row r="24425" spans="104:111">
      <c r="CZ24425" s="256"/>
      <c r="DG24425" s="256"/>
    </row>
    <row r="24426" spans="104:111">
      <c r="CZ24426" s="256"/>
      <c r="DG24426" s="256"/>
    </row>
    <row r="24427" spans="104:111">
      <c r="CZ24427" s="256"/>
      <c r="DG24427" s="256"/>
    </row>
    <row r="24428" spans="104:111">
      <c r="CZ24428" s="256"/>
      <c r="DG24428" s="256"/>
    </row>
    <row r="24429" spans="104:111">
      <c r="CZ24429" s="256"/>
      <c r="DG24429" s="256"/>
    </row>
    <row r="24430" spans="104:111">
      <c r="CZ24430" s="256"/>
      <c r="DG24430" s="256"/>
    </row>
    <row r="24431" spans="104:111">
      <c r="CZ24431" s="256"/>
      <c r="DG24431" s="256"/>
    </row>
    <row r="24432" spans="104:111">
      <c r="CZ24432" s="256"/>
      <c r="DG24432" s="256"/>
    </row>
    <row r="24433" spans="104:111">
      <c r="CZ24433" s="256"/>
      <c r="DG24433" s="256"/>
    </row>
    <row r="24434" spans="104:111">
      <c r="CZ24434" s="256"/>
      <c r="DG24434" s="256"/>
    </row>
    <row r="24435" spans="104:111">
      <c r="CZ24435" s="256"/>
      <c r="DG24435" s="256"/>
    </row>
    <row r="24436" spans="104:111">
      <c r="CZ24436" s="256"/>
      <c r="DG24436" s="256"/>
    </row>
    <row r="24437" spans="104:111">
      <c r="CZ24437" s="256"/>
      <c r="DG24437" s="256"/>
    </row>
    <row r="24438" spans="104:111">
      <c r="CZ24438" s="256"/>
      <c r="DG24438" s="256"/>
    </row>
    <row r="24439" spans="104:111">
      <c r="CZ24439" s="256"/>
      <c r="DG24439" s="256"/>
    </row>
    <row r="24440" spans="104:111">
      <c r="CZ24440" s="256"/>
      <c r="DG24440" s="256"/>
    </row>
    <row r="24441" spans="104:111">
      <c r="CZ24441" s="256"/>
      <c r="DG24441" s="256"/>
    </row>
    <row r="24442" spans="104:111">
      <c r="CZ24442" s="256"/>
      <c r="DG24442" s="256"/>
    </row>
    <row r="24443" spans="104:111">
      <c r="CZ24443" s="256"/>
      <c r="DG24443" s="256"/>
    </row>
    <row r="24444" spans="104:111">
      <c r="CZ24444" s="256"/>
      <c r="DG24444" s="256"/>
    </row>
    <row r="24445" spans="104:111">
      <c r="CZ24445" s="256"/>
      <c r="DG24445" s="256"/>
    </row>
    <row r="24446" spans="104:111">
      <c r="CZ24446" s="256"/>
      <c r="DG24446" s="256"/>
    </row>
    <row r="24447" spans="104:111">
      <c r="CZ24447" s="256"/>
      <c r="DG24447" s="256"/>
    </row>
    <row r="24448" spans="104:111">
      <c r="CZ24448" s="256"/>
      <c r="DG24448" s="256"/>
    </row>
    <row r="24449" spans="104:111">
      <c r="CZ24449" s="256"/>
      <c r="DG24449" s="256"/>
    </row>
    <row r="24450" spans="104:111">
      <c r="CZ24450" s="256"/>
      <c r="DG24450" s="256"/>
    </row>
    <row r="24451" spans="104:111">
      <c r="CZ24451" s="256"/>
      <c r="DG24451" s="256"/>
    </row>
    <row r="24452" spans="104:111">
      <c r="CZ24452" s="256"/>
      <c r="DG24452" s="256"/>
    </row>
    <row r="24453" spans="104:111">
      <c r="CZ24453" s="256"/>
      <c r="DG24453" s="256"/>
    </row>
    <row r="24454" spans="104:111">
      <c r="CZ24454" s="256"/>
      <c r="DG24454" s="256"/>
    </row>
    <row r="24455" spans="104:111">
      <c r="CZ24455" s="256"/>
      <c r="DG24455" s="256"/>
    </row>
    <row r="24456" spans="104:111">
      <c r="CZ24456" s="256"/>
      <c r="DG24456" s="256"/>
    </row>
    <row r="24457" spans="104:111">
      <c r="CZ24457" s="256"/>
      <c r="DG24457" s="256"/>
    </row>
    <row r="24458" spans="104:111">
      <c r="CZ24458" s="256"/>
      <c r="DG24458" s="256"/>
    </row>
    <row r="24459" spans="104:111">
      <c r="CZ24459" s="256"/>
      <c r="DG24459" s="256"/>
    </row>
    <row r="24460" spans="104:111">
      <c r="CZ24460" s="256"/>
      <c r="DG24460" s="256"/>
    </row>
    <row r="24461" spans="104:111">
      <c r="CZ24461" s="256"/>
      <c r="DG24461" s="256"/>
    </row>
    <row r="24462" spans="104:111">
      <c r="CZ24462" s="256"/>
      <c r="DG24462" s="256"/>
    </row>
    <row r="24463" spans="104:111">
      <c r="CZ24463" s="256"/>
      <c r="DG24463" s="256"/>
    </row>
    <row r="24464" spans="104:111">
      <c r="CZ24464" s="256"/>
      <c r="DG24464" s="256"/>
    </row>
    <row r="24465" spans="104:111">
      <c r="CZ24465" s="256"/>
      <c r="DG24465" s="256"/>
    </row>
    <row r="24466" spans="104:111">
      <c r="CZ24466" s="256"/>
      <c r="DG24466" s="256"/>
    </row>
    <row r="24467" spans="104:111">
      <c r="CZ24467" s="256"/>
      <c r="DG24467" s="256"/>
    </row>
    <row r="24468" spans="104:111">
      <c r="CZ24468" s="256"/>
      <c r="DG24468" s="256"/>
    </row>
    <row r="24469" spans="104:111">
      <c r="CZ24469" s="256"/>
      <c r="DG24469" s="256"/>
    </row>
    <row r="24470" spans="104:111">
      <c r="CZ24470" s="256"/>
      <c r="DG24470" s="256"/>
    </row>
    <row r="24471" spans="104:111">
      <c r="CZ24471" s="256"/>
      <c r="DG24471" s="256"/>
    </row>
    <row r="24472" spans="104:111">
      <c r="CZ24472" s="256"/>
      <c r="DG24472" s="256"/>
    </row>
    <row r="24473" spans="104:111">
      <c r="CZ24473" s="256"/>
      <c r="DG24473" s="256"/>
    </row>
    <row r="24474" spans="104:111">
      <c r="CZ24474" s="256"/>
      <c r="DG24474" s="256"/>
    </row>
    <row r="24475" spans="104:111">
      <c r="CZ24475" s="256"/>
      <c r="DG24475" s="256"/>
    </row>
    <row r="24476" spans="104:111">
      <c r="CZ24476" s="256"/>
      <c r="DG24476" s="256"/>
    </row>
    <row r="24477" spans="104:111">
      <c r="CZ24477" s="256"/>
      <c r="DG24477" s="256"/>
    </row>
    <row r="24478" spans="104:111">
      <c r="CZ24478" s="256"/>
      <c r="DG24478" s="256"/>
    </row>
    <row r="24479" spans="104:111">
      <c r="CZ24479" s="256"/>
      <c r="DG24479" s="256"/>
    </row>
    <row r="24480" spans="104:111">
      <c r="CZ24480" s="256"/>
      <c r="DG24480" s="256"/>
    </row>
    <row r="24481" spans="104:111">
      <c r="CZ24481" s="256"/>
      <c r="DG24481" s="256"/>
    </row>
    <row r="24482" spans="104:111">
      <c r="CZ24482" s="256"/>
      <c r="DG24482" s="256"/>
    </row>
    <row r="24483" spans="104:111">
      <c r="CZ24483" s="256"/>
      <c r="DG24483" s="256"/>
    </row>
    <row r="24484" spans="104:111">
      <c r="CZ24484" s="256"/>
      <c r="DG24484" s="256"/>
    </row>
    <row r="24485" spans="104:111">
      <c r="CZ24485" s="256"/>
      <c r="DG24485" s="256"/>
    </row>
    <row r="24486" spans="104:111">
      <c r="CZ24486" s="256"/>
      <c r="DG24486" s="256"/>
    </row>
    <row r="24487" spans="104:111">
      <c r="CZ24487" s="256"/>
      <c r="DG24487" s="256"/>
    </row>
    <row r="24488" spans="104:111">
      <c r="CZ24488" s="256"/>
      <c r="DG24488" s="256"/>
    </row>
    <row r="24489" spans="104:111">
      <c r="CZ24489" s="256"/>
      <c r="DG24489" s="256"/>
    </row>
    <row r="24490" spans="104:111">
      <c r="CZ24490" s="256"/>
      <c r="DG24490" s="256"/>
    </row>
    <row r="24491" spans="104:111">
      <c r="CZ24491" s="256"/>
      <c r="DG24491" s="256"/>
    </row>
    <row r="24492" spans="104:111">
      <c r="CZ24492" s="256"/>
      <c r="DG24492" s="256"/>
    </row>
    <row r="24493" spans="104:111">
      <c r="CZ24493" s="256"/>
      <c r="DG24493" s="256"/>
    </row>
    <row r="24494" spans="104:111">
      <c r="CZ24494" s="256"/>
      <c r="DG24494" s="256"/>
    </row>
    <row r="24495" spans="104:111">
      <c r="CZ24495" s="256"/>
      <c r="DG24495" s="256"/>
    </row>
    <row r="24496" spans="104:111">
      <c r="CZ24496" s="256"/>
      <c r="DG24496" s="256"/>
    </row>
    <row r="24497" spans="104:111">
      <c r="CZ24497" s="256"/>
      <c r="DG24497" s="256"/>
    </row>
    <row r="24498" spans="104:111">
      <c r="CZ24498" s="256"/>
      <c r="DG24498" s="256"/>
    </row>
    <row r="24499" spans="104:111">
      <c r="CZ24499" s="256"/>
      <c r="DG24499" s="256"/>
    </row>
    <row r="24500" spans="104:111">
      <c r="CZ24500" s="256"/>
      <c r="DG24500" s="256"/>
    </row>
    <row r="24501" spans="104:111">
      <c r="CZ24501" s="256"/>
      <c r="DG24501" s="256"/>
    </row>
    <row r="24502" spans="104:111">
      <c r="CZ24502" s="256"/>
      <c r="DG24502" s="256"/>
    </row>
    <row r="24503" spans="104:111">
      <c r="CZ24503" s="256"/>
      <c r="DG24503" s="256"/>
    </row>
    <row r="24504" spans="104:111">
      <c r="CZ24504" s="256"/>
      <c r="DG24504" s="256"/>
    </row>
    <row r="24505" spans="104:111">
      <c r="CZ24505" s="256"/>
      <c r="DG24505" s="256"/>
    </row>
    <row r="24506" spans="104:111">
      <c r="CZ24506" s="256"/>
      <c r="DG24506" s="256"/>
    </row>
    <row r="24507" spans="104:111">
      <c r="CZ24507" s="256"/>
      <c r="DG24507" s="256"/>
    </row>
    <row r="24508" spans="104:111">
      <c r="CZ24508" s="256"/>
      <c r="DG24508" s="256"/>
    </row>
    <row r="24509" spans="104:111">
      <c r="CZ24509" s="256"/>
      <c r="DG24509" s="256"/>
    </row>
    <row r="24510" spans="104:111">
      <c r="CZ24510" s="256"/>
      <c r="DG24510" s="256"/>
    </row>
    <row r="24511" spans="104:111">
      <c r="CZ24511" s="256"/>
      <c r="DG24511" s="256"/>
    </row>
    <row r="24512" spans="104:111">
      <c r="CZ24512" s="256"/>
      <c r="DG24512" s="256"/>
    </row>
    <row r="24513" spans="104:111">
      <c r="CZ24513" s="256"/>
      <c r="DG24513" s="256"/>
    </row>
    <row r="24514" spans="104:111">
      <c r="CZ24514" s="256"/>
      <c r="DG24514" s="256"/>
    </row>
    <row r="24515" spans="104:111">
      <c r="CZ24515" s="256"/>
      <c r="DG24515" s="256"/>
    </row>
    <row r="24516" spans="104:111">
      <c r="CZ24516" s="256"/>
      <c r="DG24516" s="256"/>
    </row>
    <row r="24517" spans="104:111">
      <c r="CZ24517" s="256"/>
      <c r="DG24517" s="256"/>
    </row>
    <row r="24518" spans="104:111">
      <c r="CZ24518" s="256"/>
      <c r="DG24518" s="256"/>
    </row>
    <row r="24519" spans="104:111">
      <c r="CZ24519" s="256"/>
      <c r="DG24519" s="256"/>
    </row>
    <row r="24520" spans="104:111">
      <c r="CZ24520" s="256"/>
      <c r="DG24520" s="256"/>
    </row>
    <row r="24521" spans="104:111">
      <c r="CZ24521" s="256"/>
      <c r="DG24521" s="256"/>
    </row>
    <row r="24522" spans="104:111">
      <c r="CZ24522" s="256"/>
      <c r="DG24522" s="256"/>
    </row>
    <row r="24523" spans="104:111">
      <c r="CZ24523" s="256"/>
      <c r="DG24523" s="256"/>
    </row>
    <row r="24524" spans="104:111">
      <c r="CZ24524" s="256"/>
      <c r="DG24524" s="256"/>
    </row>
    <row r="24525" spans="104:111">
      <c r="CZ24525" s="256"/>
      <c r="DG24525" s="256"/>
    </row>
    <row r="24526" spans="104:111">
      <c r="CZ24526" s="256"/>
      <c r="DG24526" s="256"/>
    </row>
    <row r="24527" spans="104:111">
      <c r="CZ24527" s="256"/>
      <c r="DG24527" s="256"/>
    </row>
    <row r="24528" spans="104:111">
      <c r="CZ24528" s="256"/>
      <c r="DG24528" s="256"/>
    </row>
    <row r="24529" spans="104:111">
      <c r="CZ24529" s="256"/>
      <c r="DG24529" s="256"/>
    </row>
    <row r="24530" spans="104:111">
      <c r="CZ24530" s="256"/>
      <c r="DG24530" s="256"/>
    </row>
    <row r="24531" spans="104:111">
      <c r="CZ24531" s="256"/>
      <c r="DG24531" s="256"/>
    </row>
    <row r="24532" spans="104:111">
      <c r="CZ24532" s="256"/>
      <c r="DG24532" s="256"/>
    </row>
    <row r="24533" spans="104:111">
      <c r="CZ24533" s="256"/>
      <c r="DG24533" s="256"/>
    </row>
    <row r="24534" spans="104:111">
      <c r="CZ24534" s="256"/>
      <c r="DG24534" s="256"/>
    </row>
    <row r="24535" spans="104:111">
      <c r="CZ24535" s="256"/>
      <c r="DG24535" s="256"/>
    </row>
    <row r="24536" spans="104:111">
      <c r="CZ24536" s="256"/>
      <c r="DG24536" s="256"/>
    </row>
    <row r="24537" spans="104:111">
      <c r="CZ24537" s="256"/>
      <c r="DG24537" s="256"/>
    </row>
    <row r="24538" spans="104:111">
      <c r="CZ24538" s="256"/>
      <c r="DG24538" s="256"/>
    </row>
    <row r="24539" spans="104:111">
      <c r="CZ24539" s="256"/>
      <c r="DG24539" s="256"/>
    </row>
    <row r="24540" spans="104:111">
      <c r="CZ24540" s="256"/>
      <c r="DG24540" s="256"/>
    </row>
    <row r="24541" spans="104:111">
      <c r="CZ24541" s="256"/>
      <c r="DG24541" s="256"/>
    </row>
    <row r="24542" spans="104:111">
      <c r="CZ24542" s="256"/>
      <c r="DG24542" s="256"/>
    </row>
    <row r="24543" spans="104:111">
      <c r="CZ24543" s="256"/>
      <c r="DG24543" s="256"/>
    </row>
    <row r="24544" spans="104:111">
      <c r="CZ24544" s="256"/>
      <c r="DG24544" s="256"/>
    </row>
    <row r="24545" spans="104:111">
      <c r="CZ24545" s="256"/>
      <c r="DG24545" s="256"/>
    </row>
    <row r="24546" spans="104:111">
      <c r="CZ24546" s="256"/>
      <c r="DG24546" s="256"/>
    </row>
    <row r="24547" spans="104:111">
      <c r="CZ24547" s="256"/>
      <c r="DG24547" s="256"/>
    </row>
    <row r="24548" spans="104:111">
      <c r="CZ24548" s="256"/>
      <c r="DG24548" s="256"/>
    </row>
    <row r="24549" spans="104:111">
      <c r="CZ24549" s="256"/>
      <c r="DG24549" s="256"/>
    </row>
    <row r="24550" spans="104:111">
      <c r="CZ24550" s="256"/>
      <c r="DG24550" s="256"/>
    </row>
    <row r="24551" spans="104:111">
      <c r="CZ24551" s="256"/>
      <c r="DG24551" s="256"/>
    </row>
    <row r="24552" spans="104:111">
      <c r="CZ24552" s="256"/>
      <c r="DG24552" s="256"/>
    </row>
    <row r="24553" spans="104:111">
      <c r="CZ24553" s="256"/>
      <c r="DG24553" s="256"/>
    </row>
    <row r="24554" spans="104:111">
      <c r="CZ24554" s="256"/>
      <c r="DG24554" s="256"/>
    </row>
    <row r="24555" spans="104:111">
      <c r="CZ24555" s="256"/>
      <c r="DG24555" s="256"/>
    </row>
    <row r="24556" spans="104:111">
      <c r="CZ24556" s="256"/>
      <c r="DG24556" s="256"/>
    </row>
    <row r="24557" spans="104:111">
      <c r="CZ24557" s="256"/>
      <c r="DG24557" s="256"/>
    </row>
    <row r="24558" spans="104:111">
      <c r="CZ24558" s="256"/>
      <c r="DG24558" s="256"/>
    </row>
    <row r="24559" spans="104:111">
      <c r="CZ24559" s="256"/>
      <c r="DG24559" s="256"/>
    </row>
    <row r="24560" spans="104:111">
      <c r="CZ24560" s="256"/>
      <c r="DG24560" s="256"/>
    </row>
    <row r="24561" spans="104:111">
      <c r="CZ24561" s="256"/>
      <c r="DG24561" s="256"/>
    </row>
    <row r="24562" spans="104:111">
      <c r="CZ24562" s="256"/>
      <c r="DG24562" s="256"/>
    </row>
    <row r="24563" spans="104:111">
      <c r="CZ24563" s="256"/>
      <c r="DG24563" s="256"/>
    </row>
    <row r="24564" spans="104:111">
      <c r="CZ24564" s="256"/>
      <c r="DG24564" s="256"/>
    </row>
    <row r="24565" spans="104:111">
      <c r="CZ24565" s="256"/>
      <c r="DG24565" s="256"/>
    </row>
    <row r="24566" spans="104:111">
      <c r="CZ24566" s="256"/>
      <c r="DG24566" s="256"/>
    </row>
    <row r="24567" spans="104:111">
      <c r="CZ24567" s="256"/>
      <c r="DG24567" s="256"/>
    </row>
    <row r="24568" spans="104:111">
      <c r="CZ24568" s="256"/>
      <c r="DG24568" s="256"/>
    </row>
    <row r="24569" spans="104:111">
      <c r="CZ24569" s="256"/>
      <c r="DG24569" s="256"/>
    </row>
    <row r="24570" spans="104:111">
      <c r="CZ24570" s="256"/>
      <c r="DG24570" s="256"/>
    </row>
    <row r="24571" spans="104:111">
      <c r="CZ24571" s="256"/>
      <c r="DG24571" s="256"/>
    </row>
    <row r="24572" spans="104:111">
      <c r="CZ24572" s="256"/>
      <c r="DG24572" s="256"/>
    </row>
    <row r="24573" spans="104:111">
      <c r="CZ24573" s="256"/>
      <c r="DG24573" s="256"/>
    </row>
    <row r="24574" spans="104:111">
      <c r="CZ24574" s="256"/>
      <c r="DG24574" s="256"/>
    </row>
    <row r="24575" spans="104:111">
      <c r="CZ24575" s="256"/>
      <c r="DG24575" s="256"/>
    </row>
    <row r="24576" spans="104:111">
      <c r="CZ24576" s="256"/>
      <c r="DG24576" s="256"/>
    </row>
    <row r="24577" spans="104:111">
      <c r="CZ24577" s="256"/>
      <c r="DG24577" s="256"/>
    </row>
    <row r="24578" spans="104:111">
      <c r="CZ24578" s="256"/>
      <c r="DG24578" s="256"/>
    </row>
    <row r="24579" spans="104:111">
      <c r="CZ24579" s="256"/>
      <c r="DG24579" s="256"/>
    </row>
    <row r="24580" spans="104:111">
      <c r="CZ24580" s="256"/>
      <c r="DG24580" s="256"/>
    </row>
    <row r="24581" spans="104:111">
      <c r="CZ24581" s="256"/>
      <c r="DG24581" s="256"/>
    </row>
    <row r="24582" spans="104:111">
      <c r="CZ24582" s="256"/>
      <c r="DG24582" s="256"/>
    </row>
    <row r="24583" spans="104:111">
      <c r="CZ24583" s="256"/>
      <c r="DG24583" s="256"/>
    </row>
    <row r="24584" spans="104:111">
      <c r="CZ24584" s="256"/>
      <c r="DG24584" s="256"/>
    </row>
    <row r="24585" spans="104:111">
      <c r="CZ24585" s="256"/>
      <c r="DG24585" s="256"/>
    </row>
    <row r="24586" spans="104:111">
      <c r="CZ24586" s="256"/>
      <c r="DG24586" s="256"/>
    </row>
    <row r="24587" spans="104:111">
      <c r="CZ24587" s="256"/>
      <c r="DG24587" s="256"/>
    </row>
    <row r="24588" spans="104:111">
      <c r="CZ24588" s="256"/>
      <c r="DG24588" s="256"/>
    </row>
    <row r="24589" spans="104:111">
      <c r="CZ24589" s="256"/>
      <c r="DG24589" s="256"/>
    </row>
    <row r="24590" spans="104:111">
      <c r="CZ24590" s="256"/>
      <c r="DG24590" s="256"/>
    </row>
    <row r="24591" spans="104:111">
      <c r="CZ24591" s="256"/>
      <c r="DG24591" s="256"/>
    </row>
    <row r="24592" spans="104:111">
      <c r="CZ24592" s="256"/>
      <c r="DG24592" s="256"/>
    </row>
    <row r="24593" spans="104:111">
      <c r="CZ24593" s="256"/>
      <c r="DG24593" s="256"/>
    </row>
    <row r="24594" spans="104:111">
      <c r="CZ24594" s="256"/>
      <c r="DG24594" s="256"/>
    </row>
    <row r="24595" spans="104:111">
      <c r="CZ24595" s="256"/>
      <c r="DG24595" s="256"/>
    </row>
    <row r="24596" spans="104:111">
      <c r="CZ24596" s="256"/>
      <c r="DG24596" s="256"/>
    </row>
    <row r="24597" spans="104:111">
      <c r="CZ24597" s="256"/>
      <c r="DG24597" s="256"/>
    </row>
    <row r="24598" spans="104:111">
      <c r="CZ24598" s="256"/>
      <c r="DG24598" s="256"/>
    </row>
    <row r="24599" spans="104:111">
      <c r="CZ24599" s="256"/>
      <c r="DG24599" s="256"/>
    </row>
    <row r="24600" spans="104:111">
      <c r="CZ24600" s="256"/>
      <c r="DG24600" s="256"/>
    </row>
    <row r="24601" spans="104:111">
      <c r="CZ24601" s="256"/>
      <c r="DG24601" s="256"/>
    </row>
    <row r="24602" spans="104:111">
      <c r="CZ24602" s="256"/>
      <c r="DG24602" s="256"/>
    </row>
    <row r="24603" spans="104:111">
      <c r="CZ24603" s="256"/>
      <c r="DG24603" s="256"/>
    </row>
    <row r="24604" spans="104:111">
      <c r="CZ24604" s="256"/>
      <c r="DG24604" s="256"/>
    </row>
    <row r="24605" spans="104:111">
      <c r="CZ24605" s="256"/>
      <c r="DG24605" s="256"/>
    </row>
    <row r="24606" spans="104:111">
      <c r="CZ24606" s="256"/>
      <c r="DG24606" s="256"/>
    </row>
    <row r="24607" spans="104:111">
      <c r="CZ24607" s="256"/>
      <c r="DG24607" s="256"/>
    </row>
    <row r="24608" spans="104:111">
      <c r="CZ24608" s="256"/>
      <c r="DG24608" s="256"/>
    </row>
    <row r="24609" spans="104:111">
      <c r="CZ24609" s="256"/>
      <c r="DG24609" s="256"/>
    </row>
    <row r="24610" spans="104:111">
      <c r="CZ24610" s="256"/>
      <c r="DG24610" s="256"/>
    </row>
    <row r="24611" spans="104:111">
      <c r="CZ24611" s="256"/>
      <c r="DG24611" s="256"/>
    </row>
    <row r="24612" spans="104:111">
      <c r="CZ24612" s="256"/>
      <c r="DG24612" s="256"/>
    </row>
    <row r="24613" spans="104:111">
      <c r="CZ24613" s="256"/>
      <c r="DG24613" s="256"/>
    </row>
    <row r="24614" spans="104:111">
      <c r="CZ24614" s="256"/>
      <c r="DG24614" s="256"/>
    </row>
    <row r="24615" spans="104:111">
      <c r="CZ24615" s="256"/>
      <c r="DG24615" s="256"/>
    </row>
    <row r="24616" spans="104:111">
      <c r="CZ24616" s="256"/>
      <c r="DG24616" s="256"/>
    </row>
    <row r="24617" spans="104:111">
      <c r="CZ24617" s="256"/>
      <c r="DG24617" s="256"/>
    </row>
    <row r="24618" spans="104:111">
      <c r="CZ24618" s="256"/>
      <c r="DG24618" s="256"/>
    </row>
    <row r="24619" spans="104:111">
      <c r="CZ24619" s="256"/>
      <c r="DG24619" s="256"/>
    </row>
    <row r="24620" spans="104:111">
      <c r="CZ24620" s="256"/>
      <c r="DG24620" s="256"/>
    </row>
    <row r="24621" spans="104:111">
      <c r="CZ24621" s="256"/>
      <c r="DG24621" s="256"/>
    </row>
    <row r="24622" spans="104:111">
      <c r="CZ24622" s="256"/>
      <c r="DG24622" s="256"/>
    </row>
    <row r="24623" spans="104:111">
      <c r="CZ24623" s="256"/>
      <c r="DG24623" s="256"/>
    </row>
    <row r="24624" spans="104:111">
      <c r="CZ24624" s="256"/>
      <c r="DG24624" s="256"/>
    </row>
    <row r="24625" spans="104:111">
      <c r="CZ24625" s="256"/>
      <c r="DG24625" s="256"/>
    </row>
    <row r="24626" spans="104:111">
      <c r="CZ24626" s="256"/>
      <c r="DG24626" s="256"/>
    </row>
    <row r="24627" spans="104:111">
      <c r="CZ24627" s="256"/>
      <c r="DG24627" s="256"/>
    </row>
    <row r="24628" spans="104:111">
      <c r="CZ24628" s="256"/>
      <c r="DG24628" s="256"/>
    </row>
    <row r="24629" spans="104:111">
      <c r="CZ24629" s="256"/>
      <c r="DG24629" s="256"/>
    </row>
    <row r="24630" spans="104:111">
      <c r="CZ24630" s="256"/>
      <c r="DG24630" s="256"/>
    </row>
    <row r="24631" spans="104:111">
      <c r="CZ24631" s="256"/>
      <c r="DG24631" s="256"/>
    </row>
    <row r="24632" spans="104:111">
      <c r="CZ24632" s="256"/>
      <c r="DG24632" s="256"/>
    </row>
    <row r="24633" spans="104:111">
      <c r="CZ24633" s="256"/>
      <c r="DG24633" s="256"/>
    </row>
    <row r="24634" spans="104:111">
      <c r="CZ24634" s="256"/>
      <c r="DG24634" s="256"/>
    </row>
    <row r="24635" spans="104:111">
      <c r="CZ24635" s="256"/>
      <c r="DG24635" s="256"/>
    </row>
    <row r="24636" spans="104:111">
      <c r="CZ24636" s="256"/>
      <c r="DG24636" s="256"/>
    </row>
    <row r="24637" spans="104:111">
      <c r="CZ24637" s="256"/>
      <c r="DG24637" s="256"/>
    </row>
    <row r="24638" spans="104:111">
      <c r="CZ24638" s="256"/>
      <c r="DG24638" s="256"/>
    </row>
    <row r="24639" spans="104:111">
      <c r="CZ24639" s="256"/>
      <c r="DG24639" s="256"/>
    </row>
    <row r="24640" spans="104:111">
      <c r="CZ24640" s="256"/>
      <c r="DG24640" s="256"/>
    </row>
    <row r="24641" spans="104:111">
      <c r="CZ24641" s="256"/>
      <c r="DG24641" s="256"/>
    </row>
    <row r="24642" spans="104:111">
      <c r="CZ24642" s="256"/>
      <c r="DG24642" s="256"/>
    </row>
    <row r="24643" spans="104:111">
      <c r="CZ24643" s="256"/>
      <c r="DG24643" s="256"/>
    </row>
    <row r="24644" spans="104:111">
      <c r="CZ24644" s="256"/>
      <c r="DG24644" s="256"/>
    </row>
    <row r="24645" spans="104:111">
      <c r="CZ24645" s="256"/>
      <c r="DG24645" s="256"/>
    </row>
    <row r="24646" spans="104:111">
      <c r="CZ24646" s="256"/>
      <c r="DG24646" s="256"/>
    </row>
    <row r="24647" spans="104:111">
      <c r="CZ24647" s="256"/>
      <c r="DG24647" s="256"/>
    </row>
    <row r="24648" spans="104:111">
      <c r="CZ24648" s="256"/>
      <c r="DG24648" s="256"/>
    </row>
    <row r="24649" spans="104:111">
      <c r="CZ24649" s="256"/>
      <c r="DG24649" s="256"/>
    </row>
    <row r="24650" spans="104:111">
      <c r="CZ24650" s="256"/>
      <c r="DG24650" s="256"/>
    </row>
    <row r="24651" spans="104:111">
      <c r="CZ24651" s="256"/>
      <c r="DG24651" s="256"/>
    </row>
    <row r="24652" spans="104:111">
      <c r="CZ24652" s="256"/>
      <c r="DG24652" s="256"/>
    </row>
    <row r="24653" spans="104:111">
      <c r="CZ24653" s="256"/>
      <c r="DG24653" s="256"/>
    </row>
    <row r="24654" spans="104:111">
      <c r="CZ24654" s="256"/>
      <c r="DG24654" s="256"/>
    </row>
    <row r="24655" spans="104:111">
      <c r="CZ24655" s="256"/>
      <c r="DG24655" s="256"/>
    </row>
    <row r="24656" spans="104:111">
      <c r="CZ24656" s="256"/>
      <c r="DG24656" s="256"/>
    </row>
    <row r="24657" spans="104:111">
      <c r="CZ24657" s="256"/>
      <c r="DG24657" s="256"/>
    </row>
    <row r="24658" spans="104:111">
      <c r="CZ24658" s="256"/>
      <c r="DG24658" s="256"/>
    </row>
    <row r="24659" spans="104:111">
      <c r="CZ24659" s="256"/>
      <c r="DG24659" s="256"/>
    </row>
    <row r="24660" spans="104:111">
      <c r="CZ24660" s="256"/>
      <c r="DG24660" s="256"/>
    </row>
    <row r="24661" spans="104:111">
      <c r="CZ24661" s="256"/>
      <c r="DG24661" s="256"/>
    </row>
    <row r="24662" spans="104:111">
      <c r="CZ24662" s="256"/>
      <c r="DG24662" s="256"/>
    </row>
    <row r="24663" spans="104:111">
      <c r="CZ24663" s="256"/>
      <c r="DG24663" s="256"/>
    </row>
    <row r="24664" spans="104:111">
      <c r="CZ24664" s="256"/>
      <c r="DG24664" s="256"/>
    </row>
    <row r="24665" spans="104:111">
      <c r="CZ24665" s="256"/>
      <c r="DG24665" s="256"/>
    </row>
    <row r="24666" spans="104:111">
      <c r="CZ24666" s="256"/>
      <c r="DG24666" s="256"/>
    </row>
    <row r="24667" spans="104:111">
      <c r="CZ24667" s="256"/>
      <c r="DG24667" s="256"/>
    </row>
    <row r="24668" spans="104:111">
      <c r="CZ24668" s="256"/>
      <c r="DG24668" s="256"/>
    </row>
    <row r="24669" spans="104:111">
      <c r="CZ24669" s="256"/>
      <c r="DG24669" s="256"/>
    </row>
    <row r="24670" spans="104:111">
      <c r="CZ24670" s="256"/>
      <c r="DG24670" s="256"/>
    </row>
    <row r="24671" spans="104:111">
      <c r="CZ24671" s="256"/>
      <c r="DG24671" s="256"/>
    </row>
    <row r="24672" spans="104:111">
      <c r="CZ24672" s="256"/>
      <c r="DG24672" s="256"/>
    </row>
    <row r="24673" spans="104:111">
      <c r="CZ24673" s="256"/>
      <c r="DG24673" s="256"/>
    </row>
    <row r="24674" spans="104:111">
      <c r="CZ24674" s="256"/>
      <c r="DG24674" s="256"/>
    </row>
    <row r="24675" spans="104:111">
      <c r="CZ24675" s="256"/>
      <c r="DG24675" s="256"/>
    </row>
    <row r="24676" spans="104:111">
      <c r="CZ24676" s="256"/>
      <c r="DG24676" s="256"/>
    </row>
    <row r="24677" spans="104:111">
      <c r="CZ24677" s="256"/>
      <c r="DG24677" s="256"/>
    </row>
    <row r="24678" spans="104:111">
      <c r="CZ24678" s="256"/>
      <c r="DG24678" s="256"/>
    </row>
    <row r="24679" spans="104:111">
      <c r="CZ24679" s="256"/>
      <c r="DG24679" s="256"/>
    </row>
    <row r="24680" spans="104:111">
      <c r="CZ24680" s="256"/>
      <c r="DG24680" s="256"/>
    </row>
    <row r="24681" spans="104:111">
      <c r="CZ24681" s="256"/>
      <c r="DG24681" s="256"/>
    </row>
    <row r="24682" spans="104:111">
      <c r="CZ24682" s="256"/>
      <c r="DG24682" s="256"/>
    </row>
    <row r="24683" spans="104:111">
      <c r="CZ24683" s="256"/>
      <c r="DG24683" s="256"/>
    </row>
    <row r="24684" spans="104:111">
      <c r="CZ24684" s="256"/>
      <c r="DG24684" s="256"/>
    </row>
    <row r="24685" spans="104:111">
      <c r="CZ24685" s="256"/>
      <c r="DG24685" s="256"/>
    </row>
    <row r="24686" spans="104:111">
      <c r="CZ24686" s="256"/>
      <c r="DG24686" s="256"/>
    </row>
    <row r="24687" spans="104:111">
      <c r="CZ24687" s="256"/>
      <c r="DG24687" s="256"/>
    </row>
    <row r="24688" spans="104:111">
      <c r="CZ24688" s="256"/>
      <c r="DG24688" s="256"/>
    </row>
    <row r="24689" spans="104:111">
      <c r="CZ24689" s="256"/>
      <c r="DG24689" s="256"/>
    </row>
    <row r="24690" spans="104:111">
      <c r="CZ24690" s="256"/>
      <c r="DG24690" s="256"/>
    </row>
    <row r="24691" spans="104:111">
      <c r="CZ24691" s="256"/>
      <c r="DG24691" s="256"/>
    </row>
    <row r="24692" spans="104:111">
      <c r="CZ24692" s="256"/>
      <c r="DG24692" s="256"/>
    </row>
    <row r="24693" spans="104:111">
      <c r="CZ24693" s="256"/>
      <c r="DG24693" s="256"/>
    </row>
    <row r="24694" spans="104:111">
      <c r="CZ24694" s="256"/>
      <c r="DG24694" s="256"/>
    </row>
    <row r="24695" spans="104:111">
      <c r="CZ24695" s="256"/>
      <c r="DG24695" s="256"/>
    </row>
    <row r="24696" spans="104:111">
      <c r="CZ24696" s="256"/>
      <c r="DG24696" s="256"/>
    </row>
    <row r="24697" spans="104:111">
      <c r="CZ24697" s="256"/>
      <c r="DG24697" s="256"/>
    </row>
    <row r="24698" spans="104:111">
      <c r="CZ24698" s="256"/>
      <c r="DG24698" s="256"/>
    </row>
    <row r="24699" spans="104:111">
      <c r="CZ24699" s="256"/>
      <c r="DG24699" s="256"/>
    </row>
    <row r="24700" spans="104:111">
      <c r="CZ24700" s="256"/>
      <c r="DG24700" s="256"/>
    </row>
    <row r="24701" spans="104:111">
      <c r="CZ24701" s="256"/>
      <c r="DG24701" s="256"/>
    </row>
    <row r="24702" spans="104:111">
      <c r="CZ24702" s="256"/>
      <c r="DG24702" s="256"/>
    </row>
    <row r="24703" spans="104:111">
      <c r="CZ24703" s="256"/>
      <c r="DG24703" s="256"/>
    </row>
    <row r="24704" spans="104:111">
      <c r="CZ24704" s="256"/>
      <c r="DG24704" s="256"/>
    </row>
    <row r="24705" spans="104:111">
      <c r="CZ24705" s="256"/>
      <c r="DG24705" s="256"/>
    </row>
    <row r="24706" spans="104:111">
      <c r="CZ24706" s="256"/>
      <c r="DG24706" s="256"/>
    </row>
    <row r="24707" spans="104:111">
      <c r="CZ24707" s="256"/>
      <c r="DG24707" s="256"/>
    </row>
    <row r="24708" spans="104:111">
      <c r="CZ24708" s="256"/>
      <c r="DG24708" s="256"/>
    </row>
    <row r="24709" spans="104:111">
      <c r="CZ24709" s="256"/>
      <c r="DG24709" s="256"/>
    </row>
    <row r="24710" spans="104:111">
      <c r="CZ24710" s="256"/>
      <c r="DG24710" s="256"/>
    </row>
    <row r="24711" spans="104:111">
      <c r="CZ24711" s="256"/>
      <c r="DG24711" s="256"/>
    </row>
    <row r="24712" spans="104:111">
      <c r="CZ24712" s="256"/>
      <c r="DG24712" s="256"/>
    </row>
    <row r="24713" spans="104:111">
      <c r="CZ24713" s="256"/>
      <c r="DG24713" s="256"/>
    </row>
    <row r="24714" spans="104:111">
      <c r="CZ24714" s="256"/>
      <c r="DG24714" s="256"/>
    </row>
    <row r="24715" spans="104:111">
      <c r="CZ24715" s="256"/>
      <c r="DG24715" s="256"/>
    </row>
    <row r="24716" spans="104:111">
      <c r="CZ24716" s="256"/>
      <c r="DG24716" s="256"/>
    </row>
    <row r="24717" spans="104:111">
      <c r="CZ24717" s="256"/>
      <c r="DG24717" s="256"/>
    </row>
    <row r="24718" spans="104:111">
      <c r="CZ24718" s="256"/>
      <c r="DG24718" s="256"/>
    </row>
    <row r="24719" spans="104:111">
      <c r="CZ24719" s="256"/>
      <c r="DG24719" s="256"/>
    </row>
    <row r="24720" spans="104:111">
      <c r="CZ24720" s="256"/>
      <c r="DG24720" s="256"/>
    </row>
    <row r="24721" spans="104:111">
      <c r="CZ24721" s="256"/>
      <c r="DG24721" s="256"/>
    </row>
    <row r="24722" spans="104:111">
      <c r="CZ24722" s="256"/>
      <c r="DG24722" s="256"/>
    </row>
    <row r="24723" spans="104:111">
      <c r="CZ24723" s="256"/>
      <c r="DG24723" s="256"/>
    </row>
    <row r="24724" spans="104:111">
      <c r="CZ24724" s="256"/>
      <c r="DG24724" s="256"/>
    </row>
    <row r="24725" spans="104:111">
      <c r="CZ24725" s="256"/>
      <c r="DG24725" s="256"/>
    </row>
    <row r="24726" spans="104:111">
      <c r="CZ24726" s="256"/>
      <c r="DG24726" s="256"/>
    </row>
    <row r="24727" spans="104:111">
      <c r="CZ24727" s="256"/>
      <c r="DG24727" s="256"/>
    </row>
    <row r="24728" spans="104:111">
      <c r="CZ24728" s="256"/>
      <c r="DG24728" s="256"/>
    </row>
    <row r="24729" spans="104:111">
      <c r="CZ24729" s="256"/>
      <c r="DG24729" s="256"/>
    </row>
    <row r="24730" spans="104:111">
      <c r="CZ24730" s="256"/>
      <c r="DG24730" s="256"/>
    </row>
    <row r="24731" spans="104:111">
      <c r="CZ24731" s="256"/>
      <c r="DG24731" s="256"/>
    </row>
    <row r="24732" spans="104:111">
      <c r="CZ24732" s="256"/>
      <c r="DG24732" s="256"/>
    </row>
    <row r="24733" spans="104:111">
      <c r="CZ24733" s="256"/>
      <c r="DG24733" s="256"/>
    </row>
    <row r="24734" spans="104:111">
      <c r="CZ24734" s="256"/>
      <c r="DG24734" s="256"/>
    </row>
    <row r="24735" spans="104:111">
      <c r="CZ24735" s="256"/>
      <c r="DG24735" s="256"/>
    </row>
    <row r="24736" spans="104:111">
      <c r="CZ24736" s="256"/>
      <c r="DG24736" s="256"/>
    </row>
    <row r="24737" spans="104:111">
      <c r="CZ24737" s="256"/>
      <c r="DG24737" s="256"/>
    </row>
    <row r="24738" spans="104:111">
      <c r="CZ24738" s="256"/>
      <c r="DG24738" s="256"/>
    </row>
    <row r="24739" spans="104:111">
      <c r="CZ24739" s="256"/>
      <c r="DG24739" s="256"/>
    </row>
    <row r="24740" spans="104:111">
      <c r="CZ24740" s="256"/>
      <c r="DG24740" s="256"/>
    </row>
    <row r="24741" spans="104:111">
      <c r="CZ24741" s="256"/>
      <c r="DG24741" s="256"/>
    </row>
    <row r="24742" spans="104:111">
      <c r="CZ24742" s="256"/>
      <c r="DG24742" s="256"/>
    </row>
    <row r="24743" spans="104:111">
      <c r="CZ24743" s="256"/>
      <c r="DG24743" s="256"/>
    </row>
    <row r="24744" spans="104:111">
      <c r="CZ24744" s="256"/>
      <c r="DG24744" s="256"/>
    </row>
    <row r="24745" spans="104:111">
      <c r="CZ24745" s="256"/>
      <c r="DG24745" s="256"/>
    </row>
    <row r="24746" spans="104:111">
      <c r="CZ24746" s="256"/>
      <c r="DG24746" s="256"/>
    </row>
    <row r="24747" spans="104:111">
      <c r="CZ24747" s="256"/>
      <c r="DG24747" s="256"/>
    </row>
    <row r="24748" spans="104:111">
      <c r="CZ24748" s="256"/>
      <c r="DG24748" s="256"/>
    </row>
    <row r="24749" spans="104:111">
      <c r="CZ24749" s="256"/>
      <c r="DG24749" s="256"/>
    </row>
    <row r="24750" spans="104:111">
      <c r="CZ24750" s="256"/>
      <c r="DG24750" s="256"/>
    </row>
    <row r="24751" spans="104:111">
      <c r="CZ24751" s="256"/>
      <c r="DG24751" s="256"/>
    </row>
    <row r="24752" spans="104:111">
      <c r="CZ24752" s="256"/>
      <c r="DG24752" s="256"/>
    </row>
    <row r="24753" spans="104:111">
      <c r="CZ24753" s="256"/>
      <c r="DG24753" s="256"/>
    </row>
    <row r="24754" spans="104:111">
      <c r="CZ24754" s="256"/>
      <c r="DG24754" s="256"/>
    </row>
    <row r="24755" spans="104:111">
      <c r="CZ24755" s="256"/>
      <c r="DG24755" s="256"/>
    </row>
    <row r="24756" spans="104:111">
      <c r="CZ24756" s="256"/>
      <c r="DG24756" s="256"/>
    </row>
    <row r="24757" spans="104:111">
      <c r="CZ24757" s="256"/>
      <c r="DG24757" s="256"/>
    </row>
    <row r="24758" spans="104:111">
      <c r="CZ24758" s="256"/>
      <c r="DG24758" s="256"/>
    </row>
    <row r="24759" spans="104:111">
      <c r="CZ24759" s="256"/>
      <c r="DG24759" s="256"/>
    </row>
    <row r="24760" spans="104:111">
      <c r="CZ24760" s="256"/>
      <c r="DG24760" s="256"/>
    </row>
    <row r="24761" spans="104:111">
      <c r="CZ24761" s="256"/>
      <c r="DG24761" s="256"/>
    </row>
    <row r="24762" spans="104:111">
      <c r="CZ24762" s="256"/>
      <c r="DG24762" s="256"/>
    </row>
    <row r="24763" spans="104:111">
      <c r="CZ24763" s="256"/>
      <c r="DG24763" s="256"/>
    </row>
    <row r="24764" spans="104:111">
      <c r="CZ24764" s="256"/>
      <c r="DG24764" s="256"/>
    </row>
    <row r="24765" spans="104:111">
      <c r="CZ24765" s="256"/>
      <c r="DG24765" s="256"/>
    </row>
    <row r="24766" spans="104:111">
      <c r="CZ24766" s="256"/>
      <c r="DG24766" s="256"/>
    </row>
    <row r="24767" spans="104:111">
      <c r="CZ24767" s="256"/>
      <c r="DG24767" s="256"/>
    </row>
    <row r="24768" spans="104:111">
      <c r="CZ24768" s="256"/>
      <c r="DG24768" s="256"/>
    </row>
    <row r="24769" spans="104:111">
      <c r="CZ24769" s="256"/>
      <c r="DG24769" s="256"/>
    </row>
    <row r="24770" spans="104:111">
      <c r="CZ24770" s="256"/>
      <c r="DG24770" s="256"/>
    </row>
    <row r="24771" spans="104:111">
      <c r="CZ24771" s="256"/>
      <c r="DG24771" s="256"/>
    </row>
    <row r="24772" spans="104:111">
      <c r="CZ24772" s="256"/>
      <c r="DG24772" s="256"/>
    </row>
    <row r="24773" spans="104:111">
      <c r="CZ24773" s="256"/>
      <c r="DG24773" s="256"/>
    </row>
    <row r="24774" spans="104:111">
      <c r="CZ24774" s="256"/>
      <c r="DG24774" s="256"/>
    </row>
    <row r="24775" spans="104:111">
      <c r="CZ24775" s="256"/>
      <c r="DG24775" s="256"/>
    </row>
    <row r="24776" spans="104:111">
      <c r="CZ24776" s="256"/>
      <c r="DG24776" s="256"/>
    </row>
    <row r="24777" spans="104:111">
      <c r="CZ24777" s="256"/>
      <c r="DG24777" s="256"/>
    </row>
    <row r="24778" spans="104:111">
      <c r="CZ24778" s="256"/>
      <c r="DG24778" s="256"/>
    </row>
    <row r="24779" spans="104:111">
      <c r="CZ24779" s="256"/>
      <c r="DG24779" s="256"/>
    </row>
    <row r="24780" spans="104:111">
      <c r="CZ24780" s="256"/>
      <c r="DG24780" s="256"/>
    </row>
    <row r="24781" spans="104:111">
      <c r="CZ24781" s="256"/>
      <c r="DG24781" s="256"/>
    </row>
    <row r="24782" spans="104:111">
      <c r="CZ24782" s="256"/>
      <c r="DG24782" s="256"/>
    </row>
    <row r="24783" spans="104:111">
      <c r="CZ24783" s="256"/>
      <c r="DG24783" s="256"/>
    </row>
    <row r="24784" spans="104:111">
      <c r="CZ24784" s="256"/>
      <c r="DG24784" s="256"/>
    </row>
    <row r="24785" spans="104:111">
      <c r="CZ24785" s="256"/>
      <c r="DG24785" s="256"/>
    </row>
    <row r="24786" spans="104:111">
      <c r="CZ24786" s="256"/>
      <c r="DG24786" s="256"/>
    </row>
    <row r="24787" spans="104:111">
      <c r="CZ24787" s="256"/>
      <c r="DG24787" s="256"/>
    </row>
    <row r="24788" spans="104:111">
      <c r="CZ24788" s="256"/>
      <c r="DG24788" s="256"/>
    </row>
    <row r="24789" spans="104:111">
      <c r="CZ24789" s="256"/>
      <c r="DG24789" s="256"/>
    </row>
    <row r="24790" spans="104:111">
      <c r="CZ24790" s="256"/>
      <c r="DG24790" s="256"/>
    </row>
    <row r="24791" spans="104:111">
      <c r="CZ24791" s="256"/>
      <c r="DG24791" s="256"/>
    </row>
    <row r="24792" spans="104:111">
      <c r="CZ24792" s="256"/>
      <c r="DG24792" s="256"/>
    </row>
    <row r="24793" spans="104:111">
      <c r="CZ24793" s="256"/>
      <c r="DG24793" s="256"/>
    </row>
    <row r="24794" spans="104:111">
      <c r="CZ24794" s="256"/>
      <c r="DG24794" s="256"/>
    </row>
    <row r="24795" spans="104:111">
      <c r="CZ24795" s="256"/>
      <c r="DG24795" s="256"/>
    </row>
    <row r="24796" spans="104:111">
      <c r="CZ24796" s="256"/>
      <c r="DG24796" s="256"/>
    </row>
    <row r="24797" spans="104:111">
      <c r="CZ24797" s="256"/>
      <c r="DG24797" s="256"/>
    </row>
    <row r="24798" spans="104:111">
      <c r="CZ24798" s="256"/>
      <c r="DG24798" s="256"/>
    </row>
    <row r="24799" spans="104:111">
      <c r="CZ24799" s="256"/>
      <c r="DG24799" s="256"/>
    </row>
    <row r="24800" spans="104:111">
      <c r="CZ24800" s="256"/>
      <c r="DG24800" s="256"/>
    </row>
    <row r="24801" spans="104:111">
      <c r="CZ24801" s="256"/>
      <c r="DG24801" s="256"/>
    </row>
    <row r="24802" spans="104:111">
      <c r="CZ24802" s="256"/>
      <c r="DG24802" s="256"/>
    </row>
    <row r="24803" spans="104:111">
      <c r="CZ24803" s="256"/>
      <c r="DG24803" s="256"/>
    </row>
    <row r="24804" spans="104:111">
      <c r="CZ24804" s="256"/>
      <c r="DG24804" s="256"/>
    </row>
    <row r="24805" spans="104:111">
      <c r="CZ24805" s="256"/>
      <c r="DG24805" s="256"/>
    </row>
    <row r="24806" spans="104:111">
      <c r="CZ24806" s="256"/>
      <c r="DG24806" s="256"/>
    </row>
    <row r="24807" spans="104:111">
      <c r="CZ24807" s="256"/>
      <c r="DG24807" s="256"/>
    </row>
    <row r="24808" spans="104:111">
      <c r="CZ24808" s="256"/>
      <c r="DG24808" s="256"/>
    </row>
    <row r="24809" spans="104:111">
      <c r="CZ24809" s="256"/>
      <c r="DG24809" s="256"/>
    </row>
    <row r="24810" spans="104:111">
      <c r="CZ24810" s="256"/>
      <c r="DG24810" s="256"/>
    </row>
    <row r="24811" spans="104:111">
      <c r="CZ24811" s="256"/>
      <c r="DG24811" s="256"/>
    </row>
    <row r="24812" spans="104:111">
      <c r="CZ24812" s="256"/>
      <c r="DG24812" s="256"/>
    </row>
    <row r="24813" spans="104:111">
      <c r="CZ24813" s="256"/>
      <c r="DG24813" s="256"/>
    </row>
    <row r="24814" spans="104:111">
      <c r="CZ24814" s="256"/>
      <c r="DG24814" s="256"/>
    </row>
    <row r="24815" spans="104:111">
      <c r="CZ24815" s="256"/>
      <c r="DG24815" s="256"/>
    </row>
    <row r="24816" spans="104:111">
      <c r="CZ24816" s="256"/>
      <c r="DG24816" s="256"/>
    </row>
    <row r="24817" spans="104:111">
      <c r="CZ24817" s="256"/>
      <c r="DG24817" s="256"/>
    </row>
    <row r="24818" spans="104:111">
      <c r="CZ24818" s="256"/>
      <c r="DG24818" s="256"/>
    </row>
    <row r="24819" spans="104:111">
      <c r="CZ24819" s="256"/>
      <c r="DG24819" s="256"/>
    </row>
    <row r="24820" spans="104:111">
      <c r="CZ24820" s="256"/>
      <c r="DG24820" s="256"/>
    </row>
    <row r="24821" spans="104:111">
      <c r="CZ24821" s="256"/>
      <c r="DG24821" s="256"/>
    </row>
    <row r="24822" spans="104:111">
      <c r="CZ24822" s="256"/>
      <c r="DG24822" s="256"/>
    </row>
    <row r="24823" spans="104:111">
      <c r="CZ24823" s="256"/>
      <c r="DG24823" s="256"/>
    </row>
    <row r="24824" spans="104:111">
      <c r="CZ24824" s="256"/>
      <c r="DG24824" s="256"/>
    </row>
    <row r="24825" spans="104:111">
      <c r="CZ24825" s="256"/>
      <c r="DG24825" s="256"/>
    </row>
    <row r="24826" spans="104:111">
      <c r="CZ24826" s="256"/>
      <c r="DG24826" s="256"/>
    </row>
    <row r="24827" spans="104:111">
      <c r="CZ24827" s="256"/>
      <c r="DG24827" s="256"/>
    </row>
    <row r="24828" spans="104:111">
      <c r="CZ24828" s="256"/>
      <c r="DG24828" s="256"/>
    </row>
    <row r="24829" spans="104:111">
      <c r="CZ24829" s="256"/>
      <c r="DG24829" s="256"/>
    </row>
    <row r="24830" spans="104:111">
      <c r="CZ24830" s="256"/>
      <c r="DG24830" s="256"/>
    </row>
    <row r="24831" spans="104:111">
      <c r="CZ24831" s="256"/>
      <c r="DG24831" s="256"/>
    </row>
    <row r="24832" spans="104:111">
      <c r="CZ24832" s="256"/>
      <c r="DG24832" s="256"/>
    </row>
    <row r="24833" spans="104:111">
      <c r="CZ24833" s="256"/>
      <c r="DG24833" s="256"/>
    </row>
    <row r="24834" spans="104:111">
      <c r="CZ24834" s="256"/>
      <c r="DG24834" s="256"/>
    </row>
    <row r="24835" spans="104:111">
      <c r="CZ24835" s="256"/>
      <c r="DG24835" s="256"/>
    </row>
    <row r="24836" spans="104:111">
      <c r="CZ24836" s="256"/>
      <c r="DG24836" s="256"/>
    </row>
    <row r="24837" spans="104:111">
      <c r="CZ24837" s="256"/>
      <c r="DG24837" s="256"/>
    </row>
    <row r="24838" spans="104:111">
      <c r="CZ24838" s="256"/>
      <c r="DG24838" s="256"/>
    </row>
    <row r="24839" spans="104:111">
      <c r="CZ24839" s="256"/>
      <c r="DG24839" s="256"/>
    </row>
    <row r="24840" spans="104:111">
      <c r="CZ24840" s="256"/>
      <c r="DG24840" s="256"/>
    </row>
    <row r="24841" spans="104:111">
      <c r="CZ24841" s="256"/>
      <c r="DG24841" s="256"/>
    </row>
    <row r="24842" spans="104:111">
      <c r="CZ24842" s="256"/>
      <c r="DG24842" s="256"/>
    </row>
    <row r="24843" spans="104:111">
      <c r="CZ24843" s="256"/>
      <c r="DG24843" s="256"/>
    </row>
    <row r="24844" spans="104:111">
      <c r="CZ24844" s="256"/>
      <c r="DG24844" s="256"/>
    </row>
    <row r="24845" spans="104:111">
      <c r="CZ24845" s="256"/>
      <c r="DG24845" s="256"/>
    </row>
    <row r="24846" spans="104:111">
      <c r="CZ24846" s="256"/>
      <c r="DG24846" s="256"/>
    </row>
    <row r="24847" spans="104:111">
      <c r="CZ24847" s="256"/>
      <c r="DG24847" s="256"/>
    </row>
    <row r="24848" spans="104:111">
      <c r="CZ24848" s="256"/>
      <c r="DG24848" s="256"/>
    </row>
    <row r="24849" spans="104:111">
      <c r="CZ24849" s="256"/>
      <c r="DG24849" s="256"/>
    </row>
    <row r="24850" spans="104:111">
      <c r="CZ24850" s="256"/>
      <c r="DG24850" s="256"/>
    </row>
    <row r="24851" spans="104:111">
      <c r="CZ24851" s="256"/>
      <c r="DG24851" s="256"/>
    </row>
    <row r="24852" spans="104:111">
      <c r="CZ24852" s="256"/>
      <c r="DG24852" s="256"/>
    </row>
    <row r="24853" spans="104:111">
      <c r="CZ24853" s="256"/>
      <c r="DG24853" s="256"/>
    </row>
    <row r="24854" spans="104:111">
      <c r="CZ24854" s="256"/>
      <c r="DG24854" s="256"/>
    </row>
    <row r="24855" spans="104:111">
      <c r="CZ24855" s="256"/>
      <c r="DG24855" s="256"/>
    </row>
    <row r="24856" spans="104:111">
      <c r="CZ24856" s="256"/>
      <c r="DG24856" s="256"/>
    </row>
    <row r="24857" spans="104:111">
      <c r="CZ24857" s="256"/>
      <c r="DG24857" s="256"/>
    </row>
    <row r="24858" spans="104:111">
      <c r="CZ24858" s="256"/>
      <c r="DG24858" s="256"/>
    </row>
    <row r="24859" spans="104:111">
      <c r="CZ24859" s="256"/>
      <c r="DG24859" s="256"/>
    </row>
    <row r="24860" spans="104:111">
      <c r="CZ24860" s="256"/>
      <c r="DG24860" s="256"/>
    </row>
    <row r="24861" spans="104:111">
      <c r="CZ24861" s="256"/>
      <c r="DG24861" s="256"/>
    </row>
    <row r="24862" spans="104:111">
      <c r="CZ24862" s="256"/>
      <c r="DG24862" s="256"/>
    </row>
    <row r="24863" spans="104:111">
      <c r="CZ24863" s="256"/>
      <c r="DG24863" s="256"/>
    </row>
    <row r="24864" spans="104:111">
      <c r="CZ24864" s="256"/>
      <c r="DG24864" s="256"/>
    </row>
    <row r="24865" spans="104:111">
      <c r="CZ24865" s="256"/>
      <c r="DG24865" s="256"/>
    </row>
    <row r="24866" spans="104:111">
      <c r="CZ24866" s="256"/>
      <c r="DG24866" s="256"/>
    </row>
    <row r="24867" spans="104:111">
      <c r="CZ24867" s="256"/>
      <c r="DG24867" s="256"/>
    </row>
    <row r="24868" spans="104:111">
      <c r="CZ24868" s="256"/>
      <c r="DG24868" s="256"/>
    </row>
    <row r="24869" spans="104:111">
      <c r="CZ24869" s="256"/>
      <c r="DG24869" s="256"/>
    </row>
    <row r="24870" spans="104:111">
      <c r="CZ24870" s="256"/>
      <c r="DG24870" s="256"/>
    </row>
    <row r="24871" spans="104:111">
      <c r="CZ24871" s="256"/>
      <c r="DG24871" s="256"/>
    </row>
    <row r="24872" spans="104:111">
      <c r="CZ24872" s="256"/>
      <c r="DG24872" s="256"/>
    </row>
    <row r="24873" spans="104:111">
      <c r="CZ24873" s="256"/>
      <c r="DG24873" s="256"/>
    </row>
    <row r="24874" spans="104:111">
      <c r="CZ24874" s="256"/>
      <c r="DG24874" s="256"/>
    </row>
    <row r="24875" spans="104:111">
      <c r="CZ24875" s="256"/>
      <c r="DG24875" s="256"/>
    </row>
    <row r="24876" spans="104:111">
      <c r="CZ24876" s="256"/>
      <c r="DG24876" s="256"/>
    </row>
    <row r="24877" spans="104:111">
      <c r="CZ24877" s="256"/>
      <c r="DG24877" s="256"/>
    </row>
    <row r="24878" spans="104:111">
      <c r="CZ24878" s="256"/>
      <c r="DG24878" s="256"/>
    </row>
    <row r="24879" spans="104:111">
      <c r="CZ24879" s="256"/>
      <c r="DG24879" s="256"/>
    </row>
    <row r="24880" spans="104:111">
      <c r="CZ24880" s="256"/>
      <c r="DG24880" s="256"/>
    </row>
    <row r="24881" spans="104:111">
      <c r="CZ24881" s="256"/>
      <c r="DG24881" s="256"/>
    </row>
    <row r="24882" spans="104:111">
      <c r="CZ24882" s="256"/>
      <c r="DG24882" s="256"/>
    </row>
    <row r="24883" spans="104:111">
      <c r="CZ24883" s="256"/>
      <c r="DG24883" s="256"/>
    </row>
    <row r="24884" spans="104:111">
      <c r="CZ24884" s="256"/>
      <c r="DG24884" s="256"/>
    </row>
    <row r="24885" spans="104:111">
      <c r="CZ24885" s="256"/>
      <c r="DG24885" s="256"/>
    </row>
    <row r="24886" spans="104:111">
      <c r="CZ24886" s="256"/>
      <c r="DG24886" s="256"/>
    </row>
    <row r="24887" spans="104:111">
      <c r="CZ24887" s="256"/>
      <c r="DG24887" s="256"/>
    </row>
    <row r="24888" spans="104:111">
      <c r="CZ24888" s="256"/>
      <c r="DG24888" s="256"/>
    </row>
    <row r="24889" spans="104:111">
      <c r="CZ24889" s="256"/>
      <c r="DG24889" s="256"/>
    </row>
    <row r="24890" spans="104:111">
      <c r="CZ24890" s="256"/>
      <c r="DG24890" s="256"/>
    </row>
    <row r="24891" spans="104:111">
      <c r="CZ24891" s="256"/>
      <c r="DG24891" s="256"/>
    </row>
    <row r="24892" spans="104:111">
      <c r="CZ24892" s="256"/>
      <c r="DG24892" s="256"/>
    </row>
    <row r="24893" spans="104:111">
      <c r="CZ24893" s="256"/>
      <c r="DG24893" s="256"/>
    </row>
    <row r="24894" spans="104:111">
      <c r="CZ24894" s="256"/>
      <c r="DG24894" s="256"/>
    </row>
    <row r="24895" spans="104:111">
      <c r="CZ24895" s="256"/>
      <c r="DG24895" s="256"/>
    </row>
    <row r="24896" spans="104:111">
      <c r="CZ24896" s="256"/>
      <c r="DG24896" s="256"/>
    </row>
    <row r="24897" spans="104:111">
      <c r="CZ24897" s="256"/>
      <c r="DG24897" s="256"/>
    </row>
    <row r="24898" spans="104:111">
      <c r="CZ24898" s="256"/>
      <c r="DG24898" s="256"/>
    </row>
    <row r="24899" spans="104:111">
      <c r="CZ24899" s="256"/>
      <c r="DG24899" s="256"/>
    </row>
    <row r="24900" spans="104:111">
      <c r="CZ24900" s="256"/>
      <c r="DG24900" s="256"/>
    </row>
    <row r="24901" spans="104:111">
      <c r="CZ24901" s="256"/>
      <c r="DG24901" s="256"/>
    </row>
    <row r="24902" spans="104:111">
      <c r="CZ24902" s="256"/>
      <c r="DG24902" s="256"/>
    </row>
    <row r="24903" spans="104:111">
      <c r="CZ24903" s="256"/>
      <c r="DG24903" s="256"/>
    </row>
    <row r="24904" spans="104:111">
      <c r="CZ24904" s="256"/>
      <c r="DG24904" s="256"/>
    </row>
    <row r="24905" spans="104:111">
      <c r="CZ24905" s="256"/>
      <c r="DG24905" s="256"/>
    </row>
    <row r="24906" spans="104:111">
      <c r="CZ24906" s="256"/>
      <c r="DG24906" s="256"/>
    </row>
    <row r="24907" spans="104:111">
      <c r="CZ24907" s="256"/>
      <c r="DG24907" s="256"/>
    </row>
    <row r="24908" spans="104:111">
      <c r="CZ24908" s="256"/>
      <c r="DG24908" s="256"/>
    </row>
    <row r="24909" spans="104:111">
      <c r="CZ24909" s="256"/>
      <c r="DG24909" s="256"/>
    </row>
    <row r="24910" spans="104:111">
      <c r="CZ24910" s="256"/>
      <c r="DG24910" s="256"/>
    </row>
    <row r="24911" spans="104:111">
      <c r="CZ24911" s="256"/>
      <c r="DG24911" s="256"/>
    </row>
    <row r="24912" spans="104:111">
      <c r="CZ24912" s="256"/>
      <c r="DG24912" s="256"/>
    </row>
    <row r="24913" spans="104:111">
      <c r="CZ24913" s="256"/>
      <c r="DG24913" s="256"/>
    </row>
    <row r="24914" spans="104:111">
      <c r="CZ24914" s="256"/>
      <c r="DG24914" s="256"/>
    </row>
    <row r="24915" spans="104:111">
      <c r="CZ24915" s="256"/>
      <c r="DG24915" s="256"/>
    </row>
    <row r="24916" spans="104:111">
      <c r="CZ24916" s="256"/>
      <c r="DG24916" s="256"/>
    </row>
    <row r="24917" spans="104:111">
      <c r="CZ24917" s="256"/>
      <c r="DG24917" s="256"/>
    </row>
    <row r="24918" spans="104:111">
      <c r="CZ24918" s="256"/>
      <c r="DG24918" s="256"/>
    </row>
    <row r="24919" spans="104:111">
      <c r="CZ24919" s="256"/>
      <c r="DG24919" s="256"/>
    </row>
    <row r="24920" spans="104:111">
      <c r="CZ24920" s="256"/>
      <c r="DG24920" s="256"/>
    </row>
    <row r="24921" spans="104:111">
      <c r="CZ24921" s="256"/>
      <c r="DG24921" s="256"/>
    </row>
    <row r="24922" spans="104:111">
      <c r="CZ24922" s="256"/>
      <c r="DG24922" s="256"/>
    </row>
    <row r="24923" spans="104:111">
      <c r="CZ24923" s="256"/>
      <c r="DG24923" s="256"/>
    </row>
    <row r="24924" spans="104:111">
      <c r="CZ24924" s="256"/>
      <c r="DG24924" s="256"/>
    </row>
    <row r="24925" spans="104:111">
      <c r="CZ24925" s="256"/>
      <c r="DG24925" s="256"/>
    </row>
    <row r="24926" spans="104:111">
      <c r="CZ24926" s="256"/>
      <c r="DG24926" s="256"/>
    </row>
    <row r="24927" spans="104:111">
      <c r="CZ24927" s="256"/>
      <c r="DG24927" s="256"/>
    </row>
    <row r="24928" spans="104:111">
      <c r="CZ24928" s="256"/>
      <c r="DG24928" s="256"/>
    </row>
    <row r="24929" spans="104:111">
      <c r="CZ24929" s="256"/>
      <c r="DG24929" s="256"/>
    </row>
    <row r="24930" spans="104:111">
      <c r="CZ24930" s="256"/>
      <c r="DG24930" s="256"/>
    </row>
    <row r="24931" spans="104:111">
      <c r="CZ24931" s="256"/>
      <c r="DG24931" s="256"/>
    </row>
    <row r="24932" spans="104:111">
      <c r="CZ24932" s="256"/>
      <c r="DG24932" s="256"/>
    </row>
    <row r="24933" spans="104:111">
      <c r="CZ24933" s="256"/>
      <c r="DG24933" s="256"/>
    </row>
    <row r="24934" spans="104:111">
      <c r="CZ24934" s="256"/>
      <c r="DG24934" s="256"/>
    </row>
    <row r="24935" spans="104:111">
      <c r="CZ24935" s="256"/>
      <c r="DG24935" s="256"/>
    </row>
    <row r="24936" spans="104:111">
      <c r="CZ24936" s="256"/>
      <c r="DG24936" s="256"/>
    </row>
    <row r="24937" spans="104:111">
      <c r="CZ24937" s="256"/>
      <c r="DG24937" s="256"/>
    </row>
    <row r="24938" spans="104:111">
      <c r="CZ24938" s="256"/>
      <c r="DG24938" s="256"/>
    </row>
    <row r="24939" spans="104:111">
      <c r="CZ24939" s="256"/>
      <c r="DG24939" s="256"/>
    </row>
    <row r="24940" spans="104:111">
      <c r="CZ24940" s="256"/>
      <c r="DG24940" s="256"/>
    </row>
    <row r="24941" spans="104:111">
      <c r="CZ24941" s="256"/>
      <c r="DG24941" s="256"/>
    </row>
    <row r="24942" spans="104:111">
      <c r="CZ24942" s="256"/>
      <c r="DG24942" s="256"/>
    </row>
    <row r="24943" spans="104:111">
      <c r="CZ24943" s="256"/>
      <c r="DG24943" s="256"/>
    </row>
    <row r="24944" spans="104:111">
      <c r="CZ24944" s="256"/>
      <c r="DG24944" s="256"/>
    </row>
    <row r="24945" spans="104:111">
      <c r="CZ24945" s="256"/>
      <c r="DG24945" s="256"/>
    </row>
    <row r="24946" spans="104:111">
      <c r="CZ24946" s="256"/>
      <c r="DG24946" s="256"/>
    </row>
    <row r="24947" spans="104:111">
      <c r="CZ24947" s="256"/>
      <c r="DG24947" s="256"/>
    </row>
    <row r="24948" spans="104:111">
      <c r="CZ24948" s="256"/>
      <c r="DG24948" s="256"/>
    </row>
    <row r="24949" spans="104:111">
      <c r="CZ24949" s="256"/>
      <c r="DG24949" s="256"/>
    </row>
    <row r="24950" spans="104:111">
      <c r="CZ24950" s="256"/>
      <c r="DG24950" s="256"/>
    </row>
    <row r="24951" spans="104:111">
      <c r="CZ24951" s="256"/>
      <c r="DG24951" s="256"/>
    </row>
    <row r="24952" spans="104:111">
      <c r="CZ24952" s="256"/>
      <c r="DG24952" s="256"/>
    </row>
    <row r="24953" spans="104:111">
      <c r="CZ24953" s="256"/>
      <c r="DG24953" s="256"/>
    </row>
    <row r="24954" spans="104:111">
      <c r="CZ24954" s="256"/>
      <c r="DG24954" s="256"/>
    </row>
    <row r="24955" spans="104:111">
      <c r="CZ24955" s="256"/>
      <c r="DG24955" s="256"/>
    </row>
    <row r="24956" spans="104:111">
      <c r="CZ24956" s="256"/>
      <c r="DG24956" s="256"/>
    </row>
    <row r="24957" spans="104:111">
      <c r="CZ24957" s="256"/>
      <c r="DG24957" s="256"/>
    </row>
    <row r="24958" spans="104:111">
      <c r="CZ24958" s="256"/>
      <c r="DG24958" s="256"/>
    </row>
    <row r="24959" spans="104:111">
      <c r="CZ24959" s="256"/>
      <c r="DG24959" s="256"/>
    </row>
    <row r="24960" spans="104:111">
      <c r="CZ24960" s="256"/>
      <c r="DG24960" s="256"/>
    </row>
    <row r="24961" spans="104:111">
      <c r="CZ24961" s="256"/>
      <c r="DG24961" s="256"/>
    </row>
    <row r="24962" spans="104:111">
      <c r="CZ24962" s="256"/>
      <c r="DG24962" s="256"/>
    </row>
    <row r="24963" spans="104:111">
      <c r="CZ24963" s="256"/>
      <c r="DG24963" s="256"/>
    </row>
    <row r="24964" spans="104:111">
      <c r="CZ24964" s="256"/>
      <c r="DG24964" s="256"/>
    </row>
    <row r="24965" spans="104:111">
      <c r="CZ24965" s="256"/>
      <c r="DG24965" s="256"/>
    </row>
    <row r="24966" spans="104:111">
      <c r="CZ24966" s="256"/>
      <c r="DG24966" s="256"/>
    </row>
    <row r="24967" spans="104:111">
      <c r="CZ24967" s="256"/>
      <c r="DG24967" s="256"/>
    </row>
    <row r="24968" spans="104:111">
      <c r="CZ24968" s="256"/>
      <c r="DG24968" s="256"/>
    </row>
    <row r="24969" spans="104:111">
      <c r="CZ24969" s="256"/>
      <c r="DG24969" s="256"/>
    </row>
    <row r="24970" spans="104:111">
      <c r="CZ24970" s="256"/>
      <c r="DG24970" s="256"/>
    </row>
    <row r="24971" spans="104:111">
      <c r="CZ24971" s="256"/>
      <c r="DG24971" s="256"/>
    </row>
    <row r="24972" spans="104:111">
      <c r="CZ24972" s="256"/>
      <c r="DG24972" s="256"/>
    </row>
    <row r="24973" spans="104:111">
      <c r="CZ24973" s="256"/>
      <c r="DG24973" s="256"/>
    </row>
    <row r="24974" spans="104:111">
      <c r="CZ24974" s="256"/>
      <c r="DG24974" s="256"/>
    </row>
    <row r="24975" spans="104:111">
      <c r="CZ24975" s="256"/>
      <c r="DG24975" s="256"/>
    </row>
    <row r="24976" spans="104:111">
      <c r="CZ24976" s="256"/>
      <c r="DG24976" s="256"/>
    </row>
    <row r="24977" spans="104:111">
      <c r="CZ24977" s="256"/>
      <c r="DG24977" s="256"/>
    </row>
    <row r="24978" spans="104:111">
      <c r="CZ24978" s="256"/>
      <c r="DG24978" s="256"/>
    </row>
    <row r="24979" spans="104:111">
      <c r="CZ24979" s="256"/>
      <c r="DG24979" s="256"/>
    </row>
    <row r="24980" spans="104:111">
      <c r="CZ24980" s="256"/>
      <c r="DG24980" s="256"/>
    </row>
    <row r="24981" spans="104:111">
      <c r="CZ24981" s="256"/>
      <c r="DG24981" s="256"/>
    </row>
    <row r="24982" spans="104:111">
      <c r="CZ24982" s="256"/>
      <c r="DG24982" s="256"/>
    </row>
    <row r="24983" spans="104:111">
      <c r="CZ24983" s="256"/>
      <c r="DG24983" s="256"/>
    </row>
    <row r="24984" spans="104:111">
      <c r="CZ24984" s="256"/>
      <c r="DG24984" s="256"/>
    </row>
    <row r="24985" spans="104:111">
      <c r="CZ24985" s="256"/>
      <c r="DG24985" s="256"/>
    </row>
    <row r="24986" spans="104:111">
      <c r="CZ24986" s="256"/>
      <c r="DG24986" s="256"/>
    </row>
    <row r="24987" spans="104:111">
      <c r="CZ24987" s="256"/>
      <c r="DG24987" s="256"/>
    </row>
    <row r="24988" spans="104:111">
      <c r="CZ24988" s="256"/>
      <c r="DG24988" s="256"/>
    </row>
    <row r="24989" spans="104:111">
      <c r="CZ24989" s="256"/>
      <c r="DG24989" s="256"/>
    </row>
    <row r="24990" spans="104:111">
      <c r="CZ24990" s="256"/>
      <c r="DG24990" s="256"/>
    </row>
    <row r="24991" spans="104:111">
      <c r="CZ24991" s="256"/>
      <c r="DG24991" s="256"/>
    </row>
    <row r="24992" spans="104:111">
      <c r="CZ24992" s="256"/>
      <c r="DG24992" s="256"/>
    </row>
    <row r="24993" spans="104:111">
      <c r="CZ24993" s="256"/>
      <c r="DG24993" s="256"/>
    </row>
    <row r="24994" spans="104:111">
      <c r="CZ24994" s="256"/>
      <c r="DG24994" s="256"/>
    </row>
    <row r="24995" spans="104:111">
      <c r="CZ24995" s="256"/>
      <c r="DG24995" s="256"/>
    </row>
    <row r="24996" spans="104:111">
      <c r="CZ24996" s="256"/>
      <c r="DG24996" s="256"/>
    </row>
    <row r="24997" spans="104:111">
      <c r="CZ24997" s="256"/>
      <c r="DG24997" s="256"/>
    </row>
    <row r="24998" spans="104:111">
      <c r="CZ24998" s="256"/>
      <c r="DG24998" s="256"/>
    </row>
    <row r="24999" spans="104:111">
      <c r="CZ24999" s="256"/>
      <c r="DG24999" s="256"/>
    </row>
    <row r="25000" spans="104:111">
      <c r="CZ25000" s="256"/>
      <c r="DG25000" s="256"/>
    </row>
    <row r="25001" spans="104:111">
      <c r="CZ25001" s="256"/>
      <c r="DG25001" s="256"/>
    </row>
    <row r="25002" spans="104:111">
      <c r="CZ25002" s="256"/>
      <c r="DG25002" s="256"/>
    </row>
    <row r="25003" spans="104:111">
      <c r="CZ25003" s="256"/>
      <c r="DG25003" s="256"/>
    </row>
    <row r="25004" spans="104:111">
      <c r="CZ25004" s="256"/>
      <c r="DG25004" s="256"/>
    </row>
    <row r="25005" spans="104:111">
      <c r="CZ25005" s="256"/>
      <c r="DG25005" s="256"/>
    </row>
    <row r="25006" spans="104:111">
      <c r="CZ25006" s="256"/>
      <c r="DG25006" s="256"/>
    </row>
    <row r="25007" spans="104:111">
      <c r="CZ25007" s="256"/>
      <c r="DG25007" s="256"/>
    </row>
    <row r="25008" spans="104:111">
      <c r="CZ25008" s="256"/>
      <c r="DG25008" s="256"/>
    </row>
    <row r="25009" spans="104:111">
      <c r="CZ25009" s="256"/>
      <c r="DG25009" s="256"/>
    </row>
    <row r="25010" spans="104:111">
      <c r="CZ25010" s="256"/>
      <c r="DG25010" s="256"/>
    </row>
    <row r="25011" spans="104:111">
      <c r="CZ25011" s="256"/>
      <c r="DG25011" s="256"/>
    </row>
    <row r="25012" spans="104:111">
      <c r="CZ25012" s="256"/>
      <c r="DG25012" s="256"/>
    </row>
    <row r="25013" spans="104:111">
      <c r="CZ25013" s="256"/>
      <c r="DG25013" s="256"/>
    </row>
    <row r="25014" spans="104:111">
      <c r="CZ25014" s="256"/>
      <c r="DG25014" s="256"/>
    </row>
    <row r="25015" spans="104:111">
      <c r="CZ25015" s="256"/>
      <c r="DG25015" s="256"/>
    </row>
    <row r="25016" spans="104:111">
      <c r="CZ25016" s="256"/>
      <c r="DG25016" s="256"/>
    </row>
    <row r="25017" spans="104:111">
      <c r="CZ25017" s="256"/>
      <c r="DG25017" s="256"/>
    </row>
    <row r="25018" spans="104:111">
      <c r="CZ25018" s="256"/>
      <c r="DG25018" s="256"/>
    </row>
    <row r="25019" spans="104:111">
      <c r="CZ25019" s="256"/>
      <c r="DG25019" s="256"/>
    </row>
    <row r="25020" spans="104:111">
      <c r="CZ25020" s="256"/>
      <c r="DG25020" s="256"/>
    </row>
    <row r="25021" spans="104:111">
      <c r="CZ25021" s="256"/>
      <c r="DG25021" s="256"/>
    </row>
    <row r="25022" spans="104:111">
      <c r="CZ25022" s="256"/>
      <c r="DG25022" s="256"/>
    </row>
    <row r="25023" spans="104:111">
      <c r="CZ25023" s="256"/>
      <c r="DG25023" s="256"/>
    </row>
    <row r="25024" spans="104:111">
      <c r="CZ25024" s="256"/>
      <c r="DG25024" s="256"/>
    </row>
    <row r="25025" spans="104:111">
      <c r="CZ25025" s="256"/>
      <c r="DG25025" s="256"/>
    </row>
    <row r="25026" spans="104:111">
      <c r="CZ25026" s="256"/>
      <c r="DG25026" s="256"/>
    </row>
    <row r="25027" spans="104:111">
      <c r="CZ25027" s="256"/>
      <c r="DG25027" s="256"/>
    </row>
    <row r="25028" spans="104:111">
      <c r="CZ25028" s="256"/>
      <c r="DG25028" s="256"/>
    </row>
    <row r="25029" spans="104:111">
      <c r="CZ25029" s="256"/>
      <c r="DG25029" s="256"/>
    </row>
    <row r="25030" spans="104:111">
      <c r="CZ25030" s="256"/>
      <c r="DG25030" s="256"/>
    </row>
    <row r="25031" spans="104:111">
      <c r="CZ25031" s="256"/>
      <c r="DG25031" s="256"/>
    </row>
    <row r="25032" spans="104:111">
      <c r="CZ25032" s="256"/>
      <c r="DG25032" s="256"/>
    </row>
    <row r="25033" spans="104:111">
      <c r="CZ25033" s="256"/>
      <c r="DG25033" s="256"/>
    </row>
    <row r="25034" spans="104:111">
      <c r="CZ25034" s="256"/>
      <c r="DG25034" s="256"/>
    </row>
    <row r="25035" spans="104:111">
      <c r="CZ25035" s="256"/>
      <c r="DG25035" s="256"/>
    </row>
    <row r="25036" spans="104:111">
      <c r="CZ25036" s="256"/>
      <c r="DG25036" s="256"/>
    </row>
    <row r="25037" spans="104:111">
      <c r="CZ25037" s="256"/>
      <c r="DG25037" s="256"/>
    </row>
    <row r="25038" spans="104:111">
      <c r="CZ25038" s="256"/>
      <c r="DG25038" s="256"/>
    </row>
    <row r="25039" spans="104:111">
      <c r="CZ25039" s="256"/>
      <c r="DG25039" s="256"/>
    </row>
    <row r="25040" spans="104:111">
      <c r="CZ25040" s="256"/>
      <c r="DG25040" s="256"/>
    </row>
    <row r="25041" spans="104:111">
      <c r="CZ25041" s="256"/>
      <c r="DG25041" s="256"/>
    </row>
    <row r="25042" spans="104:111">
      <c r="CZ25042" s="256"/>
      <c r="DG25042" s="256"/>
    </row>
    <row r="25043" spans="104:111">
      <c r="CZ25043" s="256"/>
      <c r="DG25043" s="256"/>
    </row>
    <row r="25044" spans="104:111">
      <c r="CZ25044" s="256"/>
      <c r="DG25044" s="256"/>
    </row>
    <row r="25045" spans="104:111">
      <c r="CZ25045" s="256"/>
      <c r="DG25045" s="256"/>
    </row>
    <row r="25046" spans="104:111">
      <c r="CZ25046" s="256"/>
      <c r="DG25046" s="256"/>
    </row>
    <row r="25047" spans="104:111">
      <c r="CZ25047" s="256"/>
      <c r="DG25047" s="256"/>
    </row>
    <row r="25048" spans="104:111">
      <c r="CZ25048" s="256"/>
      <c r="DG25048" s="256"/>
    </row>
    <row r="25049" spans="104:111">
      <c r="CZ25049" s="256"/>
      <c r="DG25049" s="256"/>
    </row>
    <row r="25050" spans="104:111">
      <c r="CZ25050" s="256"/>
      <c r="DG25050" s="256"/>
    </row>
    <row r="25051" spans="104:111">
      <c r="CZ25051" s="256"/>
      <c r="DG25051" s="256"/>
    </row>
    <row r="25052" spans="104:111">
      <c r="CZ25052" s="256"/>
      <c r="DG25052" s="256"/>
    </row>
    <row r="25053" spans="104:111">
      <c r="CZ25053" s="256"/>
      <c r="DG25053" s="256"/>
    </row>
    <row r="25054" spans="104:111">
      <c r="CZ25054" s="256"/>
      <c r="DG25054" s="256"/>
    </row>
    <row r="25055" spans="104:111">
      <c r="CZ25055" s="256"/>
      <c r="DG25055" s="256"/>
    </row>
    <row r="25056" spans="104:111">
      <c r="CZ25056" s="256"/>
      <c r="DG25056" s="256"/>
    </row>
    <row r="25057" spans="104:111">
      <c r="CZ25057" s="256"/>
      <c r="DG25057" s="256"/>
    </row>
    <row r="25058" spans="104:111">
      <c r="CZ25058" s="256"/>
      <c r="DG25058" s="256"/>
    </row>
    <row r="25059" spans="104:111">
      <c r="CZ25059" s="256"/>
      <c r="DG25059" s="256"/>
    </row>
    <row r="25060" spans="104:111">
      <c r="CZ25060" s="256"/>
      <c r="DG25060" s="256"/>
    </row>
    <row r="25061" spans="104:111">
      <c r="CZ25061" s="256"/>
      <c r="DG25061" s="256"/>
    </row>
    <row r="25062" spans="104:111">
      <c r="CZ25062" s="256"/>
      <c r="DG25062" s="256"/>
    </row>
    <row r="25063" spans="104:111">
      <c r="CZ25063" s="256"/>
      <c r="DG25063" s="256"/>
    </row>
    <row r="25064" spans="104:111">
      <c r="CZ25064" s="256"/>
      <c r="DG25064" s="256"/>
    </row>
    <row r="25065" spans="104:111">
      <c r="CZ25065" s="256"/>
      <c r="DG25065" s="256"/>
    </row>
    <row r="25066" spans="104:111">
      <c r="CZ25066" s="256"/>
      <c r="DG25066" s="256"/>
    </row>
    <row r="25067" spans="104:111">
      <c r="CZ25067" s="256"/>
      <c r="DG25067" s="256"/>
    </row>
    <row r="25068" spans="104:111">
      <c r="CZ25068" s="256"/>
      <c r="DG25068" s="256"/>
    </row>
    <row r="25069" spans="104:111">
      <c r="CZ25069" s="256"/>
      <c r="DG25069" s="256"/>
    </row>
    <row r="25070" spans="104:111">
      <c r="CZ25070" s="256"/>
      <c r="DG25070" s="256"/>
    </row>
    <row r="25071" spans="104:111">
      <c r="CZ25071" s="256"/>
      <c r="DG25071" s="256"/>
    </row>
    <row r="25072" spans="104:111">
      <c r="CZ25072" s="256"/>
      <c r="DG25072" s="256"/>
    </row>
    <row r="25073" spans="104:111">
      <c r="CZ25073" s="256"/>
      <c r="DG25073" s="256"/>
    </row>
    <row r="25074" spans="104:111">
      <c r="CZ25074" s="256"/>
      <c r="DG25074" s="256"/>
    </row>
    <row r="25075" spans="104:111">
      <c r="CZ25075" s="256"/>
      <c r="DG25075" s="256"/>
    </row>
    <row r="25076" spans="104:111">
      <c r="CZ25076" s="256"/>
      <c r="DG25076" s="256"/>
    </row>
    <row r="25077" spans="104:111">
      <c r="CZ25077" s="256"/>
      <c r="DG25077" s="256"/>
    </row>
    <row r="25078" spans="104:111">
      <c r="CZ25078" s="256"/>
      <c r="DG25078" s="256"/>
    </row>
    <row r="25079" spans="104:111">
      <c r="CZ25079" s="256"/>
      <c r="DG25079" s="256"/>
    </row>
    <row r="25080" spans="104:111">
      <c r="CZ25080" s="256"/>
      <c r="DG25080" s="256"/>
    </row>
    <row r="25081" spans="104:111">
      <c r="CZ25081" s="256"/>
      <c r="DG25081" s="256"/>
    </row>
    <row r="25082" spans="104:111">
      <c r="CZ25082" s="256"/>
      <c r="DG25082" s="256"/>
    </row>
    <row r="25083" spans="104:111">
      <c r="CZ25083" s="256"/>
      <c r="DG25083" s="256"/>
    </row>
    <row r="25084" spans="104:111">
      <c r="CZ25084" s="256"/>
      <c r="DG25084" s="256"/>
    </row>
    <row r="25085" spans="104:111">
      <c r="CZ25085" s="256"/>
      <c r="DG25085" s="256"/>
    </row>
    <row r="25086" spans="104:111">
      <c r="CZ25086" s="256"/>
      <c r="DG25086" s="256"/>
    </row>
    <row r="25087" spans="104:111">
      <c r="CZ25087" s="256"/>
      <c r="DG25087" s="256"/>
    </row>
    <row r="25088" spans="104:111">
      <c r="CZ25088" s="256"/>
      <c r="DG25088" s="256"/>
    </row>
    <row r="25089" spans="104:111">
      <c r="CZ25089" s="256"/>
      <c r="DG25089" s="256"/>
    </row>
    <row r="25090" spans="104:111">
      <c r="CZ25090" s="256"/>
      <c r="DG25090" s="256"/>
    </row>
    <row r="25091" spans="104:111">
      <c r="CZ25091" s="256"/>
      <c r="DG25091" s="256"/>
    </row>
    <row r="25092" spans="104:111">
      <c r="CZ25092" s="256"/>
      <c r="DG25092" s="256"/>
    </row>
    <row r="25093" spans="104:111">
      <c r="CZ25093" s="256"/>
      <c r="DG25093" s="256"/>
    </row>
    <row r="25094" spans="104:111">
      <c r="CZ25094" s="256"/>
      <c r="DG25094" s="256"/>
    </row>
    <row r="25095" spans="104:111">
      <c r="CZ25095" s="256"/>
      <c r="DG25095" s="256"/>
    </row>
    <row r="25096" spans="104:111">
      <c r="CZ25096" s="256"/>
      <c r="DG25096" s="256"/>
    </row>
    <row r="25097" spans="104:111">
      <c r="CZ25097" s="256"/>
      <c r="DG25097" s="256"/>
    </row>
    <row r="25098" spans="104:111">
      <c r="CZ25098" s="256"/>
      <c r="DG25098" s="256"/>
    </row>
    <row r="25099" spans="104:111">
      <c r="CZ25099" s="256"/>
      <c r="DG25099" s="256"/>
    </row>
    <row r="25100" spans="104:111">
      <c r="CZ25100" s="256"/>
      <c r="DG25100" s="256"/>
    </row>
    <row r="25101" spans="104:111">
      <c r="CZ25101" s="256"/>
      <c r="DG25101" s="256"/>
    </row>
    <row r="25102" spans="104:111">
      <c r="CZ25102" s="256"/>
      <c r="DG25102" s="256"/>
    </row>
    <row r="25103" spans="104:111">
      <c r="CZ25103" s="256"/>
      <c r="DG25103" s="256"/>
    </row>
    <row r="25104" spans="104:111">
      <c r="CZ25104" s="256"/>
      <c r="DG25104" s="256"/>
    </row>
    <row r="25105" spans="104:111">
      <c r="CZ25105" s="256"/>
      <c r="DG25105" s="256"/>
    </row>
    <row r="25106" spans="104:111">
      <c r="CZ25106" s="256"/>
      <c r="DG25106" s="256"/>
    </row>
    <row r="25107" spans="104:111">
      <c r="CZ25107" s="256"/>
      <c r="DG25107" s="256"/>
    </row>
    <row r="25108" spans="104:111">
      <c r="CZ25108" s="256"/>
      <c r="DG25108" s="256"/>
    </row>
    <row r="25109" spans="104:111">
      <c r="CZ25109" s="256"/>
      <c r="DG25109" s="256"/>
    </row>
    <row r="25110" spans="104:111">
      <c r="CZ25110" s="256"/>
      <c r="DG25110" s="256"/>
    </row>
    <row r="25111" spans="104:111">
      <c r="CZ25111" s="256"/>
      <c r="DG25111" s="256"/>
    </row>
    <row r="25112" spans="104:111">
      <c r="CZ25112" s="256"/>
      <c r="DG25112" s="256"/>
    </row>
    <row r="25113" spans="104:111">
      <c r="CZ25113" s="256"/>
      <c r="DG25113" s="256"/>
    </row>
    <row r="25114" spans="104:111">
      <c r="CZ25114" s="256"/>
      <c r="DG25114" s="256"/>
    </row>
    <row r="25115" spans="104:111">
      <c r="CZ25115" s="256"/>
      <c r="DG25115" s="256"/>
    </row>
    <row r="25116" spans="104:111">
      <c r="CZ25116" s="256"/>
      <c r="DG25116" s="256"/>
    </row>
    <row r="25117" spans="104:111">
      <c r="CZ25117" s="256"/>
      <c r="DG25117" s="256"/>
    </row>
    <row r="25118" spans="104:111">
      <c r="CZ25118" s="256"/>
      <c r="DG25118" s="256"/>
    </row>
    <row r="25119" spans="104:111">
      <c r="CZ25119" s="256"/>
      <c r="DG25119" s="256"/>
    </row>
    <row r="25120" spans="104:111">
      <c r="CZ25120" s="256"/>
      <c r="DG25120" s="256"/>
    </row>
    <row r="25121" spans="104:111">
      <c r="CZ25121" s="256"/>
      <c r="DG25121" s="256"/>
    </row>
    <row r="25122" spans="104:111">
      <c r="CZ25122" s="256"/>
      <c r="DG25122" s="256"/>
    </row>
    <row r="25123" spans="104:111">
      <c r="CZ25123" s="256"/>
      <c r="DG25123" s="256"/>
    </row>
    <row r="25124" spans="104:111">
      <c r="CZ25124" s="256"/>
      <c r="DG25124" s="256"/>
    </row>
    <row r="25125" spans="104:111">
      <c r="CZ25125" s="256"/>
      <c r="DG25125" s="256"/>
    </row>
    <row r="25126" spans="104:111">
      <c r="CZ25126" s="256"/>
      <c r="DG25126" s="256"/>
    </row>
    <row r="25127" spans="104:111">
      <c r="CZ25127" s="256"/>
      <c r="DG25127" s="256"/>
    </row>
    <row r="25128" spans="104:111">
      <c r="CZ25128" s="256"/>
      <c r="DG25128" s="256"/>
    </row>
    <row r="25129" spans="104:111">
      <c r="CZ25129" s="256"/>
      <c r="DG25129" s="256"/>
    </row>
    <row r="25130" spans="104:111">
      <c r="CZ25130" s="256"/>
      <c r="DG25130" s="256"/>
    </row>
    <row r="25131" spans="104:111">
      <c r="CZ25131" s="256"/>
      <c r="DG25131" s="256"/>
    </row>
    <row r="25132" spans="104:111">
      <c r="CZ25132" s="256"/>
      <c r="DG25132" s="256"/>
    </row>
    <row r="25133" spans="104:111">
      <c r="CZ25133" s="256"/>
      <c r="DG25133" s="256"/>
    </row>
    <row r="25134" spans="104:111">
      <c r="CZ25134" s="256"/>
      <c r="DG25134" s="256"/>
    </row>
    <row r="25135" spans="104:111">
      <c r="CZ25135" s="256"/>
      <c r="DG25135" s="256"/>
    </row>
    <row r="25136" spans="104:111">
      <c r="CZ25136" s="256"/>
      <c r="DG25136" s="256"/>
    </row>
    <row r="25137" spans="104:111">
      <c r="CZ25137" s="256"/>
      <c r="DG25137" s="256"/>
    </row>
    <row r="25138" spans="104:111">
      <c r="CZ25138" s="256"/>
      <c r="DG25138" s="256"/>
    </row>
    <row r="25139" spans="104:111">
      <c r="CZ25139" s="256"/>
      <c r="DG25139" s="256"/>
    </row>
    <row r="25140" spans="104:111">
      <c r="CZ25140" s="256"/>
      <c r="DG25140" s="256"/>
    </row>
    <row r="25141" spans="104:111">
      <c r="CZ25141" s="256"/>
      <c r="DG25141" s="256"/>
    </row>
    <row r="25142" spans="104:111">
      <c r="CZ25142" s="256"/>
      <c r="DG25142" s="256"/>
    </row>
    <row r="25143" spans="104:111">
      <c r="CZ25143" s="256"/>
      <c r="DG25143" s="256"/>
    </row>
    <row r="25144" spans="104:111">
      <c r="CZ25144" s="256"/>
      <c r="DG25144" s="256"/>
    </row>
    <row r="25145" spans="104:111">
      <c r="CZ25145" s="256"/>
      <c r="DG25145" s="256"/>
    </row>
    <row r="25146" spans="104:111">
      <c r="CZ25146" s="256"/>
      <c r="DG25146" s="256"/>
    </row>
    <row r="25147" spans="104:111">
      <c r="CZ25147" s="256"/>
      <c r="DG25147" s="256"/>
    </row>
    <row r="25148" spans="104:111">
      <c r="CZ25148" s="256"/>
      <c r="DG25148" s="256"/>
    </row>
    <row r="25149" spans="104:111">
      <c r="CZ25149" s="256"/>
      <c r="DG25149" s="256"/>
    </row>
    <row r="25150" spans="104:111">
      <c r="CZ25150" s="256"/>
      <c r="DG25150" s="256"/>
    </row>
    <row r="25151" spans="104:111">
      <c r="CZ25151" s="256"/>
      <c r="DG25151" s="256"/>
    </row>
    <row r="25152" spans="104:111">
      <c r="CZ25152" s="256"/>
      <c r="DG25152" s="256"/>
    </row>
    <row r="25153" spans="104:111">
      <c r="CZ25153" s="256"/>
      <c r="DG25153" s="256"/>
    </row>
    <row r="25154" spans="104:111">
      <c r="CZ25154" s="256"/>
      <c r="DG25154" s="256"/>
    </row>
    <row r="25155" spans="104:111">
      <c r="CZ25155" s="256"/>
      <c r="DG25155" s="256"/>
    </row>
    <row r="25156" spans="104:111">
      <c r="CZ25156" s="256"/>
      <c r="DG25156" s="256"/>
    </row>
    <row r="25157" spans="104:111">
      <c r="CZ25157" s="256"/>
      <c r="DG25157" s="256"/>
    </row>
    <row r="25158" spans="104:111">
      <c r="CZ25158" s="256"/>
      <c r="DG25158" s="256"/>
    </row>
    <row r="25159" spans="104:111">
      <c r="CZ25159" s="256"/>
      <c r="DG25159" s="256"/>
    </row>
    <row r="25160" spans="104:111">
      <c r="CZ25160" s="256"/>
      <c r="DG25160" s="256"/>
    </row>
    <row r="25161" spans="104:111">
      <c r="CZ25161" s="256"/>
      <c r="DG25161" s="256"/>
    </row>
    <row r="25162" spans="104:111">
      <c r="CZ25162" s="256"/>
      <c r="DG25162" s="256"/>
    </row>
    <row r="25163" spans="104:111">
      <c r="CZ25163" s="256"/>
      <c r="DG25163" s="256"/>
    </row>
    <row r="25164" spans="104:111">
      <c r="CZ25164" s="256"/>
      <c r="DG25164" s="256"/>
    </row>
    <row r="25165" spans="104:111">
      <c r="CZ25165" s="256"/>
      <c r="DG25165" s="256"/>
    </row>
    <row r="25166" spans="104:111">
      <c r="CZ25166" s="256"/>
      <c r="DG25166" s="256"/>
    </row>
    <row r="25167" spans="104:111">
      <c r="CZ25167" s="256"/>
      <c r="DG25167" s="256"/>
    </row>
    <row r="25168" spans="104:111">
      <c r="CZ25168" s="256"/>
      <c r="DG25168" s="256"/>
    </row>
    <row r="25169" spans="104:111">
      <c r="CZ25169" s="256"/>
      <c r="DG25169" s="256"/>
    </row>
    <row r="25170" spans="104:111">
      <c r="CZ25170" s="256"/>
      <c r="DG25170" s="256"/>
    </row>
    <row r="25171" spans="104:111">
      <c r="CZ25171" s="256"/>
      <c r="DG25171" s="256"/>
    </row>
    <row r="25172" spans="104:111">
      <c r="CZ25172" s="256"/>
      <c r="DG25172" s="256"/>
    </row>
    <row r="25173" spans="104:111">
      <c r="CZ25173" s="256"/>
      <c r="DG25173" s="256"/>
    </row>
    <row r="25174" spans="104:111">
      <c r="CZ25174" s="256"/>
      <c r="DG25174" s="256"/>
    </row>
    <row r="25175" spans="104:111">
      <c r="CZ25175" s="256"/>
      <c r="DG25175" s="256"/>
    </row>
    <row r="25176" spans="104:111">
      <c r="CZ25176" s="256"/>
      <c r="DG25176" s="256"/>
    </row>
    <row r="25177" spans="104:111">
      <c r="CZ25177" s="256"/>
      <c r="DG25177" s="256"/>
    </row>
    <row r="25178" spans="104:111">
      <c r="CZ25178" s="256"/>
      <c r="DG25178" s="256"/>
    </row>
    <row r="25179" spans="104:111">
      <c r="CZ25179" s="256"/>
      <c r="DG25179" s="256"/>
    </row>
    <row r="25180" spans="104:111">
      <c r="CZ25180" s="256"/>
      <c r="DG25180" s="256"/>
    </row>
    <row r="25181" spans="104:111">
      <c r="CZ25181" s="256"/>
      <c r="DG25181" s="256"/>
    </row>
    <row r="25182" spans="104:111">
      <c r="CZ25182" s="256"/>
      <c r="DG25182" s="256"/>
    </row>
    <row r="25183" spans="104:111">
      <c r="CZ25183" s="256"/>
      <c r="DG25183" s="256"/>
    </row>
    <row r="25184" spans="104:111">
      <c r="CZ25184" s="256"/>
      <c r="DG25184" s="256"/>
    </row>
    <row r="25185" spans="104:111">
      <c r="CZ25185" s="256"/>
      <c r="DG25185" s="256"/>
    </row>
    <row r="25186" spans="104:111">
      <c r="CZ25186" s="256"/>
      <c r="DG25186" s="256"/>
    </row>
    <row r="25187" spans="104:111">
      <c r="CZ25187" s="256"/>
      <c r="DG25187" s="256"/>
    </row>
    <row r="25188" spans="104:111">
      <c r="CZ25188" s="256"/>
      <c r="DG25188" s="256"/>
    </row>
    <row r="25189" spans="104:111">
      <c r="CZ25189" s="256"/>
      <c r="DG25189" s="256"/>
    </row>
    <row r="25190" spans="104:111">
      <c r="CZ25190" s="256"/>
      <c r="DG25190" s="256"/>
    </row>
    <row r="25191" spans="104:111">
      <c r="CZ25191" s="256"/>
      <c r="DG25191" s="256"/>
    </row>
    <row r="25192" spans="104:111">
      <c r="CZ25192" s="256"/>
      <c r="DG25192" s="256"/>
    </row>
    <row r="25193" spans="104:111">
      <c r="CZ25193" s="256"/>
      <c r="DG25193" s="256"/>
    </row>
    <row r="25194" spans="104:111">
      <c r="CZ25194" s="256"/>
      <c r="DG25194" s="256"/>
    </row>
    <row r="25195" spans="104:111">
      <c r="CZ25195" s="256"/>
      <c r="DG25195" s="256"/>
    </row>
    <row r="25196" spans="104:111">
      <c r="CZ25196" s="256"/>
      <c r="DG25196" s="256"/>
    </row>
    <row r="25197" spans="104:111">
      <c r="CZ25197" s="256"/>
      <c r="DG25197" s="256"/>
    </row>
    <row r="25198" spans="104:111">
      <c r="CZ25198" s="256"/>
      <c r="DG25198" s="256"/>
    </row>
    <row r="25199" spans="104:111">
      <c r="CZ25199" s="256"/>
      <c r="DG25199" s="256"/>
    </row>
    <row r="25200" spans="104:111">
      <c r="CZ25200" s="256"/>
      <c r="DG25200" s="256"/>
    </row>
    <row r="25201" spans="104:111">
      <c r="CZ25201" s="256"/>
      <c r="DG25201" s="256"/>
    </row>
    <row r="25202" spans="104:111">
      <c r="CZ25202" s="256"/>
      <c r="DG25202" s="256"/>
    </row>
    <row r="25203" spans="104:111">
      <c r="CZ25203" s="256"/>
      <c r="DG25203" s="256"/>
    </row>
    <row r="25204" spans="104:111">
      <c r="CZ25204" s="256"/>
      <c r="DG25204" s="256"/>
    </row>
    <row r="25205" spans="104:111">
      <c r="CZ25205" s="256"/>
      <c r="DG25205" s="256"/>
    </row>
    <row r="25206" spans="104:111">
      <c r="CZ25206" s="256"/>
      <c r="DG25206" s="256"/>
    </row>
    <row r="25207" spans="104:111">
      <c r="CZ25207" s="256"/>
      <c r="DG25207" s="256"/>
    </row>
    <row r="25208" spans="104:111">
      <c r="CZ25208" s="256"/>
      <c r="DG25208" s="256"/>
    </row>
    <row r="25209" spans="104:111">
      <c r="CZ25209" s="256"/>
      <c r="DG25209" s="256"/>
    </row>
    <row r="25210" spans="104:111">
      <c r="CZ25210" s="256"/>
      <c r="DG25210" s="256"/>
    </row>
    <row r="25211" spans="104:111">
      <c r="CZ25211" s="256"/>
      <c r="DG25211" s="256"/>
    </row>
    <row r="25212" spans="104:111">
      <c r="CZ25212" s="256"/>
      <c r="DG25212" s="256"/>
    </row>
    <row r="25213" spans="104:111">
      <c r="CZ25213" s="256"/>
      <c r="DG25213" s="256"/>
    </row>
    <row r="25214" spans="104:111">
      <c r="CZ25214" s="256"/>
      <c r="DG25214" s="256"/>
    </row>
    <row r="25215" spans="104:111">
      <c r="CZ25215" s="256"/>
      <c r="DG25215" s="256"/>
    </row>
    <row r="25216" spans="104:111">
      <c r="CZ25216" s="256"/>
      <c r="DG25216" s="256"/>
    </row>
    <row r="25217" spans="104:111">
      <c r="CZ25217" s="256"/>
      <c r="DG25217" s="256"/>
    </row>
    <row r="25218" spans="104:111">
      <c r="CZ25218" s="256"/>
      <c r="DG25218" s="256"/>
    </row>
    <row r="25219" spans="104:111">
      <c r="CZ25219" s="256"/>
      <c r="DG25219" s="256"/>
    </row>
    <row r="25220" spans="104:111">
      <c r="CZ25220" s="256"/>
      <c r="DG25220" s="256"/>
    </row>
    <row r="25221" spans="104:111">
      <c r="CZ25221" s="256"/>
      <c r="DG25221" s="256"/>
    </row>
    <row r="25222" spans="104:111">
      <c r="CZ25222" s="256"/>
      <c r="DG25222" s="256"/>
    </row>
    <row r="25223" spans="104:111">
      <c r="CZ25223" s="256"/>
      <c r="DG25223" s="256"/>
    </row>
    <row r="25224" spans="104:111">
      <c r="CZ25224" s="256"/>
      <c r="DG25224" s="256"/>
    </row>
    <row r="25225" spans="104:111">
      <c r="CZ25225" s="256"/>
      <c r="DG25225" s="256"/>
    </row>
    <row r="25226" spans="104:111">
      <c r="CZ25226" s="256"/>
      <c r="DG25226" s="256"/>
    </row>
    <row r="25227" spans="104:111">
      <c r="CZ25227" s="256"/>
      <c r="DG25227" s="256"/>
    </row>
    <row r="25228" spans="104:111">
      <c r="CZ25228" s="256"/>
      <c r="DG25228" s="256"/>
    </row>
    <row r="25229" spans="104:111">
      <c r="CZ25229" s="256"/>
      <c r="DG25229" s="256"/>
    </row>
    <row r="25230" spans="104:111">
      <c r="CZ25230" s="256"/>
      <c r="DG25230" s="256"/>
    </row>
    <row r="25231" spans="104:111">
      <c r="CZ25231" s="256"/>
      <c r="DG25231" s="256"/>
    </row>
    <row r="25232" spans="104:111">
      <c r="CZ25232" s="256"/>
      <c r="DG25232" s="256"/>
    </row>
    <row r="25233" spans="104:111">
      <c r="CZ25233" s="256"/>
      <c r="DG25233" s="256"/>
    </row>
    <row r="25234" spans="104:111">
      <c r="CZ25234" s="256"/>
      <c r="DG25234" s="256"/>
    </row>
    <row r="25235" spans="104:111">
      <c r="CZ25235" s="256"/>
      <c r="DG25235" s="256"/>
    </row>
    <row r="25236" spans="104:111">
      <c r="CZ25236" s="256"/>
      <c r="DG25236" s="256"/>
    </row>
    <row r="25237" spans="104:111">
      <c r="CZ25237" s="256"/>
      <c r="DG25237" s="256"/>
    </row>
    <row r="25238" spans="104:111">
      <c r="CZ25238" s="256"/>
      <c r="DG25238" s="256"/>
    </row>
    <row r="25239" spans="104:111">
      <c r="CZ25239" s="256"/>
      <c r="DG25239" s="256"/>
    </row>
    <row r="25240" spans="104:111">
      <c r="CZ25240" s="256"/>
      <c r="DG25240" s="256"/>
    </row>
    <row r="25241" spans="104:111">
      <c r="CZ25241" s="256"/>
      <c r="DG25241" s="256"/>
    </row>
    <row r="25242" spans="104:111">
      <c r="CZ25242" s="256"/>
      <c r="DG25242" s="256"/>
    </row>
    <row r="25243" spans="104:111">
      <c r="CZ25243" s="256"/>
      <c r="DG25243" s="256"/>
    </row>
    <row r="25244" spans="104:111">
      <c r="CZ25244" s="256"/>
      <c r="DG25244" s="256"/>
    </row>
    <row r="25245" spans="104:111">
      <c r="CZ25245" s="256"/>
      <c r="DG25245" s="256"/>
    </row>
    <row r="25246" spans="104:111">
      <c r="CZ25246" s="256"/>
      <c r="DG25246" s="256"/>
    </row>
    <row r="25247" spans="104:111">
      <c r="CZ25247" s="256"/>
      <c r="DG25247" s="256"/>
    </row>
    <row r="25248" spans="104:111">
      <c r="CZ25248" s="256"/>
      <c r="DG25248" s="256"/>
    </row>
    <row r="25249" spans="104:111">
      <c r="CZ25249" s="256"/>
      <c r="DG25249" s="256"/>
    </row>
    <row r="25250" spans="104:111">
      <c r="CZ25250" s="256"/>
      <c r="DG25250" s="256"/>
    </row>
    <row r="25251" spans="104:111">
      <c r="CZ25251" s="256"/>
      <c r="DG25251" s="256"/>
    </row>
    <row r="25252" spans="104:111">
      <c r="CZ25252" s="256"/>
      <c r="DG25252" s="256"/>
    </row>
    <row r="25253" spans="104:111">
      <c r="CZ25253" s="256"/>
      <c r="DG25253" s="256"/>
    </row>
    <row r="25254" spans="104:111">
      <c r="CZ25254" s="256"/>
      <c r="DG25254" s="256"/>
    </row>
    <row r="25255" spans="104:111">
      <c r="CZ25255" s="256"/>
      <c r="DG25255" s="256"/>
    </row>
    <row r="25256" spans="104:111">
      <c r="CZ25256" s="256"/>
      <c r="DG25256" s="256"/>
    </row>
    <row r="25257" spans="104:111">
      <c r="CZ25257" s="256"/>
      <c r="DG25257" s="256"/>
    </row>
    <row r="25258" spans="104:111">
      <c r="CZ25258" s="256"/>
      <c r="DG25258" s="256"/>
    </row>
    <row r="25259" spans="104:111">
      <c r="CZ25259" s="256"/>
      <c r="DG25259" s="256"/>
    </row>
    <row r="25260" spans="104:111">
      <c r="CZ25260" s="256"/>
      <c r="DG25260" s="256"/>
    </row>
    <row r="25261" spans="104:111">
      <c r="CZ25261" s="256"/>
      <c r="DG25261" s="256"/>
    </row>
    <row r="25262" spans="104:111">
      <c r="CZ25262" s="256"/>
      <c r="DG25262" s="256"/>
    </row>
    <row r="25263" spans="104:111">
      <c r="CZ25263" s="256"/>
      <c r="DG25263" s="256"/>
    </row>
    <row r="25264" spans="104:111">
      <c r="CZ25264" s="256"/>
      <c r="DG25264" s="256"/>
    </row>
    <row r="25265" spans="104:111">
      <c r="CZ25265" s="256"/>
      <c r="DG25265" s="256"/>
    </row>
    <row r="25266" spans="104:111">
      <c r="CZ25266" s="256"/>
      <c r="DG25266" s="256"/>
    </row>
    <row r="25267" spans="104:111">
      <c r="CZ25267" s="256"/>
      <c r="DG25267" s="256"/>
    </row>
    <row r="25268" spans="104:111">
      <c r="CZ25268" s="256"/>
      <c r="DG25268" s="256"/>
    </row>
    <row r="25269" spans="104:111">
      <c r="CZ25269" s="256"/>
      <c r="DG25269" s="256"/>
    </row>
    <row r="25270" spans="104:111">
      <c r="CZ25270" s="256"/>
      <c r="DG25270" s="256"/>
    </row>
    <row r="25271" spans="104:111">
      <c r="CZ25271" s="256"/>
      <c r="DG25271" s="256"/>
    </row>
    <row r="25272" spans="104:111">
      <c r="CZ25272" s="256"/>
      <c r="DG25272" s="256"/>
    </row>
    <row r="25273" spans="104:111">
      <c r="CZ25273" s="256"/>
      <c r="DG25273" s="256"/>
    </row>
    <row r="25274" spans="104:111">
      <c r="CZ25274" s="256"/>
      <c r="DG25274" s="256"/>
    </row>
    <row r="25275" spans="104:111">
      <c r="CZ25275" s="256"/>
      <c r="DG25275" s="256"/>
    </row>
    <row r="25276" spans="104:111">
      <c r="CZ25276" s="256"/>
      <c r="DG25276" s="256"/>
    </row>
    <row r="25277" spans="104:111">
      <c r="CZ25277" s="256"/>
      <c r="DG25277" s="256"/>
    </row>
    <row r="25278" spans="104:111">
      <c r="CZ25278" s="256"/>
      <c r="DG25278" s="256"/>
    </row>
    <row r="25279" spans="104:111">
      <c r="CZ25279" s="256"/>
      <c r="DG25279" s="256"/>
    </row>
    <row r="25280" spans="104:111">
      <c r="CZ25280" s="256"/>
      <c r="DG25280" s="256"/>
    </row>
    <row r="25281" spans="104:111">
      <c r="CZ25281" s="256"/>
      <c r="DG25281" s="256"/>
    </row>
    <row r="25282" spans="104:111">
      <c r="CZ25282" s="256"/>
      <c r="DG25282" s="256"/>
    </row>
    <row r="25283" spans="104:111">
      <c r="CZ25283" s="256"/>
      <c r="DG25283" s="256"/>
    </row>
    <row r="25284" spans="104:111">
      <c r="CZ25284" s="256"/>
      <c r="DG25284" s="256"/>
    </row>
    <row r="25285" spans="104:111">
      <c r="CZ25285" s="256"/>
      <c r="DG25285" s="256"/>
    </row>
    <row r="25286" spans="104:111">
      <c r="CZ25286" s="256"/>
      <c r="DG25286" s="256"/>
    </row>
    <row r="25287" spans="104:111">
      <c r="CZ25287" s="256"/>
      <c r="DG25287" s="256"/>
    </row>
    <row r="25288" spans="104:111">
      <c r="CZ25288" s="256"/>
      <c r="DG25288" s="256"/>
    </row>
    <row r="25289" spans="104:111">
      <c r="CZ25289" s="256"/>
      <c r="DG25289" s="256"/>
    </row>
    <row r="25290" spans="104:111">
      <c r="CZ25290" s="256"/>
      <c r="DG25290" s="256"/>
    </row>
    <row r="25291" spans="104:111">
      <c r="CZ25291" s="256"/>
      <c r="DG25291" s="256"/>
    </row>
    <row r="25292" spans="104:111">
      <c r="CZ25292" s="256"/>
      <c r="DG25292" s="256"/>
    </row>
    <row r="25293" spans="104:111">
      <c r="CZ25293" s="256"/>
      <c r="DG25293" s="256"/>
    </row>
    <row r="25294" spans="104:111">
      <c r="CZ25294" s="256"/>
      <c r="DG25294" s="256"/>
    </row>
    <row r="25295" spans="104:111">
      <c r="CZ25295" s="256"/>
      <c r="DG25295" s="256"/>
    </row>
    <row r="25296" spans="104:111">
      <c r="CZ25296" s="256"/>
      <c r="DG25296" s="256"/>
    </row>
    <row r="25297" spans="104:111">
      <c r="CZ25297" s="256"/>
      <c r="DG25297" s="256"/>
    </row>
    <row r="25298" spans="104:111">
      <c r="CZ25298" s="256"/>
      <c r="DG25298" s="256"/>
    </row>
    <row r="25299" spans="104:111">
      <c r="CZ25299" s="256"/>
      <c r="DG25299" s="256"/>
    </row>
    <row r="25300" spans="104:111">
      <c r="CZ25300" s="256"/>
      <c r="DG25300" s="256"/>
    </row>
    <row r="25301" spans="104:111">
      <c r="CZ25301" s="256"/>
      <c r="DG25301" s="256"/>
    </row>
    <row r="25302" spans="104:111">
      <c r="CZ25302" s="256"/>
      <c r="DG25302" s="256"/>
    </row>
    <row r="25303" spans="104:111">
      <c r="CZ25303" s="256"/>
      <c r="DG25303" s="256"/>
    </row>
    <row r="25304" spans="104:111">
      <c r="CZ25304" s="256"/>
      <c r="DG25304" s="256"/>
    </row>
    <row r="25305" spans="104:111">
      <c r="CZ25305" s="256"/>
      <c r="DG25305" s="256"/>
    </row>
    <row r="25306" spans="104:111">
      <c r="CZ25306" s="256"/>
      <c r="DG25306" s="256"/>
    </row>
    <row r="25307" spans="104:111">
      <c r="CZ25307" s="256"/>
      <c r="DG25307" s="256"/>
    </row>
    <row r="25308" spans="104:111">
      <c r="CZ25308" s="256"/>
      <c r="DG25308" s="256"/>
    </row>
    <row r="25309" spans="104:111">
      <c r="CZ25309" s="256"/>
      <c r="DG25309" s="256"/>
    </row>
    <row r="25310" spans="104:111">
      <c r="CZ25310" s="256"/>
      <c r="DG25310" s="256"/>
    </row>
    <row r="25311" spans="104:111">
      <c r="CZ25311" s="256"/>
      <c r="DG25311" s="256"/>
    </row>
    <row r="25312" spans="104:111">
      <c r="CZ25312" s="256"/>
      <c r="DG25312" s="256"/>
    </row>
    <row r="25313" spans="104:111">
      <c r="CZ25313" s="256"/>
      <c r="DG25313" s="256"/>
    </row>
    <row r="25314" spans="104:111">
      <c r="CZ25314" s="256"/>
      <c r="DG25314" s="256"/>
    </row>
    <row r="25315" spans="104:111">
      <c r="CZ25315" s="256"/>
      <c r="DG25315" s="256"/>
    </row>
    <row r="25316" spans="104:111">
      <c r="CZ25316" s="256"/>
      <c r="DG25316" s="256"/>
    </row>
    <row r="25317" spans="104:111">
      <c r="CZ25317" s="256"/>
      <c r="DG25317" s="256"/>
    </row>
    <row r="25318" spans="104:111">
      <c r="CZ25318" s="256"/>
      <c r="DG25318" s="256"/>
    </row>
    <row r="25319" spans="104:111">
      <c r="CZ25319" s="256"/>
      <c r="DG25319" s="256"/>
    </row>
    <row r="25320" spans="104:111">
      <c r="CZ25320" s="256"/>
      <c r="DG25320" s="256"/>
    </row>
    <row r="25321" spans="104:111">
      <c r="CZ25321" s="256"/>
      <c r="DG25321" s="256"/>
    </row>
    <row r="25322" spans="104:111">
      <c r="CZ25322" s="256"/>
      <c r="DG25322" s="256"/>
    </row>
    <row r="25323" spans="104:111">
      <c r="CZ25323" s="256"/>
      <c r="DG25323" s="256"/>
    </row>
    <row r="25324" spans="104:111">
      <c r="CZ25324" s="256"/>
      <c r="DG25324" s="256"/>
    </row>
    <row r="25325" spans="104:111">
      <c r="CZ25325" s="256"/>
      <c r="DG25325" s="256"/>
    </row>
    <row r="25326" spans="104:111">
      <c r="CZ25326" s="256"/>
      <c r="DG25326" s="256"/>
    </row>
    <row r="25327" spans="104:111">
      <c r="CZ25327" s="256"/>
      <c r="DG25327" s="256"/>
    </row>
    <row r="25328" spans="104:111">
      <c r="CZ25328" s="256"/>
      <c r="DG25328" s="256"/>
    </row>
    <row r="25329" spans="104:111">
      <c r="CZ25329" s="256"/>
      <c r="DG25329" s="256"/>
    </row>
    <row r="25330" spans="104:111">
      <c r="CZ25330" s="256"/>
      <c r="DG25330" s="256"/>
    </row>
    <row r="25331" spans="104:111">
      <c r="CZ25331" s="256"/>
      <c r="DG25331" s="256"/>
    </row>
    <row r="25332" spans="104:111">
      <c r="CZ25332" s="256"/>
      <c r="DG25332" s="256"/>
    </row>
    <row r="25333" spans="104:111">
      <c r="CZ25333" s="256"/>
      <c r="DG25333" s="256"/>
    </row>
    <row r="25334" spans="104:111">
      <c r="CZ25334" s="256"/>
      <c r="DG25334" s="256"/>
    </row>
    <row r="25335" spans="104:111">
      <c r="CZ25335" s="256"/>
      <c r="DG25335" s="256"/>
    </row>
    <row r="25336" spans="104:111">
      <c r="CZ25336" s="256"/>
      <c r="DG25336" s="256"/>
    </row>
    <row r="25337" spans="104:111">
      <c r="CZ25337" s="256"/>
      <c r="DG25337" s="256"/>
    </row>
    <row r="25338" spans="104:111">
      <c r="CZ25338" s="256"/>
      <c r="DG25338" s="256"/>
    </row>
    <row r="25339" spans="104:111">
      <c r="CZ25339" s="256"/>
      <c r="DG25339" s="256"/>
    </row>
    <row r="25340" spans="104:111">
      <c r="CZ25340" s="256"/>
      <c r="DG25340" s="256"/>
    </row>
    <row r="25341" spans="104:111">
      <c r="CZ25341" s="256"/>
      <c r="DG25341" s="256"/>
    </row>
    <row r="25342" spans="104:111">
      <c r="CZ25342" s="256"/>
      <c r="DG25342" s="256"/>
    </row>
    <row r="25343" spans="104:111">
      <c r="CZ25343" s="256"/>
      <c r="DG25343" s="256"/>
    </row>
    <row r="25344" spans="104:111">
      <c r="CZ25344" s="256"/>
      <c r="DG25344" s="256"/>
    </row>
    <row r="25345" spans="104:111">
      <c r="CZ25345" s="256"/>
      <c r="DG25345" s="256"/>
    </row>
    <row r="25346" spans="104:111">
      <c r="CZ25346" s="256"/>
      <c r="DG25346" s="256"/>
    </row>
    <row r="25347" spans="104:111">
      <c r="CZ25347" s="256"/>
      <c r="DG25347" s="256"/>
    </row>
    <row r="25348" spans="104:111">
      <c r="CZ25348" s="256"/>
      <c r="DG25348" s="256"/>
    </row>
    <row r="25349" spans="104:111">
      <c r="CZ25349" s="256"/>
      <c r="DG25349" s="256"/>
    </row>
    <row r="25350" spans="104:111">
      <c r="CZ25350" s="256"/>
      <c r="DG25350" s="256"/>
    </row>
    <row r="25351" spans="104:111">
      <c r="CZ25351" s="256"/>
      <c r="DG25351" s="256"/>
    </row>
    <row r="25352" spans="104:111">
      <c r="CZ25352" s="256"/>
      <c r="DG25352" s="256"/>
    </row>
    <row r="25353" spans="104:111">
      <c r="CZ25353" s="256"/>
      <c r="DG25353" s="256"/>
    </row>
    <row r="25354" spans="104:111">
      <c r="CZ25354" s="256"/>
      <c r="DG25354" s="256"/>
    </row>
    <row r="25355" spans="104:111">
      <c r="CZ25355" s="256"/>
      <c r="DG25355" s="256"/>
    </row>
    <row r="25356" spans="104:111">
      <c r="CZ25356" s="256"/>
      <c r="DG25356" s="256"/>
    </row>
    <row r="25357" spans="104:111">
      <c r="CZ25357" s="256"/>
      <c r="DG25357" s="256"/>
    </row>
    <row r="25358" spans="104:111">
      <c r="CZ25358" s="256"/>
      <c r="DG25358" s="256"/>
    </row>
    <row r="25359" spans="104:111">
      <c r="CZ25359" s="256"/>
      <c r="DG25359" s="256"/>
    </row>
    <row r="25360" spans="104:111">
      <c r="CZ25360" s="256"/>
      <c r="DG25360" s="256"/>
    </row>
    <row r="25361" spans="104:111">
      <c r="CZ25361" s="256"/>
      <c r="DG25361" s="256"/>
    </row>
    <row r="25362" spans="104:111">
      <c r="CZ25362" s="256"/>
      <c r="DG25362" s="256"/>
    </row>
    <row r="25363" spans="104:111">
      <c r="CZ25363" s="256"/>
      <c r="DG25363" s="256"/>
    </row>
    <row r="25364" spans="104:111">
      <c r="CZ25364" s="256"/>
      <c r="DG25364" s="256"/>
    </row>
    <row r="25365" spans="104:111">
      <c r="CZ25365" s="256"/>
      <c r="DG25365" s="256"/>
    </row>
    <row r="25366" spans="104:111">
      <c r="CZ25366" s="256"/>
      <c r="DG25366" s="256"/>
    </row>
    <row r="25367" spans="104:111">
      <c r="CZ25367" s="256"/>
      <c r="DG25367" s="256"/>
    </row>
    <row r="25368" spans="104:111">
      <c r="CZ25368" s="256"/>
      <c r="DG25368" s="256"/>
    </row>
    <row r="25369" spans="104:111">
      <c r="CZ25369" s="256"/>
      <c r="DG25369" s="256"/>
    </row>
    <row r="25370" spans="104:111">
      <c r="CZ25370" s="256"/>
      <c r="DG25370" s="256"/>
    </row>
    <row r="25371" spans="104:111">
      <c r="CZ25371" s="256"/>
      <c r="DG25371" s="256"/>
    </row>
    <row r="25372" spans="104:111">
      <c r="CZ25372" s="256"/>
      <c r="DG25372" s="256"/>
    </row>
    <row r="25373" spans="104:111">
      <c r="CZ25373" s="256"/>
      <c r="DG25373" s="256"/>
    </row>
    <row r="25374" spans="104:111">
      <c r="CZ25374" s="256"/>
      <c r="DG25374" s="256"/>
    </row>
    <row r="25375" spans="104:111">
      <c r="CZ25375" s="256"/>
      <c r="DG25375" s="256"/>
    </row>
    <row r="25376" spans="104:111">
      <c r="CZ25376" s="256"/>
      <c r="DG25376" s="256"/>
    </row>
    <row r="25377" spans="104:111">
      <c r="CZ25377" s="256"/>
      <c r="DG25377" s="256"/>
    </row>
    <row r="25378" spans="104:111">
      <c r="CZ25378" s="256"/>
      <c r="DG25378" s="256"/>
    </row>
    <row r="25379" spans="104:111">
      <c r="CZ25379" s="256"/>
      <c r="DG25379" s="256"/>
    </row>
    <row r="25380" spans="104:111">
      <c r="CZ25380" s="256"/>
      <c r="DG25380" s="256"/>
    </row>
    <row r="25381" spans="104:111">
      <c r="CZ25381" s="256"/>
      <c r="DG25381" s="256"/>
    </row>
    <row r="25382" spans="104:111">
      <c r="CZ25382" s="256"/>
      <c r="DG25382" s="256"/>
    </row>
    <row r="25383" spans="104:111">
      <c r="CZ25383" s="256"/>
      <c r="DG25383" s="256"/>
    </row>
    <row r="25384" spans="104:111">
      <c r="CZ25384" s="256"/>
      <c r="DG25384" s="256"/>
    </row>
    <row r="25385" spans="104:111">
      <c r="CZ25385" s="256"/>
      <c r="DG25385" s="256"/>
    </row>
    <row r="25386" spans="104:111">
      <c r="CZ25386" s="256"/>
      <c r="DG25386" s="256"/>
    </row>
    <row r="25387" spans="104:111">
      <c r="CZ25387" s="256"/>
      <c r="DG25387" s="256"/>
    </row>
    <row r="25388" spans="104:111">
      <c r="CZ25388" s="256"/>
      <c r="DG25388" s="256"/>
    </row>
    <row r="25389" spans="104:111">
      <c r="CZ25389" s="256"/>
      <c r="DG25389" s="256"/>
    </row>
    <row r="25390" spans="104:111">
      <c r="CZ25390" s="256"/>
      <c r="DG25390" s="256"/>
    </row>
    <row r="25391" spans="104:111">
      <c r="CZ25391" s="256"/>
      <c r="DG25391" s="256"/>
    </row>
    <row r="25392" spans="104:111">
      <c r="CZ25392" s="256"/>
      <c r="DG25392" s="256"/>
    </row>
    <row r="25393" spans="104:111">
      <c r="CZ25393" s="256"/>
      <c r="DG25393" s="256"/>
    </row>
    <row r="25394" spans="104:111">
      <c r="CZ25394" s="256"/>
      <c r="DG25394" s="256"/>
    </row>
    <row r="25395" spans="104:111">
      <c r="CZ25395" s="256"/>
      <c r="DG25395" s="256"/>
    </row>
    <row r="25396" spans="104:111">
      <c r="CZ25396" s="256"/>
      <c r="DG25396" s="256"/>
    </row>
    <row r="25397" spans="104:111">
      <c r="CZ25397" s="256"/>
      <c r="DG25397" s="256"/>
    </row>
    <row r="25398" spans="104:111">
      <c r="CZ25398" s="256"/>
      <c r="DG25398" s="256"/>
    </row>
    <row r="25399" spans="104:111">
      <c r="CZ25399" s="256"/>
      <c r="DG25399" s="256"/>
    </row>
    <row r="25400" spans="104:111">
      <c r="CZ25400" s="256"/>
      <c r="DG25400" s="256"/>
    </row>
    <row r="25401" spans="104:111">
      <c r="CZ25401" s="256"/>
      <c r="DG25401" s="256"/>
    </row>
    <row r="25402" spans="104:111">
      <c r="CZ25402" s="256"/>
      <c r="DG25402" s="256"/>
    </row>
    <row r="25403" spans="104:111">
      <c r="CZ25403" s="256"/>
      <c r="DG25403" s="256"/>
    </row>
    <row r="25404" spans="104:111">
      <c r="CZ25404" s="256"/>
      <c r="DG25404" s="256"/>
    </row>
    <row r="25405" spans="104:111">
      <c r="CZ25405" s="256"/>
      <c r="DG25405" s="256"/>
    </row>
    <row r="25406" spans="104:111">
      <c r="CZ25406" s="256"/>
      <c r="DG25406" s="256"/>
    </row>
    <row r="25407" spans="104:111">
      <c r="CZ25407" s="256"/>
      <c r="DG25407" s="256"/>
    </row>
    <row r="25408" spans="104:111">
      <c r="CZ25408" s="256"/>
      <c r="DG25408" s="256"/>
    </row>
    <row r="25409" spans="104:111">
      <c r="CZ25409" s="256"/>
      <c r="DG25409" s="256"/>
    </row>
    <row r="25410" spans="104:111">
      <c r="CZ25410" s="256"/>
      <c r="DG25410" s="256"/>
    </row>
    <row r="25411" spans="104:111">
      <c r="CZ25411" s="256"/>
      <c r="DG25411" s="256"/>
    </row>
    <row r="25412" spans="104:111">
      <c r="CZ25412" s="256"/>
      <c r="DG25412" s="256"/>
    </row>
    <row r="25413" spans="104:111">
      <c r="CZ25413" s="256"/>
      <c r="DG25413" s="256"/>
    </row>
    <row r="25414" spans="104:111">
      <c r="CZ25414" s="256"/>
      <c r="DG25414" s="256"/>
    </row>
    <row r="25415" spans="104:111">
      <c r="CZ25415" s="256"/>
      <c r="DG25415" s="256"/>
    </row>
    <row r="25416" spans="104:111">
      <c r="CZ25416" s="256"/>
      <c r="DG25416" s="256"/>
    </row>
    <row r="25417" spans="104:111">
      <c r="CZ25417" s="256"/>
      <c r="DG25417" s="256"/>
    </row>
    <row r="25418" spans="104:111">
      <c r="CZ25418" s="256"/>
      <c r="DG25418" s="256"/>
    </row>
    <row r="25419" spans="104:111">
      <c r="CZ25419" s="256"/>
      <c r="DG25419" s="256"/>
    </row>
    <row r="25420" spans="104:111">
      <c r="CZ25420" s="256"/>
      <c r="DG25420" s="256"/>
    </row>
    <row r="25421" spans="104:111">
      <c r="CZ25421" s="256"/>
      <c r="DG25421" s="256"/>
    </row>
    <row r="25422" spans="104:111">
      <c r="CZ25422" s="256"/>
      <c r="DG25422" s="256"/>
    </row>
    <row r="25423" spans="104:111">
      <c r="CZ25423" s="256"/>
      <c r="DG25423" s="256"/>
    </row>
    <row r="25424" spans="104:111">
      <c r="CZ25424" s="256"/>
      <c r="DG25424" s="256"/>
    </row>
    <row r="25425" spans="104:111">
      <c r="CZ25425" s="256"/>
      <c r="DG25425" s="256"/>
    </row>
    <row r="25426" spans="104:111">
      <c r="CZ25426" s="256"/>
      <c r="DG25426" s="256"/>
    </row>
    <row r="25427" spans="104:111">
      <c r="CZ25427" s="256"/>
      <c r="DG25427" s="256"/>
    </row>
    <row r="25428" spans="104:111">
      <c r="CZ25428" s="256"/>
      <c r="DG25428" s="256"/>
    </row>
    <row r="25429" spans="104:111">
      <c r="CZ25429" s="256"/>
      <c r="DG25429" s="256"/>
    </row>
    <row r="25430" spans="104:111">
      <c r="CZ25430" s="256"/>
      <c r="DG25430" s="256"/>
    </row>
    <row r="25431" spans="104:111">
      <c r="CZ25431" s="256"/>
      <c r="DG25431" s="256"/>
    </row>
    <row r="25432" spans="104:111">
      <c r="CZ25432" s="256"/>
      <c r="DG25432" s="256"/>
    </row>
    <row r="25433" spans="104:111">
      <c r="CZ25433" s="256"/>
      <c r="DG25433" s="256"/>
    </row>
    <row r="25434" spans="104:111">
      <c r="CZ25434" s="256"/>
      <c r="DG25434" s="256"/>
    </row>
    <row r="25435" spans="104:111">
      <c r="CZ25435" s="256"/>
      <c r="DG25435" s="256"/>
    </row>
    <row r="25436" spans="104:111">
      <c r="CZ25436" s="256"/>
      <c r="DG25436" s="256"/>
    </row>
    <row r="25437" spans="104:111">
      <c r="CZ25437" s="256"/>
      <c r="DG25437" s="256"/>
    </row>
    <row r="25438" spans="104:111">
      <c r="CZ25438" s="256"/>
      <c r="DG25438" s="256"/>
    </row>
    <row r="25439" spans="104:111">
      <c r="CZ25439" s="256"/>
      <c r="DG25439" s="256"/>
    </row>
    <row r="25440" spans="104:111">
      <c r="CZ25440" s="256"/>
      <c r="DG25440" s="256"/>
    </row>
    <row r="25441" spans="104:111">
      <c r="CZ25441" s="256"/>
      <c r="DG25441" s="256"/>
    </row>
    <row r="25442" spans="104:111">
      <c r="CZ25442" s="256"/>
      <c r="DG25442" s="256"/>
    </row>
    <row r="25443" spans="104:111">
      <c r="CZ25443" s="256"/>
      <c r="DG25443" s="256"/>
    </row>
    <row r="25444" spans="104:111">
      <c r="CZ25444" s="256"/>
      <c r="DG25444" s="256"/>
    </row>
    <row r="25445" spans="104:111">
      <c r="CZ25445" s="256"/>
      <c r="DG25445" s="256"/>
    </row>
    <row r="25446" spans="104:111">
      <c r="CZ25446" s="256"/>
      <c r="DG25446" s="256"/>
    </row>
    <row r="25447" spans="104:111">
      <c r="CZ25447" s="256"/>
      <c r="DG25447" s="256"/>
    </row>
    <row r="25448" spans="104:111">
      <c r="CZ25448" s="256"/>
      <c r="DG25448" s="256"/>
    </row>
    <row r="25449" spans="104:111">
      <c r="CZ25449" s="256"/>
      <c r="DG25449" s="256"/>
    </row>
    <row r="25450" spans="104:111">
      <c r="CZ25450" s="256"/>
      <c r="DG25450" s="256"/>
    </row>
    <row r="25451" spans="104:111">
      <c r="CZ25451" s="256"/>
      <c r="DG25451" s="256"/>
    </row>
    <row r="25452" spans="104:111">
      <c r="CZ25452" s="256"/>
      <c r="DG25452" s="256"/>
    </row>
    <row r="25453" spans="104:111">
      <c r="CZ25453" s="256"/>
      <c r="DG25453" s="256"/>
    </row>
    <row r="25454" spans="104:111">
      <c r="CZ25454" s="256"/>
      <c r="DG25454" s="256"/>
    </row>
    <row r="25455" spans="104:111">
      <c r="CZ25455" s="256"/>
      <c r="DG25455" s="256"/>
    </row>
    <row r="25456" spans="104:111">
      <c r="CZ25456" s="256"/>
      <c r="DG25456" s="256"/>
    </row>
    <row r="25457" spans="104:111">
      <c r="CZ25457" s="256"/>
      <c r="DG25457" s="256"/>
    </row>
    <row r="25458" spans="104:111">
      <c r="CZ25458" s="256"/>
      <c r="DG25458" s="256"/>
    </row>
    <row r="25459" spans="104:111">
      <c r="CZ25459" s="256"/>
      <c r="DG25459" s="256"/>
    </row>
    <row r="25460" spans="104:111">
      <c r="CZ25460" s="256"/>
      <c r="DG25460" s="256"/>
    </row>
    <row r="25461" spans="104:111">
      <c r="CZ25461" s="256"/>
      <c r="DG25461" s="256"/>
    </row>
    <row r="25462" spans="104:111">
      <c r="CZ25462" s="256"/>
      <c r="DG25462" s="256"/>
    </row>
    <row r="25463" spans="104:111">
      <c r="CZ25463" s="256"/>
      <c r="DG25463" s="256"/>
    </row>
    <row r="25464" spans="104:111">
      <c r="CZ25464" s="256"/>
      <c r="DG25464" s="256"/>
    </row>
    <row r="25465" spans="104:111">
      <c r="CZ25465" s="256"/>
      <c r="DG25465" s="256"/>
    </row>
    <row r="25466" spans="104:111">
      <c r="CZ25466" s="256"/>
      <c r="DG25466" s="256"/>
    </row>
    <row r="25467" spans="104:111">
      <c r="CZ25467" s="256"/>
      <c r="DG25467" s="256"/>
    </row>
    <row r="25468" spans="104:111">
      <c r="CZ25468" s="256"/>
      <c r="DG25468" s="256"/>
    </row>
    <row r="25469" spans="104:111">
      <c r="CZ25469" s="256"/>
      <c r="DG25469" s="256"/>
    </row>
    <row r="25470" spans="104:111">
      <c r="CZ25470" s="256"/>
      <c r="DG25470" s="256"/>
    </row>
    <row r="25471" spans="104:111">
      <c r="CZ25471" s="256"/>
      <c r="DG25471" s="256"/>
    </row>
    <row r="25472" spans="104:111">
      <c r="CZ25472" s="256"/>
      <c r="DG25472" s="256"/>
    </row>
    <row r="25473" spans="104:111">
      <c r="CZ25473" s="256"/>
      <c r="DG25473" s="256"/>
    </row>
    <row r="25474" spans="104:111">
      <c r="CZ25474" s="256"/>
      <c r="DG25474" s="256"/>
    </row>
    <row r="25475" spans="104:111">
      <c r="CZ25475" s="256"/>
      <c r="DG25475" s="256"/>
    </row>
    <row r="25476" spans="104:111">
      <c r="CZ25476" s="256"/>
      <c r="DG25476" s="256"/>
    </row>
    <row r="25477" spans="104:111">
      <c r="CZ25477" s="256"/>
      <c r="DG25477" s="256"/>
    </row>
    <row r="25478" spans="104:111">
      <c r="CZ25478" s="256"/>
      <c r="DG25478" s="256"/>
    </row>
    <row r="25479" spans="104:111">
      <c r="CZ25479" s="256"/>
      <c r="DG25479" s="256"/>
    </row>
    <row r="25480" spans="104:111">
      <c r="CZ25480" s="256"/>
      <c r="DG25480" s="256"/>
    </row>
    <row r="25481" spans="104:111">
      <c r="CZ25481" s="256"/>
      <c r="DG25481" s="256"/>
    </row>
    <row r="25482" spans="104:111">
      <c r="CZ25482" s="256"/>
      <c r="DG25482" s="256"/>
    </row>
    <row r="25483" spans="104:111">
      <c r="CZ25483" s="256"/>
      <c r="DG25483" s="256"/>
    </row>
    <row r="25484" spans="104:111">
      <c r="CZ25484" s="256"/>
      <c r="DG25484" s="256"/>
    </row>
    <row r="25485" spans="104:111">
      <c r="CZ25485" s="256"/>
      <c r="DG25485" s="256"/>
    </row>
    <row r="25486" spans="104:111">
      <c r="CZ25486" s="256"/>
      <c r="DG25486" s="256"/>
    </row>
    <row r="25487" spans="104:111">
      <c r="CZ25487" s="256"/>
      <c r="DG25487" s="256"/>
    </row>
    <row r="25488" spans="104:111">
      <c r="CZ25488" s="256"/>
      <c r="DG25488" s="256"/>
    </row>
    <row r="25489" spans="104:111">
      <c r="CZ25489" s="256"/>
      <c r="DG25489" s="256"/>
    </row>
    <row r="25490" spans="104:111">
      <c r="CZ25490" s="256"/>
      <c r="DG25490" s="256"/>
    </row>
    <row r="25491" spans="104:111">
      <c r="CZ25491" s="256"/>
      <c r="DG25491" s="256"/>
    </row>
    <row r="25492" spans="104:111">
      <c r="CZ25492" s="256"/>
      <c r="DG25492" s="256"/>
    </row>
    <row r="25493" spans="104:111">
      <c r="CZ25493" s="256"/>
      <c r="DG25493" s="256"/>
    </row>
    <row r="25494" spans="104:111">
      <c r="CZ25494" s="256"/>
      <c r="DG25494" s="256"/>
    </row>
    <row r="25495" spans="104:111">
      <c r="CZ25495" s="256"/>
      <c r="DG25495" s="256"/>
    </row>
    <row r="25496" spans="104:111">
      <c r="CZ25496" s="256"/>
      <c r="DG25496" s="256"/>
    </row>
    <row r="25497" spans="104:111">
      <c r="CZ25497" s="256"/>
      <c r="DG25497" s="256"/>
    </row>
    <row r="25498" spans="104:111">
      <c r="CZ25498" s="256"/>
      <c r="DG25498" s="256"/>
    </row>
    <row r="25499" spans="104:111">
      <c r="CZ25499" s="256"/>
      <c r="DG25499" s="256"/>
    </row>
    <row r="25500" spans="104:111">
      <c r="CZ25500" s="256"/>
      <c r="DG25500" s="256"/>
    </row>
    <row r="25501" spans="104:111">
      <c r="CZ25501" s="256"/>
      <c r="DG25501" s="256"/>
    </row>
    <row r="25502" spans="104:111">
      <c r="CZ25502" s="256"/>
      <c r="DG25502" s="256"/>
    </row>
    <row r="25503" spans="104:111">
      <c r="CZ25503" s="256"/>
      <c r="DG25503" s="256"/>
    </row>
    <row r="25504" spans="104:111">
      <c r="CZ25504" s="256"/>
      <c r="DG25504" s="256"/>
    </row>
    <row r="25505" spans="104:111">
      <c r="CZ25505" s="256"/>
      <c r="DG25505" s="256"/>
    </row>
    <row r="25506" spans="104:111">
      <c r="CZ25506" s="256"/>
      <c r="DG25506" s="256"/>
    </row>
    <row r="25507" spans="104:111">
      <c r="CZ25507" s="256"/>
      <c r="DG25507" s="256"/>
    </row>
    <row r="25508" spans="104:111">
      <c r="CZ25508" s="256"/>
      <c r="DG25508" s="256"/>
    </row>
    <row r="25509" spans="104:111">
      <c r="CZ25509" s="256"/>
      <c r="DG25509" s="256"/>
    </row>
    <row r="25510" spans="104:111">
      <c r="CZ25510" s="256"/>
      <c r="DG25510" s="256"/>
    </row>
    <row r="25511" spans="104:111">
      <c r="CZ25511" s="256"/>
      <c r="DG25511" s="256"/>
    </row>
    <row r="25512" spans="104:111">
      <c r="CZ25512" s="256"/>
      <c r="DG25512" s="256"/>
    </row>
    <row r="25513" spans="104:111">
      <c r="CZ25513" s="256"/>
      <c r="DG25513" s="256"/>
    </row>
    <row r="25514" spans="104:111">
      <c r="CZ25514" s="256"/>
      <c r="DG25514" s="256"/>
    </row>
    <row r="25515" spans="104:111">
      <c r="CZ25515" s="256"/>
      <c r="DG25515" s="256"/>
    </row>
    <row r="25516" spans="104:111">
      <c r="CZ25516" s="256"/>
      <c r="DG25516" s="256"/>
    </row>
    <row r="25517" spans="104:111">
      <c r="CZ25517" s="256"/>
      <c r="DG25517" s="256"/>
    </row>
    <row r="25518" spans="104:111">
      <c r="CZ25518" s="256"/>
      <c r="DG25518" s="256"/>
    </row>
    <row r="25519" spans="104:111">
      <c r="CZ25519" s="256"/>
      <c r="DG25519" s="256"/>
    </row>
    <row r="25520" spans="104:111">
      <c r="CZ25520" s="256"/>
      <c r="DG25520" s="256"/>
    </row>
    <row r="25521" spans="104:111">
      <c r="CZ25521" s="256"/>
      <c r="DG25521" s="256"/>
    </row>
    <row r="25522" spans="104:111">
      <c r="CZ25522" s="256"/>
      <c r="DG25522" s="256"/>
    </row>
    <row r="25523" spans="104:111">
      <c r="CZ25523" s="256"/>
      <c r="DG25523" s="256"/>
    </row>
    <row r="25524" spans="104:111">
      <c r="CZ25524" s="256"/>
      <c r="DG25524" s="256"/>
    </row>
    <row r="25525" spans="104:111">
      <c r="CZ25525" s="256"/>
      <c r="DG25525" s="256"/>
    </row>
    <row r="25526" spans="104:111">
      <c r="CZ25526" s="256"/>
      <c r="DG25526" s="256"/>
    </row>
    <row r="25527" spans="104:111">
      <c r="CZ25527" s="256"/>
      <c r="DG25527" s="256"/>
    </row>
    <row r="25528" spans="104:111">
      <c r="CZ25528" s="256"/>
      <c r="DG25528" s="256"/>
    </row>
    <row r="25529" spans="104:111">
      <c r="CZ25529" s="256"/>
      <c r="DG25529" s="256"/>
    </row>
    <row r="25530" spans="104:111">
      <c r="CZ25530" s="256"/>
      <c r="DG25530" s="256"/>
    </row>
    <row r="25531" spans="104:111">
      <c r="CZ25531" s="256"/>
      <c r="DG25531" s="256"/>
    </row>
    <row r="25532" spans="104:111">
      <c r="CZ25532" s="256"/>
      <c r="DG25532" s="256"/>
    </row>
    <row r="25533" spans="104:111">
      <c r="CZ25533" s="256"/>
      <c r="DG25533" s="256"/>
    </row>
    <row r="25534" spans="104:111">
      <c r="CZ25534" s="256"/>
      <c r="DG25534" s="256"/>
    </row>
    <row r="25535" spans="104:111">
      <c r="CZ25535" s="256"/>
      <c r="DG25535" s="256"/>
    </row>
    <row r="25536" spans="104:111">
      <c r="CZ25536" s="256"/>
      <c r="DG25536" s="256"/>
    </row>
    <row r="25537" spans="104:111">
      <c r="CZ25537" s="256"/>
      <c r="DG25537" s="256"/>
    </row>
    <row r="25538" spans="104:111">
      <c r="CZ25538" s="256"/>
      <c r="DG25538" s="256"/>
    </row>
    <row r="25539" spans="104:111">
      <c r="CZ25539" s="256"/>
      <c r="DG25539" s="256"/>
    </row>
    <row r="25540" spans="104:111">
      <c r="CZ25540" s="256"/>
      <c r="DG25540" s="256"/>
    </row>
    <row r="25541" spans="104:111">
      <c r="CZ25541" s="256"/>
      <c r="DG25541" s="256"/>
    </row>
    <row r="25542" spans="104:111">
      <c r="CZ25542" s="256"/>
      <c r="DG25542" s="256"/>
    </row>
    <row r="25543" spans="104:111">
      <c r="CZ25543" s="256"/>
      <c r="DG25543" s="256"/>
    </row>
    <row r="25544" spans="104:111">
      <c r="CZ25544" s="256"/>
      <c r="DG25544" s="256"/>
    </row>
    <row r="25545" spans="104:111">
      <c r="CZ25545" s="256"/>
      <c r="DG25545" s="256"/>
    </row>
    <row r="25546" spans="104:111">
      <c r="CZ25546" s="256"/>
      <c r="DG25546" s="256"/>
    </row>
    <row r="25547" spans="104:111">
      <c r="CZ25547" s="256"/>
      <c r="DG25547" s="256"/>
    </row>
    <row r="25548" spans="104:111">
      <c r="CZ25548" s="256"/>
      <c r="DG25548" s="256"/>
    </row>
    <row r="25549" spans="104:111">
      <c r="CZ25549" s="256"/>
      <c r="DG25549" s="256"/>
    </row>
    <row r="25550" spans="104:111">
      <c r="CZ25550" s="256"/>
      <c r="DG25550" s="256"/>
    </row>
    <row r="25551" spans="104:111">
      <c r="CZ25551" s="256"/>
      <c r="DG25551" s="256"/>
    </row>
    <row r="25552" spans="104:111">
      <c r="CZ25552" s="256"/>
      <c r="DG25552" s="256"/>
    </row>
    <row r="25553" spans="104:111">
      <c r="CZ25553" s="256"/>
      <c r="DG25553" s="256"/>
    </row>
    <row r="25554" spans="104:111">
      <c r="CZ25554" s="256"/>
      <c r="DG25554" s="256"/>
    </row>
    <row r="25555" spans="104:111">
      <c r="CZ25555" s="256"/>
      <c r="DG25555" s="256"/>
    </row>
    <row r="25556" spans="104:111">
      <c r="CZ25556" s="256"/>
      <c r="DG25556" s="256"/>
    </row>
    <row r="25557" spans="104:111">
      <c r="CZ25557" s="256"/>
      <c r="DG25557" s="256"/>
    </row>
    <row r="25558" spans="104:111">
      <c r="CZ25558" s="256"/>
      <c r="DG25558" s="256"/>
    </row>
    <row r="25559" spans="104:111">
      <c r="CZ25559" s="256"/>
      <c r="DG25559" s="256"/>
    </row>
    <row r="25560" spans="104:111">
      <c r="CZ25560" s="256"/>
      <c r="DG25560" s="256"/>
    </row>
    <row r="25561" spans="104:111">
      <c r="CZ25561" s="256"/>
      <c r="DG25561" s="256"/>
    </row>
    <row r="25562" spans="104:111">
      <c r="CZ25562" s="256"/>
      <c r="DG25562" s="256"/>
    </row>
    <row r="25563" spans="104:111">
      <c r="CZ25563" s="256"/>
      <c r="DG25563" s="256"/>
    </row>
    <row r="25564" spans="104:111">
      <c r="CZ25564" s="256"/>
      <c r="DG25564" s="256"/>
    </row>
    <row r="25565" spans="104:111">
      <c r="CZ25565" s="256"/>
      <c r="DG25565" s="256"/>
    </row>
    <row r="25566" spans="104:111">
      <c r="CZ25566" s="256"/>
      <c r="DG25566" s="256"/>
    </row>
    <row r="25567" spans="104:111">
      <c r="CZ25567" s="256"/>
      <c r="DG25567" s="256"/>
    </row>
    <row r="25568" spans="104:111">
      <c r="CZ25568" s="256"/>
      <c r="DG25568" s="256"/>
    </row>
    <row r="25569" spans="104:111">
      <c r="CZ25569" s="256"/>
      <c r="DG25569" s="256"/>
    </row>
    <row r="25570" spans="104:111">
      <c r="CZ25570" s="256"/>
      <c r="DG25570" s="256"/>
    </row>
    <row r="25571" spans="104:111">
      <c r="CZ25571" s="256"/>
      <c r="DG25571" s="256"/>
    </row>
    <row r="25572" spans="104:111">
      <c r="CZ25572" s="256"/>
      <c r="DG25572" s="256"/>
    </row>
    <row r="25573" spans="104:111">
      <c r="CZ25573" s="256"/>
      <c r="DG25573" s="256"/>
    </row>
    <row r="25574" spans="104:111">
      <c r="CZ25574" s="256"/>
      <c r="DG25574" s="256"/>
    </row>
    <row r="25575" spans="104:111">
      <c r="CZ25575" s="256"/>
      <c r="DG25575" s="256"/>
    </row>
    <row r="25576" spans="104:111">
      <c r="CZ25576" s="256"/>
      <c r="DG25576" s="256"/>
    </row>
    <row r="25577" spans="104:111">
      <c r="CZ25577" s="256"/>
      <c r="DG25577" s="256"/>
    </row>
    <row r="25578" spans="104:111">
      <c r="CZ25578" s="256"/>
      <c r="DG25578" s="256"/>
    </row>
    <row r="25579" spans="104:111">
      <c r="CZ25579" s="256"/>
      <c r="DG25579" s="256"/>
    </row>
    <row r="25580" spans="104:111">
      <c r="CZ25580" s="256"/>
      <c r="DG25580" s="256"/>
    </row>
    <row r="25581" spans="104:111">
      <c r="CZ25581" s="256"/>
      <c r="DG25581" s="256"/>
    </row>
    <row r="25582" spans="104:111">
      <c r="CZ25582" s="256"/>
      <c r="DG25582" s="256"/>
    </row>
    <row r="25583" spans="104:111">
      <c r="CZ25583" s="256"/>
      <c r="DG25583" s="256"/>
    </row>
    <row r="25584" spans="104:111">
      <c r="CZ25584" s="256"/>
      <c r="DG25584" s="256"/>
    </row>
    <row r="25585" spans="104:111">
      <c r="CZ25585" s="256"/>
      <c r="DG25585" s="256"/>
    </row>
    <row r="25586" spans="104:111">
      <c r="CZ25586" s="256"/>
      <c r="DG25586" s="256"/>
    </row>
    <row r="25587" spans="104:111">
      <c r="CZ25587" s="256"/>
      <c r="DG25587" s="256"/>
    </row>
    <row r="25588" spans="104:111">
      <c r="CZ25588" s="256"/>
      <c r="DG25588" s="256"/>
    </row>
    <row r="25589" spans="104:111">
      <c r="CZ25589" s="256"/>
      <c r="DG25589" s="256"/>
    </row>
    <row r="25590" spans="104:111">
      <c r="CZ25590" s="256"/>
      <c r="DG25590" s="256"/>
    </row>
    <row r="25591" spans="104:111">
      <c r="CZ25591" s="256"/>
      <c r="DG25591" s="256"/>
    </row>
    <row r="25592" spans="104:111">
      <c r="CZ25592" s="256"/>
      <c r="DG25592" s="256"/>
    </row>
    <row r="25593" spans="104:111">
      <c r="CZ25593" s="256"/>
      <c r="DG25593" s="256"/>
    </row>
    <row r="25594" spans="104:111">
      <c r="CZ25594" s="256"/>
      <c r="DG25594" s="256"/>
    </row>
    <row r="25595" spans="104:111">
      <c r="CZ25595" s="256"/>
      <c r="DG25595" s="256"/>
    </row>
    <row r="25596" spans="104:111">
      <c r="CZ25596" s="256"/>
      <c r="DG25596" s="256"/>
    </row>
    <row r="25597" spans="104:111">
      <c r="CZ25597" s="256"/>
      <c r="DG25597" s="256"/>
    </row>
    <row r="25598" spans="104:111">
      <c r="CZ25598" s="256"/>
      <c r="DG25598" s="256"/>
    </row>
    <row r="25599" spans="104:111">
      <c r="CZ25599" s="256"/>
      <c r="DG25599" s="256"/>
    </row>
    <row r="25600" spans="104:111">
      <c r="CZ25600" s="256"/>
      <c r="DG25600" s="256"/>
    </row>
    <row r="25601" spans="104:111">
      <c r="CZ25601" s="256"/>
      <c r="DG25601" s="256"/>
    </row>
    <row r="25602" spans="104:111">
      <c r="CZ25602" s="256"/>
      <c r="DG25602" s="256"/>
    </row>
    <row r="25603" spans="104:111">
      <c r="CZ25603" s="256"/>
      <c r="DG25603" s="256"/>
    </row>
    <row r="25604" spans="104:111">
      <c r="CZ25604" s="256"/>
      <c r="DG25604" s="256"/>
    </row>
    <row r="25605" spans="104:111">
      <c r="CZ25605" s="256"/>
      <c r="DG25605" s="256"/>
    </row>
    <row r="25606" spans="104:111">
      <c r="CZ25606" s="256"/>
      <c r="DG25606" s="256"/>
    </row>
    <row r="25607" spans="104:111">
      <c r="CZ25607" s="256"/>
      <c r="DG25607" s="256"/>
    </row>
    <row r="25608" spans="104:111">
      <c r="CZ25608" s="256"/>
      <c r="DG25608" s="256"/>
    </row>
    <row r="25609" spans="104:111">
      <c r="CZ25609" s="256"/>
      <c r="DG25609" s="256"/>
    </row>
    <row r="25610" spans="104:111">
      <c r="CZ25610" s="256"/>
      <c r="DG25610" s="256"/>
    </row>
    <row r="25611" spans="104:111">
      <c r="CZ25611" s="256"/>
      <c r="DG25611" s="256"/>
    </row>
    <row r="25612" spans="104:111">
      <c r="CZ25612" s="256"/>
      <c r="DG25612" s="256"/>
    </row>
    <row r="25613" spans="104:111">
      <c r="CZ25613" s="256"/>
      <c r="DG25613" s="256"/>
    </row>
    <row r="25614" spans="104:111">
      <c r="CZ25614" s="256"/>
      <c r="DG25614" s="256"/>
    </row>
    <row r="25615" spans="104:111">
      <c r="CZ25615" s="256"/>
      <c r="DG25615" s="256"/>
    </row>
    <row r="25616" spans="104:111">
      <c r="CZ25616" s="256"/>
      <c r="DG25616" s="256"/>
    </row>
    <row r="25617" spans="104:111">
      <c r="CZ25617" s="256"/>
      <c r="DG25617" s="256"/>
    </row>
    <row r="25618" spans="104:111">
      <c r="CZ25618" s="256"/>
      <c r="DG25618" s="256"/>
    </row>
    <row r="25619" spans="104:111">
      <c r="CZ25619" s="256"/>
      <c r="DG25619" s="256"/>
    </row>
    <row r="25620" spans="104:111">
      <c r="CZ25620" s="256"/>
      <c r="DG25620" s="256"/>
    </row>
    <row r="25621" spans="104:111">
      <c r="CZ25621" s="256"/>
      <c r="DG25621" s="256"/>
    </row>
    <row r="25622" spans="104:111">
      <c r="CZ25622" s="256"/>
      <c r="DG25622" s="256"/>
    </row>
    <row r="25623" spans="104:111">
      <c r="CZ25623" s="256"/>
      <c r="DG25623" s="256"/>
    </row>
    <row r="25624" spans="104:111">
      <c r="CZ25624" s="256"/>
      <c r="DG25624" s="256"/>
    </row>
    <row r="25625" spans="104:111">
      <c r="CZ25625" s="256"/>
      <c r="DG25625" s="256"/>
    </row>
    <row r="25626" spans="104:111">
      <c r="CZ25626" s="256"/>
      <c r="DG25626" s="256"/>
    </row>
    <row r="25627" spans="104:111">
      <c r="CZ25627" s="256"/>
      <c r="DG25627" s="256"/>
    </row>
    <row r="25628" spans="104:111">
      <c r="CZ25628" s="256"/>
      <c r="DG25628" s="256"/>
    </row>
    <row r="25629" spans="104:111">
      <c r="CZ25629" s="256"/>
      <c r="DG25629" s="256"/>
    </row>
    <row r="25630" spans="104:111">
      <c r="CZ25630" s="256"/>
      <c r="DG25630" s="256"/>
    </row>
    <row r="25631" spans="104:111">
      <c r="CZ25631" s="256"/>
      <c r="DG25631" s="256"/>
    </row>
    <row r="25632" spans="104:111">
      <c r="CZ25632" s="256"/>
      <c r="DG25632" s="256"/>
    </row>
    <row r="25633" spans="104:111">
      <c r="CZ25633" s="256"/>
      <c r="DG25633" s="256"/>
    </row>
    <row r="25634" spans="104:111">
      <c r="CZ25634" s="256"/>
      <c r="DG25634" s="256"/>
    </row>
    <row r="25635" spans="104:111">
      <c r="CZ25635" s="256"/>
      <c r="DG25635" s="256"/>
    </row>
    <row r="25636" spans="104:111">
      <c r="CZ25636" s="256"/>
      <c r="DG25636" s="256"/>
    </row>
    <row r="25637" spans="104:111">
      <c r="CZ25637" s="256"/>
      <c r="DG25637" s="256"/>
    </row>
    <row r="25638" spans="104:111">
      <c r="CZ25638" s="256"/>
      <c r="DG25638" s="256"/>
    </row>
    <row r="25639" spans="104:111">
      <c r="CZ25639" s="256"/>
      <c r="DG25639" s="256"/>
    </row>
    <row r="25640" spans="104:111">
      <c r="CZ25640" s="256"/>
      <c r="DG25640" s="256"/>
    </row>
    <row r="25641" spans="104:111">
      <c r="CZ25641" s="256"/>
      <c r="DG25641" s="256"/>
    </row>
    <row r="25642" spans="104:111">
      <c r="CZ25642" s="256"/>
      <c r="DG25642" s="256"/>
    </row>
    <row r="25643" spans="104:111">
      <c r="CZ25643" s="256"/>
      <c r="DG25643" s="256"/>
    </row>
    <row r="25644" spans="104:111">
      <c r="CZ25644" s="256"/>
      <c r="DG25644" s="256"/>
    </row>
    <row r="25645" spans="104:111">
      <c r="CZ25645" s="256"/>
      <c r="DG25645" s="256"/>
    </row>
    <row r="25646" spans="104:111">
      <c r="CZ25646" s="256"/>
      <c r="DG25646" s="256"/>
    </row>
    <row r="25647" spans="104:111">
      <c r="CZ25647" s="256"/>
      <c r="DG25647" s="256"/>
    </row>
    <row r="25648" spans="104:111">
      <c r="CZ25648" s="256"/>
      <c r="DG25648" s="256"/>
    </row>
    <row r="25649" spans="104:111">
      <c r="CZ25649" s="256"/>
      <c r="DG25649" s="256"/>
    </row>
    <row r="25650" spans="104:111">
      <c r="CZ25650" s="256"/>
      <c r="DG25650" s="256"/>
    </row>
    <row r="25651" spans="104:111">
      <c r="CZ25651" s="256"/>
      <c r="DG25651" s="256"/>
    </row>
    <row r="25652" spans="104:111">
      <c r="CZ25652" s="256"/>
      <c r="DG25652" s="256"/>
    </row>
    <row r="25653" spans="104:111">
      <c r="CZ25653" s="256"/>
      <c r="DG25653" s="256"/>
    </row>
    <row r="25654" spans="104:111">
      <c r="CZ25654" s="256"/>
      <c r="DG25654" s="256"/>
    </row>
    <row r="25655" spans="104:111">
      <c r="CZ25655" s="256"/>
      <c r="DG25655" s="256"/>
    </row>
    <row r="25656" spans="104:111">
      <c r="CZ25656" s="256"/>
      <c r="DG25656" s="256"/>
    </row>
    <row r="25657" spans="104:111">
      <c r="CZ25657" s="256"/>
      <c r="DG25657" s="256"/>
    </row>
    <row r="25658" spans="104:111">
      <c r="CZ25658" s="256"/>
      <c r="DG25658" s="256"/>
    </row>
    <row r="25659" spans="104:111">
      <c r="CZ25659" s="256"/>
      <c r="DG25659" s="256"/>
    </row>
    <row r="25660" spans="104:111">
      <c r="CZ25660" s="256"/>
      <c r="DG25660" s="256"/>
    </row>
    <row r="25661" spans="104:111">
      <c r="CZ25661" s="256"/>
      <c r="DG25661" s="256"/>
    </row>
    <row r="25662" spans="104:111">
      <c r="CZ25662" s="256"/>
      <c r="DG25662" s="256"/>
    </row>
    <row r="25663" spans="104:111">
      <c r="CZ25663" s="256"/>
      <c r="DG25663" s="256"/>
    </row>
    <row r="25664" spans="104:111">
      <c r="CZ25664" s="256"/>
      <c r="DG25664" s="256"/>
    </row>
    <row r="25665" spans="104:111">
      <c r="CZ25665" s="256"/>
      <c r="DG25665" s="256"/>
    </row>
    <row r="25666" spans="104:111">
      <c r="CZ25666" s="256"/>
      <c r="DG25666" s="256"/>
    </row>
    <row r="25667" spans="104:111">
      <c r="CZ25667" s="256"/>
      <c r="DG25667" s="256"/>
    </row>
    <row r="25668" spans="104:111">
      <c r="CZ25668" s="256"/>
      <c r="DG25668" s="256"/>
    </row>
    <row r="25669" spans="104:111">
      <c r="CZ25669" s="256"/>
      <c r="DG25669" s="256"/>
    </row>
    <row r="25670" spans="104:111">
      <c r="CZ25670" s="256"/>
      <c r="DG25670" s="256"/>
    </row>
    <row r="25671" spans="104:111">
      <c r="CZ25671" s="256"/>
      <c r="DG25671" s="256"/>
    </row>
    <row r="25672" spans="104:111">
      <c r="CZ25672" s="256"/>
      <c r="DG25672" s="256"/>
    </row>
    <row r="25673" spans="104:111">
      <c r="CZ25673" s="256"/>
      <c r="DG25673" s="256"/>
    </row>
    <row r="25674" spans="104:111">
      <c r="CZ25674" s="256"/>
      <c r="DG25674" s="256"/>
    </row>
    <row r="25675" spans="104:111">
      <c r="CZ25675" s="256"/>
      <c r="DG25675" s="256"/>
    </row>
    <row r="25676" spans="104:111">
      <c r="CZ25676" s="256"/>
      <c r="DG25676" s="256"/>
    </row>
    <row r="25677" spans="104:111">
      <c r="CZ25677" s="256"/>
      <c r="DG25677" s="256"/>
    </row>
    <row r="25678" spans="104:111">
      <c r="CZ25678" s="256"/>
      <c r="DG25678" s="256"/>
    </row>
    <row r="25679" spans="104:111">
      <c r="CZ25679" s="256"/>
      <c r="DG25679" s="256"/>
    </row>
    <row r="25680" spans="104:111">
      <c r="CZ25680" s="256"/>
      <c r="DG25680" s="256"/>
    </row>
    <row r="25681" spans="104:111">
      <c r="CZ25681" s="256"/>
      <c r="DG25681" s="256"/>
    </row>
    <row r="25682" spans="104:111">
      <c r="CZ25682" s="256"/>
      <c r="DG25682" s="256"/>
    </row>
    <row r="25683" spans="104:111">
      <c r="CZ25683" s="256"/>
      <c r="DG25683" s="256"/>
    </row>
    <row r="25684" spans="104:111">
      <c r="CZ25684" s="256"/>
      <c r="DG25684" s="256"/>
    </row>
    <row r="25685" spans="104:111">
      <c r="CZ25685" s="256"/>
      <c r="DG25685" s="256"/>
    </row>
    <row r="25686" spans="104:111">
      <c r="CZ25686" s="256"/>
      <c r="DG25686" s="256"/>
    </row>
    <row r="25687" spans="104:111">
      <c r="CZ25687" s="256"/>
      <c r="DG25687" s="256"/>
    </row>
    <row r="25688" spans="104:111">
      <c r="CZ25688" s="256"/>
      <c r="DG25688" s="256"/>
    </row>
    <row r="25689" spans="104:111">
      <c r="CZ25689" s="256"/>
      <c r="DG25689" s="256"/>
    </row>
    <row r="25690" spans="104:111">
      <c r="CZ25690" s="256"/>
      <c r="DG25690" s="256"/>
    </row>
    <row r="25691" spans="104:111">
      <c r="CZ25691" s="256"/>
      <c r="DG25691" s="256"/>
    </row>
    <row r="25692" spans="104:111">
      <c r="CZ25692" s="256"/>
      <c r="DG25692" s="256"/>
    </row>
    <row r="25693" spans="104:111">
      <c r="CZ25693" s="256"/>
      <c r="DG25693" s="256"/>
    </row>
    <row r="25694" spans="104:111">
      <c r="CZ25694" s="256"/>
      <c r="DG25694" s="256"/>
    </row>
    <row r="25695" spans="104:111">
      <c r="CZ25695" s="256"/>
      <c r="DG25695" s="256"/>
    </row>
    <row r="25696" spans="104:111">
      <c r="CZ25696" s="256"/>
      <c r="DG25696" s="256"/>
    </row>
    <row r="25697" spans="104:111">
      <c r="CZ25697" s="256"/>
      <c r="DG25697" s="256"/>
    </row>
    <row r="25698" spans="104:111">
      <c r="CZ25698" s="256"/>
      <c r="DG25698" s="256"/>
    </row>
    <row r="25699" spans="104:111">
      <c r="CZ25699" s="256"/>
      <c r="DG25699" s="256"/>
    </row>
    <row r="25700" spans="104:111">
      <c r="CZ25700" s="256"/>
      <c r="DG25700" s="256"/>
    </row>
    <row r="25701" spans="104:111">
      <c r="CZ25701" s="256"/>
      <c r="DG25701" s="256"/>
    </row>
    <row r="25702" spans="104:111">
      <c r="CZ25702" s="256"/>
      <c r="DG25702" s="256"/>
    </row>
    <row r="25703" spans="104:111">
      <c r="CZ25703" s="256"/>
      <c r="DG25703" s="256"/>
    </row>
    <row r="25704" spans="104:111">
      <c r="CZ25704" s="256"/>
      <c r="DG25704" s="256"/>
    </row>
    <row r="25705" spans="104:111">
      <c r="CZ25705" s="256"/>
      <c r="DG25705" s="256"/>
    </row>
    <row r="25706" spans="104:111">
      <c r="CZ25706" s="256"/>
      <c r="DG25706" s="256"/>
    </row>
    <row r="25707" spans="104:111">
      <c r="CZ25707" s="256"/>
      <c r="DG25707" s="256"/>
    </row>
    <row r="25708" spans="104:111">
      <c r="CZ25708" s="256"/>
      <c r="DG25708" s="256"/>
    </row>
    <row r="25709" spans="104:111">
      <c r="CZ25709" s="256"/>
      <c r="DG25709" s="256"/>
    </row>
    <row r="25710" spans="104:111">
      <c r="CZ25710" s="256"/>
      <c r="DG25710" s="256"/>
    </row>
    <row r="25711" spans="104:111">
      <c r="CZ25711" s="256"/>
      <c r="DG25711" s="256"/>
    </row>
    <row r="25712" spans="104:111">
      <c r="CZ25712" s="256"/>
      <c r="DG25712" s="256"/>
    </row>
    <row r="25713" spans="104:111">
      <c r="CZ25713" s="256"/>
      <c r="DG25713" s="256"/>
    </row>
    <row r="25714" spans="104:111">
      <c r="CZ25714" s="256"/>
      <c r="DG25714" s="256"/>
    </row>
    <row r="25715" spans="104:111">
      <c r="CZ25715" s="256"/>
      <c r="DG25715" s="256"/>
    </row>
    <row r="25716" spans="104:111">
      <c r="CZ25716" s="256"/>
      <c r="DG25716" s="256"/>
    </row>
    <row r="25717" spans="104:111">
      <c r="CZ25717" s="256"/>
      <c r="DG25717" s="256"/>
    </row>
    <row r="25718" spans="104:111">
      <c r="CZ25718" s="256"/>
      <c r="DG25718" s="256"/>
    </row>
    <row r="25719" spans="104:111">
      <c r="CZ25719" s="256"/>
      <c r="DG25719" s="256"/>
    </row>
    <row r="25720" spans="104:111">
      <c r="CZ25720" s="256"/>
      <c r="DG25720" s="256"/>
    </row>
    <row r="25721" spans="104:111">
      <c r="CZ25721" s="256"/>
      <c r="DG25721" s="256"/>
    </row>
    <row r="25722" spans="104:111">
      <c r="CZ25722" s="256"/>
      <c r="DG25722" s="256"/>
    </row>
    <row r="25723" spans="104:111">
      <c r="CZ25723" s="256"/>
      <c r="DG25723" s="256"/>
    </row>
    <row r="25724" spans="104:111">
      <c r="CZ25724" s="256"/>
      <c r="DG25724" s="256"/>
    </row>
    <row r="25725" spans="104:111">
      <c r="CZ25725" s="256"/>
      <c r="DG25725" s="256"/>
    </row>
    <row r="25726" spans="104:111">
      <c r="CZ25726" s="256"/>
      <c r="DG25726" s="256"/>
    </row>
    <row r="25727" spans="104:111">
      <c r="CZ25727" s="256"/>
      <c r="DG25727" s="256"/>
    </row>
    <row r="25728" spans="104:111">
      <c r="CZ25728" s="256"/>
      <c r="DG25728" s="256"/>
    </row>
    <row r="25729" spans="104:111">
      <c r="CZ25729" s="256"/>
      <c r="DG25729" s="256"/>
    </row>
    <row r="25730" spans="104:111">
      <c r="CZ25730" s="256"/>
      <c r="DG25730" s="256"/>
    </row>
    <row r="25731" spans="104:111">
      <c r="CZ25731" s="256"/>
      <c r="DG25731" s="256"/>
    </row>
    <row r="25732" spans="104:111">
      <c r="CZ25732" s="256"/>
      <c r="DG25732" s="256"/>
    </row>
    <row r="25733" spans="104:111">
      <c r="CZ25733" s="256"/>
      <c r="DG25733" s="256"/>
    </row>
    <row r="25734" spans="104:111">
      <c r="CZ25734" s="256"/>
      <c r="DG25734" s="256"/>
    </row>
    <row r="25735" spans="104:111">
      <c r="CZ25735" s="256"/>
      <c r="DG25735" s="256"/>
    </row>
    <row r="25736" spans="104:111">
      <c r="CZ25736" s="256"/>
      <c r="DG25736" s="256"/>
    </row>
    <row r="25737" spans="104:111">
      <c r="CZ25737" s="256"/>
      <c r="DG25737" s="256"/>
    </row>
    <row r="25738" spans="104:111">
      <c r="CZ25738" s="256"/>
      <c r="DG25738" s="256"/>
    </row>
    <row r="25739" spans="104:111">
      <c r="CZ25739" s="256"/>
      <c r="DG25739" s="256"/>
    </row>
    <row r="25740" spans="104:111">
      <c r="CZ25740" s="256"/>
      <c r="DG25740" s="256"/>
    </row>
    <row r="25741" spans="104:111">
      <c r="CZ25741" s="256"/>
      <c r="DG25741" s="256"/>
    </row>
    <row r="25742" spans="104:111">
      <c r="CZ25742" s="256"/>
      <c r="DG25742" s="256"/>
    </row>
    <row r="25743" spans="104:111">
      <c r="CZ25743" s="256"/>
      <c r="DG25743" s="256"/>
    </row>
    <row r="25744" spans="104:111">
      <c r="CZ25744" s="256"/>
      <c r="DG25744" s="256"/>
    </row>
    <row r="25745" spans="104:111">
      <c r="CZ25745" s="256"/>
      <c r="DG25745" s="256"/>
    </row>
    <row r="25746" spans="104:111">
      <c r="CZ25746" s="256"/>
      <c r="DG25746" s="256"/>
    </row>
    <row r="25747" spans="104:111">
      <c r="CZ25747" s="256"/>
      <c r="DG25747" s="256"/>
    </row>
    <row r="25748" spans="104:111">
      <c r="CZ25748" s="256"/>
      <c r="DG25748" s="256"/>
    </row>
    <row r="25749" spans="104:111">
      <c r="CZ25749" s="256"/>
      <c r="DG25749" s="256"/>
    </row>
    <row r="25750" spans="104:111">
      <c r="CZ25750" s="256"/>
      <c r="DG25750" s="256"/>
    </row>
    <row r="25751" spans="104:111">
      <c r="CZ25751" s="256"/>
      <c r="DG25751" s="256"/>
    </row>
    <row r="25752" spans="104:111">
      <c r="CZ25752" s="256"/>
      <c r="DG25752" s="256"/>
    </row>
    <row r="25753" spans="104:111">
      <c r="CZ25753" s="256"/>
      <c r="DG25753" s="256"/>
    </row>
    <row r="25754" spans="104:111">
      <c r="CZ25754" s="256"/>
      <c r="DG25754" s="256"/>
    </row>
    <row r="25755" spans="104:111">
      <c r="CZ25755" s="256"/>
      <c r="DG25755" s="256"/>
    </row>
    <row r="25756" spans="104:111">
      <c r="CZ25756" s="256"/>
      <c r="DG25756" s="256"/>
    </row>
    <row r="25757" spans="104:111">
      <c r="CZ25757" s="256"/>
      <c r="DG25757" s="256"/>
    </row>
    <row r="25758" spans="104:111">
      <c r="CZ25758" s="256"/>
      <c r="DG25758" s="256"/>
    </row>
    <row r="25759" spans="104:111">
      <c r="CZ25759" s="256"/>
      <c r="DG25759" s="256"/>
    </row>
    <row r="25760" spans="104:111">
      <c r="CZ25760" s="256"/>
      <c r="DG25760" s="256"/>
    </row>
    <row r="25761" spans="104:111">
      <c r="CZ25761" s="256"/>
      <c r="DG25761" s="256"/>
    </row>
    <row r="25762" spans="104:111">
      <c r="CZ25762" s="256"/>
      <c r="DG25762" s="256"/>
    </row>
    <row r="25763" spans="104:111">
      <c r="CZ25763" s="256"/>
      <c r="DG25763" s="256"/>
    </row>
    <row r="25764" spans="104:111">
      <c r="CZ25764" s="256"/>
      <c r="DG25764" s="256"/>
    </row>
    <row r="25765" spans="104:111">
      <c r="CZ25765" s="256"/>
      <c r="DG25765" s="256"/>
    </row>
    <row r="25766" spans="104:111">
      <c r="CZ25766" s="256"/>
      <c r="DG25766" s="256"/>
    </row>
    <row r="25767" spans="104:111">
      <c r="CZ25767" s="256"/>
      <c r="DG25767" s="256"/>
    </row>
    <row r="25768" spans="104:111">
      <c r="CZ25768" s="256"/>
      <c r="DG25768" s="256"/>
    </row>
    <row r="25769" spans="104:111">
      <c r="CZ25769" s="256"/>
      <c r="DG25769" s="256"/>
    </row>
    <row r="25770" spans="104:111">
      <c r="CZ25770" s="256"/>
      <c r="DG25770" s="256"/>
    </row>
    <row r="25771" spans="104:111">
      <c r="CZ25771" s="256"/>
      <c r="DG25771" s="256"/>
    </row>
    <row r="25772" spans="104:111">
      <c r="CZ25772" s="256"/>
      <c r="DG25772" s="256"/>
    </row>
    <row r="25773" spans="104:111">
      <c r="CZ25773" s="256"/>
      <c r="DG25773" s="256"/>
    </row>
    <row r="25774" spans="104:111">
      <c r="CZ25774" s="256"/>
      <c r="DG25774" s="256"/>
    </row>
    <row r="25775" spans="104:111">
      <c r="CZ25775" s="256"/>
      <c r="DG25775" s="256"/>
    </row>
    <row r="25776" spans="104:111">
      <c r="CZ25776" s="256"/>
      <c r="DG25776" s="256"/>
    </row>
    <row r="25777" spans="104:111">
      <c r="CZ25777" s="256"/>
      <c r="DG25777" s="256"/>
    </row>
    <row r="25778" spans="104:111">
      <c r="CZ25778" s="256"/>
      <c r="DG25778" s="256"/>
    </row>
    <row r="25779" spans="104:111">
      <c r="CZ25779" s="256"/>
      <c r="DG25779" s="256"/>
    </row>
    <row r="25780" spans="104:111">
      <c r="CZ25780" s="256"/>
      <c r="DG25780" s="256"/>
    </row>
    <row r="25781" spans="104:111">
      <c r="CZ25781" s="256"/>
      <c r="DG25781" s="256"/>
    </row>
    <row r="25782" spans="104:111">
      <c r="CZ25782" s="256"/>
      <c r="DG25782" s="256"/>
    </row>
    <row r="25783" spans="104:111">
      <c r="CZ25783" s="256"/>
      <c r="DG25783" s="256"/>
    </row>
    <row r="25784" spans="104:111">
      <c r="CZ25784" s="256"/>
      <c r="DG25784" s="256"/>
    </row>
    <row r="25785" spans="104:111">
      <c r="CZ25785" s="256"/>
      <c r="DG25785" s="256"/>
    </row>
    <row r="25786" spans="104:111">
      <c r="CZ25786" s="256"/>
      <c r="DG25786" s="256"/>
    </row>
    <row r="25787" spans="104:111">
      <c r="CZ25787" s="256"/>
      <c r="DG25787" s="256"/>
    </row>
    <row r="25788" spans="104:111">
      <c r="CZ25788" s="256"/>
      <c r="DG25788" s="256"/>
    </row>
    <row r="25789" spans="104:111">
      <c r="CZ25789" s="256"/>
      <c r="DG25789" s="256"/>
    </row>
    <row r="25790" spans="104:111">
      <c r="CZ25790" s="256"/>
      <c r="DG25790" s="256"/>
    </row>
    <row r="25791" spans="104:111">
      <c r="CZ25791" s="256"/>
      <c r="DG25791" s="256"/>
    </row>
    <row r="25792" spans="104:111">
      <c r="CZ25792" s="256"/>
      <c r="DG25792" s="256"/>
    </row>
    <row r="25793" spans="104:111">
      <c r="CZ25793" s="256"/>
      <c r="DG25793" s="256"/>
    </row>
    <row r="25794" spans="104:111">
      <c r="CZ25794" s="256"/>
      <c r="DG25794" s="256"/>
    </row>
    <row r="25795" spans="104:111">
      <c r="CZ25795" s="256"/>
      <c r="DG25795" s="256"/>
    </row>
    <row r="25796" spans="104:111">
      <c r="CZ25796" s="256"/>
      <c r="DG25796" s="256"/>
    </row>
    <row r="25797" spans="104:111">
      <c r="CZ25797" s="256"/>
      <c r="DG25797" s="256"/>
    </row>
    <row r="25798" spans="104:111">
      <c r="CZ25798" s="256"/>
      <c r="DG25798" s="256"/>
    </row>
    <row r="25799" spans="104:111">
      <c r="CZ25799" s="256"/>
      <c r="DG25799" s="256"/>
    </row>
    <row r="25800" spans="104:111">
      <c r="CZ25800" s="256"/>
      <c r="DG25800" s="256"/>
    </row>
    <row r="25801" spans="104:111">
      <c r="CZ25801" s="256"/>
      <c r="DG25801" s="256"/>
    </row>
    <row r="25802" spans="104:111">
      <c r="CZ25802" s="256"/>
      <c r="DG25802" s="256"/>
    </row>
    <row r="25803" spans="104:111">
      <c r="CZ25803" s="256"/>
      <c r="DG25803" s="256"/>
    </row>
    <row r="25804" spans="104:111">
      <c r="CZ25804" s="256"/>
      <c r="DG25804" s="256"/>
    </row>
    <row r="25805" spans="104:111">
      <c r="CZ25805" s="256"/>
      <c r="DG25805" s="256"/>
    </row>
    <row r="25806" spans="104:111">
      <c r="CZ25806" s="256"/>
      <c r="DG25806" s="256"/>
    </row>
    <row r="25807" spans="104:111">
      <c r="CZ25807" s="256"/>
      <c r="DG25807" s="256"/>
    </row>
    <row r="25808" spans="104:111">
      <c r="CZ25808" s="256"/>
      <c r="DG25808" s="256"/>
    </row>
    <row r="25809" spans="104:111">
      <c r="CZ25809" s="256"/>
      <c r="DG25809" s="256"/>
    </row>
    <row r="25810" spans="104:111">
      <c r="CZ25810" s="256"/>
      <c r="DG25810" s="256"/>
    </row>
    <row r="25811" spans="104:111">
      <c r="CZ25811" s="256"/>
      <c r="DG25811" s="256"/>
    </row>
    <row r="25812" spans="104:111">
      <c r="CZ25812" s="256"/>
      <c r="DG25812" s="256"/>
    </row>
    <row r="25813" spans="104:111">
      <c r="CZ25813" s="256"/>
      <c r="DG25813" s="256"/>
    </row>
    <row r="25814" spans="104:111">
      <c r="CZ25814" s="256"/>
      <c r="DG25814" s="256"/>
    </row>
    <row r="25815" spans="104:111">
      <c r="CZ25815" s="256"/>
      <c r="DG25815" s="256"/>
    </row>
    <row r="25816" spans="104:111">
      <c r="CZ25816" s="256"/>
      <c r="DG25816" s="256"/>
    </row>
    <row r="25817" spans="104:111">
      <c r="CZ25817" s="256"/>
      <c r="DG25817" s="256"/>
    </row>
    <row r="25818" spans="104:111">
      <c r="CZ25818" s="256"/>
      <c r="DG25818" s="256"/>
    </row>
    <row r="25819" spans="104:111">
      <c r="CZ25819" s="256"/>
      <c r="DG25819" s="256"/>
    </row>
    <row r="25820" spans="104:111">
      <c r="CZ25820" s="256"/>
      <c r="DG25820" s="256"/>
    </row>
    <row r="25821" spans="104:111">
      <c r="CZ25821" s="256"/>
      <c r="DG25821" s="256"/>
    </row>
    <row r="25822" spans="104:111">
      <c r="CZ25822" s="256"/>
      <c r="DG25822" s="256"/>
    </row>
    <row r="25823" spans="104:111">
      <c r="CZ25823" s="256"/>
      <c r="DG25823" s="256"/>
    </row>
    <row r="25824" spans="104:111">
      <c r="CZ25824" s="256"/>
      <c r="DG25824" s="256"/>
    </row>
    <row r="25825" spans="104:111">
      <c r="CZ25825" s="256"/>
      <c r="DG25825" s="256"/>
    </row>
    <row r="25826" spans="104:111">
      <c r="CZ25826" s="256"/>
      <c r="DG25826" s="256"/>
    </row>
    <row r="25827" spans="104:111">
      <c r="CZ25827" s="256"/>
      <c r="DG25827" s="256"/>
    </row>
    <row r="25828" spans="104:111">
      <c r="CZ25828" s="256"/>
      <c r="DG25828" s="256"/>
    </row>
    <row r="25829" spans="104:111">
      <c r="CZ25829" s="256"/>
      <c r="DG25829" s="256"/>
    </row>
    <row r="25830" spans="104:111">
      <c r="CZ25830" s="256"/>
      <c r="DG25830" s="256"/>
    </row>
    <row r="25831" spans="104:111">
      <c r="CZ25831" s="256"/>
      <c r="DG25831" s="256"/>
    </row>
    <row r="25832" spans="104:111">
      <c r="CZ25832" s="256"/>
      <c r="DG25832" s="256"/>
    </row>
    <row r="25833" spans="104:111">
      <c r="CZ25833" s="256"/>
      <c r="DG25833" s="256"/>
    </row>
    <row r="25834" spans="104:111">
      <c r="CZ25834" s="256"/>
      <c r="DG25834" s="256"/>
    </row>
    <row r="25835" spans="104:111">
      <c r="CZ25835" s="256"/>
      <c r="DG25835" s="256"/>
    </row>
    <row r="25836" spans="104:111">
      <c r="CZ25836" s="256"/>
      <c r="DG25836" s="256"/>
    </row>
    <row r="25837" spans="104:111">
      <c r="CZ25837" s="256"/>
      <c r="DG25837" s="256"/>
    </row>
    <row r="25838" spans="104:111">
      <c r="CZ25838" s="256"/>
      <c r="DG25838" s="256"/>
    </row>
    <row r="25839" spans="104:111">
      <c r="CZ25839" s="256"/>
      <c r="DG25839" s="256"/>
    </row>
    <row r="25840" spans="104:111">
      <c r="CZ25840" s="256"/>
      <c r="DG25840" s="256"/>
    </row>
    <row r="25841" spans="104:111">
      <c r="CZ25841" s="256"/>
      <c r="DG25841" s="256"/>
    </row>
    <row r="25842" spans="104:111">
      <c r="CZ25842" s="256"/>
      <c r="DG25842" s="256"/>
    </row>
    <row r="25843" spans="104:111">
      <c r="CZ25843" s="256"/>
      <c r="DG25843" s="256"/>
    </row>
    <row r="25844" spans="104:111">
      <c r="CZ25844" s="256"/>
      <c r="DG25844" s="256"/>
    </row>
    <row r="25845" spans="104:111">
      <c r="CZ25845" s="256"/>
      <c r="DG25845" s="256"/>
    </row>
    <row r="25846" spans="104:111">
      <c r="CZ25846" s="256"/>
      <c r="DG25846" s="256"/>
    </row>
    <row r="25847" spans="104:111">
      <c r="CZ25847" s="256"/>
      <c r="DG25847" s="256"/>
    </row>
    <row r="25848" spans="104:111">
      <c r="CZ25848" s="256"/>
      <c r="DG25848" s="256"/>
    </row>
    <row r="25849" spans="104:111">
      <c r="CZ25849" s="256"/>
      <c r="DG25849" s="256"/>
    </row>
    <row r="25850" spans="104:111">
      <c r="CZ25850" s="256"/>
      <c r="DG25850" s="256"/>
    </row>
    <row r="25851" spans="104:111">
      <c r="CZ25851" s="256"/>
      <c r="DG25851" s="256"/>
    </row>
    <row r="25852" spans="104:111">
      <c r="CZ25852" s="256"/>
      <c r="DG25852" s="256"/>
    </row>
    <row r="25853" spans="104:111">
      <c r="CZ25853" s="256"/>
      <c r="DG25853" s="256"/>
    </row>
    <row r="25854" spans="104:111">
      <c r="CZ25854" s="256"/>
      <c r="DG25854" s="256"/>
    </row>
    <row r="25855" spans="104:111">
      <c r="CZ25855" s="256"/>
      <c r="DG25855" s="256"/>
    </row>
    <row r="25856" spans="104:111">
      <c r="CZ25856" s="256"/>
      <c r="DG25856" s="256"/>
    </row>
    <row r="25857" spans="104:111">
      <c r="CZ25857" s="256"/>
      <c r="DG25857" s="256"/>
    </row>
    <row r="25858" spans="104:111">
      <c r="CZ25858" s="256"/>
      <c r="DG25858" s="256"/>
    </row>
    <row r="25859" spans="104:111">
      <c r="CZ25859" s="256"/>
      <c r="DG25859" s="256"/>
    </row>
    <row r="25860" spans="104:111">
      <c r="CZ25860" s="256"/>
      <c r="DG25860" s="256"/>
    </row>
    <row r="25861" spans="104:111">
      <c r="CZ25861" s="256"/>
      <c r="DG25861" s="256"/>
    </row>
    <row r="25862" spans="104:111">
      <c r="CZ25862" s="256"/>
      <c r="DG25862" s="256"/>
    </row>
    <row r="25863" spans="104:111">
      <c r="CZ25863" s="256"/>
      <c r="DG25863" s="256"/>
    </row>
    <row r="25864" spans="104:111">
      <c r="CZ25864" s="256"/>
      <c r="DG25864" s="256"/>
    </row>
    <row r="25865" spans="104:111">
      <c r="CZ25865" s="256"/>
      <c r="DG25865" s="256"/>
    </row>
    <row r="25866" spans="104:111">
      <c r="CZ25866" s="256"/>
      <c r="DG25866" s="256"/>
    </row>
    <row r="25867" spans="104:111">
      <c r="CZ25867" s="256"/>
      <c r="DG25867" s="256"/>
    </row>
    <row r="25868" spans="104:111">
      <c r="CZ25868" s="256"/>
      <c r="DG25868" s="256"/>
    </row>
    <row r="25869" spans="104:111">
      <c r="CZ25869" s="256"/>
      <c r="DG25869" s="256"/>
    </row>
    <row r="25870" spans="104:111">
      <c r="CZ25870" s="256"/>
      <c r="DG25870" s="256"/>
    </row>
    <row r="25871" spans="104:111">
      <c r="CZ25871" s="256"/>
      <c r="DG25871" s="256"/>
    </row>
    <row r="25872" spans="104:111">
      <c r="CZ25872" s="256"/>
      <c r="DG25872" s="256"/>
    </row>
    <row r="25873" spans="104:111">
      <c r="CZ25873" s="256"/>
      <c r="DG25873" s="256"/>
    </row>
    <row r="25874" spans="104:111">
      <c r="CZ25874" s="256"/>
      <c r="DG25874" s="256"/>
    </row>
    <row r="25875" spans="104:111">
      <c r="CZ25875" s="256"/>
      <c r="DG25875" s="256"/>
    </row>
    <row r="25876" spans="104:111">
      <c r="CZ25876" s="256"/>
      <c r="DG25876" s="256"/>
    </row>
    <row r="25877" spans="104:111">
      <c r="CZ25877" s="256"/>
      <c r="DG25877" s="256"/>
    </row>
    <row r="25878" spans="104:111">
      <c r="CZ25878" s="256"/>
      <c r="DG25878" s="256"/>
    </row>
    <row r="25879" spans="104:111">
      <c r="CZ25879" s="256"/>
      <c r="DG25879" s="256"/>
    </row>
    <row r="25880" spans="104:111">
      <c r="CZ25880" s="256"/>
      <c r="DG25880" s="256"/>
    </row>
    <row r="25881" spans="104:111">
      <c r="CZ25881" s="256"/>
      <c r="DG25881" s="256"/>
    </row>
    <row r="25882" spans="104:111">
      <c r="CZ25882" s="256"/>
      <c r="DG25882" s="256"/>
    </row>
    <row r="25883" spans="104:111">
      <c r="CZ25883" s="256"/>
      <c r="DG25883" s="256"/>
    </row>
    <row r="25884" spans="104:111">
      <c r="CZ25884" s="256"/>
      <c r="DG25884" s="256"/>
    </row>
    <row r="25885" spans="104:111">
      <c r="CZ25885" s="256"/>
      <c r="DG25885" s="256"/>
    </row>
    <row r="25886" spans="104:111">
      <c r="CZ25886" s="256"/>
      <c r="DG25886" s="256"/>
    </row>
    <row r="25887" spans="104:111">
      <c r="CZ25887" s="256"/>
      <c r="DG25887" s="256"/>
    </row>
    <row r="25888" spans="104:111">
      <c r="CZ25888" s="256"/>
      <c r="DG25888" s="256"/>
    </row>
    <row r="25889" spans="104:111">
      <c r="CZ25889" s="256"/>
      <c r="DG25889" s="256"/>
    </row>
    <row r="25890" spans="104:111">
      <c r="CZ25890" s="256"/>
      <c r="DG25890" s="256"/>
    </row>
    <row r="25891" spans="104:111">
      <c r="CZ25891" s="256"/>
      <c r="DG25891" s="256"/>
    </row>
    <row r="25892" spans="104:111">
      <c r="CZ25892" s="256"/>
      <c r="DG25892" s="256"/>
    </row>
    <row r="25893" spans="104:111">
      <c r="CZ25893" s="256"/>
      <c r="DG25893" s="256"/>
    </row>
    <row r="25894" spans="104:111">
      <c r="CZ25894" s="256"/>
      <c r="DG25894" s="256"/>
    </row>
    <row r="25895" spans="104:111">
      <c r="CZ25895" s="256"/>
      <c r="DG25895" s="256"/>
    </row>
    <row r="25896" spans="104:111">
      <c r="CZ25896" s="256"/>
      <c r="DG25896" s="256"/>
    </row>
    <row r="25897" spans="104:111">
      <c r="CZ25897" s="256"/>
      <c r="DG25897" s="256"/>
    </row>
    <row r="25898" spans="104:111">
      <c r="CZ25898" s="256"/>
      <c r="DG25898" s="256"/>
    </row>
    <row r="25899" spans="104:111">
      <c r="CZ25899" s="256"/>
      <c r="DG25899" s="256"/>
    </row>
    <row r="25900" spans="104:111">
      <c r="CZ25900" s="256"/>
      <c r="DG25900" s="256"/>
    </row>
    <row r="25901" spans="104:111">
      <c r="CZ25901" s="256"/>
      <c r="DG25901" s="256"/>
    </row>
    <row r="25902" spans="104:111">
      <c r="CZ25902" s="256"/>
      <c r="DG25902" s="256"/>
    </row>
    <row r="25903" spans="104:111">
      <c r="CZ25903" s="256"/>
      <c r="DG25903" s="256"/>
    </row>
    <row r="25904" spans="104:111">
      <c r="CZ25904" s="256"/>
      <c r="DG25904" s="256"/>
    </row>
    <row r="25905" spans="104:111">
      <c r="CZ25905" s="256"/>
      <c r="DG25905" s="256"/>
    </row>
    <row r="25906" spans="104:111">
      <c r="CZ25906" s="256"/>
      <c r="DG25906" s="256"/>
    </row>
    <row r="25907" spans="104:111">
      <c r="CZ25907" s="256"/>
      <c r="DG25907" s="256"/>
    </row>
    <row r="25908" spans="104:111">
      <c r="CZ25908" s="256"/>
      <c r="DG25908" s="256"/>
    </row>
    <row r="25909" spans="104:111">
      <c r="CZ25909" s="256"/>
      <c r="DG25909" s="256"/>
    </row>
    <row r="25910" spans="104:111">
      <c r="CZ25910" s="256"/>
      <c r="DG25910" s="256"/>
    </row>
    <row r="25911" spans="104:111">
      <c r="CZ25911" s="256"/>
      <c r="DG25911" s="256"/>
    </row>
    <row r="25912" spans="104:111">
      <c r="CZ25912" s="256"/>
      <c r="DG25912" s="256"/>
    </row>
    <row r="25913" spans="104:111">
      <c r="CZ25913" s="256"/>
      <c r="DG25913" s="256"/>
    </row>
    <row r="25914" spans="104:111">
      <c r="CZ25914" s="256"/>
      <c r="DG25914" s="256"/>
    </row>
    <row r="25915" spans="104:111">
      <c r="CZ25915" s="256"/>
      <c r="DG25915" s="256"/>
    </row>
    <row r="25916" spans="104:111">
      <c r="CZ25916" s="256"/>
      <c r="DG25916" s="256"/>
    </row>
    <row r="25917" spans="104:111">
      <c r="CZ25917" s="256"/>
      <c r="DG25917" s="256"/>
    </row>
    <row r="25918" spans="104:111">
      <c r="CZ25918" s="256"/>
      <c r="DG25918" s="256"/>
    </row>
    <row r="25919" spans="104:111">
      <c r="CZ25919" s="256"/>
      <c r="DG25919" s="256"/>
    </row>
    <row r="25920" spans="104:111">
      <c r="CZ25920" s="256"/>
      <c r="DG25920" s="256"/>
    </row>
    <row r="25921" spans="104:111">
      <c r="CZ25921" s="256"/>
      <c r="DG25921" s="256"/>
    </row>
    <row r="25922" spans="104:111">
      <c r="CZ25922" s="256"/>
      <c r="DG25922" s="256"/>
    </row>
    <row r="25923" spans="104:111">
      <c r="CZ25923" s="256"/>
      <c r="DG25923" s="256"/>
    </row>
    <row r="25924" spans="104:111">
      <c r="CZ25924" s="256"/>
      <c r="DG25924" s="256"/>
    </row>
    <row r="25925" spans="104:111">
      <c r="CZ25925" s="256"/>
      <c r="DG25925" s="256"/>
    </row>
    <row r="25926" spans="104:111">
      <c r="CZ25926" s="256"/>
      <c r="DG25926" s="256"/>
    </row>
    <row r="25927" spans="104:111">
      <c r="CZ25927" s="256"/>
      <c r="DG25927" s="256"/>
    </row>
    <row r="25928" spans="104:111">
      <c r="CZ25928" s="256"/>
      <c r="DG25928" s="256"/>
    </row>
    <row r="25929" spans="104:111">
      <c r="CZ25929" s="256"/>
      <c r="DG25929" s="256"/>
    </row>
    <row r="25930" spans="104:111">
      <c r="CZ25930" s="256"/>
      <c r="DG25930" s="256"/>
    </row>
    <row r="25931" spans="104:111">
      <c r="CZ25931" s="256"/>
      <c r="DG25931" s="256"/>
    </row>
    <row r="25932" spans="104:111">
      <c r="CZ25932" s="256"/>
      <c r="DG25932" s="256"/>
    </row>
    <row r="25933" spans="104:111">
      <c r="CZ25933" s="256"/>
      <c r="DG25933" s="256"/>
    </row>
    <row r="25934" spans="104:111">
      <c r="CZ25934" s="256"/>
      <c r="DG25934" s="256"/>
    </row>
    <row r="25935" spans="104:111">
      <c r="CZ25935" s="256"/>
      <c r="DG25935" s="256"/>
    </row>
    <row r="25936" spans="104:111">
      <c r="CZ25936" s="256"/>
      <c r="DG25936" s="256"/>
    </row>
    <row r="25937" spans="104:111">
      <c r="CZ25937" s="256"/>
      <c r="DG25937" s="256"/>
    </row>
    <row r="25938" spans="104:111">
      <c r="CZ25938" s="256"/>
      <c r="DG25938" s="256"/>
    </row>
    <row r="25939" spans="104:111">
      <c r="CZ25939" s="256"/>
      <c r="DG25939" s="256"/>
    </row>
    <row r="25940" spans="104:111">
      <c r="CZ25940" s="256"/>
      <c r="DG25940" s="256"/>
    </row>
    <row r="25941" spans="104:111">
      <c r="CZ25941" s="256"/>
      <c r="DG25941" s="256"/>
    </row>
    <row r="25942" spans="104:111">
      <c r="CZ25942" s="256"/>
      <c r="DG25942" s="256"/>
    </row>
    <row r="25943" spans="104:111">
      <c r="CZ25943" s="256"/>
      <c r="DG25943" s="256"/>
    </row>
    <row r="25944" spans="104:111">
      <c r="CZ25944" s="256"/>
      <c r="DG25944" s="256"/>
    </row>
    <row r="25945" spans="104:111">
      <c r="CZ25945" s="256"/>
      <c r="DG25945" s="256"/>
    </row>
    <row r="25946" spans="104:111">
      <c r="CZ25946" s="256"/>
      <c r="DG25946" s="256"/>
    </row>
    <row r="25947" spans="104:111">
      <c r="CZ25947" s="256"/>
      <c r="DG25947" s="256"/>
    </row>
    <row r="25948" spans="104:111">
      <c r="CZ25948" s="256"/>
      <c r="DG25948" s="256"/>
    </row>
    <row r="25949" spans="104:111">
      <c r="CZ25949" s="256"/>
      <c r="DG25949" s="256"/>
    </row>
    <row r="25950" spans="104:111">
      <c r="CZ25950" s="256"/>
      <c r="DG25950" s="256"/>
    </row>
    <row r="25951" spans="104:111">
      <c r="CZ25951" s="256"/>
      <c r="DG25951" s="256"/>
    </row>
    <row r="25952" spans="104:111">
      <c r="CZ25952" s="256"/>
      <c r="DG25952" s="256"/>
    </row>
    <row r="25953" spans="104:111">
      <c r="CZ25953" s="256"/>
      <c r="DG25953" s="256"/>
    </row>
    <row r="25954" spans="104:111">
      <c r="CZ25954" s="256"/>
      <c r="DG25954" s="256"/>
    </row>
    <row r="25955" spans="104:111">
      <c r="CZ25955" s="256"/>
      <c r="DG25955" s="256"/>
    </row>
    <row r="25956" spans="104:111">
      <c r="CZ25956" s="256"/>
      <c r="DG25956" s="256"/>
    </row>
    <row r="25957" spans="104:111">
      <c r="CZ25957" s="256"/>
      <c r="DG25957" s="256"/>
    </row>
    <row r="25958" spans="104:111">
      <c r="CZ25958" s="256"/>
      <c r="DG25958" s="256"/>
    </row>
    <row r="25959" spans="104:111">
      <c r="CZ25959" s="256"/>
      <c r="DG25959" s="256"/>
    </row>
    <row r="25960" spans="104:111">
      <c r="CZ25960" s="256"/>
      <c r="DG25960" s="256"/>
    </row>
    <row r="25961" spans="104:111">
      <c r="CZ25961" s="256"/>
      <c r="DG25961" s="256"/>
    </row>
    <row r="25962" spans="104:111">
      <c r="CZ25962" s="256"/>
      <c r="DG25962" s="256"/>
    </row>
    <row r="25963" spans="104:111">
      <c r="CZ25963" s="256"/>
      <c r="DG25963" s="256"/>
    </row>
    <row r="25964" spans="104:111">
      <c r="CZ25964" s="256"/>
      <c r="DG25964" s="256"/>
    </row>
    <row r="25965" spans="104:111">
      <c r="CZ25965" s="256"/>
      <c r="DG25965" s="256"/>
    </row>
    <row r="25966" spans="104:111">
      <c r="CZ25966" s="256"/>
      <c r="DG25966" s="256"/>
    </row>
    <row r="25967" spans="104:111">
      <c r="CZ25967" s="256"/>
      <c r="DG25967" s="256"/>
    </row>
    <row r="25968" spans="104:111">
      <c r="CZ25968" s="256"/>
      <c r="DG25968" s="256"/>
    </row>
    <row r="25969" spans="104:111">
      <c r="CZ25969" s="256"/>
      <c r="DG25969" s="256"/>
    </row>
    <row r="25970" spans="104:111">
      <c r="CZ25970" s="256"/>
      <c r="DG25970" s="256"/>
    </row>
    <row r="25971" spans="104:111">
      <c r="CZ25971" s="256"/>
      <c r="DG25971" s="256"/>
    </row>
    <row r="25972" spans="104:111">
      <c r="CZ25972" s="256"/>
      <c r="DG25972" s="256"/>
    </row>
    <row r="25973" spans="104:111">
      <c r="CZ25973" s="256"/>
      <c r="DG25973" s="256"/>
    </row>
    <row r="25974" spans="104:111">
      <c r="CZ25974" s="256"/>
      <c r="DG25974" s="256"/>
    </row>
    <row r="25975" spans="104:111">
      <c r="CZ25975" s="256"/>
      <c r="DG25975" s="256"/>
    </row>
    <row r="25976" spans="104:111">
      <c r="CZ25976" s="256"/>
      <c r="DG25976" s="256"/>
    </row>
    <row r="25977" spans="104:111">
      <c r="CZ25977" s="256"/>
      <c r="DG25977" s="256"/>
    </row>
    <row r="25978" spans="104:111">
      <c r="CZ25978" s="256"/>
      <c r="DG25978" s="256"/>
    </row>
    <row r="25979" spans="104:111">
      <c r="CZ25979" s="256"/>
      <c r="DG25979" s="256"/>
    </row>
    <row r="25980" spans="104:111">
      <c r="CZ25980" s="256"/>
      <c r="DG25980" s="256"/>
    </row>
    <row r="25981" spans="104:111">
      <c r="CZ25981" s="256"/>
      <c r="DG25981" s="256"/>
    </row>
    <row r="25982" spans="104:111">
      <c r="CZ25982" s="256"/>
      <c r="DG25982" s="256"/>
    </row>
    <row r="25983" spans="104:111">
      <c r="CZ25983" s="256"/>
      <c r="DG25983" s="256"/>
    </row>
    <row r="25984" spans="104:111">
      <c r="CZ25984" s="256"/>
      <c r="DG25984" s="256"/>
    </row>
    <row r="25985" spans="104:111">
      <c r="CZ25985" s="256"/>
      <c r="DG25985" s="256"/>
    </row>
    <row r="25986" spans="104:111">
      <c r="CZ25986" s="256"/>
      <c r="DG25986" s="256"/>
    </row>
    <row r="25987" spans="104:111">
      <c r="CZ25987" s="256"/>
      <c r="DG25987" s="256"/>
    </row>
    <row r="25988" spans="104:111">
      <c r="CZ25988" s="256"/>
      <c r="DG25988" s="256"/>
    </row>
    <row r="25989" spans="104:111">
      <c r="CZ25989" s="256"/>
      <c r="DG25989" s="256"/>
    </row>
    <row r="25990" spans="104:111">
      <c r="CZ25990" s="256"/>
      <c r="DG25990" s="256"/>
    </row>
    <row r="25991" spans="104:111">
      <c r="CZ25991" s="256"/>
      <c r="DG25991" s="256"/>
    </row>
    <row r="25992" spans="104:111">
      <c r="CZ25992" s="256"/>
      <c r="DG25992" s="256"/>
    </row>
    <row r="25993" spans="104:111">
      <c r="CZ25993" s="256"/>
      <c r="DG25993" s="256"/>
    </row>
    <row r="25994" spans="104:111">
      <c r="CZ25994" s="256"/>
      <c r="DG25994" s="256"/>
    </row>
    <row r="25995" spans="104:111">
      <c r="CZ25995" s="256"/>
      <c r="DG25995" s="256"/>
    </row>
    <row r="25996" spans="104:111">
      <c r="CZ25996" s="256"/>
      <c r="DG25996" s="256"/>
    </row>
    <row r="25997" spans="104:111">
      <c r="CZ25997" s="256"/>
      <c r="DG25997" s="256"/>
    </row>
    <row r="25998" spans="104:111">
      <c r="CZ25998" s="256"/>
      <c r="DG25998" s="256"/>
    </row>
    <row r="25999" spans="104:111">
      <c r="CZ25999" s="256"/>
      <c r="DG25999" s="256"/>
    </row>
    <row r="26000" spans="104:111">
      <c r="CZ26000" s="256"/>
      <c r="DG26000" s="256"/>
    </row>
    <row r="26001" spans="104:111">
      <c r="CZ26001" s="256"/>
      <c r="DG26001" s="256"/>
    </row>
    <row r="26002" spans="104:111">
      <c r="CZ26002" s="256"/>
      <c r="DG26002" s="256"/>
    </row>
    <row r="26003" spans="104:111">
      <c r="CZ26003" s="256"/>
      <c r="DG26003" s="256"/>
    </row>
    <row r="26004" spans="104:111">
      <c r="CZ26004" s="256"/>
      <c r="DG26004" s="256"/>
    </row>
    <row r="26005" spans="104:111">
      <c r="CZ26005" s="256"/>
      <c r="DG26005" s="256"/>
    </row>
    <row r="26006" spans="104:111">
      <c r="CZ26006" s="256"/>
      <c r="DG26006" s="256"/>
    </row>
    <row r="26007" spans="104:111">
      <c r="CZ26007" s="256"/>
      <c r="DG26007" s="256"/>
    </row>
    <row r="26008" spans="104:111">
      <c r="CZ26008" s="256"/>
      <c r="DG26008" s="256"/>
    </row>
    <row r="26009" spans="104:111">
      <c r="CZ26009" s="256"/>
      <c r="DG26009" s="256"/>
    </row>
    <row r="26010" spans="104:111">
      <c r="CZ26010" s="256"/>
      <c r="DG26010" s="256"/>
    </row>
    <row r="26011" spans="104:111">
      <c r="CZ26011" s="256"/>
      <c r="DG26011" s="256"/>
    </row>
    <row r="26012" spans="104:111">
      <c r="CZ26012" s="256"/>
      <c r="DG26012" s="256"/>
    </row>
    <row r="26013" spans="104:111">
      <c r="CZ26013" s="256"/>
      <c r="DG26013" s="256"/>
    </row>
    <row r="26014" spans="104:111">
      <c r="CZ26014" s="256"/>
      <c r="DG26014" s="256"/>
    </row>
    <row r="26015" spans="104:111">
      <c r="CZ26015" s="256"/>
      <c r="DG26015" s="256"/>
    </row>
    <row r="26016" spans="104:111">
      <c r="CZ26016" s="256"/>
      <c r="DG26016" s="256"/>
    </row>
    <row r="26017" spans="104:111">
      <c r="CZ26017" s="256"/>
      <c r="DG26017" s="256"/>
    </row>
    <row r="26018" spans="104:111">
      <c r="CZ26018" s="256"/>
      <c r="DG26018" s="256"/>
    </row>
    <row r="26019" spans="104:111">
      <c r="CZ26019" s="256"/>
      <c r="DG26019" s="256"/>
    </row>
    <row r="26020" spans="104:111">
      <c r="CZ26020" s="256"/>
      <c r="DG26020" s="256"/>
    </row>
    <row r="26021" spans="104:111">
      <c r="CZ26021" s="256"/>
      <c r="DG26021" s="256"/>
    </row>
    <row r="26022" spans="104:111">
      <c r="CZ26022" s="256"/>
      <c r="DG26022" s="256"/>
    </row>
    <row r="26023" spans="104:111">
      <c r="CZ26023" s="256"/>
      <c r="DG26023" s="256"/>
    </row>
    <row r="26024" spans="104:111">
      <c r="CZ26024" s="256"/>
      <c r="DG26024" s="256"/>
    </row>
    <row r="26025" spans="104:111">
      <c r="CZ26025" s="256"/>
      <c r="DG26025" s="256"/>
    </row>
    <row r="26026" spans="104:111">
      <c r="CZ26026" s="256"/>
      <c r="DG26026" s="256"/>
    </row>
    <row r="26027" spans="104:111">
      <c r="CZ26027" s="256"/>
      <c r="DG26027" s="256"/>
    </row>
    <row r="26028" spans="104:111">
      <c r="CZ26028" s="256"/>
      <c r="DG26028" s="256"/>
    </row>
    <row r="26029" spans="104:111">
      <c r="CZ26029" s="256"/>
      <c r="DG26029" s="256"/>
    </row>
    <row r="26030" spans="104:111">
      <c r="CZ26030" s="256"/>
      <c r="DG26030" s="256"/>
    </row>
    <row r="26031" spans="104:111">
      <c r="CZ26031" s="256"/>
      <c r="DG26031" s="256"/>
    </row>
    <row r="26032" spans="104:111">
      <c r="CZ26032" s="256"/>
      <c r="DG26032" s="256"/>
    </row>
    <row r="26033" spans="104:111">
      <c r="CZ26033" s="256"/>
      <c r="DG26033" s="256"/>
    </row>
    <row r="26034" spans="104:111">
      <c r="CZ26034" s="256"/>
      <c r="DG26034" s="256"/>
    </row>
    <row r="26035" spans="104:111">
      <c r="CZ26035" s="256"/>
      <c r="DG26035" s="256"/>
    </row>
    <row r="26036" spans="104:111">
      <c r="CZ26036" s="256"/>
      <c r="DG26036" s="256"/>
    </row>
    <row r="26037" spans="104:111">
      <c r="CZ26037" s="256"/>
      <c r="DG26037" s="256"/>
    </row>
    <row r="26038" spans="104:111">
      <c r="CZ26038" s="256"/>
      <c r="DG26038" s="256"/>
    </row>
    <row r="26039" spans="104:111">
      <c r="CZ26039" s="256"/>
      <c r="DG26039" s="256"/>
    </row>
    <row r="26040" spans="104:111">
      <c r="CZ26040" s="256"/>
      <c r="DG26040" s="256"/>
    </row>
    <row r="26041" spans="104:111">
      <c r="CZ26041" s="256"/>
      <c r="DG26041" s="256"/>
    </row>
    <row r="26042" spans="104:111">
      <c r="CZ26042" s="256"/>
      <c r="DG26042" s="256"/>
    </row>
    <row r="26043" spans="104:111">
      <c r="CZ26043" s="256"/>
      <c r="DG26043" s="256"/>
    </row>
    <row r="26044" spans="104:111">
      <c r="CZ26044" s="256"/>
      <c r="DG26044" s="256"/>
    </row>
    <row r="26045" spans="104:111">
      <c r="CZ26045" s="256"/>
      <c r="DG26045" s="256"/>
    </row>
    <row r="26046" spans="104:111">
      <c r="CZ26046" s="256"/>
      <c r="DG26046" s="256"/>
    </row>
    <row r="26047" spans="104:111">
      <c r="CZ26047" s="256"/>
      <c r="DG26047" s="256"/>
    </row>
    <row r="26048" spans="104:111">
      <c r="CZ26048" s="256"/>
      <c r="DG26048" s="256"/>
    </row>
    <row r="26049" spans="104:111">
      <c r="CZ26049" s="256"/>
      <c r="DG26049" s="256"/>
    </row>
    <row r="26050" spans="104:111">
      <c r="CZ26050" s="256"/>
      <c r="DG26050" s="256"/>
    </row>
    <row r="26051" spans="104:111">
      <c r="CZ26051" s="256"/>
      <c r="DG26051" s="256"/>
    </row>
    <row r="26052" spans="104:111">
      <c r="CZ26052" s="256"/>
      <c r="DG26052" s="256"/>
    </row>
    <row r="26053" spans="104:111">
      <c r="CZ26053" s="256"/>
      <c r="DG26053" s="256"/>
    </row>
    <row r="26054" spans="104:111">
      <c r="CZ26054" s="256"/>
      <c r="DG26054" s="256"/>
    </row>
    <row r="26055" spans="104:111">
      <c r="CZ26055" s="256"/>
      <c r="DG26055" s="256"/>
    </row>
    <row r="26056" spans="104:111">
      <c r="CZ26056" s="256"/>
      <c r="DG26056" s="256"/>
    </row>
    <row r="26057" spans="104:111">
      <c r="CZ26057" s="256"/>
      <c r="DG26057" s="256"/>
    </row>
    <row r="26058" spans="104:111">
      <c r="CZ26058" s="256"/>
      <c r="DG26058" s="256"/>
    </row>
    <row r="26059" spans="104:111">
      <c r="CZ26059" s="256"/>
      <c r="DG26059" s="256"/>
    </row>
    <row r="26060" spans="104:111">
      <c r="CZ26060" s="256"/>
      <c r="DG26060" s="256"/>
    </row>
    <row r="26061" spans="104:111">
      <c r="CZ26061" s="256"/>
      <c r="DG26061" s="256"/>
    </row>
    <row r="26062" spans="104:111">
      <c r="CZ26062" s="256"/>
      <c r="DG26062" s="256"/>
    </row>
    <row r="26063" spans="104:111">
      <c r="CZ26063" s="256"/>
      <c r="DG26063" s="256"/>
    </row>
    <row r="26064" spans="104:111">
      <c r="CZ26064" s="256"/>
      <c r="DG26064" s="256"/>
    </row>
    <row r="26065" spans="104:111">
      <c r="CZ26065" s="256"/>
      <c r="DG26065" s="256"/>
    </row>
    <row r="26066" spans="104:111">
      <c r="CZ26066" s="256"/>
      <c r="DG26066" s="256"/>
    </row>
    <row r="26067" spans="104:111">
      <c r="CZ26067" s="256"/>
      <c r="DG26067" s="256"/>
    </row>
    <row r="26068" spans="104:111">
      <c r="CZ26068" s="256"/>
      <c r="DG26068" s="256"/>
    </row>
    <row r="26069" spans="104:111">
      <c r="CZ26069" s="256"/>
      <c r="DG26069" s="256"/>
    </row>
    <row r="26070" spans="104:111">
      <c r="CZ26070" s="256"/>
      <c r="DG26070" s="256"/>
    </row>
    <row r="26071" spans="104:111">
      <c r="CZ26071" s="256"/>
      <c r="DG26071" s="256"/>
    </row>
    <row r="26072" spans="104:111">
      <c r="CZ26072" s="256"/>
      <c r="DG26072" s="256"/>
    </row>
    <row r="26073" spans="104:111">
      <c r="CZ26073" s="256"/>
      <c r="DG26073" s="256"/>
    </row>
    <row r="26074" spans="104:111">
      <c r="CZ26074" s="256"/>
      <c r="DG26074" s="256"/>
    </row>
    <row r="26075" spans="104:111">
      <c r="CZ26075" s="256"/>
      <c r="DG26075" s="256"/>
    </row>
    <row r="26076" spans="104:111">
      <c r="CZ26076" s="256"/>
      <c r="DG26076" s="256"/>
    </row>
    <row r="26077" spans="104:111">
      <c r="CZ26077" s="256"/>
      <c r="DG26077" s="256"/>
    </row>
    <row r="26078" spans="104:111">
      <c r="CZ26078" s="256"/>
      <c r="DG26078" s="256"/>
    </row>
    <row r="26079" spans="104:111">
      <c r="CZ26079" s="256"/>
      <c r="DG26079" s="256"/>
    </row>
    <row r="26080" spans="104:111">
      <c r="CZ26080" s="256"/>
      <c r="DG26080" s="256"/>
    </row>
    <row r="26081" spans="104:111">
      <c r="CZ26081" s="256"/>
      <c r="DG26081" s="256"/>
    </row>
    <row r="26082" spans="104:111">
      <c r="CZ26082" s="256"/>
      <c r="DG26082" s="256"/>
    </row>
    <row r="26083" spans="104:111">
      <c r="CZ26083" s="256"/>
      <c r="DG26083" s="256"/>
    </row>
    <row r="26084" spans="104:111">
      <c r="CZ26084" s="256"/>
      <c r="DG26084" s="256"/>
    </row>
    <row r="26085" spans="104:111">
      <c r="CZ26085" s="256"/>
      <c r="DG26085" s="256"/>
    </row>
    <row r="26086" spans="104:111">
      <c r="CZ26086" s="256"/>
      <c r="DG26086" s="256"/>
    </row>
    <row r="26087" spans="104:111">
      <c r="CZ26087" s="256"/>
      <c r="DG26087" s="256"/>
    </row>
    <row r="26088" spans="104:111">
      <c r="CZ26088" s="256"/>
      <c r="DG26088" s="256"/>
    </row>
    <row r="26089" spans="104:111">
      <c r="CZ26089" s="256"/>
      <c r="DG26089" s="256"/>
    </row>
    <row r="26090" spans="104:111">
      <c r="CZ26090" s="256"/>
      <c r="DG26090" s="256"/>
    </row>
    <row r="26091" spans="104:111">
      <c r="CZ26091" s="256"/>
      <c r="DG26091" s="256"/>
    </row>
    <row r="26092" spans="104:111">
      <c r="CZ26092" s="256"/>
      <c r="DG26092" s="256"/>
    </row>
    <row r="26093" spans="104:111">
      <c r="CZ26093" s="256"/>
      <c r="DG26093" s="256"/>
    </row>
    <row r="26094" spans="104:111">
      <c r="CZ26094" s="256"/>
      <c r="DG26094" s="256"/>
    </row>
    <row r="26095" spans="104:111">
      <c r="CZ26095" s="256"/>
      <c r="DG26095" s="256"/>
    </row>
    <row r="26096" spans="104:111">
      <c r="CZ26096" s="256"/>
      <c r="DG26096" s="256"/>
    </row>
    <row r="26097" spans="104:111">
      <c r="CZ26097" s="256"/>
      <c r="DG26097" s="256"/>
    </row>
    <row r="26098" spans="104:111">
      <c r="CZ26098" s="256"/>
      <c r="DG26098" s="256"/>
    </row>
    <row r="26099" spans="104:111">
      <c r="CZ26099" s="256"/>
      <c r="DG26099" s="256"/>
    </row>
    <row r="26100" spans="104:111">
      <c r="CZ26100" s="256"/>
      <c r="DG26100" s="256"/>
    </row>
    <row r="26101" spans="104:111">
      <c r="CZ26101" s="256"/>
      <c r="DG26101" s="256"/>
    </row>
    <row r="26102" spans="104:111">
      <c r="CZ26102" s="256"/>
      <c r="DG26102" s="256"/>
    </row>
    <row r="26103" spans="104:111">
      <c r="CZ26103" s="256"/>
      <c r="DG26103" s="256"/>
    </row>
    <row r="26104" spans="104:111">
      <c r="CZ26104" s="256"/>
      <c r="DG26104" s="256"/>
    </row>
    <row r="26105" spans="104:111">
      <c r="CZ26105" s="256"/>
      <c r="DG26105" s="256"/>
    </row>
    <row r="26106" spans="104:111">
      <c r="CZ26106" s="256"/>
      <c r="DG26106" s="256"/>
    </row>
    <row r="26107" spans="104:111">
      <c r="CZ26107" s="256"/>
      <c r="DG26107" s="256"/>
    </row>
    <row r="26108" spans="104:111">
      <c r="CZ26108" s="256"/>
      <c r="DG26108" s="256"/>
    </row>
    <row r="26109" spans="104:111">
      <c r="CZ26109" s="256"/>
      <c r="DG26109" s="256"/>
    </row>
    <row r="26110" spans="104:111">
      <c r="CZ26110" s="256"/>
      <c r="DG26110" s="256"/>
    </row>
    <row r="26111" spans="104:111">
      <c r="CZ26111" s="256"/>
      <c r="DG26111" s="256"/>
    </row>
    <row r="26112" spans="104:111">
      <c r="CZ26112" s="256"/>
      <c r="DG26112" s="256"/>
    </row>
    <row r="26113" spans="104:111">
      <c r="CZ26113" s="256"/>
      <c r="DG26113" s="256"/>
    </row>
    <row r="26114" spans="104:111">
      <c r="CZ26114" s="256"/>
      <c r="DG26114" s="256"/>
    </row>
    <row r="26115" spans="104:111">
      <c r="CZ26115" s="256"/>
      <c r="DG26115" s="256"/>
    </row>
    <row r="26116" spans="104:111">
      <c r="CZ26116" s="256"/>
      <c r="DG26116" s="256"/>
    </row>
    <row r="26117" spans="104:111">
      <c r="CZ26117" s="256"/>
      <c r="DG26117" s="256"/>
    </row>
    <row r="26118" spans="104:111">
      <c r="CZ26118" s="256"/>
      <c r="DG26118" s="256"/>
    </row>
    <row r="26119" spans="104:111">
      <c r="CZ26119" s="256"/>
      <c r="DG26119" s="256"/>
    </row>
    <row r="26120" spans="104:111">
      <c r="CZ26120" s="256"/>
      <c r="DG26120" s="256"/>
    </row>
    <row r="26121" spans="104:111">
      <c r="CZ26121" s="256"/>
      <c r="DG26121" s="256"/>
    </row>
    <row r="26122" spans="104:111">
      <c r="CZ26122" s="256"/>
      <c r="DG26122" s="256"/>
    </row>
    <row r="26123" spans="104:111">
      <c r="CZ26123" s="256"/>
      <c r="DG26123" s="256"/>
    </row>
    <row r="26124" spans="104:111">
      <c r="CZ26124" s="256"/>
      <c r="DG26124" s="256"/>
    </row>
    <row r="26125" spans="104:111">
      <c r="CZ26125" s="256"/>
      <c r="DG26125" s="256"/>
    </row>
    <row r="26126" spans="104:111">
      <c r="CZ26126" s="256"/>
      <c r="DG26126" s="256"/>
    </row>
    <row r="26127" spans="104:111">
      <c r="CZ26127" s="256"/>
      <c r="DG26127" s="256"/>
    </row>
    <row r="26128" spans="104:111">
      <c r="CZ26128" s="256"/>
      <c r="DG26128" s="256"/>
    </row>
    <row r="26129" spans="104:111">
      <c r="CZ26129" s="256"/>
      <c r="DG26129" s="256"/>
    </row>
    <row r="26130" spans="104:111">
      <c r="CZ26130" s="256"/>
      <c r="DG26130" s="256"/>
    </row>
    <row r="26131" spans="104:111">
      <c r="CZ26131" s="256"/>
      <c r="DG26131" s="256"/>
    </row>
    <row r="26132" spans="104:111">
      <c r="CZ26132" s="256"/>
      <c r="DG26132" s="256"/>
    </row>
    <row r="26133" spans="104:111">
      <c r="CZ26133" s="256"/>
      <c r="DG26133" s="256"/>
    </row>
    <row r="26134" spans="104:111">
      <c r="CZ26134" s="256"/>
      <c r="DG26134" s="256"/>
    </row>
    <row r="26135" spans="104:111">
      <c r="CZ26135" s="256"/>
      <c r="DG26135" s="256"/>
    </row>
    <row r="26136" spans="104:111">
      <c r="CZ26136" s="256"/>
      <c r="DG26136" s="256"/>
    </row>
    <row r="26137" spans="104:111">
      <c r="CZ26137" s="256"/>
      <c r="DG26137" s="256"/>
    </row>
    <row r="26138" spans="104:111">
      <c r="CZ26138" s="256"/>
      <c r="DG26138" s="256"/>
    </row>
    <row r="26139" spans="104:111">
      <c r="CZ26139" s="256"/>
      <c r="DG26139" s="256"/>
    </row>
    <row r="26140" spans="104:111">
      <c r="CZ26140" s="256"/>
      <c r="DG26140" s="256"/>
    </row>
    <row r="26141" spans="104:111">
      <c r="CZ26141" s="256"/>
      <c r="DG26141" s="256"/>
    </row>
    <row r="26142" spans="104:111">
      <c r="CZ26142" s="256"/>
      <c r="DG26142" s="256"/>
    </row>
    <row r="26143" spans="104:111">
      <c r="CZ26143" s="256"/>
      <c r="DG26143" s="256"/>
    </row>
    <row r="26144" spans="104:111">
      <c r="CZ26144" s="256"/>
      <c r="DG26144" s="256"/>
    </row>
    <row r="26145" spans="104:111">
      <c r="CZ26145" s="256"/>
      <c r="DG26145" s="256"/>
    </row>
    <row r="26146" spans="104:111">
      <c r="CZ26146" s="256"/>
      <c r="DG26146" s="256"/>
    </row>
    <row r="26147" spans="104:111">
      <c r="CZ26147" s="256"/>
      <c r="DG26147" s="256"/>
    </row>
    <row r="26148" spans="104:111">
      <c r="CZ26148" s="256"/>
      <c r="DG26148" s="256"/>
    </row>
    <row r="26149" spans="104:111">
      <c r="CZ26149" s="256"/>
      <c r="DG26149" s="256"/>
    </row>
    <row r="26150" spans="104:111">
      <c r="CZ26150" s="256"/>
      <c r="DG26150" s="256"/>
    </row>
    <row r="26151" spans="104:111">
      <c r="CZ26151" s="256"/>
      <c r="DG26151" s="256"/>
    </row>
    <row r="26152" spans="104:111">
      <c r="CZ26152" s="256"/>
      <c r="DG26152" s="256"/>
    </row>
    <row r="26153" spans="104:111">
      <c r="CZ26153" s="256"/>
      <c r="DG26153" s="256"/>
    </row>
    <row r="26154" spans="104:111">
      <c r="CZ26154" s="256"/>
      <c r="DG26154" s="256"/>
    </row>
    <row r="26155" spans="104:111">
      <c r="CZ26155" s="256"/>
      <c r="DG26155" s="256"/>
    </row>
    <row r="26156" spans="104:111">
      <c r="CZ26156" s="256"/>
      <c r="DG26156" s="256"/>
    </row>
    <row r="26157" spans="104:111">
      <c r="CZ26157" s="256"/>
      <c r="DG26157" s="256"/>
    </row>
    <row r="26158" spans="104:111">
      <c r="CZ26158" s="256"/>
      <c r="DG26158" s="256"/>
    </row>
    <row r="26159" spans="104:111">
      <c r="CZ26159" s="256"/>
      <c r="DG26159" s="256"/>
    </row>
    <row r="26160" spans="104:111">
      <c r="CZ26160" s="256"/>
      <c r="DG26160" s="256"/>
    </row>
    <row r="26161" spans="104:111">
      <c r="CZ26161" s="256"/>
      <c r="DG26161" s="256"/>
    </row>
    <row r="26162" spans="104:111">
      <c r="CZ26162" s="256"/>
      <c r="DG26162" s="256"/>
    </row>
    <row r="26163" spans="104:111">
      <c r="CZ26163" s="256"/>
      <c r="DG26163" s="256"/>
    </row>
    <row r="26164" spans="104:111">
      <c r="CZ26164" s="256"/>
      <c r="DG26164" s="256"/>
    </row>
    <row r="26165" spans="104:111">
      <c r="CZ26165" s="256"/>
      <c r="DG26165" s="256"/>
    </row>
    <row r="26166" spans="104:111">
      <c r="CZ26166" s="256"/>
      <c r="DG26166" s="256"/>
    </row>
    <row r="26167" spans="104:111">
      <c r="CZ26167" s="256"/>
      <c r="DG26167" s="256"/>
    </row>
    <row r="26168" spans="104:111">
      <c r="CZ26168" s="256"/>
      <c r="DG26168" s="256"/>
    </row>
    <row r="26169" spans="104:111">
      <c r="CZ26169" s="256"/>
      <c r="DG26169" s="256"/>
    </row>
    <row r="26170" spans="104:111">
      <c r="CZ26170" s="256"/>
      <c r="DG26170" s="256"/>
    </row>
    <row r="26171" spans="104:111">
      <c r="CZ26171" s="256"/>
      <c r="DG26171" s="256"/>
    </row>
    <row r="26172" spans="104:111">
      <c r="CZ26172" s="256"/>
      <c r="DG26172" s="256"/>
    </row>
    <row r="26173" spans="104:111">
      <c r="CZ26173" s="256"/>
      <c r="DG26173" s="256"/>
    </row>
    <row r="26174" spans="104:111">
      <c r="CZ26174" s="256"/>
      <c r="DG26174" s="256"/>
    </row>
    <row r="26175" spans="104:111">
      <c r="CZ26175" s="256"/>
      <c r="DG26175" s="256"/>
    </row>
    <row r="26176" spans="104:111">
      <c r="CZ26176" s="256"/>
      <c r="DG26176" s="256"/>
    </row>
    <row r="26177" spans="104:111">
      <c r="CZ26177" s="256"/>
      <c r="DG26177" s="256"/>
    </row>
    <row r="26178" spans="104:111">
      <c r="CZ26178" s="256"/>
      <c r="DG26178" s="256"/>
    </row>
    <row r="26179" spans="104:111">
      <c r="CZ26179" s="256"/>
      <c r="DG26179" s="256"/>
    </row>
    <row r="26180" spans="104:111">
      <c r="CZ26180" s="256"/>
      <c r="DG26180" s="256"/>
    </row>
    <row r="26181" spans="104:111">
      <c r="CZ26181" s="256"/>
      <c r="DG26181" s="256"/>
    </row>
    <row r="26182" spans="104:111">
      <c r="CZ26182" s="256"/>
      <c r="DG26182" s="256"/>
    </row>
    <row r="26183" spans="104:111">
      <c r="CZ26183" s="256"/>
      <c r="DG26183" s="256"/>
    </row>
    <row r="26184" spans="104:111">
      <c r="CZ26184" s="256"/>
      <c r="DG26184" s="256"/>
    </row>
    <row r="26185" spans="104:111">
      <c r="CZ26185" s="256"/>
      <c r="DG26185" s="256"/>
    </row>
    <row r="26186" spans="104:111">
      <c r="CZ26186" s="256"/>
      <c r="DG26186" s="256"/>
    </row>
    <row r="26187" spans="104:111">
      <c r="CZ26187" s="256"/>
      <c r="DG26187" s="256"/>
    </row>
    <row r="26188" spans="104:111">
      <c r="CZ26188" s="256"/>
      <c r="DG26188" s="256"/>
    </row>
    <row r="26189" spans="104:111">
      <c r="CZ26189" s="256"/>
      <c r="DG26189" s="256"/>
    </row>
    <row r="26190" spans="104:111">
      <c r="CZ26190" s="256"/>
      <c r="DG26190" s="256"/>
    </row>
    <row r="26191" spans="104:111">
      <c r="CZ26191" s="256"/>
      <c r="DG26191" s="256"/>
    </row>
    <row r="26192" spans="104:111">
      <c r="CZ26192" s="256"/>
      <c r="DG26192" s="256"/>
    </row>
    <row r="26193" spans="104:111">
      <c r="CZ26193" s="256"/>
      <c r="DG26193" s="256"/>
    </row>
    <row r="26194" spans="104:111">
      <c r="CZ26194" s="256"/>
      <c r="DG26194" s="256"/>
    </row>
    <row r="26195" spans="104:111">
      <c r="CZ26195" s="256"/>
      <c r="DG26195" s="256"/>
    </row>
    <row r="26196" spans="104:111">
      <c r="CZ26196" s="256"/>
      <c r="DG26196" s="256"/>
    </row>
    <row r="26197" spans="104:111">
      <c r="CZ26197" s="256"/>
      <c r="DG26197" s="256"/>
    </row>
    <row r="26198" spans="104:111">
      <c r="CZ26198" s="256"/>
      <c r="DG26198" s="256"/>
    </row>
    <row r="26199" spans="104:111">
      <c r="CZ26199" s="256"/>
      <c r="DG26199" s="256"/>
    </row>
    <row r="26200" spans="104:111">
      <c r="CZ26200" s="256"/>
      <c r="DG26200" s="256"/>
    </row>
    <row r="26201" spans="104:111">
      <c r="CZ26201" s="256"/>
      <c r="DG26201" s="256"/>
    </row>
    <row r="26202" spans="104:111">
      <c r="CZ26202" s="256"/>
      <c r="DG26202" s="256"/>
    </row>
    <row r="26203" spans="104:111">
      <c r="CZ26203" s="256"/>
      <c r="DG26203" s="256"/>
    </row>
    <row r="26204" spans="104:111">
      <c r="CZ26204" s="256"/>
      <c r="DG26204" s="256"/>
    </row>
    <row r="26205" spans="104:111">
      <c r="CZ26205" s="256"/>
      <c r="DG26205" s="256"/>
    </row>
    <row r="26206" spans="104:111">
      <c r="CZ26206" s="256"/>
      <c r="DG26206" s="256"/>
    </row>
    <row r="26207" spans="104:111">
      <c r="CZ26207" s="256"/>
      <c r="DG26207" s="256"/>
    </row>
    <row r="26208" spans="104:111">
      <c r="CZ26208" s="256"/>
      <c r="DG26208" s="256"/>
    </row>
    <row r="26209" spans="104:111">
      <c r="CZ26209" s="256"/>
      <c r="DG26209" s="256"/>
    </row>
    <row r="26210" spans="104:111">
      <c r="CZ26210" s="256"/>
      <c r="DG26210" s="256"/>
    </row>
    <row r="26211" spans="104:111">
      <c r="CZ26211" s="256"/>
      <c r="DG26211" s="256"/>
    </row>
    <row r="26212" spans="104:111">
      <c r="CZ26212" s="256"/>
      <c r="DG26212" s="256"/>
    </row>
    <row r="26213" spans="104:111">
      <c r="CZ26213" s="256"/>
      <c r="DG26213" s="256"/>
    </row>
    <row r="26214" spans="104:111">
      <c r="CZ26214" s="256"/>
      <c r="DG26214" s="256"/>
    </row>
    <row r="26215" spans="104:111">
      <c r="CZ26215" s="256"/>
      <c r="DG26215" s="256"/>
    </row>
    <row r="26216" spans="104:111">
      <c r="CZ26216" s="256"/>
      <c r="DG26216" s="256"/>
    </row>
    <row r="26217" spans="104:111">
      <c r="CZ26217" s="256"/>
      <c r="DG26217" s="256"/>
    </row>
    <row r="26218" spans="104:111">
      <c r="CZ26218" s="256"/>
      <c r="DG26218" s="256"/>
    </row>
    <row r="26219" spans="104:111">
      <c r="CZ26219" s="256"/>
      <c r="DG26219" s="256"/>
    </row>
    <row r="26220" spans="104:111">
      <c r="CZ26220" s="256"/>
      <c r="DG26220" s="256"/>
    </row>
    <row r="26221" spans="104:111">
      <c r="CZ26221" s="256"/>
      <c r="DG26221" s="256"/>
    </row>
    <row r="26222" spans="104:111">
      <c r="CZ26222" s="256"/>
      <c r="DG26222" s="256"/>
    </row>
    <row r="26223" spans="104:111">
      <c r="CZ26223" s="256"/>
      <c r="DG26223" s="256"/>
    </row>
    <row r="26224" spans="104:111">
      <c r="CZ26224" s="256"/>
      <c r="DG26224" s="256"/>
    </row>
    <row r="26225" spans="104:111">
      <c r="CZ26225" s="256"/>
      <c r="DG26225" s="256"/>
    </row>
    <row r="26226" spans="104:111">
      <c r="CZ26226" s="256"/>
      <c r="DG26226" s="256"/>
    </row>
    <row r="26227" spans="104:111">
      <c r="CZ26227" s="256"/>
      <c r="DG26227" s="256"/>
    </row>
    <row r="26228" spans="104:111">
      <c r="CZ26228" s="256"/>
      <c r="DG26228" s="256"/>
    </row>
    <row r="26229" spans="104:111">
      <c r="CZ26229" s="256"/>
      <c r="DG26229" s="256"/>
    </row>
    <row r="26230" spans="104:111">
      <c r="CZ26230" s="256"/>
      <c r="DG26230" s="256"/>
    </row>
    <row r="26231" spans="104:111">
      <c r="CZ26231" s="256"/>
      <c r="DG26231" s="256"/>
    </row>
    <row r="26232" spans="104:111">
      <c r="CZ26232" s="256"/>
      <c r="DG26232" s="256"/>
    </row>
    <row r="26233" spans="104:111">
      <c r="CZ26233" s="256"/>
      <c r="DG26233" s="256"/>
    </row>
    <row r="26234" spans="104:111">
      <c r="CZ26234" s="256"/>
      <c r="DG26234" s="256"/>
    </row>
    <row r="26235" spans="104:111">
      <c r="CZ26235" s="256"/>
      <c r="DG26235" s="256"/>
    </row>
    <row r="26236" spans="104:111">
      <c r="CZ26236" s="256"/>
      <c r="DG26236" s="256"/>
    </row>
    <row r="26237" spans="104:111">
      <c r="CZ26237" s="256"/>
      <c r="DG26237" s="256"/>
    </row>
    <row r="26238" spans="104:111">
      <c r="CZ26238" s="256"/>
      <c r="DG26238" s="256"/>
    </row>
    <row r="26239" spans="104:111">
      <c r="CZ26239" s="256"/>
      <c r="DG26239" s="256"/>
    </row>
    <row r="26240" spans="104:111">
      <c r="CZ26240" s="256"/>
      <c r="DG26240" s="256"/>
    </row>
    <row r="26241" spans="104:111">
      <c r="CZ26241" s="256"/>
      <c r="DG26241" s="256"/>
    </row>
    <row r="26242" spans="104:111">
      <c r="CZ26242" s="256"/>
      <c r="DG26242" s="256"/>
    </row>
    <row r="26243" spans="104:111">
      <c r="CZ26243" s="256"/>
      <c r="DG26243" s="256"/>
    </row>
    <row r="26244" spans="104:111">
      <c r="CZ26244" s="256"/>
      <c r="DG26244" s="256"/>
    </row>
    <row r="26245" spans="104:111">
      <c r="CZ26245" s="256"/>
      <c r="DG26245" s="256"/>
    </row>
    <row r="26246" spans="104:111">
      <c r="CZ26246" s="256"/>
      <c r="DG26246" s="256"/>
    </row>
    <row r="26247" spans="104:111">
      <c r="CZ26247" s="256"/>
      <c r="DG26247" s="256"/>
    </row>
    <row r="26248" spans="104:111">
      <c r="CZ26248" s="256"/>
      <c r="DG26248" s="256"/>
    </row>
    <row r="26249" spans="104:111">
      <c r="CZ26249" s="256"/>
      <c r="DG26249" s="256"/>
    </row>
    <row r="26250" spans="104:111">
      <c r="CZ26250" s="256"/>
      <c r="DG26250" s="256"/>
    </row>
    <row r="26251" spans="104:111">
      <c r="CZ26251" s="256"/>
      <c r="DG26251" s="256"/>
    </row>
    <row r="26252" spans="104:111">
      <c r="CZ26252" s="256"/>
      <c r="DG26252" s="256"/>
    </row>
    <row r="26253" spans="104:111">
      <c r="CZ26253" s="256"/>
      <c r="DG26253" s="256"/>
    </row>
    <row r="26254" spans="104:111">
      <c r="CZ26254" s="256"/>
      <c r="DG26254" s="256"/>
    </row>
    <row r="26255" spans="104:111">
      <c r="CZ26255" s="256"/>
      <c r="DG26255" s="256"/>
    </row>
    <row r="26256" spans="104:111">
      <c r="CZ26256" s="256"/>
      <c r="DG26256" s="256"/>
    </row>
    <row r="26257" spans="104:111">
      <c r="CZ26257" s="256"/>
      <c r="DG26257" s="256"/>
    </row>
    <row r="26258" spans="104:111">
      <c r="CZ26258" s="256"/>
      <c r="DG26258" s="256"/>
    </row>
    <row r="26259" spans="104:111">
      <c r="CZ26259" s="256"/>
      <c r="DG26259" s="256"/>
    </row>
    <row r="26260" spans="104:111">
      <c r="CZ26260" s="256"/>
      <c r="DG26260" s="256"/>
    </row>
    <row r="26261" spans="104:111">
      <c r="CZ26261" s="256"/>
      <c r="DG26261" s="256"/>
    </row>
    <row r="26262" spans="104:111">
      <c r="CZ26262" s="256"/>
      <c r="DG26262" s="256"/>
    </row>
    <row r="26263" spans="104:111">
      <c r="CZ26263" s="256"/>
      <c r="DG26263" s="256"/>
    </row>
    <row r="26264" spans="104:111">
      <c r="CZ26264" s="256"/>
      <c r="DG26264" s="256"/>
    </row>
    <row r="26265" spans="104:111">
      <c r="CZ26265" s="256"/>
      <c r="DG26265" s="256"/>
    </row>
    <row r="26266" spans="104:111">
      <c r="CZ26266" s="256"/>
      <c r="DG26266" s="256"/>
    </row>
    <row r="26267" spans="104:111">
      <c r="CZ26267" s="256"/>
      <c r="DG26267" s="256"/>
    </row>
    <row r="26268" spans="104:111">
      <c r="CZ26268" s="256"/>
      <c r="DG26268" s="256"/>
    </row>
    <row r="26269" spans="104:111">
      <c r="CZ26269" s="256"/>
      <c r="DG26269" s="256"/>
    </row>
    <row r="26270" spans="104:111">
      <c r="CZ26270" s="256"/>
      <c r="DG26270" s="256"/>
    </row>
    <row r="26271" spans="104:111">
      <c r="CZ26271" s="256"/>
      <c r="DG26271" s="256"/>
    </row>
    <row r="26272" spans="104:111">
      <c r="CZ26272" s="256"/>
      <c r="DG26272" s="256"/>
    </row>
    <row r="26273" spans="104:111">
      <c r="CZ26273" s="256"/>
      <c r="DG26273" s="256"/>
    </row>
    <row r="26274" spans="104:111">
      <c r="CZ26274" s="256"/>
      <c r="DG26274" s="256"/>
    </row>
    <row r="26275" spans="104:111">
      <c r="CZ26275" s="256"/>
      <c r="DG26275" s="256"/>
    </row>
    <row r="26276" spans="104:111">
      <c r="CZ26276" s="256"/>
      <c r="DG26276" s="256"/>
    </row>
    <row r="26277" spans="104:111">
      <c r="CZ26277" s="256"/>
      <c r="DG26277" s="256"/>
    </row>
    <row r="26278" spans="104:111">
      <c r="CZ26278" s="256"/>
      <c r="DG26278" s="256"/>
    </row>
    <row r="26279" spans="104:111">
      <c r="CZ26279" s="256"/>
      <c r="DG26279" s="256"/>
    </row>
    <row r="26280" spans="104:111">
      <c r="CZ26280" s="256"/>
      <c r="DG26280" s="256"/>
    </row>
    <row r="26281" spans="104:111">
      <c r="CZ26281" s="256"/>
      <c r="DG26281" s="256"/>
    </row>
    <row r="26282" spans="104:111">
      <c r="CZ26282" s="256"/>
      <c r="DG26282" s="256"/>
    </row>
    <row r="26283" spans="104:111">
      <c r="CZ26283" s="256"/>
      <c r="DG26283" s="256"/>
    </row>
    <row r="26284" spans="104:111">
      <c r="CZ26284" s="256"/>
      <c r="DG26284" s="256"/>
    </row>
    <row r="26285" spans="104:111">
      <c r="CZ26285" s="256"/>
      <c r="DG26285" s="256"/>
    </row>
    <row r="26286" spans="104:111">
      <c r="CZ26286" s="256"/>
      <c r="DG26286" s="256"/>
    </row>
    <row r="26287" spans="104:111">
      <c r="CZ26287" s="256"/>
      <c r="DG26287" s="256"/>
    </row>
    <row r="26288" spans="104:111">
      <c r="CZ26288" s="256"/>
      <c r="DG26288" s="256"/>
    </row>
    <row r="26289" spans="104:111">
      <c r="CZ26289" s="256"/>
      <c r="DG26289" s="256"/>
    </row>
    <row r="26290" spans="104:111">
      <c r="CZ26290" s="256"/>
      <c r="DG26290" s="256"/>
    </row>
    <row r="26291" spans="104:111">
      <c r="CZ26291" s="256"/>
      <c r="DG26291" s="256"/>
    </row>
    <row r="26292" spans="104:111">
      <c r="CZ26292" s="256"/>
      <c r="DG26292" s="256"/>
    </row>
    <row r="26293" spans="104:111">
      <c r="CZ26293" s="256"/>
      <c r="DG26293" s="256"/>
    </row>
    <row r="26294" spans="104:111">
      <c r="CZ26294" s="256"/>
      <c r="DG26294" s="256"/>
    </row>
    <row r="26295" spans="104:111">
      <c r="CZ26295" s="256"/>
      <c r="DG26295" s="256"/>
    </row>
    <row r="26296" spans="104:111">
      <c r="CZ26296" s="256"/>
      <c r="DG26296" s="256"/>
    </row>
    <row r="26297" spans="104:111">
      <c r="CZ26297" s="256"/>
      <c r="DG26297" s="256"/>
    </row>
    <row r="26298" spans="104:111">
      <c r="CZ26298" s="256"/>
      <c r="DG26298" s="256"/>
    </row>
    <row r="26299" spans="104:111">
      <c r="CZ26299" s="256"/>
      <c r="DG26299" s="256"/>
    </row>
    <row r="26300" spans="104:111">
      <c r="CZ26300" s="256"/>
      <c r="DG26300" s="256"/>
    </row>
    <row r="26301" spans="104:111">
      <c r="CZ26301" s="256"/>
      <c r="DG26301" s="256"/>
    </row>
    <row r="26302" spans="104:111">
      <c r="CZ26302" s="256"/>
      <c r="DG26302" s="256"/>
    </row>
    <row r="26303" spans="104:111">
      <c r="CZ26303" s="256"/>
      <c r="DG26303" s="256"/>
    </row>
    <row r="26304" spans="104:111">
      <c r="CZ26304" s="256"/>
      <c r="DG26304" s="256"/>
    </row>
    <row r="26305" spans="104:111">
      <c r="CZ26305" s="256"/>
      <c r="DG26305" s="256"/>
    </row>
    <row r="26306" spans="104:111">
      <c r="CZ26306" s="256"/>
      <c r="DG26306" s="256"/>
    </row>
    <row r="26307" spans="104:111">
      <c r="CZ26307" s="256"/>
      <c r="DG26307" s="256"/>
    </row>
    <row r="26308" spans="104:111">
      <c r="CZ26308" s="256"/>
      <c r="DG26308" s="256"/>
    </row>
    <row r="26309" spans="104:111">
      <c r="CZ26309" s="256"/>
      <c r="DG26309" s="256"/>
    </row>
    <row r="26310" spans="104:111">
      <c r="CZ26310" s="256"/>
      <c r="DG26310" s="256"/>
    </row>
    <row r="26311" spans="104:111">
      <c r="CZ26311" s="256"/>
      <c r="DG26311" s="256"/>
    </row>
    <row r="26312" spans="104:111">
      <c r="CZ26312" s="256"/>
      <c r="DG26312" s="256"/>
    </row>
    <row r="26313" spans="104:111">
      <c r="CZ26313" s="256"/>
      <c r="DG26313" s="256"/>
    </row>
    <row r="26314" spans="104:111">
      <c r="CZ26314" s="256"/>
      <c r="DG26314" s="256"/>
    </row>
    <row r="26315" spans="104:111">
      <c r="CZ26315" s="256"/>
      <c r="DG26315" s="256"/>
    </row>
    <row r="26316" spans="104:111">
      <c r="CZ26316" s="256"/>
      <c r="DG26316" s="256"/>
    </row>
    <row r="26317" spans="104:111">
      <c r="CZ26317" s="256"/>
      <c r="DG26317" s="256"/>
    </row>
    <row r="26318" spans="104:111">
      <c r="CZ26318" s="256"/>
      <c r="DG26318" s="256"/>
    </row>
    <row r="26319" spans="104:111">
      <c r="CZ26319" s="256"/>
      <c r="DG26319" s="256"/>
    </row>
    <row r="26320" spans="104:111">
      <c r="CZ26320" s="256"/>
      <c r="DG26320" s="256"/>
    </row>
    <row r="26321" spans="104:111">
      <c r="CZ26321" s="256"/>
      <c r="DG26321" s="256"/>
    </row>
    <row r="26322" spans="104:111">
      <c r="CZ26322" s="256"/>
      <c r="DG26322" s="256"/>
    </row>
    <row r="26323" spans="104:111">
      <c r="CZ26323" s="256"/>
      <c r="DG26323" s="256"/>
    </row>
    <row r="26324" spans="104:111">
      <c r="CZ26324" s="256"/>
      <c r="DG26324" s="256"/>
    </row>
    <row r="26325" spans="104:111">
      <c r="CZ26325" s="256"/>
      <c r="DG26325" s="256"/>
    </row>
    <row r="26326" spans="104:111">
      <c r="CZ26326" s="256"/>
      <c r="DG26326" s="256"/>
    </row>
    <row r="26327" spans="104:111">
      <c r="CZ26327" s="256"/>
      <c r="DG26327" s="256"/>
    </row>
    <row r="26328" spans="104:111">
      <c r="CZ26328" s="256"/>
      <c r="DG26328" s="256"/>
    </row>
    <row r="26329" spans="104:111">
      <c r="CZ26329" s="256"/>
      <c r="DG26329" s="256"/>
    </row>
    <row r="26330" spans="104:111">
      <c r="CZ26330" s="256"/>
      <c r="DG26330" s="256"/>
    </row>
    <row r="26331" spans="104:111">
      <c r="CZ26331" s="256"/>
      <c r="DG26331" s="256"/>
    </row>
    <row r="26332" spans="104:111">
      <c r="CZ26332" s="256"/>
      <c r="DG26332" s="256"/>
    </row>
    <row r="26333" spans="104:111">
      <c r="CZ26333" s="256"/>
      <c r="DG26333" s="256"/>
    </row>
    <row r="26334" spans="104:111">
      <c r="CZ26334" s="256"/>
      <c r="DG26334" s="256"/>
    </row>
    <row r="26335" spans="104:111">
      <c r="CZ26335" s="256"/>
      <c r="DG26335" s="256"/>
    </row>
    <row r="26336" spans="104:111">
      <c r="CZ26336" s="256"/>
      <c r="DG26336" s="256"/>
    </row>
    <row r="26337" spans="104:111">
      <c r="CZ26337" s="256"/>
      <c r="DG26337" s="256"/>
    </row>
    <row r="26338" spans="104:111">
      <c r="CZ26338" s="256"/>
      <c r="DG26338" s="256"/>
    </row>
    <row r="26339" spans="104:111">
      <c r="CZ26339" s="256"/>
      <c r="DG26339" s="256"/>
    </row>
    <row r="26340" spans="104:111">
      <c r="CZ26340" s="256"/>
      <c r="DG26340" s="256"/>
    </row>
    <row r="26341" spans="104:111">
      <c r="CZ26341" s="256"/>
      <c r="DG26341" s="256"/>
    </row>
    <row r="26342" spans="104:111">
      <c r="CZ26342" s="256"/>
      <c r="DG26342" s="256"/>
    </row>
    <row r="26343" spans="104:111">
      <c r="CZ26343" s="256"/>
      <c r="DG26343" s="256"/>
    </row>
    <row r="26344" spans="104:111">
      <c r="CZ26344" s="256"/>
      <c r="DG26344" s="256"/>
    </row>
    <row r="26345" spans="104:111">
      <c r="CZ26345" s="256"/>
      <c r="DG26345" s="256"/>
    </row>
    <row r="26346" spans="104:111">
      <c r="CZ26346" s="256"/>
      <c r="DG26346" s="256"/>
    </row>
    <row r="26347" spans="104:111">
      <c r="CZ26347" s="256"/>
      <c r="DG26347" s="256"/>
    </row>
    <row r="26348" spans="104:111">
      <c r="CZ26348" s="256"/>
      <c r="DG26348" s="256"/>
    </row>
    <row r="26349" spans="104:111">
      <c r="CZ26349" s="256"/>
      <c r="DG26349" s="256"/>
    </row>
    <row r="26350" spans="104:111">
      <c r="CZ26350" s="256"/>
      <c r="DG26350" s="256"/>
    </row>
    <row r="26351" spans="104:111">
      <c r="CZ26351" s="256"/>
      <c r="DG26351" s="256"/>
    </row>
    <row r="26352" spans="104:111">
      <c r="CZ26352" s="256"/>
      <c r="DG26352" s="256"/>
    </row>
    <row r="26353" spans="104:111">
      <c r="CZ26353" s="256"/>
      <c r="DG26353" s="256"/>
    </row>
    <row r="26354" spans="104:111">
      <c r="CZ26354" s="256"/>
      <c r="DG26354" s="256"/>
    </row>
    <row r="26355" spans="104:111">
      <c r="CZ26355" s="256"/>
      <c r="DG26355" s="256"/>
    </row>
    <row r="26356" spans="104:111">
      <c r="CZ26356" s="256"/>
      <c r="DG26356" s="256"/>
    </row>
    <row r="26357" spans="104:111">
      <c r="CZ26357" s="256"/>
      <c r="DG26357" s="256"/>
    </row>
    <row r="26358" spans="104:111">
      <c r="CZ26358" s="256"/>
      <c r="DG26358" s="256"/>
    </row>
    <row r="26359" spans="104:111">
      <c r="CZ26359" s="256"/>
      <c r="DG26359" s="256"/>
    </row>
    <row r="26360" spans="104:111">
      <c r="CZ26360" s="256"/>
      <c r="DG26360" s="256"/>
    </row>
    <row r="26361" spans="104:111">
      <c r="CZ26361" s="256"/>
      <c r="DG26361" s="256"/>
    </row>
    <row r="26362" spans="104:111">
      <c r="CZ26362" s="256"/>
      <c r="DG26362" s="256"/>
    </row>
    <row r="26363" spans="104:111">
      <c r="CZ26363" s="256"/>
      <c r="DG26363" s="256"/>
    </row>
    <row r="26364" spans="104:111">
      <c r="CZ26364" s="256"/>
      <c r="DG26364" s="256"/>
    </row>
    <row r="26365" spans="104:111">
      <c r="CZ26365" s="256"/>
      <c r="DG26365" s="256"/>
    </row>
    <row r="26366" spans="104:111">
      <c r="CZ26366" s="256"/>
      <c r="DG26366" s="256"/>
    </row>
    <row r="26367" spans="104:111">
      <c r="CZ26367" s="256"/>
      <c r="DG26367" s="256"/>
    </row>
    <row r="26368" spans="104:111">
      <c r="CZ26368" s="256"/>
      <c r="DG26368" s="256"/>
    </row>
    <row r="26369" spans="104:111">
      <c r="CZ26369" s="256"/>
      <c r="DG26369" s="256"/>
    </row>
    <row r="26370" spans="104:111">
      <c r="CZ26370" s="256"/>
      <c r="DG26370" s="256"/>
    </row>
    <row r="26371" spans="104:111">
      <c r="CZ26371" s="256"/>
      <c r="DG26371" s="256"/>
    </row>
    <row r="26372" spans="104:111">
      <c r="CZ26372" s="256"/>
      <c r="DG26372" s="256"/>
    </row>
    <row r="26373" spans="104:111">
      <c r="CZ26373" s="256"/>
      <c r="DG26373" s="256"/>
    </row>
    <row r="26374" spans="104:111">
      <c r="CZ26374" s="256"/>
      <c r="DG26374" s="256"/>
    </row>
    <row r="26375" spans="104:111">
      <c r="CZ26375" s="256"/>
      <c r="DG26375" s="256"/>
    </row>
    <row r="26376" spans="104:111">
      <c r="CZ26376" s="256"/>
      <c r="DG26376" s="256"/>
    </row>
    <row r="26377" spans="104:111">
      <c r="CZ26377" s="256"/>
      <c r="DG26377" s="256"/>
    </row>
    <row r="26378" spans="104:111">
      <c r="CZ26378" s="256"/>
      <c r="DG26378" s="256"/>
    </row>
    <row r="26379" spans="104:111">
      <c r="CZ26379" s="256"/>
      <c r="DG26379" s="256"/>
    </row>
    <row r="26380" spans="104:111">
      <c r="CZ26380" s="256"/>
      <c r="DG26380" s="256"/>
    </row>
    <row r="26381" spans="104:111">
      <c r="CZ26381" s="256"/>
      <c r="DG26381" s="256"/>
    </row>
    <row r="26382" spans="104:111">
      <c r="CZ26382" s="256"/>
      <c r="DG26382" s="256"/>
    </row>
    <row r="26383" spans="104:111">
      <c r="CZ26383" s="256"/>
      <c r="DG26383" s="256"/>
    </row>
    <row r="26384" spans="104:111">
      <c r="CZ26384" s="256"/>
      <c r="DG26384" s="256"/>
    </row>
    <row r="26385" spans="104:111">
      <c r="CZ26385" s="256"/>
      <c r="DG26385" s="256"/>
    </row>
    <row r="26386" spans="104:111">
      <c r="CZ26386" s="256"/>
      <c r="DG26386" s="256"/>
    </row>
    <row r="26387" spans="104:111">
      <c r="CZ26387" s="256"/>
      <c r="DG26387" s="256"/>
    </row>
    <row r="26388" spans="104:111">
      <c r="CZ26388" s="256"/>
      <c r="DG26388" s="256"/>
    </row>
    <row r="26389" spans="104:111">
      <c r="CZ26389" s="256"/>
      <c r="DG26389" s="256"/>
    </row>
    <row r="26390" spans="104:111">
      <c r="CZ26390" s="256"/>
      <c r="DG26390" s="256"/>
    </row>
    <row r="26391" spans="104:111">
      <c r="CZ26391" s="256"/>
      <c r="DG26391" s="256"/>
    </row>
    <row r="26392" spans="104:111">
      <c r="CZ26392" s="256"/>
      <c r="DG26392" s="256"/>
    </row>
    <row r="26393" spans="104:111">
      <c r="CZ26393" s="256"/>
      <c r="DG26393" s="256"/>
    </row>
    <row r="26394" spans="104:111">
      <c r="CZ26394" s="256"/>
      <c r="DG26394" s="256"/>
    </row>
    <row r="26395" spans="104:111">
      <c r="CZ26395" s="256"/>
      <c r="DG26395" s="256"/>
    </row>
    <row r="26396" spans="104:111">
      <c r="CZ26396" s="256"/>
      <c r="DG26396" s="256"/>
    </row>
    <row r="26397" spans="104:111">
      <c r="CZ26397" s="256"/>
      <c r="DG26397" s="256"/>
    </row>
    <row r="26398" spans="104:111">
      <c r="CZ26398" s="256"/>
      <c r="DG26398" s="256"/>
    </row>
    <row r="26399" spans="104:111">
      <c r="CZ26399" s="256"/>
      <c r="DG26399" s="256"/>
    </row>
    <row r="26400" spans="104:111">
      <c r="CZ26400" s="256"/>
      <c r="DG26400" s="256"/>
    </row>
    <row r="26401" spans="104:111">
      <c r="CZ26401" s="256"/>
      <c r="DG26401" s="256"/>
    </row>
    <row r="26402" spans="104:111">
      <c r="CZ26402" s="256"/>
      <c r="DG26402" s="256"/>
    </row>
    <row r="26403" spans="104:111">
      <c r="CZ26403" s="256"/>
      <c r="DG26403" s="256"/>
    </row>
    <row r="26404" spans="104:111">
      <c r="CZ26404" s="256"/>
      <c r="DG26404" s="256"/>
    </row>
    <row r="26405" spans="104:111">
      <c r="CZ26405" s="256"/>
      <c r="DG26405" s="256"/>
    </row>
    <row r="26406" spans="104:111">
      <c r="CZ26406" s="256"/>
      <c r="DG26406" s="256"/>
    </row>
    <row r="26407" spans="104:111">
      <c r="CZ26407" s="256"/>
      <c r="DG26407" s="256"/>
    </row>
    <row r="26408" spans="104:111">
      <c r="CZ26408" s="256"/>
      <c r="DG26408" s="256"/>
    </row>
    <row r="26409" spans="104:111">
      <c r="CZ26409" s="256"/>
      <c r="DG26409" s="256"/>
    </row>
    <row r="26410" spans="104:111">
      <c r="CZ26410" s="256"/>
      <c r="DG26410" s="256"/>
    </row>
    <row r="26411" spans="104:111">
      <c r="CZ26411" s="256"/>
      <c r="DG26411" s="256"/>
    </row>
    <row r="26412" spans="104:111">
      <c r="CZ26412" s="256"/>
      <c r="DG26412" s="256"/>
    </row>
    <row r="26413" spans="104:111">
      <c r="CZ26413" s="256"/>
      <c r="DG26413" s="256"/>
    </row>
    <row r="26414" spans="104:111">
      <c r="CZ26414" s="256"/>
      <c r="DG26414" s="256"/>
    </row>
    <row r="26415" spans="104:111">
      <c r="CZ26415" s="256"/>
      <c r="DG26415" s="256"/>
    </row>
    <row r="26416" spans="104:111">
      <c r="CZ26416" s="256"/>
      <c r="DG26416" s="256"/>
    </row>
    <row r="26417" spans="104:111">
      <c r="CZ26417" s="256"/>
      <c r="DG26417" s="256"/>
    </row>
    <row r="26418" spans="104:111">
      <c r="CZ26418" s="256"/>
      <c r="DG26418" s="256"/>
    </row>
    <row r="26419" spans="104:111">
      <c r="CZ26419" s="256"/>
      <c r="DG26419" s="256"/>
    </row>
    <row r="26420" spans="104:111">
      <c r="CZ26420" s="256"/>
      <c r="DG26420" s="256"/>
    </row>
    <row r="26421" spans="104:111">
      <c r="CZ26421" s="256"/>
      <c r="DG26421" s="256"/>
    </row>
    <row r="26422" spans="104:111">
      <c r="CZ26422" s="256"/>
      <c r="DG26422" s="256"/>
    </row>
    <row r="26423" spans="104:111">
      <c r="CZ26423" s="256"/>
      <c r="DG26423" s="256"/>
    </row>
    <row r="26424" spans="104:111">
      <c r="CZ26424" s="256"/>
      <c r="DG26424" s="256"/>
    </row>
    <row r="26425" spans="104:111">
      <c r="CZ26425" s="256"/>
      <c r="DG26425" s="256"/>
    </row>
    <row r="26426" spans="104:111">
      <c r="CZ26426" s="256"/>
      <c r="DG26426" s="256"/>
    </row>
    <row r="26427" spans="104:111">
      <c r="CZ26427" s="256"/>
      <c r="DG26427" s="256"/>
    </row>
    <row r="26428" spans="104:111">
      <c r="CZ26428" s="256"/>
      <c r="DG26428" s="256"/>
    </row>
    <row r="26429" spans="104:111">
      <c r="CZ26429" s="256"/>
      <c r="DG26429" s="256"/>
    </row>
    <row r="26430" spans="104:111">
      <c r="CZ26430" s="256"/>
      <c r="DG26430" s="256"/>
    </row>
    <row r="26431" spans="104:111">
      <c r="CZ26431" s="256"/>
      <c r="DG26431" s="256"/>
    </row>
    <row r="26432" spans="104:111">
      <c r="CZ26432" s="256"/>
      <c r="DG26432" s="256"/>
    </row>
    <row r="26433" spans="104:111">
      <c r="CZ26433" s="256"/>
      <c r="DG26433" s="256"/>
    </row>
    <row r="26434" spans="104:111">
      <c r="CZ26434" s="256"/>
      <c r="DG26434" s="256"/>
    </row>
    <row r="26435" spans="104:111">
      <c r="CZ26435" s="256"/>
      <c r="DG26435" s="256"/>
    </row>
    <row r="26436" spans="104:111">
      <c r="CZ26436" s="256"/>
      <c r="DG26436" s="256"/>
    </row>
    <row r="26437" spans="104:111">
      <c r="CZ26437" s="256"/>
      <c r="DG26437" s="256"/>
    </row>
    <row r="26438" spans="104:111">
      <c r="CZ26438" s="256"/>
      <c r="DG26438" s="256"/>
    </row>
    <row r="26439" spans="104:111">
      <c r="CZ26439" s="256"/>
      <c r="DG26439" s="256"/>
    </row>
    <row r="26440" spans="104:111">
      <c r="CZ26440" s="256"/>
      <c r="DG26440" s="256"/>
    </row>
    <row r="26441" spans="104:111">
      <c r="CZ26441" s="256"/>
      <c r="DG26441" s="256"/>
    </row>
    <row r="26442" spans="104:111">
      <c r="CZ26442" s="256"/>
      <c r="DG26442" s="256"/>
    </row>
    <row r="26443" spans="104:111">
      <c r="CZ26443" s="256"/>
      <c r="DG26443" s="256"/>
    </row>
    <row r="26444" spans="104:111">
      <c r="CZ26444" s="256"/>
      <c r="DG26444" s="256"/>
    </row>
    <row r="26445" spans="104:111">
      <c r="CZ26445" s="256"/>
      <c r="DG26445" s="256"/>
    </row>
    <row r="26446" spans="104:111">
      <c r="CZ26446" s="256"/>
      <c r="DG26446" s="256"/>
    </row>
    <row r="26447" spans="104:111">
      <c r="CZ26447" s="256"/>
      <c r="DG26447" s="256"/>
    </row>
    <row r="26448" spans="104:111">
      <c r="CZ26448" s="256"/>
      <c r="DG26448" s="256"/>
    </row>
    <row r="26449" spans="104:111">
      <c r="CZ26449" s="256"/>
      <c r="DG26449" s="256"/>
    </row>
    <row r="26450" spans="104:111">
      <c r="CZ26450" s="256"/>
      <c r="DG26450" s="256"/>
    </row>
    <row r="26451" spans="104:111">
      <c r="CZ26451" s="256"/>
      <c r="DG26451" s="256"/>
    </row>
    <row r="26452" spans="104:111">
      <c r="CZ26452" s="256"/>
      <c r="DG26452" s="256"/>
    </row>
    <row r="26453" spans="104:111">
      <c r="CZ26453" s="256"/>
      <c r="DG26453" s="256"/>
    </row>
    <row r="26454" spans="104:111">
      <c r="CZ26454" s="256"/>
      <c r="DG26454" s="256"/>
    </row>
    <row r="26455" spans="104:111">
      <c r="CZ26455" s="256"/>
      <c r="DG26455" s="256"/>
    </row>
    <row r="26456" spans="104:111">
      <c r="CZ26456" s="256"/>
      <c r="DG26456" s="256"/>
    </row>
    <row r="26457" spans="104:111">
      <c r="CZ26457" s="256"/>
      <c r="DG26457" s="256"/>
    </row>
    <row r="26458" spans="104:111">
      <c r="CZ26458" s="256"/>
      <c r="DG26458" s="256"/>
    </row>
    <row r="26459" spans="104:111">
      <c r="CZ26459" s="256"/>
      <c r="DG26459" s="256"/>
    </row>
    <row r="26460" spans="104:111">
      <c r="CZ26460" s="256"/>
      <c r="DG26460" s="256"/>
    </row>
    <row r="26461" spans="104:111">
      <c r="CZ26461" s="256"/>
      <c r="DG26461" s="256"/>
    </row>
    <row r="26462" spans="104:111">
      <c r="CZ26462" s="256"/>
      <c r="DG26462" s="256"/>
    </row>
    <row r="26463" spans="104:111">
      <c r="CZ26463" s="256"/>
      <c r="DG26463" s="256"/>
    </row>
    <row r="26464" spans="104:111">
      <c r="CZ26464" s="256"/>
      <c r="DG26464" s="256"/>
    </row>
    <row r="26465" spans="104:111">
      <c r="CZ26465" s="256"/>
      <c r="DG26465" s="256"/>
    </row>
    <row r="26466" spans="104:111">
      <c r="CZ26466" s="256"/>
      <c r="DG26466" s="256"/>
    </row>
    <row r="26467" spans="104:111">
      <c r="CZ26467" s="256"/>
      <c r="DG26467" s="256"/>
    </row>
    <row r="26468" spans="104:111">
      <c r="CZ26468" s="256"/>
      <c r="DG26468" s="256"/>
    </row>
    <row r="26469" spans="104:111">
      <c r="CZ26469" s="256"/>
      <c r="DG26469" s="256"/>
    </row>
    <row r="26470" spans="104:111">
      <c r="CZ26470" s="256"/>
      <c r="DG26470" s="256"/>
    </row>
    <row r="26471" spans="104:111">
      <c r="CZ26471" s="256"/>
      <c r="DG26471" s="256"/>
    </row>
    <row r="26472" spans="104:111">
      <c r="CZ26472" s="256"/>
      <c r="DG26472" s="256"/>
    </row>
    <row r="26473" spans="104:111">
      <c r="CZ26473" s="256"/>
      <c r="DG26473" s="256"/>
    </row>
    <row r="26474" spans="104:111">
      <c r="CZ26474" s="256"/>
      <c r="DG26474" s="256"/>
    </row>
    <row r="26475" spans="104:111">
      <c r="CZ26475" s="256"/>
      <c r="DG26475" s="256"/>
    </row>
    <row r="26476" spans="104:111">
      <c r="CZ26476" s="256"/>
      <c r="DG26476" s="256"/>
    </row>
    <row r="26477" spans="104:111">
      <c r="CZ26477" s="256"/>
      <c r="DG26477" s="256"/>
    </row>
    <row r="26478" spans="104:111">
      <c r="CZ26478" s="256"/>
      <c r="DG26478" s="256"/>
    </row>
    <row r="26479" spans="104:111">
      <c r="CZ26479" s="256"/>
      <c r="DG26479" s="256"/>
    </row>
    <row r="26480" spans="104:111">
      <c r="CZ26480" s="256"/>
      <c r="DG26480" s="256"/>
    </row>
    <row r="26481" spans="104:111">
      <c r="CZ26481" s="256"/>
      <c r="DG26481" s="256"/>
    </row>
    <row r="26482" spans="104:111">
      <c r="CZ26482" s="256"/>
      <c r="DG26482" s="256"/>
    </row>
    <row r="26483" spans="104:111">
      <c r="CZ26483" s="256"/>
      <c r="DG26483" s="256"/>
    </row>
    <row r="26484" spans="104:111">
      <c r="CZ26484" s="256"/>
      <c r="DG26484" s="256"/>
    </row>
    <row r="26485" spans="104:111">
      <c r="CZ26485" s="256"/>
      <c r="DG26485" s="256"/>
    </row>
    <row r="26486" spans="104:111">
      <c r="CZ26486" s="256"/>
      <c r="DG26486" s="256"/>
    </row>
    <row r="26487" spans="104:111">
      <c r="CZ26487" s="256"/>
      <c r="DG26487" s="256"/>
    </row>
    <row r="26488" spans="104:111">
      <c r="CZ26488" s="256"/>
      <c r="DG26488" s="256"/>
    </row>
    <row r="26489" spans="104:111">
      <c r="CZ26489" s="256"/>
      <c r="DG26489" s="256"/>
    </row>
    <row r="26490" spans="104:111">
      <c r="CZ26490" s="256"/>
      <c r="DG26490" s="256"/>
    </row>
    <row r="26491" spans="104:111">
      <c r="CZ26491" s="256"/>
      <c r="DG26491" s="256"/>
    </row>
    <row r="26492" spans="104:111">
      <c r="CZ26492" s="256"/>
      <c r="DG26492" s="256"/>
    </row>
    <row r="26493" spans="104:111">
      <c r="CZ26493" s="256"/>
      <c r="DG26493" s="256"/>
    </row>
    <row r="26494" spans="104:111">
      <c r="CZ26494" s="256"/>
      <c r="DG26494" s="256"/>
    </row>
    <row r="26495" spans="104:111">
      <c r="CZ26495" s="256"/>
      <c r="DG26495" s="256"/>
    </row>
    <row r="26496" spans="104:111">
      <c r="CZ26496" s="256"/>
      <c r="DG26496" s="256"/>
    </row>
    <row r="26497" spans="104:111">
      <c r="CZ26497" s="256"/>
      <c r="DG26497" s="256"/>
    </row>
    <row r="26498" spans="104:111">
      <c r="CZ26498" s="256"/>
      <c r="DG26498" s="256"/>
    </row>
    <row r="26499" spans="104:111">
      <c r="CZ26499" s="256"/>
      <c r="DG26499" s="256"/>
    </row>
    <row r="26500" spans="104:111">
      <c r="CZ26500" s="256"/>
      <c r="DG26500" s="256"/>
    </row>
    <row r="26501" spans="104:111">
      <c r="CZ26501" s="256"/>
      <c r="DG26501" s="256"/>
    </row>
    <row r="26502" spans="104:111">
      <c r="CZ26502" s="256"/>
      <c r="DG26502" s="256"/>
    </row>
    <row r="26503" spans="104:111">
      <c r="CZ26503" s="256"/>
      <c r="DG26503" s="256"/>
    </row>
    <row r="26504" spans="104:111">
      <c r="CZ26504" s="256"/>
      <c r="DG26504" s="256"/>
    </row>
    <row r="26505" spans="104:111">
      <c r="CZ26505" s="256"/>
      <c r="DG26505" s="256"/>
    </row>
    <row r="26506" spans="104:111">
      <c r="CZ26506" s="256"/>
      <c r="DG26506" s="256"/>
    </row>
    <row r="26507" spans="104:111">
      <c r="CZ26507" s="256"/>
      <c r="DG26507" s="256"/>
    </row>
    <row r="26508" spans="104:111">
      <c r="CZ26508" s="256"/>
      <c r="DG26508" s="256"/>
    </row>
    <row r="26509" spans="104:111">
      <c r="CZ26509" s="256"/>
      <c r="DG26509" s="256"/>
    </row>
    <row r="26510" spans="104:111">
      <c r="CZ26510" s="256"/>
      <c r="DG26510" s="256"/>
    </row>
    <row r="26511" spans="104:111">
      <c r="CZ26511" s="256"/>
      <c r="DG26511" s="256"/>
    </row>
    <row r="26512" spans="104:111">
      <c r="CZ26512" s="256"/>
      <c r="DG26512" s="256"/>
    </row>
    <row r="26513" spans="104:111">
      <c r="CZ26513" s="256"/>
      <c r="DG26513" s="256"/>
    </row>
    <row r="26514" spans="104:111">
      <c r="CZ26514" s="256"/>
      <c r="DG26514" s="256"/>
    </row>
    <row r="26515" spans="104:111">
      <c r="CZ26515" s="256"/>
      <c r="DG26515" s="256"/>
    </row>
    <row r="26516" spans="104:111">
      <c r="CZ26516" s="256"/>
      <c r="DG26516" s="256"/>
    </row>
    <row r="26517" spans="104:111">
      <c r="CZ26517" s="256"/>
      <c r="DG26517" s="256"/>
    </row>
    <row r="26518" spans="104:111">
      <c r="CZ26518" s="256"/>
      <c r="DG26518" s="256"/>
    </row>
    <row r="26519" spans="104:111">
      <c r="CZ26519" s="256"/>
      <c r="DG26519" s="256"/>
    </row>
    <row r="26520" spans="104:111">
      <c r="CZ26520" s="256"/>
      <c r="DG26520" s="256"/>
    </row>
    <row r="26521" spans="104:111">
      <c r="CZ26521" s="256"/>
      <c r="DG26521" s="256"/>
    </row>
    <row r="26522" spans="104:111">
      <c r="CZ26522" s="256"/>
      <c r="DG26522" s="256"/>
    </row>
    <row r="26523" spans="104:111">
      <c r="CZ26523" s="256"/>
      <c r="DG26523" s="256"/>
    </row>
    <row r="26524" spans="104:111">
      <c r="CZ26524" s="256"/>
      <c r="DG26524" s="256"/>
    </row>
    <row r="26525" spans="104:111">
      <c r="CZ26525" s="256"/>
      <c r="DG26525" s="256"/>
    </row>
    <row r="26526" spans="104:111">
      <c r="CZ26526" s="256"/>
      <c r="DG26526" s="256"/>
    </row>
    <row r="26527" spans="104:111">
      <c r="CZ26527" s="256"/>
      <c r="DG26527" s="256"/>
    </row>
    <row r="26528" spans="104:111">
      <c r="CZ26528" s="256"/>
      <c r="DG26528" s="256"/>
    </row>
    <row r="26529" spans="104:111">
      <c r="CZ26529" s="256"/>
      <c r="DG26529" s="256"/>
    </row>
    <row r="26530" spans="104:111">
      <c r="CZ26530" s="256"/>
      <c r="DG26530" s="256"/>
    </row>
    <row r="26531" spans="104:111">
      <c r="CZ26531" s="256"/>
      <c r="DG26531" s="256"/>
    </row>
    <row r="26532" spans="104:111">
      <c r="CZ26532" s="256"/>
      <c r="DG26532" s="256"/>
    </row>
    <row r="26533" spans="104:111">
      <c r="CZ26533" s="256"/>
      <c r="DG26533" s="256"/>
    </row>
    <row r="26534" spans="104:111">
      <c r="CZ26534" s="256"/>
      <c r="DG26534" s="256"/>
    </row>
    <row r="26535" spans="104:111">
      <c r="CZ26535" s="256"/>
      <c r="DG26535" s="256"/>
    </row>
    <row r="26536" spans="104:111">
      <c r="CZ26536" s="256"/>
      <c r="DG26536" s="256"/>
    </row>
    <row r="26537" spans="104:111">
      <c r="CZ26537" s="256"/>
      <c r="DG26537" s="256"/>
    </row>
    <row r="26538" spans="104:111">
      <c r="CZ26538" s="256"/>
      <c r="DG26538" s="256"/>
    </row>
    <row r="26539" spans="104:111">
      <c r="CZ26539" s="256"/>
      <c r="DG26539" s="256"/>
    </row>
    <row r="26540" spans="104:111">
      <c r="CZ26540" s="256"/>
      <c r="DG26540" s="256"/>
    </row>
    <row r="26541" spans="104:111">
      <c r="CZ26541" s="256"/>
      <c r="DG26541" s="256"/>
    </row>
    <row r="26542" spans="104:111">
      <c r="CZ26542" s="256"/>
      <c r="DG26542" s="256"/>
    </row>
    <row r="26543" spans="104:111">
      <c r="CZ26543" s="256"/>
      <c r="DG26543" s="256"/>
    </row>
    <row r="26544" spans="104:111">
      <c r="CZ26544" s="256"/>
      <c r="DG26544" s="256"/>
    </row>
    <row r="26545" spans="104:111">
      <c r="CZ26545" s="256"/>
      <c r="DG26545" s="256"/>
    </row>
    <row r="26546" spans="104:111">
      <c r="CZ26546" s="256"/>
      <c r="DG26546" s="256"/>
    </row>
    <row r="26547" spans="104:111">
      <c r="CZ26547" s="256"/>
      <c r="DG26547" s="256"/>
    </row>
    <row r="26548" spans="104:111">
      <c r="CZ26548" s="256"/>
      <c r="DG26548" s="256"/>
    </row>
    <row r="26549" spans="104:111">
      <c r="CZ26549" s="256"/>
      <c r="DG26549" s="256"/>
    </row>
    <row r="26550" spans="104:111">
      <c r="CZ26550" s="256"/>
      <c r="DG26550" s="256"/>
    </row>
    <row r="26551" spans="104:111">
      <c r="CZ26551" s="256"/>
      <c r="DG26551" s="256"/>
    </row>
    <row r="26552" spans="104:111">
      <c r="CZ26552" s="256"/>
      <c r="DG26552" s="256"/>
    </row>
    <row r="26553" spans="104:111">
      <c r="CZ26553" s="256"/>
      <c r="DG26553" s="256"/>
    </row>
    <row r="26554" spans="104:111">
      <c r="CZ26554" s="256"/>
      <c r="DG26554" s="256"/>
    </row>
    <row r="26555" spans="104:111">
      <c r="CZ26555" s="256"/>
      <c r="DG26555" s="256"/>
    </row>
    <row r="26556" spans="104:111">
      <c r="CZ26556" s="256"/>
      <c r="DG26556" s="256"/>
    </row>
    <row r="26557" spans="104:111">
      <c r="CZ26557" s="256"/>
      <c r="DG26557" s="256"/>
    </row>
    <row r="26558" spans="104:111">
      <c r="CZ26558" s="256"/>
      <c r="DG26558" s="256"/>
    </row>
    <row r="26559" spans="104:111">
      <c r="CZ26559" s="256"/>
      <c r="DG26559" s="256"/>
    </row>
    <row r="26560" spans="104:111">
      <c r="CZ26560" s="256"/>
      <c r="DG26560" s="256"/>
    </row>
    <row r="26561" spans="104:111">
      <c r="CZ26561" s="256"/>
      <c r="DG26561" s="256"/>
    </row>
    <row r="26562" spans="104:111">
      <c r="CZ26562" s="256"/>
      <c r="DG26562" s="256"/>
    </row>
    <row r="26563" spans="104:111">
      <c r="CZ26563" s="256"/>
      <c r="DG26563" s="256"/>
    </row>
    <row r="26564" spans="104:111">
      <c r="CZ26564" s="256"/>
      <c r="DG26564" s="256"/>
    </row>
    <row r="26565" spans="104:111">
      <c r="CZ26565" s="256"/>
      <c r="DG26565" s="256"/>
    </row>
    <row r="26566" spans="104:111">
      <c r="CZ26566" s="256"/>
      <c r="DG26566" s="256"/>
    </row>
    <row r="26567" spans="104:111">
      <c r="CZ26567" s="256"/>
      <c r="DG26567" s="256"/>
    </row>
    <row r="26568" spans="104:111">
      <c r="CZ26568" s="256"/>
      <c r="DG26568" s="256"/>
    </row>
    <row r="26569" spans="104:111">
      <c r="CZ26569" s="256"/>
      <c r="DG26569" s="256"/>
    </row>
    <row r="26570" spans="104:111">
      <c r="CZ26570" s="256"/>
      <c r="DG26570" s="256"/>
    </row>
    <row r="26571" spans="104:111">
      <c r="CZ26571" s="256"/>
      <c r="DG26571" s="256"/>
    </row>
    <row r="26572" spans="104:111">
      <c r="CZ26572" s="256"/>
      <c r="DG26572" s="256"/>
    </row>
    <row r="26573" spans="104:111">
      <c r="CZ26573" s="256"/>
      <c r="DG26573" s="256"/>
    </row>
    <row r="26574" spans="104:111">
      <c r="CZ26574" s="256"/>
      <c r="DG26574" s="256"/>
    </row>
    <row r="26575" spans="104:111">
      <c r="CZ26575" s="256"/>
      <c r="DG26575" s="256"/>
    </row>
    <row r="26576" spans="104:111">
      <c r="CZ26576" s="256"/>
      <c r="DG26576" s="256"/>
    </row>
    <row r="26577" spans="104:111">
      <c r="CZ26577" s="256"/>
      <c r="DG26577" s="256"/>
    </row>
    <row r="26578" spans="104:111">
      <c r="CZ26578" s="256"/>
      <c r="DG26578" s="256"/>
    </row>
    <row r="26579" spans="104:111">
      <c r="CZ26579" s="256"/>
      <c r="DG26579" s="256"/>
    </row>
    <row r="26580" spans="104:111">
      <c r="CZ26580" s="256"/>
      <c r="DG26580" s="256"/>
    </row>
    <row r="26581" spans="104:111">
      <c r="CZ26581" s="256"/>
      <c r="DG26581" s="256"/>
    </row>
    <row r="26582" spans="104:111">
      <c r="CZ26582" s="256"/>
      <c r="DG26582" s="256"/>
    </row>
    <row r="26583" spans="104:111">
      <c r="CZ26583" s="256"/>
      <c r="DG26583" s="256"/>
    </row>
    <row r="26584" spans="104:111">
      <c r="CZ26584" s="256"/>
      <c r="DG26584" s="256"/>
    </row>
    <row r="26585" spans="104:111">
      <c r="CZ26585" s="256"/>
      <c r="DG26585" s="256"/>
    </row>
    <row r="26586" spans="104:111">
      <c r="CZ26586" s="256"/>
      <c r="DG26586" s="256"/>
    </row>
    <row r="26587" spans="104:111">
      <c r="CZ26587" s="256"/>
      <c r="DG26587" s="256"/>
    </row>
    <row r="26588" spans="104:111">
      <c r="CZ26588" s="256"/>
      <c r="DG26588" s="256"/>
    </row>
    <row r="26589" spans="104:111">
      <c r="CZ26589" s="256"/>
      <c r="DG26589" s="256"/>
    </row>
    <row r="26590" spans="104:111">
      <c r="CZ26590" s="256"/>
      <c r="DG26590" s="256"/>
    </row>
    <row r="26591" spans="104:111">
      <c r="CZ26591" s="256"/>
      <c r="DG26591" s="256"/>
    </row>
    <row r="26592" spans="104:111">
      <c r="CZ26592" s="256"/>
      <c r="DG26592" s="256"/>
    </row>
    <row r="26593" spans="104:111">
      <c r="CZ26593" s="256"/>
      <c r="DG26593" s="256"/>
    </row>
    <row r="26594" spans="104:111">
      <c r="CZ26594" s="256"/>
      <c r="DG26594" s="256"/>
    </row>
    <row r="26595" spans="104:111">
      <c r="CZ26595" s="256"/>
      <c r="DG26595" s="256"/>
    </row>
    <row r="26596" spans="104:111">
      <c r="CZ26596" s="256"/>
      <c r="DG26596" s="256"/>
    </row>
    <row r="26597" spans="104:111">
      <c r="CZ26597" s="256"/>
      <c r="DG26597" s="256"/>
    </row>
    <row r="26598" spans="104:111">
      <c r="CZ26598" s="256"/>
      <c r="DG26598" s="256"/>
    </row>
    <row r="26599" spans="104:111">
      <c r="CZ26599" s="256"/>
      <c r="DG26599" s="256"/>
    </row>
    <row r="26600" spans="104:111">
      <c r="CZ26600" s="256"/>
      <c r="DG26600" s="256"/>
    </row>
    <row r="26601" spans="104:111">
      <c r="CZ26601" s="256"/>
      <c r="DG26601" s="256"/>
    </row>
    <row r="26602" spans="104:111">
      <c r="CZ26602" s="256"/>
      <c r="DG26602" s="256"/>
    </row>
    <row r="26603" spans="104:111">
      <c r="CZ26603" s="256"/>
      <c r="DG26603" s="256"/>
    </row>
    <row r="26604" spans="104:111">
      <c r="CZ26604" s="256"/>
      <c r="DG26604" s="256"/>
    </row>
    <row r="26605" spans="104:111">
      <c r="CZ26605" s="256"/>
      <c r="DG26605" s="256"/>
    </row>
    <row r="26606" spans="104:111">
      <c r="CZ26606" s="256"/>
      <c r="DG26606" s="256"/>
    </row>
    <row r="26607" spans="104:111">
      <c r="CZ26607" s="256"/>
      <c r="DG26607" s="256"/>
    </row>
    <row r="26608" spans="104:111">
      <c r="CZ26608" s="256"/>
      <c r="DG26608" s="256"/>
    </row>
    <row r="26609" spans="104:111">
      <c r="CZ26609" s="256"/>
      <c r="DG26609" s="256"/>
    </row>
    <row r="26610" spans="104:111">
      <c r="CZ26610" s="256"/>
      <c r="DG26610" s="256"/>
    </row>
    <row r="26611" spans="104:111">
      <c r="CZ26611" s="256"/>
      <c r="DG26611" s="256"/>
    </row>
    <row r="26612" spans="104:111">
      <c r="CZ26612" s="256"/>
      <c r="DG26612" s="256"/>
    </row>
    <row r="26613" spans="104:111">
      <c r="CZ26613" s="256"/>
      <c r="DG26613" s="256"/>
    </row>
    <row r="26614" spans="104:111">
      <c r="CZ26614" s="256"/>
      <c r="DG26614" s="256"/>
    </row>
    <row r="26615" spans="104:111">
      <c r="CZ26615" s="256"/>
      <c r="DG26615" s="256"/>
    </row>
    <row r="26616" spans="104:111">
      <c r="CZ26616" s="256"/>
      <c r="DG26616" s="256"/>
    </row>
    <row r="26617" spans="104:111">
      <c r="CZ26617" s="256"/>
      <c r="DG26617" s="256"/>
    </row>
    <row r="26618" spans="104:111">
      <c r="CZ26618" s="256"/>
      <c r="DG26618" s="256"/>
    </row>
    <row r="26619" spans="104:111">
      <c r="CZ26619" s="256"/>
      <c r="DG26619" s="256"/>
    </row>
    <row r="26620" spans="104:111">
      <c r="CZ26620" s="256"/>
      <c r="DG26620" s="256"/>
    </row>
    <row r="26621" spans="104:111">
      <c r="CZ26621" s="256"/>
      <c r="DG26621" s="256"/>
    </row>
    <row r="26622" spans="104:111">
      <c r="CZ26622" s="256"/>
      <c r="DG26622" s="256"/>
    </row>
    <row r="26623" spans="104:111">
      <c r="CZ26623" s="256"/>
      <c r="DG26623" s="256"/>
    </row>
    <row r="26624" spans="104:111">
      <c r="CZ26624" s="256"/>
      <c r="DG26624" s="256"/>
    </row>
    <row r="26625" spans="104:111">
      <c r="CZ26625" s="256"/>
      <c r="DG26625" s="256"/>
    </row>
    <row r="26626" spans="104:111">
      <c r="CZ26626" s="256"/>
      <c r="DG26626" s="256"/>
    </row>
    <row r="26627" spans="104:111">
      <c r="CZ26627" s="256"/>
      <c r="DG26627" s="256"/>
    </row>
    <row r="26628" spans="104:111">
      <c r="CZ26628" s="256"/>
      <c r="DG26628" s="256"/>
    </row>
    <row r="26629" spans="104:111">
      <c r="CZ26629" s="256"/>
      <c r="DG26629" s="256"/>
    </row>
    <row r="26630" spans="104:111">
      <c r="CZ26630" s="256"/>
      <c r="DG26630" s="256"/>
    </row>
    <row r="26631" spans="104:111">
      <c r="CZ26631" s="256"/>
      <c r="DG26631" s="256"/>
    </row>
    <row r="26632" spans="104:111">
      <c r="CZ26632" s="256"/>
      <c r="DG26632" s="256"/>
    </row>
    <row r="26633" spans="104:111">
      <c r="CZ26633" s="256"/>
      <c r="DG26633" s="256"/>
    </row>
    <row r="26634" spans="104:111">
      <c r="CZ26634" s="256"/>
      <c r="DG26634" s="256"/>
    </row>
    <row r="26635" spans="104:111">
      <c r="CZ26635" s="256"/>
      <c r="DG26635" s="256"/>
    </row>
    <row r="26636" spans="104:111">
      <c r="CZ26636" s="256"/>
      <c r="DG26636" s="256"/>
    </row>
    <row r="26637" spans="104:111">
      <c r="CZ26637" s="256"/>
      <c r="DG26637" s="256"/>
    </row>
    <row r="26638" spans="104:111">
      <c r="CZ26638" s="256"/>
      <c r="DG26638" s="256"/>
    </row>
    <row r="26639" spans="104:111">
      <c r="CZ26639" s="256"/>
      <c r="DG26639" s="256"/>
    </row>
    <row r="26640" spans="104:111">
      <c r="CZ26640" s="256"/>
      <c r="DG26640" s="256"/>
    </row>
    <row r="26641" spans="104:111">
      <c r="CZ26641" s="256"/>
      <c r="DG26641" s="256"/>
    </row>
    <row r="26642" spans="104:111">
      <c r="CZ26642" s="256"/>
      <c r="DG26642" s="256"/>
    </row>
    <row r="26643" spans="104:111">
      <c r="CZ26643" s="256"/>
      <c r="DG26643" s="256"/>
    </row>
    <row r="26644" spans="104:111">
      <c r="CZ26644" s="256"/>
      <c r="DG26644" s="256"/>
    </row>
    <row r="26645" spans="104:111">
      <c r="CZ26645" s="256"/>
      <c r="DG26645" s="256"/>
    </row>
    <row r="26646" spans="104:111">
      <c r="CZ26646" s="256"/>
      <c r="DG26646" s="256"/>
    </row>
    <row r="26647" spans="104:111">
      <c r="CZ26647" s="256"/>
      <c r="DG26647" s="256"/>
    </row>
    <row r="26648" spans="104:111">
      <c r="CZ26648" s="256"/>
      <c r="DG26648" s="256"/>
    </row>
    <row r="26649" spans="104:111">
      <c r="CZ26649" s="256"/>
      <c r="DG26649" s="256"/>
    </row>
    <row r="26650" spans="104:111">
      <c r="CZ26650" s="256"/>
      <c r="DG26650" s="256"/>
    </row>
    <row r="26651" spans="104:111">
      <c r="CZ26651" s="256"/>
      <c r="DG26651" s="256"/>
    </row>
    <row r="26652" spans="104:111">
      <c r="CZ26652" s="256"/>
      <c r="DG26652" s="256"/>
    </row>
    <row r="26653" spans="104:111">
      <c r="CZ26653" s="256"/>
      <c r="DG26653" s="256"/>
    </row>
    <row r="26654" spans="104:111">
      <c r="CZ26654" s="256"/>
      <c r="DG26654" s="256"/>
    </row>
    <row r="26655" spans="104:111">
      <c r="CZ26655" s="256"/>
      <c r="DG26655" s="256"/>
    </row>
    <row r="26656" spans="104:111">
      <c r="CZ26656" s="256"/>
      <c r="DG26656" s="256"/>
    </row>
    <row r="26657" spans="104:111">
      <c r="CZ26657" s="256"/>
      <c r="DG26657" s="256"/>
    </row>
    <row r="26658" spans="104:111">
      <c r="CZ26658" s="256"/>
      <c r="DG26658" s="256"/>
    </row>
    <row r="26659" spans="104:111">
      <c r="CZ26659" s="256"/>
      <c r="DG26659" s="256"/>
    </row>
    <row r="26660" spans="104:111">
      <c r="CZ26660" s="256"/>
      <c r="DG26660" s="256"/>
    </row>
    <row r="26661" spans="104:111">
      <c r="CZ26661" s="256"/>
      <c r="DG26661" s="256"/>
    </row>
    <row r="26662" spans="104:111">
      <c r="CZ26662" s="256"/>
      <c r="DG26662" s="256"/>
    </row>
    <row r="26663" spans="104:111">
      <c r="CZ26663" s="256"/>
      <c r="DG26663" s="256"/>
    </row>
    <row r="26664" spans="104:111">
      <c r="CZ26664" s="256"/>
      <c r="DG26664" s="256"/>
    </row>
    <row r="26665" spans="104:111">
      <c r="CZ26665" s="256"/>
      <c r="DG26665" s="256"/>
    </row>
    <row r="26666" spans="104:111">
      <c r="CZ26666" s="256"/>
      <c r="DG26666" s="256"/>
    </row>
    <row r="26667" spans="104:111">
      <c r="CZ26667" s="256"/>
      <c r="DG26667" s="256"/>
    </row>
    <row r="26668" spans="104:111">
      <c r="CZ26668" s="256"/>
      <c r="DG26668" s="256"/>
    </row>
    <row r="26669" spans="104:111">
      <c r="CZ26669" s="256"/>
      <c r="DG26669" s="256"/>
    </row>
    <row r="26670" spans="104:111">
      <c r="CZ26670" s="256"/>
      <c r="DG26670" s="256"/>
    </row>
    <row r="26671" spans="104:111">
      <c r="CZ26671" s="256"/>
      <c r="DG26671" s="256"/>
    </row>
    <row r="26672" spans="104:111">
      <c r="CZ26672" s="256"/>
      <c r="DG26672" s="256"/>
    </row>
    <row r="26673" spans="104:111">
      <c r="CZ26673" s="256"/>
      <c r="DG26673" s="256"/>
    </row>
    <row r="26674" spans="104:111">
      <c r="CZ26674" s="256"/>
      <c r="DG26674" s="256"/>
    </row>
    <row r="26675" spans="104:111">
      <c r="CZ26675" s="256"/>
      <c r="DG26675" s="256"/>
    </row>
    <row r="26676" spans="104:111">
      <c r="CZ26676" s="256"/>
      <c r="DG26676" s="256"/>
    </row>
    <row r="26677" spans="104:111">
      <c r="CZ26677" s="256"/>
      <c r="DG26677" s="256"/>
    </row>
    <row r="26678" spans="104:111">
      <c r="CZ26678" s="256"/>
      <c r="DG26678" s="256"/>
    </row>
    <row r="26679" spans="104:111">
      <c r="CZ26679" s="256"/>
      <c r="DG26679" s="256"/>
    </row>
    <row r="26680" spans="104:111">
      <c r="CZ26680" s="256"/>
      <c r="DG26680" s="256"/>
    </row>
    <row r="26681" spans="104:111">
      <c r="CZ26681" s="256"/>
      <c r="DG26681" s="256"/>
    </row>
    <row r="26682" spans="104:111">
      <c r="CZ26682" s="256"/>
      <c r="DG26682" s="256"/>
    </row>
    <row r="26683" spans="104:111">
      <c r="CZ26683" s="256"/>
      <c r="DG26683" s="256"/>
    </row>
    <row r="26684" spans="104:111">
      <c r="CZ26684" s="256"/>
      <c r="DG26684" s="256"/>
    </row>
    <row r="26685" spans="104:111">
      <c r="CZ26685" s="256"/>
      <c r="DG26685" s="256"/>
    </row>
    <row r="26686" spans="104:111">
      <c r="CZ26686" s="256"/>
      <c r="DG26686" s="256"/>
    </row>
    <row r="26687" spans="104:111">
      <c r="CZ26687" s="256"/>
      <c r="DG26687" s="256"/>
    </row>
    <row r="26688" spans="104:111">
      <c r="CZ26688" s="256"/>
      <c r="DG26688" s="256"/>
    </row>
    <row r="26689" spans="104:111">
      <c r="CZ26689" s="256"/>
      <c r="DG26689" s="256"/>
    </row>
    <row r="26690" spans="104:111">
      <c r="CZ26690" s="256"/>
      <c r="DG26690" s="256"/>
    </row>
    <row r="26691" spans="104:111">
      <c r="CZ26691" s="256"/>
      <c r="DG26691" s="256"/>
    </row>
    <row r="26692" spans="104:111">
      <c r="CZ26692" s="256"/>
      <c r="DG26692" s="256"/>
    </row>
    <row r="26693" spans="104:111">
      <c r="CZ26693" s="256"/>
      <c r="DG26693" s="256"/>
    </row>
    <row r="26694" spans="104:111">
      <c r="CZ26694" s="256"/>
      <c r="DG26694" s="256"/>
    </row>
    <row r="26695" spans="104:111">
      <c r="CZ26695" s="256"/>
      <c r="DG26695" s="256"/>
    </row>
    <row r="26696" spans="104:111">
      <c r="CZ26696" s="256"/>
      <c r="DG26696" s="256"/>
    </row>
    <row r="26697" spans="104:111">
      <c r="CZ26697" s="256"/>
      <c r="DG26697" s="256"/>
    </row>
    <row r="26698" spans="104:111">
      <c r="CZ26698" s="256"/>
      <c r="DG26698" s="256"/>
    </row>
    <row r="26699" spans="104:111">
      <c r="CZ26699" s="256"/>
      <c r="DG26699" s="256"/>
    </row>
    <row r="26700" spans="104:111">
      <c r="CZ26700" s="256"/>
      <c r="DG26700" s="256"/>
    </row>
    <row r="26701" spans="104:111">
      <c r="CZ26701" s="256"/>
      <c r="DG26701" s="256"/>
    </row>
    <row r="26702" spans="104:111">
      <c r="CZ26702" s="256"/>
      <c r="DG26702" s="256"/>
    </row>
    <row r="26703" spans="104:111">
      <c r="CZ26703" s="256"/>
      <c r="DG26703" s="256"/>
    </row>
    <row r="26704" spans="104:111">
      <c r="CZ26704" s="256"/>
      <c r="DG26704" s="256"/>
    </row>
    <row r="26705" spans="104:111">
      <c r="CZ26705" s="256"/>
      <c r="DG26705" s="256"/>
    </row>
    <row r="26706" spans="104:111">
      <c r="CZ26706" s="256"/>
      <c r="DG26706" s="256"/>
    </row>
    <row r="26707" spans="104:111">
      <c r="CZ26707" s="256"/>
      <c r="DG26707" s="256"/>
    </row>
    <row r="26708" spans="104:111">
      <c r="CZ26708" s="256"/>
      <c r="DG26708" s="256"/>
    </row>
    <row r="26709" spans="104:111">
      <c r="CZ26709" s="256"/>
      <c r="DG26709" s="256"/>
    </row>
    <row r="26710" spans="104:111">
      <c r="CZ26710" s="256"/>
      <c r="DG26710" s="256"/>
    </row>
    <row r="26711" spans="104:111">
      <c r="CZ26711" s="256"/>
      <c r="DG26711" s="256"/>
    </row>
    <row r="26712" spans="104:111">
      <c r="CZ26712" s="256"/>
      <c r="DG26712" s="256"/>
    </row>
    <row r="26713" spans="104:111">
      <c r="CZ26713" s="256"/>
      <c r="DG26713" s="256"/>
    </row>
    <row r="26714" spans="104:111">
      <c r="CZ26714" s="256"/>
      <c r="DG26714" s="256"/>
    </row>
    <row r="26715" spans="104:111">
      <c r="CZ26715" s="256"/>
      <c r="DG26715" s="256"/>
    </row>
    <row r="26716" spans="104:111">
      <c r="CZ26716" s="256"/>
      <c r="DG26716" s="256"/>
    </row>
    <row r="26717" spans="104:111">
      <c r="CZ26717" s="256"/>
      <c r="DG26717" s="256"/>
    </row>
    <row r="26718" spans="104:111">
      <c r="CZ26718" s="256"/>
      <c r="DG26718" s="256"/>
    </row>
    <row r="26719" spans="104:111">
      <c r="CZ26719" s="256"/>
      <c r="DG26719" s="256"/>
    </row>
    <row r="26720" spans="104:111">
      <c r="CZ26720" s="256"/>
      <c r="DG26720" s="256"/>
    </row>
    <row r="26721" spans="104:111">
      <c r="CZ26721" s="256"/>
      <c r="DG26721" s="256"/>
    </row>
    <row r="26722" spans="104:111">
      <c r="CZ26722" s="256"/>
      <c r="DG26722" s="256"/>
    </row>
    <row r="26723" spans="104:111">
      <c r="CZ26723" s="256"/>
      <c r="DG26723" s="256"/>
    </row>
    <row r="26724" spans="104:111">
      <c r="CZ26724" s="256"/>
      <c r="DG26724" s="256"/>
    </row>
    <row r="26725" spans="104:111">
      <c r="CZ26725" s="256"/>
      <c r="DG26725" s="256"/>
    </row>
    <row r="26726" spans="104:111">
      <c r="CZ26726" s="256"/>
      <c r="DG26726" s="256"/>
    </row>
    <row r="26727" spans="104:111">
      <c r="CZ26727" s="256"/>
      <c r="DG26727" s="256"/>
    </row>
    <row r="26728" spans="104:111">
      <c r="CZ26728" s="256"/>
      <c r="DG26728" s="256"/>
    </row>
    <row r="26729" spans="104:111">
      <c r="CZ26729" s="256"/>
      <c r="DG26729" s="256"/>
    </row>
    <row r="26730" spans="104:111">
      <c r="CZ26730" s="256"/>
      <c r="DG26730" s="256"/>
    </row>
    <row r="26731" spans="104:111">
      <c r="CZ26731" s="256"/>
      <c r="DG26731" s="256"/>
    </row>
    <row r="26732" spans="104:111">
      <c r="CZ26732" s="256"/>
      <c r="DG26732" s="256"/>
    </row>
    <row r="26733" spans="104:111">
      <c r="CZ26733" s="256"/>
      <c r="DG26733" s="256"/>
    </row>
    <row r="26734" spans="104:111">
      <c r="CZ26734" s="256"/>
      <c r="DG26734" s="256"/>
    </row>
    <row r="26735" spans="104:111">
      <c r="CZ26735" s="256"/>
      <c r="DG26735" s="256"/>
    </row>
    <row r="26736" spans="104:111">
      <c r="CZ26736" s="256"/>
      <c r="DG26736" s="256"/>
    </row>
    <row r="26737" spans="104:111">
      <c r="CZ26737" s="256"/>
      <c r="DG26737" s="256"/>
    </row>
    <row r="26738" spans="104:111">
      <c r="CZ26738" s="256"/>
      <c r="DG26738" s="256"/>
    </row>
    <row r="26739" spans="104:111">
      <c r="CZ26739" s="256"/>
      <c r="DG26739" s="256"/>
    </row>
    <row r="26740" spans="104:111">
      <c r="CZ26740" s="256"/>
      <c r="DG26740" s="256"/>
    </row>
    <row r="26741" spans="104:111">
      <c r="CZ26741" s="256"/>
      <c r="DG26741" s="256"/>
    </row>
    <row r="26742" spans="104:111">
      <c r="CZ26742" s="256"/>
      <c r="DG26742" s="256"/>
    </row>
    <row r="26743" spans="104:111">
      <c r="CZ26743" s="256"/>
      <c r="DG26743" s="256"/>
    </row>
    <row r="26744" spans="104:111">
      <c r="CZ26744" s="256"/>
      <c r="DG26744" s="256"/>
    </row>
    <row r="26745" spans="104:111">
      <c r="CZ26745" s="256"/>
      <c r="DG26745" s="256"/>
    </row>
    <row r="26746" spans="104:111">
      <c r="CZ26746" s="256"/>
      <c r="DG26746" s="256"/>
    </row>
    <row r="26747" spans="104:111">
      <c r="CZ26747" s="256"/>
      <c r="DG26747" s="256"/>
    </row>
    <row r="26748" spans="104:111">
      <c r="CZ26748" s="256"/>
      <c r="DG26748" s="256"/>
    </row>
    <row r="26749" spans="104:111">
      <c r="CZ26749" s="256"/>
      <c r="DG26749" s="256"/>
    </row>
    <row r="26750" spans="104:111">
      <c r="CZ26750" s="256"/>
      <c r="DG26750" s="256"/>
    </row>
    <row r="26751" spans="104:111">
      <c r="CZ26751" s="256"/>
      <c r="DG26751" s="256"/>
    </row>
    <row r="26752" spans="104:111">
      <c r="CZ26752" s="256"/>
      <c r="DG26752" s="256"/>
    </row>
    <row r="26753" spans="104:111">
      <c r="CZ26753" s="256"/>
      <c r="DG26753" s="256"/>
    </row>
    <row r="26754" spans="104:111">
      <c r="CZ26754" s="256"/>
      <c r="DG26754" s="256"/>
    </row>
    <row r="26755" spans="104:111">
      <c r="CZ26755" s="256"/>
      <c r="DG26755" s="256"/>
    </row>
    <row r="26756" spans="104:111">
      <c r="CZ26756" s="256"/>
      <c r="DG26756" s="256"/>
    </row>
    <row r="26757" spans="104:111">
      <c r="CZ26757" s="256"/>
      <c r="DG26757" s="256"/>
    </row>
    <row r="26758" spans="104:111">
      <c r="CZ26758" s="256"/>
      <c r="DG26758" s="256"/>
    </row>
    <row r="26759" spans="104:111">
      <c r="CZ26759" s="256"/>
      <c r="DG26759" s="256"/>
    </row>
    <row r="26760" spans="104:111">
      <c r="CZ26760" s="256"/>
      <c r="DG26760" s="256"/>
    </row>
    <row r="26761" spans="104:111">
      <c r="CZ26761" s="256"/>
      <c r="DG26761" s="256"/>
    </row>
    <row r="26762" spans="104:111">
      <c r="CZ26762" s="256"/>
      <c r="DG26762" s="256"/>
    </row>
    <row r="26763" spans="104:111">
      <c r="CZ26763" s="256"/>
      <c r="DG26763" s="256"/>
    </row>
    <row r="26764" spans="104:111">
      <c r="CZ26764" s="256"/>
      <c r="DG26764" s="256"/>
    </row>
    <row r="26765" spans="104:111">
      <c r="CZ26765" s="256"/>
      <c r="DG26765" s="256"/>
    </row>
    <row r="26766" spans="104:111">
      <c r="CZ26766" s="256"/>
      <c r="DG26766" s="256"/>
    </row>
    <row r="26767" spans="104:111">
      <c r="CZ26767" s="256"/>
      <c r="DG26767" s="256"/>
    </row>
    <row r="26768" spans="104:111">
      <c r="CZ26768" s="256"/>
      <c r="DG26768" s="256"/>
    </row>
    <row r="26769" spans="104:111">
      <c r="CZ26769" s="256"/>
      <c r="DG26769" s="256"/>
    </row>
    <row r="26770" spans="104:111">
      <c r="CZ26770" s="256"/>
      <c r="DG26770" s="256"/>
    </row>
    <row r="26771" spans="104:111">
      <c r="CZ26771" s="256"/>
      <c r="DG26771" s="256"/>
    </row>
    <row r="26772" spans="104:111">
      <c r="CZ26772" s="256"/>
      <c r="DG26772" s="256"/>
    </row>
    <row r="26773" spans="104:111">
      <c r="CZ26773" s="256"/>
      <c r="DG26773" s="256"/>
    </row>
    <row r="26774" spans="104:111">
      <c r="CZ26774" s="256"/>
      <c r="DG26774" s="256"/>
    </row>
    <row r="26775" spans="104:111">
      <c r="CZ26775" s="256"/>
      <c r="DG26775" s="256"/>
    </row>
    <row r="26776" spans="104:111">
      <c r="CZ26776" s="256"/>
      <c r="DG26776" s="256"/>
    </row>
    <row r="26777" spans="104:111">
      <c r="CZ26777" s="256"/>
      <c r="DG26777" s="256"/>
    </row>
    <row r="26778" spans="104:111">
      <c r="CZ26778" s="256"/>
      <c r="DG26778" s="256"/>
    </row>
    <row r="26779" spans="104:111">
      <c r="CZ26779" s="256"/>
      <c r="DG26779" s="256"/>
    </row>
    <row r="26780" spans="104:111">
      <c r="CZ26780" s="256"/>
      <c r="DG26780" s="256"/>
    </row>
    <row r="26781" spans="104:111">
      <c r="CZ26781" s="256"/>
      <c r="DG26781" s="256"/>
    </row>
    <row r="26782" spans="104:111">
      <c r="CZ26782" s="256"/>
      <c r="DG26782" s="256"/>
    </row>
    <row r="26783" spans="104:111">
      <c r="CZ26783" s="256"/>
      <c r="DG26783" s="256"/>
    </row>
    <row r="26784" spans="104:111">
      <c r="CZ26784" s="256"/>
      <c r="DG26784" s="256"/>
    </row>
    <row r="26785" spans="104:111">
      <c r="CZ26785" s="256"/>
      <c r="DG26785" s="256"/>
    </row>
    <row r="26786" spans="104:111">
      <c r="CZ26786" s="256"/>
      <c r="DG26786" s="256"/>
    </row>
    <row r="26787" spans="104:111">
      <c r="CZ26787" s="256"/>
      <c r="DG26787" s="256"/>
    </row>
    <row r="26788" spans="104:111">
      <c r="CZ26788" s="256"/>
      <c r="DG26788" s="256"/>
    </row>
    <row r="26789" spans="104:111">
      <c r="CZ26789" s="256"/>
      <c r="DG26789" s="256"/>
    </row>
    <row r="26790" spans="104:111">
      <c r="CZ26790" s="256"/>
      <c r="DG26790" s="256"/>
    </row>
    <row r="26791" spans="104:111">
      <c r="CZ26791" s="256"/>
      <c r="DG26791" s="256"/>
    </row>
    <row r="26792" spans="104:111">
      <c r="CZ26792" s="256"/>
      <c r="DG26792" s="256"/>
    </row>
    <row r="26793" spans="104:111">
      <c r="CZ26793" s="256"/>
      <c r="DG26793" s="256"/>
    </row>
    <row r="26794" spans="104:111">
      <c r="CZ26794" s="256"/>
      <c r="DG26794" s="256"/>
    </row>
    <row r="26795" spans="104:111">
      <c r="CZ26795" s="256"/>
      <c r="DG26795" s="256"/>
    </row>
    <row r="26796" spans="104:111">
      <c r="CZ26796" s="256"/>
      <c r="DG26796" s="256"/>
    </row>
    <row r="26797" spans="104:111">
      <c r="CZ26797" s="256"/>
      <c r="DG26797" s="256"/>
    </row>
    <row r="26798" spans="104:111">
      <c r="CZ26798" s="256"/>
      <c r="DG26798" s="256"/>
    </row>
    <row r="26799" spans="104:111">
      <c r="CZ26799" s="256"/>
      <c r="DG26799" s="256"/>
    </row>
    <row r="26800" spans="104:111">
      <c r="CZ26800" s="256"/>
      <c r="DG26800" s="256"/>
    </row>
    <row r="26801" spans="104:111">
      <c r="CZ26801" s="256"/>
      <c r="DG26801" s="256"/>
    </row>
    <row r="26802" spans="104:111">
      <c r="CZ26802" s="256"/>
      <c r="DG26802" s="256"/>
    </row>
    <row r="26803" spans="104:111">
      <c r="CZ26803" s="256"/>
      <c r="DG26803" s="256"/>
    </row>
    <row r="26804" spans="104:111">
      <c r="CZ26804" s="256"/>
      <c r="DG26804" s="256"/>
    </row>
    <row r="26805" spans="104:111">
      <c r="CZ26805" s="256"/>
      <c r="DG26805" s="256"/>
    </row>
    <row r="26806" spans="104:111">
      <c r="CZ26806" s="256"/>
      <c r="DG26806" s="256"/>
    </row>
    <row r="26807" spans="104:111">
      <c r="CZ26807" s="256"/>
      <c r="DG26807" s="256"/>
    </row>
    <row r="26808" spans="104:111">
      <c r="CZ26808" s="256"/>
      <c r="DG26808" s="256"/>
    </row>
    <row r="26809" spans="104:111">
      <c r="CZ26809" s="256"/>
      <c r="DG26809" s="256"/>
    </row>
    <row r="26810" spans="104:111">
      <c r="CZ26810" s="256"/>
      <c r="DG26810" s="256"/>
    </row>
    <row r="26811" spans="104:111">
      <c r="CZ26811" s="256"/>
      <c r="DG26811" s="256"/>
    </row>
    <row r="26812" spans="104:111">
      <c r="CZ26812" s="256"/>
      <c r="DG26812" s="256"/>
    </row>
    <row r="26813" spans="104:111">
      <c r="CZ26813" s="256"/>
      <c r="DG26813" s="256"/>
    </row>
    <row r="26814" spans="104:111">
      <c r="CZ26814" s="256"/>
      <c r="DG26814" s="256"/>
    </row>
    <row r="26815" spans="104:111">
      <c r="CZ26815" s="256"/>
      <c r="DG26815" s="256"/>
    </row>
    <row r="26816" spans="104:111">
      <c r="CZ26816" s="256"/>
      <c r="DG26816" s="256"/>
    </row>
    <row r="26817" spans="104:111">
      <c r="CZ26817" s="256"/>
      <c r="DG26817" s="256"/>
    </row>
    <row r="26818" spans="104:111">
      <c r="CZ26818" s="256"/>
      <c r="DG26818" s="256"/>
    </row>
    <row r="26819" spans="104:111">
      <c r="CZ26819" s="256"/>
      <c r="DG26819" s="256"/>
    </row>
    <row r="26820" spans="104:111">
      <c r="CZ26820" s="256"/>
      <c r="DG26820" s="256"/>
    </row>
    <row r="26821" spans="104:111">
      <c r="CZ26821" s="256"/>
      <c r="DG26821" s="256"/>
    </row>
    <row r="26822" spans="104:111">
      <c r="CZ26822" s="256"/>
      <c r="DG26822" s="256"/>
    </row>
    <row r="26823" spans="104:111">
      <c r="CZ26823" s="256"/>
      <c r="DG26823" s="256"/>
    </row>
    <row r="26824" spans="104:111">
      <c r="CZ26824" s="256"/>
      <c r="DG26824" s="256"/>
    </row>
    <row r="26825" spans="104:111">
      <c r="CZ26825" s="256"/>
      <c r="DG26825" s="256"/>
    </row>
    <row r="26826" spans="104:111">
      <c r="CZ26826" s="256"/>
      <c r="DG26826" s="256"/>
    </row>
    <row r="26827" spans="104:111">
      <c r="CZ26827" s="256"/>
      <c r="DG26827" s="256"/>
    </row>
    <row r="26828" spans="104:111">
      <c r="CZ26828" s="256"/>
      <c r="DG26828" s="256"/>
    </row>
    <row r="26829" spans="104:111">
      <c r="CZ26829" s="256"/>
      <c r="DG26829" s="256"/>
    </row>
    <row r="26830" spans="104:111">
      <c r="CZ26830" s="256"/>
      <c r="DG26830" s="256"/>
    </row>
    <row r="26831" spans="104:111">
      <c r="CZ26831" s="256"/>
      <c r="DG26831" s="256"/>
    </row>
    <row r="26832" spans="104:111">
      <c r="CZ26832" s="256"/>
      <c r="DG26832" s="256"/>
    </row>
    <row r="26833" spans="104:111">
      <c r="CZ26833" s="256"/>
      <c r="DG26833" s="256"/>
    </row>
    <row r="26834" spans="104:111">
      <c r="CZ26834" s="256"/>
      <c r="DG26834" s="256"/>
    </row>
    <row r="26835" spans="104:111">
      <c r="CZ26835" s="256"/>
      <c r="DG26835" s="256"/>
    </row>
    <row r="26836" spans="104:111">
      <c r="CZ26836" s="256"/>
      <c r="DG26836" s="256"/>
    </row>
    <row r="26837" spans="104:111">
      <c r="CZ26837" s="256"/>
      <c r="DG26837" s="256"/>
    </row>
    <row r="26838" spans="104:111">
      <c r="CZ26838" s="256"/>
      <c r="DG26838" s="256"/>
    </row>
    <row r="26839" spans="104:111">
      <c r="CZ26839" s="256"/>
      <c r="DG26839" s="256"/>
    </row>
    <row r="26840" spans="104:111">
      <c r="CZ26840" s="256"/>
      <c r="DG26840" s="256"/>
    </row>
    <row r="26841" spans="104:111">
      <c r="CZ26841" s="256"/>
      <c r="DG26841" s="256"/>
    </row>
    <row r="26842" spans="104:111">
      <c r="CZ26842" s="256"/>
      <c r="DG26842" s="256"/>
    </row>
    <row r="26843" spans="104:111">
      <c r="CZ26843" s="256"/>
      <c r="DG26843" s="256"/>
    </row>
    <row r="26844" spans="104:111">
      <c r="CZ26844" s="256"/>
      <c r="DG26844" s="256"/>
    </row>
    <row r="26845" spans="104:111">
      <c r="CZ26845" s="256"/>
      <c r="DG26845" s="256"/>
    </row>
    <row r="26846" spans="104:111">
      <c r="CZ26846" s="256"/>
      <c r="DG26846" s="256"/>
    </row>
    <row r="26847" spans="104:111">
      <c r="CZ26847" s="256"/>
      <c r="DG26847" s="256"/>
    </row>
    <row r="26848" spans="104:111">
      <c r="CZ26848" s="256"/>
      <c r="DG26848" s="256"/>
    </row>
    <row r="26849" spans="104:111">
      <c r="CZ26849" s="256"/>
      <c r="DG26849" s="256"/>
    </row>
    <row r="26850" spans="104:111">
      <c r="CZ26850" s="256"/>
      <c r="DG26850" s="256"/>
    </row>
    <row r="26851" spans="104:111">
      <c r="CZ26851" s="256"/>
      <c r="DG26851" s="256"/>
    </row>
    <row r="26852" spans="104:111">
      <c r="CZ26852" s="256"/>
      <c r="DG26852" s="256"/>
    </row>
    <row r="26853" spans="104:111">
      <c r="CZ26853" s="256"/>
      <c r="DG26853" s="256"/>
    </row>
    <row r="26854" spans="104:111">
      <c r="CZ26854" s="256"/>
      <c r="DG26854" s="256"/>
    </row>
    <row r="26855" spans="104:111">
      <c r="CZ26855" s="256"/>
      <c r="DG26855" s="256"/>
    </row>
    <row r="26856" spans="104:111">
      <c r="CZ26856" s="256"/>
      <c r="DG26856" s="256"/>
    </row>
    <row r="26857" spans="104:111">
      <c r="CZ26857" s="256"/>
      <c r="DG26857" s="256"/>
    </row>
    <row r="26858" spans="104:111">
      <c r="CZ26858" s="256"/>
      <c r="DG26858" s="256"/>
    </row>
    <row r="26859" spans="104:111">
      <c r="CZ26859" s="256"/>
      <c r="DG26859" s="256"/>
    </row>
    <row r="26860" spans="104:111">
      <c r="CZ26860" s="256"/>
      <c r="DG26860" s="256"/>
    </row>
    <row r="26861" spans="104:111">
      <c r="CZ26861" s="256"/>
      <c r="DG26861" s="256"/>
    </row>
    <row r="26862" spans="104:111">
      <c r="CZ26862" s="256"/>
      <c r="DG26862" s="256"/>
    </row>
    <row r="26863" spans="104:111">
      <c r="CZ26863" s="256"/>
      <c r="DG26863" s="256"/>
    </row>
    <row r="26864" spans="104:111">
      <c r="CZ26864" s="256"/>
      <c r="DG26864" s="256"/>
    </row>
    <row r="26865" spans="104:111">
      <c r="CZ26865" s="256"/>
      <c r="DG26865" s="256"/>
    </row>
    <row r="26866" spans="104:111">
      <c r="CZ26866" s="256"/>
      <c r="DG26866" s="256"/>
    </row>
    <row r="26867" spans="104:111">
      <c r="CZ26867" s="256"/>
      <c r="DG26867" s="256"/>
    </row>
    <row r="26868" spans="104:111">
      <c r="CZ26868" s="256"/>
      <c r="DG26868" s="256"/>
    </row>
    <row r="26869" spans="104:111">
      <c r="CZ26869" s="256"/>
      <c r="DG26869" s="256"/>
    </row>
    <row r="26870" spans="104:111">
      <c r="CZ26870" s="256"/>
      <c r="DG26870" s="256"/>
    </row>
    <row r="26871" spans="104:111">
      <c r="CZ26871" s="256"/>
      <c r="DG26871" s="256"/>
    </row>
    <row r="26872" spans="104:111">
      <c r="CZ26872" s="256"/>
      <c r="DG26872" s="256"/>
    </row>
    <row r="26873" spans="104:111">
      <c r="CZ26873" s="256"/>
      <c r="DG26873" s="256"/>
    </row>
    <row r="26874" spans="104:111">
      <c r="CZ26874" s="256"/>
      <c r="DG26874" s="256"/>
    </row>
    <row r="26875" spans="104:111">
      <c r="CZ26875" s="256"/>
      <c r="DG26875" s="256"/>
    </row>
    <row r="26876" spans="104:111">
      <c r="CZ26876" s="256"/>
      <c r="DG26876" s="256"/>
    </row>
    <row r="26877" spans="104:111">
      <c r="CZ26877" s="256"/>
      <c r="DG26877" s="256"/>
    </row>
    <row r="26878" spans="104:111">
      <c r="CZ26878" s="256"/>
      <c r="DG26878" s="256"/>
    </row>
    <row r="26879" spans="104:111">
      <c r="CZ26879" s="256"/>
      <c r="DG26879" s="256"/>
    </row>
    <row r="26880" spans="104:111">
      <c r="CZ26880" s="256"/>
      <c r="DG26880" s="256"/>
    </row>
    <row r="26881" spans="104:111">
      <c r="CZ26881" s="256"/>
      <c r="DG26881" s="256"/>
    </row>
    <row r="26882" spans="104:111">
      <c r="CZ26882" s="256"/>
      <c r="DG26882" s="256"/>
    </row>
    <row r="26883" spans="104:111">
      <c r="CZ26883" s="256"/>
      <c r="DG26883" s="256"/>
    </row>
    <row r="26884" spans="104:111">
      <c r="CZ26884" s="256"/>
      <c r="DG26884" s="256"/>
    </row>
    <row r="26885" spans="104:111">
      <c r="CZ26885" s="256"/>
      <c r="DG26885" s="256"/>
    </row>
    <row r="26886" spans="104:111">
      <c r="CZ26886" s="256"/>
      <c r="DG26886" s="256"/>
    </row>
    <row r="26887" spans="104:111">
      <c r="CZ26887" s="256"/>
      <c r="DG26887" s="256"/>
    </row>
    <row r="26888" spans="104:111">
      <c r="CZ26888" s="256"/>
      <c r="DG26888" s="256"/>
    </row>
    <row r="26889" spans="104:111">
      <c r="CZ26889" s="256"/>
      <c r="DG26889" s="256"/>
    </row>
    <row r="26890" spans="104:111">
      <c r="CZ26890" s="256"/>
      <c r="DG26890" s="256"/>
    </row>
    <row r="26891" spans="104:111">
      <c r="CZ26891" s="256"/>
      <c r="DG26891" s="256"/>
    </row>
    <row r="26892" spans="104:111">
      <c r="CZ26892" s="256"/>
      <c r="DG26892" s="256"/>
    </row>
    <row r="26893" spans="104:111">
      <c r="CZ26893" s="256"/>
      <c r="DG26893" s="256"/>
    </row>
    <row r="26894" spans="104:111">
      <c r="CZ26894" s="256"/>
      <c r="DG26894" s="256"/>
    </row>
    <row r="26895" spans="104:111">
      <c r="CZ26895" s="256"/>
      <c r="DG26895" s="256"/>
    </row>
    <row r="26896" spans="104:111">
      <c r="CZ26896" s="256"/>
      <c r="DG26896" s="256"/>
    </row>
    <row r="26897" spans="104:111">
      <c r="CZ26897" s="256"/>
      <c r="DG26897" s="256"/>
    </row>
    <row r="26898" spans="104:111">
      <c r="CZ26898" s="256"/>
      <c r="DG26898" s="256"/>
    </row>
    <row r="26899" spans="104:111">
      <c r="CZ26899" s="256"/>
      <c r="DG26899" s="256"/>
    </row>
    <row r="26900" spans="104:111">
      <c r="CZ26900" s="256"/>
      <c r="DG26900" s="256"/>
    </row>
    <row r="26901" spans="104:111">
      <c r="CZ26901" s="256"/>
      <c r="DG26901" s="256"/>
    </row>
    <row r="26902" spans="104:111">
      <c r="CZ26902" s="256"/>
      <c r="DG26902" s="256"/>
    </row>
    <row r="26903" spans="104:111">
      <c r="CZ26903" s="256"/>
      <c r="DG26903" s="256"/>
    </row>
    <row r="26904" spans="104:111">
      <c r="CZ26904" s="256"/>
      <c r="DG26904" s="256"/>
    </row>
    <row r="26905" spans="104:111">
      <c r="CZ26905" s="256"/>
      <c r="DG26905" s="256"/>
    </row>
    <row r="26906" spans="104:111">
      <c r="CZ26906" s="256"/>
      <c r="DG26906" s="256"/>
    </row>
    <row r="26907" spans="104:111">
      <c r="CZ26907" s="256"/>
      <c r="DG26907" s="256"/>
    </row>
    <row r="26908" spans="104:111">
      <c r="CZ26908" s="256"/>
      <c r="DG26908" s="256"/>
    </row>
    <row r="26909" spans="104:111">
      <c r="CZ26909" s="256"/>
      <c r="DG26909" s="256"/>
    </row>
    <row r="26910" spans="104:111">
      <c r="CZ26910" s="256"/>
      <c r="DG26910" s="256"/>
    </row>
    <row r="26911" spans="104:111">
      <c r="CZ26911" s="256"/>
      <c r="DG26911" s="256"/>
    </row>
    <row r="26912" spans="104:111">
      <c r="CZ26912" s="256"/>
      <c r="DG26912" s="256"/>
    </row>
    <row r="26913" spans="104:111">
      <c r="CZ26913" s="256"/>
      <c r="DG26913" s="256"/>
    </row>
    <row r="26914" spans="104:111">
      <c r="CZ26914" s="256"/>
      <c r="DG26914" s="256"/>
    </row>
    <row r="26915" spans="104:111">
      <c r="CZ26915" s="256"/>
      <c r="DG26915" s="256"/>
    </row>
    <row r="26916" spans="104:111">
      <c r="CZ26916" s="256"/>
      <c r="DG26916" s="256"/>
    </row>
    <row r="26917" spans="104:111">
      <c r="CZ26917" s="256"/>
      <c r="DG26917" s="256"/>
    </row>
    <row r="26918" spans="104:111">
      <c r="CZ26918" s="256"/>
      <c r="DG26918" s="256"/>
    </row>
    <row r="26919" spans="104:111">
      <c r="CZ26919" s="256"/>
      <c r="DG26919" s="256"/>
    </row>
    <row r="26920" spans="104:111">
      <c r="CZ26920" s="256"/>
      <c r="DG26920" s="256"/>
    </row>
    <row r="26921" spans="104:111">
      <c r="CZ26921" s="256"/>
      <c r="DG26921" s="256"/>
    </row>
    <row r="26922" spans="104:111">
      <c r="CZ26922" s="256"/>
      <c r="DG26922" s="256"/>
    </row>
    <row r="26923" spans="104:111">
      <c r="CZ26923" s="256"/>
      <c r="DG26923" s="256"/>
    </row>
    <row r="26924" spans="104:111">
      <c r="CZ26924" s="256"/>
      <c r="DG26924" s="256"/>
    </row>
    <row r="26925" spans="104:111">
      <c r="CZ26925" s="256"/>
      <c r="DG26925" s="256"/>
    </row>
    <row r="26926" spans="104:111">
      <c r="CZ26926" s="256"/>
      <c r="DG26926" s="256"/>
    </row>
    <row r="26927" spans="104:111">
      <c r="CZ26927" s="256"/>
      <c r="DG26927" s="256"/>
    </row>
    <row r="26928" spans="104:111">
      <c r="CZ26928" s="256"/>
      <c r="DG26928" s="256"/>
    </row>
    <row r="26929" spans="104:111">
      <c r="CZ26929" s="256"/>
      <c r="DG26929" s="256"/>
    </row>
    <row r="26930" spans="104:111">
      <c r="CZ26930" s="256"/>
      <c r="DG26930" s="256"/>
    </row>
    <row r="26931" spans="104:111">
      <c r="CZ26931" s="256"/>
      <c r="DG26931" s="256"/>
    </row>
    <row r="26932" spans="104:111">
      <c r="CZ26932" s="256"/>
      <c r="DG26932" s="256"/>
    </row>
    <row r="26933" spans="104:111">
      <c r="CZ26933" s="256"/>
      <c r="DG26933" s="256"/>
    </row>
    <row r="26934" spans="104:111">
      <c r="CZ26934" s="256"/>
      <c r="DG26934" s="256"/>
    </row>
    <row r="26935" spans="104:111">
      <c r="CZ26935" s="256"/>
      <c r="DG26935" s="256"/>
    </row>
    <row r="26936" spans="104:111">
      <c r="CZ26936" s="256"/>
      <c r="DG26936" s="256"/>
    </row>
    <row r="26937" spans="104:111">
      <c r="CZ26937" s="256"/>
      <c r="DG26937" s="256"/>
    </row>
    <row r="26938" spans="104:111">
      <c r="CZ26938" s="256"/>
      <c r="DG26938" s="256"/>
    </row>
    <row r="26939" spans="104:111">
      <c r="CZ26939" s="256"/>
      <c r="DG26939" s="256"/>
    </row>
    <row r="26940" spans="104:111">
      <c r="CZ26940" s="256"/>
      <c r="DG26940" s="256"/>
    </row>
    <row r="26941" spans="104:111">
      <c r="CZ26941" s="256"/>
      <c r="DG26941" s="256"/>
    </row>
    <row r="26942" spans="104:111">
      <c r="CZ26942" s="256"/>
      <c r="DG26942" s="256"/>
    </row>
    <row r="26943" spans="104:111">
      <c r="CZ26943" s="256"/>
      <c r="DG26943" s="256"/>
    </row>
    <row r="26944" spans="104:111">
      <c r="CZ26944" s="256"/>
      <c r="DG26944" s="256"/>
    </row>
    <row r="26945" spans="104:111">
      <c r="CZ26945" s="256"/>
      <c r="DG26945" s="256"/>
    </row>
    <row r="26946" spans="104:111">
      <c r="CZ26946" s="256"/>
      <c r="DG26946" s="256"/>
    </row>
    <row r="26947" spans="104:111">
      <c r="CZ26947" s="256"/>
      <c r="DG26947" s="256"/>
    </row>
    <row r="26948" spans="104:111">
      <c r="CZ26948" s="256"/>
      <c r="DG26948" s="256"/>
    </row>
    <row r="26949" spans="104:111">
      <c r="CZ26949" s="256"/>
      <c r="DG26949" s="256"/>
    </row>
    <row r="26950" spans="104:111">
      <c r="CZ26950" s="256"/>
      <c r="DG26950" s="256"/>
    </row>
    <row r="26951" spans="104:111">
      <c r="CZ26951" s="256"/>
      <c r="DG26951" s="256"/>
    </row>
    <row r="26952" spans="104:111">
      <c r="CZ26952" s="256"/>
      <c r="DG26952" s="256"/>
    </row>
    <row r="26953" spans="104:111">
      <c r="CZ26953" s="256"/>
      <c r="DG26953" s="256"/>
    </row>
    <row r="26954" spans="104:111">
      <c r="CZ26954" s="256"/>
      <c r="DG26954" s="256"/>
    </row>
    <row r="26955" spans="104:111">
      <c r="CZ26955" s="256"/>
      <c r="DG26955" s="256"/>
    </row>
    <row r="26956" spans="104:111">
      <c r="CZ26956" s="256"/>
      <c r="DG26956" s="256"/>
    </row>
    <row r="26957" spans="104:111">
      <c r="CZ26957" s="256"/>
      <c r="DG26957" s="256"/>
    </row>
    <row r="26958" spans="104:111">
      <c r="CZ26958" s="256"/>
      <c r="DG26958" s="256"/>
    </row>
    <row r="26959" spans="104:111">
      <c r="CZ26959" s="256"/>
      <c r="DG26959" s="256"/>
    </row>
    <row r="26960" spans="104:111">
      <c r="CZ26960" s="256"/>
      <c r="DG26960" s="256"/>
    </row>
    <row r="26961" spans="104:111">
      <c r="CZ26961" s="256"/>
      <c r="DG26961" s="256"/>
    </row>
    <row r="26962" spans="104:111">
      <c r="CZ26962" s="256"/>
      <c r="DG26962" s="256"/>
    </row>
    <row r="26963" spans="104:111">
      <c r="CZ26963" s="256"/>
      <c r="DG26963" s="256"/>
    </row>
    <row r="26964" spans="104:111">
      <c r="CZ26964" s="256"/>
      <c r="DG26964" s="256"/>
    </row>
    <row r="26965" spans="104:111">
      <c r="CZ26965" s="256"/>
      <c r="DG26965" s="256"/>
    </row>
    <row r="26966" spans="104:111">
      <c r="CZ26966" s="256"/>
      <c r="DG26966" s="256"/>
    </row>
    <row r="26967" spans="104:111">
      <c r="CZ26967" s="256"/>
      <c r="DG26967" s="256"/>
    </row>
    <row r="26968" spans="104:111">
      <c r="CZ26968" s="256"/>
      <c r="DG26968" s="256"/>
    </row>
    <row r="26969" spans="104:111">
      <c r="CZ26969" s="256"/>
      <c r="DG26969" s="256"/>
    </row>
    <row r="26970" spans="104:111">
      <c r="CZ26970" s="256"/>
      <c r="DG26970" s="256"/>
    </row>
    <row r="26971" spans="104:111">
      <c r="CZ26971" s="256"/>
      <c r="DG26971" s="256"/>
    </row>
    <row r="26972" spans="104:111">
      <c r="CZ26972" s="256"/>
      <c r="DG26972" s="256"/>
    </row>
    <row r="26973" spans="104:111">
      <c r="CZ26973" s="256"/>
      <c r="DG26973" s="256"/>
    </row>
    <row r="26974" spans="104:111">
      <c r="CZ26974" s="256"/>
      <c r="DG26974" s="256"/>
    </row>
    <row r="26975" spans="104:111">
      <c r="CZ26975" s="256"/>
      <c r="DG26975" s="256"/>
    </row>
    <row r="26976" spans="104:111">
      <c r="CZ26976" s="256"/>
      <c r="DG26976" s="256"/>
    </row>
    <row r="26977" spans="104:111">
      <c r="CZ26977" s="256"/>
      <c r="DG26977" s="256"/>
    </row>
    <row r="26978" spans="104:111">
      <c r="CZ26978" s="256"/>
      <c r="DG26978" s="256"/>
    </row>
    <row r="26979" spans="104:111">
      <c r="CZ26979" s="256"/>
      <c r="DG26979" s="256"/>
    </row>
    <row r="26980" spans="104:111">
      <c r="CZ26980" s="256"/>
      <c r="DG26980" s="256"/>
    </row>
    <row r="26981" spans="104:111">
      <c r="CZ26981" s="256"/>
      <c r="DG26981" s="256"/>
    </row>
    <row r="26982" spans="104:111">
      <c r="CZ26982" s="256"/>
      <c r="DG26982" s="256"/>
    </row>
    <row r="26983" spans="104:111">
      <c r="CZ26983" s="256"/>
      <c r="DG26983" s="256"/>
    </row>
    <row r="26984" spans="104:111">
      <c r="CZ26984" s="256"/>
      <c r="DG26984" s="256"/>
    </row>
    <row r="26985" spans="104:111">
      <c r="CZ26985" s="256"/>
      <c r="DG26985" s="256"/>
    </row>
    <row r="26986" spans="104:111">
      <c r="CZ26986" s="256"/>
      <c r="DG26986" s="256"/>
    </row>
    <row r="26987" spans="104:111">
      <c r="CZ26987" s="256"/>
      <c r="DG26987" s="256"/>
    </row>
    <row r="26988" spans="104:111">
      <c r="CZ26988" s="256"/>
      <c r="DG26988" s="256"/>
    </row>
    <row r="26989" spans="104:111">
      <c r="CZ26989" s="256"/>
      <c r="DG26989" s="256"/>
    </row>
    <row r="26990" spans="104:111">
      <c r="CZ26990" s="256"/>
      <c r="DG26990" s="256"/>
    </row>
    <row r="26991" spans="104:111">
      <c r="CZ26991" s="256"/>
      <c r="DG26991" s="256"/>
    </row>
    <row r="26992" spans="104:111">
      <c r="CZ26992" s="256"/>
      <c r="DG26992" s="256"/>
    </row>
    <row r="26993" spans="104:111">
      <c r="CZ26993" s="256"/>
      <c r="DG26993" s="256"/>
    </row>
    <row r="26994" spans="104:111">
      <c r="CZ26994" s="256"/>
      <c r="DG26994" s="256"/>
    </row>
    <row r="26995" spans="104:111">
      <c r="CZ26995" s="256"/>
      <c r="DG26995" s="256"/>
    </row>
    <row r="26996" spans="104:111">
      <c r="CZ26996" s="256"/>
      <c r="DG26996" s="256"/>
    </row>
    <row r="26997" spans="104:111">
      <c r="CZ26997" s="256"/>
      <c r="DG26997" s="256"/>
    </row>
    <row r="26998" spans="104:111">
      <c r="CZ26998" s="256"/>
      <c r="DG26998" s="256"/>
    </row>
    <row r="26999" spans="104:111">
      <c r="CZ26999" s="256"/>
      <c r="DG26999" s="256"/>
    </row>
    <row r="27000" spans="104:111">
      <c r="CZ27000" s="256"/>
      <c r="DG27000" s="256"/>
    </row>
    <row r="27001" spans="104:111">
      <c r="CZ27001" s="256"/>
      <c r="DG27001" s="256"/>
    </row>
    <row r="27002" spans="104:111">
      <c r="CZ27002" s="256"/>
      <c r="DG27002" s="256"/>
    </row>
    <row r="27003" spans="104:111">
      <c r="CZ27003" s="256"/>
      <c r="DG27003" s="256"/>
    </row>
    <row r="27004" spans="104:111">
      <c r="CZ27004" s="256"/>
      <c r="DG27004" s="256"/>
    </row>
    <row r="27005" spans="104:111">
      <c r="CZ27005" s="256"/>
      <c r="DG27005" s="256"/>
    </row>
    <row r="27006" spans="104:111">
      <c r="CZ27006" s="256"/>
      <c r="DG27006" s="256"/>
    </row>
    <row r="27007" spans="104:111">
      <c r="CZ27007" s="256"/>
      <c r="DG27007" s="256"/>
    </row>
    <row r="27008" spans="104:111">
      <c r="CZ27008" s="256"/>
      <c r="DG27008" s="256"/>
    </row>
    <row r="27009" spans="104:111">
      <c r="CZ27009" s="256"/>
      <c r="DG27009" s="256"/>
    </row>
    <row r="27010" spans="104:111">
      <c r="CZ27010" s="256"/>
      <c r="DG27010" s="256"/>
    </row>
    <row r="27011" spans="104:111">
      <c r="CZ27011" s="256"/>
      <c r="DG27011" s="256"/>
    </row>
    <row r="27012" spans="104:111">
      <c r="CZ27012" s="256"/>
      <c r="DG27012" s="256"/>
    </row>
    <row r="27013" spans="104:111">
      <c r="CZ27013" s="256"/>
      <c r="DG27013" s="256"/>
    </row>
    <row r="27014" spans="104:111">
      <c r="CZ27014" s="256"/>
      <c r="DG27014" s="256"/>
    </row>
    <row r="27015" spans="104:111">
      <c r="CZ27015" s="256"/>
      <c r="DG27015" s="256"/>
    </row>
    <row r="27016" spans="104:111">
      <c r="CZ27016" s="256"/>
      <c r="DG27016" s="256"/>
    </row>
    <row r="27017" spans="104:111">
      <c r="CZ27017" s="256"/>
      <c r="DG27017" s="256"/>
    </row>
    <row r="27018" spans="104:111">
      <c r="CZ27018" s="256"/>
      <c r="DG27018" s="256"/>
    </row>
    <row r="27019" spans="104:111">
      <c r="CZ27019" s="256"/>
      <c r="DG27019" s="256"/>
    </row>
    <row r="27020" spans="104:111">
      <c r="CZ27020" s="256"/>
      <c r="DG27020" s="256"/>
    </row>
    <row r="27021" spans="104:111">
      <c r="CZ27021" s="256"/>
      <c r="DG27021" s="256"/>
    </row>
    <row r="27022" spans="104:111">
      <c r="CZ27022" s="256"/>
      <c r="DG27022" s="256"/>
    </row>
    <row r="27023" spans="104:111">
      <c r="CZ27023" s="256"/>
      <c r="DG27023" s="256"/>
    </row>
    <row r="27024" spans="104:111">
      <c r="CZ27024" s="256"/>
      <c r="DG27024" s="256"/>
    </row>
    <row r="27025" spans="104:111">
      <c r="CZ27025" s="256"/>
      <c r="DG27025" s="256"/>
    </row>
    <row r="27026" spans="104:111">
      <c r="CZ27026" s="256"/>
      <c r="DG27026" s="256"/>
    </row>
    <row r="27027" spans="104:111">
      <c r="CZ27027" s="256"/>
      <c r="DG27027" s="256"/>
    </row>
    <row r="27028" spans="104:111">
      <c r="CZ27028" s="256"/>
      <c r="DG27028" s="256"/>
    </row>
    <row r="27029" spans="104:111">
      <c r="CZ27029" s="256"/>
      <c r="DG27029" s="256"/>
    </row>
    <row r="27030" spans="104:111">
      <c r="CZ27030" s="256"/>
      <c r="DG27030" s="256"/>
    </row>
    <row r="27031" spans="104:111">
      <c r="CZ27031" s="256"/>
      <c r="DG27031" s="256"/>
    </row>
    <row r="27032" spans="104:111">
      <c r="CZ27032" s="256"/>
      <c r="DG27032" s="256"/>
    </row>
    <row r="27033" spans="104:111">
      <c r="CZ27033" s="256"/>
      <c r="DG27033" s="256"/>
    </row>
    <row r="27034" spans="104:111">
      <c r="CZ27034" s="256"/>
      <c r="DG27034" s="256"/>
    </row>
    <row r="27035" spans="104:111">
      <c r="CZ27035" s="256"/>
      <c r="DG27035" s="256"/>
    </row>
    <row r="27036" spans="104:111">
      <c r="CZ27036" s="256"/>
      <c r="DG27036" s="256"/>
    </row>
    <row r="27037" spans="104:111">
      <c r="CZ27037" s="256"/>
      <c r="DG27037" s="256"/>
    </row>
    <row r="27038" spans="104:111">
      <c r="CZ27038" s="256"/>
      <c r="DG27038" s="256"/>
    </row>
    <row r="27039" spans="104:111">
      <c r="CZ27039" s="256"/>
      <c r="DG27039" s="256"/>
    </row>
    <row r="27040" spans="104:111">
      <c r="CZ27040" s="256"/>
      <c r="DG27040" s="256"/>
    </row>
    <row r="27041" spans="104:111">
      <c r="CZ27041" s="256"/>
      <c r="DG27041" s="256"/>
    </row>
    <row r="27042" spans="104:111">
      <c r="CZ27042" s="256"/>
      <c r="DG27042" s="256"/>
    </row>
    <row r="27043" spans="104:111">
      <c r="CZ27043" s="256"/>
      <c r="DG27043" s="256"/>
    </row>
    <row r="27044" spans="104:111">
      <c r="CZ27044" s="256"/>
      <c r="DG27044" s="256"/>
    </row>
    <row r="27045" spans="104:111">
      <c r="CZ27045" s="256"/>
      <c r="DG27045" s="256"/>
    </row>
    <row r="27046" spans="104:111">
      <c r="CZ27046" s="256"/>
      <c r="DG27046" s="256"/>
    </row>
    <row r="27047" spans="104:111">
      <c r="CZ27047" s="256"/>
      <c r="DG27047" s="256"/>
    </row>
    <row r="27048" spans="104:111">
      <c r="CZ27048" s="256"/>
      <c r="DG27048" s="256"/>
    </row>
    <row r="27049" spans="104:111">
      <c r="CZ27049" s="256"/>
      <c r="DG27049" s="256"/>
    </row>
    <row r="27050" spans="104:111">
      <c r="CZ27050" s="256"/>
      <c r="DG27050" s="256"/>
    </row>
    <row r="27051" spans="104:111">
      <c r="CZ27051" s="256"/>
      <c r="DG27051" s="256"/>
    </row>
    <row r="27052" spans="104:111">
      <c r="CZ27052" s="256"/>
      <c r="DG27052" s="256"/>
    </row>
    <row r="27053" spans="104:111">
      <c r="CZ27053" s="256"/>
      <c r="DG27053" s="256"/>
    </row>
    <row r="27054" spans="104:111">
      <c r="CZ27054" s="256"/>
      <c r="DG27054" s="256"/>
    </row>
    <row r="27055" spans="104:111">
      <c r="CZ27055" s="256"/>
      <c r="DG27055" s="256"/>
    </row>
    <row r="27056" spans="104:111">
      <c r="CZ27056" s="256"/>
      <c r="DG27056" s="256"/>
    </row>
    <row r="27057" spans="104:111">
      <c r="CZ27057" s="256"/>
      <c r="DG27057" s="256"/>
    </row>
    <row r="27058" spans="104:111">
      <c r="CZ27058" s="256"/>
      <c r="DG27058" s="256"/>
    </row>
    <row r="27059" spans="104:111">
      <c r="CZ27059" s="256"/>
      <c r="DG27059" s="256"/>
    </row>
    <row r="27060" spans="104:111">
      <c r="CZ27060" s="256"/>
      <c r="DG27060" s="256"/>
    </row>
    <row r="27061" spans="104:111">
      <c r="CZ27061" s="256"/>
      <c r="DG27061" s="256"/>
    </row>
    <row r="27062" spans="104:111">
      <c r="CZ27062" s="256"/>
      <c r="DG27062" s="256"/>
    </row>
    <row r="27063" spans="104:111">
      <c r="CZ27063" s="256"/>
      <c r="DG27063" s="256"/>
    </row>
    <row r="27064" spans="104:111">
      <c r="CZ27064" s="256"/>
      <c r="DG27064" s="256"/>
    </row>
    <row r="27065" spans="104:111">
      <c r="CZ27065" s="256"/>
      <c r="DG27065" s="256"/>
    </row>
    <row r="27066" spans="104:111">
      <c r="CZ27066" s="256"/>
      <c r="DG27066" s="256"/>
    </row>
    <row r="27067" spans="104:111">
      <c r="CZ27067" s="256"/>
      <c r="DG27067" s="256"/>
    </row>
    <row r="27068" spans="104:111">
      <c r="CZ27068" s="256"/>
      <c r="DG27068" s="256"/>
    </row>
    <row r="27069" spans="104:111">
      <c r="CZ27069" s="256"/>
      <c r="DG27069" s="256"/>
    </row>
    <row r="27070" spans="104:111">
      <c r="CZ27070" s="256"/>
      <c r="DG27070" s="256"/>
    </row>
    <row r="27071" spans="104:111">
      <c r="CZ27071" s="256"/>
      <c r="DG27071" s="256"/>
    </row>
    <row r="27072" spans="104:111">
      <c r="CZ27072" s="256"/>
      <c r="DG27072" s="256"/>
    </row>
    <row r="27073" spans="104:111">
      <c r="CZ27073" s="256"/>
      <c r="DG27073" s="256"/>
    </row>
    <row r="27074" spans="104:111">
      <c r="CZ27074" s="256"/>
      <c r="DG27074" s="256"/>
    </row>
    <row r="27075" spans="104:111">
      <c r="CZ27075" s="256"/>
      <c r="DG27075" s="256"/>
    </row>
    <row r="27076" spans="104:111">
      <c r="CZ27076" s="256"/>
      <c r="DG27076" s="256"/>
    </row>
    <row r="27077" spans="104:111">
      <c r="CZ27077" s="256"/>
      <c r="DG27077" s="256"/>
    </row>
    <row r="27078" spans="104:111">
      <c r="CZ27078" s="256"/>
      <c r="DG27078" s="256"/>
    </row>
    <row r="27079" spans="104:111">
      <c r="CZ27079" s="256"/>
      <c r="DG27079" s="256"/>
    </row>
    <row r="27080" spans="104:111">
      <c r="CZ27080" s="256"/>
      <c r="DG27080" s="256"/>
    </row>
    <row r="27081" spans="104:111">
      <c r="CZ27081" s="256"/>
      <c r="DG27081" s="256"/>
    </row>
    <row r="27082" spans="104:111">
      <c r="CZ27082" s="256"/>
      <c r="DG27082" s="256"/>
    </row>
    <row r="27083" spans="104:111">
      <c r="CZ27083" s="256"/>
      <c r="DG27083" s="256"/>
    </row>
    <row r="27084" spans="104:111">
      <c r="CZ27084" s="256"/>
      <c r="DG27084" s="256"/>
    </row>
    <row r="27085" spans="104:111">
      <c r="CZ27085" s="256"/>
      <c r="DG27085" s="256"/>
    </row>
    <row r="27086" spans="104:111">
      <c r="CZ27086" s="256"/>
      <c r="DG27086" s="256"/>
    </row>
    <row r="27087" spans="104:111">
      <c r="CZ27087" s="256"/>
      <c r="DG27087" s="256"/>
    </row>
    <row r="27088" spans="104:111">
      <c r="CZ27088" s="256"/>
      <c r="DG27088" s="256"/>
    </row>
    <row r="27089" spans="104:111">
      <c r="CZ27089" s="256"/>
      <c r="DG27089" s="256"/>
    </row>
    <row r="27090" spans="104:111">
      <c r="CZ27090" s="256"/>
      <c r="DG27090" s="256"/>
    </row>
    <row r="27091" spans="104:111">
      <c r="CZ27091" s="256"/>
      <c r="DG27091" s="256"/>
    </row>
    <row r="27092" spans="104:111">
      <c r="CZ27092" s="256"/>
      <c r="DG27092" s="256"/>
    </row>
    <row r="27093" spans="104:111">
      <c r="CZ27093" s="256"/>
      <c r="DG27093" s="256"/>
    </row>
    <row r="27094" spans="104:111">
      <c r="CZ27094" s="256"/>
      <c r="DG27094" s="256"/>
    </row>
    <row r="27095" spans="104:111">
      <c r="CZ27095" s="256"/>
      <c r="DG27095" s="256"/>
    </row>
    <row r="27096" spans="104:111">
      <c r="CZ27096" s="256"/>
      <c r="DG27096" s="256"/>
    </row>
    <row r="27097" spans="104:111">
      <c r="CZ27097" s="256"/>
      <c r="DG27097" s="256"/>
    </row>
    <row r="27098" spans="104:111">
      <c r="CZ27098" s="256"/>
      <c r="DG27098" s="256"/>
    </row>
    <row r="27099" spans="104:111">
      <c r="CZ27099" s="256"/>
      <c r="DG27099" s="256"/>
    </row>
    <row r="27100" spans="104:111">
      <c r="CZ27100" s="256"/>
      <c r="DG27100" s="256"/>
    </row>
    <row r="27101" spans="104:111">
      <c r="CZ27101" s="256"/>
      <c r="DG27101" s="256"/>
    </row>
    <row r="27102" spans="104:111">
      <c r="CZ27102" s="256"/>
      <c r="DG27102" s="256"/>
    </row>
    <row r="27103" spans="104:111">
      <c r="CZ27103" s="256"/>
      <c r="DG27103" s="256"/>
    </row>
    <row r="27104" spans="104:111">
      <c r="CZ27104" s="256"/>
      <c r="DG27104" s="256"/>
    </row>
    <row r="27105" spans="104:111">
      <c r="CZ27105" s="256"/>
      <c r="DG27105" s="256"/>
    </row>
    <row r="27106" spans="104:111">
      <c r="CZ27106" s="256"/>
      <c r="DG27106" s="256"/>
    </row>
    <row r="27107" spans="104:111">
      <c r="CZ27107" s="256"/>
      <c r="DG27107" s="256"/>
    </row>
    <row r="27108" spans="104:111">
      <c r="CZ27108" s="256"/>
      <c r="DG27108" s="256"/>
    </row>
    <row r="27109" spans="104:111">
      <c r="CZ27109" s="256"/>
      <c r="DG27109" s="256"/>
    </row>
    <row r="27110" spans="104:111">
      <c r="CZ27110" s="256"/>
      <c r="DG27110" s="256"/>
    </row>
    <row r="27111" spans="104:111">
      <c r="CZ27111" s="256"/>
      <c r="DG27111" s="256"/>
    </row>
    <row r="27112" spans="104:111">
      <c r="CZ27112" s="256"/>
      <c r="DG27112" s="256"/>
    </row>
    <row r="27113" spans="104:111">
      <c r="CZ27113" s="256"/>
      <c r="DG27113" s="256"/>
    </row>
    <row r="27114" spans="104:111">
      <c r="CZ27114" s="256"/>
      <c r="DG27114" s="256"/>
    </row>
    <row r="27115" spans="104:111">
      <c r="CZ27115" s="256"/>
      <c r="DG27115" s="256"/>
    </row>
    <row r="27116" spans="104:111">
      <c r="CZ27116" s="256"/>
      <c r="DG27116" s="256"/>
    </row>
    <row r="27117" spans="104:111">
      <c r="CZ27117" s="256"/>
      <c r="DG27117" s="256"/>
    </row>
    <row r="27118" spans="104:111">
      <c r="CZ27118" s="256"/>
      <c r="DG27118" s="256"/>
    </row>
    <row r="27119" spans="104:111">
      <c r="CZ27119" s="256"/>
      <c r="DG27119" s="256"/>
    </row>
    <row r="27120" spans="104:111">
      <c r="CZ27120" s="256"/>
      <c r="DG27120" s="256"/>
    </row>
    <row r="27121" spans="104:111">
      <c r="CZ27121" s="256"/>
      <c r="DG27121" s="256"/>
    </row>
    <row r="27122" spans="104:111">
      <c r="CZ27122" s="256"/>
      <c r="DG27122" s="256"/>
    </row>
    <row r="27123" spans="104:111">
      <c r="CZ27123" s="256"/>
      <c r="DG27123" s="256"/>
    </row>
    <row r="27124" spans="104:111">
      <c r="CZ27124" s="256"/>
      <c r="DG27124" s="256"/>
    </row>
    <row r="27125" spans="104:111">
      <c r="CZ27125" s="256"/>
      <c r="DG27125" s="256"/>
    </row>
    <row r="27126" spans="104:111">
      <c r="CZ27126" s="256"/>
      <c r="DG27126" s="256"/>
    </row>
    <row r="27127" spans="104:111">
      <c r="CZ27127" s="256"/>
      <c r="DG27127" s="256"/>
    </row>
    <row r="27128" spans="104:111">
      <c r="CZ27128" s="256"/>
      <c r="DG27128" s="256"/>
    </row>
    <row r="27129" spans="104:111">
      <c r="CZ27129" s="256"/>
      <c r="DG27129" s="256"/>
    </row>
    <row r="27130" spans="104:111">
      <c r="CZ27130" s="256"/>
      <c r="DG27130" s="256"/>
    </row>
    <row r="27131" spans="104:111">
      <c r="CZ27131" s="256"/>
      <c r="DG27131" s="256"/>
    </row>
    <row r="27132" spans="104:111">
      <c r="CZ27132" s="256"/>
      <c r="DG27132" s="256"/>
    </row>
    <row r="27133" spans="104:111">
      <c r="CZ27133" s="256"/>
      <c r="DG27133" s="256"/>
    </row>
    <row r="27134" spans="104:111">
      <c r="CZ27134" s="256"/>
      <c r="DG27134" s="256"/>
    </row>
    <row r="27135" spans="104:111">
      <c r="CZ27135" s="256"/>
      <c r="DG27135" s="256"/>
    </row>
    <row r="27136" spans="104:111">
      <c r="CZ27136" s="256"/>
      <c r="DG27136" s="256"/>
    </row>
    <row r="27137" spans="104:111">
      <c r="CZ27137" s="256"/>
      <c r="DG27137" s="256"/>
    </row>
    <row r="27138" spans="104:111">
      <c r="CZ27138" s="256"/>
      <c r="DG27138" s="256"/>
    </row>
    <row r="27139" spans="104:111">
      <c r="CZ27139" s="256"/>
      <c r="DG27139" s="256"/>
    </row>
    <row r="27140" spans="104:111">
      <c r="CZ27140" s="256"/>
      <c r="DG27140" s="256"/>
    </row>
    <row r="27141" spans="104:111">
      <c r="CZ27141" s="256"/>
      <c r="DG27141" s="256"/>
    </row>
    <row r="27142" spans="104:111">
      <c r="CZ27142" s="256"/>
      <c r="DG27142" s="256"/>
    </row>
    <row r="27143" spans="104:111">
      <c r="CZ27143" s="256"/>
      <c r="DG27143" s="256"/>
    </row>
    <row r="27144" spans="104:111">
      <c r="CZ27144" s="256"/>
      <c r="DG27144" s="256"/>
    </row>
    <row r="27145" spans="104:111">
      <c r="CZ27145" s="256"/>
      <c r="DG27145" s="256"/>
    </row>
    <row r="27146" spans="104:111">
      <c r="CZ27146" s="256"/>
      <c r="DG27146" s="256"/>
    </row>
    <row r="27147" spans="104:111">
      <c r="CZ27147" s="256"/>
      <c r="DG27147" s="256"/>
    </row>
    <row r="27148" spans="104:111">
      <c r="CZ27148" s="256"/>
      <c r="DG27148" s="256"/>
    </row>
    <row r="27149" spans="104:111">
      <c r="CZ27149" s="256"/>
      <c r="DG27149" s="256"/>
    </row>
    <row r="27150" spans="104:111">
      <c r="CZ27150" s="256"/>
      <c r="DG27150" s="256"/>
    </row>
    <row r="27151" spans="104:111">
      <c r="CZ27151" s="256"/>
      <c r="DG27151" s="256"/>
    </row>
    <row r="27152" spans="104:111">
      <c r="CZ27152" s="256"/>
      <c r="DG27152" s="256"/>
    </row>
    <row r="27153" spans="104:111">
      <c r="CZ27153" s="256"/>
      <c r="DG27153" s="256"/>
    </row>
    <row r="27154" spans="104:111">
      <c r="CZ27154" s="256"/>
      <c r="DG27154" s="256"/>
    </row>
    <row r="27155" spans="104:111">
      <c r="CZ27155" s="256"/>
      <c r="DG27155" s="256"/>
    </row>
    <row r="27156" spans="104:111">
      <c r="CZ27156" s="256"/>
      <c r="DG27156" s="256"/>
    </row>
    <row r="27157" spans="104:111">
      <c r="CZ27157" s="256"/>
      <c r="DG27157" s="256"/>
    </row>
    <row r="27158" spans="104:111">
      <c r="CZ27158" s="256"/>
      <c r="DG27158" s="256"/>
    </row>
    <row r="27159" spans="104:111">
      <c r="CZ27159" s="256"/>
      <c r="DG27159" s="256"/>
    </row>
    <row r="27160" spans="104:111">
      <c r="CZ27160" s="256"/>
      <c r="DG27160" s="256"/>
    </row>
    <row r="27161" spans="104:111">
      <c r="CZ27161" s="256"/>
      <c r="DG27161" s="256"/>
    </row>
    <row r="27162" spans="104:111">
      <c r="CZ27162" s="256"/>
      <c r="DG27162" s="256"/>
    </row>
    <row r="27163" spans="104:111">
      <c r="CZ27163" s="256"/>
      <c r="DG27163" s="256"/>
    </row>
    <row r="27164" spans="104:111">
      <c r="CZ27164" s="256"/>
      <c r="DG27164" s="256"/>
    </row>
    <row r="27165" spans="104:111">
      <c r="CZ27165" s="256"/>
      <c r="DG27165" s="256"/>
    </row>
    <row r="27166" spans="104:111">
      <c r="CZ27166" s="256"/>
      <c r="DG27166" s="256"/>
    </row>
    <row r="27167" spans="104:111">
      <c r="CZ27167" s="256"/>
      <c r="DG27167" s="256"/>
    </row>
    <row r="27168" spans="104:111">
      <c r="CZ27168" s="256"/>
      <c r="DG27168" s="256"/>
    </row>
    <row r="27169" spans="104:111">
      <c r="CZ27169" s="256"/>
      <c r="DG27169" s="256"/>
    </row>
    <row r="27170" spans="104:111">
      <c r="CZ27170" s="256"/>
      <c r="DG27170" s="256"/>
    </row>
    <row r="27171" spans="104:111">
      <c r="CZ27171" s="256"/>
      <c r="DG27171" s="256"/>
    </row>
    <row r="27172" spans="104:111">
      <c r="CZ27172" s="256"/>
      <c r="DG27172" s="256"/>
    </row>
    <row r="27173" spans="104:111">
      <c r="CZ27173" s="256"/>
      <c r="DG27173" s="256"/>
    </row>
    <row r="27174" spans="104:111">
      <c r="CZ27174" s="256"/>
      <c r="DG27174" s="256"/>
    </row>
    <row r="27175" spans="104:111">
      <c r="CZ27175" s="256"/>
      <c r="DG27175" s="256"/>
    </row>
    <row r="27176" spans="104:111">
      <c r="CZ27176" s="256"/>
      <c r="DG27176" s="256"/>
    </row>
    <row r="27177" spans="104:111">
      <c r="CZ27177" s="256"/>
      <c r="DG27177" s="256"/>
    </row>
    <row r="27178" spans="104:111">
      <c r="CZ27178" s="256"/>
      <c r="DG27178" s="256"/>
    </row>
    <row r="27179" spans="104:111">
      <c r="CZ27179" s="256"/>
      <c r="DG27179" s="256"/>
    </row>
    <row r="27180" spans="104:111">
      <c r="CZ27180" s="256"/>
      <c r="DG27180" s="256"/>
    </row>
    <row r="27181" spans="104:111">
      <c r="CZ27181" s="256"/>
      <c r="DG27181" s="256"/>
    </row>
    <row r="27182" spans="104:111">
      <c r="CZ27182" s="256"/>
      <c r="DG27182" s="256"/>
    </row>
    <row r="27183" spans="104:111">
      <c r="CZ27183" s="256"/>
      <c r="DG27183" s="256"/>
    </row>
    <row r="27184" spans="104:111">
      <c r="CZ27184" s="256"/>
      <c r="DG27184" s="256"/>
    </row>
    <row r="27185" spans="104:111">
      <c r="CZ27185" s="256"/>
      <c r="DG27185" s="256"/>
    </row>
    <row r="27186" spans="104:111">
      <c r="CZ27186" s="256"/>
      <c r="DG27186" s="256"/>
    </row>
    <row r="27187" spans="104:111">
      <c r="CZ27187" s="256"/>
      <c r="DG27187" s="256"/>
    </row>
    <row r="27188" spans="104:111">
      <c r="CZ27188" s="256"/>
      <c r="DG27188" s="256"/>
    </row>
    <row r="27189" spans="104:111">
      <c r="CZ27189" s="256"/>
      <c r="DG27189" s="256"/>
    </row>
    <row r="27190" spans="104:111">
      <c r="CZ27190" s="256"/>
      <c r="DG27190" s="256"/>
    </row>
    <row r="27191" spans="104:111">
      <c r="CZ27191" s="256"/>
      <c r="DG27191" s="256"/>
    </row>
    <row r="27192" spans="104:111">
      <c r="CZ27192" s="256"/>
      <c r="DG27192" s="256"/>
    </row>
    <row r="27193" spans="104:111">
      <c r="CZ27193" s="256"/>
      <c r="DG27193" s="256"/>
    </row>
    <row r="27194" spans="104:111">
      <c r="CZ27194" s="256"/>
      <c r="DG27194" s="256"/>
    </row>
    <row r="27195" spans="104:111">
      <c r="CZ27195" s="256"/>
      <c r="DG27195" s="256"/>
    </row>
    <row r="27196" spans="104:111">
      <c r="CZ27196" s="256"/>
      <c r="DG27196" s="256"/>
    </row>
    <row r="27197" spans="104:111">
      <c r="CZ27197" s="256"/>
      <c r="DG27197" s="256"/>
    </row>
    <row r="27198" spans="104:111">
      <c r="CZ27198" s="256"/>
      <c r="DG27198" s="256"/>
    </row>
    <row r="27199" spans="104:111">
      <c r="CZ27199" s="256"/>
      <c r="DG27199" s="256"/>
    </row>
    <row r="27200" spans="104:111">
      <c r="CZ27200" s="256"/>
      <c r="DG27200" s="256"/>
    </row>
    <row r="27201" spans="104:111">
      <c r="CZ27201" s="256"/>
      <c r="DG27201" s="256"/>
    </row>
    <row r="27202" spans="104:111">
      <c r="CZ27202" s="256"/>
      <c r="DG27202" s="256"/>
    </row>
    <row r="27203" spans="104:111">
      <c r="CZ27203" s="256"/>
      <c r="DG27203" s="256"/>
    </row>
    <row r="27204" spans="104:111">
      <c r="CZ27204" s="256"/>
      <c r="DG27204" s="256"/>
    </row>
    <row r="27205" spans="104:111">
      <c r="CZ27205" s="256"/>
      <c r="DG27205" s="256"/>
    </row>
    <row r="27206" spans="104:111">
      <c r="CZ27206" s="256"/>
      <c r="DG27206" s="256"/>
    </row>
    <row r="27207" spans="104:111">
      <c r="CZ27207" s="256"/>
      <c r="DG27207" s="256"/>
    </row>
    <row r="27208" spans="104:111">
      <c r="CZ27208" s="256"/>
      <c r="DG27208" s="256"/>
    </row>
    <row r="27209" spans="104:111">
      <c r="CZ27209" s="256"/>
      <c r="DG27209" s="256"/>
    </row>
    <row r="27210" spans="104:111">
      <c r="CZ27210" s="256"/>
      <c r="DG27210" s="256"/>
    </row>
    <row r="27211" spans="104:111">
      <c r="CZ27211" s="256"/>
      <c r="DG27211" s="256"/>
    </row>
    <row r="27212" spans="104:111">
      <c r="CZ27212" s="256"/>
      <c r="DG27212" s="256"/>
    </row>
    <row r="27213" spans="104:111">
      <c r="CZ27213" s="256"/>
      <c r="DG27213" s="256"/>
    </row>
    <row r="27214" spans="104:111">
      <c r="CZ27214" s="256"/>
      <c r="DG27214" s="256"/>
    </row>
    <row r="27215" spans="104:111">
      <c r="CZ27215" s="256"/>
      <c r="DG27215" s="256"/>
    </row>
    <row r="27216" spans="104:111">
      <c r="CZ27216" s="256"/>
      <c r="DG27216" s="256"/>
    </row>
    <row r="27217" spans="104:111">
      <c r="CZ27217" s="256"/>
      <c r="DG27217" s="256"/>
    </row>
    <row r="27218" spans="104:111">
      <c r="CZ27218" s="256"/>
      <c r="DG27218" s="256"/>
    </row>
    <row r="27219" spans="104:111">
      <c r="CZ27219" s="256"/>
      <c r="DG27219" s="256"/>
    </row>
    <row r="27220" spans="104:111">
      <c r="CZ27220" s="256"/>
      <c r="DG27220" s="256"/>
    </row>
    <row r="27221" spans="104:111">
      <c r="CZ27221" s="256"/>
      <c r="DG27221" s="256"/>
    </row>
    <row r="27222" spans="104:111">
      <c r="CZ27222" s="256"/>
      <c r="DG27222" s="256"/>
    </row>
    <row r="27223" spans="104:111">
      <c r="CZ27223" s="256"/>
      <c r="DG27223" s="256"/>
    </row>
    <row r="27224" spans="104:111">
      <c r="CZ27224" s="256"/>
      <c r="DG27224" s="256"/>
    </row>
    <row r="27225" spans="104:111">
      <c r="CZ27225" s="256"/>
      <c r="DG27225" s="256"/>
    </row>
    <row r="27226" spans="104:111">
      <c r="CZ27226" s="256"/>
      <c r="DG27226" s="256"/>
    </row>
    <row r="27227" spans="104:111">
      <c r="CZ27227" s="256"/>
      <c r="DG27227" s="256"/>
    </row>
    <row r="27228" spans="104:111">
      <c r="CZ27228" s="256"/>
      <c r="DG27228" s="256"/>
    </row>
    <row r="27229" spans="104:111">
      <c r="CZ27229" s="256"/>
      <c r="DG27229" s="256"/>
    </row>
    <row r="27230" spans="104:111">
      <c r="CZ27230" s="256"/>
      <c r="DG27230" s="256"/>
    </row>
    <row r="27231" spans="104:111">
      <c r="CZ27231" s="256"/>
      <c r="DG27231" s="256"/>
    </row>
    <row r="27232" spans="104:111">
      <c r="CZ27232" s="256"/>
      <c r="DG27232" s="256"/>
    </row>
    <row r="27233" spans="104:111">
      <c r="CZ27233" s="256"/>
      <c r="DG27233" s="256"/>
    </row>
    <row r="27234" spans="104:111">
      <c r="CZ27234" s="256"/>
      <c r="DG27234" s="256"/>
    </row>
    <row r="27235" spans="104:111">
      <c r="CZ27235" s="256"/>
      <c r="DG27235" s="256"/>
    </row>
    <row r="27236" spans="104:111">
      <c r="CZ27236" s="256"/>
      <c r="DG27236" s="256"/>
    </row>
    <row r="27237" spans="104:111">
      <c r="CZ27237" s="256"/>
      <c r="DG27237" s="256"/>
    </row>
    <row r="27238" spans="104:111">
      <c r="CZ27238" s="256"/>
      <c r="DG27238" s="256"/>
    </row>
    <row r="27239" spans="104:111">
      <c r="CZ27239" s="256"/>
      <c r="DG27239" s="256"/>
    </row>
    <row r="27240" spans="104:111">
      <c r="CZ27240" s="256"/>
      <c r="DG27240" s="256"/>
    </row>
    <row r="27241" spans="104:111">
      <c r="CZ27241" s="256"/>
      <c r="DG27241" s="256"/>
    </row>
    <row r="27242" spans="104:111">
      <c r="CZ27242" s="256"/>
      <c r="DG27242" s="256"/>
    </row>
    <row r="27243" spans="104:111">
      <c r="CZ27243" s="256"/>
      <c r="DG27243" s="256"/>
    </row>
    <row r="27244" spans="104:111">
      <c r="CZ27244" s="256"/>
      <c r="DG27244" s="256"/>
    </row>
    <row r="27245" spans="104:111">
      <c r="CZ27245" s="256"/>
      <c r="DG27245" s="256"/>
    </row>
    <row r="27246" spans="104:111">
      <c r="CZ27246" s="256"/>
      <c r="DG27246" s="256"/>
    </row>
    <row r="27247" spans="104:111">
      <c r="CZ27247" s="256"/>
      <c r="DG27247" s="256"/>
    </row>
    <row r="27248" spans="104:111">
      <c r="CZ27248" s="256"/>
      <c r="DG27248" s="256"/>
    </row>
    <row r="27249" spans="104:111">
      <c r="CZ27249" s="256"/>
      <c r="DG27249" s="256"/>
    </row>
    <row r="27250" spans="104:111">
      <c r="CZ27250" s="256"/>
      <c r="DG27250" s="256"/>
    </row>
    <row r="27251" spans="104:111">
      <c r="CZ27251" s="256"/>
      <c r="DG27251" s="256"/>
    </row>
    <row r="27252" spans="104:111">
      <c r="CZ27252" s="256"/>
      <c r="DG27252" s="256"/>
    </row>
    <row r="27253" spans="104:111">
      <c r="CZ27253" s="256"/>
      <c r="DG27253" s="256"/>
    </row>
    <row r="27254" spans="104:111">
      <c r="CZ27254" s="256"/>
      <c r="DG27254" s="256"/>
    </row>
    <row r="27255" spans="104:111">
      <c r="CZ27255" s="256"/>
      <c r="DG27255" s="256"/>
    </row>
    <row r="27256" spans="104:111">
      <c r="CZ27256" s="256"/>
      <c r="DG27256" s="256"/>
    </row>
    <row r="27257" spans="104:111">
      <c r="CZ27257" s="256"/>
      <c r="DG27257" s="256"/>
    </row>
    <row r="27258" spans="104:111">
      <c r="CZ27258" s="256"/>
      <c r="DG27258" s="256"/>
    </row>
    <row r="27259" spans="104:111">
      <c r="CZ27259" s="256"/>
      <c r="DG27259" s="256"/>
    </row>
    <row r="27260" spans="104:111">
      <c r="CZ27260" s="256"/>
      <c r="DG27260" s="256"/>
    </row>
    <row r="27261" spans="104:111">
      <c r="CZ27261" s="256"/>
      <c r="DG27261" s="256"/>
    </row>
    <row r="27262" spans="104:111">
      <c r="CZ27262" s="256"/>
      <c r="DG27262" s="256"/>
    </row>
    <row r="27263" spans="104:111">
      <c r="CZ27263" s="256"/>
      <c r="DG27263" s="256"/>
    </row>
    <row r="27264" spans="104:111">
      <c r="CZ27264" s="256"/>
      <c r="DG27264" s="256"/>
    </row>
    <row r="27265" spans="104:111">
      <c r="CZ27265" s="256"/>
      <c r="DG27265" s="256"/>
    </row>
    <row r="27266" spans="104:111">
      <c r="CZ27266" s="256"/>
      <c r="DG27266" s="256"/>
    </row>
    <row r="27267" spans="104:111">
      <c r="CZ27267" s="256"/>
      <c r="DG27267" s="256"/>
    </row>
    <row r="27268" spans="104:111">
      <c r="CZ27268" s="256"/>
      <c r="DG27268" s="256"/>
    </row>
    <row r="27269" spans="104:111">
      <c r="CZ27269" s="256"/>
      <c r="DG27269" s="256"/>
    </row>
    <row r="27270" spans="104:111">
      <c r="CZ27270" s="256"/>
      <c r="DG27270" s="256"/>
    </row>
    <row r="27271" spans="104:111">
      <c r="CZ27271" s="256"/>
      <c r="DG27271" s="256"/>
    </row>
    <row r="27272" spans="104:111">
      <c r="CZ27272" s="256"/>
      <c r="DG27272" s="256"/>
    </row>
    <row r="27273" spans="104:111">
      <c r="CZ27273" s="256"/>
      <c r="DG27273" s="256"/>
    </row>
    <row r="27274" spans="104:111">
      <c r="CZ27274" s="256"/>
      <c r="DG27274" s="256"/>
    </row>
    <row r="27275" spans="104:111">
      <c r="CZ27275" s="256"/>
      <c r="DG27275" s="256"/>
    </row>
    <row r="27276" spans="104:111">
      <c r="CZ27276" s="256"/>
      <c r="DG27276" s="256"/>
    </row>
    <row r="27277" spans="104:111">
      <c r="CZ27277" s="256"/>
      <c r="DG27277" s="256"/>
    </row>
    <row r="27278" spans="104:111">
      <c r="CZ27278" s="256"/>
      <c r="DG27278" s="256"/>
    </row>
    <row r="27279" spans="104:111">
      <c r="CZ27279" s="256"/>
      <c r="DG27279" s="256"/>
    </row>
    <row r="27280" spans="104:111">
      <c r="CZ27280" s="256"/>
      <c r="DG27280" s="256"/>
    </row>
    <row r="27281" spans="104:111">
      <c r="CZ27281" s="256"/>
      <c r="DG27281" s="256"/>
    </row>
    <row r="27282" spans="104:111">
      <c r="CZ27282" s="256"/>
      <c r="DG27282" s="256"/>
    </row>
    <row r="27283" spans="104:111">
      <c r="CZ27283" s="256"/>
      <c r="DG27283" s="256"/>
    </row>
    <row r="27284" spans="104:111">
      <c r="CZ27284" s="256"/>
      <c r="DG27284" s="256"/>
    </row>
    <row r="27285" spans="104:111">
      <c r="CZ27285" s="256"/>
      <c r="DG27285" s="256"/>
    </row>
    <row r="27286" spans="104:111">
      <c r="CZ27286" s="256"/>
      <c r="DG27286" s="256"/>
    </row>
    <row r="27287" spans="104:111">
      <c r="CZ27287" s="256"/>
      <c r="DG27287" s="256"/>
    </row>
    <row r="27288" spans="104:111">
      <c r="CZ27288" s="256"/>
      <c r="DG27288" s="256"/>
    </row>
    <row r="27289" spans="104:111">
      <c r="CZ27289" s="256"/>
      <c r="DG27289" s="256"/>
    </row>
    <row r="27290" spans="104:111">
      <c r="CZ27290" s="256"/>
      <c r="DG27290" s="256"/>
    </row>
    <row r="27291" spans="104:111">
      <c r="CZ27291" s="256"/>
      <c r="DG27291" s="256"/>
    </row>
    <row r="27292" spans="104:111">
      <c r="CZ27292" s="256"/>
      <c r="DG27292" s="256"/>
    </row>
    <row r="27293" spans="104:111">
      <c r="CZ27293" s="256"/>
      <c r="DG27293" s="256"/>
    </row>
    <row r="27294" spans="104:111">
      <c r="CZ27294" s="256"/>
      <c r="DG27294" s="256"/>
    </row>
    <row r="27295" spans="104:111">
      <c r="CZ27295" s="256"/>
      <c r="DG27295" s="256"/>
    </row>
    <row r="27296" spans="104:111">
      <c r="CZ27296" s="256"/>
      <c r="DG27296" s="256"/>
    </row>
    <row r="27297" spans="104:111">
      <c r="CZ27297" s="256"/>
      <c r="DG27297" s="256"/>
    </row>
    <row r="27298" spans="104:111">
      <c r="CZ27298" s="256"/>
      <c r="DG27298" s="256"/>
    </row>
    <row r="27299" spans="104:111">
      <c r="CZ27299" s="256"/>
      <c r="DG27299" s="256"/>
    </row>
    <row r="27300" spans="104:111">
      <c r="CZ27300" s="256"/>
      <c r="DG27300" s="256"/>
    </row>
    <row r="27301" spans="104:111">
      <c r="CZ27301" s="256"/>
      <c r="DG27301" s="256"/>
    </row>
    <row r="27302" spans="104:111">
      <c r="CZ27302" s="256"/>
      <c r="DG27302" s="256"/>
    </row>
    <row r="27303" spans="104:111">
      <c r="CZ27303" s="256"/>
      <c r="DG27303" s="256"/>
    </row>
    <row r="27304" spans="104:111">
      <c r="CZ27304" s="256"/>
      <c r="DG27304" s="256"/>
    </row>
    <row r="27305" spans="104:111">
      <c r="CZ27305" s="256"/>
      <c r="DG27305" s="256"/>
    </row>
    <row r="27306" spans="104:111">
      <c r="CZ27306" s="256"/>
      <c r="DG27306" s="256"/>
    </row>
    <row r="27307" spans="104:111">
      <c r="CZ27307" s="256"/>
      <c r="DG27307" s="256"/>
    </row>
    <row r="27308" spans="104:111">
      <c r="CZ27308" s="256"/>
      <c r="DG27308" s="256"/>
    </row>
    <row r="27309" spans="104:111">
      <c r="CZ27309" s="256"/>
      <c r="DG27309" s="256"/>
    </row>
    <row r="27310" spans="104:111">
      <c r="CZ27310" s="256"/>
      <c r="DG27310" s="256"/>
    </row>
    <row r="27311" spans="104:111">
      <c r="CZ27311" s="256"/>
      <c r="DG27311" s="256"/>
    </row>
    <row r="27312" spans="104:111">
      <c r="CZ27312" s="256"/>
      <c r="DG27312" s="256"/>
    </row>
    <row r="27313" spans="104:111">
      <c r="CZ27313" s="256"/>
      <c r="DG27313" s="256"/>
    </row>
    <row r="27314" spans="104:111">
      <c r="CZ27314" s="256"/>
      <c r="DG27314" s="256"/>
    </row>
    <row r="27315" spans="104:111">
      <c r="CZ27315" s="256"/>
      <c r="DG27315" s="256"/>
    </row>
    <row r="27316" spans="104:111">
      <c r="CZ27316" s="256"/>
      <c r="DG27316" s="256"/>
    </row>
    <row r="27317" spans="104:111">
      <c r="CZ27317" s="256"/>
      <c r="DG27317" s="256"/>
    </row>
    <row r="27318" spans="104:111">
      <c r="CZ27318" s="256"/>
      <c r="DG27318" s="256"/>
    </row>
    <row r="27319" spans="104:111">
      <c r="CZ27319" s="256"/>
      <c r="DG27319" s="256"/>
    </row>
    <row r="27320" spans="104:111">
      <c r="CZ27320" s="256"/>
      <c r="DG27320" s="256"/>
    </row>
    <row r="27321" spans="104:111">
      <c r="CZ27321" s="256"/>
      <c r="DG27321" s="256"/>
    </row>
    <row r="27322" spans="104:111">
      <c r="CZ27322" s="256"/>
      <c r="DG27322" s="256"/>
    </row>
    <row r="27323" spans="104:111">
      <c r="CZ27323" s="256"/>
      <c r="DG27323" s="256"/>
    </row>
    <row r="27324" spans="104:111">
      <c r="CZ27324" s="256"/>
      <c r="DG27324" s="256"/>
    </row>
    <row r="27325" spans="104:111">
      <c r="CZ27325" s="256"/>
      <c r="DG27325" s="256"/>
    </row>
    <row r="27326" spans="104:111">
      <c r="CZ27326" s="256"/>
      <c r="DG27326" s="256"/>
    </row>
    <row r="27327" spans="104:111">
      <c r="CZ27327" s="256"/>
      <c r="DG27327" s="256"/>
    </row>
    <row r="27328" spans="104:111">
      <c r="CZ27328" s="256"/>
      <c r="DG27328" s="256"/>
    </row>
    <row r="27329" spans="104:111">
      <c r="CZ27329" s="256"/>
      <c r="DG27329" s="256"/>
    </row>
    <row r="27330" spans="104:111">
      <c r="CZ27330" s="256"/>
      <c r="DG27330" s="256"/>
    </row>
    <row r="27331" spans="104:111">
      <c r="CZ27331" s="256"/>
      <c r="DG27331" s="256"/>
    </row>
    <row r="27332" spans="104:111">
      <c r="CZ27332" s="256"/>
      <c r="DG27332" s="256"/>
    </row>
    <row r="27333" spans="104:111">
      <c r="CZ27333" s="256"/>
      <c r="DG27333" s="256"/>
    </row>
    <row r="27334" spans="104:111">
      <c r="CZ27334" s="256"/>
      <c r="DG27334" s="256"/>
    </row>
    <row r="27335" spans="104:111">
      <c r="CZ27335" s="256"/>
      <c r="DG27335" s="256"/>
    </row>
    <row r="27336" spans="104:111">
      <c r="CZ27336" s="256"/>
      <c r="DG27336" s="256"/>
    </row>
    <row r="27337" spans="104:111">
      <c r="CZ27337" s="256"/>
      <c r="DG27337" s="256"/>
    </row>
    <row r="27338" spans="104:111">
      <c r="CZ27338" s="256"/>
      <c r="DG27338" s="256"/>
    </row>
    <row r="27339" spans="104:111">
      <c r="CZ27339" s="256"/>
      <c r="DG27339" s="256"/>
    </row>
    <row r="27340" spans="104:111">
      <c r="CZ27340" s="256"/>
      <c r="DG27340" s="256"/>
    </row>
    <row r="27341" spans="104:111">
      <c r="CZ27341" s="256"/>
      <c r="DG27341" s="256"/>
    </row>
    <row r="27342" spans="104:111">
      <c r="CZ27342" s="256"/>
      <c r="DG27342" s="256"/>
    </row>
    <row r="27343" spans="104:111">
      <c r="CZ27343" s="256"/>
      <c r="DG27343" s="256"/>
    </row>
    <row r="27344" spans="104:111">
      <c r="CZ27344" s="256"/>
      <c r="DG27344" s="256"/>
    </row>
    <row r="27345" spans="104:111">
      <c r="CZ27345" s="256"/>
      <c r="DG27345" s="256"/>
    </row>
    <row r="27346" spans="104:111">
      <c r="CZ27346" s="256"/>
      <c r="DG27346" s="256"/>
    </row>
    <row r="27347" spans="104:111">
      <c r="CZ27347" s="256"/>
      <c r="DG27347" s="256"/>
    </row>
    <row r="27348" spans="104:111">
      <c r="CZ27348" s="256"/>
      <c r="DG27348" s="256"/>
    </row>
    <row r="27349" spans="104:111">
      <c r="CZ27349" s="256"/>
      <c r="DG27349" s="256"/>
    </row>
    <row r="27350" spans="104:111">
      <c r="CZ27350" s="256"/>
      <c r="DG27350" s="256"/>
    </row>
    <row r="27351" spans="104:111">
      <c r="CZ27351" s="256"/>
      <c r="DG27351" s="256"/>
    </row>
    <row r="27352" spans="104:111">
      <c r="CZ27352" s="256"/>
      <c r="DG27352" s="256"/>
    </row>
    <row r="27353" spans="104:111">
      <c r="CZ27353" s="256"/>
      <c r="DG27353" s="256"/>
    </row>
    <row r="27354" spans="104:111">
      <c r="CZ27354" s="256"/>
      <c r="DG27354" s="256"/>
    </row>
    <row r="27355" spans="104:111">
      <c r="CZ27355" s="256"/>
      <c r="DG27355" s="256"/>
    </row>
    <row r="27356" spans="104:111">
      <c r="CZ27356" s="256"/>
      <c r="DG27356" s="256"/>
    </row>
    <row r="27357" spans="104:111">
      <c r="CZ27357" s="256"/>
      <c r="DG27357" s="256"/>
    </row>
    <row r="27358" spans="104:111">
      <c r="CZ27358" s="256"/>
      <c r="DG27358" s="256"/>
    </row>
    <row r="27359" spans="104:111">
      <c r="CZ27359" s="256"/>
      <c r="DG27359" s="256"/>
    </row>
    <row r="27360" spans="104:111">
      <c r="CZ27360" s="256"/>
      <c r="DG27360" s="256"/>
    </row>
    <row r="27361" spans="104:111">
      <c r="CZ27361" s="256"/>
      <c r="DG27361" s="256"/>
    </row>
    <row r="27362" spans="104:111">
      <c r="CZ27362" s="256"/>
      <c r="DG27362" s="256"/>
    </row>
    <row r="27363" spans="104:111">
      <c r="CZ27363" s="256"/>
      <c r="DG27363" s="256"/>
    </row>
    <row r="27364" spans="104:111">
      <c r="CZ27364" s="256"/>
      <c r="DG27364" s="256"/>
    </row>
    <row r="27365" spans="104:111">
      <c r="CZ27365" s="256"/>
      <c r="DG27365" s="256"/>
    </row>
    <row r="27366" spans="104:111">
      <c r="CZ27366" s="256"/>
      <c r="DG27366" s="256"/>
    </row>
    <row r="27367" spans="104:111">
      <c r="CZ27367" s="256"/>
      <c r="DG27367" s="256"/>
    </row>
    <row r="27368" spans="104:111">
      <c r="CZ27368" s="256"/>
      <c r="DG27368" s="256"/>
    </row>
    <row r="27369" spans="104:111">
      <c r="CZ27369" s="256"/>
      <c r="DG27369" s="256"/>
    </row>
    <row r="27370" spans="104:111">
      <c r="CZ27370" s="256"/>
      <c r="DG27370" s="256"/>
    </row>
    <row r="27371" spans="104:111">
      <c r="CZ27371" s="256"/>
      <c r="DG27371" s="256"/>
    </row>
    <row r="27372" spans="104:111">
      <c r="CZ27372" s="256"/>
      <c r="DG27372" s="256"/>
    </row>
    <row r="27373" spans="104:111">
      <c r="CZ27373" s="256"/>
      <c r="DG27373" s="256"/>
    </row>
    <row r="27374" spans="104:111">
      <c r="CZ27374" s="256"/>
      <c r="DG27374" s="256"/>
    </row>
    <row r="27375" spans="104:111">
      <c r="CZ27375" s="256"/>
      <c r="DG27375" s="256"/>
    </row>
    <row r="27376" spans="104:111">
      <c r="CZ27376" s="256"/>
      <c r="DG27376" s="256"/>
    </row>
    <row r="27377" spans="104:111">
      <c r="CZ27377" s="256"/>
      <c r="DG27377" s="256"/>
    </row>
    <row r="27378" spans="104:111">
      <c r="CZ27378" s="256"/>
      <c r="DG27378" s="256"/>
    </row>
    <row r="27379" spans="104:111">
      <c r="CZ27379" s="256"/>
      <c r="DG27379" s="256"/>
    </row>
    <row r="27380" spans="104:111">
      <c r="CZ27380" s="256"/>
      <c r="DG27380" s="256"/>
    </row>
    <row r="27381" spans="104:111">
      <c r="CZ27381" s="256"/>
      <c r="DG27381" s="256"/>
    </row>
    <row r="27382" spans="104:111">
      <c r="CZ27382" s="256"/>
      <c r="DG27382" s="256"/>
    </row>
    <row r="27383" spans="104:111">
      <c r="CZ27383" s="256"/>
      <c r="DG27383" s="256"/>
    </row>
    <row r="27384" spans="104:111">
      <c r="CZ27384" s="256"/>
      <c r="DG27384" s="256"/>
    </row>
    <row r="27385" spans="104:111">
      <c r="CZ27385" s="256"/>
      <c r="DG27385" s="256"/>
    </row>
    <row r="27386" spans="104:111">
      <c r="CZ27386" s="256"/>
      <c r="DG27386" s="256"/>
    </row>
    <row r="27387" spans="104:111">
      <c r="CZ27387" s="256"/>
      <c r="DG27387" s="256"/>
    </row>
    <row r="27388" spans="104:111">
      <c r="CZ27388" s="256"/>
      <c r="DG27388" s="256"/>
    </row>
    <row r="27389" spans="104:111">
      <c r="CZ27389" s="256"/>
      <c r="DG27389" s="256"/>
    </row>
    <row r="27390" spans="104:111">
      <c r="CZ27390" s="256"/>
      <c r="DG27390" s="256"/>
    </row>
    <row r="27391" spans="104:111">
      <c r="CZ27391" s="256"/>
      <c r="DG27391" s="256"/>
    </row>
    <row r="27392" spans="104:111">
      <c r="CZ27392" s="256"/>
      <c r="DG27392" s="256"/>
    </row>
    <row r="27393" spans="104:111">
      <c r="CZ27393" s="256"/>
      <c r="DG27393" s="256"/>
    </row>
    <row r="27394" spans="104:111">
      <c r="CZ27394" s="256"/>
      <c r="DG27394" s="256"/>
    </row>
    <row r="27395" spans="104:111">
      <c r="CZ27395" s="256"/>
      <c r="DG27395" s="256"/>
    </row>
    <row r="27396" spans="104:111">
      <c r="CZ27396" s="256"/>
      <c r="DG27396" s="256"/>
    </row>
    <row r="27397" spans="104:111">
      <c r="CZ27397" s="256"/>
      <c r="DG27397" s="256"/>
    </row>
    <row r="27398" spans="104:111">
      <c r="CZ27398" s="256"/>
      <c r="DG27398" s="256"/>
    </row>
    <row r="27399" spans="104:111">
      <c r="CZ27399" s="256"/>
      <c r="DG27399" s="256"/>
    </row>
    <row r="27400" spans="104:111">
      <c r="CZ27400" s="256"/>
      <c r="DG27400" s="256"/>
    </row>
    <row r="27401" spans="104:111">
      <c r="CZ27401" s="256"/>
      <c r="DG27401" s="256"/>
    </row>
    <row r="27402" spans="104:111">
      <c r="CZ27402" s="256"/>
      <c r="DG27402" s="256"/>
    </row>
    <row r="27403" spans="104:111">
      <c r="CZ27403" s="256"/>
      <c r="DG27403" s="256"/>
    </row>
    <row r="27404" spans="104:111">
      <c r="CZ27404" s="256"/>
      <c r="DG27404" s="256"/>
    </row>
    <row r="27405" spans="104:111">
      <c r="CZ27405" s="256"/>
      <c r="DG27405" s="256"/>
    </row>
    <row r="27406" spans="104:111">
      <c r="CZ27406" s="256"/>
      <c r="DG27406" s="256"/>
    </row>
    <row r="27407" spans="104:111">
      <c r="CZ27407" s="256"/>
      <c r="DG27407" s="256"/>
    </row>
    <row r="27408" spans="104:111">
      <c r="CZ27408" s="256"/>
      <c r="DG27408" s="256"/>
    </row>
    <row r="27409" spans="104:111">
      <c r="CZ27409" s="256"/>
      <c r="DG27409" s="256"/>
    </row>
    <row r="27410" spans="104:111">
      <c r="CZ27410" s="256"/>
      <c r="DG27410" s="256"/>
    </row>
    <row r="27411" spans="104:111">
      <c r="CZ27411" s="256"/>
      <c r="DG27411" s="256"/>
    </row>
    <row r="27412" spans="104:111">
      <c r="CZ27412" s="256"/>
      <c r="DG27412" s="256"/>
    </row>
    <row r="27413" spans="104:111">
      <c r="CZ27413" s="256"/>
      <c r="DG27413" s="256"/>
    </row>
    <row r="27414" spans="104:111">
      <c r="CZ27414" s="256"/>
      <c r="DG27414" s="256"/>
    </row>
    <row r="27415" spans="104:111">
      <c r="CZ27415" s="256"/>
      <c r="DG27415" s="256"/>
    </row>
    <row r="27416" spans="104:111">
      <c r="CZ27416" s="256"/>
      <c r="DG27416" s="256"/>
    </row>
    <row r="27417" spans="104:111">
      <c r="CZ27417" s="256"/>
      <c r="DG27417" s="256"/>
    </row>
    <row r="27418" spans="104:111">
      <c r="CZ27418" s="256"/>
      <c r="DG27418" s="256"/>
    </row>
    <row r="27419" spans="104:111">
      <c r="CZ27419" s="256"/>
      <c r="DG27419" s="256"/>
    </row>
    <row r="27420" spans="104:111">
      <c r="CZ27420" s="256"/>
      <c r="DG27420" s="256"/>
    </row>
    <row r="27421" spans="104:111">
      <c r="CZ27421" s="256"/>
      <c r="DG27421" s="256"/>
    </row>
    <row r="27422" spans="104:111">
      <c r="CZ27422" s="256"/>
      <c r="DG27422" s="256"/>
    </row>
    <row r="27423" spans="104:111">
      <c r="CZ27423" s="256"/>
      <c r="DG27423" s="256"/>
    </row>
    <row r="27424" spans="104:111">
      <c r="CZ27424" s="256"/>
      <c r="DG27424" s="256"/>
    </row>
    <row r="27425" spans="104:111">
      <c r="CZ27425" s="256"/>
      <c r="DG27425" s="256"/>
    </row>
    <row r="27426" spans="104:111">
      <c r="CZ27426" s="256"/>
      <c r="DG27426" s="256"/>
    </row>
    <row r="27427" spans="104:111">
      <c r="CZ27427" s="256"/>
      <c r="DG27427" s="256"/>
    </row>
    <row r="27428" spans="104:111">
      <c r="CZ27428" s="256"/>
      <c r="DG27428" s="256"/>
    </row>
    <row r="27429" spans="104:111">
      <c r="CZ27429" s="256"/>
      <c r="DG27429" s="256"/>
    </row>
    <row r="27430" spans="104:111">
      <c r="CZ27430" s="256"/>
      <c r="DG27430" s="256"/>
    </row>
    <row r="27431" spans="104:111">
      <c r="CZ27431" s="256"/>
      <c r="DG27431" s="256"/>
    </row>
    <row r="27432" spans="104:111">
      <c r="CZ27432" s="256"/>
      <c r="DG27432" s="256"/>
    </row>
    <row r="27433" spans="104:111">
      <c r="CZ27433" s="256"/>
      <c r="DG27433" s="256"/>
    </row>
    <row r="27434" spans="104:111">
      <c r="CZ27434" s="256"/>
      <c r="DG27434" s="256"/>
    </row>
    <row r="27435" spans="104:111">
      <c r="CZ27435" s="256"/>
      <c r="DG27435" s="256"/>
    </row>
    <row r="27436" spans="104:111">
      <c r="CZ27436" s="256"/>
      <c r="DG27436" s="256"/>
    </row>
    <row r="27437" spans="104:111">
      <c r="CZ27437" s="256"/>
      <c r="DG27437" s="256"/>
    </row>
    <row r="27438" spans="104:111">
      <c r="CZ27438" s="256"/>
      <c r="DG27438" s="256"/>
    </row>
    <row r="27439" spans="104:111">
      <c r="CZ27439" s="256"/>
      <c r="DG27439" s="256"/>
    </row>
    <row r="27440" spans="104:111">
      <c r="CZ27440" s="256"/>
      <c r="DG27440" s="256"/>
    </row>
    <row r="27441" spans="104:111">
      <c r="CZ27441" s="256"/>
      <c r="DG27441" s="256"/>
    </row>
    <row r="27442" spans="104:111">
      <c r="CZ27442" s="256"/>
      <c r="DG27442" s="256"/>
    </row>
    <row r="27443" spans="104:111">
      <c r="CZ27443" s="256"/>
      <c r="DG27443" s="256"/>
    </row>
    <row r="27444" spans="104:111">
      <c r="CZ27444" s="256"/>
      <c r="DG27444" s="256"/>
    </row>
    <row r="27445" spans="104:111">
      <c r="CZ27445" s="256"/>
      <c r="DG27445" s="256"/>
    </row>
    <row r="27446" spans="104:111">
      <c r="CZ27446" s="256"/>
      <c r="DG27446" s="256"/>
    </row>
    <row r="27447" spans="104:111">
      <c r="CZ27447" s="256"/>
      <c r="DG27447" s="256"/>
    </row>
    <row r="27448" spans="104:111">
      <c r="CZ27448" s="256"/>
      <c r="DG27448" s="256"/>
    </row>
    <row r="27449" spans="104:111">
      <c r="CZ27449" s="256"/>
      <c r="DG27449" s="256"/>
    </row>
    <row r="27450" spans="104:111">
      <c r="CZ27450" s="256"/>
      <c r="DG27450" s="256"/>
    </row>
    <row r="27451" spans="104:111">
      <c r="CZ27451" s="256"/>
      <c r="DG27451" s="256"/>
    </row>
    <row r="27452" spans="104:111">
      <c r="CZ27452" s="256"/>
      <c r="DG27452" s="256"/>
    </row>
    <row r="27453" spans="104:111">
      <c r="CZ27453" s="256"/>
      <c r="DG27453" s="256"/>
    </row>
    <row r="27454" spans="104:111">
      <c r="CZ27454" s="256"/>
      <c r="DG27454" s="256"/>
    </row>
    <row r="27455" spans="104:111">
      <c r="CZ27455" s="256"/>
      <c r="DG27455" s="256"/>
    </row>
    <row r="27456" spans="104:111">
      <c r="CZ27456" s="256"/>
      <c r="DG27456" s="256"/>
    </row>
    <row r="27457" spans="104:111">
      <c r="CZ27457" s="256"/>
      <c r="DG27457" s="256"/>
    </row>
    <row r="27458" spans="104:111">
      <c r="CZ27458" s="256"/>
      <c r="DG27458" s="256"/>
    </row>
    <row r="27459" spans="104:111">
      <c r="CZ27459" s="256"/>
      <c r="DG27459" s="256"/>
    </row>
    <row r="27460" spans="104:111">
      <c r="CZ27460" s="256"/>
      <c r="DG27460" s="256"/>
    </row>
    <row r="27461" spans="104:111">
      <c r="CZ27461" s="256"/>
      <c r="DG27461" s="256"/>
    </row>
    <row r="27462" spans="104:111">
      <c r="CZ27462" s="256"/>
      <c r="DG27462" s="256"/>
    </row>
    <row r="27463" spans="104:111">
      <c r="CZ27463" s="256"/>
      <c r="DG27463" s="256"/>
    </row>
    <row r="27464" spans="104:111">
      <c r="CZ27464" s="256"/>
      <c r="DG27464" s="256"/>
    </row>
    <row r="27465" spans="104:111">
      <c r="CZ27465" s="256"/>
      <c r="DG27465" s="256"/>
    </row>
    <row r="27466" spans="104:111">
      <c r="CZ27466" s="256"/>
      <c r="DG27466" s="256"/>
    </row>
    <row r="27467" spans="104:111">
      <c r="CZ27467" s="256"/>
      <c r="DG27467" s="256"/>
    </row>
    <row r="27468" spans="104:111">
      <c r="CZ27468" s="256"/>
      <c r="DG27468" s="256"/>
    </row>
    <row r="27469" spans="104:111">
      <c r="CZ27469" s="256"/>
      <c r="DG27469" s="256"/>
    </row>
    <row r="27470" spans="104:111">
      <c r="CZ27470" s="256"/>
      <c r="DG27470" s="256"/>
    </row>
    <row r="27471" spans="104:111">
      <c r="CZ27471" s="256"/>
      <c r="DG27471" s="256"/>
    </row>
    <row r="27472" spans="104:111">
      <c r="CZ27472" s="256"/>
      <c r="DG27472" s="256"/>
    </row>
    <row r="27473" spans="104:111">
      <c r="CZ27473" s="256"/>
      <c r="DG27473" s="256"/>
    </row>
    <row r="27474" spans="104:111">
      <c r="CZ27474" s="256"/>
      <c r="DG27474" s="256"/>
    </row>
    <row r="27475" spans="104:111">
      <c r="CZ27475" s="256"/>
      <c r="DG27475" s="256"/>
    </row>
    <row r="27476" spans="104:111">
      <c r="CZ27476" s="256"/>
      <c r="DG27476" s="256"/>
    </row>
    <row r="27477" spans="104:111">
      <c r="CZ27477" s="256"/>
      <c r="DG27477" s="256"/>
    </row>
    <row r="27478" spans="104:111">
      <c r="CZ27478" s="256"/>
      <c r="DG27478" s="256"/>
    </row>
    <row r="27479" spans="104:111">
      <c r="CZ27479" s="256"/>
      <c r="DG27479" s="256"/>
    </row>
    <row r="27480" spans="104:111">
      <c r="CZ27480" s="256"/>
      <c r="DG27480" s="256"/>
    </row>
    <row r="27481" spans="104:111">
      <c r="CZ27481" s="256"/>
      <c r="DG27481" s="256"/>
    </row>
    <row r="27482" spans="104:111">
      <c r="CZ27482" s="256"/>
      <c r="DG27482" s="256"/>
    </row>
    <row r="27483" spans="104:111">
      <c r="CZ27483" s="256"/>
      <c r="DG27483" s="256"/>
    </row>
    <row r="27484" spans="104:111">
      <c r="CZ27484" s="256"/>
      <c r="DG27484" s="256"/>
    </row>
    <row r="27485" spans="104:111">
      <c r="CZ27485" s="256"/>
      <c r="DG27485" s="256"/>
    </row>
    <row r="27486" spans="104:111">
      <c r="CZ27486" s="256"/>
      <c r="DG27486" s="256"/>
    </row>
    <row r="27487" spans="104:111">
      <c r="CZ27487" s="256"/>
      <c r="DG27487" s="256"/>
    </row>
    <row r="27488" spans="104:111">
      <c r="CZ27488" s="256"/>
      <c r="DG27488" s="256"/>
    </row>
    <row r="27489" spans="104:111">
      <c r="CZ27489" s="256"/>
      <c r="DG27489" s="256"/>
    </row>
    <row r="27490" spans="104:111">
      <c r="CZ27490" s="256"/>
      <c r="DG27490" s="256"/>
    </row>
    <row r="27491" spans="104:111">
      <c r="CZ27491" s="256"/>
      <c r="DG27491" s="256"/>
    </row>
    <row r="27492" spans="104:111">
      <c r="CZ27492" s="256"/>
      <c r="DG27492" s="256"/>
    </row>
    <row r="27493" spans="104:111">
      <c r="CZ27493" s="256"/>
      <c r="DG27493" s="256"/>
    </row>
    <row r="27494" spans="104:111">
      <c r="CZ27494" s="256"/>
      <c r="DG27494" s="256"/>
    </row>
    <row r="27495" spans="104:111">
      <c r="CZ27495" s="256"/>
      <c r="DG27495" s="256"/>
    </row>
    <row r="27496" spans="104:111">
      <c r="CZ27496" s="256"/>
      <c r="DG27496" s="256"/>
    </row>
    <row r="27497" spans="104:111">
      <c r="CZ27497" s="256"/>
      <c r="DG27497" s="256"/>
    </row>
    <row r="27498" spans="104:111">
      <c r="CZ27498" s="256"/>
      <c r="DG27498" s="256"/>
    </row>
    <row r="27499" spans="104:111">
      <c r="CZ27499" s="256"/>
      <c r="DG27499" s="256"/>
    </row>
    <row r="27500" spans="104:111">
      <c r="CZ27500" s="256"/>
      <c r="DG27500" s="256"/>
    </row>
    <row r="27501" spans="104:111">
      <c r="CZ27501" s="256"/>
      <c r="DG27501" s="256"/>
    </row>
    <row r="27502" spans="104:111">
      <c r="CZ27502" s="256"/>
      <c r="DG27502" s="256"/>
    </row>
    <row r="27503" spans="104:111">
      <c r="CZ27503" s="256"/>
      <c r="DG27503" s="256"/>
    </row>
    <row r="27504" spans="104:111">
      <c r="CZ27504" s="256"/>
      <c r="DG27504" s="256"/>
    </row>
    <row r="27505" spans="104:111">
      <c r="CZ27505" s="256"/>
      <c r="DG27505" s="256"/>
    </row>
    <row r="27506" spans="104:111">
      <c r="CZ27506" s="256"/>
      <c r="DG27506" s="256"/>
    </row>
    <row r="27507" spans="104:111">
      <c r="CZ27507" s="256"/>
      <c r="DG27507" s="256"/>
    </row>
    <row r="27508" spans="104:111">
      <c r="CZ27508" s="256"/>
      <c r="DG27508" s="256"/>
    </row>
    <row r="27509" spans="104:111">
      <c r="CZ27509" s="256"/>
      <c r="DG27509" s="256"/>
    </row>
    <row r="27510" spans="104:111">
      <c r="CZ27510" s="256"/>
      <c r="DG27510" s="256"/>
    </row>
    <row r="27511" spans="104:111">
      <c r="CZ27511" s="256"/>
      <c r="DG27511" s="256"/>
    </row>
    <row r="27512" spans="104:111">
      <c r="CZ27512" s="256"/>
      <c r="DG27512" s="256"/>
    </row>
    <row r="27513" spans="104:111">
      <c r="CZ27513" s="256"/>
      <c r="DG27513" s="256"/>
    </row>
    <row r="27514" spans="104:111">
      <c r="CZ27514" s="256"/>
      <c r="DG27514" s="256"/>
    </row>
    <row r="27515" spans="104:111">
      <c r="CZ27515" s="256"/>
      <c r="DG27515" s="256"/>
    </row>
    <row r="27516" spans="104:111">
      <c r="CZ27516" s="256"/>
      <c r="DG27516" s="256"/>
    </row>
    <row r="27517" spans="104:111">
      <c r="CZ27517" s="256"/>
      <c r="DG27517" s="256"/>
    </row>
    <row r="27518" spans="104:111">
      <c r="CZ27518" s="256"/>
      <c r="DG27518" s="256"/>
    </row>
    <row r="27519" spans="104:111">
      <c r="CZ27519" s="256"/>
      <c r="DG27519" s="256"/>
    </row>
    <row r="27520" spans="104:111">
      <c r="CZ27520" s="256"/>
      <c r="DG27520" s="256"/>
    </row>
    <row r="27521" spans="104:111">
      <c r="CZ27521" s="256"/>
      <c r="DG27521" s="256"/>
    </row>
    <row r="27522" spans="104:111">
      <c r="CZ27522" s="256"/>
      <c r="DG27522" s="256"/>
    </row>
    <row r="27523" spans="104:111">
      <c r="CZ27523" s="256"/>
      <c r="DG27523" s="256"/>
    </row>
    <row r="27524" spans="104:111">
      <c r="CZ27524" s="256"/>
      <c r="DG27524" s="256"/>
    </row>
    <row r="27525" spans="104:111">
      <c r="CZ27525" s="256"/>
      <c r="DG27525" s="256"/>
    </row>
    <row r="27526" spans="104:111">
      <c r="CZ27526" s="256"/>
      <c r="DG27526" s="256"/>
    </row>
    <row r="27527" spans="104:111">
      <c r="CZ27527" s="256"/>
      <c r="DG27527" s="256"/>
    </row>
    <row r="27528" spans="104:111">
      <c r="CZ27528" s="256"/>
      <c r="DG27528" s="256"/>
    </row>
    <row r="27529" spans="104:111">
      <c r="CZ27529" s="256"/>
      <c r="DG27529" s="256"/>
    </row>
    <row r="27530" spans="104:111">
      <c r="CZ27530" s="256"/>
      <c r="DG27530" s="256"/>
    </row>
    <row r="27531" spans="104:111">
      <c r="CZ27531" s="256"/>
      <c r="DG27531" s="256"/>
    </row>
    <row r="27532" spans="104:111">
      <c r="CZ27532" s="256"/>
      <c r="DG27532" s="256"/>
    </row>
    <row r="27533" spans="104:111">
      <c r="CZ27533" s="256"/>
      <c r="DG27533" s="256"/>
    </row>
    <row r="27534" spans="104:111">
      <c r="CZ27534" s="256"/>
      <c r="DG27534" s="256"/>
    </row>
    <row r="27535" spans="104:111">
      <c r="CZ27535" s="256"/>
      <c r="DG27535" s="256"/>
    </row>
    <row r="27536" spans="104:111">
      <c r="CZ27536" s="256"/>
      <c r="DG27536" s="256"/>
    </row>
    <row r="27537" spans="104:111">
      <c r="CZ27537" s="256"/>
      <c r="DG27537" s="256"/>
    </row>
    <row r="27538" spans="104:111">
      <c r="CZ27538" s="256"/>
      <c r="DG27538" s="256"/>
    </row>
    <row r="27539" spans="104:111">
      <c r="CZ27539" s="256"/>
      <c r="DG27539" s="256"/>
    </row>
    <row r="27540" spans="104:111">
      <c r="CZ27540" s="256"/>
      <c r="DG27540" s="256"/>
    </row>
    <row r="27541" spans="104:111">
      <c r="CZ27541" s="256"/>
      <c r="DG27541" s="256"/>
    </row>
    <row r="27542" spans="104:111">
      <c r="CZ27542" s="256"/>
      <c r="DG27542" s="256"/>
    </row>
    <row r="27543" spans="104:111">
      <c r="CZ27543" s="256"/>
      <c r="DG27543" s="256"/>
    </row>
    <row r="27544" spans="104:111">
      <c r="CZ27544" s="256"/>
      <c r="DG27544" s="256"/>
    </row>
    <row r="27545" spans="104:111">
      <c r="CZ27545" s="256"/>
      <c r="DG27545" s="256"/>
    </row>
    <row r="27546" spans="104:111">
      <c r="CZ27546" s="256"/>
      <c r="DG27546" s="256"/>
    </row>
    <row r="27547" spans="104:111">
      <c r="CZ27547" s="256"/>
      <c r="DG27547" s="256"/>
    </row>
    <row r="27548" spans="104:111">
      <c r="CZ27548" s="256"/>
      <c r="DG27548" s="256"/>
    </row>
    <row r="27549" spans="104:111">
      <c r="CZ27549" s="256"/>
      <c r="DG27549" s="256"/>
    </row>
    <row r="27550" spans="104:111">
      <c r="CZ27550" s="256"/>
      <c r="DG27550" s="256"/>
    </row>
    <row r="27551" spans="104:111">
      <c r="CZ27551" s="256"/>
      <c r="DG27551" s="256"/>
    </row>
    <row r="27552" spans="104:111">
      <c r="CZ27552" s="256"/>
      <c r="DG27552" s="256"/>
    </row>
    <row r="27553" spans="104:111">
      <c r="CZ27553" s="256"/>
      <c r="DG27553" s="256"/>
    </row>
    <row r="27554" spans="104:111">
      <c r="CZ27554" s="256"/>
      <c r="DG27554" s="256"/>
    </row>
    <row r="27555" spans="104:111">
      <c r="CZ27555" s="256"/>
      <c r="DG27555" s="256"/>
    </row>
    <row r="27556" spans="104:111">
      <c r="CZ27556" s="256"/>
      <c r="DG27556" s="256"/>
    </row>
    <row r="27557" spans="104:111">
      <c r="CZ27557" s="256"/>
      <c r="DG27557" s="256"/>
    </row>
    <row r="27558" spans="104:111">
      <c r="CZ27558" s="256"/>
      <c r="DG27558" s="256"/>
    </row>
    <row r="27559" spans="104:111">
      <c r="CZ27559" s="256"/>
      <c r="DG27559" s="256"/>
    </row>
    <row r="27560" spans="104:111">
      <c r="CZ27560" s="256"/>
      <c r="DG27560" s="256"/>
    </row>
    <row r="27561" spans="104:111">
      <c r="CZ27561" s="256"/>
      <c r="DG27561" s="256"/>
    </row>
    <row r="27562" spans="104:111">
      <c r="CZ27562" s="256"/>
      <c r="DG27562" s="256"/>
    </row>
    <row r="27563" spans="104:111">
      <c r="CZ27563" s="256"/>
      <c r="DG27563" s="256"/>
    </row>
    <row r="27564" spans="104:111">
      <c r="CZ27564" s="256"/>
      <c r="DG27564" s="256"/>
    </row>
    <row r="27565" spans="104:111">
      <c r="CZ27565" s="256"/>
      <c r="DG27565" s="256"/>
    </row>
    <row r="27566" spans="104:111">
      <c r="CZ27566" s="256"/>
      <c r="DG27566" s="256"/>
    </row>
    <row r="27567" spans="104:111">
      <c r="CZ27567" s="256"/>
      <c r="DG27567" s="256"/>
    </row>
    <row r="27568" spans="104:111">
      <c r="CZ27568" s="256"/>
      <c r="DG27568" s="256"/>
    </row>
    <row r="27569" spans="104:111">
      <c r="CZ27569" s="256"/>
      <c r="DG27569" s="256"/>
    </row>
    <row r="27570" spans="104:111">
      <c r="CZ27570" s="256"/>
      <c r="DG27570" s="256"/>
    </row>
    <row r="27571" spans="104:111">
      <c r="CZ27571" s="256"/>
      <c r="DG27571" s="256"/>
    </row>
    <row r="27572" spans="104:111">
      <c r="CZ27572" s="256"/>
      <c r="DG27572" s="256"/>
    </row>
    <row r="27573" spans="104:111">
      <c r="CZ27573" s="256"/>
      <c r="DG27573" s="256"/>
    </row>
    <row r="27574" spans="104:111">
      <c r="CZ27574" s="256"/>
      <c r="DG27574" s="256"/>
    </row>
    <row r="27575" spans="104:111">
      <c r="CZ27575" s="256"/>
      <c r="DG27575" s="256"/>
    </row>
    <row r="27576" spans="104:111">
      <c r="CZ27576" s="256"/>
      <c r="DG27576" s="256"/>
    </row>
    <row r="27577" spans="104:111">
      <c r="CZ27577" s="256"/>
      <c r="DG27577" s="256"/>
    </row>
    <row r="27578" spans="104:111">
      <c r="CZ27578" s="256"/>
      <c r="DG27578" s="256"/>
    </row>
    <row r="27579" spans="104:111">
      <c r="CZ27579" s="256"/>
      <c r="DG27579" s="256"/>
    </row>
    <row r="27580" spans="104:111">
      <c r="CZ27580" s="256"/>
      <c r="DG27580" s="256"/>
    </row>
    <row r="27581" spans="104:111">
      <c r="CZ27581" s="256"/>
      <c r="DG27581" s="256"/>
    </row>
    <row r="27582" spans="104:111">
      <c r="CZ27582" s="256"/>
      <c r="DG27582" s="256"/>
    </row>
    <row r="27583" spans="104:111">
      <c r="CZ27583" s="256"/>
      <c r="DG27583" s="256"/>
    </row>
    <row r="27584" spans="104:111">
      <c r="CZ27584" s="256"/>
      <c r="DG27584" s="256"/>
    </row>
    <row r="27585" spans="104:111">
      <c r="CZ27585" s="256"/>
      <c r="DG27585" s="256"/>
    </row>
    <row r="27586" spans="104:111">
      <c r="CZ27586" s="256"/>
      <c r="DG27586" s="256"/>
    </row>
    <row r="27587" spans="104:111">
      <c r="CZ27587" s="256"/>
      <c r="DG27587" s="256"/>
    </row>
    <row r="27588" spans="104:111">
      <c r="CZ27588" s="256"/>
      <c r="DG27588" s="256"/>
    </row>
    <row r="27589" spans="104:111">
      <c r="CZ27589" s="256"/>
      <c r="DG27589" s="256"/>
    </row>
    <row r="27590" spans="104:111">
      <c r="CZ27590" s="256"/>
      <c r="DG27590" s="256"/>
    </row>
    <row r="27591" spans="104:111">
      <c r="CZ27591" s="256"/>
      <c r="DG27591" s="256"/>
    </row>
    <row r="27592" spans="104:111">
      <c r="CZ27592" s="256"/>
      <c r="DG27592" s="256"/>
    </row>
    <row r="27593" spans="104:111">
      <c r="CZ27593" s="256"/>
      <c r="DG27593" s="256"/>
    </row>
    <row r="27594" spans="104:111">
      <c r="CZ27594" s="256"/>
      <c r="DG27594" s="256"/>
    </row>
    <row r="27595" spans="104:111">
      <c r="CZ27595" s="256"/>
      <c r="DG27595" s="256"/>
    </row>
    <row r="27596" spans="104:111">
      <c r="CZ27596" s="256"/>
      <c r="DG27596" s="256"/>
    </row>
    <row r="27597" spans="104:111">
      <c r="CZ27597" s="256"/>
      <c r="DG27597" s="256"/>
    </row>
    <row r="27598" spans="104:111">
      <c r="CZ27598" s="256"/>
      <c r="DG27598" s="256"/>
    </row>
    <row r="27599" spans="104:111">
      <c r="CZ27599" s="256"/>
      <c r="DG27599" s="256"/>
    </row>
    <row r="27600" spans="104:111">
      <c r="CZ27600" s="256"/>
      <c r="DG27600" s="256"/>
    </row>
    <row r="27601" spans="104:111">
      <c r="CZ27601" s="256"/>
      <c r="DG27601" s="256"/>
    </row>
    <row r="27602" spans="104:111">
      <c r="CZ27602" s="256"/>
      <c r="DG27602" s="256"/>
    </row>
    <row r="27603" spans="104:111">
      <c r="CZ27603" s="256"/>
      <c r="DG27603" s="256"/>
    </row>
    <row r="27604" spans="104:111">
      <c r="CZ27604" s="256"/>
      <c r="DG27604" s="256"/>
    </row>
    <row r="27605" spans="104:111">
      <c r="CZ27605" s="256"/>
      <c r="DG27605" s="256"/>
    </row>
    <row r="27606" spans="104:111">
      <c r="CZ27606" s="256"/>
      <c r="DG27606" s="256"/>
    </row>
    <row r="27607" spans="104:111">
      <c r="CZ27607" s="256"/>
      <c r="DG27607" s="256"/>
    </row>
    <row r="27608" spans="104:111">
      <c r="CZ27608" s="256"/>
      <c r="DG27608" s="256"/>
    </row>
    <row r="27609" spans="104:111">
      <c r="CZ27609" s="256"/>
      <c r="DG27609" s="256"/>
    </row>
    <row r="27610" spans="104:111">
      <c r="CZ27610" s="256"/>
      <c r="DG27610" s="256"/>
    </row>
    <row r="27611" spans="104:111">
      <c r="CZ27611" s="256"/>
      <c r="DG27611" s="256"/>
    </row>
    <row r="27612" spans="104:111">
      <c r="CZ27612" s="256"/>
      <c r="DG27612" s="256"/>
    </row>
    <row r="27613" spans="104:111">
      <c r="CZ27613" s="256"/>
      <c r="DG27613" s="256"/>
    </row>
    <row r="27614" spans="104:111">
      <c r="CZ27614" s="256"/>
      <c r="DG27614" s="256"/>
    </row>
    <row r="27615" spans="104:111">
      <c r="CZ27615" s="256"/>
      <c r="DG27615" s="256"/>
    </row>
    <row r="27616" spans="104:111">
      <c r="CZ27616" s="256"/>
      <c r="DG27616" s="256"/>
    </row>
    <row r="27617" spans="104:111">
      <c r="CZ27617" s="256"/>
      <c r="DG27617" s="256"/>
    </row>
    <row r="27618" spans="104:111">
      <c r="CZ27618" s="256"/>
      <c r="DG27618" s="256"/>
    </row>
    <row r="27619" spans="104:111">
      <c r="CZ27619" s="256"/>
      <c r="DG27619" s="256"/>
    </row>
    <row r="27620" spans="104:111">
      <c r="CZ27620" s="256"/>
      <c r="DG27620" s="256"/>
    </row>
    <row r="27621" spans="104:111">
      <c r="CZ27621" s="256"/>
      <c r="DG27621" s="256"/>
    </row>
    <row r="27622" spans="104:111">
      <c r="CZ27622" s="256"/>
      <c r="DG27622" s="256"/>
    </row>
    <row r="27623" spans="104:111">
      <c r="CZ27623" s="256"/>
      <c r="DG27623" s="256"/>
    </row>
    <row r="27624" spans="104:111">
      <c r="CZ27624" s="256"/>
      <c r="DG27624" s="256"/>
    </row>
    <row r="27625" spans="104:111">
      <c r="CZ27625" s="256"/>
      <c r="DG27625" s="256"/>
    </row>
    <row r="27626" spans="104:111">
      <c r="CZ27626" s="256"/>
      <c r="DG27626" s="256"/>
    </row>
    <row r="27627" spans="104:111">
      <c r="CZ27627" s="256"/>
      <c r="DG27627" s="256"/>
    </row>
    <row r="27628" spans="104:111">
      <c r="CZ27628" s="256"/>
      <c r="DG27628" s="256"/>
    </row>
    <row r="27629" spans="104:111">
      <c r="CZ27629" s="256"/>
      <c r="DG27629" s="256"/>
    </row>
    <row r="27630" spans="104:111">
      <c r="CZ27630" s="256"/>
      <c r="DG27630" s="256"/>
    </row>
    <row r="27631" spans="104:111">
      <c r="CZ27631" s="256"/>
      <c r="DG27631" s="256"/>
    </row>
    <row r="27632" spans="104:111">
      <c r="CZ27632" s="256"/>
      <c r="DG27632" s="256"/>
    </row>
    <row r="27633" spans="104:111">
      <c r="CZ27633" s="256"/>
      <c r="DG27633" s="256"/>
    </row>
    <row r="27634" spans="104:111">
      <c r="CZ27634" s="256"/>
      <c r="DG27634" s="256"/>
    </row>
    <row r="27635" spans="104:111">
      <c r="CZ27635" s="256"/>
      <c r="DG27635" s="256"/>
    </row>
    <row r="27636" spans="104:111">
      <c r="CZ27636" s="256"/>
      <c r="DG27636" s="256"/>
    </row>
    <row r="27637" spans="104:111">
      <c r="CZ27637" s="256"/>
      <c r="DG27637" s="256"/>
    </row>
    <row r="27638" spans="104:111">
      <c r="CZ27638" s="256"/>
      <c r="DG27638" s="256"/>
    </row>
    <row r="27639" spans="104:111">
      <c r="CZ27639" s="256"/>
      <c r="DG27639" s="256"/>
    </row>
    <row r="27640" spans="104:111">
      <c r="CZ27640" s="256"/>
      <c r="DG27640" s="256"/>
    </row>
    <row r="27641" spans="104:111">
      <c r="CZ27641" s="256"/>
      <c r="DG27641" s="256"/>
    </row>
    <row r="27642" spans="104:111">
      <c r="CZ27642" s="256"/>
      <c r="DG27642" s="256"/>
    </row>
    <row r="27643" spans="104:111">
      <c r="CZ27643" s="256"/>
      <c r="DG27643" s="256"/>
    </row>
    <row r="27644" spans="104:111">
      <c r="CZ27644" s="256"/>
      <c r="DG27644" s="256"/>
    </row>
    <row r="27645" spans="104:111">
      <c r="CZ27645" s="256"/>
      <c r="DG27645" s="256"/>
    </row>
    <row r="27646" spans="104:111">
      <c r="CZ27646" s="256"/>
      <c r="DG27646" s="256"/>
    </row>
    <row r="27647" spans="104:111">
      <c r="CZ27647" s="256"/>
      <c r="DG27647" s="256"/>
    </row>
    <row r="27648" spans="104:111">
      <c r="CZ27648" s="256"/>
      <c r="DG27648" s="256"/>
    </row>
    <row r="27649" spans="104:111">
      <c r="CZ27649" s="256"/>
      <c r="DG27649" s="256"/>
    </row>
    <row r="27650" spans="104:111">
      <c r="CZ27650" s="256"/>
      <c r="DG27650" s="256"/>
    </row>
    <row r="27651" spans="104:111">
      <c r="CZ27651" s="256"/>
      <c r="DG27651" s="256"/>
    </row>
    <row r="27652" spans="104:111">
      <c r="CZ27652" s="256"/>
      <c r="DG27652" s="256"/>
    </row>
    <row r="27653" spans="104:111">
      <c r="CZ27653" s="256"/>
      <c r="DG27653" s="256"/>
    </row>
    <row r="27654" spans="104:111">
      <c r="CZ27654" s="256"/>
      <c r="DG27654" s="256"/>
    </row>
    <row r="27655" spans="104:111">
      <c r="CZ27655" s="256"/>
      <c r="DG27655" s="256"/>
    </row>
    <row r="27656" spans="104:111">
      <c r="CZ27656" s="256"/>
      <c r="DG27656" s="256"/>
    </row>
    <row r="27657" spans="104:111">
      <c r="CZ27657" s="256"/>
      <c r="DG27657" s="256"/>
    </row>
    <row r="27658" spans="104:111">
      <c r="CZ27658" s="256"/>
      <c r="DG27658" s="256"/>
    </row>
    <row r="27659" spans="104:111">
      <c r="CZ27659" s="256"/>
      <c r="DG27659" s="256"/>
    </row>
    <row r="27660" spans="104:111">
      <c r="CZ27660" s="256"/>
      <c r="DG27660" s="256"/>
    </row>
    <row r="27661" spans="104:111">
      <c r="CZ27661" s="256"/>
      <c r="DG27661" s="256"/>
    </row>
    <row r="27662" spans="104:111">
      <c r="CZ27662" s="256"/>
      <c r="DG27662" s="256"/>
    </row>
    <row r="27663" spans="104:111">
      <c r="CZ27663" s="256"/>
      <c r="DG27663" s="256"/>
    </row>
    <row r="27664" spans="104:111">
      <c r="CZ27664" s="256"/>
      <c r="DG27664" s="256"/>
    </row>
    <row r="27665" spans="104:111">
      <c r="CZ27665" s="256"/>
      <c r="DG27665" s="256"/>
    </row>
    <row r="27666" spans="104:111">
      <c r="CZ27666" s="256"/>
      <c r="DG27666" s="256"/>
    </row>
    <row r="27667" spans="104:111">
      <c r="CZ27667" s="256"/>
      <c r="DG27667" s="256"/>
    </row>
    <row r="27668" spans="104:111">
      <c r="CZ27668" s="256"/>
      <c r="DG27668" s="256"/>
    </row>
    <row r="27669" spans="104:111">
      <c r="CZ27669" s="256"/>
      <c r="DG27669" s="256"/>
    </row>
    <row r="27670" spans="104:111">
      <c r="CZ27670" s="256"/>
      <c r="DG27670" s="256"/>
    </row>
    <row r="27671" spans="104:111">
      <c r="CZ27671" s="256"/>
      <c r="DG27671" s="256"/>
    </row>
    <row r="27672" spans="104:111">
      <c r="CZ27672" s="256"/>
      <c r="DG27672" s="256"/>
    </row>
    <row r="27673" spans="104:111">
      <c r="CZ27673" s="256"/>
      <c r="DG27673" s="256"/>
    </row>
    <row r="27674" spans="104:111">
      <c r="CZ27674" s="256"/>
      <c r="DG27674" s="256"/>
    </row>
    <row r="27675" spans="104:111">
      <c r="CZ27675" s="256"/>
      <c r="DG27675" s="256"/>
    </row>
    <row r="27676" spans="104:111">
      <c r="CZ27676" s="256"/>
      <c r="DG27676" s="256"/>
    </row>
    <row r="27677" spans="104:111">
      <c r="CZ27677" s="256"/>
      <c r="DG27677" s="256"/>
    </row>
    <row r="27678" spans="104:111">
      <c r="CZ27678" s="256"/>
      <c r="DG27678" s="256"/>
    </row>
    <row r="27679" spans="104:111">
      <c r="CZ27679" s="256"/>
      <c r="DG27679" s="256"/>
    </row>
    <row r="27680" spans="104:111">
      <c r="CZ27680" s="256"/>
      <c r="DG27680" s="256"/>
    </row>
    <row r="27681" spans="104:111">
      <c r="CZ27681" s="256"/>
      <c r="DG27681" s="256"/>
    </row>
    <row r="27682" spans="104:111">
      <c r="CZ27682" s="256"/>
      <c r="DG27682" s="256"/>
    </row>
    <row r="27683" spans="104:111">
      <c r="CZ27683" s="256"/>
      <c r="DG27683" s="256"/>
    </row>
    <row r="27684" spans="104:111">
      <c r="CZ27684" s="256"/>
      <c r="DG27684" s="256"/>
    </row>
    <row r="27685" spans="104:111">
      <c r="CZ27685" s="256"/>
      <c r="DG27685" s="256"/>
    </row>
    <row r="27686" spans="104:111">
      <c r="CZ27686" s="256"/>
      <c r="DG27686" s="256"/>
    </row>
    <row r="27687" spans="104:111">
      <c r="CZ27687" s="256"/>
      <c r="DG27687" s="256"/>
    </row>
    <row r="27688" spans="104:111">
      <c r="CZ27688" s="256"/>
      <c r="DG27688" s="256"/>
    </row>
    <row r="27689" spans="104:111">
      <c r="CZ27689" s="256"/>
      <c r="DG27689" s="256"/>
    </row>
    <row r="27690" spans="104:111">
      <c r="CZ27690" s="256"/>
      <c r="DG27690" s="256"/>
    </row>
    <row r="27691" spans="104:111">
      <c r="CZ27691" s="256"/>
      <c r="DG27691" s="256"/>
    </row>
    <row r="27692" spans="104:111">
      <c r="CZ27692" s="256"/>
      <c r="DG27692" s="256"/>
    </row>
    <row r="27693" spans="104:111">
      <c r="CZ27693" s="256"/>
      <c r="DG27693" s="256"/>
    </row>
    <row r="27694" spans="104:111">
      <c r="CZ27694" s="256"/>
      <c r="DG27694" s="256"/>
    </row>
    <row r="27695" spans="104:111">
      <c r="CZ27695" s="256"/>
      <c r="DG27695" s="256"/>
    </row>
    <row r="27696" spans="104:111">
      <c r="CZ27696" s="256"/>
      <c r="DG27696" s="256"/>
    </row>
    <row r="27697" spans="104:111">
      <c r="CZ27697" s="256"/>
      <c r="DG27697" s="256"/>
    </row>
    <row r="27698" spans="104:111">
      <c r="CZ27698" s="256"/>
      <c r="DG27698" s="256"/>
    </row>
    <row r="27699" spans="104:111">
      <c r="CZ27699" s="256"/>
      <c r="DG27699" s="256"/>
    </row>
    <row r="27700" spans="104:111">
      <c r="CZ27700" s="256"/>
      <c r="DG27700" s="256"/>
    </row>
    <row r="27701" spans="104:111">
      <c r="CZ27701" s="256"/>
      <c r="DG27701" s="256"/>
    </row>
    <row r="27702" spans="104:111">
      <c r="CZ27702" s="256"/>
      <c r="DG27702" s="256"/>
    </row>
    <row r="27703" spans="104:111">
      <c r="CZ27703" s="256"/>
      <c r="DG27703" s="256"/>
    </row>
    <row r="27704" spans="104:111">
      <c r="CZ27704" s="256"/>
      <c r="DG27704" s="256"/>
    </row>
    <row r="27705" spans="104:111">
      <c r="CZ27705" s="256"/>
      <c r="DG27705" s="256"/>
    </row>
    <row r="27706" spans="104:111">
      <c r="CZ27706" s="256"/>
      <c r="DG27706" s="256"/>
    </row>
    <row r="27707" spans="104:111">
      <c r="CZ27707" s="256"/>
      <c r="DG27707" s="256"/>
    </row>
    <row r="27708" spans="104:111">
      <c r="CZ27708" s="256"/>
      <c r="DG27708" s="256"/>
    </row>
    <row r="27709" spans="104:111">
      <c r="CZ27709" s="256"/>
      <c r="DG27709" s="256"/>
    </row>
    <row r="27710" spans="104:111">
      <c r="CZ27710" s="256"/>
      <c r="DG27710" s="256"/>
    </row>
    <row r="27711" spans="104:111">
      <c r="CZ27711" s="256"/>
      <c r="DG27711" s="256"/>
    </row>
    <row r="27712" spans="104:111">
      <c r="CZ27712" s="256"/>
      <c r="DG27712" s="256"/>
    </row>
    <row r="27713" spans="104:111">
      <c r="CZ27713" s="256"/>
      <c r="DG27713" s="256"/>
    </row>
    <row r="27714" spans="104:111">
      <c r="CZ27714" s="256"/>
      <c r="DG27714" s="256"/>
    </row>
    <row r="27715" spans="104:111">
      <c r="CZ27715" s="256"/>
      <c r="DG27715" s="256"/>
    </row>
    <row r="27716" spans="104:111">
      <c r="CZ27716" s="256"/>
      <c r="DG27716" s="256"/>
    </row>
    <row r="27717" spans="104:111">
      <c r="CZ27717" s="256"/>
      <c r="DG27717" s="256"/>
    </row>
    <row r="27718" spans="104:111">
      <c r="CZ27718" s="256"/>
      <c r="DG27718" s="256"/>
    </row>
    <row r="27719" spans="104:111">
      <c r="CZ27719" s="256"/>
      <c r="DG27719" s="256"/>
    </row>
    <row r="27720" spans="104:111">
      <c r="CZ27720" s="256"/>
      <c r="DG27720" s="256"/>
    </row>
    <row r="27721" spans="104:111">
      <c r="CZ27721" s="256"/>
      <c r="DG27721" s="256"/>
    </row>
    <row r="27722" spans="104:111">
      <c r="CZ27722" s="256"/>
      <c r="DG27722" s="256"/>
    </row>
    <row r="27723" spans="104:111">
      <c r="CZ27723" s="256"/>
      <c r="DG27723" s="256"/>
    </row>
    <row r="27724" spans="104:111">
      <c r="CZ27724" s="256"/>
      <c r="DG27724" s="256"/>
    </row>
    <row r="27725" spans="104:111">
      <c r="CZ27725" s="256"/>
      <c r="DG27725" s="256"/>
    </row>
    <row r="27726" spans="104:111">
      <c r="CZ27726" s="256"/>
      <c r="DG27726" s="256"/>
    </row>
    <row r="27727" spans="104:111">
      <c r="CZ27727" s="256"/>
      <c r="DG27727" s="256"/>
    </row>
    <row r="27728" spans="104:111">
      <c r="CZ27728" s="256"/>
      <c r="DG27728" s="256"/>
    </row>
    <row r="27729" spans="104:111">
      <c r="CZ27729" s="256"/>
      <c r="DG27729" s="256"/>
    </row>
    <row r="27730" spans="104:111">
      <c r="CZ27730" s="256"/>
      <c r="DG27730" s="256"/>
    </row>
    <row r="27731" spans="104:111">
      <c r="CZ27731" s="256"/>
      <c r="DG27731" s="256"/>
    </row>
    <row r="27732" spans="104:111">
      <c r="CZ27732" s="256"/>
      <c r="DG27732" s="256"/>
    </row>
    <row r="27733" spans="104:111">
      <c r="CZ27733" s="256"/>
      <c r="DG27733" s="256"/>
    </row>
    <row r="27734" spans="104:111">
      <c r="CZ27734" s="256"/>
      <c r="DG27734" s="256"/>
    </row>
    <row r="27735" spans="104:111">
      <c r="CZ27735" s="256"/>
      <c r="DG27735" s="256"/>
    </row>
    <row r="27736" spans="104:111">
      <c r="CZ27736" s="256"/>
      <c r="DG27736" s="256"/>
    </row>
    <row r="27737" spans="104:111">
      <c r="CZ27737" s="256"/>
      <c r="DG27737" s="256"/>
    </row>
    <row r="27738" spans="104:111">
      <c r="CZ27738" s="256"/>
      <c r="DG27738" s="256"/>
    </row>
    <row r="27739" spans="104:111">
      <c r="CZ27739" s="256"/>
      <c r="DG27739" s="256"/>
    </row>
    <row r="27740" spans="104:111">
      <c r="CZ27740" s="256"/>
      <c r="DG27740" s="256"/>
    </row>
    <row r="27741" spans="104:111">
      <c r="CZ27741" s="256"/>
      <c r="DG27741" s="256"/>
    </row>
    <row r="27742" spans="104:111">
      <c r="CZ27742" s="256"/>
      <c r="DG27742" s="256"/>
    </row>
    <row r="27743" spans="104:111">
      <c r="CZ27743" s="256"/>
      <c r="DG27743" s="256"/>
    </row>
    <row r="27744" spans="104:111">
      <c r="CZ27744" s="256"/>
      <c r="DG27744" s="256"/>
    </row>
    <row r="27745" spans="104:111">
      <c r="CZ27745" s="256"/>
      <c r="DG27745" s="256"/>
    </row>
    <row r="27746" spans="104:111">
      <c r="CZ27746" s="256"/>
      <c r="DG27746" s="256"/>
    </row>
    <row r="27747" spans="104:111">
      <c r="CZ27747" s="256"/>
      <c r="DG27747" s="256"/>
    </row>
    <row r="27748" spans="104:111">
      <c r="CZ27748" s="256"/>
      <c r="DG27748" s="256"/>
    </row>
    <row r="27749" spans="104:111">
      <c r="CZ27749" s="256"/>
      <c r="DG27749" s="256"/>
    </row>
    <row r="27750" spans="104:111">
      <c r="CZ27750" s="256"/>
      <c r="DG27750" s="256"/>
    </row>
    <row r="27751" spans="104:111">
      <c r="CZ27751" s="256"/>
      <c r="DG27751" s="256"/>
    </row>
    <row r="27752" spans="104:111">
      <c r="CZ27752" s="256"/>
      <c r="DG27752" s="256"/>
    </row>
    <row r="27753" spans="104:111">
      <c r="CZ27753" s="256"/>
      <c r="DG27753" s="256"/>
    </row>
    <row r="27754" spans="104:111">
      <c r="CZ27754" s="256"/>
      <c r="DG27754" s="256"/>
    </row>
    <row r="27755" spans="104:111">
      <c r="CZ27755" s="256"/>
      <c r="DG27755" s="256"/>
    </row>
    <row r="27756" spans="104:111">
      <c r="CZ27756" s="256"/>
      <c r="DG27756" s="256"/>
    </row>
    <row r="27757" spans="104:111">
      <c r="CZ27757" s="256"/>
      <c r="DG27757" s="256"/>
    </row>
    <row r="27758" spans="104:111">
      <c r="CZ27758" s="256"/>
      <c r="DG27758" s="256"/>
    </row>
    <row r="27759" spans="104:111">
      <c r="CZ27759" s="256"/>
      <c r="DG27759" s="256"/>
    </row>
    <row r="27760" spans="104:111">
      <c r="CZ27760" s="256"/>
      <c r="DG27760" s="256"/>
    </row>
    <row r="27761" spans="104:111">
      <c r="CZ27761" s="256"/>
      <c r="DG27761" s="256"/>
    </row>
    <row r="27762" spans="104:111">
      <c r="CZ27762" s="256"/>
      <c r="DG27762" s="256"/>
    </row>
    <row r="27763" spans="104:111">
      <c r="CZ27763" s="256"/>
      <c r="DG27763" s="256"/>
    </row>
    <row r="27764" spans="104:111">
      <c r="CZ27764" s="256"/>
      <c r="DG27764" s="256"/>
    </row>
    <row r="27765" spans="104:111">
      <c r="CZ27765" s="256"/>
      <c r="DG27765" s="256"/>
    </row>
    <row r="27766" spans="104:111">
      <c r="CZ27766" s="256"/>
      <c r="DG27766" s="256"/>
    </row>
    <row r="27767" spans="104:111">
      <c r="CZ27767" s="256"/>
      <c r="DG27767" s="256"/>
    </row>
    <row r="27768" spans="104:111">
      <c r="CZ27768" s="256"/>
      <c r="DG27768" s="256"/>
    </row>
    <row r="27769" spans="104:111">
      <c r="CZ27769" s="256"/>
      <c r="DG27769" s="256"/>
    </row>
    <row r="27770" spans="104:111">
      <c r="CZ27770" s="256"/>
      <c r="DG27770" s="256"/>
    </row>
    <row r="27771" spans="104:111">
      <c r="CZ27771" s="256"/>
      <c r="DG27771" s="256"/>
    </row>
    <row r="27772" spans="104:111">
      <c r="CZ27772" s="256"/>
      <c r="DG27772" s="256"/>
    </row>
    <row r="27773" spans="104:111">
      <c r="CZ27773" s="256"/>
      <c r="DG27773" s="256"/>
    </row>
    <row r="27774" spans="104:111">
      <c r="CZ27774" s="256"/>
      <c r="DG27774" s="256"/>
    </row>
    <row r="27775" spans="104:111">
      <c r="CZ27775" s="256"/>
      <c r="DG27775" s="256"/>
    </row>
    <row r="27776" spans="104:111">
      <c r="CZ27776" s="256"/>
      <c r="DG27776" s="256"/>
    </row>
    <row r="27777" spans="104:111">
      <c r="CZ27777" s="256"/>
      <c r="DG27777" s="256"/>
    </row>
    <row r="27778" spans="104:111">
      <c r="CZ27778" s="256"/>
      <c r="DG27778" s="256"/>
    </row>
    <row r="27779" spans="104:111">
      <c r="CZ27779" s="256"/>
      <c r="DG27779" s="256"/>
    </row>
    <row r="27780" spans="104:111">
      <c r="CZ27780" s="256"/>
      <c r="DG27780" s="256"/>
    </row>
    <row r="27781" spans="104:111">
      <c r="CZ27781" s="256"/>
      <c r="DG27781" s="256"/>
    </row>
    <row r="27782" spans="104:111">
      <c r="CZ27782" s="256"/>
      <c r="DG27782" s="256"/>
    </row>
    <row r="27783" spans="104:111">
      <c r="CZ27783" s="256"/>
      <c r="DG27783" s="256"/>
    </row>
    <row r="27784" spans="104:111">
      <c r="CZ27784" s="256"/>
      <c r="DG27784" s="256"/>
    </row>
    <row r="27785" spans="104:111">
      <c r="CZ27785" s="256"/>
      <c r="DG27785" s="256"/>
    </row>
    <row r="27786" spans="104:111">
      <c r="CZ27786" s="256"/>
      <c r="DG27786" s="256"/>
    </row>
    <row r="27787" spans="104:111">
      <c r="CZ27787" s="256"/>
      <c r="DG27787" s="256"/>
    </row>
    <row r="27788" spans="104:111">
      <c r="CZ27788" s="256"/>
      <c r="DG27788" s="256"/>
    </row>
    <row r="27789" spans="104:111">
      <c r="CZ27789" s="256"/>
      <c r="DG27789" s="256"/>
    </row>
    <row r="27790" spans="104:111">
      <c r="CZ27790" s="256"/>
      <c r="DG27790" s="256"/>
    </row>
    <row r="27791" spans="104:111">
      <c r="CZ27791" s="256"/>
      <c r="DG27791" s="256"/>
    </row>
    <row r="27792" spans="104:111">
      <c r="CZ27792" s="256"/>
      <c r="DG27792" s="256"/>
    </row>
    <row r="27793" spans="104:111">
      <c r="CZ27793" s="256"/>
      <c r="DG27793" s="256"/>
    </row>
    <row r="27794" spans="104:111">
      <c r="CZ27794" s="256"/>
      <c r="DG27794" s="256"/>
    </row>
    <row r="27795" spans="104:111">
      <c r="CZ27795" s="256"/>
      <c r="DG27795" s="256"/>
    </row>
    <row r="27796" spans="104:111">
      <c r="CZ27796" s="256"/>
      <c r="DG27796" s="256"/>
    </row>
    <row r="27797" spans="104:111">
      <c r="CZ27797" s="256"/>
      <c r="DG27797" s="256"/>
    </row>
    <row r="27798" spans="104:111">
      <c r="CZ27798" s="256"/>
      <c r="DG27798" s="256"/>
    </row>
    <row r="27799" spans="104:111">
      <c r="CZ27799" s="256"/>
      <c r="DG27799" s="256"/>
    </row>
    <row r="27800" spans="104:111">
      <c r="CZ27800" s="256"/>
      <c r="DG27800" s="256"/>
    </row>
    <row r="27801" spans="104:111">
      <c r="CZ27801" s="256"/>
      <c r="DG27801" s="256"/>
    </row>
    <row r="27802" spans="104:111">
      <c r="CZ27802" s="256"/>
      <c r="DG27802" s="256"/>
    </row>
    <row r="27803" spans="104:111">
      <c r="CZ27803" s="256"/>
      <c r="DG27803" s="256"/>
    </row>
    <row r="27804" spans="104:111">
      <c r="CZ27804" s="256"/>
      <c r="DG27804" s="256"/>
    </row>
    <row r="27805" spans="104:111">
      <c r="CZ27805" s="256"/>
      <c r="DG27805" s="256"/>
    </row>
    <row r="27806" spans="104:111">
      <c r="CZ27806" s="256"/>
      <c r="DG27806" s="256"/>
    </row>
    <row r="27807" spans="104:111">
      <c r="CZ27807" s="256"/>
      <c r="DG27807" s="256"/>
    </row>
    <row r="27808" spans="104:111">
      <c r="CZ27808" s="256"/>
      <c r="DG27808" s="256"/>
    </row>
    <row r="27809" spans="104:111">
      <c r="CZ27809" s="256"/>
      <c r="DG27809" s="256"/>
    </row>
    <row r="27810" spans="104:111">
      <c r="CZ27810" s="256"/>
      <c r="DG27810" s="256"/>
    </row>
    <row r="27811" spans="104:111">
      <c r="CZ27811" s="256"/>
      <c r="DG27811" s="256"/>
    </row>
    <row r="27812" spans="104:111">
      <c r="CZ27812" s="256"/>
      <c r="DG27812" s="256"/>
    </row>
    <row r="27813" spans="104:111">
      <c r="CZ27813" s="256"/>
      <c r="DG27813" s="256"/>
    </row>
    <row r="27814" spans="104:111">
      <c r="CZ27814" s="256"/>
      <c r="DG27814" s="256"/>
    </row>
    <row r="27815" spans="104:111">
      <c r="CZ27815" s="256"/>
      <c r="DG27815" s="256"/>
    </row>
    <row r="27816" spans="104:111">
      <c r="CZ27816" s="256"/>
      <c r="DG27816" s="256"/>
    </row>
    <row r="27817" spans="104:111">
      <c r="CZ27817" s="256"/>
      <c r="DG27817" s="256"/>
    </row>
    <row r="27818" spans="104:111">
      <c r="CZ27818" s="256"/>
      <c r="DG27818" s="256"/>
    </row>
    <row r="27819" spans="104:111">
      <c r="CZ27819" s="256"/>
      <c r="DG27819" s="256"/>
    </row>
    <row r="27820" spans="104:111">
      <c r="CZ27820" s="256"/>
      <c r="DG27820" s="256"/>
    </row>
    <row r="27821" spans="104:111">
      <c r="CZ27821" s="256"/>
      <c r="DG27821" s="256"/>
    </row>
    <row r="27822" spans="104:111">
      <c r="CZ27822" s="256"/>
      <c r="DG27822" s="256"/>
    </row>
    <row r="27823" spans="104:111">
      <c r="CZ27823" s="256"/>
      <c r="DG27823" s="256"/>
    </row>
    <row r="27824" spans="104:111">
      <c r="CZ27824" s="256"/>
      <c r="DG27824" s="256"/>
    </row>
    <row r="27825" spans="104:111">
      <c r="CZ27825" s="256"/>
      <c r="DG27825" s="256"/>
    </row>
    <row r="27826" spans="104:111">
      <c r="CZ27826" s="256"/>
      <c r="DG27826" s="256"/>
    </row>
    <row r="27827" spans="104:111">
      <c r="CZ27827" s="256"/>
      <c r="DG27827" s="256"/>
    </row>
    <row r="27828" spans="104:111">
      <c r="CZ27828" s="256"/>
      <c r="DG27828" s="256"/>
    </row>
    <row r="27829" spans="104:111">
      <c r="CZ27829" s="256"/>
      <c r="DG27829" s="256"/>
    </row>
    <row r="27830" spans="104:111">
      <c r="CZ27830" s="256"/>
      <c r="DG27830" s="256"/>
    </row>
    <row r="27831" spans="104:111">
      <c r="CZ27831" s="256"/>
      <c r="DG27831" s="256"/>
    </row>
    <row r="27832" spans="104:111">
      <c r="CZ27832" s="256"/>
      <c r="DG27832" s="256"/>
    </row>
    <row r="27833" spans="104:111">
      <c r="CZ27833" s="256"/>
      <c r="DG27833" s="256"/>
    </row>
    <row r="27834" spans="104:111">
      <c r="CZ27834" s="256"/>
      <c r="DG27834" s="256"/>
    </row>
    <row r="27835" spans="104:111">
      <c r="CZ27835" s="256"/>
      <c r="DG27835" s="256"/>
    </row>
    <row r="27836" spans="104:111">
      <c r="CZ27836" s="256"/>
      <c r="DG27836" s="256"/>
    </row>
    <row r="27837" spans="104:111">
      <c r="CZ27837" s="256"/>
      <c r="DG27837" s="256"/>
    </row>
    <row r="27838" spans="104:111">
      <c r="CZ27838" s="256"/>
      <c r="DG27838" s="256"/>
    </row>
    <row r="27839" spans="104:111">
      <c r="CZ27839" s="256"/>
      <c r="DG27839" s="256"/>
    </row>
    <row r="27840" spans="104:111">
      <c r="CZ27840" s="256"/>
      <c r="DG27840" s="256"/>
    </row>
    <row r="27841" spans="104:111">
      <c r="CZ27841" s="256"/>
      <c r="DG27841" s="256"/>
    </row>
    <row r="27842" spans="104:111">
      <c r="CZ27842" s="256"/>
      <c r="DG27842" s="256"/>
    </row>
    <row r="27843" spans="104:111">
      <c r="CZ27843" s="256"/>
      <c r="DG27843" s="256"/>
    </row>
    <row r="27844" spans="104:111">
      <c r="CZ27844" s="256"/>
      <c r="DG27844" s="256"/>
    </row>
    <row r="27845" spans="104:111">
      <c r="CZ27845" s="256"/>
      <c r="DG27845" s="256"/>
    </row>
    <row r="27846" spans="104:111">
      <c r="CZ27846" s="256"/>
      <c r="DG27846" s="256"/>
    </row>
    <row r="27847" spans="104:111">
      <c r="CZ27847" s="256"/>
      <c r="DG27847" s="256"/>
    </row>
    <row r="27848" spans="104:111">
      <c r="CZ27848" s="256"/>
      <c r="DG27848" s="256"/>
    </row>
    <row r="27849" spans="104:111">
      <c r="CZ27849" s="256"/>
      <c r="DG27849" s="256"/>
    </row>
    <row r="27850" spans="104:111">
      <c r="CZ27850" s="256"/>
      <c r="DG27850" s="256"/>
    </row>
    <row r="27851" spans="104:111">
      <c r="CZ27851" s="256"/>
      <c r="DG27851" s="256"/>
    </row>
    <row r="27852" spans="104:111">
      <c r="CZ27852" s="256"/>
      <c r="DG27852" s="256"/>
    </row>
    <row r="27853" spans="104:111">
      <c r="CZ27853" s="256"/>
      <c r="DG27853" s="256"/>
    </row>
    <row r="27854" spans="104:111">
      <c r="CZ27854" s="256"/>
      <c r="DG27854" s="256"/>
    </row>
    <row r="27855" spans="104:111">
      <c r="CZ27855" s="256"/>
      <c r="DG27855" s="256"/>
    </row>
    <row r="27856" spans="104:111">
      <c r="CZ27856" s="256"/>
      <c r="DG27856" s="256"/>
    </row>
    <row r="27857" spans="104:111">
      <c r="CZ27857" s="256"/>
      <c r="DG27857" s="256"/>
    </row>
    <row r="27858" spans="104:111">
      <c r="CZ27858" s="256"/>
      <c r="DG27858" s="256"/>
    </row>
    <row r="27859" spans="104:111">
      <c r="CZ27859" s="256"/>
      <c r="DG27859" s="256"/>
    </row>
    <row r="27860" spans="104:111">
      <c r="CZ27860" s="256"/>
      <c r="DG27860" s="256"/>
    </row>
    <row r="27861" spans="104:111">
      <c r="CZ27861" s="256"/>
      <c r="DG27861" s="256"/>
    </row>
    <row r="27862" spans="104:111">
      <c r="CZ27862" s="256"/>
      <c r="DG27862" s="256"/>
    </row>
    <row r="27863" spans="104:111">
      <c r="CZ27863" s="256"/>
      <c r="DG27863" s="256"/>
    </row>
    <row r="27864" spans="104:111">
      <c r="CZ27864" s="256"/>
      <c r="DG27864" s="256"/>
    </row>
    <row r="27865" spans="104:111">
      <c r="CZ27865" s="256"/>
      <c r="DG27865" s="256"/>
    </row>
    <row r="27866" spans="104:111">
      <c r="CZ27866" s="256"/>
      <c r="DG27866" s="256"/>
    </row>
    <row r="27867" spans="104:111">
      <c r="CZ27867" s="256"/>
      <c r="DG27867" s="256"/>
    </row>
    <row r="27868" spans="104:111">
      <c r="CZ27868" s="256"/>
      <c r="DG27868" s="256"/>
    </row>
    <row r="27869" spans="104:111">
      <c r="CZ27869" s="256"/>
      <c r="DG27869" s="256"/>
    </row>
    <row r="27870" spans="104:111">
      <c r="CZ27870" s="256"/>
      <c r="DG27870" s="256"/>
    </row>
    <row r="27871" spans="104:111">
      <c r="CZ27871" s="256"/>
      <c r="DG27871" s="256"/>
    </row>
    <row r="27872" spans="104:111">
      <c r="CZ27872" s="256"/>
      <c r="DG27872" s="256"/>
    </row>
    <row r="27873" spans="104:111">
      <c r="CZ27873" s="256"/>
      <c r="DG27873" s="256"/>
    </row>
    <row r="27874" spans="104:111">
      <c r="CZ27874" s="256"/>
      <c r="DG27874" s="256"/>
    </row>
    <row r="27875" spans="104:111">
      <c r="CZ27875" s="256"/>
      <c r="DG27875" s="256"/>
    </row>
    <row r="27876" spans="104:111">
      <c r="CZ27876" s="256"/>
      <c r="DG27876" s="256"/>
    </row>
    <row r="27877" spans="104:111">
      <c r="CZ27877" s="256"/>
      <c r="DG27877" s="256"/>
    </row>
    <row r="27878" spans="104:111">
      <c r="CZ27878" s="256"/>
      <c r="DG27878" s="256"/>
    </row>
    <row r="27879" spans="104:111">
      <c r="CZ27879" s="256"/>
      <c r="DG27879" s="256"/>
    </row>
    <row r="27880" spans="104:111">
      <c r="CZ27880" s="256"/>
      <c r="DG27880" s="256"/>
    </row>
    <row r="27881" spans="104:111">
      <c r="CZ27881" s="256"/>
      <c r="DG27881" s="256"/>
    </row>
    <row r="27882" spans="104:111">
      <c r="CZ27882" s="256"/>
      <c r="DG27882" s="256"/>
    </row>
    <row r="27883" spans="104:111">
      <c r="CZ27883" s="256"/>
      <c r="DG27883" s="256"/>
    </row>
    <row r="27884" spans="104:111">
      <c r="CZ27884" s="256"/>
      <c r="DG27884" s="256"/>
    </row>
    <row r="27885" spans="104:111">
      <c r="CZ27885" s="256"/>
      <c r="DG27885" s="256"/>
    </row>
    <row r="27886" spans="104:111">
      <c r="CZ27886" s="256"/>
      <c r="DG27886" s="256"/>
    </row>
    <row r="27887" spans="104:111">
      <c r="CZ27887" s="256"/>
      <c r="DG27887" s="256"/>
    </row>
    <row r="27888" spans="104:111">
      <c r="CZ27888" s="256"/>
      <c r="DG27888" s="256"/>
    </row>
    <row r="27889" spans="104:111">
      <c r="CZ27889" s="256"/>
      <c r="DG27889" s="256"/>
    </row>
    <row r="27890" spans="104:111">
      <c r="CZ27890" s="256"/>
      <c r="DG27890" s="256"/>
    </row>
    <row r="27891" spans="104:111">
      <c r="CZ27891" s="256"/>
      <c r="DG27891" s="256"/>
    </row>
    <row r="27892" spans="104:111">
      <c r="CZ27892" s="256"/>
      <c r="DG27892" s="256"/>
    </row>
    <row r="27893" spans="104:111">
      <c r="CZ27893" s="256"/>
      <c r="DG27893" s="256"/>
    </row>
    <row r="27894" spans="104:111">
      <c r="CZ27894" s="256"/>
      <c r="DG27894" s="256"/>
    </row>
    <row r="27895" spans="104:111">
      <c r="CZ27895" s="256"/>
      <c r="DG27895" s="256"/>
    </row>
    <row r="27896" spans="104:111">
      <c r="CZ27896" s="256"/>
      <c r="DG27896" s="256"/>
    </row>
    <row r="27897" spans="104:111">
      <c r="CZ27897" s="256"/>
      <c r="DG27897" s="256"/>
    </row>
    <row r="27898" spans="104:111">
      <c r="CZ27898" s="256"/>
      <c r="DG27898" s="256"/>
    </row>
    <row r="27899" spans="104:111">
      <c r="CZ27899" s="256"/>
      <c r="DG27899" s="256"/>
    </row>
    <row r="27900" spans="104:111">
      <c r="CZ27900" s="256"/>
      <c r="DG27900" s="256"/>
    </row>
    <row r="27901" spans="104:111">
      <c r="CZ27901" s="256"/>
      <c r="DG27901" s="256"/>
    </row>
    <row r="27902" spans="104:111">
      <c r="CZ27902" s="256"/>
      <c r="DG27902" s="256"/>
    </row>
    <row r="27903" spans="104:111">
      <c r="CZ27903" s="256"/>
      <c r="DG27903" s="256"/>
    </row>
    <row r="27904" spans="104:111">
      <c r="CZ27904" s="256"/>
      <c r="DG27904" s="256"/>
    </row>
    <row r="27905" spans="104:111">
      <c r="CZ27905" s="256"/>
      <c r="DG27905" s="256"/>
    </row>
    <row r="27906" spans="104:111">
      <c r="CZ27906" s="256"/>
      <c r="DG27906" s="256"/>
    </row>
    <row r="27907" spans="104:111">
      <c r="CZ27907" s="256"/>
      <c r="DG27907" s="256"/>
    </row>
    <row r="27908" spans="104:111">
      <c r="CZ27908" s="256"/>
      <c r="DG27908" s="256"/>
    </row>
    <row r="27909" spans="104:111">
      <c r="CZ27909" s="256"/>
      <c r="DG27909" s="256"/>
    </row>
    <row r="27910" spans="104:111">
      <c r="CZ27910" s="256"/>
      <c r="DG27910" s="256"/>
    </row>
    <row r="27911" spans="104:111">
      <c r="CZ27911" s="256"/>
      <c r="DG27911" s="256"/>
    </row>
    <row r="27912" spans="104:111">
      <c r="CZ27912" s="256"/>
      <c r="DG27912" s="256"/>
    </row>
    <row r="27913" spans="104:111">
      <c r="CZ27913" s="256"/>
      <c r="DG27913" s="256"/>
    </row>
    <row r="27914" spans="104:111">
      <c r="CZ27914" s="256"/>
      <c r="DG27914" s="256"/>
    </row>
    <row r="27915" spans="104:111">
      <c r="CZ27915" s="256"/>
      <c r="DG27915" s="256"/>
    </row>
    <row r="27916" spans="104:111">
      <c r="CZ27916" s="256"/>
      <c r="DG27916" s="256"/>
    </row>
    <row r="27917" spans="104:111">
      <c r="CZ27917" s="256"/>
      <c r="DG27917" s="256"/>
    </row>
    <row r="27918" spans="104:111">
      <c r="CZ27918" s="256"/>
      <c r="DG27918" s="256"/>
    </row>
    <row r="27919" spans="104:111">
      <c r="CZ27919" s="256"/>
      <c r="DG27919" s="256"/>
    </row>
    <row r="27920" spans="104:111">
      <c r="CZ27920" s="256"/>
      <c r="DG27920" s="256"/>
    </row>
    <row r="27921" spans="104:111">
      <c r="CZ27921" s="256"/>
      <c r="DG27921" s="256"/>
    </row>
    <row r="27922" spans="104:111">
      <c r="CZ27922" s="256"/>
      <c r="DG27922" s="256"/>
    </row>
    <row r="27923" spans="104:111">
      <c r="CZ27923" s="256"/>
      <c r="DG27923" s="256"/>
    </row>
    <row r="27924" spans="104:111">
      <c r="CZ27924" s="256"/>
      <c r="DG27924" s="256"/>
    </row>
    <row r="27925" spans="104:111">
      <c r="CZ27925" s="256"/>
      <c r="DG27925" s="256"/>
    </row>
    <row r="27926" spans="104:111">
      <c r="CZ27926" s="256"/>
      <c r="DG27926" s="256"/>
    </row>
    <row r="27927" spans="104:111">
      <c r="CZ27927" s="256"/>
      <c r="DG27927" s="256"/>
    </row>
    <row r="27928" spans="104:111">
      <c r="CZ27928" s="256"/>
      <c r="DG27928" s="256"/>
    </row>
    <row r="27929" spans="104:111">
      <c r="CZ27929" s="256"/>
      <c r="DG27929" s="256"/>
    </row>
    <row r="27930" spans="104:111">
      <c r="CZ27930" s="256"/>
      <c r="DG27930" s="256"/>
    </row>
    <row r="27931" spans="104:111">
      <c r="CZ27931" s="256"/>
      <c r="DG27931" s="256"/>
    </row>
    <row r="27932" spans="104:111">
      <c r="CZ27932" s="256"/>
      <c r="DG27932" s="256"/>
    </row>
    <row r="27933" spans="104:111">
      <c r="CZ27933" s="256"/>
      <c r="DG27933" s="256"/>
    </row>
    <row r="27934" spans="104:111">
      <c r="CZ27934" s="256"/>
      <c r="DG27934" s="256"/>
    </row>
    <row r="27935" spans="104:111">
      <c r="CZ27935" s="256"/>
      <c r="DG27935" s="256"/>
    </row>
    <row r="27936" spans="104:111">
      <c r="CZ27936" s="256"/>
      <c r="DG27936" s="256"/>
    </row>
    <row r="27937" spans="104:111">
      <c r="CZ27937" s="256"/>
      <c r="DG27937" s="256"/>
    </row>
    <row r="27938" spans="104:111">
      <c r="CZ27938" s="256"/>
      <c r="DG27938" s="256"/>
    </row>
    <row r="27939" spans="104:111">
      <c r="CZ27939" s="256"/>
      <c r="DG27939" s="256"/>
    </row>
    <row r="27940" spans="104:111">
      <c r="CZ27940" s="256"/>
      <c r="DG27940" s="256"/>
    </row>
    <row r="27941" spans="104:111">
      <c r="CZ27941" s="256"/>
      <c r="DG27941" s="256"/>
    </row>
    <row r="27942" spans="104:111">
      <c r="CZ27942" s="256"/>
      <c r="DG27942" s="256"/>
    </row>
    <row r="27943" spans="104:111">
      <c r="CZ27943" s="256"/>
      <c r="DG27943" s="256"/>
    </row>
    <row r="27944" spans="104:111">
      <c r="CZ27944" s="256"/>
      <c r="DG27944" s="256"/>
    </row>
    <row r="27945" spans="104:111">
      <c r="CZ27945" s="256"/>
      <c r="DG27945" s="256"/>
    </row>
    <row r="27946" spans="104:111">
      <c r="CZ27946" s="256"/>
      <c r="DG27946" s="256"/>
    </row>
    <row r="27947" spans="104:111">
      <c r="CZ27947" s="256"/>
      <c r="DG27947" s="256"/>
    </row>
    <row r="27948" spans="104:111">
      <c r="CZ27948" s="256"/>
      <c r="DG27948" s="256"/>
    </row>
    <row r="27949" spans="104:111">
      <c r="CZ27949" s="256"/>
      <c r="DG27949" s="256"/>
    </row>
    <row r="27950" spans="104:111">
      <c r="CZ27950" s="256"/>
      <c r="DG27950" s="256"/>
    </row>
    <row r="27951" spans="104:111">
      <c r="CZ27951" s="256"/>
      <c r="DG27951" s="256"/>
    </row>
    <row r="27952" spans="104:111">
      <c r="CZ27952" s="256"/>
      <c r="DG27952" s="256"/>
    </row>
    <row r="27953" spans="104:111">
      <c r="CZ27953" s="256"/>
      <c r="DG27953" s="256"/>
    </row>
    <row r="27954" spans="104:111">
      <c r="CZ27954" s="256"/>
      <c r="DG27954" s="256"/>
    </row>
    <row r="27955" spans="104:111">
      <c r="CZ27955" s="256"/>
      <c r="DG27955" s="256"/>
    </row>
    <row r="27956" spans="104:111">
      <c r="CZ27956" s="256"/>
      <c r="DG27956" s="256"/>
    </row>
    <row r="27957" spans="104:111">
      <c r="CZ27957" s="256"/>
      <c r="DG27957" s="256"/>
    </row>
    <row r="27958" spans="104:111">
      <c r="CZ27958" s="256"/>
      <c r="DG27958" s="256"/>
    </row>
    <row r="27959" spans="104:111">
      <c r="CZ27959" s="256"/>
      <c r="DG27959" s="256"/>
    </row>
    <row r="27960" spans="104:111">
      <c r="CZ27960" s="256"/>
      <c r="DG27960" s="256"/>
    </row>
    <row r="27961" spans="104:111">
      <c r="CZ27961" s="256"/>
      <c r="DG27961" s="256"/>
    </row>
    <row r="27962" spans="104:111">
      <c r="CZ27962" s="256"/>
      <c r="DG27962" s="256"/>
    </row>
    <row r="27963" spans="104:111">
      <c r="CZ27963" s="256"/>
      <c r="DG27963" s="256"/>
    </row>
    <row r="27964" spans="104:111">
      <c r="CZ27964" s="256"/>
      <c r="DG27964" s="256"/>
    </row>
    <row r="27965" spans="104:111">
      <c r="CZ27965" s="256"/>
      <c r="DG27965" s="256"/>
    </row>
    <row r="27966" spans="104:111">
      <c r="CZ27966" s="256"/>
      <c r="DG27966" s="256"/>
    </row>
    <row r="27967" spans="104:111">
      <c r="CZ27967" s="256"/>
      <c r="DG27967" s="256"/>
    </row>
    <row r="27968" spans="104:111">
      <c r="CZ27968" s="256"/>
      <c r="DG27968" s="256"/>
    </row>
    <row r="27969" spans="104:111">
      <c r="CZ27969" s="256"/>
      <c r="DG27969" s="256"/>
    </row>
    <row r="27970" spans="104:111">
      <c r="CZ27970" s="256"/>
      <c r="DG27970" s="256"/>
    </row>
    <row r="27971" spans="104:111">
      <c r="CZ27971" s="256"/>
      <c r="DG27971" s="256"/>
    </row>
    <row r="27972" spans="104:111">
      <c r="CZ27972" s="256"/>
      <c r="DG27972" s="256"/>
    </row>
    <row r="27973" spans="104:111">
      <c r="CZ27973" s="256"/>
      <c r="DG27973" s="256"/>
    </row>
    <row r="27974" spans="104:111">
      <c r="CZ27974" s="256"/>
      <c r="DG27974" s="256"/>
    </row>
    <row r="27975" spans="104:111">
      <c r="CZ27975" s="256"/>
      <c r="DG27975" s="256"/>
    </row>
    <row r="27976" spans="104:111">
      <c r="CZ27976" s="256"/>
      <c r="DG27976" s="256"/>
    </row>
    <row r="27977" spans="104:111">
      <c r="CZ27977" s="256"/>
      <c r="DG27977" s="256"/>
    </row>
    <row r="27978" spans="104:111">
      <c r="CZ27978" s="256"/>
      <c r="DG27978" s="256"/>
    </row>
    <row r="27979" spans="104:111">
      <c r="CZ27979" s="256"/>
      <c r="DG27979" s="256"/>
    </row>
    <row r="27980" spans="104:111">
      <c r="CZ27980" s="256"/>
      <c r="DG27980" s="256"/>
    </row>
    <row r="27981" spans="104:111">
      <c r="CZ27981" s="256"/>
      <c r="DG27981" s="256"/>
    </row>
    <row r="27982" spans="104:111">
      <c r="CZ27982" s="256"/>
      <c r="DG27982" s="256"/>
    </row>
    <row r="27983" spans="104:111">
      <c r="CZ27983" s="256"/>
      <c r="DG27983" s="256"/>
    </row>
    <row r="27984" spans="104:111">
      <c r="CZ27984" s="256"/>
      <c r="DG27984" s="256"/>
    </row>
    <row r="27985" spans="104:111">
      <c r="CZ27985" s="256"/>
      <c r="DG27985" s="256"/>
    </row>
    <row r="27986" spans="104:111">
      <c r="CZ27986" s="256"/>
      <c r="DG27986" s="256"/>
    </row>
    <row r="27987" spans="104:111">
      <c r="CZ27987" s="256"/>
      <c r="DG27987" s="256"/>
    </row>
    <row r="27988" spans="104:111">
      <c r="CZ27988" s="256"/>
      <c r="DG27988" s="256"/>
    </row>
    <row r="27989" spans="104:111">
      <c r="CZ27989" s="256"/>
      <c r="DG27989" s="256"/>
    </row>
    <row r="27990" spans="104:111">
      <c r="CZ27990" s="256"/>
      <c r="DG27990" s="256"/>
    </row>
    <row r="27991" spans="104:111">
      <c r="CZ27991" s="256"/>
      <c r="DG27991" s="256"/>
    </row>
    <row r="27992" spans="104:111">
      <c r="CZ27992" s="256"/>
      <c r="DG27992" s="256"/>
    </row>
    <row r="27993" spans="104:111">
      <c r="CZ27993" s="256"/>
      <c r="DG27993" s="256"/>
    </row>
    <row r="27994" spans="104:111">
      <c r="CZ27994" s="256"/>
      <c r="DG27994" s="256"/>
    </row>
    <row r="27995" spans="104:111">
      <c r="CZ27995" s="256"/>
      <c r="DG27995" s="256"/>
    </row>
    <row r="27996" spans="104:111">
      <c r="CZ27996" s="256"/>
      <c r="DG27996" s="256"/>
    </row>
    <row r="27997" spans="104:111">
      <c r="CZ27997" s="256"/>
      <c r="DG27997" s="256"/>
    </row>
    <row r="27998" spans="104:111">
      <c r="CZ27998" s="256"/>
      <c r="DG27998" s="256"/>
    </row>
    <row r="27999" spans="104:111">
      <c r="CZ27999" s="256"/>
      <c r="DG27999" s="256"/>
    </row>
    <row r="28000" spans="104:111">
      <c r="CZ28000" s="256"/>
      <c r="DG28000" s="256"/>
    </row>
    <row r="28001" spans="104:111">
      <c r="CZ28001" s="256"/>
      <c r="DG28001" s="256"/>
    </row>
    <row r="28002" spans="104:111">
      <c r="CZ28002" s="256"/>
      <c r="DG28002" s="256"/>
    </row>
    <row r="28003" spans="104:111">
      <c r="CZ28003" s="256"/>
      <c r="DG28003" s="256"/>
    </row>
    <row r="28004" spans="104:111">
      <c r="CZ28004" s="256"/>
      <c r="DG28004" s="256"/>
    </row>
    <row r="28005" spans="104:111">
      <c r="CZ28005" s="256"/>
      <c r="DG28005" s="256"/>
    </row>
    <row r="28006" spans="104:111">
      <c r="CZ28006" s="256"/>
      <c r="DG28006" s="256"/>
    </row>
    <row r="28007" spans="104:111">
      <c r="CZ28007" s="256"/>
      <c r="DG28007" s="256"/>
    </row>
    <row r="28008" spans="104:111">
      <c r="CZ28008" s="256"/>
      <c r="DG28008" s="256"/>
    </row>
    <row r="28009" spans="104:111">
      <c r="CZ28009" s="256"/>
      <c r="DG28009" s="256"/>
    </row>
    <row r="28010" spans="104:111">
      <c r="CZ28010" s="256"/>
      <c r="DG28010" s="256"/>
    </row>
    <row r="28011" spans="104:111">
      <c r="CZ28011" s="256"/>
      <c r="DG28011" s="256"/>
    </row>
    <row r="28012" spans="104:111">
      <c r="CZ28012" s="256"/>
      <c r="DG28012" s="256"/>
    </row>
    <row r="28013" spans="104:111">
      <c r="CZ28013" s="256"/>
      <c r="DG28013" s="256"/>
    </row>
    <row r="28014" spans="104:111">
      <c r="CZ28014" s="256"/>
      <c r="DG28014" s="256"/>
    </row>
    <row r="28015" spans="104:111">
      <c r="CZ28015" s="256"/>
      <c r="DG28015" s="256"/>
    </row>
    <row r="28016" spans="104:111">
      <c r="CZ28016" s="256"/>
      <c r="DG28016" s="256"/>
    </row>
    <row r="28017" spans="104:111">
      <c r="CZ28017" s="256"/>
      <c r="DG28017" s="256"/>
    </row>
    <row r="28018" spans="104:111">
      <c r="CZ28018" s="256"/>
      <c r="DG28018" s="256"/>
    </row>
    <row r="28019" spans="104:111">
      <c r="CZ28019" s="256"/>
      <c r="DG28019" s="256"/>
    </row>
    <row r="28020" spans="104:111">
      <c r="CZ28020" s="256"/>
      <c r="DG28020" s="256"/>
    </row>
    <row r="28021" spans="104:111">
      <c r="CZ28021" s="256"/>
      <c r="DG28021" s="256"/>
    </row>
    <row r="28022" spans="104:111">
      <c r="CZ28022" s="256"/>
      <c r="DG28022" s="256"/>
    </row>
    <row r="28023" spans="104:111">
      <c r="CZ28023" s="256"/>
      <c r="DG28023" s="256"/>
    </row>
    <row r="28024" spans="104:111">
      <c r="CZ28024" s="256"/>
      <c r="DG28024" s="256"/>
    </row>
    <row r="28025" spans="104:111">
      <c r="CZ28025" s="256"/>
      <c r="DG28025" s="256"/>
    </row>
    <row r="28026" spans="104:111">
      <c r="CZ28026" s="256"/>
      <c r="DG28026" s="256"/>
    </row>
    <row r="28027" spans="104:111">
      <c r="CZ28027" s="256"/>
      <c r="DG28027" s="256"/>
    </row>
    <row r="28028" spans="104:111">
      <c r="CZ28028" s="256"/>
      <c r="DG28028" s="256"/>
    </row>
    <row r="28029" spans="104:111">
      <c r="CZ28029" s="256"/>
      <c r="DG28029" s="256"/>
    </row>
    <row r="28030" spans="104:111">
      <c r="CZ28030" s="256"/>
      <c r="DG28030" s="256"/>
    </row>
    <row r="28031" spans="104:111">
      <c r="CZ28031" s="256"/>
      <c r="DG28031" s="256"/>
    </row>
    <row r="28032" spans="104:111">
      <c r="CZ28032" s="256"/>
      <c r="DG28032" s="256"/>
    </row>
    <row r="28033" spans="104:111">
      <c r="CZ28033" s="256"/>
      <c r="DG28033" s="256"/>
    </row>
    <row r="28034" spans="104:111">
      <c r="CZ28034" s="256"/>
      <c r="DG28034" s="256"/>
    </row>
    <row r="28035" spans="104:111">
      <c r="CZ28035" s="256"/>
      <c r="DG28035" s="256"/>
    </row>
    <row r="28036" spans="104:111">
      <c r="CZ28036" s="256"/>
      <c r="DG28036" s="256"/>
    </row>
    <row r="28037" spans="104:111">
      <c r="CZ28037" s="256"/>
      <c r="DG28037" s="256"/>
    </row>
    <row r="28038" spans="104:111">
      <c r="CZ28038" s="256"/>
      <c r="DG28038" s="256"/>
    </row>
    <row r="28039" spans="104:111">
      <c r="CZ28039" s="256"/>
      <c r="DG28039" s="256"/>
    </row>
    <row r="28040" spans="104:111">
      <c r="CZ28040" s="256"/>
      <c r="DG28040" s="256"/>
    </row>
    <row r="28041" spans="104:111">
      <c r="CZ28041" s="256"/>
      <c r="DG28041" s="256"/>
    </row>
    <row r="28042" spans="104:111">
      <c r="CZ28042" s="256"/>
      <c r="DG28042" s="256"/>
    </row>
    <row r="28043" spans="104:111">
      <c r="CZ28043" s="256"/>
      <c r="DG28043" s="256"/>
    </row>
    <row r="28044" spans="104:111">
      <c r="CZ28044" s="256"/>
      <c r="DG28044" s="256"/>
    </row>
    <row r="28045" spans="104:111">
      <c r="CZ28045" s="256"/>
      <c r="DG28045" s="256"/>
    </row>
    <row r="28046" spans="104:111">
      <c r="CZ28046" s="256"/>
      <c r="DG28046" s="256"/>
    </row>
    <row r="28047" spans="104:111">
      <c r="CZ28047" s="256"/>
      <c r="DG28047" s="256"/>
    </row>
    <row r="28048" spans="104:111">
      <c r="CZ28048" s="256"/>
      <c r="DG28048" s="256"/>
    </row>
    <row r="28049" spans="104:111">
      <c r="CZ28049" s="256"/>
      <c r="DG28049" s="256"/>
    </row>
    <row r="28050" spans="104:111">
      <c r="CZ28050" s="256"/>
      <c r="DG28050" s="256"/>
    </row>
    <row r="28051" spans="104:111">
      <c r="CZ28051" s="256"/>
      <c r="DG28051" s="256"/>
    </row>
    <row r="28052" spans="104:111">
      <c r="CZ28052" s="256"/>
      <c r="DG28052" s="256"/>
    </row>
    <row r="28053" spans="104:111">
      <c r="CZ28053" s="256"/>
      <c r="DG28053" s="256"/>
    </row>
    <row r="28054" spans="104:111">
      <c r="CZ28054" s="256"/>
      <c r="DG28054" s="256"/>
    </row>
    <row r="28055" spans="104:111">
      <c r="CZ28055" s="256"/>
      <c r="DG28055" s="256"/>
    </row>
    <row r="28056" spans="104:111">
      <c r="CZ28056" s="256"/>
      <c r="DG28056" s="256"/>
    </row>
    <row r="28057" spans="104:111">
      <c r="CZ28057" s="256"/>
      <c r="DG28057" s="256"/>
    </row>
    <row r="28058" spans="104:111">
      <c r="CZ28058" s="256"/>
      <c r="DG28058" s="256"/>
    </row>
    <row r="28059" spans="104:111">
      <c r="CZ28059" s="256"/>
      <c r="DG28059" s="256"/>
    </row>
    <row r="28060" spans="104:111">
      <c r="CZ28060" s="256"/>
      <c r="DG28060" s="256"/>
    </row>
    <row r="28061" spans="104:111">
      <c r="CZ28061" s="256"/>
      <c r="DG28061" s="256"/>
    </row>
    <row r="28062" spans="104:111">
      <c r="CZ28062" s="256"/>
      <c r="DG28062" s="256"/>
    </row>
    <row r="28063" spans="104:111">
      <c r="CZ28063" s="256"/>
      <c r="DG28063" s="256"/>
    </row>
    <row r="28064" spans="104:111">
      <c r="CZ28064" s="256"/>
      <c r="DG28064" s="256"/>
    </row>
    <row r="28065" spans="104:111">
      <c r="CZ28065" s="256"/>
      <c r="DG28065" s="256"/>
    </row>
    <row r="28066" spans="104:111">
      <c r="CZ28066" s="256"/>
      <c r="DG28066" s="256"/>
    </row>
    <row r="28067" spans="104:111">
      <c r="CZ28067" s="256"/>
      <c r="DG28067" s="256"/>
    </row>
    <row r="28068" spans="104:111">
      <c r="CZ28068" s="256"/>
      <c r="DG28068" s="256"/>
    </row>
    <row r="28069" spans="104:111">
      <c r="CZ28069" s="256"/>
      <c r="DG28069" s="256"/>
    </row>
    <row r="28070" spans="104:111">
      <c r="CZ28070" s="256"/>
      <c r="DG28070" s="256"/>
    </row>
    <row r="28071" spans="104:111">
      <c r="CZ28071" s="256"/>
      <c r="DG28071" s="256"/>
    </row>
    <row r="28072" spans="104:111">
      <c r="CZ28072" s="256"/>
      <c r="DG28072" s="256"/>
    </row>
    <row r="28073" spans="104:111">
      <c r="CZ28073" s="256"/>
      <c r="DG28073" s="256"/>
    </row>
    <row r="28074" spans="104:111">
      <c r="CZ28074" s="256"/>
      <c r="DG28074" s="256"/>
    </row>
    <row r="28075" spans="104:111">
      <c r="CZ28075" s="256"/>
      <c r="DG28075" s="256"/>
    </row>
    <row r="28076" spans="104:111">
      <c r="CZ28076" s="256"/>
      <c r="DG28076" s="256"/>
    </row>
    <row r="28077" spans="104:111">
      <c r="CZ28077" s="256"/>
      <c r="DG28077" s="256"/>
    </row>
    <row r="28078" spans="104:111">
      <c r="CZ28078" s="256"/>
      <c r="DG28078" s="256"/>
    </row>
    <row r="28079" spans="104:111">
      <c r="CZ28079" s="256"/>
      <c r="DG28079" s="256"/>
    </row>
    <row r="28080" spans="104:111">
      <c r="CZ28080" s="256"/>
      <c r="DG28080" s="256"/>
    </row>
    <row r="28081" spans="104:111">
      <c r="CZ28081" s="256"/>
      <c r="DG28081" s="256"/>
    </row>
    <row r="28082" spans="104:111">
      <c r="CZ28082" s="256"/>
      <c r="DG28082" s="256"/>
    </row>
    <row r="28083" spans="104:111">
      <c r="CZ28083" s="256"/>
      <c r="DG28083" s="256"/>
    </row>
    <row r="28084" spans="104:111">
      <c r="CZ28084" s="256"/>
      <c r="DG28084" s="256"/>
    </row>
    <row r="28085" spans="104:111">
      <c r="CZ28085" s="256"/>
      <c r="DG28085" s="256"/>
    </row>
    <row r="28086" spans="104:111">
      <c r="CZ28086" s="256"/>
      <c r="DG28086" s="256"/>
    </row>
    <row r="28087" spans="104:111">
      <c r="CZ28087" s="256"/>
      <c r="DG28087" s="256"/>
    </row>
    <row r="28088" spans="104:111">
      <c r="CZ28088" s="256"/>
      <c r="DG28088" s="256"/>
    </row>
    <row r="28089" spans="104:111">
      <c r="CZ28089" s="256"/>
      <c r="DG28089" s="256"/>
    </row>
    <row r="28090" spans="104:111">
      <c r="CZ28090" s="256"/>
      <c r="DG28090" s="256"/>
    </row>
    <row r="28091" spans="104:111">
      <c r="CZ28091" s="256"/>
      <c r="DG28091" s="256"/>
    </row>
    <row r="28092" spans="104:111">
      <c r="CZ28092" s="256"/>
      <c r="DG28092" s="256"/>
    </row>
    <row r="28093" spans="104:111">
      <c r="CZ28093" s="256"/>
      <c r="DG28093" s="256"/>
    </row>
    <row r="28094" spans="104:111">
      <c r="CZ28094" s="256"/>
      <c r="DG28094" s="256"/>
    </row>
    <row r="28095" spans="104:111">
      <c r="CZ28095" s="256"/>
      <c r="DG28095" s="256"/>
    </row>
    <row r="28096" spans="104:111">
      <c r="CZ28096" s="256"/>
      <c r="DG28096" s="256"/>
    </row>
    <row r="28097" spans="104:111">
      <c r="CZ28097" s="256"/>
      <c r="DG28097" s="256"/>
    </row>
    <row r="28098" spans="104:111">
      <c r="CZ28098" s="256"/>
      <c r="DG28098" s="256"/>
    </row>
    <row r="28099" spans="104:111">
      <c r="CZ28099" s="256"/>
      <c r="DG28099" s="256"/>
    </row>
    <row r="28100" spans="104:111">
      <c r="CZ28100" s="256"/>
      <c r="DG28100" s="256"/>
    </row>
    <row r="28101" spans="104:111">
      <c r="CZ28101" s="256"/>
      <c r="DG28101" s="256"/>
    </row>
    <row r="28102" spans="104:111">
      <c r="CZ28102" s="256"/>
      <c r="DG28102" s="256"/>
    </row>
    <row r="28103" spans="104:111">
      <c r="CZ28103" s="256"/>
      <c r="DG28103" s="256"/>
    </row>
    <row r="28104" spans="104:111">
      <c r="CZ28104" s="256"/>
      <c r="DG28104" s="256"/>
    </row>
    <row r="28105" spans="104:111">
      <c r="CZ28105" s="256"/>
      <c r="DG28105" s="256"/>
    </row>
    <row r="28106" spans="104:111">
      <c r="CZ28106" s="256"/>
      <c r="DG28106" s="256"/>
    </row>
    <row r="28107" spans="104:111">
      <c r="CZ28107" s="256"/>
      <c r="DG28107" s="256"/>
    </row>
    <row r="28108" spans="104:111">
      <c r="CZ28108" s="256"/>
      <c r="DG28108" s="256"/>
    </row>
    <row r="28109" spans="104:111">
      <c r="CZ28109" s="256"/>
      <c r="DG28109" s="256"/>
    </row>
    <row r="28110" spans="104:111">
      <c r="CZ28110" s="256"/>
      <c r="DG28110" s="256"/>
    </row>
    <row r="28111" spans="104:111">
      <c r="CZ28111" s="256"/>
      <c r="DG28111" s="256"/>
    </row>
    <row r="28112" spans="104:111">
      <c r="CZ28112" s="256"/>
      <c r="DG28112" s="256"/>
    </row>
    <row r="28113" spans="104:111">
      <c r="CZ28113" s="256"/>
      <c r="DG28113" s="256"/>
    </row>
    <row r="28114" spans="104:111">
      <c r="CZ28114" s="256"/>
      <c r="DG28114" s="256"/>
    </row>
    <row r="28115" spans="104:111">
      <c r="CZ28115" s="256"/>
      <c r="DG28115" s="256"/>
    </row>
    <row r="28116" spans="104:111">
      <c r="CZ28116" s="256"/>
      <c r="DG28116" s="256"/>
    </row>
    <row r="28117" spans="104:111">
      <c r="CZ28117" s="256"/>
      <c r="DG28117" s="256"/>
    </row>
    <row r="28118" spans="104:111">
      <c r="CZ28118" s="256"/>
      <c r="DG28118" s="256"/>
    </row>
    <row r="28119" spans="104:111">
      <c r="CZ28119" s="256"/>
      <c r="DG28119" s="256"/>
    </row>
    <row r="28120" spans="104:111">
      <c r="CZ28120" s="256"/>
      <c r="DG28120" s="256"/>
    </row>
    <row r="28121" spans="104:111">
      <c r="CZ28121" s="256"/>
      <c r="DG28121" s="256"/>
    </row>
    <row r="28122" spans="104:111">
      <c r="CZ28122" s="256"/>
      <c r="DG28122" s="256"/>
    </row>
    <row r="28123" spans="104:111">
      <c r="CZ28123" s="256"/>
      <c r="DG28123" s="256"/>
    </row>
    <row r="28124" spans="104:111">
      <c r="CZ28124" s="256"/>
      <c r="DG28124" s="256"/>
    </row>
    <row r="28125" spans="104:111">
      <c r="CZ28125" s="256"/>
      <c r="DG28125" s="256"/>
    </row>
    <row r="28126" spans="104:111">
      <c r="CZ28126" s="256"/>
      <c r="DG28126" s="256"/>
    </row>
    <row r="28127" spans="104:111">
      <c r="CZ28127" s="256"/>
      <c r="DG28127" s="256"/>
    </row>
    <row r="28128" spans="104:111">
      <c r="CZ28128" s="256"/>
      <c r="DG28128" s="256"/>
    </row>
    <row r="28129" spans="104:111">
      <c r="CZ28129" s="256"/>
      <c r="DG28129" s="256"/>
    </row>
    <row r="28130" spans="104:111">
      <c r="CZ28130" s="256"/>
      <c r="DG28130" s="256"/>
    </row>
    <row r="28131" spans="104:111">
      <c r="CZ28131" s="256"/>
      <c r="DG28131" s="256"/>
    </row>
    <row r="28132" spans="104:111">
      <c r="CZ28132" s="256"/>
      <c r="DG28132" s="256"/>
    </row>
    <row r="28133" spans="104:111">
      <c r="CZ28133" s="256"/>
      <c r="DG28133" s="256"/>
    </row>
    <row r="28134" spans="104:111">
      <c r="CZ28134" s="256"/>
      <c r="DG28134" s="256"/>
    </row>
    <row r="28135" spans="104:111">
      <c r="CZ28135" s="256"/>
      <c r="DG28135" s="256"/>
    </row>
    <row r="28136" spans="104:111">
      <c r="CZ28136" s="256"/>
      <c r="DG28136" s="256"/>
    </row>
    <row r="28137" spans="104:111">
      <c r="CZ28137" s="256"/>
      <c r="DG28137" s="256"/>
    </row>
    <row r="28138" spans="104:111">
      <c r="CZ28138" s="256"/>
      <c r="DG28138" s="256"/>
    </row>
    <row r="28139" spans="104:111">
      <c r="CZ28139" s="256"/>
      <c r="DG28139" s="256"/>
    </row>
    <row r="28140" spans="104:111">
      <c r="CZ28140" s="256"/>
      <c r="DG28140" s="256"/>
    </row>
    <row r="28141" spans="104:111">
      <c r="CZ28141" s="256"/>
      <c r="DG28141" s="256"/>
    </row>
    <row r="28142" spans="104:111">
      <c r="CZ28142" s="256"/>
      <c r="DG28142" s="256"/>
    </row>
    <row r="28143" spans="104:111">
      <c r="CZ28143" s="256"/>
      <c r="DG28143" s="256"/>
    </row>
    <row r="28144" spans="104:111">
      <c r="CZ28144" s="256"/>
      <c r="DG28144" s="256"/>
    </row>
    <row r="28145" spans="104:111">
      <c r="CZ28145" s="256"/>
      <c r="DG28145" s="256"/>
    </row>
    <row r="28146" spans="104:111">
      <c r="CZ28146" s="256"/>
      <c r="DG28146" s="256"/>
    </row>
    <row r="28147" spans="104:111">
      <c r="CZ28147" s="256"/>
      <c r="DG28147" s="256"/>
    </row>
    <row r="28148" spans="104:111">
      <c r="CZ28148" s="256"/>
      <c r="DG28148" s="256"/>
    </row>
    <row r="28149" spans="104:111">
      <c r="CZ28149" s="256"/>
      <c r="DG28149" s="256"/>
    </row>
    <row r="28150" spans="104:111">
      <c r="CZ28150" s="256"/>
      <c r="DG28150" s="256"/>
    </row>
    <row r="28151" spans="104:111">
      <c r="CZ28151" s="256"/>
      <c r="DG28151" s="256"/>
    </row>
    <row r="28152" spans="104:111">
      <c r="CZ28152" s="256"/>
      <c r="DG28152" s="256"/>
    </row>
    <row r="28153" spans="104:111">
      <c r="CZ28153" s="256"/>
      <c r="DG28153" s="256"/>
    </row>
    <row r="28154" spans="104:111">
      <c r="CZ28154" s="256"/>
      <c r="DG28154" s="256"/>
    </row>
    <row r="28155" spans="104:111">
      <c r="CZ28155" s="256"/>
      <c r="DG28155" s="256"/>
    </row>
    <row r="28156" spans="104:111">
      <c r="CZ28156" s="256"/>
      <c r="DG28156" s="256"/>
    </row>
    <row r="28157" spans="104:111">
      <c r="CZ28157" s="256"/>
      <c r="DG28157" s="256"/>
    </row>
    <row r="28158" spans="104:111">
      <c r="CZ28158" s="256"/>
      <c r="DG28158" s="256"/>
    </row>
    <row r="28159" spans="104:111">
      <c r="CZ28159" s="256"/>
      <c r="DG28159" s="256"/>
    </row>
    <row r="28160" spans="104:111">
      <c r="CZ28160" s="256"/>
      <c r="DG28160" s="256"/>
    </row>
    <row r="28161" spans="104:111">
      <c r="CZ28161" s="256"/>
      <c r="DG28161" s="256"/>
    </row>
    <row r="28162" spans="104:111">
      <c r="CZ28162" s="256"/>
      <c r="DG28162" s="256"/>
    </row>
    <row r="28163" spans="104:111">
      <c r="CZ28163" s="256"/>
      <c r="DG28163" s="256"/>
    </row>
    <row r="28164" spans="104:111">
      <c r="CZ28164" s="256"/>
      <c r="DG28164" s="256"/>
    </row>
    <row r="28165" spans="104:111">
      <c r="CZ28165" s="256"/>
      <c r="DG28165" s="256"/>
    </row>
    <row r="28166" spans="104:111">
      <c r="CZ28166" s="256"/>
      <c r="DG28166" s="256"/>
    </row>
    <row r="28167" spans="104:111">
      <c r="CZ28167" s="256"/>
      <c r="DG28167" s="256"/>
    </row>
    <row r="28168" spans="104:111">
      <c r="CZ28168" s="256"/>
      <c r="DG28168" s="256"/>
    </row>
    <row r="28169" spans="104:111">
      <c r="CZ28169" s="256"/>
      <c r="DG28169" s="256"/>
    </row>
    <row r="28170" spans="104:111">
      <c r="CZ28170" s="256"/>
      <c r="DG28170" s="256"/>
    </row>
    <row r="28171" spans="104:111">
      <c r="CZ28171" s="256"/>
      <c r="DG28171" s="256"/>
    </row>
    <row r="28172" spans="104:111">
      <c r="CZ28172" s="256"/>
      <c r="DG28172" s="256"/>
    </row>
    <row r="28173" spans="104:111">
      <c r="CZ28173" s="256"/>
      <c r="DG28173" s="256"/>
    </row>
    <row r="28174" spans="104:111">
      <c r="CZ28174" s="256"/>
      <c r="DG28174" s="256"/>
    </row>
    <row r="28175" spans="104:111">
      <c r="CZ28175" s="256"/>
      <c r="DG28175" s="256"/>
    </row>
    <row r="28176" spans="104:111">
      <c r="CZ28176" s="256"/>
      <c r="DG28176" s="256"/>
    </row>
    <row r="28177" spans="104:111">
      <c r="CZ28177" s="256"/>
      <c r="DG28177" s="256"/>
    </row>
    <row r="28178" spans="104:111">
      <c r="CZ28178" s="256"/>
      <c r="DG28178" s="256"/>
    </row>
    <row r="28179" spans="104:111">
      <c r="CZ28179" s="256"/>
      <c r="DG28179" s="256"/>
    </row>
    <row r="28180" spans="104:111">
      <c r="CZ28180" s="256"/>
      <c r="DG28180" s="256"/>
    </row>
    <row r="28181" spans="104:111">
      <c r="CZ28181" s="256"/>
      <c r="DG28181" s="256"/>
    </row>
    <row r="28182" spans="104:111">
      <c r="CZ28182" s="256"/>
      <c r="DG28182" s="256"/>
    </row>
    <row r="28183" spans="104:111">
      <c r="CZ28183" s="256"/>
      <c r="DG28183" s="256"/>
    </row>
    <row r="28184" spans="104:111">
      <c r="CZ28184" s="256"/>
      <c r="DG28184" s="256"/>
    </row>
    <row r="28185" spans="104:111">
      <c r="CZ28185" s="256"/>
      <c r="DG28185" s="256"/>
    </row>
    <row r="28186" spans="104:111">
      <c r="CZ28186" s="256"/>
      <c r="DG28186" s="256"/>
    </row>
    <row r="28187" spans="104:111">
      <c r="CZ28187" s="256"/>
      <c r="DG28187" s="256"/>
    </row>
    <row r="28188" spans="104:111">
      <c r="CZ28188" s="256"/>
      <c r="DG28188" s="256"/>
    </row>
    <row r="28189" spans="104:111">
      <c r="CZ28189" s="256"/>
      <c r="DG28189" s="256"/>
    </row>
    <row r="28190" spans="104:111">
      <c r="CZ28190" s="256"/>
      <c r="DG28190" s="256"/>
    </row>
    <row r="28191" spans="104:111">
      <c r="CZ28191" s="256"/>
      <c r="DG28191" s="256"/>
    </row>
    <row r="28192" spans="104:111">
      <c r="CZ28192" s="256"/>
      <c r="DG28192" s="256"/>
    </row>
    <row r="28193" spans="104:111">
      <c r="CZ28193" s="256"/>
      <c r="DG28193" s="256"/>
    </row>
    <row r="28194" spans="104:111">
      <c r="CZ28194" s="256"/>
      <c r="DG28194" s="256"/>
    </row>
    <row r="28195" spans="104:111">
      <c r="CZ28195" s="256"/>
      <c r="DG28195" s="256"/>
    </row>
    <row r="28196" spans="104:111">
      <c r="CZ28196" s="256"/>
      <c r="DG28196" s="256"/>
    </row>
    <row r="28197" spans="104:111">
      <c r="CZ28197" s="256"/>
      <c r="DG28197" s="256"/>
    </row>
    <row r="28198" spans="104:111">
      <c r="CZ28198" s="256"/>
      <c r="DG28198" s="256"/>
    </row>
    <row r="28199" spans="104:111">
      <c r="CZ28199" s="256"/>
      <c r="DG28199" s="256"/>
    </row>
    <row r="28200" spans="104:111">
      <c r="CZ28200" s="256"/>
      <c r="DG28200" s="256"/>
    </row>
    <row r="28201" spans="104:111">
      <c r="CZ28201" s="256"/>
      <c r="DG28201" s="256"/>
    </row>
    <row r="28202" spans="104:111">
      <c r="CZ28202" s="256"/>
      <c r="DG28202" s="256"/>
    </row>
    <row r="28203" spans="104:111">
      <c r="CZ28203" s="256"/>
      <c r="DG28203" s="256"/>
    </row>
    <row r="28204" spans="104:111">
      <c r="CZ28204" s="256"/>
      <c r="DG28204" s="256"/>
    </row>
    <row r="28205" spans="104:111">
      <c r="CZ28205" s="256"/>
      <c r="DG28205" s="256"/>
    </row>
    <row r="28206" spans="104:111">
      <c r="CZ28206" s="256"/>
      <c r="DG28206" s="256"/>
    </row>
    <row r="28207" spans="104:111">
      <c r="CZ28207" s="256"/>
      <c r="DG28207" s="256"/>
    </row>
    <row r="28208" spans="104:111">
      <c r="CZ28208" s="256"/>
      <c r="DG28208" s="256"/>
    </row>
    <row r="28209" spans="104:111">
      <c r="CZ28209" s="256"/>
      <c r="DG28209" s="256"/>
    </row>
    <row r="28210" spans="104:111">
      <c r="CZ28210" s="256"/>
      <c r="DG28210" s="256"/>
    </row>
    <row r="28211" spans="104:111">
      <c r="CZ28211" s="256"/>
      <c r="DG28211" s="256"/>
    </row>
    <row r="28212" spans="104:111">
      <c r="CZ28212" s="256"/>
      <c r="DG28212" s="256"/>
    </row>
    <row r="28213" spans="104:111">
      <c r="CZ28213" s="256"/>
      <c r="DG28213" s="256"/>
    </row>
    <row r="28214" spans="104:111">
      <c r="CZ28214" s="256"/>
      <c r="DG28214" s="256"/>
    </row>
    <row r="28215" spans="104:111">
      <c r="CZ28215" s="256"/>
      <c r="DG28215" s="256"/>
    </row>
    <row r="28216" spans="104:111">
      <c r="CZ28216" s="256"/>
      <c r="DG28216" s="256"/>
    </row>
    <row r="28217" spans="104:111">
      <c r="CZ28217" s="256"/>
      <c r="DG28217" s="256"/>
    </row>
    <row r="28218" spans="104:111">
      <c r="CZ28218" s="256"/>
      <c r="DG28218" s="256"/>
    </row>
    <row r="28219" spans="104:111">
      <c r="CZ28219" s="256"/>
      <c r="DG28219" s="256"/>
    </row>
    <row r="28220" spans="104:111">
      <c r="CZ28220" s="256"/>
      <c r="DG28220" s="256"/>
    </row>
    <row r="28221" spans="104:111">
      <c r="CZ28221" s="256"/>
      <c r="DG28221" s="256"/>
    </row>
    <row r="28222" spans="104:111">
      <c r="CZ28222" s="256"/>
      <c r="DG28222" s="256"/>
    </row>
    <row r="28223" spans="104:111">
      <c r="CZ28223" s="256"/>
      <c r="DG28223" s="256"/>
    </row>
    <row r="28224" spans="104:111">
      <c r="CZ28224" s="256"/>
      <c r="DG28224" s="256"/>
    </row>
    <row r="28225" spans="104:111">
      <c r="CZ28225" s="256"/>
      <c r="DG28225" s="256"/>
    </row>
    <row r="28226" spans="104:111">
      <c r="CZ28226" s="256"/>
      <c r="DG28226" s="256"/>
    </row>
    <row r="28227" spans="104:111">
      <c r="CZ28227" s="256"/>
      <c r="DG28227" s="256"/>
    </row>
    <row r="28228" spans="104:111">
      <c r="CZ28228" s="256"/>
      <c r="DG28228" s="256"/>
    </row>
    <row r="28229" spans="104:111">
      <c r="CZ28229" s="256"/>
      <c r="DG28229" s="256"/>
    </row>
    <row r="28230" spans="104:111">
      <c r="CZ28230" s="256"/>
      <c r="DG28230" s="256"/>
    </row>
    <row r="28231" spans="104:111">
      <c r="CZ28231" s="256"/>
      <c r="DG28231" s="256"/>
    </row>
    <row r="28232" spans="104:111">
      <c r="CZ28232" s="256"/>
      <c r="DG28232" s="256"/>
    </row>
    <row r="28233" spans="104:111">
      <c r="CZ28233" s="256"/>
      <c r="DG28233" s="256"/>
    </row>
    <row r="28234" spans="104:111">
      <c r="CZ28234" s="256"/>
      <c r="DG28234" s="256"/>
    </row>
    <row r="28235" spans="104:111">
      <c r="CZ28235" s="256"/>
      <c r="DG28235" s="256"/>
    </row>
    <row r="28236" spans="104:111">
      <c r="CZ28236" s="256"/>
      <c r="DG28236" s="256"/>
    </row>
    <row r="28237" spans="104:111">
      <c r="CZ28237" s="256"/>
      <c r="DG28237" s="256"/>
    </row>
    <row r="28238" spans="104:111">
      <c r="CZ28238" s="256"/>
      <c r="DG28238" s="256"/>
    </row>
    <row r="28239" spans="104:111">
      <c r="CZ28239" s="256"/>
      <c r="DG28239" s="256"/>
    </row>
    <row r="28240" spans="104:111">
      <c r="CZ28240" s="256"/>
      <c r="DG28240" s="256"/>
    </row>
    <row r="28241" spans="104:111">
      <c r="CZ28241" s="256"/>
      <c r="DG28241" s="256"/>
    </row>
    <row r="28242" spans="104:111">
      <c r="CZ28242" s="256"/>
      <c r="DG28242" s="256"/>
    </row>
    <row r="28243" spans="104:111">
      <c r="CZ28243" s="256"/>
      <c r="DG28243" s="256"/>
    </row>
    <row r="28244" spans="104:111">
      <c r="CZ28244" s="256"/>
      <c r="DG28244" s="256"/>
    </row>
    <row r="28245" spans="104:111">
      <c r="CZ28245" s="256"/>
      <c r="DG28245" s="256"/>
    </row>
    <row r="28246" spans="104:111">
      <c r="CZ28246" s="256"/>
      <c r="DG28246" s="256"/>
    </row>
    <row r="28247" spans="104:111">
      <c r="CZ28247" s="256"/>
      <c r="DG28247" s="256"/>
    </row>
    <row r="28248" spans="104:111">
      <c r="CZ28248" s="256"/>
      <c r="DG28248" s="256"/>
    </row>
    <row r="28249" spans="104:111">
      <c r="CZ28249" s="256"/>
      <c r="DG28249" s="256"/>
    </row>
    <row r="28250" spans="104:111">
      <c r="CZ28250" s="256"/>
      <c r="DG28250" s="256"/>
    </row>
    <row r="28251" spans="104:111">
      <c r="CZ28251" s="256"/>
      <c r="DG28251" s="256"/>
    </row>
    <row r="28252" spans="104:111">
      <c r="CZ28252" s="256"/>
      <c r="DG28252" s="256"/>
    </row>
    <row r="28253" spans="104:111">
      <c r="CZ28253" s="256"/>
      <c r="DG28253" s="256"/>
    </row>
    <row r="28254" spans="104:111">
      <c r="CZ28254" s="256"/>
      <c r="DG28254" s="256"/>
    </row>
    <row r="28255" spans="104:111">
      <c r="CZ28255" s="256"/>
      <c r="DG28255" s="256"/>
    </row>
    <row r="28256" spans="104:111">
      <c r="CZ28256" s="256"/>
      <c r="DG28256" s="256"/>
    </row>
    <row r="28257" spans="104:111">
      <c r="CZ28257" s="256"/>
      <c r="DG28257" s="256"/>
    </row>
    <row r="28258" spans="104:111">
      <c r="CZ28258" s="256"/>
      <c r="DG28258" s="256"/>
    </row>
    <row r="28259" spans="104:111">
      <c r="CZ28259" s="256"/>
      <c r="DG28259" s="256"/>
    </row>
    <row r="28260" spans="104:111">
      <c r="CZ28260" s="256"/>
      <c r="DG28260" s="256"/>
    </row>
    <row r="28261" spans="104:111">
      <c r="CZ28261" s="256"/>
      <c r="DG28261" s="256"/>
    </row>
    <row r="28262" spans="104:111">
      <c r="CZ28262" s="256"/>
      <c r="DG28262" s="256"/>
    </row>
    <row r="28263" spans="104:111">
      <c r="CZ28263" s="256"/>
      <c r="DG28263" s="256"/>
    </row>
    <row r="28264" spans="104:111">
      <c r="CZ28264" s="256"/>
      <c r="DG28264" s="256"/>
    </row>
    <row r="28265" spans="104:111">
      <c r="CZ28265" s="256"/>
      <c r="DG28265" s="256"/>
    </row>
    <row r="28266" spans="104:111">
      <c r="CZ28266" s="256"/>
      <c r="DG28266" s="256"/>
    </row>
    <row r="28267" spans="104:111">
      <c r="CZ28267" s="256"/>
      <c r="DG28267" s="256"/>
    </row>
    <row r="28268" spans="104:111">
      <c r="CZ28268" s="256"/>
      <c r="DG28268" s="256"/>
    </row>
    <row r="28269" spans="104:111">
      <c r="CZ28269" s="256"/>
      <c r="DG28269" s="256"/>
    </row>
    <row r="28270" spans="104:111">
      <c r="CZ28270" s="256"/>
      <c r="DG28270" s="256"/>
    </row>
    <row r="28271" spans="104:111">
      <c r="CZ28271" s="256"/>
      <c r="DG28271" s="256"/>
    </row>
    <row r="28272" spans="104:111">
      <c r="CZ28272" s="256"/>
      <c r="DG28272" s="256"/>
    </row>
    <row r="28273" spans="104:111">
      <c r="CZ28273" s="256"/>
      <c r="DG28273" s="256"/>
    </row>
    <row r="28274" spans="104:111">
      <c r="CZ28274" s="256"/>
      <c r="DG28274" s="256"/>
    </row>
    <row r="28275" spans="104:111">
      <c r="CZ28275" s="256"/>
      <c r="DG28275" s="256"/>
    </row>
    <row r="28276" spans="104:111">
      <c r="CZ28276" s="256"/>
      <c r="DG28276" s="256"/>
    </row>
    <row r="28277" spans="104:111">
      <c r="CZ28277" s="256"/>
      <c r="DG28277" s="256"/>
    </row>
    <row r="28278" spans="104:111">
      <c r="CZ28278" s="256"/>
      <c r="DG28278" s="256"/>
    </row>
    <row r="28279" spans="104:111">
      <c r="CZ28279" s="256"/>
      <c r="DG28279" s="256"/>
    </row>
    <row r="28280" spans="104:111">
      <c r="CZ28280" s="256"/>
      <c r="DG28280" s="256"/>
    </row>
    <row r="28281" spans="104:111">
      <c r="CZ28281" s="256"/>
      <c r="DG28281" s="256"/>
    </row>
    <row r="28282" spans="104:111">
      <c r="CZ28282" s="256"/>
      <c r="DG28282" s="256"/>
    </row>
    <row r="28283" spans="104:111">
      <c r="CZ28283" s="256"/>
      <c r="DG28283" s="256"/>
    </row>
    <row r="28284" spans="104:111">
      <c r="CZ28284" s="256"/>
      <c r="DG28284" s="256"/>
    </row>
    <row r="28285" spans="104:111">
      <c r="CZ28285" s="256"/>
      <c r="DG28285" s="256"/>
    </row>
    <row r="28286" spans="104:111">
      <c r="CZ28286" s="256"/>
      <c r="DG28286" s="256"/>
    </row>
    <row r="28287" spans="104:111">
      <c r="CZ28287" s="256"/>
      <c r="DG28287" s="256"/>
    </row>
    <row r="28288" spans="104:111">
      <c r="CZ28288" s="256"/>
      <c r="DG28288" s="256"/>
    </row>
    <row r="28289" spans="104:111">
      <c r="CZ28289" s="256"/>
      <c r="DG28289" s="256"/>
    </row>
    <row r="28290" spans="104:111">
      <c r="CZ28290" s="256"/>
      <c r="DG28290" s="256"/>
    </row>
    <row r="28291" spans="104:111">
      <c r="CZ28291" s="256"/>
      <c r="DG28291" s="256"/>
    </row>
    <row r="28292" spans="104:111">
      <c r="CZ28292" s="256"/>
      <c r="DG28292" s="256"/>
    </row>
    <row r="28293" spans="104:111">
      <c r="CZ28293" s="256"/>
      <c r="DG28293" s="256"/>
    </row>
    <row r="28294" spans="104:111">
      <c r="CZ28294" s="256"/>
      <c r="DG28294" s="256"/>
    </row>
    <row r="28295" spans="104:111">
      <c r="CZ28295" s="256"/>
      <c r="DG28295" s="256"/>
    </row>
    <row r="28296" spans="104:111">
      <c r="CZ28296" s="256"/>
      <c r="DG28296" s="256"/>
    </row>
    <row r="28297" spans="104:111">
      <c r="CZ28297" s="256"/>
      <c r="DG28297" s="256"/>
    </row>
    <row r="28298" spans="104:111">
      <c r="CZ28298" s="256"/>
      <c r="DG28298" s="256"/>
    </row>
    <row r="28299" spans="104:111">
      <c r="CZ28299" s="256"/>
      <c r="DG28299" s="256"/>
    </row>
    <row r="28300" spans="104:111">
      <c r="CZ28300" s="256"/>
      <c r="DG28300" s="256"/>
    </row>
    <row r="28301" spans="104:111">
      <c r="CZ28301" s="256"/>
      <c r="DG28301" s="256"/>
    </row>
    <row r="28302" spans="104:111">
      <c r="CZ28302" s="256"/>
      <c r="DG28302" s="256"/>
    </row>
    <row r="28303" spans="104:111">
      <c r="CZ28303" s="256"/>
      <c r="DG28303" s="256"/>
    </row>
    <row r="28304" spans="104:111">
      <c r="CZ28304" s="256"/>
      <c r="DG28304" s="256"/>
    </row>
    <row r="28305" spans="104:111">
      <c r="CZ28305" s="256"/>
      <c r="DG28305" s="256"/>
    </row>
    <row r="28306" spans="104:111">
      <c r="CZ28306" s="256"/>
      <c r="DG28306" s="256"/>
    </row>
    <row r="28307" spans="104:111">
      <c r="CZ28307" s="256"/>
      <c r="DG28307" s="256"/>
    </row>
    <row r="28308" spans="104:111">
      <c r="CZ28308" s="256"/>
      <c r="DG28308" s="256"/>
    </row>
    <row r="28309" spans="104:111">
      <c r="CZ28309" s="256"/>
      <c r="DG28309" s="256"/>
    </row>
    <row r="28310" spans="104:111">
      <c r="CZ28310" s="256"/>
      <c r="DG28310" s="256"/>
    </row>
    <row r="28311" spans="104:111">
      <c r="CZ28311" s="256"/>
      <c r="DG28311" s="256"/>
    </row>
    <row r="28312" spans="104:111">
      <c r="CZ28312" s="256"/>
      <c r="DG28312" s="256"/>
    </row>
    <row r="28313" spans="104:111">
      <c r="CZ28313" s="256"/>
      <c r="DG28313" s="256"/>
    </row>
    <row r="28314" spans="104:111">
      <c r="CZ28314" s="256"/>
      <c r="DG28314" s="256"/>
    </row>
    <row r="28315" spans="104:111">
      <c r="CZ28315" s="256"/>
      <c r="DG28315" s="256"/>
    </row>
    <row r="28316" spans="104:111">
      <c r="CZ28316" s="256"/>
      <c r="DG28316" s="256"/>
    </row>
    <row r="28317" spans="104:111">
      <c r="CZ28317" s="256"/>
      <c r="DG28317" s="256"/>
    </row>
    <row r="28318" spans="104:111">
      <c r="CZ28318" s="256"/>
      <c r="DG28318" s="256"/>
    </row>
    <row r="28319" spans="104:111">
      <c r="CZ28319" s="256"/>
      <c r="DG28319" s="256"/>
    </row>
    <row r="28320" spans="104:111">
      <c r="CZ28320" s="256"/>
      <c r="DG28320" s="256"/>
    </row>
    <row r="28321" spans="104:111">
      <c r="CZ28321" s="256"/>
      <c r="DG28321" s="256"/>
    </row>
    <row r="28322" spans="104:111">
      <c r="CZ28322" s="256"/>
      <c r="DG28322" s="256"/>
    </row>
    <row r="28323" spans="104:111">
      <c r="CZ28323" s="256"/>
      <c r="DG28323" s="256"/>
    </row>
    <row r="28324" spans="104:111">
      <c r="CZ28324" s="256"/>
      <c r="DG28324" s="256"/>
    </row>
    <row r="28325" spans="104:111">
      <c r="CZ28325" s="256"/>
      <c r="DG28325" s="256"/>
    </row>
    <row r="28326" spans="104:111">
      <c r="CZ28326" s="256"/>
      <c r="DG28326" s="256"/>
    </row>
    <row r="28327" spans="104:111">
      <c r="CZ28327" s="256"/>
      <c r="DG28327" s="256"/>
    </row>
    <row r="28328" spans="104:111">
      <c r="CZ28328" s="256"/>
      <c r="DG28328" s="256"/>
    </row>
    <row r="28329" spans="104:111">
      <c r="CZ28329" s="256"/>
      <c r="DG28329" s="256"/>
    </row>
    <row r="28330" spans="104:111">
      <c r="CZ28330" s="256"/>
      <c r="DG28330" s="256"/>
    </row>
    <row r="28331" spans="104:111">
      <c r="CZ28331" s="256"/>
      <c r="DG28331" s="256"/>
    </row>
    <row r="28332" spans="104:111">
      <c r="CZ28332" s="256"/>
      <c r="DG28332" s="256"/>
    </row>
    <row r="28333" spans="104:111">
      <c r="CZ28333" s="256"/>
      <c r="DG28333" s="256"/>
    </row>
    <row r="28334" spans="104:111">
      <c r="CZ28334" s="256"/>
      <c r="DG28334" s="256"/>
    </row>
    <row r="28335" spans="104:111">
      <c r="CZ28335" s="256"/>
      <c r="DG28335" s="256"/>
    </row>
    <row r="28336" spans="104:111">
      <c r="CZ28336" s="256"/>
      <c r="DG28336" s="256"/>
    </row>
    <row r="28337" spans="104:111">
      <c r="CZ28337" s="256"/>
      <c r="DG28337" s="256"/>
    </row>
    <row r="28338" spans="104:111">
      <c r="CZ28338" s="256"/>
      <c r="DG28338" s="256"/>
    </row>
    <row r="28339" spans="104:111">
      <c r="CZ28339" s="256"/>
      <c r="DG28339" s="256"/>
    </row>
    <row r="28340" spans="104:111">
      <c r="CZ28340" s="256"/>
      <c r="DG28340" s="256"/>
    </row>
    <row r="28341" spans="104:111">
      <c r="CZ28341" s="256"/>
      <c r="DG28341" s="256"/>
    </row>
    <row r="28342" spans="104:111">
      <c r="CZ28342" s="256"/>
      <c r="DG28342" s="256"/>
    </row>
    <row r="28343" spans="104:111">
      <c r="CZ28343" s="256"/>
      <c r="DG28343" s="256"/>
    </row>
    <row r="28344" spans="104:111">
      <c r="CZ28344" s="256"/>
      <c r="DG28344" s="256"/>
    </row>
    <row r="28345" spans="104:111">
      <c r="CZ28345" s="256"/>
      <c r="DG28345" s="256"/>
    </row>
    <row r="28346" spans="104:111">
      <c r="CZ28346" s="256"/>
      <c r="DG28346" s="256"/>
    </row>
    <row r="28347" spans="104:111">
      <c r="CZ28347" s="256"/>
      <c r="DG28347" s="256"/>
    </row>
    <row r="28348" spans="104:111">
      <c r="CZ28348" s="256"/>
      <c r="DG28348" s="256"/>
    </row>
    <row r="28349" spans="104:111">
      <c r="CZ28349" s="256"/>
      <c r="DG28349" s="256"/>
    </row>
    <row r="28350" spans="104:111">
      <c r="CZ28350" s="256"/>
      <c r="DG28350" s="256"/>
    </row>
    <row r="28351" spans="104:111">
      <c r="CZ28351" s="256"/>
      <c r="DG28351" s="256"/>
    </row>
    <row r="28352" spans="104:111">
      <c r="CZ28352" s="256"/>
      <c r="DG28352" s="256"/>
    </row>
    <row r="28353" spans="104:111">
      <c r="CZ28353" s="256"/>
      <c r="DG28353" s="256"/>
    </row>
    <row r="28354" spans="104:111">
      <c r="CZ28354" s="256"/>
      <c r="DG28354" s="256"/>
    </row>
    <row r="28355" spans="104:111">
      <c r="CZ28355" s="256"/>
      <c r="DG28355" s="256"/>
    </row>
    <row r="28356" spans="104:111">
      <c r="CZ28356" s="256"/>
      <c r="DG28356" s="256"/>
    </row>
    <row r="28357" spans="104:111">
      <c r="CZ28357" s="256"/>
      <c r="DG28357" s="256"/>
    </row>
    <row r="28358" spans="104:111">
      <c r="CZ28358" s="256"/>
      <c r="DG28358" s="256"/>
    </row>
    <row r="28359" spans="104:111">
      <c r="CZ28359" s="256"/>
      <c r="DG28359" s="256"/>
    </row>
    <row r="28360" spans="104:111">
      <c r="CZ28360" s="256"/>
      <c r="DG28360" s="256"/>
    </row>
    <row r="28361" spans="104:111">
      <c r="CZ28361" s="256"/>
      <c r="DG28361" s="256"/>
    </row>
    <row r="28362" spans="104:111">
      <c r="CZ28362" s="256"/>
      <c r="DG28362" s="256"/>
    </row>
    <row r="28363" spans="104:111">
      <c r="CZ28363" s="256"/>
      <c r="DG28363" s="256"/>
    </row>
    <row r="28364" spans="104:111">
      <c r="CZ28364" s="256"/>
      <c r="DG28364" s="256"/>
    </row>
    <row r="28365" spans="104:111">
      <c r="CZ28365" s="256"/>
      <c r="DG28365" s="256"/>
    </row>
    <row r="28366" spans="104:111">
      <c r="CZ28366" s="256"/>
      <c r="DG28366" s="256"/>
    </row>
    <row r="28367" spans="104:111">
      <c r="CZ28367" s="256"/>
      <c r="DG28367" s="256"/>
    </row>
    <row r="28368" spans="104:111">
      <c r="CZ28368" s="256"/>
      <c r="DG28368" s="256"/>
    </row>
    <row r="28369" spans="104:111">
      <c r="CZ28369" s="256"/>
      <c r="DG28369" s="256"/>
    </row>
    <row r="28370" spans="104:111">
      <c r="CZ28370" s="256"/>
      <c r="DG28370" s="256"/>
    </row>
    <row r="28371" spans="104:111">
      <c r="CZ28371" s="256"/>
      <c r="DG28371" s="256"/>
    </row>
    <row r="28372" spans="104:111">
      <c r="CZ28372" s="256"/>
      <c r="DG28372" s="256"/>
    </row>
    <row r="28373" spans="104:111">
      <c r="CZ28373" s="256"/>
      <c r="DG28373" s="256"/>
    </row>
    <row r="28374" spans="104:111">
      <c r="CZ28374" s="256"/>
      <c r="DG28374" s="256"/>
    </row>
    <row r="28375" spans="104:111">
      <c r="CZ28375" s="256"/>
      <c r="DG28375" s="256"/>
    </row>
    <row r="28376" spans="104:111">
      <c r="CZ28376" s="256"/>
      <c r="DG28376" s="256"/>
    </row>
    <row r="28377" spans="104:111">
      <c r="CZ28377" s="256"/>
      <c r="DG28377" s="256"/>
    </row>
    <row r="28378" spans="104:111">
      <c r="CZ28378" s="256"/>
      <c r="DG28378" s="256"/>
    </row>
    <row r="28379" spans="104:111">
      <c r="CZ28379" s="256"/>
      <c r="DG28379" s="256"/>
    </row>
    <row r="28380" spans="104:111">
      <c r="CZ28380" s="256"/>
      <c r="DG28380" s="256"/>
    </row>
    <row r="28381" spans="104:111">
      <c r="CZ28381" s="256"/>
      <c r="DG28381" s="256"/>
    </row>
    <row r="28382" spans="104:111">
      <c r="CZ28382" s="256"/>
      <c r="DG28382" s="256"/>
    </row>
    <row r="28383" spans="104:111">
      <c r="CZ28383" s="256"/>
      <c r="DG28383" s="256"/>
    </row>
    <row r="28384" spans="104:111">
      <c r="CZ28384" s="256"/>
      <c r="DG28384" s="256"/>
    </row>
    <row r="28385" spans="104:111">
      <c r="CZ28385" s="256"/>
      <c r="DG28385" s="256"/>
    </row>
    <row r="28386" spans="104:111">
      <c r="CZ28386" s="256"/>
      <c r="DG28386" s="256"/>
    </row>
    <row r="28387" spans="104:111">
      <c r="CZ28387" s="256"/>
      <c r="DG28387" s="256"/>
    </row>
    <row r="28388" spans="104:111">
      <c r="CZ28388" s="256"/>
      <c r="DG28388" s="256"/>
    </row>
    <row r="28389" spans="104:111">
      <c r="CZ28389" s="256"/>
      <c r="DG28389" s="256"/>
    </row>
    <row r="28390" spans="104:111">
      <c r="CZ28390" s="256"/>
      <c r="DG28390" s="256"/>
    </row>
    <row r="28391" spans="104:111">
      <c r="CZ28391" s="256"/>
      <c r="DG28391" s="256"/>
    </row>
    <row r="28392" spans="104:111">
      <c r="CZ28392" s="256"/>
      <c r="DG28392" s="256"/>
    </row>
    <row r="28393" spans="104:111">
      <c r="CZ28393" s="256"/>
      <c r="DG28393" s="256"/>
    </row>
    <row r="28394" spans="104:111">
      <c r="CZ28394" s="256"/>
      <c r="DG28394" s="256"/>
    </row>
    <row r="28395" spans="104:111">
      <c r="CZ28395" s="256"/>
      <c r="DG28395" s="256"/>
    </row>
    <row r="28396" spans="104:111">
      <c r="CZ28396" s="256"/>
      <c r="DG28396" s="256"/>
    </row>
    <row r="28397" spans="104:111">
      <c r="CZ28397" s="256"/>
      <c r="DG28397" s="256"/>
    </row>
    <row r="28398" spans="104:111">
      <c r="CZ28398" s="256"/>
      <c r="DG28398" s="256"/>
    </row>
    <row r="28399" spans="104:111">
      <c r="CZ28399" s="256"/>
      <c r="DG28399" s="256"/>
    </row>
    <row r="28400" spans="104:111">
      <c r="CZ28400" s="256"/>
      <c r="DG28400" s="256"/>
    </row>
    <row r="28401" spans="104:111">
      <c r="CZ28401" s="256"/>
      <c r="DG28401" s="256"/>
    </row>
    <row r="28402" spans="104:111">
      <c r="CZ28402" s="256"/>
      <c r="DG28402" s="256"/>
    </row>
    <row r="28403" spans="104:111">
      <c r="CZ28403" s="256"/>
      <c r="DG28403" s="256"/>
    </row>
    <row r="28404" spans="104:111">
      <c r="CZ28404" s="256"/>
      <c r="DG28404" s="256"/>
    </row>
    <row r="28405" spans="104:111">
      <c r="CZ28405" s="256"/>
      <c r="DG28405" s="256"/>
    </row>
    <row r="28406" spans="104:111">
      <c r="CZ28406" s="256"/>
      <c r="DG28406" s="256"/>
    </row>
    <row r="28407" spans="104:111">
      <c r="CZ28407" s="256"/>
      <c r="DG28407" s="256"/>
    </row>
    <row r="28408" spans="104:111">
      <c r="CZ28408" s="256"/>
      <c r="DG28408" s="256"/>
    </row>
    <row r="28409" spans="104:111">
      <c r="CZ28409" s="256"/>
      <c r="DG28409" s="256"/>
    </row>
    <row r="28410" spans="104:111">
      <c r="CZ28410" s="256"/>
      <c r="DG28410" s="256"/>
    </row>
    <row r="28411" spans="104:111">
      <c r="CZ28411" s="256"/>
      <c r="DG28411" s="256"/>
    </row>
    <row r="28412" spans="104:111">
      <c r="CZ28412" s="256"/>
      <c r="DG28412" s="256"/>
    </row>
    <row r="28413" spans="104:111">
      <c r="CZ28413" s="256"/>
      <c r="DG28413" s="256"/>
    </row>
    <row r="28414" spans="104:111">
      <c r="CZ28414" s="256"/>
      <c r="DG28414" s="256"/>
    </row>
    <row r="28415" spans="104:111">
      <c r="CZ28415" s="256"/>
      <c r="DG28415" s="256"/>
    </row>
    <row r="28416" spans="104:111">
      <c r="CZ28416" s="256"/>
      <c r="DG28416" s="256"/>
    </row>
    <row r="28417" spans="104:111">
      <c r="CZ28417" s="256"/>
      <c r="DG28417" s="256"/>
    </row>
    <row r="28418" spans="104:111">
      <c r="CZ28418" s="256"/>
      <c r="DG28418" s="256"/>
    </row>
    <row r="28419" spans="104:111">
      <c r="CZ28419" s="256"/>
      <c r="DG28419" s="256"/>
    </row>
    <row r="28420" spans="104:111">
      <c r="CZ28420" s="256"/>
      <c r="DG28420" s="256"/>
    </row>
    <row r="28421" spans="104:111">
      <c r="CZ28421" s="256"/>
      <c r="DG28421" s="256"/>
    </row>
    <row r="28422" spans="104:111">
      <c r="CZ28422" s="256"/>
      <c r="DG28422" s="256"/>
    </row>
    <row r="28423" spans="104:111">
      <c r="CZ28423" s="256"/>
      <c r="DG28423" s="256"/>
    </row>
    <row r="28424" spans="104:111">
      <c r="CZ28424" s="256"/>
      <c r="DG28424" s="256"/>
    </row>
    <row r="28425" spans="104:111">
      <c r="CZ28425" s="256"/>
      <c r="DG28425" s="256"/>
    </row>
    <row r="28426" spans="104:111">
      <c r="CZ28426" s="256"/>
      <c r="DG28426" s="256"/>
    </row>
    <row r="28427" spans="104:111">
      <c r="CZ28427" s="256"/>
      <c r="DG28427" s="256"/>
    </row>
    <row r="28428" spans="104:111">
      <c r="CZ28428" s="256"/>
      <c r="DG28428" s="256"/>
    </row>
    <row r="28429" spans="104:111">
      <c r="CZ28429" s="256"/>
      <c r="DG28429" s="256"/>
    </row>
    <row r="28430" spans="104:111">
      <c r="CZ28430" s="256"/>
      <c r="DG28430" s="256"/>
    </row>
    <row r="28431" spans="104:111">
      <c r="CZ28431" s="256"/>
      <c r="DG28431" s="256"/>
    </row>
    <row r="28432" spans="104:111">
      <c r="CZ28432" s="256"/>
      <c r="DG28432" s="256"/>
    </row>
    <row r="28433" spans="104:111">
      <c r="CZ28433" s="256"/>
      <c r="DG28433" s="256"/>
    </row>
    <row r="28434" spans="104:111">
      <c r="CZ28434" s="256"/>
      <c r="DG28434" s="256"/>
    </row>
    <row r="28435" spans="104:111">
      <c r="CZ28435" s="256"/>
      <c r="DG28435" s="256"/>
    </row>
    <row r="28436" spans="104:111">
      <c r="CZ28436" s="256"/>
      <c r="DG28436" s="256"/>
    </row>
    <row r="28437" spans="104:111">
      <c r="CZ28437" s="256"/>
      <c r="DG28437" s="256"/>
    </row>
    <row r="28438" spans="104:111">
      <c r="CZ28438" s="256"/>
      <c r="DG28438" s="256"/>
    </row>
    <row r="28439" spans="104:111">
      <c r="CZ28439" s="256"/>
      <c r="DG28439" s="256"/>
    </row>
    <row r="28440" spans="104:111">
      <c r="CZ28440" s="256"/>
      <c r="DG28440" s="256"/>
    </row>
    <row r="28441" spans="104:111">
      <c r="CZ28441" s="256"/>
      <c r="DG28441" s="256"/>
    </row>
    <row r="28442" spans="104:111">
      <c r="CZ28442" s="256"/>
      <c r="DG28442" s="256"/>
    </row>
    <row r="28443" spans="104:111">
      <c r="CZ28443" s="256"/>
      <c r="DG28443" s="256"/>
    </row>
    <row r="28444" spans="104:111">
      <c r="CZ28444" s="256"/>
      <c r="DG28444" s="256"/>
    </row>
    <row r="28445" spans="104:111">
      <c r="CZ28445" s="256"/>
      <c r="DG28445" s="256"/>
    </row>
    <row r="28446" spans="104:111">
      <c r="CZ28446" s="256"/>
      <c r="DG28446" s="256"/>
    </row>
    <row r="28447" spans="104:111">
      <c r="CZ28447" s="256"/>
      <c r="DG28447" s="256"/>
    </row>
    <row r="28448" spans="104:111">
      <c r="CZ28448" s="256"/>
      <c r="DG28448" s="256"/>
    </row>
    <row r="28449" spans="104:111">
      <c r="CZ28449" s="256"/>
      <c r="DG28449" s="256"/>
    </row>
    <row r="28450" spans="104:111">
      <c r="CZ28450" s="256"/>
      <c r="DG28450" s="256"/>
    </row>
    <row r="28451" spans="104:111">
      <c r="CZ28451" s="256"/>
      <c r="DG28451" s="256"/>
    </row>
    <row r="28452" spans="104:111">
      <c r="CZ28452" s="256"/>
      <c r="DG28452" s="256"/>
    </row>
    <row r="28453" spans="104:111">
      <c r="CZ28453" s="256"/>
      <c r="DG28453" s="256"/>
    </row>
    <row r="28454" spans="104:111">
      <c r="CZ28454" s="256"/>
      <c r="DG28454" s="256"/>
    </row>
    <row r="28455" spans="104:111">
      <c r="CZ28455" s="256"/>
      <c r="DG28455" s="256"/>
    </row>
    <row r="28456" spans="104:111">
      <c r="CZ28456" s="256"/>
      <c r="DG28456" s="256"/>
    </row>
    <row r="28457" spans="104:111">
      <c r="CZ28457" s="256"/>
      <c r="DG28457" s="256"/>
    </row>
    <row r="28458" spans="104:111">
      <c r="CZ28458" s="256"/>
      <c r="DG28458" s="256"/>
    </row>
    <row r="28459" spans="104:111">
      <c r="CZ28459" s="256"/>
      <c r="DG28459" s="256"/>
    </row>
    <row r="28460" spans="104:111">
      <c r="CZ28460" s="256"/>
      <c r="DG28460" s="256"/>
    </row>
    <row r="28461" spans="104:111">
      <c r="CZ28461" s="256"/>
      <c r="DG28461" s="256"/>
    </row>
    <row r="28462" spans="104:111">
      <c r="CZ28462" s="256"/>
      <c r="DG28462" s="256"/>
    </row>
    <row r="28463" spans="104:111">
      <c r="CZ28463" s="256"/>
      <c r="DG28463" s="256"/>
    </row>
    <row r="28464" spans="104:111">
      <c r="CZ28464" s="256"/>
      <c r="DG28464" s="256"/>
    </row>
    <row r="28465" spans="104:111">
      <c r="CZ28465" s="256"/>
      <c r="DG28465" s="256"/>
    </row>
    <row r="28466" spans="104:111">
      <c r="CZ28466" s="256"/>
      <c r="DG28466" s="256"/>
    </row>
    <row r="28467" spans="104:111">
      <c r="CZ28467" s="256"/>
      <c r="DG28467" s="256"/>
    </row>
    <row r="28468" spans="104:111">
      <c r="CZ28468" s="256"/>
      <c r="DG28468" s="256"/>
    </row>
    <row r="28469" spans="104:111">
      <c r="CZ28469" s="256"/>
      <c r="DG28469" s="256"/>
    </row>
    <row r="28470" spans="104:111">
      <c r="CZ28470" s="256"/>
      <c r="DG28470" s="256"/>
    </row>
    <row r="28471" spans="104:111">
      <c r="CZ28471" s="256"/>
      <c r="DG28471" s="256"/>
    </row>
    <row r="28472" spans="104:111">
      <c r="CZ28472" s="256"/>
      <c r="DG28472" s="256"/>
    </row>
    <row r="28473" spans="104:111">
      <c r="CZ28473" s="256"/>
      <c r="DG28473" s="256"/>
    </row>
    <row r="28474" spans="104:111">
      <c r="CZ28474" s="256"/>
      <c r="DG28474" s="256"/>
    </row>
    <row r="28475" spans="104:111">
      <c r="CZ28475" s="256"/>
      <c r="DG28475" s="256"/>
    </row>
    <row r="28476" spans="104:111">
      <c r="CZ28476" s="256"/>
      <c r="DG28476" s="256"/>
    </row>
    <row r="28477" spans="104:111">
      <c r="CZ28477" s="256"/>
      <c r="DG28477" s="256"/>
    </row>
    <row r="28478" spans="104:111">
      <c r="CZ28478" s="256"/>
      <c r="DG28478" s="256"/>
    </row>
    <row r="28479" spans="104:111">
      <c r="CZ28479" s="256"/>
      <c r="DG28479" s="256"/>
    </row>
    <row r="28480" spans="104:111">
      <c r="CZ28480" s="256"/>
      <c r="DG28480" s="256"/>
    </row>
    <row r="28481" spans="104:111">
      <c r="CZ28481" s="256"/>
      <c r="DG28481" s="256"/>
    </row>
    <row r="28482" spans="104:111">
      <c r="CZ28482" s="256"/>
      <c r="DG28482" s="256"/>
    </row>
    <row r="28483" spans="104:111">
      <c r="CZ28483" s="256"/>
      <c r="DG28483" s="256"/>
    </row>
    <row r="28484" spans="104:111">
      <c r="CZ28484" s="256"/>
      <c r="DG28484" s="256"/>
    </row>
    <row r="28485" spans="104:111">
      <c r="CZ28485" s="256"/>
      <c r="DG28485" s="256"/>
    </row>
    <row r="28486" spans="104:111">
      <c r="CZ28486" s="256"/>
      <c r="DG28486" s="256"/>
    </row>
    <row r="28487" spans="104:111">
      <c r="CZ28487" s="256"/>
      <c r="DG28487" s="256"/>
    </row>
    <row r="28488" spans="104:111">
      <c r="CZ28488" s="256"/>
      <c r="DG28488" s="256"/>
    </row>
    <row r="28489" spans="104:111">
      <c r="CZ28489" s="256"/>
      <c r="DG28489" s="256"/>
    </row>
    <row r="28490" spans="104:111">
      <c r="CZ28490" s="256"/>
      <c r="DG28490" s="256"/>
    </row>
    <row r="28491" spans="104:111">
      <c r="CZ28491" s="256"/>
      <c r="DG28491" s="256"/>
    </row>
    <row r="28492" spans="104:111">
      <c r="CZ28492" s="256"/>
      <c r="DG28492" s="256"/>
    </row>
    <row r="28493" spans="104:111">
      <c r="CZ28493" s="256"/>
      <c r="DG28493" s="256"/>
    </row>
    <row r="28494" spans="104:111">
      <c r="CZ28494" s="256"/>
      <c r="DG28494" s="256"/>
    </row>
    <row r="28495" spans="104:111">
      <c r="CZ28495" s="256"/>
      <c r="DG28495" s="256"/>
    </row>
    <row r="28496" spans="104:111">
      <c r="CZ28496" s="256"/>
      <c r="DG28496" s="256"/>
    </row>
    <row r="28497" spans="104:111">
      <c r="CZ28497" s="256"/>
      <c r="DG28497" s="256"/>
    </row>
    <row r="28498" spans="104:111">
      <c r="CZ28498" s="256"/>
      <c r="DG28498" s="256"/>
    </row>
    <row r="28499" spans="104:111">
      <c r="CZ28499" s="256"/>
      <c r="DG28499" s="256"/>
    </row>
    <row r="28500" spans="104:111">
      <c r="CZ28500" s="256"/>
      <c r="DG28500" s="256"/>
    </row>
    <row r="28501" spans="104:111">
      <c r="CZ28501" s="256"/>
      <c r="DG28501" s="256"/>
    </row>
    <row r="28502" spans="104:111">
      <c r="CZ28502" s="256"/>
      <c r="DG28502" s="256"/>
    </row>
    <row r="28503" spans="104:111">
      <c r="CZ28503" s="256"/>
      <c r="DG28503" s="256"/>
    </row>
    <row r="28504" spans="104:111">
      <c r="CZ28504" s="256"/>
      <c r="DG28504" s="256"/>
    </row>
    <row r="28505" spans="104:111">
      <c r="CZ28505" s="256"/>
      <c r="DG28505" s="256"/>
    </row>
    <row r="28506" spans="104:111">
      <c r="CZ28506" s="256"/>
      <c r="DG28506" s="256"/>
    </row>
    <row r="28507" spans="104:111">
      <c r="CZ28507" s="256"/>
      <c r="DG28507" s="256"/>
    </row>
    <row r="28508" spans="104:111">
      <c r="CZ28508" s="256"/>
      <c r="DG28508" s="256"/>
    </row>
    <row r="28509" spans="104:111">
      <c r="CZ28509" s="256"/>
      <c r="DG28509" s="256"/>
    </row>
    <row r="28510" spans="104:111">
      <c r="CZ28510" s="256"/>
      <c r="DG28510" s="256"/>
    </row>
    <row r="28511" spans="104:111">
      <c r="CZ28511" s="256"/>
      <c r="DG28511" s="256"/>
    </row>
    <row r="28512" spans="104:111">
      <c r="CZ28512" s="256"/>
      <c r="DG28512" s="256"/>
    </row>
    <row r="28513" spans="104:111">
      <c r="CZ28513" s="256"/>
      <c r="DG28513" s="256"/>
    </row>
    <row r="28514" spans="104:111">
      <c r="CZ28514" s="256"/>
      <c r="DG28514" s="256"/>
    </row>
    <row r="28515" spans="104:111">
      <c r="CZ28515" s="256"/>
      <c r="DG28515" s="256"/>
    </row>
    <row r="28516" spans="104:111">
      <c r="CZ28516" s="256"/>
      <c r="DG28516" s="256"/>
    </row>
    <row r="28517" spans="104:111">
      <c r="CZ28517" s="256"/>
      <c r="DG28517" s="256"/>
    </row>
    <row r="28518" spans="104:111">
      <c r="CZ28518" s="256"/>
      <c r="DG28518" s="256"/>
    </row>
    <row r="28519" spans="104:111">
      <c r="CZ28519" s="256"/>
      <c r="DG28519" s="256"/>
    </row>
    <row r="28520" spans="104:111">
      <c r="CZ28520" s="256"/>
      <c r="DG28520" s="256"/>
    </row>
    <row r="28521" spans="104:111">
      <c r="CZ28521" s="256"/>
      <c r="DG28521" s="256"/>
    </row>
    <row r="28522" spans="104:111">
      <c r="CZ28522" s="256"/>
      <c r="DG28522" s="256"/>
    </row>
    <row r="28523" spans="104:111">
      <c r="CZ28523" s="256"/>
      <c r="DG28523" s="256"/>
    </row>
    <row r="28524" spans="104:111">
      <c r="CZ28524" s="256"/>
      <c r="DG28524" s="256"/>
    </row>
    <row r="28525" spans="104:111">
      <c r="CZ28525" s="256"/>
      <c r="DG28525" s="256"/>
    </row>
    <row r="28526" spans="104:111">
      <c r="CZ28526" s="256"/>
      <c r="DG28526" s="256"/>
    </row>
    <row r="28527" spans="104:111">
      <c r="CZ28527" s="256"/>
      <c r="DG28527" s="256"/>
    </row>
    <row r="28528" spans="104:111">
      <c r="CZ28528" s="256"/>
      <c r="DG28528" s="256"/>
    </row>
    <row r="28529" spans="104:111">
      <c r="CZ28529" s="256"/>
      <c r="DG28529" s="256"/>
    </row>
    <row r="28530" spans="104:111">
      <c r="CZ28530" s="256"/>
      <c r="DG28530" s="256"/>
    </row>
    <row r="28531" spans="104:111">
      <c r="CZ28531" s="256"/>
      <c r="DG28531" s="256"/>
    </row>
    <row r="28532" spans="104:111">
      <c r="CZ28532" s="256"/>
      <c r="DG28532" s="256"/>
    </row>
    <row r="28533" spans="104:111">
      <c r="CZ28533" s="256"/>
      <c r="DG28533" s="256"/>
    </row>
    <row r="28534" spans="104:111">
      <c r="CZ28534" s="256"/>
      <c r="DG28534" s="256"/>
    </row>
    <row r="28535" spans="104:111">
      <c r="CZ28535" s="256"/>
      <c r="DG28535" s="256"/>
    </row>
    <row r="28536" spans="104:111">
      <c r="CZ28536" s="256"/>
      <c r="DG28536" s="256"/>
    </row>
    <row r="28537" spans="104:111">
      <c r="CZ28537" s="256"/>
      <c r="DG28537" s="256"/>
    </row>
    <row r="28538" spans="104:111">
      <c r="CZ28538" s="256"/>
      <c r="DG28538" s="256"/>
    </row>
    <row r="28539" spans="104:111">
      <c r="CZ28539" s="256"/>
      <c r="DG28539" s="256"/>
    </row>
    <row r="28540" spans="104:111">
      <c r="CZ28540" s="256"/>
      <c r="DG28540" s="256"/>
    </row>
    <row r="28541" spans="104:111">
      <c r="CZ28541" s="256"/>
      <c r="DG28541" s="256"/>
    </row>
    <row r="28542" spans="104:111">
      <c r="CZ28542" s="256"/>
      <c r="DG28542" s="256"/>
    </row>
    <row r="28543" spans="104:111">
      <c r="CZ28543" s="256"/>
      <c r="DG28543" s="256"/>
    </row>
    <row r="28544" spans="104:111">
      <c r="CZ28544" s="256"/>
      <c r="DG28544" s="256"/>
    </row>
    <row r="28545" spans="104:111">
      <c r="CZ28545" s="256"/>
      <c r="DG28545" s="256"/>
    </row>
    <row r="28546" spans="104:111">
      <c r="CZ28546" s="256"/>
      <c r="DG28546" s="256"/>
    </row>
    <row r="28547" spans="104:111">
      <c r="CZ28547" s="256"/>
      <c r="DG28547" s="256"/>
    </row>
    <row r="28548" spans="104:111">
      <c r="CZ28548" s="256"/>
      <c r="DG28548" s="256"/>
    </row>
    <row r="28549" spans="104:111">
      <c r="CZ28549" s="256"/>
      <c r="DG28549" s="256"/>
    </row>
    <row r="28550" spans="104:111">
      <c r="CZ28550" s="256"/>
      <c r="DG28550" s="256"/>
    </row>
    <row r="28551" spans="104:111">
      <c r="CZ28551" s="256"/>
      <c r="DG28551" s="256"/>
    </row>
    <row r="28552" spans="104:111">
      <c r="CZ28552" s="256"/>
      <c r="DG28552" s="256"/>
    </row>
    <row r="28553" spans="104:111">
      <c r="CZ28553" s="256"/>
      <c r="DG28553" s="256"/>
    </row>
    <row r="28554" spans="104:111">
      <c r="CZ28554" s="256"/>
      <c r="DG28554" s="256"/>
    </row>
    <row r="28555" spans="104:111">
      <c r="CZ28555" s="256"/>
      <c r="DG28555" s="256"/>
    </row>
    <row r="28556" spans="104:111">
      <c r="CZ28556" s="256"/>
      <c r="DG28556" s="256"/>
    </row>
    <row r="28557" spans="104:111">
      <c r="CZ28557" s="256"/>
      <c r="DG28557" s="256"/>
    </row>
    <row r="28558" spans="104:111">
      <c r="CZ28558" s="256"/>
      <c r="DG28558" s="256"/>
    </row>
    <row r="28559" spans="104:111">
      <c r="CZ28559" s="256"/>
      <c r="DG28559" s="256"/>
    </row>
    <row r="28560" spans="104:111">
      <c r="CZ28560" s="256"/>
      <c r="DG28560" s="256"/>
    </row>
    <row r="28561" spans="104:111">
      <c r="CZ28561" s="256"/>
      <c r="DG28561" s="256"/>
    </row>
    <row r="28562" spans="104:111">
      <c r="CZ28562" s="256"/>
      <c r="DG28562" s="256"/>
    </row>
    <row r="28563" spans="104:111">
      <c r="CZ28563" s="256"/>
      <c r="DG28563" s="256"/>
    </row>
    <row r="28564" spans="104:111">
      <c r="CZ28564" s="256"/>
      <c r="DG28564" s="256"/>
    </row>
    <row r="28565" spans="104:111">
      <c r="CZ28565" s="256"/>
      <c r="DG28565" s="256"/>
    </row>
    <row r="28566" spans="104:111">
      <c r="CZ28566" s="256"/>
      <c r="DG28566" s="256"/>
    </row>
    <row r="28567" spans="104:111">
      <c r="CZ28567" s="256"/>
      <c r="DG28567" s="256"/>
    </row>
    <row r="28568" spans="104:111">
      <c r="CZ28568" s="256"/>
      <c r="DG28568" s="256"/>
    </row>
    <row r="28569" spans="104:111">
      <c r="CZ28569" s="256"/>
      <c r="DG28569" s="256"/>
    </row>
    <row r="28570" spans="104:111">
      <c r="CZ28570" s="256"/>
      <c r="DG28570" s="256"/>
    </row>
    <row r="28571" spans="104:111">
      <c r="CZ28571" s="256"/>
      <c r="DG28571" s="256"/>
    </row>
    <row r="28572" spans="104:111">
      <c r="CZ28572" s="256"/>
      <c r="DG28572" s="256"/>
    </row>
    <row r="28573" spans="104:111">
      <c r="CZ28573" s="256"/>
      <c r="DG28573" s="256"/>
    </row>
    <row r="28574" spans="104:111">
      <c r="CZ28574" s="256"/>
      <c r="DG28574" s="256"/>
    </row>
    <row r="28575" spans="104:111">
      <c r="CZ28575" s="256"/>
      <c r="DG28575" s="256"/>
    </row>
    <row r="28576" spans="104:111">
      <c r="CZ28576" s="256"/>
      <c r="DG28576" s="256"/>
    </row>
    <row r="28577" spans="104:111">
      <c r="CZ28577" s="256"/>
      <c r="DG28577" s="256"/>
    </row>
    <row r="28578" spans="104:111">
      <c r="CZ28578" s="256"/>
      <c r="DG28578" s="256"/>
    </row>
    <row r="28579" spans="104:111">
      <c r="CZ28579" s="256"/>
      <c r="DG28579" s="256"/>
    </row>
    <row r="28580" spans="104:111">
      <c r="CZ28580" s="256"/>
      <c r="DG28580" s="256"/>
    </row>
    <row r="28581" spans="104:111">
      <c r="CZ28581" s="256"/>
      <c r="DG28581" s="256"/>
    </row>
    <row r="28582" spans="104:111">
      <c r="CZ28582" s="256"/>
      <c r="DG28582" s="256"/>
    </row>
    <row r="28583" spans="104:111">
      <c r="CZ28583" s="256"/>
      <c r="DG28583" s="256"/>
    </row>
    <row r="28584" spans="104:111">
      <c r="CZ28584" s="256"/>
      <c r="DG28584" s="256"/>
    </row>
    <row r="28585" spans="104:111">
      <c r="CZ28585" s="256"/>
      <c r="DG28585" s="256"/>
    </row>
    <row r="28586" spans="104:111">
      <c r="CZ28586" s="256"/>
      <c r="DG28586" s="256"/>
    </row>
    <row r="28587" spans="104:111">
      <c r="CZ28587" s="256"/>
      <c r="DG28587" s="256"/>
    </row>
    <row r="28588" spans="104:111">
      <c r="CZ28588" s="256"/>
      <c r="DG28588" s="256"/>
    </row>
    <row r="28589" spans="104:111">
      <c r="CZ28589" s="256"/>
      <c r="DG28589" s="256"/>
    </row>
    <row r="28590" spans="104:111">
      <c r="CZ28590" s="256"/>
      <c r="DG28590" s="256"/>
    </row>
    <row r="28591" spans="104:111">
      <c r="CZ28591" s="256"/>
      <c r="DG28591" s="256"/>
    </row>
    <row r="28592" spans="104:111">
      <c r="CZ28592" s="256"/>
      <c r="DG28592" s="256"/>
    </row>
    <row r="28593" spans="104:111">
      <c r="CZ28593" s="256"/>
      <c r="DG28593" s="256"/>
    </row>
    <row r="28594" spans="104:111">
      <c r="CZ28594" s="256"/>
      <c r="DG28594" s="256"/>
    </row>
    <row r="28595" spans="104:111">
      <c r="CZ28595" s="256"/>
      <c r="DG28595" s="256"/>
    </row>
    <row r="28596" spans="104:111">
      <c r="CZ28596" s="256"/>
      <c r="DG28596" s="256"/>
    </row>
    <row r="28597" spans="104:111">
      <c r="CZ28597" s="256"/>
      <c r="DG28597" s="256"/>
    </row>
    <row r="28598" spans="104:111">
      <c r="CZ28598" s="256"/>
      <c r="DG28598" s="256"/>
    </row>
    <row r="28599" spans="104:111">
      <c r="CZ28599" s="256"/>
      <c r="DG28599" s="256"/>
    </row>
    <row r="28600" spans="104:111">
      <c r="CZ28600" s="256"/>
      <c r="DG28600" s="256"/>
    </row>
    <row r="28601" spans="104:111">
      <c r="CZ28601" s="256"/>
      <c r="DG28601" s="256"/>
    </row>
    <row r="28602" spans="104:111">
      <c r="CZ28602" s="256"/>
      <c r="DG28602" s="256"/>
    </row>
    <row r="28603" spans="104:111">
      <c r="CZ28603" s="256"/>
      <c r="DG28603" s="256"/>
    </row>
    <row r="28604" spans="104:111">
      <c r="CZ28604" s="256"/>
      <c r="DG28604" s="256"/>
    </row>
    <row r="28605" spans="104:111">
      <c r="CZ28605" s="256"/>
      <c r="DG28605" s="256"/>
    </row>
    <row r="28606" spans="104:111">
      <c r="CZ28606" s="256"/>
      <c r="DG28606" s="256"/>
    </row>
    <row r="28607" spans="104:111">
      <c r="CZ28607" s="256"/>
      <c r="DG28607" s="256"/>
    </row>
    <row r="28608" spans="104:111">
      <c r="CZ28608" s="256"/>
      <c r="DG28608" s="256"/>
    </row>
    <row r="28609" spans="104:111">
      <c r="CZ28609" s="256"/>
      <c r="DG28609" s="256"/>
    </row>
    <row r="28610" spans="104:111">
      <c r="CZ28610" s="256"/>
      <c r="DG28610" s="256"/>
    </row>
    <row r="28611" spans="104:111">
      <c r="CZ28611" s="256"/>
      <c r="DG28611" s="256"/>
    </row>
    <row r="28612" spans="104:111">
      <c r="CZ28612" s="256"/>
      <c r="DG28612" s="256"/>
    </row>
    <row r="28613" spans="104:111">
      <c r="CZ28613" s="256"/>
      <c r="DG28613" s="256"/>
    </row>
    <row r="28614" spans="104:111">
      <c r="CZ28614" s="256"/>
      <c r="DG28614" s="256"/>
    </row>
    <row r="28615" spans="104:111">
      <c r="CZ28615" s="256"/>
      <c r="DG28615" s="256"/>
    </row>
    <row r="28616" spans="104:111">
      <c r="CZ28616" s="256"/>
      <c r="DG28616" s="256"/>
    </row>
    <row r="28617" spans="104:111">
      <c r="CZ28617" s="256"/>
      <c r="DG28617" s="256"/>
    </row>
    <row r="28618" spans="104:111">
      <c r="CZ28618" s="256"/>
      <c r="DG28618" s="256"/>
    </row>
    <row r="28619" spans="104:111">
      <c r="CZ28619" s="256"/>
      <c r="DG28619" s="256"/>
    </row>
    <row r="28620" spans="104:111">
      <c r="CZ28620" s="256"/>
      <c r="DG28620" s="256"/>
    </row>
    <row r="28621" spans="104:111">
      <c r="CZ28621" s="256"/>
      <c r="DG28621" s="256"/>
    </row>
    <row r="28622" spans="104:111">
      <c r="CZ28622" s="256"/>
      <c r="DG28622" s="256"/>
    </row>
    <row r="28623" spans="104:111">
      <c r="CZ28623" s="256"/>
      <c r="DG28623" s="256"/>
    </row>
    <row r="28624" spans="104:111">
      <c r="CZ28624" s="256"/>
      <c r="DG28624" s="256"/>
    </row>
    <row r="28625" spans="104:111">
      <c r="CZ28625" s="256"/>
      <c r="DG28625" s="256"/>
    </row>
    <row r="28626" spans="104:111">
      <c r="CZ28626" s="256"/>
      <c r="DG28626" s="256"/>
    </row>
    <row r="28627" spans="104:111">
      <c r="CZ28627" s="256"/>
      <c r="DG28627" s="256"/>
    </row>
    <row r="28628" spans="104:111">
      <c r="CZ28628" s="256"/>
      <c r="DG28628" s="256"/>
    </row>
    <row r="28629" spans="104:111">
      <c r="CZ28629" s="256"/>
      <c r="DG28629" s="256"/>
    </row>
    <row r="28630" spans="104:111">
      <c r="CZ28630" s="256"/>
      <c r="DG28630" s="256"/>
    </row>
    <row r="28631" spans="104:111">
      <c r="CZ28631" s="256"/>
      <c r="DG28631" s="256"/>
    </row>
    <row r="28632" spans="104:111">
      <c r="CZ28632" s="256"/>
      <c r="DG28632" s="256"/>
    </row>
    <row r="28633" spans="104:111">
      <c r="CZ28633" s="256"/>
      <c r="DG28633" s="256"/>
    </row>
    <row r="28634" spans="104:111">
      <c r="CZ28634" s="256"/>
      <c r="DG28634" s="256"/>
    </row>
    <row r="28635" spans="104:111">
      <c r="CZ28635" s="256"/>
      <c r="DG28635" s="256"/>
    </row>
    <row r="28636" spans="104:111">
      <c r="CZ28636" s="256"/>
      <c r="DG28636" s="256"/>
    </row>
    <row r="28637" spans="104:111">
      <c r="CZ28637" s="256"/>
      <c r="DG28637" s="256"/>
    </row>
    <row r="28638" spans="104:111">
      <c r="CZ28638" s="256"/>
      <c r="DG28638" s="256"/>
    </row>
    <row r="28639" spans="104:111">
      <c r="CZ28639" s="256"/>
      <c r="DG28639" s="256"/>
    </row>
    <row r="28640" spans="104:111">
      <c r="CZ28640" s="256"/>
      <c r="DG28640" s="256"/>
    </row>
    <row r="28641" spans="104:111">
      <c r="CZ28641" s="256"/>
      <c r="DG28641" s="256"/>
    </row>
    <row r="28642" spans="104:111">
      <c r="CZ28642" s="256"/>
      <c r="DG28642" s="256"/>
    </row>
    <row r="28643" spans="104:111">
      <c r="CZ28643" s="256"/>
      <c r="DG28643" s="256"/>
    </row>
    <row r="28644" spans="104:111">
      <c r="CZ28644" s="256"/>
      <c r="DG28644" s="256"/>
    </row>
    <row r="28645" spans="104:111">
      <c r="CZ28645" s="256"/>
      <c r="DG28645" s="256"/>
    </row>
    <row r="28646" spans="104:111">
      <c r="CZ28646" s="256"/>
      <c r="DG28646" s="256"/>
    </row>
    <row r="28647" spans="104:111">
      <c r="CZ28647" s="256"/>
      <c r="DG28647" s="256"/>
    </row>
    <row r="28648" spans="104:111">
      <c r="CZ28648" s="256"/>
      <c r="DG28648" s="256"/>
    </row>
    <row r="28649" spans="104:111">
      <c r="CZ28649" s="256"/>
      <c r="DG28649" s="256"/>
    </row>
    <row r="28650" spans="104:111">
      <c r="CZ28650" s="256"/>
      <c r="DG28650" s="256"/>
    </row>
    <row r="28651" spans="104:111">
      <c r="CZ28651" s="256"/>
      <c r="DG28651" s="256"/>
    </row>
    <row r="28652" spans="104:111">
      <c r="CZ28652" s="256"/>
      <c r="DG28652" s="256"/>
    </row>
    <row r="28653" spans="104:111">
      <c r="CZ28653" s="256"/>
      <c r="DG28653" s="256"/>
    </row>
    <row r="28654" spans="104:111">
      <c r="CZ28654" s="256"/>
      <c r="DG28654" s="256"/>
    </row>
    <row r="28655" spans="104:111">
      <c r="CZ28655" s="256"/>
      <c r="DG28655" s="256"/>
    </row>
    <row r="28656" spans="104:111">
      <c r="CZ28656" s="256"/>
      <c r="DG28656" s="256"/>
    </row>
    <row r="28657" spans="104:111">
      <c r="CZ28657" s="256"/>
      <c r="DG28657" s="256"/>
    </row>
    <row r="28658" spans="104:111">
      <c r="CZ28658" s="256"/>
      <c r="DG28658" s="256"/>
    </row>
    <row r="28659" spans="104:111">
      <c r="CZ28659" s="256"/>
      <c r="DG28659" s="256"/>
    </row>
    <row r="28660" spans="104:111">
      <c r="CZ28660" s="256"/>
      <c r="DG28660" s="256"/>
    </row>
    <row r="28661" spans="104:111">
      <c r="CZ28661" s="256"/>
      <c r="DG28661" s="256"/>
    </row>
    <row r="28662" spans="104:111">
      <c r="CZ28662" s="256"/>
      <c r="DG28662" s="256"/>
    </row>
    <row r="28663" spans="104:111">
      <c r="CZ28663" s="256"/>
      <c r="DG28663" s="256"/>
    </row>
    <row r="28664" spans="104:111">
      <c r="CZ28664" s="256"/>
      <c r="DG28664" s="256"/>
    </row>
    <row r="28665" spans="104:111">
      <c r="CZ28665" s="256"/>
      <c r="DG28665" s="256"/>
    </row>
    <row r="28666" spans="104:111">
      <c r="CZ28666" s="256"/>
      <c r="DG28666" s="256"/>
    </row>
    <row r="28667" spans="104:111">
      <c r="CZ28667" s="256"/>
      <c r="DG28667" s="256"/>
    </row>
    <row r="28668" spans="104:111">
      <c r="CZ28668" s="256"/>
      <c r="DG28668" s="256"/>
    </row>
    <row r="28669" spans="104:111">
      <c r="CZ28669" s="256"/>
      <c r="DG28669" s="256"/>
    </row>
    <row r="28670" spans="104:111">
      <c r="CZ28670" s="256"/>
      <c r="DG28670" s="256"/>
    </row>
    <row r="28671" spans="104:111">
      <c r="CZ28671" s="256"/>
      <c r="DG28671" s="256"/>
    </row>
    <row r="28672" spans="104:111">
      <c r="CZ28672" s="256"/>
      <c r="DG28672" s="256"/>
    </row>
    <row r="28673" spans="104:111">
      <c r="CZ28673" s="256"/>
      <c r="DG28673" s="256"/>
    </row>
    <row r="28674" spans="104:111">
      <c r="CZ28674" s="256"/>
      <c r="DG28674" s="256"/>
    </row>
    <row r="28675" spans="104:111">
      <c r="CZ28675" s="256"/>
      <c r="DG28675" s="256"/>
    </row>
    <row r="28676" spans="104:111">
      <c r="CZ28676" s="256"/>
      <c r="DG28676" s="256"/>
    </row>
    <row r="28677" spans="104:111">
      <c r="CZ28677" s="256"/>
      <c r="DG28677" s="256"/>
    </row>
    <row r="28678" spans="104:111">
      <c r="CZ28678" s="256"/>
      <c r="DG28678" s="256"/>
    </row>
    <row r="28679" spans="104:111">
      <c r="CZ28679" s="256"/>
      <c r="DG28679" s="256"/>
    </row>
    <row r="28680" spans="104:111">
      <c r="CZ28680" s="256"/>
      <c r="DG28680" s="256"/>
    </row>
    <row r="28681" spans="104:111">
      <c r="CZ28681" s="256"/>
      <c r="DG28681" s="256"/>
    </row>
    <row r="28682" spans="104:111">
      <c r="CZ28682" s="256"/>
      <c r="DG28682" s="256"/>
    </row>
    <row r="28683" spans="104:111">
      <c r="CZ28683" s="256"/>
      <c r="DG28683" s="256"/>
    </row>
    <row r="28684" spans="104:111">
      <c r="CZ28684" s="256"/>
      <c r="DG28684" s="256"/>
    </row>
    <row r="28685" spans="104:111">
      <c r="CZ28685" s="256"/>
      <c r="DG28685" s="256"/>
    </row>
    <row r="28686" spans="104:111">
      <c r="CZ28686" s="256"/>
      <c r="DG28686" s="256"/>
    </row>
    <row r="28687" spans="104:111">
      <c r="CZ28687" s="256"/>
      <c r="DG28687" s="256"/>
    </row>
    <row r="28688" spans="104:111">
      <c r="CZ28688" s="256"/>
      <c r="DG28688" s="256"/>
    </row>
    <row r="28689" spans="104:111">
      <c r="CZ28689" s="256"/>
      <c r="DG28689" s="256"/>
    </row>
    <row r="28690" spans="104:111">
      <c r="CZ28690" s="256"/>
      <c r="DG28690" s="256"/>
    </row>
    <row r="28691" spans="104:111">
      <c r="CZ28691" s="256"/>
      <c r="DG28691" s="256"/>
    </row>
    <row r="28692" spans="104:111">
      <c r="CZ28692" s="256"/>
      <c r="DG28692" s="256"/>
    </row>
    <row r="28693" spans="104:111">
      <c r="CZ28693" s="256"/>
      <c r="DG28693" s="256"/>
    </row>
    <row r="28694" spans="104:111">
      <c r="CZ28694" s="256"/>
      <c r="DG28694" s="256"/>
    </row>
    <row r="28695" spans="104:111">
      <c r="CZ28695" s="256"/>
      <c r="DG28695" s="256"/>
    </row>
    <row r="28696" spans="104:111">
      <c r="CZ28696" s="256"/>
      <c r="DG28696" s="256"/>
    </row>
    <row r="28697" spans="104:111">
      <c r="CZ28697" s="256"/>
      <c r="DG28697" s="256"/>
    </row>
    <row r="28698" spans="104:111">
      <c r="CZ28698" s="256"/>
      <c r="DG28698" s="256"/>
    </row>
    <row r="28699" spans="104:111">
      <c r="CZ28699" s="256"/>
      <c r="DG28699" s="256"/>
    </row>
    <row r="28700" spans="104:111">
      <c r="CZ28700" s="256"/>
      <c r="DG28700" s="256"/>
    </row>
    <row r="28701" spans="104:111">
      <c r="CZ28701" s="256"/>
      <c r="DG28701" s="256"/>
    </row>
    <row r="28702" spans="104:111">
      <c r="CZ28702" s="256"/>
      <c r="DG28702" s="256"/>
    </row>
    <row r="28703" spans="104:111">
      <c r="CZ28703" s="256"/>
      <c r="DG28703" s="256"/>
    </row>
    <row r="28704" spans="104:111">
      <c r="CZ28704" s="256"/>
      <c r="DG28704" s="256"/>
    </row>
    <row r="28705" spans="104:111">
      <c r="CZ28705" s="256"/>
      <c r="DG28705" s="256"/>
    </row>
    <row r="28706" spans="104:111">
      <c r="CZ28706" s="256"/>
      <c r="DG28706" s="256"/>
    </row>
    <row r="28707" spans="104:111">
      <c r="CZ28707" s="256"/>
      <c r="DG28707" s="256"/>
    </row>
    <row r="28708" spans="104:111">
      <c r="CZ28708" s="256"/>
      <c r="DG28708" s="256"/>
    </row>
    <row r="28709" spans="104:111">
      <c r="CZ28709" s="256"/>
      <c r="DG28709" s="256"/>
    </row>
    <row r="28710" spans="104:111">
      <c r="CZ28710" s="256"/>
      <c r="DG28710" s="256"/>
    </row>
    <row r="28711" spans="104:111">
      <c r="CZ28711" s="256"/>
      <c r="DG28711" s="256"/>
    </row>
    <row r="28712" spans="104:111">
      <c r="CZ28712" s="256"/>
      <c r="DG28712" s="256"/>
    </row>
    <row r="28713" spans="104:111">
      <c r="CZ28713" s="256"/>
      <c r="DG28713" s="256"/>
    </row>
    <row r="28714" spans="104:111">
      <c r="CZ28714" s="256"/>
      <c r="DG28714" s="256"/>
    </row>
    <row r="28715" spans="104:111">
      <c r="CZ28715" s="256"/>
      <c r="DG28715" s="256"/>
    </row>
    <row r="28716" spans="104:111">
      <c r="CZ28716" s="256"/>
      <c r="DG28716" s="256"/>
    </row>
    <row r="28717" spans="104:111">
      <c r="CZ28717" s="256"/>
      <c r="DG28717" s="256"/>
    </row>
    <row r="28718" spans="104:111">
      <c r="CZ28718" s="256"/>
      <c r="DG28718" s="256"/>
    </row>
    <row r="28719" spans="104:111">
      <c r="CZ28719" s="256"/>
      <c r="DG28719" s="256"/>
    </row>
    <row r="28720" spans="104:111">
      <c r="CZ28720" s="256"/>
      <c r="DG28720" s="256"/>
    </row>
    <row r="28721" spans="104:111">
      <c r="CZ28721" s="256"/>
      <c r="DG28721" s="256"/>
    </row>
    <row r="28722" spans="104:111">
      <c r="CZ28722" s="256"/>
      <c r="DG28722" s="256"/>
    </row>
    <row r="28723" spans="104:111">
      <c r="CZ28723" s="256"/>
      <c r="DG28723" s="256"/>
    </row>
    <row r="28724" spans="104:111">
      <c r="CZ28724" s="256"/>
      <c r="DG28724" s="256"/>
    </row>
    <row r="28725" spans="104:111">
      <c r="CZ28725" s="256"/>
      <c r="DG28725" s="256"/>
    </row>
    <row r="28726" spans="104:111">
      <c r="CZ28726" s="256"/>
      <c r="DG28726" s="256"/>
    </row>
    <row r="28727" spans="104:111">
      <c r="CZ28727" s="256"/>
      <c r="DG28727" s="256"/>
    </row>
    <row r="28728" spans="104:111">
      <c r="CZ28728" s="256"/>
      <c r="DG28728" s="256"/>
    </row>
    <row r="28729" spans="104:111">
      <c r="CZ28729" s="256"/>
      <c r="DG28729" s="256"/>
    </row>
    <row r="28730" spans="104:111">
      <c r="CZ28730" s="256"/>
      <c r="DG28730" s="256"/>
    </row>
    <row r="28731" spans="104:111">
      <c r="CZ28731" s="256"/>
      <c r="DG28731" s="256"/>
    </row>
    <row r="28732" spans="104:111">
      <c r="CZ28732" s="256"/>
      <c r="DG28732" s="256"/>
    </row>
    <row r="28733" spans="104:111">
      <c r="CZ28733" s="256"/>
      <c r="DG28733" s="256"/>
    </row>
    <row r="28734" spans="104:111">
      <c r="CZ28734" s="256"/>
      <c r="DG28734" s="256"/>
    </row>
    <row r="28735" spans="104:111">
      <c r="CZ28735" s="256"/>
      <c r="DG28735" s="256"/>
    </row>
    <row r="28736" spans="104:111">
      <c r="CZ28736" s="256"/>
      <c r="DG28736" s="256"/>
    </row>
    <row r="28737" spans="104:111">
      <c r="CZ28737" s="256"/>
      <c r="DG28737" s="256"/>
    </row>
    <row r="28738" spans="104:111">
      <c r="CZ28738" s="256"/>
      <c r="DG28738" s="256"/>
    </row>
    <row r="28739" spans="104:111">
      <c r="CZ28739" s="256"/>
      <c r="DG28739" s="256"/>
    </row>
    <row r="28740" spans="104:111">
      <c r="CZ28740" s="256"/>
      <c r="DG28740" s="256"/>
    </row>
    <row r="28741" spans="104:111">
      <c r="CZ28741" s="256"/>
      <c r="DG28741" s="256"/>
    </row>
    <row r="28742" spans="104:111">
      <c r="CZ28742" s="256"/>
      <c r="DG28742" s="256"/>
    </row>
    <row r="28743" spans="104:111">
      <c r="CZ28743" s="256"/>
      <c r="DG28743" s="256"/>
    </row>
    <row r="28744" spans="104:111">
      <c r="CZ28744" s="256"/>
      <c r="DG28744" s="256"/>
    </row>
    <row r="28745" spans="104:111">
      <c r="CZ28745" s="256"/>
      <c r="DG28745" s="256"/>
    </row>
    <row r="28746" spans="104:111">
      <c r="CZ28746" s="256"/>
      <c r="DG28746" s="256"/>
    </row>
    <row r="28747" spans="104:111">
      <c r="CZ28747" s="256"/>
      <c r="DG28747" s="256"/>
    </row>
    <row r="28748" spans="104:111">
      <c r="CZ28748" s="256"/>
      <c r="DG28748" s="256"/>
    </row>
    <row r="28749" spans="104:111">
      <c r="CZ28749" s="256"/>
      <c r="DG28749" s="256"/>
    </row>
    <row r="28750" spans="104:111">
      <c r="CZ28750" s="256"/>
      <c r="DG28750" s="256"/>
    </row>
    <row r="28751" spans="104:111">
      <c r="CZ28751" s="256"/>
      <c r="DG28751" s="256"/>
    </row>
    <row r="28752" spans="104:111">
      <c r="CZ28752" s="256"/>
      <c r="DG28752" s="256"/>
    </row>
    <row r="28753" spans="104:111">
      <c r="CZ28753" s="256"/>
      <c r="DG28753" s="256"/>
    </row>
    <row r="28754" spans="104:111">
      <c r="CZ28754" s="256"/>
      <c r="DG28754" s="256"/>
    </row>
    <row r="28755" spans="104:111">
      <c r="CZ28755" s="256"/>
      <c r="DG28755" s="256"/>
    </row>
    <row r="28756" spans="104:111">
      <c r="CZ28756" s="256"/>
      <c r="DG28756" s="256"/>
    </row>
    <row r="28757" spans="104:111">
      <c r="CZ28757" s="256"/>
      <c r="DG28757" s="256"/>
    </row>
    <row r="28758" spans="104:111">
      <c r="CZ28758" s="256"/>
      <c r="DG28758" s="256"/>
    </row>
    <row r="28759" spans="104:111">
      <c r="CZ28759" s="256"/>
      <c r="DG28759" s="256"/>
    </row>
    <row r="28760" spans="104:111">
      <c r="CZ28760" s="256"/>
      <c r="DG28760" s="256"/>
    </row>
    <row r="28761" spans="104:111">
      <c r="CZ28761" s="256"/>
      <c r="DG28761" s="256"/>
    </row>
    <row r="28762" spans="104:111">
      <c r="CZ28762" s="256"/>
      <c r="DG28762" s="256"/>
    </row>
    <row r="28763" spans="104:111">
      <c r="CZ28763" s="256"/>
      <c r="DG28763" s="256"/>
    </row>
    <row r="28764" spans="104:111">
      <c r="CZ28764" s="256"/>
      <c r="DG28764" s="256"/>
    </row>
    <row r="28765" spans="104:111">
      <c r="CZ28765" s="256"/>
      <c r="DG28765" s="256"/>
    </row>
    <row r="28766" spans="104:111">
      <c r="CZ28766" s="256"/>
      <c r="DG28766" s="256"/>
    </row>
    <row r="28767" spans="104:111">
      <c r="CZ28767" s="256"/>
      <c r="DG28767" s="256"/>
    </row>
    <row r="28768" spans="104:111">
      <c r="CZ28768" s="256"/>
      <c r="DG28768" s="256"/>
    </row>
    <row r="28769" spans="104:111">
      <c r="CZ28769" s="256"/>
      <c r="DG28769" s="256"/>
    </row>
    <row r="28770" spans="104:111">
      <c r="CZ28770" s="256"/>
      <c r="DG28770" s="256"/>
    </row>
    <row r="28771" spans="104:111">
      <c r="CZ28771" s="256"/>
      <c r="DG28771" s="256"/>
    </row>
    <row r="28772" spans="104:111">
      <c r="CZ28772" s="256"/>
      <c r="DG28772" s="256"/>
    </row>
    <row r="28773" spans="104:111">
      <c r="CZ28773" s="256"/>
      <c r="DG28773" s="256"/>
    </row>
    <row r="28774" spans="104:111">
      <c r="CZ28774" s="256"/>
      <c r="DG28774" s="256"/>
    </row>
    <row r="28775" spans="104:111">
      <c r="CZ28775" s="256"/>
      <c r="DG28775" s="256"/>
    </row>
    <row r="28776" spans="104:111">
      <c r="CZ28776" s="256"/>
      <c r="DG28776" s="256"/>
    </row>
    <row r="28777" spans="104:111">
      <c r="CZ28777" s="256"/>
      <c r="DG28777" s="256"/>
    </row>
    <row r="28778" spans="104:111">
      <c r="CZ28778" s="256"/>
      <c r="DG28778" s="256"/>
    </row>
    <row r="28779" spans="104:111">
      <c r="CZ28779" s="256"/>
      <c r="DG28779" s="256"/>
    </row>
    <row r="28780" spans="104:111">
      <c r="CZ28780" s="256"/>
      <c r="DG28780" s="256"/>
    </row>
    <row r="28781" spans="104:111">
      <c r="CZ28781" s="256"/>
      <c r="DG28781" s="256"/>
    </row>
    <row r="28782" spans="104:111">
      <c r="CZ28782" s="256"/>
      <c r="DG28782" s="256"/>
    </row>
    <row r="28783" spans="104:111">
      <c r="CZ28783" s="256"/>
      <c r="DG28783" s="256"/>
    </row>
    <row r="28784" spans="104:111">
      <c r="CZ28784" s="256"/>
      <c r="DG28784" s="256"/>
    </row>
    <row r="28785" spans="104:111">
      <c r="CZ28785" s="256"/>
      <c r="DG28785" s="256"/>
    </row>
    <row r="28786" spans="104:111">
      <c r="CZ28786" s="256"/>
      <c r="DG28786" s="256"/>
    </row>
    <row r="28787" spans="104:111">
      <c r="CZ28787" s="256"/>
      <c r="DG28787" s="256"/>
    </row>
    <row r="28788" spans="104:111">
      <c r="CZ28788" s="256"/>
      <c r="DG28788" s="256"/>
    </row>
    <row r="28789" spans="104:111">
      <c r="CZ28789" s="256"/>
      <c r="DG28789" s="256"/>
    </row>
    <row r="28790" spans="104:111">
      <c r="CZ28790" s="256"/>
      <c r="DG28790" s="256"/>
    </row>
    <row r="28791" spans="104:111">
      <c r="CZ28791" s="256"/>
      <c r="DG28791" s="256"/>
    </row>
    <row r="28792" spans="104:111">
      <c r="CZ28792" s="256"/>
      <c r="DG28792" s="256"/>
    </row>
    <row r="28793" spans="104:111">
      <c r="CZ28793" s="256"/>
      <c r="DG28793" s="256"/>
    </row>
    <row r="28794" spans="104:111">
      <c r="CZ28794" s="256"/>
      <c r="DG28794" s="256"/>
    </row>
    <row r="28795" spans="104:111">
      <c r="CZ28795" s="256"/>
      <c r="DG28795" s="256"/>
    </row>
    <row r="28796" spans="104:111">
      <c r="CZ28796" s="256"/>
      <c r="DG28796" s="256"/>
    </row>
    <row r="28797" spans="104:111">
      <c r="CZ28797" s="256"/>
      <c r="DG28797" s="256"/>
    </row>
    <row r="28798" spans="104:111">
      <c r="CZ28798" s="256"/>
      <c r="DG28798" s="256"/>
    </row>
    <row r="28799" spans="104:111">
      <c r="CZ28799" s="256"/>
      <c r="DG28799" s="256"/>
    </row>
    <row r="28800" spans="104:111">
      <c r="CZ28800" s="256"/>
      <c r="DG28800" s="256"/>
    </row>
    <row r="28801" spans="104:111">
      <c r="CZ28801" s="256"/>
      <c r="DG28801" s="256"/>
    </row>
    <row r="28802" spans="104:111">
      <c r="CZ28802" s="256"/>
      <c r="DG28802" s="256"/>
    </row>
    <row r="28803" spans="104:111">
      <c r="CZ28803" s="256"/>
      <c r="DG28803" s="256"/>
    </row>
    <row r="28804" spans="104:111">
      <c r="CZ28804" s="256"/>
      <c r="DG28804" s="256"/>
    </row>
    <row r="28805" spans="104:111">
      <c r="CZ28805" s="256"/>
      <c r="DG28805" s="256"/>
    </row>
    <row r="28806" spans="104:111">
      <c r="CZ28806" s="256"/>
      <c r="DG28806" s="256"/>
    </row>
    <row r="28807" spans="104:111">
      <c r="CZ28807" s="256"/>
      <c r="DG28807" s="256"/>
    </row>
    <row r="28808" spans="104:111">
      <c r="CZ28808" s="256"/>
      <c r="DG28808" s="256"/>
    </row>
    <row r="28809" spans="104:111">
      <c r="CZ28809" s="256"/>
      <c r="DG28809" s="256"/>
    </row>
    <row r="28810" spans="104:111">
      <c r="CZ28810" s="256"/>
      <c r="DG28810" s="256"/>
    </row>
    <row r="28811" spans="104:111">
      <c r="CZ28811" s="256"/>
      <c r="DG28811" s="256"/>
    </row>
    <row r="28812" spans="104:111">
      <c r="CZ28812" s="256"/>
      <c r="DG28812" s="256"/>
    </row>
    <row r="28813" spans="104:111">
      <c r="CZ28813" s="256"/>
      <c r="DG28813" s="256"/>
    </row>
    <row r="28814" spans="104:111">
      <c r="CZ28814" s="256"/>
      <c r="DG28814" s="256"/>
    </row>
    <row r="28815" spans="104:111">
      <c r="CZ28815" s="256"/>
      <c r="DG28815" s="256"/>
    </row>
    <row r="28816" spans="104:111">
      <c r="CZ28816" s="256"/>
      <c r="DG28816" s="256"/>
    </row>
    <row r="28817" spans="104:111">
      <c r="CZ28817" s="256"/>
      <c r="DG28817" s="256"/>
    </row>
    <row r="28818" spans="104:111">
      <c r="CZ28818" s="256"/>
      <c r="DG28818" s="256"/>
    </row>
    <row r="28819" spans="104:111">
      <c r="CZ28819" s="256"/>
      <c r="DG28819" s="256"/>
    </row>
    <row r="28820" spans="104:111">
      <c r="CZ28820" s="256"/>
      <c r="DG28820" s="256"/>
    </row>
    <row r="28821" spans="104:111">
      <c r="CZ28821" s="256"/>
      <c r="DG28821" s="256"/>
    </row>
    <row r="28822" spans="104:111">
      <c r="CZ28822" s="256"/>
      <c r="DG28822" s="256"/>
    </row>
    <row r="28823" spans="104:111">
      <c r="CZ28823" s="256"/>
      <c r="DG28823" s="256"/>
    </row>
    <row r="28824" spans="104:111">
      <c r="CZ28824" s="256"/>
      <c r="DG28824" s="256"/>
    </row>
    <row r="28825" spans="104:111">
      <c r="CZ28825" s="256"/>
      <c r="DG28825" s="256"/>
    </row>
    <row r="28826" spans="104:111">
      <c r="CZ28826" s="256"/>
      <c r="DG28826" s="256"/>
    </row>
    <row r="28827" spans="104:111">
      <c r="CZ28827" s="256"/>
      <c r="DG28827" s="256"/>
    </row>
    <row r="28828" spans="104:111">
      <c r="CZ28828" s="256"/>
      <c r="DG28828" s="256"/>
    </row>
    <row r="28829" spans="104:111">
      <c r="CZ28829" s="256"/>
      <c r="DG28829" s="256"/>
    </row>
    <row r="28830" spans="104:111">
      <c r="CZ28830" s="256"/>
      <c r="DG28830" s="256"/>
    </row>
    <row r="28831" spans="104:111">
      <c r="CZ28831" s="256"/>
      <c r="DG28831" s="256"/>
    </row>
    <row r="28832" spans="104:111">
      <c r="CZ28832" s="256"/>
      <c r="DG28832" s="256"/>
    </row>
    <row r="28833" spans="104:111">
      <c r="CZ28833" s="256"/>
      <c r="DG28833" s="256"/>
    </row>
    <row r="28834" spans="104:111">
      <c r="CZ28834" s="256"/>
      <c r="DG28834" s="256"/>
    </row>
    <row r="28835" spans="104:111">
      <c r="CZ28835" s="256"/>
      <c r="DG28835" s="256"/>
    </row>
    <row r="28836" spans="104:111">
      <c r="CZ28836" s="256"/>
      <c r="DG28836" s="256"/>
    </row>
    <row r="28837" spans="104:111">
      <c r="CZ28837" s="256"/>
      <c r="DG28837" s="256"/>
    </row>
    <row r="28838" spans="104:111">
      <c r="CZ28838" s="256"/>
      <c r="DG28838" s="256"/>
    </row>
    <row r="28839" spans="104:111">
      <c r="CZ28839" s="256"/>
      <c r="DG28839" s="256"/>
    </row>
    <row r="28840" spans="104:111">
      <c r="CZ28840" s="256"/>
      <c r="DG28840" s="256"/>
    </row>
    <row r="28841" spans="104:111">
      <c r="CZ28841" s="256"/>
      <c r="DG28841" s="256"/>
    </row>
    <row r="28842" spans="104:111">
      <c r="CZ28842" s="256"/>
      <c r="DG28842" s="256"/>
    </row>
    <row r="28843" spans="104:111">
      <c r="CZ28843" s="256"/>
      <c r="DG28843" s="256"/>
    </row>
    <row r="28844" spans="104:111">
      <c r="CZ28844" s="256"/>
      <c r="DG28844" s="256"/>
    </row>
    <row r="28845" spans="104:111">
      <c r="CZ28845" s="256"/>
      <c r="DG28845" s="256"/>
    </row>
    <row r="28846" spans="104:111">
      <c r="CZ28846" s="256"/>
      <c r="DG28846" s="256"/>
    </row>
    <row r="28847" spans="104:111">
      <c r="CZ28847" s="256"/>
      <c r="DG28847" s="256"/>
    </row>
    <row r="28848" spans="104:111">
      <c r="CZ28848" s="256"/>
      <c r="DG28848" s="256"/>
    </row>
    <row r="28849" spans="104:111">
      <c r="CZ28849" s="256"/>
      <c r="DG28849" s="256"/>
    </row>
    <row r="28850" spans="104:111">
      <c r="CZ28850" s="256"/>
      <c r="DG28850" s="256"/>
    </row>
    <row r="28851" spans="104:111">
      <c r="CZ28851" s="256"/>
      <c r="DG28851" s="256"/>
    </row>
    <row r="28852" spans="104:111">
      <c r="CZ28852" s="256"/>
      <c r="DG28852" s="256"/>
    </row>
    <row r="28853" spans="104:111">
      <c r="CZ28853" s="256"/>
      <c r="DG28853" s="256"/>
    </row>
    <row r="28854" spans="104:111">
      <c r="CZ28854" s="256"/>
      <c r="DG28854" s="256"/>
    </row>
    <row r="28855" spans="104:111">
      <c r="CZ28855" s="256"/>
      <c r="DG28855" s="256"/>
    </row>
    <row r="28856" spans="104:111">
      <c r="CZ28856" s="256"/>
      <c r="DG28856" s="256"/>
    </row>
    <row r="28857" spans="104:111">
      <c r="CZ28857" s="256"/>
      <c r="DG28857" s="256"/>
    </row>
    <row r="28858" spans="104:111">
      <c r="CZ28858" s="256"/>
      <c r="DG28858" s="256"/>
    </row>
    <row r="28859" spans="104:111">
      <c r="CZ28859" s="256"/>
      <c r="DG28859" s="256"/>
    </row>
    <row r="28860" spans="104:111">
      <c r="CZ28860" s="256"/>
      <c r="DG28860" s="256"/>
    </row>
    <row r="28861" spans="104:111">
      <c r="CZ28861" s="256"/>
      <c r="DG28861" s="256"/>
    </row>
    <row r="28862" spans="104:111">
      <c r="CZ28862" s="256"/>
      <c r="DG28862" s="256"/>
    </row>
    <row r="28863" spans="104:111">
      <c r="CZ28863" s="256"/>
      <c r="DG28863" s="256"/>
    </row>
    <row r="28864" spans="104:111">
      <c r="CZ28864" s="256"/>
      <c r="DG28864" s="256"/>
    </row>
    <row r="28865" spans="104:111">
      <c r="CZ28865" s="256"/>
      <c r="DG28865" s="256"/>
    </row>
    <row r="28866" spans="104:111">
      <c r="CZ28866" s="256"/>
      <c r="DG28866" s="256"/>
    </row>
    <row r="28867" spans="104:111">
      <c r="CZ28867" s="256"/>
      <c r="DG28867" s="256"/>
    </row>
    <row r="28868" spans="104:111">
      <c r="CZ28868" s="256"/>
      <c r="DG28868" s="256"/>
    </row>
    <row r="28869" spans="104:111">
      <c r="CZ28869" s="256"/>
      <c r="DG28869" s="256"/>
    </row>
    <row r="28870" spans="104:111">
      <c r="CZ28870" s="256"/>
      <c r="DG28870" s="256"/>
    </row>
    <row r="28871" spans="104:111">
      <c r="CZ28871" s="256"/>
      <c r="DG28871" s="256"/>
    </row>
    <row r="28872" spans="104:111">
      <c r="CZ28872" s="256"/>
      <c r="DG28872" s="256"/>
    </row>
    <row r="28873" spans="104:111">
      <c r="CZ28873" s="256"/>
      <c r="DG28873" s="256"/>
    </row>
    <row r="28874" spans="104:111">
      <c r="CZ28874" s="256"/>
      <c r="DG28874" s="256"/>
    </row>
    <row r="28875" spans="104:111">
      <c r="CZ28875" s="256"/>
      <c r="DG28875" s="256"/>
    </row>
    <row r="28876" spans="104:111">
      <c r="CZ28876" s="256"/>
      <c r="DG28876" s="256"/>
    </row>
    <row r="28877" spans="104:111">
      <c r="CZ28877" s="256"/>
      <c r="DG28877" s="256"/>
    </row>
    <row r="28878" spans="104:111">
      <c r="CZ28878" s="256"/>
      <c r="DG28878" s="256"/>
    </row>
    <row r="28879" spans="104:111">
      <c r="CZ28879" s="256"/>
      <c r="DG28879" s="256"/>
    </row>
    <row r="28880" spans="104:111">
      <c r="CZ28880" s="256"/>
      <c r="DG28880" s="256"/>
    </row>
    <row r="28881" spans="104:111">
      <c r="CZ28881" s="256"/>
      <c r="DG28881" s="256"/>
    </row>
    <row r="28882" spans="104:111">
      <c r="CZ28882" s="256"/>
      <c r="DG28882" s="256"/>
    </row>
    <row r="28883" spans="104:111">
      <c r="CZ28883" s="256"/>
      <c r="DG28883" s="256"/>
    </row>
    <row r="28884" spans="104:111">
      <c r="CZ28884" s="256"/>
      <c r="DG28884" s="256"/>
    </row>
    <row r="28885" spans="104:111">
      <c r="CZ28885" s="256"/>
      <c r="DG28885" s="256"/>
    </row>
    <row r="28886" spans="104:111">
      <c r="CZ28886" s="256"/>
      <c r="DG28886" s="256"/>
    </row>
    <row r="28887" spans="104:111">
      <c r="CZ28887" s="256"/>
      <c r="DG28887" s="256"/>
    </row>
    <row r="28888" spans="104:111">
      <c r="CZ28888" s="256"/>
      <c r="DG28888" s="256"/>
    </row>
    <row r="28889" spans="104:111">
      <c r="CZ28889" s="256"/>
      <c r="DG28889" s="256"/>
    </row>
    <row r="28890" spans="104:111">
      <c r="CZ28890" s="256"/>
      <c r="DG28890" s="256"/>
    </row>
    <row r="28891" spans="104:111">
      <c r="CZ28891" s="256"/>
      <c r="DG28891" s="256"/>
    </row>
    <row r="28892" spans="104:111">
      <c r="CZ28892" s="256"/>
      <c r="DG28892" s="256"/>
    </row>
    <row r="28893" spans="104:111">
      <c r="CZ28893" s="256"/>
      <c r="DG28893" s="256"/>
    </row>
    <row r="28894" spans="104:111">
      <c r="CZ28894" s="256"/>
      <c r="DG28894" s="256"/>
    </row>
    <row r="28895" spans="104:111">
      <c r="CZ28895" s="256"/>
      <c r="DG28895" s="256"/>
    </row>
    <row r="28896" spans="104:111">
      <c r="CZ28896" s="256"/>
      <c r="DG28896" s="256"/>
    </row>
    <row r="28897" spans="104:111">
      <c r="CZ28897" s="256"/>
      <c r="DG28897" s="256"/>
    </row>
    <row r="28898" spans="104:111">
      <c r="CZ28898" s="256"/>
      <c r="DG28898" s="256"/>
    </row>
    <row r="28899" spans="104:111">
      <c r="CZ28899" s="256"/>
      <c r="DG28899" s="256"/>
    </row>
    <row r="28900" spans="104:111">
      <c r="CZ28900" s="256"/>
      <c r="DG28900" s="256"/>
    </row>
    <row r="28901" spans="104:111">
      <c r="CZ28901" s="256"/>
      <c r="DG28901" s="256"/>
    </row>
    <row r="28902" spans="104:111">
      <c r="CZ28902" s="256"/>
      <c r="DG28902" s="256"/>
    </row>
    <row r="28903" spans="104:111">
      <c r="CZ28903" s="256"/>
      <c r="DG28903" s="256"/>
    </row>
    <row r="28904" spans="104:111">
      <c r="CZ28904" s="256"/>
      <c r="DG28904" s="256"/>
    </row>
    <row r="28905" spans="104:111">
      <c r="CZ28905" s="256"/>
      <c r="DG28905" s="256"/>
    </row>
    <row r="28906" spans="104:111">
      <c r="CZ28906" s="256"/>
      <c r="DG28906" s="256"/>
    </row>
    <row r="28907" spans="104:111">
      <c r="CZ28907" s="256"/>
      <c r="DG28907" s="256"/>
    </row>
    <row r="28908" spans="104:111">
      <c r="CZ28908" s="256"/>
      <c r="DG28908" s="256"/>
    </row>
    <row r="28909" spans="104:111">
      <c r="CZ28909" s="256"/>
      <c r="DG28909" s="256"/>
    </row>
    <row r="28910" spans="104:111">
      <c r="CZ28910" s="256"/>
      <c r="DG28910" s="256"/>
    </row>
    <row r="28911" spans="104:111">
      <c r="CZ28911" s="256"/>
      <c r="DG28911" s="256"/>
    </row>
    <row r="28912" spans="104:111">
      <c r="CZ28912" s="256"/>
      <c r="DG28912" s="256"/>
    </row>
    <row r="28913" spans="104:111">
      <c r="CZ28913" s="256"/>
      <c r="DG28913" s="256"/>
    </row>
    <row r="28914" spans="104:111">
      <c r="CZ28914" s="256"/>
      <c r="DG28914" s="256"/>
    </row>
    <row r="28915" spans="104:111">
      <c r="CZ28915" s="256"/>
      <c r="DG28915" s="256"/>
    </row>
    <row r="28916" spans="104:111">
      <c r="CZ28916" s="256"/>
      <c r="DG28916" s="256"/>
    </row>
    <row r="28917" spans="104:111">
      <c r="CZ28917" s="256"/>
      <c r="DG28917" s="256"/>
    </row>
    <row r="28918" spans="104:111">
      <c r="CZ28918" s="256"/>
      <c r="DG28918" s="256"/>
    </row>
    <row r="28919" spans="104:111">
      <c r="CZ28919" s="256"/>
      <c r="DG28919" s="256"/>
    </row>
    <row r="28920" spans="104:111">
      <c r="CZ28920" s="256"/>
      <c r="DG28920" s="256"/>
    </row>
    <row r="28921" spans="104:111">
      <c r="CZ28921" s="256"/>
      <c r="DG28921" s="256"/>
    </row>
    <row r="28922" spans="104:111">
      <c r="CZ28922" s="256"/>
      <c r="DG28922" s="256"/>
    </row>
    <row r="28923" spans="104:111">
      <c r="CZ28923" s="256"/>
      <c r="DG28923" s="256"/>
    </row>
    <row r="28924" spans="104:111">
      <c r="CZ28924" s="256"/>
      <c r="DG28924" s="256"/>
    </row>
    <row r="28925" spans="104:111">
      <c r="CZ28925" s="256"/>
      <c r="DG28925" s="256"/>
    </row>
    <row r="28926" spans="104:111">
      <c r="CZ28926" s="256"/>
      <c r="DG28926" s="256"/>
    </row>
    <row r="28927" spans="104:111">
      <c r="CZ28927" s="256"/>
      <c r="DG28927" s="256"/>
    </row>
    <row r="28928" spans="104:111">
      <c r="CZ28928" s="256"/>
      <c r="DG28928" s="256"/>
    </row>
    <row r="28929" spans="104:111">
      <c r="CZ28929" s="256"/>
      <c r="DG28929" s="256"/>
    </row>
    <row r="28930" spans="104:111">
      <c r="CZ28930" s="256"/>
      <c r="DG28930" s="256"/>
    </row>
    <row r="28931" spans="104:111">
      <c r="CZ28931" s="256"/>
      <c r="DG28931" s="256"/>
    </row>
    <row r="28932" spans="104:111">
      <c r="CZ28932" s="256"/>
      <c r="DG28932" s="256"/>
    </row>
    <row r="28933" spans="104:111">
      <c r="CZ28933" s="256"/>
      <c r="DG28933" s="256"/>
    </row>
    <row r="28934" spans="104:111">
      <c r="CZ28934" s="256"/>
      <c r="DG28934" s="256"/>
    </row>
    <row r="28935" spans="104:111">
      <c r="CZ28935" s="256"/>
      <c r="DG28935" s="256"/>
    </row>
    <row r="28936" spans="104:111">
      <c r="CZ28936" s="256"/>
      <c r="DG28936" s="256"/>
    </row>
    <row r="28937" spans="104:111">
      <c r="CZ28937" s="256"/>
      <c r="DG28937" s="256"/>
    </row>
    <row r="28938" spans="104:111">
      <c r="CZ28938" s="256"/>
      <c r="DG28938" s="256"/>
    </row>
    <row r="28939" spans="104:111">
      <c r="CZ28939" s="256"/>
      <c r="DG28939" s="256"/>
    </row>
    <row r="28940" spans="104:111">
      <c r="CZ28940" s="256"/>
      <c r="DG28940" s="256"/>
    </row>
    <row r="28941" spans="104:111">
      <c r="CZ28941" s="256"/>
      <c r="DG28941" s="256"/>
    </row>
    <row r="28942" spans="104:111">
      <c r="CZ28942" s="256"/>
      <c r="DG28942" s="256"/>
    </row>
    <row r="28943" spans="104:111">
      <c r="CZ28943" s="256"/>
      <c r="DG28943" s="256"/>
    </row>
    <row r="28944" spans="104:111">
      <c r="CZ28944" s="256"/>
      <c r="DG28944" s="256"/>
    </row>
    <row r="28945" spans="104:111">
      <c r="CZ28945" s="256"/>
      <c r="DG28945" s="256"/>
    </row>
    <row r="28946" spans="104:111">
      <c r="CZ28946" s="256"/>
      <c r="DG28946" s="256"/>
    </row>
    <row r="28947" spans="104:111">
      <c r="CZ28947" s="256"/>
      <c r="DG28947" s="256"/>
    </row>
    <row r="28948" spans="104:111">
      <c r="CZ28948" s="256"/>
      <c r="DG28948" s="256"/>
    </row>
    <row r="28949" spans="104:111">
      <c r="CZ28949" s="256"/>
      <c r="DG28949" s="256"/>
    </row>
    <row r="28950" spans="104:111">
      <c r="CZ28950" s="256"/>
      <c r="DG28950" s="256"/>
    </row>
    <row r="28951" spans="104:111">
      <c r="CZ28951" s="256"/>
      <c r="DG28951" s="256"/>
    </row>
    <row r="28952" spans="104:111">
      <c r="CZ28952" s="256"/>
      <c r="DG28952" s="256"/>
    </row>
    <row r="28953" spans="104:111">
      <c r="CZ28953" s="256"/>
      <c r="DG28953" s="256"/>
    </row>
    <row r="28954" spans="104:111">
      <c r="CZ28954" s="256"/>
      <c r="DG28954" s="256"/>
    </row>
    <row r="28955" spans="104:111">
      <c r="CZ28955" s="256"/>
      <c r="DG28955" s="256"/>
    </row>
    <row r="28956" spans="104:111">
      <c r="CZ28956" s="256"/>
      <c r="DG28956" s="256"/>
    </row>
    <row r="28957" spans="104:111">
      <c r="CZ28957" s="256"/>
      <c r="DG28957" s="256"/>
    </row>
    <row r="28958" spans="104:111">
      <c r="CZ28958" s="256"/>
      <c r="DG28958" s="256"/>
    </row>
    <row r="28959" spans="104:111">
      <c r="CZ28959" s="256"/>
      <c r="DG28959" s="256"/>
    </row>
    <row r="28960" spans="104:111">
      <c r="CZ28960" s="256"/>
      <c r="DG28960" s="256"/>
    </row>
    <row r="28961" spans="104:111">
      <c r="CZ28961" s="256"/>
      <c r="DG28961" s="256"/>
    </row>
    <row r="28962" spans="104:111">
      <c r="CZ28962" s="256"/>
      <c r="DG28962" s="256"/>
    </row>
    <row r="28963" spans="104:111">
      <c r="CZ28963" s="256"/>
      <c r="DG28963" s="256"/>
    </row>
    <row r="28964" spans="104:111">
      <c r="CZ28964" s="256"/>
      <c r="DG28964" s="256"/>
    </row>
    <row r="28965" spans="104:111">
      <c r="CZ28965" s="256"/>
      <c r="DG28965" s="256"/>
    </row>
    <row r="28966" spans="104:111">
      <c r="CZ28966" s="256"/>
      <c r="DG28966" s="256"/>
    </row>
    <row r="28967" spans="104:111">
      <c r="CZ28967" s="256"/>
      <c r="DG28967" s="256"/>
    </row>
    <row r="28968" spans="104:111">
      <c r="CZ28968" s="256"/>
      <c r="DG28968" s="256"/>
    </row>
    <row r="28969" spans="104:111">
      <c r="CZ28969" s="256"/>
      <c r="DG28969" s="256"/>
    </row>
    <row r="28970" spans="104:111">
      <c r="CZ28970" s="256"/>
      <c r="DG28970" s="256"/>
    </row>
    <row r="28971" spans="104:111">
      <c r="CZ28971" s="256"/>
      <c r="DG28971" s="256"/>
    </row>
    <row r="28972" spans="104:111">
      <c r="CZ28972" s="256"/>
      <c r="DG28972" s="256"/>
    </row>
    <row r="28973" spans="104:111">
      <c r="CZ28973" s="256"/>
      <c r="DG28973" s="256"/>
    </row>
    <row r="28974" spans="104:111">
      <c r="CZ28974" s="256"/>
      <c r="DG28974" s="256"/>
    </row>
    <row r="28975" spans="104:111">
      <c r="CZ28975" s="256"/>
      <c r="DG28975" s="256"/>
    </row>
    <row r="28976" spans="104:111">
      <c r="CZ28976" s="256"/>
      <c r="DG28976" s="256"/>
    </row>
    <row r="28977" spans="104:111">
      <c r="CZ28977" s="256"/>
      <c r="DG28977" s="256"/>
    </row>
    <row r="28978" spans="104:111">
      <c r="CZ28978" s="256"/>
      <c r="DG28978" s="256"/>
    </row>
    <row r="28979" spans="104:111">
      <c r="CZ28979" s="256"/>
      <c r="DG28979" s="256"/>
    </row>
    <row r="28980" spans="104:111">
      <c r="CZ28980" s="256"/>
      <c r="DG28980" s="256"/>
    </row>
    <row r="28981" spans="104:111">
      <c r="CZ28981" s="256"/>
      <c r="DG28981" s="256"/>
    </row>
    <row r="28982" spans="104:111">
      <c r="CZ28982" s="256"/>
      <c r="DG28982" s="256"/>
    </row>
    <row r="28983" spans="104:111">
      <c r="CZ28983" s="256"/>
      <c r="DG28983" s="256"/>
    </row>
    <row r="28984" spans="104:111">
      <c r="CZ28984" s="256"/>
      <c r="DG28984" s="256"/>
    </row>
    <row r="28985" spans="104:111">
      <c r="CZ28985" s="256"/>
      <c r="DG28985" s="256"/>
    </row>
    <row r="28986" spans="104:111">
      <c r="CZ28986" s="256"/>
      <c r="DG28986" s="256"/>
    </row>
    <row r="28987" spans="104:111">
      <c r="CZ28987" s="256"/>
      <c r="DG28987" s="256"/>
    </row>
    <row r="28988" spans="104:111">
      <c r="CZ28988" s="256"/>
      <c r="DG28988" s="256"/>
    </row>
    <row r="28989" spans="104:111">
      <c r="CZ28989" s="256"/>
      <c r="DG28989" s="256"/>
    </row>
    <row r="28990" spans="104:111">
      <c r="CZ28990" s="256"/>
      <c r="DG28990" s="256"/>
    </row>
    <row r="28991" spans="104:111">
      <c r="CZ28991" s="256"/>
      <c r="DG28991" s="256"/>
    </row>
    <row r="28992" spans="104:111">
      <c r="CZ28992" s="256"/>
      <c r="DG28992" s="256"/>
    </row>
    <row r="28993" spans="104:111">
      <c r="CZ28993" s="256"/>
      <c r="DG28993" s="256"/>
    </row>
    <row r="28994" spans="104:111">
      <c r="CZ28994" s="256"/>
      <c r="DG28994" s="256"/>
    </row>
    <row r="28995" spans="104:111">
      <c r="CZ28995" s="256"/>
      <c r="DG28995" s="256"/>
    </row>
    <row r="28996" spans="104:111">
      <c r="CZ28996" s="256"/>
      <c r="DG28996" s="256"/>
    </row>
    <row r="28997" spans="104:111">
      <c r="CZ28997" s="256"/>
      <c r="DG28997" s="256"/>
    </row>
    <row r="28998" spans="104:111">
      <c r="CZ28998" s="256"/>
      <c r="DG28998" s="256"/>
    </row>
    <row r="28999" spans="104:111">
      <c r="CZ28999" s="256"/>
      <c r="DG28999" s="256"/>
    </row>
    <row r="29000" spans="104:111">
      <c r="CZ29000" s="256"/>
      <c r="DG29000" s="256"/>
    </row>
    <row r="29001" spans="104:111">
      <c r="CZ29001" s="256"/>
      <c r="DG29001" s="256"/>
    </row>
    <row r="29002" spans="104:111">
      <c r="CZ29002" s="256"/>
      <c r="DG29002" s="256"/>
    </row>
    <row r="29003" spans="104:111">
      <c r="CZ29003" s="256"/>
      <c r="DG29003" s="256"/>
    </row>
    <row r="29004" spans="104:111">
      <c r="CZ29004" s="256"/>
      <c r="DG29004" s="256"/>
    </row>
    <row r="29005" spans="104:111">
      <c r="CZ29005" s="256"/>
      <c r="DG29005" s="256"/>
    </row>
    <row r="29006" spans="104:111">
      <c r="CZ29006" s="256"/>
      <c r="DG29006" s="256"/>
    </row>
    <row r="29007" spans="104:111">
      <c r="CZ29007" s="256"/>
      <c r="DG29007" s="256"/>
    </row>
    <row r="29008" spans="104:111">
      <c r="CZ29008" s="256"/>
      <c r="DG29008" s="256"/>
    </row>
    <row r="29009" spans="104:111">
      <c r="CZ29009" s="256"/>
      <c r="DG29009" s="256"/>
    </row>
    <row r="29010" spans="104:111">
      <c r="CZ29010" s="256"/>
      <c r="DG29010" s="256"/>
    </row>
    <row r="29011" spans="104:111">
      <c r="CZ29011" s="256"/>
      <c r="DG29011" s="256"/>
    </row>
    <row r="29012" spans="104:111">
      <c r="CZ29012" s="256"/>
      <c r="DG29012" s="256"/>
    </row>
    <row r="29013" spans="104:111">
      <c r="CZ29013" s="256"/>
      <c r="DG29013" s="256"/>
    </row>
    <row r="29014" spans="104:111">
      <c r="CZ29014" s="256"/>
      <c r="DG29014" s="256"/>
    </row>
    <row r="29015" spans="104:111">
      <c r="CZ29015" s="256"/>
      <c r="DG29015" s="256"/>
    </row>
    <row r="29016" spans="104:111">
      <c r="CZ29016" s="256"/>
      <c r="DG29016" s="256"/>
    </row>
    <row r="29017" spans="104:111">
      <c r="CZ29017" s="256"/>
      <c r="DG29017" s="256"/>
    </row>
    <row r="29018" spans="104:111">
      <c r="CZ29018" s="256"/>
      <c r="DG29018" s="256"/>
    </row>
    <row r="29019" spans="104:111">
      <c r="CZ29019" s="256"/>
      <c r="DG29019" s="256"/>
    </row>
    <row r="29020" spans="104:111">
      <c r="CZ29020" s="256"/>
      <c r="DG29020" s="256"/>
    </row>
    <row r="29021" spans="104:111">
      <c r="CZ29021" s="256"/>
      <c r="DG29021" s="256"/>
    </row>
    <row r="29022" spans="104:111">
      <c r="CZ29022" s="256"/>
      <c r="DG29022" s="256"/>
    </row>
    <row r="29023" spans="104:111">
      <c r="CZ29023" s="256"/>
      <c r="DG29023" s="256"/>
    </row>
    <row r="29024" spans="104:111">
      <c r="CZ29024" s="256"/>
      <c r="DG29024" s="256"/>
    </row>
    <row r="29025" spans="104:111">
      <c r="CZ29025" s="256"/>
      <c r="DG29025" s="256"/>
    </row>
    <row r="29026" spans="104:111">
      <c r="CZ29026" s="256"/>
      <c r="DG29026" s="256"/>
    </row>
    <row r="29027" spans="104:111">
      <c r="CZ29027" s="256"/>
      <c r="DG29027" s="256"/>
    </row>
    <row r="29028" spans="104:111">
      <c r="CZ29028" s="256"/>
      <c r="DG29028" s="256"/>
    </row>
    <row r="29029" spans="104:111">
      <c r="CZ29029" s="256"/>
      <c r="DG29029" s="256"/>
    </row>
    <row r="29030" spans="104:111">
      <c r="CZ29030" s="256"/>
      <c r="DG29030" s="256"/>
    </row>
    <row r="29031" spans="104:111">
      <c r="CZ29031" s="256"/>
      <c r="DG29031" s="256"/>
    </row>
    <row r="29032" spans="104:111">
      <c r="CZ29032" s="256"/>
      <c r="DG29032" s="256"/>
    </row>
    <row r="29033" spans="104:111">
      <c r="CZ29033" s="256"/>
      <c r="DG29033" s="256"/>
    </row>
    <row r="29034" spans="104:111">
      <c r="CZ29034" s="256"/>
      <c r="DG29034" s="256"/>
    </row>
    <row r="29035" spans="104:111">
      <c r="CZ29035" s="256"/>
      <c r="DG29035" s="256"/>
    </row>
    <row r="29036" spans="104:111">
      <c r="CZ29036" s="256"/>
      <c r="DG29036" s="256"/>
    </row>
    <row r="29037" spans="104:111">
      <c r="CZ29037" s="256"/>
      <c r="DG29037" s="256"/>
    </row>
    <row r="29038" spans="104:111">
      <c r="CZ29038" s="256"/>
      <c r="DG29038" s="256"/>
    </row>
    <row r="29039" spans="104:111">
      <c r="CZ29039" s="256"/>
      <c r="DG29039" s="256"/>
    </row>
    <row r="29040" spans="104:111">
      <c r="CZ29040" s="256"/>
      <c r="DG29040" s="256"/>
    </row>
    <row r="29041" spans="104:111">
      <c r="CZ29041" s="256"/>
      <c r="DG29041" s="256"/>
    </row>
    <row r="29042" spans="104:111">
      <c r="CZ29042" s="256"/>
      <c r="DG29042" s="256"/>
    </row>
    <row r="29043" spans="104:111">
      <c r="CZ29043" s="256"/>
      <c r="DG29043" s="256"/>
    </row>
    <row r="29044" spans="104:111">
      <c r="CZ29044" s="256"/>
      <c r="DG29044" s="256"/>
    </row>
    <row r="29045" spans="104:111">
      <c r="CZ29045" s="256"/>
      <c r="DG29045" s="256"/>
    </row>
    <row r="29046" spans="104:111">
      <c r="CZ29046" s="256"/>
      <c r="DG29046" s="256"/>
    </row>
    <row r="29047" spans="104:111">
      <c r="CZ29047" s="256"/>
      <c r="DG29047" s="256"/>
    </row>
    <row r="29048" spans="104:111">
      <c r="CZ29048" s="256"/>
      <c r="DG29048" s="256"/>
    </row>
    <row r="29049" spans="104:111">
      <c r="CZ29049" s="256"/>
      <c r="DG29049" s="256"/>
    </row>
    <row r="29050" spans="104:111">
      <c r="CZ29050" s="256"/>
      <c r="DG29050" s="256"/>
    </row>
    <row r="29051" spans="104:111">
      <c r="CZ29051" s="256"/>
      <c r="DG29051" s="256"/>
    </row>
    <row r="29052" spans="104:111">
      <c r="CZ29052" s="256"/>
      <c r="DG29052" s="256"/>
    </row>
    <row r="29053" spans="104:111">
      <c r="CZ29053" s="256"/>
      <c r="DG29053" s="256"/>
    </row>
    <row r="29054" spans="104:111">
      <c r="CZ29054" s="256"/>
      <c r="DG29054" s="256"/>
    </row>
    <row r="29055" spans="104:111">
      <c r="CZ29055" s="256"/>
      <c r="DG29055" s="256"/>
    </row>
    <row r="29056" spans="104:111">
      <c r="CZ29056" s="256"/>
      <c r="DG29056" s="256"/>
    </row>
    <row r="29057" spans="104:111">
      <c r="CZ29057" s="256"/>
      <c r="DG29057" s="256"/>
    </row>
    <row r="29058" spans="104:111">
      <c r="CZ29058" s="256"/>
      <c r="DG29058" s="256"/>
    </row>
    <row r="29059" spans="104:111">
      <c r="CZ29059" s="256"/>
      <c r="DG29059" s="256"/>
    </row>
    <row r="29060" spans="104:111">
      <c r="CZ29060" s="256"/>
      <c r="DG29060" s="256"/>
    </row>
    <row r="29061" spans="104:111">
      <c r="CZ29061" s="256"/>
      <c r="DG29061" s="256"/>
    </row>
    <row r="29062" spans="104:111">
      <c r="CZ29062" s="256"/>
      <c r="DG29062" s="256"/>
    </row>
    <row r="29063" spans="104:111">
      <c r="CZ29063" s="256"/>
      <c r="DG29063" s="256"/>
    </row>
    <row r="29064" spans="104:111">
      <c r="CZ29064" s="256"/>
      <c r="DG29064" s="256"/>
    </row>
    <row r="29065" spans="104:111">
      <c r="CZ29065" s="256"/>
      <c r="DG29065" s="256"/>
    </row>
    <row r="29066" spans="104:111">
      <c r="CZ29066" s="256"/>
      <c r="DG29066" s="256"/>
    </row>
    <row r="29067" spans="104:111">
      <c r="CZ29067" s="256"/>
      <c r="DG29067" s="256"/>
    </row>
    <row r="29068" spans="104:111">
      <c r="CZ29068" s="256"/>
      <c r="DG29068" s="256"/>
    </row>
    <row r="29069" spans="104:111">
      <c r="CZ29069" s="256"/>
      <c r="DG29069" s="256"/>
    </row>
    <row r="29070" spans="104:111">
      <c r="CZ29070" s="256"/>
      <c r="DG29070" s="256"/>
    </row>
    <row r="29071" spans="104:111">
      <c r="CZ29071" s="256"/>
      <c r="DG29071" s="256"/>
    </row>
    <row r="29072" spans="104:111">
      <c r="CZ29072" s="256"/>
      <c r="DG29072" s="256"/>
    </row>
    <row r="29073" spans="104:111">
      <c r="CZ29073" s="256"/>
      <c r="DG29073" s="256"/>
    </row>
    <row r="29074" spans="104:111">
      <c r="CZ29074" s="256"/>
      <c r="DG29074" s="256"/>
    </row>
    <row r="29075" spans="104:111">
      <c r="CZ29075" s="256"/>
      <c r="DG29075" s="256"/>
    </row>
    <row r="29076" spans="104:111">
      <c r="CZ29076" s="256"/>
      <c r="DG29076" s="256"/>
    </row>
    <row r="29077" spans="104:111">
      <c r="CZ29077" s="256"/>
      <c r="DG29077" s="256"/>
    </row>
    <row r="29078" spans="104:111">
      <c r="CZ29078" s="256"/>
      <c r="DG29078" s="256"/>
    </row>
    <row r="29079" spans="104:111">
      <c r="CZ29079" s="256"/>
      <c r="DG29079" s="256"/>
    </row>
    <row r="29080" spans="104:111">
      <c r="CZ29080" s="256"/>
      <c r="DG29080" s="256"/>
    </row>
    <row r="29081" spans="104:111">
      <c r="CZ29081" s="256"/>
      <c r="DG29081" s="256"/>
    </row>
    <row r="29082" spans="104:111">
      <c r="CZ29082" s="256"/>
      <c r="DG29082" s="256"/>
    </row>
    <row r="29083" spans="104:111">
      <c r="CZ29083" s="256"/>
      <c r="DG29083" s="256"/>
    </row>
    <row r="29084" spans="104:111">
      <c r="CZ29084" s="256"/>
      <c r="DG29084" s="256"/>
    </row>
    <row r="29085" spans="104:111">
      <c r="CZ29085" s="256"/>
      <c r="DG29085" s="256"/>
    </row>
    <row r="29086" spans="104:111">
      <c r="CZ29086" s="256"/>
      <c r="DG29086" s="256"/>
    </row>
    <row r="29087" spans="104:111">
      <c r="CZ29087" s="256"/>
      <c r="DG29087" s="256"/>
    </row>
    <row r="29088" spans="104:111">
      <c r="CZ29088" s="256"/>
      <c r="DG29088" s="256"/>
    </row>
    <row r="29089" spans="104:111">
      <c r="CZ29089" s="256"/>
      <c r="DG29089" s="256"/>
    </row>
    <row r="29090" spans="104:111">
      <c r="CZ29090" s="256"/>
      <c r="DG29090" s="256"/>
    </row>
    <row r="29091" spans="104:111">
      <c r="CZ29091" s="256"/>
      <c r="DG29091" s="256"/>
    </row>
    <row r="29092" spans="104:111">
      <c r="CZ29092" s="256"/>
      <c r="DG29092" s="256"/>
    </row>
    <row r="29093" spans="104:111">
      <c r="CZ29093" s="256"/>
      <c r="DG29093" s="256"/>
    </row>
    <row r="29094" spans="104:111">
      <c r="CZ29094" s="256"/>
      <c r="DG29094" s="256"/>
    </row>
    <row r="29095" spans="104:111">
      <c r="CZ29095" s="256"/>
      <c r="DG29095" s="256"/>
    </row>
    <row r="29096" spans="104:111">
      <c r="CZ29096" s="256"/>
      <c r="DG29096" s="256"/>
    </row>
    <row r="29097" spans="104:111">
      <c r="CZ29097" s="256"/>
      <c r="DG29097" s="256"/>
    </row>
    <row r="29098" spans="104:111">
      <c r="CZ29098" s="256"/>
      <c r="DG29098" s="256"/>
    </row>
    <row r="29099" spans="104:111">
      <c r="CZ29099" s="256"/>
      <c r="DG29099" s="256"/>
    </row>
    <row r="29100" spans="104:111">
      <c r="CZ29100" s="256"/>
      <c r="DG29100" s="256"/>
    </row>
    <row r="29101" spans="104:111">
      <c r="CZ29101" s="256"/>
      <c r="DG29101" s="256"/>
    </row>
    <row r="29102" spans="104:111">
      <c r="CZ29102" s="256"/>
      <c r="DG29102" s="256"/>
    </row>
    <row r="29103" spans="104:111">
      <c r="CZ29103" s="256"/>
      <c r="DG29103" s="256"/>
    </row>
    <row r="29104" spans="104:111">
      <c r="CZ29104" s="256"/>
      <c r="DG29104" s="256"/>
    </row>
    <row r="29105" spans="104:111">
      <c r="CZ29105" s="256"/>
      <c r="DG29105" s="256"/>
    </row>
    <row r="29106" spans="104:111">
      <c r="CZ29106" s="256"/>
      <c r="DG29106" s="256"/>
    </row>
    <row r="29107" spans="104:111">
      <c r="CZ29107" s="256"/>
      <c r="DG29107" s="256"/>
    </row>
    <row r="29108" spans="104:111">
      <c r="CZ29108" s="256"/>
      <c r="DG29108" s="256"/>
    </row>
    <row r="29109" spans="104:111">
      <c r="CZ29109" s="256"/>
      <c r="DG29109" s="256"/>
    </row>
    <row r="29110" spans="104:111">
      <c r="CZ29110" s="256"/>
      <c r="DG29110" s="256"/>
    </row>
    <row r="29111" spans="104:111">
      <c r="CZ29111" s="256"/>
      <c r="DG29111" s="256"/>
    </row>
    <row r="29112" spans="104:111">
      <c r="CZ29112" s="256"/>
      <c r="DG29112" s="256"/>
    </row>
    <row r="29113" spans="104:111">
      <c r="CZ29113" s="256"/>
      <c r="DG29113" s="256"/>
    </row>
    <row r="29114" spans="104:111">
      <c r="CZ29114" s="256"/>
      <c r="DG29114" s="256"/>
    </row>
    <row r="29115" spans="104:111">
      <c r="CZ29115" s="256"/>
      <c r="DG29115" s="256"/>
    </row>
    <row r="29116" spans="104:111">
      <c r="CZ29116" s="256"/>
      <c r="DG29116" s="256"/>
    </row>
    <row r="29117" spans="104:111">
      <c r="CZ29117" s="256"/>
      <c r="DG29117" s="256"/>
    </row>
    <row r="29118" spans="104:111">
      <c r="CZ29118" s="256"/>
      <c r="DG29118" s="256"/>
    </row>
    <row r="29119" spans="104:111">
      <c r="CZ29119" s="256"/>
      <c r="DG29119" s="256"/>
    </row>
    <row r="29120" spans="104:111">
      <c r="CZ29120" s="256"/>
      <c r="DG29120" s="256"/>
    </row>
    <row r="29121" spans="104:111">
      <c r="CZ29121" s="256"/>
      <c r="DG29121" s="256"/>
    </row>
    <row r="29122" spans="104:111">
      <c r="CZ29122" s="256"/>
      <c r="DG29122" s="256"/>
    </row>
    <row r="29123" spans="104:111">
      <c r="CZ29123" s="256"/>
      <c r="DG29123" s="256"/>
    </row>
    <row r="29124" spans="104:111">
      <c r="CZ29124" s="256"/>
      <c r="DG29124" s="256"/>
    </row>
    <row r="29125" spans="104:111">
      <c r="CZ29125" s="256"/>
      <c r="DG29125" s="256"/>
    </row>
    <row r="29126" spans="104:111">
      <c r="CZ29126" s="256"/>
      <c r="DG29126" s="256"/>
    </row>
    <row r="29127" spans="104:111">
      <c r="CZ29127" s="256"/>
      <c r="DG29127" s="256"/>
    </row>
    <row r="29128" spans="104:111">
      <c r="CZ29128" s="256"/>
      <c r="DG29128" s="256"/>
    </row>
    <row r="29129" spans="104:111">
      <c r="CZ29129" s="256"/>
      <c r="DG29129" s="256"/>
    </row>
    <row r="29130" spans="104:111">
      <c r="CZ29130" s="256"/>
      <c r="DG29130" s="256"/>
    </row>
    <row r="29131" spans="104:111">
      <c r="CZ29131" s="256"/>
      <c r="DG29131" s="256"/>
    </row>
    <row r="29132" spans="104:111">
      <c r="CZ29132" s="256"/>
      <c r="DG29132" s="256"/>
    </row>
    <row r="29133" spans="104:111">
      <c r="CZ29133" s="256"/>
      <c r="DG29133" s="256"/>
    </row>
    <row r="29134" spans="104:111">
      <c r="CZ29134" s="256"/>
      <c r="DG29134" s="256"/>
    </row>
    <row r="29135" spans="104:111">
      <c r="CZ29135" s="256"/>
      <c r="DG29135" s="256"/>
    </row>
    <row r="29136" spans="104:111">
      <c r="CZ29136" s="256"/>
      <c r="DG29136" s="256"/>
    </row>
    <row r="29137" spans="104:111">
      <c r="CZ29137" s="256"/>
      <c r="DG29137" s="256"/>
    </row>
    <row r="29138" spans="104:111">
      <c r="CZ29138" s="256"/>
      <c r="DG29138" s="256"/>
    </row>
    <row r="29139" spans="104:111">
      <c r="CZ29139" s="256"/>
      <c r="DG29139" s="256"/>
    </row>
    <row r="29140" spans="104:111">
      <c r="CZ29140" s="256"/>
      <c r="DG29140" s="256"/>
    </row>
    <row r="29141" spans="104:111">
      <c r="CZ29141" s="256"/>
      <c r="DG29141" s="256"/>
    </row>
    <row r="29142" spans="104:111">
      <c r="CZ29142" s="256"/>
      <c r="DG29142" s="256"/>
    </row>
    <row r="29143" spans="104:111">
      <c r="CZ29143" s="256"/>
      <c r="DG29143" s="256"/>
    </row>
    <row r="29144" spans="104:111">
      <c r="CZ29144" s="256"/>
      <c r="DG29144" s="256"/>
    </row>
    <row r="29145" spans="104:111">
      <c r="CZ29145" s="256"/>
      <c r="DG29145" s="256"/>
    </row>
    <row r="29146" spans="104:111">
      <c r="CZ29146" s="256"/>
      <c r="DG29146" s="256"/>
    </row>
    <row r="29147" spans="104:111">
      <c r="CZ29147" s="256"/>
      <c r="DG29147" s="256"/>
    </row>
    <row r="29148" spans="104:111">
      <c r="CZ29148" s="256"/>
      <c r="DG29148" s="256"/>
    </row>
    <row r="29149" spans="104:111">
      <c r="CZ29149" s="256"/>
      <c r="DG29149" s="256"/>
    </row>
    <row r="29150" spans="104:111">
      <c r="CZ29150" s="256"/>
      <c r="DG29150" s="256"/>
    </row>
    <row r="29151" spans="104:111">
      <c r="CZ29151" s="256"/>
      <c r="DG29151" s="256"/>
    </row>
    <row r="29152" spans="104:111">
      <c r="CZ29152" s="256"/>
      <c r="DG29152" s="256"/>
    </row>
    <row r="29153" spans="104:111">
      <c r="CZ29153" s="256"/>
      <c r="DG29153" s="256"/>
    </row>
    <row r="29154" spans="104:111">
      <c r="CZ29154" s="256"/>
      <c r="DG29154" s="256"/>
    </row>
    <row r="29155" spans="104:111">
      <c r="CZ29155" s="256"/>
      <c r="DG29155" s="256"/>
    </row>
    <row r="29156" spans="104:111">
      <c r="CZ29156" s="256"/>
      <c r="DG29156" s="256"/>
    </row>
    <row r="29157" spans="104:111">
      <c r="CZ29157" s="256"/>
      <c r="DG29157" s="256"/>
    </row>
    <row r="29158" spans="104:111">
      <c r="CZ29158" s="256"/>
      <c r="DG29158" s="256"/>
    </row>
    <row r="29159" spans="104:111">
      <c r="CZ29159" s="256"/>
      <c r="DG29159" s="256"/>
    </row>
    <row r="29160" spans="104:111">
      <c r="CZ29160" s="256"/>
      <c r="DG29160" s="256"/>
    </row>
    <row r="29161" spans="104:111">
      <c r="CZ29161" s="256"/>
      <c r="DG29161" s="256"/>
    </row>
    <row r="29162" spans="104:111">
      <c r="CZ29162" s="256"/>
      <c r="DG29162" s="256"/>
    </row>
    <row r="29163" spans="104:111">
      <c r="CZ29163" s="256"/>
      <c r="DG29163" s="256"/>
    </row>
    <row r="29164" spans="104:111">
      <c r="CZ29164" s="256"/>
      <c r="DG29164" s="256"/>
    </row>
    <row r="29165" spans="104:111">
      <c r="CZ29165" s="256"/>
      <c r="DG29165" s="256"/>
    </row>
    <row r="29166" spans="104:111">
      <c r="CZ29166" s="256"/>
      <c r="DG29166" s="256"/>
    </row>
    <row r="29167" spans="104:111">
      <c r="CZ29167" s="256"/>
      <c r="DG29167" s="256"/>
    </row>
    <row r="29168" spans="104:111">
      <c r="CZ29168" s="256"/>
      <c r="DG29168" s="256"/>
    </row>
    <row r="29169" spans="104:111">
      <c r="CZ29169" s="256"/>
      <c r="DG29169" s="256"/>
    </row>
    <row r="29170" spans="104:111">
      <c r="CZ29170" s="256"/>
      <c r="DG29170" s="256"/>
    </row>
    <row r="29171" spans="104:111">
      <c r="CZ29171" s="256"/>
      <c r="DG29171" s="256"/>
    </row>
    <row r="29172" spans="104:111">
      <c r="CZ29172" s="256"/>
      <c r="DG29172" s="256"/>
    </row>
    <row r="29173" spans="104:111">
      <c r="CZ29173" s="256"/>
      <c r="DG29173" s="256"/>
    </row>
    <row r="29174" spans="104:111">
      <c r="CZ29174" s="256"/>
      <c r="DG29174" s="256"/>
    </row>
    <row r="29175" spans="104:111">
      <c r="CZ29175" s="256"/>
      <c r="DG29175" s="256"/>
    </row>
    <row r="29176" spans="104:111">
      <c r="CZ29176" s="256"/>
      <c r="DG29176" s="256"/>
    </row>
    <row r="29177" spans="104:111">
      <c r="CZ29177" s="256"/>
      <c r="DG29177" s="256"/>
    </row>
    <row r="29178" spans="104:111">
      <c r="CZ29178" s="256"/>
      <c r="DG29178" s="256"/>
    </row>
    <row r="29179" spans="104:111">
      <c r="CZ29179" s="256"/>
      <c r="DG29179" s="256"/>
    </row>
    <row r="29180" spans="104:111">
      <c r="CZ29180" s="256"/>
      <c r="DG29180" s="256"/>
    </row>
    <row r="29181" spans="104:111">
      <c r="CZ29181" s="256"/>
      <c r="DG29181" s="256"/>
    </row>
    <row r="29182" spans="104:111">
      <c r="CZ29182" s="256"/>
      <c r="DG29182" s="256"/>
    </row>
    <row r="29183" spans="104:111">
      <c r="CZ29183" s="256"/>
      <c r="DG29183" s="256"/>
    </row>
    <row r="29184" spans="104:111">
      <c r="CZ29184" s="256"/>
      <c r="DG29184" s="256"/>
    </row>
    <row r="29185" spans="104:111">
      <c r="CZ29185" s="256"/>
      <c r="DG29185" s="256"/>
    </row>
    <row r="29186" spans="104:111">
      <c r="CZ29186" s="256"/>
      <c r="DG29186" s="256"/>
    </row>
    <row r="29187" spans="104:111">
      <c r="CZ29187" s="256"/>
      <c r="DG29187" s="256"/>
    </row>
    <row r="29188" spans="104:111">
      <c r="CZ29188" s="256"/>
      <c r="DG29188" s="256"/>
    </row>
    <row r="29189" spans="104:111">
      <c r="CZ29189" s="256"/>
      <c r="DG29189" s="256"/>
    </row>
    <row r="29190" spans="104:111">
      <c r="CZ29190" s="256"/>
      <c r="DG29190" s="256"/>
    </row>
    <row r="29191" spans="104:111">
      <c r="CZ29191" s="256"/>
      <c r="DG29191" s="256"/>
    </row>
    <row r="29192" spans="104:111">
      <c r="CZ29192" s="256"/>
      <c r="DG29192" s="256"/>
    </row>
    <row r="29193" spans="104:111">
      <c r="CZ29193" s="256"/>
      <c r="DG29193" s="256"/>
    </row>
    <row r="29194" spans="104:111">
      <c r="CZ29194" s="256"/>
      <c r="DG29194" s="256"/>
    </row>
    <row r="29195" spans="104:111">
      <c r="CZ29195" s="256"/>
      <c r="DG29195" s="256"/>
    </row>
    <row r="29196" spans="104:111">
      <c r="CZ29196" s="256"/>
      <c r="DG29196" s="256"/>
    </row>
    <row r="29197" spans="104:111">
      <c r="CZ29197" s="256"/>
      <c r="DG29197" s="256"/>
    </row>
    <row r="29198" spans="104:111">
      <c r="CZ29198" s="256"/>
      <c r="DG29198" s="256"/>
    </row>
    <row r="29199" spans="104:111">
      <c r="CZ29199" s="256"/>
      <c r="DG29199" s="256"/>
    </row>
    <row r="29200" spans="104:111">
      <c r="CZ29200" s="256"/>
      <c r="DG29200" s="256"/>
    </row>
    <row r="29201" spans="104:111">
      <c r="CZ29201" s="256"/>
      <c r="DG29201" s="256"/>
    </row>
    <row r="29202" spans="104:111">
      <c r="CZ29202" s="256"/>
      <c r="DG29202" s="256"/>
    </row>
    <row r="29203" spans="104:111">
      <c r="CZ29203" s="256"/>
      <c r="DG29203" s="256"/>
    </row>
    <row r="29204" spans="104:111">
      <c r="CZ29204" s="256"/>
      <c r="DG29204" s="256"/>
    </row>
    <row r="29205" spans="104:111">
      <c r="CZ29205" s="256"/>
      <c r="DG29205" s="256"/>
    </row>
    <row r="29206" spans="104:111">
      <c r="CZ29206" s="256"/>
      <c r="DG29206" s="256"/>
    </row>
    <row r="29207" spans="104:111">
      <c r="CZ29207" s="256"/>
      <c r="DG29207" s="256"/>
    </row>
    <row r="29208" spans="104:111">
      <c r="CZ29208" s="256"/>
      <c r="DG29208" s="256"/>
    </row>
    <row r="29209" spans="104:111">
      <c r="CZ29209" s="256"/>
      <c r="DG29209" s="256"/>
    </row>
    <row r="29210" spans="104:111">
      <c r="CZ29210" s="256"/>
      <c r="DG29210" s="256"/>
    </row>
    <row r="29211" spans="104:111">
      <c r="CZ29211" s="256"/>
      <c r="DG29211" s="256"/>
    </row>
    <row r="29212" spans="104:111">
      <c r="CZ29212" s="256"/>
      <c r="DG29212" s="256"/>
    </row>
    <row r="29213" spans="104:111">
      <c r="CZ29213" s="256"/>
      <c r="DG29213" s="256"/>
    </row>
    <row r="29214" spans="104:111">
      <c r="CZ29214" s="256"/>
      <c r="DG29214" s="256"/>
    </row>
    <row r="29215" spans="104:111">
      <c r="CZ29215" s="256"/>
      <c r="DG29215" s="256"/>
    </row>
    <row r="29216" spans="104:111">
      <c r="CZ29216" s="256"/>
      <c r="DG29216" s="256"/>
    </row>
    <row r="29217" spans="104:111">
      <c r="CZ29217" s="256"/>
      <c r="DG29217" s="256"/>
    </row>
    <row r="29218" spans="104:111">
      <c r="CZ29218" s="256"/>
      <c r="DG29218" s="256"/>
    </row>
    <row r="29219" spans="104:111">
      <c r="CZ29219" s="256"/>
      <c r="DG29219" s="256"/>
    </row>
    <row r="29220" spans="104:111">
      <c r="CZ29220" s="256"/>
      <c r="DG29220" s="256"/>
    </row>
    <row r="29221" spans="104:111">
      <c r="CZ29221" s="256"/>
      <c r="DG29221" s="256"/>
    </row>
    <row r="29222" spans="104:111">
      <c r="CZ29222" s="256"/>
      <c r="DG29222" s="256"/>
    </row>
    <row r="29223" spans="104:111">
      <c r="CZ29223" s="256"/>
      <c r="DG29223" s="256"/>
    </row>
    <row r="29224" spans="104:111">
      <c r="CZ29224" s="256"/>
      <c r="DG29224" s="256"/>
    </row>
    <row r="29225" spans="104:111">
      <c r="CZ29225" s="256"/>
      <c r="DG29225" s="256"/>
    </row>
    <row r="29226" spans="104:111">
      <c r="CZ29226" s="256"/>
      <c r="DG29226" s="256"/>
    </row>
    <row r="29227" spans="104:111">
      <c r="CZ29227" s="256"/>
      <c r="DG29227" s="256"/>
    </row>
    <row r="29228" spans="104:111">
      <c r="CZ29228" s="256"/>
      <c r="DG29228" s="256"/>
    </row>
    <row r="29229" spans="104:111">
      <c r="CZ29229" s="256"/>
      <c r="DG29229" s="256"/>
    </row>
    <row r="29230" spans="104:111">
      <c r="CZ29230" s="256"/>
      <c r="DG29230" s="256"/>
    </row>
    <row r="29231" spans="104:111">
      <c r="CZ29231" s="256"/>
      <c r="DG29231" s="256"/>
    </row>
    <row r="29232" spans="104:111">
      <c r="CZ29232" s="256"/>
      <c r="DG29232" s="256"/>
    </row>
    <row r="29233" spans="104:111">
      <c r="CZ29233" s="256"/>
      <c r="DG29233" s="256"/>
    </row>
    <row r="29234" spans="104:111">
      <c r="CZ29234" s="256"/>
      <c r="DG29234" s="256"/>
    </row>
    <row r="29235" spans="104:111">
      <c r="CZ29235" s="256"/>
      <c r="DG29235" s="256"/>
    </row>
    <row r="29236" spans="104:111">
      <c r="CZ29236" s="256"/>
      <c r="DG29236" s="256"/>
    </row>
    <row r="29237" spans="104:111">
      <c r="CZ29237" s="256"/>
      <c r="DG29237" s="256"/>
    </row>
    <row r="29238" spans="104:111">
      <c r="CZ29238" s="256"/>
      <c r="DG29238" s="256"/>
    </row>
    <row r="29239" spans="104:111">
      <c r="CZ29239" s="256"/>
      <c r="DG29239" s="256"/>
    </row>
    <row r="29240" spans="104:111">
      <c r="CZ29240" s="256"/>
      <c r="DG29240" s="256"/>
    </row>
    <row r="29241" spans="104:111">
      <c r="CZ29241" s="256"/>
      <c r="DG29241" s="256"/>
    </row>
    <row r="29242" spans="104:111">
      <c r="CZ29242" s="256"/>
      <c r="DG29242" s="256"/>
    </row>
    <row r="29243" spans="104:111">
      <c r="CZ29243" s="256"/>
      <c r="DG29243" s="256"/>
    </row>
    <row r="29244" spans="104:111">
      <c r="CZ29244" s="256"/>
      <c r="DG29244" s="256"/>
    </row>
    <row r="29245" spans="104:111">
      <c r="CZ29245" s="256"/>
      <c r="DG29245" s="256"/>
    </row>
    <row r="29246" spans="104:111">
      <c r="CZ29246" s="256"/>
      <c r="DG29246" s="256"/>
    </row>
    <row r="29247" spans="104:111">
      <c r="CZ29247" s="256"/>
      <c r="DG29247" s="256"/>
    </row>
    <row r="29248" spans="104:111">
      <c r="CZ29248" s="256"/>
      <c r="DG29248" s="256"/>
    </row>
    <row r="29249" spans="104:111">
      <c r="CZ29249" s="256"/>
      <c r="DG29249" s="256"/>
    </row>
    <row r="29250" spans="104:111">
      <c r="CZ29250" s="256"/>
      <c r="DG29250" s="256"/>
    </row>
    <row r="29251" spans="104:111">
      <c r="CZ29251" s="256"/>
      <c r="DG29251" s="256"/>
    </row>
    <row r="29252" spans="104:111">
      <c r="CZ29252" s="256"/>
      <c r="DG29252" s="256"/>
    </row>
    <row r="29253" spans="104:111">
      <c r="CZ29253" s="256"/>
      <c r="DG29253" s="256"/>
    </row>
    <row r="29254" spans="104:111">
      <c r="CZ29254" s="256"/>
      <c r="DG29254" s="256"/>
    </row>
    <row r="29255" spans="104:111">
      <c r="CZ29255" s="256"/>
      <c r="DG29255" s="256"/>
    </row>
    <row r="29256" spans="104:111">
      <c r="CZ29256" s="256"/>
      <c r="DG29256" s="256"/>
    </row>
    <row r="29257" spans="104:111">
      <c r="CZ29257" s="256"/>
      <c r="DG29257" s="256"/>
    </row>
    <row r="29258" spans="104:111">
      <c r="CZ29258" s="256"/>
      <c r="DG29258" s="256"/>
    </row>
    <row r="29259" spans="104:111">
      <c r="CZ29259" s="256"/>
      <c r="DG29259" s="256"/>
    </row>
    <row r="29260" spans="104:111">
      <c r="CZ29260" s="256"/>
      <c r="DG29260" s="256"/>
    </row>
    <row r="29261" spans="104:111">
      <c r="CZ29261" s="256"/>
      <c r="DG29261" s="256"/>
    </row>
    <row r="29262" spans="104:111">
      <c r="CZ29262" s="256"/>
      <c r="DG29262" s="256"/>
    </row>
    <row r="29263" spans="104:111">
      <c r="CZ29263" s="256"/>
      <c r="DG29263" s="256"/>
    </row>
    <row r="29264" spans="104:111">
      <c r="CZ29264" s="256"/>
      <c r="DG29264" s="256"/>
    </row>
    <row r="29265" spans="104:111">
      <c r="CZ29265" s="256"/>
      <c r="DG29265" s="256"/>
    </row>
    <row r="29266" spans="104:111">
      <c r="CZ29266" s="256"/>
      <c r="DG29266" s="256"/>
    </row>
    <row r="29267" spans="104:111">
      <c r="CZ29267" s="256"/>
      <c r="DG29267" s="256"/>
    </row>
    <row r="29268" spans="104:111">
      <c r="CZ29268" s="256"/>
      <c r="DG29268" s="256"/>
    </row>
    <row r="29269" spans="104:111">
      <c r="CZ29269" s="256"/>
      <c r="DG29269" s="256"/>
    </row>
    <row r="29270" spans="104:111">
      <c r="CZ29270" s="256"/>
      <c r="DG29270" s="256"/>
    </row>
    <row r="29271" spans="104:111">
      <c r="CZ29271" s="256"/>
      <c r="DG29271" s="256"/>
    </row>
    <row r="29272" spans="104:111">
      <c r="CZ29272" s="256"/>
      <c r="DG29272" s="256"/>
    </row>
    <row r="29273" spans="104:111">
      <c r="CZ29273" s="256"/>
      <c r="DG29273" s="256"/>
    </row>
    <row r="29274" spans="104:111">
      <c r="CZ29274" s="256"/>
      <c r="DG29274" s="256"/>
    </row>
    <row r="29275" spans="104:111">
      <c r="CZ29275" s="256"/>
      <c r="DG29275" s="256"/>
    </row>
    <row r="29276" spans="104:111">
      <c r="CZ29276" s="256"/>
      <c r="DG29276" s="256"/>
    </row>
    <row r="29277" spans="104:111">
      <c r="CZ29277" s="256"/>
      <c r="DG29277" s="256"/>
    </row>
    <row r="29278" spans="104:111">
      <c r="CZ29278" s="256"/>
      <c r="DG29278" s="256"/>
    </row>
    <row r="29279" spans="104:111">
      <c r="CZ29279" s="256"/>
      <c r="DG29279" s="256"/>
    </row>
    <row r="29280" spans="104:111">
      <c r="CZ29280" s="256"/>
      <c r="DG29280" s="256"/>
    </row>
    <row r="29281" spans="104:111">
      <c r="CZ29281" s="256"/>
      <c r="DG29281" s="256"/>
    </row>
    <row r="29282" spans="104:111">
      <c r="CZ29282" s="256"/>
      <c r="DG29282" s="256"/>
    </row>
    <row r="29283" spans="104:111">
      <c r="CZ29283" s="256"/>
      <c r="DG29283" s="256"/>
    </row>
    <row r="29284" spans="104:111">
      <c r="CZ29284" s="256"/>
      <c r="DG29284" s="256"/>
    </row>
    <row r="29285" spans="104:111">
      <c r="CZ29285" s="256"/>
      <c r="DG29285" s="256"/>
    </row>
    <row r="29286" spans="104:111">
      <c r="CZ29286" s="256"/>
      <c r="DG29286" s="256"/>
    </row>
    <row r="29287" spans="104:111">
      <c r="CZ29287" s="256"/>
      <c r="DG29287" s="256"/>
    </row>
    <row r="29288" spans="104:111">
      <c r="CZ29288" s="256"/>
      <c r="DG29288" s="256"/>
    </row>
    <row r="29289" spans="104:111">
      <c r="CZ29289" s="256"/>
      <c r="DG29289" s="256"/>
    </row>
    <row r="29290" spans="104:111">
      <c r="CZ29290" s="256"/>
      <c r="DG29290" s="256"/>
    </row>
    <row r="29291" spans="104:111">
      <c r="CZ29291" s="256"/>
      <c r="DG29291" s="256"/>
    </row>
    <row r="29292" spans="104:111">
      <c r="CZ29292" s="256"/>
      <c r="DG29292" s="256"/>
    </row>
    <row r="29293" spans="104:111">
      <c r="CZ29293" s="256"/>
      <c r="DG29293" s="256"/>
    </row>
    <row r="29294" spans="104:111">
      <c r="CZ29294" s="256"/>
      <c r="DG29294" s="256"/>
    </row>
    <row r="29295" spans="104:111">
      <c r="CZ29295" s="256"/>
      <c r="DG29295" s="256"/>
    </row>
    <row r="29296" spans="104:111">
      <c r="CZ29296" s="256"/>
      <c r="DG29296" s="256"/>
    </row>
    <row r="29297" spans="104:111">
      <c r="CZ29297" s="256"/>
      <c r="DG29297" s="256"/>
    </row>
    <row r="29298" spans="104:111">
      <c r="CZ29298" s="256"/>
      <c r="DG29298" s="256"/>
    </row>
    <row r="29299" spans="104:111">
      <c r="CZ29299" s="256"/>
      <c r="DG29299" s="256"/>
    </row>
    <row r="29300" spans="104:111">
      <c r="CZ29300" s="256"/>
      <c r="DG29300" s="256"/>
    </row>
    <row r="29301" spans="104:111">
      <c r="CZ29301" s="256"/>
      <c r="DG29301" s="256"/>
    </row>
    <row r="29302" spans="104:111">
      <c r="CZ29302" s="256"/>
      <c r="DG29302" s="256"/>
    </row>
    <row r="29303" spans="104:111">
      <c r="CZ29303" s="256"/>
      <c r="DG29303" s="256"/>
    </row>
    <row r="29304" spans="104:111">
      <c r="CZ29304" s="256"/>
      <c r="DG29304" s="256"/>
    </row>
    <row r="29305" spans="104:111">
      <c r="CZ29305" s="256"/>
      <c r="DG29305" s="256"/>
    </row>
    <row r="29306" spans="104:111">
      <c r="CZ29306" s="256"/>
      <c r="DG29306" s="256"/>
    </row>
    <row r="29307" spans="104:111">
      <c r="CZ29307" s="256"/>
      <c r="DG29307" s="256"/>
    </row>
    <row r="29308" spans="104:111">
      <c r="CZ29308" s="256"/>
      <c r="DG29308" s="256"/>
    </row>
    <row r="29309" spans="104:111">
      <c r="CZ29309" s="256"/>
      <c r="DG29309" s="256"/>
    </row>
    <row r="29310" spans="104:111">
      <c r="CZ29310" s="256"/>
      <c r="DG29310" s="256"/>
    </row>
    <row r="29311" spans="104:111">
      <c r="CZ29311" s="256"/>
      <c r="DG29311" s="256"/>
    </row>
    <row r="29312" spans="104:111">
      <c r="CZ29312" s="256"/>
      <c r="DG29312" s="256"/>
    </row>
    <row r="29313" spans="104:111">
      <c r="CZ29313" s="256"/>
      <c r="DG29313" s="256"/>
    </row>
    <row r="29314" spans="104:111">
      <c r="CZ29314" s="256"/>
      <c r="DG29314" s="256"/>
    </row>
    <row r="29315" spans="104:111">
      <c r="CZ29315" s="256"/>
      <c r="DG29315" s="256"/>
    </row>
    <row r="29316" spans="104:111">
      <c r="CZ29316" s="256"/>
      <c r="DG29316" s="256"/>
    </row>
    <row r="29317" spans="104:111">
      <c r="CZ29317" s="256"/>
      <c r="DG29317" s="256"/>
    </row>
    <row r="29318" spans="104:111">
      <c r="CZ29318" s="256"/>
      <c r="DG29318" s="256"/>
    </row>
    <row r="29319" spans="104:111">
      <c r="CZ29319" s="256"/>
      <c r="DG29319" s="256"/>
    </row>
    <row r="29320" spans="104:111">
      <c r="CZ29320" s="256"/>
      <c r="DG29320" s="256"/>
    </row>
    <row r="29321" spans="104:111">
      <c r="CZ29321" s="256"/>
      <c r="DG29321" s="256"/>
    </row>
    <row r="29322" spans="104:111">
      <c r="CZ29322" s="256"/>
      <c r="DG29322" s="256"/>
    </row>
    <row r="29323" spans="104:111">
      <c r="CZ29323" s="256"/>
      <c r="DG29323" s="256"/>
    </row>
    <row r="29324" spans="104:111">
      <c r="CZ29324" s="256"/>
      <c r="DG29324" s="256"/>
    </row>
    <row r="29325" spans="104:111">
      <c r="CZ29325" s="256"/>
      <c r="DG29325" s="256"/>
    </row>
    <row r="29326" spans="104:111">
      <c r="CZ29326" s="256"/>
      <c r="DG29326" s="256"/>
    </row>
    <row r="29327" spans="104:111">
      <c r="CZ29327" s="256"/>
      <c r="DG29327" s="256"/>
    </row>
    <row r="29328" spans="104:111">
      <c r="CZ29328" s="256"/>
      <c r="DG29328" s="256"/>
    </row>
    <row r="29329" spans="104:111">
      <c r="CZ29329" s="256"/>
      <c r="DG29329" s="256"/>
    </row>
    <row r="29330" spans="104:111">
      <c r="CZ29330" s="256"/>
      <c r="DG29330" s="256"/>
    </row>
    <row r="29331" spans="104:111">
      <c r="CZ29331" s="256"/>
      <c r="DG29331" s="256"/>
    </row>
    <row r="29332" spans="104:111">
      <c r="CZ29332" s="256"/>
      <c r="DG29332" s="256"/>
    </row>
    <row r="29333" spans="104:111">
      <c r="CZ29333" s="256"/>
      <c r="DG29333" s="256"/>
    </row>
    <row r="29334" spans="104:111">
      <c r="CZ29334" s="256"/>
      <c r="DG29334" s="256"/>
    </row>
    <row r="29335" spans="104:111">
      <c r="CZ29335" s="256"/>
      <c r="DG29335" s="256"/>
    </row>
    <row r="29336" spans="104:111">
      <c r="CZ29336" s="256"/>
      <c r="DG29336" s="256"/>
    </row>
    <row r="29337" spans="104:111">
      <c r="CZ29337" s="256"/>
      <c r="DG29337" s="256"/>
    </row>
    <row r="29338" spans="104:111">
      <c r="CZ29338" s="256"/>
      <c r="DG29338" s="256"/>
    </row>
    <row r="29339" spans="104:111">
      <c r="CZ29339" s="256"/>
      <c r="DG29339" s="256"/>
    </row>
    <row r="29340" spans="104:111">
      <c r="CZ29340" s="256"/>
      <c r="DG29340" s="256"/>
    </row>
    <row r="29341" spans="104:111">
      <c r="CZ29341" s="256"/>
      <c r="DG29341" s="256"/>
    </row>
    <row r="29342" spans="104:111">
      <c r="CZ29342" s="256"/>
      <c r="DG29342" s="256"/>
    </row>
    <row r="29343" spans="104:111">
      <c r="CZ29343" s="256"/>
      <c r="DG29343" s="256"/>
    </row>
    <row r="29344" spans="104:111">
      <c r="CZ29344" s="256"/>
      <c r="DG29344" s="256"/>
    </row>
    <row r="29345" spans="104:111">
      <c r="CZ29345" s="256"/>
      <c r="DG29345" s="256"/>
    </row>
    <row r="29346" spans="104:111">
      <c r="CZ29346" s="256"/>
      <c r="DG29346" s="256"/>
    </row>
    <row r="29347" spans="104:111">
      <c r="CZ29347" s="256"/>
      <c r="DG29347" s="256"/>
    </row>
    <row r="29348" spans="104:111">
      <c r="CZ29348" s="256"/>
      <c r="DG29348" s="256"/>
    </row>
    <row r="29349" spans="104:111">
      <c r="CZ29349" s="256"/>
      <c r="DG29349" s="256"/>
    </row>
    <row r="29350" spans="104:111">
      <c r="CZ29350" s="256"/>
      <c r="DG29350" s="256"/>
    </row>
    <row r="29351" spans="104:111">
      <c r="CZ29351" s="256"/>
      <c r="DG29351" s="256"/>
    </row>
    <row r="29352" spans="104:111">
      <c r="CZ29352" s="256"/>
      <c r="DG29352" s="256"/>
    </row>
    <row r="29353" spans="104:111">
      <c r="CZ29353" s="256"/>
      <c r="DG29353" s="256"/>
    </row>
    <row r="29354" spans="104:111">
      <c r="CZ29354" s="256"/>
      <c r="DG29354" s="256"/>
    </row>
    <row r="29355" spans="104:111">
      <c r="CZ29355" s="256"/>
      <c r="DG29355" s="256"/>
    </row>
    <row r="29356" spans="104:111">
      <c r="CZ29356" s="256"/>
      <c r="DG29356" s="256"/>
    </row>
    <row r="29357" spans="104:111">
      <c r="CZ29357" s="256"/>
      <c r="DG29357" s="256"/>
    </row>
    <row r="29358" spans="104:111">
      <c r="CZ29358" s="256"/>
      <c r="DG29358" s="256"/>
    </row>
    <row r="29359" spans="104:111">
      <c r="CZ29359" s="256"/>
      <c r="DG29359" s="256"/>
    </row>
    <row r="29360" spans="104:111">
      <c r="CZ29360" s="256"/>
      <c r="DG29360" s="256"/>
    </row>
    <row r="29361" spans="104:111">
      <c r="CZ29361" s="256"/>
      <c r="DG29361" s="256"/>
    </row>
    <row r="29362" spans="104:111">
      <c r="CZ29362" s="256"/>
      <c r="DG29362" s="256"/>
    </row>
    <row r="29363" spans="104:111">
      <c r="CZ29363" s="256"/>
      <c r="DG29363" s="256"/>
    </row>
    <row r="29364" spans="104:111">
      <c r="CZ29364" s="256"/>
      <c r="DG29364" s="256"/>
    </row>
    <row r="29365" spans="104:111">
      <c r="CZ29365" s="256"/>
      <c r="DG29365" s="256"/>
    </row>
    <row r="29366" spans="104:111">
      <c r="CZ29366" s="256"/>
      <c r="DG29366" s="256"/>
    </row>
    <row r="29367" spans="104:111">
      <c r="CZ29367" s="256"/>
      <c r="DG29367" s="256"/>
    </row>
    <row r="29368" spans="104:111">
      <c r="CZ29368" s="256"/>
      <c r="DG29368" s="256"/>
    </row>
    <row r="29369" spans="104:111">
      <c r="CZ29369" s="256"/>
      <c r="DG29369" s="256"/>
    </row>
    <row r="29370" spans="104:111">
      <c r="CZ29370" s="256"/>
      <c r="DG29370" s="256"/>
    </row>
    <row r="29371" spans="104:111">
      <c r="CZ29371" s="256"/>
      <c r="DG29371" s="256"/>
    </row>
    <row r="29372" spans="104:111">
      <c r="CZ29372" s="256"/>
      <c r="DG29372" s="256"/>
    </row>
    <row r="29373" spans="104:111">
      <c r="CZ29373" s="256"/>
      <c r="DG29373" s="256"/>
    </row>
    <row r="29374" spans="104:111">
      <c r="CZ29374" s="256"/>
      <c r="DG29374" s="256"/>
    </row>
    <row r="29375" spans="104:111">
      <c r="CZ29375" s="256"/>
      <c r="DG29375" s="256"/>
    </row>
    <row r="29376" spans="104:111">
      <c r="CZ29376" s="256"/>
      <c r="DG29376" s="256"/>
    </row>
    <row r="29377" spans="104:111">
      <c r="CZ29377" s="256"/>
      <c r="DG29377" s="256"/>
    </row>
    <row r="29378" spans="104:111">
      <c r="CZ29378" s="256"/>
      <c r="DG29378" s="256"/>
    </row>
    <row r="29379" spans="104:111">
      <c r="CZ29379" s="256"/>
      <c r="DG29379" s="256"/>
    </row>
    <row r="29380" spans="104:111">
      <c r="CZ29380" s="256"/>
      <c r="DG29380" s="256"/>
    </row>
    <row r="29381" spans="104:111">
      <c r="CZ29381" s="256"/>
      <c r="DG29381" s="256"/>
    </row>
    <row r="29382" spans="104:111">
      <c r="CZ29382" s="256"/>
      <c r="DG29382" s="256"/>
    </row>
    <row r="29383" spans="104:111">
      <c r="CZ29383" s="256"/>
      <c r="DG29383" s="256"/>
    </row>
    <row r="29384" spans="104:111">
      <c r="CZ29384" s="256"/>
      <c r="DG29384" s="256"/>
    </row>
    <row r="29385" spans="104:111">
      <c r="CZ29385" s="256"/>
      <c r="DG29385" s="256"/>
    </row>
    <row r="29386" spans="104:111">
      <c r="CZ29386" s="256"/>
      <c r="DG29386" s="256"/>
    </row>
    <row r="29387" spans="104:111">
      <c r="CZ29387" s="256"/>
      <c r="DG29387" s="256"/>
    </row>
    <row r="29388" spans="104:111">
      <c r="CZ29388" s="256"/>
      <c r="DG29388" s="256"/>
    </row>
    <row r="29389" spans="104:111">
      <c r="CZ29389" s="256"/>
      <c r="DG29389" s="256"/>
    </row>
    <row r="29390" spans="104:111">
      <c r="CZ29390" s="256"/>
      <c r="DG29390" s="256"/>
    </row>
    <row r="29391" spans="104:111">
      <c r="CZ29391" s="256"/>
      <c r="DG29391" s="256"/>
    </row>
    <row r="29392" spans="104:111">
      <c r="CZ29392" s="256"/>
      <c r="DG29392" s="256"/>
    </row>
    <row r="29393" spans="104:111">
      <c r="CZ29393" s="256"/>
      <c r="DG29393" s="256"/>
    </row>
    <row r="29394" spans="104:111">
      <c r="CZ29394" s="256"/>
      <c r="DG29394" s="256"/>
    </row>
    <row r="29395" spans="104:111">
      <c r="CZ29395" s="256"/>
      <c r="DG29395" s="256"/>
    </row>
    <row r="29396" spans="104:111">
      <c r="CZ29396" s="256"/>
      <c r="DG29396" s="256"/>
    </row>
    <row r="29397" spans="104:111">
      <c r="CZ29397" s="256"/>
      <c r="DG29397" s="256"/>
    </row>
    <row r="29398" spans="104:111">
      <c r="CZ29398" s="256"/>
      <c r="DG29398" s="256"/>
    </row>
    <row r="29399" spans="104:111">
      <c r="CZ29399" s="256"/>
      <c r="DG29399" s="256"/>
    </row>
    <row r="29400" spans="104:111">
      <c r="CZ29400" s="256"/>
      <c r="DG29400" s="256"/>
    </row>
    <row r="29401" spans="104:111">
      <c r="CZ29401" s="256"/>
      <c r="DG29401" s="256"/>
    </row>
    <row r="29402" spans="104:111">
      <c r="CZ29402" s="256"/>
      <c r="DG29402" s="256"/>
    </row>
    <row r="29403" spans="104:111">
      <c r="CZ29403" s="256"/>
      <c r="DG29403" s="256"/>
    </row>
    <row r="29404" spans="104:111">
      <c r="CZ29404" s="256"/>
      <c r="DG29404" s="256"/>
    </row>
    <row r="29405" spans="104:111">
      <c r="CZ29405" s="256"/>
      <c r="DG29405" s="256"/>
    </row>
    <row r="29406" spans="104:111">
      <c r="CZ29406" s="256"/>
      <c r="DG29406" s="256"/>
    </row>
    <row r="29407" spans="104:111">
      <c r="CZ29407" s="256"/>
      <c r="DG29407" s="256"/>
    </row>
    <row r="29408" spans="104:111">
      <c r="CZ29408" s="256"/>
      <c r="DG29408" s="256"/>
    </row>
    <row r="29409" spans="104:111">
      <c r="CZ29409" s="256"/>
      <c r="DG29409" s="256"/>
    </row>
    <row r="29410" spans="104:111">
      <c r="CZ29410" s="256"/>
      <c r="DG29410" s="256"/>
    </row>
    <row r="29411" spans="104:111">
      <c r="CZ29411" s="256"/>
      <c r="DG29411" s="256"/>
    </row>
    <row r="29412" spans="104:111">
      <c r="CZ29412" s="256"/>
      <c r="DG29412" s="256"/>
    </row>
    <row r="29413" spans="104:111">
      <c r="CZ29413" s="256"/>
      <c r="DG29413" s="256"/>
    </row>
    <row r="29414" spans="104:111">
      <c r="CZ29414" s="256"/>
      <c r="DG29414" s="256"/>
    </row>
    <row r="29415" spans="104:111">
      <c r="CZ29415" s="256"/>
      <c r="DG29415" s="256"/>
    </row>
    <row r="29416" spans="104:111">
      <c r="CZ29416" s="256"/>
      <c r="DG29416" s="256"/>
    </row>
    <row r="29417" spans="104:111">
      <c r="CZ29417" s="256"/>
      <c r="DG29417" s="256"/>
    </row>
    <row r="29418" spans="104:111">
      <c r="CZ29418" s="256"/>
      <c r="DG29418" s="256"/>
    </row>
    <row r="29419" spans="104:111">
      <c r="CZ29419" s="256"/>
      <c r="DG29419" s="256"/>
    </row>
    <row r="29420" spans="104:111">
      <c r="CZ29420" s="256"/>
      <c r="DG29420" s="256"/>
    </row>
    <row r="29421" spans="104:111">
      <c r="CZ29421" s="256"/>
      <c r="DG29421" s="256"/>
    </row>
    <row r="29422" spans="104:111">
      <c r="CZ29422" s="256"/>
      <c r="DG29422" s="256"/>
    </row>
    <row r="29423" spans="104:111">
      <c r="CZ29423" s="256"/>
      <c r="DG29423" s="256"/>
    </row>
    <row r="29424" spans="104:111">
      <c r="CZ29424" s="256"/>
      <c r="DG29424" s="256"/>
    </row>
    <row r="29425" spans="104:111">
      <c r="CZ29425" s="256"/>
      <c r="DG29425" s="256"/>
    </row>
    <row r="29426" spans="104:111">
      <c r="CZ29426" s="256"/>
      <c r="DG29426" s="256"/>
    </row>
    <row r="29427" spans="104:111">
      <c r="CZ29427" s="256"/>
      <c r="DG29427" s="256"/>
    </row>
    <row r="29428" spans="104:111">
      <c r="CZ29428" s="256"/>
      <c r="DG29428" s="256"/>
    </row>
    <row r="29429" spans="104:111">
      <c r="CZ29429" s="256"/>
      <c r="DG29429" s="256"/>
    </row>
    <row r="29430" spans="104:111">
      <c r="CZ29430" s="256"/>
      <c r="DG29430" s="256"/>
    </row>
    <row r="29431" spans="104:111">
      <c r="CZ29431" s="256"/>
      <c r="DG29431" s="256"/>
    </row>
    <row r="29432" spans="104:111">
      <c r="CZ29432" s="256"/>
      <c r="DG29432" s="256"/>
    </row>
    <row r="29433" spans="104:111">
      <c r="CZ29433" s="256"/>
      <c r="DG29433" s="256"/>
    </row>
    <row r="29434" spans="104:111">
      <c r="CZ29434" s="256"/>
      <c r="DG29434" s="256"/>
    </row>
    <row r="29435" spans="104:111">
      <c r="CZ29435" s="256"/>
      <c r="DG29435" s="256"/>
    </row>
    <row r="29436" spans="104:111">
      <c r="CZ29436" s="256"/>
      <c r="DG29436" s="256"/>
    </row>
    <row r="29437" spans="104:111">
      <c r="CZ29437" s="256"/>
      <c r="DG29437" s="256"/>
    </row>
    <row r="29438" spans="104:111">
      <c r="CZ29438" s="256"/>
      <c r="DG29438" s="256"/>
    </row>
    <row r="29439" spans="104:111">
      <c r="CZ29439" s="256"/>
      <c r="DG29439" s="256"/>
    </row>
    <row r="29440" spans="104:111">
      <c r="CZ29440" s="256"/>
      <c r="DG29440" s="256"/>
    </row>
    <row r="29441" spans="104:111">
      <c r="CZ29441" s="256"/>
      <c r="DG29441" s="256"/>
    </row>
    <row r="29442" spans="104:111">
      <c r="CZ29442" s="256"/>
      <c r="DG29442" s="256"/>
    </row>
    <row r="29443" spans="104:111">
      <c r="CZ29443" s="256"/>
      <c r="DG29443" s="256"/>
    </row>
    <row r="29444" spans="104:111">
      <c r="CZ29444" s="256"/>
      <c r="DG29444" s="256"/>
    </row>
    <row r="29445" spans="104:111">
      <c r="CZ29445" s="256"/>
      <c r="DG29445" s="256"/>
    </row>
    <row r="29446" spans="104:111">
      <c r="CZ29446" s="256"/>
      <c r="DG29446" s="256"/>
    </row>
    <row r="29447" spans="104:111">
      <c r="CZ29447" s="256"/>
      <c r="DG29447" s="256"/>
    </row>
    <row r="29448" spans="104:111">
      <c r="CZ29448" s="256"/>
      <c r="DG29448" s="256"/>
    </row>
    <row r="29449" spans="104:111">
      <c r="CZ29449" s="256"/>
      <c r="DG29449" s="256"/>
    </row>
    <row r="29450" spans="104:111">
      <c r="CZ29450" s="256"/>
      <c r="DG29450" s="256"/>
    </row>
    <row r="29451" spans="104:111">
      <c r="CZ29451" s="256"/>
      <c r="DG29451" s="256"/>
    </row>
    <row r="29452" spans="104:111">
      <c r="CZ29452" s="256"/>
      <c r="DG29452" s="256"/>
    </row>
    <row r="29453" spans="104:111">
      <c r="CZ29453" s="256"/>
      <c r="DG29453" s="256"/>
    </row>
    <row r="29454" spans="104:111">
      <c r="CZ29454" s="256"/>
      <c r="DG29454" s="256"/>
    </row>
    <row r="29455" spans="104:111">
      <c r="CZ29455" s="256"/>
      <c r="DG29455" s="256"/>
    </row>
    <row r="29456" spans="104:111">
      <c r="CZ29456" s="256"/>
      <c r="DG29456" s="256"/>
    </row>
    <row r="29457" spans="104:111">
      <c r="CZ29457" s="256"/>
      <c r="DG29457" s="256"/>
    </row>
    <row r="29458" spans="104:111">
      <c r="CZ29458" s="256"/>
      <c r="DG29458" s="256"/>
    </row>
    <row r="29459" spans="104:111">
      <c r="CZ29459" s="256"/>
      <c r="DG29459" s="256"/>
    </row>
    <row r="29460" spans="104:111">
      <c r="CZ29460" s="256"/>
      <c r="DG29460" s="256"/>
    </row>
    <row r="29461" spans="104:111">
      <c r="CZ29461" s="256"/>
      <c r="DG29461" s="256"/>
    </row>
    <row r="29462" spans="104:111">
      <c r="CZ29462" s="256"/>
      <c r="DG29462" s="256"/>
    </row>
    <row r="29463" spans="104:111">
      <c r="CZ29463" s="256"/>
      <c r="DG29463" s="256"/>
    </row>
    <row r="29464" spans="104:111">
      <c r="CZ29464" s="256"/>
      <c r="DG29464" s="256"/>
    </row>
    <row r="29465" spans="104:111">
      <c r="CZ29465" s="256"/>
      <c r="DG29465" s="256"/>
    </row>
    <row r="29466" spans="104:111">
      <c r="CZ29466" s="256"/>
      <c r="DG29466" s="256"/>
    </row>
    <row r="29467" spans="104:111">
      <c r="CZ29467" s="256"/>
      <c r="DG29467" s="256"/>
    </row>
    <row r="29468" spans="104:111">
      <c r="CZ29468" s="256"/>
      <c r="DG29468" s="256"/>
    </row>
    <row r="29469" spans="104:111">
      <c r="CZ29469" s="256"/>
      <c r="DG29469" s="256"/>
    </row>
    <row r="29470" spans="104:111">
      <c r="CZ29470" s="256"/>
      <c r="DG29470" s="256"/>
    </row>
    <row r="29471" spans="104:111">
      <c r="CZ29471" s="256"/>
      <c r="DG29471" s="256"/>
    </row>
    <row r="29472" spans="104:111">
      <c r="CZ29472" s="256"/>
      <c r="DG29472" s="256"/>
    </row>
    <row r="29473" spans="104:111">
      <c r="CZ29473" s="256"/>
      <c r="DG29473" s="256"/>
    </row>
    <row r="29474" spans="104:111">
      <c r="CZ29474" s="256"/>
      <c r="DG29474" s="256"/>
    </row>
    <row r="29475" spans="104:111">
      <c r="CZ29475" s="256"/>
      <c r="DG29475" s="256"/>
    </row>
    <row r="29476" spans="104:111">
      <c r="CZ29476" s="256"/>
      <c r="DG29476" s="256"/>
    </row>
    <row r="29477" spans="104:111">
      <c r="CZ29477" s="256"/>
      <c r="DG29477" s="256"/>
    </row>
    <row r="29478" spans="104:111">
      <c r="CZ29478" s="256"/>
      <c r="DG29478" s="256"/>
    </row>
    <row r="29479" spans="104:111">
      <c r="CZ29479" s="256"/>
      <c r="DG29479" s="256"/>
    </row>
    <row r="29480" spans="104:111">
      <c r="CZ29480" s="256"/>
      <c r="DG29480" s="256"/>
    </row>
    <row r="29481" spans="104:111">
      <c r="CZ29481" s="256"/>
      <c r="DG29481" s="256"/>
    </row>
    <row r="29482" spans="104:111">
      <c r="CZ29482" s="256"/>
      <c r="DG29482" s="256"/>
    </row>
    <row r="29483" spans="104:111">
      <c r="CZ29483" s="256"/>
      <c r="DG29483" s="256"/>
    </row>
    <row r="29484" spans="104:111">
      <c r="CZ29484" s="256"/>
      <c r="DG29484" s="256"/>
    </row>
    <row r="29485" spans="104:111">
      <c r="CZ29485" s="256"/>
      <c r="DG29485" s="256"/>
    </row>
    <row r="29486" spans="104:111">
      <c r="CZ29486" s="256"/>
      <c r="DG29486" s="256"/>
    </row>
    <row r="29487" spans="104:111">
      <c r="CZ29487" s="256"/>
      <c r="DG29487" s="256"/>
    </row>
    <row r="29488" spans="104:111">
      <c r="CZ29488" s="256"/>
      <c r="DG29488" s="256"/>
    </row>
    <row r="29489" spans="104:111">
      <c r="CZ29489" s="256"/>
      <c r="DG29489" s="256"/>
    </row>
    <row r="29490" spans="104:111">
      <c r="CZ29490" s="256"/>
      <c r="DG29490" s="256"/>
    </row>
    <row r="29491" spans="104:111">
      <c r="CZ29491" s="256"/>
      <c r="DG29491" s="256"/>
    </row>
    <row r="29492" spans="104:111">
      <c r="CZ29492" s="256"/>
      <c r="DG29492" s="256"/>
    </row>
    <row r="29493" spans="104:111">
      <c r="CZ29493" s="256"/>
      <c r="DG29493" s="256"/>
    </row>
    <row r="29494" spans="104:111">
      <c r="CZ29494" s="256"/>
      <c r="DG29494" s="256"/>
    </row>
    <row r="29495" spans="104:111">
      <c r="CZ29495" s="256"/>
      <c r="DG29495" s="256"/>
    </row>
    <row r="29496" spans="104:111">
      <c r="CZ29496" s="256"/>
      <c r="DG29496" s="256"/>
    </row>
    <row r="29497" spans="104:111">
      <c r="CZ29497" s="256"/>
      <c r="DG29497" s="256"/>
    </row>
    <row r="29498" spans="104:111">
      <c r="CZ29498" s="256"/>
      <c r="DG29498" s="256"/>
    </row>
    <row r="29499" spans="104:111">
      <c r="CZ29499" s="256"/>
      <c r="DG29499" s="256"/>
    </row>
    <row r="29500" spans="104:111">
      <c r="CZ29500" s="256"/>
      <c r="DG29500" s="256"/>
    </row>
    <row r="29501" spans="104:111">
      <c r="CZ29501" s="256"/>
      <c r="DG29501" s="256"/>
    </row>
    <row r="29502" spans="104:111">
      <c r="CZ29502" s="256"/>
      <c r="DG29502" s="256"/>
    </row>
    <row r="29503" spans="104:111">
      <c r="CZ29503" s="256"/>
      <c r="DG29503" s="256"/>
    </row>
    <row r="29504" spans="104:111">
      <c r="CZ29504" s="256"/>
      <c r="DG29504" s="256"/>
    </row>
    <row r="29505" spans="104:111">
      <c r="CZ29505" s="256"/>
      <c r="DG29505" s="256"/>
    </row>
    <row r="29506" spans="104:111">
      <c r="CZ29506" s="256"/>
      <c r="DG29506" s="256"/>
    </row>
    <row r="29507" spans="104:111">
      <c r="CZ29507" s="256"/>
      <c r="DG29507" s="256"/>
    </row>
    <row r="29508" spans="104:111">
      <c r="CZ29508" s="256"/>
      <c r="DG29508" s="256"/>
    </row>
    <row r="29509" spans="104:111">
      <c r="CZ29509" s="256"/>
      <c r="DG29509" s="256"/>
    </row>
    <row r="29510" spans="104:111">
      <c r="CZ29510" s="256"/>
      <c r="DG29510" s="256"/>
    </row>
    <row r="29511" spans="104:111">
      <c r="CZ29511" s="256"/>
      <c r="DG29511" s="256"/>
    </row>
    <row r="29512" spans="104:111">
      <c r="CZ29512" s="256"/>
      <c r="DG29512" s="256"/>
    </row>
    <row r="29513" spans="104:111">
      <c r="CZ29513" s="256"/>
      <c r="DG29513" s="256"/>
    </row>
    <row r="29514" spans="104:111">
      <c r="CZ29514" s="256"/>
      <c r="DG29514" s="256"/>
    </row>
    <row r="29515" spans="104:111">
      <c r="CZ29515" s="256"/>
      <c r="DG29515" s="256"/>
    </row>
    <row r="29516" spans="104:111">
      <c r="CZ29516" s="256"/>
      <c r="DG29516" s="256"/>
    </row>
    <row r="29517" spans="104:111">
      <c r="CZ29517" s="256"/>
      <c r="DG29517" s="256"/>
    </row>
    <row r="29518" spans="104:111">
      <c r="CZ29518" s="256"/>
      <c r="DG29518" s="256"/>
    </row>
    <row r="29519" spans="104:111">
      <c r="CZ29519" s="256"/>
      <c r="DG29519" s="256"/>
    </row>
    <row r="29520" spans="104:111">
      <c r="CZ29520" s="256"/>
      <c r="DG29520" s="256"/>
    </row>
    <row r="29521" spans="104:111">
      <c r="CZ29521" s="256"/>
      <c r="DG29521" s="256"/>
    </row>
    <row r="29522" spans="104:111">
      <c r="CZ29522" s="256"/>
      <c r="DG29522" s="256"/>
    </row>
    <row r="29523" spans="104:111">
      <c r="CZ29523" s="256"/>
      <c r="DG29523" s="256"/>
    </row>
    <row r="29524" spans="104:111">
      <c r="CZ29524" s="256"/>
      <c r="DG29524" s="256"/>
    </row>
    <row r="29525" spans="104:111">
      <c r="CZ29525" s="256"/>
      <c r="DG29525" s="256"/>
    </row>
    <row r="29526" spans="104:111">
      <c r="CZ29526" s="256"/>
      <c r="DG29526" s="256"/>
    </row>
    <row r="29527" spans="104:111">
      <c r="CZ29527" s="256"/>
      <c r="DG29527" s="256"/>
    </row>
    <row r="29528" spans="104:111">
      <c r="CZ29528" s="256"/>
      <c r="DG29528" s="256"/>
    </row>
    <row r="29529" spans="104:111">
      <c r="CZ29529" s="256"/>
      <c r="DG29529" s="256"/>
    </row>
    <row r="29530" spans="104:111">
      <c r="CZ29530" s="256"/>
      <c r="DG29530" s="256"/>
    </row>
    <row r="29531" spans="104:111">
      <c r="CZ29531" s="256"/>
      <c r="DG29531" s="256"/>
    </row>
    <row r="29532" spans="104:111">
      <c r="CZ29532" s="256"/>
      <c r="DG29532" s="256"/>
    </row>
    <row r="29533" spans="104:111">
      <c r="CZ29533" s="256"/>
      <c r="DG29533" s="256"/>
    </row>
    <row r="29534" spans="104:111">
      <c r="CZ29534" s="256"/>
      <c r="DG29534" s="256"/>
    </row>
    <row r="29535" spans="104:111">
      <c r="CZ29535" s="256"/>
      <c r="DG29535" s="256"/>
    </row>
    <row r="29536" spans="104:111">
      <c r="CZ29536" s="256"/>
      <c r="DG29536" s="256"/>
    </row>
    <row r="29537" spans="104:111">
      <c r="CZ29537" s="256"/>
      <c r="DG29537" s="256"/>
    </row>
    <row r="29538" spans="104:111">
      <c r="CZ29538" s="256"/>
      <c r="DG29538" s="256"/>
    </row>
    <row r="29539" spans="104:111">
      <c r="CZ29539" s="256"/>
      <c r="DG29539" s="256"/>
    </row>
    <row r="29540" spans="104:111">
      <c r="CZ29540" s="256"/>
      <c r="DG29540" s="256"/>
    </row>
    <row r="29541" spans="104:111">
      <c r="CZ29541" s="256"/>
      <c r="DG29541" s="256"/>
    </row>
    <row r="29542" spans="104:111">
      <c r="CZ29542" s="256"/>
      <c r="DG29542" s="256"/>
    </row>
    <row r="29543" spans="104:111">
      <c r="CZ29543" s="256"/>
      <c r="DG29543" s="256"/>
    </row>
    <row r="29544" spans="104:111">
      <c r="CZ29544" s="256"/>
      <c r="DG29544" s="256"/>
    </row>
    <row r="29545" spans="104:111">
      <c r="CZ29545" s="256"/>
      <c r="DG29545" s="256"/>
    </row>
    <row r="29546" spans="104:111">
      <c r="CZ29546" s="256"/>
      <c r="DG29546" s="256"/>
    </row>
    <row r="29547" spans="104:111">
      <c r="CZ29547" s="256"/>
      <c r="DG29547" s="256"/>
    </row>
    <row r="29548" spans="104:111">
      <c r="CZ29548" s="256"/>
      <c r="DG29548" s="256"/>
    </row>
    <row r="29549" spans="104:111">
      <c r="CZ29549" s="256"/>
      <c r="DG29549" s="256"/>
    </row>
    <row r="29550" spans="104:111">
      <c r="CZ29550" s="256"/>
      <c r="DG29550" s="256"/>
    </row>
    <row r="29551" spans="104:111">
      <c r="CZ29551" s="256"/>
      <c r="DG29551" s="256"/>
    </row>
    <row r="29552" spans="104:111">
      <c r="CZ29552" s="256"/>
      <c r="DG29552" s="256"/>
    </row>
    <row r="29553" spans="104:111">
      <c r="CZ29553" s="256"/>
      <c r="DG29553" s="256"/>
    </row>
    <row r="29554" spans="104:111">
      <c r="CZ29554" s="256"/>
      <c r="DG29554" s="256"/>
    </row>
    <row r="29555" spans="104:111">
      <c r="CZ29555" s="256"/>
      <c r="DG29555" s="256"/>
    </row>
    <row r="29556" spans="104:111">
      <c r="CZ29556" s="256"/>
      <c r="DG29556" s="256"/>
    </row>
    <row r="29557" spans="104:111">
      <c r="CZ29557" s="256"/>
      <c r="DG29557" s="256"/>
    </row>
    <row r="29558" spans="104:111">
      <c r="CZ29558" s="256"/>
      <c r="DG29558" s="256"/>
    </row>
    <row r="29559" spans="104:111">
      <c r="CZ29559" s="256"/>
      <c r="DG29559" s="256"/>
    </row>
    <row r="29560" spans="104:111">
      <c r="CZ29560" s="256"/>
      <c r="DG29560" s="256"/>
    </row>
    <row r="29561" spans="104:111">
      <c r="CZ29561" s="256"/>
      <c r="DG29561" s="256"/>
    </row>
    <row r="29562" spans="104:111">
      <c r="CZ29562" s="256"/>
      <c r="DG29562" s="256"/>
    </row>
    <row r="29563" spans="104:111">
      <c r="CZ29563" s="256"/>
      <c r="DG29563" s="256"/>
    </row>
    <row r="29564" spans="104:111">
      <c r="CZ29564" s="256"/>
      <c r="DG29564" s="256"/>
    </row>
    <row r="29565" spans="104:111">
      <c r="CZ29565" s="256"/>
      <c r="DG29565" s="256"/>
    </row>
    <row r="29566" spans="104:111">
      <c r="CZ29566" s="256"/>
      <c r="DG29566" s="256"/>
    </row>
    <row r="29567" spans="104:111">
      <c r="CZ29567" s="256"/>
      <c r="DG29567" s="256"/>
    </row>
    <row r="29568" spans="104:111">
      <c r="CZ29568" s="256"/>
      <c r="DG29568" s="256"/>
    </row>
    <row r="29569" spans="104:111">
      <c r="CZ29569" s="256"/>
      <c r="DG29569" s="256"/>
    </row>
    <row r="29570" spans="104:111">
      <c r="CZ29570" s="256"/>
      <c r="DG29570" s="256"/>
    </row>
    <row r="29571" spans="104:111">
      <c r="CZ29571" s="256"/>
      <c r="DG29571" s="256"/>
    </row>
    <row r="29572" spans="104:111">
      <c r="CZ29572" s="256"/>
      <c r="DG29572" s="256"/>
    </row>
    <row r="29573" spans="104:111">
      <c r="CZ29573" s="256"/>
      <c r="DG29573" s="256"/>
    </row>
    <row r="29574" spans="104:111">
      <c r="CZ29574" s="256"/>
      <c r="DG29574" s="256"/>
    </row>
    <row r="29575" spans="104:111">
      <c r="CZ29575" s="256"/>
      <c r="DG29575" s="256"/>
    </row>
    <row r="29576" spans="104:111">
      <c r="CZ29576" s="256"/>
      <c r="DG29576" s="256"/>
    </row>
    <row r="29577" spans="104:111">
      <c r="CZ29577" s="256"/>
      <c r="DG29577" s="256"/>
    </row>
    <row r="29578" spans="104:111">
      <c r="CZ29578" s="256"/>
      <c r="DG29578" s="256"/>
    </row>
    <row r="29579" spans="104:111">
      <c r="CZ29579" s="256"/>
      <c r="DG29579" s="256"/>
    </row>
    <row r="29580" spans="104:111">
      <c r="CZ29580" s="256"/>
      <c r="DG29580" s="256"/>
    </row>
    <row r="29581" spans="104:111">
      <c r="CZ29581" s="256"/>
      <c r="DG29581" s="256"/>
    </row>
    <row r="29582" spans="104:111">
      <c r="CZ29582" s="256"/>
      <c r="DG29582" s="256"/>
    </row>
    <row r="29583" spans="104:111">
      <c r="CZ29583" s="256"/>
      <c r="DG29583" s="256"/>
    </row>
    <row r="29584" spans="104:111">
      <c r="CZ29584" s="256"/>
      <c r="DG29584" s="256"/>
    </row>
    <row r="29585" spans="104:111">
      <c r="CZ29585" s="256"/>
      <c r="DG29585" s="256"/>
    </row>
    <row r="29586" spans="104:111">
      <c r="CZ29586" s="256"/>
      <c r="DG29586" s="256"/>
    </row>
    <row r="29587" spans="104:111">
      <c r="CZ29587" s="256"/>
      <c r="DG29587" s="256"/>
    </row>
    <row r="29588" spans="104:111">
      <c r="CZ29588" s="256"/>
      <c r="DG29588" s="256"/>
    </row>
    <row r="29589" spans="104:111">
      <c r="CZ29589" s="256"/>
      <c r="DG29589" s="256"/>
    </row>
    <row r="29590" spans="104:111">
      <c r="CZ29590" s="256"/>
      <c r="DG29590" s="256"/>
    </row>
    <row r="29591" spans="104:111">
      <c r="CZ29591" s="256"/>
      <c r="DG29591" s="256"/>
    </row>
    <row r="29592" spans="104:111">
      <c r="CZ29592" s="256"/>
      <c r="DG29592" s="256"/>
    </row>
    <row r="29593" spans="104:111">
      <c r="CZ29593" s="256"/>
      <c r="DG29593" s="256"/>
    </row>
    <row r="29594" spans="104:111">
      <c r="CZ29594" s="256"/>
      <c r="DG29594" s="256"/>
    </row>
    <row r="29595" spans="104:111">
      <c r="CZ29595" s="256"/>
      <c r="DG29595" s="256"/>
    </row>
    <row r="29596" spans="104:111">
      <c r="CZ29596" s="256"/>
      <c r="DG29596" s="256"/>
    </row>
    <row r="29597" spans="104:111">
      <c r="CZ29597" s="256"/>
      <c r="DG29597" s="256"/>
    </row>
    <row r="29598" spans="104:111">
      <c r="CZ29598" s="256"/>
      <c r="DG29598" s="256"/>
    </row>
    <row r="29599" spans="104:111">
      <c r="CZ29599" s="256"/>
      <c r="DG29599" s="256"/>
    </row>
    <row r="29600" spans="104:111">
      <c r="CZ29600" s="256"/>
      <c r="DG29600" s="256"/>
    </row>
    <row r="29601" spans="104:111">
      <c r="CZ29601" s="256"/>
      <c r="DG29601" s="256"/>
    </row>
    <row r="29602" spans="104:111">
      <c r="CZ29602" s="256"/>
      <c r="DG29602" s="256"/>
    </row>
    <row r="29603" spans="104:111">
      <c r="CZ29603" s="256"/>
      <c r="DG29603" s="256"/>
    </row>
    <row r="29604" spans="104:111">
      <c r="CZ29604" s="256"/>
      <c r="DG29604" s="256"/>
    </row>
    <row r="29605" spans="104:111">
      <c r="CZ29605" s="256"/>
      <c r="DG29605" s="256"/>
    </row>
    <row r="29606" spans="104:111">
      <c r="CZ29606" s="256"/>
      <c r="DG29606" s="256"/>
    </row>
    <row r="29607" spans="104:111">
      <c r="CZ29607" s="256"/>
      <c r="DG29607" s="256"/>
    </row>
    <row r="29608" spans="104:111">
      <c r="CZ29608" s="256"/>
      <c r="DG29608" s="256"/>
    </row>
    <row r="29609" spans="104:111">
      <c r="CZ29609" s="256"/>
      <c r="DG29609" s="256"/>
    </row>
    <row r="29610" spans="104:111">
      <c r="CZ29610" s="256"/>
      <c r="DG29610" s="256"/>
    </row>
    <row r="29611" spans="104:111">
      <c r="CZ29611" s="256"/>
      <c r="DG29611" s="256"/>
    </row>
    <row r="29612" spans="104:111">
      <c r="CZ29612" s="256"/>
      <c r="DG29612" s="256"/>
    </row>
    <row r="29613" spans="104:111">
      <c r="CZ29613" s="256"/>
      <c r="DG29613" s="256"/>
    </row>
    <row r="29614" spans="104:111">
      <c r="CZ29614" s="256"/>
      <c r="DG29614" s="256"/>
    </row>
    <row r="29615" spans="104:111">
      <c r="CZ29615" s="256"/>
      <c r="DG29615" s="256"/>
    </row>
    <row r="29616" spans="104:111">
      <c r="CZ29616" s="256"/>
      <c r="DG29616" s="256"/>
    </row>
    <row r="29617" spans="104:111">
      <c r="CZ29617" s="256"/>
      <c r="DG29617" s="256"/>
    </row>
    <row r="29618" spans="104:111">
      <c r="CZ29618" s="256"/>
      <c r="DG29618" s="256"/>
    </row>
    <row r="29619" spans="104:111">
      <c r="CZ29619" s="256"/>
      <c r="DG29619" s="256"/>
    </row>
    <row r="29620" spans="104:111">
      <c r="CZ29620" s="256"/>
      <c r="DG29620" s="256"/>
    </row>
    <row r="29621" spans="104:111">
      <c r="CZ29621" s="256"/>
      <c r="DG29621" s="256"/>
    </row>
    <row r="29622" spans="104:111">
      <c r="CZ29622" s="256"/>
      <c r="DG29622" s="256"/>
    </row>
    <row r="29623" spans="104:111">
      <c r="CZ29623" s="256"/>
      <c r="DG29623" s="256"/>
    </row>
    <row r="29624" spans="104:111">
      <c r="CZ29624" s="256"/>
      <c r="DG29624" s="256"/>
    </row>
    <row r="29625" spans="104:111">
      <c r="CZ29625" s="256"/>
      <c r="DG29625" s="256"/>
    </row>
    <row r="29626" spans="104:111">
      <c r="CZ29626" s="256"/>
      <c r="DG29626" s="256"/>
    </row>
    <row r="29627" spans="104:111">
      <c r="CZ29627" s="256"/>
      <c r="DG29627" s="256"/>
    </row>
    <row r="29628" spans="104:111">
      <c r="CZ29628" s="256"/>
      <c r="DG29628" s="256"/>
    </row>
    <row r="29629" spans="104:111">
      <c r="CZ29629" s="256"/>
      <c r="DG29629" s="256"/>
    </row>
    <row r="29630" spans="104:111">
      <c r="CZ29630" s="256"/>
      <c r="DG29630" s="256"/>
    </row>
    <row r="29631" spans="104:111">
      <c r="CZ29631" s="256"/>
      <c r="DG29631" s="256"/>
    </row>
    <row r="29632" spans="104:111">
      <c r="CZ29632" s="256"/>
      <c r="DG29632" s="256"/>
    </row>
    <row r="29633" spans="104:111">
      <c r="CZ29633" s="256"/>
      <c r="DG29633" s="256"/>
    </row>
    <row r="29634" spans="104:111">
      <c r="CZ29634" s="256"/>
      <c r="DG29634" s="256"/>
    </row>
    <row r="29635" spans="104:111">
      <c r="CZ29635" s="256"/>
      <c r="DG29635" s="256"/>
    </row>
    <row r="29636" spans="104:111">
      <c r="CZ29636" s="256"/>
      <c r="DG29636" s="256"/>
    </row>
    <row r="29637" spans="104:111">
      <c r="CZ29637" s="256"/>
      <c r="DG29637" s="256"/>
    </row>
    <row r="29638" spans="104:111">
      <c r="CZ29638" s="256"/>
      <c r="DG29638" s="256"/>
    </row>
    <row r="29639" spans="104:111">
      <c r="CZ29639" s="256"/>
      <c r="DG29639" s="256"/>
    </row>
    <row r="29640" spans="104:111">
      <c r="CZ29640" s="256"/>
      <c r="DG29640" s="256"/>
    </row>
    <row r="29641" spans="104:111">
      <c r="CZ29641" s="256"/>
      <c r="DG29641" s="256"/>
    </row>
    <row r="29642" spans="104:111">
      <c r="CZ29642" s="256"/>
      <c r="DG29642" s="256"/>
    </row>
    <row r="29643" spans="104:111">
      <c r="CZ29643" s="256"/>
      <c r="DG29643" s="256"/>
    </row>
    <row r="29644" spans="104:111">
      <c r="CZ29644" s="256"/>
      <c r="DG29644" s="256"/>
    </row>
    <row r="29645" spans="104:111">
      <c r="CZ29645" s="256"/>
      <c r="DG29645" s="256"/>
    </row>
    <row r="29646" spans="104:111">
      <c r="CZ29646" s="256"/>
      <c r="DG29646" s="256"/>
    </row>
    <row r="29647" spans="104:111">
      <c r="CZ29647" s="256"/>
      <c r="DG29647" s="256"/>
    </row>
    <row r="29648" spans="104:111">
      <c r="CZ29648" s="256"/>
      <c r="DG29648" s="256"/>
    </row>
    <row r="29649" spans="104:111">
      <c r="CZ29649" s="256"/>
      <c r="DG29649" s="256"/>
    </row>
    <row r="29650" spans="104:111">
      <c r="CZ29650" s="256"/>
      <c r="DG29650" s="256"/>
    </row>
    <row r="29651" spans="104:111">
      <c r="CZ29651" s="256"/>
      <c r="DG29651" s="256"/>
    </row>
    <row r="29652" spans="104:111">
      <c r="CZ29652" s="256"/>
      <c r="DG29652" s="256"/>
    </row>
    <row r="29653" spans="104:111">
      <c r="CZ29653" s="256"/>
      <c r="DG29653" s="256"/>
    </row>
    <row r="29654" spans="104:111">
      <c r="CZ29654" s="256"/>
      <c r="DG29654" s="256"/>
    </row>
    <row r="29655" spans="104:111">
      <c r="CZ29655" s="256"/>
      <c r="DG29655" s="256"/>
    </row>
    <row r="29656" spans="104:111">
      <c r="CZ29656" s="256"/>
      <c r="DG29656" s="256"/>
    </row>
    <row r="29657" spans="104:111">
      <c r="CZ29657" s="256"/>
      <c r="DG29657" s="256"/>
    </row>
    <row r="29658" spans="104:111">
      <c r="CZ29658" s="256"/>
      <c r="DG29658" s="256"/>
    </row>
    <row r="29659" spans="104:111">
      <c r="CZ29659" s="256"/>
      <c r="DG29659" s="256"/>
    </row>
    <row r="29660" spans="104:111">
      <c r="CZ29660" s="256"/>
      <c r="DG29660" s="256"/>
    </row>
    <row r="29661" spans="104:111">
      <c r="CZ29661" s="256"/>
      <c r="DG29661" s="256"/>
    </row>
    <row r="29662" spans="104:111">
      <c r="CZ29662" s="256"/>
      <c r="DG29662" s="256"/>
    </row>
    <row r="29663" spans="104:111">
      <c r="CZ29663" s="256"/>
      <c r="DG29663" s="256"/>
    </row>
    <row r="29664" spans="104:111">
      <c r="CZ29664" s="256"/>
      <c r="DG29664" s="256"/>
    </row>
    <row r="29665" spans="104:111">
      <c r="CZ29665" s="256"/>
      <c r="DG29665" s="256"/>
    </row>
    <row r="29666" spans="104:111">
      <c r="CZ29666" s="256"/>
      <c r="DG29666" s="256"/>
    </row>
    <row r="29667" spans="104:111">
      <c r="CZ29667" s="256"/>
      <c r="DG29667" s="256"/>
    </row>
    <row r="29668" spans="104:111">
      <c r="CZ29668" s="256"/>
      <c r="DG29668" s="256"/>
    </row>
    <row r="29669" spans="104:111">
      <c r="CZ29669" s="256"/>
      <c r="DG29669" s="256"/>
    </row>
    <row r="29670" spans="104:111">
      <c r="CZ29670" s="256"/>
      <c r="DG29670" s="256"/>
    </row>
    <row r="29671" spans="104:111">
      <c r="CZ29671" s="256"/>
      <c r="DG29671" s="256"/>
    </row>
    <row r="29672" spans="104:111">
      <c r="CZ29672" s="256"/>
      <c r="DG29672" s="256"/>
    </row>
    <row r="29673" spans="104:111">
      <c r="CZ29673" s="256"/>
      <c r="DG29673" s="256"/>
    </row>
    <row r="29674" spans="104:111">
      <c r="CZ29674" s="256"/>
      <c r="DG29674" s="256"/>
    </row>
    <row r="29675" spans="104:111">
      <c r="CZ29675" s="256"/>
      <c r="DG29675" s="256"/>
    </row>
    <row r="29676" spans="104:111">
      <c r="CZ29676" s="256"/>
      <c r="DG29676" s="256"/>
    </row>
    <row r="29677" spans="104:111">
      <c r="CZ29677" s="256"/>
      <c r="DG29677" s="256"/>
    </row>
    <row r="29678" spans="104:111">
      <c r="CZ29678" s="256"/>
      <c r="DG29678" s="256"/>
    </row>
    <row r="29679" spans="104:111">
      <c r="CZ29679" s="256"/>
      <c r="DG29679" s="256"/>
    </row>
    <row r="29680" spans="104:111">
      <c r="CZ29680" s="256"/>
      <c r="DG29680" s="256"/>
    </row>
    <row r="29681" spans="104:111">
      <c r="CZ29681" s="256"/>
      <c r="DG29681" s="256"/>
    </row>
    <row r="29682" spans="104:111">
      <c r="CZ29682" s="256"/>
      <c r="DG29682" s="256"/>
    </row>
    <row r="29683" spans="104:111">
      <c r="CZ29683" s="256"/>
      <c r="DG29683" s="256"/>
    </row>
    <row r="29684" spans="104:111">
      <c r="CZ29684" s="256"/>
      <c r="DG29684" s="256"/>
    </row>
    <row r="29685" spans="104:111">
      <c r="CZ29685" s="256"/>
      <c r="DG29685" s="256"/>
    </row>
    <row r="29686" spans="104:111">
      <c r="CZ29686" s="256"/>
      <c r="DG29686" s="256"/>
    </row>
    <row r="29687" spans="104:111">
      <c r="CZ29687" s="256"/>
      <c r="DG29687" s="256"/>
    </row>
    <row r="29688" spans="104:111">
      <c r="CZ29688" s="256"/>
      <c r="DG29688" s="256"/>
    </row>
    <row r="29689" spans="104:111">
      <c r="CZ29689" s="256"/>
      <c r="DG29689" s="256"/>
    </row>
    <row r="29690" spans="104:111">
      <c r="CZ29690" s="256"/>
      <c r="DG29690" s="256"/>
    </row>
    <row r="29691" spans="104:111">
      <c r="CZ29691" s="256"/>
      <c r="DG29691" s="256"/>
    </row>
    <row r="29692" spans="104:111">
      <c r="CZ29692" s="256"/>
      <c r="DG29692" s="256"/>
    </row>
    <row r="29693" spans="104:111">
      <c r="CZ29693" s="256"/>
      <c r="DG29693" s="256"/>
    </row>
    <row r="29694" spans="104:111">
      <c r="CZ29694" s="256"/>
      <c r="DG29694" s="256"/>
    </row>
    <row r="29695" spans="104:111">
      <c r="CZ29695" s="256"/>
      <c r="DG29695" s="256"/>
    </row>
    <row r="29696" spans="104:111">
      <c r="CZ29696" s="256"/>
      <c r="DG29696" s="256"/>
    </row>
    <row r="29697" spans="104:111">
      <c r="CZ29697" s="256"/>
      <c r="DG29697" s="256"/>
    </row>
    <row r="29698" spans="104:111">
      <c r="CZ29698" s="256"/>
      <c r="DG29698" s="256"/>
    </row>
    <row r="29699" spans="104:111">
      <c r="CZ29699" s="256"/>
      <c r="DG29699" s="256"/>
    </row>
    <row r="29700" spans="104:111">
      <c r="CZ29700" s="256"/>
      <c r="DG29700" s="256"/>
    </row>
    <row r="29701" spans="104:111">
      <c r="CZ29701" s="256"/>
      <c r="DG29701" s="256"/>
    </row>
    <row r="29702" spans="104:111">
      <c r="CZ29702" s="256"/>
      <c r="DG29702" s="256"/>
    </row>
    <row r="29703" spans="104:111">
      <c r="CZ29703" s="256"/>
      <c r="DG29703" s="256"/>
    </row>
    <row r="29704" spans="104:111">
      <c r="CZ29704" s="256"/>
      <c r="DG29704" s="256"/>
    </row>
    <row r="29705" spans="104:111">
      <c r="CZ29705" s="256"/>
      <c r="DG29705" s="256"/>
    </row>
    <row r="29706" spans="104:111">
      <c r="CZ29706" s="256"/>
      <c r="DG29706" s="256"/>
    </row>
    <row r="29707" spans="104:111">
      <c r="CZ29707" s="256"/>
      <c r="DG29707" s="256"/>
    </row>
    <row r="29708" spans="104:111">
      <c r="CZ29708" s="256"/>
      <c r="DG29708" s="256"/>
    </row>
    <row r="29709" spans="104:111">
      <c r="CZ29709" s="256"/>
      <c r="DG29709" s="256"/>
    </row>
    <row r="29710" spans="104:111">
      <c r="CZ29710" s="256"/>
      <c r="DG29710" s="256"/>
    </row>
    <row r="29711" spans="104:111">
      <c r="CZ29711" s="256"/>
      <c r="DG29711" s="256"/>
    </row>
    <row r="29712" spans="104:111">
      <c r="CZ29712" s="256"/>
      <c r="DG29712" s="256"/>
    </row>
    <row r="29713" spans="104:111">
      <c r="CZ29713" s="256"/>
      <c r="DG29713" s="256"/>
    </row>
    <row r="29714" spans="104:111">
      <c r="CZ29714" s="256"/>
      <c r="DG29714" s="256"/>
    </row>
    <row r="29715" spans="104:111">
      <c r="CZ29715" s="256"/>
      <c r="DG29715" s="256"/>
    </row>
    <row r="29716" spans="104:111">
      <c r="CZ29716" s="256"/>
      <c r="DG29716" s="256"/>
    </row>
    <row r="29717" spans="104:111">
      <c r="CZ29717" s="256"/>
      <c r="DG29717" s="256"/>
    </row>
    <row r="29718" spans="104:111">
      <c r="CZ29718" s="256"/>
      <c r="DG29718" s="256"/>
    </row>
    <row r="29719" spans="104:111">
      <c r="CZ29719" s="256"/>
      <c r="DG29719" s="256"/>
    </row>
    <row r="29720" spans="104:111">
      <c r="CZ29720" s="256"/>
      <c r="DG29720" s="256"/>
    </row>
    <row r="29721" spans="104:111">
      <c r="CZ29721" s="256"/>
      <c r="DG29721" s="256"/>
    </row>
    <row r="29722" spans="104:111">
      <c r="CZ29722" s="256"/>
      <c r="DG29722" s="256"/>
    </row>
    <row r="29723" spans="104:111">
      <c r="CZ29723" s="256"/>
      <c r="DG29723" s="256"/>
    </row>
    <row r="29724" spans="104:111">
      <c r="CZ29724" s="256"/>
      <c r="DG29724" s="256"/>
    </row>
    <row r="29725" spans="104:111">
      <c r="CZ29725" s="256"/>
      <c r="DG29725" s="256"/>
    </row>
    <row r="29726" spans="104:111">
      <c r="CZ29726" s="256"/>
      <c r="DG29726" s="256"/>
    </row>
    <row r="29727" spans="104:111">
      <c r="CZ29727" s="256"/>
      <c r="DG29727" s="256"/>
    </row>
    <row r="29728" spans="104:111">
      <c r="CZ29728" s="256"/>
      <c r="DG29728" s="256"/>
    </row>
    <row r="29729" spans="104:111">
      <c r="CZ29729" s="256"/>
      <c r="DG29729" s="256"/>
    </row>
    <row r="29730" spans="104:111">
      <c r="CZ29730" s="256"/>
      <c r="DG29730" s="256"/>
    </row>
    <row r="29731" spans="104:111">
      <c r="CZ29731" s="256"/>
      <c r="DG29731" s="256"/>
    </row>
    <row r="29732" spans="104:111">
      <c r="CZ29732" s="256"/>
      <c r="DG29732" s="256"/>
    </row>
    <row r="29733" spans="104:111">
      <c r="CZ29733" s="256"/>
      <c r="DG29733" s="256"/>
    </row>
    <row r="29734" spans="104:111">
      <c r="CZ29734" s="256"/>
      <c r="DG29734" s="256"/>
    </row>
    <row r="29735" spans="104:111">
      <c r="CZ29735" s="256"/>
      <c r="DG29735" s="256"/>
    </row>
    <row r="29736" spans="104:111">
      <c r="CZ29736" s="256"/>
      <c r="DG29736" s="256"/>
    </row>
    <row r="29737" spans="104:111">
      <c r="CZ29737" s="256"/>
      <c r="DG29737" s="256"/>
    </row>
    <row r="29738" spans="104:111">
      <c r="CZ29738" s="256"/>
      <c r="DG29738" s="256"/>
    </row>
    <row r="29739" spans="104:111">
      <c r="CZ29739" s="256"/>
      <c r="DG29739" s="256"/>
    </row>
    <row r="29740" spans="104:111">
      <c r="CZ29740" s="256"/>
      <c r="DG29740" s="256"/>
    </row>
    <row r="29741" spans="104:111">
      <c r="CZ29741" s="256"/>
      <c r="DG29741" s="256"/>
    </row>
    <row r="29742" spans="104:111">
      <c r="CZ29742" s="256"/>
      <c r="DG29742" s="256"/>
    </row>
    <row r="29743" spans="104:111">
      <c r="CZ29743" s="256"/>
      <c r="DG29743" s="256"/>
    </row>
    <row r="29744" spans="104:111">
      <c r="CZ29744" s="256"/>
      <c r="DG29744" s="256"/>
    </row>
    <row r="29745" spans="104:111">
      <c r="CZ29745" s="256"/>
      <c r="DG29745" s="256"/>
    </row>
    <row r="29746" spans="104:111">
      <c r="CZ29746" s="256"/>
      <c r="DG29746" s="256"/>
    </row>
    <row r="29747" spans="104:111">
      <c r="CZ29747" s="256"/>
      <c r="DG29747" s="256"/>
    </row>
    <row r="29748" spans="104:111">
      <c r="CZ29748" s="256"/>
      <c r="DG29748" s="256"/>
    </row>
    <row r="29749" spans="104:111">
      <c r="CZ29749" s="256"/>
      <c r="DG29749" s="256"/>
    </row>
    <row r="29750" spans="104:111">
      <c r="CZ29750" s="256"/>
      <c r="DG29750" s="256"/>
    </row>
    <row r="29751" spans="104:111">
      <c r="CZ29751" s="256"/>
      <c r="DG29751" s="256"/>
    </row>
    <row r="29752" spans="104:111">
      <c r="CZ29752" s="256"/>
      <c r="DG29752" s="256"/>
    </row>
    <row r="29753" spans="104:111">
      <c r="CZ29753" s="256"/>
      <c r="DG29753" s="256"/>
    </row>
    <row r="29754" spans="104:111">
      <c r="CZ29754" s="256"/>
      <c r="DG29754" s="256"/>
    </row>
    <row r="29755" spans="104:111">
      <c r="CZ29755" s="256"/>
      <c r="DG29755" s="256"/>
    </row>
    <row r="29756" spans="104:111">
      <c r="CZ29756" s="256"/>
      <c r="DG29756" s="256"/>
    </row>
    <row r="29757" spans="104:111">
      <c r="CZ29757" s="256"/>
      <c r="DG29757" s="256"/>
    </row>
    <row r="29758" spans="104:111">
      <c r="CZ29758" s="256"/>
      <c r="DG29758" s="256"/>
    </row>
    <row r="29759" spans="104:111">
      <c r="CZ29759" s="256"/>
      <c r="DG29759" s="256"/>
    </row>
    <row r="29760" spans="104:111">
      <c r="CZ29760" s="256"/>
      <c r="DG29760" s="256"/>
    </row>
    <row r="29761" spans="104:111">
      <c r="CZ29761" s="256"/>
      <c r="DG29761" s="256"/>
    </row>
    <row r="29762" spans="104:111">
      <c r="CZ29762" s="256"/>
      <c r="DG29762" s="256"/>
    </row>
    <row r="29763" spans="104:111">
      <c r="CZ29763" s="256"/>
      <c r="DG29763" s="256"/>
    </row>
    <row r="29764" spans="104:111">
      <c r="CZ29764" s="256"/>
      <c r="DG29764" s="256"/>
    </row>
    <row r="29765" spans="104:111">
      <c r="CZ29765" s="256"/>
      <c r="DG29765" s="256"/>
    </row>
    <row r="29766" spans="104:111">
      <c r="CZ29766" s="256"/>
      <c r="DG29766" s="256"/>
    </row>
    <row r="29767" spans="104:111">
      <c r="CZ29767" s="256"/>
      <c r="DG29767" s="256"/>
    </row>
    <row r="29768" spans="104:111">
      <c r="CZ29768" s="256"/>
      <c r="DG29768" s="256"/>
    </row>
    <row r="29769" spans="104:111">
      <c r="CZ29769" s="256"/>
      <c r="DG29769" s="256"/>
    </row>
    <row r="29770" spans="104:111">
      <c r="CZ29770" s="256"/>
      <c r="DG29770" s="256"/>
    </row>
    <row r="29771" spans="104:111">
      <c r="CZ29771" s="256"/>
      <c r="DG29771" s="256"/>
    </row>
    <row r="29772" spans="104:111">
      <c r="CZ29772" s="256"/>
      <c r="DG29772" s="256"/>
    </row>
    <row r="29773" spans="104:111">
      <c r="CZ29773" s="256"/>
      <c r="DG29773" s="256"/>
    </row>
    <row r="29774" spans="104:111">
      <c r="CZ29774" s="256"/>
      <c r="DG29774" s="256"/>
    </row>
    <row r="29775" spans="104:111">
      <c r="CZ29775" s="256"/>
      <c r="DG29775" s="256"/>
    </row>
    <row r="29776" spans="104:111">
      <c r="CZ29776" s="256"/>
      <c r="DG29776" s="256"/>
    </row>
    <row r="29777" spans="104:111">
      <c r="CZ29777" s="256"/>
      <c r="DG29777" s="256"/>
    </row>
    <row r="29778" spans="104:111">
      <c r="CZ29778" s="256"/>
      <c r="DG29778" s="256"/>
    </row>
    <row r="29779" spans="104:111">
      <c r="CZ29779" s="256"/>
      <c r="DG29779" s="256"/>
    </row>
    <row r="29780" spans="104:111">
      <c r="CZ29780" s="256"/>
      <c r="DG29780" s="256"/>
    </row>
    <row r="29781" spans="104:111">
      <c r="CZ29781" s="256"/>
      <c r="DG29781" s="256"/>
    </row>
    <row r="29782" spans="104:111">
      <c r="CZ29782" s="256"/>
      <c r="DG29782" s="256"/>
    </row>
    <row r="29783" spans="104:111">
      <c r="CZ29783" s="256"/>
      <c r="DG29783" s="256"/>
    </row>
    <row r="29784" spans="104:111">
      <c r="CZ29784" s="256"/>
      <c r="DG29784" s="256"/>
    </row>
    <row r="29785" spans="104:111">
      <c r="CZ29785" s="256"/>
      <c r="DG29785" s="256"/>
    </row>
    <row r="29786" spans="104:111">
      <c r="CZ29786" s="256"/>
      <c r="DG29786" s="256"/>
    </row>
    <row r="29787" spans="104:111">
      <c r="CZ29787" s="256"/>
      <c r="DG29787" s="256"/>
    </row>
    <row r="29788" spans="104:111">
      <c r="CZ29788" s="256"/>
      <c r="DG29788" s="256"/>
    </row>
    <row r="29789" spans="104:111">
      <c r="CZ29789" s="256"/>
      <c r="DG29789" s="256"/>
    </row>
    <row r="29790" spans="104:111">
      <c r="CZ29790" s="256"/>
      <c r="DG29790" s="256"/>
    </row>
    <row r="29791" spans="104:111">
      <c r="CZ29791" s="256"/>
      <c r="DG29791" s="256"/>
    </row>
    <row r="29792" spans="104:111">
      <c r="CZ29792" s="256"/>
      <c r="DG29792" s="256"/>
    </row>
    <row r="29793" spans="104:111">
      <c r="CZ29793" s="256"/>
      <c r="DG29793" s="256"/>
    </row>
    <row r="29794" spans="104:111">
      <c r="CZ29794" s="256"/>
      <c r="DG29794" s="256"/>
    </row>
    <row r="29795" spans="104:111">
      <c r="CZ29795" s="256"/>
      <c r="DG29795" s="256"/>
    </row>
    <row r="29796" spans="104:111">
      <c r="CZ29796" s="256"/>
      <c r="DG29796" s="256"/>
    </row>
    <row r="29797" spans="104:111">
      <c r="CZ29797" s="256"/>
      <c r="DG29797" s="256"/>
    </row>
    <row r="29798" spans="104:111">
      <c r="CZ29798" s="256"/>
      <c r="DG29798" s="256"/>
    </row>
    <row r="29799" spans="104:111">
      <c r="CZ29799" s="256"/>
      <c r="DG29799" s="256"/>
    </row>
    <row r="29800" spans="104:111">
      <c r="CZ29800" s="256"/>
      <c r="DG29800" s="256"/>
    </row>
    <row r="29801" spans="104:111">
      <c r="CZ29801" s="256"/>
      <c r="DG29801" s="256"/>
    </row>
    <row r="29802" spans="104:111">
      <c r="CZ29802" s="256"/>
      <c r="DG29802" s="256"/>
    </row>
    <row r="29803" spans="104:111">
      <c r="CZ29803" s="256"/>
      <c r="DG29803" s="256"/>
    </row>
    <row r="29804" spans="104:111">
      <c r="CZ29804" s="256"/>
      <c r="DG29804" s="256"/>
    </row>
    <row r="29805" spans="104:111">
      <c r="CZ29805" s="256"/>
      <c r="DG29805" s="256"/>
    </row>
    <row r="29806" spans="104:111">
      <c r="CZ29806" s="256"/>
      <c r="DG29806" s="256"/>
    </row>
    <row r="29807" spans="104:111">
      <c r="CZ29807" s="256"/>
      <c r="DG29807" s="256"/>
    </row>
    <row r="29808" spans="104:111">
      <c r="CZ29808" s="256"/>
      <c r="DG29808" s="256"/>
    </row>
    <row r="29809" spans="104:111">
      <c r="CZ29809" s="256"/>
      <c r="DG29809" s="256"/>
    </row>
    <row r="29810" spans="104:111">
      <c r="CZ29810" s="256"/>
      <c r="DG29810" s="256"/>
    </row>
    <row r="29811" spans="104:111">
      <c r="CZ29811" s="256"/>
      <c r="DG29811" s="256"/>
    </row>
    <row r="29812" spans="104:111">
      <c r="CZ29812" s="256"/>
      <c r="DG29812" s="256"/>
    </row>
    <row r="29813" spans="104:111">
      <c r="CZ29813" s="256"/>
      <c r="DG29813" s="256"/>
    </row>
    <row r="29814" spans="104:111">
      <c r="CZ29814" s="256"/>
      <c r="DG29814" s="256"/>
    </row>
    <row r="29815" spans="104:111">
      <c r="CZ29815" s="256"/>
      <c r="DG29815" s="256"/>
    </row>
    <row r="29816" spans="104:111">
      <c r="CZ29816" s="256"/>
      <c r="DG29816" s="256"/>
    </row>
    <row r="29817" spans="104:111">
      <c r="CZ29817" s="256"/>
      <c r="DG29817" s="256"/>
    </row>
    <row r="29818" spans="104:111">
      <c r="CZ29818" s="256"/>
      <c r="DG29818" s="256"/>
    </row>
    <row r="29819" spans="104:111">
      <c r="CZ29819" s="256"/>
      <c r="DG29819" s="256"/>
    </row>
    <row r="29820" spans="104:111">
      <c r="CZ29820" s="256"/>
      <c r="DG29820" s="256"/>
    </row>
    <row r="29821" spans="104:111">
      <c r="CZ29821" s="256"/>
      <c r="DG29821" s="256"/>
    </row>
    <row r="29822" spans="104:111">
      <c r="CZ29822" s="256"/>
      <c r="DG29822" s="256"/>
    </row>
    <row r="29823" spans="104:111">
      <c r="CZ29823" s="256"/>
      <c r="DG29823" s="256"/>
    </row>
    <row r="29824" spans="104:111">
      <c r="CZ29824" s="256"/>
      <c r="DG29824" s="256"/>
    </row>
    <row r="29825" spans="104:111">
      <c r="CZ29825" s="256"/>
      <c r="DG29825" s="256"/>
    </row>
    <row r="29826" spans="104:111">
      <c r="CZ29826" s="256"/>
      <c r="DG29826" s="256"/>
    </row>
    <row r="29827" spans="104:111">
      <c r="CZ29827" s="256"/>
      <c r="DG29827" s="256"/>
    </row>
    <row r="29828" spans="104:111">
      <c r="CZ29828" s="256"/>
      <c r="DG29828" s="256"/>
    </row>
    <row r="29829" spans="104:111">
      <c r="CZ29829" s="256"/>
      <c r="DG29829" s="256"/>
    </row>
    <row r="29830" spans="104:111">
      <c r="CZ29830" s="256"/>
      <c r="DG29830" s="256"/>
    </row>
    <row r="29831" spans="104:111">
      <c r="CZ29831" s="256"/>
      <c r="DG29831" s="256"/>
    </row>
    <row r="29832" spans="104:111">
      <c r="CZ29832" s="256"/>
      <c r="DG29832" s="256"/>
    </row>
    <row r="29833" spans="104:111">
      <c r="CZ29833" s="256"/>
      <c r="DG29833" s="256"/>
    </row>
    <row r="29834" spans="104:111">
      <c r="CZ29834" s="256"/>
      <c r="DG29834" s="256"/>
    </row>
    <row r="29835" spans="104:111">
      <c r="CZ29835" s="256"/>
      <c r="DG29835" s="256"/>
    </row>
    <row r="29836" spans="104:111">
      <c r="CZ29836" s="256"/>
      <c r="DG29836" s="256"/>
    </row>
    <row r="29837" spans="104:111">
      <c r="CZ29837" s="256"/>
      <c r="DG29837" s="256"/>
    </row>
    <row r="29838" spans="104:111">
      <c r="CZ29838" s="256"/>
      <c r="DG29838" s="256"/>
    </row>
    <row r="29839" spans="104:111">
      <c r="CZ29839" s="256"/>
      <c r="DG29839" s="256"/>
    </row>
    <row r="29840" spans="104:111">
      <c r="CZ29840" s="256"/>
      <c r="DG29840" s="256"/>
    </row>
    <row r="29841" spans="104:111">
      <c r="CZ29841" s="256"/>
      <c r="DG29841" s="256"/>
    </row>
    <row r="29842" spans="104:111">
      <c r="CZ29842" s="256"/>
      <c r="DG29842" s="256"/>
    </row>
    <row r="29843" spans="104:111">
      <c r="CZ29843" s="256"/>
      <c r="DG29843" s="256"/>
    </row>
    <row r="29844" spans="104:111">
      <c r="CZ29844" s="256"/>
      <c r="DG29844" s="256"/>
    </row>
    <row r="29845" spans="104:111">
      <c r="CZ29845" s="256"/>
      <c r="DG29845" s="256"/>
    </row>
    <row r="29846" spans="104:111">
      <c r="CZ29846" s="256"/>
      <c r="DG29846" s="256"/>
    </row>
    <row r="29847" spans="104:111">
      <c r="CZ29847" s="256"/>
      <c r="DG29847" s="256"/>
    </row>
    <row r="29848" spans="104:111">
      <c r="CZ29848" s="256"/>
      <c r="DG29848" s="256"/>
    </row>
    <row r="29849" spans="104:111">
      <c r="CZ29849" s="256"/>
      <c r="DG29849" s="256"/>
    </row>
    <row r="29850" spans="104:111">
      <c r="CZ29850" s="256"/>
      <c r="DG29850" s="256"/>
    </row>
    <row r="29851" spans="104:111">
      <c r="CZ29851" s="256"/>
      <c r="DG29851" s="256"/>
    </row>
    <row r="29852" spans="104:111">
      <c r="CZ29852" s="256"/>
      <c r="DG29852" s="256"/>
    </row>
    <row r="29853" spans="104:111">
      <c r="CZ29853" s="256"/>
      <c r="DG29853" s="256"/>
    </row>
    <row r="29854" spans="104:111">
      <c r="CZ29854" s="256"/>
      <c r="DG29854" s="256"/>
    </row>
    <row r="29855" spans="104:111">
      <c r="CZ29855" s="256"/>
      <c r="DG29855" s="256"/>
    </row>
    <row r="29856" spans="104:111">
      <c r="CZ29856" s="256"/>
      <c r="DG29856" s="256"/>
    </row>
    <row r="29857" spans="104:111">
      <c r="CZ29857" s="256"/>
      <c r="DG29857" s="256"/>
    </row>
    <row r="29858" spans="104:111">
      <c r="CZ29858" s="256"/>
      <c r="DG29858" s="256"/>
    </row>
    <row r="29859" spans="104:111">
      <c r="CZ29859" s="256"/>
      <c r="DG29859" s="256"/>
    </row>
    <row r="29860" spans="104:111">
      <c r="CZ29860" s="256"/>
      <c r="DG29860" s="256"/>
    </row>
    <row r="29861" spans="104:111">
      <c r="CZ29861" s="256"/>
      <c r="DG29861" s="256"/>
    </row>
    <row r="29862" spans="104:111">
      <c r="CZ29862" s="256"/>
      <c r="DG29862" s="256"/>
    </row>
    <row r="29863" spans="104:111">
      <c r="CZ29863" s="256"/>
      <c r="DG29863" s="256"/>
    </row>
    <row r="29864" spans="104:111">
      <c r="CZ29864" s="256"/>
      <c r="DG29864" s="256"/>
    </row>
    <row r="29865" spans="104:111">
      <c r="CZ29865" s="256"/>
      <c r="DG29865" s="256"/>
    </row>
    <row r="29866" spans="104:111">
      <c r="CZ29866" s="256"/>
      <c r="DG29866" s="256"/>
    </row>
    <row r="29867" spans="104:111">
      <c r="CZ29867" s="256"/>
      <c r="DG29867" s="256"/>
    </row>
    <row r="29868" spans="104:111">
      <c r="CZ29868" s="256"/>
      <c r="DG29868" s="256"/>
    </row>
    <row r="29869" spans="104:111">
      <c r="CZ29869" s="256"/>
      <c r="DG29869" s="256"/>
    </row>
    <row r="29870" spans="104:111">
      <c r="CZ29870" s="256"/>
      <c r="DG29870" s="256"/>
    </row>
    <row r="29871" spans="104:111">
      <c r="CZ29871" s="256"/>
      <c r="DG29871" s="256"/>
    </row>
    <row r="29872" spans="104:111">
      <c r="CZ29872" s="256"/>
      <c r="DG29872" s="256"/>
    </row>
    <row r="29873" spans="104:111">
      <c r="CZ29873" s="256"/>
      <c r="DG29873" s="256"/>
    </row>
    <row r="29874" spans="104:111">
      <c r="CZ29874" s="256"/>
      <c r="DG29874" s="256"/>
    </row>
    <row r="29875" spans="104:111">
      <c r="CZ29875" s="256"/>
      <c r="DG29875" s="256"/>
    </row>
    <row r="29876" spans="104:111">
      <c r="CZ29876" s="256"/>
      <c r="DG29876" s="256"/>
    </row>
    <row r="29877" spans="104:111">
      <c r="CZ29877" s="256"/>
      <c r="DG29877" s="256"/>
    </row>
    <row r="29878" spans="104:111">
      <c r="CZ29878" s="256"/>
      <c r="DG29878" s="256"/>
    </row>
    <row r="29879" spans="104:111">
      <c r="CZ29879" s="256"/>
      <c r="DG29879" s="256"/>
    </row>
    <row r="29880" spans="104:111">
      <c r="CZ29880" s="256"/>
      <c r="DG29880" s="256"/>
    </row>
    <row r="29881" spans="104:111">
      <c r="CZ29881" s="256"/>
      <c r="DG29881" s="256"/>
    </row>
    <row r="29882" spans="104:111">
      <c r="CZ29882" s="256"/>
      <c r="DG29882" s="256"/>
    </row>
    <row r="29883" spans="104:111">
      <c r="CZ29883" s="256"/>
      <c r="DG29883" s="256"/>
    </row>
    <row r="29884" spans="104:111">
      <c r="CZ29884" s="256"/>
      <c r="DG29884" s="256"/>
    </row>
    <row r="29885" spans="104:111">
      <c r="CZ29885" s="256"/>
      <c r="DG29885" s="256"/>
    </row>
    <row r="29886" spans="104:111">
      <c r="CZ29886" s="256"/>
      <c r="DG29886" s="256"/>
    </row>
    <row r="29887" spans="104:111">
      <c r="CZ29887" s="256"/>
      <c r="DG29887" s="256"/>
    </row>
    <row r="29888" spans="104:111">
      <c r="CZ29888" s="256"/>
      <c r="DG29888" s="256"/>
    </row>
    <row r="29889" spans="104:111">
      <c r="CZ29889" s="256"/>
      <c r="DG29889" s="256"/>
    </row>
    <row r="29890" spans="104:111">
      <c r="CZ29890" s="256"/>
      <c r="DG29890" s="256"/>
    </row>
    <row r="29891" spans="104:111">
      <c r="CZ29891" s="256"/>
      <c r="DG29891" s="256"/>
    </row>
    <row r="29892" spans="104:111">
      <c r="CZ29892" s="256"/>
      <c r="DG29892" s="256"/>
    </row>
    <row r="29893" spans="104:111">
      <c r="CZ29893" s="256"/>
      <c r="DG29893" s="256"/>
    </row>
    <row r="29894" spans="104:111">
      <c r="CZ29894" s="256"/>
      <c r="DG29894" s="256"/>
    </row>
    <row r="29895" spans="104:111">
      <c r="CZ29895" s="256"/>
      <c r="DG29895" s="256"/>
    </row>
    <row r="29896" spans="104:111">
      <c r="CZ29896" s="256"/>
      <c r="DG29896" s="256"/>
    </row>
    <row r="29897" spans="104:111">
      <c r="CZ29897" s="256"/>
      <c r="DG29897" s="256"/>
    </row>
    <row r="29898" spans="104:111">
      <c r="CZ29898" s="256"/>
      <c r="DG29898" s="256"/>
    </row>
    <row r="29899" spans="104:111">
      <c r="CZ29899" s="256"/>
      <c r="DG29899" s="256"/>
    </row>
    <row r="29900" spans="104:111">
      <c r="CZ29900" s="256"/>
      <c r="DG29900" s="256"/>
    </row>
    <row r="29901" spans="104:111">
      <c r="CZ29901" s="256"/>
      <c r="DG29901" s="256"/>
    </row>
    <row r="29902" spans="104:111">
      <c r="CZ29902" s="256"/>
      <c r="DG29902" s="256"/>
    </row>
    <row r="29903" spans="104:111">
      <c r="CZ29903" s="256"/>
      <c r="DG29903" s="256"/>
    </row>
    <row r="29904" spans="104:111">
      <c r="CZ29904" s="256"/>
      <c r="DG29904" s="256"/>
    </row>
    <row r="29905" spans="104:111">
      <c r="CZ29905" s="256"/>
      <c r="DG29905" s="256"/>
    </row>
    <row r="29906" spans="104:111">
      <c r="CZ29906" s="256"/>
      <c r="DG29906" s="256"/>
    </row>
    <row r="29907" spans="104:111">
      <c r="CZ29907" s="256"/>
      <c r="DG29907" s="256"/>
    </row>
    <row r="29908" spans="104:111">
      <c r="CZ29908" s="256"/>
      <c r="DG29908" s="256"/>
    </row>
    <row r="29909" spans="104:111">
      <c r="CZ29909" s="256"/>
      <c r="DG29909" s="256"/>
    </row>
    <row r="29910" spans="104:111">
      <c r="CZ29910" s="256"/>
      <c r="DG29910" s="256"/>
    </row>
    <row r="29911" spans="104:111">
      <c r="CZ29911" s="256"/>
      <c r="DG29911" s="256"/>
    </row>
    <row r="29912" spans="104:111">
      <c r="CZ29912" s="256"/>
      <c r="DG29912" s="256"/>
    </row>
    <row r="29913" spans="104:111">
      <c r="CZ29913" s="256"/>
      <c r="DG29913" s="256"/>
    </row>
    <row r="29914" spans="104:111">
      <c r="CZ29914" s="256"/>
      <c r="DG29914" s="256"/>
    </row>
    <row r="29915" spans="104:111">
      <c r="CZ29915" s="256"/>
      <c r="DG29915" s="256"/>
    </row>
    <row r="29916" spans="104:111">
      <c r="CZ29916" s="256"/>
      <c r="DG29916" s="256"/>
    </row>
    <row r="29917" spans="104:111">
      <c r="CZ29917" s="256"/>
      <c r="DG29917" s="256"/>
    </row>
    <row r="29918" spans="104:111">
      <c r="CZ29918" s="256"/>
      <c r="DG29918" s="256"/>
    </row>
    <row r="29919" spans="104:111">
      <c r="CZ29919" s="256"/>
      <c r="DG29919" s="256"/>
    </row>
    <row r="29920" spans="104:111">
      <c r="CZ29920" s="256"/>
      <c r="DG29920" s="256"/>
    </row>
    <row r="29921" spans="104:111">
      <c r="CZ29921" s="256"/>
      <c r="DG29921" s="256"/>
    </row>
    <row r="29922" spans="104:111">
      <c r="CZ29922" s="256"/>
      <c r="DG29922" s="256"/>
    </row>
    <row r="29923" spans="104:111">
      <c r="CZ29923" s="256"/>
      <c r="DG29923" s="256"/>
    </row>
    <row r="29924" spans="104:111">
      <c r="CZ29924" s="256"/>
      <c r="DG29924" s="256"/>
    </row>
    <row r="29925" spans="104:111">
      <c r="CZ29925" s="256"/>
      <c r="DG29925" s="256"/>
    </row>
    <row r="29926" spans="104:111">
      <c r="CZ29926" s="256"/>
      <c r="DG29926" s="256"/>
    </row>
    <row r="29927" spans="104:111">
      <c r="CZ29927" s="256"/>
      <c r="DG29927" s="256"/>
    </row>
    <row r="29928" spans="104:111">
      <c r="CZ29928" s="256"/>
      <c r="DG29928" s="256"/>
    </row>
    <row r="29929" spans="104:111">
      <c r="CZ29929" s="256"/>
      <c r="DG29929" s="256"/>
    </row>
    <row r="29930" spans="104:111">
      <c r="CZ29930" s="256"/>
      <c r="DG29930" s="256"/>
    </row>
    <row r="29931" spans="104:111">
      <c r="CZ29931" s="256"/>
      <c r="DG29931" s="256"/>
    </row>
    <row r="29932" spans="104:111">
      <c r="CZ29932" s="256"/>
      <c r="DG29932" s="256"/>
    </row>
    <row r="29933" spans="104:111">
      <c r="CZ29933" s="256"/>
      <c r="DG29933" s="256"/>
    </row>
    <row r="29934" spans="104:111">
      <c r="CZ29934" s="256"/>
      <c r="DG29934" s="256"/>
    </row>
    <row r="29935" spans="104:111">
      <c r="CZ29935" s="256"/>
      <c r="DG29935" s="256"/>
    </row>
    <row r="29936" spans="104:111">
      <c r="CZ29936" s="256"/>
      <c r="DG29936" s="256"/>
    </row>
    <row r="29937" spans="104:111">
      <c r="CZ29937" s="256"/>
      <c r="DG29937" s="256"/>
    </row>
    <row r="29938" spans="104:111">
      <c r="CZ29938" s="256"/>
      <c r="DG29938" s="256"/>
    </row>
    <row r="29939" spans="104:111">
      <c r="CZ29939" s="256"/>
      <c r="DG29939" s="256"/>
    </row>
    <row r="29940" spans="104:111">
      <c r="CZ29940" s="256"/>
      <c r="DG29940" s="256"/>
    </row>
    <row r="29941" spans="104:111">
      <c r="CZ29941" s="256"/>
      <c r="DG29941" s="256"/>
    </row>
    <row r="29942" spans="104:111">
      <c r="CZ29942" s="256"/>
      <c r="DG29942" s="256"/>
    </row>
    <row r="29943" spans="104:111">
      <c r="CZ29943" s="256"/>
      <c r="DG29943" s="256"/>
    </row>
    <row r="29944" spans="104:111">
      <c r="CZ29944" s="256"/>
      <c r="DG29944" s="256"/>
    </row>
    <row r="29945" spans="104:111">
      <c r="CZ29945" s="256"/>
      <c r="DG29945" s="256"/>
    </row>
    <row r="29946" spans="104:111">
      <c r="CZ29946" s="256"/>
      <c r="DG29946" s="256"/>
    </row>
    <row r="29947" spans="104:111">
      <c r="CZ29947" s="256"/>
      <c r="DG29947" s="256"/>
    </row>
    <row r="29948" spans="104:111">
      <c r="CZ29948" s="256"/>
      <c r="DG29948" s="256"/>
    </row>
    <row r="29949" spans="104:111">
      <c r="CZ29949" s="256"/>
      <c r="DG29949" s="256"/>
    </row>
    <row r="29950" spans="104:111">
      <c r="CZ29950" s="256"/>
      <c r="DG29950" s="256"/>
    </row>
    <row r="29951" spans="104:111">
      <c r="CZ29951" s="256"/>
      <c r="DG29951" s="256"/>
    </row>
    <row r="29952" spans="104:111">
      <c r="CZ29952" s="256"/>
      <c r="DG29952" s="256"/>
    </row>
    <row r="29953" spans="104:111">
      <c r="CZ29953" s="256"/>
      <c r="DG29953" s="256"/>
    </row>
    <row r="29954" spans="104:111">
      <c r="CZ29954" s="256"/>
      <c r="DG29954" s="256"/>
    </row>
    <row r="29955" spans="104:111">
      <c r="CZ29955" s="256"/>
      <c r="DG29955" s="256"/>
    </row>
    <row r="29956" spans="104:111">
      <c r="CZ29956" s="256"/>
      <c r="DG29956" s="256"/>
    </row>
    <row r="29957" spans="104:111">
      <c r="CZ29957" s="256"/>
      <c r="DG29957" s="256"/>
    </row>
    <row r="29958" spans="104:111">
      <c r="CZ29958" s="256"/>
      <c r="DG29958" s="256"/>
    </row>
    <row r="29959" spans="104:111">
      <c r="CZ29959" s="256"/>
      <c r="DG29959" s="256"/>
    </row>
    <row r="29960" spans="104:111">
      <c r="CZ29960" s="256"/>
      <c r="DG29960" s="256"/>
    </row>
    <row r="29961" spans="104:111">
      <c r="CZ29961" s="256"/>
      <c r="DG29961" s="256"/>
    </row>
    <row r="29962" spans="104:111">
      <c r="CZ29962" s="256"/>
      <c r="DG29962" s="256"/>
    </row>
    <row r="29963" spans="104:111">
      <c r="CZ29963" s="256"/>
      <c r="DG29963" s="256"/>
    </row>
    <row r="29964" spans="104:111">
      <c r="CZ29964" s="256"/>
      <c r="DG29964" s="256"/>
    </row>
    <row r="29965" spans="104:111">
      <c r="CZ29965" s="256"/>
      <c r="DG29965" s="256"/>
    </row>
    <row r="29966" spans="104:111">
      <c r="CZ29966" s="256"/>
      <c r="DG29966" s="256"/>
    </row>
    <row r="29967" spans="104:111">
      <c r="CZ29967" s="256"/>
      <c r="DG29967" s="256"/>
    </row>
    <row r="29968" spans="104:111">
      <c r="CZ29968" s="256"/>
      <c r="DG29968" s="256"/>
    </row>
    <row r="29969" spans="104:111">
      <c r="CZ29969" s="256"/>
      <c r="DG29969" s="256"/>
    </row>
    <row r="29970" spans="104:111">
      <c r="CZ29970" s="256"/>
      <c r="DG29970" s="256"/>
    </row>
    <row r="29971" spans="104:111">
      <c r="CZ29971" s="256"/>
      <c r="DG29971" s="256"/>
    </row>
    <row r="29972" spans="104:111">
      <c r="CZ29972" s="256"/>
      <c r="DG29972" s="256"/>
    </row>
    <row r="29973" spans="104:111">
      <c r="CZ29973" s="256"/>
      <c r="DG29973" s="256"/>
    </row>
    <row r="29974" spans="104:111">
      <c r="CZ29974" s="256"/>
      <c r="DG29974" s="256"/>
    </row>
    <row r="29975" spans="104:111">
      <c r="CZ29975" s="256"/>
      <c r="DG29975" s="256"/>
    </row>
    <row r="29976" spans="104:111">
      <c r="CZ29976" s="256"/>
      <c r="DG29976" s="256"/>
    </row>
    <row r="29977" spans="104:111">
      <c r="CZ29977" s="256"/>
      <c r="DG29977" s="256"/>
    </row>
    <row r="29978" spans="104:111">
      <c r="CZ29978" s="256"/>
      <c r="DG29978" s="256"/>
    </row>
    <row r="29979" spans="104:111">
      <c r="CZ29979" s="256"/>
      <c r="DG29979" s="256"/>
    </row>
    <row r="29980" spans="104:111">
      <c r="CZ29980" s="256"/>
      <c r="DG29980" s="256"/>
    </row>
    <row r="29981" spans="104:111">
      <c r="CZ29981" s="256"/>
      <c r="DG29981" s="256"/>
    </row>
    <row r="29982" spans="104:111">
      <c r="CZ29982" s="256"/>
      <c r="DG29982" s="256"/>
    </row>
    <row r="29983" spans="104:111">
      <c r="CZ29983" s="256"/>
      <c r="DG29983" s="256"/>
    </row>
    <row r="29984" spans="104:111">
      <c r="CZ29984" s="256"/>
      <c r="DG29984" s="256"/>
    </row>
    <row r="29985" spans="104:111">
      <c r="CZ29985" s="256"/>
      <c r="DG29985" s="256"/>
    </row>
    <row r="29986" spans="104:111">
      <c r="CZ29986" s="256"/>
      <c r="DG29986" s="256"/>
    </row>
    <row r="29987" spans="104:111">
      <c r="CZ29987" s="256"/>
      <c r="DG29987" s="256"/>
    </row>
    <row r="29988" spans="104:111">
      <c r="CZ29988" s="256"/>
      <c r="DG29988" s="256"/>
    </row>
    <row r="29989" spans="104:111">
      <c r="CZ29989" s="256"/>
      <c r="DG29989" s="256"/>
    </row>
    <row r="29990" spans="104:111">
      <c r="CZ29990" s="256"/>
      <c r="DG29990" s="256"/>
    </row>
    <row r="29991" spans="104:111">
      <c r="CZ29991" s="256"/>
      <c r="DG29991" s="256"/>
    </row>
    <row r="29992" spans="104:111">
      <c r="CZ29992" s="256"/>
      <c r="DG29992" s="256"/>
    </row>
    <row r="29993" spans="104:111">
      <c r="CZ29993" s="256"/>
      <c r="DG29993" s="256"/>
    </row>
    <row r="29994" spans="104:111">
      <c r="CZ29994" s="256"/>
      <c r="DG29994" s="256"/>
    </row>
    <row r="29995" spans="104:111">
      <c r="CZ29995" s="256"/>
      <c r="DG29995" s="256"/>
    </row>
    <row r="29996" spans="104:111">
      <c r="CZ29996" s="256"/>
      <c r="DG29996" s="256"/>
    </row>
    <row r="29997" spans="104:111">
      <c r="CZ29997" s="256"/>
      <c r="DG29997" s="256"/>
    </row>
    <row r="29998" spans="104:111">
      <c r="CZ29998" s="256"/>
      <c r="DG29998" s="256"/>
    </row>
    <row r="29999" spans="104:111">
      <c r="CZ29999" s="256"/>
      <c r="DG29999" s="256"/>
    </row>
    <row r="30000" spans="104:111">
      <c r="CZ30000" s="256"/>
      <c r="DG30000" s="256"/>
    </row>
    <row r="30001" spans="104:111">
      <c r="CZ30001" s="256"/>
      <c r="DG30001" s="256"/>
    </row>
    <row r="30002" spans="104:111">
      <c r="CZ30002" s="256"/>
      <c r="DG30002" s="256"/>
    </row>
    <row r="30003" spans="104:111">
      <c r="CZ30003" s="256"/>
      <c r="DG30003" s="256"/>
    </row>
    <row r="30004" spans="104:111">
      <c r="CZ30004" s="256"/>
      <c r="DG30004" s="256"/>
    </row>
    <row r="30005" spans="104:111">
      <c r="CZ30005" s="256"/>
      <c r="DG30005" s="256"/>
    </row>
    <row r="30006" spans="104:111">
      <c r="CZ30006" s="256"/>
      <c r="DG30006" s="256"/>
    </row>
    <row r="30007" spans="104:111">
      <c r="CZ30007" s="256"/>
      <c r="DG30007" s="256"/>
    </row>
    <row r="30008" spans="104:111">
      <c r="CZ30008" s="256"/>
      <c r="DG30008" s="256"/>
    </row>
    <row r="30009" spans="104:111">
      <c r="CZ30009" s="256"/>
      <c r="DG30009" s="256"/>
    </row>
    <row r="30010" spans="104:111">
      <c r="CZ30010" s="256"/>
      <c r="DG30010" s="256"/>
    </row>
    <row r="30011" spans="104:111">
      <c r="CZ30011" s="256"/>
      <c r="DG30011" s="256"/>
    </row>
    <row r="30012" spans="104:111">
      <c r="CZ30012" s="256"/>
      <c r="DG30012" s="256"/>
    </row>
    <row r="30013" spans="104:111">
      <c r="CZ30013" s="256"/>
      <c r="DG30013" s="256"/>
    </row>
    <row r="30014" spans="104:111">
      <c r="CZ30014" s="256"/>
      <c r="DG30014" s="256"/>
    </row>
    <row r="30015" spans="104:111">
      <c r="CZ30015" s="256"/>
      <c r="DG30015" s="256"/>
    </row>
    <row r="30016" spans="104:111">
      <c r="CZ30016" s="256"/>
      <c r="DG30016" s="256"/>
    </row>
    <row r="30017" spans="104:111">
      <c r="CZ30017" s="256"/>
      <c r="DG30017" s="256"/>
    </row>
    <row r="30018" spans="104:111">
      <c r="CZ30018" s="256"/>
      <c r="DG30018" s="256"/>
    </row>
    <row r="30019" spans="104:111">
      <c r="CZ30019" s="256"/>
      <c r="DG30019" s="256"/>
    </row>
    <row r="30020" spans="104:111">
      <c r="CZ30020" s="256"/>
      <c r="DG30020" s="256"/>
    </row>
    <row r="30021" spans="104:111">
      <c r="CZ30021" s="256"/>
      <c r="DG30021" s="256"/>
    </row>
    <row r="30022" spans="104:111">
      <c r="CZ30022" s="256"/>
      <c r="DG30022" s="256"/>
    </row>
    <row r="30023" spans="104:111">
      <c r="CZ30023" s="256"/>
      <c r="DG30023" s="256"/>
    </row>
    <row r="30024" spans="104:111">
      <c r="CZ30024" s="256"/>
      <c r="DG30024" s="256"/>
    </row>
    <row r="30025" spans="104:111">
      <c r="CZ30025" s="256"/>
      <c r="DG30025" s="256"/>
    </row>
    <row r="30026" spans="104:111">
      <c r="CZ30026" s="256"/>
      <c r="DG30026" s="256"/>
    </row>
    <row r="30027" spans="104:111">
      <c r="CZ30027" s="256"/>
      <c r="DG30027" s="256"/>
    </row>
    <row r="30028" spans="104:111">
      <c r="CZ30028" s="256"/>
      <c r="DG30028" s="256"/>
    </row>
    <row r="30029" spans="104:111">
      <c r="CZ30029" s="256"/>
      <c r="DG30029" s="256"/>
    </row>
    <row r="30030" spans="104:111">
      <c r="CZ30030" s="256"/>
      <c r="DG30030" s="256"/>
    </row>
    <row r="30031" spans="104:111">
      <c r="CZ30031" s="256"/>
      <c r="DG30031" s="256"/>
    </row>
    <row r="30032" spans="104:111">
      <c r="CZ30032" s="256"/>
      <c r="DG30032" s="256"/>
    </row>
    <row r="30033" spans="104:111">
      <c r="CZ30033" s="256"/>
      <c r="DG30033" s="256"/>
    </row>
    <row r="30034" spans="104:111">
      <c r="CZ30034" s="256"/>
      <c r="DG30034" s="256"/>
    </row>
    <row r="30035" spans="104:111">
      <c r="CZ30035" s="256"/>
      <c r="DG30035" s="256"/>
    </row>
    <row r="30036" spans="104:111">
      <c r="CZ30036" s="256"/>
      <c r="DG30036" s="256"/>
    </row>
    <row r="30037" spans="104:111">
      <c r="CZ30037" s="256"/>
      <c r="DG30037" s="256"/>
    </row>
    <row r="30038" spans="104:111">
      <c r="CZ30038" s="256"/>
      <c r="DG30038" s="256"/>
    </row>
    <row r="30039" spans="104:111">
      <c r="CZ30039" s="256"/>
      <c r="DG30039" s="256"/>
    </row>
    <row r="30040" spans="104:111">
      <c r="CZ30040" s="256"/>
      <c r="DG30040" s="256"/>
    </row>
    <row r="30041" spans="104:111">
      <c r="CZ30041" s="256"/>
      <c r="DG30041" s="256"/>
    </row>
    <row r="30042" spans="104:111">
      <c r="CZ30042" s="256"/>
      <c r="DG30042" s="256"/>
    </row>
    <row r="30043" spans="104:111">
      <c r="CZ30043" s="256"/>
      <c r="DG30043" s="256"/>
    </row>
    <row r="30044" spans="104:111">
      <c r="CZ30044" s="256"/>
      <c r="DG30044" s="256"/>
    </row>
    <row r="30045" spans="104:111">
      <c r="CZ30045" s="256"/>
      <c r="DG30045" s="256"/>
    </row>
    <row r="30046" spans="104:111">
      <c r="CZ30046" s="256"/>
      <c r="DG30046" s="256"/>
    </row>
    <row r="30047" spans="104:111">
      <c r="CZ30047" s="256"/>
      <c r="DG30047" s="256"/>
    </row>
    <row r="30048" spans="104:111">
      <c r="CZ30048" s="256"/>
      <c r="DG30048" s="256"/>
    </row>
    <row r="30049" spans="104:111">
      <c r="CZ30049" s="256"/>
      <c r="DG30049" s="256"/>
    </row>
    <row r="30050" spans="104:111">
      <c r="CZ30050" s="256"/>
      <c r="DG30050" s="256"/>
    </row>
    <row r="30051" spans="104:111">
      <c r="CZ30051" s="256"/>
      <c r="DG30051" s="256"/>
    </row>
    <row r="30052" spans="104:111">
      <c r="CZ30052" s="256"/>
      <c r="DG30052" s="256"/>
    </row>
    <row r="30053" spans="104:111">
      <c r="CZ30053" s="256"/>
      <c r="DG30053" s="256"/>
    </row>
    <row r="30054" spans="104:111">
      <c r="CZ30054" s="256"/>
      <c r="DG30054" s="256"/>
    </row>
    <row r="30055" spans="104:111">
      <c r="CZ30055" s="256"/>
      <c r="DG30055" s="256"/>
    </row>
    <row r="30056" spans="104:111">
      <c r="CZ30056" s="256"/>
      <c r="DG30056" s="256"/>
    </row>
    <row r="30057" spans="104:111">
      <c r="CZ30057" s="256"/>
      <c r="DG30057" s="256"/>
    </row>
    <row r="30058" spans="104:111">
      <c r="CZ30058" s="256"/>
      <c r="DG30058" s="256"/>
    </row>
    <row r="30059" spans="104:111">
      <c r="CZ30059" s="256"/>
      <c r="DG30059" s="256"/>
    </row>
    <row r="30060" spans="104:111">
      <c r="CZ30060" s="256"/>
      <c r="DG30060" s="256"/>
    </row>
    <row r="30061" spans="104:111">
      <c r="CZ30061" s="256"/>
      <c r="DG30061" s="256"/>
    </row>
    <row r="30062" spans="104:111">
      <c r="CZ30062" s="256"/>
      <c r="DG30062" s="256"/>
    </row>
    <row r="30063" spans="104:111">
      <c r="CZ30063" s="256"/>
      <c r="DG30063" s="256"/>
    </row>
    <row r="30064" spans="104:111">
      <c r="CZ30064" s="256"/>
      <c r="DG30064" s="256"/>
    </row>
    <row r="30065" spans="104:111">
      <c r="CZ30065" s="256"/>
      <c r="DG30065" s="256"/>
    </row>
    <row r="30066" spans="104:111">
      <c r="CZ30066" s="256"/>
      <c r="DG30066" s="256"/>
    </row>
    <row r="30067" spans="104:111">
      <c r="CZ30067" s="256"/>
      <c r="DG30067" s="256"/>
    </row>
    <row r="30068" spans="104:111">
      <c r="CZ30068" s="256"/>
      <c r="DG30068" s="256"/>
    </row>
    <row r="30069" spans="104:111">
      <c r="CZ30069" s="256"/>
      <c r="DG30069" s="256"/>
    </row>
    <row r="30070" spans="104:111">
      <c r="CZ30070" s="256"/>
      <c r="DG30070" s="256"/>
    </row>
    <row r="30071" spans="104:111">
      <c r="CZ30071" s="256"/>
      <c r="DG30071" s="256"/>
    </row>
    <row r="30072" spans="104:111">
      <c r="CZ30072" s="256"/>
      <c r="DG30072" s="256"/>
    </row>
    <row r="30073" spans="104:111">
      <c r="CZ30073" s="256"/>
      <c r="DG30073" s="256"/>
    </row>
    <row r="30074" spans="104:111">
      <c r="CZ30074" s="256"/>
      <c r="DG30074" s="256"/>
    </row>
    <row r="30075" spans="104:111">
      <c r="CZ30075" s="256"/>
      <c r="DG30075" s="256"/>
    </row>
    <row r="30076" spans="104:111">
      <c r="CZ30076" s="256"/>
      <c r="DG30076" s="256"/>
    </row>
    <row r="30077" spans="104:111">
      <c r="CZ30077" s="256"/>
      <c r="DG30077" s="256"/>
    </row>
    <row r="30078" spans="104:111">
      <c r="CZ30078" s="256"/>
      <c r="DG30078" s="256"/>
    </row>
    <row r="30079" spans="104:111">
      <c r="CZ30079" s="256"/>
      <c r="DG30079" s="256"/>
    </row>
    <row r="30080" spans="104:111">
      <c r="CZ30080" s="256"/>
      <c r="DG30080" s="256"/>
    </row>
    <row r="30081" spans="104:111">
      <c r="CZ30081" s="256"/>
      <c r="DG30081" s="256"/>
    </row>
    <row r="30082" spans="104:111">
      <c r="CZ30082" s="256"/>
      <c r="DG30082" s="256"/>
    </row>
    <row r="30083" spans="104:111">
      <c r="CZ30083" s="256"/>
      <c r="DG30083" s="256"/>
    </row>
    <row r="30084" spans="104:111">
      <c r="CZ30084" s="256"/>
      <c r="DG30084" s="256"/>
    </row>
    <row r="30085" spans="104:111">
      <c r="CZ30085" s="256"/>
      <c r="DG30085" s="256"/>
    </row>
    <row r="30086" spans="104:111">
      <c r="CZ30086" s="256"/>
      <c r="DG30086" s="256"/>
    </row>
    <row r="30087" spans="104:111">
      <c r="CZ30087" s="256"/>
      <c r="DG30087" s="256"/>
    </row>
    <row r="30088" spans="104:111">
      <c r="CZ30088" s="256"/>
      <c r="DG30088" s="256"/>
    </row>
    <row r="30089" spans="104:111">
      <c r="CZ30089" s="256"/>
      <c r="DG30089" s="256"/>
    </row>
    <row r="30090" spans="104:111">
      <c r="CZ30090" s="256"/>
      <c r="DG30090" s="256"/>
    </row>
    <row r="30091" spans="104:111">
      <c r="CZ30091" s="256"/>
      <c r="DG30091" s="256"/>
    </row>
    <row r="30092" spans="104:111">
      <c r="CZ30092" s="256"/>
      <c r="DG30092" s="256"/>
    </row>
    <row r="30093" spans="104:111">
      <c r="CZ30093" s="256"/>
      <c r="DG30093" s="256"/>
    </row>
    <row r="30094" spans="104:111">
      <c r="CZ30094" s="256"/>
      <c r="DG30094" s="256"/>
    </row>
    <row r="30095" spans="104:111">
      <c r="CZ30095" s="256"/>
      <c r="DG30095" s="256"/>
    </row>
    <row r="30096" spans="104:111">
      <c r="CZ30096" s="256"/>
      <c r="DG30096" s="256"/>
    </row>
    <row r="30097" spans="104:111">
      <c r="CZ30097" s="256"/>
      <c r="DG30097" s="256"/>
    </row>
    <row r="30098" spans="104:111">
      <c r="CZ30098" s="256"/>
      <c r="DG30098" s="256"/>
    </row>
    <row r="30099" spans="104:111">
      <c r="CZ30099" s="256"/>
      <c r="DG30099" s="256"/>
    </row>
    <row r="30100" spans="104:111">
      <c r="CZ30100" s="256"/>
      <c r="DG30100" s="256"/>
    </row>
    <row r="30101" spans="104:111">
      <c r="CZ30101" s="256"/>
      <c r="DG30101" s="256"/>
    </row>
    <row r="30102" spans="104:111">
      <c r="CZ30102" s="256"/>
      <c r="DG30102" s="256"/>
    </row>
    <row r="30103" spans="104:111">
      <c r="CZ30103" s="256"/>
      <c r="DG30103" s="256"/>
    </row>
    <row r="30104" spans="104:111">
      <c r="CZ30104" s="256"/>
      <c r="DG30104" s="256"/>
    </row>
    <row r="30105" spans="104:111">
      <c r="CZ30105" s="256"/>
      <c r="DG30105" s="256"/>
    </row>
    <row r="30106" spans="104:111">
      <c r="CZ30106" s="256"/>
      <c r="DG30106" s="256"/>
    </row>
    <row r="30107" spans="104:111">
      <c r="CZ30107" s="256"/>
      <c r="DG30107" s="256"/>
    </row>
    <row r="30108" spans="104:111">
      <c r="CZ30108" s="256"/>
      <c r="DG30108" s="256"/>
    </row>
    <row r="30109" spans="104:111">
      <c r="CZ30109" s="256"/>
      <c r="DG30109" s="256"/>
    </row>
    <row r="30110" spans="104:111">
      <c r="CZ30110" s="256"/>
      <c r="DG30110" s="256"/>
    </row>
    <row r="30111" spans="104:111">
      <c r="CZ30111" s="256"/>
      <c r="DG30111" s="256"/>
    </row>
    <row r="30112" spans="104:111">
      <c r="CZ30112" s="256"/>
      <c r="DG30112" s="256"/>
    </row>
    <row r="30113" spans="104:111">
      <c r="CZ30113" s="256"/>
      <c r="DG30113" s="256"/>
    </row>
    <row r="30114" spans="104:111">
      <c r="CZ30114" s="256"/>
      <c r="DG30114" s="256"/>
    </row>
    <row r="30115" spans="104:111">
      <c r="CZ30115" s="256"/>
      <c r="DG30115" s="256"/>
    </row>
    <row r="30116" spans="104:111">
      <c r="CZ30116" s="256"/>
      <c r="DG30116" s="256"/>
    </row>
    <row r="30117" spans="104:111">
      <c r="CZ30117" s="256"/>
      <c r="DG30117" s="256"/>
    </row>
    <row r="30118" spans="104:111">
      <c r="CZ30118" s="256"/>
      <c r="DG30118" s="256"/>
    </row>
    <row r="30119" spans="104:111">
      <c r="CZ30119" s="256"/>
      <c r="DG30119" s="256"/>
    </row>
    <row r="30120" spans="104:111">
      <c r="CZ30120" s="256"/>
      <c r="DG30120" s="256"/>
    </row>
    <row r="30121" spans="104:111">
      <c r="CZ30121" s="256"/>
      <c r="DG30121" s="256"/>
    </row>
    <row r="30122" spans="104:111">
      <c r="CZ30122" s="256"/>
      <c r="DG30122" s="256"/>
    </row>
    <row r="30123" spans="104:111">
      <c r="CZ30123" s="256"/>
      <c r="DG30123" s="256"/>
    </row>
    <row r="30124" spans="104:111">
      <c r="CZ30124" s="256"/>
      <c r="DG30124" s="256"/>
    </row>
    <row r="30125" spans="104:111">
      <c r="CZ30125" s="256"/>
      <c r="DG30125" s="256"/>
    </row>
    <row r="30126" spans="104:111">
      <c r="CZ30126" s="256"/>
      <c r="DG30126" s="256"/>
    </row>
    <row r="30127" spans="104:111">
      <c r="CZ30127" s="256"/>
      <c r="DG30127" s="256"/>
    </row>
    <row r="30128" spans="104:111">
      <c r="CZ30128" s="256"/>
      <c r="DG30128" s="256"/>
    </row>
    <row r="30129" spans="104:111">
      <c r="CZ30129" s="256"/>
      <c r="DG30129" s="256"/>
    </row>
    <row r="30130" spans="104:111">
      <c r="CZ30130" s="256"/>
      <c r="DG30130" s="256"/>
    </row>
    <row r="30131" spans="104:111">
      <c r="CZ30131" s="256"/>
      <c r="DG30131" s="256"/>
    </row>
    <row r="30132" spans="104:111">
      <c r="CZ30132" s="256"/>
      <c r="DG30132" s="256"/>
    </row>
    <row r="30133" spans="104:111">
      <c r="CZ30133" s="256"/>
      <c r="DG30133" s="256"/>
    </row>
    <row r="30134" spans="104:111">
      <c r="CZ30134" s="256"/>
      <c r="DG30134" s="256"/>
    </row>
    <row r="30135" spans="104:111">
      <c r="CZ30135" s="256"/>
      <c r="DG30135" s="256"/>
    </row>
    <row r="30136" spans="104:111">
      <c r="CZ30136" s="256"/>
      <c r="DG30136" s="256"/>
    </row>
    <row r="30137" spans="104:111">
      <c r="CZ30137" s="256"/>
      <c r="DG30137" s="256"/>
    </row>
    <row r="30138" spans="104:111">
      <c r="CZ30138" s="256"/>
      <c r="DG30138" s="256"/>
    </row>
    <row r="30139" spans="104:111">
      <c r="CZ30139" s="256"/>
      <c r="DG30139" s="256"/>
    </row>
    <row r="30140" spans="104:111">
      <c r="CZ30140" s="256"/>
      <c r="DG30140" s="256"/>
    </row>
    <row r="30141" spans="104:111">
      <c r="CZ30141" s="256"/>
      <c r="DG30141" s="256"/>
    </row>
    <row r="30142" spans="104:111">
      <c r="CZ30142" s="256"/>
      <c r="DG30142" s="256"/>
    </row>
    <row r="30143" spans="104:111">
      <c r="CZ30143" s="256"/>
      <c r="DG30143" s="256"/>
    </row>
    <row r="30144" spans="104:111">
      <c r="CZ30144" s="256"/>
      <c r="DG30144" s="256"/>
    </row>
    <row r="30145" spans="104:111">
      <c r="CZ30145" s="256"/>
      <c r="DG30145" s="256"/>
    </row>
    <row r="30146" spans="104:111">
      <c r="CZ30146" s="256"/>
      <c r="DG30146" s="256"/>
    </row>
    <row r="30147" spans="104:111">
      <c r="CZ30147" s="256"/>
      <c r="DG30147" s="256"/>
    </row>
    <row r="30148" spans="104:111">
      <c r="CZ30148" s="256"/>
      <c r="DG30148" s="256"/>
    </row>
    <row r="30149" spans="104:111">
      <c r="CZ30149" s="256"/>
      <c r="DG30149" s="256"/>
    </row>
    <row r="30150" spans="104:111">
      <c r="CZ30150" s="256"/>
      <c r="DG30150" s="256"/>
    </row>
    <row r="30151" spans="104:111">
      <c r="CZ30151" s="256"/>
      <c r="DG30151" s="256"/>
    </row>
    <row r="30152" spans="104:111">
      <c r="CZ30152" s="256"/>
      <c r="DG30152" s="256"/>
    </row>
    <row r="30153" spans="104:111">
      <c r="CZ30153" s="256"/>
      <c r="DG30153" s="256"/>
    </row>
    <row r="30154" spans="104:111">
      <c r="CZ30154" s="256"/>
      <c r="DG30154" s="256"/>
    </row>
    <row r="30155" spans="104:111">
      <c r="CZ30155" s="256"/>
      <c r="DG30155" s="256"/>
    </row>
    <row r="30156" spans="104:111">
      <c r="CZ30156" s="256"/>
      <c r="DG30156" s="256"/>
    </row>
    <row r="30157" spans="104:111">
      <c r="CZ30157" s="256"/>
      <c r="DG30157" s="256"/>
    </row>
    <row r="30158" spans="104:111">
      <c r="CZ30158" s="256"/>
      <c r="DG30158" s="256"/>
    </row>
    <row r="30159" spans="104:111">
      <c r="CZ30159" s="256"/>
      <c r="DG30159" s="256"/>
    </row>
    <row r="30160" spans="104:111">
      <c r="CZ30160" s="256"/>
      <c r="DG30160" s="256"/>
    </row>
    <row r="30161" spans="104:111">
      <c r="CZ30161" s="256"/>
      <c r="DG30161" s="256"/>
    </row>
    <row r="30162" spans="104:111">
      <c r="CZ30162" s="256"/>
      <c r="DG30162" s="256"/>
    </row>
    <row r="30163" spans="104:111">
      <c r="CZ30163" s="256"/>
      <c r="DG30163" s="256"/>
    </row>
    <row r="30164" spans="104:111">
      <c r="CZ30164" s="256"/>
      <c r="DG30164" s="256"/>
    </row>
    <row r="30165" spans="104:111">
      <c r="CZ30165" s="256"/>
      <c r="DG30165" s="256"/>
    </row>
    <row r="30166" spans="104:111">
      <c r="CZ30166" s="256"/>
      <c r="DG30166" s="256"/>
    </row>
    <row r="30167" spans="104:111">
      <c r="CZ30167" s="256"/>
      <c r="DG30167" s="256"/>
    </row>
    <row r="30168" spans="104:111">
      <c r="CZ30168" s="256"/>
      <c r="DG30168" s="256"/>
    </row>
    <row r="30169" spans="104:111">
      <c r="CZ30169" s="256"/>
      <c r="DG30169" s="256"/>
    </row>
    <row r="30170" spans="104:111">
      <c r="CZ30170" s="256"/>
      <c r="DG30170" s="256"/>
    </row>
    <row r="30171" spans="104:111">
      <c r="CZ30171" s="256"/>
      <c r="DG30171" s="256"/>
    </row>
    <row r="30172" spans="104:111">
      <c r="CZ30172" s="256"/>
      <c r="DG30172" s="256"/>
    </row>
    <row r="30173" spans="104:111">
      <c r="CZ30173" s="256"/>
      <c r="DG30173" s="256"/>
    </row>
    <row r="30174" spans="104:111">
      <c r="CZ30174" s="256"/>
      <c r="DG30174" s="256"/>
    </row>
    <row r="30175" spans="104:111">
      <c r="CZ30175" s="256"/>
      <c r="DG30175" s="256"/>
    </row>
    <row r="30176" spans="104:111">
      <c r="CZ30176" s="256"/>
      <c r="DG30176" s="256"/>
    </row>
    <row r="30177" spans="104:111">
      <c r="CZ30177" s="256"/>
      <c r="DG30177" s="256"/>
    </row>
    <row r="30178" spans="104:111">
      <c r="CZ30178" s="256"/>
      <c r="DG30178" s="256"/>
    </row>
    <row r="30179" spans="104:111">
      <c r="CZ30179" s="256"/>
      <c r="DG30179" s="256"/>
    </row>
    <row r="30180" spans="104:111">
      <c r="CZ30180" s="256"/>
      <c r="DG30180" s="256"/>
    </row>
    <row r="30181" spans="104:111">
      <c r="CZ30181" s="256"/>
      <c r="DG30181" s="256"/>
    </row>
    <row r="30182" spans="104:111">
      <c r="CZ30182" s="256"/>
      <c r="DG30182" s="256"/>
    </row>
    <row r="30183" spans="104:111">
      <c r="CZ30183" s="256"/>
      <c r="DG30183" s="256"/>
    </row>
    <row r="30184" spans="104:111">
      <c r="CZ30184" s="256"/>
      <c r="DG30184" s="256"/>
    </row>
    <row r="30185" spans="104:111">
      <c r="CZ30185" s="256"/>
      <c r="DG30185" s="256"/>
    </row>
    <row r="30186" spans="104:111">
      <c r="CZ30186" s="256"/>
      <c r="DG30186" s="256"/>
    </row>
    <row r="30187" spans="104:111">
      <c r="CZ30187" s="256"/>
      <c r="DG30187" s="256"/>
    </row>
    <row r="30188" spans="104:111">
      <c r="CZ30188" s="256"/>
      <c r="DG30188" s="256"/>
    </row>
    <row r="30189" spans="104:111">
      <c r="CZ30189" s="256"/>
      <c r="DG30189" s="256"/>
    </row>
    <row r="30190" spans="104:111">
      <c r="CZ30190" s="256"/>
      <c r="DG30190" s="256"/>
    </row>
    <row r="30191" spans="104:111">
      <c r="CZ30191" s="256"/>
      <c r="DG30191" s="256"/>
    </row>
    <row r="30192" spans="104:111">
      <c r="CZ30192" s="256"/>
      <c r="DG30192" s="256"/>
    </row>
    <row r="30193" spans="104:111">
      <c r="CZ30193" s="256"/>
      <c r="DG30193" s="256"/>
    </row>
    <row r="30194" spans="104:111">
      <c r="CZ30194" s="256"/>
      <c r="DG30194" s="256"/>
    </row>
    <row r="30195" spans="104:111">
      <c r="CZ30195" s="256"/>
      <c r="DG30195" s="256"/>
    </row>
    <row r="30196" spans="104:111">
      <c r="CZ30196" s="256"/>
      <c r="DG30196" s="256"/>
    </row>
    <row r="30197" spans="104:111">
      <c r="CZ30197" s="256"/>
      <c r="DG30197" s="256"/>
    </row>
    <row r="30198" spans="104:111">
      <c r="CZ30198" s="256"/>
      <c r="DG30198" s="256"/>
    </row>
    <row r="30199" spans="104:111">
      <c r="CZ30199" s="256"/>
      <c r="DG30199" s="256"/>
    </row>
    <row r="30200" spans="104:111">
      <c r="CZ30200" s="256"/>
      <c r="DG30200" s="256"/>
    </row>
    <row r="30201" spans="104:111">
      <c r="CZ30201" s="256"/>
      <c r="DG30201" s="256"/>
    </row>
    <row r="30202" spans="104:111">
      <c r="CZ30202" s="256"/>
      <c r="DG30202" s="256"/>
    </row>
    <row r="30203" spans="104:111">
      <c r="CZ30203" s="256"/>
      <c r="DG30203" s="256"/>
    </row>
    <row r="30204" spans="104:111">
      <c r="CZ30204" s="256"/>
      <c r="DG30204" s="256"/>
    </row>
    <row r="30205" spans="104:111">
      <c r="CZ30205" s="256"/>
      <c r="DG30205" s="256"/>
    </row>
    <row r="30206" spans="104:111">
      <c r="CZ30206" s="256"/>
      <c r="DG30206" s="256"/>
    </row>
    <row r="30207" spans="104:111">
      <c r="CZ30207" s="256"/>
      <c r="DG30207" s="256"/>
    </row>
    <row r="30208" spans="104:111">
      <c r="CZ30208" s="256"/>
      <c r="DG30208" s="256"/>
    </row>
    <row r="30209" spans="104:111">
      <c r="CZ30209" s="256"/>
      <c r="DG30209" s="256"/>
    </row>
    <row r="30210" spans="104:111">
      <c r="CZ30210" s="256"/>
      <c r="DG30210" s="256"/>
    </row>
    <row r="30211" spans="104:111">
      <c r="CZ30211" s="256"/>
      <c r="DG30211" s="256"/>
    </row>
    <row r="30212" spans="104:111">
      <c r="CZ30212" s="256"/>
      <c r="DG30212" s="256"/>
    </row>
    <row r="30213" spans="104:111">
      <c r="CZ30213" s="256"/>
      <c r="DG30213" s="256"/>
    </row>
    <row r="30214" spans="104:111">
      <c r="CZ30214" s="256"/>
      <c r="DG30214" s="256"/>
    </row>
    <row r="30215" spans="104:111">
      <c r="CZ30215" s="256"/>
      <c r="DG30215" s="256"/>
    </row>
    <row r="30216" spans="104:111">
      <c r="CZ30216" s="256"/>
      <c r="DG30216" s="256"/>
    </row>
    <row r="30217" spans="104:111">
      <c r="CZ30217" s="256"/>
      <c r="DG30217" s="256"/>
    </row>
    <row r="30218" spans="104:111">
      <c r="CZ30218" s="256"/>
      <c r="DG30218" s="256"/>
    </row>
    <row r="30219" spans="104:111">
      <c r="CZ30219" s="256"/>
      <c r="DG30219" s="256"/>
    </row>
    <row r="30220" spans="104:111">
      <c r="CZ30220" s="256"/>
      <c r="DG30220" s="256"/>
    </row>
    <row r="30221" spans="104:111">
      <c r="CZ30221" s="256"/>
      <c r="DG30221" s="256"/>
    </row>
    <row r="30222" spans="104:111">
      <c r="CZ30222" s="256"/>
      <c r="DG30222" s="256"/>
    </row>
    <row r="30223" spans="104:111">
      <c r="CZ30223" s="256"/>
      <c r="DG30223" s="256"/>
    </row>
    <row r="30224" spans="104:111">
      <c r="CZ30224" s="256"/>
      <c r="DG30224" s="256"/>
    </row>
    <row r="30225" spans="104:111">
      <c r="CZ30225" s="256"/>
      <c r="DG30225" s="256"/>
    </row>
    <row r="30226" spans="104:111">
      <c r="CZ30226" s="256"/>
      <c r="DG30226" s="256"/>
    </row>
    <row r="30227" spans="104:111">
      <c r="CZ30227" s="256"/>
      <c r="DG30227" s="256"/>
    </row>
    <row r="30228" spans="104:111">
      <c r="CZ30228" s="256"/>
      <c r="DG30228" s="256"/>
    </row>
    <row r="30229" spans="104:111">
      <c r="CZ30229" s="256"/>
      <c r="DG30229" s="256"/>
    </row>
    <row r="30230" spans="104:111">
      <c r="CZ30230" s="256"/>
      <c r="DG30230" s="256"/>
    </row>
    <row r="30231" spans="104:111">
      <c r="CZ30231" s="256"/>
      <c r="DG30231" s="256"/>
    </row>
    <row r="30232" spans="104:111">
      <c r="CZ30232" s="256"/>
      <c r="DG30232" s="256"/>
    </row>
    <row r="30233" spans="104:111">
      <c r="CZ30233" s="256"/>
      <c r="DG30233" s="256"/>
    </row>
    <row r="30234" spans="104:111">
      <c r="CZ30234" s="256"/>
      <c r="DG30234" s="256"/>
    </row>
    <row r="30235" spans="104:111">
      <c r="CZ30235" s="256"/>
      <c r="DG30235" s="256"/>
    </row>
    <row r="30236" spans="104:111">
      <c r="CZ30236" s="256"/>
      <c r="DG30236" s="256"/>
    </row>
    <row r="30237" spans="104:111">
      <c r="CZ30237" s="256"/>
      <c r="DG30237" s="256"/>
    </row>
    <row r="30238" spans="104:111">
      <c r="CZ30238" s="256"/>
      <c r="DG30238" s="256"/>
    </row>
    <row r="30239" spans="104:111">
      <c r="CZ30239" s="256"/>
      <c r="DG30239" s="256"/>
    </row>
    <row r="30240" spans="104:111">
      <c r="CZ30240" s="256"/>
      <c r="DG30240" s="256"/>
    </row>
    <row r="30241" spans="104:111">
      <c r="CZ30241" s="256"/>
      <c r="DG30241" s="256"/>
    </row>
    <row r="30242" spans="104:111">
      <c r="CZ30242" s="256"/>
      <c r="DG30242" s="256"/>
    </row>
    <row r="30243" spans="104:111">
      <c r="CZ30243" s="256"/>
      <c r="DG30243" s="256"/>
    </row>
    <row r="30244" spans="104:111">
      <c r="CZ30244" s="256"/>
      <c r="DG30244" s="256"/>
    </row>
    <row r="30245" spans="104:111">
      <c r="CZ30245" s="256"/>
      <c r="DG30245" s="256"/>
    </row>
    <row r="30246" spans="104:111">
      <c r="CZ30246" s="256"/>
      <c r="DG30246" s="256"/>
    </row>
    <row r="30247" spans="104:111">
      <c r="CZ30247" s="256"/>
      <c r="DG30247" s="256"/>
    </row>
    <row r="30248" spans="104:111">
      <c r="CZ30248" s="256"/>
      <c r="DG30248" s="256"/>
    </row>
    <row r="30249" spans="104:111">
      <c r="CZ30249" s="256"/>
      <c r="DG30249" s="256"/>
    </row>
    <row r="30250" spans="104:111">
      <c r="CZ30250" s="256"/>
      <c r="DG30250" s="256"/>
    </row>
    <row r="30251" spans="104:111">
      <c r="CZ30251" s="256"/>
      <c r="DG30251" s="256"/>
    </row>
    <row r="30252" spans="104:111">
      <c r="CZ30252" s="256"/>
      <c r="DG30252" s="256"/>
    </row>
    <row r="30253" spans="104:111">
      <c r="CZ30253" s="256"/>
      <c r="DG30253" s="256"/>
    </row>
    <row r="30254" spans="104:111">
      <c r="CZ30254" s="256"/>
      <c r="DG30254" s="256"/>
    </row>
    <row r="30255" spans="104:111">
      <c r="CZ30255" s="256"/>
      <c r="DG30255" s="256"/>
    </row>
    <row r="30256" spans="104:111">
      <c r="CZ30256" s="256"/>
      <c r="DG30256" s="256"/>
    </row>
    <row r="30257" spans="104:111">
      <c r="CZ30257" s="256"/>
      <c r="DG30257" s="256"/>
    </row>
    <row r="30258" spans="104:111">
      <c r="CZ30258" s="256"/>
      <c r="DG30258" s="256"/>
    </row>
    <row r="30259" spans="104:111">
      <c r="CZ30259" s="256"/>
      <c r="DG30259" s="256"/>
    </row>
    <row r="30260" spans="104:111">
      <c r="CZ30260" s="256"/>
      <c r="DG30260" s="256"/>
    </row>
    <row r="30261" spans="104:111">
      <c r="CZ30261" s="256"/>
      <c r="DG30261" s="256"/>
    </row>
    <row r="30262" spans="104:111">
      <c r="CZ30262" s="256"/>
      <c r="DG30262" s="256"/>
    </row>
    <row r="30263" spans="104:111">
      <c r="CZ30263" s="256"/>
      <c r="DG30263" s="256"/>
    </row>
    <row r="30264" spans="104:111">
      <c r="CZ30264" s="256"/>
      <c r="DG30264" s="256"/>
    </row>
    <row r="30265" spans="104:111">
      <c r="CZ30265" s="256"/>
      <c r="DG30265" s="256"/>
    </row>
    <row r="30266" spans="104:111">
      <c r="CZ30266" s="256"/>
      <c r="DG30266" s="256"/>
    </row>
    <row r="30267" spans="104:111">
      <c r="CZ30267" s="256"/>
      <c r="DG30267" s="256"/>
    </row>
    <row r="30268" spans="104:111">
      <c r="CZ30268" s="256"/>
      <c r="DG30268" s="256"/>
    </row>
    <row r="30269" spans="104:111">
      <c r="CZ30269" s="256"/>
      <c r="DG30269" s="256"/>
    </row>
    <row r="30270" spans="104:111">
      <c r="CZ30270" s="256"/>
      <c r="DG30270" s="256"/>
    </row>
    <row r="30271" spans="104:111">
      <c r="CZ30271" s="256"/>
      <c r="DG30271" s="256"/>
    </row>
    <row r="30272" spans="104:111">
      <c r="CZ30272" s="256"/>
      <c r="DG30272" s="256"/>
    </row>
    <row r="30273" spans="104:111">
      <c r="CZ30273" s="256"/>
      <c r="DG30273" s="256"/>
    </row>
    <row r="30274" spans="104:111">
      <c r="CZ30274" s="256"/>
      <c r="DG30274" s="256"/>
    </row>
    <row r="30275" spans="104:111">
      <c r="CZ30275" s="256"/>
      <c r="DG30275" s="256"/>
    </row>
    <row r="30276" spans="104:111">
      <c r="CZ30276" s="256"/>
      <c r="DG30276" s="256"/>
    </row>
    <row r="30277" spans="104:111">
      <c r="CZ30277" s="256"/>
      <c r="DG30277" s="256"/>
    </row>
    <row r="30278" spans="104:111">
      <c r="CZ30278" s="256"/>
      <c r="DG30278" s="256"/>
    </row>
    <row r="30279" spans="104:111">
      <c r="CZ30279" s="256"/>
      <c r="DG30279" s="256"/>
    </row>
    <row r="30280" spans="104:111">
      <c r="CZ30280" s="256"/>
      <c r="DG30280" s="256"/>
    </row>
    <row r="30281" spans="104:111">
      <c r="CZ30281" s="256"/>
      <c r="DG30281" s="256"/>
    </row>
    <row r="30282" spans="104:111">
      <c r="CZ30282" s="256"/>
      <c r="DG30282" s="256"/>
    </row>
    <row r="30283" spans="104:111">
      <c r="CZ30283" s="256"/>
      <c r="DG30283" s="256"/>
    </row>
    <row r="30284" spans="104:111">
      <c r="CZ30284" s="256"/>
      <c r="DG30284" s="256"/>
    </row>
    <row r="30285" spans="104:111">
      <c r="CZ30285" s="256"/>
      <c r="DG30285" s="256"/>
    </row>
    <row r="30286" spans="104:111">
      <c r="CZ30286" s="256"/>
      <c r="DG30286" s="256"/>
    </row>
    <row r="30287" spans="104:111">
      <c r="CZ30287" s="256"/>
      <c r="DG30287" s="256"/>
    </row>
    <row r="30288" spans="104:111">
      <c r="CZ30288" s="256"/>
      <c r="DG30288" s="256"/>
    </row>
    <row r="30289" spans="104:111">
      <c r="CZ30289" s="256"/>
      <c r="DG30289" s="256"/>
    </row>
    <row r="30290" spans="104:111">
      <c r="CZ30290" s="256"/>
      <c r="DG30290" s="256"/>
    </row>
    <row r="30291" spans="104:111">
      <c r="CZ30291" s="256"/>
      <c r="DG30291" s="256"/>
    </row>
    <row r="30292" spans="104:111">
      <c r="CZ30292" s="256"/>
      <c r="DG30292" s="256"/>
    </row>
    <row r="30293" spans="104:111">
      <c r="CZ30293" s="256"/>
      <c r="DG30293" s="256"/>
    </row>
    <row r="30294" spans="104:111">
      <c r="CZ30294" s="256"/>
      <c r="DG30294" s="256"/>
    </row>
    <row r="30295" spans="104:111">
      <c r="CZ30295" s="256"/>
      <c r="DG30295" s="256"/>
    </row>
    <row r="30296" spans="104:111">
      <c r="CZ30296" s="256"/>
      <c r="DG30296" s="256"/>
    </row>
    <row r="30297" spans="104:111">
      <c r="CZ30297" s="256"/>
      <c r="DG30297" s="256"/>
    </row>
    <row r="30298" spans="104:111">
      <c r="CZ30298" s="256"/>
      <c r="DG30298" s="256"/>
    </row>
    <row r="30299" spans="104:111">
      <c r="CZ30299" s="256"/>
      <c r="DG30299" s="256"/>
    </row>
    <row r="30300" spans="104:111">
      <c r="CZ30300" s="256"/>
      <c r="DG30300" s="256"/>
    </row>
    <row r="30301" spans="104:111">
      <c r="CZ30301" s="256"/>
      <c r="DG30301" s="256"/>
    </row>
    <row r="30302" spans="104:111">
      <c r="CZ30302" s="256"/>
      <c r="DG30302" s="256"/>
    </row>
    <row r="30303" spans="104:111">
      <c r="CZ30303" s="256"/>
      <c r="DG30303" s="256"/>
    </row>
    <row r="30304" spans="104:111">
      <c r="CZ30304" s="256"/>
      <c r="DG30304" s="256"/>
    </row>
    <row r="30305" spans="104:111">
      <c r="CZ30305" s="256"/>
      <c r="DG30305" s="256"/>
    </row>
    <row r="30306" spans="104:111">
      <c r="CZ30306" s="256"/>
      <c r="DG30306" s="256"/>
    </row>
    <row r="30307" spans="104:111">
      <c r="CZ30307" s="256"/>
      <c r="DG30307" s="256"/>
    </row>
    <row r="30308" spans="104:111">
      <c r="CZ30308" s="256"/>
      <c r="DG30308" s="256"/>
    </row>
    <row r="30309" spans="104:111">
      <c r="CZ30309" s="256"/>
      <c r="DG30309" s="256"/>
    </row>
    <row r="30310" spans="104:111">
      <c r="CZ30310" s="256"/>
      <c r="DG30310" s="256"/>
    </row>
    <row r="30311" spans="104:111">
      <c r="CZ30311" s="256"/>
      <c r="DG30311" s="256"/>
    </row>
    <row r="30312" spans="104:111">
      <c r="CZ30312" s="256"/>
      <c r="DG30312" s="256"/>
    </row>
    <row r="30313" spans="104:111">
      <c r="CZ30313" s="256"/>
      <c r="DG30313" s="256"/>
    </row>
    <row r="30314" spans="104:111">
      <c r="CZ30314" s="256"/>
      <c r="DG30314" s="256"/>
    </row>
    <row r="30315" spans="104:111">
      <c r="CZ30315" s="256"/>
      <c r="DG30315" s="256"/>
    </row>
    <row r="30316" spans="104:111">
      <c r="CZ30316" s="256"/>
      <c r="DG30316" s="256"/>
    </row>
    <row r="30317" spans="104:111">
      <c r="CZ30317" s="256"/>
      <c r="DG30317" s="256"/>
    </row>
    <row r="30318" spans="104:111">
      <c r="CZ30318" s="256"/>
      <c r="DG30318" s="256"/>
    </row>
    <row r="30319" spans="104:111">
      <c r="CZ30319" s="256"/>
      <c r="DG30319" s="256"/>
    </row>
    <row r="30320" spans="104:111">
      <c r="CZ30320" s="256"/>
      <c r="DG30320" s="256"/>
    </row>
    <row r="30321" spans="104:111">
      <c r="CZ30321" s="256"/>
      <c r="DG30321" s="256"/>
    </row>
    <row r="30322" spans="104:111">
      <c r="CZ30322" s="256"/>
      <c r="DG30322" s="256"/>
    </row>
    <row r="30323" spans="104:111">
      <c r="CZ30323" s="256"/>
      <c r="DG30323" s="256"/>
    </row>
    <row r="30324" spans="104:111">
      <c r="CZ30324" s="256"/>
      <c r="DG30324" s="256"/>
    </row>
    <row r="30325" spans="104:111">
      <c r="CZ30325" s="256"/>
      <c r="DG30325" s="256"/>
    </row>
    <row r="30326" spans="104:111">
      <c r="CZ30326" s="256"/>
      <c r="DG30326" s="256"/>
    </row>
    <row r="30327" spans="104:111">
      <c r="CZ30327" s="256"/>
      <c r="DG30327" s="256"/>
    </row>
    <row r="30328" spans="104:111">
      <c r="CZ30328" s="256"/>
      <c r="DG30328" s="256"/>
    </row>
    <row r="30329" spans="104:111">
      <c r="CZ30329" s="256"/>
      <c r="DG30329" s="256"/>
    </row>
    <row r="30330" spans="104:111">
      <c r="CZ30330" s="256"/>
      <c r="DG30330" s="256"/>
    </row>
    <row r="30331" spans="104:111">
      <c r="CZ30331" s="256"/>
      <c r="DG30331" s="256"/>
    </row>
    <row r="30332" spans="104:111">
      <c r="CZ30332" s="256"/>
      <c r="DG30332" s="256"/>
    </row>
    <row r="30333" spans="104:111">
      <c r="CZ30333" s="256"/>
      <c r="DG30333" s="256"/>
    </row>
    <row r="30334" spans="104:111">
      <c r="CZ30334" s="256"/>
      <c r="DG30334" s="256"/>
    </row>
    <row r="30335" spans="104:111">
      <c r="CZ30335" s="256"/>
      <c r="DG30335" s="256"/>
    </row>
    <row r="30336" spans="104:111">
      <c r="CZ30336" s="256"/>
      <c r="DG30336" s="256"/>
    </row>
    <row r="30337" spans="104:111">
      <c r="CZ30337" s="256"/>
      <c r="DG30337" s="256"/>
    </row>
    <row r="30338" spans="104:111">
      <c r="CZ30338" s="256"/>
      <c r="DG30338" s="256"/>
    </row>
    <row r="30339" spans="104:111">
      <c r="CZ30339" s="256"/>
      <c r="DG30339" s="256"/>
    </row>
    <row r="30340" spans="104:111">
      <c r="CZ30340" s="256"/>
      <c r="DG30340" s="256"/>
    </row>
    <row r="30341" spans="104:111">
      <c r="CZ30341" s="256"/>
      <c r="DG30341" s="256"/>
    </row>
    <row r="30342" spans="104:111">
      <c r="CZ30342" s="256"/>
      <c r="DG30342" s="256"/>
    </row>
    <row r="30343" spans="104:111">
      <c r="CZ30343" s="256"/>
      <c r="DG30343" s="256"/>
    </row>
    <row r="30344" spans="104:111">
      <c r="CZ30344" s="256"/>
      <c r="DG30344" s="256"/>
    </row>
    <row r="30345" spans="104:111">
      <c r="CZ30345" s="256"/>
      <c r="DG30345" s="256"/>
    </row>
    <row r="30346" spans="104:111">
      <c r="CZ30346" s="256"/>
      <c r="DG30346" s="256"/>
    </row>
    <row r="30347" spans="104:111">
      <c r="CZ30347" s="256"/>
      <c r="DG30347" s="256"/>
    </row>
    <row r="30348" spans="104:111">
      <c r="CZ30348" s="256"/>
      <c r="DG30348" s="256"/>
    </row>
    <row r="30349" spans="104:111">
      <c r="CZ30349" s="256"/>
      <c r="DG30349" s="256"/>
    </row>
    <row r="30350" spans="104:111">
      <c r="CZ30350" s="256"/>
      <c r="DG30350" s="256"/>
    </row>
    <row r="30351" spans="104:111">
      <c r="CZ30351" s="256"/>
      <c r="DG30351" s="256"/>
    </row>
    <row r="30352" spans="104:111">
      <c r="CZ30352" s="256"/>
      <c r="DG30352" s="256"/>
    </row>
    <row r="30353" spans="104:111">
      <c r="CZ30353" s="256"/>
      <c r="DG30353" s="256"/>
    </row>
    <row r="30354" spans="104:111">
      <c r="CZ30354" s="256"/>
      <c r="DG30354" s="256"/>
    </row>
    <row r="30355" spans="104:111">
      <c r="CZ30355" s="256"/>
      <c r="DG30355" s="256"/>
    </row>
    <row r="30356" spans="104:111">
      <c r="CZ30356" s="256"/>
      <c r="DG30356" s="256"/>
    </row>
    <row r="30357" spans="104:111">
      <c r="CZ30357" s="256"/>
      <c r="DG30357" s="256"/>
    </row>
    <row r="30358" spans="104:111">
      <c r="CZ30358" s="256"/>
      <c r="DG30358" s="256"/>
    </row>
    <row r="30359" spans="104:111">
      <c r="CZ30359" s="256"/>
      <c r="DG30359" s="256"/>
    </row>
    <row r="30360" spans="104:111">
      <c r="CZ30360" s="256"/>
      <c r="DG30360" s="256"/>
    </row>
    <row r="30361" spans="104:111">
      <c r="CZ30361" s="256"/>
      <c r="DG30361" s="256"/>
    </row>
    <row r="30362" spans="104:111">
      <c r="CZ30362" s="256"/>
      <c r="DG30362" s="256"/>
    </row>
    <row r="30363" spans="104:111">
      <c r="CZ30363" s="256"/>
      <c r="DG30363" s="256"/>
    </row>
    <row r="30364" spans="104:111">
      <c r="CZ30364" s="256"/>
      <c r="DG30364" s="256"/>
    </row>
    <row r="30365" spans="104:111">
      <c r="CZ30365" s="256"/>
      <c r="DG30365" s="256"/>
    </row>
    <row r="30366" spans="104:111">
      <c r="CZ30366" s="256"/>
      <c r="DG30366" s="256"/>
    </row>
    <row r="30367" spans="104:111">
      <c r="CZ30367" s="256"/>
      <c r="DG30367" s="256"/>
    </row>
    <row r="30368" spans="104:111">
      <c r="CZ30368" s="256"/>
      <c r="DG30368" s="256"/>
    </row>
    <row r="30369" spans="104:111">
      <c r="CZ30369" s="256"/>
      <c r="DG30369" s="256"/>
    </row>
    <row r="30370" spans="104:111">
      <c r="CZ30370" s="256"/>
      <c r="DG30370" s="256"/>
    </row>
    <row r="30371" spans="104:111">
      <c r="CZ30371" s="256"/>
      <c r="DG30371" s="256"/>
    </row>
    <row r="30372" spans="104:111">
      <c r="CZ30372" s="256"/>
      <c r="DG30372" s="256"/>
    </row>
    <row r="30373" spans="104:111">
      <c r="CZ30373" s="256"/>
      <c r="DG30373" s="256"/>
    </row>
    <row r="30374" spans="104:111">
      <c r="CZ30374" s="256"/>
      <c r="DG30374" s="256"/>
    </row>
    <row r="30375" spans="104:111">
      <c r="CZ30375" s="256"/>
      <c r="DG30375" s="256"/>
    </row>
    <row r="30376" spans="104:111">
      <c r="CZ30376" s="256"/>
      <c r="DG30376" s="256"/>
    </row>
    <row r="30377" spans="104:111">
      <c r="CZ30377" s="256"/>
      <c r="DG30377" s="256"/>
    </row>
    <row r="30378" spans="104:111">
      <c r="CZ30378" s="256"/>
      <c r="DG30378" s="256"/>
    </row>
    <row r="30379" spans="104:111">
      <c r="CZ30379" s="256"/>
      <c r="DG30379" s="256"/>
    </row>
    <row r="30380" spans="104:111">
      <c r="CZ30380" s="256"/>
      <c r="DG30380" s="256"/>
    </row>
    <row r="30381" spans="104:111">
      <c r="CZ30381" s="256"/>
      <c r="DG30381" s="256"/>
    </row>
    <row r="30382" spans="104:111">
      <c r="CZ30382" s="256"/>
      <c r="DG30382" s="256"/>
    </row>
    <row r="30383" spans="104:111">
      <c r="CZ30383" s="256"/>
      <c r="DG30383" s="256"/>
    </row>
    <row r="30384" spans="104:111">
      <c r="CZ30384" s="256"/>
      <c r="DG30384" s="256"/>
    </row>
    <row r="30385" spans="104:111">
      <c r="CZ30385" s="256"/>
      <c r="DG30385" s="256"/>
    </row>
    <row r="30386" spans="104:111">
      <c r="CZ30386" s="256"/>
      <c r="DG30386" s="256"/>
    </row>
    <row r="30387" spans="104:111">
      <c r="CZ30387" s="256"/>
      <c r="DG30387" s="256"/>
    </row>
    <row r="30388" spans="104:111">
      <c r="CZ30388" s="256"/>
      <c r="DG30388" s="256"/>
    </row>
    <row r="30389" spans="104:111">
      <c r="CZ30389" s="256"/>
      <c r="DG30389" s="256"/>
    </row>
    <row r="30390" spans="104:111">
      <c r="CZ30390" s="256"/>
      <c r="DG30390" s="256"/>
    </row>
    <row r="30391" spans="104:111">
      <c r="CZ30391" s="256"/>
      <c r="DG30391" s="256"/>
    </row>
    <row r="30392" spans="104:111">
      <c r="CZ30392" s="256"/>
      <c r="DG30392" s="256"/>
    </row>
    <row r="30393" spans="104:111">
      <c r="CZ30393" s="256"/>
      <c r="DG30393" s="256"/>
    </row>
    <row r="30394" spans="104:111">
      <c r="CZ30394" s="256"/>
      <c r="DG30394" s="256"/>
    </row>
    <row r="30395" spans="104:111">
      <c r="CZ30395" s="256"/>
      <c r="DG30395" s="256"/>
    </row>
    <row r="30396" spans="104:111">
      <c r="CZ30396" s="256"/>
      <c r="DG30396" s="256"/>
    </row>
    <row r="30397" spans="104:111">
      <c r="CZ30397" s="256"/>
      <c r="DG30397" s="256"/>
    </row>
    <row r="30398" spans="104:111">
      <c r="CZ30398" s="256"/>
      <c r="DG30398" s="256"/>
    </row>
    <row r="30399" spans="104:111">
      <c r="CZ30399" s="256"/>
      <c r="DG30399" s="256"/>
    </row>
    <row r="30400" spans="104:111">
      <c r="CZ30400" s="256"/>
      <c r="DG30400" s="256"/>
    </row>
    <row r="30401" spans="104:111">
      <c r="CZ30401" s="256"/>
      <c r="DG30401" s="256"/>
    </row>
    <row r="30402" spans="104:111">
      <c r="CZ30402" s="256"/>
      <c r="DG30402" s="256"/>
    </row>
    <row r="30403" spans="104:111">
      <c r="CZ30403" s="256"/>
      <c r="DG30403" s="256"/>
    </row>
    <row r="30404" spans="104:111">
      <c r="CZ30404" s="256"/>
      <c r="DG30404" s="256"/>
    </row>
    <row r="30405" spans="104:111">
      <c r="CZ30405" s="256"/>
      <c r="DG30405" s="256"/>
    </row>
    <row r="30406" spans="104:111">
      <c r="CZ30406" s="256"/>
      <c r="DG30406" s="256"/>
    </row>
    <row r="30407" spans="104:111">
      <c r="CZ30407" s="256"/>
      <c r="DG30407" s="256"/>
    </row>
    <row r="30408" spans="104:111">
      <c r="CZ30408" s="256"/>
      <c r="DG30408" s="256"/>
    </row>
    <row r="30409" spans="104:111">
      <c r="CZ30409" s="256"/>
      <c r="DG30409" s="256"/>
    </row>
    <row r="30410" spans="104:111">
      <c r="CZ30410" s="256"/>
      <c r="DG30410" s="256"/>
    </row>
    <row r="30411" spans="104:111">
      <c r="CZ30411" s="256"/>
      <c r="DG30411" s="256"/>
    </row>
    <row r="30412" spans="104:111">
      <c r="CZ30412" s="256"/>
      <c r="DG30412" s="256"/>
    </row>
    <row r="30413" spans="104:111">
      <c r="CZ30413" s="256"/>
      <c r="DG30413" s="256"/>
    </row>
    <row r="30414" spans="104:111">
      <c r="CZ30414" s="256"/>
      <c r="DG30414" s="256"/>
    </row>
    <row r="30415" spans="104:111">
      <c r="CZ30415" s="256"/>
      <c r="DG30415" s="256"/>
    </row>
    <row r="30416" spans="104:111">
      <c r="CZ30416" s="256"/>
      <c r="DG30416" s="256"/>
    </row>
    <row r="30417" spans="104:111">
      <c r="CZ30417" s="256"/>
      <c r="DG30417" s="256"/>
    </row>
    <row r="30418" spans="104:111">
      <c r="CZ30418" s="256"/>
      <c r="DG30418" s="256"/>
    </row>
    <row r="30419" spans="104:111">
      <c r="CZ30419" s="256"/>
      <c r="DG30419" s="256"/>
    </row>
    <row r="30420" spans="104:111">
      <c r="CZ30420" s="256"/>
      <c r="DG30420" s="256"/>
    </row>
    <row r="30421" spans="104:111">
      <c r="CZ30421" s="256"/>
      <c r="DG30421" s="256"/>
    </row>
    <row r="30422" spans="104:111">
      <c r="CZ30422" s="256"/>
      <c r="DG30422" s="256"/>
    </row>
    <row r="30423" spans="104:111">
      <c r="CZ30423" s="256"/>
      <c r="DG30423" s="256"/>
    </row>
    <row r="30424" spans="104:111">
      <c r="CZ30424" s="256"/>
      <c r="DG30424" s="256"/>
    </row>
    <row r="30425" spans="104:111">
      <c r="CZ30425" s="256"/>
      <c r="DG30425" s="256"/>
    </row>
    <row r="30426" spans="104:111">
      <c r="CZ30426" s="256"/>
      <c r="DG30426" s="256"/>
    </row>
    <row r="30427" spans="104:111">
      <c r="CZ30427" s="256"/>
      <c r="DG30427" s="256"/>
    </row>
    <row r="30428" spans="104:111">
      <c r="CZ30428" s="256"/>
      <c r="DG30428" s="256"/>
    </row>
    <row r="30429" spans="104:111">
      <c r="CZ30429" s="256"/>
      <c r="DG30429" s="256"/>
    </row>
    <row r="30430" spans="104:111">
      <c r="CZ30430" s="256"/>
      <c r="DG30430" s="256"/>
    </row>
    <row r="30431" spans="104:111">
      <c r="CZ30431" s="256"/>
      <c r="DG30431" s="256"/>
    </row>
    <row r="30432" spans="104:111">
      <c r="CZ30432" s="256"/>
      <c r="DG30432" s="256"/>
    </row>
    <row r="30433" spans="104:111">
      <c r="CZ30433" s="256"/>
      <c r="DG30433" s="256"/>
    </row>
    <row r="30434" spans="104:111">
      <c r="CZ30434" s="256"/>
      <c r="DG30434" s="256"/>
    </row>
    <row r="30435" spans="104:111">
      <c r="CZ30435" s="256"/>
      <c r="DG30435" s="256"/>
    </row>
    <row r="30436" spans="104:111">
      <c r="CZ30436" s="256"/>
      <c r="DG30436" s="256"/>
    </row>
    <row r="30437" spans="104:111">
      <c r="CZ30437" s="256"/>
      <c r="DG30437" s="256"/>
    </row>
    <row r="30438" spans="104:111">
      <c r="CZ30438" s="256"/>
      <c r="DG30438" s="256"/>
    </row>
    <row r="30439" spans="104:111">
      <c r="CZ30439" s="256"/>
      <c r="DG30439" s="256"/>
    </row>
    <row r="30440" spans="104:111">
      <c r="CZ30440" s="256"/>
      <c r="DG30440" s="256"/>
    </row>
    <row r="30441" spans="104:111">
      <c r="CZ30441" s="256"/>
      <c r="DG30441" s="256"/>
    </row>
    <row r="30442" spans="104:111">
      <c r="CZ30442" s="256"/>
      <c r="DG30442" s="256"/>
    </row>
    <row r="30443" spans="104:111">
      <c r="CZ30443" s="256"/>
      <c r="DG30443" s="256"/>
    </row>
    <row r="30444" spans="104:111">
      <c r="CZ30444" s="256"/>
      <c r="DG30444" s="256"/>
    </row>
    <row r="30445" spans="104:111">
      <c r="CZ30445" s="256"/>
      <c r="DG30445" s="256"/>
    </row>
    <row r="30446" spans="104:111">
      <c r="CZ30446" s="256"/>
      <c r="DG30446" s="256"/>
    </row>
    <row r="30447" spans="104:111">
      <c r="CZ30447" s="256"/>
      <c r="DG30447" s="256"/>
    </row>
    <row r="30448" spans="104:111">
      <c r="CZ30448" s="256"/>
      <c r="DG30448" s="256"/>
    </row>
    <row r="30449" spans="104:111">
      <c r="CZ30449" s="256"/>
      <c r="DG30449" s="256"/>
    </row>
    <row r="30450" spans="104:111">
      <c r="CZ30450" s="256"/>
      <c r="DG30450" s="256"/>
    </row>
    <row r="30451" spans="104:111">
      <c r="CZ30451" s="256"/>
      <c r="DG30451" s="256"/>
    </row>
    <row r="30452" spans="104:111">
      <c r="CZ30452" s="256"/>
      <c r="DG30452" s="256"/>
    </row>
    <row r="30453" spans="104:111">
      <c r="CZ30453" s="256"/>
      <c r="DG30453" s="256"/>
    </row>
    <row r="30454" spans="104:111">
      <c r="CZ30454" s="256"/>
      <c r="DG30454" s="256"/>
    </row>
    <row r="30455" spans="104:111">
      <c r="CZ30455" s="256"/>
      <c r="DG30455" s="256"/>
    </row>
    <row r="30456" spans="104:111">
      <c r="CZ30456" s="256"/>
      <c r="DG30456" s="256"/>
    </row>
    <row r="30457" spans="104:111">
      <c r="CZ30457" s="256"/>
      <c r="DG30457" s="256"/>
    </row>
    <row r="30458" spans="104:111">
      <c r="CZ30458" s="256"/>
      <c r="DG30458" s="256"/>
    </row>
    <row r="30459" spans="104:111">
      <c r="CZ30459" s="256"/>
      <c r="DG30459" s="256"/>
    </row>
    <row r="30460" spans="104:111">
      <c r="CZ30460" s="256"/>
      <c r="DG30460" s="256"/>
    </row>
    <row r="30461" spans="104:111">
      <c r="CZ30461" s="256"/>
      <c r="DG30461" s="256"/>
    </row>
    <row r="30462" spans="104:111">
      <c r="CZ30462" s="256"/>
      <c r="DG30462" s="256"/>
    </row>
    <row r="30463" spans="104:111">
      <c r="CZ30463" s="256"/>
      <c r="DG30463" s="256"/>
    </row>
    <row r="30464" spans="104:111">
      <c r="CZ30464" s="256"/>
      <c r="DG30464" s="256"/>
    </row>
    <row r="30465" spans="104:111">
      <c r="CZ30465" s="256"/>
      <c r="DG30465" s="256"/>
    </row>
    <row r="30466" spans="104:111">
      <c r="CZ30466" s="256"/>
      <c r="DG30466" s="256"/>
    </row>
    <row r="30467" spans="104:111">
      <c r="CZ30467" s="256"/>
      <c r="DG30467" s="256"/>
    </row>
    <row r="30468" spans="104:111">
      <c r="CZ30468" s="256"/>
      <c r="DG30468" s="256"/>
    </row>
    <row r="30469" spans="104:111">
      <c r="CZ30469" s="256"/>
      <c r="DG30469" s="256"/>
    </row>
    <row r="30470" spans="104:111">
      <c r="CZ30470" s="256"/>
      <c r="DG30470" s="256"/>
    </row>
    <row r="30471" spans="104:111">
      <c r="CZ30471" s="256"/>
      <c r="DG30471" s="256"/>
    </row>
    <row r="30472" spans="104:111">
      <c r="CZ30472" s="256"/>
      <c r="DG30472" s="256"/>
    </row>
    <row r="30473" spans="104:111">
      <c r="CZ30473" s="256"/>
      <c r="DG30473" s="256"/>
    </row>
    <row r="30474" spans="104:111">
      <c r="CZ30474" s="256"/>
      <c r="DG30474" s="256"/>
    </row>
    <row r="30475" spans="104:111">
      <c r="CZ30475" s="256"/>
      <c r="DG30475" s="256"/>
    </row>
    <row r="30476" spans="104:111">
      <c r="CZ30476" s="256"/>
      <c r="DG30476" s="256"/>
    </row>
    <row r="30477" spans="104:111">
      <c r="CZ30477" s="256"/>
      <c r="DG30477" s="256"/>
    </row>
    <row r="30478" spans="104:111">
      <c r="CZ30478" s="256"/>
      <c r="DG30478" s="256"/>
    </row>
    <row r="30479" spans="104:111">
      <c r="CZ30479" s="256"/>
      <c r="DG30479" s="256"/>
    </row>
    <row r="30480" spans="104:111">
      <c r="CZ30480" s="256"/>
      <c r="DG30480" s="256"/>
    </row>
    <row r="30481" spans="104:111">
      <c r="CZ30481" s="256"/>
      <c r="DG30481" s="256"/>
    </row>
    <row r="30482" spans="104:111">
      <c r="CZ30482" s="256"/>
      <c r="DG30482" s="256"/>
    </row>
    <row r="30483" spans="104:111">
      <c r="CZ30483" s="256"/>
      <c r="DG30483" s="256"/>
    </row>
    <row r="30484" spans="104:111">
      <c r="CZ30484" s="256"/>
      <c r="DG30484" s="256"/>
    </row>
    <row r="30485" spans="104:111">
      <c r="CZ30485" s="256"/>
      <c r="DG30485" s="256"/>
    </row>
    <row r="30486" spans="104:111">
      <c r="CZ30486" s="256"/>
      <c r="DG30486" s="256"/>
    </row>
    <row r="30487" spans="104:111">
      <c r="CZ30487" s="256"/>
      <c r="DG30487" s="256"/>
    </row>
    <row r="30488" spans="104:111">
      <c r="CZ30488" s="256"/>
      <c r="DG30488" s="256"/>
    </row>
    <row r="30489" spans="104:111">
      <c r="CZ30489" s="256"/>
      <c r="DG30489" s="256"/>
    </row>
    <row r="30490" spans="104:111">
      <c r="CZ30490" s="256"/>
      <c r="DG30490" s="256"/>
    </row>
    <row r="30491" spans="104:111">
      <c r="CZ30491" s="256"/>
      <c r="DG30491" s="256"/>
    </row>
    <row r="30492" spans="104:111">
      <c r="CZ30492" s="256"/>
      <c r="DG30492" s="256"/>
    </row>
    <row r="30493" spans="104:111">
      <c r="CZ30493" s="256"/>
      <c r="DG30493" s="256"/>
    </row>
    <row r="30494" spans="104:111">
      <c r="CZ30494" s="256"/>
      <c r="DG30494" s="256"/>
    </row>
    <row r="30495" spans="104:111">
      <c r="CZ30495" s="256"/>
      <c r="DG30495" s="256"/>
    </row>
    <row r="30496" spans="104:111">
      <c r="CZ30496" s="256"/>
      <c r="DG30496" s="256"/>
    </row>
    <row r="30497" spans="104:111">
      <c r="CZ30497" s="256"/>
      <c r="DG30497" s="256"/>
    </row>
    <row r="30498" spans="104:111">
      <c r="CZ30498" s="256"/>
      <c r="DG30498" s="256"/>
    </row>
    <row r="30499" spans="104:111">
      <c r="CZ30499" s="256"/>
      <c r="DG30499" s="256"/>
    </row>
    <row r="30500" spans="104:111">
      <c r="CZ30500" s="256"/>
      <c r="DG30500" s="256"/>
    </row>
    <row r="30501" spans="104:111">
      <c r="CZ30501" s="256"/>
      <c r="DG30501" s="256"/>
    </row>
    <row r="30502" spans="104:111">
      <c r="CZ30502" s="256"/>
      <c r="DG30502" s="256"/>
    </row>
    <row r="30503" spans="104:111">
      <c r="CZ30503" s="256"/>
      <c r="DG30503" s="256"/>
    </row>
    <row r="30504" spans="104:111">
      <c r="CZ30504" s="256"/>
      <c r="DG30504" s="256"/>
    </row>
    <row r="30505" spans="104:111">
      <c r="CZ30505" s="256"/>
      <c r="DG30505" s="256"/>
    </row>
    <row r="30506" spans="104:111">
      <c r="CZ30506" s="256"/>
      <c r="DG30506" s="256"/>
    </row>
    <row r="30507" spans="104:111">
      <c r="CZ30507" s="256"/>
      <c r="DG30507" s="256"/>
    </row>
    <row r="30508" spans="104:111">
      <c r="CZ30508" s="256"/>
      <c r="DG30508" s="256"/>
    </row>
    <row r="30509" spans="104:111">
      <c r="CZ30509" s="256"/>
      <c r="DG30509" s="256"/>
    </row>
    <row r="30510" spans="104:111">
      <c r="CZ30510" s="256"/>
      <c r="DG30510" s="256"/>
    </row>
    <row r="30511" spans="104:111">
      <c r="CZ30511" s="256"/>
      <c r="DG30511" s="256"/>
    </row>
    <row r="30512" spans="104:111">
      <c r="CZ30512" s="256"/>
      <c r="DG30512" s="256"/>
    </row>
    <row r="30513" spans="104:111">
      <c r="CZ30513" s="256"/>
      <c r="DG30513" s="256"/>
    </row>
    <row r="30514" spans="104:111">
      <c r="CZ30514" s="256"/>
      <c r="DG30514" s="256"/>
    </row>
    <row r="30515" spans="104:111">
      <c r="CZ30515" s="256"/>
      <c r="DG30515" s="256"/>
    </row>
    <row r="30516" spans="104:111">
      <c r="CZ30516" s="256"/>
      <c r="DG30516" s="256"/>
    </row>
    <row r="30517" spans="104:111">
      <c r="CZ30517" s="256"/>
      <c r="DG30517" s="256"/>
    </row>
    <row r="30518" spans="104:111">
      <c r="CZ30518" s="256"/>
      <c r="DG30518" s="256"/>
    </row>
    <row r="30519" spans="104:111">
      <c r="CZ30519" s="256"/>
      <c r="DG30519" s="256"/>
    </row>
    <row r="30520" spans="104:111">
      <c r="CZ30520" s="256"/>
      <c r="DG30520" s="256"/>
    </row>
    <row r="30521" spans="104:111">
      <c r="CZ30521" s="256"/>
      <c r="DG30521" s="256"/>
    </row>
    <row r="30522" spans="104:111">
      <c r="CZ30522" s="256"/>
      <c r="DG30522" s="256"/>
    </row>
    <row r="30523" spans="104:111">
      <c r="CZ30523" s="256"/>
      <c r="DG30523" s="256"/>
    </row>
    <row r="30524" spans="104:111">
      <c r="CZ30524" s="256"/>
      <c r="DG30524" s="256"/>
    </row>
    <row r="30525" spans="104:111">
      <c r="CZ30525" s="256"/>
      <c r="DG30525" s="256"/>
    </row>
    <row r="30526" spans="104:111">
      <c r="CZ30526" s="256"/>
      <c r="DG30526" s="256"/>
    </row>
    <row r="30527" spans="104:111">
      <c r="CZ30527" s="256"/>
      <c r="DG30527" s="256"/>
    </row>
    <row r="30528" spans="104:111">
      <c r="CZ30528" s="256"/>
      <c r="DG30528" s="256"/>
    </row>
    <row r="30529" spans="104:111">
      <c r="CZ30529" s="256"/>
      <c r="DG30529" s="256"/>
    </row>
    <row r="30530" spans="104:111">
      <c r="CZ30530" s="256"/>
      <c r="DG30530" s="256"/>
    </row>
    <row r="30531" spans="104:111">
      <c r="CZ30531" s="256"/>
      <c r="DG30531" s="256"/>
    </row>
    <row r="30532" spans="104:111">
      <c r="CZ30532" s="256"/>
      <c r="DG30532" s="256"/>
    </row>
    <row r="30533" spans="104:111">
      <c r="CZ30533" s="256"/>
      <c r="DG30533" s="256"/>
    </row>
    <row r="30534" spans="104:111">
      <c r="CZ30534" s="256"/>
      <c r="DG30534" s="256"/>
    </row>
    <row r="30535" spans="104:111">
      <c r="CZ30535" s="256"/>
      <c r="DG30535" s="256"/>
    </row>
    <row r="30536" spans="104:111">
      <c r="CZ30536" s="256"/>
      <c r="DG30536" s="256"/>
    </row>
    <row r="30537" spans="104:111">
      <c r="CZ30537" s="256"/>
      <c r="DG30537" s="256"/>
    </row>
    <row r="30538" spans="104:111">
      <c r="CZ30538" s="256"/>
      <c r="DG30538" s="256"/>
    </row>
    <row r="30539" spans="104:111">
      <c r="CZ30539" s="256"/>
      <c r="DG30539" s="256"/>
    </row>
    <row r="30540" spans="104:111">
      <c r="CZ30540" s="256"/>
      <c r="DG30540" s="256"/>
    </row>
    <row r="30541" spans="104:111">
      <c r="CZ30541" s="256"/>
      <c r="DG30541" s="256"/>
    </row>
    <row r="30542" spans="104:111">
      <c r="CZ30542" s="256"/>
      <c r="DG30542" s="256"/>
    </row>
    <row r="30543" spans="104:111">
      <c r="CZ30543" s="256"/>
      <c r="DG30543" s="256"/>
    </row>
    <row r="30544" spans="104:111">
      <c r="CZ30544" s="256"/>
      <c r="DG30544" s="256"/>
    </row>
    <row r="30545" spans="104:111">
      <c r="CZ30545" s="256"/>
      <c r="DG30545" s="256"/>
    </row>
    <row r="30546" spans="104:111">
      <c r="CZ30546" s="256"/>
      <c r="DG30546" s="256"/>
    </row>
    <row r="30547" spans="104:111">
      <c r="CZ30547" s="256"/>
      <c r="DG30547" s="256"/>
    </row>
    <row r="30548" spans="104:111">
      <c r="CZ30548" s="256"/>
      <c r="DG30548" s="256"/>
    </row>
    <row r="30549" spans="104:111">
      <c r="CZ30549" s="256"/>
      <c r="DG30549" s="256"/>
    </row>
    <row r="30550" spans="104:111">
      <c r="CZ30550" s="256"/>
      <c r="DG30550" s="256"/>
    </row>
    <row r="30551" spans="104:111">
      <c r="CZ30551" s="256"/>
      <c r="DG30551" s="256"/>
    </row>
    <row r="30552" spans="104:111">
      <c r="CZ30552" s="256"/>
      <c r="DG30552" s="256"/>
    </row>
    <row r="30553" spans="104:111">
      <c r="CZ30553" s="256"/>
      <c r="DG30553" s="256"/>
    </row>
    <row r="30554" spans="104:111">
      <c r="CZ30554" s="256"/>
      <c r="DG30554" s="256"/>
    </row>
    <row r="30555" spans="104:111">
      <c r="CZ30555" s="256"/>
      <c r="DG30555" s="256"/>
    </row>
    <row r="30556" spans="104:111">
      <c r="CZ30556" s="256"/>
      <c r="DG30556" s="256"/>
    </row>
    <row r="30557" spans="104:111">
      <c r="CZ30557" s="256"/>
      <c r="DG30557" s="256"/>
    </row>
    <row r="30558" spans="104:111">
      <c r="CZ30558" s="256"/>
      <c r="DG30558" s="256"/>
    </row>
    <row r="30559" spans="104:111">
      <c r="CZ30559" s="256"/>
      <c r="DG30559" s="256"/>
    </row>
    <row r="30560" spans="104:111">
      <c r="CZ30560" s="256"/>
      <c r="DG30560" s="256"/>
    </row>
    <row r="30561" spans="104:111">
      <c r="CZ30561" s="256"/>
      <c r="DG30561" s="256"/>
    </row>
    <row r="30562" spans="104:111">
      <c r="CZ30562" s="256"/>
      <c r="DG30562" s="256"/>
    </row>
    <row r="30563" spans="104:111">
      <c r="CZ30563" s="256"/>
      <c r="DG30563" s="256"/>
    </row>
    <row r="30564" spans="104:111">
      <c r="CZ30564" s="256"/>
      <c r="DG30564" s="256"/>
    </row>
    <row r="30565" spans="104:111">
      <c r="CZ30565" s="256"/>
      <c r="DG30565" s="256"/>
    </row>
    <row r="30566" spans="104:111">
      <c r="CZ30566" s="256"/>
      <c r="DG30566" s="256"/>
    </row>
    <row r="30567" spans="104:111">
      <c r="CZ30567" s="256"/>
      <c r="DG30567" s="256"/>
    </row>
    <row r="30568" spans="104:111">
      <c r="CZ30568" s="256"/>
      <c r="DG30568" s="256"/>
    </row>
    <row r="30569" spans="104:111">
      <c r="CZ30569" s="256"/>
      <c r="DG30569" s="256"/>
    </row>
    <row r="30570" spans="104:111">
      <c r="CZ30570" s="256"/>
      <c r="DG30570" s="256"/>
    </row>
    <row r="30571" spans="104:111">
      <c r="CZ30571" s="256"/>
      <c r="DG30571" s="256"/>
    </row>
    <row r="30572" spans="104:111">
      <c r="CZ30572" s="256"/>
      <c r="DG30572" s="256"/>
    </row>
    <row r="30573" spans="104:111">
      <c r="CZ30573" s="256"/>
      <c r="DG30573" s="256"/>
    </row>
    <row r="30574" spans="104:111">
      <c r="CZ30574" s="256"/>
      <c r="DG30574" s="256"/>
    </row>
    <row r="30575" spans="104:111">
      <c r="CZ30575" s="256"/>
      <c r="DG30575" s="256"/>
    </row>
    <row r="30576" spans="104:111">
      <c r="CZ30576" s="256"/>
      <c r="DG30576" s="256"/>
    </row>
    <row r="30577" spans="104:111">
      <c r="CZ30577" s="256"/>
      <c r="DG30577" s="256"/>
    </row>
    <row r="30578" spans="104:111">
      <c r="CZ30578" s="256"/>
      <c r="DG30578" s="256"/>
    </row>
    <row r="30579" spans="104:111">
      <c r="CZ30579" s="256"/>
      <c r="DG30579" s="256"/>
    </row>
    <row r="30580" spans="104:111">
      <c r="CZ30580" s="256"/>
      <c r="DG30580" s="256"/>
    </row>
    <row r="30581" spans="104:111">
      <c r="CZ30581" s="256"/>
      <c r="DG30581" s="256"/>
    </row>
    <row r="30582" spans="104:111">
      <c r="CZ30582" s="256"/>
      <c r="DG30582" s="256"/>
    </row>
    <row r="30583" spans="104:111">
      <c r="CZ30583" s="256"/>
      <c r="DG30583" s="256"/>
    </row>
    <row r="30584" spans="104:111">
      <c r="CZ30584" s="256"/>
      <c r="DG30584" s="256"/>
    </row>
    <row r="30585" spans="104:111">
      <c r="CZ30585" s="256"/>
      <c r="DG30585" s="256"/>
    </row>
    <row r="30586" spans="104:111">
      <c r="CZ30586" s="256"/>
      <c r="DG30586" s="256"/>
    </row>
    <row r="30587" spans="104:111">
      <c r="CZ30587" s="256"/>
      <c r="DG30587" s="256"/>
    </row>
    <row r="30588" spans="104:111">
      <c r="CZ30588" s="256"/>
      <c r="DG30588" s="256"/>
    </row>
    <row r="30589" spans="104:111">
      <c r="CZ30589" s="256"/>
      <c r="DG30589" s="256"/>
    </row>
    <row r="30590" spans="104:111">
      <c r="CZ30590" s="256"/>
      <c r="DG30590" s="256"/>
    </row>
    <row r="30591" spans="104:111">
      <c r="CZ30591" s="256"/>
      <c r="DG30591" s="256"/>
    </row>
    <row r="30592" spans="104:111">
      <c r="CZ30592" s="256"/>
      <c r="DG30592" s="256"/>
    </row>
    <row r="30593" spans="104:111">
      <c r="CZ30593" s="256"/>
      <c r="DG30593" s="256"/>
    </row>
    <row r="30594" spans="104:111">
      <c r="CZ30594" s="256"/>
      <c r="DG30594" s="256"/>
    </row>
    <row r="30595" spans="104:111">
      <c r="CZ30595" s="256"/>
      <c r="DG30595" s="256"/>
    </row>
    <row r="30596" spans="104:111">
      <c r="CZ30596" s="256"/>
      <c r="DG30596" s="256"/>
    </row>
    <row r="30597" spans="104:111">
      <c r="CZ30597" s="256"/>
      <c r="DG30597" s="256"/>
    </row>
    <row r="30598" spans="104:111">
      <c r="CZ30598" s="256"/>
      <c r="DG30598" s="256"/>
    </row>
    <row r="30599" spans="104:111">
      <c r="CZ30599" s="256"/>
      <c r="DG30599" s="256"/>
    </row>
    <row r="30600" spans="104:111">
      <c r="CZ30600" s="256"/>
      <c r="DG30600" s="256"/>
    </row>
    <row r="30601" spans="104:111">
      <c r="CZ30601" s="256"/>
      <c r="DG30601" s="256"/>
    </row>
    <row r="30602" spans="104:111">
      <c r="CZ30602" s="256"/>
      <c r="DG30602" s="256"/>
    </row>
    <row r="30603" spans="104:111">
      <c r="CZ30603" s="256"/>
      <c r="DG30603" s="256"/>
    </row>
    <row r="30604" spans="104:111">
      <c r="CZ30604" s="256"/>
      <c r="DG30604" s="256"/>
    </row>
    <row r="30605" spans="104:111">
      <c r="CZ30605" s="256"/>
      <c r="DG30605" s="256"/>
    </row>
    <row r="30606" spans="104:111">
      <c r="CZ30606" s="256"/>
      <c r="DG30606" s="256"/>
    </row>
    <row r="30607" spans="104:111">
      <c r="CZ30607" s="256"/>
      <c r="DG30607" s="256"/>
    </row>
    <row r="30608" spans="104:111">
      <c r="CZ30608" s="256"/>
      <c r="DG30608" s="256"/>
    </row>
    <row r="30609" spans="104:111">
      <c r="CZ30609" s="256"/>
      <c r="DG30609" s="256"/>
    </row>
    <row r="30610" spans="104:111">
      <c r="CZ30610" s="256"/>
      <c r="DG30610" s="256"/>
    </row>
    <row r="30611" spans="104:111">
      <c r="CZ30611" s="256"/>
      <c r="DG30611" s="256"/>
    </row>
    <row r="30612" spans="104:111">
      <c r="CZ30612" s="256"/>
      <c r="DG30612" s="256"/>
    </row>
    <row r="30613" spans="104:111">
      <c r="CZ30613" s="256"/>
      <c r="DG30613" s="256"/>
    </row>
    <row r="30614" spans="104:111">
      <c r="CZ30614" s="256"/>
      <c r="DG30614" s="256"/>
    </row>
    <row r="30615" spans="104:111">
      <c r="CZ30615" s="256"/>
      <c r="DG30615" s="256"/>
    </row>
    <row r="30616" spans="104:111">
      <c r="CZ30616" s="256"/>
      <c r="DG30616" s="256"/>
    </row>
    <row r="30617" spans="104:111">
      <c r="CZ30617" s="256"/>
      <c r="DG30617" s="256"/>
    </row>
    <row r="30618" spans="104:111">
      <c r="CZ30618" s="256"/>
      <c r="DG30618" s="256"/>
    </row>
    <row r="30619" spans="104:111">
      <c r="CZ30619" s="256"/>
      <c r="DG30619" s="256"/>
    </row>
    <row r="30620" spans="104:111">
      <c r="CZ30620" s="256"/>
      <c r="DG30620" s="256"/>
    </row>
    <row r="30621" spans="104:111">
      <c r="CZ30621" s="256"/>
      <c r="DG30621" s="256"/>
    </row>
    <row r="30622" spans="104:111">
      <c r="CZ30622" s="256"/>
      <c r="DG30622" s="256"/>
    </row>
    <row r="30623" spans="104:111">
      <c r="CZ30623" s="256"/>
      <c r="DG30623" s="256"/>
    </row>
    <row r="30624" spans="104:111">
      <c r="CZ30624" s="256"/>
      <c r="DG30624" s="256"/>
    </row>
    <row r="30625" spans="104:111">
      <c r="CZ30625" s="256"/>
      <c r="DG30625" s="256"/>
    </row>
    <row r="30626" spans="104:111">
      <c r="CZ30626" s="256"/>
      <c r="DG30626" s="256"/>
    </row>
    <row r="30627" spans="104:111">
      <c r="CZ30627" s="256"/>
      <c r="DG30627" s="256"/>
    </row>
    <row r="30628" spans="104:111">
      <c r="CZ30628" s="256"/>
      <c r="DG30628" s="256"/>
    </row>
    <row r="30629" spans="104:111">
      <c r="CZ30629" s="256"/>
      <c r="DG30629" s="256"/>
    </row>
    <row r="30630" spans="104:111">
      <c r="CZ30630" s="256"/>
      <c r="DG30630" s="256"/>
    </row>
    <row r="30631" spans="104:111">
      <c r="CZ30631" s="256"/>
      <c r="DG30631" s="256"/>
    </row>
    <row r="30632" spans="104:111">
      <c r="CZ30632" s="256"/>
      <c r="DG30632" s="256"/>
    </row>
    <row r="30633" spans="104:111">
      <c r="CZ30633" s="256"/>
      <c r="DG30633" s="256"/>
    </row>
    <row r="30634" spans="104:111">
      <c r="CZ30634" s="256"/>
      <c r="DG30634" s="256"/>
    </row>
    <row r="30635" spans="104:111">
      <c r="CZ30635" s="256"/>
      <c r="DG30635" s="256"/>
    </row>
    <row r="30636" spans="104:111">
      <c r="CZ30636" s="256"/>
      <c r="DG30636" s="256"/>
    </row>
    <row r="30637" spans="104:111">
      <c r="CZ30637" s="256"/>
      <c r="DG30637" s="256"/>
    </row>
    <row r="30638" spans="104:111">
      <c r="CZ30638" s="256"/>
      <c r="DG30638" s="256"/>
    </row>
    <row r="30639" spans="104:111">
      <c r="CZ30639" s="256"/>
      <c r="DG30639" s="256"/>
    </row>
    <row r="30640" spans="104:111">
      <c r="CZ30640" s="256"/>
      <c r="DG30640" s="256"/>
    </row>
    <row r="30641" spans="104:111">
      <c r="CZ30641" s="256"/>
      <c r="DG30641" s="256"/>
    </row>
    <row r="30642" spans="104:111">
      <c r="CZ30642" s="256"/>
      <c r="DG30642" s="256"/>
    </row>
    <row r="30643" spans="104:111">
      <c r="CZ30643" s="256"/>
      <c r="DG30643" s="256"/>
    </row>
    <row r="30644" spans="104:111">
      <c r="CZ30644" s="256"/>
      <c r="DG30644" s="256"/>
    </row>
    <row r="30645" spans="104:111">
      <c r="CZ30645" s="256"/>
      <c r="DG30645" s="256"/>
    </row>
    <row r="30646" spans="104:111">
      <c r="CZ30646" s="256"/>
      <c r="DG30646" s="256"/>
    </row>
    <row r="30647" spans="104:111">
      <c r="CZ30647" s="256"/>
      <c r="DG30647" s="256"/>
    </row>
    <row r="30648" spans="104:111">
      <c r="CZ30648" s="256"/>
      <c r="DG30648" s="256"/>
    </row>
    <row r="30649" spans="104:111">
      <c r="CZ30649" s="256"/>
      <c r="DG30649" s="256"/>
    </row>
    <row r="30650" spans="104:111">
      <c r="CZ30650" s="256"/>
      <c r="DG30650" s="256"/>
    </row>
    <row r="30651" spans="104:111">
      <c r="CZ30651" s="256"/>
      <c r="DG30651" s="256"/>
    </row>
    <row r="30652" spans="104:111">
      <c r="CZ30652" s="256"/>
      <c r="DG30652" s="256"/>
    </row>
    <row r="30653" spans="104:111">
      <c r="CZ30653" s="256"/>
      <c r="DG30653" s="256"/>
    </row>
    <row r="30654" spans="104:111">
      <c r="CZ30654" s="256"/>
      <c r="DG30654" s="256"/>
    </row>
    <row r="30655" spans="104:111">
      <c r="CZ30655" s="256"/>
      <c r="DG30655" s="256"/>
    </row>
    <row r="30656" spans="104:111">
      <c r="CZ30656" s="256"/>
      <c r="DG30656" s="256"/>
    </row>
    <row r="30657" spans="104:111">
      <c r="CZ30657" s="256"/>
      <c r="DG30657" s="256"/>
    </row>
    <row r="30658" spans="104:111">
      <c r="CZ30658" s="256"/>
      <c r="DG30658" s="256"/>
    </row>
    <row r="30659" spans="104:111">
      <c r="CZ30659" s="256"/>
      <c r="DG30659" s="256"/>
    </row>
    <row r="30660" spans="104:111">
      <c r="CZ30660" s="256"/>
      <c r="DG30660" s="256"/>
    </row>
    <row r="30661" spans="104:111">
      <c r="CZ30661" s="256"/>
      <c r="DG30661" s="256"/>
    </row>
    <row r="30662" spans="104:111">
      <c r="CZ30662" s="256"/>
      <c r="DG30662" s="256"/>
    </row>
    <row r="30663" spans="104:111">
      <c r="CZ30663" s="256"/>
      <c r="DG30663" s="256"/>
    </row>
    <row r="30664" spans="104:111">
      <c r="CZ30664" s="256"/>
      <c r="DG30664" s="256"/>
    </row>
    <row r="30665" spans="104:111">
      <c r="CZ30665" s="256"/>
      <c r="DG30665" s="256"/>
    </row>
    <row r="30666" spans="104:111">
      <c r="CZ30666" s="256"/>
      <c r="DG30666" s="256"/>
    </row>
    <row r="30667" spans="104:111">
      <c r="CZ30667" s="256"/>
      <c r="DG30667" s="256"/>
    </row>
    <row r="30668" spans="104:111">
      <c r="CZ30668" s="256"/>
      <c r="DG30668" s="256"/>
    </row>
    <row r="30669" spans="104:111">
      <c r="CZ30669" s="256"/>
      <c r="DG30669" s="256"/>
    </row>
    <row r="30670" spans="104:111">
      <c r="CZ30670" s="256"/>
      <c r="DG30670" s="256"/>
    </row>
    <row r="30671" spans="104:111">
      <c r="CZ30671" s="256"/>
      <c r="DG30671" s="256"/>
    </row>
    <row r="30672" spans="104:111">
      <c r="CZ30672" s="256"/>
      <c r="DG30672" s="256"/>
    </row>
    <row r="30673" spans="104:111">
      <c r="CZ30673" s="256"/>
      <c r="DG30673" s="256"/>
    </row>
    <row r="30674" spans="104:111">
      <c r="CZ30674" s="256"/>
      <c r="DG30674" s="256"/>
    </row>
    <row r="30675" spans="104:111">
      <c r="CZ30675" s="256"/>
      <c r="DG30675" s="256"/>
    </row>
    <row r="30676" spans="104:111">
      <c r="CZ30676" s="256"/>
      <c r="DG30676" s="256"/>
    </row>
    <row r="30677" spans="104:111">
      <c r="CZ30677" s="256"/>
      <c r="DG30677" s="256"/>
    </row>
    <row r="30678" spans="104:111">
      <c r="CZ30678" s="256"/>
      <c r="DG30678" s="256"/>
    </row>
    <row r="30679" spans="104:111">
      <c r="CZ30679" s="256"/>
      <c r="DG30679" s="256"/>
    </row>
    <row r="30680" spans="104:111">
      <c r="CZ30680" s="256"/>
      <c r="DG30680" s="256"/>
    </row>
    <row r="30681" spans="104:111">
      <c r="CZ30681" s="256"/>
      <c r="DG30681" s="256"/>
    </row>
    <row r="30682" spans="104:111">
      <c r="CZ30682" s="256"/>
      <c r="DG30682" s="256"/>
    </row>
    <row r="30683" spans="104:111">
      <c r="CZ30683" s="256"/>
      <c r="DG30683" s="256"/>
    </row>
    <row r="30684" spans="104:111">
      <c r="CZ30684" s="256"/>
      <c r="DG30684" s="256"/>
    </row>
    <row r="30685" spans="104:111">
      <c r="CZ30685" s="256"/>
      <c r="DG30685" s="256"/>
    </row>
    <row r="30686" spans="104:111">
      <c r="CZ30686" s="256"/>
      <c r="DG30686" s="256"/>
    </row>
    <row r="30687" spans="104:111">
      <c r="CZ30687" s="256"/>
      <c r="DG30687" s="256"/>
    </row>
    <row r="30688" spans="104:111">
      <c r="CZ30688" s="256"/>
      <c r="DG30688" s="256"/>
    </row>
    <row r="30689" spans="104:111">
      <c r="CZ30689" s="256"/>
      <c r="DG30689" s="256"/>
    </row>
    <row r="30690" spans="104:111">
      <c r="CZ30690" s="256"/>
      <c r="DG30690" s="256"/>
    </row>
    <row r="30691" spans="104:111">
      <c r="CZ30691" s="256"/>
      <c r="DG30691" s="256"/>
    </row>
    <row r="30692" spans="104:111">
      <c r="CZ30692" s="256"/>
      <c r="DG30692" s="256"/>
    </row>
    <row r="30693" spans="104:111">
      <c r="CZ30693" s="256"/>
      <c r="DG30693" s="256"/>
    </row>
    <row r="30694" spans="104:111">
      <c r="CZ30694" s="256"/>
      <c r="DG30694" s="256"/>
    </row>
    <row r="30695" spans="104:111">
      <c r="CZ30695" s="256"/>
      <c r="DG30695" s="256"/>
    </row>
    <row r="30696" spans="104:111">
      <c r="CZ30696" s="256"/>
      <c r="DG30696" s="256"/>
    </row>
    <row r="30697" spans="104:111">
      <c r="CZ30697" s="256"/>
      <c r="DG30697" s="256"/>
    </row>
    <row r="30698" spans="104:111">
      <c r="CZ30698" s="256"/>
      <c r="DG30698" s="256"/>
    </row>
    <row r="30699" spans="104:111">
      <c r="CZ30699" s="256"/>
      <c r="DG30699" s="256"/>
    </row>
    <row r="30700" spans="104:111">
      <c r="CZ30700" s="256"/>
      <c r="DG30700" s="256"/>
    </row>
    <row r="30701" spans="104:111">
      <c r="CZ30701" s="256"/>
      <c r="DG30701" s="256"/>
    </row>
    <row r="30702" spans="104:111">
      <c r="CZ30702" s="256"/>
      <c r="DG30702" s="256"/>
    </row>
    <row r="30703" spans="104:111">
      <c r="CZ30703" s="256"/>
      <c r="DG30703" s="256"/>
    </row>
    <row r="30704" spans="104:111">
      <c r="CZ30704" s="256"/>
      <c r="DG30704" s="256"/>
    </row>
    <row r="30705" spans="104:111">
      <c r="CZ30705" s="256"/>
      <c r="DG30705" s="256"/>
    </row>
    <row r="30706" spans="104:111">
      <c r="CZ30706" s="256"/>
      <c r="DG30706" s="256"/>
    </row>
    <row r="30707" spans="104:111">
      <c r="CZ30707" s="256"/>
      <c r="DG30707" s="256"/>
    </row>
    <row r="30708" spans="104:111">
      <c r="CZ30708" s="256"/>
      <c r="DG30708" s="256"/>
    </row>
    <row r="30709" spans="104:111">
      <c r="CZ30709" s="256"/>
      <c r="DG30709" s="256"/>
    </row>
    <row r="30710" spans="104:111">
      <c r="CZ30710" s="256"/>
      <c r="DG30710" s="256"/>
    </row>
    <row r="30711" spans="104:111">
      <c r="CZ30711" s="256"/>
      <c r="DG30711" s="256"/>
    </row>
    <row r="30712" spans="104:111">
      <c r="CZ30712" s="256"/>
      <c r="DG30712" s="256"/>
    </row>
    <row r="30713" spans="104:111">
      <c r="CZ30713" s="256"/>
      <c r="DG30713" s="256"/>
    </row>
    <row r="30714" spans="104:111">
      <c r="CZ30714" s="256"/>
      <c r="DG30714" s="256"/>
    </row>
    <row r="30715" spans="104:111">
      <c r="CZ30715" s="256"/>
      <c r="DG30715" s="256"/>
    </row>
    <row r="30716" spans="104:111">
      <c r="CZ30716" s="256"/>
      <c r="DG30716" s="256"/>
    </row>
    <row r="30717" spans="104:111">
      <c r="CZ30717" s="256"/>
      <c r="DG30717" s="256"/>
    </row>
    <row r="30718" spans="104:111">
      <c r="CZ30718" s="256"/>
      <c r="DG30718" s="256"/>
    </row>
    <row r="30719" spans="104:111">
      <c r="CZ30719" s="256"/>
      <c r="DG30719" s="256"/>
    </row>
    <row r="30720" spans="104:111">
      <c r="CZ30720" s="256"/>
      <c r="DG30720" s="256"/>
    </row>
    <row r="30721" spans="104:111">
      <c r="CZ30721" s="256"/>
      <c r="DG30721" s="256"/>
    </row>
    <row r="30722" spans="104:111">
      <c r="CZ30722" s="256"/>
      <c r="DG30722" s="256"/>
    </row>
    <row r="30723" spans="104:111">
      <c r="CZ30723" s="256"/>
      <c r="DG30723" s="256"/>
    </row>
    <row r="30724" spans="104:111">
      <c r="CZ30724" s="256"/>
      <c r="DG30724" s="256"/>
    </row>
    <row r="30725" spans="104:111">
      <c r="CZ30725" s="256"/>
      <c r="DG30725" s="256"/>
    </row>
    <row r="30726" spans="104:111">
      <c r="CZ30726" s="256"/>
      <c r="DG30726" s="256"/>
    </row>
    <row r="30727" spans="104:111">
      <c r="CZ30727" s="256"/>
      <c r="DG30727" s="256"/>
    </row>
    <row r="30728" spans="104:111">
      <c r="CZ30728" s="256"/>
      <c r="DG30728" s="256"/>
    </row>
    <row r="30729" spans="104:111">
      <c r="CZ30729" s="256"/>
      <c r="DG30729" s="256"/>
    </row>
    <row r="30730" spans="104:111">
      <c r="CZ30730" s="256"/>
      <c r="DG30730" s="256"/>
    </row>
    <row r="30731" spans="104:111">
      <c r="CZ30731" s="256"/>
      <c r="DG30731" s="256"/>
    </row>
    <row r="30732" spans="104:111">
      <c r="CZ30732" s="256"/>
      <c r="DG30732" s="256"/>
    </row>
    <row r="30733" spans="104:111">
      <c r="CZ30733" s="256"/>
      <c r="DG30733" s="256"/>
    </row>
    <row r="30734" spans="104:111">
      <c r="CZ30734" s="256"/>
      <c r="DG30734" s="256"/>
    </row>
    <row r="30735" spans="104:111">
      <c r="CZ30735" s="256"/>
      <c r="DG30735" s="256"/>
    </row>
    <row r="30736" spans="104:111">
      <c r="CZ30736" s="256"/>
      <c r="DG30736" s="256"/>
    </row>
    <row r="30737" spans="104:111">
      <c r="CZ30737" s="256"/>
      <c r="DG30737" s="256"/>
    </row>
    <row r="30738" spans="104:111">
      <c r="CZ30738" s="256"/>
      <c r="DG30738" s="256"/>
    </row>
    <row r="30739" spans="104:111">
      <c r="CZ30739" s="256"/>
      <c r="DG30739" s="256"/>
    </row>
    <row r="30740" spans="104:111">
      <c r="CZ30740" s="256"/>
      <c r="DG30740" s="256"/>
    </row>
    <row r="30741" spans="104:111">
      <c r="CZ30741" s="256"/>
      <c r="DG30741" s="256"/>
    </row>
    <row r="30742" spans="104:111">
      <c r="CZ30742" s="256"/>
      <c r="DG30742" s="256"/>
    </row>
    <row r="30743" spans="104:111">
      <c r="CZ30743" s="256"/>
      <c r="DG30743" s="256"/>
    </row>
    <row r="30744" spans="104:111">
      <c r="CZ30744" s="256"/>
      <c r="DG30744" s="256"/>
    </row>
    <row r="30745" spans="104:111">
      <c r="CZ30745" s="256"/>
      <c r="DG30745" s="256"/>
    </row>
    <row r="30746" spans="104:111">
      <c r="CZ30746" s="256"/>
      <c r="DG30746" s="256"/>
    </row>
    <row r="30747" spans="104:111">
      <c r="CZ30747" s="256"/>
      <c r="DG30747" s="256"/>
    </row>
    <row r="30748" spans="104:111">
      <c r="CZ30748" s="256"/>
      <c r="DG30748" s="256"/>
    </row>
    <row r="30749" spans="104:111">
      <c r="CZ30749" s="256"/>
      <c r="DG30749" s="256"/>
    </row>
    <row r="30750" spans="104:111">
      <c r="CZ30750" s="256"/>
      <c r="DG30750" s="256"/>
    </row>
    <row r="30751" spans="104:111">
      <c r="CZ30751" s="256"/>
      <c r="DG30751" s="256"/>
    </row>
    <row r="30752" spans="104:111">
      <c r="CZ30752" s="256"/>
      <c r="DG30752" s="256"/>
    </row>
    <row r="30753" spans="104:111">
      <c r="CZ30753" s="256"/>
      <c r="DG30753" s="256"/>
    </row>
    <row r="30754" spans="104:111">
      <c r="CZ30754" s="256"/>
      <c r="DG30754" s="256"/>
    </row>
    <row r="30755" spans="104:111">
      <c r="CZ30755" s="256"/>
      <c r="DG30755" s="256"/>
    </row>
    <row r="30756" spans="104:111">
      <c r="CZ30756" s="256"/>
      <c r="DG30756" s="256"/>
    </row>
    <row r="30757" spans="104:111">
      <c r="CZ30757" s="256"/>
      <c r="DG30757" s="256"/>
    </row>
    <row r="30758" spans="104:111">
      <c r="CZ30758" s="256"/>
      <c r="DG30758" s="256"/>
    </row>
    <row r="30759" spans="104:111">
      <c r="CZ30759" s="256"/>
      <c r="DG30759" s="256"/>
    </row>
    <row r="30760" spans="104:111">
      <c r="CZ30760" s="256"/>
      <c r="DG30760" s="256"/>
    </row>
    <row r="30761" spans="104:111">
      <c r="CZ30761" s="256"/>
      <c r="DG30761" s="256"/>
    </row>
    <row r="30762" spans="104:111">
      <c r="CZ30762" s="256"/>
      <c r="DG30762" s="256"/>
    </row>
    <row r="30763" spans="104:111">
      <c r="CZ30763" s="256"/>
      <c r="DG30763" s="256"/>
    </row>
    <row r="30764" spans="104:111">
      <c r="CZ30764" s="256"/>
      <c r="DG30764" s="256"/>
    </row>
    <row r="30765" spans="104:111">
      <c r="CZ30765" s="256"/>
      <c r="DG30765" s="256"/>
    </row>
    <row r="30766" spans="104:111">
      <c r="CZ30766" s="256"/>
      <c r="DG30766" s="256"/>
    </row>
    <row r="30767" spans="104:111">
      <c r="CZ30767" s="256"/>
      <c r="DG30767" s="256"/>
    </row>
    <row r="30768" spans="104:111">
      <c r="CZ30768" s="256"/>
      <c r="DG30768" s="256"/>
    </row>
    <row r="30769" spans="104:111">
      <c r="CZ30769" s="256"/>
      <c r="DG30769" s="256"/>
    </row>
    <row r="30770" spans="104:111">
      <c r="CZ30770" s="256"/>
      <c r="DG30770" s="256"/>
    </row>
    <row r="30771" spans="104:111">
      <c r="CZ30771" s="256"/>
      <c r="DG30771" s="256"/>
    </row>
    <row r="30772" spans="104:111">
      <c r="CZ30772" s="256"/>
      <c r="DG30772" s="256"/>
    </row>
    <row r="30773" spans="104:111">
      <c r="CZ30773" s="256"/>
      <c r="DG30773" s="256"/>
    </row>
    <row r="30774" spans="104:111">
      <c r="CZ30774" s="256"/>
      <c r="DG30774" s="256"/>
    </row>
    <row r="30775" spans="104:111">
      <c r="CZ30775" s="256"/>
      <c r="DG30775" s="256"/>
    </row>
    <row r="30776" spans="104:111">
      <c r="CZ30776" s="256"/>
      <c r="DG30776" s="256"/>
    </row>
    <row r="30777" spans="104:111">
      <c r="CZ30777" s="256"/>
      <c r="DG30777" s="256"/>
    </row>
    <row r="30778" spans="104:111">
      <c r="CZ30778" s="256"/>
      <c r="DG30778" s="256"/>
    </row>
    <row r="30779" spans="104:111">
      <c r="CZ30779" s="256"/>
      <c r="DG30779" s="256"/>
    </row>
    <row r="30780" spans="104:111">
      <c r="CZ30780" s="256"/>
      <c r="DG30780" s="256"/>
    </row>
    <row r="30781" spans="104:111">
      <c r="CZ30781" s="256"/>
      <c r="DG30781" s="256"/>
    </row>
    <row r="30782" spans="104:111">
      <c r="CZ30782" s="256"/>
      <c r="DG30782" s="256"/>
    </row>
    <row r="30783" spans="104:111">
      <c r="CZ30783" s="256"/>
      <c r="DG30783" s="256"/>
    </row>
    <row r="30784" spans="104:111">
      <c r="CZ30784" s="256"/>
      <c r="DG30784" s="256"/>
    </row>
    <row r="30785" spans="104:111">
      <c r="CZ30785" s="256"/>
      <c r="DG30785" s="256"/>
    </row>
    <row r="30786" spans="104:111">
      <c r="CZ30786" s="256"/>
      <c r="DG30786" s="256"/>
    </row>
    <row r="30787" spans="104:111">
      <c r="CZ30787" s="256"/>
      <c r="DG30787" s="256"/>
    </row>
    <row r="30788" spans="104:111">
      <c r="CZ30788" s="256"/>
      <c r="DG30788" s="256"/>
    </row>
    <row r="30789" spans="104:111">
      <c r="CZ30789" s="256"/>
      <c r="DG30789" s="256"/>
    </row>
    <row r="30790" spans="104:111">
      <c r="CZ30790" s="256"/>
      <c r="DG30790" s="256"/>
    </row>
    <row r="30791" spans="104:111">
      <c r="CZ30791" s="256"/>
      <c r="DG30791" s="256"/>
    </row>
    <row r="30792" spans="104:111">
      <c r="CZ30792" s="256"/>
      <c r="DG30792" s="256"/>
    </row>
    <row r="30793" spans="104:111">
      <c r="CZ30793" s="256"/>
      <c r="DG30793" s="256"/>
    </row>
    <row r="30794" spans="104:111">
      <c r="CZ30794" s="256"/>
      <c r="DG30794" s="256"/>
    </row>
    <row r="30795" spans="104:111">
      <c r="CZ30795" s="256"/>
      <c r="DG30795" s="256"/>
    </row>
    <row r="30796" spans="104:111">
      <c r="CZ30796" s="256"/>
      <c r="DG30796" s="256"/>
    </row>
    <row r="30797" spans="104:111">
      <c r="CZ30797" s="256"/>
      <c r="DG30797" s="256"/>
    </row>
    <row r="30798" spans="104:111">
      <c r="CZ30798" s="256"/>
      <c r="DG30798" s="256"/>
    </row>
    <row r="30799" spans="104:111">
      <c r="CZ30799" s="256"/>
      <c r="DG30799" s="256"/>
    </row>
    <row r="30800" spans="104:111">
      <c r="CZ30800" s="256"/>
      <c r="DG30800" s="256"/>
    </row>
    <row r="30801" spans="104:111">
      <c r="CZ30801" s="256"/>
      <c r="DG30801" s="256"/>
    </row>
    <row r="30802" spans="104:111">
      <c r="CZ30802" s="256"/>
      <c r="DG30802" s="256"/>
    </row>
    <row r="30803" spans="104:111">
      <c r="CZ30803" s="256"/>
      <c r="DG30803" s="256"/>
    </row>
    <row r="30804" spans="104:111">
      <c r="CZ30804" s="256"/>
      <c r="DG30804" s="256"/>
    </row>
    <row r="30805" spans="104:111">
      <c r="CZ30805" s="256"/>
      <c r="DG30805" s="256"/>
    </row>
    <row r="30806" spans="104:111">
      <c r="CZ30806" s="256"/>
      <c r="DG30806" s="256"/>
    </row>
    <row r="30807" spans="104:111">
      <c r="CZ30807" s="256"/>
      <c r="DG30807" s="256"/>
    </row>
    <row r="30808" spans="104:111">
      <c r="CZ30808" s="256"/>
      <c r="DG30808" s="256"/>
    </row>
    <row r="30809" spans="104:111">
      <c r="CZ30809" s="256"/>
      <c r="DG30809" s="256"/>
    </row>
    <row r="30810" spans="104:111">
      <c r="CZ30810" s="256"/>
      <c r="DG30810" s="256"/>
    </row>
    <row r="30811" spans="104:111">
      <c r="CZ30811" s="256"/>
      <c r="DG30811" s="256"/>
    </row>
    <row r="30812" spans="104:111">
      <c r="CZ30812" s="256"/>
      <c r="DG30812" s="256"/>
    </row>
    <row r="30813" spans="104:111">
      <c r="CZ30813" s="256"/>
      <c r="DG30813" s="256"/>
    </row>
    <row r="30814" spans="104:111">
      <c r="CZ30814" s="256"/>
      <c r="DG30814" s="256"/>
    </row>
    <row r="30815" spans="104:111">
      <c r="CZ30815" s="256"/>
      <c r="DG30815" s="256"/>
    </row>
    <row r="30816" spans="104:111">
      <c r="CZ30816" s="256"/>
      <c r="DG30816" s="256"/>
    </row>
    <row r="30817" spans="104:111">
      <c r="CZ30817" s="256"/>
      <c r="DG30817" s="256"/>
    </row>
    <row r="30818" spans="104:111">
      <c r="CZ30818" s="256"/>
      <c r="DG30818" s="256"/>
    </row>
    <row r="30819" spans="104:111">
      <c r="CZ30819" s="256"/>
      <c r="DG30819" s="256"/>
    </row>
    <row r="30820" spans="104:111">
      <c r="CZ30820" s="256"/>
      <c r="DG30820" s="256"/>
    </row>
    <row r="30821" spans="104:111">
      <c r="CZ30821" s="256"/>
      <c r="DG30821" s="256"/>
    </row>
    <row r="30822" spans="104:111">
      <c r="CZ30822" s="256"/>
      <c r="DG30822" s="256"/>
    </row>
    <row r="30823" spans="104:111">
      <c r="CZ30823" s="256"/>
      <c r="DG30823" s="256"/>
    </row>
    <row r="30824" spans="104:111">
      <c r="CZ30824" s="256"/>
      <c r="DG30824" s="256"/>
    </row>
    <row r="30825" spans="104:111">
      <c r="CZ30825" s="256"/>
      <c r="DG30825" s="256"/>
    </row>
    <row r="30826" spans="104:111">
      <c r="CZ30826" s="256"/>
      <c r="DG30826" s="256"/>
    </row>
    <row r="30827" spans="104:111">
      <c r="CZ30827" s="256"/>
      <c r="DG30827" s="256"/>
    </row>
    <row r="30828" spans="104:111">
      <c r="CZ30828" s="256"/>
      <c r="DG30828" s="256"/>
    </row>
    <row r="30829" spans="104:111">
      <c r="CZ30829" s="256"/>
      <c r="DG30829" s="256"/>
    </row>
    <row r="30830" spans="104:111">
      <c r="CZ30830" s="256"/>
      <c r="DG30830" s="256"/>
    </row>
    <row r="30831" spans="104:111">
      <c r="CZ30831" s="256"/>
      <c r="DG30831" s="256"/>
    </row>
    <row r="30832" spans="104:111">
      <c r="CZ30832" s="256"/>
      <c r="DG30832" s="256"/>
    </row>
    <row r="30833" spans="104:111">
      <c r="CZ30833" s="256"/>
      <c r="DG30833" s="256"/>
    </row>
    <row r="30834" spans="104:111">
      <c r="CZ30834" s="256"/>
      <c r="DG30834" s="256"/>
    </row>
    <row r="30835" spans="104:111">
      <c r="CZ30835" s="256"/>
      <c r="DG30835" s="256"/>
    </row>
    <row r="30836" spans="104:111">
      <c r="CZ30836" s="256"/>
      <c r="DG30836" s="256"/>
    </row>
    <row r="30837" spans="104:111">
      <c r="CZ30837" s="256"/>
      <c r="DG30837" s="256"/>
    </row>
    <row r="30838" spans="104:111">
      <c r="CZ30838" s="256"/>
      <c r="DG30838" s="256"/>
    </row>
    <row r="30839" spans="104:111">
      <c r="CZ30839" s="256"/>
      <c r="DG30839" s="256"/>
    </row>
    <row r="30840" spans="104:111">
      <c r="CZ30840" s="256"/>
      <c r="DG30840" s="256"/>
    </row>
    <row r="30841" spans="104:111">
      <c r="CZ30841" s="256"/>
      <c r="DG30841" s="256"/>
    </row>
    <row r="30842" spans="104:111">
      <c r="CZ30842" s="256"/>
      <c r="DG30842" s="256"/>
    </row>
    <row r="30843" spans="104:111">
      <c r="CZ30843" s="256"/>
      <c r="DG30843" s="256"/>
    </row>
    <row r="30844" spans="104:111">
      <c r="CZ30844" s="256"/>
      <c r="DG30844" s="256"/>
    </row>
    <row r="30845" spans="104:111">
      <c r="CZ30845" s="256"/>
      <c r="DG30845" s="256"/>
    </row>
    <row r="30846" spans="104:111">
      <c r="CZ30846" s="256"/>
      <c r="DG30846" s="256"/>
    </row>
    <row r="30847" spans="104:111">
      <c r="CZ30847" s="256"/>
      <c r="DG30847" s="256"/>
    </row>
    <row r="30848" spans="104:111">
      <c r="CZ30848" s="256"/>
      <c r="DG30848" s="256"/>
    </row>
    <row r="30849" spans="104:111">
      <c r="CZ30849" s="256"/>
      <c r="DG30849" s="256"/>
    </row>
    <row r="30850" spans="104:111">
      <c r="CZ30850" s="256"/>
      <c r="DG30850" s="256"/>
    </row>
    <row r="30851" spans="104:111">
      <c r="CZ30851" s="256"/>
      <c r="DG30851" s="256"/>
    </row>
    <row r="30852" spans="104:111">
      <c r="CZ30852" s="256"/>
      <c r="DG30852" s="256"/>
    </row>
    <row r="30853" spans="104:111">
      <c r="CZ30853" s="256"/>
      <c r="DG30853" s="256"/>
    </row>
    <row r="30854" spans="104:111">
      <c r="CZ30854" s="256"/>
      <c r="DG30854" s="256"/>
    </row>
    <row r="30855" spans="104:111">
      <c r="CZ30855" s="256"/>
      <c r="DG30855" s="256"/>
    </row>
    <row r="30856" spans="104:111">
      <c r="CZ30856" s="256"/>
      <c r="DG30856" s="256"/>
    </row>
    <row r="30857" spans="104:111">
      <c r="CZ30857" s="256"/>
      <c r="DG30857" s="256"/>
    </row>
    <row r="30858" spans="104:111">
      <c r="CZ30858" s="256"/>
      <c r="DG30858" s="256"/>
    </row>
    <row r="30859" spans="104:111">
      <c r="CZ30859" s="256"/>
      <c r="DG30859" s="256"/>
    </row>
    <row r="30860" spans="104:111">
      <c r="CZ30860" s="256"/>
      <c r="DG30860" s="256"/>
    </row>
    <row r="30861" spans="104:111">
      <c r="CZ30861" s="256"/>
      <c r="DG30861" s="256"/>
    </row>
    <row r="30862" spans="104:111">
      <c r="CZ30862" s="256"/>
      <c r="DG30862" s="256"/>
    </row>
    <row r="30863" spans="104:111">
      <c r="CZ30863" s="256"/>
      <c r="DG30863" s="256"/>
    </row>
    <row r="30864" spans="104:111">
      <c r="CZ30864" s="256"/>
      <c r="DG30864" s="256"/>
    </row>
    <row r="30865" spans="104:111">
      <c r="CZ30865" s="256"/>
      <c r="DG30865" s="256"/>
    </row>
    <row r="30866" spans="104:111">
      <c r="CZ30866" s="256"/>
      <c r="DG30866" s="256"/>
    </row>
    <row r="30867" spans="104:111">
      <c r="CZ30867" s="256"/>
      <c r="DG30867" s="256"/>
    </row>
    <row r="30868" spans="104:111">
      <c r="CZ30868" s="256"/>
      <c r="DG30868" s="256"/>
    </row>
    <row r="30869" spans="104:111">
      <c r="CZ30869" s="256"/>
      <c r="DG30869" s="256"/>
    </row>
    <row r="30870" spans="104:111">
      <c r="CZ30870" s="256"/>
      <c r="DG30870" s="256"/>
    </row>
    <row r="30871" spans="104:111">
      <c r="CZ30871" s="256"/>
      <c r="DG30871" s="256"/>
    </row>
    <row r="30872" spans="104:111">
      <c r="CZ30872" s="256"/>
      <c r="DG30872" s="256"/>
    </row>
    <row r="30873" spans="104:111">
      <c r="CZ30873" s="256"/>
      <c r="DG30873" s="256"/>
    </row>
    <row r="30874" spans="104:111">
      <c r="CZ30874" s="256"/>
      <c r="DG30874" s="256"/>
    </row>
    <row r="30875" spans="104:111">
      <c r="CZ30875" s="256"/>
      <c r="DG30875" s="256"/>
    </row>
    <row r="30876" spans="104:111">
      <c r="CZ30876" s="256"/>
      <c r="DG30876" s="256"/>
    </row>
    <row r="30877" spans="104:111">
      <c r="CZ30877" s="256"/>
      <c r="DG30877" s="256"/>
    </row>
    <row r="30878" spans="104:111">
      <c r="CZ30878" s="256"/>
      <c r="DG30878" s="256"/>
    </row>
    <row r="30879" spans="104:111">
      <c r="CZ30879" s="256"/>
      <c r="DG30879" s="256"/>
    </row>
    <row r="30880" spans="104:111">
      <c r="CZ30880" s="256"/>
      <c r="DG30880" s="256"/>
    </row>
    <row r="30881" spans="104:111">
      <c r="CZ30881" s="256"/>
      <c r="DG30881" s="256"/>
    </row>
    <row r="30882" spans="104:111">
      <c r="CZ30882" s="256"/>
      <c r="DG30882" s="256"/>
    </row>
    <row r="30883" spans="104:111">
      <c r="CZ30883" s="256"/>
      <c r="DG30883" s="256"/>
    </row>
    <row r="30884" spans="104:111">
      <c r="CZ30884" s="256"/>
      <c r="DG30884" s="256"/>
    </row>
    <row r="30885" spans="104:111">
      <c r="CZ30885" s="256"/>
      <c r="DG30885" s="256"/>
    </row>
    <row r="30886" spans="104:111">
      <c r="CZ30886" s="256"/>
      <c r="DG30886" s="256"/>
    </row>
    <row r="30887" spans="104:111">
      <c r="CZ30887" s="256"/>
      <c r="DG30887" s="256"/>
    </row>
    <row r="30888" spans="104:111">
      <c r="CZ30888" s="256"/>
      <c r="DG30888" s="256"/>
    </row>
    <row r="30889" spans="104:111">
      <c r="CZ30889" s="256"/>
      <c r="DG30889" s="256"/>
    </row>
    <row r="30890" spans="104:111">
      <c r="CZ30890" s="256"/>
      <c r="DG30890" s="256"/>
    </row>
    <row r="30891" spans="104:111">
      <c r="CZ30891" s="256"/>
      <c r="DG30891" s="256"/>
    </row>
    <row r="30892" spans="104:111">
      <c r="CZ30892" s="256"/>
      <c r="DG30892" s="256"/>
    </row>
    <row r="30893" spans="104:111">
      <c r="CZ30893" s="256"/>
      <c r="DG30893" s="256"/>
    </row>
    <row r="30894" spans="104:111">
      <c r="CZ30894" s="256"/>
      <c r="DG30894" s="256"/>
    </row>
    <row r="30895" spans="104:111">
      <c r="CZ30895" s="256"/>
      <c r="DG30895" s="256"/>
    </row>
    <row r="30896" spans="104:111">
      <c r="CZ30896" s="256"/>
      <c r="DG30896" s="256"/>
    </row>
    <row r="30897" spans="104:111">
      <c r="CZ30897" s="256"/>
      <c r="DG30897" s="256"/>
    </row>
    <row r="30898" spans="104:111">
      <c r="CZ30898" s="256"/>
      <c r="DG30898" s="256"/>
    </row>
    <row r="30899" spans="104:111">
      <c r="CZ30899" s="256"/>
      <c r="DG30899" s="256"/>
    </row>
    <row r="30900" spans="104:111">
      <c r="CZ30900" s="256"/>
      <c r="DG30900" s="256"/>
    </row>
    <row r="30901" spans="104:111">
      <c r="CZ30901" s="256"/>
      <c r="DG30901" s="256"/>
    </row>
    <row r="30902" spans="104:111">
      <c r="CZ30902" s="256"/>
      <c r="DG30902" s="256"/>
    </row>
    <row r="30903" spans="104:111">
      <c r="CZ30903" s="256"/>
      <c r="DG30903" s="256"/>
    </row>
    <row r="30904" spans="104:111">
      <c r="CZ30904" s="256"/>
      <c r="DG30904" s="256"/>
    </row>
    <row r="30905" spans="104:111">
      <c r="CZ30905" s="256"/>
      <c r="DG30905" s="256"/>
    </row>
    <row r="30906" spans="104:111">
      <c r="CZ30906" s="256"/>
      <c r="DG30906" s="256"/>
    </row>
    <row r="30907" spans="104:111">
      <c r="CZ30907" s="256"/>
      <c r="DG30907" s="256"/>
    </row>
    <row r="30908" spans="104:111">
      <c r="CZ30908" s="256"/>
      <c r="DG30908" s="256"/>
    </row>
    <row r="30909" spans="104:111">
      <c r="CZ30909" s="256"/>
      <c r="DG30909" s="256"/>
    </row>
    <row r="30910" spans="104:111">
      <c r="CZ30910" s="256"/>
      <c r="DG30910" s="256"/>
    </row>
    <row r="30911" spans="104:111">
      <c r="CZ30911" s="256"/>
      <c r="DG30911" s="256"/>
    </row>
    <row r="30912" spans="104:111">
      <c r="CZ30912" s="256"/>
      <c r="DG30912" s="256"/>
    </row>
    <row r="30913" spans="104:111">
      <c r="CZ30913" s="256"/>
      <c r="DG30913" s="256"/>
    </row>
    <row r="30914" spans="104:111">
      <c r="CZ30914" s="256"/>
      <c r="DG30914" s="256"/>
    </row>
    <row r="30915" spans="104:111">
      <c r="CZ30915" s="256"/>
      <c r="DG30915" s="256"/>
    </row>
    <row r="30916" spans="104:111">
      <c r="CZ30916" s="256"/>
      <c r="DG30916" s="256"/>
    </row>
    <row r="30917" spans="104:111">
      <c r="CZ30917" s="256"/>
      <c r="DG30917" s="256"/>
    </row>
    <row r="30918" spans="104:111">
      <c r="CZ30918" s="256"/>
      <c r="DG30918" s="256"/>
    </row>
    <row r="30919" spans="104:111">
      <c r="CZ30919" s="256"/>
      <c r="DG30919" s="256"/>
    </row>
    <row r="30920" spans="104:111">
      <c r="CZ30920" s="256"/>
      <c r="DG30920" s="256"/>
    </row>
    <row r="30921" spans="104:111">
      <c r="CZ30921" s="256"/>
      <c r="DG30921" s="256"/>
    </row>
    <row r="30922" spans="104:111">
      <c r="CZ30922" s="256"/>
      <c r="DG30922" s="256"/>
    </row>
    <row r="30923" spans="104:111">
      <c r="CZ30923" s="256"/>
      <c r="DG30923" s="256"/>
    </row>
    <row r="30924" spans="104:111">
      <c r="CZ30924" s="256"/>
      <c r="DG30924" s="256"/>
    </row>
    <row r="30925" spans="104:111">
      <c r="CZ30925" s="256"/>
      <c r="DG30925" s="256"/>
    </row>
    <row r="30926" spans="104:111">
      <c r="CZ30926" s="256"/>
      <c r="DG30926" s="256"/>
    </row>
    <row r="30927" spans="104:111">
      <c r="CZ30927" s="256"/>
      <c r="DG30927" s="256"/>
    </row>
    <row r="30928" spans="104:111">
      <c r="CZ30928" s="256"/>
      <c r="DG30928" s="256"/>
    </row>
    <row r="30929" spans="104:111">
      <c r="CZ30929" s="256"/>
      <c r="DG30929" s="256"/>
    </row>
    <row r="30930" spans="104:111">
      <c r="CZ30930" s="256"/>
      <c r="DG30930" s="256"/>
    </row>
    <row r="30931" spans="104:111">
      <c r="CZ30931" s="256"/>
      <c r="DG30931" s="256"/>
    </row>
    <row r="30932" spans="104:111">
      <c r="CZ30932" s="256"/>
      <c r="DG30932" s="256"/>
    </row>
    <row r="30933" spans="104:111">
      <c r="CZ30933" s="256"/>
      <c r="DG30933" s="256"/>
    </row>
    <row r="30934" spans="104:111">
      <c r="CZ30934" s="256"/>
      <c r="DG30934" s="256"/>
    </row>
    <row r="30935" spans="104:111">
      <c r="CZ30935" s="256"/>
      <c r="DG30935" s="256"/>
    </row>
    <row r="30936" spans="104:111">
      <c r="CZ30936" s="256"/>
      <c r="DG30936" s="256"/>
    </row>
    <row r="30937" spans="104:111">
      <c r="CZ30937" s="256"/>
      <c r="DG30937" s="256"/>
    </row>
    <row r="30938" spans="104:111">
      <c r="CZ30938" s="256"/>
      <c r="DG30938" s="256"/>
    </row>
    <row r="30939" spans="104:111">
      <c r="CZ30939" s="256"/>
      <c r="DG30939" s="256"/>
    </row>
    <row r="30940" spans="104:111">
      <c r="CZ30940" s="256"/>
      <c r="DG30940" s="256"/>
    </row>
    <row r="30941" spans="104:111">
      <c r="CZ30941" s="256"/>
      <c r="DG30941" s="256"/>
    </row>
    <row r="30942" spans="104:111">
      <c r="CZ30942" s="256"/>
      <c r="DG30942" s="256"/>
    </row>
    <row r="30943" spans="104:111">
      <c r="CZ30943" s="256"/>
      <c r="DG30943" s="256"/>
    </row>
    <row r="30944" spans="104:111">
      <c r="CZ30944" s="256"/>
      <c r="DG30944" s="256"/>
    </row>
    <row r="30945" spans="104:111">
      <c r="CZ30945" s="256"/>
      <c r="DG30945" s="256"/>
    </row>
    <row r="30946" spans="104:111">
      <c r="CZ30946" s="256"/>
      <c r="DG30946" s="256"/>
    </row>
    <row r="30947" spans="104:111">
      <c r="CZ30947" s="256"/>
      <c r="DG30947" s="256"/>
    </row>
    <row r="30948" spans="104:111">
      <c r="CZ30948" s="256"/>
      <c r="DG30948" s="256"/>
    </row>
    <row r="30949" spans="104:111">
      <c r="CZ30949" s="256"/>
      <c r="DG30949" s="256"/>
    </row>
    <row r="30950" spans="104:111">
      <c r="CZ30950" s="256"/>
      <c r="DG30950" s="256"/>
    </row>
    <row r="30951" spans="104:111">
      <c r="CZ30951" s="256"/>
      <c r="DG30951" s="256"/>
    </row>
    <row r="30952" spans="104:111">
      <c r="CZ30952" s="256"/>
      <c r="DG30952" s="256"/>
    </row>
    <row r="30953" spans="104:111">
      <c r="CZ30953" s="256"/>
      <c r="DG30953" s="256"/>
    </row>
    <row r="30954" spans="104:111">
      <c r="CZ30954" s="256"/>
      <c r="DG30954" s="256"/>
    </row>
    <row r="30955" spans="104:111">
      <c r="CZ30955" s="256"/>
      <c r="DG30955" s="256"/>
    </row>
    <row r="30956" spans="104:111">
      <c r="CZ30956" s="256"/>
      <c r="DG30956" s="256"/>
    </row>
    <row r="30957" spans="104:111">
      <c r="CZ30957" s="256"/>
      <c r="DG30957" s="256"/>
    </row>
    <row r="30958" spans="104:111">
      <c r="CZ30958" s="256"/>
      <c r="DG30958" s="256"/>
    </row>
    <row r="30959" spans="104:111">
      <c r="CZ30959" s="256"/>
      <c r="DG30959" s="256"/>
    </row>
    <row r="30960" spans="104:111">
      <c r="CZ30960" s="256"/>
      <c r="DG30960" s="256"/>
    </row>
    <row r="30961" spans="104:111">
      <c r="CZ30961" s="256"/>
      <c r="DG30961" s="256"/>
    </row>
    <row r="30962" spans="104:111">
      <c r="CZ30962" s="256"/>
      <c r="DG30962" s="256"/>
    </row>
    <row r="30963" spans="104:111">
      <c r="CZ30963" s="256"/>
      <c r="DG30963" s="256"/>
    </row>
    <row r="30964" spans="104:111">
      <c r="CZ30964" s="256"/>
      <c r="DG30964" s="256"/>
    </row>
    <row r="30965" spans="104:111">
      <c r="CZ30965" s="256"/>
      <c r="DG30965" s="256"/>
    </row>
    <row r="30966" spans="104:111">
      <c r="CZ30966" s="256"/>
      <c r="DG30966" s="256"/>
    </row>
    <row r="30967" spans="104:111">
      <c r="CZ30967" s="256"/>
      <c r="DG30967" s="256"/>
    </row>
    <row r="30968" spans="104:111">
      <c r="CZ30968" s="256"/>
      <c r="DG30968" s="256"/>
    </row>
    <row r="30969" spans="104:111">
      <c r="CZ30969" s="256"/>
      <c r="DG30969" s="256"/>
    </row>
    <row r="30970" spans="104:111">
      <c r="CZ30970" s="256"/>
      <c r="DG30970" s="256"/>
    </row>
    <row r="30971" spans="104:111">
      <c r="CZ30971" s="256"/>
      <c r="DG30971" s="256"/>
    </row>
    <row r="30972" spans="104:111">
      <c r="CZ30972" s="256"/>
      <c r="DG30972" s="256"/>
    </row>
    <row r="30973" spans="104:111">
      <c r="CZ30973" s="256"/>
      <c r="DG30973" s="256"/>
    </row>
    <row r="30974" spans="104:111">
      <c r="CZ30974" s="256"/>
      <c r="DG30974" s="256"/>
    </row>
    <row r="30975" spans="104:111">
      <c r="CZ30975" s="256"/>
      <c r="DG30975" s="256"/>
    </row>
    <row r="30976" spans="104:111">
      <c r="CZ30976" s="256"/>
      <c r="DG30976" s="256"/>
    </row>
    <row r="30977" spans="104:111">
      <c r="CZ30977" s="256"/>
      <c r="DG30977" s="256"/>
    </row>
    <row r="30978" spans="104:111">
      <c r="CZ30978" s="256"/>
      <c r="DG30978" s="256"/>
    </row>
    <row r="30979" spans="104:111">
      <c r="CZ30979" s="256"/>
      <c r="DG30979" s="256"/>
    </row>
    <row r="30980" spans="104:111">
      <c r="CZ30980" s="256"/>
      <c r="DG30980" s="256"/>
    </row>
    <row r="30981" spans="104:111">
      <c r="CZ30981" s="256"/>
      <c r="DG30981" s="256"/>
    </row>
    <row r="30982" spans="104:111">
      <c r="CZ30982" s="256"/>
      <c r="DG30982" s="256"/>
    </row>
    <row r="30983" spans="104:111">
      <c r="CZ30983" s="256"/>
      <c r="DG30983" s="256"/>
    </row>
    <row r="30984" spans="104:111">
      <c r="CZ30984" s="256"/>
      <c r="DG30984" s="256"/>
    </row>
    <row r="30985" spans="104:111">
      <c r="CZ30985" s="256"/>
      <c r="DG30985" s="256"/>
    </row>
    <row r="30986" spans="104:111">
      <c r="CZ30986" s="256"/>
      <c r="DG30986" s="256"/>
    </row>
    <row r="30987" spans="104:111">
      <c r="CZ30987" s="256"/>
      <c r="DG30987" s="256"/>
    </row>
    <row r="30988" spans="104:111">
      <c r="CZ30988" s="256"/>
      <c r="DG30988" s="256"/>
    </row>
    <row r="30989" spans="104:111">
      <c r="CZ30989" s="256"/>
      <c r="DG30989" s="256"/>
    </row>
    <row r="30990" spans="104:111">
      <c r="CZ30990" s="256"/>
      <c r="DG30990" s="256"/>
    </row>
    <row r="30991" spans="104:111">
      <c r="CZ30991" s="256"/>
      <c r="DG30991" s="256"/>
    </row>
    <row r="30992" spans="104:111">
      <c r="CZ30992" s="256"/>
      <c r="DG30992" s="256"/>
    </row>
    <row r="30993" spans="104:111">
      <c r="CZ30993" s="256"/>
      <c r="DG30993" s="256"/>
    </row>
    <row r="30994" spans="104:111">
      <c r="CZ30994" s="256"/>
      <c r="DG30994" s="256"/>
    </row>
    <row r="30995" spans="104:111">
      <c r="CZ30995" s="256"/>
      <c r="DG30995" s="256"/>
    </row>
    <row r="30996" spans="104:111">
      <c r="CZ30996" s="256"/>
      <c r="DG30996" s="256"/>
    </row>
    <row r="30997" spans="104:111">
      <c r="CZ30997" s="256"/>
      <c r="DG30997" s="256"/>
    </row>
    <row r="30998" spans="104:111">
      <c r="CZ30998" s="256"/>
      <c r="DG30998" s="256"/>
    </row>
    <row r="30999" spans="104:111">
      <c r="CZ30999" s="256"/>
      <c r="DG30999" s="256"/>
    </row>
    <row r="31000" spans="104:111">
      <c r="CZ31000" s="256"/>
      <c r="DG31000" s="256"/>
    </row>
    <row r="31001" spans="104:111">
      <c r="CZ31001" s="256"/>
      <c r="DG31001" s="256"/>
    </row>
    <row r="31002" spans="104:111">
      <c r="CZ31002" s="256"/>
      <c r="DG31002" s="256"/>
    </row>
    <row r="31003" spans="104:111">
      <c r="CZ31003" s="256"/>
      <c r="DG31003" s="256"/>
    </row>
    <row r="31004" spans="104:111">
      <c r="CZ31004" s="256"/>
      <c r="DG31004" s="256"/>
    </row>
    <row r="31005" spans="104:111">
      <c r="CZ31005" s="256"/>
      <c r="DG31005" s="256"/>
    </row>
    <row r="31006" spans="104:111">
      <c r="CZ31006" s="256"/>
      <c r="DG31006" s="256"/>
    </row>
    <row r="31007" spans="104:111">
      <c r="CZ31007" s="256"/>
      <c r="DG31007" s="256"/>
    </row>
    <row r="31008" spans="104:111">
      <c r="CZ31008" s="256"/>
      <c r="DG31008" s="256"/>
    </row>
    <row r="31009" spans="104:111">
      <c r="CZ31009" s="256"/>
      <c r="DG31009" s="256"/>
    </row>
    <row r="31010" spans="104:111">
      <c r="CZ31010" s="256"/>
      <c r="DG31010" s="256"/>
    </row>
    <row r="31011" spans="104:111">
      <c r="CZ31011" s="256"/>
      <c r="DG31011" s="256"/>
    </row>
    <row r="31012" spans="104:111">
      <c r="CZ31012" s="256"/>
      <c r="DG31012" s="256"/>
    </row>
    <row r="31013" spans="104:111">
      <c r="CZ31013" s="256"/>
      <c r="DG31013" s="256"/>
    </row>
    <row r="31014" spans="104:111">
      <c r="CZ31014" s="256"/>
      <c r="DG31014" s="256"/>
    </row>
    <row r="31015" spans="104:111">
      <c r="CZ31015" s="256"/>
      <c r="DG31015" s="256"/>
    </row>
    <row r="31016" spans="104:111">
      <c r="CZ31016" s="256"/>
      <c r="DG31016" s="256"/>
    </row>
    <row r="31017" spans="104:111">
      <c r="CZ31017" s="256"/>
      <c r="DG31017" s="256"/>
    </row>
    <row r="31018" spans="104:111">
      <c r="CZ31018" s="256"/>
      <c r="DG31018" s="256"/>
    </row>
    <row r="31019" spans="104:111">
      <c r="CZ31019" s="256"/>
      <c r="DG31019" s="256"/>
    </row>
    <row r="31020" spans="104:111">
      <c r="CZ31020" s="256"/>
      <c r="DG31020" s="256"/>
    </row>
    <row r="31021" spans="104:111">
      <c r="CZ31021" s="256"/>
      <c r="DG31021" s="256"/>
    </row>
    <row r="31022" spans="104:111">
      <c r="CZ31022" s="256"/>
      <c r="DG31022" s="256"/>
    </row>
    <row r="31023" spans="104:111">
      <c r="CZ31023" s="256"/>
      <c r="DG31023" s="256"/>
    </row>
    <row r="31024" spans="104:111">
      <c r="CZ31024" s="256"/>
      <c r="DG31024" s="256"/>
    </row>
    <row r="31025" spans="104:111">
      <c r="CZ31025" s="256"/>
      <c r="DG31025" s="256"/>
    </row>
    <row r="31026" spans="104:111">
      <c r="CZ31026" s="256"/>
      <c r="DG31026" s="256"/>
    </row>
    <row r="31027" spans="104:111">
      <c r="CZ31027" s="256"/>
      <c r="DG31027" s="256"/>
    </row>
    <row r="31028" spans="104:111">
      <c r="CZ31028" s="256"/>
      <c r="DG31028" s="256"/>
    </row>
    <row r="31029" spans="104:111">
      <c r="CZ31029" s="256"/>
      <c r="DG31029" s="256"/>
    </row>
    <row r="31030" spans="104:111">
      <c r="CZ31030" s="256"/>
      <c r="DG31030" s="256"/>
    </row>
    <row r="31031" spans="104:111">
      <c r="CZ31031" s="256"/>
      <c r="DG31031" s="256"/>
    </row>
    <row r="31032" spans="104:111">
      <c r="CZ31032" s="256"/>
      <c r="DG31032" s="256"/>
    </row>
    <row r="31033" spans="104:111">
      <c r="CZ31033" s="256"/>
      <c r="DG31033" s="256"/>
    </row>
    <row r="31034" spans="104:111">
      <c r="CZ31034" s="256"/>
      <c r="DG31034" s="256"/>
    </row>
    <row r="31035" spans="104:111">
      <c r="CZ31035" s="256"/>
      <c r="DG31035" s="256"/>
    </row>
    <row r="31036" spans="104:111">
      <c r="CZ31036" s="256"/>
      <c r="DG31036" s="256"/>
    </row>
    <row r="31037" spans="104:111">
      <c r="CZ31037" s="256"/>
      <c r="DG31037" s="256"/>
    </row>
    <row r="31038" spans="104:111">
      <c r="CZ31038" s="256"/>
      <c r="DG31038" s="256"/>
    </row>
    <row r="31039" spans="104:111">
      <c r="CZ31039" s="256"/>
      <c r="DG31039" s="256"/>
    </row>
    <row r="31040" spans="104:111">
      <c r="CZ31040" s="256"/>
      <c r="DG31040" s="256"/>
    </row>
    <row r="31041" spans="104:111">
      <c r="CZ31041" s="256"/>
      <c r="DG31041" s="256"/>
    </row>
    <row r="31042" spans="104:111">
      <c r="CZ31042" s="256"/>
      <c r="DG31042" s="256"/>
    </row>
    <row r="31043" spans="104:111">
      <c r="CZ31043" s="256"/>
      <c r="DG31043" s="256"/>
    </row>
    <row r="31044" spans="104:111">
      <c r="CZ31044" s="256"/>
      <c r="DG31044" s="256"/>
    </row>
    <row r="31045" spans="104:111">
      <c r="CZ31045" s="256"/>
      <c r="DG31045" s="256"/>
    </row>
    <row r="31046" spans="104:111">
      <c r="CZ31046" s="256"/>
      <c r="DG31046" s="256"/>
    </row>
    <row r="31047" spans="104:111">
      <c r="CZ31047" s="256"/>
      <c r="DG31047" s="256"/>
    </row>
    <row r="31048" spans="104:111">
      <c r="CZ31048" s="256"/>
      <c r="DG31048" s="256"/>
    </row>
    <row r="31049" spans="104:111">
      <c r="CZ31049" s="256"/>
      <c r="DG31049" s="256"/>
    </row>
    <row r="31050" spans="104:111">
      <c r="CZ31050" s="256"/>
      <c r="DG31050" s="256"/>
    </row>
    <row r="31051" spans="104:111">
      <c r="CZ31051" s="256"/>
      <c r="DG31051" s="256"/>
    </row>
    <row r="31052" spans="104:111">
      <c r="CZ31052" s="256"/>
      <c r="DG31052" s="256"/>
    </row>
    <row r="31053" spans="104:111">
      <c r="CZ31053" s="256"/>
      <c r="DG31053" s="256"/>
    </row>
    <row r="31054" spans="104:111">
      <c r="CZ31054" s="256"/>
      <c r="DG31054" s="256"/>
    </row>
    <row r="31055" spans="104:111">
      <c r="CZ31055" s="256"/>
      <c r="DG31055" s="256"/>
    </row>
    <row r="31056" spans="104:111">
      <c r="CZ31056" s="256"/>
      <c r="DG31056" s="256"/>
    </row>
    <row r="31057" spans="104:111">
      <c r="CZ31057" s="256"/>
      <c r="DG31057" s="256"/>
    </row>
    <row r="31058" spans="104:111">
      <c r="CZ31058" s="256"/>
      <c r="DG31058" s="256"/>
    </row>
    <row r="31059" spans="104:111">
      <c r="CZ31059" s="256"/>
      <c r="DG31059" s="256"/>
    </row>
    <row r="31060" spans="104:111">
      <c r="CZ31060" s="256"/>
      <c r="DG31060" s="256"/>
    </row>
    <row r="31061" spans="104:111">
      <c r="CZ31061" s="256"/>
      <c r="DG31061" s="256"/>
    </row>
    <row r="31062" spans="104:111">
      <c r="CZ31062" s="256"/>
      <c r="DG31062" s="256"/>
    </row>
    <row r="31063" spans="104:111">
      <c r="CZ31063" s="256"/>
      <c r="DG31063" s="256"/>
    </row>
    <row r="31064" spans="104:111">
      <c r="CZ31064" s="256"/>
      <c r="DG31064" s="256"/>
    </row>
    <row r="31065" spans="104:111">
      <c r="CZ31065" s="256"/>
      <c r="DG31065" s="256"/>
    </row>
    <row r="31066" spans="104:111">
      <c r="CZ31066" s="256"/>
      <c r="DG31066" s="256"/>
    </row>
    <row r="31067" spans="104:111">
      <c r="CZ31067" s="256"/>
      <c r="DG31067" s="256"/>
    </row>
    <row r="31068" spans="104:111">
      <c r="CZ31068" s="256"/>
      <c r="DG31068" s="256"/>
    </row>
    <row r="31069" spans="104:111">
      <c r="CZ31069" s="256"/>
      <c r="DG31069" s="256"/>
    </row>
    <row r="31070" spans="104:111">
      <c r="CZ31070" s="256"/>
      <c r="DG31070" s="256"/>
    </row>
    <row r="31071" spans="104:111">
      <c r="CZ31071" s="256"/>
      <c r="DG31071" s="256"/>
    </row>
    <row r="31072" spans="104:111">
      <c r="CZ31072" s="256"/>
      <c r="DG31072" s="256"/>
    </row>
    <row r="31073" spans="104:111">
      <c r="CZ31073" s="256"/>
      <c r="DG31073" s="256"/>
    </row>
    <row r="31074" spans="104:111">
      <c r="CZ31074" s="256"/>
      <c r="DG31074" s="256"/>
    </row>
    <row r="31075" spans="104:111">
      <c r="CZ31075" s="256"/>
      <c r="DG31075" s="256"/>
    </row>
    <row r="31076" spans="104:111">
      <c r="CZ31076" s="256"/>
      <c r="DG31076" s="256"/>
    </row>
    <row r="31077" spans="104:111">
      <c r="CZ31077" s="256"/>
      <c r="DG31077" s="256"/>
    </row>
    <row r="31078" spans="104:111">
      <c r="CZ31078" s="256"/>
      <c r="DG31078" s="256"/>
    </row>
    <row r="31079" spans="104:111">
      <c r="CZ31079" s="256"/>
      <c r="DG31079" s="256"/>
    </row>
    <row r="31080" spans="104:111">
      <c r="CZ31080" s="256"/>
      <c r="DG31080" s="256"/>
    </row>
    <row r="31081" spans="104:111">
      <c r="CZ31081" s="256"/>
      <c r="DG31081" s="256"/>
    </row>
    <row r="31082" spans="104:111">
      <c r="CZ31082" s="256"/>
      <c r="DG31082" s="256"/>
    </row>
    <row r="31083" spans="104:111">
      <c r="CZ31083" s="256"/>
      <c r="DG31083" s="256"/>
    </row>
    <row r="31084" spans="104:111">
      <c r="CZ31084" s="256"/>
      <c r="DG31084" s="256"/>
    </row>
    <row r="31085" spans="104:111">
      <c r="CZ31085" s="256"/>
      <c r="DG31085" s="256"/>
    </row>
    <row r="31086" spans="104:111">
      <c r="CZ31086" s="256"/>
      <c r="DG31086" s="256"/>
    </row>
    <row r="31087" spans="104:111">
      <c r="CZ31087" s="256"/>
      <c r="DG31087" s="256"/>
    </row>
    <row r="31088" spans="104:111">
      <c r="CZ31088" s="256"/>
      <c r="DG31088" s="256"/>
    </row>
    <row r="31089" spans="104:111">
      <c r="CZ31089" s="256"/>
      <c r="DG31089" s="256"/>
    </row>
    <row r="31090" spans="104:111">
      <c r="CZ31090" s="256"/>
      <c r="DG31090" s="256"/>
    </row>
    <row r="31091" spans="104:111">
      <c r="CZ31091" s="256"/>
      <c r="DG31091" s="256"/>
    </row>
    <row r="31092" spans="104:111">
      <c r="CZ31092" s="256"/>
      <c r="DG31092" s="256"/>
    </row>
    <row r="31093" spans="104:111">
      <c r="CZ31093" s="256"/>
      <c r="DG31093" s="256"/>
    </row>
    <row r="31094" spans="104:111">
      <c r="CZ31094" s="256"/>
      <c r="DG31094" s="256"/>
    </row>
    <row r="31095" spans="104:111">
      <c r="CZ31095" s="256"/>
      <c r="DG31095" s="256"/>
    </row>
    <row r="31096" spans="104:111">
      <c r="CZ31096" s="256"/>
      <c r="DG31096" s="256"/>
    </row>
    <row r="31097" spans="104:111">
      <c r="CZ31097" s="256"/>
      <c r="DG31097" s="256"/>
    </row>
    <row r="31098" spans="104:111">
      <c r="CZ31098" s="256"/>
      <c r="DG31098" s="256"/>
    </row>
    <row r="31099" spans="104:111">
      <c r="CZ31099" s="256"/>
      <c r="DG31099" s="256"/>
    </row>
    <row r="31100" spans="104:111">
      <c r="CZ31100" s="256"/>
      <c r="DG31100" s="256"/>
    </row>
    <row r="31101" spans="104:111">
      <c r="CZ31101" s="256"/>
      <c r="DG31101" s="256"/>
    </row>
    <row r="31102" spans="104:111">
      <c r="CZ31102" s="256"/>
      <c r="DG31102" s="256"/>
    </row>
    <row r="31103" spans="104:111">
      <c r="CZ31103" s="256"/>
      <c r="DG31103" s="256"/>
    </row>
    <row r="31104" spans="104:111">
      <c r="CZ31104" s="256"/>
      <c r="DG31104" s="256"/>
    </row>
    <row r="31105" spans="104:111">
      <c r="CZ31105" s="256"/>
      <c r="DG31105" s="256"/>
    </row>
    <row r="31106" spans="104:111">
      <c r="CZ31106" s="256"/>
      <c r="DG31106" s="256"/>
    </row>
    <row r="31107" spans="104:111">
      <c r="CZ31107" s="256"/>
      <c r="DG31107" s="256"/>
    </row>
    <row r="31108" spans="104:111">
      <c r="CZ31108" s="256"/>
      <c r="DG31108" s="256"/>
    </row>
    <row r="31109" spans="104:111">
      <c r="CZ31109" s="256"/>
      <c r="DG31109" s="256"/>
    </row>
    <row r="31110" spans="104:111">
      <c r="CZ31110" s="256"/>
      <c r="DG31110" s="256"/>
    </row>
    <row r="31111" spans="104:111">
      <c r="CZ31111" s="256"/>
      <c r="DG31111" s="256"/>
    </row>
    <row r="31112" spans="104:111">
      <c r="CZ31112" s="256"/>
      <c r="DG31112" s="256"/>
    </row>
    <row r="31113" spans="104:111">
      <c r="CZ31113" s="256"/>
      <c r="DG31113" s="256"/>
    </row>
    <row r="31114" spans="104:111">
      <c r="CZ31114" s="256"/>
      <c r="DG31114" s="256"/>
    </row>
    <row r="31115" spans="104:111">
      <c r="CZ31115" s="256"/>
      <c r="DG31115" s="256"/>
    </row>
    <row r="31116" spans="104:111">
      <c r="CZ31116" s="256"/>
      <c r="DG31116" s="256"/>
    </row>
    <row r="31117" spans="104:111">
      <c r="CZ31117" s="256"/>
      <c r="DG31117" s="256"/>
    </row>
    <row r="31118" spans="104:111">
      <c r="CZ31118" s="256"/>
      <c r="DG31118" s="256"/>
    </row>
    <row r="31119" spans="104:111">
      <c r="CZ31119" s="256"/>
      <c r="DG31119" s="256"/>
    </row>
    <row r="31120" spans="104:111">
      <c r="CZ31120" s="256"/>
      <c r="DG31120" s="256"/>
    </row>
    <row r="31121" spans="104:111">
      <c r="CZ31121" s="256"/>
      <c r="DG31121" s="256"/>
    </row>
    <row r="31122" spans="104:111">
      <c r="CZ31122" s="256"/>
      <c r="DG31122" s="256"/>
    </row>
    <row r="31123" spans="104:111">
      <c r="CZ31123" s="256"/>
      <c r="DG31123" s="256"/>
    </row>
    <row r="31124" spans="104:111">
      <c r="CZ31124" s="256"/>
      <c r="DG31124" s="256"/>
    </row>
    <row r="31125" spans="104:111">
      <c r="CZ31125" s="256"/>
      <c r="DG31125" s="256"/>
    </row>
    <row r="31126" spans="104:111">
      <c r="CZ31126" s="256"/>
      <c r="DG31126" s="256"/>
    </row>
    <row r="31127" spans="104:111">
      <c r="CZ31127" s="256"/>
      <c r="DG31127" s="256"/>
    </row>
    <row r="31128" spans="104:111">
      <c r="CZ31128" s="256"/>
      <c r="DG31128" s="256"/>
    </row>
    <row r="31129" spans="104:111">
      <c r="CZ31129" s="256"/>
      <c r="DG31129" s="256"/>
    </row>
    <row r="31130" spans="104:111">
      <c r="CZ31130" s="256"/>
      <c r="DG31130" s="256"/>
    </row>
    <row r="31131" spans="104:111">
      <c r="CZ31131" s="256"/>
      <c r="DG31131" s="256"/>
    </row>
    <row r="31132" spans="104:111">
      <c r="CZ31132" s="256"/>
      <c r="DG31132" s="256"/>
    </row>
    <row r="31133" spans="104:111">
      <c r="CZ31133" s="256"/>
      <c r="DG31133" s="256"/>
    </row>
    <row r="31134" spans="104:111">
      <c r="CZ31134" s="256"/>
      <c r="DG31134" s="256"/>
    </row>
    <row r="31135" spans="104:111">
      <c r="CZ31135" s="256"/>
      <c r="DG31135" s="256"/>
    </row>
    <row r="31136" spans="104:111">
      <c r="CZ31136" s="256"/>
      <c r="DG31136" s="256"/>
    </row>
    <row r="31137" spans="104:111">
      <c r="CZ31137" s="256"/>
      <c r="DG31137" s="256"/>
    </row>
    <row r="31138" spans="104:111">
      <c r="CZ31138" s="256"/>
      <c r="DG31138" s="256"/>
    </row>
    <row r="31139" spans="104:111">
      <c r="CZ31139" s="256"/>
      <c r="DG31139" s="256"/>
    </row>
    <row r="31140" spans="104:111">
      <c r="CZ31140" s="256"/>
      <c r="DG31140" s="256"/>
    </row>
    <row r="31141" spans="104:111">
      <c r="CZ31141" s="256"/>
      <c r="DG31141" s="256"/>
    </row>
    <row r="31142" spans="104:111">
      <c r="CZ31142" s="256"/>
      <c r="DG31142" s="256"/>
    </row>
    <row r="31143" spans="104:111">
      <c r="CZ31143" s="256"/>
      <c r="DG31143" s="256"/>
    </row>
    <row r="31144" spans="104:111">
      <c r="CZ31144" s="256"/>
      <c r="DG31144" s="256"/>
    </row>
    <row r="31145" spans="104:111">
      <c r="CZ31145" s="256"/>
      <c r="DG31145" s="256"/>
    </row>
    <row r="31146" spans="104:111">
      <c r="CZ31146" s="256"/>
      <c r="DG31146" s="256"/>
    </row>
    <row r="31147" spans="104:111">
      <c r="CZ31147" s="256"/>
      <c r="DG31147" s="256"/>
    </row>
    <row r="31148" spans="104:111">
      <c r="CZ31148" s="256"/>
      <c r="DG31148" s="256"/>
    </row>
    <row r="31149" spans="104:111">
      <c r="CZ31149" s="256"/>
      <c r="DG31149" s="256"/>
    </row>
    <row r="31150" spans="104:111">
      <c r="CZ31150" s="256"/>
      <c r="DG31150" s="256"/>
    </row>
    <row r="31151" spans="104:111">
      <c r="CZ31151" s="256"/>
      <c r="DG31151" s="256"/>
    </row>
    <row r="31152" spans="104:111">
      <c r="CZ31152" s="256"/>
      <c r="DG31152" s="256"/>
    </row>
    <row r="31153" spans="104:111">
      <c r="CZ31153" s="256"/>
      <c r="DG31153" s="256"/>
    </row>
    <row r="31154" spans="104:111">
      <c r="CZ31154" s="256"/>
      <c r="DG31154" s="256"/>
    </row>
    <row r="31155" spans="104:111">
      <c r="CZ31155" s="256"/>
      <c r="DG31155" s="256"/>
    </row>
    <row r="31156" spans="104:111">
      <c r="CZ31156" s="256"/>
      <c r="DG31156" s="256"/>
    </row>
    <row r="31157" spans="104:111">
      <c r="CZ31157" s="256"/>
      <c r="DG31157" s="256"/>
    </row>
    <row r="31158" spans="104:111">
      <c r="CZ31158" s="256"/>
      <c r="DG31158" s="256"/>
    </row>
    <row r="31159" spans="104:111">
      <c r="CZ31159" s="256"/>
      <c r="DG31159" s="256"/>
    </row>
    <row r="31160" spans="104:111">
      <c r="CZ31160" s="256"/>
      <c r="DG31160" s="256"/>
    </row>
    <row r="31161" spans="104:111">
      <c r="CZ31161" s="256"/>
      <c r="DG31161" s="256"/>
    </row>
    <row r="31162" spans="104:111">
      <c r="CZ31162" s="256"/>
      <c r="DG31162" s="256"/>
    </row>
    <row r="31163" spans="104:111">
      <c r="CZ31163" s="256"/>
      <c r="DG31163" s="256"/>
    </row>
    <row r="31164" spans="104:111">
      <c r="CZ31164" s="256"/>
      <c r="DG31164" s="256"/>
    </row>
    <row r="31165" spans="104:111">
      <c r="CZ31165" s="256"/>
      <c r="DG31165" s="256"/>
    </row>
    <row r="31166" spans="104:111">
      <c r="CZ31166" s="256"/>
      <c r="DG31166" s="256"/>
    </row>
    <row r="31167" spans="104:111">
      <c r="CZ31167" s="256"/>
      <c r="DG31167" s="256"/>
    </row>
    <row r="31168" spans="104:111">
      <c r="CZ31168" s="256"/>
      <c r="DG31168" s="256"/>
    </row>
    <row r="31169" spans="104:111">
      <c r="CZ31169" s="256"/>
      <c r="DG31169" s="256"/>
    </row>
    <row r="31170" spans="104:111">
      <c r="CZ31170" s="256"/>
      <c r="DG31170" s="256"/>
    </row>
    <row r="31171" spans="104:111">
      <c r="CZ31171" s="256"/>
      <c r="DG31171" s="256"/>
    </row>
    <row r="31172" spans="104:111">
      <c r="CZ31172" s="256"/>
      <c r="DG31172" s="256"/>
    </row>
    <row r="31173" spans="104:111">
      <c r="CZ31173" s="256"/>
      <c r="DG31173" s="256"/>
    </row>
    <row r="31174" spans="104:111">
      <c r="CZ31174" s="256"/>
      <c r="DG31174" s="256"/>
    </row>
    <row r="31175" spans="104:111">
      <c r="CZ31175" s="256"/>
      <c r="DG31175" s="256"/>
    </row>
    <row r="31176" spans="104:111">
      <c r="CZ31176" s="256"/>
      <c r="DG31176" s="256"/>
    </row>
    <row r="31177" spans="104:111">
      <c r="CZ31177" s="256"/>
      <c r="DG31177" s="256"/>
    </row>
    <row r="31178" spans="104:111">
      <c r="CZ31178" s="256"/>
      <c r="DG31178" s="256"/>
    </row>
    <row r="31179" spans="104:111">
      <c r="CZ31179" s="256"/>
      <c r="DG31179" s="256"/>
    </row>
    <row r="31180" spans="104:111">
      <c r="CZ31180" s="256"/>
      <c r="DG31180" s="256"/>
    </row>
    <row r="31181" spans="104:111">
      <c r="CZ31181" s="256"/>
      <c r="DG31181" s="256"/>
    </row>
    <row r="31182" spans="104:111">
      <c r="CZ31182" s="256"/>
      <c r="DG31182" s="256"/>
    </row>
    <row r="31183" spans="104:111">
      <c r="CZ31183" s="256"/>
      <c r="DG31183" s="256"/>
    </row>
    <row r="31184" spans="104:111">
      <c r="CZ31184" s="256"/>
      <c r="DG31184" s="256"/>
    </row>
    <row r="31185" spans="104:111">
      <c r="CZ31185" s="256"/>
      <c r="DG31185" s="256"/>
    </row>
    <row r="31186" spans="104:111">
      <c r="CZ31186" s="256"/>
      <c r="DG31186" s="256"/>
    </row>
    <row r="31187" spans="104:111">
      <c r="CZ31187" s="256"/>
      <c r="DG31187" s="256"/>
    </row>
    <row r="31188" spans="104:111">
      <c r="CZ31188" s="256"/>
      <c r="DG31188" s="256"/>
    </row>
    <row r="31189" spans="104:111">
      <c r="CZ31189" s="256"/>
      <c r="DG31189" s="256"/>
    </row>
    <row r="31190" spans="104:111">
      <c r="CZ31190" s="256"/>
      <c r="DG31190" s="256"/>
    </row>
    <row r="31191" spans="104:111">
      <c r="CZ31191" s="256"/>
      <c r="DG31191" s="256"/>
    </row>
    <row r="31192" spans="104:111">
      <c r="CZ31192" s="256"/>
      <c r="DG31192" s="256"/>
    </row>
    <row r="31193" spans="104:111">
      <c r="CZ31193" s="256"/>
      <c r="DG31193" s="256"/>
    </row>
    <row r="31194" spans="104:111">
      <c r="CZ31194" s="256"/>
      <c r="DG31194" s="256"/>
    </row>
    <row r="31195" spans="104:111">
      <c r="CZ31195" s="256"/>
      <c r="DG31195" s="256"/>
    </row>
    <row r="31196" spans="104:111">
      <c r="CZ31196" s="256"/>
      <c r="DG31196" s="256"/>
    </row>
    <row r="31197" spans="104:111">
      <c r="CZ31197" s="256"/>
      <c r="DG31197" s="256"/>
    </row>
    <row r="31198" spans="104:111">
      <c r="CZ31198" s="256"/>
      <c r="DG31198" s="256"/>
    </row>
    <row r="31199" spans="104:111">
      <c r="CZ31199" s="256"/>
      <c r="DG31199" s="256"/>
    </row>
    <row r="31200" spans="104:111">
      <c r="CZ31200" s="256"/>
      <c r="DG31200" s="256"/>
    </row>
    <row r="31201" spans="104:111">
      <c r="CZ31201" s="256"/>
      <c r="DG31201" s="256"/>
    </row>
    <row r="31202" spans="104:111">
      <c r="CZ31202" s="256"/>
      <c r="DG31202" s="256"/>
    </row>
    <row r="31203" spans="104:111">
      <c r="CZ31203" s="256"/>
      <c r="DG31203" s="256"/>
    </row>
    <row r="31204" spans="104:111">
      <c r="CZ31204" s="256"/>
      <c r="DG31204" s="256"/>
    </row>
    <row r="31205" spans="104:111">
      <c r="CZ31205" s="256"/>
      <c r="DG31205" s="256"/>
    </row>
    <row r="31206" spans="104:111">
      <c r="CZ31206" s="256"/>
      <c r="DG31206" s="256"/>
    </row>
    <row r="31207" spans="104:111">
      <c r="CZ31207" s="256"/>
      <c r="DG31207" s="256"/>
    </row>
    <row r="31208" spans="104:111">
      <c r="CZ31208" s="256"/>
      <c r="DG31208" s="256"/>
    </row>
    <row r="31209" spans="104:111">
      <c r="CZ31209" s="256"/>
      <c r="DG31209" s="256"/>
    </row>
    <row r="31210" spans="104:111">
      <c r="CZ31210" s="256"/>
      <c r="DG31210" s="256"/>
    </row>
    <row r="31211" spans="104:111">
      <c r="CZ31211" s="256"/>
      <c r="DG31211" s="256"/>
    </row>
    <row r="31212" spans="104:111">
      <c r="CZ31212" s="256"/>
      <c r="DG31212" s="256"/>
    </row>
    <row r="31213" spans="104:111">
      <c r="CZ31213" s="256"/>
      <c r="DG31213" s="256"/>
    </row>
    <row r="31214" spans="104:111">
      <c r="CZ31214" s="256"/>
      <c r="DG31214" s="256"/>
    </row>
    <row r="31215" spans="104:111">
      <c r="CZ31215" s="256"/>
      <c r="DG31215" s="256"/>
    </row>
    <row r="31216" spans="104:111">
      <c r="CZ31216" s="256"/>
      <c r="DG31216" s="256"/>
    </row>
    <row r="31217" spans="104:111">
      <c r="CZ31217" s="256"/>
      <c r="DG31217" s="256"/>
    </row>
    <row r="31218" spans="104:111">
      <c r="CZ31218" s="256"/>
      <c r="DG31218" s="256"/>
    </row>
    <row r="31219" spans="104:111">
      <c r="CZ31219" s="256"/>
      <c r="DG31219" s="256"/>
    </row>
    <row r="31220" spans="104:111">
      <c r="CZ31220" s="256"/>
      <c r="DG31220" s="256"/>
    </row>
    <row r="31221" spans="104:111">
      <c r="CZ31221" s="256"/>
      <c r="DG31221" s="256"/>
    </row>
    <row r="31222" spans="104:111">
      <c r="CZ31222" s="256"/>
      <c r="DG31222" s="256"/>
    </row>
    <row r="31223" spans="104:111">
      <c r="CZ31223" s="256"/>
      <c r="DG31223" s="256"/>
    </row>
    <row r="31224" spans="104:111">
      <c r="CZ31224" s="256"/>
      <c r="DG31224" s="256"/>
    </row>
    <row r="31225" spans="104:111">
      <c r="CZ31225" s="256"/>
      <c r="DG31225" s="256"/>
    </row>
    <row r="31226" spans="104:111">
      <c r="CZ31226" s="256"/>
      <c r="DG31226" s="256"/>
    </row>
    <row r="31227" spans="104:111">
      <c r="CZ31227" s="256"/>
      <c r="DG31227" s="256"/>
    </row>
    <row r="31228" spans="104:111">
      <c r="CZ31228" s="256"/>
      <c r="DG31228" s="256"/>
    </row>
    <row r="31229" spans="104:111">
      <c r="CZ31229" s="256"/>
      <c r="DG31229" s="256"/>
    </row>
    <row r="31230" spans="104:111">
      <c r="CZ31230" s="256"/>
      <c r="DG31230" s="256"/>
    </row>
    <row r="31231" spans="104:111">
      <c r="CZ31231" s="256"/>
      <c r="DG31231" s="256"/>
    </row>
    <row r="31232" spans="104:111">
      <c r="CZ31232" s="256"/>
      <c r="DG31232" s="256"/>
    </row>
    <row r="31233" spans="104:111">
      <c r="CZ31233" s="256"/>
      <c r="DG31233" s="256"/>
    </row>
    <row r="31234" spans="104:111">
      <c r="CZ31234" s="256"/>
      <c r="DG31234" s="256"/>
    </row>
    <row r="31235" spans="104:111">
      <c r="CZ31235" s="256"/>
      <c r="DG31235" s="256"/>
    </row>
    <row r="31236" spans="104:111">
      <c r="CZ31236" s="256"/>
      <c r="DG31236" s="256"/>
    </row>
    <row r="31237" spans="104:111">
      <c r="CZ31237" s="256"/>
      <c r="DG31237" s="256"/>
    </row>
    <row r="31238" spans="104:111">
      <c r="CZ31238" s="256"/>
      <c r="DG31238" s="256"/>
    </row>
    <row r="31239" spans="104:111">
      <c r="CZ31239" s="256"/>
      <c r="DG31239" s="256"/>
    </row>
    <row r="31240" spans="104:111">
      <c r="CZ31240" s="256"/>
      <c r="DG31240" s="256"/>
    </row>
    <row r="31241" spans="104:111">
      <c r="CZ31241" s="256"/>
      <c r="DG31241" s="256"/>
    </row>
    <row r="31242" spans="104:111">
      <c r="CZ31242" s="256"/>
      <c r="DG31242" s="256"/>
    </row>
    <row r="31243" spans="104:111">
      <c r="CZ31243" s="256"/>
      <c r="DG31243" s="256"/>
    </row>
    <row r="31244" spans="104:111">
      <c r="CZ31244" s="256"/>
      <c r="DG31244" s="256"/>
    </row>
    <row r="31245" spans="104:111">
      <c r="CZ31245" s="256"/>
      <c r="DG31245" s="256"/>
    </row>
    <row r="31246" spans="104:111">
      <c r="CZ31246" s="256"/>
      <c r="DG31246" s="256"/>
    </row>
    <row r="31247" spans="104:111">
      <c r="CZ31247" s="256"/>
      <c r="DG31247" s="256"/>
    </row>
    <row r="31248" spans="104:111">
      <c r="CZ31248" s="256"/>
      <c r="DG31248" s="256"/>
    </row>
    <row r="31249" spans="104:111">
      <c r="CZ31249" s="256"/>
      <c r="DG31249" s="256"/>
    </row>
    <row r="31250" spans="104:111">
      <c r="CZ31250" s="256"/>
      <c r="DG31250" s="256"/>
    </row>
    <row r="31251" spans="104:111">
      <c r="CZ31251" s="256"/>
      <c r="DG31251" s="256"/>
    </row>
    <row r="31252" spans="104:111">
      <c r="CZ31252" s="256"/>
      <c r="DG31252" s="256"/>
    </row>
    <row r="31253" spans="104:111">
      <c r="CZ31253" s="256"/>
      <c r="DG31253" s="256"/>
    </row>
    <row r="31254" spans="104:111">
      <c r="CZ31254" s="256"/>
      <c r="DG31254" s="256"/>
    </row>
    <row r="31255" spans="104:111">
      <c r="CZ31255" s="256"/>
      <c r="DG31255" s="256"/>
    </row>
    <row r="31256" spans="104:111">
      <c r="CZ31256" s="256"/>
      <c r="DG31256" s="256"/>
    </row>
    <row r="31257" spans="104:111">
      <c r="CZ31257" s="256"/>
      <c r="DG31257" s="256"/>
    </row>
    <row r="31258" spans="104:111">
      <c r="CZ31258" s="256"/>
      <c r="DG31258" s="256"/>
    </row>
    <row r="31259" spans="104:111">
      <c r="CZ31259" s="256"/>
      <c r="DG31259" s="256"/>
    </row>
    <row r="31260" spans="104:111">
      <c r="CZ31260" s="256"/>
      <c r="DG31260" s="256"/>
    </row>
    <row r="31261" spans="104:111">
      <c r="CZ31261" s="256"/>
      <c r="DG31261" s="256"/>
    </row>
    <row r="31262" spans="104:111">
      <c r="CZ31262" s="256"/>
      <c r="DG31262" s="256"/>
    </row>
    <row r="31263" spans="104:111">
      <c r="CZ31263" s="256"/>
      <c r="DG31263" s="256"/>
    </row>
    <row r="31264" spans="104:111">
      <c r="CZ31264" s="256"/>
      <c r="DG31264" s="256"/>
    </row>
    <row r="31265" spans="104:111">
      <c r="CZ31265" s="256"/>
      <c r="DG31265" s="256"/>
    </row>
    <row r="31266" spans="104:111">
      <c r="CZ31266" s="256"/>
      <c r="DG31266" s="256"/>
    </row>
    <row r="31267" spans="104:111">
      <c r="CZ31267" s="256"/>
      <c r="DG31267" s="256"/>
    </row>
    <row r="31268" spans="104:111">
      <c r="CZ31268" s="256"/>
      <c r="DG31268" s="256"/>
    </row>
    <row r="31269" spans="104:111">
      <c r="CZ31269" s="256"/>
      <c r="DG31269" s="256"/>
    </row>
    <row r="31270" spans="104:111">
      <c r="CZ31270" s="256"/>
      <c r="DG31270" s="256"/>
    </row>
    <row r="31271" spans="104:111">
      <c r="CZ31271" s="256"/>
      <c r="DG31271" s="256"/>
    </row>
    <row r="31272" spans="104:111">
      <c r="CZ31272" s="256"/>
      <c r="DG31272" s="256"/>
    </row>
    <row r="31273" spans="104:111">
      <c r="CZ31273" s="256"/>
      <c r="DG31273" s="256"/>
    </row>
    <row r="31274" spans="104:111">
      <c r="CZ31274" s="256"/>
      <c r="DG31274" s="256"/>
    </row>
    <row r="31275" spans="104:111">
      <c r="CZ31275" s="256"/>
      <c r="DG31275" s="256"/>
    </row>
    <row r="31276" spans="104:111">
      <c r="CZ31276" s="256"/>
      <c r="DG31276" s="256"/>
    </row>
    <row r="31277" spans="104:111">
      <c r="CZ31277" s="256"/>
      <c r="DG31277" s="256"/>
    </row>
    <row r="31278" spans="104:111">
      <c r="CZ31278" s="256"/>
      <c r="DG31278" s="256"/>
    </row>
    <row r="31279" spans="104:111">
      <c r="CZ31279" s="256"/>
      <c r="DG31279" s="256"/>
    </row>
    <row r="31280" spans="104:111">
      <c r="CZ31280" s="256"/>
      <c r="DG31280" s="256"/>
    </row>
    <row r="31281" spans="104:111">
      <c r="CZ31281" s="256"/>
      <c r="DG31281" s="256"/>
    </row>
    <row r="31282" spans="104:111">
      <c r="CZ31282" s="256"/>
      <c r="DG31282" s="256"/>
    </row>
    <row r="31283" spans="104:111">
      <c r="CZ31283" s="256"/>
      <c r="DG31283" s="256"/>
    </row>
    <row r="31284" spans="104:111">
      <c r="CZ31284" s="256"/>
      <c r="DG31284" s="256"/>
    </row>
    <row r="31285" spans="104:111">
      <c r="CZ31285" s="256"/>
      <c r="DG31285" s="256"/>
    </row>
    <row r="31286" spans="104:111">
      <c r="CZ31286" s="256"/>
      <c r="DG31286" s="256"/>
    </row>
    <row r="31287" spans="104:111">
      <c r="CZ31287" s="256"/>
      <c r="DG31287" s="256"/>
    </row>
    <row r="31288" spans="104:111">
      <c r="CZ31288" s="256"/>
      <c r="DG31288" s="256"/>
    </row>
    <row r="31289" spans="104:111">
      <c r="CZ31289" s="256"/>
      <c r="DG31289" s="256"/>
    </row>
    <row r="31290" spans="104:111">
      <c r="CZ31290" s="256"/>
      <c r="DG31290" s="256"/>
    </row>
    <row r="31291" spans="104:111">
      <c r="CZ31291" s="256"/>
      <c r="DG31291" s="256"/>
    </row>
    <row r="31292" spans="104:111">
      <c r="CZ31292" s="256"/>
      <c r="DG31292" s="256"/>
    </row>
    <row r="31293" spans="104:111">
      <c r="CZ31293" s="256"/>
      <c r="DG31293" s="256"/>
    </row>
    <row r="31294" spans="104:111">
      <c r="CZ31294" s="256"/>
      <c r="DG31294" s="256"/>
    </row>
    <row r="31295" spans="104:111">
      <c r="CZ31295" s="256"/>
      <c r="DG31295" s="256"/>
    </row>
    <row r="31296" spans="104:111">
      <c r="CZ31296" s="256"/>
      <c r="DG31296" s="256"/>
    </row>
    <row r="31297" spans="104:111">
      <c r="CZ31297" s="256"/>
      <c r="DG31297" s="256"/>
    </row>
    <row r="31298" spans="104:111">
      <c r="CZ31298" s="256"/>
      <c r="DG31298" s="256"/>
    </row>
    <row r="31299" spans="104:111">
      <c r="CZ31299" s="256"/>
      <c r="DG31299" s="256"/>
    </row>
    <row r="31300" spans="104:111">
      <c r="CZ31300" s="256"/>
      <c r="DG31300" s="256"/>
    </row>
    <row r="31301" spans="104:111">
      <c r="CZ31301" s="256"/>
      <c r="DG31301" s="256"/>
    </row>
    <row r="31302" spans="104:111">
      <c r="CZ31302" s="256"/>
      <c r="DG31302" s="256"/>
    </row>
    <row r="31303" spans="104:111">
      <c r="CZ31303" s="256"/>
      <c r="DG31303" s="256"/>
    </row>
    <row r="31304" spans="104:111">
      <c r="CZ31304" s="256"/>
      <c r="DG31304" s="256"/>
    </row>
    <row r="31305" spans="104:111">
      <c r="CZ31305" s="256"/>
      <c r="DG31305" s="256"/>
    </row>
    <row r="31306" spans="104:111">
      <c r="CZ31306" s="256"/>
      <c r="DG31306" s="256"/>
    </row>
    <row r="31307" spans="104:111">
      <c r="CZ31307" s="256"/>
      <c r="DG31307" s="256"/>
    </row>
    <row r="31308" spans="104:111">
      <c r="CZ31308" s="256"/>
      <c r="DG31308" s="256"/>
    </row>
    <row r="31309" spans="104:111">
      <c r="CZ31309" s="256"/>
      <c r="DG31309" s="256"/>
    </row>
    <row r="31310" spans="104:111">
      <c r="CZ31310" s="256"/>
      <c r="DG31310" s="256"/>
    </row>
    <row r="31311" spans="104:111">
      <c r="CZ31311" s="256"/>
      <c r="DG31311" s="256"/>
    </row>
    <row r="31312" spans="104:111">
      <c r="CZ31312" s="256"/>
      <c r="DG31312" s="256"/>
    </row>
    <row r="31313" spans="104:111">
      <c r="CZ31313" s="256"/>
      <c r="DG31313" s="256"/>
    </row>
    <row r="31314" spans="104:111">
      <c r="CZ31314" s="256"/>
      <c r="DG31314" s="256"/>
    </row>
    <row r="31315" spans="104:111">
      <c r="CZ31315" s="256"/>
      <c r="DG31315" s="256"/>
    </row>
    <row r="31316" spans="104:111">
      <c r="CZ31316" s="256"/>
      <c r="DG31316" s="256"/>
    </row>
    <row r="31317" spans="104:111">
      <c r="CZ31317" s="256"/>
      <c r="DG31317" s="256"/>
    </row>
    <row r="31318" spans="104:111">
      <c r="CZ31318" s="256"/>
      <c r="DG31318" s="256"/>
    </row>
    <row r="31319" spans="104:111">
      <c r="CZ31319" s="256"/>
      <c r="DG31319" s="256"/>
    </row>
    <row r="31320" spans="104:111">
      <c r="CZ31320" s="256"/>
      <c r="DG31320" s="256"/>
    </row>
    <row r="31321" spans="104:111">
      <c r="CZ31321" s="256"/>
      <c r="DG31321" s="256"/>
    </row>
    <row r="31322" spans="104:111">
      <c r="CZ31322" s="256"/>
      <c r="DG31322" s="256"/>
    </row>
    <row r="31323" spans="104:111">
      <c r="CZ31323" s="256"/>
      <c r="DG31323" s="256"/>
    </row>
    <row r="31324" spans="104:111">
      <c r="CZ31324" s="256"/>
      <c r="DG31324" s="256"/>
    </row>
    <row r="31325" spans="104:111">
      <c r="CZ31325" s="256"/>
      <c r="DG31325" s="256"/>
    </row>
    <row r="31326" spans="104:111">
      <c r="CZ31326" s="256"/>
      <c r="DG31326" s="256"/>
    </row>
    <row r="31327" spans="104:111">
      <c r="CZ31327" s="256"/>
      <c r="DG31327" s="256"/>
    </row>
    <row r="31328" spans="104:111">
      <c r="CZ31328" s="256"/>
      <c r="DG31328" s="256"/>
    </row>
    <row r="31329" spans="104:111">
      <c r="CZ31329" s="256"/>
      <c r="DG31329" s="256"/>
    </row>
    <row r="31330" spans="104:111">
      <c r="CZ31330" s="256"/>
      <c r="DG31330" s="256"/>
    </row>
    <row r="31331" spans="104:111">
      <c r="CZ31331" s="256"/>
      <c r="DG31331" s="256"/>
    </row>
    <row r="31332" spans="104:111">
      <c r="CZ31332" s="256"/>
      <c r="DG31332" s="256"/>
    </row>
    <row r="31333" spans="104:111">
      <c r="CZ31333" s="256"/>
      <c r="DG31333" s="256"/>
    </row>
    <row r="31334" spans="104:111">
      <c r="CZ31334" s="256"/>
      <c r="DG31334" s="256"/>
    </row>
    <row r="31335" spans="104:111">
      <c r="CZ31335" s="256"/>
      <c r="DG31335" s="256"/>
    </row>
    <row r="31336" spans="104:111">
      <c r="CZ31336" s="256"/>
      <c r="DG31336" s="256"/>
    </row>
    <row r="31337" spans="104:111">
      <c r="CZ31337" s="256"/>
      <c r="DG31337" s="256"/>
    </row>
    <row r="31338" spans="104:111">
      <c r="CZ31338" s="256"/>
      <c r="DG31338" s="256"/>
    </row>
    <row r="31339" spans="104:111">
      <c r="CZ31339" s="256"/>
      <c r="DG31339" s="256"/>
    </row>
    <row r="31340" spans="104:111">
      <c r="CZ31340" s="256"/>
      <c r="DG31340" s="256"/>
    </row>
    <row r="31341" spans="104:111">
      <c r="CZ31341" s="256"/>
      <c r="DG31341" s="256"/>
    </row>
    <row r="31342" spans="104:111">
      <c r="CZ31342" s="256"/>
      <c r="DG31342" s="256"/>
    </row>
    <row r="31343" spans="104:111">
      <c r="CZ31343" s="256"/>
      <c r="DG31343" s="256"/>
    </row>
    <row r="31344" spans="104:111">
      <c r="CZ31344" s="256"/>
      <c r="DG31344" s="256"/>
    </row>
    <row r="31345" spans="104:111">
      <c r="CZ31345" s="256"/>
      <c r="DG31345" s="256"/>
    </row>
    <row r="31346" spans="104:111">
      <c r="CZ31346" s="256"/>
      <c r="DG31346" s="256"/>
    </row>
    <row r="31347" spans="104:111">
      <c r="CZ31347" s="256"/>
      <c r="DG31347" s="256"/>
    </row>
    <row r="31348" spans="104:111">
      <c r="CZ31348" s="256"/>
      <c r="DG31348" s="256"/>
    </row>
    <row r="31349" spans="104:111">
      <c r="CZ31349" s="256"/>
      <c r="DG31349" s="256"/>
    </row>
    <row r="31350" spans="104:111">
      <c r="CZ31350" s="256"/>
      <c r="DG31350" s="256"/>
    </row>
    <row r="31351" spans="104:111">
      <c r="CZ31351" s="256"/>
      <c r="DG31351" s="256"/>
    </row>
    <row r="31352" spans="104:111">
      <c r="CZ31352" s="256"/>
      <c r="DG31352" s="256"/>
    </row>
    <row r="31353" spans="104:111">
      <c r="CZ31353" s="256"/>
      <c r="DG31353" s="256"/>
    </row>
    <row r="31354" spans="104:111">
      <c r="CZ31354" s="256"/>
      <c r="DG31354" s="256"/>
    </row>
    <row r="31355" spans="104:111">
      <c r="CZ31355" s="256"/>
      <c r="DG31355" s="256"/>
    </row>
    <row r="31356" spans="104:111">
      <c r="CZ31356" s="256"/>
      <c r="DG31356" s="256"/>
    </row>
    <row r="31357" spans="104:111">
      <c r="CZ31357" s="256"/>
      <c r="DG31357" s="256"/>
    </row>
    <row r="31358" spans="104:111">
      <c r="CZ31358" s="256"/>
      <c r="DG31358" s="256"/>
    </row>
    <row r="31359" spans="104:111">
      <c r="CZ31359" s="256"/>
      <c r="DG31359" s="256"/>
    </row>
    <row r="31360" spans="104:111">
      <c r="CZ31360" s="256"/>
      <c r="DG31360" s="256"/>
    </row>
    <row r="31361" spans="104:111">
      <c r="CZ31361" s="256"/>
      <c r="DG31361" s="256"/>
    </row>
    <row r="31362" spans="104:111">
      <c r="CZ31362" s="256"/>
      <c r="DG31362" s="256"/>
    </row>
    <row r="31363" spans="104:111">
      <c r="CZ31363" s="256"/>
      <c r="DG31363" s="256"/>
    </row>
    <row r="31364" spans="104:111">
      <c r="CZ31364" s="256"/>
      <c r="DG31364" s="256"/>
    </row>
    <row r="31365" spans="104:111">
      <c r="CZ31365" s="256"/>
      <c r="DG31365" s="256"/>
    </row>
    <row r="31366" spans="104:111">
      <c r="CZ31366" s="256"/>
      <c r="DG31366" s="256"/>
    </row>
    <row r="31367" spans="104:111">
      <c r="CZ31367" s="256"/>
      <c r="DG31367" s="256"/>
    </row>
    <row r="31368" spans="104:111">
      <c r="CZ31368" s="256"/>
      <c r="DG31368" s="256"/>
    </row>
    <row r="31369" spans="104:111">
      <c r="CZ31369" s="256"/>
      <c r="DG31369" s="256"/>
    </row>
    <row r="31370" spans="104:111">
      <c r="CZ31370" s="256"/>
      <c r="DG31370" s="256"/>
    </row>
    <row r="31371" spans="104:111">
      <c r="CZ31371" s="256"/>
      <c r="DG31371" s="256"/>
    </row>
    <row r="31372" spans="104:111">
      <c r="CZ31372" s="256"/>
      <c r="DG31372" s="256"/>
    </row>
    <row r="31373" spans="104:111">
      <c r="CZ31373" s="256"/>
      <c r="DG31373" s="256"/>
    </row>
    <row r="31374" spans="104:111">
      <c r="CZ31374" s="256"/>
      <c r="DG31374" s="256"/>
    </row>
    <row r="31375" spans="104:111">
      <c r="CZ31375" s="256"/>
      <c r="DG31375" s="256"/>
    </row>
    <row r="31376" spans="104:111">
      <c r="CZ31376" s="256"/>
      <c r="DG31376" s="256"/>
    </row>
    <row r="31377" spans="104:111">
      <c r="CZ31377" s="256"/>
      <c r="DG31377" s="256"/>
    </row>
    <row r="31378" spans="104:111">
      <c r="CZ31378" s="256"/>
      <c r="DG31378" s="256"/>
    </row>
    <row r="31379" spans="104:111">
      <c r="CZ31379" s="256"/>
      <c r="DG31379" s="256"/>
    </row>
    <row r="31380" spans="104:111">
      <c r="CZ31380" s="256"/>
      <c r="DG31380" s="256"/>
    </row>
    <row r="31381" spans="104:111">
      <c r="CZ31381" s="256"/>
      <c r="DG31381" s="256"/>
    </row>
    <row r="31382" spans="104:111">
      <c r="CZ31382" s="256"/>
      <c r="DG31382" s="256"/>
    </row>
    <row r="31383" spans="104:111">
      <c r="CZ31383" s="256"/>
      <c r="DG31383" s="256"/>
    </row>
    <row r="31384" spans="104:111">
      <c r="CZ31384" s="256"/>
      <c r="DG31384" s="256"/>
    </row>
    <row r="31385" spans="104:111">
      <c r="CZ31385" s="256"/>
      <c r="DG31385" s="256"/>
    </row>
    <row r="31386" spans="104:111">
      <c r="CZ31386" s="256"/>
      <c r="DG31386" s="256"/>
    </row>
    <row r="31387" spans="104:111">
      <c r="CZ31387" s="256"/>
      <c r="DG31387" s="256"/>
    </row>
    <row r="31388" spans="104:111">
      <c r="CZ31388" s="256"/>
      <c r="DG31388" s="256"/>
    </row>
    <row r="31389" spans="104:111">
      <c r="CZ31389" s="256"/>
      <c r="DG31389" s="256"/>
    </row>
    <row r="31390" spans="104:111">
      <c r="CZ31390" s="256"/>
      <c r="DG31390" s="256"/>
    </row>
    <row r="31391" spans="104:111">
      <c r="CZ31391" s="256"/>
      <c r="DG31391" s="256"/>
    </row>
    <row r="31392" spans="104:111">
      <c r="CZ31392" s="256"/>
      <c r="DG31392" s="256"/>
    </row>
    <row r="31393" spans="104:111">
      <c r="CZ31393" s="256"/>
      <c r="DG31393" s="256"/>
    </row>
    <row r="31394" spans="104:111">
      <c r="CZ31394" s="256"/>
      <c r="DG31394" s="256"/>
    </row>
    <row r="31395" spans="104:111">
      <c r="CZ31395" s="256"/>
      <c r="DG31395" s="256"/>
    </row>
    <row r="31396" spans="104:111">
      <c r="CZ31396" s="256"/>
      <c r="DG31396" s="256"/>
    </row>
    <row r="31397" spans="104:111">
      <c r="CZ31397" s="256"/>
      <c r="DG31397" s="256"/>
    </row>
    <row r="31398" spans="104:111">
      <c r="CZ31398" s="256"/>
      <c r="DG31398" s="256"/>
    </row>
    <row r="31399" spans="104:111">
      <c r="CZ31399" s="256"/>
      <c r="DG31399" s="256"/>
    </row>
    <row r="31400" spans="104:111">
      <c r="CZ31400" s="256"/>
      <c r="DG31400" s="256"/>
    </row>
    <row r="31401" spans="104:111">
      <c r="CZ31401" s="256"/>
      <c r="DG31401" s="256"/>
    </row>
    <row r="31402" spans="104:111">
      <c r="CZ31402" s="256"/>
      <c r="DG31402" s="256"/>
    </row>
    <row r="31403" spans="104:111">
      <c r="CZ31403" s="256"/>
      <c r="DG31403" s="256"/>
    </row>
    <row r="31404" spans="104:111">
      <c r="CZ31404" s="256"/>
      <c r="DG31404" s="256"/>
    </row>
    <row r="31405" spans="104:111">
      <c r="CZ31405" s="256"/>
      <c r="DG31405" s="256"/>
    </row>
    <row r="31406" spans="104:111">
      <c r="CZ31406" s="256"/>
      <c r="DG31406" s="256"/>
    </row>
    <row r="31407" spans="104:111">
      <c r="CZ31407" s="256"/>
      <c r="DG31407" s="256"/>
    </row>
    <row r="31408" spans="104:111">
      <c r="CZ31408" s="256"/>
      <c r="DG31408" s="256"/>
    </row>
    <row r="31409" spans="104:111">
      <c r="CZ31409" s="256"/>
      <c r="DG31409" s="256"/>
    </row>
    <row r="31410" spans="104:111">
      <c r="CZ31410" s="256"/>
      <c r="DG31410" s="256"/>
    </row>
    <row r="31411" spans="104:111">
      <c r="CZ31411" s="256"/>
      <c r="DG31411" s="256"/>
    </row>
    <row r="31412" spans="104:111">
      <c r="CZ31412" s="256"/>
      <c r="DG31412" s="256"/>
    </row>
    <row r="31413" spans="104:111">
      <c r="CZ31413" s="256"/>
      <c r="DG31413" s="256"/>
    </row>
    <row r="31414" spans="104:111">
      <c r="CZ31414" s="256"/>
      <c r="DG31414" s="256"/>
    </row>
    <row r="31415" spans="104:111">
      <c r="CZ31415" s="256"/>
      <c r="DG31415" s="256"/>
    </row>
    <row r="31416" spans="104:111">
      <c r="CZ31416" s="256"/>
      <c r="DG31416" s="256"/>
    </row>
    <row r="31417" spans="104:111">
      <c r="CZ31417" s="256"/>
      <c r="DG31417" s="256"/>
    </row>
    <row r="31418" spans="104:111">
      <c r="CZ31418" s="256"/>
      <c r="DG31418" s="256"/>
    </row>
    <row r="31419" spans="104:111">
      <c r="CZ31419" s="256"/>
      <c r="DG31419" s="256"/>
    </row>
    <row r="31420" spans="104:111">
      <c r="CZ31420" s="256"/>
      <c r="DG31420" s="256"/>
    </row>
    <row r="31421" spans="104:111">
      <c r="CZ31421" s="256"/>
      <c r="DG31421" s="256"/>
    </row>
    <row r="31422" spans="104:111">
      <c r="CZ31422" s="256"/>
      <c r="DG31422" s="256"/>
    </row>
    <row r="31423" spans="104:111">
      <c r="CZ31423" s="256"/>
      <c r="DG31423" s="256"/>
    </row>
    <row r="31424" spans="104:111">
      <c r="CZ31424" s="256"/>
      <c r="DG31424" s="256"/>
    </row>
    <row r="31425" spans="104:111">
      <c r="CZ31425" s="256"/>
      <c r="DG31425" s="256"/>
    </row>
    <row r="31426" spans="104:111">
      <c r="CZ31426" s="256"/>
      <c r="DG31426" s="256"/>
    </row>
    <row r="31427" spans="104:111">
      <c r="CZ31427" s="256"/>
      <c r="DG31427" s="256"/>
    </row>
    <row r="31428" spans="104:111">
      <c r="CZ31428" s="256"/>
      <c r="DG31428" s="256"/>
    </row>
    <row r="31429" spans="104:111">
      <c r="CZ31429" s="256"/>
      <c r="DG31429" s="256"/>
    </row>
    <row r="31430" spans="104:111">
      <c r="CZ31430" s="256"/>
      <c r="DG31430" s="256"/>
    </row>
    <row r="31431" spans="104:111">
      <c r="CZ31431" s="256"/>
      <c r="DG31431" s="256"/>
    </row>
    <row r="31432" spans="104:111">
      <c r="CZ31432" s="256"/>
      <c r="DG31432" s="256"/>
    </row>
    <row r="31433" spans="104:111">
      <c r="CZ31433" s="256"/>
      <c r="DG31433" s="256"/>
    </row>
    <row r="31434" spans="104:111">
      <c r="CZ31434" s="256"/>
      <c r="DG31434" s="256"/>
    </row>
    <row r="31435" spans="104:111">
      <c r="CZ31435" s="256"/>
      <c r="DG31435" s="256"/>
    </row>
    <row r="31436" spans="104:111">
      <c r="CZ31436" s="256"/>
      <c r="DG31436" s="256"/>
    </row>
    <row r="31437" spans="104:111">
      <c r="CZ31437" s="256"/>
      <c r="DG31437" s="256"/>
    </row>
    <row r="31438" spans="104:111">
      <c r="CZ31438" s="256"/>
      <c r="DG31438" s="256"/>
    </row>
    <row r="31439" spans="104:111">
      <c r="CZ31439" s="256"/>
      <c r="DG31439" s="256"/>
    </row>
    <row r="31440" spans="104:111">
      <c r="CZ31440" s="256"/>
      <c r="DG31440" s="256"/>
    </row>
    <row r="31441" spans="104:111">
      <c r="CZ31441" s="256"/>
      <c r="DG31441" s="256"/>
    </row>
    <row r="31442" spans="104:111">
      <c r="CZ31442" s="256"/>
      <c r="DG31442" s="256"/>
    </row>
    <row r="31443" spans="104:111">
      <c r="CZ31443" s="256"/>
      <c r="DG31443" s="256"/>
    </row>
    <row r="31444" spans="104:111">
      <c r="CZ31444" s="256"/>
      <c r="DG31444" s="256"/>
    </row>
    <row r="31445" spans="104:111">
      <c r="CZ31445" s="256"/>
      <c r="DG31445" s="256"/>
    </row>
    <row r="31446" spans="104:111">
      <c r="CZ31446" s="256"/>
      <c r="DG31446" s="256"/>
    </row>
    <row r="31447" spans="104:111">
      <c r="CZ31447" s="256"/>
      <c r="DG31447" s="256"/>
    </row>
    <row r="31448" spans="104:111">
      <c r="CZ31448" s="256"/>
      <c r="DG31448" s="256"/>
    </row>
    <row r="31449" spans="104:111">
      <c r="CZ31449" s="256"/>
      <c r="DG31449" s="256"/>
    </row>
    <row r="31450" spans="104:111">
      <c r="CZ31450" s="256"/>
      <c r="DG31450" s="256"/>
    </row>
    <row r="31451" spans="104:111">
      <c r="CZ31451" s="256"/>
      <c r="DG31451" s="256"/>
    </row>
    <row r="31452" spans="104:111">
      <c r="CZ31452" s="256"/>
      <c r="DG31452" s="256"/>
    </row>
    <row r="31453" spans="104:111">
      <c r="CZ31453" s="256"/>
      <c r="DG31453" s="256"/>
    </row>
    <row r="31454" spans="104:111">
      <c r="CZ31454" s="256"/>
      <c r="DG31454" s="256"/>
    </row>
    <row r="31455" spans="104:111">
      <c r="CZ31455" s="256"/>
      <c r="DG31455" s="256"/>
    </row>
    <row r="31456" spans="104:111">
      <c r="CZ31456" s="256"/>
      <c r="DG31456" s="256"/>
    </row>
    <row r="31457" spans="104:111">
      <c r="CZ31457" s="256"/>
      <c r="DG31457" s="256"/>
    </row>
    <row r="31458" spans="104:111">
      <c r="CZ31458" s="256"/>
      <c r="DG31458" s="256"/>
    </row>
    <row r="31459" spans="104:111">
      <c r="CZ31459" s="256"/>
      <c r="DG31459" s="256"/>
    </row>
    <row r="31460" spans="104:111">
      <c r="CZ31460" s="256"/>
      <c r="DG31460" s="256"/>
    </row>
    <row r="31461" spans="104:111">
      <c r="CZ31461" s="256"/>
      <c r="DG31461" s="256"/>
    </row>
    <row r="31462" spans="104:111">
      <c r="CZ31462" s="256"/>
      <c r="DG31462" s="256"/>
    </row>
    <row r="31463" spans="104:111">
      <c r="CZ31463" s="256"/>
      <c r="DG31463" s="256"/>
    </row>
    <row r="31464" spans="104:111">
      <c r="CZ31464" s="256"/>
      <c r="DG31464" s="256"/>
    </row>
    <row r="31465" spans="104:111">
      <c r="CZ31465" s="256"/>
      <c r="DG31465" s="256"/>
    </row>
    <row r="31466" spans="104:111">
      <c r="CZ31466" s="256"/>
      <c r="DG31466" s="256"/>
    </row>
    <row r="31467" spans="104:111">
      <c r="CZ31467" s="256"/>
      <c r="DG31467" s="256"/>
    </row>
    <row r="31468" spans="104:111">
      <c r="CZ31468" s="256"/>
      <c r="DG31468" s="256"/>
    </row>
    <row r="31469" spans="104:111">
      <c r="CZ31469" s="256"/>
      <c r="DG31469" s="256"/>
    </row>
    <row r="31470" spans="104:111">
      <c r="CZ31470" s="256"/>
      <c r="DG31470" s="256"/>
    </row>
    <row r="31471" spans="104:111">
      <c r="CZ31471" s="256"/>
      <c r="DG31471" s="256"/>
    </row>
    <row r="31472" spans="104:111">
      <c r="CZ31472" s="256"/>
      <c r="DG31472" s="256"/>
    </row>
    <row r="31473" spans="104:111">
      <c r="CZ31473" s="256"/>
      <c r="DG31473" s="256"/>
    </row>
    <row r="31474" spans="104:111">
      <c r="CZ31474" s="256"/>
      <c r="DG31474" s="256"/>
    </row>
    <row r="31475" spans="104:111">
      <c r="CZ31475" s="256"/>
      <c r="DG31475" s="256"/>
    </row>
    <row r="31476" spans="104:111">
      <c r="CZ31476" s="256"/>
      <c r="DG31476" s="256"/>
    </row>
    <row r="31477" spans="104:111">
      <c r="CZ31477" s="256"/>
      <c r="DG31477" s="256"/>
    </row>
    <row r="31478" spans="104:111">
      <c r="CZ31478" s="256"/>
      <c r="DG31478" s="256"/>
    </row>
    <row r="31479" spans="104:111">
      <c r="CZ31479" s="256"/>
      <c r="DG31479" s="256"/>
    </row>
    <row r="31480" spans="104:111">
      <c r="CZ31480" s="256"/>
      <c r="DG31480" s="256"/>
    </row>
    <row r="31481" spans="104:111">
      <c r="CZ31481" s="256"/>
      <c r="DG31481" s="256"/>
    </row>
    <row r="31482" spans="104:111">
      <c r="CZ31482" s="256"/>
      <c r="DG31482" s="256"/>
    </row>
    <row r="31483" spans="104:111">
      <c r="CZ31483" s="256"/>
      <c r="DG31483" s="256"/>
    </row>
    <row r="31484" spans="104:111">
      <c r="CZ31484" s="256"/>
      <c r="DG31484" s="256"/>
    </row>
    <row r="31485" spans="104:111">
      <c r="CZ31485" s="256"/>
      <c r="DG31485" s="256"/>
    </row>
    <row r="31486" spans="104:111">
      <c r="CZ31486" s="256"/>
      <c r="DG31486" s="256"/>
    </row>
    <row r="31487" spans="104:111">
      <c r="CZ31487" s="256"/>
      <c r="DG31487" s="256"/>
    </row>
    <row r="31488" spans="104:111">
      <c r="CZ31488" s="256"/>
      <c r="DG31488" s="256"/>
    </row>
    <row r="31489" spans="104:111">
      <c r="CZ31489" s="256"/>
      <c r="DG31489" s="256"/>
    </row>
    <row r="31490" spans="104:111">
      <c r="CZ31490" s="256"/>
      <c r="DG31490" s="256"/>
    </row>
    <row r="31491" spans="104:111">
      <c r="CZ31491" s="256"/>
      <c r="DG31491" s="256"/>
    </row>
    <row r="31492" spans="104:111">
      <c r="CZ31492" s="256"/>
      <c r="DG31492" s="256"/>
    </row>
    <row r="31493" spans="104:111">
      <c r="CZ31493" s="256"/>
      <c r="DG31493" s="256"/>
    </row>
    <row r="31494" spans="104:111">
      <c r="CZ31494" s="256"/>
      <c r="DG31494" s="256"/>
    </row>
    <row r="31495" spans="104:111">
      <c r="CZ31495" s="256"/>
      <c r="DG31495" s="256"/>
    </row>
    <row r="31496" spans="104:111">
      <c r="CZ31496" s="256"/>
      <c r="DG31496" s="256"/>
    </row>
    <row r="31497" spans="104:111">
      <c r="CZ31497" s="256"/>
      <c r="DG31497" s="256"/>
    </row>
    <row r="31498" spans="104:111">
      <c r="CZ31498" s="256"/>
      <c r="DG31498" s="256"/>
    </row>
    <row r="31499" spans="104:111">
      <c r="CZ31499" s="256"/>
      <c r="DG31499" s="256"/>
    </row>
    <row r="31500" spans="104:111">
      <c r="CZ31500" s="256"/>
      <c r="DG31500" s="256"/>
    </row>
    <row r="31501" spans="104:111">
      <c r="CZ31501" s="256"/>
      <c r="DG31501" s="256"/>
    </row>
    <row r="31502" spans="104:111">
      <c r="CZ31502" s="256"/>
      <c r="DG31502" s="256"/>
    </row>
    <row r="31503" spans="104:111">
      <c r="CZ31503" s="256"/>
      <c r="DG31503" s="256"/>
    </row>
    <row r="31504" spans="104:111">
      <c r="CZ31504" s="256"/>
      <c r="DG31504" s="256"/>
    </row>
    <row r="31505" spans="104:111">
      <c r="CZ31505" s="256"/>
      <c r="DG31505" s="256"/>
    </row>
    <row r="31506" spans="104:111">
      <c r="CZ31506" s="256"/>
      <c r="DG31506" s="256"/>
    </row>
    <row r="31507" spans="104:111">
      <c r="CZ31507" s="256"/>
      <c r="DG31507" s="256"/>
    </row>
    <row r="31508" spans="104:111">
      <c r="CZ31508" s="256"/>
      <c r="DG31508" s="256"/>
    </row>
    <row r="31509" spans="104:111">
      <c r="CZ31509" s="256"/>
      <c r="DG31509" s="256"/>
    </row>
    <row r="31510" spans="104:111">
      <c r="CZ31510" s="256"/>
      <c r="DG31510" s="256"/>
    </row>
    <row r="31511" spans="104:111">
      <c r="CZ31511" s="256"/>
      <c r="DG31511" s="256"/>
    </row>
    <row r="31512" spans="104:111">
      <c r="CZ31512" s="256"/>
      <c r="DG31512" s="256"/>
    </row>
    <row r="31513" spans="104:111">
      <c r="CZ31513" s="256"/>
      <c r="DG31513" s="256"/>
    </row>
    <row r="31514" spans="104:111">
      <c r="CZ31514" s="256"/>
      <c r="DG31514" s="256"/>
    </row>
    <row r="31515" spans="104:111">
      <c r="CZ31515" s="256"/>
      <c r="DG31515" s="256"/>
    </row>
    <row r="31516" spans="104:111">
      <c r="CZ31516" s="256"/>
      <c r="DG31516" s="256"/>
    </row>
    <row r="31517" spans="104:111">
      <c r="CZ31517" s="256"/>
      <c r="DG31517" s="256"/>
    </row>
    <row r="31518" spans="104:111">
      <c r="CZ31518" s="256"/>
      <c r="DG31518" s="256"/>
    </row>
    <row r="31519" spans="104:111">
      <c r="CZ31519" s="256"/>
      <c r="DG31519" s="256"/>
    </row>
    <row r="31520" spans="104:111">
      <c r="CZ31520" s="256"/>
      <c r="DG31520" s="256"/>
    </row>
    <row r="31521" spans="104:111">
      <c r="CZ31521" s="256"/>
      <c r="DG31521" s="256"/>
    </row>
    <row r="31522" spans="104:111">
      <c r="CZ31522" s="256"/>
      <c r="DG31522" s="256"/>
    </row>
    <row r="31523" spans="104:111">
      <c r="CZ31523" s="256"/>
      <c r="DG31523" s="256"/>
    </row>
    <row r="31524" spans="104:111">
      <c r="CZ31524" s="256"/>
      <c r="DG31524" s="256"/>
    </row>
    <row r="31525" spans="104:111">
      <c r="CZ31525" s="256"/>
      <c r="DG31525" s="256"/>
    </row>
    <row r="31526" spans="104:111">
      <c r="CZ31526" s="256"/>
      <c r="DG31526" s="256"/>
    </row>
    <row r="31527" spans="104:111">
      <c r="CZ31527" s="256"/>
      <c r="DG31527" s="256"/>
    </row>
    <row r="31528" spans="104:111">
      <c r="CZ31528" s="256"/>
      <c r="DG31528" s="256"/>
    </row>
    <row r="31529" spans="104:111">
      <c r="CZ31529" s="256"/>
      <c r="DG31529" s="256"/>
    </row>
    <row r="31530" spans="104:111">
      <c r="CZ31530" s="256"/>
      <c r="DG31530" s="256"/>
    </row>
    <row r="31531" spans="104:111">
      <c r="CZ31531" s="256"/>
      <c r="DG31531" s="256"/>
    </row>
    <row r="31532" spans="104:111">
      <c r="CZ31532" s="256"/>
      <c r="DG31532" s="256"/>
    </row>
    <row r="31533" spans="104:111">
      <c r="CZ31533" s="256"/>
      <c r="DG31533" s="256"/>
    </row>
    <row r="31534" spans="104:111">
      <c r="CZ31534" s="256"/>
      <c r="DG31534" s="256"/>
    </row>
    <row r="31535" spans="104:111">
      <c r="CZ31535" s="256"/>
      <c r="DG31535" s="256"/>
    </row>
    <row r="31536" spans="104:111">
      <c r="CZ31536" s="256"/>
      <c r="DG31536" s="256"/>
    </row>
    <row r="31537" spans="104:111">
      <c r="CZ31537" s="256"/>
      <c r="DG31537" s="256"/>
    </row>
    <row r="31538" spans="104:111">
      <c r="CZ31538" s="256"/>
      <c r="DG31538" s="256"/>
    </row>
    <row r="31539" spans="104:111">
      <c r="CZ31539" s="256"/>
      <c r="DG31539" s="256"/>
    </row>
    <row r="31540" spans="104:111">
      <c r="CZ31540" s="256"/>
      <c r="DG31540" s="256"/>
    </row>
    <row r="31541" spans="104:111">
      <c r="CZ31541" s="256"/>
      <c r="DG31541" s="256"/>
    </row>
    <row r="31542" spans="104:111">
      <c r="CZ31542" s="256"/>
      <c r="DG31542" s="256"/>
    </row>
    <row r="31543" spans="104:111">
      <c r="CZ31543" s="256"/>
      <c r="DG31543" s="256"/>
    </row>
    <row r="31544" spans="104:111">
      <c r="CZ31544" s="256"/>
      <c r="DG31544" s="256"/>
    </row>
    <row r="31545" spans="104:111">
      <c r="CZ31545" s="256"/>
      <c r="DG31545" s="256"/>
    </row>
    <row r="31546" spans="104:111">
      <c r="CZ31546" s="256"/>
      <c r="DG31546" s="256"/>
    </row>
    <row r="31547" spans="104:111">
      <c r="CZ31547" s="256"/>
      <c r="DG31547" s="256"/>
    </row>
    <row r="31548" spans="104:111">
      <c r="CZ31548" s="256"/>
      <c r="DG31548" s="256"/>
    </row>
    <row r="31549" spans="104:111">
      <c r="CZ31549" s="256"/>
      <c r="DG31549" s="256"/>
    </row>
    <row r="31550" spans="104:111">
      <c r="CZ31550" s="256"/>
      <c r="DG31550" s="256"/>
    </row>
    <row r="31551" spans="104:111">
      <c r="CZ31551" s="256"/>
      <c r="DG31551" s="256"/>
    </row>
    <row r="31552" spans="104:111">
      <c r="CZ31552" s="256"/>
      <c r="DG31552" s="256"/>
    </row>
    <row r="31553" spans="104:111">
      <c r="CZ31553" s="256"/>
      <c r="DG31553" s="256"/>
    </row>
    <row r="31554" spans="104:111">
      <c r="CZ31554" s="256"/>
      <c r="DG31554" s="256"/>
    </row>
    <row r="31555" spans="104:111">
      <c r="CZ31555" s="256"/>
      <c r="DG31555" s="256"/>
    </row>
    <row r="31556" spans="104:111">
      <c r="CZ31556" s="256"/>
      <c r="DG31556" s="256"/>
    </row>
    <row r="31557" spans="104:111">
      <c r="CZ31557" s="256"/>
      <c r="DG31557" s="256"/>
    </row>
    <row r="31558" spans="104:111">
      <c r="CZ31558" s="256"/>
      <c r="DG31558" s="256"/>
    </row>
    <row r="31559" spans="104:111">
      <c r="CZ31559" s="256"/>
      <c r="DG31559" s="256"/>
    </row>
    <row r="31560" spans="104:111">
      <c r="CZ31560" s="256"/>
      <c r="DG31560" s="256"/>
    </row>
    <row r="31561" spans="104:111">
      <c r="CZ31561" s="256"/>
      <c r="DG31561" s="256"/>
    </row>
    <row r="31562" spans="104:111">
      <c r="CZ31562" s="256"/>
      <c r="DG31562" s="256"/>
    </row>
    <row r="31563" spans="104:111">
      <c r="CZ31563" s="256"/>
      <c r="DG31563" s="256"/>
    </row>
    <row r="31564" spans="104:111">
      <c r="CZ31564" s="256"/>
      <c r="DG31564" s="256"/>
    </row>
    <row r="31565" spans="104:111">
      <c r="CZ31565" s="256"/>
      <c r="DG31565" s="256"/>
    </row>
    <row r="31566" spans="104:111">
      <c r="CZ31566" s="256"/>
      <c r="DG31566" s="256"/>
    </row>
    <row r="31567" spans="104:111">
      <c r="CZ31567" s="256"/>
      <c r="DG31567" s="256"/>
    </row>
    <row r="31568" spans="104:111">
      <c r="CZ31568" s="256"/>
      <c r="DG31568" s="256"/>
    </row>
    <row r="31569" spans="104:111">
      <c r="CZ31569" s="256"/>
      <c r="DG31569" s="256"/>
    </row>
    <row r="31570" spans="104:111">
      <c r="CZ31570" s="256"/>
      <c r="DG31570" s="256"/>
    </row>
    <row r="31571" spans="104:111">
      <c r="CZ31571" s="256"/>
      <c r="DG31571" s="256"/>
    </row>
    <row r="31572" spans="104:111">
      <c r="CZ31572" s="256"/>
      <c r="DG31572" s="256"/>
    </row>
    <row r="31573" spans="104:111">
      <c r="CZ31573" s="256"/>
      <c r="DG31573" s="256"/>
    </row>
    <row r="31574" spans="104:111">
      <c r="CZ31574" s="256"/>
      <c r="DG31574" s="256"/>
    </row>
    <row r="31575" spans="104:111">
      <c r="CZ31575" s="256"/>
      <c r="DG31575" s="256"/>
    </row>
    <row r="31576" spans="104:111">
      <c r="CZ31576" s="256"/>
      <c r="DG31576" s="256"/>
    </row>
    <row r="31577" spans="104:111">
      <c r="CZ31577" s="256"/>
      <c r="DG31577" s="256"/>
    </row>
    <row r="31578" spans="104:111">
      <c r="CZ31578" s="256"/>
      <c r="DG31578" s="256"/>
    </row>
    <row r="31579" spans="104:111">
      <c r="CZ31579" s="256"/>
      <c r="DG31579" s="256"/>
    </row>
    <row r="31580" spans="104:111">
      <c r="CZ31580" s="256"/>
      <c r="DG31580" s="256"/>
    </row>
    <row r="31581" spans="104:111">
      <c r="CZ31581" s="256"/>
      <c r="DG31581" s="256"/>
    </row>
    <row r="31582" spans="104:111">
      <c r="CZ31582" s="256"/>
      <c r="DG31582" s="256"/>
    </row>
    <row r="31583" spans="104:111">
      <c r="CZ31583" s="256"/>
      <c r="DG31583" s="256"/>
    </row>
    <row r="31584" spans="104:111">
      <c r="CZ31584" s="256"/>
      <c r="DG31584" s="256"/>
    </row>
    <row r="31585" spans="104:111">
      <c r="CZ31585" s="256"/>
      <c r="DG31585" s="256"/>
    </row>
    <row r="31586" spans="104:111">
      <c r="CZ31586" s="256"/>
      <c r="DG31586" s="256"/>
    </row>
    <row r="31587" spans="104:111">
      <c r="CZ31587" s="256"/>
      <c r="DG31587" s="256"/>
    </row>
    <row r="31588" spans="104:111">
      <c r="CZ31588" s="256"/>
      <c r="DG31588" s="256"/>
    </row>
    <row r="31589" spans="104:111">
      <c r="CZ31589" s="256"/>
      <c r="DG31589" s="256"/>
    </row>
    <row r="31590" spans="104:111">
      <c r="CZ31590" s="256"/>
      <c r="DG31590" s="256"/>
    </row>
    <row r="31591" spans="104:111">
      <c r="CZ31591" s="256"/>
      <c r="DG31591" s="256"/>
    </row>
    <row r="31592" spans="104:111">
      <c r="CZ31592" s="256"/>
      <c r="DG31592" s="256"/>
    </row>
    <row r="31593" spans="104:111">
      <c r="CZ31593" s="256"/>
      <c r="DG31593" s="256"/>
    </row>
    <row r="31594" spans="104:111">
      <c r="CZ31594" s="256"/>
      <c r="DG31594" s="256"/>
    </row>
    <row r="31595" spans="104:111">
      <c r="CZ31595" s="256"/>
      <c r="DG31595" s="256"/>
    </row>
    <row r="31596" spans="104:111">
      <c r="CZ31596" s="256"/>
      <c r="DG31596" s="256"/>
    </row>
    <row r="31597" spans="104:111">
      <c r="CZ31597" s="256"/>
      <c r="DG31597" s="256"/>
    </row>
    <row r="31598" spans="104:111">
      <c r="CZ31598" s="256"/>
      <c r="DG31598" s="256"/>
    </row>
    <row r="31599" spans="104:111">
      <c r="CZ31599" s="256"/>
      <c r="DG31599" s="256"/>
    </row>
    <row r="31600" spans="104:111">
      <c r="CZ31600" s="256"/>
      <c r="DG31600" s="256"/>
    </row>
    <row r="31601" spans="104:111">
      <c r="CZ31601" s="256"/>
      <c r="DG31601" s="256"/>
    </row>
    <row r="31602" spans="104:111">
      <c r="CZ31602" s="256"/>
      <c r="DG31602" s="256"/>
    </row>
    <row r="31603" spans="104:111">
      <c r="CZ31603" s="256"/>
      <c r="DG31603" s="256"/>
    </row>
    <row r="31604" spans="104:111">
      <c r="CZ31604" s="256"/>
      <c r="DG31604" s="256"/>
    </row>
    <row r="31605" spans="104:111">
      <c r="CZ31605" s="256"/>
      <c r="DG31605" s="256"/>
    </row>
    <row r="31606" spans="104:111">
      <c r="CZ31606" s="256"/>
      <c r="DG31606" s="256"/>
    </row>
    <row r="31607" spans="104:111">
      <c r="CZ31607" s="256"/>
      <c r="DG31607" s="256"/>
    </row>
    <row r="31608" spans="104:111">
      <c r="CZ31608" s="256"/>
      <c r="DG31608" s="256"/>
    </row>
    <row r="31609" spans="104:111">
      <c r="CZ31609" s="256"/>
      <c r="DG31609" s="256"/>
    </row>
    <row r="31610" spans="104:111">
      <c r="CZ31610" s="256"/>
      <c r="DG31610" s="256"/>
    </row>
    <row r="31611" spans="104:111">
      <c r="CZ31611" s="256"/>
      <c r="DG31611" s="256"/>
    </row>
    <row r="31612" spans="104:111">
      <c r="CZ31612" s="256"/>
      <c r="DG31612" s="256"/>
    </row>
    <row r="31613" spans="104:111">
      <c r="CZ31613" s="256"/>
      <c r="DG31613" s="256"/>
    </row>
    <row r="31614" spans="104:111">
      <c r="CZ31614" s="256"/>
      <c r="DG31614" s="256"/>
    </row>
    <row r="31615" spans="104:111">
      <c r="CZ31615" s="256"/>
      <c r="DG31615" s="256"/>
    </row>
    <row r="31616" spans="104:111">
      <c r="CZ31616" s="256"/>
      <c r="DG31616" s="256"/>
    </row>
    <row r="31617" spans="104:111">
      <c r="CZ31617" s="256"/>
      <c r="DG31617" s="256"/>
    </row>
    <row r="31618" spans="104:111">
      <c r="CZ31618" s="256"/>
      <c r="DG31618" s="256"/>
    </row>
    <row r="31619" spans="104:111">
      <c r="CZ31619" s="256"/>
      <c r="DG31619" s="256"/>
    </row>
    <row r="31620" spans="104:111">
      <c r="CZ31620" s="256"/>
      <c r="DG31620" s="256"/>
    </row>
    <row r="31621" spans="104:111">
      <c r="CZ31621" s="256"/>
      <c r="DG31621" s="256"/>
    </row>
    <row r="31622" spans="104:111">
      <c r="CZ31622" s="256"/>
      <c r="DG31622" s="256"/>
    </row>
    <row r="31623" spans="104:111">
      <c r="CZ31623" s="256"/>
      <c r="DG31623" s="256"/>
    </row>
    <row r="31624" spans="104:111">
      <c r="CZ31624" s="256"/>
      <c r="DG31624" s="256"/>
    </row>
    <row r="31625" spans="104:111">
      <c r="CZ31625" s="256"/>
      <c r="DG31625" s="256"/>
    </row>
    <row r="31626" spans="104:111">
      <c r="CZ31626" s="256"/>
      <c r="DG31626" s="256"/>
    </row>
    <row r="31627" spans="104:111">
      <c r="CZ31627" s="256"/>
      <c r="DG31627" s="256"/>
    </row>
    <row r="31628" spans="104:111">
      <c r="CZ31628" s="256"/>
      <c r="DG31628" s="256"/>
    </row>
    <row r="31629" spans="104:111">
      <c r="CZ31629" s="256"/>
      <c r="DG31629" s="256"/>
    </row>
    <row r="31630" spans="104:111">
      <c r="CZ31630" s="256"/>
      <c r="DG31630" s="256"/>
    </row>
    <row r="31631" spans="104:111">
      <c r="CZ31631" s="256"/>
      <c r="DG31631" s="256"/>
    </row>
    <row r="31632" spans="104:111">
      <c r="CZ31632" s="256"/>
      <c r="DG31632" s="256"/>
    </row>
    <row r="31633" spans="104:111">
      <c r="CZ31633" s="256"/>
      <c r="DG31633" s="256"/>
    </row>
    <row r="31634" spans="104:111">
      <c r="CZ31634" s="256"/>
      <c r="DG31634" s="256"/>
    </row>
    <row r="31635" spans="104:111">
      <c r="CZ31635" s="256"/>
      <c r="DG31635" s="256"/>
    </row>
    <row r="31636" spans="104:111">
      <c r="CZ31636" s="256"/>
      <c r="DG31636" s="256"/>
    </row>
    <row r="31637" spans="104:111">
      <c r="CZ31637" s="256"/>
      <c r="DG31637" s="256"/>
    </row>
    <row r="31638" spans="104:111">
      <c r="CZ31638" s="256"/>
      <c r="DG31638" s="256"/>
    </row>
    <row r="31639" spans="104:111">
      <c r="CZ31639" s="256"/>
      <c r="DG31639" s="256"/>
    </row>
    <row r="31640" spans="104:111">
      <c r="CZ31640" s="256"/>
      <c r="DG31640" s="256"/>
    </row>
    <row r="31641" spans="104:111">
      <c r="CZ31641" s="256"/>
      <c r="DG31641" s="256"/>
    </row>
    <row r="31642" spans="104:111">
      <c r="CZ31642" s="256"/>
      <c r="DG31642" s="256"/>
    </row>
    <row r="31643" spans="104:111">
      <c r="CZ31643" s="256"/>
      <c r="DG31643" s="256"/>
    </row>
    <row r="31644" spans="104:111">
      <c r="CZ31644" s="256"/>
      <c r="DG31644" s="256"/>
    </row>
    <row r="31645" spans="104:111">
      <c r="CZ31645" s="256"/>
      <c r="DG31645" s="256"/>
    </row>
    <row r="31646" spans="104:111">
      <c r="CZ31646" s="256"/>
      <c r="DG31646" s="256"/>
    </row>
    <row r="31647" spans="104:111">
      <c r="CZ31647" s="256"/>
      <c r="DG31647" s="256"/>
    </row>
    <row r="31648" spans="104:111">
      <c r="CZ31648" s="256"/>
      <c r="DG31648" s="256"/>
    </row>
    <row r="31649" spans="104:111">
      <c r="CZ31649" s="256"/>
      <c r="DG31649" s="256"/>
    </row>
    <row r="31650" spans="104:111">
      <c r="CZ31650" s="256"/>
      <c r="DG31650" s="256"/>
    </row>
    <row r="31651" spans="104:111">
      <c r="CZ31651" s="256"/>
      <c r="DG31651" s="256"/>
    </row>
    <row r="31652" spans="104:111">
      <c r="CZ31652" s="256"/>
      <c r="DG31652" s="256"/>
    </row>
    <row r="31653" spans="104:111">
      <c r="CZ31653" s="256"/>
      <c r="DG31653" s="256"/>
    </row>
    <row r="31654" spans="104:111">
      <c r="CZ31654" s="256"/>
      <c r="DG31654" s="256"/>
    </row>
    <row r="31655" spans="104:111">
      <c r="CZ31655" s="256"/>
      <c r="DG31655" s="256"/>
    </row>
    <row r="31656" spans="104:111">
      <c r="CZ31656" s="256"/>
      <c r="DG31656" s="256"/>
    </row>
    <row r="31657" spans="104:111">
      <c r="CZ31657" s="256"/>
      <c r="DG31657" s="256"/>
    </row>
    <row r="31658" spans="104:111">
      <c r="CZ31658" s="256"/>
      <c r="DG31658" s="256"/>
    </row>
    <row r="31659" spans="104:111">
      <c r="CZ31659" s="256"/>
      <c r="DG31659" s="256"/>
    </row>
    <row r="31660" spans="104:111">
      <c r="CZ31660" s="256"/>
      <c r="DG31660" s="256"/>
    </row>
    <row r="31661" spans="104:111">
      <c r="CZ31661" s="256"/>
      <c r="DG31661" s="256"/>
    </row>
    <row r="31662" spans="104:111">
      <c r="CZ31662" s="256"/>
      <c r="DG31662" s="256"/>
    </row>
    <row r="31663" spans="104:111">
      <c r="CZ31663" s="256"/>
      <c r="DG31663" s="256"/>
    </row>
    <row r="31664" spans="104:111">
      <c r="CZ31664" s="256"/>
      <c r="DG31664" s="256"/>
    </row>
    <row r="31665" spans="104:111">
      <c r="CZ31665" s="256"/>
      <c r="DG31665" s="256"/>
    </row>
    <row r="31666" spans="104:111">
      <c r="CZ31666" s="256"/>
      <c r="DG31666" s="256"/>
    </row>
    <row r="31667" spans="104:111">
      <c r="CZ31667" s="256"/>
      <c r="DG31667" s="256"/>
    </row>
    <row r="31668" spans="104:111">
      <c r="CZ31668" s="256"/>
      <c r="DG31668" s="256"/>
    </row>
    <row r="31669" spans="104:111">
      <c r="CZ31669" s="256"/>
      <c r="DG31669" s="256"/>
    </row>
    <row r="31670" spans="104:111">
      <c r="CZ31670" s="256"/>
      <c r="DG31670" s="256"/>
    </row>
    <row r="31671" spans="104:111">
      <c r="CZ31671" s="256"/>
      <c r="DG31671" s="256"/>
    </row>
    <row r="31672" spans="104:111">
      <c r="CZ31672" s="256"/>
      <c r="DG31672" s="256"/>
    </row>
    <row r="31673" spans="104:111">
      <c r="CZ31673" s="256"/>
      <c r="DG31673" s="256"/>
    </row>
    <row r="31674" spans="104:111">
      <c r="CZ31674" s="256"/>
      <c r="DG31674" s="256"/>
    </row>
    <row r="31675" spans="104:111">
      <c r="CZ31675" s="256"/>
      <c r="DG31675" s="256"/>
    </row>
    <row r="31676" spans="104:111">
      <c r="CZ31676" s="256"/>
      <c r="DG31676" s="256"/>
    </row>
    <row r="31677" spans="104:111">
      <c r="CZ31677" s="256"/>
      <c r="DG31677" s="256"/>
    </row>
    <row r="31678" spans="104:111">
      <c r="CZ31678" s="256"/>
      <c r="DG31678" s="256"/>
    </row>
    <row r="31679" spans="104:111">
      <c r="CZ31679" s="256"/>
      <c r="DG31679" s="256"/>
    </row>
    <row r="31680" spans="104:111">
      <c r="CZ31680" s="256"/>
      <c r="DG31680" s="256"/>
    </row>
    <row r="31681" spans="104:111">
      <c r="CZ31681" s="256"/>
      <c r="DG31681" s="256"/>
    </row>
    <row r="31682" spans="104:111">
      <c r="CZ31682" s="256"/>
      <c r="DG31682" s="256"/>
    </row>
    <row r="31683" spans="104:111">
      <c r="CZ31683" s="256"/>
      <c r="DG31683" s="256"/>
    </row>
    <row r="31684" spans="104:111">
      <c r="CZ31684" s="256"/>
      <c r="DG31684" s="256"/>
    </row>
    <row r="31685" spans="104:111">
      <c r="CZ31685" s="256"/>
      <c r="DG31685" s="256"/>
    </row>
    <row r="31686" spans="104:111">
      <c r="CZ31686" s="256"/>
      <c r="DG31686" s="256"/>
    </row>
    <row r="31687" spans="104:111">
      <c r="CZ31687" s="256"/>
      <c r="DG31687" s="256"/>
    </row>
    <row r="31688" spans="104:111">
      <c r="CZ31688" s="256"/>
      <c r="DG31688" s="256"/>
    </row>
    <row r="31689" spans="104:111">
      <c r="CZ31689" s="256"/>
      <c r="DG31689" s="256"/>
    </row>
    <row r="31690" spans="104:111">
      <c r="CZ31690" s="256"/>
      <c r="DG31690" s="256"/>
    </row>
    <row r="31691" spans="104:111">
      <c r="CZ31691" s="256"/>
      <c r="DG31691" s="256"/>
    </row>
    <row r="31692" spans="104:111">
      <c r="CZ31692" s="256"/>
      <c r="DG31692" s="256"/>
    </row>
    <row r="31693" spans="104:111">
      <c r="CZ31693" s="256"/>
      <c r="DG31693" s="256"/>
    </row>
    <row r="31694" spans="104:111">
      <c r="CZ31694" s="256"/>
      <c r="DG31694" s="256"/>
    </row>
    <row r="31695" spans="104:111">
      <c r="CZ31695" s="256"/>
      <c r="DG31695" s="256"/>
    </row>
    <row r="31696" spans="104:111">
      <c r="CZ31696" s="256"/>
      <c r="DG31696" s="256"/>
    </row>
    <row r="31697" spans="104:111">
      <c r="CZ31697" s="256"/>
      <c r="DG31697" s="256"/>
    </row>
    <row r="31698" spans="104:111">
      <c r="CZ31698" s="256"/>
      <c r="DG31698" s="256"/>
    </row>
    <row r="31699" spans="104:111">
      <c r="CZ31699" s="256"/>
      <c r="DG31699" s="256"/>
    </row>
    <row r="31700" spans="104:111">
      <c r="CZ31700" s="256"/>
      <c r="DG31700" s="256"/>
    </row>
    <row r="31701" spans="104:111">
      <c r="CZ31701" s="256"/>
      <c r="DG31701" s="256"/>
    </row>
    <row r="31702" spans="104:111">
      <c r="CZ31702" s="256"/>
      <c r="DG31702" s="256"/>
    </row>
    <row r="31703" spans="104:111">
      <c r="CZ31703" s="256"/>
      <c r="DG31703" s="256"/>
    </row>
    <row r="31704" spans="104:111">
      <c r="CZ31704" s="256"/>
      <c r="DG31704" s="256"/>
    </row>
    <row r="31705" spans="104:111">
      <c r="CZ31705" s="256"/>
      <c r="DG31705" s="256"/>
    </row>
    <row r="31706" spans="104:111">
      <c r="CZ31706" s="256"/>
      <c r="DG31706" s="256"/>
    </row>
    <row r="31707" spans="104:111">
      <c r="CZ31707" s="256"/>
      <c r="DG31707" s="256"/>
    </row>
    <row r="31708" spans="104:111">
      <c r="CZ31708" s="256"/>
      <c r="DG31708" s="256"/>
    </row>
    <row r="31709" spans="104:111">
      <c r="CZ31709" s="256"/>
      <c r="DG31709" s="256"/>
    </row>
    <row r="31710" spans="104:111">
      <c r="CZ31710" s="256"/>
      <c r="DG31710" s="256"/>
    </row>
    <row r="31711" spans="104:111">
      <c r="CZ31711" s="256"/>
      <c r="DG31711" s="256"/>
    </row>
    <row r="31712" spans="104:111">
      <c r="CZ31712" s="256"/>
      <c r="DG31712" s="256"/>
    </row>
    <row r="31713" spans="104:111">
      <c r="CZ31713" s="256"/>
      <c r="DG31713" s="256"/>
    </row>
    <row r="31714" spans="104:111">
      <c r="CZ31714" s="256"/>
      <c r="DG31714" s="256"/>
    </row>
    <row r="31715" spans="104:111">
      <c r="CZ31715" s="256"/>
      <c r="DG31715" s="256"/>
    </row>
    <row r="31716" spans="104:111">
      <c r="CZ31716" s="256"/>
      <c r="DG31716" s="256"/>
    </row>
    <row r="31717" spans="104:111">
      <c r="CZ31717" s="256"/>
      <c r="DG31717" s="256"/>
    </row>
    <row r="31718" spans="104:111">
      <c r="CZ31718" s="256"/>
      <c r="DG31718" s="256"/>
    </row>
    <row r="31719" spans="104:111">
      <c r="CZ31719" s="256"/>
      <c r="DG31719" s="256"/>
    </row>
    <row r="31720" spans="104:111">
      <c r="CZ31720" s="256"/>
      <c r="DG31720" s="256"/>
    </row>
    <row r="31721" spans="104:111">
      <c r="CZ31721" s="256"/>
      <c r="DG31721" s="256"/>
    </row>
    <row r="31722" spans="104:111">
      <c r="CZ31722" s="256"/>
      <c r="DG31722" s="256"/>
    </row>
    <row r="31723" spans="104:111">
      <c r="CZ31723" s="256"/>
      <c r="DG31723" s="256"/>
    </row>
    <row r="31724" spans="104:111">
      <c r="CZ31724" s="256"/>
      <c r="DG31724" s="256"/>
    </row>
    <row r="31725" spans="104:111">
      <c r="CZ31725" s="256"/>
      <c r="DG31725" s="256"/>
    </row>
    <row r="31726" spans="104:111">
      <c r="CZ31726" s="256"/>
      <c r="DG31726" s="256"/>
    </row>
    <row r="31727" spans="104:111">
      <c r="CZ31727" s="256"/>
      <c r="DG31727" s="256"/>
    </row>
    <row r="31728" spans="104:111">
      <c r="CZ31728" s="256"/>
      <c r="DG31728" s="256"/>
    </row>
    <row r="31729" spans="104:111">
      <c r="CZ31729" s="256"/>
      <c r="DG31729" s="256"/>
    </row>
    <row r="31730" spans="104:111">
      <c r="CZ31730" s="256"/>
      <c r="DG31730" s="256"/>
    </row>
    <row r="31731" spans="104:111">
      <c r="CZ31731" s="256"/>
      <c r="DG31731" s="256"/>
    </row>
    <row r="31732" spans="104:111">
      <c r="CZ31732" s="256"/>
      <c r="DG31732" s="256"/>
    </row>
    <row r="31733" spans="104:111">
      <c r="CZ31733" s="256"/>
      <c r="DG31733" s="256"/>
    </row>
    <row r="31734" spans="104:111">
      <c r="CZ31734" s="256"/>
      <c r="DG31734" s="256"/>
    </row>
    <row r="31735" spans="104:111">
      <c r="CZ31735" s="256"/>
      <c r="DG31735" s="256"/>
    </row>
    <row r="31736" spans="104:111">
      <c r="CZ31736" s="256"/>
      <c r="DG31736" s="256"/>
    </row>
    <row r="31737" spans="104:111">
      <c r="CZ31737" s="256"/>
      <c r="DG31737" s="256"/>
    </row>
    <row r="31738" spans="104:111">
      <c r="CZ31738" s="256"/>
      <c r="DG31738" s="256"/>
    </row>
    <row r="31739" spans="104:111">
      <c r="CZ31739" s="256"/>
      <c r="DG31739" s="256"/>
    </row>
    <row r="31740" spans="104:111">
      <c r="CZ31740" s="256"/>
      <c r="DG31740" s="256"/>
    </row>
    <row r="31741" spans="104:111">
      <c r="CZ31741" s="256"/>
      <c r="DG31741" s="256"/>
    </row>
    <row r="31742" spans="104:111">
      <c r="CZ31742" s="256"/>
      <c r="DG31742" s="256"/>
    </row>
    <row r="31743" spans="104:111">
      <c r="CZ31743" s="256"/>
      <c r="DG31743" s="256"/>
    </row>
    <row r="31744" spans="104:111">
      <c r="CZ31744" s="256"/>
      <c r="DG31744" s="256"/>
    </row>
    <row r="31745" spans="104:111">
      <c r="CZ31745" s="256"/>
      <c r="DG31745" s="256"/>
    </row>
    <row r="31746" spans="104:111">
      <c r="CZ31746" s="256"/>
      <c r="DG31746" s="256"/>
    </row>
    <row r="31747" spans="104:111">
      <c r="CZ31747" s="256"/>
      <c r="DG31747" s="256"/>
    </row>
    <row r="31748" spans="104:111">
      <c r="CZ31748" s="256"/>
      <c r="DG31748" s="256"/>
    </row>
    <row r="31749" spans="104:111">
      <c r="CZ31749" s="256"/>
      <c r="DG31749" s="256"/>
    </row>
    <row r="31750" spans="104:111">
      <c r="CZ31750" s="256"/>
      <c r="DG31750" s="256"/>
    </row>
    <row r="31751" spans="104:111">
      <c r="CZ31751" s="256"/>
      <c r="DG31751" s="256"/>
    </row>
    <row r="31752" spans="104:111">
      <c r="CZ31752" s="256"/>
      <c r="DG31752" s="256"/>
    </row>
    <row r="31753" spans="104:111">
      <c r="CZ31753" s="256"/>
      <c r="DG31753" s="256"/>
    </row>
    <row r="31754" spans="104:111">
      <c r="CZ31754" s="256"/>
      <c r="DG31754" s="256"/>
    </row>
    <row r="31755" spans="104:111">
      <c r="CZ31755" s="256"/>
      <c r="DG31755" s="256"/>
    </row>
    <row r="31756" spans="104:111">
      <c r="CZ31756" s="256"/>
      <c r="DG31756" s="256"/>
    </row>
    <row r="31757" spans="104:111">
      <c r="CZ31757" s="256"/>
      <c r="DG31757" s="256"/>
    </row>
    <row r="31758" spans="104:111">
      <c r="CZ31758" s="256"/>
      <c r="DG31758" s="256"/>
    </row>
    <row r="31759" spans="104:111">
      <c r="CZ31759" s="256"/>
      <c r="DG31759" s="256"/>
    </row>
    <row r="31760" spans="104:111">
      <c r="CZ31760" s="256"/>
      <c r="DG31760" s="256"/>
    </row>
    <row r="31761" spans="104:111">
      <c r="CZ31761" s="256"/>
      <c r="DG31761" s="256"/>
    </row>
    <row r="31762" spans="104:111">
      <c r="CZ31762" s="256"/>
      <c r="DG31762" s="256"/>
    </row>
    <row r="31763" spans="104:111">
      <c r="CZ31763" s="256"/>
      <c r="DG31763" s="256"/>
    </row>
    <row r="31764" spans="104:111">
      <c r="CZ31764" s="256"/>
      <c r="DG31764" s="256"/>
    </row>
    <row r="31765" spans="104:111">
      <c r="CZ31765" s="256"/>
      <c r="DG31765" s="256"/>
    </row>
    <row r="31766" spans="104:111">
      <c r="CZ31766" s="256"/>
      <c r="DG31766" s="256"/>
    </row>
    <row r="31767" spans="104:111">
      <c r="CZ31767" s="256"/>
      <c r="DG31767" s="256"/>
    </row>
    <row r="31768" spans="104:111">
      <c r="CZ31768" s="256"/>
      <c r="DG31768" s="256"/>
    </row>
    <row r="31769" spans="104:111">
      <c r="CZ31769" s="256"/>
      <c r="DG31769" s="256"/>
    </row>
    <row r="31770" spans="104:111">
      <c r="CZ31770" s="256"/>
      <c r="DG31770" s="256"/>
    </row>
    <row r="31771" spans="104:111">
      <c r="CZ31771" s="256"/>
      <c r="DG31771" s="256"/>
    </row>
    <row r="31772" spans="104:111">
      <c r="CZ31772" s="256"/>
      <c r="DG31772" s="256"/>
    </row>
    <row r="31773" spans="104:111">
      <c r="CZ31773" s="256"/>
      <c r="DG31773" s="256"/>
    </row>
    <row r="31774" spans="104:111">
      <c r="CZ31774" s="256"/>
      <c r="DG31774" s="256"/>
    </row>
    <row r="31775" spans="104:111">
      <c r="CZ31775" s="256"/>
      <c r="DG31775" s="256"/>
    </row>
    <row r="31776" spans="104:111">
      <c r="CZ31776" s="256"/>
      <c r="DG31776" s="256"/>
    </row>
    <row r="31777" spans="104:111">
      <c r="CZ31777" s="256"/>
      <c r="DG31777" s="256"/>
    </row>
    <row r="31778" spans="104:111">
      <c r="CZ31778" s="256"/>
      <c r="DG31778" s="256"/>
    </row>
    <row r="31779" spans="104:111">
      <c r="CZ31779" s="256"/>
      <c r="DG31779" s="256"/>
    </row>
    <row r="31780" spans="104:111">
      <c r="CZ31780" s="256"/>
      <c r="DG31780" s="256"/>
    </row>
    <row r="31781" spans="104:111">
      <c r="CZ31781" s="256"/>
      <c r="DG31781" s="256"/>
    </row>
    <row r="31782" spans="104:111">
      <c r="CZ31782" s="256"/>
      <c r="DG31782" s="256"/>
    </row>
    <row r="31783" spans="104:111">
      <c r="CZ31783" s="256"/>
      <c r="DG31783" s="256"/>
    </row>
    <row r="31784" spans="104:111">
      <c r="CZ31784" s="256"/>
      <c r="DG31784" s="256"/>
    </row>
    <row r="31785" spans="104:111">
      <c r="CZ31785" s="256"/>
      <c r="DG31785" s="256"/>
    </row>
    <row r="31786" spans="104:111">
      <c r="CZ31786" s="256"/>
      <c r="DG31786" s="256"/>
    </row>
    <row r="31787" spans="104:111">
      <c r="CZ31787" s="256"/>
      <c r="DG31787" s="256"/>
    </row>
    <row r="31788" spans="104:111">
      <c r="CZ31788" s="256"/>
      <c r="DG31788" s="256"/>
    </row>
    <row r="31789" spans="104:111">
      <c r="CZ31789" s="256"/>
      <c r="DG31789" s="256"/>
    </row>
    <row r="31790" spans="104:111">
      <c r="CZ31790" s="256"/>
      <c r="DG31790" s="256"/>
    </row>
    <row r="31791" spans="104:111">
      <c r="CZ31791" s="256"/>
      <c r="DG31791" s="256"/>
    </row>
    <row r="31792" spans="104:111">
      <c r="CZ31792" s="256"/>
      <c r="DG31792" s="256"/>
    </row>
    <row r="31793" spans="104:111">
      <c r="CZ31793" s="256"/>
      <c r="DG31793" s="256"/>
    </row>
    <row r="31794" spans="104:111">
      <c r="CZ31794" s="256"/>
      <c r="DG31794" s="256"/>
    </row>
    <row r="31795" spans="104:111">
      <c r="CZ31795" s="256"/>
      <c r="DG31795" s="256"/>
    </row>
    <row r="31796" spans="104:111">
      <c r="CZ31796" s="256"/>
      <c r="DG31796" s="256"/>
    </row>
    <row r="31797" spans="104:111">
      <c r="CZ31797" s="256"/>
      <c r="DG31797" s="256"/>
    </row>
    <row r="31798" spans="104:111">
      <c r="CZ31798" s="256"/>
      <c r="DG31798" s="256"/>
    </row>
    <row r="31799" spans="104:111">
      <c r="CZ31799" s="256"/>
      <c r="DG31799" s="256"/>
    </row>
    <row r="31800" spans="104:111">
      <c r="CZ31800" s="256"/>
      <c r="DG31800" s="256"/>
    </row>
    <row r="31801" spans="104:111">
      <c r="CZ31801" s="256"/>
      <c r="DG31801" s="256"/>
    </row>
    <row r="31802" spans="104:111">
      <c r="CZ31802" s="256"/>
      <c r="DG31802" s="256"/>
    </row>
    <row r="31803" spans="104:111">
      <c r="CZ31803" s="256"/>
      <c r="DG31803" s="256"/>
    </row>
    <row r="31804" spans="104:111">
      <c r="CZ31804" s="256"/>
      <c r="DG31804" s="256"/>
    </row>
    <row r="31805" spans="104:111">
      <c r="CZ31805" s="256"/>
      <c r="DG31805" s="256"/>
    </row>
    <row r="31806" spans="104:111">
      <c r="CZ31806" s="256"/>
      <c r="DG31806" s="256"/>
    </row>
    <row r="31807" spans="104:111">
      <c r="CZ31807" s="256"/>
      <c r="DG31807" s="256"/>
    </row>
    <row r="31808" spans="104:111">
      <c r="CZ31808" s="256"/>
      <c r="DG31808" s="256"/>
    </row>
    <row r="31809" spans="104:111">
      <c r="CZ31809" s="256"/>
      <c r="DG31809" s="256"/>
    </row>
    <row r="31810" spans="104:111">
      <c r="CZ31810" s="256"/>
      <c r="DG31810" s="256"/>
    </row>
    <row r="31811" spans="104:111">
      <c r="CZ31811" s="256"/>
      <c r="DG31811" s="256"/>
    </row>
    <row r="31812" spans="104:111">
      <c r="CZ31812" s="256"/>
      <c r="DG31812" s="256"/>
    </row>
    <row r="31813" spans="104:111">
      <c r="CZ31813" s="256"/>
      <c r="DG31813" s="256"/>
    </row>
    <row r="31814" spans="104:111">
      <c r="CZ31814" s="256"/>
      <c r="DG31814" s="256"/>
    </row>
    <row r="31815" spans="104:111">
      <c r="CZ31815" s="256"/>
      <c r="DG31815" s="256"/>
    </row>
    <row r="31816" spans="104:111">
      <c r="CZ31816" s="256"/>
      <c r="DG31816" s="256"/>
    </row>
    <row r="31817" spans="104:111">
      <c r="CZ31817" s="256"/>
      <c r="DG31817" s="256"/>
    </row>
    <row r="31818" spans="104:111">
      <c r="CZ31818" s="256"/>
      <c r="DG31818" s="256"/>
    </row>
    <row r="31819" spans="104:111">
      <c r="CZ31819" s="256"/>
      <c r="DG31819" s="256"/>
    </row>
    <row r="31820" spans="104:111">
      <c r="CZ31820" s="256"/>
      <c r="DG31820" s="256"/>
    </row>
    <row r="31821" spans="104:111">
      <c r="CZ31821" s="256"/>
      <c r="DG31821" s="256"/>
    </row>
    <row r="31822" spans="104:111">
      <c r="CZ31822" s="256"/>
      <c r="DG31822" s="256"/>
    </row>
    <row r="31823" spans="104:111">
      <c r="CZ31823" s="256"/>
      <c r="DG31823" s="256"/>
    </row>
    <row r="31824" spans="104:111">
      <c r="CZ31824" s="256"/>
      <c r="DG31824" s="256"/>
    </row>
    <row r="31825" spans="104:111">
      <c r="CZ31825" s="256"/>
      <c r="DG31825" s="256"/>
    </row>
    <row r="31826" spans="104:111">
      <c r="CZ31826" s="256"/>
      <c r="DG31826" s="256"/>
    </row>
    <row r="31827" spans="104:111">
      <c r="CZ31827" s="256"/>
      <c r="DG31827" s="256"/>
    </row>
    <row r="31828" spans="104:111">
      <c r="CZ31828" s="256"/>
      <c r="DG31828" s="256"/>
    </row>
    <row r="31829" spans="104:111">
      <c r="CZ31829" s="256"/>
      <c r="DG31829" s="256"/>
    </row>
    <row r="31830" spans="104:111">
      <c r="CZ31830" s="256"/>
      <c r="DG31830" s="256"/>
    </row>
    <row r="31831" spans="104:111">
      <c r="CZ31831" s="256"/>
      <c r="DG31831" s="256"/>
    </row>
    <row r="31832" spans="104:111">
      <c r="CZ31832" s="256"/>
      <c r="DG31832" s="256"/>
    </row>
    <row r="31833" spans="104:111">
      <c r="CZ31833" s="256"/>
      <c r="DG31833" s="256"/>
    </row>
    <row r="31834" spans="104:111">
      <c r="CZ31834" s="256"/>
      <c r="DG31834" s="256"/>
    </row>
    <row r="31835" spans="104:111">
      <c r="CZ31835" s="256"/>
      <c r="DG31835" s="256"/>
    </row>
    <row r="31836" spans="104:111">
      <c r="CZ31836" s="256"/>
      <c r="DG31836" s="256"/>
    </row>
    <row r="31837" spans="104:111">
      <c r="CZ31837" s="256"/>
      <c r="DG31837" s="256"/>
    </row>
    <row r="31838" spans="104:111">
      <c r="CZ31838" s="256"/>
      <c r="DG31838" s="256"/>
    </row>
    <row r="31839" spans="104:111">
      <c r="CZ31839" s="256"/>
      <c r="DG31839" s="256"/>
    </row>
    <row r="31840" spans="104:111">
      <c r="CZ31840" s="256"/>
      <c r="DG31840" s="256"/>
    </row>
    <row r="31841" spans="104:111">
      <c r="CZ31841" s="256"/>
      <c r="DG31841" s="256"/>
    </row>
    <row r="31842" spans="104:111">
      <c r="CZ31842" s="256"/>
      <c r="DG31842" s="256"/>
    </row>
    <row r="31843" spans="104:111">
      <c r="CZ31843" s="256"/>
      <c r="DG31843" s="256"/>
    </row>
    <row r="31844" spans="104:111">
      <c r="CZ31844" s="256"/>
      <c r="DG31844" s="256"/>
    </row>
    <row r="31845" spans="104:111">
      <c r="CZ31845" s="256"/>
      <c r="DG31845" s="256"/>
    </row>
    <row r="31846" spans="104:111">
      <c r="CZ31846" s="256"/>
      <c r="DG31846" s="256"/>
    </row>
    <row r="31847" spans="104:111">
      <c r="CZ31847" s="256"/>
      <c r="DG31847" s="256"/>
    </row>
    <row r="31848" spans="104:111">
      <c r="CZ31848" s="256"/>
      <c r="DG31848" s="256"/>
    </row>
    <row r="31849" spans="104:111">
      <c r="CZ31849" s="256"/>
      <c r="DG31849" s="256"/>
    </row>
    <row r="31850" spans="104:111">
      <c r="CZ31850" s="256"/>
      <c r="DG31850" s="256"/>
    </row>
    <row r="31851" spans="104:111">
      <c r="CZ31851" s="256"/>
      <c r="DG31851" s="256"/>
    </row>
    <row r="31852" spans="104:111">
      <c r="CZ31852" s="256"/>
      <c r="DG31852" s="256"/>
    </row>
    <row r="31853" spans="104:111">
      <c r="CZ31853" s="256"/>
      <c r="DG31853" s="256"/>
    </row>
    <row r="31854" spans="104:111">
      <c r="CZ31854" s="256"/>
      <c r="DG31854" s="256"/>
    </row>
    <row r="31855" spans="104:111">
      <c r="CZ31855" s="256"/>
      <c r="DG31855" s="256"/>
    </row>
    <row r="31856" spans="104:111">
      <c r="CZ31856" s="256"/>
      <c r="DG31856" s="256"/>
    </row>
    <row r="31857" spans="104:111">
      <c r="CZ31857" s="256"/>
      <c r="DG31857" s="256"/>
    </row>
    <row r="31858" spans="104:111">
      <c r="CZ31858" s="256"/>
      <c r="DG31858" s="256"/>
    </row>
    <row r="31859" spans="104:111">
      <c r="CZ31859" s="256"/>
      <c r="DG31859" s="256"/>
    </row>
    <row r="31860" spans="104:111">
      <c r="CZ31860" s="256"/>
      <c r="DG31860" s="256"/>
    </row>
    <row r="31861" spans="104:111">
      <c r="CZ31861" s="256"/>
      <c r="DG31861" s="256"/>
    </row>
    <row r="31862" spans="104:111">
      <c r="CZ31862" s="256"/>
      <c r="DG31862" s="256"/>
    </row>
    <row r="31863" spans="104:111">
      <c r="CZ31863" s="256"/>
      <c r="DG31863" s="256"/>
    </row>
    <row r="31864" spans="104:111">
      <c r="CZ31864" s="256"/>
      <c r="DG31864" s="256"/>
    </row>
    <row r="31865" spans="104:111">
      <c r="CZ31865" s="256"/>
      <c r="DG31865" s="256"/>
    </row>
    <row r="31866" spans="104:111">
      <c r="CZ31866" s="256"/>
      <c r="DG31866" s="256"/>
    </row>
    <row r="31867" spans="104:111">
      <c r="CZ31867" s="256"/>
      <c r="DG31867" s="256"/>
    </row>
    <row r="31868" spans="104:111">
      <c r="CZ31868" s="256"/>
      <c r="DG31868" s="256"/>
    </row>
    <row r="31869" spans="104:111">
      <c r="CZ31869" s="256"/>
      <c r="DG31869" s="256"/>
    </row>
    <row r="31870" spans="104:111">
      <c r="CZ31870" s="256"/>
      <c r="DG31870" s="256"/>
    </row>
    <row r="31871" spans="104:111">
      <c r="CZ31871" s="256"/>
      <c r="DG31871" s="256"/>
    </row>
    <row r="31872" spans="104:111">
      <c r="CZ31872" s="256"/>
      <c r="DG31872" s="256"/>
    </row>
    <row r="31873" spans="104:111">
      <c r="CZ31873" s="256"/>
      <c r="DG31873" s="256"/>
    </row>
    <row r="31874" spans="104:111">
      <c r="CZ31874" s="256"/>
      <c r="DG31874" s="256"/>
    </row>
    <row r="31875" spans="104:111">
      <c r="CZ31875" s="256"/>
      <c r="DG31875" s="256"/>
    </row>
    <row r="31876" spans="104:111">
      <c r="CZ31876" s="256"/>
      <c r="DG31876" s="256"/>
    </row>
    <row r="31877" spans="104:111">
      <c r="CZ31877" s="256"/>
      <c r="DG31877" s="256"/>
    </row>
    <row r="31878" spans="104:111">
      <c r="CZ31878" s="256"/>
      <c r="DG31878" s="256"/>
    </row>
    <row r="31879" spans="104:111">
      <c r="CZ31879" s="256"/>
      <c r="DG31879" s="256"/>
    </row>
    <row r="31880" spans="104:111">
      <c r="CZ31880" s="256"/>
      <c r="DG31880" s="256"/>
    </row>
    <row r="31881" spans="104:111">
      <c r="CZ31881" s="256"/>
      <c r="DG31881" s="256"/>
    </row>
    <row r="31882" spans="104:111">
      <c r="CZ31882" s="256"/>
      <c r="DG31882" s="256"/>
    </row>
    <row r="31883" spans="104:111">
      <c r="CZ31883" s="256"/>
      <c r="DG31883" s="256"/>
    </row>
    <row r="31884" spans="104:111">
      <c r="CZ31884" s="256"/>
      <c r="DG31884" s="256"/>
    </row>
    <row r="31885" spans="104:111">
      <c r="CZ31885" s="256"/>
      <c r="DG31885" s="256"/>
    </row>
    <row r="31886" spans="104:111">
      <c r="CZ31886" s="256"/>
      <c r="DG31886" s="256"/>
    </row>
    <row r="31887" spans="104:111">
      <c r="CZ31887" s="256"/>
      <c r="DG31887" s="256"/>
    </row>
    <row r="31888" spans="104:111">
      <c r="CZ31888" s="256"/>
      <c r="DG31888" s="256"/>
    </row>
    <row r="31889" spans="104:111">
      <c r="CZ31889" s="256"/>
      <c r="DG31889" s="256"/>
    </row>
    <row r="31890" spans="104:111">
      <c r="CZ31890" s="256"/>
      <c r="DG31890" s="256"/>
    </row>
    <row r="31891" spans="104:111">
      <c r="CZ31891" s="256"/>
      <c r="DG31891" s="256"/>
    </row>
    <row r="31892" spans="104:111">
      <c r="CZ31892" s="256"/>
      <c r="DG31892" s="256"/>
    </row>
    <row r="31893" spans="104:111">
      <c r="CZ31893" s="256"/>
      <c r="DG31893" s="256"/>
    </row>
    <row r="31894" spans="104:111">
      <c r="CZ31894" s="256"/>
      <c r="DG31894" s="256"/>
    </row>
    <row r="31895" spans="104:111">
      <c r="CZ31895" s="256"/>
      <c r="DG31895" s="256"/>
    </row>
    <row r="31896" spans="104:111">
      <c r="CZ31896" s="256"/>
      <c r="DG31896" s="256"/>
    </row>
    <row r="31897" spans="104:111">
      <c r="CZ31897" s="256"/>
      <c r="DG31897" s="256"/>
    </row>
    <row r="31898" spans="104:111">
      <c r="CZ31898" s="256"/>
      <c r="DG31898" s="256"/>
    </row>
    <row r="31899" spans="104:111">
      <c r="CZ31899" s="256"/>
      <c r="DG31899" s="256"/>
    </row>
    <row r="31900" spans="104:111">
      <c r="CZ31900" s="256"/>
      <c r="DG31900" s="256"/>
    </row>
    <row r="31901" spans="104:111">
      <c r="CZ31901" s="256"/>
      <c r="DG31901" s="256"/>
    </row>
    <row r="31902" spans="104:111">
      <c r="CZ31902" s="256"/>
      <c r="DG31902" s="256"/>
    </row>
    <row r="31903" spans="104:111">
      <c r="CZ31903" s="256"/>
      <c r="DG31903" s="256"/>
    </row>
    <row r="31904" spans="104:111">
      <c r="CZ31904" s="256"/>
      <c r="DG31904" s="256"/>
    </row>
    <row r="31905" spans="104:111">
      <c r="CZ31905" s="256"/>
      <c r="DG31905" s="256"/>
    </row>
    <row r="31906" spans="104:111">
      <c r="CZ31906" s="256"/>
      <c r="DG31906" s="256"/>
    </row>
    <row r="31907" spans="104:111">
      <c r="CZ31907" s="256"/>
      <c r="DG31907" s="256"/>
    </row>
    <row r="31908" spans="104:111">
      <c r="CZ31908" s="256"/>
      <c r="DG31908" s="256"/>
    </row>
    <row r="31909" spans="104:111">
      <c r="CZ31909" s="256"/>
      <c r="DG31909" s="256"/>
    </row>
    <row r="31910" spans="104:111">
      <c r="CZ31910" s="256"/>
      <c r="DG31910" s="256"/>
    </row>
    <row r="31911" spans="104:111">
      <c r="CZ31911" s="256"/>
      <c r="DG31911" s="256"/>
    </row>
    <row r="31912" spans="104:111">
      <c r="CZ31912" s="256"/>
      <c r="DG31912" s="256"/>
    </row>
    <row r="31913" spans="104:111">
      <c r="CZ31913" s="256"/>
      <c r="DG31913" s="256"/>
    </row>
    <row r="31914" spans="104:111">
      <c r="CZ31914" s="256"/>
      <c r="DG31914" s="256"/>
    </row>
    <row r="31915" spans="104:111">
      <c r="CZ31915" s="256"/>
      <c r="DG31915" s="256"/>
    </row>
    <row r="31916" spans="104:111">
      <c r="CZ31916" s="256"/>
      <c r="DG31916" s="256"/>
    </row>
    <row r="31917" spans="104:111">
      <c r="CZ31917" s="256"/>
      <c r="DG31917" s="256"/>
    </row>
    <row r="31918" spans="104:111">
      <c r="CZ31918" s="256"/>
      <c r="DG31918" s="256"/>
    </row>
    <row r="31919" spans="104:111">
      <c r="CZ31919" s="256"/>
      <c r="DG31919" s="256"/>
    </row>
    <row r="31920" spans="104:111">
      <c r="CZ31920" s="256"/>
      <c r="DG31920" s="256"/>
    </row>
    <row r="31921" spans="104:111">
      <c r="CZ31921" s="256"/>
      <c r="DG31921" s="256"/>
    </row>
    <row r="31922" spans="104:111">
      <c r="CZ31922" s="256"/>
      <c r="DG31922" s="256"/>
    </row>
    <row r="31923" spans="104:111">
      <c r="CZ31923" s="256"/>
      <c r="DG31923" s="256"/>
    </row>
    <row r="31924" spans="104:111">
      <c r="CZ31924" s="256"/>
      <c r="DG31924" s="256"/>
    </row>
    <row r="31925" spans="104:111">
      <c r="CZ31925" s="256"/>
      <c r="DG31925" s="256"/>
    </row>
    <row r="31926" spans="104:111">
      <c r="CZ31926" s="256"/>
      <c r="DG31926" s="256"/>
    </row>
    <row r="31927" spans="104:111">
      <c r="CZ31927" s="256"/>
      <c r="DG31927" s="256"/>
    </row>
    <row r="31928" spans="104:111">
      <c r="CZ31928" s="256"/>
      <c r="DG31928" s="256"/>
    </row>
    <row r="31929" spans="104:111">
      <c r="CZ31929" s="256"/>
      <c r="DG31929" s="256"/>
    </row>
    <row r="31930" spans="104:111">
      <c r="CZ31930" s="256"/>
      <c r="DG31930" s="256"/>
    </row>
    <row r="31931" spans="104:111">
      <c r="CZ31931" s="256"/>
      <c r="DG31931" s="256"/>
    </row>
    <row r="31932" spans="104:111">
      <c r="CZ31932" s="256"/>
      <c r="DG31932" s="256"/>
    </row>
    <row r="31933" spans="104:111">
      <c r="CZ31933" s="256"/>
      <c r="DG31933" s="256"/>
    </row>
    <row r="31934" spans="104:111">
      <c r="CZ31934" s="256"/>
      <c r="DG31934" s="256"/>
    </row>
    <row r="31935" spans="104:111">
      <c r="CZ31935" s="256"/>
      <c r="DG31935" s="256"/>
    </row>
    <row r="31936" spans="104:111">
      <c r="CZ31936" s="256"/>
      <c r="DG31936" s="256"/>
    </row>
    <row r="31937" spans="104:111">
      <c r="CZ31937" s="256"/>
      <c r="DG31937" s="256"/>
    </row>
    <row r="31938" spans="104:111">
      <c r="CZ31938" s="256"/>
      <c r="DG31938" s="256"/>
    </row>
    <row r="31939" spans="104:111">
      <c r="CZ31939" s="256"/>
      <c r="DG31939" s="256"/>
    </row>
    <row r="31940" spans="104:111">
      <c r="CZ31940" s="256"/>
      <c r="DG31940" s="256"/>
    </row>
    <row r="31941" spans="104:111">
      <c r="CZ31941" s="256"/>
      <c r="DG31941" s="256"/>
    </row>
    <row r="31942" spans="104:111">
      <c r="CZ31942" s="256"/>
      <c r="DG31942" s="256"/>
    </row>
    <row r="31943" spans="104:111">
      <c r="CZ31943" s="256"/>
      <c r="DG31943" s="256"/>
    </row>
    <row r="31944" spans="104:111">
      <c r="CZ31944" s="256"/>
      <c r="DG31944" s="256"/>
    </row>
    <row r="31945" spans="104:111">
      <c r="CZ31945" s="256"/>
      <c r="DG31945" s="256"/>
    </row>
    <row r="31946" spans="104:111">
      <c r="CZ31946" s="256"/>
      <c r="DG31946" s="256"/>
    </row>
    <row r="31947" spans="104:111">
      <c r="CZ31947" s="256"/>
      <c r="DG31947" s="256"/>
    </row>
    <row r="31948" spans="104:111">
      <c r="CZ31948" s="256"/>
      <c r="DG31948" s="256"/>
    </row>
    <row r="31949" spans="104:111">
      <c r="CZ31949" s="256"/>
      <c r="DG31949" s="256"/>
    </row>
    <row r="31950" spans="104:111">
      <c r="CZ31950" s="256"/>
      <c r="DG31950" s="256"/>
    </row>
    <row r="31951" spans="104:111">
      <c r="CZ31951" s="256"/>
      <c r="DG31951" s="256"/>
    </row>
    <row r="31952" spans="104:111">
      <c r="CZ31952" s="256"/>
      <c r="DG31952" s="256"/>
    </row>
    <row r="31953" spans="104:111">
      <c r="CZ31953" s="256"/>
      <c r="DG31953" s="256"/>
    </row>
    <row r="31954" spans="104:111">
      <c r="CZ31954" s="256"/>
      <c r="DG31954" s="256"/>
    </row>
    <row r="31955" spans="104:111">
      <c r="CZ31955" s="256"/>
      <c r="DG31955" s="256"/>
    </row>
    <row r="31956" spans="104:111">
      <c r="CZ31956" s="256"/>
      <c r="DG31956" s="256"/>
    </row>
    <row r="31957" spans="104:111">
      <c r="CZ31957" s="256"/>
      <c r="DG31957" s="256"/>
    </row>
    <row r="31958" spans="104:111">
      <c r="CZ31958" s="256"/>
      <c r="DG31958" s="256"/>
    </row>
    <row r="31959" spans="104:111">
      <c r="CZ31959" s="256"/>
      <c r="DG31959" s="256"/>
    </row>
    <row r="31960" spans="104:111">
      <c r="CZ31960" s="256"/>
      <c r="DG31960" s="256"/>
    </row>
    <row r="31961" spans="104:111">
      <c r="CZ31961" s="256"/>
      <c r="DG31961" s="256"/>
    </row>
    <row r="31962" spans="104:111">
      <c r="CZ31962" s="256"/>
      <c r="DG31962" s="256"/>
    </row>
    <row r="31963" spans="104:111">
      <c r="CZ31963" s="256"/>
      <c r="DG31963" s="256"/>
    </row>
    <row r="31964" spans="104:111">
      <c r="CZ31964" s="256"/>
      <c r="DG31964" s="256"/>
    </row>
    <row r="31965" spans="104:111">
      <c r="CZ31965" s="256"/>
      <c r="DG31965" s="256"/>
    </row>
    <row r="31966" spans="104:111">
      <c r="CZ31966" s="256"/>
      <c r="DG31966" s="256"/>
    </row>
    <row r="31967" spans="104:111">
      <c r="CZ31967" s="256"/>
      <c r="DG31967" s="256"/>
    </row>
    <row r="31968" spans="104:111">
      <c r="CZ31968" s="256"/>
      <c r="DG31968" s="256"/>
    </row>
    <row r="31969" spans="104:111">
      <c r="CZ31969" s="256"/>
      <c r="DG31969" s="256"/>
    </row>
    <row r="31970" spans="104:111">
      <c r="CZ31970" s="256"/>
      <c r="DG31970" s="256"/>
    </row>
    <row r="31971" spans="104:111">
      <c r="CZ31971" s="256"/>
      <c r="DG31971" s="256"/>
    </row>
    <row r="31972" spans="104:111">
      <c r="CZ31972" s="256"/>
      <c r="DG31972" s="256"/>
    </row>
    <row r="31973" spans="104:111">
      <c r="CZ31973" s="256"/>
      <c r="DG31973" s="256"/>
    </row>
    <row r="31974" spans="104:111">
      <c r="CZ31974" s="256"/>
      <c r="DG31974" s="256"/>
    </row>
    <row r="31975" spans="104:111">
      <c r="CZ31975" s="256"/>
      <c r="DG31975" s="256"/>
    </row>
    <row r="31976" spans="104:111">
      <c r="CZ31976" s="256"/>
      <c r="DG31976" s="256"/>
    </row>
    <row r="31977" spans="104:111">
      <c r="CZ31977" s="256"/>
      <c r="DG31977" s="256"/>
    </row>
    <row r="31978" spans="104:111">
      <c r="CZ31978" s="256"/>
      <c r="DG31978" s="256"/>
    </row>
    <row r="31979" spans="104:111">
      <c r="CZ31979" s="256"/>
      <c r="DG31979" s="256"/>
    </row>
    <row r="31980" spans="104:111">
      <c r="CZ31980" s="256"/>
      <c r="DG31980" s="256"/>
    </row>
    <row r="31981" spans="104:111">
      <c r="CZ31981" s="256"/>
      <c r="DG31981" s="256"/>
    </row>
    <row r="31982" spans="104:111">
      <c r="CZ31982" s="256"/>
      <c r="DG31982" s="256"/>
    </row>
    <row r="31983" spans="104:111">
      <c r="CZ31983" s="256"/>
      <c r="DG31983" s="256"/>
    </row>
    <row r="31984" spans="104:111">
      <c r="CZ31984" s="256"/>
      <c r="DG31984" s="256"/>
    </row>
    <row r="31985" spans="104:111">
      <c r="CZ31985" s="256"/>
      <c r="DG31985" s="256"/>
    </row>
    <row r="31986" spans="104:111">
      <c r="CZ31986" s="256"/>
      <c r="DG31986" s="256"/>
    </row>
    <row r="31987" spans="104:111">
      <c r="CZ31987" s="256"/>
      <c r="DG31987" s="256"/>
    </row>
    <row r="31988" spans="104:111">
      <c r="CZ31988" s="256"/>
      <c r="DG31988" s="256"/>
    </row>
    <row r="31989" spans="104:111">
      <c r="CZ31989" s="256"/>
      <c r="DG31989" s="256"/>
    </row>
    <row r="31990" spans="104:111">
      <c r="CZ31990" s="256"/>
      <c r="DG31990" s="256"/>
    </row>
    <row r="31991" spans="104:111">
      <c r="CZ31991" s="256"/>
      <c r="DG31991" s="256"/>
    </row>
    <row r="31992" spans="104:111">
      <c r="CZ31992" s="256"/>
      <c r="DG31992" s="256"/>
    </row>
    <row r="31993" spans="104:111">
      <c r="CZ31993" s="256"/>
      <c r="DG31993" s="256"/>
    </row>
    <row r="31994" spans="104:111">
      <c r="CZ31994" s="256"/>
      <c r="DG31994" s="256"/>
    </row>
    <row r="31995" spans="104:111">
      <c r="CZ31995" s="256"/>
      <c r="DG31995" s="256"/>
    </row>
    <row r="31996" spans="104:111">
      <c r="CZ31996" s="256"/>
      <c r="DG31996" s="256"/>
    </row>
    <row r="31997" spans="104:111">
      <c r="CZ31997" s="256"/>
      <c r="DG31997" s="256"/>
    </row>
    <row r="31998" spans="104:111">
      <c r="CZ31998" s="256"/>
      <c r="DG31998" s="256"/>
    </row>
    <row r="31999" spans="104:111">
      <c r="CZ31999" s="256"/>
      <c r="DG31999" s="256"/>
    </row>
    <row r="32000" spans="104:111">
      <c r="CZ32000" s="256"/>
      <c r="DG32000" s="256"/>
    </row>
    <row r="32001" spans="104:111">
      <c r="CZ32001" s="256"/>
      <c r="DG32001" s="256"/>
    </row>
    <row r="32002" spans="104:111">
      <c r="CZ32002" s="256"/>
      <c r="DG32002" s="256"/>
    </row>
    <row r="32003" spans="104:111">
      <c r="CZ32003" s="256"/>
      <c r="DG32003" s="256"/>
    </row>
    <row r="32004" spans="104:111">
      <c r="CZ32004" s="256"/>
      <c r="DG32004" s="256"/>
    </row>
    <row r="32005" spans="104:111">
      <c r="CZ32005" s="256"/>
      <c r="DG32005" s="256"/>
    </row>
    <row r="32006" spans="104:111">
      <c r="CZ32006" s="256"/>
      <c r="DG32006" s="256"/>
    </row>
    <row r="32007" spans="104:111">
      <c r="CZ32007" s="256"/>
      <c r="DG32007" s="256"/>
    </row>
    <row r="32008" spans="104:111">
      <c r="CZ32008" s="256"/>
      <c r="DG32008" s="256"/>
    </row>
    <row r="32009" spans="104:111">
      <c r="CZ32009" s="256"/>
      <c r="DG32009" s="256"/>
    </row>
    <row r="32010" spans="104:111">
      <c r="CZ32010" s="256"/>
      <c r="DG32010" s="256"/>
    </row>
    <row r="32011" spans="104:111">
      <c r="CZ32011" s="256"/>
      <c r="DG32011" s="256"/>
    </row>
    <row r="32012" spans="104:111">
      <c r="CZ32012" s="256"/>
      <c r="DG32012" s="256"/>
    </row>
    <row r="32013" spans="104:111">
      <c r="CZ32013" s="256"/>
      <c r="DG32013" s="256"/>
    </row>
    <row r="32014" spans="104:111">
      <c r="CZ32014" s="256"/>
      <c r="DG32014" s="256"/>
    </row>
    <row r="32015" spans="104:111">
      <c r="CZ32015" s="256"/>
      <c r="DG32015" s="256"/>
    </row>
    <row r="32016" spans="104:111">
      <c r="CZ32016" s="256"/>
      <c r="DG32016" s="256"/>
    </row>
    <row r="32017" spans="104:111">
      <c r="CZ32017" s="256"/>
      <c r="DG32017" s="256"/>
    </row>
    <row r="32018" spans="104:111">
      <c r="CZ32018" s="256"/>
      <c r="DG32018" s="256"/>
    </row>
    <row r="32019" spans="104:111">
      <c r="CZ32019" s="256"/>
      <c r="DG32019" s="256"/>
    </row>
    <row r="32020" spans="104:111">
      <c r="CZ32020" s="256"/>
      <c r="DG32020" s="256"/>
    </row>
    <row r="32021" spans="104:111">
      <c r="CZ32021" s="256"/>
      <c r="DG32021" s="256"/>
    </row>
    <row r="32022" spans="104:111">
      <c r="CZ32022" s="256"/>
      <c r="DG32022" s="256"/>
    </row>
    <row r="32023" spans="104:111">
      <c r="CZ32023" s="256"/>
      <c r="DG32023" s="256"/>
    </row>
    <row r="32024" spans="104:111">
      <c r="CZ32024" s="256"/>
      <c r="DG32024" s="256"/>
    </row>
    <row r="32025" spans="104:111">
      <c r="CZ32025" s="256"/>
      <c r="DG32025" s="256"/>
    </row>
    <row r="32026" spans="104:111">
      <c r="CZ32026" s="256"/>
      <c r="DG32026" s="256"/>
    </row>
    <row r="32027" spans="104:111">
      <c r="CZ32027" s="256"/>
      <c r="DG32027" s="256"/>
    </row>
    <row r="32028" spans="104:111">
      <c r="CZ32028" s="256"/>
      <c r="DG32028" s="256"/>
    </row>
    <row r="32029" spans="104:111">
      <c r="CZ32029" s="256"/>
      <c r="DG32029" s="256"/>
    </row>
    <row r="32030" spans="104:111">
      <c r="CZ32030" s="256"/>
      <c r="DG32030" s="256"/>
    </row>
    <row r="32031" spans="104:111">
      <c r="CZ32031" s="256"/>
      <c r="DG32031" s="256"/>
    </row>
    <row r="32032" spans="104:111">
      <c r="CZ32032" s="256"/>
      <c r="DG32032" s="256"/>
    </row>
    <row r="32033" spans="104:111">
      <c r="CZ32033" s="256"/>
      <c r="DG32033" s="256"/>
    </row>
    <row r="32034" spans="104:111">
      <c r="CZ32034" s="256"/>
      <c r="DG32034" s="256"/>
    </row>
    <row r="32035" spans="104:111">
      <c r="CZ32035" s="256"/>
      <c r="DG32035" s="256"/>
    </row>
    <row r="32036" spans="104:111">
      <c r="CZ32036" s="256"/>
      <c r="DG32036" s="256"/>
    </row>
    <row r="32037" spans="104:111">
      <c r="CZ32037" s="256"/>
      <c r="DG32037" s="256"/>
    </row>
    <row r="32038" spans="104:111">
      <c r="CZ32038" s="256"/>
      <c r="DG32038" s="256"/>
    </row>
    <row r="32039" spans="104:111">
      <c r="CZ32039" s="256"/>
      <c r="DG32039" s="256"/>
    </row>
    <row r="32040" spans="104:111">
      <c r="CZ32040" s="256"/>
      <c r="DG32040" s="256"/>
    </row>
    <row r="32041" spans="104:111">
      <c r="CZ32041" s="256"/>
      <c r="DG32041" s="256"/>
    </row>
    <row r="32042" spans="104:111">
      <c r="CZ32042" s="256"/>
      <c r="DG32042" s="256"/>
    </row>
    <row r="32043" spans="104:111">
      <c r="CZ32043" s="256"/>
      <c r="DG32043" s="256"/>
    </row>
    <row r="32044" spans="104:111">
      <c r="CZ32044" s="256"/>
      <c r="DG32044" s="256"/>
    </row>
    <row r="32045" spans="104:111">
      <c r="CZ32045" s="256"/>
      <c r="DG32045" s="256"/>
    </row>
    <row r="32046" spans="104:111">
      <c r="CZ32046" s="256"/>
      <c r="DG32046" s="256"/>
    </row>
    <row r="32047" spans="104:111">
      <c r="CZ32047" s="256"/>
      <c r="DG32047" s="256"/>
    </row>
    <row r="32048" spans="104:111">
      <c r="CZ32048" s="256"/>
      <c r="DG32048" s="256"/>
    </row>
    <row r="32049" spans="104:111">
      <c r="CZ32049" s="256"/>
      <c r="DG32049" s="256"/>
    </row>
    <row r="32050" spans="104:111">
      <c r="CZ32050" s="256"/>
      <c r="DG32050" s="256"/>
    </row>
    <row r="32051" spans="104:111">
      <c r="CZ32051" s="256"/>
      <c r="DG32051" s="256"/>
    </row>
    <row r="32052" spans="104:111">
      <c r="CZ32052" s="256"/>
      <c r="DG32052" s="256"/>
    </row>
    <row r="32053" spans="104:111">
      <c r="CZ32053" s="256"/>
      <c r="DG32053" s="256"/>
    </row>
    <row r="32054" spans="104:111">
      <c r="CZ32054" s="256"/>
      <c r="DG32054" s="256"/>
    </row>
    <row r="32055" spans="104:111">
      <c r="CZ32055" s="256"/>
      <c r="DG32055" s="256"/>
    </row>
    <row r="32056" spans="104:111">
      <c r="CZ32056" s="256"/>
      <c r="DG32056" s="256"/>
    </row>
    <row r="32057" spans="104:111">
      <c r="CZ32057" s="256"/>
      <c r="DG32057" s="256"/>
    </row>
    <row r="32058" spans="104:111">
      <c r="CZ32058" s="256"/>
      <c r="DG32058" s="256"/>
    </row>
    <row r="32059" spans="104:111">
      <c r="CZ32059" s="256"/>
      <c r="DG32059" s="256"/>
    </row>
    <row r="32060" spans="104:111">
      <c r="CZ32060" s="256"/>
      <c r="DG32060" s="256"/>
    </row>
    <row r="32061" spans="104:111">
      <c r="CZ32061" s="256"/>
      <c r="DG32061" s="256"/>
    </row>
    <row r="32062" spans="104:111">
      <c r="CZ32062" s="256"/>
      <c r="DG32062" s="256"/>
    </row>
    <row r="32063" spans="104:111">
      <c r="CZ32063" s="256"/>
      <c r="DG32063" s="256"/>
    </row>
    <row r="32064" spans="104:111">
      <c r="CZ32064" s="256"/>
      <c r="DG32064" s="256"/>
    </row>
    <row r="32065" spans="104:111">
      <c r="CZ32065" s="256"/>
      <c r="DG32065" s="256"/>
    </row>
    <row r="32066" spans="104:111">
      <c r="CZ32066" s="256"/>
      <c r="DG32066" s="256"/>
    </row>
    <row r="32067" spans="104:111">
      <c r="CZ32067" s="256"/>
      <c r="DG32067" s="256"/>
    </row>
    <row r="32068" spans="104:111">
      <c r="CZ32068" s="256"/>
      <c r="DG32068" s="256"/>
    </row>
    <row r="32069" spans="104:111">
      <c r="CZ32069" s="256"/>
      <c r="DG32069" s="256"/>
    </row>
    <row r="32070" spans="104:111">
      <c r="CZ32070" s="256"/>
      <c r="DG32070" s="256"/>
    </row>
    <row r="32071" spans="104:111">
      <c r="CZ32071" s="256"/>
      <c r="DG32071" s="256"/>
    </row>
    <row r="32072" spans="104:111">
      <c r="CZ32072" s="256"/>
      <c r="DG32072" s="256"/>
    </row>
    <row r="32073" spans="104:111">
      <c r="CZ32073" s="256"/>
      <c r="DG32073" s="256"/>
    </row>
    <row r="32074" spans="104:111">
      <c r="CZ32074" s="256"/>
      <c r="DG32074" s="256"/>
    </row>
    <row r="32075" spans="104:111">
      <c r="CZ32075" s="256"/>
      <c r="DG32075" s="256"/>
    </row>
    <row r="32076" spans="104:111">
      <c r="CZ32076" s="256"/>
      <c r="DG32076" s="256"/>
    </row>
    <row r="32077" spans="104:111">
      <c r="CZ32077" s="256"/>
      <c r="DG32077" s="256"/>
    </row>
    <row r="32078" spans="104:111">
      <c r="CZ32078" s="256"/>
      <c r="DG32078" s="256"/>
    </row>
    <row r="32079" spans="104:111">
      <c r="CZ32079" s="256"/>
      <c r="DG32079" s="256"/>
    </row>
    <row r="32080" spans="104:111">
      <c r="CZ32080" s="256"/>
      <c r="DG32080" s="256"/>
    </row>
    <row r="32081" spans="104:111">
      <c r="CZ32081" s="256"/>
      <c r="DG32081" s="256"/>
    </row>
    <row r="32082" spans="104:111">
      <c r="CZ32082" s="256"/>
      <c r="DG32082" s="256"/>
    </row>
    <row r="32083" spans="104:111">
      <c r="CZ32083" s="256"/>
      <c r="DG32083" s="256"/>
    </row>
    <row r="32084" spans="104:111">
      <c r="CZ32084" s="256"/>
      <c r="DG32084" s="256"/>
    </row>
    <row r="32085" spans="104:111">
      <c r="CZ32085" s="256"/>
      <c r="DG32085" s="256"/>
    </row>
    <row r="32086" spans="104:111">
      <c r="CZ32086" s="256"/>
      <c r="DG32086" s="256"/>
    </row>
    <row r="32087" spans="104:111">
      <c r="CZ32087" s="256"/>
      <c r="DG32087" s="256"/>
    </row>
    <row r="32088" spans="104:111">
      <c r="CZ32088" s="256"/>
      <c r="DG32088" s="256"/>
    </row>
    <row r="32089" spans="104:111">
      <c r="CZ32089" s="256"/>
      <c r="DG32089" s="256"/>
    </row>
    <row r="32090" spans="104:111">
      <c r="CZ32090" s="256"/>
      <c r="DG32090" s="256"/>
    </row>
    <row r="32091" spans="104:111">
      <c r="CZ32091" s="256"/>
      <c r="DG32091" s="256"/>
    </row>
    <row r="32092" spans="104:111">
      <c r="CZ32092" s="256"/>
      <c r="DG32092" s="256"/>
    </row>
    <row r="32093" spans="104:111">
      <c r="CZ32093" s="256"/>
      <c r="DG32093" s="256"/>
    </row>
    <row r="32094" spans="104:111">
      <c r="CZ32094" s="256"/>
      <c r="DG32094" s="256"/>
    </row>
    <row r="32095" spans="104:111">
      <c r="CZ32095" s="256"/>
      <c r="DG32095" s="256"/>
    </row>
    <row r="32096" spans="104:111">
      <c r="CZ32096" s="256"/>
      <c r="DG32096" s="256"/>
    </row>
    <row r="32097" spans="104:111">
      <c r="CZ32097" s="256"/>
      <c r="DG32097" s="256"/>
    </row>
    <row r="32098" spans="104:111">
      <c r="CZ32098" s="256"/>
      <c r="DG32098" s="256"/>
    </row>
    <row r="32099" spans="104:111">
      <c r="CZ32099" s="256"/>
      <c r="DG32099" s="256"/>
    </row>
    <row r="32100" spans="104:111">
      <c r="CZ32100" s="256"/>
      <c r="DG32100" s="256"/>
    </row>
    <row r="32101" spans="104:111">
      <c r="CZ32101" s="256"/>
      <c r="DG32101" s="256"/>
    </row>
    <row r="32102" spans="104:111">
      <c r="CZ32102" s="256"/>
      <c r="DG32102" s="256"/>
    </row>
    <row r="32103" spans="104:111">
      <c r="CZ32103" s="256"/>
      <c r="DG32103" s="256"/>
    </row>
    <row r="32104" spans="104:111">
      <c r="CZ32104" s="256"/>
      <c r="DG32104" s="256"/>
    </row>
    <row r="32105" spans="104:111">
      <c r="CZ32105" s="256"/>
      <c r="DG32105" s="256"/>
    </row>
    <row r="32106" spans="104:111">
      <c r="CZ32106" s="256"/>
      <c r="DG32106" s="256"/>
    </row>
    <row r="32107" spans="104:111">
      <c r="CZ32107" s="256"/>
      <c r="DG32107" s="256"/>
    </row>
    <row r="32108" spans="104:111">
      <c r="CZ32108" s="256"/>
      <c r="DG32108" s="256"/>
    </row>
    <row r="32109" spans="104:111">
      <c r="CZ32109" s="256"/>
      <c r="DG32109" s="256"/>
    </row>
    <row r="32110" spans="104:111">
      <c r="CZ32110" s="256"/>
      <c r="DG32110" s="256"/>
    </row>
    <row r="32111" spans="104:111">
      <c r="CZ32111" s="256"/>
      <c r="DG32111" s="256"/>
    </row>
    <row r="32112" spans="104:111">
      <c r="CZ32112" s="256"/>
      <c r="DG32112" s="256"/>
    </row>
    <row r="32113" spans="104:111">
      <c r="CZ32113" s="256"/>
      <c r="DG32113" s="256"/>
    </row>
    <row r="32114" spans="104:111">
      <c r="CZ32114" s="256"/>
      <c r="DG32114" s="256"/>
    </row>
    <row r="32115" spans="104:111">
      <c r="CZ32115" s="256"/>
      <c r="DG32115" s="256"/>
    </row>
    <row r="32116" spans="104:111">
      <c r="CZ32116" s="256"/>
      <c r="DG32116" s="256"/>
    </row>
    <row r="32117" spans="104:111">
      <c r="CZ32117" s="256"/>
      <c r="DG32117" s="256"/>
    </row>
    <row r="32118" spans="104:111">
      <c r="CZ32118" s="256"/>
      <c r="DG32118" s="256"/>
    </row>
    <row r="32119" spans="104:111">
      <c r="CZ32119" s="256"/>
      <c r="DG32119" s="256"/>
    </row>
    <row r="32120" spans="104:111">
      <c r="CZ32120" s="256"/>
      <c r="DG32120" s="256"/>
    </row>
    <row r="32121" spans="104:111">
      <c r="CZ32121" s="256"/>
      <c r="DG32121" s="256"/>
    </row>
    <row r="32122" spans="104:111">
      <c r="CZ32122" s="256"/>
      <c r="DG32122" s="256"/>
    </row>
    <row r="32123" spans="104:111">
      <c r="CZ32123" s="256"/>
      <c r="DG32123" s="256"/>
    </row>
    <row r="32124" spans="104:111">
      <c r="CZ32124" s="256"/>
      <c r="DG32124" s="256"/>
    </row>
    <row r="32125" spans="104:111">
      <c r="CZ32125" s="256"/>
      <c r="DG32125" s="256"/>
    </row>
    <row r="32126" spans="104:111">
      <c r="CZ32126" s="256"/>
      <c r="DG32126" s="256"/>
    </row>
    <row r="32127" spans="104:111">
      <c r="CZ32127" s="256"/>
      <c r="DG32127" s="256"/>
    </row>
    <row r="32128" spans="104:111">
      <c r="CZ32128" s="256"/>
      <c r="DG32128" s="256"/>
    </row>
    <row r="32129" spans="104:111">
      <c r="CZ32129" s="256"/>
      <c r="DG32129" s="256"/>
    </row>
    <row r="32130" spans="104:111">
      <c r="CZ32130" s="256"/>
      <c r="DG32130" s="256"/>
    </row>
    <row r="32131" spans="104:111">
      <c r="CZ32131" s="256"/>
      <c r="DG32131" s="256"/>
    </row>
    <row r="32132" spans="104:111">
      <c r="CZ32132" s="256"/>
      <c r="DG32132" s="256"/>
    </row>
    <row r="32133" spans="104:111">
      <c r="CZ32133" s="256"/>
      <c r="DG32133" s="256"/>
    </row>
    <row r="32134" spans="104:111">
      <c r="CZ32134" s="256"/>
      <c r="DG32134" s="256"/>
    </row>
    <row r="32135" spans="104:111">
      <c r="CZ32135" s="256"/>
      <c r="DG32135" s="256"/>
    </row>
    <row r="32136" spans="104:111">
      <c r="CZ32136" s="256"/>
      <c r="DG32136" s="256"/>
    </row>
    <row r="32137" spans="104:111">
      <c r="CZ32137" s="256"/>
      <c r="DG32137" s="256"/>
    </row>
    <row r="32138" spans="104:111">
      <c r="CZ32138" s="256"/>
      <c r="DG32138" s="256"/>
    </row>
    <row r="32139" spans="104:111">
      <c r="CZ32139" s="256"/>
      <c r="DG32139" s="256"/>
    </row>
    <row r="32140" spans="104:111">
      <c r="CZ32140" s="256"/>
      <c r="DG32140" s="256"/>
    </row>
    <row r="32141" spans="104:111">
      <c r="CZ32141" s="256"/>
      <c r="DG32141" s="256"/>
    </row>
    <row r="32142" spans="104:111">
      <c r="CZ32142" s="256"/>
      <c r="DG32142" s="256"/>
    </row>
    <row r="32143" spans="104:111">
      <c r="CZ32143" s="256"/>
      <c r="DG32143" s="256"/>
    </row>
    <row r="32144" spans="104:111">
      <c r="CZ32144" s="256"/>
      <c r="DG32144" s="256"/>
    </row>
    <row r="32145" spans="104:111">
      <c r="CZ32145" s="256"/>
      <c r="DG32145" s="256"/>
    </row>
    <row r="32146" spans="104:111">
      <c r="CZ32146" s="256"/>
      <c r="DG32146" s="256"/>
    </row>
    <row r="32147" spans="104:111">
      <c r="CZ32147" s="256"/>
      <c r="DG32147" s="256"/>
    </row>
    <row r="32148" spans="104:111">
      <c r="CZ32148" s="256"/>
      <c r="DG32148" s="256"/>
    </row>
    <row r="32149" spans="104:111">
      <c r="CZ32149" s="256"/>
      <c r="DG32149" s="256"/>
    </row>
    <row r="32150" spans="104:111">
      <c r="CZ32150" s="256"/>
      <c r="DG32150" s="256"/>
    </row>
    <row r="32151" spans="104:111">
      <c r="CZ32151" s="256"/>
      <c r="DG32151" s="256"/>
    </row>
    <row r="32152" spans="104:111">
      <c r="CZ32152" s="256"/>
      <c r="DG32152" s="256"/>
    </row>
    <row r="32153" spans="104:111">
      <c r="CZ32153" s="256"/>
      <c r="DG32153" s="256"/>
    </row>
    <row r="32154" spans="104:111">
      <c r="CZ32154" s="256"/>
      <c r="DG32154" s="256"/>
    </row>
    <row r="32155" spans="104:111">
      <c r="CZ32155" s="256"/>
      <c r="DG32155" s="256"/>
    </row>
    <row r="32156" spans="104:111">
      <c r="CZ32156" s="256"/>
      <c r="DG32156" s="256"/>
    </row>
    <row r="32157" spans="104:111">
      <c r="CZ32157" s="256"/>
      <c r="DG32157" s="256"/>
    </row>
    <row r="32158" spans="104:111">
      <c r="CZ32158" s="256"/>
      <c r="DG32158" s="256"/>
    </row>
    <row r="32159" spans="104:111">
      <c r="CZ32159" s="256"/>
      <c r="DG32159" s="256"/>
    </row>
    <row r="32160" spans="104:111">
      <c r="CZ32160" s="256"/>
      <c r="DG32160" s="256"/>
    </row>
    <row r="32161" spans="104:111">
      <c r="CZ32161" s="256"/>
      <c r="DG32161" s="256"/>
    </row>
    <row r="32162" spans="104:111">
      <c r="CZ32162" s="256"/>
      <c r="DG32162" s="256"/>
    </row>
    <row r="32163" spans="104:111">
      <c r="CZ32163" s="256"/>
      <c r="DG32163" s="256"/>
    </row>
    <row r="32164" spans="104:111">
      <c r="CZ32164" s="256"/>
      <c r="DG32164" s="256"/>
    </row>
    <row r="32165" spans="104:111">
      <c r="CZ32165" s="256"/>
      <c r="DG32165" s="256"/>
    </row>
    <row r="32166" spans="104:111">
      <c r="CZ32166" s="256"/>
      <c r="DG32166" s="256"/>
    </row>
    <row r="32167" spans="104:111">
      <c r="CZ32167" s="256"/>
      <c r="DG32167" s="256"/>
    </row>
    <row r="32168" spans="104:111">
      <c r="CZ32168" s="256"/>
      <c r="DG32168" s="256"/>
    </row>
    <row r="32169" spans="104:111">
      <c r="CZ32169" s="256"/>
      <c r="DG32169" s="256"/>
    </row>
    <row r="32170" spans="104:111">
      <c r="CZ32170" s="256"/>
      <c r="DG32170" s="256"/>
    </row>
    <row r="32171" spans="104:111">
      <c r="CZ32171" s="256"/>
      <c r="DG32171" s="256"/>
    </row>
    <row r="32172" spans="104:111">
      <c r="CZ32172" s="256"/>
      <c r="DG32172" s="256"/>
    </row>
    <row r="32173" spans="104:111">
      <c r="CZ32173" s="256"/>
      <c r="DG32173" s="256"/>
    </row>
    <row r="32174" spans="104:111">
      <c r="CZ32174" s="256"/>
      <c r="DG32174" s="256"/>
    </row>
    <row r="32175" spans="104:111">
      <c r="CZ32175" s="256"/>
      <c r="DG32175" s="256"/>
    </row>
    <row r="32176" spans="104:111">
      <c r="CZ32176" s="256"/>
      <c r="DG32176" s="256"/>
    </row>
    <row r="32177" spans="104:111">
      <c r="CZ32177" s="256"/>
      <c r="DG32177" s="256"/>
    </row>
    <row r="32178" spans="104:111">
      <c r="CZ32178" s="256"/>
      <c r="DG32178" s="256"/>
    </row>
    <row r="32179" spans="104:111">
      <c r="CZ32179" s="256"/>
      <c r="DG32179" s="256"/>
    </row>
    <row r="32180" spans="104:111">
      <c r="CZ32180" s="256"/>
      <c r="DG32180" s="256"/>
    </row>
    <row r="32181" spans="104:111">
      <c r="CZ32181" s="256"/>
      <c r="DG32181" s="256"/>
    </row>
    <row r="32182" spans="104:111">
      <c r="CZ32182" s="256"/>
      <c r="DG32182" s="256"/>
    </row>
    <row r="32183" spans="104:111">
      <c r="CZ32183" s="256"/>
      <c r="DG32183" s="256"/>
    </row>
    <row r="32184" spans="104:111">
      <c r="CZ32184" s="256"/>
      <c r="DG32184" s="256"/>
    </row>
    <row r="32185" spans="104:111">
      <c r="CZ32185" s="256"/>
      <c r="DG32185" s="256"/>
    </row>
    <row r="32186" spans="104:111">
      <c r="CZ32186" s="256"/>
      <c r="DG32186" s="256"/>
    </row>
    <row r="32187" spans="104:111">
      <c r="CZ32187" s="256"/>
      <c r="DG32187" s="256"/>
    </row>
    <row r="32188" spans="104:111">
      <c r="CZ32188" s="256"/>
      <c r="DG32188" s="256"/>
    </row>
    <row r="32189" spans="104:111">
      <c r="CZ32189" s="256"/>
      <c r="DG32189" s="256"/>
    </row>
    <row r="32190" spans="104:111">
      <c r="CZ32190" s="256"/>
      <c r="DG32190" s="256"/>
    </row>
    <row r="32191" spans="104:111">
      <c r="CZ32191" s="256"/>
      <c r="DG32191" s="256"/>
    </row>
    <row r="32192" spans="104:111">
      <c r="CZ32192" s="256"/>
      <c r="DG32192" s="256"/>
    </row>
    <row r="32193" spans="104:111">
      <c r="CZ32193" s="256"/>
      <c r="DG32193" s="256"/>
    </row>
    <row r="32194" spans="104:111">
      <c r="CZ32194" s="256"/>
      <c r="DG32194" s="256"/>
    </row>
    <row r="32195" spans="104:111">
      <c r="CZ32195" s="256"/>
      <c r="DG32195" s="256"/>
    </row>
    <row r="32196" spans="104:111">
      <c r="CZ32196" s="256"/>
      <c r="DG32196" s="256"/>
    </row>
    <row r="32197" spans="104:111">
      <c r="CZ32197" s="256"/>
      <c r="DG32197" s="256"/>
    </row>
    <row r="32198" spans="104:111">
      <c r="CZ32198" s="256"/>
      <c r="DG32198" s="256"/>
    </row>
    <row r="32199" spans="104:111">
      <c r="CZ32199" s="256"/>
      <c r="DG32199" s="256"/>
    </row>
    <row r="32200" spans="104:111">
      <c r="CZ32200" s="256"/>
      <c r="DG32200" s="256"/>
    </row>
    <row r="32201" spans="104:111">
      <c r="CZ32201" s="256"/>
      <c r="DG32201" s="256"/>
    </row>
    <row r="32202" spans="104:111">
      <c r="CZ32202" s="256"/>
      <c r="DG32202" s="256"/>
    </row>
    <row r="32203" spans="104:111">
      <c r="CZ32203" s="256"/>
      <c r="DG32203" s="256"/>
    </row>
    <row r="32204" spans="104:111">
      <c r="CZ32204" s="256"/>
      <c r="DG32204" s="256"/>
    </row>
    <row r="32205" spans="104:111">
      <c r="CZ32205" s="256"/>
      <c r="DG32205" s="256"/>
    </row>
    <row r="32206" spans="104:111">
      <c r="CZ32206" s="256"/>
      <c r="DG32206" s="256"/>
    </row>
    <row r="32207" spans="104:111">
      <c r="CZ32207" s="256"/>
      <c r="DG32207" s="256"/>
    </row>
    <row r="32208" spans="104:111">
      <c r="CZ32208" s="256"/>
      <c r="DG32208" s="256"/>
    </row>
    <row r="32209" spans="104:111">
      <c r="CZ32209" s="256"/>
      <c r="DG32209" s="256"/>
    </row>
    <row r="32210" spans="104:111">
      <c r="CZ32210" s="256"/>
      <c r="DG32210" s="256"/>
    </row>
    <row r="32211" spans="104:111">
      <c r="CZ32211" s="256"/>
      <c r="DG32211" s="256"/>
    </row>
    <row r="32212" spans="104:111">
      <c r="CZ32212" s="256"/>
      <c r="DG32212" s="256"/>
    </row>
    <row r="32213" spans="104:111">
      <c r="CZ32213" s="256"/>
      <c r="DG32213" s="256"/>
    </row>
    <row r="32214" spans="104:111">
      <c r="CZ32214" s="256"/>
      <c r="DG32214" s="256"/>
    </row>
    <row r="32215" spans="104:111">
      <c r="CZ32215" s="256"/>
      <c r="DG32215" s="256"/>
    </row>
    <row r="32216" spans="104:111">
      <c r="CZ32216" s="256"/>
      <c r="DG32216" s="256"/>
    </row>
    <row r="32217" spans="104:111">
      <c r="CZ32217" s="256"/>
      <c r="DG32217" s="256"/>
    </row>
    <row r="32218" spans="104:111">
      <c r="CZ32218" s="256"/>
      <c r="DG32218" s="256"/>
    </row>
    <row r="32219" spans="104:111">
      <c r="CZ32219" s="256"/>
      <c r="DG32219" s="256"/>
    </row>
    <row r="32220" spans="104:111">
      <c r="CZ32220" s="256"/>
      <c r="DG32220" s="256"/>
    </row>
    <row r="32221" spans="104:111">
      <c r="CZ32221" s="256"/>
      <c r="DG32221" s="256"/>
    </row>
    <row r="32222" spans="104:111">
      <c r="CZ32222" s="256"/>
      <c r="DG32222" s="256"/>
    </row>
    <row r="32223" spans="104:111">
      <c r="CZ32223" s="256"/>
      <c r="DG32223" s="256"/>
    </row>
    <row r="32224" spans="104:111">
      <c r="CZ32224" s="256"/>
      <c r="DG32224" s="256"/>
    </row>
    <row r="32225" spans="104:111">
      <c r="CZ32225" s="256"/>
      <c r="DG32225" s="256"/>
    </row>
    <row r="32226" spans="104:111">
      <c r="CZ32226" s="256"/>
      <c r="DG32226" s="256"/>
    </row>
    <row r="32227" spans="104:111">
      <c r="CZ32227" s="256"/>
      <c r="DG32227" s="256"/>
    </row>
    <row r="32228" spans="104:111">
      <c r="CZ32228" s="256"/>
      <c r="DG32228" s="256"/>
    </row>
    <row r="32229" spans="104:111">
      <c r="CZ32229" s="256"/>
      <c r="DG32229" s="256"/>
    </row>
    <row r="32230" spans="104:111">
      <c r="CZ32230" s="256"/>
      <c r="DG32230" s="256"/>
    </row>
    <row r="32231" spans="104:111">
      <c r="CZ32231" s="256"/>
      <c r="DG32231" s="256"/>
    </row>
    <row r="32232" spans="104:111">
      <c r="CZ32232" s="256"/>
      <c r="DG32232" s="256"/>
    </row>
    <row r="32233" spans="104:111">
      <c r="CZ32233" s="256"/>
      <c r="DG32233" s="256"/>
    </row>
    <row r="32234" spans="104:111">
      <c r="CZ32234" s="256"/>
      <c r="DG32234" s="256"/>
    </row>
    <row r="32235" spans="104:111">
      <c r="CZ32235" s="256"/>
      <c r="DG32235" s="256"/>
    </row>
    <row r="32236" spans="104:111">
      <c r="CZ32236" s="256"/>
      <c r="DG32236" s="256"/>
    </row>
    <row r="32237" spans="104:111">
      <c r="CZ32237" s="256"/>
      <c r="DG32237" s="256"/>
    </row>
    <row r="32238" spans="104:111">
      <c r="CZ32238" s="256"/>
      <c r="DG32238" s="256"/>
    </row>
    <row r="32239" spans="104:111">
      <c r="CZ32239" s="256"/>
      <c r="DG32239" s="256"/>
    </row>
    <row r="32240" spans="104:111">
      <c r="CZ32240" s="256"/>
      <c r="DG32240" s="256"/>
    </row>
    <row r="32241" spans="104:111">
      <c r="CZ32241" s="256"/>
      <c r="DG32241" s="256"/>
    </row>
    <row r="32242" spans="104:111">
      <c r="CZ32242" s="256"/>
      <c r="DG32242" s="256"/>
    </row>
    <row r="32243" spans="104:111">
      <c r="CZ32243" s="256"/>
      <c r="DG32243" s="256"/>
    </row>
    <row r="32244" spans="104:111">
      <c r="CZ32244" s="256"/>
      <c r="DG32244" s="256"/>
    </row>
    <row r="32245" spans="104:111">
      <c r="CZ32245" s="256"/>
      <c r="DG32245" s="256"/>
    </row>
    <row r="32246" spans="104:111">
      <c r="CZ32246" s="256"/>
      <c r="DG32246" s="256"/>
    </row>
    <row r="32247" spans="104:111">
      <c r="CZ32247" s="256"/>
      <c r="DG32247" s="256"/>
    </row>
    <row r="32248" spans="104:111">
      <c r="CZ32248" s="256"/>
      <c r="DG32248" s="256"/>
    </row>
    <row r="32249" spans="104:111">
      <c r="CZ32249" s="256"/>
      <c r="DG32249" s="256"/>
    </row>
    <row r="32250" spans="104:111">
      <c r="CZ32250" s="256"/>
      <c r="DG32250" s="256"/>
    </row>
    <row r="32251" spans="104:111">
      <c r="CZ32251" s="256"/>
      <c r="DG32251" s="256"/>
    </row>
    <row r="32252" spans="104:111">
      <c r="CZ32252" s="256"/>
      <c r="DG32252" s="256"/>
    </row>
    <row r="32253" spans="104:111">
      <c r="CZ32253" s="256"/>
      <c r="DG32253" s="256"/>
    </row>
    <row r="32254" spans="104:111">
      <c r="CZ32254" s="256"/>
      <c r="DG32254" s="256"/>
    </row>
    <row r="32255" spans="104:111">
      <c r="CZ32255" s="256"/>
      <c r="DG32255" s="256"/>
    </row>
    <row r="32256" spans="104:111">
      <c r="CZ32256" s="256"/>
      <c r="DG32256" s="256"/>
    </row>
    <row r="32257" spans="104:111">
      <c r="CZ32257" s="256"/>
      <c r="DG32257" s="256"/>
    </row>
    <row r="32258" spans="104:111">
      <c r="CZ32258" s="256"/>
      <c r="DG32258" s="256"/>
    </row>
    <row r="32259" spans="104:111">
      <c r="CZ32259" s="256"/>
      <c r="DG32259" s="256"/>
    </row>
    <row r="32260" spans="104:111">
      <c r="CZ32260" s="256"/>
      <c r="DG32260" s="256"/>
    </row>
    <row r="32261" spans="104:111">
      <c r="CZ32261" s="256"/>
      <c r="DG32261" s="256"/>
    </row>
    <row r="32262" spans="104:111">
      <c r="CZ32262" s="256"/>
      <c r="DG32262" s="256"/>
    </row>
    <row r="32263" spans="104:111">
      <c r="CZ32263" s="256"/>
      <c r="DG32263" s="256"/>
    </row>
    <row r="32264" spans="104:111">
      <c r="CZ32264" s="256"/>
      <c r="DG32264" s="256"/>
    </row>
    <row r="32265" spans="104:111">
      <c r="CZ32265" s="256"/>
      <c r="DG32265" s="256"/>
    </row>
    <row r="32266" spans="104:111">
      <c r="CZ32266" s="256"/>
      <c r="DG32266" s="256"/>
    </row>
    <row r="32267" spans="104:111">
      <c r="CZ32267" s="256"/>
      <c r="DG32267" s="256"/>
    </row>
    <row r="32268" spans="104:111">
      <c r="CZ32268" s="256"/>
      <c r="DG32268" s="256"/>
    </row>
    <row r="32269" spans="104:111">
      <c r="CZ32269" s="256"/>
      <c r="DG32269" s="256"/>
    </row>
    <row r="32270" spans="104:111">
      <c r="CZ32270" s="256"/>
      <c r="DG32270" s="256"/>
    </row>
    <row r="32271" spans="104:111">
      <c r="CZ32271" s="256"/>
      <c r="DG32271" s="256"/>
    </row>
    <row r="32272" spans="104:111">
      <c r="CZ32272" s="256"/>
      <c r="DG32272" s="256"/>
    </row>
    <row r="32273" spans="104:111">
      <c r="CZ32273" s="256"/>
      <c r="DG32273" s="256"/>
    </row>
    <row r="32274" spans="104:111">
      <c r="CZ32274" s="256"/>
      <c r="DG32274" s="256"/>
    </row>
    <row r="32275" spans="104:111">
      <c r="CZ32275" s="256"/>
      <c r="DG32275" s="256"/>
    </row>
    <row r="32276" spans="104:111">
      <c r="CZ32276" s="256"/>
      <c r="DG32276" s="256"/>
    </row>
    <row r="32277" spans="104:111">
      <c r="CZ32277" s="256"/>
      <c r="DG32277" s="256"/>
    </row>
    <row r="32278" spans="104:111">
      <c r="CZ32278" s="256"/>
      <c r="DG32278" s="256"/>
    </row>
    <row r="32279" spans="104:111">
      <c r="CZ32279" s="256"/>
      <c r="DG32279" s="256"/>
    </row>
    <row r="32280" spans="104:111">
      <c r="CZ32280" s="256"/>
      <c r="DG32280" s="256"/>
    </row>
    <row r="32281" spans="104:111">
      <c r="CZ32281" s="256"/>
      <c r="DG32281" s="256"/>
    </row>
    <row r="32282" spans="104:111">
      <c r="CZ32282" s="256"/>
      <c r="DG32282" s="256"/>
    </row>
    <row r="32283" spans="104:111">
      <c r="CZ32283" s="256"/>
      <c r="DG32283" s="256"/>
    </row>
    <row r="32284" spans="104:111">
      <c r="CZ32284" s="256"/>
      <c r="DG32284" s="256"/>
    </row>
    <row r="32285" spans="104:111">
      <c r="CZ32285" s="256"/>
      <c r="DG32285" s="256"/>
    </row>
    <row r="32286" spans="104:111">
      <c r="CZ32286" s="256"/>
      <c r="DG32286" s="256"/>
    </row>
    <row r="32287" spans="104:111">
      <c r="CZ32287" s="256"/>
      <c r="DG32287" s="256"/>
    </row>
    <row r="32288" spans="104:111">
      <c r="CZ32288" s="256"/>
      <c r="DG32288" s="256"/>
    </row>
    <row r="32289" spans="104:111">
      <c r="CZ32289" s="256"/>
      <c r="DG32289" s="256"/>
    </row>
    <row r="32290" spans="104:111">
      <c r="CZ32290" s="256"/>
      <c r="DG32290" s="256"/>
    </row>
    <row r="32291" spans="104:111">
      <c r="CZ32291" s="256"/>
      <c r="DG32291" s="256"/>
    </row>
    <row r="32292" spans="104:111">
      <c r="CZ32292" s="256"/>
      <c r="DG32292" s="256"/>
    </row>
    <row r="32293" spans="104:111">
      <c r="CZ32293" s="256"/>
      <c r="DG32293" s="256"/>
    </row>
    <row r="32294" spans="104:111">
      <c r="CZ32294" s="256"/>
      <c r="DG32294" s="256"/>
    </row>
    <row r="32295" spans="104:111">
      <c r="CZ32295" s="256"/>
      <c r="DG32295" s="256"/>
    </row>
    <row r="32296" spans="104:111">
      <c r="CZ32296" s="256"/>
      <c r="DG32296" s="256"/>
    </row>
    <row r="32297" spans="104:111">
      <c r="CZ32297" s="256"/>
      <c r="DG32297" s="256"/>
    </row>
    <row r="32298" spans="104:111">
      <c r="CZ32298" s="256"/>
      <c r="DG32298" s="256"/>
    </row>
    <row r="32299" spans="104:111">
      <c r="CZ32299" s="256"/>
      <c r="DG32299" s="256"/>
    </row>
    <row r="32300" spans="104:111">
      <c r="CZ32300" s="256"/>
      <c r="DG32300" s="256"/>
    </row>
    <row r="32301" spans="104:111">
      <c r="CZ32301" s="256"/>
      <c r="DG32301" s="256"/>
    </row>
    <row r="32302" spans="104:111">
      <c r="CZ32302" s="256"/>
      <c r="DG32302" s="256"/>
    </row>
    <row r="32303" spans="104:111">
      <c r="CZ32303" s="256"/>
      <c r="DG32303" s="256"/>
    </row>
    <row r="32304" spans="104:111">
      <c r="CZ32304" s="256"/>
      <c r="DG32304" s="256"/>
    </row>
    <row r="32305" spans="104:111">
      <c r="CZ32305" s="256"/>
      <c r="DG32305" s="256"/>
    </row>
    <row r="32306" spans="104:111">
      <c r="CZ32306" s="256"/>
      <c r="DG32306" s="256"/>
    </row>
    <row r="32307" spans="104:111">
      <c r="CZ32307" s="256"/>
      <c r="DG32307" s="256"/>
    </row>
    <row r="32308" spans="104:111">
      <c r="CZ32308" s="256"/>
      <c r="DG32308" s="256"/>
    </row>
    <row r="32309" spans="104:111">
      <c r="CZ32309" s="256"/>
      <c r="DG32309" s="256"/>
    </row>
    <row r="32310" spans="104:111">
      <c r="CZ32310" s="256"/>
      <c r="DG32310" s="256"/>
    </row>
    <row r="32311" spans="104:111">
      <c r="CZ32311" s="256"/>
      <c r="DG32311" s="256"/>
    </row>
    <row r="32312" spans="104:111">
      <c r="CZ32312" s="256"/>
      <c r="DG32312" s="256"/>
    </row>
    <row r="32313" spans="104:111">
      <c r="CZ32313" s="256"/>
      <c r="DG32313" s="256"/>
    </row>
    <row r="32314" spans="104:111">
      <c r="CZ32314" s="256"/>
      <c r="DG32314" s="256"/>
    </row>
    <row r="32315" spans="104:111">
      <c r="CZ32315" s="256"/>
      <c r="DG32315" s="256"/>
    </row>
    <row r="32316" spans="104:111">
      <c r="CZ32316" s="256"/>
      <c r="DG32316" s="256"/>
    </row>
    <row r="32317" spans="104:111">
      <c r="CZ32317" s="256"/>
      <c r="DG32317" s="256"/>
    </row>
    <row r="32318" spans="104:111">
      <c r="CZ32318" s="256"/>
      <c r="DG32318" s="256"/>
    </row>
    <row r="32319" spans="104:111">
      <c r="CZ32319" s="256"/>
      <c r="DG32319" s="256"/>
    </row>
    <row r="32320" spans="104:111">
      <c r="CZ32320" s="256"/>
      <c r="DG32320" s="256"/>
    </row>
    <row r="32321" spans="104:111">
      <c r="CZ32321" s="256"/>
      <c r="DG32321" s="256"/>
    </row>
    <row r="32322" spans="104:111">
      <c r="CZ32322" s="256"/>
      <c r="DG32322" s="256"/>
    </row>
    <row r="32323" spans="104:111">
      <c r="CZ32323" s="256"/>
      <c r="DG32323" s="256"/>
    </row>
    <row r="32324" spans="104:111">
      <c r="CZ32324" s="256"/>
      <c r="DG32324" s="256"/>
    </row>
    <row r="32325" spans="104:111">
      <c r="CZ32325" s="256"/>
      <c r="DG32325" s="256"/>
    </row>
    <row r="32326" spans="104:111">
      <c r="CZ32326" s="256"/>
      <c r="DG32326" s="256"/>
    </row>
    <row r="32327" spans="104:111">
      <c r="CZ32327" s="256"/>
      <c r="DG32327" s="256"/>
    </row>
    <row r="32328" spans="104:111">
      <c r="CZ32328" s="256"/>
      <c r="DG32328" s="256"/>
    </row>
    <row r="32329" spans="104:111">
      <c r="CZ32329" s="256"/>
      <c r="DG32329" s="256"/>
    </row>
    <row r="32330" spans="104:111">
      <c r="CZ32330" s="256"/>
      <c r="DG32330" s="256"/>
    </row>
    <row r="32331" spans="104:111">
      <c r="CZ32331" s="256"/>
      <c r="DG32331" s="256"/>
    </row>
    <row r="32332" spans="104:111">
      <c r="CZ32332" s="256"/>
      <c r="DG32332" s="256"/>
    </row>
    <row r="32333" spans="104:111">
      <c r="CZ32333" s="256"/>
      <c r="DG32333" s="256"/>
    </row>
    <row r="32334" spans="104:111">
      <c r="CZ32334" s="256"/>
      <c r="DG32334" s="256"/>
    </row>
    <row r="32335" spans="104:111">
      <c r="CZ32335" s="256"/>
      <c r="DG32335" s="256"/>
    </row>
    <row r="32336" spans="104:111">
      <c r="CZ32336" s="256"/>
      <c r="DG32336" s="256"/>
    </row>
    <row r="32337" spans="104:111">
      <c r="CZ32337" s="256"/>
      <c r="DG32337" s="256"/>
    </row>
    <row r="32338" spans="104:111">
      <c r="CZ32338" s="256"/>
      <c r="DG32338" s="256"/>
    </row>
    <row r="32339" spans="104:111">
      <c r="CZ32339" s="256"/>
      <c r="DG32339" s="256"/>
    </row>
    <row r="32340" spans="104:111">
      <c r="CZ32340" s="256"/>
      <c r="DG32340" s="256"/>
    </row>
    <row r="32341" spans="104:111">
      <c r="CZ32341" s="256"/>
      <c r="DG32341" s="256"/>
    </row>
    <row r="32342" spans="104:111">
      <c r="CZ32342" s="256"/>
      <c r="DG32342" s="256"/>
    </row>
    <row r="32343" spans="104:111">
      <c r="CZ32343" s="256"/>
      <c r="DG32343" s="256"/>
    </row>
    <row r="32344" spans="104:111">
      <c r="CZ32344" s="256"/>
      <c r="DG32344" s="256"/>
    </row>
    <row r="32345" spans="104:111">
      <c r="CZ32345" s="256"/>
      <c r="DG32345" s="256"/>
    </row>
    <row r="32346" spans="104:111">
      <c r="CZ32346" s="256"/>
      <c r="DG32346" s="256"/>
    </row>
    <row r="32347" spans="104:111">
      <c r="CZ32347" s="256"/>
      <c r="DG32347" s="256"/>
    </row>
    <row r="32348" spans="104:111">
      <c r="CZ32348" s="256"/>
      <c r="DG32348" s="256"/>
    </row>
    <row r="32349" spans="104:111">
      <c r="CZ32349" s="256"/>
      <c r="DG32349" s="256"/>
    </row>
    <row r="32350" spans="104:111">
      <c r="CZ32350" s="256"/>
      <c r="DG32350" s="256"/>
    </row>
    <row r="32351" spans="104:111">
      <c r="CZ32351" s="256"/>
      <c r="DG32351" s="256"/>
    </row>
    <row r="32352" spans="104:111">
      <c r="CZ32352" s="256"/>
      <c r="DG32352" s="256"/>
    </row>
    <row r="32353" spans="104:111">
      <c r="CZ32353" s="256"/>
      <c r="DG32353" s="256"/>
    </row>
    <row r="32354" spans="104:111">
      <c r="CZ32354" s="256"/>
      <c r="DG32354" s="256"/>
    </row>
    <row r="32355" spans="104:111">
      <c r="CZ32355" s="256"/>
      <c r="DG32355" s="256"/>
    </row>
    <row r="32356" spans="104:111">
      <c r="CZ32356" s="256"/>
      <c r="DG32356" s="256"/>
    </row>
    <row r="32357" spans="104:111">
      <c r="CZ32357" s="256"/>
      <c r="DG32357" s="256"/>
    </row>
    <row r="32358" spans="104:111">
      <c r="CZ32358" s="256"/>
      <c r="DG32358" s="256"/>
    </row>
    <row r="32359" spans="104:111">
      <c r="CZ32359" s="256"/>
      <c r="DG32359" s="256"/>
    </row>
    <row r="32360" spans="104:111">
      <c r="CZ32360" s="256"/>
      <c r="DG32360" s="256"/>
    </row>
    <row r="32361" spans="104:111">
      <c r="CZ32361" s="256"/>
      <c r="DG32361" s="256"/>
    </row>
    <row r="32362" spans="104:111">
      <c r="CZ32362" s="256"/>
      <c r="DG32362" s="256"/>
    </row>
    <row r="32363" spans="104:111">
      <c r="CZ32363" s="256"/>
      <c r="DG32363" s="256"/>
    </row>
    <row r="32364" spans="104:111">
      <c r="CZ32364" s="256"/>
      <c r="DG32364" s="256"/>
    </row>
    <row r="32365" spans="104:111">
      <c r="CZ32365" s="256"/>
      <c r="DG32365" s="256"/>
    </row>
    <row r="32366" spans="104:111">
      <c r="CZ32366" s="256"/>
      <c r="DG32366" s="256"/>
    </row>
    <row r="32367" spans="104:111">
      <c r="CZ32367" s="256"/>
      <c r="DG32367" s="256"/>
    </row>
    <row r="32368" spans="104:111">
      <c r="CZ32368" s="256"/>
      <c r="DG32368" s="256"/>
    </row>
    <row r="32369" spans="104:111">
      <c r="CZ32369" s="256"/>
      <c r="DG32369" s="256"/>
    </row>
    <row r="32370" spans="104:111">
      <c r="CZ32370" s="256"/>
      <c r="DG32370" s="256"/>
    </row>
    <row r="32371" spans="104:111">
      <c r="CZ32371" s="256"/>
      <c r="DG32371" s="256"/>
    </row>
    <row r="32372" spans="104:111">
      <c r="CZ32372" s="256"/>
      <c r="DG32372" s="256"/>
    </row>
    <row r="32373" spans="104:111">
      <c r="CZ32373" s="256"/>
      <c r="DG32373" s="256"/>
    </row>
    <row r="32374" spans="104:111">
      <c r="CZ32374" s="256"/>
      <c r="DG32374" s="256"/>
    </row>
    <row r="32375" spans="104:111">
      <c r="CZ32375" s="256"/>
      <c r="DG32375" s="256"/>
    </row>
    <row r="32376" spans="104:111">
      <c r="CZ32376" s="256"/>
      <c r="DG32376" s="256"/>
    </row>
    <row r="32377" spans="104:111">
      <c r="CZ32377" s="256"/>
      <c r="DG32377" s="256"/>
    </row>
    <row r="32378" spans="104:111">
      <c r="CZ32378" s="256"/>
      <c r="DG32378" s="256"/>
    </row>
    <row r="32379" spans="104:111">
      <c r="CZ32379" s="256"/>
      <c r="DG32379" s="256"/>
    </row>
    <row r="32380" spans="104:111">
      <c r="CZ32380" s="256"/>
      <c r="DG32380" s="256"/>
    </row>
    <row r="32381" spans="104:111">
      <c r="CZ32381" s="256"/>
      <c r="DG32381" s="256"/>
    </row>
    <row r="32382" spans="104:111">
      <c r="CZ32382" s="256"/>
      <c r="DG32382" s="256"/>
    </row>
    <row r="32383" spans="104:111">
      <c r="CZ32383" s="256"/>
      <c r="DG32383" s="256"/>
    </row>
    <row r="32384" spans="104:111">
      <c r="CZ32384" s="256"/>
      <c r="DG32384" s="256"/>
    </row>
    <row r="32385" spans="104:111">
      <c r="CZ32385" s="256"/>
      <c r="DG32385" s="256"/>
    </row>
    <row r="32386" spans="104:111">
      <c r="CZ32386" s="256"/>
      <c r="DG32386" s="256"/>
    </row>
    <row r="32387" spans="104:111">
      <c r="CZ32387" s="256"/>
      <c r="DG32387" s="256"/>
    </row>
    <row r="32388" spans="104:111">
      <c r="CZ32388" s="256"/>
      <c r="DG32388" s="256"/>
    </row>
    <row r="32389" spans="104:111">
      <c r="CZ32389" s="256"/>
      <c r="DG32389" s="256"/>
    </row>
    <row r="32390" spans="104:111">
      <c r="CZ32390" s="256"/>
      <c r="DG32390" s="256"/>
    </row>
    <row r="32391" spans="104:111">
      <c r="CZ32391" s="256"/>
      <c r="DG32391" s="256"/>
    </row>
    <row r="32392" spans="104:111">
      <c r="CZ32392" s="256"/>
      <c r="DG32392" s="256"/>
    </row>
    <row r="32393" spans="104:111">
      <c r="CZ32393" s="256"/>
      <c r="DG32393" s="256"/>
    </row>
    <row r="32394" spans="104:111">
      <c r="CZ32394" s="256"/>
      <c r="DG32394" s="256"/>
    </row>
    <row r="32395" spans="104:111">
      <c r="CZ32395" s="256"/>
      <c r="DG32395" s="256"/>
    </row>
    <row r="32396" spans="104:111">
      <c r="CZ32396" s="256"/>
      <c r="DG32396" s="256"/>
    </row>
    <row r="32397" spans="104:111">
      <c r="CZ32397" s="256"/>
      <c r="DG32397" s="256"/>
    </row>
    <row r="32398" spans="104:111">
      <c r="CZ32398" s="256"/>
      <c r="DG32398" s="256"/>
    </row>
    <row r="32399" spans="104:111">
      <c r="CZ32399" s="256"/>
      <c r="DG32399" s="256"/>
    </row>
    <row r="32400" spans="104:111">
      <c r="CZ32400" s="256"/>
      <c r="DG32400" s="256"/>
    </row>
    <row r="32401" spans="104:111">
      <c r="CZ32401" s="256"/>
      <c r="DG32401" s="256"/>
    </row>
    <row r="32402" spans="104:111">
      <c r="CZ32402" s="256"/>
      <c r="DG32402" s="256"/>
    </row>
    <row r="32403" spans="104:111">
      <c r="CZ32403" s="256"/>
      <c r="DG32403" s="256"/>
    </row>
    <row r="32404" spans="104:111">
      <c r="CZ32404" s="256"/>
      <c r="DG32404" s="256"/>
    </row>
    <row r="32405" spans="104:111">
      <c r="CZ32405" s="256"/>
      <c r="DG32405" s="256"/>
    </row>
    <row r="32406" spans="104:111">
      <c r="CZ32406" s="256"/>
      <c r="DG32406" s="256"/>
    </row>
    <row r="32407" spans="104:111">
      <c r="CZ32407" s="256"/>
      <c r="DG32407" s="256"/>
    </row>
    <row r="32408" spans="104:111">
      <c r="CZ32408" s="256"/>
      <c r="DG32408" s="256"/>
    </row>
    <row r="32409" spans="104:111">
      <c r="CZ32409" s="256"/>
      <c r="DG32409" s="256"/>
    </row>
    <row r="32410" spans="104:111">
      <c r="CZ32410" s="256"/>
      <c r="DG32410" s="256"/>
    </row>
    <row r="32411" spans="104:111">
      <c r="CZ32411" s="256"/>
      <c r="DG32411" s="256"/>
    </row>
    <row r="32412" spans="104:111">
      <c r="CZ32412" s="256"/>
      <c r="DG32412" s="256"/>
    </row>
    <row r="32413" spans="104:111">
      <c r="CZ32413" s="256"/>
      <c r="DG32413" s="256"/>
    </row>
    <row r="32414" spans="104:111">
      <c r="CZ32414" s="256"/>
      <c r="DG32414" s="256"/>
    </row>
    <row r="32415" spans="104:111">
      <c r="CZ32415" s="256"/>
      <c r="DG32415" s="256"/>
    </row>
    <row r="32416" spans="104:111">
      <c r="CZ32416" s="256"/>
      <c r="DG32416" s="256"/>
    </row>
    <row r="32417" spans="104:111">
      <c r="CZ32417" s="256"/>
      <c r="DG32417" s="256"/>
    </row>
    <row r="32418" spans="104:111">
      <c r="CZ32418" s="256"/>
      <c r="DG32418" s="256"/>
    </row>
    <row r="32419" spans="104:111">
      <c r="CZ32419" s="256"/>
      <c r="DG32419" s="256"/>
    </row>
    <row r="32420" spans="104:111">
      <c r="CZ32420" s="256"/>
      <c r="DG32420" s="256"/>
    </row>
    <row r="32421" spans="104:111">
      <c r="CZ32421" s="256"/>
      <c r="DG32421" s="256"/>
    </row>
    <row r="32422" spans="104:111">
      <c r="CZ32422" s="256"/>
      <c r="DG32422" s="256"/>
    </row>
    <row r="32423" spans="104:111">
      <c r="CZ32423" s="256"/>
      <c r="DG32423" s="256"/>
    </row>
    <row r="32424" spans="104:111">
      <c r="CZ32424" s="256"/>
      <c r="DG32424" s="256"/>
    </row>
    <row r="32425" spans="104:111">
      <c r="CZ32425" s="256"/>
      <c r="DG32425" s="256"/>
    </row>
    <row r="32426" spans="104:111">
      <c r="CZ32426" s="256"/>
      <c r="DG32426" s="256"/>
    </row>
    <row r="32427" spans="104:111">
      <c r="CZ32427" s="256"/>
      <c r="DG32427" s="256"/>
    </row>
    <row r="32428" spans="104:111">
      <c r="CZ32428" s="256"/>
      <c r="DG32428" s="256"/>
    </row>
    <row r="32429" spans="104:111">
      <c r="CZ32429" s="256"/>
      <c r="DG32429" s="256"/>
    </row>
    <row r="32430" spans="104:111">
      <c r="CZ32430" s="256"/>
      <c r="DG32430" s="256"/>
    </row>
    <row r="32431" spans="104:111">
      <c r="CZ32431" s="256"/>
      <c r="DG32431" s="256"/>
    </row>
    <row r="32432" spans="104:111">
      <c r="CZ32432" s="256"/>
      <c r="DG32432" s="256"/>
    </row>
    <row r="32433" spans="104:111">
      <c r="CZ32433" s="256"/>
      <c r="DG32433" s="256"/>
    </row>
    <row r="32434" spans="104:111">
      <c r="CZ32434" s="256"/>
      <c r="DG32434" s="256"/>
    </row>
    <row r="32435" spans="104:111">
      <c r="CZ32435" s="256"/>
      <c r="DG32435" s="256"/>
    </row>
    <row r="32436" spans="104:111">
      <c r="CZ32436" s="256"/>
      <c r="DG32436" s="256"/>
    </row>
    <row r="32437" spans="104:111">
      <c r="CZ32437" s="256"/>
      <c r="DG32437" s="256"/>
    </row>
    <row r="32438" spans="104:111">
      <c r="CZ32438" s="256"/>
      <c r="DG32438" s="256"/>
    </row>
    <row r="32439" spans="104:111">
      <c r="CZ32439" s="256"/>
      <c r="DG32439" s="256"/>
    </row>
    <row r="32440" spans="104:111">
      <c r="CZ32440" s="256"/>
      <c r="DG32440" s="256"/>
    </row>
    <row r="32441" spans="104:111">
      <c r="CZ32441" s="256"/>
      <c r="DG32441" s="256"/>
    </row>
    <row r="32442" spans="104:111">
      <c r="CZ32442" s="256"/>
      <c r="DG32442" s="256"/>
    </row>
    <row r="32443" spans="104:111">
      <c r="CZ32443" s="256"/>
      <c r="DG32443" s="256"/>
    </row>
    <row r="32444" spans="104:111">
      <c r="CZ32444" s="256"/>
      <c r="DG32444" s="256"/>
    </row>
    <row r="32445" spans="104:111">
      <c r="CZ32445" s="256"/>
      <c r="DG32445" s="256"/>
    </row>
    <row r="32446" spans="104:111">
      <c r="CZ32446" s="256"/>
      <c r="DG32446" s="256"/>
    </row>
    <row r="32447" spans="104:111">
      <c r="CZ32447" s="256"/>
      <c r="DG32447" s="256"/>
    </row>
    <row r="32448" spans="104:111">
      <c r="CZ32448" s="256"/>
      <c r="DG32448" s="256"/>
    </row>
    <row r="32449" spans="104:111">
      <c r="CZ32449" s="256"/>
      <c r="DG32449" s="256"/>
    </row>
    <row r="32450" spans="104:111">
      <c r="CZ32450" s="256"/>
      <c r="DG32450" s="256"/>
    </row>
    <row r="32451" spans="104:111">
      <c r="CZ32451" s="256"/>
      <c r="DG32451" s="256"/>
    </row>
    <row r="32452" spans="104:111">
      <c r="CZ32452" s="256"/>
      <c r="DG32452" s="256"/>
    </row>
    <row r="32453" spans="104:111">
      <c r="CZ32453" s="256"/>
      <c r="DG32453" s="256"/>
    </row>
    <row r="32454" spans="104:111">
      <c r="CZ32454" s="256"/>
      <c r="DG32454" s="256"/>
    </row>
    <row r="32455" spans="104:111">
      <c r="CZ32455" s="256"/>
      <c r="DG32455" s="256"/>
    </row>
    <row r="32456" spans="104:111">
      <c r="CZ32456" s="256"/>
      <c r="DG32456" s="256"/>
    </row>
    <row r="32457" spans="104:111">
      <c r="CZ32457" s="256"/>
      <c r="DG32457" s="256"/>
    </row>
    <row r="32458" spans="104:111">
      <c r="CZ32458" s="256"/>
      <c r="DG32458" s="256"/>
    </row>
    <row r="32459" spans="104:111">
      <c r="CZ32459" s="256"/>
      <c r="DG32459" s="256"/>
    </row>
    <row r="32460" spans="104:111">
      <c r="CZ32460" s="256"/>
      <c r="DG32460" s="256"/>
    </row>
    <row r="32461" spans="104:111">
      <c r="CZ32461" s="256"/>
      <c r="DG32461" s="256"/>
    </row>
    <row r="32462" spans="104:111">
      <c r="CZ32462" s="256"/>
      <c r="DG32462" s="256"/>
    </row>
    <row r="32463" spans="104:111">
      <c r="CZ32463" s="256"/>
      <c r="DG32463" s="256"/>
    </row>
    <row r="32464" spans="104:111">
      <c r="CZ32464" s="256"/>
      <c r="DG32464" s="256"/>
    </row>
    <row r="32465" spans="104:111">
      <c r="CZ32465" s="256"/>
      <c r="DG32465" s="256"/>
    </row>
    <row r="32466" spans="104:111">
      <c r="CZ32466" s="256"/>
      <c r="DG32466" s="256"/>
    </row>
    <row r="32467" spans="104:111">
      <c r="CZ32467" s="256"/>
      <c r="DG32467" s="256"/>
    </row>
    <row r="32468" spans="104:111">
      <c r="CZ32468" s="256"/>
      <c r="DG32468" s="256"/>
    </row>
    <row r="32469" spans="104:111">
      <c r="CZ32469" s="256"/>
      <c r="DG32469" s="256"/>
    </row>
    <row r="32470" spans="104:111">
      <c r="CZ32470" s="256"/>
      <c r="DG32470" s="256"/>
    </row>
    <row r="32471" spans="104:111">
      <c r="CZ32471" s="256"/>
      <c r="DG32471" s="256"/>
    </row>
    <row r="32472" spans="104:111">
      <c r="CZ32472" s="256"/>
      <c r="DG32472" s="256"/>
    </row>
    <row r="32473" spans="104:111">
      <c r="CZ32473" s="256"/>
      <c r="DG32473" s="256"/>
    </row>
    <row r="32474" spans="104:111">
      <c r="CZ32474" s="256"/>
      <c r="DG32474" s="256"/>
    </row>
    <row r="32475" spans="104:111">
      <c r="CZ32475" s="256"/>
      <c r="DG32475" s="256"/>
    </row>
    <row r="32476" spans="104:111">
      <c r="CZ32476" s="256"/>
      <c r="DG32476" s="256"/>
    </row>
    <row r="32477" spans="104:111">
      <c r="CZ32477" s="256"/>
      <c r="DG32477" s="256"/>
    </row>
    <row r="32478" spans="104:111">
      <c r="CZ32478" s="256"/>
      <c r="DG32478" s="256"/>
    </row>
    <row r="32479" spans="104:111">
      <c r="CZ32479" s="256"/>
      <c r="DG32479" s="256"/>
    </row>
    <row r="32480" spans="104:111">
      <c r="CZ32480" s="256"/>
      <c r="DG32480" s="256"/>
    </row>
    <row r="32481" spans="104:111">
      <c r="CZ32481" s="256"/>
      <c r="DG32481" s="256"/>
    </row>
    <row r="32482" spans="104:111">
      <c r="CZ32482" s="256"/>
      <c r="DG32482" s="256"/>
    </row>
    <row r="32483" spans="104:111">
      <c r="CZ32483" s="256"/>
      <c r="DG32483" s="256"/>
    </row>
    <row r="32484" spans="104:111">
      <c r="CZ32484" s="256"/>
      <c r="DG32484" s="256"/>
    </row>
    <row r="32485" spans="104:111">
      <c r="CZ32485" s="256"/>
      <c r="DG32485" s="256"/>
    </row>
    <row r="32486" spans="104:111">
      <c r="CZ32486" s="256"/>
      <c r="DG32486" s="256"/>
    </row>
    <row r="32487" spans="104:111">
      <c r="CZ32487" s="256"/>
      <c r="DG32487" s="256"/>
    </row>
    <row r="32488" spans="104:111">
      <c r="CZ32488" s="256"/>
      <c r="DG32488" s="256"/>
    </row>
    <row r="32489" spans="104:111">
      <c r="CZ32489" s="256"/>
      <c r="DG32489" s="256"/>
    </row>
    <row r="32490" spans="104:111">
      <c r="CZ32490" s="256"/>
      <c r="DG32490" s="256"/>
    </row>
    <row r="32491" spans="104:111">
      <c r="CZ32491" s="256"/>
      <c r="DG32491" s="256"/>
    </row>
    <row r="32492" spans="104:111">
      <c r="CZ32492" s="256"/>
      <c r="DG32492" s="256"/>
    </row>
    <row r="32493" spans="104:111">
      <c r="CZ32493" s="256"/>
      <c r="DG32493" s="256"/>
    </row>
    <row r="32494" spans="104:111">
      <c r="CZ32494" s="256"/>
      <c r="DG32494" s="256"/>
    </row>
    <row r="32495" spans="104:111">
      <c r="CZ32495" s="256"/>
      <c r="DG32495" s="256"/>
    </row>
    <row r="32496" spans="104:111">
      <c r="CZ32496" s="256"/>
      <c r="DG32496" s="256"/>
    </row>
    <row r="32497" spans="104:111">
      <c r="CZ32497" s="256"/>
      <c r="DG32497" s="256"/>
    </row>
    <row r="32498" spans="104:111">
      <c r="CZ32498" s="256"/>
      <c r="DG32498" s="256"/>
    </row>
    <row r="32499" spans="104:111">
      <c r="CZ32499" s="256"/>
      <c r="DG32499" s="256"/>
    </row>
    <row r="32500" spans="104:111">
      <c r="CZ32500" s="256"/>
      <c r="DG32500" s="256"/>
    </row>
    <row r="32501" spans="104:111">
      <c r="CZ32501" s="256"/>
      <c r="DG32501" s="256"/>
    </row>
    <row r="32502" spans="104:111">
      <c r="CZ32502" s="256"/>
      <c r="DG32502" s="256"/>
    </row>
    <row r="32503" spans="104:111">
      <c r="CZ32503" s="256"/>
      <c r="DG32503" s="256"/>
    </row>
    <row r="32504" spans="104:111">
      <c r="CZ32504" s="256"/>
      <c r="DG32504" s="256"/>
    </row>
    <row r="32505" spans="104:111">
      <c r="CZ32505" s="256"/>
      <c r="DG32505" s="256"/>
    </row>
    <row r="32506" spans="104:111">
      <c r="CZ32506" s="256"/>
      <c r="DG32506" s="256"/>
    </row>
    <row r="32507" spans="104:111">
      <c r="CZ32507" s="256"/>
      <c r="DG32507" s="256"/>
    </row>
    <row r="32508" spans="104:111">
      <c r="CZ32508" s="256"/>
      <c r="DG32508" s="256"/>
    </row>
    <row r="32509" spans="104:111">
      <c r="CZ32509" s="256"/>
      <c r="DG32509" s="256"/>
    </row>
    <row r="32510" spans="104:111">
      <c r="CZ32510" s="256"/>
      <c r="DG32510" s="256"/>
    </row>
    <row r="32511" spans="104:111">
      <c r="CZ32511" s="256"/>
      <c r="DG32511" s="256"/>
    </row>
    <row r="32512" spans="104:111">
      <c r="CZ32512" s="256"/>
      <c r="DG32512" s="256"/>
    </row>
    <row r="32513" spans="104:111">
      <c r="CZ32513" s="256"/>
      <c r="DG32513" s="256"/>
    </row>
    <row r="32514" spans="104:111">
      <c r="CZ32514" s="256"/>
      <c r="DG32514" s="256"/>
    </row>
    <row r="32515" spans="104:111">
      <c r="CZ32515" s="256"/>
      <c r="DG32515" s="256"/>
    </row>
    <row r="32516" spans="104:111">
      <c r="CZ32516" s="256"/>
      <c r="DG32516" s="256"/>
    </row>
    <row r="32517" spans="104:111">
      <c r="CZ32517" s="256"/>
      <c r="DG32517" s="256"/>
    </row>
    <row r="32518" spans="104:111">
      <c r="CZ32518" s="256"/>
      <c r="DG32518" s="256"/>
    </row>
    <row r="32519" spans="104:111">
      <c r="CZ32519" s="256"/>
      <c r="DG32519" s="256"/>
    </row>
    <row r="32520" spans="104:111">
      <c r="CZ32520" s="256"/>
      <c r="DG32520" s="256"/>
    </row>
    <row r="32521" spans="104:111">
      <c r="CZ32521" s="256"/>
      <c r="DG32521" s="256"/>
    </row>
    <row r="32522" spans="104:111">
      <c r="CZ32522" s="256"/>
      <c r="DG32522" s="256"/>
    </row>
    <row r="32523" spans="104:111">
      <c r="CZ32523" s="256"/>
      <c r="DG32523" s="256"/>
    </row>
    <row r="32524" spans="104:111">
      <c r="CZ32524" s="256"/>
      <c r="DG32524" s="256"/>
    </row>
    <row r="32525" spans="104:111">
      <c r="CZ32525" s="256"/>
      <c r="DG32525" s="256"/>
    </row>
    <row r="32526" spans="104:111">
      <c r="CZ32526" s="256"/>
      <c r="DG32526" s="256"/>
    </row>
    <row r="32527" spans="104:111">
      <c r="CZ32527" s="256"/>
      <c r="DG32527" s="256"/>
    </row>
    <row r="32528" spans="104:111">
      <c r="CZ32528" s="256"/>
      <c r="DG32528" s="256"/>
    </row>
    <row r="32529" spans="104:111">
      <c r="CZ32529" s="256"/>
      <c r="DG32529" s="256"/>
    </row>
    <row r="32530" spans="104:111">
      <c r="CZ32530" s="256"/>
      <c r="DG32530" s="256"/>
    </row>
    <row r="32531" spans="104:111">
      <c r="CZ32531" s="256"/>
      <c r="DG32531" s="256"/>
    </row>
    <row r="32532" spans="104:111">
      <c r="CZ32532" s="256"/>
      <c r="DG32532" s="256"/>
    </row>
    <row r="32533" spans="104:111">
      <c r="CZ32533" s="256"/>
      <c r="DG32533" s="256"/>
    </row>
    <row r="32534" spans="104:111">
      <c r="CZ32534" s="256"/>
      <c r="DG32534" s="256"/>
    </row>
    <row r="32535" spans="104:111">
      <c r="CZ32535" s="256"/>
      <c r="DG32535" s="256"/>
    </row>
    <row r="32536" spans="104:111">
      <c r="CZ32536" s="256"/>
      <c r="DG32536" s="256"/>
    </row>
    <row r="32537" spans="104:111">
      <c r="CZ32537" s="256"/>
      <c r="DG32537" s="256"/>
    </row>
    <row r="32538" spans="104:111">
      <c r="CZ32538" s="256"/>
      <c r="DG32538" s="256"/>
    </row>
    <row r="32539" spans="104:111">
      <c r="CZ32539" s="256"/>
      <c r="DG32539" s="256"/>
    </row>
    <row r="32540" spans="104:111">
      <c r="CZ32540" s="256"/>
      <c r="DG32540" s="256"/>
    </row>
    <row r="32541" spans="104:111">
      <c r="CZ32541" s="256"/>
      <c r="DG32541" s="256"/>
    </row>
    <row r="32542" spans="104:111">
      <c r="CZ32542" s="256"/>
      <c r="DG32542" s="256"/>
    </row>
    <row r="32543" spans="104:111">
      <c r="CZ32543" s="256"/>
      <c r="DG32543" s="256"/>
    </row>
    <row r="32544" spans="104:111">
      <c r="CZ32544" s="256"/>
      <c r="DG32544" s="256"/>
    </row>
    <row r="32545" spans="104:111">
      <c r="CZ32545" s="256"/>
      <c r="DG32545" s="256"/>
    </row>
    <row r="32546" spans="104:111">
      <c r="CZ32546" s="256"/>
      <c r="DG32546" s="256"/>
    </row>
    <row r="32547" spans="104:111">
      <c r="CZ32547" s="256"/>
      <c r="DG32547" s="256"/>
    </row>
    <row r="32548" spans="104:111">
      <c r="CZ32548" s="256"/>
      <c r="DG32548" s="256"/>
    </row>
    <row r="32549" spans="104:111">
      <c r="CZ32549" s="256"/>
      <c r="DG32549" s="256"/>
    </row>
    <row r="32550" spans="104:111">
      <c r="CZ32550" s="256"/>
      <c r="DG32550" s="256"/>
    </row>
    <row r="32551" spans="104:111">
      <c r="CZ32551" s="256"/>
      <c r="DG32551" s="256"/>
    </row>
    <row r="32552" spans="104:111">
      <c r="CZ32552" s="256"/>
      <c r="DG32552" s="256"/>
    </row>
    <row r="32553" spans="104:111">
      <c r="CZ32553" s="256"/>
      <c r="DG32553" s="256"/>
    </row>
    <row r="32554" spans="104:111">
      <c r="CZ32554" s="256"/>
      <c r="DG32554" s="256"/>
    </row>
    <row r="32555" spans="104:111">
      <c r="CZ32555" s="256"/>
      <c r="DG32555" s="256"/>
    </row>
    <row r="32556" spans="104:111">
      <c r="CZ32556" s="256"/>
      <c r="DG32556" s="256"/>
    </row>
    <row r="32557" spans="104:111">
      <c r="CZ32557" s="256"/>
      <c r="DG32557" s="256"/>
    </row>
    <row r="32558" spans="104:111">
      <c r="CZ32558" s="256"/>
      <c r="DG32558" s="256"/>
    </row>
    <row r="32559" spans="104:111">
      <c r="CZ32559" s="256"/>
      <c r="DG32559" s="256"/>
    </row>
    <row r="32560" spans="104:111">
      <c r="CZ32560" s="256"/>
      <c r="DG32560" s="256"/>
    </row>
    <row r="32561" spans="104:111">
      <c r="CZ32561" s="256"/>
      <c r="DG32561" s="256"/>
    </row>
    <row r="32562" spans="104:111">
      <c r="CZ32562" s="256"/>
      <c r="DG32562" s="256"/>
    </row>
    <row r="32563" spans="104:111">
      <c r="CZ32563" s="256"/>
      <c r="DG32563" s="256"/>
    </row>
    <row r="32564" spans="104:111">
      <c r="CZ32564" s="256"/>
      <c r="DG32564" s="256"/>
    </row>
    <row r="32565" spans="104:111">
      <c r="CZ32565" s="256"/>
      <c r="DG32565" s="256"/>
    </row>
    <row r="32566" spans="104:111">
      <c r="CZ32566" s="256"/>
      <c r="DG32566" s="256"/>
    </row>
    <row r="32567" spans="104:111">
      <c r="CZ32567" s="256"/>
      <c r="DG32567" s="256"/>
    </row>
    <row r="32568" spans="104:111">
      <c r="CZ32568" s="256"/>
      <c r="DG32568" s="256"/>
    </row>
    <row r="32569" spans="104:111">
      <c r="CZ32569" s="256"/>
      <c r="DG32569" s="256"/>
    </row>
    <row r="32570" spans="104:111">
      <c r="CZ32570" s="256"/>
      <c r="DG32570" s="256"/>
    </row>
    <row r="32571" spans="104:111">
      <c r="CZ32571" s="256"/>
      <c r="DG32571" s="256"/>
    </row>
    <row r="32572" spans="104:111">
      <c r="CZ32572" s="256"/>
      <c r="DG32572" s="256"/>
    </row>
    <row r="32573" spans="104:111">
      <c r="CZ32573" s="256"/>
      <c r="DG32573" s="256"/>
    </row>
    <row r="32574" spans="104:111">
      <c r="CZ32574" s="256"/>
      <c r="DG32574" s="256"/>
    </row>
    <row r="32575" spans="104:111">
      <c r="CZ32575" s="256"/>
      <c r="DG32575" s="256"/>
    </row>
    <row r="32576" spans="104:111">
      <c r="CZ32576" s="256"/>
      <c r="DG32576" s="256"/>
    </row>
    <row r="32577" spans="104:111">
      <c r="CZ32577" s="256"/>
      <c r="DG32577" s="256"/>
    </row>
    <row r="32578" spans="104:111">
      <c r="CZ32578" s="256"/>
      <c r="DG32578" s="256"/>
    </row>
    <row r="32579" spans="104:111">
      <c r="CZ32579" s="256"/>
      <c r="DG32579" s="256"/>
    </row>
    <row r="32580" spans="104:111">
      <c r="CZ32580" s="256"/>
      <c r="DG32580" s="256"/>
    </row>
    <row r="32581" spans="104:111">
      <c r="CZ32581" s="256"/>
      <c r="DG32581" s="256"/>
    </row>
    <row r="32582" spans="104:111">
      <c r="CZ32582" s="256"/>
      <c r="DG32582" s="256"/>
    </row>
    <row r="32583" spans="104:111">
      <c r="CZ32583" s="256"/>
      <c r="DG32583" s="256"/>
    </row>
    <row r="32584" spans="104:111">
      <c r="CZ32584" s="256"/>
      <c r="DG32584" s="256"/>
    </row>
    <row r="32585" spans="104:111">
      <c r="CZ32585" s="256"/>
      <c r="DG32585" s="256"/>
    </row>
    <row r="32586" spans="104:111">
      <c r="CZ32586" s="256"/>
      <c r="DG32586" s="256"/>
    </row>
    <row r="32587" spans="104:111">
      <c r="CZ32587" s="256"/>
      <c r="DG32587" s="256"/>
    </row>
    <row r="32588" spans="104:111">
      <c r="CZ32588" s="256"/>
      <c r="DG32588" s="256"/>
    </row>
    <row r="32589" spans="104:111">
      <c r="CZ32589" s="256"/>
      <c r="DG32589" s="256"/>
    </row>
    <row r="32590" spans="104:111">
      <c r="CZ32590" s="256"/>
      <c r="DG32590" s="256"/>
    </row>
    <row r="32591" spans="104:111">
      <c r="CZ32591" s="256"/>
      <c r="DG32591" s="256"/>
    </row>
    <row r="32592" spans="104:111">
      <c r="CZ32592" s="256"/>
      <c r="DG32592" s="256"/>
    </row>
    <row r="32593" spans="104:111">
      <c r="CZ32593" s="256"/>
      <c r="DG32593" s="256"/>
    </row>
    <row r="32594" spans="104:111">
      <c r="CZ32594" s="256"/>
      <c r="DG32594" s="256"/>
    </row>
    <row r="32595" spans="104:111">
      <c r="CZ32595" s="256"/>
      <c r="DG32595" s="256"/>
    </row>
    <row r="32596" spans="104:111">
      <c r="CZ32596" s="256"/>
      <c r="DG32596" s="256"/>
    </row>
    <row r="32597" spans="104:111">
      <c r="CZ32597" s="256"/>
      <c r="DG32597" s="256"/>
    </row>
    <row r="32598" spans="104:111">
      <c r="CZ32598" s="256"/>
      <c r="DG32598" s="256"/>
    </row>
    <row r="32599" spans="104:111">
      <c r="CZ32599" s="256"/>
      <c r="DG32599" s="256"/>
    </row>
    <row r="32600" spans="104:111">
      <c r="CZ32600" s="256"/>
      <c r="DG32600" s="256"/>
    </row>
    <row r="32601" spans="104:111">
      <c r="CZ32601" s="256"/>
      <c r="DG32601" s="256"/>
    </row>
    <row r="32602" spans="104:111">
      <c r="CZ32602" s="256"/>
      <c r="DG32602" s="256"/>
    </row>
    <row r="32603" spans="104:111">
      <c r="CZ32603" s="256"/>
      <c r="DG32603" s="256"/>
    </row>
    <row r="32604" spans="104:111">
      <c r="CZ32604" s="256"/>
      <c r="DG32604" s="256"/>
    </row>
    <row r="32605" spans="104:111">
      <c r="CZ32605" s="256"/>
      <c r="DG32605" s="256"/>
    </row>
    <row r="32606" spans="104:111">
      <c r="CZ32606" s="256"/>
      <c r="DG32606" s="256"/>
    </row>
    <row r="32607" spans="104:111">
      <c r="CZ32607" s="256"/>
      <c r="DG32607" s="256"/>
    </row>
    <row r="32608" spans="104:111">
      <c r="CZ32608" s="256"/>
      <c r="DG32608" s="256"/>
    </row>
    <row r="32609" spans="104:111">
      <c r="CZ32609" s="256"/>
      <c r="DG32609" s="256"/>
    </row>
    <row r="32610" spans="104:111">
      <c r="CZ32610" s="256"/>
      <c r="DG32610" s="256"/>
    </row>
    <row r="32611" spans="104:111">
      <c r="CZ32611" s="256"/>
      <c r="DG32611" s="256"/>
    </row>
    <row r="32612" spans="104:111">
      <c r="CZ32612" s="256"/>
      <c r="DG32612" s="256"/>
    </row>
    <row r="32613" spans="104:111">
      <c r="CZ32613" s="256"/>
      <c r="DG32613" s="256"/>
    </row>
    <row r="32614" spans="104:111">
      <c r="CZ32614" s="256"/>
      <c r="DG32614" s="256"/>
    </row>
    <row r="32615" spans="104:111">
      <c r="CZ32615" s="256"/>
      <c r="DG32615" s="256"/>
    </row>
    <row r="32616" spans="104:111">
      <c r="CZ32616" s="256"/>
      <c r="DG32616" s="256"/>
    </row>
    <row r="32617" spans="104:111">
      <c r="CZ32617" s="256"/>
      <c r="DG32617" s="256"/>
    </row>
    <row r="32618" spans="104:111">
      <c r="CZ32618" s="256"/>
      <c r="DG32618" s="256"/>
    </row>
    <row r="32619" spans="104:111">
      <c r="CZ32619" s="256"/>
      <c r="DG32619" s="256"/>
    </row>
    <row r="32620" spans="104:111">
      <c r="CZ32620" s="256"/>
      <c r="DG32620" s="256"/>
    </row>
    <row r="32621" spans="104:111">
      <c r="CZ32621" s="256"/>
      <c r="DG32621" s="256"/>
    </row>
    <row r="32622" spans="104:111">
      <c r="CZ32622" s="256"/>
      <c r="DG32622" s="256"/>
    </row>
    <row r="32623" spans="104:111">
      <c r="CZ32623" s="256"/>
      <c r="DG32623" s="256"/>
    </row>
    <row r="32624" spans="104:111">
      <c r="CZ32624" s="256"/>
      <c r="DG32624" s="256"/>
    </row>
    <row r="32625" spans="104:111">
      <c r="CZ32625" s="256"/>
      <c r="DG32625" s="256"/>
    </row>
    <row r="32626" spans="104:111">
      <c r="CZ32626" s="256"/>
      <c r="DG32626" s="256"/>
    </row>
    <row r="32627" spans="104:111">
      <c r="CZ32627" s="256"/>
      <c r="DG32627" s="256"/>
    </row>
    <row r="32628" spans="104:111">
      <c r="CZ32628" s="256"/>
      <c r="DG32628" s="256"/>
    </row>
    <row r="32629" spans="104:111">
      <c r="CZ32629" s="256"/>
      <c r="DG32629" s="256"/>
    </row>
    <row r="32630" spans="104:111">
      <c r="CZ32630" s="256"/>
      <c r="DG32630" s="256"/>
    </row>
    <row r="32631" spans="104:111">
      <c r="CZ32631" s="256"/>
      <c r="DG32631" s="256"/>
    </row>
    <row r="32632" spans="104:111">
      <c r="CZ32632" s="256"/>
      <c r="DG32632" s="256"/>
    </row>
    <row r="32633" spans="104:111">
      <c r="CZ32633" s="256"/>
      <c r="DG32633" s="256"/>
    </row>
    <row r="32634" spans="104:111">
      <c r="CZ32634" s="256"/>
      <c r="DG32634" s="256"/>
    </row>
    <row r="32635" spans="104:111">
      <c r="CZ32635" s="256"/>
      <c r="DG32635" s="256"/>
    </row>
    <row r="32636" spans="104:111">
      <c r="CZ32636" s="256"/>
      <c r="DG32636" s="256"/>
    </row>
    <row r="32637" spans="104:111">
      <c r="CZ32637" s="256"/>
      <c r="DG32637" s="256"/>
    </row>
    <row r="32638" spans="104:111">
      <c r="CZ32638" s="256"/>
      <c r="DG32638" s="256"/>
    </row>
    <row r="32639" spans="104:111">
      <c r="CZ32639" s="256"/>
      <c r="DG32639" s="256"/>
    </row>
    <row r="32640" spans="104:111">
      <c r="CZ32640" s="256"/>
      <c r="DG32640" s="256"/>
    </row>
    <row r="32641" spans="104:111">
      <c r="CZ32641" s="256"/>
      <c r="DG32641" s="256"/>
    </row>
    <row r="32642" spans="104:111">
      <c r="CZ32642" s="256"/>
      <c r="DG32642" s="256"/>
    </row>
    <row r="32643" spans="104:111">
      <c r="CZ32643" s="256"/>
      <c r="DG32643" s="256"/>
    </row>
    <row r="32644" spans="104:111">
      <c r="CZ32644" s="256"/>
      <c r="DG32644" s="256"/>
    </row>
    <row r="32645" spans="104:111">
      <c r="CZ32645" s="256"/>
      <c r="DG32645" s="256"/>
    </row>
    <row r="32646" spans="104:111">
      <c r="CZ32646" s="256"/>
      <c r="DG32646" s="256"/>
    </row>
    <row r="32647" spans="104:111">
      <c r="CZ32647" s="256"/>
      <c r="DG32647" s="256"/>
    </row>
    <row r="32648" spans="104:111">
      <c r="CZ32648" s="256"/>
      <c r="DG32648" s="256"/>
    </row>
    <row r="32649" spans="104:111">
      <c r="CZ32649" s="256"/>
      <c r="DG32649" s="256"/>
    </row>
    <row r="32650" spans="104:111">
      <c r="CZ32650" s="256"/>
      <c r="DG32650" s="256"/>
    </row>
    <row r="32651" spans="104:111">
      <c r="CZ32651" s="256"/>
      <c r="DG32651" s="256"/>
    </row>
    <row r="32652" spans="104:111">
      <c r="CZ32652" s="256"/>
      <c r="DG32652" s="256"/>
    </row>
    <row r="32653" spans="104:111">
      <c r="CZ32653" s="256"/>
      <c r="DG32653" s="256"/>
    </row>
    <row r="32654" spans="104:111">
      <c r="CZ32654" s="256"/>
      <c r="DG32654" s="256"/>
    </row>
    <row r="32655" spans="104:111">
      <c r="CZ32655" s="256"/>
      <c r="DG32655" s="256"/>
    </row>
    <row r="32656" spans="104:111">
      <c r="CZ32656" s="256"/>
      <c r="DG32656" s="256"/>
    </row>
    <row r="32657" spans="104:111">
      <c r="CZ32657" s="256"/>
      <c r="DG32657" s="256"/>
    </row>
    <row r="32658" spans="104:111">
      <c r="CZ32658" s="256"/>
      <c r="DG32658" s="256"/>
    </row>
    <row r="32659" spans="104:111">
      <c r="CZ32659" s="256"/>
      <c r="DG32659" s="256"/>
    </row>
    <row r="32660" spans="104:111">
      <c r="CZ32660" s="256"/>
      <c r="DG32660" s="256"/>
    </row>
    <row r="32661" spans="104:111">
      <c r="CZ32661" s="256"/>
      <c r="DG32661" s="256"/>
    </row>
    <row r="32662" spans="104:111">
      <c r="CZ32662" s="256"/>
      <c r="DG32662" s="256"/>
    </row>
    <row r="32663" spans="104:111">
      <c r="CZ32663" s="256"/>
      <c r="DG32663" s="256"/>
    </row>
    <row r="32664" spans="104:111">
      <c r="CZ32664" s="256"/>
      <c r="DG32664" s="256"/>
    </row>
    <row r="32665" spans="104:111">
      <c r="CZ32665" s="256"/>
      <c r="DG32665" s="256"/>
    </row>
    <row r="32666" spans="104:111">
      <c r="CZ32666" s="256"/>
      <c r="DG32666" s="256"/>
    </row>
    <row r="32667" spans="104:111">
      <c r="CZ32667" s="256"/>
      <c r="DG32667" s="256"/>
    </row>
    <row r="32668" spans="104:111">
      <c r="CZ32668" s="256"/>
      <c r="DG32668" s="256"/>
    </row>
    <row r="32669" spans="104:111">
      <c r="CZ32669" s="256"/>
      <c r="DG32669" s="256"/>
    </row>
    <row r="32670" spans="104:111">
      <c r="CZ32670" s="256"/>
      <c r="DG32670" s="256"/>
    </row>
    <row r="32671" spans="104:111">
      <c r="CZ32671" s="256"/>
      <c r="DG32671" s="256"/>
    </row>
    <row r="32672" spans="104:111">
      <c r="CZ32672" s="256"/>
      <c r="DG32672" s="256"/>
    </row>
    <row r="32673" spans="104:111">
      <c r="CZ32673" s="256"/>
      <c r="DG32673" s="256"/>
    </row>
    <row r="32674" spans="104:111">
      <c r="CZ32674" s="256"/>
      <c r="DG32674" s="256"/>
    </row>
    <row r="32675" spans="104:111">
      <c r="CZ32675" s="256"/>
      <c r="DG32675" s="256"/>
    </row>
    <row r="32676" spans="104:111">
      <c r="CZ32676" s="256"/>
      <c r="DG32676" s="256"/>
    </row>
    <row r="32677" spans="104:111">
      <c r="CZ32677" s="256"/>
      <c r="DG32677" s="256"/>
    </row>
    <row r="32678" spans="104:111">
      <c r="CZ32678" s="256"/>
      <c r="DG32678" s="256"/>
    </row>
    <row r="32679" spans="104:111">
      <c r="CZ32679" s="256"/>
      <c r="DG32679" s="256"/>
    </row>
    <row r="32680" spans="104:111">
      <c r="CZ32680" s="256"/>
      <c r="DG32680" s="256"/>
    </row>
    <row r="32681" spans="104:111">
      <c r="CZ32681" s="256"/>
      <c r="DG32681" s="256"/>
    </row>
    <row r="32682" spans="104:111">
      <c r="CZ32682" s="256"/>
      <c r="DG32682" s="256"/>
    </row>
    <row r="32683" spans="104:111">
      <c r="CZ32683" s="256"/>
      <c r="DG32683" s="256"/>
    </row>
    <row r="32684" spans="104:111">
      <c r="CZ32684" s="256"/>
      <c r="DG32684" s="256"/>
    </row>
    <row r="32685" spans="104:111">
      <c r="CZ32685" s="256"/>
      <c r="DG32685" s="256"/>
    </row>
    <row r="32686" spans="104:111">
      <c r="CZ32686" s="256"/>
      <c r="DG32686" s="256"/>
    </row>
    <row r="32687" spans="104:111">
      <c r="CZ32687" s="256"/>
      <c r="DG32687" s="256"/>
    </row>
    <row r="32688" spans="104:111">
      <c r="CZ32688" s="256"/>
      <c r="DG32688" s="256"/>
    </row>
    <row r="32689" spans="104:111">
      <c r="CZ32689" s="256"/>
      <c r="DG32689" s="256"/>
    </row>
    <row r="32690" spans="104:111">
      <c r="CZ32690" s="256"/>
      <c r="DG32690" s="256"/>
    </row>
    <row r="32691" spans="104:111">
      <c r="CZ32691" s="256"/>
      <c r="DG32691" s="256"/>
    </row>
    <row r="32692" spans="104:111">
      <c r="CZ32692" s="256"/>
      <c r="DG32692" s="256"/>
    </row>
    <row r="32693" spans="104:111">
      <c r="CZ32693" s="256"/>
      <c r="DG32693" s="256"/>
    </row>
    <row r="32694" spans="104:111">
      <c r="CZ32694" s="256"/>
      <c r="DG32694" s="256"/>
    </row>
    <row r="32695" spans="104:111">
      <c r="CZ32695" s="256"/>
      <c r="DG32695" s="256"/>
    </row>
    <row r="32696" spans="104:111">
      <c r="CZ32696" s="256"/>
      <c r="DG32696" s="256"/>
    </row>
    <row r="32697" spans="104:111">
      <c r="CZ32697" s="256"/>
      <c r="DG32697" s="256"/>
    </row>
    <row r="32698" spans="104:111">
      <c r="CZ32698" s="256"/>
      <c r="DG32698" s="256"/>
    </row>
    <row r="32699" spans="104:111">
      <c r="CZ32699" s="256"/>
      <c r="DG32699" s="256"/>
    </row>
    <row r="32700" spans="104:111">
      <c r="CZ32700" s="256"/>
      <c r="DG32700" s="256"/>
    </row>
    <row r="32701" spans="104:111">
      <c r="CZ32701" s="256"/>
      <c r="DG32701" s="256"/>
    </row>
    <row r="32702" spans="104:111">
      <c r="CZ32702" s="256"/>
      <c r="DG32702" s="256"/>
    </row>
    <row r="32703" spans="104:111">
      <c r="CZ32703" s="256"/>
      <c r="DG32703" s="256"/>
    </row>
    <row r="32704" spans="104:111">
      <c r="CZ32704" s="256"/>
      <c r="DG32704" s="256"/>
    </row>
    <row r="32705" spans="104:111">
      <c r="CZ32705" s="256"/>
      <c r="DG32705" s="256"/>
    </row>
    <row r="32706" spans="104:111">
      <c r="CZ32706" s="256"/>
      <c r="DG32706" s="256"/>
    </row>
    <row r="32707" spans="104:111">
      <c r="CZ32707" s="256"/>
      <c r="DG32707" s="256"/>
    </row>
    <row r="32708" spans="104:111">
      <c r="CZ32708" s="256"/>
      <c r="DG32708" s="256"/>
    </row>
    <row r="32709" spans="104:111">
      <c r="CZ32709" s="256"/>
      <c r="DG32709" s="256"/>
    </row>
    <row r="32710" spans="104:111">
      <c r="CZ32710" s="256"/>
      <c r="DG32710" s="256"/>
    </row>
    <row r="32711" spans="104:111">
      <c r="CZ32711" s="256"/>
      <c r="DG32711" s="256"/>
    </row>
    <row r="32712" spans="104:111">
      <c r="CZ32712" s="256"/>
      <c r="DG32712" s="256"/>
    </row>
    <row r="32713" spans="104:111">
      <c r="CZ32713" s="256"/>
      <c r="DG32713" s="256"/>
    </row>
    <row r="32714" spans="104:111">
      <c r="CZ32714" s="256"/>
      <c r="DG32714" s="256"/>
    </row>
    <row r="32715" spans="104:111">
      <c r="CZ32715" s="256"/>
      <c r="DG32715" s="256"/>
    </row>
    <row r="32716" spans="104:111">
      <c r="CZ32716" s="256"/>
      <c r="DG32716" s="256"/>
    </row>
    <row r="32717" spans="104:111">
      <c r="CZ32717" s="256"/>
      <c r="DG32717" s="256"/>
    </row>
    <row r="32718" spans="104:111">
      <c r="CZ32718" s="256"/>
      <c r="DG32718" s="256"/>
    </row>
    <row r="32719" spans="104:111">
      <c r="CZ32719" s="256"/>
      <c r="DG32719" s="256"/>
    </row>
    <row r="32720" spans="104:111">
      <c r="CZ32720" s="256"/>
      <c r="DG32720" s="256"/>
    </row>
    <row r="32721" spans="104:111">
      <c r="CZ32721" s="256"/>
      <c r="DG32721" s="256"/>
    </row>
    <row r="32722" spans="104:111">
      <c r="CZ32722" s="256"/>
      <c r="DG32722" s="256"/>
    </row>
    <row r="32723" spans="104:111">
      <c r="CZ32723" s="256"/>
      <c r="DG32723" s="256"/>
    </row>
    <row r="32724" spans="104:111">
      <c r="CZ32724" s="256"/>
      <c r="DG32724" s="256"/>
    </row>
    <row r="32725" spans="104:111">
      <c r="CZ32725" s="256"/>
      <c r="DG32725" s="256"/>
    </row>
    <row r="32726" spans="104:111">
      <c r="CZ32726" s="256"/>
      <c r="DG32726" s="256"/>
    </row>
    <row r="32727" spans="104:111">
      <c r="CZ32727" s="256"/>
      <c r="DG32727" s="256"/>
    </row>
    <row r="32728" spans="104:111">
      <c r="CZ32728" s="256"/>
      <c r="DG32728" s="256"/>
    </row>
    <row r="32729" spans="104:111">
      <c r="CZ32729" s="256"/>
      <c r="DG32729" s="256"/>
    </row>
    <row r="32730" spans="104:111">
      <c r="CZ32730" s="256"/>
      <c r="DG32730" s="256"/>
    </row>
    <row r="32731" spans="104:111">
      <c r="CZ32731" s="256"/>
      <c r="DG32731" s="256"/>
    </row>
    <row r="32732" spans="104:111">
      <c r="CZ32732" s="256"/>
      <c r="DG32732" s="256"/>
    </row>
    <row r="32733" spans="104:111">
      <c r="CZ32733" s="256"/>
      <c r="DG32733" s="256"/>
    </row>
    <row r="32734" spans="104:111">
      <c r="CZ32734" s="256"/>
      <c r="DG32734" s="256"/>
    </row>
    <row r="32735" spans="104:111">
      <c r="CZ32735" s="256"/>
      <c r="DG32735" s="256"/>
    </row>
    <row r="32736" spans="104:111">
      <c r="CZ32736" s="256"/>
      <c r="DG32736" s="256"/>
    </row>
    <row r="32737" spans="104:111">
      <c r="CZ32737" s="256"/>
      <c r="DG32737" s="256"/>
    </row>
    <row r="32738" spans="104:111">
      <c r="CZ32738" s="256"/>
      <c r="DG32738" s="256"/>
    </row>
    <row r="32739" spans="104:111">
      <c r="CZ32739" s="256"/>
      <c r="DG32739" s="256"/>
    </row>
    <row r="32740" spans="104:111">
      <c r="CZ32740" s="256"/>
      <c r="DG32740" s="256"/>
    </row>
    <row r="32741" spans="104:111">
      <c r="CZ32741" s="256"/>
      <c r="DG32741" s="256"/>
    </row>
    <row r="32742" spans="104:111">
      <c r="CZ32742" s="256"/>
      <c r="DG32742" s="256"/>
    </row>
    <row r="32743" spans="104:111">
      <c r="CZ32743" s="256"/>
      <c r="DG32743" s="256"/>
    </row>
    <row r="32744" spans="104:111">
      <c r="CZ32744" s="256"/>
      <c r="DG32744" s="256"/>
    </row>
    <row r="32745" spans="104:111">
      <c r="CZ32745" s="256"/>
      <c r="DG32745" s="256"/>
    </row>
    <row r="32746" spans="104:111">
      <c r="CZ32746" s="256"/>
      <c r="DG32746" s="256"/>
    </row>
    <row r="32747" spans="104:111">
      <c r="CZ32747" s="256"/>
      <c r="DG32747" s="256"/>
    </row>
    <row r="32748" spans="104:111">
      <c r="CZ32748" s="256"/>
      <c r="DG32748" s="256"/>
    </row>
    <row r="32749" spans="104:111">
      <c r="CZ32749" s="256"/>
      <c r="DG32749" s="256"/>
    </row>
    <row r="32750" spans="104:111">
      <c r="CZ32750" s="256"/>
      <c r="DG32750" s="256"/>
    </row>
    <row r="32751" spans="104:111">
      <c r="CZ32751" s="256"/>
      <c r="DG32751" s="256"/>
    </row>
    <row r="32752" spans="104:111">
      <c r="CZ32752" s="256"/>
      <c r="DG32752" s="256"/>
    </row>
    <row r="32753" spans="104:111">
      <c r="CZ32753" s="256"/>
      <c r="DG32753" s="256"/>
    </row>
    <row r="32754" spans="104:111">
      <c r="CZ32754" s="256"/>
      <c r="DG32754" s="256"/>
    </row>
    <row r="32755" spans="104:111">
      <c r="CZ32755" s="256"/>
      <c r="DG32755" s="256"/>
    </row>
    <row r="32756" spans="104:111">
      <c r="CZ32756" s="256"/>
      <c r="DG32756" s="256"/>
    </row>
    <row r="32757" spans="104:111">
      <c r="CZ32757" s="256"/>
      <c r="DG32757" s="256"/>
    </row>
    <row r="32758" spans="104:111">
      <c r="CZ32758" s="256"/>
      <c r="DG32758" s="256"/>
    </row>
    <row r="32759" spans="104:111">
      <c r="CZ32759" s="256"/>
      <c r="DG32759" s="256"/>
    </row>
    <row r="32760" spans="104:111">
      <c r="CZ32760" s="256"/>
      <c r="DG32760" s="256"/>
    </row>
    <row r="32761" spans="104:111">
      <c r="CZ32761" s="256"/>
      <c r="DG32761" s="256"/>
    </row>
    <row r="32762" spans="104:111">
      <c r="CZ32762" s="256"/>
      <c r="DG32762" s="256"/>
    </row>
    <row r="32763" spans="104:111">
      <c r="CZ32763" s="256"/>
      <c r="DG32763" s="256"/>
    </row>
    <row r="32764" spans="104:111">
      <c r="CZ32764" s="256"/>
      <c r="DG32764" s="256"/>
    </row>
    <row r="32765" spans="104:111">
      <c r="CZ32765" s="256"/>
      <c r="DG32765" s="256"/>
    </row>
    <row r="32766" spans="104:111">
      <c r="CZ32766" s="256"/>
      <c r="DG32766" s="256"/>
    </row>
    <row r="32767" spans="104:111">
      <c r="CZ32767" s="256"/>
      <c r="DG32767" s="256"/>
    </row>
    <row r="32768" spans="104:111">
      <c r="CZ32768" s="256"/>
      <c r="DG32768" s="256"/>
    </row>
    <row r="32769" spans="104:111">
      <c r="CZ32769" s="256"/>
      <c r="DG32769" s="256"/>
    </row>
    <row r="32770" spans="104:111">
      <c r="CZ32770" s="256"/>
      <c r="DG32770" s="256"/>
    </row>
    <row r="32771" spans="104:111">
      <c r="CZ32771" s="256"/>
      <c r="DG32771" s="256"/>
    </row>
    <row r="32772" spans="104:111">
      <c r="CZ32772" s="256"/>
      <c r="DG32772" s="256"/>
    </row>
    <row r="32773" spans="104:111">
      <c r="CZ32773" s="256"/>
      <c r="DG32773" s="256"/>
    </row>
    <row r="32774" spans="104:111">
      <c r="CZ32774" s="256"/>
      <c r="DG32774" s="256"/>
    </row>
    <row r="32775" spans="104:111">
      <c r="CZ32775" s="256"/>
      <c r="DG32775" s="256"/>
    </row>
    <row r="32776" spans="104:111">
      <c r="CZ32776" s="256"/>
      <c r="DG32776" s="256"/>
    </row>
    <row r="32777" spans="104:111">
      <c r="CZ32777" s="256"/>
      <c r="DG32777" s="256"/>
    </row>
    <row r="32778" spans="104:111">
      <c r="CZ32778" s="256"/>
      <c r="DG32778" s="256"/>
    </row>
    <row r="32779" spans="104:111">
      <c r="CZ32779" s="256"/>
      <c r="DG32779" s="256"/>
    </row>
    <row r="32780" spans="104:111">
      <c r="CZ32780" s="256"/>
      <c r="DG32780" s="256"/>
    </row>
    <row r="32781" spans="104:111">
      <c r="CZ32781" s="256"/>
      <c r="DG32781" s="256"/>
    </row>
    <row r="32782" spans="104:111">
      <c r="CZ32782" s="256"/>
      <c r="DG32782" s="256"/>
    </row>
    <row r="32783" spans="104:111">
      <c r="CZ32783" s="256"/>
      <c r="DG32783" s="256"/>
    </row>
    <row r="32784" spans="104:111">
      <c r="CZ32784" s="256"/>
      <c r="DG32784" s="256"/>
    </row>
    <row r="32785" spans="104:111">
      <c r="CZ32785" s="256"/>
      <c r="DG32785" s="256"/>
    </row>
    <row r="32786" spans="104:111">
      <c r="CZ32786" s="256"/>
      <c r="DG32786" s="256"/>
    </row>
    <row r="32787" spans="104:111">
      <c r="CZ32787" s="256"/>
      <c r="DG32787" s="256"/>
    </row>
    <row r="32788" spans="104:111">
      <c r="CZ32788" s="256"/>
      <c r="DG32788" s="256"/>
    </row>
    <row r="32789" spans="104:111">
      <c r="CZ32789" s="256"/>
      <c r="DG32789" s="256"/>
    </row>
    <row r="32790" spans="104:111">
      <c r="CZ32790" s="256"/>
      <c r="DG32790" s="256"/>
    </row>
    <row r="32791" spans="104:111">
      <c r="CZ32791" s="256"/>
      <c r="DG32791" s="256"/>
    </row>
    <row r="32792" spans="104:111">
      <c r="CZ32792" s="256"/>
      <c r="DG32792" s="256"/>
    </row>
    <row r="32793" spans="104:111">
      <c r="CZ32793" s="256"/>
      <c r="DG32793" s="256"/>
    </row>
    <row r="32794" spans="104:111">
      <c r="CZ32794" s="256"/>
      <c r="DG32794" s="256"/>
    </row>
    <row r="32795" spans="104:111">
      <c r="CZ32795" s="256"/>
      <c r="DG32795" s="256"/>
    </row>
    <row r="32796" spans="104:111">
      <c r="CZ32796" s="256"/>
      <c r="DG32796" s="256"/>
    </row>
    <row r="32797" spans="104:111">
      <c r="CZ32797" s="256"/>
      <c r="DG32797" s="256"/>
    </row>
    <row r="32798" spans="104:111">
      <c r="CZ32798" s="256"/>
      <c r="DG32798" s="256"/>
    </row>
    <row r="32799" spans="104:111">
      <c r="CZ32799" s="256"/>
      <c r="DG32799" s="256"/>
    </row>
    <row r="32800" spans="104:111">
      <c r="CZ32800" s="256"/>
      <c r="DG32800" s="256"/>
    </row>
    <row r="32801" spans="104:111">
      <c r="CZ32801" s="256"/>
      <c r="DG32801" s="256"/>
    </row>
    <row r="32802" spans="104:111">
      <c r="CZ32802" s="256"/>
      <c r="DG32802" s="256"/>
    </row>
    <row r="32803" spans="104:111">
      <c r="CZ32803" s="256"/>
      <c r="DG32803" s="256"/>
    </row>
    <row r="32804" spans="104:111">
      <c r="CZ32804" s="256"/>
      <c r="DG32804" s="256"/>
    </row>
    <row r="32805" spans="104:111">
      <c r="CZ32805" s="256"/>
      <c r="DG32805" s="256"/>
    </row>
    <row r="32806" spans="104:111">
      <c r="CZ32806" s="256"/>
      <c r="DG32806" s="256"/>
    </row>
    <row r="32807" spans="104:111">
      <c r="CZ32807" s="256"/>
      <c r="DG32807" s="256"/>
    </row>
    <row r="32808" spans="104:111">
      <c r="CZ32808" s="256"/>
      <c r="DG32808" s="256"/>
    </row>
    <row r="32809" spans="104:111">
      <c r="CZ32809" s="256"/>
      <c r="DG32809" s="256"/>
    </row>
    <row r="32810" spans="104:111">
      <c r="CZ32810" s="256"/>
      <c r="DG32810" s="256"/>
    </row>
    <row r="32811" spans="104:111">
      <c r="CZ32811" s="256"/>
      <c r="DG32811" s="256"/>
    </row>
    <row r="32812" spans="104:111">
      <c r="CZ32812" s="256"/>
      <c r="DG32812" s="256"/>
    </row>
    <row r="32813" spans="104:111">
      <c r="CZ32813" s="256"/>
      <c r="DG32813" s="256"/>
    </row>
    <row r="32814" spans="104:111">
      <c r="CZ32814" s="256"/>
      <c r="DG32814" s="256"/>
    </row>
    <row r="32815" spans="104:111">
      <c r="CZ32815" s="256"/>
      <c r="DG32815" s="256"/>
    </row>
    <row r="32816" spans="104:111">
      <c r="CZ32816" s="256"/>
      <c r="DG32816" s="256"/>
    </row>
    <row r="32817" spans="104:111">
      <c r="CZ32817" s="256"/>
      <c r="DG32817" s="256"/>
    </row>
    <row r="32818" spans="104:111">
      <c r="CZ32818" s="256"/>
      <c r="DG32818" s="256"/>
    </row>
    <row r="32819" spans="104:111">
      <c r="CZ32819" s="256"/>
      <c r="DG32819" s="256"/>
    </row>
    <row r="32820" spans="104:111">
      <c r="CZ32820" s="256"/>
      <c r="DG32820" s="256"/>
    </row>
    <row r="32821" spans="104:111">
      <c r="CZ32821" s="256"/>
      <c r="DG32821" s="256"/>
    </row>
    <row r="32822" spans="104:111">
      <c r="CZ32822" s="256"/>
      <c r="DG32822" s="256"/>
    </row>
    <row r="32823" spans="104:111">
      <c r="CZ32823" s="256"/>
      <c r="DG32823" s="256"/>
    </row>
    <row r="32824" spans="104:111">
      <c r="CZ32824" s="256"/>
      <c r="DG32824" s="256"/>
    </row>
    <row r="32825" spans="104:111">
      <c r="CZ32825" s="256"/>
      <c r="DG32825" s="256"/>
    </row>
    <row r="32826" spans="104:111">
      <c r="CZ32826" s="256"/>
      <c r="DG32826" s="256"/>
    </row>
    <row r="32827" spans="104:111">
      <c r="CZ32827" s="256"/>
      <c r="DG32827" s="256"/>
    </row>
    <row r="32828" spans="104:111">
      <c r="CZ32828" s="256"/>
      <c r="DG32828" s="256"/>
    </row>
    <row r="32829" spans="104:111">
      <c r="CZ32829" s="256"/>
      <c r="DG32829" s="256"/>
    </row>
    <row r="32830" spans="104:111">
      <c r="CZ32830" s="256"/>
      <c r="DG32830" s="256"/>
    </row>
    <row r="32831" spans="104:111">
      <c r="CZ32831" s="256"/>
      <c r="DG32831" s="256"/>
    </row>
    <row r="32832" spans="104:111">
      <c r="CZ32832" s="256"/>
      <c r="DG32832" s="256"/>
    </row>
    <row r="32833" spans="104:111">
      <c r="CZ32833" s="256"/>
      <c r="DG32833" s="256"/>
    </row>
    <row r="32834" spans="104:111">
      <c r="CZ32834" s="256"/>
      <c r="DG32834" s="256"/>
    </row>
    <row r="32835" spans="104:111">
      <c r="CZ32835" s="256"/>
      <c r="DG32835" s="256"/>
    </row>
    <row r="32836" spans="104:111">
      <c r="CZ32836" s="256"/>
      <c r="DG32836" s="256"/>
    </row>
    <row r="32837" spans="104:111">
      <c r="CZ32837" s="256"/>
      <c r="DG32837" s="256"/>
    </row>
    <row r="32838" spans="104:111">
      <c r="CZ32838" s="256"/>
      <c r="DG32838" s="256"/>
    </row>
    <row r="32839" spans="104:111">
      <c r="CZ32839" s="256"/>
      <c r="DG32839" s="256"/>
    </row>
    <row r="32840" spans="104:111">
      <c r="CZ32840" s="256"/>
      <c r="DG32840" s="256"/>
    </row>
    <row r="32841" spans="104:111">
      <c r="CZ32841" s="256"/>
      <c r="DG32841" s="256"/>
    </row>
    <row r="32842" spans="104:111">
      <c r="CZ32842" s="256"/>
      <c r="DG32842" s="256"/>
    </row>
    <row r="32843" spans="104:111">
      <c r="CZ32843" s="256"/>
      <c r="DG32843" s="256"/>
    </row>
    <row r="32844" spans="104:111">
      <c r="CZ32844" s="256"/>
      <c r="DG32844" s="256"/>
    </row>
    <row r="32845" spans="104:111">
      <c r="CZ32845" s="256"/>
      <c r="DG32845" s="256"/>
    </row>
    <row r="32846" spans="104:111">
      <c r="CZ32846" s="256"/>
      <c r="DG32846" s="256"/>
    </row>
    <row r="32847" spans="104:111">
      <c r="CZ32847" s="256"/>
      <c r="DG32847" s="256"/>
    </row>
    <row r="32848" spans="104:111">
      <c r="CZ32848" s="256"/>
      <c r="DG32848" s="256"/>
    </row>
    <row r="32849" spans="104:111">
      <c r="CZ32849" s="256"/>
      <c r="DG32849" s="256"/>
    </row>
    <row r="32850" spans="104:111">
      <c r="CZ32850" s="256"/>
      <c r="DG32850" s="256"/>
    </row>
    <row r="32851" spans="104:111">
      <c r="CZ32851" s="256"/>
      <c r="DG32851" s="256"/>
    </row>
    <row r="32852" spans="104:111">
      <c r="CZ32852" s="256"/>
      <c r="DG32852" s="256"/>
    </row>
    <row r="32853" spans="104:111">
      <c r="CZ32853" s="256"/>
      <c r="DG32853" s="256"/>
    </row>
    <row r="32854" spans="104:111">
      <c r="CZ32854" s="256"/>
      <c r="DG32854" s="256"/>
    </row>
    <row r="32855" spans="104:111">
      <c r="CZ32855" s="256"/>
      <c r="DG32855" s="256"/>
    </row>
    <row r="32856" spans="104:111">
      <c r="CZ32856" s="256"/>
      <c r="DG32856" s="256"/>
    </row>
    <row r="32857" spans="104:111">
      <c r="CZ32857" s="256"/>
      <c r="DG32857" s="256"/>
    </row>
    <row r="32858" spans="104:111">
      <c r="CZ32858" s="256"/>
      <c r="DG32858" s="256"/>
    </row>
    <row r="32859" spans="104:111">
      <c r="CZ32859" s="256"/>
      <c r="DG32859" s="256"/>
    </row>
    <row r="32860" spans="104:111">
      <c r="CZ32860" s="256"/>
      <c r="DG32860" s="256"/>
    </row>
    <row r="32861" spans="104:111">
      <c r="CZ32861" s="256"/>
      <c r="DG32861" s="256"/>
    </row>
    <row r="32862" spans="104:111">
      <c r="CZ32862" s="256"/>
      <c r="DG32862" s="256"/>
    </row>
    <row r="32863" spans="104:111">
      <c r="CZ32863" s="256"/>
      <c r="DG32863" s="256"/>
    </row>
    <row r="32864" spans="104:111">
      <c r="CZ32864" s="256"/>
      <c r="DG32864" s="256"/>
    </row>
    <row r="32865" spans="104:111">
      <c r="CZ32865" s="256"/>
      <c r="DG32865" s="256"/>
    </row>
    <row r="32866" spans="104:111">
      <c r="CZ32866" s="256"/>
      <c r="DG32866" s="256"/>
    </row>
    <row r="32867" spans="104:111">
      <c r="CZ32867" s="256"/>
      <c r="DG32867" s="256"/>
    </row>
    <row r="32868" spans="104:111">
      <c r="CZ32868" s="256"/>
      <c r="DG32868" s="256"/>
    </row>
    <row r="32869" spans="104:111">
      <c r="CZ32869" s="256"/>
      <c r="DG32869" s="256"/>
    </row>
    <row r="32870" spans="104:111">
      <c r="CZ32870" s="256"/>
      <c r="DG32870" s="256"/>
    </row>
    <row r="32871" spans="104:111">
      <c r="CZ32871" s="256"/>
      <c r="DG32871" s="256"/>
    </row>
    <row r="32872" spans="104:111">
      <c r="CZ32872" s="256"/>
      <c r="DG32872" s="256"/>
    </row>
    <row r="32873" spans="104:111">
      <c r="CZ32873" s="256"/>
      <c r="DG32873" s="256"/>
    </row>
    <row r="32874" spans="104:111">
      <c r="CZ32874" s="256"/>
      <c r="DG32874" s="256"/>
    </row>
    <row r="32875" spans="104:111">
      <c r="CZ32875" s="256"/>
      <c r="DG32875" s="256"/>
    </row>
    <row r="32876" spans="104:111">
      <c r="CZ32876" s="256"/>
      <c r="DG32876" s="256"/>
    </row>
    <row r="32877" spans="104:111">
      <c r="CZ32877" s="256"/>
      <c r="DG32877" s="256"/>
    </row>
    <row r="32878" spans="104:111">
      <c r="CZ32878" s="256"/>
      <c r="DG32878" s="256"/>
    </row>
    <row r="32879" spans="104:111">
      <c r="CZ32879" s="256"/>
      <c r="DG32879" s="256"/>
    </row>
    <row r="32880" spans="104:111">
      <c r="CZ32880" s="256"/>
      <c r="DG32880" s="256"/>
    </row>
    <row r="32881" spans="104:111">
      <c r="CZ32881" s="256"/>
      <c r="DG32881" s="256"/>
    </row>
    <row r="32882" spans="104:111">
      <c r="CZ32882" s="256"/>
      <c r="DG32882" s="256"/>
    </row>
    <row r="32883" spans="104:111">
      <c r="CZ32883" s="256"/>
      <c r="DG32883" s="256"/>
    </row>
    <row r="32884" spans="104:111">
      <c r="CZ32884" s="256"/>
      <c r="DG32884" s="256"/>
    </row>
    <row r="32885" spans="104:111">
      <c r="CZ32885" s="256"/>
      <c r="DG32885" s="256"/>
    </row>
    <row r="32886" spans="104:111">
      <c r="CZ32886" s="256"/>
      <c r="DG32886" s="256"/>
    </row>
    <row r="32887" spans="104:111">
      <c r="CZ32887" s="256"/>
      <c r="DG32887" s="256"/>
    </row>
    <row r="32888" spans="104:111">
      <c r="CZ32888" s="256"/>
      <c r="DG32888" s="256"/>
    </row>
    <row r="32889" spans="104:111">
      <c r="CZ32889" s="256"/>
      <c r="DG32889" s="256"/>
    </row>
    <row r="32890" spans="104:111">
      <c r="CZ32890" s="256"/>
      <c r="DG32890" s="256"/>
    </row>
    <row r="32891" spans="104:111">
      <c r="CZ32891" s="256"/>
      <c r="DG32891" s="256"/>
    </row>
    <row r="32892" spans="104:111">
      <c r="CZ32892" s="256"/>
      <c r="DG32892" s="256"/>
    </row>
    <row r="32893" spans="104:111">
      <c r="CZ32893" s="256"/>
      <c r="DG32893" s="256"/>
    </row>
    <row r="32894" spans="104:111">
      <c r="CZ32894" s="256"/>
      <c r="DG32894" s="256"/>
    </row>
    <row r="32895" spans="104:111">
      <c r="CZ32895" s="256"/>
      <c r="DG32895" s="256"/>
    </row>
    <row r="32896" spans="104:111">
      <c r="CZ32896" s="256"/>
      <c r="DG32896" s="256"/>
    </row>
    <row r="32897" spans="104:111">
      <c r="CZ32897" s="256"/>
      <c r="DG32897" s="256"/>
    </row>
    <row r="32898" spans="104:111">
      <c r="CZ32898" s="256"/>
      <c r="DG32898" s="256"/>
    </row>
    <row r="32899" spans="104:111">
      <c r="CZ32899" s="256"/>
      <c r="DG32899" s="256"/>
    </row>
    <row r="32900" spans="104:111">
      <c r="CZ32900" s="256"/>
      <c r="DG32900" s="256"/>
    </row>
    <row r="32901" spans="104:111">
      <c r="CZ32901" s="256"/>
      <c r="DG32901" s="256"/>
    </row>
    <row r="32902" spans="104:111">
      <c r="CZ32902" s="256"/>
      <c r="DG32902" s="256"/>
    </row>
    <row r="32903" spans="104:111">
      <c r="CZ32903" s="256"/>
      <c r="DG32903" s="256"/>
    </row>
    <row r="32904" spans="104:111">
      <c r="CZ32904" s="256"/>
      <c r="DG32904" s="256"/>
    </row>
    <row r="32905" spans="104:111">
      <c r="CZ32905" s="256"/>
      <c r="DG32905" s="256"/>
    </row>
    <row r="32906" spans="104:111">
      <c r="CZ32906" s="256"/>
      <c r="DG32906" s="256"/>
    </row>
    <row r="32907" spans="104:111">
      <c r="CZ32907" s="256"/>
      <c r="DG32907" s="256"/>
    </row>
    <row r="32908" spans="104:111">
      <c r="CZ32908" s="256"/>
      <c r="DG32908" s="256"/>
    </row>
    <row r="32909" spans="104:111">
      <c r="CZ32909" s="256"/>
      <c r="DG32909" s="256"/>
    </row>
    <row r="32910" spans="104:111">
      <c r="CZ32910" s="256"/>
      <c r="DG32910" s="256"/>
    </row>
    <row r="32911" spans="104:111">
      <c r="CZ32911" s="256"/>
      <c r="DG32911" s="256"/>
    </row>
    <row r="32912" spans="104:111">
      <c r="CZ32912" s="256"/>
      <c r="DG32912" s="256"/>
    </row>
    <row r="32913" spans="104:111">
      <c r="CZ32913" s="256"/>
      <c r="DG32913" s="256"/>
    </row>
    <row r="32914" spans="104:111">
      <c r="CZ32914" s="256"/>
      <c r="DG32914" s="256"/>
    </row>
    <row r="32915" spans="104:111">
      <c r="CZ32915" s="256"/>
      <c r="DG32915" s="256"/>
    </row>
    <row r="32916" spans="104:111">
      <c r="CZ32916" s="256"/>
      <c r="DG32916" s="256"/>
    </row>
    <row r="32917" spans="104:111">
      <c r="CZ32917" s="256"/>
      <c r="DG32917" s="256"/>
    </row>
    <row r="32918" spans="104:111">
      <c r="CZ32918" s="256"/>
      <c r="DG32918" s="256"/>
    </row>
    <row r="32919" spans="104:111">
      <c r="CZ32919" s="256"/>
      <c r="DG32919" s="256"/>
    </row>
    <row r="32920" spans="104:111">
      <c r="CZ32920" s="256"/>
      <c r="DG32920" s="256"/>
    </row>
    <row r="32921" spans="104:111">
      <c r="CZ32921" s="256"/>
      <c r="DG32921" s="256"/>
    </row>
    <row r="32922" spans="104:111">
      <c r="CZ32922" s="256"/>
      <c r="DG32922" s="256"/>
    </row>
    <row r="32923" spans="104:111">
      <c r="CZ32923" s="256"/>
      <c r="DG32923" s="256"/>
    </row>
    <row r="32924" spans="104:111">
      <c r="CZ32924" s="256"/>
      <c r="DG32924" s="256"/>
    </row>
    <row r="32925" spans="104:111">
      <c r="CZ32925" s="256"/>
      <c r="DG32925" s="256"/>
    </row>
    <row r="32926" spans="104:111">
      <c r="CZ32926" s="256"/>
      <c r="DG32926" s="256"/>
    </row>
    <row r="32927" spans="104:111">
      <c r="CZ32927" s="256"/>
      <c r="DG32927" s="256"/>
    </row>
    <row r="32928" spans="104:111">
      <c r="CZ32928" s="256"/>
      <c r="DG32928" s="256"/>
    </row>
    <row r="32929" spans="104:111">
      <c r="CZ32929" s="256"/>
      <c r="DG32929" s="256"/>
    </row>
    <row r="32930" spans="104:111">
      <c r="CZ32930" s="256"/>
      <c r="DG32930" s="256"/>
    </row>
    <row r="32931" spans="104:111">
      <c r="CZ32931" s="256"/>
      <c r="DG32931" s="256"/>
    </row>
    <row r="32932" spans="104:111">
      <c r="CZ32932" s="256"/>
      <c r="DG32932" s="256"/>
    </row>
    <row r="32933" spans="104:111">
      <c r="CZ32933" s="256"/>
      <c r="DG32933" s="256"/>
    </row>
    <row r="32934" spans="104:111">
      <c r="CZ32934" s="256"/>
      <c r="DG32934" s="256"/>
    </row>
    <row r="32935" spans="104:111">
      <c r="CZ32935" s="256"/>
      <c r="DG32935" s="256"/>
    </row>
    <row r="32936" spans="104:111">
      <c r="CZ32936" s="256"/>
      <c r="DG32936" s="256"/>
    </row>
    <row r="32937" spans="104:111">
      <c r="CZ32937" s="256"/>
      <c r="DG32937" s="256"/>
    </row>
    <row r="32938" spans="104:111">
      <c r="CZ32938" s="256"/>
      <c r="DG32938" s="256"/>
    </row>
    <row r="32939" spans="104:111">
      <c r="CZ32939" s="256"/>
      <c r="DG32939" s="256"/>
    </row>
    <row r="32940" spans="104:111">
      <c r="CZ32940" s="256"/>
      <c r="DG32940" s="256"/>
    </row>
    <row r="32941" spans="104:111">
      <c r="CZ32941" s="256"/>
      <c r="DG32941" s="256"/>
    </row>
    <row r="32942" spans="104:111">
      <c r="CZ32942" s="256"/>
      <c r="DG32942" s="256"/>
    </row>
    <row r="32943" spans="104:111">
      <c r="CZ32943" s="256"/>
      <c r="DG32943" s="256"/>
    </row>
    <row r="32944" spans="104:111">
      <c r="CZ32944" s="256"/>
      <c r="DG32944" s="256"/>
    </row>
    <row r="32945" spans="104:111">
      <c r="CZ32945" s="256"/>
      <c r="DG32945" s="256"/>
    </row>
    <row r="32946" spans="104:111">
      <c r="CZ32946" s="256"/>
      <c r="DG32946" s="256"/>
    </row>
    <row r="32947" spans="104:111">
      <c r="CZ32947" s="256"/>
      <c r="DG32947" s="256"/>
    </row>
    <row r="32948" spans="104:111">
      <c r="CZ32948" s="256"/>
      <c r="DG32948" s="256"/>
    </row>
    <row r="32949" spans="104:111">
      <c r="CZ32949" s="256"/>
      <c r="DG32949" s="256"/>
    </row>
    <row r="32950" spans="104:111">
      <c r="CZ32950" s="256"/>
      <c r="DG32950" s="256"/>
    </row>
    <row r="32951" spans="104:111">
      <c r="CZ32951" s="256"/>
      <c r="DG32951" s="256"/>
    </row>
    <row r="32952" spans="104:111">
      <c r="CZ32952" s="256"/>
      <c r="DG32952" s="256"/>
    </row>
    <row r="32953" spans="104:111">
      <c r="CZ32953" s="256"/>
      <c r="DG32953" s="256"/>
    </row>
    <row r="32954" spans="104:111">
      <c r="CZ32954" s="256"/>
      <c r="DG32954" s="256"/>
    </row>
    <row r="32955" spans="104:111">
      <c r="CZ32955" s="256"/>
      <c r="DG32955" s="256"/>
    </row>
    <row r="32956" spans="104:111">
      <c r="CZ32956" s="256"/>
      <c r="DG32956" s="256"/>
    </row>
    <row r="32957" spans="104:111">
      <c r="CZ32957" s="256"/>
      <c r="DG32957" s="256"/>
    </row>
    <row r="32958" spans="104:111">
      <c r="CZ32958" s="256"/>
      <c r="DG32958" s="256"/>
    </row>
    <row r="32959" spans="104:111">
      <c r="CZ32959" s="256"/>
      <c r="DG32959" s="256"/>
    </row>
    <row r="32960" spans="104:111">
      <c r="CZ32960" s="256"/>
      <c r="DG32960" s="256"/>
    </row>
    <row r="32961" spans="104:111">
      <c r="CZ32961" s="256"/>
      <c r="DG32961" s="256"/>
    </row>
    <row r="32962" spans="104:111">
      <c r="CZ32962" s="256"/>
      <c r="DG32962" s="256"/>
    </row>
    <row r="32963" spans="104:111">
      <c r="CZ32963" s="256"/>
      <c r="DG32963" s="256"/>
    </row>
    <row r="32964" spans="104:111">
      <c r="CZ32964" s="256"/>
      <c r="DG32964" s="256"/>
    </row>
    <row r="32965" spans="104:111">
      <c r="CZ32965" s="256"/>
      <c r="DG32965" s="256"/>
    </row>
    <row r="32966" spans="104:111">
      <c r="CZ32966" s="256"/>
      <c r="DG32966" s="256"/>
    </row>
    <row r="32967" spans="104:111">
      <c r="CZ32967" s="256"/>
      <c r="DG32967" s="256"/>
    </row>
    <row r="32968" spans="104:111">
      <c r="CZ32968" s="256"/>
      <c r="DG32968" s="256"/>
    </row>
    <row r="32969" spans="104:111">
      <c r="CZ32969" s="256"/>
      <c r="DG32969" s="256"/>
    </row>
    <row r="32970" spans="104:111">
      <c r="CZ32970" s="256"/>
      <c r="DG32970" s="256"/>
    </row>
    <row r="32971" spans="104:111">
      <c r="CZ32971" s="256"/>
      <c r="DG32971" s="256"/>
    </row>
    <row r="32972" spans="104:111">
      <c r="CZ32972" s="256"/>
      <c r="DG32972" s="256"/>
    </row>
    <row r="32973" spans="104:111">
      <c r="CZ32973" s="256"/>
      <c r="DG32973" s="256"/>
    </row>
    <row r="32974" spans="104:111">
      <c r="CZ32974" s="256"/>
      <c r="DG32974" s="256"/>
    </row>
    <row r="32975" spans="104:111">
      <c r="CZ32975" s="256"/>
      <c r="DG32975" s="256"/>
    </row>
    <row r="32976" spans="104:111">
      <c r="CZ32976" s="256"/>
      <c r="DG32976" s="256"/>
    </row>
    <row r="32977" spans="104:111">
      <c r="CZ32977" s="256"/>
      <c r="DG32977" s="256"/>
    </row>
    <row r="32978" spans="104:111">
      <c r="CZ32978" s="256"/>
      <c r="DG32978" s="256"/>
    </row>
    <row r="32979" spans="104:111">
      <c r="CZ32979" s="256"/>
      <c r="DG32979" s="256"/>
    </row>
    <row r="32980" spans="104:111">
      <c r="CZ32980" s="256"/>
      <c r="DG32980" s="256"/>
    </row>
    <row r="32981" spans="104:111">
      <c r="CZ32981" s="256"/>
      <c r="DG32981" s="256"/>
    </row>
    <row r="32982" spans="104:111">
      <c r="CZ32982" s="256"/>
      <c r="DG32982" s="256"/>
    </row>
    <row r="32983" spans="104:111">
      <c r="CZ32983" s="256"/>
      <c r="DG32983" s="256"/>
    </row>
    <row r="32984" spans="104:111">
      <c r="CZ32984" s="256"/>
      <c r="DG32984" s="256"/>
    </row>
    <row r="32985" spans="104:111">
      <c r="CZ32985" s="256"/>
      <c r="DG32985" s="256"/>
    </row>
    <row r="32986" spans="104:111">
      <c r="CZ32986" s="256"/>
      <c r="DG32986" s="256"/>
    </row>
    <row r="32987" spans="104:111">
      <c r="CZ32987" s="256"/>
      <c r="DG32987" s="256"/>
    </row>
    <row r="32988" spans="104:111">
      <c r="CZ32988" s="256"/>
      <c r="DG32988" s="256"/>
    </row>
    <row r="32989" spans="104:111">
      <c r="CZ32989" s="256"/>
      <c r="DG32989" s="256"/>
    </row>
    <row r="32990" spans="104:111">
      <c r="CZ32990" s="256"/>
      <c r="DG32990" s="256"/>
    </row>
    <row r="32991" spans="104:111">
      <c r="CZ32991" s="256"/>
      <c r="DG32991" s="256"/>
    </row>
    <row r="32992" spans="104:111">
      <c r="CZ32992" s="256"/>
      <c r="DG32992" s="256"/>
    </row>
    <row r="32993" spans="104:111">
      <c r="CZ32993" s="256"/>
      <c r="DG32993" s="256"/>
    </row>
    <row r="32994" spans="104:111">
      <c r="CZ32994" s="256"/>
      <c r="DG32994" s="256"/>
    </row>
    <row r="32995" spans="104:111">
      <c r="CZ32995" s="256"/>
      <c r="DG32995" s="256"/>
    </row>
    <row r="32996" spans="104:111">
      <c r="CZ32996" s="256"/>
      <c r="DG32996" s="256"/>
    </row>
    <row r="32997" spans="104:111">
      <c r="CZ32997" s="256"/>
      <c r="DG32997" s="256"/>
    </row>
    <row r="32998" spans="104:111">
      <c r="CZ32998" s="256"/>
      <c r="DG32998" s="256"/>
    </row>
    <row r="32999" spans="104:111">
      <c r="CZ32999" s="256"/>
      <c r="DG32999" s="256"/>
    </row>
    <row r="33000" spans="104:111">
      <c r="CZ33000" s="256"/>
      <c r="DG33000" s="256"/>
    </row>
    <row r="33001" spans="104:111">
      <c r="CZ33001" s="256"/>
      <c r="DG33001" s="256"/>
    </row>
    <row r="33002" spans="104:111">
      <c r="CZ33002" s="256"/>
      <c r="DG33002" s="256"/>
    </row>
    <row r="33003" spans="104:111">
      <c r="CZ33003" s="256"/>
      <c r="DG33003" s="256"/>
    </row>
    <row r="33004" spans="104:111">
      <c r="CZ33004" s="256"/>
      <c r="DG33004" s="256"/>
    </row>
    <row r="33005" spans="104:111">
      <c r="CZ33005" s="256"/>
      <c r="DG33005" s="256"/>
    </row>
    <row r="33006" spans="104:111">
      <c r="CZ33006" s="256"/>
      <c r="DG33006" s="256"/>
    </row>
    <row r="33007" spans="104:111">
      <c r="CZ33007" s="256"/>
      <c r="DG33007" s="256"/>
    </row>
    <row r="33008" spans="104:111">
      <c r="CZ33008" s="256"/>
      <c r="DG33008" s="256"/>
    </row>
    <row r="33009" spans="104:111">
      <c r="CZ33009" s="256"/>
      <c r="DG33009" s="256"/>
    </row>
    <row r="33010" spans="104:111">
      <c r="CZ33010" s="256"/>
      <c r="DG33010" s="256"/>
    </row>
    <row r="33011" spans="104:111">
      <c r="CZ33011" s="256"/>
      <c r="DG33011" s="256"/>
    </row>
    <row r="33012" spans="104:111">
      <c r="CZ33012" s="256"/>
      <c r="DG33012" s="256"/>
    </row>
    <row r="33013" spans="104:111">
      <c r="CZ33013" s="256"/>
      <c r="DG33013" s="256"/>
    </row>
    <row r="33014" spans="104:111">
      <c r="CZ33014" s="256"/>
      <c r="DG33014" s="256"/>
    </row>
    <row r="33015" spans="104:111">
      <c r="CZ33015" s="256"/>
      <c r="DG33015" s="256"/>
    </row>
    <row r="33016" spans="104:111">
      <c r="CZ33016" s="256"/>
      <c r="DG33016" s="256"/>
    </row>
    <row r="33017" spans="104:111">
      <c r="CZ33017" s="256"/>
      <c r="DG33017" s="256"/>
    </row>
    <row r="33018" spans="104:111">
      <c r="CZ33018" s="256"/>
      <c r="DG33018" s="256"/>
    </row>
    <row r="33019" spans="104:111">
      <c r="CZ33019" s="256"/>
      <c r="DG33019" s="256"/>
    </row>
    <row r="33020" spans="104:111">
      <c r="CZ33020" s="256"/>
      <c r="DG33020" s="256"/>
    </row>
    <row r="33021" spans="104:111">
      <c r="CZ33021" s="256"/>
      <c r="DG33021" s="256"/>
    </row>
    <row r="33022" spans="104:111">
      <c r="CZ33022" s="256"/>
      <c r="DG33022" s="256"/>
    </row>
    <row r="33023" spans="104:111">
      <c r="CZ33023" s="256"/>
      <c r="DG33023" s="256"/>
    </row>
    <row r="33024" spans="104:111">
      <c r="CZ33024" s="256"/>
      <c r="DG33024" s="256"/>
    </row>
    <row r="33025" spans="104:111">
      <c r="CZ33025" s="256"/>
      <c r="DG33025" s="256"/>
    </row>
    <row r="33026" spans="104:111">
      <c r="CZ33026" s="256"/>
      <c r="DG33026" s="256"/>
    </row>
    <row r="33027" spans="104:111">
      <c r="CZ33027" s="256"/>
      <c r="DG33027" s="256"/>
    </row>
    <row r="33028" spans="104:111">
      <c r="CZ33028" s="256"/>
      <c r="DG33028" s="256"/>
    </row>
    <row r="33029" spans="104:111">
      <c r="CZ33029" s="256"/>
      <c r="DG33029" s="256"/>
    </row>
    <row r="33030" spans="104:111">
      <c r="CZ33030" s="256"/>
      <c r="DG33030" s="256"/>
    </row>
    <row r="33031" spans="104:111">
      <c r="CZ33031" s="256"/>
      <c r="DG33031" s="256"/>
    </row>
    <row r="33032" spans="104:111">
      <c r="CZ33032" s="256"/>
      <c r="DG33032" s="256"/>
    </row>
    <row r="33033" spans="104:111">
      <c r="CZ33033" s="256"/>
      <c r="DG33033" s="256"/>
    </row>
    <row r="33034" spans="104:111">
      <c r="CZ33034" s="256"/>
      <c r="DG33034" s="256"/>
    </row>
    <row r="33035" spans="104:111">
      <c r="CZ33035" s="256"/>
      <c r="DG33035" s="256"/>
    </row>
    <row r="33036" spans="104:111">
      <c r="CZ33036" s="256"/>
      <c r="DG33036" s="256"/>
    </row>
    <row r="33037" spans="104:111">
      <c r="CZ33037" s="256"/>
      <c r="DG33037" s="256"/>
    </row>
    <row r="33038" spans="104:111">
      <c r="CZ33038" s="256"/>
      <c r="DG33038" s="256"/>
    </row>
    <row r="33039" spans="104:111">
      <c r="CZ33039" s="256"/>
      <c r="DG33039" s="256"/>
    </row>
    <row r="33040" spans="104:111">
      <c r="CZ33040" s="256"/>
      <c r="DG33040" s="256"/>
    </row>
    <row r="33041" spans="104:111">
      <c r="CZ33041" s="256"/>
      <c r="DG33041" s="256"/>
    </row>
    <row r="33042" spans="104:111">
      <c r="CZ33042" s="256"/>
      <c r="DG33042" s="256"/>
    </row>
    <row r="33043" spans="104:111">
      <c r="CZ33043" s="256"/>
      <c r="DG33043" s="256"/>
    </row>
    <row r="33044" spans="104:111">
      <c r="CZ33044" s="256"/>
      <c r="DG33044" s="256"/>
    </row>
    <row r="33045" spans="104:111">
      <c r="CZ33045" s="256"/>
      <c r="DG33045" s="256"/>
    </row>
    <row r="33046" spans="104:111">
      <c r="CZ33046" s="256"/>
      <c r="DG33046" s="256"/>
    </row>
    <row r="33047" spans="104:111">
      <c r="CZ33047" s="256"/>
      <c r="DG33047" s="256"/>
    </row>
    <row r="33048" spans="104:111">
      <c r="CZ33048" s="256"/>
      <c r="DG33048" s="256"/>
    </row>
    <row r="33049" spans="104:111">
      <c r="CZ33049" s="256"/>
      <c r="DG33049" s="256"/>
    </row>
    <row r="33050" spans="104:111">
      <c r="CZ33050" s="256"/>
      <c r="DG33050" s="256"/>
    </row>
    <row r="33051" spans="104:111">
      <c r="CZ33051" s="256"/>
      <c r="DG33051" s="256"/>
    </row>
    <row r="33052" spans="104:111">
      <c r="CZ33052" s="256"/>
      <c r="DG33052" s="256"/>
    </row>
    <row r="33053" spans="104:111">
      <c r="CZ33053" s="256"/>
      <c r="DG33053" s="256"/>
    </row>
    <row r="33054" spans="104:111">
      <c r="CZ33054" s="256"/>
      <c r="DG33054" s="256"/>
    </row>
    <row r="33055" spans="104:111">
      <c r="CZ33055" s="256"/>
      <c r="DG33055" s="256"/>
    </row>
    <row r="33056" spans="104:111">
      <c r="CZ33056" s="256"/>
      <c r="DG33056" s="256"/>
    </row>
    <row r="33057" spans="104:111">
      <c r="CZ33057" s="256"/>
      <c r="DG33057" s="256"/>
    </row>
    <row r="33058" spans="104:111">
      <c r="CZ33058" s="256"/>
      <c r="DG33058" s="256"/>
    </row>
    <row r="33059" spans="104:111">
      <c r="CZ33059" s="256"/>
      <c r="DG33059" s="256"/>
    </row>
    <row r="33060" spans="104:111">
      <c r="CZ33060" s="256"/>
      <c r="DG33060" s="256"/>
    </row>
    <row r="33061" spans="104:111">
      <c r="CZ33061" s="256"/>
      <c r="DG33061" s="256"/>
    </row>
    <row r="33062" spans="104:111">
      <c r="CZ33062" s="256"/>
      <c r="DG33062" s="256"/>
    </row>
    <row r="33063" spans="104:111">
      <c r="CZ33063" s="256"/>
      <c r="DG33063" s="256"/>
    </row>
    <row r="33064" spans="104:111">
      <c r="CZ33064" s="256"/>
      <c r="DG33064" s="256"/>
    </row>
    <row r="33065" spans="104:111">
      <c r="CZ33065" s="256"/>
      <c r="DG33065" s="256"/>
    </row>
    <row r="33066" spans="104:111">
      <c r="CZ33066" s="256"/>
      <c r="DG33066" s="256"/>
    </row>
    <row r="33067" spans="104:111">
      <c r="CZ33067" s="256"/>
      <c r="DG33067" s="256"/>
    </row>
    <row r="33068" spans="104:111">
      <c r="CZ33068" s="256"/>
      <c r="DG33068" s="256"/>
    </row>
    <row r="33069" spans="104:111">
      <c r="CZ33069" s="256"/>
      <c r="DG33069" s="256"/>
    </row>
    <row r="33070" spans="104:111">
      <c r="CZ33070" s="256"/>
      <c r="DG33070" s="256"/>
    </row>
    <row r="33071" spans="104:111">
      <c r="CZ33071" s="256"/>
      <c r="DG33071" s="256"/>
    </row>
    <row r="33072" spans="104:111">
      <c r="CZ33072" s="256"/>
      <c r="DG33072" s="256"/>
    </row>
    <row r="33073" spans="104:111">
      <c r="CZ33073" s="256"/>
      <c r="DG33073" s="256"/>
    </row>
    <row r="33074" spans="104:111">
      <c r="CZ33074" s="256"/>
      <c r="DG33074" s="256"/>
    </row>
    <row r="33075" spans="104:111">
      <c r="CZ33075" s="256"/>
      <c r="DG33075" s="256"/>
    </row>
    <row r="33076" spans="104:111">
      <c r="CZ33076" s="256"/>
      <c r="DG33076" s="256"/>
    </row>
    <row r="33077" spans="104:111">
      <c r="CZ33077" s="256"/>
      <c r="DG33077" s="256"/>
    </row>
    <row r="33078" spans="104:111">
      <c r="CZ33078" s="256"/>
      <c r="DG33078" s="256"/>
    </row>
    <row r="33079" spans="104:111">
      <c r="CZ33079" s="256"/>
      <c r="DG33079" s="256"/>
    </row>
    <row r="33080" spans="104:111">
      <c r="CZ33080" s="256"/>
      <c r="DG33080" s="256"/>
    </row>
    <row r="33081" spans="104:111">
      <c r="CZ33081" s="256"/>
      <c r="DG33081" s="256"/>
    </row>
    <row r="33082" spans="104:111">
      <c r="CZ33082" s="256"/>
      <c r="DG33082" s="256"/>
    </row>
    <row r="33083" spans="104:111">
      <c r="CZ33083" s="256"/>
      <c r="DG33083" s="256"/>
    </row>
    <row r="33084" spans="104:111">
      <c r="CZ33084" s="256"/>
      <c r="DG33084" s="256"/>
    </row>
    <row r="33085" spans="104:111">
      <c r="CZ33085" s="256"/>
      <c r="DG33085" s="256"/>
    </row>
    <row r="33086" spans="104:111">
      <c r="CZ33086" s="256"/>
      <c r="DG33086" s="256"/>
    </row>
    <row r="33087" spans="104:111">
      <c r="CZ33087" s="256"/>
      <c r="DG33087" s="256"/>
    </row>
    <row r="33088" spans="104:111">
      <c r="CZ33088" s="256"/>
      <c r="DG33088" s="256"/>
    </row>
    <row r="33089" spans="104:111">
      <c r="CZ33089" s="256"/>
      <c r="DG33089" s="256"/>
    </row>
    <row r="33090" spans="104:111">
      <c r="CZ33090" s="256"/>
      <c r="DG33090" s="256"/>
    </row>
    <row r="33091" spans="104:111">
      <c r="CZ33091" s="256"/>
      <c r="DG33091" s="256"/>
    </row>
    <row r="33092" spans="104:111">
      <c r="CZ33092" s="256"/>
      <c r="DG33092" s="256"/>
    </row>
    <row r="33093" spans="104:111">
      <c r="CZ33093" s="256"/>
      <c r="DG33093" s="256"/>
    </row>
    <row r="33094" spans="104:111">
      <c r="CZ33094" s="256"/>
      <c r="DG33094" s="256"/>
    </row>
    <row r="33095" spans="104:111">
      <c r="CZ33095" s="256"/>
      <c r="DG33095" s="256"/>
    </row>
    <row r="33096" spans="104:111">
      <c r="CZ33096" s="256"/>
      <c r="DG33096" s="256"/>
    </row>
    <row r="33097" spans="104:111">
      <c r="CZ33097" s="256"/>
      <c r="DG33097" s="256"/>
    </row>
    <row r="33098" spans="104:111">
      <c r="CZ33098" s="256"/>
      <c r="DG33098" s="256"/>
    </row>
    <row r="33099" spans="104:111">
      <c r="CZ33099" s="256"/>
      <c r="DG33099" s="256"/>
    </row>
    <row r="33100" spans="104:111">
      <c r="CZ33100" s="256"/>
      <c r="DG33100" s="256"/>
    </row>
    <row r="33101" spans="104:111">
      <c r="CZ33101" s="256"/>
      <c r="DG33101" s="256"/>
    </row>
    <row r="33102" spans="104:111">
      <c r="CZ33102" s="256"/>
      <c r="DG33102" s="256"/>
    </row>
    <row r="33103" spans="104:111">
      <c r="CZ33103" s="256"/>
      <c r="DG33103" s="256"/>
    </row>
    <row r="33104" spans="104:111">
      <c r="CZ33104" s="256"/>
      <c r="DG33104" s="256"/>
    </row>
    <row r="33105" spans="104:111">
      <c r="CZ33105" s="256"/>
      <c r="DG33105" s="256"/>
    </row>
    <row r="33106" spans="104:111">
      <c r="CZ33106" s="256"/>
      <c r="DG33106" s="256"/>
    </row>
    <row r="33107" spans="104:111">
      <c r="CZ33107" s="256"/>
      <c r="DG33107" s="256"/>
    </row>
    <row r="33108" spans="104:111">
      <c r="CZ33108" s="256"/>
      <c r="DG33108" s="256"/>
    </row>
    <row r="33109" spans="104:111">
      <c r="CZ33109" s="256"/>
      <c r="DG33109" s="256"/>
    </row>
    <row r="33110" spans="104:111">
      <c r="CZ33110" s="256"/>
      <c r="DG33110" s="256"/>
    </row>
    <row r="33111" spans="104:111">
      <c r="CZ33111" s="256"/>
      <c r="DG33111" s="256"/>
    </row>
    <row r="33112" spans="104:111">
      <c r="CZ33112" s="256"/>
      <c r="DG33112" s="256"/>
    </row>
    <row r="33113" spans="104:111">
      <c r="CZ33113" s="256"/>
      <c r="DG33113" s="256"/>
    </row>
    <row r="33114" spans="104:111">
      <c r="CZ33114" s="256"/>
      <c r="DG33114" s="256"/>
    </row>
    <row r="33115" spans="104:111">
      <c r="CZ33115" s="256"/>
      <c r="DG33115" s="256"/>
    </row>
    <row r="33116" spans="104:111">
      <c r="CZ33116" s="256"/>
      <c r="DG33116" s="256"/>
    </row>
    <row r="33117" spans="104:111">
      <c r="CZ33117" s="256"/>
      <c r="DG33117" s="256"/>
    </row>
    <row r="33118" spans="104:111">
      <c r="CZ33118" s="256"/>
      <c r="DG33118" s="256"/>
    </row>
    <row r="33119" spans="104:111">
      <c r="CZ33119" s="256"/>
      <c r="DG33119" s="256"/>
    </row>
    <row r="33120" spans="104:111">
      <c r="CZ33120" s="256"/>
      <c r="DG33120" s="256"/>
    </row>
    <row r="33121" spans="104:111">
      <c r="CZ33121" s="256"/>
      <c r="DG33121" s="256"/>
    </row>
    <row r="33122" spans="104:111">
      <c r="CZ33122" s="256"/>
      <c r="DG33122" s="256"/>
    </row>
    <row r="33123" spans="104:111">
      <c r="CZ33123" s="256"/>
      <c r="DG33123" s="256"/>
    </row>
    <row r="33124" spans="104:111">
      <c r="CZ33124" s="256"/>
      <c r="DG33124" s="256"/>
    </row>
    <row r="33125" spans="104:111">
      <c r="CZ33125" s="256"/>
      <c r="DG33125" s="256"/>
    </row>
    <row r="33126" spans="104:111">
      <c r="CZ33126" s="256"/>
      <c r="DG33126" s="256"/>
    </row>
    <row r="33127" spans="104:111">
      <c r="CZ33127" s="256"/>
      <c r="DG33127" s="256"/>
    </row>
    <row r="33128" spans="104:111">
      <c r="CZ33128" s="256"/>
      <c r="DG33128" s="256"/>
    </row>
    <row r="33129" spans="104:111">
      <c r="CZ33129" s="256"/>
      <c r="DG33129" s="256"/>
    </row>
    <row r="33130" spans="104:111">
      <c r="CZ33130" s="256"/>
      <c r="DG33130" s="256"/>
    </row>
    <row r="33131" spans="104:111">
      <c r="CZ33131" s="256"/>
      <c r="DG33131" s="256"/>
    </row>
    <row r="33132" spans="104:111">
      <c r="CZ33132" s="256"/>
      <c r="DG33132" s="256"/>
    </row>
    <row r="33133" spans="104:111">
      <c r="CZ33133" s="256"/>
      <c r="DG33133" s="256"/>
    </row>
    <row r="33134" spans="104:111">
      <c r="CZ33134" s="256"/>
      <c r="DG33134" s="256"/>
    </row>
    <row r="33135" spans="104:111">
      <c r="CZ33135" s="256"/>
      <c r="DG33135" s="256"/>
    </row>
    <row r="33136" spans="104:111">
      <c r="CZ33136" s="256"/>
      <c r="DG33136" s="256"/>
    </row>
    <row r="33137" spans="104:111">
      <c r="CZ33137" s="256"/>
      <c r="DG33137" s="256"/>
    </row>
    <row r="33138" spans="104:111">
      <c r="CZ33138" s="256"/>
      <c r="DG33138" s="256"/>
    </row>
    <row r="33139" spans="104:111">
      <c r="CZ33139" s="256"/>
      <c r="DG33139" s="256"/>
    </row>
    <row r="33140" spans="104:111">
      <c r="CZ33140" s="256"/>
      <c r="DG33140" s="256"/>
    </row>
    <row r="33141" spans="104:111">
      <c r="CZ33141" s="256"/>
      <c r="DG33141" s="256"/>
    </row>
    <row r="33142" spans="104:111">
      <c r="CZ33142" s="256"/>
      <c r="DG33142" s="256"/>
    </row>
    <row r="33143" spans="104:111">
      <c r="CZ33143" s="256"/>
      <c r="DG33143" s="256"/>
    </row>
    <row r="33144" spans="104:111">
      <c r="CZ33144" s="256"/>
      <c r="DG33144" s="256"/>
    </row>
    <row r="33145" spans="104:111">
      <c r="CZ33145" s="256"/>
      <c r="DG33145" s="256"/>
    </row>
    <row r="33146" spans="104:111">
      <c r="CZ33146" s="256"/>
      <c r="DG33146" s="256"/>
    </row>
    <row r="33147" spans="104:111">
      <c r="CZ33147" s="256"/>
      <c r="DG33147" s="256"/>
    </row>
    <row r="33148" spans="104:111">
      <c r="CZ33148" s="256"/>
      <c r="DG33148" s="256"/>
    </row>
    <row r="33149" spans="104:111">
      <c r="CZ33149" s="256"/>
      <c r="DG33149" s="256"/>
    </row>
    <row r="33150" spans="104:111">
      <c r="CZ33150" s="256"/>
      <c r="DG33150" s="256"/>
    </row>
    <row r="33151" spans="104:111">
      <c r="CZ33151" s="256"/>
      <c r="DG33151" s="256"/>
    </row>
    <row r="33152" spans="104:111">
      <c r="CZ33152" s="256"/>
      <c r="DG33152" s="256"/>
    </row>
    <row r="33153" spans="104:111">
      <c r="CZ33153" s="256"/>
      <c r="DG33153" s="256"/>
    </row>
    <row r="33154" spans="104:111">
      <c r="CZ33154" s="256"/>
      <c r="DG33154" s="256"/>
    </row>
    <row r="33155" spans="104:111">
      <c r="CZ33155" s="256"/>
      <c r="DG33155" s="256"/>
    </row>
    <row r="33156" spans="104:111">
      <c r="CZ33156" s="256"/>
      <c r="DG33156" s="256"/>
    </row>
    <row r="33157" spans="104:111">
      <c r="CZ33157" s="256"/>
      <c r="DG33157" s="256"/>
    </row>
    <row r="33158" spans="104:111">
      <c r="CZ33158" s="256"/>
      <c r="DG33158" s="256"/>
    </row>
    <row r="33159" spans="104:111">
      <c r="CZ33159" s="256"/>
      <c r="DG33159" s="256"/>
    </row>
    <row r="33160" spans="104:111">
      <c r="CZ33160" s="256"/>
      <c r="DG33160" s="256"/>
    </row>
    <row r="33161" spans="104:111">
      <c r="CZ33161" s="256"/>
      <c r="DG33161" s="256"/>
    </row>
    <row r="33162" spans="104:111">
      <c r="CZ33162" s="256"/>
      <c r="DG33162" s="256"/>
    </row>
    <row r="33163" spans="104:111">
      <c r="CZ33163" s="256"/>
      <c r="DG33163" s="256"/>
    </row>
    <row r="33164" spans="104:111">
      <c r="CZ33164" s="256"/>
      <c r="DG33164" s="256"/>
    </row>
    <row r="33165" spans="104:111">
      <c r="CZ33165" s="256"/>
      <c r="DG33165" s="256"/>
    </row>
    <row r="33166" spans="104:111">
      <c r="CZ33166" s="256"/>
      <c r="DG33166" s="256"/>
    </row>
    <row r="33167" spans="104:111">
      <c r="CZ33167" s="256"/>
      <c r="DG33167" s="256"/>
    </row>
    <row r="33168" spans="104:111">
      <c r="CZ33168" s="256"/>
      <c r="DG33168" s="256"/>
    </row>
    <row r="33169" spans="104:111">
      <c r="CZ33169" s="256"/>
      <c r="DG33169" s="256"/>
    </row>
    <row r="33170" spans="104:111">
      <c r="CZ33170" s="256"/>
      <c r="DG33170" s="256"/>
    </row>
    <row r="33171" spans="104:111">
      <c r="CZ33171" s="256"/>
      <c r="DG33171" s="256"/>
    </row>
    <row r="33172" spans="104:111">
      <c r="CZ33172" s="256"/>
      <c r="DG33172" s="256"/>
    </row>
    <row r="33173" spans="104:111">
      <c r="CZ33173" s="256"/>
      <c r="DG33173" s="256"/>
    </row>
    <row r="33174" spans="104:111">
      <c r="CZ33174" s="256"/>
      <c r="DG33174" s="256"/>
    </row>
    <row r="33175" spans="104:111">
      <c r="CZ33175" s="256"/>
      <c r="DG33175" s="256"/>
    </row>
    <row r="33176" spans="104:111">
      <c r="CZ33176" s="256"/>
      <c r="DG33176" s="256"/>
    </row>
    <row r="33177" spans="104:111">
      <c r="CZ33177" s="256"/>
      <c r="DG33177" s="256"/>
    </row>
    <row r="33178" spans="104:111">
      <c r="CZ33178" s="256"/>
      <c r="DG33178" s="256"/>
    </row>
    <row r="33179" spans="104:111">
      <c r="CZ33179" s="256"/>
      <c r="DG33179" s="256"/>
    </row>
    <row r="33180" spans="104:111">
      <c r="CZ33180" s="256"/>
      <c r="DG33180" s="256"/>
    </row>
    <row r="33181" spans="104:111">
      <c r="CZ33181" s="256"/>
      <c r="DG33181" s="256"/>
    </row>
    <row r="33182" spans="104:111">
      <c r="CZ33182" s="256"/>
      <c r="DG33182" s="256"/>
    </row>
    <row r="33183" spans="104:111">
      <c r="CZ33183" s="256"/>
      <c r="DG33183" s="256"/>
    </row>
    <row r="33184" spans="104:111">
      <c r="CZ33184" s="256"/>
      <c r="DG33184" s="256"/>
    </row>
    <row r="33185" spans="104:111">
      <c r="CZ33185" s="256"/>
      <c r="DG33185" s="256"/>
    </row>
    <row r="33186" spans="104:111">
      <c r="CZ33186" s="256"/>
      <c r="DG33186" s="256"/>
    </row>
    <row r="33187" spans="104:111">
      <c r="CZ33187" s="256"/>
      <c r="DG33187" s="256"/>
    </row>
    <row r="33188" spans="104:111">
      <c r="CZ33188" s="256"/>
      <c r="DG33188" s="256"/>
    </row>
    <row r="33189" spans="104:111">
      <c r="CZ33189" s="256"/>
      <c r="DG33189" s="256"/>
    </row>
    <row r="33190" spans="104:111">
      <c r="CZ33190" s="256"/>
      <c r="DG33190" s="256"/>
    </row>
    <row r="33191" spans="104:111">
      <c r="CZ33191" s="256"/>
      <c r="DG33191" s="256"/>
    </row>
    <row r="33192" spans="104:111">
      <c r="CZ33192" s="256"/>
      <c r="DG33192" s="256"/>
    </row>
    <row r="33193" spans="104:111">
      <c r="CZ33193" s="256"/>
      <c r="DG33193" s="256"/>
    </row>
    <row r="33194" spans="104:111">
      <c r="CZ33194" s="256"/>
      <c r="DG33194" s="256"/>
    </row>
    <row r="33195" spans="104:111">
      <c r="CZ33195" s="256"/>
      <c r="DG33195" s="256"/>
    </row>
    <row r="33196" spans="104:111">
      <c r="CZ33196" s="256"/>
      <c r="DG33196" s="256"/>
    </row>
    <row r="33197" spans="104:111">
      <c r="CZ33197" s="256"/>
      <c r="DG33197" s="256"/>
    </row>
    <row r="33198" spans="104:111">
      <c r="CZ33198" s="256"/>
      <c r="DG33198" s="256"/>
    </row>
    <row r="33199" spans="104:111">
      <c r="CZ33199" s="256"/>
      <c r="DG33199" s="256"/>
    </row>
    <row r="33200" spans="104:111">
      <c r="CZ33200" s="256"/>
      <c r="DG33200" s="256"/>
    </row>
    <row r="33201" spans="104:111">
      <c r="CZ33201" s="256"/>
      <c r="DG33201" s="256"/>
    </row>
    <row r="33202" spans="104:111">
      <c r="CZ33202" s="256"/>
      <c r="DG33202" s="256"/>
    </row>
    <row r="33203" spans="104:111">
      <c r="CZ33203" s="256"/>
      <c r="DG33203" s="256"/>
    </row>
    <row r="33204" spans="104:111">
      <c r="CZ33204" s="256"/>
      <c r="DG33204" s="256"/>
    </row>
    <row r="33205" spans="104:111">
      <c r="CZ33205" s="256"/>
      <c r="DG33205" s="256"/>
    </row>
    <row r="33206" spans="104:111">
      <c r="CZ33206" s="256"/>
      <c r="DG33206" s="256"/>
    </row>
    <row r="33207" spans="104:111">
      <c r="CZ33207" s="256"/>
      <c r="DG33207" s="256"/>
    </row>
    <row r="33208" spans="104:111">
      <c r="CZ33208" s="256"/>
      <c r="DG33208" s="256"/>
    </row>
    <row r="33209" spans="104:111">
      <c r="CZ33209" s="256"/>
      <c r="DG33209" s="256"/>
    </row>
    <row r="33210" spans="104:111">
      <c r="CZ33210" s="256"/>
      <c r="DG33210" s="256"/>
    </row>
    <row r="33211" spans="104:111">
      <c r="CZ33211" s="256"/>
      <c r="DG33211" s="256"/>
    </row>
    <row r="33212" spans="104:111">
      <c r="CZ33212" s="256"/>
      <c r="DG33212" s="256"/>
    </row>
    <row r="33213" spans="104:111">
      <c r="CZ33213" s="256"/>
      <c r="DG33213" s="256"/>
    </row>
    <row r="33214" spans="104:111">
      <c r="CZ33214" s="256"/>
      <c r="DG33214" s="256"/>
    </row>
    <row r="33215" spans="104:111">
      <c r="CZ33215" s="256"/>
      <c r="DG33215" s="256"/>
    </row>
    <row r="33216" spans="104:111">
      <c r="CZ33216" s="256"/>
      <c r="DG33216" s="256"/>
    </row>
    <row r="33217" spans="104:111">
      <c r="CZ33217" s="256"/>
      <c r="DG33217" s="256"/>
    </row>
    <row r="33218" spans="104:111">
      <c r="CZ33218" s="256"/>
      <c r="DG33218" s="256"/>
    </row>
    <row r="33219" spans="104:111">
      <c r="CZ33219" s="256"/>
      <c r="DG33219" s="256"/>
    </row>
    <row r="33220" spans="104:111">
      <c r="CZ33220" s="256"/>
      <c r="DG33220" s="256"/>
    </row>
    <row r="33221" spans="104:111">
      <c r="CZ33221" s="256"/>
      <c r="DG33221" s="256"/>
    </row>
    <row r="33222" spans="104:111">
      <c r="CZ33222" s="256"/>
      <c r="DG33222" s="256"/>
    </row>
    <row r="33223" spans="104:111">
      <c r="CZ33223" s="256"/>
      <c r="DG33223" s="256"/>
    </row>
    <row r="33224" spans="104:111">
      <c r="CZ33224" s="256"/>
      <c r="DG33224" s="256"/>
    </row>
    <row r="33225" spans="104:111">
      <c r="CZ33225" s="256"/>
      <c r="DG33225" s="256"/>
    </row>
    <row r="33226" spans="104:111">
      <c r="CZ33226" s="256"/>
      <c r="DG33226" s="256"/>
    </row>
    <row r="33227" spans="104:111">
      <c r="CZ33227" s="256"/>
      <c r="DG33227" s="256"/>
    </row>
    <row r="33228" spans="104:111">
      <c r="CZ33228" s="256"/>
      <c r="DG33228" s="256"/>
    </row>
    <row r="33229" spans="104:111">
      <c r="CZ33229" s="256"/>
      <c r="DG33229" s="256"/>
    </row>
    <row r="33230" spans="104:111">
      <c r="CZ33230" s="256"/>
      <c r="DG33230" s="256"/>
    </row>
    <row r="33231" spans="104:111">
      <c r="CZ33231" s="256"/>
      <c r="DG33231" s="256"/>
    </row>
    <row r="33232" spans="104:111">
      <c r="CZ33232" s="256"/>
      <c r="DG33232" s="256"/>
    </row>
    <row r="33233" spans="104:111">
      <c r="CZ33233" s="256"/>
      <c r="DG33233" s="256"/>
    </row>
    <row r="33234" spans="104:111">
      <c r="CZ33234" s="256"/>
      <c r="DG33234" s="256"/>
    </row>
    <row r="33235" spans="104:111">
      <c r="CZ33235" s="256"/>
      <c r="DG33235" s="256"/>
    </row>
    <row r="33236" spans="104:111">
      <c r="CZ33236" s="256"/>
      <c r="DG33236" s="256"/>
    </row>
    <row r="33237" spans="104:111">
      <c r="CZ33237" s="256"/>
      <c r="DG33237" s="256"/>
    </row>
    <row r="33238" spans="104:111">
      <c r="CZ33238" s="256"/>
      <c r="DG33238" s="256"/>
    </row>
    <row r="33239" spans="104:111">
      <c r="CZ33239" s="256"/>
      <c r="DG33239" s="256"/>
    </row>
    <row r="33240" spans="104:111">
      <c r="CZ33240" s="256"/>
      <c r="DG33240" s="256"/>
    </row>
    <row r="33241" spans="104:111">
      <c r="CZ33241" s="256"/>
      <c r="DG33241" s="256"/>
    </row>
    <row r="33242" spans="104:111">
      <c r="CZ33242" s="256"/>
      <c r="DG33242" s="256"/>
    </row>
    <row r="33243" spans="104:111">
      <c r="CZ33243" s="256"/>
      <c r="DG33243" s="256"/>
    </row>
    <row r="33244" spans="104:111">
      <c r="CZ33244" s="256"/>
      <c r="DG33244" s="256"/>
    </row>
    <row r="33245" spans="104:111">
      <c r="CZ33245" s="256"/>
      <c r="DG33245" s="256"/>
    </row>
    <row r="33246" spans="104:111">
      <c r="CZ33246" s="256"/>
      <c r="DG33246" s="256"/>
    </row>
    <row r="33247" spans="104:111">
      <c r="CZ33247" s="256"/>
      <c r="DG33247" s="256"/>
    </row>
    <row r="33248" spans="104:111">
      <c r="CZ33248" s="256"/>
      <c r="DG33248" s="256"/>
    </row>
    <row r="33249" spans="104:111">
      <c r="CZ33249" s="256"/>
      <c r="DG33249" s="256"/>
    </row>
    <row r="33250" spans="104:111">
      <c r="CZ33250" s="256"/>
      <c r="DG33250" s="256"/>
    </row>
    <row r="33251" spans="104:111">
      <c r="CZ33251" s="256"/>
      <c r="DG33251" s="256"/>
    </row>
    <row r="33252" spans="104:111">
      <c r="CZ33252" s="256"/>
      <c r="DG33252" s="256"/>
    </row>
    <row r="33253" spans="104:111">
      <c r="CZ33253" s="256"/>
      <c r="DG33253" s="256"/>
    </row>
    <row r="33254" spans="104:111">
      <c r="CZ33254" s="256"/>
      <c r="DG33254" s="256"/>
    </row>
    <row r="33255" spans="104:111">
      <c r="CZ33255" s="256"/>
      <c r="DG33255" s="256"/>
    </row>
    <row r="33256" spans="104:111">
      <c r="CZ33256" s="256"/>
      <c r="DG33256" s="256"/>
    </row>
    <row r="33257" spans="104:111">
      <c r="CZ33257" s="256"/>
      <c r="DG33257" s="256"/>
    </row>
    <row r="33258" spans="104:111">
      <c r="CZ33258" s="256"/>
      <c r="DG33258" s="256"/>
    </row>
    <row r="33259" spans="104:111">
      <c r="CZ33259" s="256"/>
      <c r="DG33259" s="256"/>
    </row>
    <row r="33260" spans="104:111">
      <c r="CZ33260" s="256"/>
      <c r="DG33260" s="256"/>
    </row>
    <row r="33261" spans="104:111">
      <c r="CZ33261" s="256"/>
      <c r="DG33261" s="256"/>
    </row>
    <row r="33262" spans="104:111">
      <c r="CZ33262" s="256"/>
      <c r="DG33262" s="256"/>
    </row>
    <row r="33263" spans="104:111">
      <c r="CZ33263" s="256"/>
      <c r="DG33263" s="256"/>
    </row>
    <row r="33264" spans="104:111">
      <c r="CZ33264" s="256"/>
      <c r="DG33264" s="256"/>
    </row>
    <row r="33265" spans="104:111">
      <c r="CZ33265" s="256"/>
      <c r="DG33265" s="256"/>
    </row>
    <row r="33266" spans="104:111">
      <c r="CZ33266" s="256"/>
      <c r="DG33266" s="256"/>
    </row>
    <row r="33267" spans="104:111">
      <c r="CZ33267" s="256"/>
      <c r="DG33267" s="256"/>
    </row>
    <row r="33268" spans="104:111">
      <c r="CZ33268" s="256"/>
      <c r="DG33268" s="256"/>
    </row>
    <row r="33269" spans="104:111">
      <c r="CZ33269" s="256"/>
      <c r="DG33269" s="256"/>
    </row>
    <row r="33270" spans="104:111">
      <c r="CZ33270" s="256"/>
      <c r="DG33270" s="256"/>
    </row>
    <row r="33271" spans="104:111">
      <c r="CZ33271" s="256"/>
      <c r="DG33271" s="256"/>
    </row>
    <row r="33272" spans="104:111">
      <c r="CZ33272" s="256"/>
      <c r="DG33272" s="256"/>
    </row>
    <row r="33273" spans="104:111">
      <c r="CZ33273" s="256"/>
      <c r="DG33273" s="256"/>
    </row>
    <row r="33274" spans="104:111">
      <c r="CZ33274" s="256"/>
      <c r="DG33274" s="256"/>
    </row>
    <row r="33275" spans="104:111">
      <c r="CZ33275" s="256"/>
      <c r="DG33275" s="256"/>
    </row>
    <row r="33276" spans="104:111">
      <c r="CZ33276" s="256"/>
      <c r="DG33276" s="256"/>
    </row>
    <row r="33277" spans="104:111">
      <c r="CZ33277" s="256"/>
      <c r="DG33277" s="256"/>
    </row>
    <row r="33278" spans="104:111">
      <c r="CZ33278" s="256"/>
      <c r="DG33278" s="256"/>
    </row>
    <row r="33279" spans="104:111">
      <c r="CZ33279" s="256"/>
      <c r="DG33279" s="256"/>
    </row>
    <row r="33280" spans="104:111">
      <c r="CZ33280" s="256"/>
      <c r="DG33280" s="256"/>
    </row>
    <row r="33281" spans="104:111">
      <c r="CZ33281" s="256"/>
      <c r="DG33281" s="256"/>
    </row>
    <row r="33282" spans="104:111">
      <c r="CZ33282" s="256"/>
      <c r="DG33282" s="256"/>
    </row>
    <row r="33283" spans="104:111">
      <c r="CZ33283" s="256"/>
      <c r="DG33283" s="256"/>
    </row>
    <row r="33284" spans="104:111">
      <c r="CZ33284" s="256"/>
      <c r="DG33284" s="256"/>
    </row>
    <row r="33285" spans="104:111">
      <c r="CZ33285" s="256"/>
      <c r="DG33285" s="256"/>
    </row>
    <row r="33286" spans="104:111">
      <c r="CZ33286" s="256"/>
      <c r="DG33286" s="256"/>
    </row>
    <row r="33287" spans="104:111">
      <c r="CZ33287" s="256"/>
      <c r="DG33287" s="256"/>
    </row>
    <row r="33288" spans="104:111">
      <c r="CZ33288" s="256"/>
      <c r="DG33288" s="256"/>
    </row>
    <row r="33289" spans="104:111">
      <c r="CZ33289" s="256"/>
      <c r="DG33289" s="256"/>
    </row>
    <row r="33290" spans="104:111">
      <c r="CZ33290" s="256"/>
      <c r="DG33290" s="256"/>
    </row>
    <row r="33291" spans="104:111">
      <c r="CZ33291" s="256"/>
      <c r="DG33291" s="256"/>
    </row>
    <row r="33292" spans="104:111">
      <c r="CZ33292" s="256"/>
      <c r="DG33292" s="256"/>
    </row>
    <row r="33293" spans="104:111">
      <c r="CZ33293" s="256"/>
      <c r="DG33293" s="256"/>
    </row>
    <row r="33294" spans="104:111">
      <c r="CZ33294" s="256"/>
      <c r="DG33294" s="256"/>
    </row>
    <row r="33295" spans="104:111">
      <c r="CZ33295" s="256"/>
      <c r="DG33295" s="256"/>
    </row>
    <row r="33296" spans="104:111">
      <c r="CZ33296" s="256"/>
      <c r="DG33296" s="256"/>
    </row>
    <row r="33297" spans="104:111">
      <c r="CZ33297" s="256"/>
      <c r="DG33297" s="256"/>
    </row>
    <row r="33298" spans="104:111">
      <c r="CZ33298" s="256"/>
      <c r="DG33298" s="256"/>
    </row>
    <row r="33299" spans="104:111">
      <c r="CZ33299" s="256"/>
      <c r="DG33299" s="256"/>
    </row>
    <row r="33300" spans="104:111">
      <c r="CZ33300" s="256"/>
      <c r="DG33300" s="256"/>
    </row>
    <row r="33301" spans="104:111">
      <c r="CZ33301" s="256"/>
      <c r="DG33301" s="256"/>
    </row>
    <row r="33302" spans="104:111">
      <c r="CZ33302" s="256"/>
      <c r="DG33302" s="256"/>
    </row>
    <row r="33303" spans="104:111">
      <c r="CZ33303" s="256"/>
      <c r="DG33303" s="256"/>
    </row>
    <row r="33304" spans="104:111">
      <c r="CZ33304" s="256"/>
      <c r="DG33304" s="256"/>
    </row>
    <row r="33305" spans="104:111">
      <c r="CZ33305" s="256"/>
      <c r="DG33305" s="256"/>
    </row>
    <row r="33306" spans="104:111">
      <c r="CZ33306" s="256"/>
      <c r="DG33306" s="256"/>
    </row>
    <row r="33307" spans="104:111">
      <c r="CZ33307" s="256"/>
      <c r="DG33307" s="256"/>
    </row>
    <row r="33308" spans="104:111">
      <c r="CZ33308" s="256"/>
      <c r="DG33308" s="256"/>
    </row>
    <row r="33309" spans="104:111">
      <c r="CZ33309" s="256"/>
      <c r="DG33309" s="256"/>
    </row>
    <row r="33310" spans="104:111">
      <c r="CZ33310" s="256"/>
      <c r="DG33310" s="256"/>
    </row>
    <row r="33311" spans="104:111">
      <c r="CZ33311" s="256"/>
      <c r="DG33311" s="256"/>
    </row>
    <row r="33312" spans="104:111">
      <c r="CZ33312" s="256"/>
      <c r="DG33312" s="256"/>
    </row>
    <row r="33313" spans="104:111">
      <c r="CZ33313" s="256"/>
      <c r="DG33313" s="256"/>
    </row>
    <row r="33314" spans="104:111">
      <c r="CZ33314" s="256"/>
      <c r="DG33314" s="256"/>
    </row>
    <row r="33315" spans="104:111">
      <c r="CZ33315" s="256"/>
      <c r="DG33315" s="256"/>
    </row>
    <row r="33316" spans="104:111">
      <c r="CZ33316" s="256"/>
      <c r="DG33316" s="256"/>
    </row>
    <row r="33317" spans="104:111">
      <c r="CZ33317" s="256"/>
      <c r="DG33317" s="256"/>
    </row>
    <row r="33318" spans="104:111">
      <c r="CZ33318" s="256"/>
      <c r="DG33318" s="256"/>
    </row>
    <row r="33319" spans="104:111">
      <c r="CZ33319" s="256"/>
      <c r="DG33319" s="256"/>
    </row>
    <row r="33320" spans="104:111">
      <c r="CZ33320" s="256"/>
      <c r="DG33320" s="256"/>
    </row>
    <row r="33321" spans="104:111">
      <c r="CZ33321" s="256"/>
      <c r="DG33321" s="256"/>
    </row>
    <row r="33322" spans="104:111">
      <c r="CZ33322" s="256"/>
      <c r="DG33322" s="256"/>
    </row>
    <row r="33323" spans="104:111">
      <c r="CZ33323" s="256"/>
      <c r="DG33323" s="256"/>
    </row>
    <row r="33324" spans="104:111">
      <c r="CZ33324" s="256"/>
      <c r="DG33324" s="256"/>
    </row>
    <row r="33325" spans="104:111">
      <c r="CZ33325" s="256"/>
      <c r="DG33325" s="256"/>
    </row>
    <row r="33326" spans="104:111">
      <c r="CZ33326" s="256"/>
      <c r="DG33326" s="256"/>
    </row>
    <row r="33327" spans="104:111">
      <c r="CZ33327" s="256"/>
      <c r="DG33327" s="256"/>
    </row>
    <row r="33328" spans="104:111">
      <c r="CZ33328" s="256"/>
      <c r="DG33328" s="256"/>
    </row>
    <row r="33329" spans="104:111">
      <c r="CZ33329" s="256"/>
      <c r="DG33329" s="256"/>
    </row>
    <row r="33330" spans="104:111">
      <c r="CZ33330" s="256"/>
      <c r="DG33330" s="256"/>
    </row>
    <row r="33331" spans="104:111">
      <c r="CZ33331" s="256"/>
      <c r="DG33331" s="256"/>
    </row>
    <row r="33332" spans="104:111">
      <c r="CZ33332" s="256"/>
      <c r="DG33332" s="256"/>
    </row>
    <row r="33333" spans="104:111">
      <c r="CZ33333" s="256"/>
      <c r="DG33333" s="256"/>
    </row>
    <row r="33334" spans="104:111">
      <c r="CZ33334" s="256"/>
      <c r="DG33334" s="256"/>
    </row>
    <row r="33335" spans="104:111">
      <c r="CZ33335" s="256"/>
      <c r="DG33335" s="256"/>
    </row>
    <row r="33336" spans="104:111">
      <c r="CZ33336" s="256"/>
      <c r="DG33336" s="256"/>
    </row>
    <row r="33337" spans="104:111">
      <c r="CZ33337" s="256"/>
      <c r="DG33337" s="256"/>
    </row>
    <row r="33338" spans="104:111">
      <c r="CZ33338" s="256"/>
      <c r="DG33338" s="256"/>
    </row>
    <row r="33339" spans="104:111">
      <c r="CZ33339" s="256"/>
      <c r="DG33339" s="256"/>
    </row>
    <row r="33340" spans="104:111">
      <c r="CZ33340" s="256"/>
      <c r="DG33340" s="256"/>
    </row>
    <row r="33341" spans="104:111">
      <c r="CZ33341" s="256"/>
      <c r="DG33341" s="256"/>
    </row>
    <row r="33342" spans="104:111">
      <c r="CZ33342" s="256"/>
      <c r="DG33342" s="256"/>
    </row>
    <row r="33343" spans="104:111">
      <c r="CZ33343" s="256"/>
      <c r="DG33343" s="256"/>
    </row>
    <row r="33344" spans="104:111">
      <c r="CZ33344" s="256"/>
      <c r="DG33344" s="256"/>
    </row>
    <row r="33345" spans="104:111">
      <c r="CZ33345" s="256"/>
      <c r="DG33345" s="256"/>
    </row>
    <row r="33346" spans="104:111">
      <c r="CZ33346" s="256"/>
      <c r="DG33346" s="256"/>
    </row>
    <row r="33347" spans="104:111">
      <c r="CZ33347" s="256"/>
      <c r="DG33347" s="256"/>
    </row>
    <row r="33348" spans="104:111">
      <c r="CZ33348" s="256"/>
      <c r="DG33348" s="256"/>
    </row>
    <row r="33349" spans="104:111">
      <c r="CZ33349" s="256"/>
      <c r="DG33349" s="256"/>
    </row>
    <row r="33350" spans="104:111">
      <c r="CZ33350" s="256"/>
      <c r="DG33350" s="256"/>
    </row>
    <row r="33351" spans="104:111">
      <c r="CZ33351" s="256"/>
      <c r="DG33351" s="256"/>
    </row>
    <row r="33352" spans="104:111">
      <c r="CZ33352" s="256"/>
      <c r="DG33352" s="256"/>
    </row>
    <row r="33353" spans="104:111">
      <c r="CZ33353" s="256"/>
      <c r="DG33353" s="256"/>
    </row>
    <row r="33354" spans="104:111">
      <c r="CZ33354" s="256"/>
      <c r="DG33354" s="256"/>
    </row>
    <row r="33355" spans="104:111">
      <c r="CZ33355" s="256"/>
      <c r="DG33355" s="256"/>
    </row>
    <row r="33356" spans="104:111">
      <c r="CZ33356" s="256"/>
      <c r="DG33356" s="256"/>
    </row>
    <row r="33357" spans="104:111">
      <c r="CZ33357" s="256"/>
      <c r="DG33357" s="256"/>
    </row>
    <row r="33358" spans="104:111">
      <c r="CZ33358" s="256"/>
      <c r="DG33358" s="256"/>
    </row>
    <row r="33359" spans="104:111">
      <c r="CZ33359" s="256"/>
      <c r="DG33359" s="256"/>
    </row>
    <row r="33360" spans="104:111">
      <c r="CZ33360" s="256"/>
      <c r="DG33360" s="256"/>
    </row>
    <row r="33361" spans="104:111">
      <c r="CZ33361" s="256"/>
      <c r="DG33361" s="256"/>
    </row>
    <row r="33362" spans="104:111">
      <c r="CZ33362" s="256"/>
      <c r="DG33362" s="256"/>
    </row>
    <row r="33363" spans="104:111">
      <c r="CZ33363" s="256"/>
      <c r="DG33363" s="256"/>
    </row>
    <row r="33364" spans="104:111">
      <c r="CZ33364" s="256"/>
      <c r="DG33364" s="256"/>
    </row>
    <row r="33365" spans="104:111">
      <c r="CZ33365" s="256"/>
      <c r="DG33365" s="256"/>
    </row>
    <row r="33366" spans="104:111">
      <c r="CZ33366" s="256"/>
      <c r="DG33366" s="256"/>
    </row>
    <row r="33367" spans="104:111">
      <c r="CZ33367" s="256"/>
      <c r="DG33367" s="256"/>
    </row>
    <row r="33368" spans="104:111">
      <c r="CZ33368" s="256"/>
      <c r="DG33368" s="256"/>
    </row>
    <row r="33369" spans="104:111">
      <c r="CZ33369" s="256"/>
      <c r="DG33369" s="256"/>
    </row>
    <row r="33370" spans="104:111">
      <c r="CZ33370" s="256"/>
      <c r="DG33370" s="256"/>
    </row>
    <row r="33371" spans="104:111">
      <c r="CZ33371" s="256"/>
      <c r="DG33371" s="256"/>
    </row>
    <row r="33372" spans="104:111">
      <c r="CZ33372" s="256"/>
      <c r="DG33372" s="256"/>
    </row>
    <row r="33373" spans="104:111">
      <c r="CZ33373" s="256"/>
      <c r="DG33373" s="256"/>
    </row>
    <row r="33374" spans="104:111">
      <c r="CZ33374" s="256"/>
      <c r="DG33374" s="256"/>
    </row>
    <row r="33375" spans="104:111">
      <c r="CZ33375" s="256"/>
      <c r="DG33375" s="256"/>
    </row>
    <row r="33376" spans="104:111">
      <c r="CZ33376" s="256"/>
      <c r="DG33376" s="256"/>
    </row>
    <row r="33377" spans="104:111">
      <c r="CZ33377" s="256"/>
      <c r="DG33377" s="256"/>
    </row>
    <row r="33378" spans="104:111">
      <c r="CZ33378" s="256"/>
      <c r="DG33378" s="256"/>
    </row>
    <row r="33379" spans="104:111">
      <c r="CZ33379" s="256"/>
      <c r="DG33379" s="256"/>
    </row>
    <row r="33380" spans="104:111">
      <c r="CZ33380" s="256"/>
      <c r="DG33380" s="256"/>
    </row>
    <row r="33381" spans="104:111">
      <c r="CZ33381" s="256"/>
      <c r="DG33381" s="256"/>
    </row>
    <row r="33382" spans="104:111">
      <c r="CZ33382" s="256"/>
      <c r="DG33382" s="256"/>
    </row>
    <row r="33383" spans="104:111">
      <c r="CZ33383" s="256"/>
      <c r="DG33383" s="256"/>
    </row>
    <row r="33384" spans="104:111">
      <c r="CZ33384" s="256"/>
      <c r="DG33384" s="256"/>
    </row>
    <row r="33385" spans="104:111">
      <c r="CZ33385" s="256"/>
      <c r="DG33385" s="256"/>
    </row>
    <row r="33386" spans="104:111">
      <c r="CZ33386" s="256"/>
      <c r="DG33386" s="256"/>
    </row>
    <row r="33387" spans="104:111">
      <c r="CZ33387" s="256"/>
      <c r="DG33387" s="256"/>
    </row>
    <row r="33388" spans="104:111">
      <c r="CZ33388" s="256"/>
      <c r="DG33388" s="256"/>
    </row>
    <row r="33389" spans="104:111">
      <c r="CZ33389" s="256"/>
      <c r="DG33389" s="256"/>
    </row>
    <row r="33390" spans="104:111">
      <c r="CZ33390" s="256"/>
      <c r="DG33390" s="256"/>
    </row>
    <row r="33391" spans="104:111">
      <c r="CZ33391" s="256"/>
      <c r="DG33391" s="256"/>
    </row>
    <row r="33392" spans="104:111">
      <c r="CZ33392" s="256"/>
      <c r="DG33392" s="256"/>
    </row>
    <row r="33393" spans="104:111">
      <c r="CZ33393" s="256"/>
      <c r="DG33393" s="256"/>
    </row>
    <row r="33394" spans="104:111">
      <c r="CZ33394" s="256"/>
      <c r="DG33394" s="256"/>
    </row>
    <row r="33395" spans="104:111">
      <c r="CZ33395" s="256"/>
      <c r="DG33395" s="256"/>
    </row>
    <row r="33396" spans="104:111">
      <c r="CZ33396" s="256"/>
      <c r="DG33396" s="256"/>
    </row>
    <row r="33397" spans="104:111">
      <c r="CZ33397" s="256"/>
      <c r="DG33397" s="256"/>
    </row>
    <row r="33398" spans="104:111">
      <c r="CZ33398" s="256"/>
      <c r="DG33398" s="256"/>
    </row>
    <row r="33399" spans="104:111">
      <c r="CZ33399" s="256"/>
      <c r="DG33399" s="256"/>
    </row>
    <row r="33400" spans="104:111">
      <c r="CZ33400" s="256"/>
      <c r="DG33400" s="256"/>
    </row>
    <row r="33401" spans="104:111">
      <c r="CZ33401" s="256"/>
      <c r="DG33401" s="256"/>
    </row>
    <row r="33402" spans="104:111">
      <c r="CZ33402" s="256"/>
      <c r="DG33402" s="256"/>
    </row>
    <row r="33403" spans="104:111">
      <c r="CZ33403" s="256"/>
      <c r="DG33403" s="256"/>
    </row>
    <row r="33404" spans="104:111">
      <c r="CZ33404" s="256"/>
      <c r="DG33404" s="256"/>
    </row>
    <row r="33405" spans="104:111">
      <c r="CZ33405" s="256"/>
      <c r="DG33405" s="256"/>
    </row>
    <row r="33406" spans="104:111">
      <c r="CZ33406" s="256"/>
      <c r="DG33406" s="256"/>
    </row>
    <row r="33407" spans="104:111">
      <c r="CZ33407" s="256"/>
      <c r="DG33407" s="256"/>
    </row>
    <row r="33408" spans="104:111">
      <c r="CZ33408" s="256"/>
      <c r="DG33408" s="256"/>
    </row>
    <row r="33409" spans="104:111">
      <c r="CZ33409" s="256"/>
      <c r="DG33409" s="256"/>
    </row>
    <row r="33410" spans="104:111">
      <c r="CZ33410" s="256"/>
      <c r="DG33410" s="256"/>
    </row>
    <row r="33411" spans="104:111">
      <c r="CZ33411" s="256"/>
      <c r="DG33411" s="256"/>
    </row>
    <row r="33412" spans="104:111">
      <c r="CZ33412" s="256"/>
      <c r="DG33412" s="256"/>
    </row>
    <row r="33413" spans="104:111">
      <c r="CZ33413" s="256"/>
      <c r="DG33413" s="256"/>
    </row>
    <row r="33414" spans="104:111">
      <c r="CZ33414" s="256"/>
      <c r="DG33414" s="256"/>
    </row>
    <row r="33415" spans="104:111">
      <c r="CZ33415" s="256"/>
      <c r="DG33415" s="256"/>
    </row>
    <row r="33416" spans="104:111">
      <c r="CZ33416" s="256"/>
      <c r="DG33416" s="256"/>
    </row>
    <row r="33417" spans="104:111">
      <c r="CZ33417" s="256"/>
      <c r="DG33417" s="256"/>
    </row>
    <row r="33418" spans="104:111">
      <c r="CZ33418" s="256"/>
      <c r="DG33418" s="256"/>
    </row>
    <row r="33419" spans="104:111">
      <c r="CZ33419" s="256"/>
      <c r="DG33419" s="256"/>
    </row>
    <row r="33420" spans="104:111">
      <c r="CZ33420" s="256"/>
      <c r="DG33420" s="256"/>
    </row>
    <row r="33421" spans="104:111">
      <c r="CZ33421" s="256"/>
      <c r="DG33421" s="256"/>
    </row>
    <row r="33422" spans="104:111">
      <c r="CZ33422" s="256"/>
      <c r="DG33422" s="256"/>
    </row>
    <row r="33423" spans="104:111">
      <c r="CZ33423" s="256"/>
      <c r="DG33423" s="256"/>
    </row>
    <row r="33424" spans="104:111">
      <c r="CZ33424" s="256"/>
      <c r="DG33424" s="256"/>
    </row>
    <row r="33425" spans="104:111">
      <c r="CZ33425" s="256"/>
      <c r="DG33425" s="256"/>
    </row>
    <row r="33426" spans="104:111">
      <c r="CZ33426" s="256"/>
      <c r="DG33426" s="256"/>
    </row>
    <row r="33427" spans="104:111">
      <c r="CZ33427" s="256"/>
      <c r="DG33427" s="256"/>
    </row>
    <row r="33428" spans="104:111">
      <c r="CZ33428" s="256"/>
      <c r="DG33428" s="256"/>
    </row>
    <row r="33429" spans="104:111">
      <c r="CZ33429" s="256"/>
      <c r="DG33429" s="256"/>
    </row>
    <row r="33430" spans="104:111">
      <c r="CZ33430" s="256"/>
      <c r="DG33430" s="256"/>
    </row>
    <row r="33431" spans="104:111">
      <c r="CZ33431" s="256"/>
      <c r="DG33431" s="256"/>
    </row>
    <row r="33432" spans="104:111">
      <c r="CZ33432" s="256"/>
      <c r="DG33432" s="256"/>
    </row>
    <row r="33433" spans="104:111">
      <c r="CZ33433" s="256"/>
      <c r="DG33433" s="256"/>
    </row>
    <row r="33434" spans="104:111">
      <c r="CZ33434" s="256"/>
      <c r="DG33434" s="256"/>
    </row>
    <row r="33435" spans="104:111">
      <c r="CZ33435" s="256"/>
      <c r="DG33435" s="256"/>
    </row>
    <row r="33436" spans="104:111">
      <c r="CZ33436" s="256"/>
      <c r="DG33436" s="256"/>
    </row>
    <row r="33437" spans="104:111">
      <c r="CZ33437" s="256"/>
      <c r="DG33437" s="256"/>
    </row>
    <row r="33438" spans="104:111">
      <c r="CZ33438" s="256"/>
      <c r="DG33438" s="256"/>
    </row>
    <row r="33439" spans="104:111">
      <c r="CZ33439" s="256"/>
      <c r="DG33439" s="256"/>
    </row>
    <row r="33440" spans="104:111">
      <c r="CZ33440" s="256"/>
      <c r="DG33440" s="256"/>
    </row>
    <row r="33441" spans="104:111">
      <c r="CZ33441" s="256"/>
      <c r="DG33441" s="256"/>
    </row>
    <row r="33442" spans="104:111">
      <c r="CZ33442" s="256"/>
      <c r="DG33442" s="256"/>
    </row>
    <row r="33443" spans="104:111">
      <c r="CZ33443" s="256"/>
      <c r="DG33443" s="256"/>
    </row>
    <row r="33444" spans="104:111">
      <c r="CZ33444" s="256"/>
      <c r="DG33444" s="256"/>
    </row>
    <row r="33445" spans="104:111">
      <c r="CZ33445" s="256"/>
      <c r="DG33445" s="256"/>
    </row>
    <row r="33446" spans="104:111">
      <c r="CZ33446" s="256"/>
      <c r="DG33446" s="256"/>
    </row>
    <row r="33447" spans="104:111">
      <c r="CZ33447" s="256"/>
      <c r="DG33447" s="256"/>
    </row>
    <row r="33448" spans="104:111">
      <c r="CZ33448" s="256"/>
      <c r="DG33448" s="256"/>
    </row>
    <row r="33449" spans="104:111">
      <c r="CZ33449" s="256"/>
      <c r="DG33449" s="256"/>
    </row>
    <row r="33450" spans="104:111">
      <c r="CZ33450" s="256"/>
      <c r="DG33450" s="256"/>
    </row>
    <row r="33451" spans="104:111">
      <c r="CZ33451" s="256"/>
      <c r="DG33451" s="256"/>
    </row>
    <row r="33452" spans="104:111">
      <c r="CZ33452" s="256"/>
      <c r="DG33452" s="256"/>
    </row>
    <row r="33453" spans="104:111">
      <c r="CZ33453" s="256"/>
      <c r="DG33453" s="256"/>
    </row>
    <row r="33454" spans="104:111">
      <c r="CZ33454" s="256"/>
      <c r="DG33454" s="256"/>
    </row>
    <row r="33455" spans="104:111">
      <c r="CZ33455" s="256"/>
      <c r="DG33455" s="256"/>
    </row>
    <row r="33456" spans="104:111">
      <c r="CZ33456" s="256"/>
      <c r="DG33456" s="256"/>
    </row>
    <row r="33457" spans="104:111">
      <c r="CZ33457" s="256"/>
      <c r="DG33457" s="256"/>
    </row>
    <row r="33458" spans="104:111">
      <c r="CZ33458" s="256"/>
      <c r="DG33458" s="256"/>
    </row>
    <row r="33459" spans="104:111">
      <c r="CZ33459" s="256"/>
      <c r="DG33459" s="256"/>
    </row>
    <row r="33460" spans="104:111">
      <c r="CZ33460" s="256"/>
      <c r="DG33460" s="256"/>
    </row>
    <row r="33461" spans="104:111">
      <c r="CZ33461" s="256"/>
      <c r="DG33461" s="256"/>
    </row>
    <row r="33462" spans="104:111">
      <c r="CZ33462" s="256"/>
      <c r="DG33462" s="256"/>
    </row>
    <row r="33463" spans="104:111">
      <c r="CZ33463" s="256"/>
      <c r="DG33463" s="256"/>
    </row>
    <row r="33464" spans="104:111">
      <c r="CZ33464" s="256"/>
      <c r="DG33464" s="256"/>
    </row>
    <row r="33465" spans="104:111">
      <c r="CZ33465" s="256"/>
      <c r="DG33465" s="256"/>
    </row>
    <row r="33466" spans="104:111">
      <c r="CZ33466" s="256"/>
      <c r="DG33466" s="256"/>
    </row>
    <row r="33467" spans="104:111">
      <c r="CZ33467" s="256"/>
      <c r="DG33467" s="256"/>
    </row>
    <row r="33468" spans="104:111">
      <c r="CZ33468" s="256"/>
      <c r="DG33468" s="256"/>
    </row>
    <row r="33469" spans="104:111">
      <c r="CZ33469" s="256"/>
      <c r="DG33469" s="256"/>
    </row>
    <row r="33470" spans="104:111">
      <c r="CZ33470" s="256"/>
      <c r="DG33470" s="256"/>
    </row>
    <row r="33471" spans="104:111">
      <c r="CZ33471" s="256"/>
      <c r="DG33471" s="256"/>
    </row>
    <row r="33472" spans="104:111">
      <c r="CZ33472" s="256"/>
      <c r="DG33472" s="256"/>
    </row>
    <row r="33473" spans="104:111">
      <c r="CZ33473" s="256"/>
      <c r="DG33473" s="256"/>
    </row>
    <row r="33474" spans="104:111">
      <c r="CZ33474" s="256"/>
      <c r="DG33474" s="256"/>
    </row>
    <row r="33475" spans="104:111">
      <c r="CZ33475" s="256"/>
      <c r="DG33475" s="256"/>
    </row>
    <row r="33476" spans="104:111">
      <c r="CZ33476" s="256"/>
      <c r="DG33476" s="256"/>
    </row>
    <row r="33477" spans="104:111">
      <c r="CZ33477" s="256"/>
      <c r="DG33477" s="256"/>
    </row>
    <row r="33478" spans="104:111">
      <c r="CZ33478" s="256"/>
      <c r="DG33478" s="256"/>
    </row>
    <row r="33479" spans="104:111">
      <c r="CZ33479" s="256"/>
      <c r="DG33479" s="256"/>
    </row>
    <row r="33480" spans="104:111">
      <c r="CZ33480" s="256"/>
      <c r="DG33480" s="256"/>
    </row>
    <row r="33481" spans="104:111">
      <c r="CZ33481" s="256"/>
      <c r="DG33481" s="256"/>
    </row>
    <row r="33482" spans="104:111">
      <c r="CZ33482" s="256"/>
      <c r="DG33482" s="256"/>
    </row>
    <row r="33483" spans="104:111">
      <c r="CZ33483" s="256"/>
      <c r="DG33483" s="256"/>
    </row>
    <row r="33484" spans="104:111">
      <c r="CZ33484" s="256"/>
      <c r="DG33484" s="256"/>
    </row>
    <row r="33485" spans="104:111">
      <c r="CZ33485" s="256"/>
      <c r="DG33485" s="256"/>
    </row>
    <row r="33486" spans="104:111">
      <c r="CZ33486" s="256"/>
      <c r="DG33486" s="256"/>
    </row>
    <row r="33487" spans="104:111">
      <c r="CZ33487" s="256"/>
      <c r="DG33487" s="256"/>
    </row>
    <row r="33488" spans="104:111">
      <c r="CZ33488" s="256"/>
      <c r="DG33488" s="256"/>
    </row>
    <row r="33489" spans="104:111">
      <c r="CZ33489" s="256"/>
      <c r="DG33489" s="256"/>
    </row>
    <row r="33490" spans="104:111">
      <c r="CZ33490" s="256"/>
      <c r="DG33490" s="256"/>
    </row>
    <row r="33491" spans="104:111">
      <c r="CZ33491" s="256"/>
      <c r="DG33491" s="256"/>
    </row>
    <row r="33492" spans="104:111">
      <c r="CZ33492" s="256"/>
      <c r="DG33492" s="256"/>
    </row>
    <row r="33493" spans="104:111">
      <c r="CZ33493" s="256"/>
      <c r="DG33493" s="256"/>
    </row>
    <row r="33494" spans="104:111">
      <c r="CZ33494" s="256"/>
      <c r="DG33494" s="256"/>
    </row>
    <row r="33495" spans="104:111">
      <c r="CZ33495" s="256"/>
      <c r="DG33495" s="256"/>
    </row>
    <row r="33496" spans="104:111">
      <c r="CZ33496" s="256"/>
      <c r="DG33496" s="256"/>
    </row>
    <row r="33497" spans="104:111">
      <c r="CZ33497" s="256"/>
      <c r="DG33497" s="256"/>
    </row>
    <row r="33498" spans="104:111">
      <c r="CZ33498" s="256"/>
      <c r="DG33498" s="256"/>
    </row>
    <row r="33499" spans="104:111">
      <c r="CZ33499" s="256"/>
      <c r="DG33499" s="256"/>
    </row>
    <row r="33500" spans="104:111">
      <c r="CZ33500" s="256"/>
      <c r="DG33500" s="256"/>
    </row>
    <row r="33501" spans="104:111">
      <c r="CZ33501" s="256"/>
      <c r="DG33501" s="256"/>
    </row>
    <row r="33502" spans="104:111">
      <c r="CZ33502" s="256"/>
      <c r="DG33502" s="256"/>
    </row>
    <row r="33503" spans="104:111">
      <c r="CZ33503" s="256"/>
      <c r="DG33503" s="256"/>
    </row>
    <row r="33504" spans="104:111">
      <c r="CZ33504" s="256"/>
      <c r="DG33504" s="256"/>
    </row>
    <row r="33505" spans="104:111">
      <c r="CZ33505" s="256"/>
      <c r="DG33505" s="256"/>
    </row>
    <row r="33506" spans="104:111">
      <c r="CZ33506" s="256"/>
      <c r="DG33506" s="256"/>
    </row>
    <row r="33507" spans="104:111">
      <c r="CZ33507" s="256"/>
      <c r="DG33507" s="256"/>
    </row>
    <row r="33508" spans="104:111">
      <c r="CZ33508" s="256"/>
      <c r="DG33508" s="256"/>
    </row>
    <row r="33509" spans="104:111">
      <c r="CZ33509" s="256"/>
      <c r="DG33509" s="256"/>
    </row>
    <row r="33510" spans="104:111">
      <c r="CZ33510" s="256"/>
      <c r="DG33510" s="256"/>
    </row>
    <row r="33511" spans="104:111">
      <c r="CZ33511" s="256"/>
      <c r="DG33511" s="256"/>
    </row>
    <row r="33512" spans="104:111">
      <c r="CZ33512" s="256"/>
      <c r="DG33512" s="256"/>
    </row>
    <row r="33513" spans="104:111">
      <c r="CZ33513" s="256"/>
      <c r="DG33513" s="256"/>
    </row>
    <row r="33514" spans="104:111">
      <c r="CZ33514" s="256"/>
      <c r="DG33514" s="256"/>
    </row>
    <row r="33515" spans="104:111">
      <c r="CZ33515" s="256"/>
      <c r="DG33515" s="256"/>
    </row>
    <row r="33516" spans="104:111">
      <c r="CZ33516" s="256"/>
      <c r="DG33516" s="256"/>
    </row>
    <row r="33517" spans="104:111">
      <c r="CZ33517" s="256"/>
      <c r="DG33517" s="256"/>
    </row>
    <row r="33518" spans="104:111">
      <c r="CZ33518" s="256"/>
      <c r="DG33518" s="256"/>
    </row>
    <row r="33519" spans="104:111">
      <c r="CZ33519" s="256"/>
      <c r="DG33519" s="256"/>
    </row>
    <row r="33520" spans="104:111">
      <c r="CZ33520" s="256"/>
      <c r="DG33520" s="256"/>
    </row>
    <row r="33521" spans="104:111">
      <c r="CZ33521" s="256"/>
      <c r="DG33521" s="256"/>
    </row>
    <row r="33522" spans="104:111">
      <c r="CZ33522" s="256"/>
      <c r="DG33522" s="256"/>
    </row>
    <row r="33523" spans="104:111">
      <c r="CZ33523" s="256"/>
      <c r="DG33523" s="256"/>
    </row>
    <row r="33524" spans="104:111">
      <c r="CZ33524" s="256"/>
      <c r="DG33524" s="256"/>
    </row>
    <row r="33525" spans="104:111">
      <c r="CZ33525" s="256"/>
      <c r="DG33525" s="256"/>
    </row>
    <row r="33526" spans="104:111">
      <c r="CZ33526" s="256"/>
      <c r="DG33526" s="256"/>
    </row>
    <row r="33527" spans="104:111">
      <c r="CZ33527" s="256"/>
      <c r="DG33527" s="256"/>
    </row>
    <row r="33528" spans="104:111">
      <c r="CZ33528" s="256"/>
      <c r="DG33528" s="256"/>
    </row>
    <row r="33529" spans="104:111">
      <c r="CZ33529" s="256"/>
      <c r="DG33529" s="256"/>
    </row>
    <row r="33530" spans="104:111">
      <c r="CZ33530" s="256"/>
      <c r="DG33530" s="256"/>
    </row>
    <row r="33531" spans="104:111">
      <c r="CZ33531" s="256"/>
      <c r="DG33531" s="256"/>
    </row>
    <row r="33532" spans="104:111">
      <c r="CZ33532" s="256"/>
      <c r="DG33532" s="256"/>
    </row>
    <row r="33533" spans="104:111">
      <c r="CZ33533" s="256"/>
      <c r="DG33533" s="256"/>
    </row>
    <row r="33534" spans="104:111">
      <c r="CZ33534" s="256"/>
      <c r="DG33534" s="256"/>
    </row>
    <row r="33535" spans="104:111">
      <c r="CZ33535" s="256"/>
      <c r="DG33535" s="256"/>
    </row>
    <row r="33536" spans="104:111">
      <c r="CZ33536" s="256"/>
      <c r="DG33536" s="256"/>
    </row>
    <row r="33537" spans="104:111">
      <c r="CZ33537" s="256"/>
      <c r="DG33537" s="256"/>
    </row>
    <row r="33538" spans="104:111">
      <c r="CZ33538" s="256"/>
      <c r="DG33538" s="256"/>
    </row>
    <row r="33539" spans="104:111">
      <c r="CZ33539" s="256"/>
      <c r="DG33539" s="256"/>
    </row>
    <row r="33540" spans="104:111">
      <c r="CZ33540" s="256"/>
      <c r="DG33540" s="256"/>
    </row>
    <row r="33541" spans="104:111">
      <c r="CZ33541" s="256"/>
      <c r="DG33541" s="256"/>
    </row>
    <row r="33542" spans="104:111">
      <c r="CZ33542" s="256"/>
      <c r="DG33542" s="256"/>
    </row>
    <row r="33543" spans="104:111">
      <c r="CZ33543" s="256"/>
      <c r="DG33543" s="256"/>
    </row>
    <row r="33544" spans="104:111">
      <c r="CZ33544" s="256"/>
      <c r="DG33544" s="256"/>
    </row>
    <row r="33545" spans="104:111">
      <c r="CZ33545" s="256"/>
      <c r="DG33545" s="256"/>
    </row>
    <row r="33546" spans="104:111">
      <c r="CZ33546" s="256"/>
      <c r="DG33546" s="256"/>
    </row>
    <row r="33547" spans="104:111">
      <c r="CZ33547" s="256"/>
      <c r="DG33547" s="256"/>
    </row>
    <row r="33548" spans="104:111">
      <c r="CZ33548" s="256"/>
      <c r="DG33548" s="256"/>
    </row>
    <row r="33549" spans="104:111">
      <c r="CZ33549" s="256"/>
      <c r="DG33549" s="256"/>
    </row>
    <row r="33550" spans="104:111">
      <c r="CZ33550" s="256"/>
      <c r="DG33550" s="256"/>
    </row>
    <row r="33551" spans="104:111">
      <c r="CZ33551" s="256"/>
      <c r="DG33551" s="256"/>
    </row>
    <row r="33552" spans="104:111">
      <c r="CZ33552" s="256"/>
      <c r="DG33552" s="256"/>
    </row>
    <row r="33553" spans="104:111">
      <c r="CZ33553" s="256"/>
      <c r="DG33553" s="256"/>
    </row>
    <row r="33554" spans="104:111">
      <c r="CZ33554" s="256"/>
      <c r="DG33554" s="256"/>
    </row>
    <row r="33555" spans="104:111">
      <c r="CZ33555" s="256"/>
      <c r="DG33555" s="256"/>
    </row>
    <row r="33556" spans="104:111">
      <c r="CZ33556" s="256"/>
      <c r="DG33556" s="256"/>
    </row>
    <row r="33557" spans="104:111">
      <c r="CZ33557" s="256"/>
      <c r="DG33557" s="256"/>
    </row>
    <row r="33558" spans="104:111">
      <c r="CZ33558" s="256"/>
      <c r="DG33558" s="256"/>
    </row>
    <row r="33559" spans="104:111">
      <c r="CZ33559" s="256"/>
      <c r="DG33559" s="256"/>
    </row>
    <row r="33560" spans="104:111">
      <c r="CZ33560" s="256"/>
      <c r="DG33560" s="256"/>
    </row>
    <row r="33561" spans="104:111">
      <c r="CZ33561" s="256"/>
      <c r="DG33561" s="256"/>
    </row>
    <row r="33562" spans="104:111">
      <c r="CZ33562" s="256"/>
      <c r="DG33562" s="256"/>
    </row>
    <row r="33563" spans="104:111">
      <c r="CZ33563" s="256"/>
      <c r="DG33563" s="256"/>
    </row>
    <row r="33564" spans="104:111">
      <c r="CZ33564" s="256"/>
      <c r="DG33564" s="256"/>
    </row>
    <row r="33565" spans="104:111">
      <c r="CZ33565" s="256"/>
      <c r="DG33565" s="256"/>
    </row>
    <row r="33566" spans="104:111">
      <c r="CZ33566" s="256"/>
      <c r="DG33566" s="256"/>
    </row>
    <row r="33567" spans="104:111">
      <c r="CZ33567" s="256"/>
      <c r="DG33567" s="256"/>
    </row>
    <row r="33568" spans="104:111">
      <c r="CZ33568" s="256"/>
      <c r="DG33568" s="256"/>
    </row>
    <row r="33569" spans="104:111">
      <c r="CZ33569" s="256"/>
      <c r="DG33569" s="256"/>
    </row>
    <row r="33570" spans="104:111">
      <c r="CZ33570" s="256"/>
      <c r="DG33570" s="256"/>
    </row>
    <row r="33571" spans="104:111">
      <c r="CZ33571" s="256"/>
      <c r="DG33571" s="256"/>
    </row>
    <row r="33572" spans="104:111">
      <c r="CZ33572" s="256"/>
      <c r="DG33572" s="256"/>
    </row>
    <row r="33573" spans="104:111">
      <c r="CZ33573" s="256"/>
      <c r="DG33573" s="256"/>
    </row>
    <row r="33574" spans="104:111">
      <c r="CZ33574" s="256"/>
      <c r="DG33574" s="256"/>
    </row>
    <row r="33575" spans="104:111">
      <c r="CZ33575" s="256"/>
      <c r="DG33575" s="256"/>
    </row>
    <row r="33576" spans="104:111">
      <c r="CZ33576" s="256"/>
      <c r="DG33576" s="256"/>
    </row>
    <row r="33577" spans="104:111">
      <c r="CZ33577" s="256"/>
      <c r="DG33577" s="256"/>
    </row>
    <row r="33578" spans="104:111">
      <c r="CZ33578" s="256"/>
      <c r="DG33578" s="256"/>
    </row>
    <row r="33579" spans="104:111">
      <c r="CZ33579" s="256"/>
      <c r="DG33579" s="256"/>
    </row>
    <row r="33580" spans="104:111">
      <c r="CZ33580" s="256"/>
      <c r="DG33580" s="256"/>
    </row>
    <row r="33581" spans="104:111">
      <c r="CZ33581" s="256"/>
      <c r="DG33581" s="256"/>
    </row>
    <row r="33582" spans="104:111">
      <c r="CZ33582" s="256"/>
      <c r="DG33582" s="256"/>
    </row>
    <row r="33583" spans="104:111">
      <c r="CZ33583" s="256"/>
      <c r="DG33583" s="256"/>
    </row>
    <row r="33584" spans="104:111">
      <c r="CZ33584" s="256"/>
      <c r="DG33584" s="256"/>
    </row>
    <row r="33585" spans="104:111">
      <c r="CZ33585" s="256"/>
      <c r="DG33585" s="256"/>
    </row>
    <row r="33586" spans="104:111">
      <c r="CZ33586" s="256"/>
      <c r="DG33586" s="256"/>
    </row>
    <row r="33587" spans="104:111">
      <c r="CZ33587" s="256"/>
      <c r="DG33587" s="256"/>
    </row>
    <row r="33588" spans="104:111">
      <c r="CZ33588" s="256"/>
      <c r="DG33588" s="256"/>
    </row>
    <row r="33589" spans="104:111">
      <c r="CZ33589" s="256"/>
      <c r="DG33589" s="256"/>
    </row>
    <row r="33590" spans="104:111">
      <c r="CZ33590" s="256"/>
      <c r="DG33590" s="256"/>
    </row>
    <row r="33591" spans="104:111">
      <c r="CZ33591" s="256"/>
      <c r="DG33591" s="256"/>
    </row>
    <row r="33592" spans="104:111">
      <c r="CZ33592" s="256"/>
      <c r="DG33592" s="256"/>
    </row>
    <row r="33593" spans="104:111">
      <c r="CZ33593" s="256"/>
      <c r="DG33593" s="256"/>
    </row>
    <row r="33594" spans="104:111">
      <c r="CZ33594" s="256"/>
      <c r="DG33594" s="256"/>
    </row>
    <row r="33595" spans="104:111">
      <c r="CZ33595" s="256"/>
      <c r="DG33595" s="256"/>
    </row>
    <row r="33596" spans="104:111">
      <c r="CZ33596" s="256"/>
      <c r="DG33596" s="256"/>
    </row>
    <row r="33597" spans="104:111">
      <c r="CZ33597" s="256"/>
      <c r="DG33597" s="256"/>
    </row>
    <row r="33598" spans="104:111">
      <c r="CZ33598" s="256"/>
      <c r="DG33598" s="256"/>
    </row>
    <row r="33599" spans="104:111">
      <c r="CZ33599" s="256"/>
      <c r="DG33599" s="256"/>
    </row>
    <row r="33600" spans="104:111">
      <c r="CZ33600" s="256"/>
      <c r="DG33600" s="256"/>
    </row>
    <row r="33601" spans="104:111">
      <c r="CZ33601" s="256"/>
      <c r="DG33601" s="256"/>
    </row>
    <row r="33602" spans="104:111">
      <c r="CZ33602" s="256"/>
      <c r="DG33602" s="256"/>
    </row>
    <row r="33603" spans="104:111">
      <c r="CZ33603" s="256"/>
      <c r="DG33603" s="256"/>
    </row>
    <row r="33604" spans="104:111">
      <c r="CZ33604" s="256"/>
      <c r="DG33604" s="256"/>
    </row>
    <row r="33605" spans="104:111">
      <c r="CZ33605" s="256"/>
      <c r="DG33605" s="256"/>
    </row>
    <row r="33606" spans="104:111">
      <c r="CZ33606" s="256"/>
      <c r="DG33606" s="256"/>
    </row>
    <row r="33607" spans="104:111">
      <c r="CZ33607" s="256"/>
      <c r="DG33607" s="256"/>
    </row>
    <row r="33608" spans="104:111">
      <c r="CZ33608" s="256"/>
      <c r="DG33608" s="256"/>
    </row>
    <row r="33609" spans="104:111">
      <c r="CZ33609" s="256"/>
      <c r="DG33609" s="256"/>
    </row>
    <row r="33610" spans="104:111">
      <c r="CZ33610" s="256"/>
      <c r="DG33610" s="256"/>
    </row>
    <row r="33611" spans="104:111">
      <c r="CZ33611" s="256"/>
      <c r="DG33611" s="256"/>
    </row>
    <row r="33612" spans="104:111">
      <c r="CZ33612" s="256"/>
      <c r="DG33612" s="256"/>
    </row>
    <row r="33613" spans="104:111">
      <c r="CZ33613" s="256"/>
      <c r="DG33613" s="256"/>
    </row>
    <row r="33614" spans="104:111">
      <c r="CZ33614" s="256"/>
      <c r="DG33614" s="256"/>
    </row>
    <row r="33615" spans="104:111">
      <c r="CZ33615" s="256"/>
      <c r="DG33615" s="256"/>
    </row>
    <row r="33616" spans="104:111">
      <c r="CZ33616" s="256"/>
      <c r="DG33616" s="256"/>
    </row>
    <row r="33617" spans="104:111">
      <c r="CZ33617" s="256"/>
      <c r="DG33617" s="256"/>
    </row>
    <row r="33618" spans="104:111">
      <c r="CZ33618" s="256"/>
      <c r="DG33618" s="256"/>
    </row>
    <row r="33619" spans="104:111">
      <c r="CZ33619" s="256"/>
      <c r="DG33619" s="256"/>
    </row>
    <row r="33620" spans="104:111">
      <c r="CZ33620" s="256"/>
      <c r="DG33620" s="256"/>
    </row>
    <row r="33621" spans="104:111">
      <c r="CZ33621" s="256"/>
      <c r="DG33621" s="256"/>
    </row>
    <row r="33622" spans="104:111">
      <c r="CZ33622" s="256"/>
      <c r="DG33622" s="256"/>
    </row>
    <row r="33623" spans="104:111">
      <c r="CZ33623" s="256"/>
      <c r="DG33623" s="256"/>
    </row>
    <row r="33624" spans="104:111">
      <c r="CZ33624" s="256"/>
      <c r="DG33624" s="256"/>
    </row>
    <row r="33625" spans="104:111">
      <c r="CZ33625" s="256"/>
      <c r="DG33625" s="256"/>
    </row>
    <row r="33626" spans="104:111">
      <c r="CZ33626" s="256"/>
      <c r="DG33626" s="256"/>
    </row>
    <row r="33627" spans="104:111">
      <c r="CZ33627" s="256"/>
      <c r="DG33627" s="256"/>
    </row>
    <row r="33628" spans="104:111">
      <c r="CZ33628" s="256"/>
      <c r="DG33628" s="256"/>
    </row>
    <row r="33629" spans="104:111">
      <c r="CZ33629" s="256"/>
      <c r="DG33629" s="256"/>
    </row>
    <row r="33630" spans="104:111">
      <c r="CZ33630" s="256"/>
      <c r="DG33630" s="256"/>
    </row>
    <row r="33631" spans="104:111">
      <c r="CZ33631" s="256"/>
      <c r="DG33631" s="256"/>
    </row>
    <row r="33632" spans="104:111">
      <c r="CZ33632" s="256"/>
      <c r="DG33632" s="256"/>
    </row>
    <row r="33633" spans="104:111">
      <c r="CZ33633" s="256"/>
      <c r="DG33633" s="256"/>
    </row>
    <row r="33634" spans="104:111">
      <c r="CZ33634" s="256"/>
      <c r="DG33634" s="256"/>
    </row>
    <row r="33635" spans="104:111">
      <c r="CZ33635" s="256"/>
      <c r="DG33635" s="256"/>
    </row>
    <row r="33636" spans="104:111">
      <c r="CZ33636" s="256"/>
      <c r="DG33636" s="256"/>
    </row>
    <row r="33637" spans="104:111">
      <c r="CZ33637" s="256"/>
      <c r="DG33637" s="256"/>
    </row>
    <row r="33638" spans="104:111">
      <c r="CZ33638" s="256"/>
      <c r="DG33638" s="256"/>
    </row>
    <row r="33639" spans="104:111">
      <c r="CZ33639" s="256"/>
      <c r="DG33639" s="256"/>
    </row>
    <row r="33640" spans="104:111">
      <c r="CZ33640" s="256"/>
      <c r="DG33640" s="256"/>
    </row>
    <row r="33641" spans="104:111">
      <c r="CZ33641" s="256"/>
      <c r="DG33641" s="256"/>
    </row>
    <row r="33642" spans="104:111">
      <c r="CZ33642" s="256"/>
      <c r="DG33642" s="256"/>
    </row>
    <row r="33643" spans="104:111">
      <c r="CZ33643" s="256"/>
      <c r="DG33643" s="256"/>
    </row>
    <row r="33644" spans="104:111">
      <c r="CZ33644" s="256"/>
      <c r="DG33644" s="256"/>
    </row>
    <row r="33645" spans="104:111">
      <c r="CZ33645" s="256"/>
      <c r="DG33645" s="256"/>
    </row>
    <row r="33646" spans="104:111">
      <c r="CZ33646" s="256"/>
      <c r="DG33646" s="256"/>
    </row>
    <row r="33647" spans="104:111">
      <c r="CZ33647" s="256"/>
      <c r="DG33647" s="256"/>
    </row>
    <row r="33648" spans="104:111">
      <c r="CZ33648" s="256"/>
      <c r="DG33648" s="256"/>
    </row>
    <row r="33649" spans="104:111">
      <c r="CZ33649" s="256"/>
      <c r="DG33649" s="256"/>
    </row>
    <row r="33650" spans="104:111">
      <c r="CZ33650" s="256"/>
      <c r="DG33650" s="256"/>
    </row>
    <row r="33651" spans="104:111">
      <c r="CZ33651" s="256"/>
      <c r="DG33651" s="256"/>
    </row>
    <row r="33652" spans="104:111">
      <c r="CZ33652" s="256"/>
      <c r="DG33652" s="256"/>
    </row>
    <row r="33653" spans="104:111">
      <c r="CZ33653" s="256"/>
      <c r="DG33653" s="256"/>
    </row>
    <row r="33654" spans="104:111">
      <c r="CZ33654" s="256"/>
      <c r="DG33654" s="256"/>
    </row>
    <row r="33655" spans="104:111">
      <c r="CZ33655" s="256"/>
      <c r="DG33655" s="256"/>
    </row>
    <row r="33656" spans="104:111">
      <c r="CZ33656" s="256"/>
      <c r="DG33656" s="256"/>
    </row>
    <row r="33657" spans="104:111">
      <c r="CZ33657" s="256"/>
      <c r="DG33657" s="256"/>
    </row>
    <row r="33658" spans="104:111">
      <c r="CZ33658" s="256"/>
      <c r="DG33658" s="256"/>
    </row>
    <row r="33659" spans="104:111">
      <c r="CZ33659" s="256"/>
      <c r="DG33659" s="256"/>
    </row>
    <row r="33660" spans="104:111">
      <c r="CZ33660" s="256"/>
      <c r="DG33660" s="256"/>
    </row>
    <row r="33661" spans="104:111">
      <c r="CZ33661" s="256"/>
      <c r="DG33661" s="256"/>
    </row>
    <row r="33662" spans="104:111">
      <c r="CZ33662" s="256"/>
      <c r="DG33662" s="256"/>
    </row>
    <row r="33663" spans="104:111">
      <c r="CZ33663" s="256"/>
      <c r="DG33663" s="256"/>
    </row>
    <row r="33664" spans="104:111">
      <c r="CZ33664" s="256"/>
      <c r="DG33664" s="256"/>
    </row>
    <row r="33665" spans="104:111">
      <c r="CZ33665" s="256"/>
      <c r="DG33665" s="256"/>
    </row>
    <row r="33666" spans="104:111">
      <c r="CZ33666" s="256"/>
      <c r="DG33666" s="256"/>
    </row>
    <row r="33667" spans="104:111">
      <c r="CZ33667" s="256"/>
      <c r="DG33667" s="256"/>
    </row>
    <row r="33668" spans="104:111">
      <c r="CZ33668" s="256"/>
      <c r="DG33668" s="256"/>
    </row>
    <row r="33669" spans="104:111">
      <c r="CZ33669" s="256"/>
      <c r="DG33669" s="256"/>
    </row>
    <row r="33670" spans="104:111">
      <c r="CZ33670" s="256"/>
      <c r="DG33670" s="256"/>
    </row>
    <row r="33671" spans="104:111">
      <c r="CZ33671" s="256"/>
      <c r="DG33671" s="256"/>
    </row>
    <row r="33672" spans="104:111">
      <c r="CZ33672" s="256"/>
      <c r="DG33672" s="256"/>
    </row>
    <row r="33673" spans="104:111">
      <c r="CZ33673" s="256"/>
      <c r="DG33673" s="256"/>
    </row>
    <row r="33674" spans="104:111">
      <c r="CZ33674" s="256"/>
      <c r="DG33674" s="256"/>
    </row>
    <row r="33675" spans="104:111">
      <c r="CZ33675" s="256"/>
      <c r="DG33675" s="256"/>
    </row>
    <row r="33676" spans="104:111">
      <c r="CZ33676" s="256"/>
      <c r="DG33676" s="256"/>
    </row>
    <row r="33677" spans="104:111">
      <c r="CZ33677" s="256"/>
      <c r="DG33677" s="256"/>
    </row>
    <row r="33678" spans="104:111">
      <c r="CZ33678" s="256"/>
      <c r="DG33678" s="256"/>
    </row>
    <row r="33679" spans="104:111">
      <c r="CZ33679" s="256"/>
      <c r="DG33679" s="256"/>
    </row>
    <row r="33680" spans="104:111">
      <c r="CZ33680" s="256"/>
      <c r="DG33680" s="256"/>
    </row>
    <row r="33681" spans="104:111">
      <c r="CZ33681" s="256"/>
      <c r="DG33681" s="256"/>
    </row>
    <row r="33682" spans="104:111">
      <c r="CZ33682" s="256"/>
      <c r="DG33682" s="256"/>
    </row>
    <row r="33683" spans="104:111">
      <c r="CZ33683" s="256"/>
      <c r="DG33683" s="256"/>
    </row>
    <row r="33684" spans="104:111">
      <c r="CZ33684" s="256"/>
      <c r="DG33684" s="256"/>
    </row>
    <row r="33685" spans="104:111">
      <c r="CZ33685" s="256"/>
      <c r="DG33685" s="256"/>
    </row>
    <row r="33686" spans="104:111">
      <c r="CZ33686" s="256"/>
      <c r="DG33686" s="256"/>
    </row>
    <row r="33687" spans="104:111">
      <c r="CZ33687" s="256"/>
      <c r="DG33687" s="256"/>
    </row>
    <row r="33688" spans="104:111">
      <c r="CZ33688" s="256"/>
      <c r="DG33688" s="256"/>
    </row>
    <row r="33689" spans="104:111">
      <c r="CZ33689" s="256"/>
      <c r="DG33689" s="256"/>
    </row>
    <row r="33690" spans="104:111">
      <c r="CZ33690" s="256"/>
      <c r="DG33690" s="256"/>
    </row>
    <row r="33691" spans="104:111">
      <c r="CZ33691" s="256"/>
      <c r="DG33691" s="256"/>
    </row>
    <row r="33692" spans="104:111">
      <c r="CZ33692" s="256"/>
      <c r="DG33692" s="256"/>
    </row>
    <row r="33693" spans="104:111">
      <c r="CZ33693" s="256"/>
      <c r="DG33693" s="256"/>
    </row>
    <row r="33694" spans="104:111">
      <c r="CZ33694" s="256"/>
      <c r="DG33694" s="256"/>
    </row>
    <row r="33695" spans="104:111">
      <c r="CZ33695" s="256"/>
      <c r="DG33695" s="256"/>
    </row>
    <row r="33696" spans="104:111">
      <c r="CZ33696" s="256"/>
      <c r="DG33696" s="256"/>
    </row>
    <row r="33697" spans="104:111">
      <c r="CZ33697" s="256"/>
      <c r="DG33697" s="256"/>
    </row>
    <row r="33698" spans="104:111">
      <c r="CZ33698" s="256"/>
      <c r="DG33698" s="256"/>
    </row>
    <row r="33699" spans="104:111">
      <c r="CZ33699" s="256"/>
      <c r="DG33699" s="256"/>
    </row>
    <row r="33700" spans="104:111">
      <c r="CZ33700" s="256"/>
      <c r="DG33700" s="256"/>
    </row>
    <row r="33701" spans="104:111">
      <c r="CZ33701" s="256"/>
      <c r="DG33701" s="256"/>
    </row>
    <row r="33702" spans="104:111">
      <c r="CZ33702" s="256"/>
      <c r="DG33702" s="256"/>
    </row>
    <row r="33703" spans="104:111">
      <c r="CZ33703" s="256"/>
      <c r="DG33703" s="256"/>
    </row>
    <row r="33704" spans="104:111">
      <c r="CZ33704" s="256"/>
      <c r="DG33704" s="256"/>
    </row>
    <row r="33705" spans="104:111">
      <c r="CZ33705" s="256"/>
      <c r="DG33705" s="256"/>
    </row>
    <row r="33706" spans="104:111">
      <c r="CZ33706" s="256"/>
      <c r="DG33706" s="256"/>
    </row>
    <row r="33707" spans="104:111">
      <c r="CZ33707" s="256"/>
      <c r="DG33707" s="256"/>
    </row>
    <row r="33708" spans="104:111">
      <c r="CZ33708" s="256"/>
      <c r="DG33708" s="256"/>
    </row>
    <row r="33709" spans="104:111">
      <c r="CZ33709" s="256"/>
      <c r="DG33709" s="256"/>
    </row>
    <row r="33710" spans="104:111">
      <c r="CZ33710" s="256"/>
      <c r="DG33710" s="256"/>
    </row>
    <row r="33711" spans="104:111">
      <c r="CZ33711" s="256"/>
      <c r="DG33711" s="256"/>
    </row>
    <row r="33712" spans="104:111">
      <c r="CZ33712" s="256"/>
      <c r="DG33712" s="256"/>
    </row>
    <row r="33713" spans="104:111">
      <c r="CZ33713" s="256"/>
      <c r="DG33713" s="256"/>
    </row>
    <row r="33714" spans="104:111">
      <c r="CZ33714" s="256"/>
      <c r="DG33714" s="256"/>
    </row>
    <row r="33715" spans="104:111">
      <c r="CZ33715" s="256"/>
      <c r="DG33715" s="256"/>
    </row>
    <row r="33716" spans="104:111">
      <c r="CZ33716" s="256"/>
      <c r="DG33716" s="256"/>
    </row>
    <row r="33717" spans="104:111">
      <c r="CZ33717" s="256"/>
      <c r="DG33717" s="256"/>
    </row>
    <row r="33718" spans="104:111">
      <c r="CZ33718" s="256"/>
      <c r="DG33718" s="256"/>
    </row>
    <row r="33719" spans="104:111">
      <c r="CZ33719" s="256"/>
      <c r="DG33719" s="256"/>
    </row>
    <row r="33720" spans="104:111">
      <c r="CZ33720" s="256"/>
      <c r="DG33720" s="256"/>
    </row>
    <row r="33721" spans="104:111">
      <c r="CZ33721" s="256"/>
      <c r="DG33721" s="256"/>
    </row>
    <row r="33722" spans="104:111">
      <c r="CZ33722" s="256"/>
      <c r="DG33722" s="256"/>
    </row>
    <row r="33723" spans="104:111">
      <c r="CZ33723" s="256"/>
      <c r="DG33723" s="256"/>
    </row>
    <row r="33724" spans="104:111">
      <c r="CZ33724" s="256"/>
      <c r="DG33724" s="256"/>
    </row>
    <row r="33725" spans="104:111">
      <c r="CZ33725" s="256"/>
      <c r="DG33725" s="256"/>
    </row>
    <row r="33726" spans="104:111">
      <c r="CZ33726" s="256"/>
      <c r="DG33726" s="256"/>
    </row>
    <row r="33727" spans="104:111">
      <c r="CZ33727" s="256"/>
      <c r="DG33727" s="256"/>
    </row>
    <row r="33728" spans="104:111">
      <c r="CZ33728" s="256"/>
      <c r="DG33728" s="256"/>
    </row>
    <row r="33729" spans="104:111">
      <c r="CZ33729" s="256"/>
      <c r="DG33729" s="256"/>
    </row>
    <row r="33730" spans="104:111">
      <c r="CZ33730" s="256"/>
      <c r="DG33730" s="256"/>
    </row>
    <row r="33731" spans="104:111">
      <c r="CZ33731" s="256"/>
      <c r="DG33731" s="256"/>
    </row>
    <row r="33732" spans="104:111">
      <c r="CZ33732" s="256"/>
      <c r="DG33732" s="256"/>
    </row>
    <row r="33733" spans="104:111">
      <c r="CZ33733" s="256"/>
      <c r="DG33733" s="256"/>
    </row>
    <row r="33734" spans="104:111">
      <c r="CZ33734" s="256"/>
      <c r="DG33734" s="256"/>
    </row>
    <row r="33735" spans="104:111">
      <c r="CZ33735" s="256"/>
      <c r="DG33735" s="256"/>
    </row>
    <row r="33736" spans="104:111">
      <c r="CZ33736" s="256"/>
      <c r="DG33736" s="256"/>
    </row>
    <row r="33737" spans="104:111">
      <c r="CZ33737" s="256"/>
      <c r="DG33737" s="256"/>
    </row>
    <row r="33738" spans="104:111">
      <c r="CZ33738" s="256"/>
      <c r="DG33738" s="256"/>
    </row>
    <row r="33739" spans="104:111">
      <c r="CZ33739" s="256"/>
      <c r="DG33739" s="256"/>
    </row>
    <row r="33740" spans="104:111">
      <c r="CZ33740" s="256"/>
      <c r="DG33740" s="256"/>
    </row>
    <row r="33741" spans="104:111">
      <c r="CZ33741" s="256"/>
      <c r="DG33741" s="256"/>
    </row>
    <row r="33742" spans="104:111">
      <c r="CZ33742" s="256"/>
      <c r="DG33742" s="256"/>
    </row>
    <row r="33743" spans="104:111">
      <c r="CZ33743" s="256"/>
      <c r="DG33743" s="256"/>
    </row>
    <row r="33744" spans="104:111">
      <c r="CZ33744" s="256"/>
      <c r="DG33744" s="256"/>
    </row>
    <row r="33745" spans="104:111">
      <c r="CZ33745" s="256"/>
      <c r="DG33745" s="256"/>
    </row>
    <row r="33746" spans="104:111">
      <c r="CZ33746" s="256"/>
      <c r="DG33746" s="256"/>
    </row>
    <row r="33747" spans="104:111">
      <c r="CZ33747" s="256"/>
      <c r="DG33747" s="256"/>
    </row>
    <row r="33748" spans="104:111">
      <c r="CZ33748" s="256"/>
      <c r="DG33748" s="256"/>
    </row>
    <row r="33749" spans="104:111">
      <c r="CZ33749" s="256"/>
      <c r="DG33749" s="256"/>
    </row>
    <row r="33750" spans="104:111">
      <c r="CZ33750" s="256"/>
      <c r="DG33750" s="256"/>
    </row>
    <row r="33751" spans="104:111">
      <c r="CZ33751" s="256"/>
      <c r="DG33751" s="256"/>
    </row>
    <row r="33752" spans="104:111">
      <c r="CZ33752" s="256"/>
      <c r="DG33752" s="256"/>
    </row>
    <row r="33753" spans="104:111">
      <c r="CZ33753" s="256"/>
      <c r="DG33753" s="256"/>
    </row>
    <row r="33754" spans="104:111">
      <c r="CZ33754" s="256"/>
      <c r="DG33754" s="256"/>
    </row>
    <row r="33755" spans="104:111">
      <c r="CZ33755" s="256"/>
      <c r="DG33755" s="256"/>
    </row>
    <row r="33756" spans="104:111">
      <c r="CZ33756" s="256"/>
      <c r="DG33756" s="256"/>
    </row>
    <row r="33757" spans="104:111">
      <c r="CZ33757" s="256"/>
      <c r="DG33757" s="256"/>
    </row>
    <row r="33758" spans="104:111">
      <c r="CZ33758" s="256"/>
      <c r="DG33758" s="256"/>
    </row>
    <row r="33759" spans="104:111">
      <c r="CZ33759" s="256"/>
      <c r="DG33759" s="256"/>
    </row>
    <row r="33760" spans="104:111">
      <c r="CZ33760" s="256"/>
      <c r="DG33760" s="256"/>
    </row>
    <row r="33761" spans="104:111">
      <c r="CZ33761" s="256"/>
      <c r="DG33761" s="256"/>
    </row>
    <row r="33762" spans="104:111">
      <c r="CZ33762" s="256"/>
      <c r="DG33762" s="256"/>
    </row>
    <row r="33763" spans="104:111">
      <c r="CZ33763" s="256"/>
      <c r="DG33763" s="256"/>
    </row>
    <row r="33764" spans="104:111">
      <c r="CZ33764" s="256"/>
      <c r="DG33764" s="256"/>
    </row>
    <row r="33765" spans="104:111">
      <c r="CZ33765" s="256"/>
      <c r="DG33765" s="256"/>
    </row>
    <row r="33766" spans="104:111">
      <c r="CZ33766" s="256"/>
      <c r="DG33766" s="256"/>
    </row>
    <row r="33767" spans="104:111">
      <c r="CZ33767" s="256"/>
      <c r="DG33767" s="256"/>
    </row>
    <row r="33768" spans="104:111">
      <c r="CZ33768" s="256"/>
      <c r="DG33768" s="256"/>
    </row>
    <row r="33769" spans="104:111">
      <c r="CZ33769" s="256"/>
      <c r="DG33769" s="256"/>
    </row>
    <row r="33770" spans="104:111">
      <c r="CZ33770" s="256"/>
      <c r="DG33770" s="256"/>
    </row>
    <row r="33771" spans="104:111">
      <c r="CZ33771" s="256"/>
      <c r="DG33771" s="256"/>
    </row>
    <row r="33772" spans="104:111">
      <c r="CZ33772" s="256"/>
      <c r="DG33772" s="256"/>
    </row>
    <row r="33773" spans="104:111">
      <c r="CZ33773" s="256"/>
      <c r="DG33773" s="256"/>
    </row>
    <row r="33774" spans="104:111">
      <c r="CZ33774" s="256"/>
      <c r="DG33774" s="256"/>
    </row>
    <row r="33775" spans="104:111">
      <c r="CZ33775" s="256"/>
      <c r="DG33775" s="256"/>
    </row>
    <row r="33776" spans="104:111">
      <c r="CZ33776" s="256"/>
      <c r="DG33776" s="256"/>
    </row>
    <row r="33777" spans="104:111">
      <c r="CZ33777" s="256"/>
      <c r="DG33777" s="256"/>
    </row>
    <row r="33778" spans="104:111">
      <c r="CZ33778" s="256"/>
      <c r="DG33778" s="256"/>
    </row>
    <row r="33779" spans="104:111">
      <c r="CZ33779" s="256"/>
      <c r="DG33779" s="256"/>
    </row>
    <row r="33780" spans="104:111">
      <c r="CZ33780" s="256"/>
      <c r="DG33780" s="256"/>
    </row>
    <row r="33781" spans="104:111">
      <c r="CZ33781" s="256"/>
      <c r="DG33781" s="256"/>
    </row>
    <row r="33782" spans="104:111">
      <c r="CZ33782" s="256"/>
      <c r="DG33782" s="256"/>
    </row>
    <row r="33783" spans="104:111">
      <c r="CZ33783" s="256"/>
      <c r="DG33783" s="256"/>
    </row>
    <row r="33784" spans="104:111">
      <c r="CZ33784" s="256"/>
      <c r="DG33784" s="256"/>
    </row>
    <row r="33785" spans="104:111">
      <c r="CZ33785" s="256"/>
      <c r="DG33785" s="256"/>
    </row>
    <row r="33786" spans="104:111">
      <c r="CZ33786" s="256"/>
      <c r="DG33786" s="256"/>
    </row>
    <row r="33787" spans="104:111">
      <c r="CZ33787" s="256"/>
      <c r="DG33787" s="256"/>
    </row>
    <row r="33788" spans="104:111">
      <c r="CZ33788" s="256"/>
      <c r="DG33788" s="256"/>
    </row>
    <row r="33789" spans="104:111">
      <c r="CZ33789" s="256"/>
      <c r="DG33789" s="256"/>
    </row>
    <row r="33790" spans="104:111">
      <c r="CZ33790" s="256"/>
      <c r="DG33790" s="256"/>
    </row>
    <row r="33791" spans="104:111">
      <c r="CZ33791" s="256"/>
      <c r="DG33791" s="256"/>
    </row>
    <row r="33792" spans="104:111">
      <c r="CZ33792" s="256"/>
      <c r="DG33792" s="256"/>
    </row>
    <row r="33793" spans="104:111">
      <c r="CZ33793" s="256"/>
      <c r="DG33793" s="256"/>
    </row>
    <row r="33794" spans="104:111">
      <c r="CZ33794" s="256"/>
      <c r="DG33794" s="256"/>
    </row>
    <row r="33795" spans="104:111">
      <c r="CZ33795" s="256"/>
      <c r="DG33795" s="256"/>
    </row>
    <row r="33796" spans="104:111">
      <c r="CZ33796" s="256"/>
      <c r="DG33796" s="256"/>
    </row>
    <row r="33797" spans="104:111">
      <c r="CZ33797" s="256"/>
      <c r="DG33797" s="256"/>
    </row>
    <row r="33798" spans="104:111">
      <c r="CZ33798" s="256"/>
      <c r="DG33798" s="256"/>
    </row>
    <row r="33799" spans="104:111">
      <c r="CZ33799" s="256"/>
      <c r="DG33799" s="256"/>
    </row>
    <row r="33800" spans="104:111">
      <c r="CZ33800" s="256"/>
      <c r="DG33800" s="256"/>
    </row>
    <row r="33801" spans="104:111">
      <c r="CZ33801" s="256"/>
      <c r="DG33801" s="256"/>
    </row>
    <row r="33802" spans="104:111">
      <c r="CZ33802" s="256"/>
      <c r="DG33802" s="256"/>
    </row>
    <row r="33803" spans="104:111">
      <c r="CZ33803" s="256"/>
      <c r="DG33803" s="256"/>
    </row>
    <row r="33804" spans="104:111">
      <c r="CZ33804" s="256"/>
      <c r="DG33804" s="256"/>
    </row>
    <row r="33805" spans="104:111">
      <c r="CZ33805" s="256"/>
      <c r="DG33805" s="256"/>
    </row>
    <row r="33806" spans="104:111">
      <c r="CZ33806" s="256"/>
      <c r="DG33806" s="256"/>
    </row>
    <row r="33807" spans="104:111">
      <c r="CZ33807" s="256"/>
      <c r="DG33807" s="256"/>
    </row>
    <row r="33808" spans="104:111">
      <c r="CZ33808" s="256"/>
      <c r="DG33808" s="256"/>
    </row>
    <row r="33809" spans="104:111">
      <c r="CZ33809" s="256"/>
      <c r="DG33809" s="256"/>
    </row>
    <row r="33810" spans="104:111">
      <c r="CZ33810" s="256"/>
      <c r="DG33810" s="256"/>
    </row>
    <row r="33811" spans="104:111">
      <c r="CZ33811" s="256"/>
      <c r="DG33811" s="256"/>
    </row>
    <row r="33812" spans="104:111">
      <c r="CZ33812" s="256"/>
      <c r="DG33812" s="256"/>
    </row>
    <row r="33813" spans="104:111">
      <c r="CZ33813" s="256"/>
      <c r="DG33813" s="256"/>
    </row>
    <row r="33814" spans="104:111">
      <c r="CZ33814" s="256"/>
      <c r="DG33814" s="256"/>
    </row>
    <row r="33815" spans="104:111">
      <c r="CZ33815" s="256"/>
      <c r="DG33815" s="256"/>
    </row>
    <row r="33816" spans="104:111">
      <c r="CZ33816" s="256"/>
      <c r="DG33816" s="256"/>
    </row>
    <row r="33817" spans="104:111">
      <c r="CZ33817" s="256"/>
      <c r="DG33817" s="256"/>
    </row>
    <row r="33818" spans="104:111">
      <c r="CZ33818" s="256"/>
      <c r="DG33818" s="256"/>
    </row>
    <row r="33819" spans="104:111">
      <c r="CZ33819" s="256"/>
      <c r="DG33819" s="256"/>
    </row>
    <row r="33820" spans="104:111">
      <c r="CZ33820" s="256"/>
      <c r="DG33820" s="256"/>
    </row>
    <row r="33821" spans="104:111">
      <c r="CZ33821" s="256"/>
      <c r="DG33821" s="256"/>
    </row>
    <row r="33822" spans="104:111">
      <c r="CZ33822" s="256"/>
      <c r="DG33822" s="256"/>
    </row>
    <row r="33823" spans="104:111">
      <c r="CZ33823" s="256"/>
      <c r="DG33823" s="256"/>
    </row>
    <row r="33824" spans="104:111">
      <c r="CZ33824" s="256"/>
      <c r="DG33824" s="256"/>
    </row>
    <row r="33825" spans="104:111">
      <c r="CZ33825" s="256"/>
      <c r="DG33825" s="256"/>
    </row>
    <row r="33826" spans="104:111">
      <c r="CZ33826" s="256"/>
      <c r="DG33826" s="256"/>
    </row>
    <row r="33827" spans="104:111">
      <c r="CZ33827" s="256"/>
      <c r="DG33827" s="256"/>
    </row>
    <row r="33828" spans="104:111">
      <c r="CZ33828" s="256"/>
      <c r="DG33828" s="256"/>
    </row>
    <row r="33829" spans="104:111">
      <c r="CZ33829" s="256"/>
      <c r="DG33829" s="256"/>
    </row>
    <row r="33830" spans="104:111">
      <c r="CZ33830" s="256"/>
      <c r="DG33830" s="256"/>
    </row>
    <row r="33831" spans="104:111">
      <c r="CZ33831" s="256"/>
      <c r="DG33831" s="256"/>
    </row>
    <row r="33832" spans="104:111">
      <c r="CZ33832" s="256"/>
      <c r="DG33832" s="256"/>
    </row>
    <row r="33833" spans="104:111">
      <c r="CZ33833" s="256"/>
      <c r="DG33833" s="256"/>
    </row>
    <row r="33834" spans="104:111">
      <c r="CZ33834" s="256"/>
      <c r="DG33834" s="256"/>
    </row>
    <row r="33835" spans="104:111">
      <c r="CZ33835" s="256"/>
      <c r="DG33835" s="256"/>
    </row>
    <row r="33836" spans="104:111">
      <c r="CZ33836" s="256"/>
      <c r="DG33836" s="256"/>
    </row>
    <row r="33837" spans="104:111">
      <c r="CZ33837" s="256"/>
      <c r="DG33837" s="256"/>
    </row>
    <row r="33838" spans="104:111">
      <c r="CZ33838" s="256"/>
      <c r="DG33838" s="256"/>
    </row>
    <row r="33839" spans="104:111">
      <c r="CZ33839" s="256"/>
      <c r="DG33839" s="256"/>
    </row>
    <row r="33840" spans="104:111">
      <c r="CZ33840" s="256"/>
      <c r="DG33840" s="256"/>
    </row>
    <row r="33841" spans="104:111">
      <c r="CZ33841" s="256"/>
      <c r="DG33841" s="256"/>
    </row>
    <row r="33842" spans="104:111">
      <c r="CZ33842" s="256"/>
      <c r="DG33842" s="256"/>
    </row>
    <row r="33843" spans="104:111">
      <c r="CZ33843" s="256"/>
      <c r="DG33843" s="256"/>
    </row>
    <row r="33844" spans="104:111">
      <c r="CZ33844" s="256"/>
      <c r="DG33844" s="256"/>
    </row>
    <row r="33845" spans="104:111">
      <c r="CZ33845" s="256"/>
      <c r="DG33845" s="256"/>
    </row>
    <row r="33846" spans="104:111">
      <c r="CZ33846" s="256"/>
      <c r="DG33846" s="256"/>
    </row>
    <row r="33847" spans="104:111">
      <c r="CZ33847" s="256"/>
      <c r="DG33847" s="256"/>
    </row>
    <row r="33848" spans="104:111">
      <c r="CZ33848" s="256"/>
      <c r="DG33848" s="256"/>
    </row>
    <row r="33849" spans="104:111">
      <c r="CZ33849" s="256"/>
      <c r="DG33849" s="256"/>
    </row>
    <row r="33850" spans="104:111">
      <c r="CZ33850" s="256"/>
      <c r="DG33850" s="256"/>
    </row>
    <row r="33851" spans="104:111">
      <c r="CZ33851" s="256"/>
      <c r="DG33851" s="256"/>
    </row>
    <row r="33852" spans="104:111">
      <c r="CZ33852" s="256"/>
      <c r="DG33852" s="256"/>
    </row>
    <row r="33853" spans="104:111">
      <c r="CZ33853" s="256"/>
      <c r="DG33853" s="256"/>
    </row>
    <row r="33854" spans="104:111">
      <c r="CZ33854" s="256"/>
      <c r="DG33854" s="256"/>
    </row>
    <row r="33855" spans="104:111">
      <c r="CZ33855" s="256"/>
      <c r="DG33855" s="256"/>
    </row>
    <row r="33856" spans="104:111">
      <c r="CZ33856" s="256"/>
      <c r="DG33856" s="256"/>
    </row>
    <row r="33857" spans="104:111">
      <c r="CZ33857" s="256"/>
      <c r="DG33857" s="256"/>
    </row>
    <row r="33858" spans="104:111">
      <c r="CZ33858" s="256"/>
      <c r="DG33858" s="256"/>
    </row>
    <row r="33859" spans="104:111">
      <c r="CZ33859" s="256"/>
      <c r="DG33859" s="256"/>
    </row>
    <row r="33860" spans="104:111">
      <c r="CZ33860" s="256"/>
      <c r="DG33860" s="256"/>
    </row>
    <row r="33861" spans="104:111">
      <c r="CZ33861" s="256"/>
      <c r="DG33861" s="256"/>
    </row>
    <row r="33862" spans="104:111">
      <c r="CZ33862" s="256"/>
      <c r="DG33862" s="256"/>
    </row>
    <row r="33863" spans="104:111">
      <c r="CZ33863" s="256"/>
      <c r="DG33863" s="256"/>
    </row>
    <row r="33864" spans="104:111">
      <c r="CZ33864" s="256"/>
      <c r="DG33864" s="256"/>
    </row>
    <row r="33865" spans="104:111">
      <c r="CZ33865" s="256"/>
      <c r="DG33865" s="256"/>
    </row>
    <row r="33866" spans="104:111">
      <c r="CZ33866" s="256"/>
      <c r="DG33866" s="256"/>
    </row>
    <row r="33867" spans="104:111">
      <c r="CZ33867" s="256"/>
      <c r="DG33867" s="256"/>
    </row>
    <row r="33868" spans="104:111">
      <c r="CZ33868" s="256"/>
      <c r="DG33868" s="256"/>
    </row>
    <row r="33869" spans="104:111">
      <c r="CZ33869" s="256"/>
      <c r="DG33869" s="256"/>
    </row>
    <row r="33870" spans="104:111">
      <c r="CZ33870" s="256"/>
      <c r="DG33870" s="256"/>
    </row>
    <row r="33871" spans="104:111">
      <c r="CZ33871" s="256"/>
      <c r="DG33871" s="256"/>
    </row>
    <row r="33872" spans="104:111">
      <c r="CZ33872" s="256"/>
      <c r="DG33872" s="256"/>
    </row>
    <row r="33873" spans="104:111">
      <c r="CZ33873" s="256"/>
      <c r="DG33873" s="256"/>
    </row>
    <row r="33874" spans="104:111">
      <c r="CZ33874" s="256"/>
      <c r="DG33874" s="256"/>
    </row>
    <row r="33875" spans="104:111">
      <c r="CZ33875" s="256"/>
      <c r="DG33875" s="256"/>
    </row>
    <row r="33876" spans="104:111">
      <c r="CZ33876" s="256"/>
      <c r="DG33876" s="256"/>
    </row>
    <row r="33877" spans="104:111">
      <c r="CZ33877" s="256"/>
      <c r="DG33877" s="256"/>
    </row>
    <row r="33878" spans="104:111">
      <c r="CZ33878" s="256"/>
      <c r="DG33878" s="256"/>
    </row>
    <row r="33879" spans="104:111">
      <c r="CZ33879" s="256"/>
      <c r="DG33879" s="256"/>
    </row>
    <row r="33880" spans="104:111">
      <c r="CZ33880" s="256"/>
      <c r="DG33880" s="256"/>
    </row>
    <row r="33881" spans="104:111">
      <c r="CZ33881" s="256"/>
      <c r="DG33881" s="256"/>
    </row>
    <row r="33882" spans="104:111">
      <c r="CZ33882" s="256"/>
      <c r="DG33882" s="256"/>
    </row>
    <row r="33883" spans="104:111">
      <c r="CZ33883" s="256"/>
      <c r="DG33883" s="256"/>
    </row>
    <row r="33884" spans="104:111">
      <c r="CZ33884" s="256"/>
      <c r="DG33884" s="256"/>
    </row>
    <row r="33885" spans="104:111">
      <c r="CZ33885" s="256"/>
      <c r="DG33885" s="256"/>
    </row>
    <row r="33886" spans="104:111">
      <c r="CZ33886" s="256"/>
      <c r="DG33886" s="256"/>
    </row>
    <row r="33887" spans="104:111">
      <c r="CZ33887" s="256"/>
      <c r="DG33887" s="256"/>
    </row>
    <row r="33888" spans="104:111">
      <c r="CZ33888" s="256"/>
      <c r="DG33888" s="256"/>
    </row>
    <row r="33889" spans="104:111">
      <c r="CZ33889" s="256"/>
      <c r="DG33889" s="256"/>
    </row>
    <row r="33890" spans="104:111">
      <c r="CZ33890" s="256"/>
      <c r="DG33890" s="256"/>
    </row>
    <row r="33891" spans="104:111">
      <c r="CZ33891" s="256"/>
      <c r="DG33891" s="256"/>
    </row>
    <row r="33892" spans="104:111">
      <c r="CZ33892" s="256"/>
      <c r="DG33892" s="256"/>
    </row>
    <row r="33893" spans="104:111">
      <c r="CZ33893" s="256"/>
      <c r="DG33893" s="256"/>
    </row>
    <row r="33894" spans="104:111">
      <c r="CZ33894" s="256"/>
      <c r="DG33894" s="256"/>
    </row>
    <row r="33895" spans="104:111">
      <c r="CZ33895" s="256"/>
      <c r="DG33895" s="256"/>
    </row>
    <row r="33896" spans="104:111">
      <c r="CZ33896" s="256"/>
      <c r="DG33896" s="256"/>
    </row>
    <row r="33897" spans="104:111">
      <c r="CZ33897" s="256"/>
      <c r="DG33897" s="256"/>
    </row>
    <row r="33898" spans="104:111">
      <c r="CZ33898" s="256"/>
      <c r="DG33898" s="256"/>
    </row>
    <row r="33899" spans="104:111">
      <c r="CZ33899" s="256"/>
      <c r="DG33899" s="256"/>
    </row>
    <row r="33900" spans="104:111">
      <c r="CZ33900" s="256"/>
      <c r="DG33900" s="256"/>
    </row>
    <row r="33901" spans="104:111">
      <c r="CZ33901" s="256"/>
      <c r="DG33901" s="256"/>
    </row>
    <row r="33902" spans="104:111">
      <c r="CZ33902" s="256"/>
      <c r="DG33902" s="256"/>
    </row>
    <row r="33903" spans="104:111">
      <c r="CZ33903" s="256"/>
      <c r="DG33903" s="256"/>
    </row>
    <row r="33904" spans="104:111">
      <c r="CZ33904" s="256"/>
      <c r="DG33904" s="256"/>
    </row>
    <row r="33905" spans="104:111">
      <c r="CZ33905" s="256"/>
      <c r="DG33905" s="256"/>
    </row>
    <row r="33906" spans="104:111">
      <c r="CZ33906" s="256"/>
      <c r="DG33906" s="256"/>
    </row>
    <row r="33907" spans="104:111">
      <c r="CZ33907" s="256"/>
      <c r="DG33907" s="256"/>
    </row>
    <row r="33908" spans="104:111">
      <c r="CZ33908" s="256"/>
      <c r="DG33908" s="256"/>
    </row>
    <row r="33909" spans="104:111">
      <c r="CZ33909" s="256"/>
      <c r="DG33909" s="256"/>
    </row>
    <row r="33910" spans="104:111">
      <c r="CZ33910" s="256"/>
      <c r="DG33910" s="256"/>
    </row>
    <row r="33911" spans="104:111">
      <c r="CZ33911" s="256"/>
      <c r="DG33911" s="256"/>
    </row>
    <row r="33912" spans="104:111">
      <c r="CZ33912" s="256"/>
      <c r="DG33912" s="256"/>
    </row>
    <row r="33913" spans="104:111">
      <c r="CZ33913" s="256"/>
      <c r="DG33913" s="256"/>
    </row>
    <row r="33914" spans="104:111">
      <c r="CZ33914" s="256"/>
      <c r="DG33914" s="256"/>
    </row>
    <row r="33915" spans="104:111">
      <c r="CZ33915" s="256"/>
      <c r="DG33915" s="256"/>
    </row>
    <row r="33916" spans="104:111">
      <c r="CZ33916" s="256"/>
      <c r="DG33916" s="256"/>
    </row>
    <row r="33917" spans="104:111">
      <c r="CZ33917" s="256"/>
      <c r="DG33917" s="256"/>
    </row>
    <row r="33918" spans="104:111">
      <c r="CZ33918" s="256"/>
      <c r="DG33918" s="256"/>
    </row>
    <row r="33919" spans="104:111">
      <c r="CZ33919" s="256"/>
      <c r="DG33919" s="256"/>
    </row>
    <row r="33920" spans="104:111">
      <c r="CZ33920" s="256"/>
      <c r="DG33920" s="256"/>
    </row>
    <row r="33921" spans="104:111">
      <c r="CZ33921" s="256"/>
      <c r="DG33921" s="256"/>
    </row>
    <row r="33922" spans="104:111">
      <c r="CZ33922" s="256"/>
      <c r="DG33922" s="256"/>
    </row>
    <row r="33923" spans="104:111">
      <c r="CZ33923" s="256"/>
      <c r="DG33923" s="256"/>
    </row>
    <row r="33924" spans="104:111">
      <c r="CZ33924" s="256"/>
      <c r="DG33924" s="256"/>
    </row>
    <row r="33925" spans="104:111">
      <c r="CZ33925" s="256"/>
      <c r="DG33925" s="256"/>
    </row>
    <row r="33926" spans="104:111">
      <c r="CZ33926" s="256"/>
      <c r="DG33926" s="256"/>
    </row>
    <row r="33927" spans="104:111">
      <c r="CZ33927" s="256"/>
      <c r="DG33927" s="256"/>
    </row>
    <row r="33928" spans="104:111">
      <c r="CZ33928" s="256"/>
      <c r="DG33928" s="256"/>
    </row>
    <row r="33929" spans="104:111">
      <c r="CZ33929" s="256"/>
      <c r="DG33929" s="256"/>
    </row>
    <row r="33930" spans="104:111">
      <c r="CZ33930" s="256"/>
      <c r="DG33930" s="256"/>
    </row>
    <row r="33931" spans="104:111">
      <c r="CZ33931" s="256"/>
      <c r="DG33931" s="256"/>
    </row>
    <row r="33932" spans="104:111">
      <c r="CZ33932" s="256"/>
      <c r="DG33932" s="256"/>
    </row>
    <row r="33933" spans="104:111">
      <c r="CZ33933" s="256"/>
      <c r="DG33933" s="256"/>
    </row>
    <row r="33934" spans="104:111">
      <c r="CZ33934" s="256"/>
      <c r="DG33934" s="256"/>
    </row>
    <row r="33935" spans="104:111">
      <c r="CZ33935" s="256"/>
      <c r="DG33935" s="256"/>
    </row>
    <row r="33936" spans="104:111">
      <c r="CZ33936" s="256"/>
      <c r="DG33936" s="256"/>
    </row>
    <row r="33937" spans="104:111">
      <c r="CZ33937" s="256"/>
      <c r="DG33937" s="256"/>
    </row>
    <row r="33938" spans="104:111">
      <c r="CZ33938" s="256"/>
      <c r="DG33938" s="256"/>
    </row>
    <row r="33939" spans="104:111">
      <c r="CZ33939" s="256"/>
      <c r="DG33939" s="256"/>
    </row>
    <row r="33940" spans="104:111">
      <c r="CZ33940" s="256"/>
      <c r="DG33940" s="256"/>
    </row>
    <row r="33941" spans="104:111">
      <c r="CZ33941" s="256"/>
      <c r="DG33941" s="256"/>
    </row>
    <row r="33942" spans="104:111">
      <c r="CZ33942" s="256"/>
      <c r="DG33942" s="256"/>
    </row>
    <row r="33943" spans="104:111">
      <c r="CZ33943" s="256"/>
      <c r="DG33943" s="256"/>
    </row>
    <row r="33944" spans="104:111">
      <c r="CZ33944" s="256"/>
      <c r="DG33944" s="256"/>
    </row>
    <row r="33945" spans="104:111">
      <c r="CZ33945" s="256"/>
      <c r="DG33945" s="256"/>
    </row>
    <row r="33946" spans="104:111">
      <c r="CZ33946" s="256"/>
      <c r="DG33946" s="256"/>
    </row>
    <row r="33947" spans="104:111">
      <c r="CZ33947" s="256"/>
      <c r="DG33947" s="256"/>
    </row>
    <row r="33948" spans="104:111">
      <c r="CZ33948" s="256"/>
      <c r="DG33948" s="256"/>
    </row>
    <row r="33949" spans="104:111">
      <c r="CZ33949" s="256"/>
      <c r="DG33949" s="256"/>
    </row>
    <row r="33950" spans="104:111">
      <c r="CZ33950" s="256"/>
      <c r="DG33950" s="256"/>
    </row>
    <row r="33951" spans="104:111">
      <c r="CZ33951" s="256"/>
      <c r="DG33951" s="256"/>
    </row>
    <row r="33952" spans="104:111">
      <c r="CZ33952" s="256"/>
      <c r="DG33952" s="256"/>
    </row>
    <row r="33953" spans="104:111">
      <c r="CZ33953" s="256"/>
      <c r="DG33953" s="256"/>
    </row>
    <row r="33954" spans="104:111">
      <c r="CZ33954" s="256"/>
      <c r="DG33954" s="256"/>
    </row>
    <row r="33955" spans="104:111">
      <c r="CZ33955" s="256"/>
      <c r="DG33955" s="256"/>
    </row>
    <row r="33956" spans="104:111">
      <c r="CZ33956" s="256"/>
      <c r="DG33956" s="256"/>
    </row>
    <row r="33957" spans="104:111">
      <c r="CZ33957" s="256"/>
      <c r="DG33957" s="256"/>
    </row>
    <row r="33958" spans="104:111">
      <c r="CZ33958" s="256"/>
      <c r="DG33958" s="256"/>
    </row>
    <row r="33959" spans="104:111">
      <c r="CZ33959" s="256"/>
      <c r="DG33959" s="256"/>
    </row>
    <row r="33960" spans="104:111">
      <c r="CZ33960" s="256"/>
      <c r="DG33960" s="256"/>
    </row>
    <row r="33961" spans="104:111">
      <c r="CZ33961" s="256"/>
      <c r="DG33961" s="256"/>
    </row>
    <row r="33962" spans="104:111">
      <c r="CZ33962" s="256"/>
      <c r="DG33962" s="256"/>
    </row>
    <row r="33963" spans="104:111">
      <c r="CZ33963" s="256"/>
      <c r="DG33963" s="256"/>
    </row>
    <row r="33964" spans="104:111">
      <c r="CZ33964" s="256"/>
      <c r="DG33964" s="256"/>
    </row>
    <row r="33965" spans="104:111">
      <c r="CZ33965" s="256"/>
      <c r="DG33965" s="256"/>
    </row>
    <row r="33966" spans="104:111">
      <c r="CZ33966" s="256"/>
      <c r="DG33966" s="256"/>
    </row>
    <row r="33967" spans="104:111">
      <c r="CZ33967" s="256"/>
      <c r="DG33967" s="256"/>
    </row>
    <row r="33968" spans="104:111">
      <c r="CZ33968" s="256"/>
      <c r="DG33968" s="256"/>
    </row>
    <row r="33969" spans="104:111">
      <c r="CZ33969" s="256"/>
      <c r="DG33969" s="256"/>
    </row>
    <row r="33970" spans="104:111">
      <c r="CZ33970" s="256"/>
      <c r="DG33970" s="256"/>
    </row>
    <row r="33971" spans="104:111">
      <c r="CZ33971" s="256"/>
      <c r="DG33971" s="256"/>
    </row>
    <row r="33972" spans="104:111">
      <c r="CZ33972" s="256"/>
      <c r="DG33972" s="256"/>
    </row>
    <row r="33973" spans="104:111">
      <c r="CZ33973" s="256"/>
      <c r="DG33973" s="256"/>
    </row>
    <row r="33974" spans="104:111">
      <c r="CZ33974" s="256"/>
      <c r="DG33974" s="256"/>
    </row>
    <row r="33975" spans="104:111">
      <c r="CZ33975" s="256"/>
      <c r="DG33975" s="256"/>
    </row>
    <row r="33976" spans="104:111">
      <c r="CZ33976" s="256"/>
      <c r="DG33976" s="256"/>
    </row>
    <row r="33977" spans="104:111">
      <c r="CZ33977" s="256"/>
      <c r="DG33977" s="256"/>
    </row>
    <row r="33978" spans="104:111">
      <c r="CZ33978" s="256"/>
      <c r="DG33978" s="256"/>
    </row>
    <row r="33979" spans="104:111">
      <c r="CZ33979" s="256"/>
      <c r="DG33979" s="256"/>
    </row>
    <row r="33980" spans="104:111">
      <c r="CZ33980" s="256"/>
      <c r="DG33980" s="256"/>
    </row>
    <row r="33981" spans="104:111">
      <c r="CZ33981" s="256"/>
      <c r="DG33981" s="256"/>
    </row>
    <row r="33982" spans="104:111">
      <c r="CZ33982" s="256"/>
      <c r="DG33982" s="256"/>
    </row>
    <row r="33983" spans="104:111">
      <c r="CZ33983" s="256"/>
      <c r="DG33983" s="256"/>
    </row>
    <row r="33984" spans="104:111">
      <c r="CZ33984" s="256"/>
      <c r="DG33984" s="256"/>
    </row>
    <row r="33985" spans="104:111">
      <c r="CZ33985" s="256"/>
      <c r="DG33985" s="256"/>
    </row>
    <row r="33986" spans="104:111">
      <c r="CZ33986" s="256"/>
      <c r="DG33986" s="256"/>
    </row>
    <row r="33987" spans="104:111">
      <c r="CZ33987" s="256"/>
      <c r="DG33987" s="256"/>
    </row>
    <row r="33988" spans="104:111">
      <c r="CZ33988" s="256"/>
      <c r="DG33988" s="256"/>
    </row>
    <row r="33989" spans="104:111">
      <c r="CZ33989" s="256"/>
      <c r="DG33989" s="256"/>
    </row>
    <row r="33990" spans="104:111">
      <c r="CZ33990" s="256"/>
      <c r="DG33990" s="256"/>
    </row>
    <row r="33991" spans="104:111">
      <c r="CZ33991" s="256"/>
      <c r="DG33991" s="256"/>
    </row>
    <row r="33992" spans="104:111">
      <c r="CZ33992" s="256"/>
      <c r="DG33992" s="256"/>
    </row>
    <row r="33993" spans="104:111">
      <c r="CZ33993" s="256"/>
      <c r="DG33993" s="256"/>
    </row>
    <row r="33994" spans="104:111">
      <c r="CZ33994" s="256"/>
      <c r="DG33994" s="256"/>
    </row>
    <row r="33995" spans="104:111">
      <c r="CZ33995" s="256"/>
      <c r="DG33995" s="256"/>
    </row>
    <row r="33996" spans="104:111">
      <c r="CZ33996" s="256"/>
      <c r="DG33996" s="256"/>
    </row>
    <row r="33997" spans="104:111">
      <c r="CZ33997" s="256"/>
      <c r="DG33997" s="256"/>
    </row>
    <row r="33998" spans="104:111">
      <c r="CZ33998" s="256"/>
      <c r="DG33998" s="256"/>
    </row>
    <row r="33999" spans="104:111">
      <c r="CZ33999" s="256"/>
      <c r="DG33999" s="256"/>
    </row>
    <row r="34000" spans="104:111">
      <c r="CZ34000" s="256"/>
      <c r="DG34000" s="256"/>
    </row>
    <row r="34001" spans="104:111">
      <c r="CZ34001" s="256"/>
      <c r="DG34001" s="256"/>
    </row>
    <row r="34002" spans="104:111">
      <c r="CZ34002" s="256"/>
      <c r="DG34002" s="256"/>
    </row>
    <row r="34003" spans="104:111">
      <c r="CZ34003" s="256"/>
      <c r="DG34003" s="256"/>
    </row>
    <row r="34004" spans="104:111">
      <c r="CZ34004" s="256"/>
      <c r="DG34004" s="256"/>
    </row>
    <row r="34005" spans="104:111">
      <c r="CZ34005" s="256"/>
      <c r="DG34005" s="256"/>
    </row>
    <row r="34006" spans="104:111">
      <c r="CZ34006" s="256"/>
      <c r="DG34006" s="256"/>
    </row>
    <row r="34007" spans="104:111">
      <c r="CZ34007" s="256"/>
      <c r="DG34007" s="256"/>
    </row>
    <row r="34008" spans="104:111">
      <c r="CZ34008" s="256"/>
      <c r="DG34008" s="256"/>
    </row>
    <row r="34009" spans="104:111">
      <c r="CZ34009" s="256"/>
      <c r="DG34009" s="256"/>
    </row>
    <row r="34010" spans="104:111">
      <c r="CZ34010" s="256"/>
      <c r="DG34010" s="256"/>
    </row>
    <row r="34011" spans="104:111">
      <c r="CZ34011" s="256"/>
      <c r="DG34011" s="256"/>
    </row>
    <row r="34012" spans="104:111">
      <c r="CZ34012" s="256"/>
      <c r="DG34012" s="256"/>
    </row>
    <row r="34013" spans="104:111">
      <c r="CZ34013" s="256"/>
      <c r="DG34013" s="256"/>
    </row>
    <row r="34014" spans="104:111">
      <c r="CZ34014" s="256"/>
      <c r="DG34014" s="256"/>
    </row>
    <row r="34015" spans="104:111">
      <c r="CZ34015" s="256"/>
      <c r="DG34015" s="256"/>
    </row>
    <row r="34016" spans="104:111">
      <c r="CZ34016" s="256"/>
      <c r="DG34016" s="256"/>
    </row>
    <row r="34017" spans="104:111">
      <c r="CZ34017" s="256"/>
      <c r="DG34017" s="256"/>
    </row>
    <row r="34018" spans="104:111">
      <c r="CZ34018" s="256"/>
      <c r="DG34018" s="256"/>
    </row>
    <row r="34019" spans="104:111">
      <c r="CZ34019" s="256"/>
      <c r="DG34019" s="256"/>
    </row>
    <row r="34020" spans="104:111">
      <c r="CZ34020" s="256"/>
      <c r="DG34020" s="256"/>
    </row>
    <row r="34021" spans="104:111">
      <c r="CZ34021" s="256"/>
      <c r="DG34021" s="256"/>
    </row>
    <row r="34022" spans="104:111">
      <c r="CZ34022" s="256"/>
      <c r="DG34022" s="256"/>
    </row>
    <row r="34023" spans="104:111">
      <c r="CZ34023" s="256"/>
      <c r="DG34023" s="256"/>
    </row>
    <row r="34024" spans="104:111">
      <c r="CZ34024" s="256"/>
      <c r="DG34024" s="256"/>
    </row>
    <row r="34025" spans="104:111">
      <c r="CZ34025" s="256"/>
      <c r="DG34025" s="256"/>
    </row>
    <row r="34026" spans="104:111">
      <c r="CZ34026" s="256"/>
      <c r="DG34026" s="256"/>
    </row>
    <row r="34027" spans="104:111">
      <c r="CZ34027" s="256"/>
      <c r="DG34027" s="256"/>
    </row>
    <row r="34028" spans="104:111">
      <c r="CZ34028" s="256"/>
      <c r="DG34028" s="256"/>
    </row>
    <row r="34029" spans="104:111">
      <c r="CZ34029" s="256"/>
      <c r="DG34029" s="256"/>
    </row>
    <row r="34030" spans="104:111">
      <c r="CZ34030" s="256"/>
      <c r="DG34030" s="256"/>
    </row>
    <row r="34031" spans="104:111">
      <c r="CZ34031" s="256"/>
      <c r="DG34031" s="256"/>
    </row>
    <row r="34032" spans="104:111">
      <c r="CZ34032" s="256"/>
      <c r="DG34032" s="256"/>
    </row>
    <row r="34033" spans="104:111">
      <c r="CZ34033" s="256"/>
      <c r="DG34033" s="256"/>
    </row>
    <row r="34034" spans="104:111">
      <c r="CZ34034" s="256"/>
      <c r="DG34034" s="256"/>
    </row>
    <row r="34035" spans="104:111">
      <c r="CZ34035" s="256"/>
      <c r="DG34035" s="256"/>
    </row>
    <row r="34036" spans="104:111">
      <c r="CZ34036" s="256"/>
      <c r="DG34036" s="256"/>
    </row>
    <row r="34037" spans="104:111">
      <c r="CZ34037" s="256"/>
      <c r="DG34037" s="256"/>
    </row>
    <row r="34038" spans="104:111">
      <c r="CZ34038" s="256"/>
      <c r="DG34038" s="256"/>
    </row>
    <row r="34039" spans="104:111">
      <c r="CZ34039" s="256"/>
      <c r="DG34039" s="256"/>
    </row>
    <row r="34040" spans="104:111">
      <c r="CZ34040" s="256"/>
      <c r="DG34040" s="256"/>
    </row>
    <row r="34041" spans="104:111">
      <c r="CZ34041" s="256"/>
      <c r="DG34041" s="256"/>
    </row>
    <row r="34042" spans="104:111">
      <c r="CZ34042" s="256"/>
      <c r="DG34042" s="256"/>
    </row>
    <row r="34043" spans="104:111">
      <c r="CZ34043" s="256"/>
      <c r="DG34043" s="256"/>
    </row>
    <row r="34044" spans="104:111">
      <c r="CZ34044" s="256"/>
      <c r="DG34044" s="256"/>
    </row>
    <row r="34045" spans="104:111">
      <c r="CZ34045" s="256"/>
      <c r="DG34045" s="256"/>
    </row>
    <row r="34046" spans="104:111">
      <c r="CZ34046" s="256"/>
      <c r="DG34046" s="256"/>
    </row>
    <row r="34047" spans="104:111">
      <c r="CZ34047" s="256"/>
      <c r="DG34047" s="256"/>
    </row>
    <row r="34048" spans="104:111">
      <c r="CZ34048" s="256"/>
      <c r="DG34048" s="256"/>
    </row>
    <row r="34049" spans="104:111">
      <c r="CZ34049" s="256"/>
      <c r="DG34049" s="256"/>
    </row>
    <row r="34050" spans="104:111">
      <c r="CZ34050" s="256"/>
      <c r="DG34050" s="256"/>
    </row>
    <row r="34051" spans="104:111">
      <c r="CZ34051" s="256"/>
      <c r="DG34051" s="256"/>
    </row>
    <row r="34052" spans="104:111">
      <c r="CZ34052" s="256"/>
      <c r="DG34052" s="256"/>
    </row>
    <row r="34053" spans="104:111">
      <c r="CZ34053" s="256"/>
      <c r="DG34053" s="256"/>
    </row>
    <row r="34054" spans="104:111">
      <c r="CZ34054" s="256"/>
      <c r="DG34054" s="256"/>
    </row>
    <row r="34055" spans="104:111">
      <c r="CZ34055" s="256"/>
      <c r="DG34055" s="256"/>
    </row>
    <row r="34056" spans="104:111">
      <c r="CZ34056" s="256"/>
      <c r="DG34056" s="256"/>
    </row>
    <row r="34057" spans="104:111">
      <c r="CZ34057" s="256"/>
      <c r="DG34057" s="256"/>
    </row>
    <row r="34058" spans="104:111">
      <c r="CZ34058" s="256"/>
      <c r="DG34058" s="256"/>
    </row>
    <row r="34059" spans="104:111">
      <c r="CZ34059" s="256"/>
      <c r="DG34059" s="256"/>
    </row>
    <row r="34060" spans="104:111">
      <c r="CZ34060" s="256"/>
      <c r="DG34060" s="256"/>
    </row>
    <row r="34061" spans="104:111">
      <c r="CZ34061" s="256"/>
      <c r="DG34061" s="256"/>
    </row>
    <row r="34062" spans="104:111">
      <c r="CZ34062" s="256"/>
      <c r="DG34062" s="256"/>
    </row>
    <row r="34063" spans="104:111">
      <c r="CZ34063" s="256"/>
      <c r="DG34063" s="256"/>
    </row>
    <row r="34064" spans="104:111">
      <c r="CZ34064" s="256"/>
      <c r="DG34064" s="256"/>
    </row>
    <row r="34065" spans="104:111">
      <c r="CZ34065" s="256"/>
      <c r="DG34065" s="256"/>
    </row>
    <row r="34066" spans="104:111">
      <c r="CZ34066" s="256"/>
      <c r="DG34066" s="256"/>
    </row>
    <row r="34067" spans="104:111">
      <c r="CZ34067" s="256"/>
      <c r="DG34067" s="256"/>
    </row>
    <row r="34068" spans="104:111">
      <c r="CZ34068" s="256"/>
      <c r="DG34068" s="256"/>
    </row>
    <row r="34069" spans="104:111">
      <c r="CZ34069" s="256"/>
      <c r="DG34069" s="256"/>
    </row>
    <row r="34070" spans="104:111">
      <c r="CZ34070" s="256"/>
      <c r="DG34070" s="256"/>
    </row>
    <row r="34071" spans="104:111">
      <c r="CZ34071" s="256"/>
      <c r="DG34071" s="256"/>
    </row>
    <row r="34072" spans="104:111">
      <c r="CZ34072" s="256"/>
      <c r="DG34072" s="256"/>
    </row>
    <row r="34073" spans="104:111">
      <c r="CZ34073" s="256"/>
      <c r="DG34073" s="256"/>
    </row>
    <row r="34074" spans="104:111">
      <c r="CZ34074" s="256"/>
      <c r="DG34074" s="256"/>
    </row>
    <row r="34075" spans="104:111">
      <c r="CZ34075" s="256"/>
      <c r="DG34075" s="256"/>
    </row>
    <row r="34076" spans="104:111">
      <c r="CZ34076" s="256"/>
      <c r="DG34076" s="256"/>
    </row>
    <row r="34077" spans="104:111">
      <c r="CZ34077" s="256"/>
      <c r="DG34077" s="256"/>
    </row>
    <row r="34078" spans="104:111">
      <c r="CZ34078" s="256"/>
      <c r="DG34078" s="256"/>
    </row>
    <row r="34079" spans="104:111">
      <c r="CZ34079" s="256"/>
      <c r="DG34079" s="256"/>
    </row>
    <row r="34080" spans="104:111">
      <c r="CZ34080" s="256"/>
      <c r="DG34080" s="256"/>
    </row>
    <row r="34081" spans="104:111">
      <c r="CZ34081" s="256"/>
      <c r="DG34081" s="256"/>
    </row>
    <row r="34082" spans="104:111">
      <c r="CZ34082" s="256"/>
      <c r="DG34082" s="256"/>
    </row>
    <row r="34083" spans="104:111">
      <c r="CZ34083" s="256"/>
      <c r="DG34083" s="256"/>
    </row>
    <row r="34084" spans="104:111">
      <c r="CZ34084" s="256"/>
      <c r="DG34084" s="256"/>
    </row>
    <row r="34085" spans="104:111">
      <c r="CZ34085" s="256"/>
      <c r="DG34085" s="256"/>
    </row>
    <row r="34086" spans="104:111">
      <c r="CZ34086" s="256"/>
      <c r="DG34086" s="256"/>
    </row>
    <row r="34087" spans="104:111">
      <c r="CZ34087" s="256"/>
      <c r="DG34087" s="256"/>
    </row>
    <row r="34088" spans="104:111">
      <c r="CZ34088" s="256"/>
      <c r="DG34088" s="256"/>
    </row>
    <row r="34089" spans="104:111">
      <c r="CZ34089" s="256"/>
      <c r="DG34089" s="256"/>
    </row>
    <row r="34090" spans="104:111">
      <c r="CZ34090" s="256"/>
      <c r="DG34090" s="256"/>
    </row>
    <row r="34091" spans="104:111">
      <c r="CZ34091" s="256"/>
      <c r="DG34091" s="256"/>
    </row>
    <row r="34092" spans="104:111">
      <c r="CZ34092" s="256"/>
      <c r="DG34092" s="256"/>
    </row>
    <row r="34093" spans="104:111">
      <c r="CZ34093" s="256"/>
      <c r="DG34093" s="256"/>
    </row>
    <row r="34094" spans="104:111">
      <c r="CZ34094" s="256"/>
      <c r="DG34094" s="256"/>
    </row>
    <row r="34095" spans="104:111">
      <c r="CZ34095" s="256"/>
      <c r="DG34095" s="256"/>
    </row>
    <row r="34096" spans="104:111">
      <c r="CZ34096" s="256"/>
      <c r="DG34096" s="256"/>
    </row>
    <row r="34097" spans="104:111">
      <c r="CZ34097" s="256"/>
      <c r="DG34097" s="256"/>
    </row>
    <row r="34098" spans="104:111">
      <c r="CZ34098" s="256"/>
      <c r="DG34098" s="256"/>
    </row>
    <row r="34099" spans="104:111">
      <c r="CZ34099" s="256"/>
      <c r="DG34099" s="256"/>
    </row>
    <row r="34100" spans="104:111">
      <c r="CZ34100" s="256"/>
      <c r="DG34100" s="256"/>
    </row>
    <row r="34101" spans="104:111">
      <c r="CZ34101" s="256"/>
      <c r="DG34101" s="256"/>
    </row>
    <row r="34102" spans="104:111">
      <c r="CZ34102" s="256"/>
      <c r="DG34102" s="256"/>
    </row>
    <row r="34103" spans="104:111">
      <c r="CZ34103" s="256"/>
      <c r="DG34103" s="256"/>
    </row>
    <row r="34104" spans="104:111">
      <c r="CZ34104" s="256"/>
      <c r="DG34104" s="256"/>
    </row>
    <row r="34105" spans="104:111">
      <c r="CZ34105" s="256"/>
      <c r="DG34105" s="256"/>
    </row>
    <row r="34106" spans="104:111">
      <c r="CZ34106" s="256"/>
      <c r="DG34106" s="256"/>
    </row>
    <row r="34107" spans="104:111">
      <c r="CZ34107" s="256"/>
      <c r="DG34107" s="256"/>
    </row>
    <row r="34108" spans="104:111">
      <c r="CZ34108" s="256"/>
      <c r="DG34108" s="256"/>
    </row>
    <row r="34109" spans="104:111">
      <c r="CZ34109" s="256"/>
      <c r="DG34109" s="256"/>
    </row>
    <row r="34110" spans="104:111">
      <c r="CZ34110" s="256"/>
      <c r="DG34110" s="256"/>
    </row>
    <row r="34111" spans="104:111">
      <c r="CZ34111" s="256"/>
      <c r="DG34111" s="256"/>
    </row>
    <row r="34112" spans="104:111">
      <c r="CZ34112" s="256"/>
      <c r="DG34112" s="256"/>
    </row>
    <row r="34113" spans="104:111">
      <c r="CZ34113" s="256"/>
      <c r="DG34113" s="256"/>
    </row>
    <row r="34114" spans="104:111">
      <c r="CZ34114" s="256"/>
      <c r="DG34114" s="256"/>
    </row>
    <row r="34115" spans="104:111">
      <c r="CZ34115" s="256"/>
      <c r="DG34115" s="256"/>
    </row>
    <row r="34116" spans="104:111">
      <c r="CZ34116" s="256"/>
      <c r="DG34116" s="256"/>
    </row>
    <row r="34117" spans="104:111">
      <c r="CZ34117" s="256"/>
      <c r="DG34117" s="256"/>
    </row>
    <row r="34118" spans="104:111">
      <c r="CZ34118" s="256"/>
      <c r="DG34118" s="256"/>
    </row>
    <row r="34119" spans="104:111">
      <c r="CZ34119" s="256"/>
      <c r="DG34119" s="256"/>
    </row>
    <row r="34120" spans="104:111">
      <c r="CZ34120" s="256"/>
      <c r="DG34120" s="256"/>
    </row>
    <row r="34121" spans="104:111">
      <c r="CZ34121" s="256"/>
      <c r="DG34121" s="256"/>
    </row>
    <row r="34122" spans="104:111">
      <c r="CZ34122" s="256"/>
      <c r="DG34122" s="256"/>
    </row>
    <row r="34123" spans="104:111">
      <c r="CZ34123" s="256"/>
      <c r="DG34123" s="256"/>
    </row>
    <row r="34124" spans="104:111">
      <c r="CZ34124" s="256"/>
      <c r="DG34124" s="256"/>
    </row>
    <row r="34125" spans="104:111">
      <c r="CZ34125" s="256"/>
      <c r="DG34125" s="256"/>
    </row>
    <row r="34126" spans="104:111">
      <c r="CZ34126" s="256"/>
      <c r="DG34126" s="256"/>
    </row>
    <row r="34127" spans="104:111">
      <c r="CZ34127" s="256"/>
      <c r="DG34127" s="256"/>
    </row>
    <row r="34128" spans="104:111">
      <c r="CZ34128" s="256"/>
      <c r="DG34128" s="256"/>
    </row>
    <row r="34129" spans="104:111">
      <c r="CZ34129" s="256"/>
      <c r="DG34129" s="256"/>
    </row>
    <row r="34130" spans="104:111">
      <c r="CZ34130" s="256"/>
      <c r="DG34130" s="256"/>
    </row>
    <row r="34131" spans="104:111">
      <c r="CZ34131" s="256"/>
      <c r="DG34131" s="256"/>
    </row>
    <row r="34132" spans="104:111">
      <c r="CZ34132" s="256"/>
      <c r="DG34132" s="256"/>
    </row>
    <row r="34133" spans="104:111">
      <c r="CZ34133" s="256"/>
      <c r="DG34133" s="256"/>
    </row>
    <row r="34134" spans="104:111">
      <c r="CZ34134" s="256"/>
      <c r="DG34134" s="256"/>
    </row>
    <row r="34135" spans="104:111">
      <c r="CZ34135" s="256"/>
      <c r="DG34135" s="256"/>
    </row>
    <row r="34136" spans="104:111">
      <c r="CZ34136" s="256"/>
      <c r="DG34136" s="256"/>
    </row>
    <row r="34137" spans="104:111">
      <c r="CZ34137" s="256"/>
      <c r="DG34137" s="256"/>
    </row>
    <row r="34138" spans="104:111">
      <c r="CZ34138" s="256"/>
      <c r="DG34138" s="256"/>
    </row>
    <row r="34139" spans="104:111">
      <c r="CZ34139" s="256"/>
      <c r="DG34139" s="256"/>
    </row>
    <row r="34140" spans="104:111">
      <c r="CZ34140" s="256"/>
      <c r="DG34140" s="256"/>
    </row>
    <row r="34141" spans="104:111">
      <c r="CZ34141" s="256"/>
      <c r="DG34141" s="256"/>
    </row>
    <row r="34142" spans="104:111">
      <c r="CZ34142" s="256"/>
      <c r="DG34142" s="256"/>
    </row>
    <row r="34143" spans="104:111">
      <c r="CZ34143" s="256"/>
      <c r="DG34143" s="256"/>
    </row>
    <row r="34144" spans="104:111">
      <c r="CZ34144" s="256"/>
      <c r="DG34144" s="256"/>
    </row>
    <row r="34145" spans="104:111">
      <c r="CZ34145" s="256"/>
      <c r="DG34145" s="256"/>
    </row>
    <row r="34146" spans="104:111">
      <c r="CZ34146" s="256"/>
      <c r="DG34146" s="256"/>
    </row>
    <row r="34147" spans="104:111">
      <c r="CZ34147" s="256"/>
      <c r="DG34147" s="256"/>
    </row>
    <row r="34148" spans="104:111">
      <c r="CZ34148" s="256"/>
      <c r="DG34148" s="256"/>
    </row>
    <row r="34149" spans="104:111">
      <c r="CZ34149" s="256"/>
      <c r="DG34149" s="256"/>
    </row>
    <row r="34150" spans="104:111">
      <c r="CZ34150" s="256"/>
      <c r="DG34150" s="256"/>
    </row>
    <row r="34151" spans="104:111">
      <c r="CZ34151" s="256"/>
      <c r="DG34151" s="256"/>
    </row>
    <row r="34152" spans="104:111">
      <c r="CZ34152" s="256"/>
      <c r="DG34152" s="256"/>
    </row>
    <row r="34153" spans="104:111">
      <c r="CZ34153" s="256"/>
      <c r="DG34153" s="256"/>
    </row>
    <row r="34154" spans="104:111">
      <c r="CZ34154" s="256"/>
      <c r="DG34154" s="256"/>
    </row>
    <row r="34155" spans="104:111">
      <c r="CZ34155" s="256"/>
      <c r="DG34155" s="256"/>
    </row>
    <row r="34156" spans="104:111">
      <c r="CZ34156" s="256"/>
      <c r="DG34156" s="256"/>
    </row>
    <row r="34157" spans="104:111">
      <c r="CZ34157" s="256"/>
      <c r="DG34157" s="256"/>
    </row>
    <row r="34158" spans="104:111">
      <c r="CZ34158" s="256"/>
      <c r="DG34158" s="256"/>
    </row>
    <row r="34159" spans="104:111">
      <c r="CZ34159" s="256"/>
      <c r="DG34159" s="256"/>
    </row>
    <row r="34160" spans="104:111">
      <c r="CZ34160" s="256"/>
      <c r="DG34160" s="256"/>
    </row>
    <row r="34161" spans="104:111">
      <c r="CZ34161" s="256"/>
      <c r="DG34161" s="256"/>
    </row>
    <row r="34162" spans="104:111">
      <c r="CZ34162" s="256"/>
      <c r="DG34162" s="256"/>
    </row>
    <row r="34163" spans="104:111">
      <c r="CZ34163" s="256"/>
      <c r="DG34163" s="256"/>
    </row>
    <row r="34164" spans="104:111">
      <c r="CZ34164" s="256"/>
      <c r="DG34164" s="256"/>
    </row>
    <row r="34165" spans="104:111">
      <c r="CZ34165" s="256"/>
      <c r="DG34165" s="256"/>
    </row>
    <row r="34166" spans="104:111">
      <c r="CZ34166" s="256"/>
      <c r="DG34166" s="256"/>
    </row>
    <row r="34167" spans="104:111">
      <c r="CZ34167" s="256"/>
      <c r="DG34167" s="256"/>
    </row>
    <row r="34168" spans="104:111">
      <c r="CZ34168" s="256"/>
      <c r="DG34168" s="256"/>
    </row>
    <row r="34169" spans="104:111">
      <c r="CZ34169" s="256"/>
      <c r="DG34169" s="256"/>
    </row>
    <row r="34170" spans="104:111">
      <c r="CZ34170" s="256"/>
      <c r="DG34170" s="256"/>
    </row>
    <row r="34171" spans="104:111">
      <c r="CZ34171" s="256"/>
      <c r="DG34171" s="256"/>
    </row>
    <row r="34172" spans="104:111">
      <c r="CZ34172" s="256"/>
      <c r="DG34172" s="256"/>
    </row>
    <row r="34173" spans="104:111">
      <c r="CZ34173" s="256"/>
      <c r="DG34173" s="256"/>
    </row>
    <row r="34174" spans="104:111">
      <c r="CZ34174" s="256"/>
      <c r="DG34174" s="256"/>
    </row>
    <row r="34175" spans="104:111">
      <c r="CZ34175" s="256"/>
      <c r="DG34175" s="256"/>
    </row>
    <row r="34176" spans="104:111">
      <c r="CZ34176" s="256"/>
      <c r="DG34176" s="256"/>
    </row>
    <row r="34177" spans="104:111">
      <c r="CZ34177" s="256"/>
      <c r="DG34177" s="256"/>
    </row>
    <row r="34178" spans="104:111">
      <c r="CZ34178" s="256"/>
      <c r="DG34178" s="256"/>
    </row>
    <row r="34179" spans="104:111">
      <c r="CZ34179" s="256"/>
      <c r="DG34179" s="256"/>
    </row>
    <row r="34180" spans="104:111">
      <c r="CZ34180" s="256"/>
      <c r="DG34180" s="256"/>
    </row>
    <row r="34181" spans="104:111">
      <c r="CZ34181" s="256"/>
      <c r="DG34181" s="256"/>
    </row>
    <row r="34182" spans="104:111">
      <c r="CZ34182" s="256"/>
      <c r="DG34182" s="256"/>
    </row>
    <row r="34183" spans="104:111">
      <c r="CZ34183" s="256"/>
      <c r="DG34183" s="256"/>
    </row>
    <row r="34184" spans="104:111">
      <c r="CZ34184" s="256"/>
      <c r="DG34184" s="256"/>
    </row>
    <row r="34185" spans="104:111">
      <c r="CZ34185" s="256"/>
      <c r="DG34185" s="256"/>
    </row>
    <row r="34186" spans="104:111">
      <c r="CZ34186" s="256"/>
      <c r="DG34186" s="256"/>
    </row>
    <row r="34187" spans="104:111">
      <c r="CZ34187" s="256"/>
      <c r="DG34187" s="256"/>
    </row>
    <row r="34188" spans="104:111">
      <c r="CZ34188" s="256"/>
      <c r="DG34188" s="256"/>
    </row>
    <row r="34189" spans="104:111">
      <c r="CZ34189" s="256"/>
      <c r="DG34189" s="256"/>
    </row>
    <row r="34190" spans="104:111">
      <c r="CZ34190" s="256"/>
      <c r="DG34190" s="256"/>
    </row>
    <row r="34191" spans="104:111">
      <c r="CZ34191" s="256"/>
      <c r="DG34191" s="256"/>
    </row>
    <row r="34192" spans="104:111">
      <c r="CZ34192" s="256"/>
      <c r="DG34192" s="256"/>
    </row>
    <row r="34193" spans="104:111">
      <c r="CZ34193" s="256"/>
      <c r="DG34193" s="256"/>
    </row>
    <row r="34194" spans="104:111">
      <c r="CZ34194" s="256"/>
      <c r="DG34194" s="256"/>
    </row>
    <row r="34195" spans="104:111">
      <c r="CZ34195" s="256"/>
      <c r="DG34195" s="256"/>
    </row>
    <row r="34196" spans="104:111">
      <c r="CZ34196" s="256"/>
      <c r="DG34196" s="256"/>
    </row>
    <row r="34197" spans="104:111">
      <c r="CZ34197" s="256"/>
      <c r="DG34197" s="256"/>
    </row>
    <row r="34198" spans="104:111">
      <c r="CZ34198" s="256"/>
      <c r="DG34198" s="256"/>
    </row>
    <row r="34199" spans="104:111">
      <c r="CZ34199" s="256"/>
      <c r="DG34199" s="256"/>
    </row>
    <row r="34200" spans="104:111">
      <c r="CZ34200" s="256"/>
      <c r="DG34200" s="256"/>
    </row>
    <row r="34201" spans="104:111">
      <c r="CZ34201" s="256"/>
      <c r="DG34201" s="256"/>
    </row>
    <row r="34202" spans="104:111">
      <c r="CZ34202" s="256"/>
      <c r="DG34202" s="256"/>
    </row>
    <row r="34203" spans="104:111">
      <c r="CZ34203" s="256"/>
      <c r="DG34203" s="256"/>
    </row>
    <row r="34204" spans="104:111">
      <c r="CZ34204" s="256"/>
      <c r="DG34204" s="256"/>
    </row>
    <row r="34205" spans="104:111">
      <c r="CZ34205" s="256"/>
      <c r="DG34205" s="256"/>
    </row>
    <row r="34206" spans="104:111">
      <c r="CZ34206" s="256"/>
      <c r="DG34206" s="256"/>
    </row>
    <row r="34207" spans="104:111">
      <c r="CZ34207" s="256"/>
      <c r="DG34207" s="256"/>
    </row>
    <row r="34208" spans="104:111">
      <c r="CZ34208" s="256"/>
      <c r="DG34208" s="256"/>
    </row>
    <row r="34209" spans="104:111">
      <c r="CZ34209" s="256"/>
      <c r="DG34209" s="256"/>
    </row>
    <row r="34210" spans="104:111">
      <c r="CZ34210" s="256"/>
      <c r="DG34210" s="256"/>
    </row>
    <row r="34211" spans="104:111">
      <c r="CZ34211" s="256"/>
      <c r="DG34211" s="256"/>
    </row>
    <row r="34212" spans="104:111">
      <c r="CZ34212" s="256"/>
      <c r="DG34212" s="256"/>
    </row>
    <row r="34213" spans="104:111">
      <c r="CZ34213" s="256"/>
      <c r="DG34213" s="256"/>
    </row>
    <row r="34214" spans="104:111">
      <c r="CZ34214" s="256"/>
      <c r="DG34214" s="256"/>
    </row>
    <row r="34215" spans="104:111">
      <c r="CZ34215" s="256"/>
      <c r="DG34215" s="256"/>
    </row>
    <row r="34216" spans="104:111">
      <c r="CZ34216" s="256"/>
      <c r="DG34216" s="256"/>
    </row>
    <row r="34217" spans="104:111">
      <c r="CZ34217" s="256"/>
      <c r="DG34217" s="256"/>
    </row>
    <row r="34218" spans="104:111">
      <c r="CZ34218" s="256"/>
      <c r="DG34218" s="256"/>
    </row>
    <row r="34219" spans="104:111">
      <c r="CZ34219" s="256"/>
      <c r="DG34219" s="256"/>
    </row>
    <row r="34220" spans="104:111">
      <c r="CZ34220" s="256"/>
      <c r="DG34220" s="256"/>
    </row>
    <row r="34221" spans="104:111">
      <c r="CZ34221" s="256"/>
      <c r="DG34221" s="256"/>
    </row>
    <row r="34222" spans="104:111">
      <c r="CZ34222" s="256"/>
      <c r="DG34222" s="256"/>
    </row>
    <row r="34223" spans="104:111">
      <c r="CZ34223" s="256"/>
      <c r="DG34223" s="256"/>
    </row>
    <row r="34224" spans="104:111">
      <c r="CZ34224" s="256"/>
      <c r="DG34224" s="256"/>
    </row>
    <row r="34225" spans="104:111">
      <c r="CZ34225" s="256"/>
      <c r="DG34225" s="256"/>
    </row>
    <row r="34226" spans="104:111">
      <c r="CZ34226" s="256"/>
      <c r="DG34226" s="256"/>
    </row>
    <row r="34227" spans="104:111">
      <c r="CZ34227" s="256"/>
      <c r="DG34227" s="256"/>
    </row>
    <row r="34228" spans="104:111">
      <c r="CZ34228" s="256"/>
      <c r="DG34228" s="256"/>
    </row>
    <row r="34229" spans="104:111">
      <c r="CZ34229" s="256"/>
      <c r="DG34229" s="256"/>
    </row>
    <row r="34230" spans="104:111">
      <c r="CZ34230" s="256"/>
      <c r="DG34230" s="256"/>
    </row>
    <row r="34231" spans="104:111">
      <c r="CZ34231" s="256"/>
      <c r="DG34231" s="256"/>
    </row>
    <row r="34232" spans="104:111">
      <c r="CZ34232" s="256"/>
      <c r="DG34232" s="256"/>
    </row>
    <row r="34233" spans="104:111">
      <c r="CZ34233" s="256"/>
      <c r="DG34233" s="256"/>
    </row>
    <row r="34234" spans="104:111">
      <c r="CZ34234" s="256"/>
      <c r="DG34234" s="256"/>
    </row>
    <row r="34235" spans="104:111">
      <c r="CZ34235" s="256"/>
      <c r="DG34235" s="256"/>
    </row>
    <row r="34236" spans="104:111">
      <c r="CZ34236" s="256"/>
      <c r="DG34236" s="256"/>
    </row>
    <row r="34237" spans="104:111">
      <c r="CZ34237" s="256"/>
      <c r="DG34237" s="256"/>
    </row>
    <row r="34238" spans="104:111">
      <c r="CZ34238" s="256"/>
      <c r="DG34238" s="256"/>
    </row>
    <row r="34239" spans="104:111">
      <c r="CZ34239" s="256"/>
      <c r="DG34239" s="256"/>
    </row>
    <row r="34240" spans="104:111">
      <c r="CZ34240" s="256"/>
      <c r="DG34240" s="256"/>
    </row>
    <row r="34241" spans="104:111">
      <c r="CZ34241" s="256"/>
      <c r="DG34241" s="256"/>
    </row>
    <row r="34242" spans="104:111">
      <c r="CZ34242" s="256"/>
      <c r="DG34242" s="256"/>
    </row>
    <row r="34243" spans="104:111">
      <c r="CZ34243" s="256"/>
      <c r="DG34243" s="256"/>
    </row>
    <row r="34244" spans="104:111">
      <c r="CZ34244" s="256"/>
      <c r="DG34244" s="256"/>
    </row>
    <row r="34245" spans="104:111">
      <c r="CZ34245" s="256"/>
      <c r="DG34245" s="256"/>
    </row>
    <row r="34246" spans="104:111">
      <c r="CZ34246" s="256"/>
      <c r="DG34246" s="256"/>
    </row>
    <row r="34247" spans="104:111">
      <c r="CZ34247" s="256"/>
      <c r="DG34247" s="256"/>
    </row>
    <row r="34248" spans="104:111">
      <c r="CZ34248" s="256"/>
      <c r="DG34248" s="256"/>
    </row>
    <row r="34249" spans="104:111">
      <c r="CZ34249" s="256"/>
      <c r="DG34249" s="256"/>
    </row>
    <row r="34250" spans="104:111">
      <c r="CZ34250" s="256"/>
      <c r="DG34250" s="256"/>
    </row>
    <row r="34251" spans="104:111">
      <c r="CZ34251" s="256"/>
      <c r="DG34251" s="256"/>
    </row>
    <row r="34252" spans="104:111">
      <c r="CZ34252" s="256"/>
      <c r="DG34252" s="256"/>
    </row>
    <row r="34253" spans="104:111">
      <c r="CZ34253" s="256"/>
      <c r="DG34253" s="256"/>
    </row>
    <row r="34254" spans="104:111">
      <c r="CZ34254" s="256"/>
      <c r="DG34254" s="256"/>
    </row>
    <row r="34255" spans="104:111">
      <c r="CZ34255" s="256"/>
      <c r="DG34255" s="256"/>
    </row>
    <row r="34256" spans="104:111">
      <c r="CZ34256" s="256"/>
      <c r="DG34256" s="256"/>
    </row>
    <row r="34257" spans="104:111">
      <c r="CZ34257" s="256"/>
      <c r="DG34257" s="256"/>
    </row>
    <row r="34258" spans="104:111">
      <c r="CZ34258" s="256"/>
      <c r="DG34258" s="256"/>
    </row>
    <row r="34259" spans="104:111">
      <c r="CZ34259" s="256"/>
      <c r="DG34259" s="256"/>
    </row>
    <row r="34260" spans="104:111">
      <c r="CZ34260" s="256"/>
      <c r="DG34260" s="256"/>
    </row>
    <row r="34261" spans="104:111">
      <c r="CZ34261" s="256"/>
      <c r="DG34261" s="256"/>
    </row>
    <row r="34262" spans="104:111">
      <c r="CZ34262" s="256"/>
      <c r="DG34262" s="256"/>
    </row>
    <row r="34263" spans="104:111">
      <c r="CZ34263" s="256"/>
      <c r="DG34263" s="256"/>
    </row>
    <row r="34264" spans="104:111">
      <c r="CZ34264" s="256"/>
      <c r="DG34264" s="256"/>
    </row>
    <row r="34265" spans="104:111">
      <c r="CZ34265" s="256"/>
      <c r="DG34265" s="256"/>
    </row>
    <row r="34266" spans="104:111">
      <c r="CZ34266" s="256"/>
      <c r="DG34266" s="256"/>
    </row>
    <row r="34267" spans="104:111">
      <c r="CZ34267" s="256"/>
      <c r="DG34267" s="256"/>
    </row>
    <row r="34268" spans="104:111">
      <c r="CZ34268" s="256"/>
      <c r="DG34268" s="256"/>
    </row>
    <row r="34269" spans="104:111">
      <c r="CZ34269" s="256"/>
      <c r="DG34269" s="256"/>
    </row>
    <row r="34270" spans="104:111">
      <c r="CZ34270" s="256"/>
      <c r="DG34270" s="256"/>
    </row>
    <row r="34271" spans="104:111">
      <c r="CZ34271" s="256"/>
      <c r="DG34271" s="256"/>
    </row>
    <row r="34272" spans="104:111">
      <c r="CZ34272" s="256"/>
      <c r="DG34272" s="256"/>
    </row>
    <row r="34273" spans="104:111">
      <c r="CZ34273" s="256"/>
      <c r="DG34273" s="256"/>
    </row>
    <row r="34274" spans="104:111">
      <c r="CZ34274" s="256"/>
      <c r="DG34274" s="256"/>
    </row>
    <row r="34275" spans="104:111">
      <c r="CZ34275" s="256"/>
      <c r="DG34275" s="256"/>
    </row>
    <row r="34276" spans="104:111">
      <c r="CZ34276" s="256"/>
      <c r="DG34276" s="256"/>
    </row>
    <row r="34277" spans="104:111">
      <c r="CZ34277" s="256"/>
      <c r="DG34277" s="256"/>
    </row>
    <row r="34278" spans="104:111">
      <c r="CZ34278" s="256"/>
      <c r="DG34278" s="256"/>
    </row>
    <row r="34279" spans="104:111">
      <c r="CZ34279" s="256"/>
      <c r="DG34279" s="256"/>
    </row>
    <row r="34280" spans="104:111">
      <c r="CZ34280" s="256"/>
      <c r="DG34280" s="256"/>
    </row>
    <row r="34281" spans="104:111">
      <c r="CZ34281" s="256"/>
      <c r="DG34281" s="256"/>
    </row>
    <row r="34282" spans="104:111">
      <c r="CZ34282" s="256"/>
      <c r="DG34282" s="256"/>
    </row>
    <row r="34283" spans="104:111">
      <c r="CZ34283" s="256"/>
      <c r="DG34283" s="256"/>
    </row>
    <row r="34284" spans="104:111">
      <c r="CZ34284" s="256"/>
      <c r="DG34284" s="256"/>
    </row>
    <row r="34285" spans="104:111">
      <c r="CZ34285" s="256"/>
      <c r="DG34285" s="256"/>
    </row>
    <row r="34286" spans="104:111">
      <c r="CZ34286" s="256"/>
      <c r="DG34286" s="256"/>
    </row>
    <row r="34287" spans="104:111">
      <c r="CZ34287" s="256"/>
      <c r="DG34287" s="256"/>
    </row>
    <row r="34288" spans="104:111">
      <c r="CZ34288" s="256"/>
      <c r="DG34288" s="256"/>
    </row>
    <row r="34289" spans="104:111">
      <c r="CZ34289" s="256"/>
      <c r="DG34289" s="256"/>
    </row>
    <row r="34290" spans="104:111">
      <c r="CZ34290" s="256"/>
      <c r="DG34290" s="256"/>
    </row>
    <row r="34291" spans="104:111">
      <c r="CZ34291" s="256"/>
      <c r="DG34291" s="256"/>
    </row>
    <row r="34292" spans="104:111">
      <c r="CZ34292" s="256"/>
      <c r="DG34292" s="256"/>
    </row>
    <row r="34293" spans="104:111">
      <c r="CZ34293" s="256"/>
      <c r="DG34293" s="256"/>
    </row>
    <row r="34294" spans="104:111">
      <c r="CZ34294" s="256"/>
      <c r="DG34294" s="256"/>
    </row>
    <row r="34295" spans="104:111">
      <c r="CZ34295" s="256"/>
      <c r="DG34295" s="256"/>
    </row>
    <row r="34296" spans="104:111">
      <c r="CZ34296" s="256"/>
      <c r="DG34296" s="256"/>
    </row>
    <row r="34297" spans="104:111">
      <c r="CZ34297" s="256"/>
      <c r="DG34297" s="256"/>
    </row>
    <row r="34298" spans="104:111">
      <c r="CZ34298" s="256"/>
      <c r="DG34298" s="256"/>
    </row>
    <row r="34299" spans="104:111">
      <c r="CZ34299" s="256"/>
      <c r="DG34299" s="256"/>
    </row>
    <row r="34300" spans="104:111">
      <c r="CZ34300" s="256"/>
      <c r="DG34300" s="256"/>
    </row>
    <row r="34301" spans="104:111">
      <c r="CZ34301" s="256"/>
      <c r="DG34301" s="256"/>
    </row>
    <row r="34302" spans="104:111">
      <c r="CZ34302" s="256"/>
      <c r="DG34302" s="256"/>
    </row>
    <row r="34303" spans="104:111">
      <c r="CZ34303" s="256"/>
      <c r="DG34303" s="256"/>
    </row>
    <row r="34304" spans="104:111">
      <c r="CZ34304" s="256"/>
      <c r="DG34304" s="256"/>
    </row>
    <row r="34305" spans="104:111">
      <c r="CZ34305" s="256"/>
      <c r="DG34305" s="256"/>
    </row>
    <row r="34306" spans="104:111">
      <c r="CZ34306" s="256"/>
      <c r="DG34306" s="256"/>
    </row>
    <row r="34307" spans="104:111">
      <c r="CZ34307" s="256"/>
      <c r="DG34307" s="256"/>
    </row>
    <row r="34308" spans="104:111">
      <c r="CZ34308" s="256"/>
      <c r="DG34308" s="256"/>
    </row>
    <row r="34309" spans="104:111">
      <c r="CZ34309" s="256"/>
      <c r="DG34309" s="256"/>
    </row>
    <row r="34310" spans="104:111">
      <c r="CZ34310" s="256"/>
      <c r="DG34310" s="256"/>
    </row>
    <row r="34311" spans="104:111">
      <c r="CZ34311" s="256"/>
      <c r="DG34311" s="256"/>
    </row>
    <row r="34312" spans="104:111">
      <c r="CZ34312" s="256"/>
      <c r="DG34312" s="256"/>
    </row>
    <row r="34313" spans="104:111">
      <c r="CZ34313" s="256"/>
      <c r="DG34313" s="256"/>
    </row>
    <row r="34314" spans="104:111">
      <c r="CZ34314" s="256"/>
      <c r="DG34314" s="256"/>
    </row>
    <row r="34315" spans="104:111">
      <c r="CZ34315" s="256"/>
      <c r="DG34315" s="256"/>
    </row>
    <row r="34316" spans="104:111">
      <c r="CZ34316" s="256"/>
      <c r="DG34316" s="256"/>
    </row>
    <row r="34317" spans="104:111">
      <c r="CZ34317" s="256"/>
      <c r="DG34317" s="256"/>
    </row>
    <row r="34318" spans="104:111">
      <c r="CZ34318" s="256"/>
      <c r="DG34318" s="256"/>
    </row>
    <row r="34319" spans="104:111">
      <c r="CZ34319" s="256"/>
      <c r="DG34319" s="256"/>
    </row>
    <row r="34320" spans="104:111">
      <c r="CZ34320" s="256"/>
      <c r="DG34320" s="256"/>
    </row>
    <row r="34321" spans="104:111">
      <c r="CZ34321" s="256"/>
      <c r="DG34321" s="256"/>
    </row>
    <row r="34322" spans="104:111">
      <c r="CZ34322" s="256"/>
      <c r="DG34322" s="256"/>
    </row>
    <row r="34323" spans="104:111">
      <c r="CZ34323" s="256"/>
      <c r="DG34323" s="256"/>
    </row>
    <row r="34324" spans="104:111">
      <c r="CZ34324" s="256"/>
      <c r="DG34324" s="256"/>
    </row>
    <row r="34325" spans="104:111">
      <c r="CZ34325" s="256"/>
      <c r="DG34325" s="256"/>
    </row>
    <row r="34326" spans="104:111">
      <c r="CZ34326" s="256"/>
      <c r="DG34326" s="256"/>
    </row>
    <row r="34327" spans="104:111">
      <c r="CZ34327" s="256"/>
      <c r="DG34327" s="256"/>
    </row>
    <row r="34328" spans="104:111">
      <c r="CZ34328" s="256"/>
      <c r="DG34328" s="256"/>
    </row>
    <row r="34329" spans="104:111">
      <c r="CZ34329" s="256"/>
      <c r="DG34329" s="256"/>
    </row>
    <row r="34330" spans="104:111">
      <c r="CZ34330" s="256"/>
      <c r="DG34330" s="256"/>
    </row>
    <row r="34331" spans="104:111">
      <c r="CZ34331" s="256"/>
      <c r="DG34331" s="256"/>
    </row>
    <row r="34332" spans="104:111">
      <c r="CZ34332" s="256"/>
      <c r="DG34332" s="256"/>
    </row>
    <row r="34333" spans="104:111">
      <c r="CZ34333" s="256"/>
      <c r="DG34333" s="256"/>
    </row>
    <row r="34334" spans="104:111">
      <c r="CZ34334" s="256"/>
      <c r="DG34334" s="256"/>
    </row>
    <row r="34335" spans="104:111">
      <c r="CZ34335" s="256"/>
      <c r="DG34335" s="256"/>
    </row>
    <row r="34336" spans="104:111">
      <c r="CZ34336" s="256"/>
      <c r="DG34336" s="256"/>
    </row>
    <row r="34337" spans="104:111">
      <c r="CZ34337" s="256"/>
      <c r="DG34337" s="256"/>
    </row>
    <row r="34338" spans="104:111">
      <c r="CZ34338" s="256"/>
      <c r="DG34338" s="256"/>
    </row>
    <row r="34339" spans="104:111">
      <c r="CZ34339" s="256"/>
      <c r="DG34339" s="256"/>
    </row>
    <row r="34340" spans="104:111">
      <c r="CZ34340" s="256"/>
      <c r="DG34340" s="256"/>
    </row>
    <row r="34341" spans="104:111">
      <c r="CZ34341" s="256"/>
      <c r="DG34341" s="256"/>
    </row>
    <row r="34342" spans="104:111">
      <c r="CZ34342" s="256"/>
      <c r="DG34342" s="256"/>
    </row>
    <row r="34343" spans="104:111">
      <c r="CZ34343" s="256"/>
      <c r="DG34343" s="256"/>
    </row>
    <row r="34344" spans="104:111">
      <c r="CZ34344" s="256"/>
      <c r="DG34344" s="256"/>
    </row>
    <row r="34345" spans="104:111">
      <c r="CZ34345" s="256"/>
      <c r="DG34345" s="256"/>
    </row>
    <row r="34346" spans="104:111">
      <c r="CZ34346" s="256"/>
      <c r="DG34346" s="256"/>
    </row>
    <row r="34347" spans="104:111">
      <c r="CZ34347" s="256"/>
      <c r="DG34347" s="256"/>
    </row>
    <row r="34348" spans="104:111">
      <c r="CZ34348" s="256"/>
      <c r="DG34348" s="256"/>
    </row>
    <row r="34349" spans="104:111">
      <c r="CZ34349" s="256"/>
      <c r="DG34349" s="256"/>
    </row>
    <row r="34350" spans="104:111">
      <c r="CZ34350" s="256"/>
      <c r="DG34350" s="256"/>
    </row>
    <row r="34351" spans="104:111">
      <c r="CZ34351" s="256"/>
      <c r="DG34351" s="256"/>
    </row>
    <row r="34352" spans="104:111">
      <c r="CZ34352" s="256"/>
      <c r="DG34352" s="256"/>
    </row>
    <row r="34353" spans="104:111">
      <c r="CZ34353" s="256"/>
      <c r="DG34353" s="256"/>
    </row>
    <row r="34354" spans="104:111">
      <c r="CZ34354" s="256"/>
      <c r="DG34354" s="256"/>
    </row>
    <row r="34355" spans="104:111">
      <c r="CZ34355" s="256"/>
      <c r="DG34355" s="256"/>
    </row>
    <row r="34356" spans="104:111">
      <c r="CZ34356" s="256"/>
      <c r="DG34356" s="256"/>
    </row>
    <row r="34357" spans="104:111">
      <c r="CZ34357" s="256"/>
      <c r="DG34357" s="256"/>
    </row>
    <row r="34358" spans="104:111">
      <c r="CZ34358" s="256"/>
      <c r="DG34358" s="256"/>
    </row>
    <row r="34359" spans="104:111">
      <c r="CZ34359" s="256"/>
      <c r="DG34359" s="256"/>
    </row>
    <row r="34360" spans="104:111">
      <c r="CZ34360" s="256"/>
      <c r="DG34360" s="256"/>
    </row>
    <row r="34361" spans="104:111">
      <c r="CZ34361" s="256"/>
      <c r="DG34361" s="256"/>
    </row>
    <row r="34362" spans="104:111">
      <c r="CZ34362" s="256"/>
      <c r="DG34362" s="256"/>
    </row>
    <row r="34363" spans="104:111">
      <c r="CZ34363" s="256"/>
      <c r="DG34363" s="256"/>
    </row>
    <row r="34364" spans="104:111">
      <c r="CZ34364" s="256"/>
      <c r="DG34364" s="256"/>
    </row>
    <row r="34365" spans="104:111">
      <c r="CZ34365" s="256"/>
      <c r="DG34365" s="256"/>
    </row>
    <row r="34366" spans="104:111">
      <c r="CZ34366" s="256"/>
      <c r="DG34366" s="256"/>
    </row>
    <row r="34367" spans="104:111">
      <c r="CZ34367" s="256"/>
      <c r="DG34367" s="256"/>
    </row>
    <row r="34368" spans="104:111">
      <c r="CZ34368" s="256"/>
      <c r="DG34368" s="256"/>
    </row>
    <row r="34369" spans="104:111">
      <c r="CZ34369" s="256"/>
      <c r="DG34369" s="256"/>
    </row>
    <row r="34370" spans="104:111">
      <c r="CZ34370" s="256"/>
      <c r="DG34370" s="256"/>
    </row>
    <row r="34371" spans="104:111">
      <c r="CZ34371" s="256"/>
      <c r="DG34371" s="256"/>
    </row>
    <row r="34372" spans="104:111">
      <c r="CZ34372" s="256"/>
      <c r="DG34372" s="256"/>
    </row>
    <row r="34373" spans="104:111">
      <c r="CZ34373" s="256"/>
      <c r="DG34373" s="256"/>
    </row>
    <row r="34374" spans="104:111">
      <c r="CZ34374" s="256"/>
      <c r="DG34374" s="256"/>
    </row>
    <row r="34375" spans="104:111">
      <c r="CZ34375" s="256"/>
      <c r="DG34375" s="256"/>
    </row>
    <row r="34376" spans="104:111">
      <c r="CZ34376" s="256"/>
      <c r="DG34376" s="256"/>
    </row>
    <row r="34377" spans="104:111">
      <c r="CZ34377" s="256"/>
      <c r="DG34377" s="256"/>
    </row>
    <row r="34378" spans="104:111">
      <c r="CZ34378" s="256"/>
      <c r="DG34378" s="256"/>
    </row>
    <row r="34379" spans="104:111">
      <c r="CZ34379" s="256"/>
      <c r="DG34379" s="256"/>
    </row>
    <row r="34380" spans="104:111">
      <c r="CZ34380" s="256"/>
      <c r="DG34380" s="256"/>
    </row>
    <row r="34381" spans="104:111">
      <c r="CZ34381" s="256"/>
      <c r="DG34381" s="256"/>
    </row>
    <row r="34382" spans="104:111">
      <c r="CZ34382" s="256"/>
      <c r="DG34382" s="256"/>
    </row>
    <row r="34383" spans="104:111">
      <c r="CZ34383" s="256"/>
      <c r="DG34383" s="256"/>
    </row>
    <row r="34384" spans="104:111">
      <c r="CZ34384" s="256"/>
      <c r="DG34384" s="256"/>
    </row>
    <row r="34385" spans="104:111">
      <c r="CZ34385" s="256"/>
      <c r="DG34385" s="256"/>
    </row>
    <row r="34386" spans="104:111">
      <c r="CZ34386" s="256"/>
      <c r="DG34386" s="256"/>
    </row>
    <row r="34387" spans="104:111">
      <c r="CZ34387" s="256"/>
      <c r="DG34387" s="256"/>
    </row>
    <row r="34388" spans="104:111">
      <c r="CZ34388" s="256"/>
      <c r="DG34388" s="256"/>
    </row>
    <row r="34389" spans="104:111">
      <c r="CZ34389" s="256"/>
      <c r="DG34389" s="256"/>
    </row>
    <row r="34390" spans="104:111">
      <c r="CZ34390" s="256"/>
      <c r="DG34390" s="256"/>
    </row>
    <row r="34391" spans="104:111">
      <c r="CZ34391" s="256"/>
      <c r="DG34391" s="256"/>
    </row>
    <row r="34392" spans="104:111">
      <c r="CZ34392" s="256"/>
      <c r="DG34392" s="256"/>
    </row>
    <row r="34393" spans="104:111">
      <c r="CZ34393" s="256"/>
      <c r="DG34393" s="256"/>
    </row>
    <row r="34394" spans="104:111">
      <c r="CZ34394" s="256"/>
      <c r="DG34394" s="256"/>
    </row>
    <row r="34395" spans="104:111">
      <c r="CZ34395" s="256"/>
      <c r="DG34395" s="256"/>
    </row>
    <row r="34396" spans="104:111">
      <c r="CZ34396" s="256"/>
      <c r="DG34396" s="256"/>
    </row>
    <row r="34397" spans="104:111">
      <c r="CZ34397" s="256"/>
      <c r="DG34397" s="256"/>
    </row>
    <row r="34398" spans="104:111">
      <c r="CZ34398" s="256"/>
      <c r="DG34398" s="256"/>
    </row>
    <row r="34399" spans="104:111">
      <c r="CZ34399" s="256"/>
      <c r="DG34399" s="256"/>
    </row>
    <row r="34400" spans="104:111">
      <c r="CZ34400" s="256"/>
      <c r="DG34400" s="256"/>
    </row>
    <row r="34401" spans="104:111">
      <c r="CZ34401" s="256"/>
      <c r="DG34401" s="256"/>
    </row>
    <row r="34402" spans="104:111">
      <c r="CZ34402" s="256"/>
      <c r="DG34402" s="256"/>
    </row>
    <row r="34403" spans="104:111">
      <c r="CZ34403" s="256"/>
      <c r="DG34403" s="256"/>
    </row>
    <row r="34404" spans="104:111">
      <c r="CZ34404" s="256"/>
      <c r="DG34404" s="256"/>
    </row>
    <row r="34405" spans="104:111">
      <c r="CZ34405" s="256"/>
      <c r="DG34405" s="256"/>
    </row>
    <row r="34406" spans="104:111">
      <c r="CZ34406" s="256"/>
      <c r="DG34406" s="256"/>
    </row>
    <row r="34407" spans="104:111">
      <c r="CZ34407" s="256"/>
      <c r="DG34407" s="256"/>
    </row>
    <row r="34408" spans="104:111">
      <c r="CZ34408" s="256"/>
      <c r="DG34408" s="256"/>
    </row>
    <row r="34409" spans="104:111">
      <c r="CZ34409" s="256"/>
      <c r="DG34409" s="256"/>
    </row>
    <row r="34410" spans="104:111">
      <c r="CZ34410" s="256"/>
      <c r="DG34410" s="256"/>
    </row>
    <row r="34411" spans="104:111">
      <c r="CZ34411" s="256"/>
      <c r="DG34411" s="256"/>
    </row>
    <row r="34412" spans="104:111">
      <c r="CZ34412" s="256"/>
      <c r="DG34412" s="256"/>
    </row>
    <row r="34413" spans="104:111">
      <c r="CZ34413" s="256"/>
      <c r="DG34413" s="256"/>
    </row>
    <row r="34414" spans="104:111">
      <c r="CZ34414" s="256"/>
      <c r="DG34414" s="256"/>
    </row>
    <row r="34415" spans="104:111">
      <c r="CZ34415" s="256"/>
      <c r="DG34415" s="256"/>
    </row>
    <row r="34416" spans="104:111">
      <c r="CZ34416" s="256"/>
      <c r="DG34416" s="256"/>
    </row>
    <row r="34417" spans="104:111">
      <c r="CZ34417" s="256"/>
      <c r="DG34417" s="256"/>
    </row>
    <row r="34418" spans="104:111">
      <c r="CZ34418" s="256"/>
      <c r="DG34418" s="256"/>
    </row>
    <row r="34419" spans="104:111">
      <c r="CZ34419" s="256"/>
      <c r="DG34419" s="256"/>
    </row>
    <row r="34420" spans="104:111">
      <c r="CZ34420" s="256"/>
      <c r="DG34420" s="256"/>
    </row>
    <row r="34421" spans="104:111">
      <c r="CZ34421" s="256"/>
      <c r="DG34421" s="256"/>
    </row>
    <row r="34422" spans="104:111">
      <c r="CZ34422" s="256"/>
      <c r="DG34422" s="256"/>
    </row>
    <row r="34423" spans="104:111">
      <c r="CZ34423" s="256"/>
      <c r="DG34423" s="256"/>
    </row>
    <row r="34424" spans="104:111">
      <c r="CZ34424" s="256"/>
      <c r="DG34424" s="256"/>
    </row>
    <row r="34425" spans="104:111">
      <c r="CZ34425" s="256"/>
      <c r="DG34425" s="256"/>
    </row>
    <row r="34426" spans="104:111">
      <c r="CZ34426" s="256"/>
      <c r="DG34426" s="256"/>
    </row>
    <row r="34427" spans="104:111">
      <c r="CZ34427" s="256"/>
      <c r="DG34427" s="256"/>
    </row>
    <row r="34428" spans="104:111">
      <c r="CZ34428" s="256"/>
      <c r="DG34428" s="256"/>
    </row>
    <row r="34429" spans="104:111">
      <c r="CZ34429" s="256"/>
      <c r="DG34429" s="256"/>
    </row>
    <row r="34430" spans="104:111">
      <c r="CZ34430" s="256"/>
      <c r="DG34430" s="256"/>
    </row>
    <row r="34431" spans="104:111">
      <c r="CZ34431" s="256"/>
      <c r="DG34431" s="256"/>
    </row>
    <row r="34432" spans="104:111">
      <c r="CZ34432" s="256"/>
      <c r="DG34432" s="256"/>
    </row>
    <row r="34433" spans="104:111">
      <c r="CZ34433" s="256"/>
      <c r="DG34433" s="256"/>
    </row>
    <row r="34434" spans="104:111">
      <c r="CZ34434" s="256"/>
      <c r="DG34434" s="256"/>
    </row>
    <row r="34435" spans="104:111">
      <c r="CZ34435" s="256"/>
      <c r="DG34435" s="256"/>
    </row>
    <row r="34436" spans="104:111">
      <c r="CZ34436" s="256"/>
      <c r="DG34436" s="256"/>
    </row>
    <row r="34437" spans="104:111">
      <c r="CZ34437" s="256"/>
      <c r="DG34437" s="256"/>
    </row>
    <row r="34438" spans="104:111">
      <c r="CZ34438" s="256"/>
      <c r="DG34438" s="256"/>
    </row>
    <row r="34439" spans="104:111">
      <c r="CZ34439" s="256"/>
      <c r="DG34439" s="256"/>
    </row>
    <row r="34440" spans="104:111">
      <c r="CZ34440" s="256"/>
      <c r="DG34440" s="256"/>
    </row>
    <row r="34441" spans="104:111">
      <c r="CZ34441" s="256"/>
      <c r="DG34441" s="256"/>
    </row>
    <row r="34442" spans="104:111">
      <c r="CZ34442" s="256"/>
      <c r="DG34442" s="256"/>
    </row>
    <row r="34443" spans="104:111">
      <c r="CZ34443" s="256"/>
      <c r="DG34443" s="256"/>
    </row>
    <row r="34444" spans="104:111">
      <c r="CZ34444" s="256"/>
      <c r="DG34444" s="256"/>
    </row>
    <row r="34445" spans="104:111">
      <c r="CZ34445" s="256"/>
      <c r="DG34445" s="256"/>
    </row>
    <row r="34446" spans="104:111">
      <c r="CZ34446" s="256"/>
      <c r="DG34446" s="256"/>
    </row>
    <row r="34447" spans="104:111">
      <c r="CZ34447" s="256"/>
      <c r="DG34447" s="256"/>
    </row>
    <row r="34448" spans="104:111">
      <c r="CZ34448" s="256"/>
      <c r="DG34448" s="256"/>
    </row>
    <row r="34449" spans="104:111">
      <c r="CZ34449" s="256"/>
      <c r="DG34449" s="256"/>
    </row>
    <row r="34450" spans="104:111">
      <c r="CZ34450" s="256"/>
      <c r="DG34450" s="256"/>
    </row>
    <row r="34451" spans="104:111">
      <c r="CZ34451" s="256"/>
      <c r="DG34451" s="256"/>
    </row>
    <row r="34452" spans="104:111">
      <c r="CZ34452" s="256"/>
      <c r="DG34452" s="256"/>
    </row>
    <row r="34453" spans="104:111">
      <c r="CZ34453" s="256"/>
      <c r="DG34453" s="256"/>
    </row>
    <row r="34454" spans="104:111">
      <c r="CZ34454" s="256"/>
      <c r="DG34454" s="256"/>
    </row>
    <row r="34455" spans="104:111">
      <c r="CZ34455" s="256"/>
      <c r="DG34455" s="256"/>
    </row>
    <row r="34456" spans="104:111">
      <c r="CZ34456" s="256"/>
      <c r="DG34456" s="256"/>
    </row>
    <row r="34457" spans="104:111">
      <c r="CZ34457" s="256"/>
      <c r="DG34457" s="256"/>
    </row>
    <row r="34458" spans="104:111">
      <c r="CZ34458" s="256"/>
      <c r="DG34458" s="256"/>
    </row>
    <row r="34459" spans="104:111">
      <c r="CZ34459" s="256"/>
      <c r="DG34459" s="256"/>
    </row>
    <row r="34460" spans="104:111">
      <c r="CZ34460" s="256"/>
      <c r="DG34460" s="256"/>
    </row>
    <row r="34461" spans="104:111">
      <c r="CZ34461" s="256"/>
      <c r="DG34461" s="256"/>
    </row>
    <row r="34462" spans="104:111">
      <c r="CZ34462" s="256"/>
      <c r="DG34462" s="256"/>
    </row>
    <row r="34463" spans="104:111">
      <c r="CZ34463" s="256"/>
      <c r="DG34463" s="256"/>
    </row>
    <row r="34464" spans="104:111">
      <c r="CZ34464" s="256"/>
      <c r="DG34464" s="256"/>
    </row>
    <row r="34465" spans="104:111">
      <c r="CZ34465" s="256"/>
      <c r="DG34465" s="256"/>
    </row>
    <row r="34466" spans="104:111">
      <c r="CZ34466" s="256"/>
      <c r="DG34466" s="256"/>
    </row>
    <row r="34467" spans="104:111">
      <c r="CZ34467" s="256"/>
      <c r="DG34467" s="256"/>
    </row>
    <row r="34468" spans="104:111">
      <c r="CZ34468" s="256"/>
      <c r="DG34468" s="256"/>
    </row>
    <row r="34469" spans="104:111">
      <c r="CZ34469" s="256"/>
      <c r="DG34469" s="256"/>
    </row>
    <row r="34470" spans="104:111">
      <c r="CZ34470" s="256"/>
      <c r="DG34470" s="256"/>
    </row>
    <row r="34471" spans="104:111">
      <c r="CZ34471" s="256"/>
      <c r="DG34471" s="256"/>
    </row>
    <row r="34472" spans="104:111">
      <c r="CZ34472" s="256"/>
      <c r="DG34472" s="256"/>
    </row>
    <row r="34473" spans="104:111">
      <c r="CZ34473" s="256"/>
      <c r="DG34473" s="256"/>
    </row>
    <row r="34474" spans="104:111">
      <c r="CZ34474" s="256"/>
      <c r="DG34474" s="256"/>
    </row>
    <row r="34475" spans="104:111">
      <c r="CZ34475" s="256"/>
      <c r="DG34475" s="256"/>
    </row>
    <row r="34476" spans="104:111">
      <c r="CZ34476" s="256"/>
      <c r="DG34476" s="256"/>
    </row>
    <row r="34477" spans="104:111">
      <c r="CZ34477" s="256"/>
      <c r="DG34477" s="256"/>
    </row>
    <row r="34478" spans="104:111">
      <c r="CZ34478" s="256"/>
      <c r="DG34478" s="256"/>
    </row>
    <row r="34479" spans="104:111">
      <c r="CZ34479" s="256"/>
      <c r="DG34479" s="256"/>
    </row>
    <row r="34480" spans="104:111">
      <c r="CZ34480" s="256"/>
      <c r="DG34480" s="256"/>
    </row>
    <row r="34481" spans="104:111">
      <c r="CZ34481" s="256"/>
      <c r="DG34481" s="256"/>
    </row>
    <row r="34482" spans="104:111">
      <c r="CZ34482" s="256"/>
      <c r="DG34482" s="256"/>
    </row>
    <row r="34483" spans="104:111">
      <c r="CZ34483" s="256"/>
      <c r="DG34483" s="256"/>
    </row>
    <row r="34484" spans="104:111">
      <c r="CZ34484" s="256"/>
      <c r="DG34484" s="256"/>
    </row>
    <row r="34485" spans="104:111">
      <c r="CZ34485" s="256"/>
      <c r="DG34485" s="256"/>
    </row>
    <row r="34486" spans="104:111">
      <c r="CZ34486" s="256"/>
      <c r="DG34486" s="256"/>
    </row>
    <row r="34487" spans="104:111">
      <c r="CZ34487" s="256"/>
      <c r="DG34487" s="256"/>
    </row>
    <row r="34488" spans="104:111">
      <c r="CZ34488" s="256"/>
      <c r="DG34488" s="256"/>
    </row>
    <row r="34489" spans="104:111">
      <c r="CZ34489" s="256"/>
      <c r="DG34489" s="256"/>
    </row>
    <row r="34490" spans="104:111">
      <c r="CZ34490" s="256"/>
      <c r="DG34490" s="256"/>
    </row>
    <row r="34491" spans="104:111">
      <c r="CZ34491" s="256"/>
      <c r="DG34491" s="256"/>
    </row>
    <row r="34492" spans="104:111">
      <c r="CZ34492" s="256"/>
      <c r="DG34492" s="256"/>
    </row>
    <row r="34493" spans="104:111">
      <c r="CZ34493" s="256"/>
      <c r="DG34493" s="256"/>
    </row>
    <row r="34494" spans="104:111">
      <c r="CZ34494" s="256"/>
      <c r="DG34494" s="256"/>
    </row>
    <row r="34495" spans="104:111">
      <c r="CZ34495" s="256"/>
      <c r="DG34495" s="256"/>
    </row>
    <row r="34496" spans="104:111">
      <c r="CZ34496" s="256"/>
      <c r="DG34496" s="256"/>
    </row>
    <row r="34497" spans="104:111">
      <c r="CZ34497" s="256"/>
      <c r="DG34497" s="256"/>
    </row>
    <row r="34498" spans="104:111">
      <c r="CZ34498" s="256"/>
      <c r="DG34498" s="256"/>
    </row>
    <row r="34499" spans="104:111">
      <c r="CZ34499" s="256"/>
      <c r="DG34499" s="256"/>
    </row>
    <row r="34500" spans="104:111">
      <c r="CZ34500" s="256"/>
      <c r="DG34500" s="256"/>
    </row>
    <row r="34501" spans="104:111">
      <c r="CZ34501" s="256"/>
      <c r="DG34501" s="256"/>
    </row>
    <row r="34502" spans="104:111">
      <c r="CZ34502" s="256"/>
      <c r="DG34502" s="256"/>
    </row>
    <row r="34503" spans="104:111">
      <c r="CZ34503" s="256"/>
      <c r="DG34503" s="256"/>
    </row>
    <row r="34504" spans="104:111">
      <c r="CZ34504" s="256"/>
      <c r="DG34504" s="256"/>
    </row>
    <row r="34505" spans="104:111">
      <c r="CZ34505" s="256"/>
      <c r="DG34505" s="256"/>
    </row>
    <row r="34506" spans="104:111">
      <c r="CZ34506" s="256"/>
      <c r="DG34506" s="256"/>
    </row>
    <row r="34507" spans="104:111">
      <c r="CZ34507" s="256"/>
      <c r="DG34507" s="256"/>
    </row>
    <row r="34508" spans="104:111">
      <c r="CZ34508" s="256"/>
      <c r="DG34508" s="256"/>
    </row>
    <row r="34509" spans="104:111">
      <c r="CZ34509" s="256"/>
      <c r="DG34509" s="256"/>
    </row>
    <row r="34510" spans="104:111">
      <c r="CZ34510" s="256"/>
      <c r="DG34510" s="256"/>
    </row>
    <row r="34511" spans="104:111">
      <c r="CZ34511" s="256"/>
      <c r="DG34511" s="256"/>
    </row>
    <row r="34512" spans="104:111">
      <c r="CZ34512" s="256"/>
      <c r="DG34512" s="256"/>
    </row>
    <row r="34513" spans="104:111">
      <c r="CZ34513" s="256"/>
      <c r="DG34513" s="256"/>
    </row>
    <row r="34514" spans="104:111">
      <c r="CZ34514" s="256"/>
      <c r="DG34514" s="256"/>
    </row>
    <row r="34515" spans="104:111">
      <c r="CZ34515" s="256"/>
      <c r="DG34515" s="256"/>
    </row>
    <row r="34516" spans="104:111">
      <c r="CZ34516" s="256"/>
      <c r="DG34516" s="256"/>
    </row>
    <row r="34517" spans="104:111">
      <c r="CZ34517" s="256"/>
      <c r="DG34517" s="256"/>
    </row>
    <row r="34518" spans="104:111">
      <c r="CZ34518" s="256"/>
      <c r="DG34518" s="256"/>
    </row>
    <row r="34519" spans="104:111">
      <c r="CZ34519" s="256"/>
      <c r="DG34519" s="256"/>
    </row>
    <row r="34520" spans="104:111">
      <c r="CZ34520" s="256"/>
      <c r="DG34520" s="256"/>
    </row>
    <row r="34521" spans="104:111">
      <c r="CZ34521" s="256"/>
      <c r="DG34521" s="256"/>
    </row>
    <row r="34522" spans="104:111">
      <c r="CZ34522" s="256"/>
      <c r="DG34522" s="256"/>
    </row>
    <row r="34523" spans="104:111">
      <c r="CZ34523" s="256"/>
      <c r="DG34523" s="256"/>
    </row>
    <row r="34524" spans="104:111">
      <c r="CZ34524" s="256"/>
      <c r="DG34524" s="256"/>
    </row>
    <row r="34525" spans="104:111">
      <c r="CZ34525" s="256"/>
      <c r="DG34525" s="256"/>
    </row>
    <row r="34526" spans="104:111">
      <c r="CZ34526" s="256"/>
      <c r="DG34526" s="256"/>
    </row>
    <row r="34527" spans="104:111">
      <c r="CZ34527" s="256"/>
      <c r="DG34527" s="256"/>
    </row>
    <row r="34528" spans="104:111">
      <c r="CZ34528" s="256"/>
      <c r="DG34528" s="256"/>
    </row>
    <row r="34529" spans="104:111">
      <c r="CZ34529" s="256"/>
      <c r="DG34529" s="256"/>
    </row>
    <row r="34530" spans="104:111">
      <c r="CZ34530" s="256"/>
      <c r="DG34530" s="256"/>
    </row>
    <row r="34531" spans="104:111">
      <c r="CZ34531" s="256"/>
      <c r="DG34531" s="256"/>
    </row>
    <row r="34532" spans="104:111">
      <c r="CZ34532" s="256"/>
      <c r="DG34532" s="256"/>
    </row>
    <row r="34533" spans="104:111">
      <c r="CZ34533" s="256"/>
      <c r="DG34533" s="256"/>
    </row>
    <row r="34534" spans="104:111">
      <c r="CZ34534" s="256"/>
      <c r="DG34534" s="256"/>
    </row>
    <row r="34535" spans="104:111">
      <c r="CZ34535" s="256"/>
      <c r="DG34535" s="256"/>
    </row>
    <row r="34536" spans="104:111">
      <c r="CZ34536" s="256"/>
      <c r="DG34536" s="256"/>
    </row>
    <row r="34537" spans="104:111">
      <c r="CZ34537" s="256"/>
      <c r="DG34537" s="256"/>
    </row>
    <row r="34538" spans="104:111">
      <c r="CZ34538" s="256"/>
      <c r="DG34538" s="256"/>
    </row>
    <row r="34539" spans="104:111">
      <c r="CZ34539" s="256"/>
      <c r="DG34539" s="256"/>
    </row>
    <row r="34540" spans="104:111">
      <c r="CZ34540" s="256"/>
      <c r="DG34540" s="256"/>
    </row>
    <row r="34541" spans="104:111">
      <c r="CZ34541" s="256"/>
      <c r="DG34541" s="256"/>
    </row>
    <row r="34542" spans="104:111">
      <c r="CZ34542" s="256"/>
      <c r="DG34542" s="256"/>
    </row>
    <row r="34543" spans="104:111">
      <c r="CZ34543" s="256"/>
      <c r="DG34543" s="256"/>
    </row>
    <row r="34544" spans="104:111">
      <c r="CZ34544" s="256"/>
      <c r="DG34544" s="256"/>
    </row>
    <row r="34545" spans="104:111">
      <c r="CZ34545" s="256"/>
      <c r="DG34545" s="256"/>
    </row>
    <row r="34546" spans="104:111">
      <c r="CZ34546" s="256"/>
      <c r="DG34546" s="256"/>
    </row>
    <row r="34547" spans="104:111">
      <c r="CZ34547" s="256"/>
      <c r="DG34547" s="256"/>
    </row>
    <row r="34548" spans="104:111">
      <c r="CZ34548" s="256"/>
      <c r="DG34548" s="256"/>
    </row>
    <row r="34549" spans="104:111">
      <c r="CZ34549" s="256"/>
      <c r="DG34549" s="256"/>
    </row>
    <row r="34550" spans="104:111">
      <c r="CZ34550" s="256"/>
      <c r="DG34550" s="256"/>
    </row>
    <row r="34551" spans="104:111">
      <c r="CZ34551" s="256"/>
      <c r="DG34551" s="256"/>
    </row>
    <row r="34552" spans="104:111">
      <c r="CZ34552" s="256"/>
      <c r="DG34552" s="256"/>
    </row>
    <row r="34553" spans="104:111">
      <c r="CZ34553" s="256"/>
      <c r="DG34553" s="256"/>
    </row>
    <row r="34554" spans="104:111">
      <c r="CZ34554" s="256"/>
      <c r="DG34554" s="256"/>
    </row>
    <row r="34555" spans="104:111">
      <c r="CZ34555" s="256"/>
      <c r="DG34555" s="256"/>
    </row>
    <row r="34556" spans="104:111">
      <c r="CZ34556" s="256"/>
      <c r="DG34556" s="256"/>
    </row>
    <row r="34557" spans="104:111">
      <c r="CZ34557" s="256"/>
      <c r="DG34557" s="256"/>
    </row>
    <row r="34558" spans="104:111">
      <c r="CZ34558" s="256"/>
      <c r="DG34558" s="256"/>
    </row>
    <row r="34559" spans="104:111">
      <c r="CZ34559" s="256"/>
      <c r="DG34559" s="256"/>
    </row>
    <row r="34560" spans="104:111">
      <c r="CZ34560" s="256"/>
      <c r="DG34560" s="256"/>
    </row>
    <row r="34561" spans="104:111">
      <c r="CZ34561" s="256"/>
      <c r="DG34561" s="256"/>
    </row>
    <row r="34562" spans="104:111">
      <c r="CZ34562" s="256"/>
      <c r="DG34562" s="256"/>
    </row>
    <row r="34563" spans="104:111">
      <c r="CZ34563" s="256"/>
      <c r="DG34563" s="256"/>
    </row>
    <row r="34564" spans="104:111">
      <c r="CZ34564" s="256"/>
      <c r="DG34564" s="256"/>
    </row>
    <row r="34565" spans="104:111">
      <c r="CZ34565" s="256"/>
      <c r="DG34565" s="256"/>
    </row>
    <row r="34566" spans="104:111">
      <c r="CZ34566" s="256"/>
      <c r="DG34566" s="256"/>
    </row>
    <row r="34567" spans="104:111">
      <c r="CZ34567" s="256"/>
      <c r="DG34567" s="256"/>
    </row>
    <row r="34568" spans="104:111">
      <c r="CZ34568" s="256"/>
      <c r="DG34568" s="256"/>
    </row>
    <row r="34569" spans="104:111">
      <c r="CZ34569" s="256"/>
      <c r="DG34569" s="256"/>
    </row>
    <row r="34570" spans="104:111">
      <c r="CZ34570" s="256"/>
      <c r="DG34570" s="256"/>
    </row>
    <row r="34571" spans="104:111">
      <c r="CZ34571" s="256"/>
      <c r="DG34571" s="256"/>
    </row>
    <row r="34572" spans="104:111">
      <c r="CZ34572" s="256"/>
      <c r="DG34572" s="256"/>
    </row>
    <row r="34573" spans="104:111">
      <c r="CZ34573" s="256"/>
      <c r="DG34573" s="256"/>
    </row>
    <row r="34574" spans="104:111">
      <c r="CZ34574" s="256"/>
      <c r="DG34574" s="256"/>
    </row>
    <row r="34575" spans="104:111">
      <c r="CZ34575" s="256"/>
      <c r="DG34575" s="256"/>
    </row>
    <row r="34576" spans="104:111">
      <c r="CZ34576" s="256"/>
      <c r="DG34576" s="256"/>
    </row>
    <row r="34577" spans="104:111">
      <c r="CZ34577" s="256"/>
      <c r="DG34577" s="256"/>
    </row>
    <row r="34578" spans="104:111">
      <c r="CZ34578" s="256"/>
      <c r="DG34578" s="256"/>
    </row>
    <row r="34579" spans="104:111">
      <c r="CZ34579" s="256"/>
      <c r="DG34579" s="256"/>
    </row>
    <row r="34580" spans="104:111">
      <c r="CZ34580" s="256"/>
      <c r="DG34580" s="256"/>
    </row>
    <row r="34581" spans="104:111">
      <c r="CZ34581" s="256"/>
      <c r="DG34581" s="256"/>
    </row>
    <row r="34582" spans="104:111">
      <c r="CZ34582" s="256"/>
      <c r="DG34582" s="256"/>
    </row>
    <row r="34583" spans="104:111">
      <c r="CZ34583" s="256"/>
      <c r="DG34583" s="256"/>
    </row>
    <row r="34584" spans="104:111">
      <c r="CZ34584" s="256"/>
      <c r="DG34584" s="256"/>
    </row>
    <row r="34585" spans="104:111">
      <c r="CZ34585" s="256"/>
      <c r="DG34585" s="256"/>
    </row>
    <row r="34586" spans="104:111">
      <c r="CZ34586" s="256"/>
      <c r="DG34586" s="256"/>
    </row>
    <row r="34587" spans="104:111">
      <c r="CZ34587" s="256"/>
      <c r="DG34587" s="256"/>
    </row>
    <row r="34588" spans="104:111">
      <c r="CZ34588" s="256"/>
      <c r="DG34588" s="256"/>
    </row>
    <row r="34589" spans="104:111">
      <c r="CZ34589" s="256"/>
      <c r="DG34589" s="256"/>
    </row>
    <row r="34590" spans="104:111">
      <c r="CZ34590" s="256"/>
      <c r="DG34590" s="256"/>
    </row>
    <row r="34591" spans="104:111">
      <c r="CZ34591" s="256"/>
      <c r="DG34591" s="256"/>
    </row>
    <row r="34592" spans="104:111">
      <c r="CZ34592" s="256"/>
      <c r="DG34592" s="256"/>
    </row>
    <row r="34593" spans="104:111">
      <c r="CZ34593" s="256"/>
      <c r="DG34593" s="256"/>
    </row>
    <row r="34594" spans="104:111">
      <c r="CZ34594" s="256"/>
      <c r="DG34594" s="256"/>
    </row>
    <row r="34595" spans="104:111">
      <c r="CZ34595" s="256"/>
      <c r="DG34595" s="256"/>
    </row>
    <row r="34596" spans="104:111">
      <c r="CZ34596" s="256"/>
      <c r="DG34596" s="256"/>
    </row>
    <row r="34597" spans="104:111">
      <c r="CZ34597" s="256"/>
      <c r="DG34597" s="256"/>
    </row>
    <row r="34598" spans="104:111">
      <c r="CZ34598" s="256"/>
      <c r="DG34598" s="256"/>
    </row>
    <row r="34599" spans="104:111">
      <c r="CZ34599" s="256"/>
      <c r="DG34599" s="256"/>
    </row>
    <row r="34600" spans="104:111">
      <c r="CZ34600" s="256"/>
      <c r="DG34600" s="256"/>
    </row>
    <row r="34601" spans="104:111">
      <c r="CZ34601" s="256"/>
      <c r="DG34601" s="256"/>
    </row>
    <row r="34602" spans="104:111">
      <c r="CZ34602" s="256"/>
      <c r="DG34602" s="256"/>
    </row>
    <row r="34603" spans="104:111">
      <c r="CZ34603" s="256"/>
      <c r="DG34603" s="256"/>
    </row>
    <row r="34604" spans="104:111">
      <c r="CZ34604" s="256"/>
      <c r="DG34604" s="256"/>
    </row>
    <row r="34605" spans="104:111">
      <c r="CZ34605" s="256"/>
      <c r="DG34605" s="256"/>
    </row>
    <row r="34606" spans="104:111">
      <c r="CZ34606" s="256"/>
      <c r="DG34606" s="256"/>
    </row>
    <row r="34607" spans="104:111">
      <c r="CZ34607" s="256"/>
      <c r="DG34607" s="256"/>
    </row>
    <row r="34608" spans="104:111">
      <c r="CZ34608" s="256"/>
      <c r="DG34608" s="256"/>
    </row>
    <row r="34609" spans="104:111">
      <c r="CZ34609" s="256"/>
      <c r="DG34609" s="256"/>
    </row>
    <row r="34610" spans="104:111">
      <c r="CZ34610" s="256"/>
      <c r="DG34610" s="256"/>
    </row>
    <row r="34611" spans="104:111">
      <c r="CZ34611" s="256"/>
      <c r="DG34611" s="256"/>
    </row>
    <row r="34612" spans="104:111">
      <c r="CZ34612" s="256"/>
      <c r="DG34612" s="256"/>
    </row>
    <row r="34613" spans="104:111">
      <c r="CZ34613" s="256"/>
      <c r="DG34613" s="256"/>
    </row>
    <row r="34614" spans="104:111">
      <c r="CZ34614" s="256"/>
      <c r="DG34614" s="256"/>
    </row>
    <row r="34615" spans="104:111">
      <c r="CZ34615" s="256"/>
      <c r="DG34615" s="256"/>
    </row>
    <row r="34616" spans="104:111">
      <c r="CZ34616" s="256"/>
      <c r="DG34616" s="256"/>
    </row>
    <row r="34617" spans="104:111">
      <c r="CZ34617" s="256"/>
      <c r="DG34617" s="256"/>
    </row>
    <row r="34618" spans="104:111">
      <c r="CZ34618" s="256"/>
      <c r="DG34618" s="256"/>
    </row>
    <row r="34619" spans="104:111">
      <c r="CZ34619" s="256"/>
      <c r="DG34619" s="256"/>
    </row>
    <row r="34620" spans="104:111">
      <c r="CZ34620" s="256"/>
      <c r="DG34620" s="256"/>
    </row>
    <row r="34621" spans="104:111">
      <c r="CZ34621" s="256"/>
      <c r="DG34621" s="256"/>
    </row>
    <row r="34622" spans="104:111">
      <c r="CZ34622" s="256"/>
      <c r="DG34622" s="256"/>
    </row>
    <row r="34623" spans="104:111">
      <c r="CZ34623" s="256"/>
      <c r="DG34623" s="256"/>
    </row>
    <row r="34624" spans="104:111">
      <c r="CZ34624" s="256"/>
      <c r="DG34624" s="256"/>
    </row>
    <row r="34625" spans="104:111">
      <c r="CZ34625" s="256"/>
      <c r="DG34625" s="256"/>
    </row>
    <row r="34626" spans="104:111">
      <c r="CZ34626" s="256"/>
      <c r="DG34626" s="256"/>
    </row>
    <row r="34627" spans="104:111">
      <c r="CZ34627" s="256"/>
      <c r="DG34627" s="256"/>
    </row>
    <row r="34628" spans="104:111">
      <c r="CZ34628" s="256"/>
      <c r="DG34628" s="256"/>
    </row>
    <row r="34629" spans="104:111">
      <c r="CZ34629" s="256"/>
      <c r="DG34629" s="256"/>
    </row>
    <row r="34630" spans="104:111">
      <c r="CZ34630" s="256"/>
      <c r="DG34630" s="256"/>
    </row>
    <row r="34631" spans="104:111">
      <c r="CZ34631" s="256"/>
      <c r="DG34631" s="256"/>
    </row>
    <row r="34632" spans="104:111">
      <c r="CZ34632" s="256"/>
      <c r="DG34632" s="256"/>
    </row>
    <row r="34633" spans="104:111">
      <c r="CZ34633" s="256"/>
      <c r="DG34633" s="256"/>
    </row>
    <row r="34634" spans="104:111">
      <c r="CZ34634" s="256"/>
      <c r="DG34634" s="256"/>
    </row>
    <row r="34635" spans="104:111">
      <c r="CZ34635" s="256"/>
      <c r="DG34635" s="256"/>
    </row>
    <row r="34636" spans="104:111">
      <c r="CZ34636" s="256"/>
      <c r="DG34636" s="256"/>
    </row>
    <row r="34637" spans="104:111">
      <c r="CZ34637" s="256"/>
      <c r="DG34637" s="256"/>
    </row>
    <row r="34638" spans="104:111">
      <c r="CZ34638" s="256"/>
      <c r="DG34638" s="256"/>
    </row>
    <row r="34639" spans="104:111">
      <c r="CZ34639" s="256"/>
      <c r="DG34639" s="256"/>
    </row>
    <row r="34640" spans="104:111">
      <c r="CZ34640" s="256"/>
      <c r="DG34640" s="256"/>
    </row>
    <row r="34641" spans="104:111">
      <c r="CZ34641" s="256"/>
      <c r="DG34641" s="256"/>
    </row>
    <row r="34642" spans="104:111">
      <c r="CZ34642" s="256"/>
      <c r="DG34642" s="256"/>
    </row>
    <row r="34643" spans="104:111">
      <c r="CZ34643" s="256"/>
      <c r="DG34643" s="256"/>
    </row>
    <row r="34644" spans="104:111">
      <c r="CZ34644" s="256"/>
      <c r="DG34644" s="256"/>
    </row>
    <row r="34645" spans="104:111">
      <c r="CZ34645" s="256"/>
      <c r="DG34645" s="256"/>
    </row>
    <row r="34646" spans="104:111">
      <c r="CZ34646" s="256"/>
      <c r="DG34646" s="256"/>
    </row>
    <row r="34647" spans="104:111">
      <c r="CZ34647" s="256"/>
      <c r="DG34647" s="256"/>
    </row>
    <row r="34648" spans="104:111">
      <c r="CZ34648" s="256"/>
      <c r="DG34648" s="256"/>
    </row>
    <row r="34649" spans="104:111">
      <c r="CZ34649" s="256"/>
      <c r="DG34649" s="256"/>
    </row>
    <row r="34650" spans="104:111">
      <c r="CZ34650" s="256"/>
      <c r="DG34650" s="256"/>
    </row>
    <row r="34651" spans="104:111">
      <c r="CZ34651" s="256"/>
      <c r="DG34651" s="256"/>
    </row>
    <row r="34652" spans="104:111">
      <c r="CZ34652" s="256"/>
      <c r="DG34652" s="256"/>
    </row>
    <row r="34653" spans="104:111">
      <c r="CZ34653" s="256"/>
      <c r="DG34653" s="256"/>
    </row>
    <row r="34654" spans="104:111">
      <c r="CZ34654" s="256"/>
      <c r="DG34654" s="256"/>
    </row>
    <row r="34655" spans="104:111">
      <c r="CZ34655" s="256"/>
      <c r="DG34655" s="256"/>
    </row>
    <row r="34656" spans="104:111">
      <c r="CZ34656" s="256"/>
      <c r="DG34656" s="256"/>
    </row>
    <row r="34657" spans="104:111">
      <c r="CZ34657" s="256"/>
      <c r="DG34657" s="256"/>
    </row>
    <row r="34658" spans="104:111">
      <c r="CZ34658" s="256"/>
      <c r="DG34658" s="256"/>
    </row>
    <row r="34659" spans="104:111">
      <c r="CZ34659" s="256"/>
      <c r="DG34659" s="256"/>
    </row>
    <row r="34660" spans="104:111">
      <c r="CZ34660" s="256"/>
      <c r="DG34660" s="256"/>
    </row>
    <row r="34661" spans="104:111">
      <c r="CZ34661" s="256"/>
      <c r="DG34661" s="256"/>
    </row>
    <row r="34662" spans="104:111">
      <c r="CZ34662" s="256"/>
      <c r="DG34662" s="256"/>
    </row>
    <row r="34663" spans="104:111">
      <c r="CZ34663" s="256"/>
      <c r="DG34663" s="256"/>
    </row>
    <row r="34664" spans="104:111">
      <c r="CZ34664" s="256"/>
      <c r="DG34664" s="256"/>
    </row>
    <row r="34665" spans="104:111">
      <c r="CZ34665" s="256"/>
      <c r="DG34665" s="256"/>
    </row>
    <row r="34666" spans="104:111">
      <c r="CZ34666" s="256"/>
      <c r="DG34666" s="256"/>
    </row>
    <row r="34667" spans="104:111">
      <c r="CZ34667" s="256"/>
      <c r="DG34667" s="256"/>
    </row>
    <row r="34668" spans="104:111">
      <c r="CZ34668" s="256"/>
      <c r="DG34668" s="256"/>
    </row>
    <row r="34669" spans="104:111">
      <c r="CZ34669" s="256"/>
      <c r="DG34669" s="256"/>
    </row>
    <row r="34670" spans="104:111">
      <c r="CZ34670" s="256"/>
      <c r="DG34670" s="256"/>
    </row>
    <row r="34671" spans="104:111">
      <c r="CZ34671" s="256"/>
      <c r="DG34671" s="256"/>
    </row>
    <row r="34672" spans="104:111">
      <c r="CZ34672" s="256"/>
      <c r="DG34672" s="256"/>
    </row>
    <row r="34673" spans="104:111">
      <c r="CZ34673" s="256"/>
      <c r="DG34673" s="256"/>
    </row>
    <row r="34674" spans="104:111">
      <c r="CZ34674" s="256"/>
      <c r="DG34674" s="256"/>
    </row>
    <row r="34675" spans="104:111">
      <c r="CZ34675" s="256"/>
      <c r="DG34675" s="256"/>
    </row>
    <row r="34676" spans="104:111">
      <c r="CZ34676" s="256"/>
      <c r="DG34676" s="256"/>
    </row>
    <row r="34677" spans="104:111">
      <c r="CZ34677" s="256"/>
      <c r="DG34677" s="256"/>
    </row>
    <row r="34678" spans="104:111">
      <c r="CZ34678" s="256"/>
      <c r="DG34678" s="256"/>
    </row>
    <row r="34679" spans="104:111">
      <c r="CZ34679" s="256"/>
      <c r="DG34679" s="256"/>
    </row>
    <row r="34680" spans="104:111">
      <c r="CZ34680" s="256"/>
      <c r="DG34680" s="256"/>
    </row>
    <row r="34681" spans="104:111">
      <c r="CZ34681" s="256"/>
      <c r="DG34681" s="256"/>
    </row>
    <row r="34682" spans="104:111">
      <c r="CZ34682" s="256"/>
      <c r="DG34682" s="256"/>
    </row>
    <row r="34683" spans="104:111">
      <c r="CZ34683" s="256"/>
      <c r="DG34683" s="256"/>
    </row>
    <row r="34684" spans="104:111">
      <c r="CZ34684" s="256"/>
      <c r="DG34684" s="256"/>
    </row>
    <row r="34685" spans="104:111">
      <c r="CZ34685" s="256"/>
      <c r="DG34685" s="256"/>
    </row>
    <row r="34686" spans="104:111">
      <c r="CZ34686" s="256"/>
      <c r="DG34686" s="256"/>
    </row>
    <row r="34687" spans="104:111">
      <c r="CZ34687" s="256"/>
      <c r="DG34687" s="256"/>
    </row>
    <row r="34688" spans="104:111">
      <c r="CZ34688" s="256"/>
      <c r="DG34688" s="256"/>
    </row>
    <row r="34689" spans="104:111">
      <c r="CZ34689" s="256"/>
      <c r="DG34689" s="256"/>
    </row>
    <row r="34690" spans="104:111">
      <c r="CZ34690" s="256"/>
      <c r="DG34690" s="256"/>
    </row>
    <row r="34691" spans="104:111">
      <c r="CZ34691" s="256"/>
      <c r="DG34691" s="256"/>
    </row>
    <row r="34692" spans="104:111">
      <c r="CZ34692" s="256"/>
      <c r="DG34692" s="256"/>
    </row>
    <row r="34693" spans="104:111">
      <c r="CZ34693" s="256"/>
      <c r="DG34693" s="256"/>
    </row>
    <row r="34694" spans="104:111">
      <c r="CZ34694" s="256"/>
      <c r="DG34694" s="256"/>
    </row>
    <row r="34695" spans="104:111">
      <c r="CZ34695" s="256"/>
      <c r="DG34695" s="256"/>
    </row>
    <row r="34696" spans="104:111">
      <c r="CZ34696" s="256"/>
      <c r="DG34696" s="256"/>
    </row>
    <row r="34697" spans="104:111">
      <c r="CZ34697" s="256"/>
      <c r="DG34697" s="256"/>
    </row>
    <row r="34698" spans="104:111">
      <c r="CZ34698" s="256"/>
      <c r="DG34698" s="256"/>
    </row>
    <row r="34699" spans="104:111">
      <c r="CZ34699" s="256"/>
      <c r="DG34699" s="256"/>
    </row>
    <row r="34700" spans="104:111">
      <c r="CZ34700" s="256"/>
      <c r="DG34700" s="256"/>
    </row>
    <row r="34701" spans="104:111">
      <c r="CZ34701" s="256"/>
      <c r="DG34701" s="256"/>
    </row>
    <row r="34702" spans="104:111">
      <c r="CZ34702" s="256"/>
      <c r="DG34702" s="256"/>
    </row>
    <row r="34703" spans="104:111">
      <c r="CZ34703" s="256"/>
      <c r="DG34703" s="256"/>
    </row>
    <row r="34704" spans="104:111">
      <c r="CZ34704" s="256"/>
      <c r="DG34704" s="256"/>
    </row>
    <row r="34705" spans="104:111">
      <c r="CZ34705" s="256"/>
      <c r="DG34705" s="256"/>
    </row>
    <row r="34706" spans="104:111">
      <c r="CZ34706" s="256"/>
      <c r="DG34706" s="256"/>
    </row>
    <row r="34707" spans="104:111">
      <c r="CZ34707" s="256"/>
      <c r="DG34707" s="256"/>
    </row>
    <row r="34708" spans="104:111">
      <c r="CZ34708" s="256"/>
      <c r="DG34708" s="256"/>
    </row>
    <row r="34709" spans="104:111">
      <c r="CZ34709" s="256"/>
      <c r="DG34709" s="256"/>
    </row>
    <row r="34710" spans="104:111">
      <c r="CZ34710" s="256"/>
      <c r="DG34710" s="256"/>
    </row>
    <row r="34711" spans="104:111">
      <c r="CZ34711" s="256"/>
      <c r="DG34711" s="256"/>
    </row>
    <row r="34712" spans="104:111">
      <c r="CZ34712" s="256"/>
      <c r="DG34712" s="256"/>
    </row>
    <row r="34713" spans="104:111">
      <c r="CZ34713" s="256"/>
      <c r="DG34713" s="256"/>
    </row>
    <row r="34714" spans="104:111">
      <c r="CZ34714" s="256"/>
      <c r="DG34714" s="256"/>
    </row>
    <row r="34715" spans="104:111">
      <c r="CZ34715" s="256"/>
      <c r="DG34715" s="256"/>
    </row>
    <row r="34716" spans="104:111">
      <c r="CZ34716" s="256"/>
      <c r="DG34716" s="256"/>
    </row>
    <row r="34717" spans="104:111">
      <c r="CZ34717" s="256"/>
      <c r="DG34717" s="256"/>
    </row>
    <row r="34718" spans="104:111">
      <c r="CZ34718" s="256"/>
      <c r="DG34718" s="256"/>
    </row>
    <row r="34719" spans="104:111">
      <c r="CZ34719" s="256"/>
      <c r="DG34719" s="256"/>
    </row>
    <row r="34720" spans="104:111">
      <c r="CZ34720" s="256"/>
      <c r="DG34720" s="256"/>
    </row>
    <row r="34721" spans="104:111">
      <c r="CZ34721" s="256"/>
      <c r="DG34721" s="256"/>
    </row>
    <row r="34722" spans="104:111">
      <c r="CZ34722" s="256"/>
      <c r="DG34722" s="256"/>
    </row>
    <row r="34723" spans="104:111">
      <c r="CZ34723" s="256"/>
      <c r="DG34723" s="256"/>
    </row>
    <row r="34724" spans="104:111">
      <c r="CZ34724" s="256"/>
      <c r="DG34724" s="256"/>
    </row>
    <row r="34725" spans="104:111">
      <c r="CZ34725" s="256"/>
      <c r="DG34725" s="256"/>
    </row>
    <row r="34726" spans="104:111">
      <c r="CZ34726" s="256"/>
      <c r="DG34726" s="256"/>
    </row>
    <row r="34727" spans="104:111">
      <c r="CZ34727" s="256"/>
      <c r="DG34727" s="256"/>
    </row>
    <row r="34728" spans="104:111">
      <c r="CZ34728" s="256"/>
      <c r="DG34728" s="256"/>
    </row>
    <row r="34729" spans="104:111">
      <c r="CZ34729" s="256"/>
      <c r="DG34729" s="256"/>
    </row>
    <row r="34730" spans="104:111">
      <c r="CZ34730" s="256"/>
      <c r="DG34730" s="256"/>
    </row>
    <row r="34731" spans="104:111">
      <c r="CZ34731" s="256"/>
      <c r="DG34731" s="256"/>
    </row>
    <row r="34732" spans="104:111">
      <c r="CZ34732" s="256"/>
      <c r="DG34732" s="256"/>
    </row>
    <row r="34733" spans="104:111">
      <c r="CZ34733" s="256"/>
      <c r="DG34733" s="256"/>
    </row>
    <row r="34734" spans="104:111">
      <c r="CZ34734" s="256"/>
      <c r="DG34734" s="256"/>
    </row>
    <row r="34735" spans="104:111">
      <c r="CZ34735" s="256"/>
      <c r="DG34735" s="256"/>
    </row>
    <row r="34736" spans="104:111">
      <c r="CZ34736" s="256"/>
      <c r="DG34736" s="256"/>
    </row>
    <row r="34737" spans="104:111">
      <c r="CZ34737" s="256"/>
      <c r="DG34737" s="256"/>
    </row>
    <row r="34738" spans="104:111">
      <c r="CZ34738" s="256"/>
      <c r="DG34738" s="256"/>
    </row>
    <row r="34739" spans="104:111">
      <c r="CZ34739" s="256"/>
      <c r="DG34739" s="256"/>
    </row>
    <row r="34740" spans="104:111">
      <c r="CZ34740" s="256"/>
      <c r="DG34740" s="256"/>
    </row>
    <row r="34741" spans="104:111">
      <c r="CZ34741" s="256"/>
      <c r="DG34741" s="256"/>
    </row>
    <row r="34742" spans="104:111">
      <c r="CZ34742" s="256"/>
      <c r="DG34742" s="256"/>
    </row>
    <row r="34743" spans="104:111">
      <c r="CZ34743" s="256"/>
      <c r="DG34743" s="256"/>
    </row>
    <row r="34744" spans="104:111">
      <c r="CZ34744" s="256"/>
      <c r="DG34744" s="256"/>
    </row>
    <row r="34745" spans="104:111">
      <c r="CZ34745" s="256"/>
      <c r="DG34745" s="256"/>
    </row>
    <row r="34746" spans="104:111">
      <c r="CZ34746" s="256"/>
      <c r="DG34746" s="256"/>
    </row>
    <row r="34747" spans="104:111">
      <c r="CZ34747" s="256"/>
      <c r="DG34747" s="256"/>
    </row>
    <row r="34748" spans="104:111">
      <c r="CZ34748" s="256"/>
      <c r="DG34748" s="256"/>
    </row>
    <row r="34749" spans="104:111">
      <c r="CZ34749" s="256"/>
      <c r="DG34749" s="256"/>
    </row>
    <row r="34750" spans="104:111">
      <c r="CZ34750" s="256"/>
      <c r="DG34750" s="256"/>
    </row>
    <row r="34751" spans="104:111">
      <c r="CZ34751" s="256"/>
      <c r="DG34751" s="256"/>
    </row>
    <row r="34752" spans="104:111">
      <c r="CZ34752" s="256"/>
      <c r="DG34752" s="256"/>
    </row>
    <row r="34753" spans="104:111">
      <c r="CZ34753" s="256"/>
      <c r="DG34753" s="256"/>
    </row>
    <row r="34754" spans="104:111">
      <c r="CZ34754" s="256"/>
      <c r="DG34754" s="256"/>
    </row>
    <row r="34755" spans="104:111">
      <c r="CZ34755" s="256"/>
      <c r="DG34755" s="256"/>
    </row>
    <row r="34756" spans="104:111">
      <c r="CZ34756" s="256"/>
      <c r="DG34756" s="256"/>
    </row>
    <row r="34757" spans="104:111">
      <c r="CZ34757" s="256"/>
      <c r="DG34757" s="256"/>
    </row>
    <row r="34758" spans="104:111">
      <c r="CZ34758" s="256"/>
      <c r="DG34758" s="256"/>
    </row>
    <row r="34759" spans="104:111">
      <c r="CZ34759" s="256"/>
      <c r="DG34759" s="256"/>
    </row>
    <row r="34760" spans="104:111">
      <c r="CZ34760" s="256"/>
      <c r="DG34760" s="256"/>
    </row>
    <row r="34761" spans="104:111">
      <c r="CZ34761" s="256"/>
      <c r="DG34761" s="256"/>
    </row>
    <row r="34762" spans="104:111">
      <c r="CZ34762" s="256"/>
      <c r="DG34762" s="256"/>
    </row>
    <row r="34763" spans="104:111">
      <c r="CZ34763" s="256"/>
      <c r="DG34763" s="256"/>
    </row>
    <row r="34764" spans="104:111">
      <c r="CZ34764" s="256"/>
      <c r="DG34764" s="256"/>
    </row>
    <row r="34765" spans="104:111">
      <c r="CZ34765" s="256"/>
      <c r="DG34765" s="256"/>
    </row>
    <row r="34766" spans="104:111">
      <c r="CZ34766" s="256"/>
      <c r="DG34766" s="256"/>
    </row>
    <row r="34767" spans="104:111">
      <c r="CZ34767" s="256"/>
      <c r="DG34767" s="256"/>
    </row>
    <row r="34768" spans="104:111">
      <c r="CZ34768" s="256"/>
      <c r="DG34768" s="256"/>
    </row>
    <row r="34769" spans="104:111">
      <c r="CZ34769" s="256"/>
      <c r="DG34769" s="256"/>
    </row>
    <row r="34770" spans="104:111">
      <c r="CZ34770" s="256"/>
      <c r="DG34770" s="256"/>
    </row>
    <row r="34771" spans="104:111">
      <c r="CZ34771" s="256"/>
      <c r="DG34771" s="256"/>
    </row>
    <row r="34772" spans="104:111">
      <c r="CZ34772" s="256"/>
      <c r="DG34772" s="256"/>
    </row>
    <row r="34773" spans="104:111">
      <c r="CZ34773" s="256"/>
      <c r="DG34773" s="256"/>
    </row>
    <row r="34774" spans="104:111">
      <c r="CZ34774" s="256"/>
      <c r="DG34774" s="256"/>
    </row>
    <row r="34775" spans="104:111">
      <c r="CZ34775" s="256"/>
      <c r="DG34775" s="256"/>
    </row>
    <row r="34776" spans="104:111">
      <c r="CZ34776" s="256"/>
      <c r="DG34776" s="256"/>
    </row>
    <row r="34777" spans="104:111">
      <c r="CZ34777" s="256"/>
      <c r="DG34777" s="256"/>
    </row>
    <row r="34778" spans="104:111">
      <c r="CZ34778" s="256"/>
      <c r="DG34778" s="256"/>
    </row>
    <row r="34779" spans="104:111">
      <c r="CZ34779" s="256"/>
      <c r="DG34779" s="256"/>
    </row>
    <row r="34780" spans="104:111">
      <c r="CZ34780" s="256"/>
      <c r="DG34780" s="256"/>
    </row>
    <row r="34781" spans="104:111">
      <c r="CZ34781" s="256"/>
      <c r="DG34781" s="256"/>
    </row>
    <row r="34782" spans="104:111">
      <c r="CZ34782" s="256"/>
      <c r="DG34782" s="256"/>
    </row>
    <row r="34783" spans="104:111">
      <c r="CZ34783" s="256"/>
      <c r="DG34783" s="256"/>
    </row>
    <row r="34784" spans="104:111">
      <c r="CZ34784" s="256"/>
      <c r="DG34784" s="256"/>
    </row>
    <row r="34785" spans="104:111">
      <c r="CZ34785" s="256"/>
      <c r="DG34785" s="256"/>
    </row>
    <row r="34786" spans="104:111">
      <c r="CZ34786" s="256"/>
      <c r="DG34786" s="256"/>
    </row>
    <row r="34787" spans="104:111">
      <c r="CZ34787" s="256"/>
      <c r="DG34787" s="256"/>
    </row>
    <row r="34788" spans="104:111">
      <c r="CZ34788" s="256"/>
      <c r="DG34788" s="256"/>
    </row>
    <row r="34789" spans="104:111">
      <c r="CZ34789" s="256"/>
      <c r="DG34789" s="256"/>
    </row>
    <row r="34790" spans="104:111">
      <c r="CZ34790" s="256"/>
      <c r="DG34790" s="256"/>
    </row>
    <row r="34791" spans="104:111">
      <c r="CZ34791" s="256"/>
      <c r="DG34791" s="256"/>
    </row>
    <row r="34792" spans="104:111">
      <c r="CZ34792" s="256"/>
      <c r="DG34792" s="256"/>
    </row>
    <row r="34793" spans="104:111">
      <c r="CZ34793" s="256"/>
      <c r="DG34793" s="256"/>
    </row>
    <row r="34794" spans="104:111">
      <c r="CZ34794" s="256"/>
      <c r="DG34794" s="256"/>
    </row>
    <row r="34795" spans="104:111">
      <c r="CZ34795" s="256"/>
      <c r="DG34795" s="256"/>
    </row>
    <row r="34796" spans="104:111">
      <c r="CZ34796" s="256"/>
      <c r="DG34796" s="256"/>
    </row>
    <row r="34797" spans="104:111">
      <c r="CZ34797" s="256"/>
      <c r="DG34797" s="256"/>
    </row>
    <row r="34798" spans="104:111">
      <c r="CZ34798" s="256"/>
      <c r="DG34798" s="256"/>
    </row>
    <row r="34799" spans="104:111">
      <c r="CZ34799" s="256"/>
      <c r="DG34799" s="256"/>
    </row>
    <row r="34800" spans="104:111">
      <c r="CZ34800" s="256"/>
      <c r="DG34800" s="256"/>
    </row>
    <row r="34801" spans="104:111">
      <c r="CZ34801" s="256"/>
      <c r="DG34801" s="256"/>
    </row>
    <row r="34802" spans="104:111">
      <c r="CZ34802" s="256"/>
      <c r="DG34802" s="256"/>
    </row>
    <row r="34803" spans="104:111">
      <c r="CZ34803" s="256"/>
      <c r="DG34803" s="256"/>
    </row>
    <row r="34804" spans="104:111">
      <c r="CZ34804" s="256"/>
      <c r="DG34804" s="256"/>
    </row>
    <row r="34805" spans="104:111">
      <c r="CZ34805" s="256"/>
      <c r="DG34805" s="256"/>
    </row>
    <row r="34806" spans="104:111">
      <c r="CZ34806" s="256"/>
      <c r="DG34806" s="256"/>
    </row>
    <row r="34807" spans="104:111">
      <c r="CZ34807" s="256"/>
      <c r="DG34807" s="256"/>
    </row>
    <row r="34808" spans="104:111">
      <c r="CZ34808" s="256"/>
      <c r="DG34808" s="256"/>
    </row>
    <row r="34809" spans="104:111">
      <c r="CZ34809" s="256"/>
      <c r="DG34809" s="256"/>
    </row>
    <row r="34810" spans="104:111">
      <c r="CZ34810" s="256"/>
      <c r="DG34810" s="256"/>
    </row>
    <row r="34811" spans="104:111">
      <c r="CZ34811" s="256"/>
      <c r="DG34811" s="256"/>
    </row>
    <row r="34812" spans="104:111">
      <c r="CZ34812" s="256"/>
      <c r="DG34812" s="256"/>
    </row>
    <row r="34813" spans="104:111">
      <c r="CZ34813" s="256"/>
      <c r="DG34813" s="256"/>
    </row>
    <row r="34814" spans="104:111">
      <c r="CZ34814" s="256"/>
      <c r="DG34814" s="256"/>
    </row>
    <row r="34815" spans="104:111">
      <c r="CZ34815" s="256"/>
      <c r="DG34815" s="256"/>
    </row>
    <row r="34816" spans="104:111">
      <c r="CZ34816" s="256"/>
      <c r="DG34816" s="256"/>
    </row>
    <row r="34817" spans="104:111">
      <c r="CZ34817" s="256"/>
      <c r="DG34817" s="256"/>
    </row>
    <row r="34818" spans="104:111">
      <c r="CZ34818" s="256"/>
      <c r="DG34818" s="256"/>
    </row>
    <row r="34819" spans="104:111">
      <c r="CZ34819" s="256"/>
      <c r="DG34819" s="256"/>
    </row>
    <row r="34820" spans="104:111">
      <c r="CZ34820" s="256"/>
      <c r="DG34820" s="256"/>
    </row>
    <row r="34821" spans="104:111">
      <c r="CZ34821" s="256"/>
      <c r="DG34821" s="256"/>
    </row>
    <row r="34822" spans="104:111">
      <c r="CZ34822" s="256"/>
      <c r="DG34822" s="256"/>
    </row>
    <row r="34823" spans="104:111">
      <c r="CZ34823" s="256"/>
      <c r="DG34823" s="256"/>
    </row>
    <row r="34824" spans="104:111">
      <c r="CZ34824" s="256"/>
      <c r="DG34824" s="256"/>
    </row>
    <row r="34825" spans="104:111">
      <c r="CZ34825" s="256"/>
      <c r="DG34825" s="256"/>
    </row>
    <row r="34826" spans="104:111">
      <c r="CZ34826" s="256"/>
      <c r="DG34826" s="256"/>
    </row>
    <row r="34827" spans="104:111">
      <c r="CZ34827" s="256"/>
      <c r="DG34827" s="256"/>
    </row>
    <row r="34828" spans="104:111">
      <c r="CZ34828" s="256"/>
      <c r="DG34828" s="256"/>
    </row>
    <row r="34829" spans="104:111">
      <c r="CZ34829" s="256"/>
      <c r="DG34829" s="256"/>
    </row>
    <row r="34830" spans="104:111">
      <c r="CZ34830" s="256"/>
      <c r="DG34830" s="256"/>
    </row>
    <row r="34831" spans="104:111">
      <c r="CZ34831" s="256"/>
      <c r="DG34831" s="256"/>
    </row>
    <row r="34832" spans="104:111">
      <c r="CZ34832" s="256"/>
      <c r="DG34832" s="256"/>
    </row>
    <row r="34833" spans="104:111">
      <c r="CZ34833" s="256"/>
      <c r="DG34833" s="256"/>
    </row>
    <row r="34834" spans="104:111">
      <c r="CZ34834" s="256"/>
      <c r="DG34834" s="256"/>
    </row>
    <row r="34835" spans="104:111">
      <c r="CZ34835" s="256"/>
      <c r="DG34835" s="256"/>
    </row>
    <row r="34836" spans="104:111">
      <c r="CZ34836" s="256"/>
      <c r="DG34836" s="256"/>
    </row>
    <row r="34837" spans="104:111">
      <c r="CZ34837" s="256"/>
      <c r="DG34837" s="256"/>
    </row>
    <row r="34838" spans="104:111">
      <c r="CZ34838" s="256"/>
      <c r="DG34838" s="256"/>
    </row>
    <row r="34839" spans="104:111">
      <c r="CZ34839" s="256"/>
      <c r="DG34839" s="256"/>
    </row>
    <row r="34840" spans="104:111">
      <c r="CZ34840" s="256"/>
      <c r="DG34840" s="256"/>
    </row>
    <row r="34841" spans="104:111">
      <c r="CZ34841" s="256"/>
      <c r="DG34841" s="256"/>
    </row>
    <row r="34842" spans="104:111">
      <c r="CZ34842" s="256"/>
      <c r="DG34842" s="256"/>
    </row>
    <row r="34843" spans="104:111">
      <c r="CZ34843" s="256"/>
      <c r="DG34843" s="256"/>
    </row>
    <row r="34844" spans="104:111">
      <c r="CZ34844" s="256"/>
      <c r="DG34844" s="256"/>
    </row>
    <row r="34845" spans="104:111">
      <c r="CZ34845" s="256"/>
      <c r="DG34845" s="256"/>
    </row>
    <row r="34846" spans="104:111">
      <c r="CZ34846" s="256"/>
      <c r="DG34846" s="256"/>
    </row>
    <row r="34847" spans="104:111">
      <c r="CZ34847" s="256"/>
      <c r="DG34847" s="256"/>
    </row>
    <row r="34848" spans="104:111">
      <c r="CZ34848" s="256"/>
      <c r="DG34848" s="256"/>
    </row>
    <row r="34849" spans="104:111">
      <c r="CZ34849" s="256"/>
      <c r="DG34849" s="256"/>
    </row>
    <row r="34850" spans="104:111">
      <c r="CZ34850" s="256"/>
      <c r="DG34850" s="256"/>
    </row>
    <row r="34851" spans="104:111">
      <c r="CZ34851" s="256"/>
      <c r="DG34851" s="256"/>
    </row>
    <row r="34852" spans="104:111">
      <c r="CZ34852" s="256"/>
      <c r="DG34852" s="256"/>
    </row>
    <row r="34853" spans="104:111">
      <c r="CZ34853" s="256"/>
      <c r="DG34853" s="256"/>
    </row>
    <row r="34854" spans="104:111">
      <c r="CZ34854" s="256"/>
      <c r="DG34854" s="256"/>
    </row>
    <row r="34855" spans="104:111">
      <c r="CZ34855" s="256"/>
      <c r="DG34855" s="256"/>
    </row>
    <row r="34856" spans="104:111">
      <c r="CZ34856" s="256"/>
      <c r="DG34856" s="256"/>
    </row>
    <row r="34857" spans="104:111">
      <c r="CZ34857" s="256"/>
      <c r="DG34857" s="256"/>
    </row>
    <row r="34858" spans="104:111">
      <c r="CZ34858" s="256"/>
      <c r="DG34858" s="256"/>
    </row>
    <row r="34859" spans="104:111">
      <c r="CZ34859" s="256"/>
      <c r="DG34859" s="256"/>
    </row>
    <row r="34860" spans="104:111">
      <c r="CZ34860" s="256"/>
      <c r="DG34860" s="256"/>
    </row>
    <row r="34861" spans="104:111">
      <c r="CZ34861" s="256"/>
      <c r="DG34861" s="256"/>
    </row>
    <row r="34862" spans="104:111">
      <c r="CZ34862" s="256"/>
      <c r="DG34862" s="256"/>
    </row>
    <row r="34863" spans="104:111">
      <c r="CZ34863" s="256"/>
      <c r="DG34863" s="256"/>
    </row>
    <row r="34864" spans="104:111">
      <c r="CZ34864" s="256"/>
      <c r="DG34864" s="256"/>
    </row>
    <row r="34865" spans="104:111">
      <c r="CZ34865" s="256"/>
      <c r="DG34865" s="256"/>
    </row>
    <row r="34866" spans="104:111">
      <c r="CZ34866" s="256"/>
      <c r="DG34866" s="256"/>
    </row>
    <row r="34867" spans="104:111">
      <c r="CZ34867" s="256"/>
      <c r="DG34867" s="256"/>
    </row>
    <row r="34868" spans="104:111">
      <c r="CZ34868" s="256"/>
      <c r="DG34868" s="256"/>
    </row>
    <row r="34869" spans="104:111">
      <c r="CZ34869" s="256"/>
      <c r="DG34869" s="256"/>
    </row>
    <row r="34870" spans="104:111">
      <c r="CZ34870" s="256"/>
      <c r="DG34870" s="256"/>
    </row>
    <row r="34871" spans="104:111">
      <c r="CZ34871" s="256"/>
      <c r="DG34871" s="256"/>
    </row>
    <row r="34872" spans="104:111">
      <c r="CZ34872" s="256"/>
      <c r="DG34872" s="256"/>
    </row>
    <row r="34873" spans="104:111">
      <c r="CZ34873" s="256"/>
      <c r="DG34873" s="256"/>
    </row>
    <row r="34874" spans="104:111">
      <c r="CZ34874" s="256"/>
      <c r="DG34874" s="256"/>
    </row>
    <row r="34875" spans="104:111">
      <c r="CZ34875" s="256"/>
      <c r="DG34875" s="256"/>
    </row>
    <row r="34876" spans="104:111">
      <c r="CZ34876" s="256"/>
      <c r="DG34876" s="256"/>
    </row>
    <row r="34877" spans="104:111">
      <c r="CZ34877" s="256"/>
      <c r="DG34877" s="256"/>
    </row>
    <row r="34878" spans="104:111">
      <c r="CZ34878" s="256"/>
      <c r="DG34878" s="256"/>
    </row>
    <row r="34879" spans="104:111">
      <c r="CZ34879" s="256"/>
      <c r="DG34879" s="256"/>
    </row>
    <row r="34880" spans="104:111">
      <c r="CZ34880" s="256"/>
      <c r="DG34880" s="256"/>
    </row>
    <row r="34881" spans="104:111">
      <c r="CZ34881" s="256"/>
      <c r="DG34881" s="256"/>
    </row>
    <row r="34882" spans="104:111">
      <c r="CZ34882" s="256"/>
      <c r="DG34882" s="256"/>
    </row>
    <row r="34883" spans="104:111">
      <c r="CZ34883" s="256"/>
      <c r="DG34883" s="256"/>
    </row>
    <row r="34884" spans="104:111">
      <c r="CZ34884" s="256"/>
      <c r="DG34884" s="256"/>
    </row>
    <row r="34885" spans="104:111">
      <c r="CZ34885" s="256"/>
      <c r="DG34885" s="256"/>
    </row>
    <row r="34886" spans="104:111">
      <c r="CZ34886" s="256"/>
      <c r="DG34886" s="256"/>
    </row>
    <row r="34887" spans="104:111">
      <c r="CZ34887" s="256"/>
      <c r="DG34887" s="256"/>
    </row>
    <row r="34888" spans="104:111">
      <c r="CZ34888" s="256"/>
      <c r="DG34888" s="256"/>
    </row>
    <row r="34889" spans="104:111">
      <c r="CZ34889" s="256"/>
      <c r="DG34889" s="256"/>
    </row>
    <row r="34890" spans="104:111">
      <c r="CZ34890" s="256"/>
      <c r="DG34890" s="256"/>
    </row>
    <row r="34891" spans="104:111">
      <c r="CZ34891" s="256"/>
      <c r="DG34891" s="256"/>
    </row>
    <row r="34892" spans="104:111">
      <c r="CZ34892" s="256"/>
      <c r="DG34892" s="256"/>
    </row>
    <row r="34893" spans="104:111">
      <c r="CZ34893" s="256"/>
      <c r="DG34893" s="256"/>
    </row>
    <row r="34894" spans="104:111">
      <c r="CZ34894" s="256"/>
      <c r="DG34894" s="256"/>
    </row>
    <row r="34895" spans="104:111">
      <c r="CZ34895" s="256"/>
      <c r="DG34895" s="256"/>
    </row>
    <row r="34896" spans="104:111">
      <c r="CZ34896" s="256"/>
      <c r="DG34896" s="256"/>
    </row>
    <row r="34897" spans="104:111">
      <c r="CZ34897" s="256"/>
      <c r="DG34897" s="256"/>
    </row>
    <row r="34898" spans="104:111">
      <c r="CZ34898" s="256"/>
      <c r="DG34898" s="256"/>
    </row>
    <row r="34899" spans="104:111">
      <c r="CZ34899" s="256"/>
      <c r="DG34899" s="256"/>
    </row>
    <row r="34900" spans="104:111">
      <c r="CZ34900" s="256"/>
      <c r="DG34900" s="256"/>
    </row>
    <row r="34901" spans="104:111">
      <c r="CZ34901" s="256"/>
      <c r="DG34901" s="256"/>
    </row>
    <row r="34902" spans="104:111">
      <c r="CZ34902" s="256"/>
      <c r="DG34902" s="256"/>
    </row>
    <row r="34903" spans="104:111">
      <c r="CZ34903" s="256"/>
      <c r="DG34903" s="256"/>
    </row>
    <row r="34904" spans="104:111">
      <c r="CZ34904" s="256"/>
      <c r="DG34904" s="256"/>
    </row>
    <row r="34905" spans="104:111">
      <c r="CZ34905" s="256"/>
      <c r="DG34905" s="256"/>
    </row>
    <row r="34906" spans="104:111">
      <c r="CZ34906" s="256"/>
      <c r="DG34906" s="256"/>
    </row>
    <row r="34907" spans="104:111">
      <c r="CZ34907" s="256"/>
      <c r="DG34907" s="256"/>
    </row>
    <row r="34908" spans="104:111">
      <c r="CZ34908" s="256"/>
      <c r="DG34908" s="256"/>
    </row>
    <row r="34909" spans="104:111">
      <c r="CZ34909" s="256"/>
      <c r="DG34909" s="256"/>
    </row>
    <row r="34910" spans="104:111">
      <c r="CZ34910" s="256"/>
      <c r="DG34910" s="256"/>
    </row>
    <row r="34911" spans="104:111">
      <c r="CZ34911" s="256"/>
      <c r="DG34911" s="256"/>
    </row>
    <row r="34912" spans="104:111">
      <c r="CZ34912" s="256"/>
      <c r="DG34912" s="256"/>
    </row>
    <row r="34913" spans="104:111">
      <c r="CZ34913" s="256"/>
      <c r="DG34913" s="256"/>
    </row>
    <row r="34914" spans="104:111">
      <c r="CZ34914" s="256"/>
      <c r="DG34914" s="256"/>
    </row>
    <row r="34915" spans="104:111">
      <c r="CZ34915" s="256"/>
      <c r="DG34915" s="256"/>
    </row>
    <row r="34916" spans="104:111">
      <c r="CZ34916" s="256"/>
      <c r="DG34916" s="256"/>
    </row>
    <row r="34917" spans="104:111">
      <c r="CZ34917" s="256"/>
      <c r="DG34917" s="256"/>
    </row>
    <row r="34918" spans="104:111">
      <c r="CZ34918" s="256"/>
      <c r="DG34918" s="256"/>
    </row>
    <row r="34919" spans="104:111">
      <c r="CZ34919" s="256"/>
      <c r="DG34919" s="256"/>
    </row>
    <row r="34920" spans="104:111">
      <c r="CZ34920" s="256"/>
      <c r="DG34920" s="256"/>
    </row>
    <row r="34921" spans="104:111">
      <c r="CZ34921" s="256"/>
      <c r="DG34921" s="256"/>
    </row>
    <row r="34922" spans="104:111">
      <c r="CZ34922" s="256"/>
      <c r="DG34922" s="256"/>
    </row>
    <row r="34923" spans="104:111">
      <c r="CZ34923" s="256"/>
      <c r="DG34923" s="256"/>
    </row>
    <row r="34924" spans="104:111">
      <c r="CZ34924" s="256"/>
      <c r="DG34924" s="256"/>
    </row>
    <row r="34925" spans="104:111">
      <c r="CZ34925" s="256"/>
      <c r="DG34925" s="256"/>
    </row>
    <row r="34926" spans="104:111">
      <c r="CZ34926" s="256"/>
      <c r="DG34926" s="256"/>
    </row>
    <row r="34927" spans="104:111">
      <c r="CZ34927" s="256"/>
      <c r="DG34927" s="256"/>
    </row>
    <row r="34928" spans="104:111">
      <c r="CZ34928" s="256"/>
      <c r="DG34928" s="256"/>
    </row>
    <row r="34929" spans="104:111">
      <c r="CZ34929" s="256"/>
      <c r="DG34929" s="256"/>
    </row>
    <row r="34930" spans="104:111">
      <c r="CZ34930" s="256"/>
      <c r="DG34930" s="256"/>
    </row>
    <row r="34931" spans="104:111">
      <c r="CZ34931" s="256"/>
      <c r="DG34931" s="256"/>
    </row>
    <row r="34932" spans="104:111">
      <c r="CZ34932" s="256"/>
      <c r="DG34932" s="256"/>
    </row>
    <row r="34933" spans="104:111">
      <c r="CZ34933" s="256"/>
      <c r="DG34933" s="256"/>
    </row>
    <row r="34934" spans="104:111">
      <c r="CZ34934" s="256"/>
      <c r="DG34934" s="256"/>
    </row>
    <row r="34935" spans="104:111">
      <c r="CZ34935" s="256"/>
      <c r="DG34935" s="256"/>
    </row>
    <row r="34936" spans="104:111">
      <c r="CZ34936" s="256"/>
      <c r="DG34936" s="256"/>
    </row>
    <row r="34937" spans="104:111">
      <c r="CZ34937" s="256"/>
      <c r="DG34937" s="256"/>
    </row>
    <row r="34938" spans="104:111">
      <c r="CZ34938" s="256"/>
      <c r="DG34938" s="256"/>
    </row>
    <row r="34939" spans="104:111">
      <c r="CZ34939" s="256"/>
      <c r="DG34939" s="256"/>
    </row>
    <row r="34940" spans="104:111">
      <c r="CZ34940" s="256"/>
      <c r="DG34940" s="256"/>
    </row>
    <row r="34941" spans="104:111">
      <c r="CZ34941" s="256"/>
      <c r="DG34941" s="256"/>
    </row>
    <row r="34942" spans="104:111">
      <c r="CZ34942" s="256"/>
      <c r="DG34942" s="256"/>
    </row>
    <row r="34943" spans="104:111">
      <c r="CZ34943" s="256"/>
      <c r="DG34943" s="256"/>
    </row>
    <row r="34944" spans="104:111">
      <c r="CZ34944" s="256"/>
      <c r="DG34944" s="256"/>
    </row>
    <row r="34945" spans="104:111">
      <c r="CZ34945" s="256"/>
      <c r="DG34945" s="256"/>
    </row>
    <row r="34946" spans="104:111">
      <c r="CZ34946" s="256"/>
      <c r="DG34946" s="256"/>
    </row>
    <row r="34947" spans="104:111">
      <c r="CZ34947" s="256"/>
      <c r="DG34947" s="256"/>
    </row>
    <row r="34948" spans="104:111">
      <c r="CZ34948" s="256"/>
      <c r="DG34948" s="256"/>
    </row>
    <row r="34949" spans="104:111">
      <c r="CZ34949" s="256"/>
      <c r="DG34949" s="256"/>
    </row>
    <row r="34950" spans="104:111">
      <c r="CZ34950" s="256"/>
      <c r="DG34950" s="256"/>
    </row>
    <row r="34951" spans="104:111">
      <c r="CZ34951" s="256"/>
      <c r="DG34951" s="256"/>
    </row>
    <row r="34952" spans="104:111">
      <c r="CZ34952" s="256"/>
      <c r="DG34952" s="256"/>
    </row>
    <row r="34953" spans="104:111">
      <c r="CZ34953" s="256"/>
      <c r="DG34953" s="256"/>
    </row>
    <row r="34954" spans="104:111">
      <c r="CZ34954" s="256"/>
      <c r="DG34954" s="256"/>
    </row>
    <row r="34955" spans="104:111">
      <c r="CZ34955" s="256"/>
      <c r="DG34955" s="256"/>
    </row>
    <row r="34956" spans="104:111">
      <c r="CZ34956" s="256"/>
      <c r="DG34956" s="256"/>
    </row>
    <row r="34957" spans="104:111">
      <c r="CZ34957" s="256"/>
      <c r="DG34957" s="256"/>
    </row>
    <row r="34958" spans="104:111">
      <c r="CZ34958" s="256"/>
      <c r="DG34958" s="256"/>
    </row>
    <row r="34959" spans="104:111">
      <c r="CZ34959" s="256"/>
      <c r="DG34959" s="256"/>
    </row>
    <row r="34960" spans="104:111">
      <c r="CZ34960" s="256"/>
      <c r="DG34960" s="256"/>
    </row>
    <row r="34961" spans="104:111">
      <c r="CZ34961" s="256"/>
      <c r="DG34961" s="256"/>
    </row>
    <row r="34962" spans="104:111">
      <c r="CZ34962" s="256"/>
      <c r="DG34962" s="256"/>
    </row>
    <row r="34963" spans="104:111">
      <c r="CZ34963" s="256"/>
      <c r="DG34963" s="256"/>
    </row>
    <row r="34964" spans="104:111">
      <c r="CZ34964" s="256"/>
      <c r="DG34964" s="256"/>
    </row>
    <row r="34965" spans="104:111">
      <c r="CZ34965" s="256"/>
      <c r="DG34965" s="256"/>
    </row>
    <row r="34966" spans="104:111">
      <c r="CZ34966" s="256"/>
      <c r="DG34966" s="256"/>
    </row>
    <row r="34967" spans="104:111">
      <c r="CZ34967" s="256"/>
      <c r="DG34967" s="256"/>
    </row>
    <row r="34968" spans="104:111">
      <c r="CZ34968" s="256"/>
      <c r="DG34968" s="256"/>
    </row>
    <row r="34969" spans="104:111">
      <c r="CZ34969" s="256"/>
      <c r="DG34969" s="256"/>
    </row>
    <row r="34970" spans="104:111">
      <c r="CZ34970" s="256"/>
      <c r="DG34970" s="256"/>
    </row>
    <row r="34971" spans="104:111">
      <c r="CZ34971" s="256"/>
      <c r="DG34971" s="256"/>
    </row>
    <row r="34972" spans="104:111">
      <c r="CZ34972" s="256"/>
      <c r="DG34972" s="256"/>
    </row>
    <row r="34973" spans="104:111">
      <c r="CZ34973" s="256"/>
      <c r="DG34973" s="256"/>
    </row>
    <row r="34974" spans="104:111">
      <c r="CZ34974" s="256"/>
      <c r="DG34974" s="256"/>
    </row>
    <row r="34975" spans="104:111">
      <c r="CZ34975" s="256"/>
      <c r="DG34975" s="256"/>
    </row>
    <row r="34976" spans="104:111">
      <c r="CZ34976" s="256"/>
      <c r="DG34976" s="256"/>
    </row>
    <row r="34977" spans="104:111">
      <c r="CZ34977" s="256"/>
      <c r="DG34977" s="256"/>
    </row>
    <row r="34978" spans="104:111">
      <c r="CZ34978" s="256"/>
      <c r="DG34978" s="256"/>
    </row>
    <row r="34979" spans="104:111">
      <c r="CZ34979" s="256"/>
      <c r="DG34979" s="256"/>
    </row>
    <row r="34980" spans="104:111">
      <c r="CZ34980" s="256"/>
      <c r="DG34980" s="256"/>
    </row>
    <row r="34981" spans="104:111">
      <c r="CZ34981" s="256"/>
      <c r="DG34981" s="256"/>
    </row>
    <row r="34982" spans="104:111">
      <c r="CZ34982" s="256"/>
      <c r="DG34982" s="256"/>
    </row>
    <row r="34983" spans="104:111">
      <c r="CZ34983" s="256"/>
      <c r="DG34983" s="256"/>
    </row>
    <row r="34984" spans="104:111">
      <c r="CZ34984" s="256"/>
      <c r="DG34984" s="256"/>
    </row>
    <row r="34985" spans="104:111">
      <c r="CZ34985" s="256"/>
      <c r="DG34985" s="256"/>
    </row>
    <row r="34986" spans="104:111">
      <c r="CZ34986" s="256"/>
      <c r="DG34986" s="256"/>
    </row>
    <row r="34987" spans="104:111">
      <c r="CZ34987" s="256"/>
      <c r="DG34987" s="256"/>
    </row>
    <row r="34988" spans="104:111">
      <c r="CZ34988" s="256"/>
      <c r="DG34988" s="256"/>
    </row>
    <row r="34989" spans="104:111">
      <c r="CZ34989" s="256"/>
      <c r="DG34989" s="256"/>
    </row>
    <row r="34990" spans="104:111">
      <c r="CZ34990" s="256"/>
      <c r="DG34990" s="256"/>
    </row>
    <row r="34991" spans="104:111">
      <c r="CZ34991" s="256"/>
      <c r="DG34991" s="256"/>
    </row>
    <row r="34992" spans="104:111">
      <c r="CZ34992" s="256"/>
      <c r="DG34992" s="256"/>
    </row>
    <row r="34993" spans="104:111">
      <c r="CZ34993" s="256"/>
      <c r="DG34993" s="256"/>
    </row>
    <row r="34994" spans="104:111">
      <c r="CZ34994" s="256"/>
      <c r="DG34994" s="256"/>
    </row>
    <row r="34995" spans="104:111">
      <c r="CZ34995" s="256"/>
      <c r="DG34995" s="256"/>
    </row>
    <row r="34996" spans="104:111">
      <c r="CZ34996" s="256"/>
      <c r="DG34996" s="256"/>
    </row>
    <row r="34997" spans="104:111">
      <c r="CZ34997" s="256"/>
      <c r="DG34997" s="256"/>
    </row>
    <row r="34998" spans="104:111">
      <c r="CZ34998" s="256"/>
      <c r="DG34998" s="256"/>
    </row>
    <row r="34999" spans="104:111">
      <c r="CZ34999" s="256"/>
      <c r="DG34999" s="256"/>
    </row>
    <row r="35000" spans="104:111">
      <c r="CZ35000" s="256"/>
      <c r="DG35000" s="256"/>
    </row>
    <row r="35001" spans="104:111">
      <c r="CZ35001" s="256"/>
      <c r="DG35001" s="256"/>
    </row>
    <row r="35002" spans="104:111">
      <c r="CZ35002" s="256"/>
      <c r="DG35002" s="256"/>
    </row>
    <row r="35003" spans="104:111">
      <c r="CZ35003" s="256"/>
      <c r="DG35003" s="256"/>
    </row>
    <row r="35004" spans="104:111">
      <c r="CZ35004" s="256"/>
      <c r="DG35004" s="256"/>
    </row>
    <row r="35005" spans="104:111">
      <c r="CZ35005" s="256"/>
      <c r="DG35005" s="256"/>
    </row>
    <row r="35006" spans="104:111">
      <c r="CZ35006" s="256"/>
      <c r="DG35006" s="256"/>
    </row>
    <row r="35007" spans="104:111">
      <c r="CZ35007" s="256"/>
      <c r="DG35007" s="256"/>
    </row>
    <row r="35008" spans="104:111">
      <c r="CZ35008" s="256"/>
      <c r="DG35008" s="256"/>
    </row>
    <row r="35009" spans="104:111">
      <c r="CZ35009" s="256"/>
      <c r="DG35009" s="256"/>
    </row>
    <row r="35010" spans="104:111">
      <c r="CZ35010" s="256"/>
      <c r="DG35010" s="256"/>
    </row>
    <row r="35011" spans="104:111">
      <c r="CZ35011" s="256"/>
      <c r="DG35011" s="256"/>
    </row>
    <row r="35012" spans="104:111">
      <c r="CZ35012" s="256"/>
      <c r="DG35012" s="256"/>
    </row>
    <row r="35013" spans="104:111">
      <c r="CZ35013" s="256"/>
      <c r="DG35013" s="256"/>
    </row>
    <row r="35014" spans="104:111">
      <c r="CZ35014" s="256"/>
      <c r="DG35014" s="256"/>
    </row>
    <row r="35015" spans="104:111">
      <c r="CZ35015" s="256"/>
      <c r="DG35015" s="256"/>
    </row>
    <row r="35016" spans="104:111">
      <c r="CZ35016" s="256"/>
      <c r="DG35016" s="256"/>
    </row>
    <row r="35017" spans="104:111">
      <c r="CZ35017" s="256"/>
      <c r="DG35017" s="256"/>
    </row>
    <row r="35018" spans="104:111">
      <c r="CZ35018" s="256"/>
      <c r="DG35018" s="256"/>
    </row>
    <row r="35019" spans="104:111">
      <c r="CZ35019" s="256"/>
      <c r="DG35019" s="256"/>
    </row>
    <row r="35020" spans="104:111">
      <c r="CZ35020" s="256"/>
      <c r="DG35020" s="256"/>
    </row>
    <row r="35021" spans="104:111">
      <c r="CZ35021" s="256"/>
      <c r="DG35021" s="256"/>
    </row>
    <row r="35022" spans="104:111">
      <c r="CZ35022" s="256"/>
      <c r="DG35022" s="256"/>
    </row>
    <row r="35023" spans="104:111">
      <c r="CZ35023" s="256"/>
      <c r="DG35023" s="256"/>
    </row>
    <row r="35024" spans="104:111">
      <c r="CZ35024" s="256"/>
      <c r="DG35024" s="256"/>
    </row>
    <row r="35025" spans="104:111">
      <c r="CZ35025" s="256"/>
      <c r="DG35025" s="256"/>
    </row>
    <row r="35026" spans="104:111">
      <c r="CZ35026" s="256"/>
      <c r="DG35026" s="256"/>
    </row>
    <row r="35027" spans="104:111">
      <c r="CZ35027" s="256"/>
      <c r="DG35027" s="256"/>
    </row>
    <row r="35028" spans="104:111">
      <c r="CZ35028" s="256"/>
      <c r="DG35028" s="256"/>
    </row>
    <row r="35029" spans="104:111">
      <c r="CZ35029" s="256"/>
      <c r="DG35029" s="256"/>
    </row>
    <row r="35030" spans="104:111">
      <c r="CZ35030" s="256"/>
      <c r="DG35030" s="256"/>
    </row>
    <row r="35031" spans="104:111">
      <c r="CZ35031" s="256"/>
      <c r="DG35031" s="256"/>
    </row>
    <row r="35032" spans="104:111">
      <c r="CZ35032" s="256"/>
      <c r="DG35032" s="256"/>
    </row>
    <row r="35033" spans="104:111">
      <c r="CZ35033" s="256"/>
      <c r="DG35033" s="256"/>
    </row>
    <row r="35034" spans="104:111">
      <c r="CZ35034" s="256"/>
      <c r="DG35034" s="256"/>
    </row>
    <row r="35035" spans="104:111">
      <c r="CZ35035" s="256"/>
      <c r="DG35035" s="256"/>
    </row>
    <row r="35036" spans="104:111">
      <c r="CZ35036" s="256"/>
      <c r="DG35036" s="256"/>
    </row>
    <row r="35037" spans="104:111">
      <c r="CZ35037" s="256"/>
      <c r="DG35037" s="256"/>
    </row>
    <row r="35038" spans="104:111">
      <c r="CZ35038" s="256"/>
      <c r="DG35038" s="256"/>
    </row>
    <row r="35039" spans="104:111">
      <c r="CZ35039" s="256"/>
      <c r="DG35039" s="256"/>
    </row>
    <row r="35040" spans="104:111">
      <c r="CZ35040" s="256"/>
      <c r="DG35040" s="256"/>
    </row>
    <row r="35041" spans="104:111">
      <c r="CZ35041" s="256"/>
      <c r="DG35041" s="256"/>
    </row>
    <row r="35042" spans="104:111">
      <c r="CZ35042" s="256"/>
      <c r="DG35042" s="256"/>
    </row>
    <row r="35043" spans="104:111">
      <c r="CZ35043" s="256"/>
      <c r="DG35043" s="256"/>
    </row>
    <row r="35044" spans="104:111">
      <c r="CZ35044" s="256"/>
      <c r="DG35044" s="256"/>
    </row>
    <row r="35045" spans="104:111">
      <c r="CZ35045" s="256"/>
      <c r="DG35045" s="256"/>
    </row>
    <row r="35046" spans="104:111">
      <c r="CZ35046" s="256"/>
      <c r="DG35046" s="256"/>
    </row>
    <row r="35047" spans="104:111">
      <c r="CZ35047" s="256"/>
      <c r="DG35047" s="256"/>
    </row>
    <row r="35048" spans="104:111">
      <c r="CZ35048" s="256"/>
      <c r="DG35048" s="256"/>
    </row>
    <row r="35049" spans="104:111">
      <c r="CZ35049" s="256"/>
      <c r="DG35049" s="256"/>
    </row>
    <row r="35050" spans="104:111">
      <c r="CZ35050" s="256"/>
      <c r="DG35050" s="256"/>
    </row>
    <row r="35051" spans="104:111">
      <c r="CZ35051" s="256"/>
      <c r="DG35051" s="256"/>
    </row>
    <row r="35052" spans="104:111">
      <c r="CZ35052" s="256"/>
      <c r="DG35052" s="256"/>
    </row>
    <row r="35053" spans="104:111">
      <c r="CZ35053" s="256"/>
      <c r="DG35053" s="256"/>
    </row>
    <row r="35054" spans="104:111">
      <c r="CZ35054" s="256"/>
      <c r="DG35054" s="256"/>
    </row>
    <row r="35055" spans="104:111">
      <c r="CZ35055" s="256"/>
      <c r="DG35055" s="256"/>
    </row>
    <row r="35056" spans="104:111">
      <c r="CZ35056" s="256"/>
      <c r="DG35056" s="256"/>
    </row>
    <row r="35057" spans="104:111">
      <c r="CZ35057" s="256"/>
      <c r="DG35057" s="256"/>
    </row>
    <row r="35058" spans="104:111">
      <c r="CZ35058" s="256"/>
      <c r="DG35058" s="256"/>
    </row>
    <row r="35059" spans="104:111">
      <c r="CZ35059" s="256"/>
      <c r="DG35059" s="256"/>
    </row>
    <row r="35060" spans="104:111">
      <c r="CZ35060" s="256"/>
      <c r="DG35060" s="256"/>
    </row>
    <row r="35061" spans="104:111">
      <c r="CZ35061" s="256"/>
      <c r="DG35061" s="256"/>
    </row>
    <row r="35062" spans="104:111">
      <c r="CZ35062" s="256"/>
      <c r="DG35062" s="256"/>
    </row>
    <row r="35063" spans="104:111">
      <c r="CZ35063" s="256"/>
      <c r="DG35063" s="256"/>
    </row>
    <row r="35064" spans="104:111">
      <c r="CZ35064" s="256"/>
      <c r="DG35064" s="256"/>
    </row>
    <row r="35065" spans="104:111">
      <c r="CZ35065" s="256"/>
      <c r="DG35065" s="256"/>
    </row>
    <row r="35066" spans="104:111">
      <c r="CZ35066" s="256"/>
      <c r="DG35066" s="256"/>
    </row>
    <row r="35067" spans="104:111">
      <c r="CZ35067" s="256"/>
      <c r="DG35067" s="256"/>
    </row>
    <row r="35068" spans="104:111">
      <c r="CZ35068" s="256"/>
      <c r="DG35068" s="256"/>
    </row>
    <row r="35069" spans="104:111">
      <c r="CZ35069" s="256"/>
      <c r="DG35069" s="256"/>
    </row>
    <row r="35070" spans="104:111">
      <c r="CZ35070" s="256"/>
      <c r="DG35070" s="256"/>
    </row>
    <row r="35071" spans="104:111">
      <c r="CZ35071" s="256"/>
      <c r="DG35071" s="256"/>
    </row>
    <row r="35072" spans="104:111">
      <c r="CZ35072" s="256"/>
      <c r="DG35072" s="256"/>
    </row>
    <row r="35073" spans="104:111">
      <c r="CZ35073" s="256"/>
      <c r="DG35073" s="256"/>
    </row>
    <row r="35074" spans="104:111">
      <c r="CZ35074" s="256"/>
      <c r="DG35074" s="256"/>
    </row>
    <row r="35075" spans="104:111">
      <c r="CZ35075" s="256"/>
      <c r="DG35075" s="256"/>
    </row>
    <row r="35076" spans="104:111">
      <c r="CZ35076" s="256"/>
      <c r="DG35076" s="256"/>
    </row>
    <row r="35077" spans="104:111">
      <c r="CZ35077" s="256"/>
      <c r="DG35077" s="256"/>
    </row>
    <row r="35078" spans="104:111">
      <c r="CZ35078" s="256"/>
      <c r="DG35078" s="256"/>
    </row>
    <row r="35079" spans="104:111">
      <c r="CZ35079" s="256"/>
      <c r="DG35079" s="256"/>
    </row>
    <row r="35080" spans="104:111">
      <c r="CZ35080" s="256"/>
      <c r="DG35080" s="256"/>
    </row>
    <row r="35081" spans="104:111">
      <c r="CZ35081" s="256"/>
      <c r="DG35081" s="256"/>
    </row>
    <row r="35082" spans="104:111">
      <c r="CZ35082" s="256"/>
      <c r="DG35082" s="256"/>
    </row>
    <row r="35083" spans="104:111">
      <c r="CZ35083" s="256"/>
      <c r="DG35083" s="256"/>
    </row>
    <row r="35084" spans="104:111">
      <c r="CZ35084" s="256"/>
      <c r="DG35084" s="256"/>
    </row>
    <row r="35085" spans="104:111">
      <c r="CZ35085" s="256"/>
      <c r="DG35085" s="256"/>
    </row>
    <row r="35086" spans="104:111">
      <c r="CZ35086" s="256"/>
      <c r="DG35086" s="256"/>
    </row>
    <row r="35087" spans="104:111">
      <c r="CZ35087" s="256"/>
      <c r="DG35087" s="256"/>
    </row>
    <row r="35088" spans="104:111">
      <c r="CZ35088" s="256"/>
      <c r="DG35088" s="256"/>
    </row>
    <row r="35089" spans="104:111">
      <c r="CZ35089" s="256"/>
      <c r="DG35089" s="256"/>
    </row>
    <row r="35090" spans="104:111">
      <c r="CZ35090" s="256"/>
      <c r="DG35090" s="256"/>
    </row>
    <row r="35091" spans="104:111">
      <c r="CZ35091" s="256"/>
      <c r="DG35091" s="256"/>
    </row>
    <row r="35092" spans="104:111">
      <c r="CZ35092" s="256"/>
      <c r="DG35092" s="256"/>
    </row>
    <row r="35093" spans="104:111">
      <c r="CZ35093" s="256"/>
      <c r="DG35093" s="256"/>
    </row>
    <row r="35094" spans="104:111">
      <c r="CZ35094" s="256"/>
      <c r="DG35094" s="256"/>
    </row>
    <row r="35095" spans="104:111">
      <c r="CZ35095" s="256"/>
      <c r="DG35095" s="256"/>
    </row>
    <row r="35096" spans="104:111">
      <c r="CZ35096" s="256"/>
      <c r="DG35096" s="256"/>
    </row>
    <row r="35097" spans="104:111">
      <c r="CZ35097" s="256"/>
      <c r="DG35097" s="256"/>
    </row>
    <row r="35098" spans="104:111">
      <c r="CZ35098" s="256"/>
      <c r="DG35098" s="256"/>
    </row>
    <row r="35099" spans="104:111">
      <c r="CZ35099" s="256"/>
      <c r="DG35099" s="256"/>
    </row>
    <row r="35100" spans="104:111">
      <c r="CZ35100" s="256"/>
      <c r="DG35100" s="256"/>
    </row>
    <row r="35101" spans="104:111">
      <c r="CZ35101" s="256"/>
      <c r="DG35101" s="256"/>
    </row>
    <row r="35102" spans="104:111">
      <c r="CZ35102" s="256"/>
      <c r="DG35102" s="256"/>
    </row>
    <row r="35103" spans="104:111">
      <c r="CZ35103" s="256"/>
      <c r="DG35103" s="256"/>
    </row>
    <row r="35104" spans="104:111">
      <c r="CZ35104" s="256"/>
      <c r="DG35104" s="256"/>
    </row>
    <row r="35105" spans="104:111">
      <c r="CZ35105" s="256"/>
      <c r="DG35105" s="256"/>
    </row>
    <row r="35106" spans="104:111">
      <c r="CZ35106" s="256"/>
      <c r="DG35106" s="256"/>
    </row>
    <row r="35107" spans="104:111">
      <c r="CZ35107" s="256"/>
      <c r="DG35107" s="256"/>
    </row>
    <row r="35108" spans="104:111">
      <c r="CZ35108" s="256"/>
      <c r="DG35108" s="256"/>
    </row>
    <row r="35109" spans="104:111">
      <c r="CZ35109" s="256"/>
      <c r="DG35109" s="256"/>
    </row>
    <row r="35110" spans="104:111">
      <c r="CZ35110" s="256"/>
      <c r="DG35110" s="256"/>
    </row>
    <row r="35111" spans="104:111">
      <c r="CZ35111" s="256"/>
      <c r="DG35111" s="256"/>
    </row>
    <row r="35112" spans="104:111">
      <c r="CZ35112" s="256"/>
      <c r="DG35112" s="256"/>
    </row>
    <row r="35113" spans="104:111">
      <c r="CZ35113" s="256"/>
      <c r="DG35113" s="256"/>
    </row>
    <row r="35114" spans="104:111">
      <c r="CZ35114" s="256"/>
      <c r="DG35114" s="256"/>
    </row>
    <row r="35115" spans="104:111">
      <c r="CZ35115" s="256"/>
      <c r="DG35115" s="256"/>
    </row>
    <row r="35116" spans="104:111">
      <c r="CZ35116" s="256"/>
      <c r="DG35116" s="256"/>
    </row>
    <row r="35117" spans="104:111">
      <c r="CZ35117" s="256"/>
      <c r="DG35117" s="256"/>
    </row>
    <row r="35118" spans="104:111">
      <c r="CZ35118" s="256"/>
      <c r="DG35118" s="256"/>
    </row>
    <row r="35119" spans="104:111">
      <c r="CZ35119" s="256"/>
      <c r="DG35119" s="256"/>
    </row>
    <row r="35120" spans="104:111">
      <c r="CZ35120" s="256"/>
      <c r="DG35120" s="256"/>
    </row>
    <row r="35121" spans="104:111">
      <c r="CZ35121" s="256"/>
      <c r="DG35121" s="256"/>
    </row>
    <row r="35122" spans="104:111">
      <c r="CZ35122" s="256"/>
      <c r="DG35122" s="256"/>
    </row>
    <row r="35123" spans="104:111">
      <c r="CZ35123" s="256"/>
      <c r="DG35123" s="256"/>
    </row>
    <row r="35124" spans="104:111">
      <c r="CZ35124" s="256"/>
      <c r="DG35124" s="256"/>
    </row>
    <row r="35125" spans="104:111">
      <c r="CZ35125" s="256"/>
      <c r="DG35125" s="256"/>
    </row>
    <row r="35126" spans="104:111">
      <c r="CZ35126" s="256"/>
      <c r="DG35126" s="256"/>
    </row>
    <row r="35127" spans="104:111">
      <c r="CZ35127" s="256"/>
      <c r="DG35127" s="256"/>
    </row>
    <row r="35128" spans="104:111">
      <c r="CZ35128" s="256"/>
      <c r="DG35128" s="256"/>
    </row>
    <row r="35129" spans="104:111">
      <c r="CZ35129" s="256"/>
      <c r="DG35129" s="256"/>
    </row>
    <row r="35130" spans="104:111">
      <c r="CZ35130" s="256"/>
      <c r="DG35130" s="256"/>
    </row>
    <row r="35131" spans="104:111">
      <c r="CZ35131" s="256"/>
      <c r="DG35131" s="256"/>
    </row>
    <row r="35132" spans="104:111">
      <c r="CZ35132" s="256"/>
      <c r="DG35132" s="256"/>
    </row>
    <row r="35133" spans="104:111">
      <c r="CZ35133" s="256"/>
      <c r="DG35133" s="256"/>
    </row>
    <row r="35134" spans="104:111">
      <c r="CZ35134" s="256"/>
      <c r="DG35134" s="256"/>
    </row>
    <row r="35135" spans="104:111">
      <c r="CZ35135" s="256"/>
      <c r="DG35135" s="256"/>
    </row>
    <row r="35136" spans="104:111">
      <c r="CZ35136" s="256"/>
      <c r="DG35136" s="256"/>
    </row>
    <row r="35137" spans="104:111">
      <c r="CZ35137" s="256"/>
      <c r="DG35137" s="256"/>
    </row>
    <row r="35138" spans="104:111">
      <c r="CZ35138" s="256"/>
      <c r="DG35138" s="256"/>
    </row>
    <row r="35139" spans="104:111">
      <c r="CZ35139" s="256"/>
      <c r="DG35139" s="256"/>
    </row>
    <row r="35140" spans="104:111">
      <c r="CZ35140" s="256"/>
      <c r="DG35140" s="256"/>
    </row>
    <row r="35141" spans="104:111">
      <c r="CZ35141" s="256"/>
      <c r="DG35141" s="256"/>
    </row>
    <row r="35142" spans="104:111">
      <c r="CZ35142" s="256"/>
      <c r="DG35142" s="256"/>
    </row>
    <row r="35143" spans="104:111">
      <c r="CZ35143" s="256"/>
      <c r="DG35143" s="256"/>
    </row>
    <row r="35144" spans="104:111">
      <c r="CZ35144" s="256"/>
      <c r="DG35144" s="256"/>
    </row>
    <row r="35145" spans="104:111">
      <c r="CZ35145" s="256"/>
      <c r="DG35145" s="256"/>
    </row>
    <row r="35146" spans="104:111">
      <c r="CZ35146" s="256"/>
      <c r="DG35146" s="256"/>
    </row>
    <row r="35147" spans="104:111">
      <c r="CZ35147" s="256"/>
      <c r="DG35147" s="256"/>
    </row>
    <row r="35148" spans="104:111">
      <c r="CZ35148" s="256"/>
      <c r="DG35148" s="256"/>
    </row>
    <row r="35149" spans="104:111">
      <c r="CZ35149" s="256"/>
      <c r="DG35149" s="256"/>
    </row>
    <row r="35150" spans="104:111">
      <c r="CZ35150" s="256"/>
      <c r="DG35150" s="256"/>
    </row>
    <row r="35151" spans="104:111">
      <c r="CZ35151" s="256"/>
      <c r="DG35151" s="256"/>
    </row>
    <row r="35152" spans="104:111">
      <c r="CZ35152" s="256"/>
      <c r="DG35152" s="256"/>
    </row>
    <row r="35153" spans="104:111">
      <c r="CZ35153" s="256"/>
      <c r="DG35153" s="256"/>
    </row>
    <row r="35154" spans="104:111">
      <c r="CZ35154" s="256"/>
      <c r="DG35154" s="256"/>
    </row>
    <row r="35155" spans="104:111">
      <c r="CZ35155" s="256"/>
      <c r="DG35155" s="256"/>
    </row>
    <row r="35156" spans="104:111">
      <c r="CZ35156" s="256"/>
      <c r="DG35156" s="256"/>
    </row>
    <row r="35157" spans="104:111">
      <c r="CZ35157" s="256"/>
      <c r="DG35157" s="256"/>
    </row>
    <row r="35158" spans="104:111">
      <c r="CZ35158" s="256"/>
      <c r="DG35158" s="256"/>
    </row>
    <row r="35159" spans="104:111">
      <c r="CZ35159" s="256"/>
      <c r="DG35159" s="256"/>
    </row>
    <row r="35160" spans="104:111">
      <c r="CZ35160" s="256"/>
      <c r="DG35160" s="256"/>
    </row>
    <row r="35161" spans="104:111">
      <c r="CZ35161" s="256"/>
      <c r="DG35161" s="256"/>
    </row>
    <row r="35162" spans="104:111">
      <c r="CZ35162" s="256"/>
      <c r="DG35162" s="256"/>
    </row>
    <row r="35163" spans="104:111">
      <c r="CZ35163" s="256"/>
      <c r="DG35163" s="256"/>
    </row>
    <row r="35164" spans="104:111">
      <c r="CZ35164" s="256"/>
      <c r="DG35164" s="256"/>
    </row>
    <row r="35165" spans="104:111">
      <c r="CZ35165" s="256"/>
      <c r="DG35165" s="256"/>
    </row>
    <row r="35166" spans="104:111">
      <c r="CZ35166" s="256"/>
      <c r="DG35166" s="256"/>
    </row>
    <row r="35167" spans="104:111">
      <c r="CZ35167" s="256"/>
      <c r="DG35167" s="256"/>
    </row>
    <row r="35168" spans="104:111">
      <c r="CZ35168" s="256"/>
      <c r="DG35168" s="256"/>
    </row>
    <row r="35169" spans="104:111">
      <c r="CZ35169" s="256"/>
      <c r="DG35169" s="256"/>
    </row>
    <row r="35170" spans="104:111">
      <c r="CZ35170" s="256"/>
      <c r="DG35170" s="256"/>
    </row>
    <row r="35171" spans="104:111">
      <c r="CZ35171" s="256"/>
      <c r="DG35171" s="256"/>
    </row>
    <row r="35172" spans="104:111">
      <c r="CZ35172" s="256"/>
      <c r="DG35172" s="256"/>
    </row>
    <row r="35173" spans="104:111">
      <c r="CZ35173" s="256"/>
      <c r="DG35173" s="256"/>
    </row>
    <row r="35174" spans="104:111">
      <c r="CZ35174" s="256"/>
      <c r="DG35174" s="256"/>
    </row>
    <row r="35175" spans="104:111">
      <c r="CZ35175" s="256"/>
      <c r="DG35175" s="256"/>
    </row>
    <row r="35176" spans="104:111">
      <c r="CZ35176" s="256"/>
      <c r="DG35176" s="256"/>
    </row>
    <row r="35177" spans="104:111">
      <c r="CZ35177" s="256"/>
      <c r="DG35177" s="256"/>
    </row>
    <row r="35178" spans="104:111">
      <c r="CZ35178" s="256"/>
      <c r="DG35178" s="256"/>
    </row>
    <row r="35179" spans="104:111">
      <c r="CZ35179" s="256"/>
      <c r="DG35179" s="256"/>
    </row>
    <row r="35180" spans="104:111">
      <c r="CZ35180" s="256"/>
      <c r="DG35180" s="256"/>
    </row>
    <row r="35181" spans="104:111">
      <c r="CZ35181" s="256"/>
      <c r="DG35181" s="256"/>
    </row>
    <row r="35182" spans="104:111">
      <c r="CZ35182" s="256"/>
      <c r="DG35182" s="256"/>
    </row>
    <row r="35183" spans="104:111">
      <c r="CZ35183" s="256"/>
      <c r="DG35183" s="256"/>
    </row>
    <row r="35184" spans="104:111">
      <c r="CZ35184" s="256"/>
      <c r="DG35184" s="256"/>
    </row>
    <row r="35185" spans="104:111">
      <c r="CZ35185" s="256"/>
      <c r="DG35185" s="256"/>
    </row>
    <row r="35186" spans="104:111">
      <c r="CZ35186" s="256"/>
      <c r="DG35186" s="256"/>
    </row>
    <row r="35187" spans="104:111">
      <c r="CZ35187" s="256"/>
      <c r="DG35187" s="256"/>
    </row>
    <row r="35188" spans="104:111">
      <c r="CZ35188" s="256"/>
      <c r="DG35188" s="256"/>
    </row>
    <row r="35189" spans="104:111">
      <c r="CZ35189" s="256"/>
      <c r="DG35189" s="256"/>
    </row>
    <row r="35190" spans="104:111">
      <c r="CZ35190" s="256"/>
      <c r="DG35190" s="256"/>
    </row>
    <row r="35191" spans="104:111">
      <c r="CZ35191" s="256"/>
      <c r="DG35191" s="256"/>
    </row>
    <row r="35192" spans="104:111">
      <c r="CZ35192" s="256"/>
      <c r="DG35192" s="256"/>
    </row>
    <row r="35193" spans="104:111">
      <c r="CZ35193" s="256"/>
      <c r="DG35193" s="256"/>
    </row>
    <row r="35194" spans="104:111">
      <c r="CZ35194" s="256"/>
      <c r="DG35194" s="256"/>
    </row>
    <row r="35195" spans="104:111">
      <c r="CZ35195" s="256"/>
      <c r="DG35195" s="256"/>
    </row>
    <row r="35196" spans="104:111">
      <c r="CZ35196" s="256"/>
      <c r="DG35196" s="256"/>
    </row>
    <row r="35197" spans="104:111">
      <c r="CZ35197" s="256"/>
      <c r="DG35197" s="256"/>
    </row>
    <row r="35198" spans="104:111">
      <c r="CZ35198" s="256"/>
      <c r="DG35198" s="256"/>
    </row>
    <row r="35199" spans="104:111">
      <c r="CZ35199" s="256"/>
      <c r="DG35199" s="256"/>
    </row>
    <row r="35200" spans="104:111">
      <c r="CZ35200" s="256"/>
      <c r="DG35200" s="256"/>
    </row>
    <row r="35201" spans="104:111">
      <c r="CZ35201" s="256"/>
      <c r="DG35201" s="256"/>
    </row>
    <row r="35202" spans="104:111">
      <c r="CZ35202" s="256"/>
      <c r="DG35202" s="256"/>
    </row>
    <row r="35203" spans="104:111">
      <c r="CZ35203" s="256"/>
      <c r="DG35203" s="256"/>
    </row>
    <row r="35204" spans="104:111">
      <c r="CZ35204" s="256"/>
      <c r="DG35204" s="256"/>
    </row>
    <row r="35205" spans="104:111">
      <c r="CZ35205" s="256"/>
      <c r="DG35205" s="256"/>
    </row>
    <row r="35206" spans="104:111">
      <c r="CZ35206" s="256"/>
      <c r="DG35206" s="256"/>
    </row>
    <row r="35207" spans="104:111">
      <c r="CZ35207" s="256"/>
      <c r="DG35207" s="256"/>
    </row>
    <row r="35208" spans="104:111">
      <c r="CZ35208" s="256"/>
      <c r="DG35208" s="256"/>
    </row>
    <row r="35209" spans="104:111">
      <c r="CZ35209" s="256"/>
      <c r="DG35209" s="256"/>
    </row>
    <row r="35210" spans="104:111">
      <c r="CZ35210" s="256"/>
      <c r="DG35210" s="256"/>
    </row>
    <row r="35211" spans="104:111">
      <c r="CZ35211" s="256"/>
      <c r="DG35211" s="256"/>
    </row>
    <row r="35212" spans="104:111">
      <c r="CZ35212" s="256"/>
      <c r="DG35212" s="256"/>
    </row>
    <row r="35213" spans="104:111">
      <c r="CZ35213" s="256"/>
      <c r="DG35213" s="256"/>
    </row>
    <row r="35214" spans="104:111">
      <c r="CZ35214" s="256"/>
      <c r="DG35214" s="256"/>
    </row>
    <row r="35215" spans="104:111">
      <c r="CZ35215" s="256"/>
      <c r="DG35215" s="256"/>
    </row>
    <row r="35216" spans="104:111">
      <c r="CZ35216" s="256"/>
      <c r="DG35216" s="256"/>
    </row>
    <row r="35217" spans="104:111">
      <c r="CZ35217" s="256"/>
      <c r="DG35217" s="256"/>
    </row>
    <row r="35218" spans="104:111">
      <c r="CZ35218" s="256"/>
      <c r="DG35218" s="256"/>
    </row>
    <row r="35219" spans="104:111">
      <c r="CZ35219" s="256"/>
      <c r="DG35219" s="256"/>
    </row>
    <row r="35220" spans="104:111">
      <c r="CZ35220" s="256"/>
      <c r="DG35220" s="256"/>
    </row>
    <row r="35221" spans="104:111">
      <c r="CZ35221" s="256"/>
      <c r="DG35221" s="256"/>
    </row>
    <row r="35222" spans="104:111">
      <c r="CZ35222" s="256"/>
      <c r="DG35222" s="256"/>
    </row>
    <row r="35223" spans="104:111">
      <c r="CZ35223" s="256"/>
      <c r="DG35223" s="256"/>
    </row>
    <row r="35224" spans="104:111">
      <c r="CZ35224" s="256"/>
      <c r="DG35224" s="256"/>
    </row>
    <row r="35225" spans="104:111">
      <c r="CZ35225" s="256"/>
      <c r="DG35225" s="256"/>
    </row>
    <row r="35226" spans="104:111">
      <c r="CZ35226" s="256"/>
      <c r="DG35226" s="256"/>
    </row>
    <row r="35227" spans="104:111">
      <c r="CZ35227" s="256"/>
      <c r="DG35227" s="256"/>
    </row>
    <row r="35228" spans="104:111">
      <c r="CZ35228" s="256"/>
      <c r="DG35228" s="256"/>
    </row>
    <row r="35229" spans="104:111">
      <c r="CZ35229" s="256"/>
      <c r="DG35229" s="256"/>
    </row>
    <row r="35230" spans="104:111">
      <c r="CZ35230" s="256"/>
      <c r="DG35230" s="256"/>
    </row>
    <row r="35231" spans="104:111">
      <c r="CZ35231" s="256"/>
      <c r="DG35231" s="256"/>
    </row>
    <row r="35232" spans="104:111">
      <c r="CZ35232" s="256"/>
      <c r="DG35232" s="256"/>
    </row>
    <row r="35233" spans="104:111">
      <c r="CZ35233" s="256"/>
      <c r="DG35233" s="256"/>
    </row>
    <row r="35234" spans="104:111">
      <c r="CZ35234" s="256"/>
      <c r="DG35234" s="256"/>
    </row>
    <row r="35235" spans="104:111">
      <c r="CZ35235" s="256"/>
      <c r="DG35235" s="256"/>
    </row>
    <row r="35236" spans="104:111">
      <c r="CZ35236" s="256"/>
      <c r="DG35236" s="256"/>
    </row>
    <row r="35237" spans="104:111">
      <c r="CZ35237" s="256"/>
      <c r="DG35237" s="256"/>
    </row>
    <row r="35238" spans="104:111">
      <c r="CZ35238" s="256"/>
      <c r="DG35238" s="256"/>
    </row>
    <row r="35239" spans="104:111">
      <c r="CZ35239" s="256"/>
      <c r="DG35239" s="256"/>
    </row>
    <row r="35240" spans="104:111">
      <c r="CZ35240" s="256"/>
      <c r="DG35240" s="256"/>
    </row>
    <row r="35241" spans="104:111">
      <c r="CZ35241" s="256"/>
      <c r="DG35241" s="256"/>
    </row>
    <row r="35242" spans="104:111">
      <c r="CZ35242" s="256"/>
      <c r="DG35242" s="256"/>
    </row>
    <row r="35243" spans="104:111">
      <c r="CZ35243" s="256"/>
      <c r="DG35243" s="256"/>
    </row>
    <row r="35244" spans="104:111">
      <c r="CZ35244" s="256"/>
      <c r="DG35244" s="256"/>
    </row>
    <row r="35245" spans="104:111">
      <c r="CZ35245" s="256"/>
      <c r="DG35245" s="256"/>
    </row>
    <row r="35246" spans="104:111">
      <c r="CZ35246" s="256"/>
      <c r="DG35246" s="256"/>
    </row>
    <row r="35247" spans="104:111">
      <c r="CZ35247" s="256"/>
      <c r="DG35247" s="256"/>
    </row>
    <row r="35248" spans="104:111">
      <c r="CZ35248" s="256"/>
      <c r="DG35248" s="256"/>
    </row>
    <row r="35249" spans="104:111">
      <c r="CZ35249" s="256"/>
      <c r="DG35249" s="256"/>
    </row>
    <row r="35250" spans="104:111">
      <c r="CZ35250" s="256"/>
      <c r="DG35250" s="256"/>
    </row>
    <row r="35251" spans="104:111">
      <c r="CZ35251" s="256"/>
      <c r="DG35251" s="256"/>
    </row>
    <row r="35252" spans="104:111">
      <c r="CZ35252" s="256"/>
      <c r="DG35252" s="256"/>
    </row>
    <row r="35253" spans="104:111">
      <c r="CZ35253" s="256"/>
      <c r="DG35253" s="256"/>
    </row>
    <row r="35254" spans="104:111">
      <c r="CZ35254" s="256"/>
      <c r="DG35254" s="256"/>
    </row>
    <row r="35255" spans="104:111">
      <c r="CZ35255" s="256"/>
      <c r="DG35255" s="256"/>
    </row>
    <row r="35256" spans="104:111">
      <c r="CZ35256" s="256"/>
      <c r="DG35256" s="256"/>
    </row>
    <row r="35257" spans="104:111">
      <c r="CZ35257" s="256"/>
      <c r="DG35257" s="256"/>
    </row>
    <row r="35258" spans="104:111">
      <c r="CZ35258" s="256"/>
      <c r="DG35258" s="256"/>
    </row>
    <row r="35259" spans="104:111">
      <c r="CZ35259" s="256"/>
      <c r="DG35259" s="256"/>
    </row>
    <row r="35260" spans="104:111">
      <c r="CZ35260" s="256"/>
      <c r="DG35260" s="256"/>
    </row>
    <row r="35261" spans="104:111">
      <c r="CZ35261" s="256"/>
      <c r="DG35261" s="256"/>
    </row>
    <row r="35262" spans="104:111">
      <c r="CZ35262" s="256"/>
      <c r="DG35262" s="256"/>
    </row>
    <row r="35263" spans="104:111">
      <c r="CZ35263" s="256"/>
      <c r="DG35263" s="256"/>
    </row>
    <row r="35264" spans="104:111">
      <c r="CZ35264" s="256"/>
      <c r="DG35264" s="256"/>
    </row>
    <row r="35265" spans="104:111">
      <c r="CZ35265" s="256"/>
      <c r="DG35265" s="256"/>
    </row>
    <row r="35266" spans="104:111">
      <c r="CZ35266" s="256"/>
      <c r="DG35266" s="256"/>
    </row>
    <row r="35267" spans="104:111">
      <c r="CZ35267" s="256"/>
      <c r="DG35267" s="256"/>
    </row>
    <row r="35268" spans="104:111">
      <c r="CZ35268" s="256"/>
      <c r="DG35268" s="256"/>
    </row>
    <row r="35269" spans="104:111">
      <c r="CZ35269" s="256"/>
      <c r="DG35269" s="256"/>
    </row>
    <row r="35270" spans="104:111">
      <c r="CZ35270" s="256"/>
      <c r="DG35270" s="256"/>
    </row>
    <row r="35271" spans="104:111">
      <c r="CZ35271" s="256"/>
      <c r="DG35271" s="256"/>
    </row>
    <row r="35272" spans="104:111">
      <c r="CZ35272" s="256"/>
      <c r="DG35272" s="256"/>
    </row>
    <row r="35273" spans="104:111">
      <c r="CZ35273" s="256"/>
      <c r="DG35273" s="256"/>
    </row>
    <row r="35274" spans="104:111">
      <c r="CZ35274" s="256"/>
      <c r="DG35274" s="256"/>
    </row>
    <row r="35275" spans="104:111">
      <c r="CZ35275" s="256"/>
      <c r="DG35275" s="256"/>
    </row>
    <row r="35276" spans="104:111">
      <c r="CZ35276" s="256"/>
      <c r="DG35276" s="256"/>
    </row>
    <row r="35277" spans="104:111">
      <c r="CZ35277" s="256"/>
      <c r="DG35277" s="256"/>
    </row>
    <row r="35278" spans="104:111">
      <c r="CZ35278" s="256"/>
      <c r="DG35278" s="256"/>
    </row>
    <row r="35279" spans="104:111">
      <c r="CZ35279" s="256"/>
      <c r="DG35279" s="256"/>
    </row>
    <row r="35280" spans="104:111">
      <c r="CZ35280" s="256"/>
      <c r="DG35280" s="256"/>
    </row>
    <row r="35281" spans="104:111">
      <c r="CZ35281" s="256"/>
      <c r="DG35281" s="256"/>
    </row>
    <row r="35282" spans="104:111">
      <c r="CZ35282" s="256"/>
      <c r="DG35282" s="256"/>
    </row>
    <row r="35283" spans="104:111">
      <c r="CZ35283" s="256"/>
      <c r="DG35283" s="256"/>
    </row>
    <row r="35284" spans="104:111">
      <c r="CZ35284" s="256"/>
      <c r="DG35284" s="256"/>
    </row>
    <row r="35285" spans="104:111">
      <c r="CZ35285" s="256"/>
      <c r="DG35285" s="256"/>
    </row>
    <row r="35286" spans="104:111">
      <c r="CZ35286" s="256"/>
      <c r="DG35286" s="256"/>
    </row>
    <row r="35287" spans="104:111">
      <c r="CZ35287" s="256"/>
      <c r="DG35287" s="256"/>
    </row>
    <row r="35288" spans="104:111">
      <c r="CZ35288" s="256"/>
      <c r="DG35288" s="256"/>
    </row>
    <row r="35289" spans="104:111">
      <c r="CZ35289" s="256"/>
      <c r="DG35289" s="256"/>
    </row>
    <row r="35290" spans="104:111">
      <c r="CZ35290" s="256"/>
      <c r="DG35290" s="256"/>
    </row>
    <row r="35291" spans="104:111">
      <c r="CZ35291" s="256"/>
      <c r="DG35291" s="256"/>
    </row>
    <row r="35292" spans="104:111">
      <c r="CZ35292" s="256"/>
      <c r="DG35292" s="256"/>
    </row>
    <row r="35293" spans="104:111">
      <c r="CZ35293" s="256"/>
      <c r="DG35293" s="256"/>
    </row>
    <row r="35294" spans="104:111">
      <c r="CZ35294" s="256"/>
      <c r="DG35294" s="256"/>
    </row>
    <row r="35295" spans="104:111">
      <c r="CZ35295" s="256"/>
      <c r="DG35295" s="256"/>
    </row>
    <row r="35296" spans="104:111">
      <c r="CZ35296" s="256"/>
      <c r="DG35296" s="256"/>
    </row>
    <row r="35297" spans="104:111">
      <c r="CZ35297" s="256"/>
      <c r="DG35297" s="256"/>
    </row>
    <row r="35298" spans="104:111">
      <c r="CZ35298" s="256"/>
      <c r="DG35298" s="256"/>
    </row>
    <row r="35299" spans="104:111">
      <c r="CZ35299" s="256"/>
      <c r="DG35299" s="256"/>
    </row>
    <row r="35300" spans="104:111">
      <c r="CZ35300" s="256"/>
      <c r="DG35300" s="256"/>
    </row>
    <row r="35301" spans="104:111">
      <c r="CZ35301" s="256"/>
      <c r="DG35301" s="256"/>
    </row>
    <row r="35302" spans="104:111">
      <c r="CZ35302" s="256"/>
      <c r="DG35302" s="256"/>
    </row>
    <row r="35303" spans="104:111">
      <c r="CZ35303" s="256"/>
      <c r="DG35303" s="256"/>
    </row>
    <row r="35304" spans="104:111">
      <c r="CZ35304" s="256"/>
      <c r="DG35304" s="256"/>
    </row>
    <row r="35305" spans="104:111">
      <c r="CZ35305" s="256"/>
      <c r="DG35305" s="256"/>
    </row>
    <row r="35306" spans="104:111">
      <c r="CZ35306" s="256"/>
      <c r="DG35306" s="256"/>
    </row>
    <row r="35307" spans="104:111">
      <c r="CZ35307" s="256"/>
      <c r="DG35307" s="256"/>
    </row>
    <row r="35308" spans="104:111">
      <c r="CZ35308" s="256"/>
      <c r="DG35308" s="256"/>
    </row>
    <row r="35309" spans="104:111">
      <c r="CZ35309" s="256"/>
      <c r="DG35309" s="256"/>
    </row>
    <row r="35310" spans="104:111">
      <c r="CZ35310" s="256"/>
      <c r="DG35310" s="256"/>
    </row>
    <row r="35311" spans="104:111">
      <c r="CZ35311" s="256"/>
      <c r="DG35311" s="256"/>
    </row>
    <row r="35312" spans="104:111">
      <c r="CZ35312" s="256"/>
      <c r="DG35312" s="256"/>
    </row>
    <row r="35313" spans="104:111">
      <c r="CZ35313" s="256"/>
      <c r="DG35313" s="256"/>
    </row>
    <row r="35314" spans="104:111">
      <c r="CZ35314" s="256"/>
      <c r="DG35314" s="256"/>
    </row>
    <row r="35315" spans="104:111">
      <c r="CZ35315" s="256"/>
      <c r="DG35315" s="256"/>
    </row>
    <row r="35316" spans="104:111">
      <c r="CZ35316" s="256"/>
      <c r="DG35316" s="256"/>
    </row>
    <row r="35317" spans="104:111">
      <c r="CZ35317" s="256"/>
      <c r="DG35317" s="256"/>
    </row>
    <row r="35318" spans="104:111">
      <c r="CZ35318" s="256"/>
      <c r="DG35318" s="256"/>
    </row>
    <row r="35319" spans="104:111">
      <c r="CZ35319" s="256"/>
      <c r="DG35319" s="256"/>
    </row>
    <row r="35320" spans="104:111">
      <c r="CZ35320" s="256"/>
      <c r="DG35320" s="256"/>
    </row>
    <row r="35321" spans="104:111">
      <c r="CZ35321" s="256"/>
      <c r="DG35321" s="256"/>
    </row>
    <row r="35322" spans="104:111">
      <c r="CZ35322" s="256"/>
      <c r="DG35322" s="256"/>
    </row>
    <row r="35323" spans="104:111">
      <c r="CZ35323" s="256"/>
      <c r="DG35323" s="256"/>
    </row>
    <row r="35324" spans="104:111">
      <c r="CZ35324" s="256"/>
      <c r="DG35324" s="256"/>
    </row>
    <row r="35325" spans="104:111">
      <c r="CZ35325" s="256"/>
      <c r="DG35325" s="256"/>
    </row>
    <row r="35326" spans="104:111">
      <c r="CZ35326" s="256"/>
      <c r="DG35326" s="256"/>
    </row>
    <row r="35327" spans="104:111">
      <c r="CZ35327" s="256"/>
      <c r="DG35327" s="256"/>
    </row>
    <row r="35328" spans="104:111">
      <c r="CZ35328" s="256"/>
      <c r="DG35328" s="256"/>
    </row>
    <row r="35329" spans="104:111">
      <c r="CZ35329" s="256"/>
      <c r="DG35329" s="256"/>
    </row>
    <row r="35330" spans="104:111">
      <c r="CZ35330" s="256"/>
      <c r="DG35330" s="256"/>
    </row>
    <row r="35331" spans="104:111">
      <c r="CZ35331" s="256"/>
      <c r="DG35331" s="256"/>
    </row>
    <row r="35332" spans="104:111">
      <c r="CZ35332" s="256"/>
      <c r="DG35332" s="256"/>
    </row>
    <row r="35333" spans="104:111">
      <c r="CZ35333" s="256"/>
      <c r="DG35333" s="256"/>
    </row>
    <row r="35334" spans="104:111">
      <c r="CZ35334" s="256"/>
      <c r="DG35334" s="256"/>
    </row>
    <row r="35335" spans="104:111">
      <c r="CZ35335" s="256"/>
      <c r="DG35335" s="256"/>
    </row>
    <row r="35336" spans="104:111">
      <c r="CZ35336" s="256"/>
      <c r="DG35336" s="256"/>
    </row>
    <row r="35337" spans="104:111">
      <c r="CZ35337" s="256"/>
      <c r="DG35337" s="256"/>
    </row>
    <row r="35338" spans="104:111">
      <c r="CZ35338" s="256"/>
      <c r="DG35338" s="256"/>
    </row>
    <row r="35339" spans="104:111">
      <c r="CZ35339" s="256"/>
      <c r="DG35339" s="256"/>
    </row>
    <row r="35340" spans="104:111">
      <c r="CZ35340" s="256"/>
      <c r="DG35340" s="256"/>
    </row>
    <row r="35341" spans="104:111">
      <c r="CZ35341" s="256"/>
      <c r="DG35341" s="256"/>
    </row>
    <row r="35342" spans="104:111">
      <c r="CZ35342" s="256"/>
      <c r="DG35342" s="256"/>
    </row>
    <row r="35343" spans="104:111">
      <c r="CZ35343" s="256"/>
      <c r="DG35343" s="256"/>
    </row>
    <row r="35344" spans="104:111">
      <c r="CZ35344" s="256"/>
      <c r="DG35344" s="256"/>
    </row>
    <row r="35345" spans="104:111">
      <c r="CZ35345" s="256"/>
      <c r="DG35345" s="256"/>
    </row>
    <row r="35346" spans="104:111">
      <c r="CZ35346" s="256"/>
      <c r="DG35346" s="256"/>
    </row>
    <row r="35347" spans="104:111">
      <c r="CZ35347" s="256"/>
      <c r="DG35347" s="256"/>
    </row>
    <row r="35348" spans="104:111">
      <c r="CZ35348" s="256"/>
      <c r="DG35348" s="256"/>
    </row>
    <row r="35349" spans="104:111">
      <c r="CZ35349" s="256"/>
      <c r="DG35349" s="256"/>
    </row>
    <row r="35350" spans="104:111">
      <c r="CZ35350" s="256"/>
      <c r="DG35350" s="256"/>
    </row>
    <row r="35351" spans="104:111">
      <c r="CZ35351" s="256"/>
      <c r="DG35351" s="256"/>
    </row>
    <row r="35352" spans="104:111">
      <c r="CZ35352" s="256"/>
      <c r="DG35352" s="256"/>
    </row>
    <row r="35353" spans="104:111">
      <c r="CZ35353" s="256"/>
      <c r="DG35353" s="256"/>
    </row>
    <row r="35354" spans="104:111">
      <c r="CZ35354" s="256"/>
      <c r="DG35354" s="256"/>
    </row>
    <row r="35355" spans="104:111">
      <c r="CZ35355" s="256"/>
      <c r="DG35355" s="256"/>
    </row>
    <row r="35356" spans="104:111">
      <c r="CZ35356" s="256"/>
      <c r="DG35356" s="256"/>
    </row>
    <row r="35357" spans="104:111">
      <c r="CZ35357" s="256"/>
      <c r="DG35357" s="256"/>
    </row>
    <row r="35358" spans="104:111">
      <c r="CZ35358" s="256"/>
      <c r="DG35358" s="256"/>
    </row>
    <row r="35359" spans="104:111">
      <c r="CZ35359" s="256"/>
      <c r="DG35359" s="256"/>
    </row>
    <row r="35360" spans="104:111">
      <c r="CZ35360" s="256"/>
      <c r="DG35360" s="256"/>
    </row>
    <row r="35361" spans="104:111">
      <c r="CZ35361" s="256"/>
      <c r="DG35361" s="256"/>
    </row>
    <row r="35362" spans="104:111">
      <c r="CZ35362" s="256"/>
      <c r="DG35362" s="256"/>
    </row>
    <row r="35363" spans="104:111">
      <c r="CZ35363" s="256"/>
      <c r="DG35363" s="256"/>
    </row>
    <row r="35364" spans="104:111">
      <c r="CZ35364" s="256"/>
      <c r="DG35364" s="256"/>
    </row>
    <row r="35365" spans="104:111">
      <c r="CZ35365" s="256"/>
      <c r="DG35365" s="256"/>
    </row>
    <row r="35366" spans="104:111">
      <c r="CZ35366" s="256"/>
      <c r="DG35366" s="256"/>
    </row>
    <row r="35367" spans="104:111">
      <c r="CZ35367" s="256"/>
      <c r="DG35367" s="256"/>
    </row>
    <row r="35368" spans="104:111">
      <c r="CZ35368" s="256"/>
      <c r="DG35368" s="256"/>
    </row>
    <row r="35369" spans="104:111">
      <c r="CZ35369" s="256"/>
      <c r="DG35369" s="256"/>
    </row>
    <row r="35370" spans="104:111">
      <c r="CZ35370" s="256"/>
      <c r="DG35370" s="256"/>
    </row>
    <row r="35371" spans="104:111">
      <c r="CZ35371" s="256"/>
      <c r="DG35371" s="256"/>
    </row>
    <row r="35372" spans="104:111">
      <c r="CZ35372" s="256"/>
      <c r="DG35372" s="256"/>
    </row>
    <row r="35373" spans="104:111">
      <c r="CZ35373" s="256"/>
      <c r="DG35373" s="256"/>
    </row>
    <row r="35374" spans="104:111">
      <c r="CZ35374" s="256"/>
      <c r="DG35374" s="256"/>
    </row>
    <row r="35375" spans="104:111">
      <c r="CZ35375" s="256"/>
      <c r="DG35375" s="256"/>
    </row>
    <row r="35376" spans="104:111">
      <c r="CZ35376" s="256"/>
      <c r="DG35376" s="256"/>
    </row>
    <row r="35377" spans="104:111">
      <c r="CZ35377" s="256"/>
      <c r="DG35377" s="256"/>
    </row>
    <row r="35378" spans="104:111">
      <c r="CZ35378" s="256"/>
      <c r="DG35378" s="256"/>
    </row>
    <row r="35379" spans="104:111">
      <c r="CZ35379" s="256"/>
      <c r="DG35379" s="256"/>
    </row>
    <row r="35380" spans="104:111">
      <c r="CZ35380" s="256"/>
      <c r="DG35380" s="256"/>
    </row>
    <row r="35381" spans="104:111">
      <c r="CZ35381" s="256"/>
      <c r="DG35381" s="256"/>
    </row>
    <row r="35382" spans="104:111">
      <c r="CZ35382" s="256"/>
      <c r="DG35382" s="256"/>
    </row>
    <row r="35383" spans="104:111">
      <c r="CZ35383" s="256"/>
      <c r="DG35383" s="256"/>
    </row>
    <row r="35384" spans="104:111">
      <c r="CZ35384" s="256"/>
      <c r="DG35384" s="256"/>
    </row>
    <row r="35385" spans="104:111">
      <c r="CZ35385" s="256"/>
      <c r="DG35385" s="256"/>
    </row>
    <row r="35386" spans="104:111">
      <c r="CZ35386" s="256"/>
      <c r="DG35386" s="256"/>
    </row>
    <row r="35387" spans="104:111">
      <c r="CZ35387" s="256"/>
      <c r="DG35387" s="256"/>
    </row>
    <row r="35388" spans="104:111">
      <c r="CZ35388" s="256"/>
      <c r="DG35388" s="256"/>
    </row>
    <row r="35389" spans="104:111">
      <c r="CZ35389" s="256"/>
      <c r="DG35389" s="256"/>
    </row>
    <row r="35390" spans="104:111">
      <c r="CZ35390" s="256"/>
      <c r="DG35390" s="256"/>
    </row>
    <row r="35391" spans="104:111">
      <c r="CZ35391" s="256"/>
      <c r="DG35391" s="256"/>
    </row>
    <row r="35392" spans="104:111">
      <c r="CZ35392" s="256"/>
      <c r="DG35392" s="256"/>
    </row>
    <row r="35393" spans="104:111">
      <c r="CZ35393" s="256"/>
      <c r="DG35393" s="256"/>
    </row>
    <row r="35394" spans="104:111">
      <c r="CZ35394" s="256"/>
      <c r="DG35394" s="256"/>
    </row>
    <row r="35395" spans="104:111">
      <c r="CZ35395" s="256"/>
      <c r="DG35395" s="256"/>
    </row>
    <row r="35396" spans="104:111">
      <c r="CZ35396" s="256"/>
      <c r="DG35396" s="256"/>
    </row>
    <row r="35397" spans="104:111">
      <c r="CZ35397" s="256"/>
      <c r="DG35397" s="256"/>
    </row>
    <row r="35398" spans="104:111">
      <c r="CZ35398" s="256"/>
      <c r="DG35398" s="256"/>
    </row>
    <row r="35399" spans="104:111">
      <c r="CZ35399" s="256"/>
      <c r="DG35399" s="256"/>
    </row>
    <row r="35400" spans="104:111">
      <c r="CZ35400" s="256"/>
      <c r="DG35400" s="256"/>
    </row>
    <row r="35401" spans="104:111">
      <c r="CZ35401" s="256"/>
      <c r="DG35401" s="256"/>
    </row>
    <row r="35402" spans="104:111">
      <c r="CZ35402" s="256"/>
      <c r="DG35402" s="256"/>
    </row>
    <row r="35403" spans="104:111">
      <c r="CZ35403" s="256"/>
      <c r="DG35403" s="256"/>
    </row>
    <row r="35404" spans="104:111">
      <c r="CZ35404" s="256"/>
      <c r="DG35404" s="256"/>
    </row>
    <row r="35405" spans="104:111">
      <c r="CZ35405" s="256"/>
      <c r="DG35405" s="256"/>
    </row>
    <row r="35406" spans="104:111">
      <c r="CZ35406" s="256"/>
      <c r="DG35406" s="256"/>
    </row>
    <row r="35407" spans="104:111">
      <c r="CZ35407" s="256"/>
      <c r="DG35407" s="256"/>
    </row>
    <row r="35408" spans="104:111">
      <c r="CZ35408" s="256"/>
      <c r="DG35408" s="256"/>
    </row>
    <row r="35409" spans="104:111">
      <c r="CZ35409" s="256"/>
      <c r="DG35409" s="256"/>
    </row>
    <row r="35410" spans="104:111">
      <c r="CZ35410" s="256"/>
      <c r="DG35410" s="256"/>
    </row>
    <row r="35411" spans="104:111">
      <c r="CZ35411" s="256"/>
      <c r="DG35411" s="256"/>
    </row>
    <row r="35412" spans="104:111">
      <c r="CZ35412" s="256"/>
      <c r="DG35412" s="256"/>
    </row>
    <row r="35413" spans="104:111">
      <c r="CZ35413" s="256"/>
      <c r="DG35413" s="256"/>
    </row>
    <row r="35414" spans="104:111">
      <c r="CZ35414" s="256"/>
      <c r="DG35414" s="256"/>
    </row>
    <row r="35415" spans="104:111">
      <c r="CZ35415" s="256"/>
      <c r="DG35415" s="256"/>
    </row>
    <row r="35416" spans="104:111">
      <c r="CZ35416" s="256"/>
      <c r="DG35416" s="256"/>
    </row>
    <row r="35417" spans="104:111">
      <c r="CZ35417" s="256"/>
      <c r="DG35417" s="256"/>
    </row>
    <row r="35418" spans="104:111">
      <c r="CZ35418" s="256"/>
      <c r="DG35418" s="256"/>
    </row>
    <row r="35419" spans="104:111">
      <c r="CZ35419" s="256"/>
      <c r="DG35419" s="256"/>
    </row>
    <row r="35420" spans="104:111">
      <c r="CZ35420" s="256"/>
      <c r="DG35420" s="256"/>
    </row>
    <row r="35421" spans="104:111">
      <c r="CZ35421" s="256"/>
      <c r="DG35421" s="256"/>
    </row>
    <row r="35422" spans="104:111">
      <c r="CZ35422" s="256"/>
      <c r="DG35422" s="256"/>
    </row>
    <row r="35423" spans="104:111">
      <c r="CZ35423" s="256"/>
      <c r="DG35423" s="256"/>
    </row>
    <row r="35424" spans="104:111">
      <c r="CZ35424" s="256"/>
      <c r="DG35424" s="256"/>
    </row>
    <row r="35425" spans="104:111">
      <c r="CZ35425" s="256"/>
      <c r="DG35425" s="256"/>
    </row>
    <row r="35426" spans="104:111">
      <c r="CZ35426" s="256"/>
      <c r="DG35426" s="256"/>
    </row>
    <row r="35427" spans="104:111">
      <c r="CZ35427" s="256"/>
      <c r="DG35427" s="256"/>
    </row>
    <row r="35428" spans="104:111">
      <c r="CZ35428" s="256"/>
      <c r="DG35428" s="256"/>
    </row>
    <row r="35429" spans="104:111">
      <c r="CZ35429" s="256"/>
      <c r="DG35429" s="256"/>
    </row>
    <row r="35430" spans="104:111">
      <c r="CZ35430" s="256"/>
      <c r="DG35430" s="256"/>
    </row>
    <row r="35431" spans="104:111">
      <c r="CZ35431" s="256"/>
      <c r="DG35431" s="256"/>
    </row>
    <row r="35432" spans="104:111">
      <c r="CZ35432" s="256"/>
      <c r="DG35432" s="256"/>
    </row>
    <row r="35433" spans="104:111">
      <c r="CZ35433" s="256"/>
      <c r="DG35433" s="256"/>
    </row>
    <row r="35434" spans="104:111">
      <c r="CZ35434" s="256"/>
      <c r="DG35434" s="256"/>
    </row>
    <row r="35435" spans="104:111">
      <c r="CZ35435" s="256"/>
      <c r="DG35435" s="256"/>
    </row>
    <row r="35436" spans="104:111">
      <c r="CZ35436" s="256"/>
      <c r="DG35436" s="256"/>
    </row>
    <row r="35437" spans="104:111">
      <c r="CZ35437" s="256"/>
      <c r="DG35437" s="256"/>
    </row>
    <row r="35438" spans="104:111">
      <c r="CZ35438" s="256"/>
      <c r="DG35438" s="256"/>
    </row>
    <row r="35439" spans="104:111">
      <c r="CZ35439" s="256"/>
      <c r="DG35439" s="256"/>
    </row>
    <row r="35440" spans="104:111">
      <c r="CZ35440" s="256"/>
      <c r="DG35440" s="256"/>
    </row>
    <row r="35441" spans="104:111">
      <c r="CZ35441" s="256"/>
      <c r="DG35441" s="256"/>
    </row>
    <row r="35442" spans="104:111">
      <c r="CZ35442" s="256"/>
      <c r="DG35442" s="256"/>
    </row>
    <row r="35443" spans="104:111">
      <c r="CZ35443" s="256"/>
      <c r="DG35443" s="256"/>
    </row>
    <row r="35444" spans="104:111">
      <c r="CZ35444" s="256"/>
      <c r="DG35444" s="256"/>
    </row>
    <row r="35445" spans="104:111">
      <c r="CZ35445" s="256"/>
      <c r="DG35445" s="256"/>
    </row>
    <row r="35446" spans="104:111">
      <c r="CZ35446" s="256"/>
      <c r="DG35446" s="256"/>
    </row>
    <row r="35447" spans="104:111">
      <c r="CZ35447" s="256"/>
      <c r="DG35447" s="256"/>
    </row>
    <row r="35448" spans="104:111">
      <c r="CZ35448" s="256"/>
      <c r="DG35448" s="256"/>
    </row>
    <row r="35449" spans="104:111">
      <c r="CZ35449" s="256"/>
      <c r="DG35449" s="256"/>
    </row>
    <row r="35450" spans="104:111">
      <c r="CZ35450" s="256"/>
      <c r="DG35450" s="256"/>
    </row>
    <row r="35451" spans="104:111">
      <c r="CZ35451" s="256"/>
      <c r="DG35451" s="256"/>
    </row>
    <row r="35452" spans="104:111">
      <c r="CZ35452" s="256"/>
      <c r="DG35452" s="256"/>
    </row>
    <row r="35453" spans="104:111">
      <c r="CZ35453" s="256"/>
      <c r="DG35453" s="256"/>
    </row>
    <row r="35454" spans="104:111">
      <c r="CZ35454" s="256"/>
      <c r="DG35454" s="256"/>
    </row>
    <row r="35455" spans="104:111">
      <c r="CZ35455" s="256"/>
      <c r="DG35455" s="256"/>
    </row>
    <row r="35456" spans="104:111">
      <c r="CZ35456" s="256"/>
      <c r="DG35456" s="256"/>
    </row>
    <row r="35457" spans="104:111">
      <c r="CZ35457" s="256"/>
      <c r="DG35457" s="256"/>
    </row>
    <row r="35458" spans="104:111">
      <c r="CZ35458" s="256"/>
      <c r="DG35458" s="256"/>
    </row>
    <row r="35459" spans="104:111">
      <c r="CZ35459" s="256"/>
      <c r="DG35459" s="256"/>
    </row>
    <row r="35460" spans="104:111">
      <c r="CZ35460" s="256"/>
      <c r="DG35460" s="256"/>
    </row>
    <row r="35461" spans="104:111">
      <c r="CZ35461" s="256"/>
      <c r="DG35461" s="256"/>
    </row>
    <row r="35462" spans="104:111">
      <c r="CZ35462" s="256"/>
      <c r="DG35462" s="256"/>
    </row>
    <row r="35463" spans="104:111">
      <c r="CZ35463" s="256"/>
      <c r="DG35463" s="256"/>
    </row>
    <row r="35464" spans="104:111">
      <c r="CZ35464" s="256"/>
      <c r="DG35464" s="256"/>
    </row>
    <row r="35465" spans="104:111">
      <c r="CZ35465" s="256"/>
      <c r="DG35465" s="256"/>
    </row>
    <row r="35466" spans="104:111">
      <c r="CZ35466" s="256"/>
      <c r="DG35466" s="256"/>
    </row>
    <row r="35467" spans="104:111">
      <c r="CZ35467" s="256"/>
      <c r="DG35467" s="256"/>
    </row>
    <row r="35468" spans="104:111">
      <c r="CZ35468" s="256"/>
      <c r="DG35468" s="256"/>
    </row>
    <row r="35469" spans="104:111">
      <c r="CZ35469" s="256"/>
      <c r="DG35469" s="256"/>
    </row>
    <row r="35470" spans="104:111">
      <c r="CZ35470" s="256"/>
      <c r="DG35470" s="256"/>
    </row>
    <row r="35471" spans="104:111">
      <c r="CZ35471" s="256"/>
      <c r="DG35471" s="256"/>
    </row>
    <row r="35472" spans="104:111">
      <c r="CZ35472" s="256"/>
      <c r="DG35472" s="256"/>
    </row>
    <row r="35473" spans="104:111">
      <c r="CZ35473" s="256"/>
      <c r="DG35473" s="256"/>
    </row>
    <row r="35474" spans="104:111">
      <c r="CZ35474" s="256"/>
      <c r="DG35474" s="256"/>
    </row>
    <row r="35475" spans="104:111">
      <c r="CZ35475" s="256"/>
      <c r="DG35475" s="256"/>
    </row>
    <row r="35476" spans="104:111">
      <c r="CZ35476" s="256"/>
      <c r="DG35476" s="256"/>
    </row>
    <row r="35477" spans="104:111">
      <c r="CZ35477" s="256"/>
      <c r="DG35477" s="256"/>
    </row>
    <row r="35478" spans="104:111">
      <c r="CZ35478" s="256"/>
      <c r="DG35478" s="256"/>
    </row>
    <row r="35479" spans="104:111">
      <c r="CZ35479" s="256"/>
      <c r="DG35479" s="256"/>
    </row>
    <row r="35480" spans="104:111">
      <c r="CZ35480" s="256"/>
      <c r="DG35480" s="256"/>
    </row>
    <row r="35481" spans="104:111">
      <c r="CZ35481" s="256"/>
      <c r="DG35481" s="256"/>
    </row>
    <row r="35482" spans="104:111">
      <c r="CZ35482" s="256"/>
      <c r="DG35482" s="256"/>
    </row>
    <row r="35483" spans="104:111">
      <c r="CZ35483" s="256"/>
      <c r="DG35483" s="256"/>
    </row>
    <row r="35484" spans="104:111">
      <c r="CZ35484" s="256"/>
      <c r="DG35484" s="256"/>
    </row>
    <row r="35485" spans="104:111">
      <c r="CZ35485" s="256"/>
      <c r="DG35485" s="256"/>
    </row>
    <row r="35486" spans="104:111">
      <c r="CZ35486" s="256"/>
      <c r="DG35486" s="256"/>
    </row>
    <row r="35487" spans="104:111">
      <c r="CZ35487" s="256"/>
      <c r="DG35487" s="256"/>
    </row>
    <row r="35488" spans="104:111">
      <c r="CZ35488" s="256"/>
      <c r="DG35488" s="256"/>
    </row>
    <row r="35489" spans="104:111">
      <c r="CZ35489" s="256"/>
      <c r="DG35489" s="256"/>
    </row>
    <row r="35490" spans="104:111">
      <c r="CZ35490" s="256"/>
      <c r="DG35490" s="256"/>
    </row>
    <row r="35491" spans="104:111">
      <c r="CZ35491" s="256"/>
      <c r="DG35491" s="256"/>
    </row>
    <row r="35492" spans="104:111">
      <c r="CZ35492" s="256"/>
      <c r="DG35492" s="256"/>
    </row>
    <row r="35493" spans="104:111">
      <c r="CZ35493" s="256"/>
      <c r="DG35493" s="256"/>
    </row>
    <row r="35494" spans="104:111">
      <c r="CZ35494" s="256"/>
      <c r="DG35494" s="256"/>
    </row>
    <row r="35495" spans="104:111">
      <c r="CZ35495" s="256"/>
      <c r="DG35495" s="256"/>
    </row>
    <row r="35496" spans="104:111">
      <c r="CZ35496" s="256"/>
      <c r="DG35496" s="256"/>
    </row>
    <row r="35497" spans="104:111">
      <c r="CZ35497" s="256"/>
      <c r="DG35497" s="256"/>
    </row>
    <row r="35498" spans="104:111">
      <c r="CZ35498" s="256"/>
      <c r="DG35498" s="256"/>
    </row>
    <row r="35499" spans="104:111">
      <c r="CZ35499" s="256"/>
      <c r="DG35499" s="256"/>
    </row>
    <row r="35500" spans="104:111">
      <c r="CZ35500" s="256"/>
      <c r="DG35500" s="256"/>
    </row>
    <row r="35501" spans="104:111">
      <c r="CZ35501" s="256"/>
      <c r="DG35501" s="256"/>
    </row>
    <row r="35502" spans="104:111">
      <c r="CZ35502" s="256"/>
      <c r="DG35502" s="256"/>
    </row>
    <row r="35503" spans="104:111">
      <c r="CZ35503" s="256"/>
      <c r="DG35503" s="256"/>
    </row>
    <row r="35504" spans="104:111">
      <c r="CZ35504" s="256"/>
      <c r="DG35504" s="256"/>
    </row>
    <row r="35505" spans="104:111">
      <c r="CZ35505" s="256"/>
      <c r="DG35505" s="256"/>
    </row>
    <row r="35506" spans="104:111">
      <c r="CZ35506" s="256"/>
      <c r="DG35506" s="256"/>
    </row>
    <row r="35507" spans="104:111">
      <c r="CZ35507" s="256"/>
      <c r="DG35507" s="256"/>
    </row>
    <row r="35508" spans="104:111">
      <c r="CZ35508" s="256"/>
      <c r="DG35508" s="256"/>
    </row>
    <row r="35509" spans="104:111">
      <c r="CZ35509" s="256"/>
      <c r="DG35509" s="256"/>
    </row>
    <row r="35510" spans="104:111">
      <c r="CZ35510" s="256"/>
      <c r="DG35510" s="256"/>
    </row>
    <row r="35511" spans="104:111">
      <c r="CZ35511" s="256"/>
      <c r="DG35511" s="256"/>
    </row>
    <row r="35512" spans="104:111">
      <c r="CZ35512" s="256"/>
      <c r="DG35512" s="256"/>
    </row>
    <row r="35513" spans="104:111">
      <c r="CZ35513" s="256"/>
      <c r="DG35513" s="256"/>
    </row>
    <row r="35514" spans="104:111">
      <c r="CZ35514" s="256"/>
      <c r="DG35514" s="256"/>
    </row>
    <row r="35515" spans="104:111">
      <c r="CZ35515" s="256"/>
      <c r="DG35515" s="256"/>
    </row>
    <row r="35516" spans="104:111">
      <c r="CZ35516" s="256"/>
      <c r="DG35516" s="256"/>
    </row>
    <row r="35517" spans="104:111">
      <c r="CZ35517" s="256"/>
      <c r="DG35517" s="256"/>
    </row>
    <row r="35518" spans="104:111">
      <c r="CZ35518" s="256"/>
      <c r="DG35518" s="256"/>
    </row>
    <row r="35519" spans="104:111">
      <c r="CZ35519" s="256"/>
      <c r="DG35519" s="256"/>
    </row>
    <row r="35520" spans="104:111">
      <c r="CZ35520" s="256"/>
      <c r="DG35520" s="256"/>
    </row>
    <row r="35521" spans="104:111">
      <c r="CZ35521" s="256"/>
      <c r="DG35521" s="256"/>
    </row>
    <row r="35522" spans="104:111">
      <c r="CZ35522" s="256"/>
      <c r="DG35522" s="256"/>
    </row>
    <row r="35523" spans="104:111">
      <c r="CZ35523" s="256"/>
      <c r="DG35523" s="256"/>
    </row>
    <row r="35524" spans="104:111">
      <c r="CZ35524" s="256"/>
      <c r="DG35524" s="256"/>
    </row>
    <row r="35525" spans="104:111">
      <c r="CZ35525" s="256"/>
      <c r="DG35525" s="256"/>
    </row>
    <row r="35526" spans="104:111">
      <c r="CZ35526" s="256"/>
      <c r="DG35526" s="256"/>
    </row>
    <row r="35527" spans="104:111">
      <c r="CZ35527" s="256"/>
      <c r="DG35527" s="256"/>
    </row>
    <row r="35528" spans="104:111">
      <c r="CZ35528" s="256"/>
      <c r="DG35528" s="256"/>
    </row>
    <row r="35529" spans="104:111">
      <c r="CZ35529" s="256"/>
      <c r="DG35529" s="256"/>
    </row>
    <row r="35530" spans="104:111">
      <c r="CZ35530" s="256"/>
      <c r="DG35530" s="256"/>
    </row>
    <row r="35531" spans="104:111">
      <c r="CZ35531" s="256"/>
      <c r="DG35531" s="256"/>
    </row>
    <row r="35532" spans="104:111">
      <c r="CZ35532" s="256"/>
      <c r="DG35532" s="256"/>
    </row>
    <row r="35533" spans="104:111">
      <c r="CZ35533" s="256"/>
      <c r="DG35533" s="256"/>
    </row>
    <row r="35534" spans="104:111">
      <c r="CZ35534" s="256"/>
      <c r="DG35534" s="256"/>
    </row>
    <row r="35535" spans="104:111">
      <c r="CZ35535" s="256"/>
      <c r="DG35535" s="256"/>
    </row>
    <row r="35536" spans="104:111">
      <c r="CZ35536" s="256"/>
      <c r="DG35536" s="256"/>
    </row>
    <row r="35537" spans="104:111">
      <c r="CZ35537" s="256"/>
      <c r="DG35537" s="256"/>
    </row>
    <row r="35538" spans="104:111">
      <c r="CZ35538" s="256"/>
      <c r="DG35538" s="256"/>
    </row>
    <row r="35539" spans="104:111">
      <c r="CZ35539" s="256"/>
      <c r="DG35539" s="256"/>
    </row>
    <row r="35540" spans="104:111">
      <c r="CZ35540" s="256"/>
      <c r="DG35540" s="256"/>
    </row>
    <row r="35541" spans="104:111">
      <c r="CZ35541" s="256"/>
      <c r="DG35541" s="256"/>
    </row>
    <row r="35542" spans="104:111">
      <c r="CZ35542" s="256"/>
      <c r="DG35542" s="256"/>
    </row>
    <row r="35543" spans="104:111">
      <c r="CZ35543" s="256"/>
      <c r="DG35543" s="256"/>
    </row>
    <row r="35544" spans="104:111">
      <c r="CZ35544" s="256"/>
      <c r="DG35544" s="256"/>
    </row>
    <row r="35545" spans="104:111">
      <c r="CZ35545" s="256"/>
      <c r="DG35545" s="256"/>
    </row>
    <row r="35546" spans="104:111">
      <c r="CZ35546" s="256"/>
      <c r="DG35546" s="256"/>
    </row>
    <row r="35547" spans="104:111">
      <c r="CZ35547" s="256"/>
      <c r="DG35547" s="256"/>
    </row>
    <row r="35548" spans="104:111">
      <c r="CZ35548" s="256"/>
      <c r="DG35548" s="256"/>
    </row>
    <row r="35549" spans="104:111">
      <c r="CZ35549" s="256"/>
      <c r="DG35549" s="256"/>
    </row>
    <row r="35550" spans="104:111">
      <c r="CZ35550" s="256"/>
      <c r="DG35550" s="256"/>
    </row>
    <row r="35551" spans="104:111">
      <c r="CZ35551" s="256"/>
      <c r="DG35551" s="256"/>
    </row>
    <row r="35552" spans="104:111">
      <c r="CZ35552" s="256"/>
      <c r="DG35552" s="256"/>
    </row>
    <row r="35553" spans="104:111">
      <c r="CZ35553" s="256"/>
      <c r="DG35553" s="256"/>
    </row>
    <row r="35554" spans="104:111">
      <c r="CZ35554" s="256"/>
      <c r="DG35554" s="256"/>
    </row>
    <row r="35555" spans="104:111">
      <c r="CZ35555" s="256"/>
      <c r="DG35555" s="256"/>
    </row>
    <row r="35556" spans="104:111">
      <c r="CZ35556" s="256"/>
      <c r="DG35556" s="256"/>
    </row>
    <row r="35557" spans="104:111">
      <c r="CZ35557" s="256"/>
      <c r="DG35557" s="256"/>
    </row>
    <row r="35558" spans="104:111">
      <c r="CZ35558" s="256"/>
      <c r="DG35558" s="256"/>
    </row>
    <row r="35559" spans="104:111">
      <c r="CZ35559" s="256"/>
      <c r="DG35559" s="256"/>
    </row>
    <row r="35560" spans="104:111">
      <c r="CZ35560" s="256"/>
      <c r="DG35560" s="256"/>
    </row>
    <row r="35561" spans="104:111">
      <c r="CZ35561" s="256"/>
      <c r="DG35561" s="256"/>
    </row>
    <row r="35562" spans="104:111">
      <c r="CZ35562" s="256"/>
      <c r="DG35562" s="256"/>
    </row>
    <row r="35563" spans="104:111">
      <c r="CZ35563" s="256"/>
      <c r="DG35563" s="256"/>
    </row>
    <row r="35564" spans="104:111">
      <c r="CZ35564" s="256"/>
      <c r="DG35564" s="256"/>
    </row>
    <row r="35565" spans="104:111">
      <c r="CZ35565" s="256"/>
      <c r="DG35565" s="256"/>
    </row>
    <row r="35566" spans="104:111">
      <c r="CZ35566" s="256"/>
      <c r="DG35566" s="256"/>
    </row>
    <row r="35567" spans="104:111">
      <c r="CZ35567" s="256"/>
      <c r="DG35567" s="256"/>
    </row>
    <row r="35568" spans="104:111">
      <c r="CZ35568" s="256"/>
      <c r="DG35568" s="256"/>
    </row>
    <row r="35569" spans="104:111">
      <c r="CZ35569" s="256"/>
      <c r="DG35569" s="256"/>
    </row>
    <row r="35570" spans="104:111">
      <c r="CZ35570" s="256"/>
      <c r="DG35570" s="256"/>
    </row>
    <row r="35571" spans="104:111">
      <c r="CZ35571" s="256"/>
      <c r="DG35571" s="256"/>
    </row>
    <row r="35572" spans="104:111">
      <c r="CZ35572" s="256"/>
      <c r="DG35572" s="256"/>
    </row>
    <row r="35573" spans="104:111">
      <c r="CZ35573" s="256"/>
      <c r="DG35573" s="256"/>
    </row>
    <row r="35574" spans="104:111">
      <c r="CZ35574" s="256"/>
      <c r="DG35574" s="256"/>
    </row>
    <row r="35575" spans="104:111">
      <c r="CZ35575" s="256"/>
      <c r="DG35575" s="256"/>
    </row>
    <row r="35576" spans="104:111">
      <c r="CZ35576" s="256"/>
      <c r="DG35576" s="256"/>
    </row>
    <row r="35577" spans="104:111">
      <c r="CZ35577" s="256"/>
      <c r="DG35577" s="256"/>
    </row>
    <row r="35578" spans="104:111">
      <c r="CZ35578" s="256"/>
      <c r="DG35578" s="256"/>
    </row>
    <row r="35579" spans="104:111">
      <c r="CZ35579" s="256"/>
      <c r="DG35579" s="256"/>
    </row>
    <row r="35580" spans="104:111">
      <c r="CZ35580" s="256"/>
      <c r="DG35580" s="256"/>
    </row>
    <row r="35581" spans="104:111">
      <c r="CZ35581" s="256"/>
      <c r="DG35581" s="256"/>
    </row>
    <row r="35582" spans="104:111">
      <c r="CZ35582" s="256"/>
      <c r="DG35582" s="256"/>
    </row>
    <row r="35583" spans="104:111">
      <c r="CZ35583" s="256"/>
      <c r="DG35583" s="256"/>
    </row>
    <row r="35584" spans="104:111">
      <c r="CZ35584" s="256"/>
      <c r="DG35584" s="256"/>
    </row>
    <row r="35585" spans="104:111">
      <c r="CZ35585" s="256"/>
      <c r="DG35585" s="256"/>
    </row>
    <row r="35586" spans="104:111">
      <c r="CZ35586" s="256"/>
      <c r="DG35586" s="256"/>
    </row>
    <row r="35587" spans="104:111">
      <c r="CZ35587" s="256"/>
      <c r="DG35587" s="256"/>
    </row>
    <row r="35588" spans="104:111">
      <c r="CZ35588" s="256"/>
      <c r="DG35588" s="256"/>
    </row>
    <row r="35589" spans="104:111">
      <c r="CZ35589" s="256"/>
      <c r="DG35589" s="256"/>
    </row>
    <row r="35590" spans="104:111">
      <c r="CZ35590" s="256"/>
      <c r="DG35590" s="256"/>
    </row>
    <row r="35591" spans="104:111">
      <c r="CZ35591" s="256"/>
      <c r="DG35591" s="256"/>
    </row>
    <row r="35592" spans="104:111">
      <c r="CZ35592" s="256"/>
      <c r="DG35592" s="256"/>
    </row>
    <row r="35593" spans="104:111">
      <c r="CZ35593" s="256"/>
      <c r="DG35593" s="256"/>
    </row>
    <row r="35594" spans="104:111">
      <c r="CZ35594" s="256"/>
      <c r="DG35594" s="256"/>
    </row>
    <row r="35595" spans="104:111">
      <c r="CZ35595" s="256"/>
      <c r="DG35595" s="256"/>
    </row>
    <row r="35596" spans="104:111">
      <c r="CZ35596" s="256"/>
      <c r="DG35596" s="256"/>
    </row>
    <row r="35597" spans="104:111">
      <c r="CZ35597" s="256"/>
      <c r="DG35597" s="256"/>
    </row>
    <row r="35598" spans="104:111">
      <c r="CZ35598" s="256"/>
      <c r="DG35598" s="256"/>
    </row>
    <row r="35599" spans="104:111">
      <c r="CZ35599" s="256"/>
      <c r="DG35599" s="256"/>
    </row>
    <row r="35600" spans="104:111">
      <c r="CZ35600" s="256"/>
      <c r="DG35600" s="256"/>
    </row>
    <row r="35601" spans="104:111">
      <c r="CZ35601" s="256"/>
      <c r="DG35601" s="256"/>
    </row>
    <row r="35602" spans="104:111">
      <c r="CZ35602" s="256"/>
      <c r="DG35602" s="256"/>
    </row>
    <row r="35603" spans="104:111">
      <c r="CZ35603" s="256"/>
      <c r="DG35603" s="256"/>
    </row>
    <row r="35604" spans="104:111">
      <c r="CZ35604" s="256"/>
      <c r="DG35604" s="256"/>
    </row>
    <row r="35605" spans="104:111">
      <c r="CZ35605" s="256"/>
      <c r="DG35605" s="256"/>
    </row>
    <row r="35606" spans="104:111">
      <c r="CZ35606" s="256"/>
      <c r="DG35606" s="256"/>
    </row>
    <row r="35607" spans="104:111">
      <c r="CZ35607" s="256"/>
      <c r="DG35607" s="256"/>
    </row>
    <row r="35608" spans="104:111">
      <c r="CZ35608" s="256"/>
      <c r="DG35608" s="256"/>
    </row>
    <row r="35609" spans="104:111">
      <c r="CZ35609" s="256"/>
      <c r="DG35609" s="256"/>
    </row>
    <row r="35610" spans="104:111">
      <c r="CZ35610" s="256"/>
      <c r="DG35610" s="256"/>
    </row>
    <row r="35611" spans="104:111">
      <c r="CZ35611" s="256"/>
      <c r="DG35611" s="256"/>
    </row>
    <row r="35612" spans="104:111">
      <c r="CZ35612" s="256"/>
      <c r="DG35612" s="256"/>
    </row>
    <row r="35613" spans="104:111">
      <c r="CZ35613" s="256"/>
      <c r="DG35613" s="256"/>
    </row>
    <row r="35614" spans="104:111">
      <c r="CZ35614" s="256"/>
      <c r="DG35614" s="256"/>
    </row>
    <row r="35615" spans="104:111">
      <c r="CZ35615" s="256"/>
      <c r="DG35615" s="256"/>
    </row>
    <row r="35616" spans="104:111">
      <c r="CZ35616" s="256"/>
      <c r="DG35616" s="256"/>
    </row>
    <row r="35617" spans="104:111">
      <c r="CZ35617" s="256"/>
      <c r="DG35617" s="256"/>
    </row>
    <row r="35618" spans="104:111">
      <c r="CZ35618" s="256"/>
      <c r="DG35618" s="256"/>
    </row>
    <row r="35619" spans="104:111">
      <c r="CZ35619" s="256"/>
      <c r="DG35619" s="256"/>
    </row>
    <row r="35620" spans="104:111">
      <c r="CZ35620" s="256"/>
      <c r="DG35620" s="256"/>
    </row>
    <row r="35621" spans="104:111">
      <c r="CZ35621" s="256"/>
      <c r="DG35621" s="256"/>
    </row>
    <row r="35622" spans="104:111">
      <c r="CZ35622" s="256"/>
      <c r="DG35622" s="256"/>
    </row>
    <row r="35623" spans="104:111">
      <c r="CZ35623" s="256"/>
      <c r="DG35623" s="256"/>
    </row>
    <row r="35624" spans="104:111">
      <c r="CZ35624" s="256"/>
      <c r="DG35624" s="256"/>
    </row>
    <row r="35625" spans="104:111">
      <c r="CZ35625" s="256"/>
      <c r="DG35625" s="256"/>
    </row>
    <row r="35626" spans="104:111">
      <c r="CZ35626" s="256"/>
      <c r="DG35626" s="256"/>
    </row>
    <row r="35627" spans="104:111">
      <c r="CZ35627" s="256"/>
      <c r="DG35627" s="256"/>
    </row>
    <row r="35628" spans="104:111">
      <c r="CZ35628" s="256"/>
      <c r="DG35628" s="256"/>
    </row>
    <row r="35629" spans="104:111">
      <c r="CZ35629" s="256"/>
      <c r="DG35629" s="256"/>
    </row>
    <row r="35630" spans="104:111">
      <c r="CZ35630" s="256"/>
      <c r="DG35630" s="256"/>
    </row>
    <row r="35631" spans="104:111">
      <c r="CZ35631" s="256"/>
      <c r="DG35631" s="256"/>
    </row>
    <row r="35632" spans="104:111">
      <c r="CZ35632" s="256"/>
      <c r="DG35632" s="256"/>
    </row>
    <row r="35633" spans="104:111">
      <c r="CZ35633" s="256"/>
      <c r="DG35633" s="256"/>
    </row>
    <row r="35634" spans="104:111">
      <c r="CZ35634" s="256"/>
      <c r="DG35634" s="256"/>
    </row>
    <row r="35635" spans="104:111">
      <c r="CZ35635" s="256"/>
      <c r="DG35635" s="256"/>
    </row>
    <row r="35636" spans="104:111">
      <c r="CZ35636" s="256"/>
      <c r="DG35636" s="256"/>
    </row>
    <row r="35637" spans="104:111">
      <c r="CZ35637" s="256"/>
      <c r="DG35637" s="256"/>
    </row>
    <row r="35638" spans="104:111">
      <c r="CZ35638" s="256"/>
      <c r="DG35638" s="256"/>
    </row>
    <row r="35639" spans="104:111">
      <c r="CZ35639" s="256"/>
      <c r="DG35639" s="256"/>
    </row>
    <row r="35640" spans="104:111">
      <c r="CZ35640" s="256"/>
      <c r="DG35640" s="256"/>
    </row>
    <row r="35641" spans="104:111">
      <c r="CZ35641" s="256"/>
      <c r="DG35641" s="256"/>
    </row>
    <row r="35642" spans="104:111">
      <c r="CZ35642" s="256"/>
      <c r="DG35642" s="256"/>
    </row>
    <row r="35643" spans="104:111">
      <c r="CZ35643" s="256"/>
      <c r="DG35643" s="256"/>
    </row>
    <row r="35644" spans="104:111">
      <c r="CZ35644" s="256"/>
      <c r="DG35644" s="256"/>
    </row>
    <row r="35645" spans="104:111">
      <c r="CZ35645" s="256"/>
      <c r="DG35645" s="256"/>
    </row>
    <row r="35646" spans="104:111">
      <c r="CZ35646" s="256"/>
      <c r="DG35646" s="256"/>
    </row>
    <row r="35647" spans="104:111">
      <c r="CZ35647" s="256"/>
      <c r="DG35647" s="256"/>
    </row>
    <row r="35648" spans="104:111">
      <c r="CZ35648" s="256"/>
      <c r="DG35648" s="256"/>
    </row>
    <row r="35649" spans="104:111">
      <c r="CZ35649" s="256"/>
      <c r="DG35649" s="256"/>
    </row>
    <row r="35650" spans="104:111">
      <c r="CZ35650" s="256"/>
      <c r="DG35650" s="256"/>
    </row>
    <row r="35651" spans="104:111">
      <c r="CZ35651" s="256"/>
      <c r="DG35651" s="256"/>
    </row>
    <row r="35652" spans="104:111">
      <c r="CZ35652" s="256"/>
      <c r="DG35652" s="256"/>
    </row>
    <row r="35653" spans="104:111">
      <c r="CZ35653" s="256"/>
      <c r="DG35653" s="256"/>
    </row>
    <row r="35654" spans="104:111">
      <c r="CZ35654" s="256"/>
      <c r="DG35654" s="256"/>
    </row>
    <row r="35655" spans="104:111">
      <c r="CZ35655" s="256"/>
      <c r="DG35655" s="256"/>
    </row>
    <row r="35656" spans="104:111">
      <c r="CZ35656" s="256"/>
      <c r="DG35656" s="256"/>
    </row>
    <row r="35657" spans="104:111">
      <c r="CZ35657" s="256"/>
      <c r="DG35657" s="256"/>
    </row>
    <row r="35658" spans="104:111">
      <c r="CZ35658" s="256"/>
      <c r="DG35658" s="256"/>
    </row>
    <row r="35659" spans="104:111">
      <c r="CZ35659" s="256"/>
      <c r="DG35659" s="256"/>
    </row>
    <row r="35660" spans="104:111">
      <c r="CZ35660" s="256"/>
      <c r="DG35660" s="256"/>
    </row>
    <row r="35661" spans="104:111">
      <c r="CZ35661" s="256"/>
      <c r="DG35661" s="256"/>
    </row>
    <row r="35662" spans="104:111">
      <c r="CZ35662" s="256"/>
      <c r="DG35662" s="256"/>
    </row>
    <row r="35663" spans="104:111">
      <c r="CZ35663" s="256"/>
      <c r="DG35663" s="256"/>
    </row>
    <row r="35664" spans="104:111">
      <c r="CZ35664" s="256"/>
      <c r="DG35664" s="256"/>
    </row>
    <row r="35665" spans="104:111">
      <c r="CZ35665" s="256"/>
      <c r="DG35665" s="256"/>
    </row>
    <row r="35666" spans="104:111">
      <c r="CZ35666" s="256"/>
      <c r="DG35666" s="256"/>
    </row>
    <row r="35667" spans="104:111">
      <c r="CZ35667" s="256"/>
      <c r="DG35667" s="256"/>
    </row>
    <row r="35668" spans="104:111">
      <c r="CZ35668" s="256"/>
      <c r="DG35668" s="256"/>
    </row>
    <row r="35669" spans="104:111">
      <c r="CZ35669" s="256"/>
      <c r="DG35669" s="256"/>
    </row>
    <row r="35670" spans="104:111">
      <c r="CZ35670" s="256"/>
      <c r="DG35670" s="256"/>
    </row>
    <row r="35671" spans="104:111">
      <c r="CZ35671" s="256"/>
      <c r="DG35671" s="256"/>
    </row>
    <row r="35672" spans="104:111">
      <c r="CZ35672" s="256"/>
      <c r="DG35672" s="256"/>
    </row>
    <row r="35673" spans="104:111">
      <c r="CZ35673" s="256"/>
      <c r="DG35673" s="256"/>
    </row>
    <row r="35674" spans="104:111">
      <c r="CZ35674" s="256"/>
      <c r="DG35674" s="256"/>
    </row>
    <row r="35675" spans="104:111">
      <c r="CZ35675" s="256"/>
      <c r="DG35675" s="256"/>
    </row>
    <row r="35676" spans="104:111">
      <c r="CZ35676" s="256"/>
      <c r="DG35676" s="256"/>
    </row>
    <row r="35677" spans="104:111">
      <c r="CZ35677" s="256"/>
      <c r="DG35677" s="256"/>
    </row>
    <row r="35678" spans="104:111">
      <c r="CZ35678" s="256"/>
      <c r="DG35678" s="256"/>
    </row>
    <row r="35679" spans="104:111">
      <c r="CZ35679" s="256"/>
      <c r="DG35679" s="256"/>
    </row>
    <row r="35680" spans="104:111">
      <c r="CZ35680" s="256"/>
      <c r="DG35680" s="256"/>
    </row>
    <row r="35681" spans="104:111">
      <c r="CZ35681" s="256"/>
      <c r="DG35681" s="256"/>
    </row>
    <row r="35682" spans="104:111">
      <c r="CZ35682" s="256"/>
      <c r="DG35682" s="256"/>
    </row>
    <row r="35683" spans="104:111">
      <c r="CZ35683" s="256"/>
      <c r="DG35683" s="256"/>
    </row>
    <row r="35684" spans="104:111">
      <c r="CZ35684" s="256"/>
      <c r="DG35684" s="256"/>
    </row>
    <row r="35685" spans="104:111">
      <c r="CZ35685" s="256"/>
      <c r="DG35685" s="256"/>
    </row>
    <row r="35686" spans="104:111">
      <c r="CZ35686" s="256"/>
      <c r="DG35686" s="256"/>
    </row>
    <row r="35687" spans="104:111">
      <c r="CZ35687" s="256"/>
      <c r="DG35687" s="256"/>
    </row>
    <row r="35688" spans="104:111">
      <c r="CZ35688" s="256"/>
      <c r="DG35688" s="256"/>
    </row>
    <row r="35689" spans="104:111">
      <c r="CZ35689" s="256"/>
      <c r="DG35689" s="256"/>
    </row>
    <row r="35690" spans="104:111">
      <c r="CZ35690" s="256"/>
      <c r="DG35690" s="256"/>
    </row>
    <row r="35691" spans="104:111">
      <c r="CZ35691" s="256"/>
      <c r="DG35691" s="256"/>
    </row>
    <row r="35692" spans="104:111">
      <c r="CZ35692" s="256"/>
      <c r="DG35692" s="256"/>
    </row>
    <row r="35693" spans="104:111">
      <c r="CZ35693" s="256"/>
      <c r="DG35693" s="256"/>
    </row>
    <row r="35694" spans="104:111">
      <c r="CZ35694" s="256"/>
      <c r="DG35694" s="256"/>
    </row>
    <row r="35695" spans="104:111">
      <c r="CZ35695" s="256"/>
      <c r="DG35695" s="256"/>
    </row>
    <row r="35696" spans="104:111">
      <c r="CZ35696" s="256"/>
      <c r="DG35696" s="256"/>
    </row>
    <row r="35697" spans="104:111">
      <c r="CZ35697" s="256"/>
      <c r="DG35697" s="256"/>
    </row>
    <row r="35698" spans="104:111">
      <c r="CZ35698" s="256"/>
      <c r="DG35698" s="256"/>
    </row>
    <row r="35699" spans="104:111">
      <c r="CZ35699" s="256"/>
      <c r="DG35699" s="256"/>
    </row>
    <row r="35700" spans="104:111">
      <c r="CZ35700" s="256"/>
      <c r="DG35700" s="256"/>
    </row>
    <row r="35701" spans="104:111">
      <c r="CZ35701" s="256"/>
      <c r="DG35701" s="256"/>
    </row>
    <row r="35702" spans="104:111">
      <c r="CZ35702" s="256"/>
      <c r="DG35702" s="256"/>
    </row>
    <row r="35703" spans="104:111">
      <c r="CZ35703" s="256"/>
      <c r="DG35703" s="256"/>
    </row>
    <row r="35704" spans="104:111">
      <c r="CZ35704" s="256"/>
      <c r="DG35704" s="256"/>
    </row>
    <row r="35705" spans="104:111">
      <c r="CZ35705" s="256"/>
      <c r="DG35705" s="256"/>
    </row>
    <row r="35706" spans="104:111">
      <c r="CZ35706" s="256"/>
      <c r="DG35706" s="256"/>
    </row>
    <row r="35707" spans="104:111">
      <c r="CZ35707" s="256"/>
      <c r="DG35707" s="256"/>
    </row>
    <row r="35708" spans="104:111">
      <c r="CZ35708" s="256"/>
      <c r="DG35708" s="256"/>
    </row>
    <row r="35709" spans="104:111">
      <c r="CZ35709" s="256"/>
      <c r="DG35709" s="256"/>
    </row>
    <row r="35710" spans="104:111">
      <c r="CZ35710" s="256"/>
      <c r="DG35710" s="256"/>
    </row>
    <row r="35711" spans="104:111">
      <c r="CZ35711" s="256"/>
      <c r="DG35711" s="256"/>
    </row>
    <row r="35712" spans="104:111">
      <c r="CZ35712" s="256"/>
      <c r="DG35712" s="256"/>
    </row>
    <row r="35713" spans="104:111">
      <c r="CZ35713" s="256"/>
      <c r="DG35713" s="256"/>
    </row>
    <row r="35714" spans="104:111">
      <c r="CZ35714" s="256"/>
      <c r="DG35714" s="256"/>
    </row>
    <row r="35715" spans="104:111">
      <c r="CZ35715" s="256"/>
      <c r="DG35715" s="256"/>
    </row>
    <row r="35716" spans="104:111">
      <c r="CZ35716" s="256"/>
      <c r="DG35716" s="256"/>
    </row>
    <row r="35717" spans="104:111">
      <c r="CZ35717" s="256"/>
      <c r="DG35717" s="256"/>
    </row>
    <row r="35718" spans="104:111">
      <c r="CZ35718" s="256"/>
      <c r="DG35718" s="256"/>
    </row>
    <row r="35719" spans="104:111">
      <c r="CZ35719" s="256"/>
      <c r="DG35719" s="256"/>
    </row>
    <row r="35720" spans="104:111">
      <c r="CZ35720" s="256"/>
      <c r="DG35720" s="256"/>
    </row>
    <row r="35721" spans="104:111">
      <c r="CZ35721" s="256"/>
      <c r="DG35721" s="256"/>
    </row>
    <row r="35722" spans="104:111">
      <c r="CZ35722" s="256"/>
      <c r="DG35722" s="256"/>
    </row>
    <row r="35723" spans="104:111">
      <c r="CZ35723" s="256"/>
      <c r="DG35723" s="256"/>
    </row>
    <row r="35724" spans="104:111">
      <c r="CZ35724" s="256"/>
      <c r="DG35724" s="256"/>
    </row>
    <row r="35725" spans="104:111">
      <c r="CZ35725" s="256"/>
      <c r="DG35725" s="256"/>
    </row>
    <row r="35726" spans="104:111">
      <c r="CZ35726" s="256"/>
      <c r="DG35726" s="256"/>
    </row>
    <row r="35727" spans="104:111">
      <c r="CZ35727" s="256"/>
      <c r="DG35727" s="256"/>
    </row>
    <row r="35728" spans="104:111">
      <c r="CZ35728" s="256"/>
      <c r="DG35728" s="256"/>
    </row>
    <row r="35729" spans="104:111">
      <c r="CZ35729" s="256"/>
      <c r="DG35729" s="256"/>
    </row>
    <row r="35730" spans="104:111">
      <c r="CZ35730" s="256"/>
      <c r="DG35730" s="256"/>
    </row>
    <row r="35731" spans="104:111">
      <c r="CZ35731" s="256"/>
      <c r="DG35731" s="256"/>
    </row>
    <row r="35732" spans="104:111">
      <c r="CZ35732" s="256"/>
      <c r="DG35732" s="256"/>
    </row>
    <row r="35733" spans="104:111">
      <c r="CZ35733" s="256"/>
      <c r="DG35733" s="256"/>
    </row>
    <row r="35734" spans="104:111">
      <c r="CZ35734" s="256"/>
      <c r="DG35734" s="256"/>
    </row>
    <row r="35735" spans="104:111">
      <c r="CZ35735" s="256"/>
      <c r="DG35735" s="256"/>
    </row>
    <row r="35736" spans="104:111">
      <c r="CZ35736" s="256"/>
      <c r="DG35736" s="256"/>
    </row>
    <row r="35737" spans="104:111">
      <c r="CZ35737" s="256"/>
      <c r="DG35737" s="256"/>
    </row>
    <row r="35738" spans="104:111">
      <c r="CZ35738" s="256"/>
      <c r="DG35738" s="256"/>
    </row>
    <row r="35739" spans="104:111">
      <c r="CZ35739" s="256"/>
      <c r="DG35739" s="256"/>
    </row>
    <row r="35740" spans="104:111">
      <c r="CZ35740" s="256"/>
      <c r="DG35740" s="256"/>
    </row>
    <row r="35741" spans="104:111">
      <c r="CZ35741" s="256"/>
      <c r="DG35741" s="256"/>
    </row>
    <row r="35742" spans="104:111">
      <c r="CZ35742" s="256"/>
      <c r="DG35742" s="256"/>
    </row>
    <row r="35743" spans="104:111">
      <c r="CZ35743" s="256"/>
      <c r="DG35743" s="256"/>
    </row>
    <row r="35744" spans="104:111">
      <c r="CZ35744" s="256"/>
      <c r="DG35744" s="256"/>
    </row>
    <row r="35745" spans="104:111">
      <c r="CZ35745" s="256"/>
      <c r="DG35745" s="256"/>
    </row>
    <row r="35746" spans="104:111">
      <c r="CZ35746" s="256"/>
      <c r="DG35746" s="256"/>
    </row>
    <row r="35747" spans="104:111">
      <c r="CZ35747" s="256"/>
      <c r="DG35747" s="256"/>
    </row>
    <row r="35748" spans="104:111">
      <c r="CZ35748" s="256"/>
      <c r="DG35748" s="256"/>
    </row>
    <row r="35749" spans="104:111">
      <c r="CZ35749" s="256"/>
      <c r="DG35749" s="256"/>
    </row>
    <row r="35750" spans="104:111">
      <c r="CZ35750" s="256"/>
      <c r="DG35750" s="256"/>
    </row>
    <row r="35751" spans="104:111">
      <c r="CZ35751" s="256"/>
      <c r="DG35751" s="256"/>
    </row>
    <row r="35752" spans="104:111">
      <c r="CZ35752" s="256"/>
      <c r="DG35752" s="256"/>
    </row>
    <row r="35753" spans="104:111">
      <c r="CZ35753" s="256"/>
      <c r="DG35753" s="256"/>
    </row>
    <row r="35754" spans="104:111">
      <c r="CZ35754" s="256"/>
      <c r="DG35754" s="256"/>
    </row>
    <row r="35755" spans="104:111">
      <c r="CZ35755" s="256"/>
      <c r="DG35755" s="256"/>
    </row>
    <row r="35756" spans="104:111">
      <c r="CZ35756" s="256"/>
      <c r="DG35756" s="256"/>
    </row>
    <row r="35757" spans="104:111">
      <c r="CZ35757" s="256"/>
      <c r="DG35757" s="256"/>
    </row>
    <row r="35758" spans="104:111">
      <c r="CZ35758" s="256"/>
      <c r="DG35758" s="256"/>
    </row>
    <row r="35759" spans="104:111">
      <c r="CZ35759" s="256"/>
      <c r="DG35759" s="256"/>
    </row>
    <row r="35760" spans="104:111">
      <c r="CZ35760" s="256"/>
      <c r="DG35760" s="256"/>
    </row>
    <row r="35761" spans="104:111">
      <c r="CZ35761" s="256"/>
      <c r="DG35761" s="256"/>
    </row>
    <row r="35762" spans="104:111">
      <c r="CZ35762" s="256"/>
      <c r="DG35762" s="256"/>
    </row>
    <row r="35763" spans="104:111">
      <c r="CZ35763" s="256"/>
      <c r="DG35763" s="256"/>
    </row>
    <row r="35764" spans="104:111">
      <c r="CZ35764" s="256"/>
      <c r="DG35764" s="256"/>
    </row>
    <row r="35765" spans="104:111">
      <c r="CZ35765" s="256"/>
      <c r="DG35765" s="256"/>
    </row>
    <row r="35766" spans="104:111">
      <c r="CZ35766" s="256"/>
      <c r="DG35766" s="256"/>
    </row>
    <row r="35767" spans="104:111">
      <c r="CZ35767" s="256"/>
      <c r="DG35767" s="256"/>
    </row>
    <row r="35768" spans="104:111">
      <c r="CZ35768" s="256"/>
      <c r="DG35768" s="256"/>
    </row>
    <row r="35769" spans="104:111">
      <c r="CZ35769" s="256"/>
      <c r="DG35769" s="256"/>
    </row>
    <row r="35770" spans="104:111">
      <c r="CZ35770" s="256"/>
      <c r="DG35770" s="256"/>
    </row>
    <row r="35771" spans="104:111">
      <c r="CZ35771" s="256"/>
      <c r="DG35771" s="256"/>
    </row>
    <row r="35772" spans="104:111">
      <c r="CZ35772" s="256"/>
      <c r="DG35772" s="256"/>
    </row>
    <row r="35773" spans="104:111">
      <c r="CZ35773" s="256"/>
      <c r="DG35773" s="256"/>
    </row>
    <row r="35774" spans="104:111">
      <c r="CZ35774" s="256"/>
      <c r="DG35774" s="256"/>
    </row>
    <row r="35775" spans="104:111">
      <c r="CZ35775" s="256"/>
      <c r="DG35775" s="256"/>
    </row>
    <row r="35776" spans="104:111">
      <c r="CZ35776" s="256"/>
      <c r="DG35776" s="256"/>
    </row>
    <row r="35777" spans="104:111">
      <c r="CZ35777" s="256"/>
      <c r="DG35777" s="256"/>
    </row>
    <row r="35778" spans="104:111">
      <c r="CZ35778" s="256"/>
      <c r="DG35778" s="256"/>
    </row>
    <row r="35779" spans="104:111">
      <c r="CZ35779" s="256"/>
      <c r="DG35779" s="256"/>
    </row>
    <row r="35780" spans="104:111">
      <c r="CZ35780" s="256"/>
      <c r="DG35780" s="256"/>
    </row>
    <row r="35781" spans="104:111">
      <c r="CZ35781" s="256"/>
      <c r="DG35781" s="256"/>
    </row>
    <row r="35782" spans="104:111">
      <c r="CZ35782" s="256"/>
      <c r="DG35782" s="256"/>
    </row>
    <row r="35783" spans="104:111">
      <c r="CZ35783" s="256"/>
      <c r="DG35783" s="256"/>
    </row>
    <row r="35784" spans="104:111">
      <c r="CZ35784" s="256"/>
      <c r="DG35784" s="256"/>
    </row>
    <row r="35785" spans="104:111">
      <c r="CZ35785" s="256"/>
      <c r="DG35785" s="256"/>
    </row>
    <row r="35786" spans="104:111">
      <c r="CZ35786" s="256"/>
      <c r="DG35786" s="256"/>
    </row>
    <row r="35787" spans="104:111">
      <c r="CZ35787" s="256"/>
      <c r="DG35787" s="256"/>
    </row>
    <row r="35788" spans="104:111">
      <c r="CZ35788" s="256"/>
      <c r="DG35788" s="256"/>
    </row>
    <row r="35789" spans="104:111">
      <c r="CZ35789" s="256"/>
      <c r="DG35789" s="256"/>
    </row>
    <row r="35790" spans="104:111">
      <c r="CZ35790" s="256"/>
      <c r="DG35790" s="256"/>
    </row>
    <row r="35791" spans="104:111">
      <c r="CZ35791" s="256"/>
      <c r="DG35791" s="256"/>
    </row>
    <row r="35792" spans="104:111">
      <c r="CZ35792" s="256"/>
      <c r="DG35792" s="256"/>
    </row>
    <row r="35793" spans="104:111">
      <c r="CZ35793" s="256"/>
      <c r="DG35793" s="256"/>
    </row>
    <row r="35794" spans="104:111">
      <c r="CZ35794" s="256"/>
      <c r="DG35794" s="256"/>
    </row>
    <row r="35795" spans="104:111">
      <c r="CZ35795" s="256"/>
      <c r="DG35795" s="256"/>
    </row>
    <row r="35796" spans="104:111">
      <c r="CZ35796" s="256"/>
      <c r="DG35796" s="256"/>
    </row>
    <row r="35797" spans="104:111">
      <c r="CZ35797" s="256"/>
      <c r="DG35797" s="256"/>
    </row>
    <row r="35798" spans="104:111">
      <c r="CZ35798" s="256"/>
      <c r="DG35798" s="256"/>
    </row>
    <row r="35799" spans="104:111">
      <c r="CZ35799" s="256"/>
      <c r="DG35799" s="256"/>
    </row>
    <row r="35800" spans="104:111">
      <c r="CZ35800" s="256"/>
      <c r="DG35800" s="256"/>
    </row>
    <row r="35801" spans="104:111">
      <c r="CZ35801" s="256"/>
      <c r="DG35801" s="256"/>
    </row>
    <row r="35802" spans="104:111">
      <c r="CZ35802" s="256"/>
      <c r="DG35802" s="256"/>
    </row>
    <row r="35803" spans="104:111">
      <c r="CZ35803" s="256"/>
      <c r="DG35803" s="256"/>
    </row>
    <row r="35804" spans="104:111">
      <c r="CZ35804" s="256"/>
      <c r="DG35804" s="256"/>
    </row>
    <row r="35805" spans="104:111">
      <c r="CZ35805" s="256"/>
      <c r="DG35805" s="256"/>
    </row>
    <row r="35806" spans="104:111">
      <c r="CZ35806" s="256"/>
      <c r="DG35806" s="256"/>
    </row>
    <row r="35807" spans="104:111">
      <c r="CZ35807" s="256"/>
      <c r="DG35807" s="256"/>
    </row>
    <row r="35808" spans="104:111">
      <c r="CZ35808" s="256"/>
      <c r="DG35808" s="256"/>
    </row>
    <row r="35809" spans="104:111">
      <c r="CZ35809" s="256"/>
      <c r="DG35809" s="256"/>
    </row>
    <row r="35810" spans="104:111">
      <c r="CZ35810" s="256"/>
      <c r="DG35810" s="256"/>
    </row>
    <row r="35811" spans="104:111">
      <c r="CZ35811" s="256"/>
      <c r="DG35811" s="256"/>
    </row>
    <row r="35812" spans="104:111">
      <c r="CZ35812" s="256"/>
      <c r="DG35812" s="256"/>
    </row>
    <row r="35813" spans="104:111">
      <c r="CZ35813" s="256"/>
      <c r="DG35813" s="256"/>
    </row>
    <row r="35814" spans="104:111">
      <c r="CZ35814" s="256"/>
      <c r="DG35814" s="256"/>
    </row>
    <row r="35815" spans="104:111">
      <c r="CZ35815" s="256"/>
      <c r="DG35815" s="256"/>
    </row>
    <row r="35816" spans="104:111">
      <c r="CZ35816" s="256"/>
      <c r="DG35816" s="256"/>
    </row>
    <row r="35817" spans="104:111">
      <c r="CZ35817" s="256"/>
      <c r="DG35817" s="256"/>
    </row>
    <row r="35818" spans="104:111">
      <c r="CZ35818" s="256"/>
      <c r="DG35818" s="256"/>
    </row>
    <row r="35819" spans="104:111">
      <c r="CZ35819" s="256"/>
      <c r="DG35819" s="256"/>
    </row>
    <row r="35820" spans="104:111">
      <c r="CZ35820" s="256"/>
      <c r="DG35820" s="256"/>
    </row>
    <row r="35821" spans="104:111">
      <c r="CZ35821" s="256"/>
      <c r="DG35821" s="256"/>
    </row>
    <row r="35822" spans="104:111">
      <c r="CZ35822" s="256"/>
      <c r="DG35822" s="256"/>
    </row>
    <row r="35823" spans="104:111">
      <c r="CZ35823" s="256"/>
      <c r="DG35823" s="256"/>
    </row>
    <row r="35824" spans="104:111">
      <c r="CZ35824" s="256"/>
      <c r="DG35824" s="256"/>
    </row>
    <row r="35825" spans="104:111">
      <c r="CZ35825" s="256"/>
      <c r="DG35825" s="256"/>
    </row>
    <row r="35826" spans="104:111">
      <c r="CZ35826" s="256"/>
      <c r="DG35826" s="256"/>
    </row>
    <row r="35827" spans="104:111">
      <c r="CZ35827" s="256"/>
      <c r="DG35827" s="256"/>
    </row>
    <row r="35828" spans="104:111">
      <c r="CZ35828" s="256"/>
      <c r="DG35828" s="256"/>
    </row>
    <row r="35829" spans="104:111">
      <c r="CZ35829" s="256"/>
      <c r="DG35829" s="256"/>
    </row>
    <row r="35830" spans="104:111">
      <c r="CZ35830" s="256"/>
      <c r="DG35830" s="256"/>
    </row>
    <row r="35831" spans="104:111">
      <c r="CZ35831" s="256"/>
      <c r="DG35831" s="256"/>
    </row>
    <row r="35832" spans="104:111">
      <c r="CZ35832" s="256"/>
      <c r="DG35832" s="256"/>
    </row>
    <row r="35833" spans="104:111">
      <c r="CZ35833" s="256"/>
      <c r="DG35833" s="256"/>
    </row>
    <row r="35834" spans="104:111">
      <c r="CZ35834" s="256"/>
      <c r="DG35834" s="256"/>
    </row>
    <row r="35835" spans="104:111">
      <c r="CZ35835" s="256"/>
      <c r="DG35835" s="256"/>
    </row>
    <row r="35836" spans="104:111">
      <c r="CZ35836" s="256"/>
      <c r="DG35836" s="256"/>
    </row>
    <row r="35837" spans="104:111">
      <c r="CZ35837" s="256"/>
      <c r="DG35837" s="256"/>
    </row>
    <row r="35838" spans="104:111">
      <c r="CZ35838" s="256"/>
      <c r="DG35838" s="256"/>
    </row>
    <row r="35839" spans="104:111">
      <c r="CZ35839" s="256"/>
      <c r="DG35839" s="256"/>
    </row>
    <row r="35840" spans="104:111">
      <c r="CZ35840" s="256"/>
      <c r="DG35840" s="256"/>
    </row>
    <row r="35841" spans="104:111">
      <c r="CZ35841" s="256"/>
      <c r="DG35841" s="256"/>
    </row>
    <row r="35842" spans="104:111">
      <c r="CZ35842" s="256"/>
      <c r="DG35842" s="256"/>
    </row>
    <row r="35843" spans="104:111">
      <c r="CZ35843" s="256"/>
      <c r="DG35843" s="256"/>
    </row>
    <row r="35844" spans="104:111">
      <c r="CZ35844" s="256"/>
      <c r="DG35844" s="256"/>
    </row>
    <row r="35845" spans="104:111">
      <c r="CZ35845" s="256"/>
      <c r="DG35845" s="256"/>
    </row>
    <row r="35846" spans="104:111">
      <c r="CZ35846" s="256"/>
      <c r="DG35846" s="256"/>
    </row>
    <row r="35847" spans="104:111">
      <c r="CZ35847" s="256"/>
      <c r="DG35847" s="256"/>
    </row>
    <row r="35848" spans="104:111">
      <c r="CZ35848" s="256"/>
      <c r="DG35848" s="256"/>
    </row>
    <row r="35849" spans="104:111">
      <c r="CZ35849" s="256"/>
      <c r="DG35849" s="256"/>
    </row>
    <row r="35850" spans="104:111">
      <c r="CZ35850" s="256"/>
      <c r="DG35850" s="256"/>
    </row>
    <row r="35851" spans="104:111">
      <c r="CZ35851" s="256"/>
      <c r="DG35851" s="256"/>
    </row>
    <row r="35852" spans="104:111">
      <c r="CZ35852" s="256"/>
      <c r="DG35852" s="256"/>
    </row>
    <row r="35853" spans="104:111">
      <c r="CZ35853" s="256"/>
      <c r="DG35853" s="256"/>
    </row>
    <row r="35854" spans="104:111">
      <c r="CZ35854" s="256"/>
      <c r="DG35854" s="256"/>
    </row>
    <row r="35855" spans="104:111">
      <c r="CZ35855" s="256"/>
      <c r="DG35855" s="256"/>
    </row>
    <row r="35856" spans="104:111">
      <c r="CZ35856" s="256"/>
      <c r="DG35856" s="256"/>
    </row>
    <row r="35857" spans="104:111">
      <c r="CZ35857" s="256"/>
      <c r="DG35857" s="256"/>
    </row>
    <row r="35858" spans="104:111">
      <c r="CZ35858" s="256"/>
      <c r="DG35858" s="256"/>
    </row>
    <row r="35859" spans="104:111">
      <c r="CZ35859" s="256"/>
      <c r="DG35859" s="256"/>
    </row>
    <row r="35860" spans="104:111">
      <c r="CZ35860" s="256"/>
      <c r="DG35860" s="256"/>
    </row>
    <row r="35861" spans="104:111">
      <c r="CZ35861" s="256"/>
      <c r="DG35861" s="256"/>
    </row>
    <row r="35862" spans="104:111">
      <c r="CZ35862" s="256"/>
      <c r="DG35862" s="256"/>
    </row>
    <row r="35863" spans="104:111">
      <c r="CZ35863" s="256"/>
      <c r="DG35863" s="256"/>
    </row>
    <row r="35864" spans="104:111">
      <c r="CZ35864" s="256"/>
      <c r="DG35864" s="256"/>
    </row>
    <row r="35865" spans="104:111">
      <c r="CZ35865" s="256"/>
      <c r="DG35865" s="256"/>
    </row>
    <row r="35866" spans="104:111">
      <c r="CZ35866" s="256"/>
      <c r="DG35866" s="256"/>
    </row>
    <row r="35867" spans="104:111">
      <c r="CZ35867" s="256"/>
      <c r="DG35867" s="256"/>
    </row>
    <row r="35868" spans="104:111">
      <c r="CZ35868" s="256"/>
      <c r="DG35868" s="256"/>
    </row>
    <row r="35869" spans="104:111">
      <c r="CZ35869" s="256"/>
      <c r="DG35869" s="256"/>
    </row>
    <row r="35870" spans="104:111">
      <c r="CZ35870" s="256"/>
      <c r="DG35870" s="256"/>
    </row>
    <row r="35871" spans="104:111">
      <c r="CZ35871" s="256"/>
      <c r="DG35871" s="256"/>
    </row>
    <row r="35872" spans="104:111">
      <c r="CZ35872" s="256"/>
      <c r="DG35872" s="256"/>
    </row>
    <row r="35873" spans="104:111">
      <c r="CZ35873" s="256"/>
      <c r="DG35873" s="256"/>
    </row>
    <row r="35874" spans="104:111">
      <c r="CZ35874" s="256"/>
      <c r="DG35874" s="256"/>
    </row>
    <row r="35875" spans="104:111">
      <c r="CZ35875" s="256"/>
      <c r="DG35875" s="256"/>
    </row>
    <row r="35876" spans="104:111">
      <c r="CZ35876" s="256"/>
      <c r="DG35876" s="256"/>
    </row>
    <row r="35877" spans="104:111">
      <c r="CZ35877" s="256"/>
      <c r="DG35877" s="256"/>
    </row>
    <row r="35878" spans="104:111">
      <c r="CZ35878" s="256"/>
      <c r="DG35878" s="256"/>
    </row>
    <row r="35879" spans="104:111">
      <c r="CZ35879" s="256"/>
      <c r="DG35879" s="256"/>
    </row>
    <row r="35880" spans="104:111">
      <c r="CZ35880" s="256"/>
      <c r="DG35880" s="256"/>
    </row>
    <row r="35881" spans="104:111">
      <c r="CZ35881" s="256"/>
      <c r="DG35881" s="256"/>
    </row>
    <row r="35882" spans="104:111">
      <c r="CZ35882" s="256"/>
      <c r="DG35882" s="256"/>
    </row>
    <row r="35883" spans="104:111">
      <c r="CZ35883" s="256"/>
      <c r="DG35883" s="256"/>
    </row>
    <row r="35884" spans="104:111">
      <c r="CZ35884" s="256"/>
      <c r="DG35884" s="256"/>
    </row>
    <row r="35885" spans="104:111">
      <c r="CZ35885" s="256"/>
      <c r="DG35885" s="256"/>
    </row>
    <row r="35886" spans="104:111">
      <c r="CZ35886" s="256"/>
      <c r="DG35886" s="256"/>
    </row>
    <row r="35887" spans="104:111">
      <c r="CZ35887" s="256"/>
      <c r="DG35887" s="256"/>
    </row>
    <row r="35888" spans="104:111">
      <c r="CZ35888" s="256"/>
      <c r="DG35888" s="256"/>
    </row>
    <row r="35889" spans="104:111">
      <c r="CZ35889" s="256"/>
      <c r="DG35889" s="256"/>
    </row>
    <row r="35890" spans="104:111">
      <c r="CZ35890" s="256"/>
      <c r="DG35890" s="256"/>
    </row>
    <row r="35891" spans="104:111">
      <c r="CZ35891" s="256"/>
      <c r="DG35891" s="256"/>
    </row>
    <row r="35892" spans="104:111">
      <c r="CZ35892" s="256"/>
      <c r="DG35892" s="256"/>
    </row>
    <row r="35893" spans="104:111">
      <c r="CZ35893" s="256"/>
      <c r="DG35893" s="256"/>
    </row>
    <row r="35894" spans="104:111">
      <c r="CZ35894" s="256"/>
      <c r="DG35894" s="256"/>
    </row>
    <row r="35895" spans="104:111">
      <c r="CZ35895" s="256"/>
      <c r="DG35895" s="256"/>
    </row>
    <row r="35896" spans="104:111">
      <c r="CZ35896" s="256"/>
      <c r="DG35896" s="256"/>
    </row>
    <row r="35897" spans="104:111">
      <c r="CZ35897" s="256"/>
      <c r="DG35897" s="256"/>
    </row>
    <row r="35898" spans="104:111">
      <c r="CZ35898" s="256"/>
      <c r="DG35898" s="256"/>
    </row>
    <row r="35899" spans="104:111">
      <c r="CZ35899" s="256"/>
      <c r="DG35899" s="256"/>
    </row>
    <row r="35900" spans="104:111">
      <c r="CZ35900" s="256"/>
      <c r="DG35900" s="256"/>
    </row>
    <row r="35901" spans="104:111">
      <c r="CZ35901" s="256"/>
      <c r="DG35901" s="256"/>
    </row>
    <row r="35902" spans="104:111">
      <c r="CZ35902" s="256"/>
      <c r="DG35902" s="256"/>
    </row>
    <row r="35903" spans="104:111">
      <c r="CZ35903" s="256"/>
      <c r="DG35903" s="256"/>
    </row>
    <row r="35904" spans="104:111">
      <c r="CZ35904" s="256"/>
      <c r="DG35904" s="256"/>
    </row>
    <row r="35905" spans="104:111">
      <c r="CZ35905" s="256"/>
      <c r="DG35905" s="256"/>
    </row>
    <row r="35906" spans="104:111">
      <c r="CZ35906" s="256"/>
      <c r="DG35906" s="256"/>
    </row>
    <row r="35907" spans="104:111">
      <c r="CZ35907" s="256"/>
      <c r="DG35907" s="256"/>
    </row>
    <row r="35908" spans="104:111">
      <c r="CZ35908" s="256"/>
      <c r="DG35908" s="256"/>
    </row>
    <row r="35909" spans="104:111">
      <c r="CZ35909" s="256"/>
      <c r="DG35909" s="256"/>
    </row>
    <row r="35910" spans="104:111">
      <c r="CZ35910" s="256"/>
      <c r="DG35910" s="256"/>
    </row>
    <row r="35911" spans="104:111">
      <c r="CZ35911" s="256"/>
      <c r="DG35911" s="256"/>
    </row>
    <row r="35912" spans="104:111">
      <c r="CZ35912" s="256"/>
      <c r="DG35912" s="256"/>
    </row>
    <row r="35913" spans="104:111">
      <c r="CZ35913" s="256"/>
      <c r="DG35913" s="256"/>
    </row>
    <row r="35914" spans="104:111">
      <c r="CZ35914" s="256"/>
      <c r="DG35914" s="256"/>
    </row>
    <row r="35915" spans="104:111">
      <c r="CZ35915" s="256"/>
      <c r="DG35915" s="256"/>
    </row>
    <row r="35916" spans="104:111">
      <c r="CZ35916" s="256"/>
      <c r="DG35916" s="256"/>
    </row>
    <row r="35917" spans="104:111">
      <c r="CZ35917" s="256"/>
      <c r="DG35917" s="256"/>
    </row>
    <row r="35918" spans="104:111">
      <c r="CZ35918" s="256"/>
      <c r="DG35918" s="256"/>
    </row>
    <row r="35919" spans="104:111">
      <c r="CZ35919" s="256"/>
      <c r="DG35919" s="256"/>
    </row>
    <row r="35920" spans="104:111">
      <c r="CZ35920" s="256"/>
      <c r="DG35920" s="256"/>
    </row>
    <row r="35921" spans="104:111">
      <c r="CZ35921" s="256"/>
      <c r="DG35921" s="256"/>
    </row>
    <row r="35922" spans="104:111">
      <c r="CZ35922" s="256"/>
      <c r="DG35922" s="256"/>
    </row>
    <row r="35923" spans="104:111">
      <c r="CZ35923" s="256"/>
      <c r="DG35923" s="256"/>
    </row>
    <row r="35924" spans="104:111">
      <c r="CZ35924" s="256"/>
      <c r="DG35924" s="256"/>
    </row>
    <row r="35925" spans="104:111">
      <c r="CZ35925" s="256"/>
      <c r="DG35925" s="256"/>
    </row>
    <row r="35926" spans="104:111">
      <c r="CZ35926" s="256"/>
      <c r="DG35926" s="256"/>
    </row>
    <row r="35927" spans="104:111">
      <c r="CZ35927" s="256"/>
      <c r="DG35927" s="256"/>
    </row>
    <row r="35928" spans="104:111">
      <c r="CZ35928" s="256"/>
      <c r="DG35928" s="256"/>
    </row>
    <row r="35929" spans="104:111">
      <c r="CZ35929" s="256"/>
      <c r="DG35929" s="256"/>
    </row>
    <row r="35930" spans="104:111">
      <c r="CZ35930" s="256"/>
      <c r="DG35930" s="256"/>
    </row>
    <row r="35931" spans="104:111">
      <c r="CZ35931" s="256"/>
      <c r="DG35931" s="256"/>
    </row>
    <row r="35932" spans="104:111">
      <c r="CZ35932" s="256"/>
      <c r="DG35932" s="256"/>
    </row>
    <row r="35933" spans="104:111">
      <c r="CZ35933" s="256"/>
      <c r="DG35933" s="256"/>
    </row>
    <row r="35934" spans="104:111">
      <c r="CZ35934" s="256"/>
      <c r="DG35934" s="256"/>
    </row>
    <row r="35935" spans="104:111">
      <c r="CZ35935" s="256"/>
      <c r="DG35935" s="256"/>
    </row>
    <row r="35936" spans="104:111">
      <c r="CZ35936" s="256"/>
      <c r="DG35936" s="256"/>
    </row>
    <row r="35937" spans="104:111">
      <c r="CZ35937" s="256"/>
      <c r="DG35937" s="256"/>
    </row>
    <row r="35938" spans="104:111">
      <c r="CZ35938" s="256"/>
      <c r="DG35938" s="256"/>
    </row>
    <row r="35939" spans="104:111">
      <c r="CZ35939" s="256"/>
      <c r="DG35939" s="256"/>
    </row>
    <row r="35940" spans="104:111">
      <c r="CZ35940" s="256"/>
      <c r="DG35940" s="256"/>
    </row>
    <row r="35941" spans="104:111">
      <c r="CZ35941" s="256"/>
      <c r="DG35941" s="256"/>
    </row>
    <row r="35942" spans="104:111">
      <c r="CZ35942" s="256"/>
      <c r="DG35942" s="256"/>
    </row>
    <row r="35943" spans="104:111">
      <c r="CZ35943" s="256"/>
      <c r="DG35943" s="256"/>
    </row>
    <row r="35944" spans="104:111">
      <c r="CZ35944" s="256"/>
      <c r="DG35944" s="256"/>
    </row>
    <row r="35945" spans="104:111">
      <c r="CZ35945" s="256"/>
      <c r="DG35945" s="256"/>
    </row>
    <row r="35946" spans="104:111">
      <c r="CZ35946" s="256"/>
      <c r="DG35946" s="256"/>
    </row>
    <row r="35947" spans="104:111">
      <c r="CZ35947" s="256"/>
      <c r="DG35947" s="256"/>
    </row>
    <row r="35948" spans="104:111">
      <c r="CZ35948" s="256"/>
      <c r="DG35948" s="256"/>
    </row>
    <row r="35949" spans="104:111">
      <c r="CZ35949" s="256"/>
      <c r="DG35949" s="256"/>
    </row>
    <row r="35950" spans="104:111">
      <c r="CZ35950" s="256"/>
      <c r="DG35950" s="256"/>
    </row>
    <row r="35951" spans="104:111">
      <c r="CZ35951" s="256"/>
      <c r="DG35951" s="256"/>
    </row>
    <row r="35952" spans="104:111">
      <c r="CZ35952" s="256"/>
      <c r="DG35952" s="256"/>
    </row>
    <row r="35953" spans="104:111">
      <c r="CZ35953" s="256"/>
      <c r="DG35953" s="256"/>
    </row>
    <row r="35954" spans="104:111">
      <c r="CZ35954" s="256"/>
      <c r="DG35954" s="256"/>
    </row>
    <row r="35955" spans="104:111">
      <c r="CZ35955" s="256"/>
      <c r="DG35955" s="256"/>
    </row>
    <row r="35956" spans="104:111">
      <c r="CZ35956" s="256"/>
      <c r="DG35956" s="256"/>
    </row>
    <row r="35957" spans="104:111">
      <c r="CZ35957" s="256"/>
      <c r="DG35957" s="256"/>
    </row>
    <row r="35958" spans="104:111">
      <c r="CZ35958" s="256"/>
      <c r="DG35958" s="256"/>
    </row>
    <row r="35959" spans="104:111">
      <c r="CZ35959" s="256"/>
      <c r="DG35959" s="256"/>
    </row>
    <row r="35960" spans="104:111">
      <c r="CZ35960" s="256"/>
      <c r="DG35960" s="256"/>
    </row>
    <row r="35961" spans="104:111">
      <c r="CZ35961" s="256"/>
      <c r="DG35961" s="256"/>
    </row>
    <row r="35962" spans="104:111">
      <c r="CZ35962" s="256"/>
      <c r="DG35962" s="256"/>
    </row>
    <row r="35963" spans="104:111">
      <c r="CZ35963" s="256"/>
      <c r="DG35963" s="256"/>
    </row>
    <row r="35964" spans="104:111">
      <c r="CZ35964" s="256"/>
      <c r="DG35964" s="256"/>
    </row>
    <row r="35965" spans="104:111">
      <c r="CZ35965" s="256"/>
      <c r="DG35965" s="256"/>
    </row>
    <row r="35966" spans="104:111">
      <c r="CZ35966" s="256"/>
      <c r="DG35966" s="256"/>
    </row>
    <row r="35967" spans="104:111">
      <c r="CZ35967" s="256"/>
      <c r="DG35967" s="256"/>
    </row>
    <row r="35968" spans="104:111">
      <c r="CZ35968" s="256"/>
      <c r="DG35968" s="256"/>
    </row>
    <row r="35969" spans="104:111">
      <c r="CZ35969" s="256"/>
      <c r="DG35969" s="256"/>
    </row>
    <row r="35970" spans="104:111">
      <c r="CZ35970" s="256"/>
      <c r="DG35970" s="256"/>
    </row>
    <row r="35971" spans="104:111">
      <c r="CZ35971" s="256"/>
      <c r="DG35971" s="256"/>
    </row>
    <row r="35972" spans="104:111">
      <c r="CZ35972" s="256"/>
      <c r="DG35972" s="256"/>
    </row>
    <row r="35973" spans="104:111">
      <c r="CZ35973" s="256"/>
      <c r="DG35973" s="256"/>
    </row>
    <row r="35974" spans="104:111">
      <c r="CZ35974" s="256"/>
      <c r="DG35974" s="256"/>
    </row>
    <row r="35975" spans="104:111">
      <c r="CZ35975" s="256"/>
      <c r="DG35975" s="256"/>
    </row>
    <row r="35976" spans="104:111">
      <c r="CZ35976" s="256"/>
      <c r="DG35976" s="256"/>
    </row>
    <row r="35977" spans="104:111">
      <c r="CZ35977" s="256"/>
      <c r="DG35977" s="256"/>
    </row>
    <row r="35978" spans="104:111">
      <c r="CZ35978" s="256"/>
      <c r="DG35978" s="256"/>
    </row>
    <row r="35979" spans="104:111">
      <c r="CZ35979" s="256"/>
      <c r="DG35979" s="256"/>
    </row>
    <row r="35980" spans="104:111">
      <c r="CZ35980" s="256"/>
      <c r="DG35980" s="256"/>
    </row>
    <row r="35981" spans="104:111">
      <c r="CZ35981" s="256"/>
      <c r="DG35981" s="256"/>
    </row>
    <row r="35982" spans="104:111">
      <c r="CZ35982" s="256"/>
      <c r="DG35982" s="256"/>
    </row>
    <row r="35983" spans="104:111">
      <c r="CZ35983" s="256"/>
      <c r="DG35983" s="256"/>
    </row>
    <row r="35984" spans="104:111">
      <c r="CZ35984" s="256"/>
      <c r="DG35984" s="256"/>
    </row>
    <row r="35985" spans="104:111">
      <c r="CZ35985" s="256"/>
      <c r="DG35985" s="256"/>
    </row>
    <row r="35986" spans="104:111">
      <c r="CZ35986" s="256"/>
      <c r="DG35986" s="256"/>
    </row>
    <row r="35987" spans="104:111">
      <c r="CZ35987" s="256"/>
      <c r="DG35987" s="256"/>
    </row>
    <row r="35988" spans="104:111">
      <c r="CZ35988" s="256"/>
      <c r="DG35988" s="256"/>
    </row>
    <row r="35989" spans="104:111">
      <c r="CZ35989" s="256"/>
      <c r="DG35989" s="256"/>
    </row>
    <row r="35990" spans="104:111">
      <c r="CZ35990" s="256"/>
      <c r="DG35990" s="256"/>
    </row>
    <row r="35991" spans="104:111">
      <c r="CZ35991" s="256"/>
      <c r="DG35991" s="256"/>
    </row>
    <row r="35992" spans="104:111">
      <c r="CZ35992" s="256"/>
      <c r="DG35992" s="256"/>
    </row>
    <row r="35993" spans="104:111">
      <c r="CZ35993" s="256"/>
      <c r="DG35993" s="256"/>
    </row>
    <row r="35994" spans="104:111">
      <c r="CZ35994" s="256"/>
      <c r="DG35994" s="256"/>
    </row>
    <row r="35995" spans="104:111">
      <c r="CZ35995" s="256"/>
      <c r="DG35995" s="256"/>
    </row>
    <row r="35996" spans="104:111">
      <c r="CZ35996" s="256"/>
      <c r="DG35996" s="256"/>
    </row>
    <row r="35997" spans="104:111">
      <c r="CZ35997" s="256"/>
      <c r="DG35997" s="256"/>
    </row>
    <row r="35998" spans="104:111">
      <c r="CZ35998" s="256"/>
      <c r="DG35998" s="256"/>
    </row>
    <row r="35999" spans="104:111">
      <c r="CZ35999" s="256"/>
      <c r="DG35999" s="256"/>
    </row>
    <row r="36000" spans="104:111">
      <c r="CZ36000" s="256"/>
      <c r="DG36000" s="256"/>
    </row>
    <row r="36001" spans="104:111">
      <c r="CZ36001" s="256"/>
      <c r="DG36001" s="256"/>
    </row>
    <row r="36002" spans="104:111">
      <c r="CZ36002" s="256"/>
      <c r="DG36002" s="256"/>
    </row>
    <row r="36003" spans="104:111">
      <c r="CZ36003" s="256"/>
      <c r="DG36003" s="256"/>
    </row>
    <row r="36004" spans="104:111">
      <c r="CZ36004" s="256"/>
      <c r="DG36004" s="256"/>
    </row>
    <row r="36005" spans="104:111">
      <c r="CZ36005" s="256"/>
      <c r="DG36005" s="256"/>
    </row>
    <row r="36006" spans="104:111">
      <c r="CZ36006" s="256"/>
      <c r="DG36006" s="256"/>
    </row>
    <row r="36007" spans="104:111">
      <c r="CZ36007" s="256"/>
      <c r="DG36007" s="256"/>
    </row>
    <row r="36008" spans="104:111">
      <c r="CZ36008" s="256"/>
      <c r="DG36008" s="256"/>
    </row>
    <row r="36009" spans="104:111">
      <c r="CZ36009" s="256"/>
      <c r="DG36009" s="256"/>
    </row>
    <row r="36010" spans="104:111">
      <c r="CZ36010" s="256"/>
      <c r="DG36010" s="256"/>
    </row>
    <row r="36011" spans="104:111">
      <c r="CZ36011" s="256"/>
      <c r="DG36011" s="256"/>
    </row>
    <row r="36012" spans="104:111">
      <c r="CZ36012" s="256"/>
      <c r="DG36012" s="256"/>
    </row>
    <row r="36013" spans="104:111">
      <c r="CZ36013" s="256"/>
      <c r="DG36013" s="256"/>
    </row>
    <row r="36014" spans="104:111">
      <c r="CZ36014" s="256"/>
      <c r="DG36014" s="256"/>
    </row>
    <row r="36015" spans="104:111">
      <c r="CZ36015" s="256"/>
      <c r="DG36015" s="256"/>
    </row>
    <row r="36016" spans="104:111">
      <c r="CZ36016" s="256"/>
      <c r="DG36016" s="256"/>
    </row>
    <row r="36017" spans="104:111">
      <c r="CZ36017" s="256"/>
      <c r="DG36017" s="256"/>
    </row>
    <row r="36018" spans="104:111">
      <c r="CZ36018" s="256"/>
      <c r="DG36018" s="256"/>
    </row>
    <row r="36019" spans="104:111">
      <c r="CZ36019" s="256"/>
      <c r="DG36019" s="256"/>
    </row>
    <row r="36020" spans="104:111">
      <c r="CZ36020" s="256"/>
      <c r="DG36020" s="256"/>
    </row>
    <row r="36021" spans="104:111">
      <c r="CZ36021" s="256"/>
      <c r="DG36021" s="256"/>
    </row>
    <row r="36022" spans="104:111">
      <c r="CZ36022" s="256"/>
      <c r="DG36022" s="256"/>
    </row>
    <row r="36023" spans="104:111">
      <c r="CZ36023" s="256"/>
      <c r="DG36023" s="256"/>
    </row>
    <row r="36024" spans="104:111">
      <c r="CZ36024" s="256"/>
      <c r="DG36024" s="256"/>
    </row>
    <row r="36025" spans="104:111">
      <c r="CZ36025" s="256"/>
      <c r="DG36025" s="256"/>
    </row>
    <row r="36026" spans="104:111">
      <c r="CZ36026" s="256"/>
      <c r="DG36026" s="256"/>
    </row>
    <row r="36027" spans="104:111">
      <c r="CZ36027" s="256"/>
      <c r="DG36027" s="256"/>
    </row>
    <row r="36028" spans="104:111">
      <c r="CZ36028" s="256"/>
      <c r="DG36028" s="256"/>
    </row>
    <row r="36029" spans="104:111">
      <c r="CZ36029" s="256"/>
      <c r="DG36029" s="256"/>
    </row>
    <row r="36030" spans="104:111">
      <c r="CZ36030" s="256"/>
      <c r="DG36030" s="256"/>
    </row>
    <row r="36031" spans="104:111">
      <c r="CZ36031" s="256"/>
      <c r="DG36031" s="256"/>
    </row>
    <row r="36032" spans="104:111">
      <c r="CZ36032" s="256"/>
      <c r="DG36032" s="256"/>
    </row>
    <row r="36033" spans="104:111">
      <c r="CZ36033" s="256"/>
      <c r="DG36033" s="256"/>
    </row>
    <row r="36034" spans="104:111">
      <c r="CZ36034" s="256"/>
      <c r="DG36034" s="256"/>
    </row>
    <row r="36035" spans="104:111">
      <c r="CZ36035" s="256"/>
      <c r="DG36035" s="256"/>
    </row>
    <row r="36036" spans="104:111">
      <c r="CZ36036" s="256"/>
      <c r="DG36036" s="256"/>
    </row>
    <row r="36037" spans="104:111">
      <c r="CZ36037" s="256"/>
      <c r="DG36037" s="256"/>
    </row>
    <row r="36038" spans="104:111">
      <c r="CZ36038" s="256"/>
      <c r="DG36038" s="256"/>
    </row>
    <row r="36039" spans="104:111">
      <c r="CZ36039" s="256"/>
      <c r="DG36039" s="256"/>
    </row>
    <row r="36040" spans="104:111">
      <c r="CZ36040" s="256"/>
      <c r="DG36040" s="256"/>
    </row>
    <row r="36041" spans="104:111">
      <c r="CZ36041" s="256"/>
      <c r="DG36041" s="256"/>
    </row>
    <row r="36042" spans="104:111">
      <c r="CZ36042" s="256"/>
      <c r="DG36042" s="256"/>
    </row>
    <row r="36043" spans="104:111">
      <c r="CZ36043" s="256"/>
      <c r="DG36043" s="256"/>
    </row>
    <row r="36044" spans="104:111">
      <c r="CZ36044" s="256"/>
      <c r="DG36044" s="256"/>
    </row>
    <row r="36045" spans="104:111">
      <c r="CZ36045" s="256"/>
      <c r="DG36045" s="256"/>
    </row>
    <row r="36046" spans="104:111">
      <c r="CZ36046" s="256"/>
      <c r="DG36046" s="256"/>
    </row>
    <row r="36047" spans="104:111">
      <c r="CZ36047" s="256"/>
      <c r="DG36047" s="256"/>
    </row>
    <row r="36048" spans="104:111">
      <c r="CZ36048" s="256"/>
      <c r="DG36048" s="256"/>
    </row>
    <row r="36049" spans="104:111">
      <c r="CZ36049" s="256"/>
      <c r="DG36049" s="256"/>
    </row>
    <row r="36050" spans="104:111">
      <c r="CZ36050" s="256"/>
      <c r="DG36050" s="256"/>
    </row>
    <row r="36051" spans="104:111">
      <c r="CZ36051" s="256"/>
      <c r="DG36051" s="256"/>
    </row>
    <row r="36052" spans="104:111">
      <c r="CZ36052" s="256"/>
      <c r="DG36052" s="256"/>
    </row>
    <row r="36053" spans="104:111">
      <c r="CZ36053" s="256"/>
      <c r="DG36053" s="256"/>
    </row>
    <row r="36054" spans="104:111">
      <c r="CZ36054" s="256"/>
      <c r="DG36054" s="256"/>
    </row>
    <row r="36055" spans="104:111">
      <c r="CZ36055" s="256"/>
      <c r="DG36055" s="256"/>
    </row>
    <row r="36056" spans="104:111">
      <c r="CZ36056" s="256"/>
      <c r="DG36056" s="256"/>
    </row>
    <row r="36057" spans="104:111">
      <c r="CZ36057" s="256"/>
      <c r="DG36057" s="256"/>
    </row>
    <row r="36058" spans="104:111">
      <c r="CZ36058" s="256"/>
      <c r="DG36058" s="256"/>
    </row>
    <row r="36059" spans="104:111">
      <c r="CZ36059" s="256"/>
      <c r="DG36059" s="256"/>
    </row>
    <row r="36060" spans="104:111">
      <c r="CZ36060" s="256"/>
      <c r="DG36060" s="256"/>
    </row>
    <row r="36061" spans="104:111">
      <c r="CZ36061" s="256"/>
      <c r="DG36061" s="256"/>
    </row>
    <row r="36062" spans="104:111">
      <c r="CZ36062" s="256"/>
      <c r="DG36062" s="256"/>
    </row>
    <row r="36063" spans="104:111">
      <c r="CZ36063" s="256"/>
      <c r="DG36063" s="256"/>
    </row>
    <row r="36064" spans="104:111">
      <c r="CZ36064" s="256"/>
      <c r="DG36064" s="256"/>
    </row>
    <row r="36065" spans="104:111">
      <c r="CZ36065" s="256"/>
      <c r="DG36065" s="256"/>
    </row>
    <row r="36066" spans="104:111">
      <c r="CZ36066" s="256"/>
      <c r="DG36066" s="256"/>
    </row>
    <row r="36067" spans="104:111">
      <c r="CZ36067" s="256"/>
      <c r="DG36067" s="256"/>
    </row>
    <row r="36068" spans="104:111">
      <c r="CZ36068" s="256"/>
      <c r="DG36068" s="256"/>
    </row>
    <row r="36069" spans="104:111">
      <c r="CZ36069" s="256"/>
      <c r="DG36069" s="256"/>
    </row>
    <row r="36070" spans="104:111">
      <c r="CZ36070" s="256"/>
      <c r="DG36070" s="256"/>
    </row>
    <row r="36071" spans="104:111">
      <c r="CZ36071" s="256"/>
      <c r="DG36071" s="256"/>
    </row>
    <row r="36072" spans="104:111">
      <c r="CZ36072" s="256"/>
      <c r="DG36072" s="256"/>
    </row>
    <row r="36073" spans="104:111">
      <c r="CZ36073" s="256"/>
      <c r="DG36073" s="256"/>
    </row>
    <row r="36074" spans="104:111">
      <c r="CZ36074" s="256"/>
      <c r="DG36074" s="256"/>
    </row>
    <row r="36075" spans="104:111">
      <c r="CZ36075" s="256"/>
      <c r="DG36075" s="256"/>
    </row>
    <row r="36076" spans="104:111">
      <c r="CZ36076" s="256"/>
      <c r="DG36076" s="256"/>
    </row>
    <row r="36077" spans="104:111">
      <c r="CZ36077" s="256"/>
      <c r="DG36077" s="256"/>
    </row>
    <row r="36078" spans="104:111">
      <c r="CZ36078" s="256"/>
      <c r="DG36078" s="256"/>
    </row>
    <row r="36079" spans="104:111">
      <c r="CZ36079" s="256"/>
      <c r="DG36079" s="256"/>
    </row>
    <row r="36080" spans="104:111">
      <c r="CZ36080" s="256"/>
      <c r="DG36080" s="256"/>
    </row>
    <row r="36081" spans="104:111">
      <c r="CZ36081" s="256"/>
      <c r="DG36081" s="256"/>
    </row>
    <row r="36082" spans="104:111">
      <c r="CZ36082" s="256"/>
      <c r="DG36082" s="256"/>
    </row>
    <row r="36083" spans="104:111">
      <c r="CZ36083" s="256"/>
      <c r="DG36083" s="256"/>
    </row>
    <row r="36084" spans="104:111">
      <c r="CZ36084" s="256"/>
      <c r="DG36084" s="256"/>
    </row>
    <row r="36085" spans="104:111">
      <c r="CZ36085" s="256"/>
      <c r="DG36085" s="256"/>
    </row>
    <row r="36086" spans="104:111">
      <c r="CZ36086" s="256"/>
      <c r="DG36086" s="256"/>
    </row>
    <row r="36087" spans="104:111">
      <c r="CZ36087" s="256"/>
      <c r="DG36087" s="256"/>
    </row>
    <row r="36088" spans="104:111">
      <c r="CZ36088" s="256"/>
      <c r="DG36088" s="256"/>
    </row>
    <row r="36089" spans="104:111">
      <c r="CZ36089" s="256"/>
      <c r="DG36089" s="256"/>
    </row>
    <row r="36090" spans="104:111">
      <c r="CZ36090" s="256"/>
      <c r="DG36090" s="256"/>
    </row>
    <row r="36091" spans="104:111">
      <c r="CZ36091" s="256"/>
      <c r="DG36091" s="256"/>
    </row>
    <row r="36092" spans="104:111">
      <c r="CZ36092" s="256"/>
      <c r="DG36092" s="256"/>
    </row>
    <row r="36093" spans="104:111">
      <c r="CZ36093" s="256"/>
      <c r="DG36093" s="256"/>
    </row>
    <row r="36094" spans="104:111">
      <c r="CZ36094" s="256"/>
      <c r="DG36094" s="256"/>
    </row>
    <row r="36095" spans="104:111">
      <c r="CZ36095" s="256"/>
      <c r="DG36095" s="256"/>
    </row>
    <row r="36096" spans="104:111">
      <c r="CZ36096" s="256"/>
      <c r="DG36096" s="256"/>
    </row>
    <row r="36097" spans="104:111">
      <c r="CZ36097" s="256"/>
      <c r="DG36097" s="256"/>
    </row>
    <row r="36098" spans="104:111">
      <c r="CZ36098" s="256"/>
      <c r="DG36098" s="256"/>
    </row>
    <row r="36099" spans="104:111">
      <c r="CZ36099" s="256"/>
      <c r="DG36099" s="256"/>
    </row>
    <row r="36100" spans="104:111">
      <c r="CZ36100" s="256"/>
      <c r="DG36100" s="256"/>
    </row>
    <row r="36101" spans="104:111">
      <c r="CZ36101" s="256"/>
      <c r="DG36101" s="256"/>
    </row>
    <row r="36102" spans="104:111">
      <c r="CZ36102" s="256"/>
      <c r="DG36102" s="256"/>
    </row>
    <row r="36103" spans="104:111">
      <c r="CZ36103" s="256"/>
      <c r="DG36103" s="256"/>
    </row>
    <row r="36104" spans="104:111">
      <c r="CZ36104" s="256"/>
      <c r="DG36104" s="256"/>
    </row>
    <row r="36105" spans="104:111">
      <c r="CZ36105" s="256"/>
      <c r="DG36105" s="256"/>
    </row>
    <row r="36106" spans="104:111">
      <c r="CZ36106" s="256"/>
      <c r="DG36106" s="256"/>
    </row>
    <row r="36107" spans="104:111">
      <c r="CZ36107" s="256"/>
      <c r="DG36107" s="256"/>
    </row>
    <row r="36108" spans="104:111">
      <c r="CZ36108" s="256"/>
      <c r="DG36108" s="256"/>
    </row>
    <row r="36109" spans="104:111">
      <c r="CZ36109" s="256"/>
      <c r="DG36109" s="256"/>
    </row>
    <row r="36110" spans="104:111">
      <c r="CZ36110" s="256"/>
      <c r="DG36110" s="256"/>
    </row>
    <row r="36111" spans="104:111">
      <c r="CZ36111" s="256"/>
      <c r="DG36111" s="256"/>
    </row>
    <row r="36112" spans="104:111">
      <c r="CZ36112" s="256"/>
      <c r="DG36112" s="256"/>
    </row>
    <row r="36113" spans="104:111">
      <c r="CZ36113" s="256"/>
      <c r="DG36113" s="256"/>
    </row>
    <row r="36114" spans="104:111">
      <c r="CZ36114" s="256"/>
      <c r="DG36114" s="256"/>
    </row>
    <row r="36115" spans="104:111">
      <c r="CZ36115" s="256"/>
      <c r="DG36115" s="256"/>
    </row>
    <row r="36116" spans="104:111">
      <c r="CZ36116" s="256"/>
      <c r="DG36116" s="256"/>
    </row>
    <row r="36117" spans="104:111">
      <c r="CZ36117" s="256"/>
      <c r="DG36117" s="256"/>
    </row>
    <row r="36118" spans="104:111">
      <c r="CZ36118" s="256"/>
      <c r="DG36118" s="256"/>
    </row>
    <row r="36119" spans="104:111">
      <c r="CZ36119" s="256"/>
      <c r="DG36119" s="256"/>
    </row>
    <row r="36120" spans="104:111">
      <c r="CZ36120" s="256"/>
      <c r="DG36120" s="256"/>
    </row>
    <row r="36121" spans="104:111">
      <c r="CZ36121" s="256"/>
      <c r="DG36121" s="256"/>
    </row>
    <row r="36122" spans="104:111">
      <c r="CZ36122" s="256"/>
      <c r="DG36122" s="256"/>
    </row>
    <row r="36123" spans="104:111">
      <c r="CZ36123" s="256"/>
      <c r="DG36123" s="256"/>
    </row>
    <row r="36124" spans="104:111">
      <c r="CZ36124" s="256"/>
      <c r="DG36124" s="256"/>
    </row>
    <row r="36125" spans="104:111">
      <c r="CZ36125" s="256"/>
      <c r="DG36125" s="256"/>
    </row>
    <row r="36126" spans="104:111">
      <c r="CZ36126" s="256"/>
      <c r="DG36126" s="256"/>
    </row>
    <row r="36127" spans="104:111">
      <c r="CZ36127" s="256"/>
      <c r="DG36127" s="256"/>
    </row>
    <row r="36128" spans="104:111">
      <c r="CZ36128" s="256"/>
      <c r="DG36128" s="256"/>
    </row>
    <row r="36129" spans="104:111">
      <c r="CZ36129" s="256"/>
      <c r="DG36129" s="256"/>
    </row>
    <row r="36130" spans="104:111">
      <c r="CZ36130" s="256"/>
      <c r="DG36130" s="256"/>
    </row>
    <row r="36131" spans="104:111">
      <c r="CZ36131" s="256"/>
      <c r="DG36131" s="256"/>
    </row>
    <row r="36132" spans="104:111">
      <c r="CZ36132" s="256"/>
      <c r="DG36132" s="256"/>
    </row>
    <row r="36133" spans="104:111">
      <c r="CZ36133" s="256"/>
      <c r="DG36133" s="256"/>
    </row>
    <row r="36134" spans="104:111">
      <c r="CZ36134" s="256"/>
      <c r="DG36134" s="256"/>
    </row>
    <row r="36135" spans="104:111">
      <c r="CZ36135" s="256"/>
      <c r="DG36135" s="256"/>
    </row>
    <row r="36136" spans="104:111">
      <c r="CZ36136" s="256"/>
      <c r="DG36136" s="256"/>
    </row>
    <row r="36137" spans="104:111">
      <c r="CZ36137" s="256"/>
      <c r="DG36137" s="256"/>
    </row>
    <row r="36138" spans="104:111">
      <c r="CZ36138" s="256"/>
      <c r="DG36138" s="256"/>
    </row>
    <row r="36139" spans="104:111">
      <c r="CZ36139" s="256"/>
      <c r="DG36139" s="256"/>
    </row>
    <row r="36140" spans="104:111">
      <c r="CZ36140" s="256"/>
      <c r="DG36140" s="256"/>
    </row>
    <row r="36141" spans="104:111">
      <c r="CZ36141" s="256"/>
      <c r="DG36141" s="256"/>
    </row>
    <row r="36142" spans="104:111">
      <c r="CZ36142" s="256"/>
      <c r="DG36142" s="256"/>
    </row>
    <row r="36143" spans="104:111">
      <c r="CZ36143" s="256"/>
      <c r="DG36143" s="256"/>
    </row>
    <row r="36144" spans="104:111">
      <c r="CZ36144" s="256"/>
      <c r="DG36144" s="256"/>
    </row>
    <row r="36145" spans="104:111">
      <c r="CZ36145" s="256"/>
      <c r="DG36145" s="256"/>
    </row>
    <row r="36146" spans="104:111">
      <c r="CZ36146" s="256"/>
      <c r="DG36146" s="256"/>
    </row>
    <row r="36147" spans="104:111">
      <c r="CZ36147" s="256"/>
      <c r="DG36147" s="256"/>
    </row>
    <row r="36148" spans="104:111">
      <c r="CZ36148" s="256"/>
      <c r="DG36148" s="256"/>
    </row>
    <row r="36149" spans="104:111">
      <c r="CZ36149" s="256"/>
      <c r="DG36149" s="256"/>
    </row>
    <row r="36150" spans="104:111">
      <c r="CZ36150" s="256"/>
      <c r="DG36150" s="256"/>
    </row>
    <row r="36151" spans="104:111">
      <c r="CZ36151" s="256"/>
      <c r="DG36151" s="256"/>
    </row>
    <row r="36152" spans="104:111">
      <c r="CZ36152" s="256"/>
      <c r="DG36152" s="256"/>
    </row>
    <row r="36153" spans="104:111">
      <c r="CZ36153" s="256"/>
      <c r="DG36153" s="256"/>
    </row>
    <row r="36154" spans="104:111">
      <c r="CZ36154" s="256"/>
      <c r="DG36154" s="256"/>
    </row>
    <row r="36155" spans="104:111">
      <c r="CZ36155" s="256"/>
      <c r="DG36155" s="256"/>
    </row>
    <row r="36156" spans="104:111">
      <c r="CZ36156" s="256"/>
      <c r="DG36156" s="256"/>
    </row>
    <row r="36157" spans="104:111">
      <c r="CZ36157" s="256"/>
      <c r="DG36157" s="256"/>
    </row>
    <row r="36158" spans="104:111">
      <c r="CZ36158" s="256"/>
      <c r="DG36158" s="256"/>
    </row>
    <row r="36159" spans="104:111">
      <c r="CZ36159" s="256"/>
      <c r="DG36159" s="256"/>
    </row>
    <row r="36160" spans="104:111">
      <c r="CZ36160" s="256"/>
      <c r="DG36160" s="256"/>
    </row>
    <row r="36161" spans="104:111">
      <c r="CZ36161" s="256"/>
      <c r="DG36161" s="256"/>
    </row>
    <row r="36162" spans="104:111">
      <c r="CZ36162" s="256"/>
      <c r="DG36162" s="256"/>
    </row>
    <row r="36163" spans="104:111">
      <c r="CZ36163" s="256"/>
      <c r="DG36163" s="256"/>
    </row>
    <row r="36164" spans="104:111">
      <c r="CZ36164" s="256"/>
      <c r="DG36164" s="256"/>
    </row>
    <row r="36165" spans="104:111">
      <c r="CZ36165" s="256"/>
      <c r="DG36165" s="256"/>
    </row>
    <row r="36166" spans="104:111">
      <c r="CZ36166" s="256"/>
      <c r="DG36166" s="256"/>
    </row>
    <row r="36167" spans="104:111">
      <c r="CZ36167" s="256"/>
      <c r="DG36167" s="256"/>
    </row>
    <row r="36168" spans="104:111">
      <c r="CZ36168" s="256"/>
      <c r="DG36168" s="256"/>
    </row>
    <row r="36169" spans="104:111">
      <c r="CZ36169" s="256"/>
      <c r="DG36169" s="256"/>
    </row>
    <row r="36170" spans="104:111">
      <c r="CZ36170" s="256"/>
      <c r="DG36170" s="256"/>
    </row>
    <row r="36171" spans="104:111">
      <c r="CZ36171" s="256"/>
      <c r="DG36171" s="256"/>
    </row>
    <row r="36172" spans="104:111">
      <c r="CZ36172" s="256"/>
      <c r="DG36172" s="256"/>
    </row>
    <row r="36173" spans="104:111">
      <c r="CZ36173" s="256"/>
      <c r="DG36173" s="256"/>
    </row>
    <row r="36174" spans="104:111">
      <c r="CZ36174" s="256"/>
      <c r="DG36174" s="256"/>
    </row>
    <row r="36175" spans="104:111">
      <c r="CZ36175" s="256"/>
      <c r="DG36175" s="256"/>
    </row>
    <row r="36176" spans="104:111">
      <c r="CZ36176" s="256"/>
      <c r="DG36176" s="256"/>
    </row>
    <row r="36177" spans="104:111">
      <c r="CZ36177" s="256"/>
      <c r="DG36177" s="256"/>
    </row>
    <row r="36178" spans="104:111">
      <c r="CZ36178" s="256"/>
      <c r="DG36178" s="256"/>
    </row>
    <row r="36179" spans="104:111">
      <c r="CZ36179" s="256"/>
      <c r="DG36179" s="256"/>
    </row>
    <row r="36180" spans="104:111">
      <c r="CZ36180" s="256"/>
      <c r="DG36180" s="256"/>
    </row>
    <row r="36181" spans="104:111">
      <c r="CZ36181" s="256"/>
      <c r="DG36181" s="256"/>
    </row>
    <row r="36182" spans="104:111">
      <c r="CZ36182" s="256"/>
      <c r="DG36182" s="256"/>
    </row>
    <row r="36183" spans="104:111">
      <c r="CZ36183" s="256"/>
      <c r="DG36183" s="256"/>
    </row>
    <row r="36184" spans="104:111">
      <c r="CZ36184" s="256"/>
      <c r="DG36184" s="256"/>
    </row>
    <row r="36185" spans="104:111">
      <c r="CZ36185" s="256"/>
      <c r="DG36185" s="256"/>
    </row>
    <row r="36186" spans="104:111">
      <c r="CZ36186" s="256"/>
      <c r="DG36186" s="256"/>
    </row>
    <row r="36187" spans="104:111">
      <c r="CZ36187" s="256"/>
      <c r="DG36187" s="256"/>
    </row>
    <row r="36188" spans="104:111">
      <c r="CZ36188" s="256"/>
      <c r="DG36188" s="256"/>
    </row>
    <row r="36189" spans="104:111">
      <c r="CZ36189" s="256"/>
      <c r="DG36189" s="256"/>
    </row>
    <row r="36190" spans="104:111">
      <c r="CZ36190" s="256"/>
      <c r="DG36190" s="256"/>
    </row>
    <row r="36191" spans="104:111">
      <c r="CZ36191" s="256"/>
      <c r="DG36191" s="256"/>
    </row>
    <row r="36192" spans="104:111">
      <c r="CZ36192" s="256"/>
      <c r="DG36192" s="256"/>
    </row>
    <row r="36193" spans="104:111">
      <c r="CZ36193" s="256"/>
      <c r="DG36193" s="256"/>
    </row>
    <row r="36194" spans="104:111">
      <c r="CZ36194" s="256"/>
      <c r="DG36194" s="256"/>
    </row>
    <row r="36195" spans="104:111">
      <c r="CZ36195" s="256"/>
      <c r="DG36195" s="256"/>
    </row>
    <row r="36196" spans="104:111">
      <c r="CZ36196" s="256"/>
      <c r="DG36196" s="256"/>
    </row>
    <row r="36197" spans="104:111">
      <c r="CZ36197" s="256"/>
      <c r="DG36197" s="256"/>
    </row>
    <row r="36198" spans="104:111">
      <c r="CZ36198" s="256"/>
      <c r="DG36198" s="256"/>
    </row>
    <row r="36199" spans="104:111">
      <c r="CZ36199" s="256"/>
      <c r="DG36199" s="256"/>
    </row>
    <row r="36200" spans="104:111">
      <c r="CZ36200" s="256"/>
      <c r="DG36200" s="256"/>
    </row>
    <row r="36201" spans="104:111">
      <c r="CZ36201" s="256"/>
      <c r="DG36201" s="256"/>
    </row>
    <row r="36202" spans="104:111">
      <c r="CZ36202" s="256"/>
      <c r="DG36202" s="256"/>
    </row>
    <row r="36203" spans="104:111">
      <c r="CZ36203" s="256"/>
      <c r="DG36203" s="256"/>
    </row>
    <row r="36204" spans="104:111">
      <c r="CZ36204" s="256"/>
      <c r="DG36204" s="256"/>
    </row>
    <row r="36205" spans="104:111">
      <c r="CZ36205" s="256"/>
      <c r="DG36205" s="256"/>
    </row>
    <row r="36206" spans="104:111">
      <c r="CZ36206" s="256"/>
      <c r="DG36206" s="256"/>
    </row>
    <row r="36207" spans="104:111">
      <c r="CZ36207" s="256"/>
      <c r="DG36207" s="256"/>
    </row>
    <row r="36208" spans="104:111">
      <c r="CZ36208" s="256"/>
      <c r="DG36208" s="256"/>
    </row>
    <row r="36209" spans="104:111">
      <c r="CZ36209" s="256"/>
      <c r="DG36209" s="256"/>
    </row>
    <row r="36210" spans="104:111">
      <c r="CZ36210" s="256"/>
      <c r="DG36210" s="256"/>
    </row>
    <row r="36211" spans="104:111">
      <c r="CZ36211" s="256"/>
      <c r="DG36211" s="256"/>
    </row>
    <row r="36212" spans="104:111">
      <c r="CZ36212" s="256"/>
      <c r="DG36212" s="256"/>
    </row>
    <row r="36213" spans="104:111">
      <c r="CZ36213" s="256"/>
      <c r="DG36213" s="256"/>
    </row>
    <row r="36214" spans="104:111">
      <c r="CZ36214" s="256"/>
      <c r="DG36214" s="256"/>
    </row>
    <row r="36215" spans="104:111">
      <c r="CZ36215" s="256"/>
      <c r="DG36215" s="256"/>
    </row>
    <row r="36216" spans="104:111">
      <c r="CZ36216" s="256"/>
      <c r="DG36216" s="256"/>
    </row>
    <row r="36217" spans="104:111">
      <c r="CZ36217" s="256"/>
      <c r="DG36217" s="256"/>
    </row>
    <row r="36218" spans="104:111">
      <c r="CZ36218" s="256"/>
      <c r="DG36218" s="256"/>
    </row>
    <row r="36219" spans="104:111">
      <c r="CZ36219" s="256"/>
      <c r="DG36219" s="256"/>
    </row>
    <row r="36220" spans="104:111">
      <c r="CZ36220" s="256"/>
      <c r="DG36220" s="256"/>
    </row>
    <row r="36221" spans="104:111">
      <c r="CZ36221" s="256"/>
      <c r="DG36221" s="256"/>
    </row>
    <row r="36222" spans="104:111">
      <c r="CZ36222" s="256"/>
      <c r="DG36222" s="256"/>
    </row>
    <row r="36223" spans="104:111">
      <c r="CZ36223" s="256"/>
      <c r="DG36223" s="256"/>
    </row>
    <row r="36224" spans="104:111">
      <c r="CZ36224" s="256"/>
      <c r="DG36224" s="256"/>
    </row>
    <row r="36225" spans="104:111">
      <c r="CZ36225" s="256"/>
      <c r="DG36225" s="256"/>
    </row>
    <row r="36226" spans="104:111">
      <c r="CZ36226" s="256"/>
      <c r="DG36226" s="256"/>
    </row>
    <row r="36227" spans="104:111">
      <c r="CZ36227" s="256"/>
      <c r="DG36227" s="256"/>
    </row>
    <row r="36228" spans="104:111">
      <c r="CZ36228" s="256"/>
      <c r="DG36228" s="256"/>
    </row>
    <row r="36229" spans="104:111">
      <c r="CZ36229" s="256"/>
      <c r="DG36229" s="256"/>
    </row>
    <row r="36230" spans="104:111">
      <c r="CZ36230" s="256"/>
      <c r="DG36230" s="256"/>
    </row>
    <row r="36231" spans="104:111">
      <c r="CZ36231" s="256"/>
      <c r="DG36231" s="256"/>
    </row>
    <row r="36232" spans="104:111">
      <c r="CZ36232" s="256"/>
      <c r="DG36232" s="256"/>
    </row>
    <row r="36233" spans="104:111">
      <c r="CZ36233" s="256"/>
      <c r="DG36233" s="256"/>
    </row>
    <row r="36234" spans="104:111">
      <c r="CZ36234" s="256"/>
      <c r="DG36234" s="256"/>
    </row>
    <row r="36235" spans="104:111">
      <c r="CZ36235" s="256"/>
      <c r="DG36235" s="256"/>
    </row>
    <row r="36236" spans="104:111">
      <c r="CZ36236" s="256"/>
      <c r="DG36236" s="256"/>
    </row>
    <row r="36237" spans="104:111">
      <c r="CZ36237" s="256"/>
      <c r="DG36237" s="256"/>
    </row>
    <row r="36238" spans="104:111">
      <c r="CZ36238" s="256"/>
      <c r="DG36238" s="256"/>
    </row>
    <row r="36239" spans="104:111">
      <c r="CZ36239" s="256"/>
      <c r="DG36239" s="256"/>
    </row>
    <row r="36240" spans="104:111">
      <c r="CZ36240" s="256"/>
      <c r="DG36240" s="256"/>
    </row>
    <row r="36241" spans="104:111">
      <c r="CZ36241" s="256"/>
      <c r="DG36241" s="256"/>
    </row>
    <row r="36242" spans="104:111">
      <c r="CZ36242" s="256"/>
      <c r="DG36242" s="256"/>
    </row>
    <row r="36243" spans="104:111">
      <c r="CZ36243" s="256"/>
      <c r="DG36243" s="256"/>
    </row>
    <row r="36244" spans="104:111">
      <c r="CZ36244" s="256"/>
      <c r="DG36244" s="256"/>
    </row>
    <row r="36245" spans="104:111">
      <c r="CZ36245" s="256"/>
      <c r="DG36245" s="256"/>
    </row>
    <row r="36246" spans="104:111">
      <c r="CZ36246" s="256"/>
      <c r="DG36246" s="256"/>
    </row>
    <row r="36247" spans="104:111">
      <c r="CZ36247" s="256"/>
      <c r="DG36247" s="256"/>
    </row>
    <row r="36248" spans="104:111">
      <c r="CZ36248" s="256"/>
      <c r="DG36248" s="256"/>
    </row>
    <row r="36249" spans="104:111">
      <c r="CZ36249" s="256"/>
      <c r="DG36249" s="256"/>
    </row>
    <row r="36250" spans="104:111">
      <c r="CZ36250" s="256"/>
      <c r="DG36250" s="256"/>
    </row>
    <row r="36251" spans="104:111">
      <c r="CZ36251" s="256"/>
      <c r="DG36251" s="256"/>
    </row>
    <row r="36252" spans="104:111">
      <c r="CZ36252" s="256"/>
      <c r="DG36252" s="256"/>
    </row>
    <row r="36253" spans="104:111">
      <c r="CZ36253" s="256"/>
      <c r="DG36253" s="256"/>
    </row>
    <row r="36254" spans="104:111">
      <c r="CZ36254" s="256"/>
      <c r="DG36254" s="256"/>
    </row>
    <row r="36255" spans="104:111">
      <c r="CZ36255" s="256"/>
      <c r="DG36255" s="256"/>
    </row>
    <row r="36256" spans="104:111">
      <c r="CZ36256" s="256"/>
      <c r="DG36256" s="256"/>
    </row>
    <row r="36257" spans="104:111">
      <c r="CZ36257" s="256"/>
      <c r="DG36257" s="256"/>
    </row>
    <row r="36258" spans="104:111">
      <c r="CZ36258" s="256"/>
      <c r="DG36258" s="256"/>
    </row>
    <row r="36259" spans="104:111">
      <c r="CZ36259" s="256"/>
      <c r="DG36259" s="256"/>
    </row>
    <row r="36260" spans="104:111">
      <c r="CZ36260" s="256"/>
      <c r="DG36260" s="256"/>
    </row>
    <row r="36261" spans="104:111">
      <c r="CZ36261" s="256"/>
      <c r="DG36261" s="256"/>
    </row>
    <row r="36262" spans="104:111">
      <c r="CZ36262" s="256"/>
      <c r="DG36262" s="256"/>
    </row>
    <row r="36263" spans="104:111">
      <c r="CZ36263" s="256"/>
      <c r="DG36263" s="256"/>
    </row>
    <row r="36264" spans="104:111">
      <c r="CZ36264" s="256"/>
      <c r="DG36264" s="256"/>
    </row>
    <row r="36265" spans="104:111">
      <c r="CZ36265" s="256"/>
      <c r="DG36265" s="256"/>
    </row>
    <row r="36266" spans="104:111">
      <c r="CZ36266" s="256"/>
      <c r="DG36266" s="256"/>
    </row>
    <row r="36267" spans="104:111">
      <c r="CZ36267" s="256"/>
      <c r="DG36267" s="256"/>
    </row>
    <row r="36268" spans="104:111">
      <c r="CZ36268" s="256"/>
      <c r="DG36268" s="256"/>
    </row>
    <row r="36269" spans="104:111">
      <c r="CZ36269" s="256"/>
      <c r="DG36269" s="256"/>
    </row>
    <row r="36270" spans="104:111">
      <c r="CZ36270" s="256"/>
      <c r="DG36270" s="256"/>
    </row>
    <row r="36271" spans="104:111">
      <c r="CZ36271" s="256"/>
      <c r="DG36271" s="256"/>
    </row>
    <row r="36272" spans="104:111">
      <c r="CZ36272" s="256"/>
      <c r="DG36272" s="256"/>
    </row>
    <row r="36273" spans="104:111">
      <c r="CZ36273" s="256"/>
      <c r="DG36273" s="256"/>
    </row>
    <row r="36274" spans="104:111">
      <c r="CZ36274" s="256"/>
      <c r="DG36274" s="256"/>
    </row>
    <row r="36275" spans="104:111">
      <c r="CZ36275" s="256"/>
      <c r="DG36275" s="256"/>
    </row>
    <row r="36276" spans="104:111">
      <c r="CZ36276" s="256"/>
      <c r="DG36276" s="256"/>
    </row>
    <row r="36277" spans="104:111">
      <c r="CZ36277" s="256"/>
      <c r="DG36277" s="256"/>
    </row>
    <row r="36278" spans="104:111">
      <c r="CZ36278" s="256"/>
      <c r="DG36278" s="256"/>
    </row>
    <row r="36279" spans="104:111">
      <c r="CZ36279" s="256"/>
      <c r="DG36279" s="256"/>
    </row>
    <row r="36280" spans="104:111">
      <c r="CZ36280" s="256"/>
      <c r="DG36280" s="256"/>
    </row>
    <row r="36281" spans="104:111">
      <c r="CZ36281" s="256"/>
      <c r="DG36281" s="256"/>
    </row>
    <row r="36282" spans="104:111">
      <c r="CZ36282" s="256"/>
      <c r="DG36282" s="256"/>
    </row>
    <row r="36283" spans="104:111">
      <c r="CZ36283" s="256"/>
      <c r="DG36283" s="256"/>
    </row>
    <row r="36284" spans="104:111">
      <c r="CZ36284" s="256"/>
      <c r="DG36284" s="256"/>
    </row>
    <row r="36285" spans="104:111">
      <c r="CZ36285" s="256"/>
      <c r="DG36285" s="256"/>
    </row>
    <row r="36286" spans="104:111">
      <c r="CZ36286" s="256"/>
      <c r="DG36286" s="256"/>
    </row>
    <row r="36287" spans="104:111">
      <c r="CZ36287" s="256"/>
      <c r="DG36287" s="256"/>
    </row>
    <row r="36288" spans="104:111">
      <c r="CZ36288" s="256"/>
      <c r="DG36288" s="256"/>
    </row>
    <row r="36289" spans="104:111">
      <c r="CZ36289" s="256"/>
      <c r="DG36289" s="256"/>
    </row>
    <row r="36290" spans="104:111">
      <c r="CZ36290" s="256"/>
      <c r="DG36290" s="256"/>
    </row>
    <row r="36291" spans="104:111">
      <c r="CZ36291" s="256"/>
      <c r="DG36291" s="256"/>
    </row>
    <row r="36292" spans="104:111">
      <c r="CZ36292" s="256"/>
      <c r="DG36292" s="256"/>
    </row>
    <row r="36293" spans="104:111">
      <c r="CZ36293" s="256"/>
      <c r="DG36293" s="256"/>
    </row>
    <row r="36294" spans="104:111">
      <c r="CZ36294" s="256"/>
      <c r="DG36294" s="256"/>
    </row>
    <row r="36295" spans="104:111">
      <c r="CZ36295" s="256"/>
      <c r="DG36295" s="256"/>
    </row>
    <row r="36296" spans="104:111">
      <c r="CZ36296" s="256"/>
      <c r="DG36296" s="256"/>
    </row>
    <row r="36297" spans="104:111">
      <c r="CZ36297" s="256"/>
      <c r="DG36297" s="256"/>
    </row>
    <row r="36298" spans="104:111">
      <c r="CZ36298" s="256"/>
      <c r="DG36298" s="256"/>
    </row>
    <row r="36299" spans="104:111">
      <c r="CZ36299" s="256"/>
      <c r="DG36299" s="256"/>
    </row>
    <row r="36300" spans="104:111">
      <c r="CZ36300" s="256"/>
      <c r="DG36300" s="256"/>
    </row>
    <row r="36301" spans="104:111">
      <c r="CZ36301" s="256"/>
      <c r="DG36301" s="256"/>
    </row>
    <row r="36302" spans="104:111">
      <c r="CZ36302" s="256"/>
      <c r="DG36302" s="256"/>
    </row>
    <row r="36303" spans="104:111">
      <c r="CZ36303" s="256"/>
      <c r="DG36303" s="256"/>
    </row>
    <row r="36304" spans="104:111">
      <c r="CZ36304" s="256"/>
      <c r="DG36304" s="256"/>
    </row>
    <row r="36305" spans="104:111">
      <c r="CZ36305" s="256"/>
      <c r="DG36305" s="256"/>
    </row>
    <row r="36306" spans="104:111">
      <c r="CZ36306" s="256"/>
      <c r="DG36306" s="256"/>
    </row>
    <row r="36307" spans="104:111">
      <c r="CZ36307" s="256"/>
      <c r="DG36307" s="256"/>
    </row>
    <row r="36308" spans="104:111">
      <c r="CZ36308" s="256"/>
      <c r="DG36308" s="256"/>
    </row>
    <row r="36309" spans="104:111">
      <c r="CZ36309" s="256"/>
      <c r="DG36309" s="256"/>
    </row>
    <row r="36310" spans="104:111">
      <c r="CZ36310" s="256"/>
      <c r="DG36310" s="256"/>
    </row>
    <row r="36311" spans="104:111">
      <c r="CZ36311" s="256"/>
      <c r="DG36311" s="256"/>
    </row>
    <row r="36312" spans="104:111">
      <c r="CZ36312" s="256"/>
      <c r="DG36312" s="256"/>
    </row>
    <row r="36313" spans="104:111">
      <c r="CZ36313" s="256"/>
      <c r="DG36313" s="256"/>
    </row>
    <row r="36314" spans="104:111">
      <c r="CZ36314" s="256"/>
      <c r="DG36314" s="256"/>
    </row>
    <row r="36315" spans="104:111">
      <c r="CZ36315" s="256"/>
      <c r="DG36315" s="256"/>
    </row>
    <row r="36316" spans="104:111">
      <c r="CZ36316" s="256"/>
      <c r="DG36316" s="256"/>
    </row>
    <row r="36317" spans="104:111">
      <c r="CZ36317" s="256"/>
      <c r="DG36317" s="256"/>
    </row>
    <row r="36318" spans="104:111">
      <c r="CZ36318" s="256"/>
      <c r="DG36318" s="256"/>
    </row>
    <row r="36319" spans="104:111">
      <c r="CZ36319" s="256"/>
      <c r="DG36319" s="256"/>
    </row>
    <row r="36320" spans="104:111">
      <c r="CZ36320" s="256"/>
      <c r="DG36320" s="256"/>
    </row>
    <row r="36321" spans="104:111">
      <c r="CZ36321" s="256"/>
      <c r="DG36321" s="256"/>
    </row>
    <row r="36322" spans="104:111">
      <c r="CZ36322" s="256"/>
      <c r="DG36322" s="256"/>
    </row>
    <row r="36323" spans="104:111">
      <c r="CZ36323" s="256"/>
      <c r="DG36323" s="256"/>
    </row>
    <row r="36324" spans="104:111">
      <c r="CZ36324" s="256"/>
      <c r="DG36324" s="256"/>
    </row>
    <row r="36325" spans="104:111">
      <c r="CZ36325" s="256"/>
      <c r="DG36325" s="256"/>
    </row>
    <row r="36326" spans="104:111">
      <c r="CZ36326" s="256"/>
      <c r="DG36326" s="256"/>
    </row>
    <row r="36327" spans="104:111">
      <c r="CZ36327" s="256"/>
      <c r="DG36327" s="256"/>
    </row>
    <row r="36328" spans="104:111">
      <c r="CZ36328" s="256"/>
      <c r="DG36328" s="256"/>
    </row>
    <row r="36329" spans="104:111">
      <c r="CZ36329" s="256"/>
      <c r="DG36329" s="256"/>
    </row>
    <row r="36330" spans="104:111">
      <c r="CZ36330" s="256"/>
      <c r="DG36330" s="256"/>
    </row>
    <row r="36331" spans="104:111">
      <c r="CZ36331" s="256"/>
      <c r="DG36331" s="256"/>
    </row>
    <row r="36332" spans="104:111">
      <c r="CZ36332" s="256"/>
      <c r="DG36332" s="256"/>
    </row>
    <row r="36333" spans="104:111">
      <c r="CZ36333" s="256"/>
      <c r="DG36333" s="256"/>
    </row>
    <row r="36334" spans="104:111">
      <c r="CZ36334" s="256"/>
      <c r="DG36334" s="256"/>
    </row>
    <row r="36335" spans="104:111">
      <c r="CZ36335" s="256"/>
      <c r="DG36335" s="256"/>
    </row>
    <row r="36336" spans="104:111">
      <c r="CZ36336" s="256"/>
      <c r="DG36336" s="256"/>
    </row>
    <row r="36337" spans="104:111">
      <c r="CZ36337" s="256"/>
      <c r="DG36337" s="256"/>
    </row>
    <row r="36338" spans="104:111">
      <c r="CZ36338" s="256"/>
      <c r="DG36338" s="256"/>
    </row>
    <row r="36339" spans="104:111">
      <c r="CZ36339" s="256"/>
      <c r="DG36339" s="256"/>
    </row>
    <row r="36340" spans="104:111">
      <c r="CZ36340" s="256"/>
      <c r="DG36340" s="256"/>
    </row>
    <row r="36341" spans="104:111">
      <c r="CZ36341" s="256"/>
      <c r="DG36341" s="256"/>
    </row>
    <row r="36342" spans="104:111">
      <c r="CZ36342" s="256"/>
      <c r="DG36342" s="256"/>
    </row>
    <row r="36343" spans="104:111">
      <c r="CZ36343" s="256"/>
      <c r="DG36343" s="256"/>
    </row>
    <row r="36344" spans="104:111">
      <c r="CZ36344" s="256"/>
      <c r="DG36344" s="256"/>
    </row>
    <row r="36345" spans="104:111">
      <c r="CZ36345" s="256"/>
      <c r="DG36345" s="256"/>
    </row>
    <row r="36346" spans="104:111">
      <c r="CZ36346" s="256"/>
      <c r="DG36346" s="256"/>
    </row>
    <row r="36347" spans="104:111">
      <c r="CZ36347" s="256"/>
      <c r="DG36347" s="256"/>
    </row>
    <row r="36348" spans="104:111">
      <c r="CZ36348" s="256"/>
      <c r="DG36348" s="256"/>
    </row>
    <row r="36349" spans="104:111">
      <c r="CZ36349" s="256"/>
      <c r="DG36349" s="256"/>
    </row>
    <row r="36350" spans="104:111">
      <c r="CZ36350" s="256"/>
      <c r="DG36350" s="256"/>
    </row>
    <row r="36351" spans="104:111">
      <c r="CZ36351" s="256"/>
      <c r="DG36351" s="256"/>
    </row>
    <row r="36352" spans="104:111">
      <c r="CZ36352" s="256"/>
      <c r="DG36352" s="256"/>
    </row>
    <row r="36353" spans="104:111">
      <c r="CZ36353" s="256"/>
      <c r="DG36353" s="256"/>
    </row>
    <row r="36354" spans="104:111">
      <c r="CZ36354" s="256"/>
      <c r="DG36354" s="256"/>
    </row>
    <row r="36355" spans="104:111">
      <c r="CZ36355" s="256"/>
      <c r="DG36355" s="256"/>
    </row>
    <row r="36356" spans="104:111">
      <c r="CZ36356" s="256"/>
      <c r="DG36356" s="256"/>
    </row>
    <row r="36357" spans="104:111">
      <c r="CZ36357" s="256"/>
      <c r="DG36357" s="256"/>
    </row>
    <row r="36358" spans="104:111">
      <c r="CZ36358" s="256"/>
      <c r="DG36358" s="256"/>
    </row>
    <row r="36359" spans="104:111">
      <c r="CZ36359" s="256"/>
      <c r="DG36359" s="256"/>
    </row>
    <row r="36360" spans="104:111">
      <c r="CZ36360" s="256"/>
      <c r="DG36360" s="256"/>
    </row>
    <row r="36361" spans="104:111">
      <c r="CZ36361" s="256"/>
      <c r="DG36361" s="256"/>
    </row>
    <row r="36362" spans="104:111">
      <c r="CZ36362" s="256"/>
      <c r="DG36362" s="256"/>
    </row>
    <row r="36363" spans="104:111">
      <c r="CZ36363" s="256"/>
      <c r="DG36363" s="256"/>
    </row>
    <row r="36364" spans="104:111">
      <c r="CZ36364" s="256"/>
      <c r="DG36364" s="256"/>
    </row>
    <row r="36365" spans="104:111">
      <c r="CZ36365" s="256"/>
      <c r="DG36365" s="256"/>
    </row>
    <row r="36366" spans="104:111">
      <c r="CZ36366" s="256"/>
      <c r="DG36366" s="256"/>
    </row>
    <row r="36367" spans="104:111">
      <c r="CZ36367" s="256"/>
      <c r="DG36367" s="256"/>
    </row>
    <row r="36368" spans="104:111">
      <c r="CZ36368" s="256"/>
      <c r="DG36368" s="256"/>
    </row>
    <row r="36369" spans="104:111">
      <c r="CZ36369" s="256"/>
      <c r="DG36369" s="256"/>
    </row>
    <row r="36370" spans="104:111">
      <c r="CZ36370" s="256"/>
      <c r="DG36370" s="256"/>
    </row>
    <row r="36371" spans="104:111">
      <c r="CZ36371" s="256"/>
      <c r="DG36371" s="256"/>
    </row>
    <row r="36372" spans="104:111">
      <c r="CZ36372" s="256"/>
      <c r="DG36372" s="256"/>
    </row>
    <row r="36373" spans="104:111">
      <c r="CZ36373" s="256"/>
      <c r="DG36373" s="256"/>
    </row>
    <row r="36374" spans="104:111">
      <c r="CZ36374" s="256"/>
      <c r="DG36374" s="256"/>
    </row>
    <row r="36375" spans="104:111">
      <c r="CZ36375" s="256"/>
      <c r="DG36375" s="256"/>
    </row>
    <row r="36376" spans="104:111">
      <c r="CZ36376" s="256"/>
      <c r="DG36376" s="256"/>
    </row>
    <row r="36377" spans="104:111">
      <c r="CZ36377" s="256"/>
      <c r="DG36377" s="256"/>
    </row>
    <row r="36378" spans="104:111">
      <c r="CZ36378" s="256"/>
      <c r="DG36378" s="256"/>
    </row>
    <row r="36379" spans="104:111">
      <c r="CZ36379" s="256"/>
      <c r="DG36379" s="256"/>
    </row>
    <row r="36380" spans="104:111">
      <c r="CZ36380" s="256"/>
      <c r="DG36380" s="256"/>
    </row>
    <row r="36381" spans="104:111">
      <c r="CZ36381" s="256"/>
      <c r="DG36381" s="256"/>
    </row>
    <row r="36382" spans="104:111">
      <c r="CZ36382" s="256"/>
      <c r="DG36382" s="256"/>
    </row>
    <row r="36383" spans="104:111">
      <c r="CZ36383" s="256"/>
      <c r="DG36383" s="256"/>
    </row>
    <row r="36384" spans="104:111">
      <c r="CZ36384" s="256"/>
      <c r="DG36384" s="256"/>
    </row>
    <row r="36385" spans="104:111">
      <c r="CZ36385" s="256"/>
      <c r="DG36385" s="256"/>
    </row>
    <row r="36386" spans="104:111">
      <c r="CZ36386" s="256"/>
      <c r="DG36386" s="256"/>
    </row>
    <row r="36387" spans="104:111">
      <c r="CZ36387" s="256"/>
      <c r="DG36387" s="256"/>
    </row>
    <row r="36388" spans="104:111">
      <c r="CZ36388" s="256"/>
      <c r="DG36388" s="256"/>
    </row>
    <row r="36389" spans="104:111">
      <c r="CZ36389" s="256"/>
      <c r="DG36389" s="256"/>
    </row>
    <row r="36390" spans="104:111">
      <c r="CZ36390" s="256"/>
      <c r="DG36390" s="256"/>
    </row>
    <row r="36391" spans="104:111">
      <c r="CZ36391" s="256"/>
      <c r="DG36391" s="256"/>
    </row>
    <row r="36392" spans="104:111">
      <c r="CZ36392" s="256"/>
      <c r="DG36392" s="256"/>
    </row>
    <row r="36393" spans="104:111">
      <c r="CZ36393" s="256"/>
      <c r="DG36393" s="256"/>
    </row>
    <row r="36394" spans="104:111">
      <c r="CZ36394" s="256"/>
      <c r="DG36394" s="256"/>
    </row>
    <row r="36395" spans="104:111">
      <c r="CZ36395" s="256"/>
      <c r="DG36395" s="256"/>
    </row>
    <row r="36396" spans="104:111">
      <c r="CZ36396" s="256"/>
      <c r="DG36396" s="256"/>
    </row>
    <row r="36397" spans="104:111">
      <c r="CZ36397" s="256"/>
      <c r="DG36397" s="256"/>
    </row>
    <row r="36398" spans="104:111">
      <c r="CZ36398" s="256"/>
      <c r="DG36398" s="256"/>
    </row>
    <row r="36399" spans="104:111">
      <c r="CZ36399" s="256"/>
      <c r="DG36399" s="256"/>
    </row>
    <row r="36400" spans="104:111">
      <c r="CZ36400" s="256"/>
      <c r="DG36400" s="256"/>
    </row>
    <row r="36401" spans="104:111">
      <c r="CZ36401" s="256"/>
      <c r="DG36401" s="256"/>
    </row>
    <row r="36402" spans="104:111">
      <c r="CZ36402" s="256"/>
      <c r="DG36402" s="256"/>
    </row>
    <row r="36403" spans="104:111">
      <c r="CZ36403" s="256"/>
      <c r="DG36403" s="256"/>
    </row>
    <row r="36404" spans="104:111">
      <c r="CZ36404" s="256"/>
      <c r="DG36404" s="256"/>
    </row>
    <row r="36405" spans="104:111">
      <c r="CZ36405" s="256"/>
      <c r="DG36405" s="256"/>
    </row>
    <row r="36406" spans="104:111">
      <c r="CZ36406" s="256"/>
      <c r="DG36406" s="256"/>
    </row>
    <row r="36407" spans="104:111">
      <c r="CZ36407" s="256"/>
      <c r="DG36407" s="256"/>
    </row>
    <row r="36408" spans="104:111">
      <c r="CZ36408" s="256"/>
      <c r="DG36408" s="256"/>
    </row>
    <row r="36409" spans="104:111">
      <c r="CZ36409" s="256"/>
      <c r="DG36409" s="256"/>
    </row>
    <row r="36410" spans="104:111">
      <c r="CZ36410" s="256"/>
      <c r="DG36410" s="256"/>
    </row>
    <row r="36411" spans="104:111">
      <c r="CZ36411" s="256"/>
      <c r="DG36411" s="256"/>
    </row>
    <row r="36412" spans="104:111">
      <c r="CZ36412" s="256"/>
      <c r="DG36412" s="256"/>
    </row>
    <row r="36413" spans="104:111">
      <c r="CZ36413" s="256"/>
      <c r="DG36413" s="256"/>
    </row>
    <row r="36414" spans="104:111">
      <c r="CZ36414" s="256"/>
      <c r="DG36414" s="256"/>
    </row>
    <row r="36415" spans="104:111">
      <c r="CZ36415" s="256"/>
      <c r="DG36415" s="256"/>
    </row>
    <row r="36416" spans="104:111">
      <c r="CZ36416" s="256"/>
      <c r="DG36416" s="256"/>
    </row>
    <row r="36417" spans="104:111">
      <c r="CZ36417" s="256"/>
      <c r="DG36417" s="256"/>
    </row>
    <row r="36418" spans="104:111">
      <c r="CZ36418" s="256"/>
      <c r="DG36418" s="256"/>
    </row>
    <row r="36419" spans="104:111">
      <c r="CZ36419" s="256"/>
      <c r="DG36419" s="256"/>
    </row>
    <row r="36420" spans="104:111">
      <c r="CZ36420" s="256"/>
      <c r="DG36420" s="256"/>
    </row>
    <row r="36421" spans="104:111">
      <c r="CZ36421" s="256"/>
      <c r="DG36421" s="256"/>
    </row>
    <row r="36422" spans="104:111">
      <c r="CZ36422" s="256"/>
      <c r="DG36422" s="256"/>
    </row>
    <row r="36423" spans="104:111">
      <c r="CZ36423" s="256"/>
      <c r="DG36423" s="256"/>
    </row>
    <row r="36424" spans="104:111">
      <c r="CZ36424" s="256"/>
      <c r="DG36424" s="256"/>
    </row>
    <row r="36425" spans="104:111">
      <c r="CZ36425" s="256"/>
      <c r="DG36425" s="256"/>
    </row>
    <row r="36426" spans="104:111">
      <c r="CZ36426" s="256"/>
      <c r="DG36426" s="256"/>
    </row>
    <row r="36427" spans="104:111">
      <c r="CZ36427" s="256"/>
      <c r="DG36427" s="256"/>
    </row>
    <row r="36428" spans="104:111">
      <c r="CZ36428" s="256"/>
      <c r="DG36428" s="256"/>
    </row>
    <row r="36429" spans="104:111">
      <c r="CZ36429" s="256"/>
      <c r="DG36429" s="256"/>
    </row>
    <row r="36430" spans="104:111">
      <c r="CZ36430" s="256"/>
      <c r="DG36430" s="256"/>
    </row>
    <row r="36431" spans="104:111">
      <c r="CZ36431" s="256"/>
      <c r="DG36431" s="256"/>
    </row>
    <row r="36432" spans="104:111">
      <c r="CZ36432" s="256"/>
      <c r="DG36432" s="256"/>
    </row>
    <row r="36433" spans="104:111">
      <c r="CZ36433" s="256"/>
      <c r="DG36433" s="256"/>
    </row>
    <row r="36434" spans="104:111">
      <c r="CZ36434" s="256"/>
      <c r="DG36434" s="256"/>
    </row>
    <row r="36435" spans="104:111">
      <c r="CZ36435" s="256"/>
      <c r="DG36435" s="256"/>
    </row>
    <row r="36436" spans="104:111">
      <c r="CZ36436" s="256"/>
      <c r="DG36436" s="256"/>
    </row>
    <row r="36437" spans="104:111">
      <c r="CZ36437" s="256"/>
      <c r="DG36437" s="256"/>
    </row>
    <row r="36438" spans="104:111">
      <c r="CZ36438" s="256"/>
      <c r="DG36438" s="256"/>
    </row>
    <row r="36439" spans="104:111">
      <c r="CZ36439" s="256"/>
      <c r="DG36439" s="256"/>
    </row>
    <row r="36440" spans="104:111">
      <c r="CZ36440" s="256"/>
      <c r="DG36440" s="256"/>
    </row>
    <row r="36441" spans="104:111">
      <c r="CZ36441" s="256"/>
      <c r="DG36441" s="256"/>
    </row>
    <row r="36442" spans="104:111">
      <c r="CZ36442" s="256"/>
      <c r="DG36442" s="256"/>
    </row>
    <row r="36443" spans="104:111">
      <c r="CZ36443" s="256"/>
      <c r="DG36443" s="256"/>
    </row>
    <row r="36444" spans="104:111">
      <c r="CZ36444" s="256"/>
      <c r="DG36444" s="256"/>
    </row>
    <row r="36445" spans="104:111">
      <c r="CZ36445" s="256"/>
      <c r="DG36445" s="256"/>
    </row>
    <row r="36446" spans="104:111">
      <c r="CZ36446" s="256"/>
      <c r="DG36446" s="256"/>
    </row>
    <row r="36447" spans="104:111">
      <c r="CZ36447" s="256"/>
      <c r="DG36447" s="256"/>
    </row>
    <row r="36448" spans="104:111">
      <c r="CZ36448" s="256"/>
      <c r="DG36448" s="256"/>
    </row>
    <row r="36449" spans="104:111">
      <c r="CZ36449" s="256"/>
      <c r="DG36449" s="256"/>
    </row>
    <row r="36450" spans="104:111">
      <c r="CZ36450" s="256"/>
      <c r="DG36450" s="256"/>
    </row>
    <row r="36451" spans="104:111">
      <c r="CZ36451" s="256"/>
      <c r="DG36451" s="256"/>
    </row>
    <row r="36452" spans="104:111">
      <c r="CZ36452" s="256"/>
      <c r="DG36452" s="256"/>
    </row>
    <row r="36453" spans="104:111">
      <c r="CZ36453" s="256"/>
      <c r="DG36453" s="256"/>
    </row>
    <row r="36454" spans="104:111">
      <c r="CZ36454" s="256"/>
      <c r="DG36454" s="256"/>
    </row>
    <row r="36455" spans="104:111">
      <c r="CZ36455" s="256"/>
      <c r="DG36455" s="256"/>
    </row>
    <row r="36456" spans="104:111">
      <c r="CZ36456" s="256"/>
      <c r="DG36456" s="256"/>
    </row>
    <row r="36457" spans="104:111">
      <c r="CZ36457" s="256"/>
      <c r="DG36457" s="256"/>
    </row>
    <row r="36458" spans="104:111">
      <c r="CZ36458" s="256"/>
      <c r="DG36458" s="256"/>
    </row>
    <row r="36459" spans="104:111">
      <c r="CZ36459" s="256"/>
      <c r="DG36459" s="256"/>
    </row>
    <row r="36460" spans="104:111">
      <c r="CZ36460" s="256"/>
      <c r="DG36460" s="256"/>
    </row>
    <row r="36461" spans="104:111">
      <c r="CZ36461" s="256"/>
      <c r="DG36461" s="256"/>
    </row>
    <row r="36462" spans="104:111">
      <c r="CZ36462" s="256"/>
      <c r="DG36462" s="256"/>
    </row>
    <row r="36463" spans="104:111">
      <c r="CZ36463" s="256"/>
      <c r="DG36463" s="256"/>
    </row>
    <row r="36464" spans="104:111">
      <c r="CZ36464" s="256"/>
      <c r="DG36464" s="256"/>
    </row>
    <row r="36465" spans="104:111">
      <c r="CZ36465" s="256"/>
      <c r="DG36465" s="256"/>
    </row>
    <row r="36466" spans="104:111">
      <c r="CZ36466" s="256"/>
      <c r="DG36466" s="256"/>
    </row>
    <row r="36467" spans="104:111">
      <c r="CZ36467" s="256"/>
      <c r="DG36467" s="256"/>
    </row>
    <row r="36468" spans="104:111">
      <c r="CZ36468" s="256"/>
      <c r="DG36468" s="256"/>
    </row>
    <row r="36469" spans="104:111">
      <c r="CZ36469" s="256"/>
      <c r="DG36469" s="256"/>
    </row>
    <row r="36470" spans="104:111">
      <c r="CZ36470" s="256"/>
      <c r="DG36470" s="256"/>
    </row>
    <row r="36471" spans="104:111">
      <c r="CZ36471" s="256"/>
      <c r="DG36471" s="256"/>
    </row>
    <row r="36472" spans="104:111">
      <c r="CZ36472" s="256"/>
      <c r="DG36472" s="256"/>
    </row>
    <row r="36473" spans="104:111">
      <c r="CZ36473" s="256"/>
      <c r="DG36473" s="256"/>
    </row>
    <row r="36474" spans="104:111">
      <c r="CZ36474" s="256"/>
      <c r="DG36474" s="256"/>
    </row>
    <row r="36475" spans="104:111">
      <c r="CZ36475" s="256"/>
      <c r="DG36475" s="256"/>
    </row>
    <row r="36476" spans="104:111">
      <c r="CZ36476" s="256"/>
      <c r="DG36476" s="256"/>
    </row>
    <row r="36477" spans="104:111">
      <c r="CZ36477" s="256"/>
      <c r="DG36477" s="256"/>
    </row>
    <row r="36478" spans="104:111">
      <c r="CZ36478" s="256"/>
      <c r="DG36478" s="256"/>
    </row>
    <row r="36479" spans="104:111">
      <c r="CZ36479" s="256"/>
      <c r="DG36479" s="256"/>
    </row>
    <row r="36480" spans="104:111">
      <c r="CZ36480" s="256"/>
      <c r="DG36480" s="256"/>
    </row>
    <row r="36481" spans="104:111">
      <c r="CZ36481" s="256"/>
      <c r="DG36481" s="256"/>
    </row>
    <row r="36482" spans="104:111">
      <c r="CZ36482" s="256"/>
      <c r="DG36482" s="256"/>
    </row>
    <row r="36483" spans="104:111">
      <c r="CZ36483" s="256"/>
      <c r="DG36483" s="256"/>
    </row>
    <row r="36484" spans="104:111">
      <c r="CZ36484" s="256"/>
      <c r="DG36484" s="256"/>
    </row>
    <row r="36485" spans="104:111">
      <c r="CZ36485" s="256"/>
      <c r="DG36485" s="256"/>
    </row>
    <row r="36486" spans="104:111">
      <c r="CZ36486" s="256"/>
      <c r="DG36486" s="256"/>
    </row>
    <row r="36487" spans="104:111">
      <c r="CZ36487" s="256"/>
      <c r="DG36487" s="256"/>
    </row>
    <row r="36488" spans="104:111">
      <c r="CZ36488" s="256"/>
      <c r="DG36488" s="256"/>
    </row>
    <row r="36489" spans="104:111">
      <c r="CZ36489" s="256"/>
      <c r="DG36489" s="256"/>
    </row>
    <row r="36490" spans="104:111">
      <c r="CZ36490" s="256"/>
      <c r="DG36490" s="256"/>
    </row>
    <row r="36491" spans="104:111">
      <c r="CZ36491" s="256"/>
      <c r="DG36491" s="256"/>
    </row>
    <row r="36492" spans="104:111">
      <c r="CZ36492" s="256"/>
      <c r="DG36492" s="256"/>
    </row>
    <row r="36493" spans="104:111">
      <c r="CZ36493" s="256"/>
      <c r="DG36493" s="256"/>
    </row>
    <row r="36494" spans="104:111">
      <c r="CZ36494" s="256"/>
      <c r="DG36494" s="256"/>
    </row>
    <row r="36495" spans="104:111">
      <c r="CZ36495" s="256"/>
      <c r="DG36495" s="256"/>
    </row>
    <row r="36496" spans="104:111">
      <c r="CZ36496" s="256"/>
      <c r="DG36496" s="256"/>
    </row>
    <row r="36497" spans="104:111">
      <c r="CZ36497" s="256"/>
      <c r="DG36497" s="256"/>
    </row>
    <row r="36498" spans="104:111">
      <c r="CZ36498" s="256"/>
      <c r="DG36498" s="256"/>
    </row>
    <row r="36499" spans="104:111">
      <c r="CZ36499" s="256"/>
      <c r="DG36499" s="256"/>
    </row>
    <row r="36500" spans="104:111">
      <c r="CZ36500" s="256"/>
      <c r="DG36500" s="256"/>
    </row>
    <row r="36501" spans="104:111">
      <c r="CZ36501" s="256"/>
      <c r="DG36501" s="256"/>
    </row>
    <row r="36502" spans="104:111">
      <c r="CZ36502" s="256"/>
      <c r="DG36502" s="256"/>
    </row>
    <row r="36503" spans="104:111">
      <c r="CZ36503" s="256"/>
      <c r="DG36503" s="256"/>
    </row>
    <row r="36504" spans="104:111">
      <c r="CZ36504" s="256"/>
      <c r="DG36504" s="256"/>
    </row>
    <row r="36505" spans="104:111">
      <c r="CZ36505" s="256"/>
      <c r="DG36505" s="256"/>
    </row>
    <row r="36506" spans="104:111">
      <c r="CZ36506" s="256"/>
      <c r="DG36506" s="256"/>
    </row>
    <row r="36507" spans="104:111">
      <c r="CZ36507" s="256"/>
      <c r="DG36507" s="256"/>
    </row>
    <row r="36508" spans="104:111">
      <c r="CZ36508" s="256"/>
      <c r="DG36508" s="256"/>
    </row>
    <row r="36509" spans="104:111">
      <c r="CZ36509" s="256"/>
      <c r="DG36509" s="256"/>
    </row>
    <row r="36510" spans="104:111">
      <c r="CZ36510" s="256"/>
      <c r="DG36510" s="256"/>
    </row>
    <row r="36511" spans="104:111">
      <c r="CZ36511" s="256"/>
      <c r="DG36511" s="256"/>
    </row>
    <row r="36512" spans="104:111">
      <c r="CZ36512" s="256"/>
      <c r="DG36512" s="256"/>
    </row>
    <row r="36513" spans="104:111">
      <c r="CZ36513" s="256"/>
      <c r="DG36513" s="256"/>
    </row>
    <row r="36514" spans="104:111">
      <c r="CZ36514" s="256"/>
      <c r="DG36514" s="256"/>
    </row>
    <row r="36515" spans="104:111">
      <c r="CZ36515" s="256"/>
      <c r="DG36515" s="256"/>
    </row>
    <row r="36516" spans="104:111">
      <c r="CZ36516" s="256"/>
      <c r="DG36516" s="256"/>
    </row>
    <row r="36517" spans="104:111">
      <c r="CZ36517" s="256"/>
      <c r="DG36517" s="256"/>
    </row>
    <row r="36518" spans="104:111">
      <c r="CZ36518" s="256"/>
      <c r="DG36518" s="256"/>
    </row>
    <row r="36519" spans="104:111">
      <c r="CZ36519" s="256"/>
      <c r="DG36519" s="256"/>
    </row>
    <row r="36520" spans="104:111">
      <c r="CZ36520" s="256"/>
      <c r="DG36520" s="256"/>
    </row>
    <row r="36521" spans="104:111">
      <c r="CZ36521" s="256"/>
      <c r="DG36521" s="256"/>
    </row>
    <row r="36522" spans="104:111">
      <c r="CZ36522" s="256"/>
      <c r="DG36522" s="256"/>
    </row>
    <row r="36523" spans="104:111">
      <c r="CZ36523" s="256"/>
      <c r="DG36523" s="256"/>
    </row>
    <row r="36524" spans="104:111">
      <c r="CZ36524" s="256"/>
      <c r="DG36524" s="256"/>
    </row>
    <row r="36525" spans="104:111">
      <c r="CZ36525" s="256"/>
      <c r="DG36525" s="256"/>
    </row>
    <row r="36526" spans="104:111">
      <c r="CZ36526" s="256"/>
      <c r="DG36526" s="256"/>
    </row>
    <row r="36527" spans="104:111">
      <c r="CZ36527" s="256"/>
      <c r="DG36527" s="256"/>
    </row>
    <row r="36528" spans="104:111">
      <c r="CZ36528" s="256"/>
      <c r="DG36528" s="256"/>
    </row>
    <row r="36529" spans="104:111">
      <c r="CZ36529" s="256"/>
      <c r="DG36529" s="256"/>
    </row>
    <row r="36530" spans="104:111">
      <c r="CZ36530" s="256"/>
      <c r="DG36530" s="256"/>
    </row>
    <row r="36531" spans="104:111">
      <c r="CZ36531" s="256"/>
      <c r="DG36531" s="256"/>
    </row>
    <row r="36532" spans="104:111">
      <c r="CZ36532" s="256"/>
      <c r="DG36532" s="256"/>
    </row>
    <row r="36533" spans="104:111">
      <c r="CZ36533" s="256"/>
      <c r="DG36533" s="256"/>
    </row>
    <row r="36534" spans="104:111">
      <c r="CZ36534" s="256"/>
      <c r="DG36534" s="256"/>
    </row>
    <row r="36535" spans="104:111">
      <c r="CZ36535" s="256"/>
      <c r="DG36535" s="256"/>
    </row>
    <row r="36536" spans="104:111">
      <c r="CZ36536" s="256"/>
      <c r="DG36536" s="256"/>
    </row>
    <row r="36537" spans="104:111">
      <c r="CZ36537" s="256"/>
      <c r="DG36537" s="256"/>
    </row>
    <row r="36538" spans="104:111">
      <c r="CZ36538" s="256"/>
      <c r="DG36538" s="256"/>
    </row>
    <row r="36539" spans="104:111">
      <c r="CZ36539" s="256"/>
      <c r="DG36539" s="256"/>
    </row>
    <row r="36540" spans="104:111">
      <c r="CZ36540" s="256"/>
      <c r="DG36540" s="256"/>
    </row>
    <row r="36541" spans="104:111">
      <c r="CZ36541" s="256"/>
      <c r="DG36541" s="256"/>
    </row>
    <row r="36542" spans="104:111">
      <c r="CZ36542" s="256"/>
      <c r="DG36542" s="256"/>
    </row>
    <row r="36543" spans="104:111">
      <c r="CZ36543" s="256"/>
      <c r="DG36543" s="256"/>
    </row>
    <row r="36544" spans="104:111">
      <c r="CZ36544" s="256"/>
      <c r="DG36544" s="256"/>
    </row>
    <row r="36545" spans="104:111">
      <c r="CZ36545" s="256"/>
      <c r="DG36545" s="256"/>
    </row>
    <row r="36546" spans="104:111">
      <c r="CZ36546" s="256"/>
      <c r="DG36546" s="256"/>
    </row>
    <row r="36547" spans="104:111">
      <c r="CZ36547" s="256"/>
      <c r="DG36547" s="256"/>
    </row>
    <row r="36548" spans="104:111">
      <c r="CZ36548" s="256"/>
      <c r="DG36548" s="256"/>
    </row>
    <row r="36549" spans="104:111">
      <c r="CZ36549" s="256"/>
      <c r="DG36549" s="256"/>
    </row>
    <row r="36550" spans="104:111">
      <c r="CZ36550" s="256"/>
      <c r="DG36550" s="256"/>
    </row>
    <row r="36551" spans="104:111">
      <c r="CZ36551" s="256"/>
      <c r="DG36551" s="256"/>
    </row>
    <row r="36552" spans="104:111">
      <c r="CZ36552" s="256"/>
      <c r="DG36552" s="256"/>
    </row>
    <row r="36553" spans="104:111">
      <c r="CZ36553" s="256"/>
      <c r="DG36553" s="256"/>
    </row>
    <row r="36554" spans="104:111">
      <c r="CZ36554" s="256"/>
      <c r="DG36554" s="256"/>
    </row>
    <row r="36555" spans="104:111">
      <c r="CZ36555" s="256"/>
      <c r="DG36555" s="256"/>
    </row>
    <row r="36556" spans="104:111">
      <c r="CZ36556" s="256"/>
      <c r="DG36556" s="256"/>
    </row>
    <row r="36557" spans="104:111">
      <c r="CZ36557" s="256"/>
      <c r="DG36557" s="256"/>
    </row>
    <row r="36558" spans="104:111">
      <c r="CZ36558" s="256"/>
      <c r="DG36558" s="256"/>
    </row>
    <row r="36559" spans="104:111">
      <c r="CZ36559" s="256"/>
      <c r="DG36559" s="256"/>
    </row>
    <row r="36560" spans="104:111">
      <c r="CZ36560" s="256"/>
      <c r="DG36560" s="256"/>
    </row>
    <row r="36561" spans="104:111">
      <c r="CZ36561" s="256"/>
      <c r="DG36561" s="256"/>
    </row>
    <row r="36562" spans="104:111">
      <c r="CZ36562" s="256"/>
      <c r="DG36562" s="256"/>
    </row>
    <row r="36563" spans="104:111">
      <c r="CZ36563" s="256"/>
      <c r="DG36563" s="256"/>
    </row>
    <row r="36564" spans="104:111">
      <c r="CZ36564" s="256"/>
      <c r="DG36564" s="256"/>
    </row>
    <row r="36565" spans="104:111">
      <c r="CZ36565" s="256"/>
      <c r="DG36565" s="256"/>
    </row>
    <row r="36566" spans="104:111">
      <c r="CZ36566" s="256"/>
      <c r="DG36566" s="256"/>
    </row>
    <row r="36567" spans="104:111">
      <c r="CZ36567" s="256"/>
      <c r="DG36567" s="256"/>
    </row>
    <row r="36568" spans="104:111">
      <c r="CZ36568" s="256"/>
      <c r="DG36568" s="256"/>
    </row>
    <row r="36569" spans="104:111">
      <c r="CZ36569" s="256"/>
      <c r="DG36569" s="256"/>
    </row>
    <row r="36570" spans="104:111">
      <c r="CZ36570" s="256"/>
      <c r="DG36570" s="256"/>
    </row>
    <row r="36571" spans="104:111">
      <c r="CZ36571" s="256"/>
      <c r="DG36571" s="256"/>
    </row>
    <row r="36572" spans="104:111">
      <c r="CZ36572" s="256"/>
      <c r="DG36572" s="256"/>
    </row>
    <row r="36573" spans="104:111">
      <c r="CZ36573" s="256"/>
      <c r="DG36573" s="256"/>
    </row>
    <row r="36574" spans="104:111">
      <c r="CZ36574" s="256"/>
      <c r="DG36574" s="256"/>
    </row>
    <row r="36575" spans="104:111">
      <c r="CZ36575" s="256"/>
      <c r="DG36575" s="256"/>
    </row>
    <row r="36576" spans="104:111">
      <c r="CZ36576" s="256"/>
      <c r="DG36576" s="256"/>
    </row>
    <row r="36577" spans="104:111">
      <c r="CZ36577" s="256"/>
      <c r="DG36577" s="256"/>
    </row>
    <row r="36578" spans="104:111">
      <c r="CZ36578" s="256"/>
      <c r="DG36578" s="256"/>
    </row>
    <row r="36579" spans="104:111">
      <c r="CZ36579" s="256"/>
      <c r="DG36579" s="256"/>
    </row>
    <row r="36580" spans="104:111">
      <c r="CZ36580" s="256"/>
      <c r="DG36580" s="256"/>
    </row>
    <row r="36581" spans="104:111">
      <c r="CZ36581" s="256"/>
      <c r="DG36581" s="256"/>
    </row>
    <row r="36582" spans="104:111">
      <c r="CZ36582" s="256"/>
      <c r="DG36582" s="256"/>
    </row>
    <row r="36583" spans="104:111">
      <c r="CZ36583" s="256"/>
      <c r="DG36583" s="256"/>
    </row>
    <row r="36584" spans="104:111">
      <c r="CZ36584" s="256"/>
      <c r="DG36584" s="256"/>
    </row>
    <row r="36585" spans="104:111">
      <c r="CZ36585" s="256"/>
      <c r="DG36585" s="256"/>
    </row>
    <row r="36586" spans="104:111">
      <c r="CZ36586" s="256"/>
      <c r="DG36586" s="256"/>
    </row>
    <row r="36587" spans="104:111">
      <c r="CZ36587" s="256"/>
      <c r="DG36587" s="256"/>
    </row>
    <row r="36588" spans="104:111">
      <c r="CZ36588" s="256"/>
      <c r="DG36588" s="256"/>
    </row>
    <row r="36589" spans="104:111">
      <c r="CZ36589" s="256"/>
      <c r="DG36589" s="256"/>
    </row>
    <row r="36590" spans="104:111">
      <c r="CZ36590" s="256"/>
      <c r="DG36590" s="256"/>
    </row>
    <row r="36591" spans="104:111">
      <c r="CZ36591" s="256"/>
      <c r="DG36591" s="256"/>
    </row>
    <row r="36592" spans="104:111">
      <c r="CZ36592" s="256"/>
      <c r="DG36592" s="256"/>
    </row>
    <row r="36593" spans="104:111">
      <c r="CZ36593" s="256"/>
      <c r="DG36593" s="256"/>
    </row>
    <row r="36594" spans="104:111">
      <c r="CZ36594" s="256"/>
      <c r="DG36594" s="256"/>
    </row>
    <row r="36595" spans="104:111">
      <c r="CZ36595" s="256"/>
      <c r="DG36595" s="256"/>
    </row>
    <row r="36596" spans="104:111">
      <c r="CZ36596" s="256"/>
      <c r="DG36596" s="256"/>
    </row>
    <row r="36597" spans="104:111">
      <c r="CZ36597" s="256"/>
      <c r="DG36597" s="256"/>
    </row>
    <row r="36598" spans="104:111">
      <c r="CZ36598" s="256"/>
      <c r="DG36598" s="256"/>
    </row>
    <row r="36599" spans="104:111">
      <c r="CZ36599" s="256"/>
      <c r="DG36599" s="256"/>
    </row>
    <row r="36600" spans="104:111">
      <c r="CZ36600" s="256"/>
      <c r="DG36600" s="256"/>
    </row>
    <row r="36601" spans="104:111">
      <c r="CZ36601" s="256"/>
      <c r="DG36601" s="256"/>
    </row>
    <row r="36602" spans="104:111">
      <c r="CZ36602" s="256"/>
      <c r="DG36602" s="256"/>
    </row>
    <row r="36603" spans="104:111">
      <c r="CZ36603" s="256"/>
      <c r="DG36603" s="256"/>
    </row>
    <row r="36604" spans="104:111">
      <c r="CZ36604" s="256"/>
      <c r="DG36604" s="256"/>
    </row>
    <row r="36605" spans="104:111">
      <c r="CZ36605" s="256"/>
      <c r="DG36605" s="256"/>
    </row>
    <row r="36606" spans="104:111">
      <c r="CZ36606" s="256"/>
      <c r="DG36606" s="256"/>
    </row>
    <row r="36607" spans="104:111">
      <c r="CZ36607" s="256"/>
      <c r="DG36607" s="256"/>
    </row>
    <row r="36608" spans="104:111">
      <c r="CZ36608" s="256"/>
      <c r="DG36608" s="256"/>
    </row>
    <row r="36609" spans="104:111">
      <c r="CZ36609" s="256"/>
      <c r="DG36609" s="256"/>
    </row>
    <row r="36610" spans="104:111">
      <c r="CZ36610" s="256"/>
      <c r="DG36610" s="256"/>
    </row>
    <row r="36611" spans="104:111">
      <c r="CZ36611" s="256"/>
      <c r="DG36611" s="256"/>
    </row>
    <row r="36612" spans="104:111">
      <c r="CZ36612" s="256"/>
      <c r="DG36612" s="256"/>
    </row>
    <row r="36613" spans="104:111">
      <c r="CZ36613" s="256"/>
      <c r="DG36613" s="256"/>
    </row>
    <row r="36614" spans="104:111">
      <c r="CZ36614" s="256"/>
      <c r="DG36614" s="256"/>
    </row>
    <row r="36615" spans="104:111">
      <c r="CZ36615" s="256"/>
      <c r="DG36615" s="256"/>
    </row>
    <row r="36616" spans="104:111">
      <c r="CZ36616" s="256"/>
      <c r="DG36616" s="256"/>
    </row>
    <row r="36617" spans="104:111">
      <c r="CZ36617" s="256"/>
      <c r="DG36617" s="256"/>
    </row>
    <row r="36618" spans="104:111">
      <c r="CZ36618" s="256"/>
      <c r="DG36618" s="256"/>
    </row>
    <row r="36619" spans="104:111">
      <c r="CZ36619" s="256"/>
      <c r="DG36619" s="256"/>
    </row>
    <row r="36620" spans="104:111">
      <c r="CZ36620" s="256"/>
      <c r="DG36620" s="256"/>
    </row>
    <row r="36621" spans="104:111">
      <c r="CZ36621" s="256"/>
      <c r="DG36621" s="256"/>
    </row>
    <row r="36622" spans="104:111">
      <c r="CZ36622" s="256"/>
      <c r="DG36622" s="256"/>
    </row>
    <row r="36623" spans="104:111">
      <c r="CZ36623" s="256"/>
      <c r="DG36623" s="256"/>
    </row>
    <row r="36624" spans="104:111">
      <c r="CZ36624" s="256"/>
      <c r="DG36624" s="256"/>
    </row>
    <row r="36625" spans="104:111">
      <c r="CZ36625" s="256"/>
      <c r="DG36625" s="256"/>
    </row>
    <row r="36626" spans="104:111">
      <c r="CZ36626" s="256"/>
      <c r="DG36626" s="256"/>
    </row>
    <row r="36627" spans="104:111">
      <c r="CZ36627" s="256"/>
      <c r="DG36627" s="256"/>
    </row>
    <row r="36628" spans="104:111">
      <c r="CZ36628" s="256"/>
      <c r="DG36628" s="256"/>
    </row>
    <row r="36629" spans="104:111">
      <c r="CZ36629" s="256"/>
      <c r="DG36629" s="256"/>
    </row>
    <row r="36630" spans="104:111">
      <c r="CZ36630" s="256"/>
      <c r="DG36630" s="256"/>
    </row>
    <row r="36631" spans="104:111">
      <c r="CZ36631" s="256"/>
      <c r="DG36631" s="256"/>
    </row>
    <row r="36632" spans="104:111">
      <c r="CZ36632" s="256"/>
      <c r="DG36632" s="256"/>
    </row>
    <row r="36633" spans="104:111">
      <c r="CZ36633" s="256"/>
      <c r="DG36633" s="256"/>
    </row>
    <row r="36634" spans="104:111">
      <c r="CZ36634" s="256"/>
      <c r="DG36634" s="256"/>
    </row>
    <row r="36635" spans="104:111">
      <c r="CZ36635" s="256"/>
      <c r="DG36635" s="256"/>
    </row>
    <row r="36636" spans="104:111">
      <c r="CZ36636" s="256"/>
      <c r="DG36636" s="256"/>
    </row>
    <row r="36637" spans="104:111">
      <c r="CZ36637" s="256"/>
      <c r="DG36637" s="256"/>
    </row>
    <row r="36638" spans="104:111">
      <c r="CZ36638" s="256"/>
      <c r="DG36638" s="256"/>
    </row>
    <row r="36639" spans="104:111">
      <c r="CZ36639" s="256"/>
      <c r="DG36639" s="256"/>
    </row>
    <row r="36640" spans="104:111">
      <c r="CZ36640" s="256"/>
      <c r="DG36640" s="256"/>
    </row>
    <row r="36641" spans="104:111">
      <c r="CZ36641" s="256"/>
      <c r="DG36641" s="256"/>
    </row>
    <row r="36642" spans="104:111">
      <c r="CZ36642" s="256"/>
      <c r="DG36642" s="256"/>
    </row>
    <row r="36643" spans="104:111">
      <c r="CZ36643" s="256"/>
      <c r="DG36643" s="256"/>
    </row>
    <row r="36644" spans="104:111">
      <c r="CZ36644" s="256"/>
      <c r="DG36644" s="256"/>
    </row>
    <row r="36645" spans="104:111">
      <c r="CZ36645" s="256"/>
      <c r="DG36645" s="256"/>
    </row>
    <row r="36646" spans="104:111">
      <c r="CZ36646" s="256"/>
      <c r="DG36646" s="256"/>
    </row>
    <row r="36647" spans="104:111">
      <c r="CZ36647" s="256"/>
      <c r="DG36647" s="256"/>
    </row>
    <row r="36648" spans="104:111">
      <c r="CZ36648" s="256"/>
      <c r="DG36648" s="256"/>
    </row>
    <row r="36649" spans="104:111">
      <c r="CZ36649" s="256"/>
      <c r="DG36649" s="256"/>
    </row>
    <row r="36650" spans="104:111">
      <c r="CZ36650" s="256"/>
      <c r="DG36650" s="256"/>
    </row>
    <row r="36651" spans="104:111">
      <c r="CZ36651" s="256"/>
      <c r="DG36651" s="256"/>
    </row>
    <row r="36652" spans="104:111">
      <c r="CZ36652" s="256"/>
      <c r="DG36652" s="256"/>
    </row>
    <row r="36653" spans="104:111">
      <c r="CZ36653" s="256"/>
      <c r="DG36653" s="256"/>
    </row>
    <row r="36654" spans="104:111">
      <c r="CZ36654" s="256"/>
      <c r="DG36654" s="256"/>
    </row>
    <row r="36655" spans="104:111">
      <c r="CZ36655" s="256"/>
      <c r="DG36655" s="256"/>
    </row>
    <row r="36656" spans="104:111">
      <c r="CZ36656" s="256"/>
      <c r="DG36656" s="256"/>
    </row>
    <row r="36657" spans="104:111">
      <c r="CZ36657" s="256"/>
      <c r="DG36657" s="256"/>
    </row>
    <row r="36658" spans="104:111">
      <c r="CZ36658" s="256"/>
      <c r="DG36658" s="256"/>
    </row>
    <row r="36659" spans="104:111">
      <c r="CZ36659" s="256"/>
      <c r="DG36659" s="256"/>
    </row>
    <row r="36660" spans="104:111">
      <c r="CZ36660" s="256"/>
      <c r="DG36660" s="256"/>
    </row>
    <row r="36661" spans="104:111">
      <c r="CZ36661" s="256"/>
      <c r="DG36661" s="256"/>
    </row>
    <row r="36662" spans="104:111">
      <c r="CZ36662" s="256"/>
      <c r="DG36662" s="256"/>
    </row>
    <row r="36663" spans="104:111">
      <c r="CZ36663" s="256"/>
      <c r="DG36663" s="256"/>
    </row>
    <row r="36664" spans="104:111">
      <c r="CZ36664" s="256"/>
      <c r="DG36664" s="256"/>
    </row>
    <row r="36665" spans="104:111">
      <c r="CZ36665" s="256"/>
      <c r="DG36665" s="256"/>
    </row>
    <row r="36666" spans="104:111">
      <c r="CZ36666" s="256"/>
      <c r="DG36666" s="256"/>
    </row>
    <row r="36667" spans="104:111">
      <c r="CZ36667" s="256"/>
      <c r="DG36667" s="256"/>
    </row>
    <row r="36668" spans="104:111">
      <c r="CZ36668" s="256"/>
      <c r="DG36668" s="256"/>
    </row>
    <row r="36669" spans="104:111">
      <c r="CZ36669" s="256"/>
      <c r="DG36669" s="256"/>
    </row>
    <row r="36670" spans="104:111">
      <c r="CZ36670" s="256"/>
      <c r="DG36670" s="256"/>
    </row>
    <row r="36671" spans="104:111">
      <c r="CZ36671" s="256"/>
      <c r="DG36671" s="256"/>
    </row>
    <row r="36672" spans="104:111">
      <c r="CZ36672" s="256"/>
      <c r="DG36672" s="256"/>
    </row>
    <row r="36673" spans="104:111">
      <c r="CZ36673" s="256"/>
      <c r="DG36673" s="256"/>
    </row>
    <row r="36674" spans="104:111">
      <c r="CZ36674" s="256"/>
      <c r="DG36674" s="256"/>
    </row>
    <row r="36675" spans="104:111">
      <c r="CZ36675" s="256"/>
      <c r="DG36675" s="256"/>
    </row>
    <row r="36676" spans="104:111">
      <c r="CZ36676" s="256"/>
      <c r="DG36676" s="256"/>
    </row>
    <row r="36677" spans="104:111">
      <c r="CZ36677" s="256"/>
      <c r="DG36677" s="256"/>
    </row>
    <row r="36678" spans="104:111">
      <c r="CZ36678" s="256"/>
      <c r="DG36678" s="256"/>
    </row>
    <row r="36679" spans="104:111">
      <c r="CZ36679" s="256"/>
      <c r="DG36679" s="256"/>
    </row>
    <row r="36680" spans="104:111">
      <c r="CZ36680" s="256"/>
      <c r="DG36680" s="256"/>
    </row>
    <row r="36681" spans="104:111">
      <c r="CZ36681" s="256"/>
      <c r="DG36681" s="256"/>
    </row>
    <row r="36682" spans="104:111">
      <c r="CZ36682" s="256"/>
      <c r="DG36682" s="256"/>
    </row>
    <row r="36683" spans="104:111">
      <c r="CZ36683" s="256"/>
      <c r="DG36683" s="256"/>
    </row>
    <row r="36684" spans="104:111">
      <c r="CZ36684" s="256"/>
      <c r="DG36684" s="256"/>
    </row>
    <row r="36685" spans="104:111">
      <c r="CZ36685" s="256"/>
      <c r="DG36685" s="256"/>
    </row>
    <row r="36686" spans="104:111">
      <c r="CZ36686" s="256"/>
      <c r="DG36686" s="256"/>
    </row>
    <row r="36687" spans="104:111">
      <c r="CZ36687" s="256"/>
      <c r="DG36687" s="256"/>
    </row>
    <row r="36688" spans="104:111">
      <c r="CZ36688" s="256"/>
      <c r="DG36688" s="256"/>
    </row>
    <row r="36689" spans="104:111">
      <c r="CZ36689" s="256"/>
      <c r="DG36689" s="256"/>
    </row>
    <row r="36690" spans="104:111">
      <c r="CZ36690" s="256"/>
      <c r="DG36690" s="256"/>
    </row>
    <row r="36691" spans="104:111">
      <c r="CZ36691" s="256"/>
      <c r="DG36691" s="256"/>
    </row>
    <row r="36692" spans="104:111">
      <c r="CZ36692" s="256"/>
      <c r="DG36692" s="256"/>
    </row>
    <row r="36693" spans="104:111">
      <c r="CZ36693" s="256"/>
      <c r="DG36693" s="256"/>
    </row>
    <row r="36694" spans="104:111">
      <c r="CZ36694" s="256"/>
      <c r="DG36694" s="256"/>
    </row>
    <row r="36695" spans="104:111">
      <c r="CZ36695" s="256"/>
      <c r="DG36695" s="256"/>
    </row>
    <row r="36696" spans="104:111">
      <c r="CZ36696" s="256"/>
      <c r="DG36696" s="256"/>
    </row>
    <row r="36697" spans="104:111">
      <c r="CZ36697" s="256"/>
      <c r="DG36697" s="256"/>
    </row>
    <row r="36698" spans="104:111">
      <c r="CZ36698" s="256"/>
      <c r="DG36698" s="256"/>
    </row>
    <row r="36699" spans="104:111">
      <c r="CZ36699" s="256"/>
      <c r="DG36699" s="256"/>
    </row>
    <row r="36700" spans="104:111">
      <c r="CZ36700" s="256"/>
      <c r="DG36700" s="256"/>
    </row>
    <row r="36701" spans="104:111">
      <c r="CZ36701" s="256"/>
      <c r="DG36701" s="256"/>
    </row>
    <row r="36702" spans="104:111">
      <c r="CZ36702" s="256"/>
      <c r="DG36702" s="256"/>
    </row>
    <row r="36703" spans="104:111">
      <c r="CZ36703" s="256"/>
      <c r="DG36703" s="256"/>
    </row>
    <row r="36704" spans="104:111">
      <c r="CZ36704" s="256"/>
      <c r="DG36704" s="256"/>
    </row>
    <row r="36705" spans="104:111">
      <c r="CZ36705" s="256"/>
      <c r="DG36705" s="256"/>
    </row>
    <row r="36706" spans="104:111">
      <c r="CZ36706" s="256"/>
      <c r="DG36706" s="256"/>
    </row>
    <row r="36707" spans="104:111">
      <c r="CZ36707" s="256"/>
      <c r="DG36707" s="256"/>
    </row>
    <row r="36708" spans="104:111">
      <c r="CZ36708" s="256"/>
      <c r="DG36708" s="256"/>
    </row>
    <row r="36709" spans="104:111">
      <c r="CZ36709" s="256"/>
      <c r="DG36709" s="256"/>
    </row>
    <row r="36710" spans="104:111">
      <c r="CZ36710" s="256"/>
      <c r="DG36710" s="256"/>
    </row>
    <row r="36711" spans="104:111">
      <c r="CZ36711" s="256"/>
      <c r="DG36711" s="256"/>
    </row>
    <row r="36712" spans="104:111">
      <c r="CZ36712" s="256"/>
      <c r="DG36712" s="256"/>
    </row>
    <row r="36713" spans="104:111">
      <c r="CZ36713" s="256"/>
      <c r="DG36713" s="256"/>
    </row>
    <row r="36714" spans="104:111">
      <c r="CZ36714" s="256"/>
      <c r="DG36714" s="256"/>
    </row>
    <row r="36715" spans="104:111">
      <c r="CZ36715" s="256"/>
      <c r="DG36715" s="256"/>
    </row>
    <row r="36716" spans="104:111">
      <c r="CZ36716" s="256"/>
      <c r="DG36716" s="256"/>
    </row>
    <row r="36717" spans="104:111">
      <c r="CZ36717" s="256"/>
      <c r="DG36717" s="256"/>
    </row>
    <row r="36718" spans="104:111">
      <c r="CZ36718" s="256"/>
      <c r="DG36718" s="256"/>
    </row>
    <row r="36719" spans="104:111">
      <c r="CZ36719" s="256"/>
      <c r="DG36719" s="256"/>
    </row>
    <row r="36720" spans="104:111">
      <c r="CZ36720" s="256"/>
      <c r="DG36720" s="256"/>
    </row>
    <row r="36721" spans="104:111">
      <c r="CZ36721" s="256"/>
      <c r="DG36721" s="256"/>
    </row>
    <row r="36722" spans="104:111">
      <c r="CZ36722" s="256"/>
      <c r="DG36722" s="256"/>
    </row>
    <row r="36723" spans="104:111">
      <c r="CZ36723" s="256"/>
      <c r="DG36723" s="256"/>
    </row>
    <row r="36724" spans="104:111">
      <c r="CZ36724" s="256"/>
      <c r="DG36724" s="256"/>
    </row>
    <row r="36725" spans="104:111">
      <c r="CZ36725" s="256"/>
      <c r="DG36725" s="256"/>
    </row>
    <row r="36726" spans="104:111">
      <c r="CZ36726" s="256"/>
      <c r="DG36726" s="256"/>
    </row>
    <row r="36727" spans="104:111">
      <c r="CZ36727" s="256"/>
      <c r="DG36727" s="256"/>
    </row>
    <row r="36728" spans="104:111">
      <c r="CZ36728" s="256"/>
      <c r="DG36728" s="256"/>
    </row>
    <row r="36729" spans="104:111">
      <c r="CZ36729" s="256"/>
      <c r="DG36729" s="256"/>
    </row>
    <row r="36730" spans="104:111">
      <c r="CZ36730" s="256"/>
      <c r="DG36730" s="256"/>
    </row>
    <row r="36731" spans="104:111">
      <c r="CZ36731" s="256"/>
      <c r="DG36731" s="256"/>
    </row>
    <row r="36732" spans="104:111">
      <c r="CZ36732" s="256"/>
      <c r="DG36732" s="256"/>
    </row>
    <row r="36733" spans="104:111">
      <c r="CZ36733" s="256"/>
      <c r="DG36733" s="256"/>
    </row>
    <row r="36734" spans="104:111">
      <c r="CZ36734" s="256"/>
      <c r="DG36734" s="256"/>
    </row>
    <row r="36735" spans="104:111">
      <c r="CZ36735" s="256"/>
      <c r="DG36735" s="256"/>
    </row>
    <row r="36736" spans="104:111">
      <c r="CZ36736" s="256"/>
      <c r="DG36736" s="256"/>
    </row>
    <row r="36737" spans="104:111">
      <c r="CZ36737" s="256"/>
      <c r="DG36737" s="256"/>
    </row>
    <row r="36738" spans="104:111">
      <c r="CZ36738" s="256"/>
      <c r="DG36738" s="256"/>
    </row>
    <row r="36739" spans="104:111">
      <c r="CZ36739" s="256"/>
      <c r="DG36739" s="256"/>
    </row>
    <row r="36740" spans="104:111">
      <c r="CZ36740" s="256"/>
      <c r="DG36740" s="256"/>
    </row>
    <row r="36741" spans="104:111">
      <c r="CZ36741" s="256"/>
      <c r="DG36741" s="256"/>
    </row>
    <row r="36742" spans="104:111">
      <c r="CZ36742" s="256"/>
      <c r="DG36742" s="256"/>
    </row>
    <row r="36743" spans="104:111">
      <c r="CZ36743" s="256"/>
      <c r="DG36743" s="256"/>
    </row>
    <row r="36744" spans="104:111">
      <c r="CZ36744" s="256"/>
      <c r="DG36744" s="256"/>
    </row>
    <row r="36745" spans="104:111">
      <c r="CZ36745" s="256"/>
      <c r="DG36745" s="256"/>
    </row>
    <row r="36746" spans="104:111">
      <c r="CZ36746" s="256"/>
      <c r="DG36746" s="256"/>
    </row>
    <row r="36747" spans="104:111">
      <c r="CZ36747" s="256"/>
      <c r="DG36747" s="256"/>
    </row>
    <row r="36748" spans="104:111">
      <c r="CZ36748" s="256"/>
      <c r="DG36748" s="256"/>
    </row>
    <row r="36749" spans="104:111">
      <c r="CZ36749" s="256"/>
      <c r="DG36749" s="256"/>
    </row>
    <row r="36750" spans="104:111">
      <c r="CZ36750" s="256"/>
      <c r="DG36750" s="256"/>
    </row>
    <row r="36751" spans="104:111">
      <c r="CZ36751" s="256"/>
      <c r="DG36751" s="256"/>
    </row>
    <row r="36752" spans="104:111">
      <c r="CZ36752" s="256"/>
      <c r="DG36752" s="256"/>
    </row>
    <row r="36753" spans="104:111">
      <c r="CZ36753" s="256"/>
      <c r="DG36753" s="256"/>
    </row>
    <row r="36754" spans="104:111">
      <c r="CZ36754" s="256"/>
      <c r="DG36754" s="256"/>
    </row>
    <row r="36755" spans="104:111">
      <c r="CZ36755" s="256"/>
      <c r="DG36755" s="256"/>
    </row>
    <row r="36756" spans="104:111">
      <c r="CZ36756" s="256"/>
      <c r="DG36756" s="256"/>
    </row>
    <row r="36757" spans="104:111">
      <c r="CZ36757" s="256"/>
      <c r="DG36757" s="256"/>
    </row>
    <row r="36758" spans="104:111">
      <c r="CZ36758" s="256"/>
      <c r="DG36758" s="256"/>
    </row>
    <row r="36759" spans="104:111">
      <c r="CZ36759" s="256"/>
      <c r="DG36759" s="256"/>
    </row>
    <row r="36760" spans="104:111">
      <c r="CZ36760" s="256"/>
      <c r="DG36760" s="256"/>
    </row>
    <row r="36761" spans="104:111">
      <c r="CZ36761" s="256"/>
      <c r="DG36761" s="256"/>
    </row>
    <row r="36762" spans="104:111">
      <c r="CZ36762" s="256"/>
      <c r="DG36762" s="256"/>
    </row>
    <row r="36763" spans="104:111">
      <c r="CZ36763" s="256"/>
      <c r="DG36763" s="256"/>
    </row>
    <row r="36764" spans="104:111">
      <c r="CZ36764" s="256"/>
      <c r="DG36764" s="256"/>
    </row>
    <row r="36765" spans="104:111">
      <c r="CZ36765" s="256"/>
      <c r="DG36765" s="256"/>
    </row>
    <row r="36766" spans="104:111">
      <c r="CZ36766" s="256"/>
      <c r="DG36766" s="256"/>
    </row>
    <row r="36767" spans="104:111">
      <c r="CZ36767" s="256"/>
      <c r="DG36767" s="256"/>
    </row>
    <row r="36768" spans="104:111">
      <c r="CZ36768" s="256"/>
      <c r="DG36768" s="256"/>
    </row>
    <row r="36769" spans="104:111">
      <c r="CZ36769" s="256"/>
      <c r="DG36769" s="256"/>
    </row>
    <row r="36770" spans="104:111">
      <c r="CZ36770" s="256"/>
      <c r="DG36770" s="256"/>
    </row>
    <row r="36771" spans="104:111">
      <c r="CZ36771" s="256"/>
      <c r="DG36771" s="256"/>
    </row>
    <row r="36772" spans="104:111">
      <c r="CZ36772" s="256"/>
      <c r="DG36772" s="256"/>
    </row>
    <row r="36773" spans="104:111">
      <c r="CZ36773" s="256"/>
      <c r="DG36773" s="256"/>
    </row>
    <row r="36774" spans="104:111">
      <c r="CZ36774" s="256"/>
      <c r="DG36774" s="256"/>
    </row>
    <row r="36775" spans="104:111">
      <c r="CZ36775" s="256"/>
      <c r="DG36775" s="256"/>
    </row>
    <row r="36776" spans="104:111">
      <c r="CZ36776" s="256"/>
      <c r="DG36776" s="256"/>
    </row>
    <row r="36777" spans="104:111">
      <c r="CZ36777" s="256"/>
      <c r="DG36777" s="256"/>
    </row>
    <row r="36778" spans="104:111">
      <c r="CZ36778" s="256"/>
      <c r="DG36778" s="256"/>
    </row>
    <row r="36779" spans="104:111">
      <c r="CZ36779" s="256"/>
      <c r="DG36779" s="256"/>
    </row>
    <row r="36780" spans="104:111">
      <c r="CZ36780" s="256"/>
      <c r="DG36780" s="256"/>
    </row>
    <row r="36781" spans="104:111">
      <c r="CZ36781" s="256"/>
      <c r="DG36781" s="256"/>
    </row>
    <row r="36782" spans="104:111">
      <c r="CZ36782" s="256"/>
      <c r="DG36782" s="256"/>
    </row>
    <row r="36783" spans="104:111">
      <c r="CZ36783" s="256"/>
      <c r="DG36783" s="256"/>
    </row>
    <row r="36784" spans="104:111">
      <c r="CZ36784" s="256"/>
      <c r="DG36784" s="256"/>
    </row>
    <row r="36785" spans="104:111">
      <c r="CZ36785" s="256"/>
      <c r="DG36785" s="256"/>
    </row>
    <row r="36786" spans="104:111">
      <c r="CZ36786" s="256"/>
      <c r="DG36786" s="256"/>
    </row>
    <row r="36787" spans="104:111">
      <c r="CZ36787" s="256"/>
      <c r="DG36787" s="256"/>
    </row>
    <row r="36788" spans="104:111">
      <c r="CZ36788" s="256"/>
      <c r="DG36788" s="256"/>
    </row>
    <row r="36789" spans="104:111">
      <c r="CZ36789" s="256"/>
      <c r="DG36789" s="256"/>
    </row>
    <row r="36790" spans="104:111">
      <c r="CZ36790" s="256"/>
      <c r="DG36790" s="256"/>
    </row>
    <row r="36791" spans="104:111">
      <c r="CZ36791" s="256"/>
      <c r="DG36791" s="256"/>
    </row>
    <row r="36792" spans="104:111">
      <c r="CZ36792" s="256"/>
      <c r="DG36792" s="256"/>
    </row>
    <row r="36793" spans="104:111">
      <c r="CZ36793" s="256"/>
      <c r="DG36793" s="256"/>
    </row>
    <row r="36794" spans="104:111">
      <c r="CZ36794" s="256"/>
      <c r="DG36794" s="256"/>
    </row>
    <row r="36795" spans="104:111">
      <c r="CZ36795" s="256"/>
      <c r="DG36795" s="256"/>
    </row>
    <row r="36796" spans="104:111">
      <c r="CZ36796" s="256"/>
      <c r="DG36796" s="256"/>
    </row>
    <row r="36797" spans="104:111">
      <c r="CZ36797" s="256"/>
      <c r="DG36797" s="256"/>
    </row>
    <row r="36798" spans="104:111">
      <c r="CZ36798" s="256"/>
      <c r="DG36798" s="256"/>
    </row>
    <row r="36799" spans="104:111">
      <c r="CZ36799" s="256"/>
      <c r="DG36799" s="256"/>
    </row>
    <row r="36800" spans="104:111">
      <c r="CZ36800" s="256"/>
      <c r="DG36800" s="256"/>
    </row>
    <row r="36801" spans="104:111">
      <c r="CZ36801" s="256"/>
      <c r="DG36801" s="256"/>
    </row>
    <row r="36802" spans="104:111">
      <c r="CZ36802" s="256"/>
      <c r="DG36802" s="256"/>
    </row>
    <row r="36803" spans="104:111">
      <c r="CZ36803" s="256"/>
      <c r="DG36803" s="256"/>
    </row>
    <row r="36804" spans="104:111">
      <c r="CZ36804" s="256"/>
      <c r="DG36804" s="256"/>
    </row>
    <row r="36805" spans="104:111">
      <c r="CZ36805" s="256"/>
      <c r="DG36805" s="256"/>
    </row>
    <row r="36806" spans="104:111">
      <c r="CZ36806" s="256"/>
      <c r="DG36806" s="256"/>
    </row>
    <row r="36807" spans="104:111">
      <c r="CZ36807" s="256"/>
      <c r="DG36807" s="256"/>
    </row>
    <row r="36808" spans="104:111">
      <c r="CZ36808" s="256"/>
      <c r="DG36808" s="256"/>
    </row>
    <row r="36809" spans="104:111">
      <c r="CZ36809" s="256"/>
      <c r="DG36809" s="256"/>
    </row>
    <row r="36810" spans="104:111">
      <c r="CZ36810" s="256"/>
      <c r="DG36810" s="256"/>
    </row>
    <row r="36811" spans="104:111">
      <c r="CZ36811" s="256"/>
      <c r="DG36811" s="256"/>
    </row>
    <row r="36812" spans="104:111">
      <c r="CZ36812" s="256"/>
      <c r="DG36812" s="256"/>
    </row>
    <row r="36813" spans="104:111">
      <c r="CZ36813" s="256"/>
      <c r="DG36813" s="256"/>
    </row>
    <row r="36814" spans="104:111">
      <c r="CZ36814" s="256"/>
      <c r="DG36814" s="256"/>
    </row>
    <row r="36815" spans="104:111">
      <c r="CZ36815" s="256"/>
      <c r="DG36815" s="256"/>
    </row>
    <row r="36816" spans="104:111">
      <c r="CZ36816" s="256"/>
      <c r="DG36816" s="256"/>
    </row>
    <row r="36817" spans="104:111">
      <c r="CZ36817" s="256"/>
      <c r="DG36817" s="256"/>
    </row>
    <row r="36818" spans="104:111">
      <c r="CZ36818" s="256"/>
      <c r="DG36818" s="256"/>
    </row>
    <row r="36819" spans="104:111">
      <c r="CZ36819" s="256"/>
      <c r="DG36819" s="256"/>
    </row>
    <row r="36820" spans="104:111">
      <c r="CZ36820" s="256"/>
      <c r="DG36820" s="256"/>
    </row>
    <row r="36821" spans="104:111">
      <c r="CZ36821" s="256"/>
      <c r="DG36821" s="256"/>
    </row>
    <row r="36822" spans="104:111">
      <c r="CZ36822" s="256"/>
      <c r="DG36822" s="256"/>
    </row>
    <row r="36823" spans="104:111">
      <c r="CZ36823" s="256"/>
      <c r="DG36823" s="256"/>
    </row>
    <row r="36824" spans="104:111">
      <c r="CZ36824" s="256"/>
      <c r="DG36824" s="256"/>
    </row>
    <row r="36825" spans="104:111">
      <c r="CZ36825" s="256"/>
      <c r="DG36825" s="256"/>
    </row>
    <row r="36826" spans="104:111">
      <c r="CZ36826" s="256"/>
      <c r="DG36826" s="256"/>
    </row>
    <row r="36827" spans="104:111">
      <c r="CZ36827" s="256"/>
      <c r="DG36827" s="256"/>
    </row>
    <row r="36828" spans="104:111">
      <c r="CZ36828" s="256"/>
      <c r="DG36828" s="256"/>
    </row>
    <row r="36829" spans="104:111">
      <c r="CZ36829" s="256"/>
      <c r="DG36829" s="256"/>
    </row>
    <row r="36830" spans="104:111">
      <c r="CZ36830" s="256"/>
      <c r="DG36830" s="256"/>
    </row>
    <row r="36831" spans="104:111">
      <c r="CZ36831" s="256"/>
      <c r="DG36831" s="256"/>
    </row>
    <row r="36832" spans="104:111">
      <c r="CZ36832" s="256"/>
      <c r="DG36832" s="256"/>
    </row>
    <row r="36833" spans="104:111">
      <c r="CZ36833" s="256"/>
      <c r="DG36833" s="256"/>
    </row>
    <row r="36834" spans="104:111">
      <c r="CZ36834" s="256"/>
      <c r="DG36834" s="256"/>
    </row>
    <row r="36835" spans="104:111">
      <c r="CZ36835" s="256"/>
      <c r="DG36835" s="256"/>
    </row>
    <row r="36836" spans="104:111">
      <c r="CZ36836" s="256"/>
      <c r="DG36836" s="256"/>
    </row>
    <row r="36837" spans="104:111">
      <c r="CZ36837" s="256"/>
      <c r="DG36837" s="256"/>
    </row>
    <row r="36838" spans="104:111">
      <c r="CZ36838" s="256"/>
      <c r="DG36838" s="256"/>
    </row>
    <row r="36839" spans="104:111">
      <c r="CZ36839" s="256"/>
      <c r="DG36839" s="256"/>
    </row>
    <row r="36840" spans="104:111">
      <c r="CZ36840" s="256"/>
      <c r="DG36840" s="256"/>
    </row>
    <row r="36841" spans="104:111">
      <c r="CZ36841" s="256"/>
      <c r="DG36841" s="256"/>
    </row>
    <row r="36842" spans="104:111">
      <c r="CZ36842" s="256"/>
      <c r="DG36842" s="256"/>
    </row>
    <row r="36843" spans="104:111">
      <c r="CZ36843" s="256"/>
      <c r="DG36843" s="256"/>
    </row>
    <row r="36844" spans="104:111">
      <c r="CZ36844" s="256"/>
      <c r="DG36844" s="256"/>
    </row>
    <row r="36845" spans="104:111">
      <c r="CZ36845" s="256"/>
      <c r="DG36845" s="256"/>
    </row>
    <row r="36846" spans="104:111">
      <c r="CZ36846" s="256"/>
      <c r="DG36846" s="256"/>
    </row>
    <row r="36847" spans="104:111">
      <c r="CZ36847" s="256"/>
      <c r="DG36847" s="256"/>
    </row>
    <row r="36848" spans="104:111">
      <c r="CZ36848" s="256"/>
      <c r="DG36848" s="256"/>
    </row>
    <row r="36849" spans="104:111">
      <c r="CZ36849" s="256"/>
      <c r="DG36849" s="256"/>
    </row>
    <row r="36850" spans="104:111">
      <c r="CZ36850" s="256"/>
      <c r="DG36850" s="256"/>
    </row>
    <row r="36851" spans="104:111">
      <c r="CZ36851" s="256"/>
      <c r="DG36851" s="256"/>
    </row>
    <row r="36852" spans="104:111">
      <c r="CZ36852" s="256"/>
      <c r="DG36852" s="256"/>
    </row>
    <row r="36853" spans="104:111">
      <c r="CZ36853" s="256"/>
      <c r="DG36853" s="256"/>
    </row>
    <row r="36854" spans="104:111">
      <c r="CZ36854" s="256"/>
      <c r="DG36854" s="256"/>
    </row>
    <row r="36855" spans="104:111">
      <c r="CZ36855" s="256"/>
      <c r="DG36855" s="256"/>
    </row>
    <row r="36856" spans="104:111">
      <c r="CZ36856" s="256"/>
      <c r="DG36856" s="256"/>
    </row>
    <row r="36857" spans="104:111">
      <c r="CZ36857" s="256"/>
      <c r="DG36857" s="256"/>
    </row>
    <row r="36858" spans="104:111">
      <c r="CZ36858" s="256"/>
      <c r="DG36858" s="256"/>
    </row>
    <row r="36859" spans="104:111">
      <c r="CZ36859" s="256"/>
      <c r="DG36859" s="256"/>
    </row>
    <row r="36860" spans="104:111">
      <c r="CZ36860" s="256"/>
      <c r="DG36860" s="256"/>
    </row>
    <row r="36861" spans="104:111">
      <c r="CZ36861" s="256"/>
      <c r="DG36861" s="256"/>
    </row>
    <row r="36862" spans="104:111">
      <c r="CZ36862" s="256"/>
      <c r="DG36862" s="256"/>
    </row>
    <row r="36863" spans="104:111">
      <c r="CZ36863" s="256"/>
      <c r="DG36863" s="256"/>
    </row>
    <row r="36864" spans="104:111">
      <c r="CZ36864" s="256"/>
      <c r="DG36864" s="256"/>
    </row>
    <row r="36865" spans="104:111">
      <c r="CZ36865" s="256"/>
      <c r="DG36865" s="256"/>
    </row>
    <row r="36866" spans="104:111">
      <c r="CZ36866" s="256"/>
      <c r="DG36866" s="256"/>
    </row>
    <row r="36867" spans="104:111">
      <c r="CZ36867" s="256"/>
      <c r="DG36867" s="256"/>
    </row>
    <row r="36868" spans="104:111">
      <c r="CZ36868" s="256"/>
      <c r="DG36868" s="256"/>
    </row>
    <row r="36869" spans="104:111">
      <c r="CZ36869" s="256"/>
      <c r="DG36869" s="256"/>
    </row>
    <row r="36870" spans="104:111">
      <c r="CZ36870" s="256"/>
      <c r="DG36870" s="256"/>
    </row>
    <row r="36871" spans="104:111">
      <c r="CZ36871" s="256"/>
      <c r="DG36871" s="256"/>
    </row>
    <row r="36872" spans="104:111">
      <c r="CZ36872" s="256"/>
      <c r="DG36872" s="256"/>
    </row>
    <row r="36873" spans="104:111">
      <c r="CZ36873" s="256"/>
      <c r="DG36873" s="256"/>
    </row>
    <row r="36874" spans="104:111">
      <c r="CZ36874" s="256"/>
      <c r="DG36874" s="256"/>
    </row>
    <row r="36875" spans="104:111">
      <c r="CZ36875" s="256"/>
      <c r="DG36875" s="256"/>
    </row>
    <row r="36876" spans="104:111">
      <c r="CZ36876" s="256"/>
      <c r="DG36876" s="256"/>
    </row>
    <row r="36877" spans="104:111">
      <c r="CZ36877" s="256"/>
      <c r="DG36877" s="256"/>
    </row>
    <row r="36878" spans="104:111">
      <c r="CZ36878" s="256"/>
      <c r="DG36878" s="256"/>
    </row>
    <row r="36879" spans="104:111">
      <c r="CZ36879" s="256"/>
      <c r="DG36879" s="256"/>
    </row>
    <row r="36880" spans="104:111">
      <c r="CZ36880" s="256"/>
      <c r="DG36880" s="256"/>
    </row>
    <row r="36881" spans="104:111">
      <c r="CZ36881" s="256"/>
      <c r="DG36881" s="256"/>
    </row>
    <row r="36882" spans="104:111">
      <c r="CZ36882" s="256"/>
      <c r="DG36882" s="256"/>
    </row>
    <row r="36883" spans="104:111">
      <c r="CZ36883" s="256"/>
      <c r="DG36883" s="256"/>
    </row>
    <row r="36884" spans="104:111">
      <c r="CZ36884" s="256"/>
      <c r="DG36884" s="256"/>
    </row>
    <row r="36885" spans="104:111">
      <c r="CZ36885" s="256"/>
      <c r="DG36885" s="256"/>
    </row>
    <row r="36886" spans="104:111">
      <c r="CZ36886" s="256"/>
      <c r="DG36886" s="256"/>
    </row>
    <row r="36887" spans="104:111">
      <c r="CZ36887" s="256"/>
      <c r="DG36887" s="256"/>
    </row>
    <row r="36888" spans="104:111">
      <c r="CZ36888" s="256"/>
      <c r="DG36888" s="256"/>
    </row>
    <row r="36889" spans="104:111">
      <c r="CZ36889" s="256"/>
      <c r="DG36889" s="256"/>
    </row>
    <row r="36890" spans="104:111">
      <c r="CZ36890" s="256"/>
      <c r="DG36890" s="256"/>
    </row>
    <row r="36891" spans="104:111">
      <c r="CZ36891" s="256"/>
      <c r="DG36891" s="256"/>
    </row>
    <row r="36892" spans="104:111">
      <c r="CZ36892" s="256"/>
      <c r="DG36892" s="256"/>
    </row>
    <row r="36893" spans="104:111">
      <c r="CZ36893" s="256"/>
      <c r="DG36893" s="256"/>
    </row>
    <row r="36894" spans="104:111">
      <c r="CZ36894" s="256"/>
      <c r="DG36894" s="256"/>
    </row>
    <row r="36895" spans="104:111">
      <c r="CZ36895" s="256"/>
      <c r="DG36895" s="256"/>
    </row>
    <row r="36896" spans="104:111">
      <c r="CZ36896" s="256"/>
      <c r="DG36896" s="256"/>
    </row>
    <row r="36897" spans="104:111">
      <c r="CZ36897" s="256"/>
      <c r="DG36897" s="256"/>
    </row>
    <row r="36898" spans="104:111">
      <c r="CZ36898" s="256"/>
      <c r="DG36898" s="256"/>
    </row>
    <row r="36899" spans="104:111">
      <c r="CZ36899" s="256"/>
      <c r="DG36899" s="256"/>
    </row>
    <row r="36900" spans="104:111">
      <c r="CZ36900" s="256"/>
      <c r="DG36900" s="256"/>
    </row>
    <row r="36901" spans="104:111">
      <c r="CZ36901" s="256"/>
      <c r="DG36901" s="256"/>
    </row>
    <row r="36902" spans="104:111">
      <c r="CZ36902" s="256"/>
      <c r="DG36902" s="256"/>
    </row>
    <row r="36903" spans="104:111">
      <c r="CZ36903" s="256"/>
      <c r="DG36903" s="256"/>
    </row>
    <row r="36904" spans="104:111">
      <c r="CZ36904" s="256"/>
      <c r="DG36904" s="256"/>
    </row>
    <row r="36905" spans="104:111">
      <c r="CZ36905" s="256"/>
      <c r="DG36905" s="256"/>
    </row>
    <row r="36906" spans="104:111">
      <c r="CZ36906" s="256"/>
      <c r="DG36906" s="256"/>
    </row>
    <row r="36907" spans="104:111">
      <c r="CZ36907" s="256"/>
      <c r="DG36907" s="256"/>
    </row>
    <row r="36908" spans="104:111">
      <c r="CZ36908" s="256"/>
      <c r="DG36908" s="256"/>
    </row>
    <row r="36909" spans="104:111">
      <c r="CZ36909" s="256"/>
      <c r="DG36909" s="256"/>
    </row>
    <row r="36910" spans="104:111">
      <c r="CZ36910" s="256"/>
      <c r="DG36910" s="256"/>
    </row>
    <row r="36911" spans="104:111">
      <c r="CZ36911" s="256"/>
      <c r="DG36911" s="256"/>
    </row>
    <row r="36912" spans="104:111">
      <c r="CZ36912" s="256"/>
      <c r="DG36912" s="256"/>
    </row>
    <row r="36913" spans="104:111">
      <c r="CZ36913" s="256"/>
      <c r="DG36913" s="256"/>
    </row>
    <row r="36914" spans="104:111">
      <c r="CZ36914" s="256"/>
      <c r="DG36914" s="256"/>
    </row>
    <row r="36915" spans="104:111">
      <c r="CZ36915" s="256"/>
      <c r="DG36915" s="256"/>
    </row>
    <row r="36916" spans="104:111">
      <c r="CZ36916" s="256"/>
      <c r="DG36916" s="256"/>
    </row>
    <row r="36917" spans="104:111">
      <c r="CZ36917" s="256"/>
      <c r="DG36917" s="256"/>
    </row>
    <row r="36918" spans="104:111">
      <c r="CZ36918" s="256"/>
      <c r="DG36918" s="256"/>
    </row>
    <row r="36919" spans="104:111">
      <c r="CZ36919" s="256"/>
      <c r="DG36919" s="256"/>
    </row>
    <row r="36920" spans="104:111">
      <c r="CZ36920" s="256"/>
      <c r="DG36920" s="256"/>
    </row>
    <row r="36921" spans="104:111">
      <c r="CZ36921" s="256"/>
      <c r="DG36921" s="256"/>
    </row>
    <row r="36922" spans="104:111">
      <c r="CZ36922" s="256"/>
      <c r="DG36922" s="256"/>
    </row>
    <row r="36923" spans="104:111">
      <c r="CZ36923" s="256"/>
      <c r="DG36923" s="256"/>
    </row>
    <row r="36924" spans="104:111">
      <c r="CZ36924" s="256"/>
      <c r="DG36924" s="256"/>
    </row>
    <row r="36925" spans="104:111">
      <c r="CZ36925" s="256"/>
      <c r="DG36925" s="256"/>
    </row>
    <row r="36926" spans="104:111">
      <c r="CZ36926" s="256"/>
      <c r="DG36926" s="256"/>
    </row>
    <row r="36927" spans="104:111">
      <c r="CZ36927" s="256"/>
      <c r="DG36927" s="256"/>
    </row>
    <row r="36928" spans="104:111">
      <c r="CZ36928" s="256"/>
      <c r="DG36928" s="256"/>
    </row>
    <row r="36929" spans="104:111">
      <c r="CZ36929" s="256"/>
      <c r="DG36929" s="256"/>
    </row>
    <row r="36930" spans="104:111">
      <c r="CZ36930" s="256"/>
      <c r="DG36930" s="256"/>
    </row>
    <row r="36931" spans="104:111">
      <c r="CZ36931" s="256"/>
      <c r="DG36931" s="256"/>
    </row>
    <row r="36932" spans="104:111">
      <c r="CZ36932" s="256"/>
      <c r="DG36932" s="256"/>
    </row>
    <row r="36933" spans="104:111">
      <c r="CZ36933" s="256"/>
      <c r="DG36933" s="256"/>
    </row>
    <row r="36934" spans="104:111">
      <c r="CZ36934" s="256"/>
      <c r="DG36934" s="256"/>
    </row>
    <row r="36935" spans="104:111">
      <c r="CZ36935" s="256"/>
      <c r="DG36935" s="256"/>
    </row>
    <row r="36936" spans="104:111">
      <c r="CZ36936" s="256"/>
      <c r="DG36936" s="256"/>
    </row>
    <row r="36937" spans="104:111">
      <c r="CZ36937" s="256"/>
      <c r="DG36937" s="256"/>
    </row>
    <row r="36938" spans="104:111">
      <c r="CZ36938" s="256"/>
      <c r="DG36938" s="256"/>
    </row>
    <row r="36939" spans="104:111">
      <c r="CZ36939" s="256"/>
      <c r="DG36939" s="256"/>
    </row>
    <row r="36940" spans="104:111">
      <c r="CZ36940" s="256"/>
      <c r="DG36940" s="256"/>
    </row>
    <row r="36941" spans="104:111">
      <c r="CZ36941" s="256"/>
      <c r="DG36941" s="256"/>
    </row>
    <row r="36942" spans="104:111">
      <c r="CZ36942" s="256"/>
      <c r="DG36942" s="256"/>
    </row>
    <row r="36943" spans="104:111">
      <c r="CZ36943" s="256"/>
      <c r="DG36943" s="256"/>
    </row>
    <row r="36944" spans="104:111">
      <c r="CZ36944" s="256"/>
      <c r="DG36944" s="256"/>
    </row>
    <row r="36945" spans="104:111">
      <c r="CZ36945" s="256"/>
      <c r="DG36945" s="256"/>
    </row>
    <row r="36946" spans="104:111">
      <c r="CZ36946" s="256"/>
      <c r="DG36946" s="256"/>
    </row>
    <row r="36947" spans="104:111">
      <c r="CZ36947" s="256"/>
      <c r="DG36947" s="256"/>
    </row>
    <row r="36948" spans="104:111">
      <c r="CZ36948" s="256"/>
      <c r="DG36948" s="256"/>
    </row>
    <row r="36949" spans="104:111">
      <c r="CZ36949" s="256"/>
      <c r="DG36949" s="256"/>
    </row>
    <row r="36950" spans="104:111">
      <c r="CZ36950" s="256"/>
      <c r="DG36950" s="256"/>
    </row>
    <row r="36951" spans="104:111">
      <c r="CZ36951" s="256"/>
      <c r="DG36951" s="256"/>
    </row>
    <row r="36952" spans="104:111">
      <c r="CZ36952" s="256"/>
      <c r="DG36952" s="256"/>
    </row>
    <row r="36953" spans="104:111">
      <c r="CZ36953" s="256"/>
      <c r="DG36953" s="256"/>
    </row>
    <row r="36954" spans="104:111">
      <c r="CZ36954" s="256"/>
      <c r="DG36954" s="256"/>
    </row>
    <row r="36955" spans="104:111">
      <c r="CZ36955" s="256"/>
      <c r="DG36955" s="256"/>
    </row>
    <row r="36956" spans="104:111">
      <c r="CZ36956" s="256"/>
      <c r="DG36956" s="256"/>
    </row>
    <row r="36957" spans="104:111">
      <c r="CZ36957" s="256"/>
      <c r="DG36957" s="256"/>
    </row>
    <row r="36958" spans="104:111">
      <c r="CZ36958" s="256"/>
      <c r="DG36958" s="256"/>
    </row>
    <row r="36959" spans="104:111">
      <c r="CZ36959" s="256"/>
      <c r="DG36959" s="256"/>
    </row>
    <row r="36960" spans="104:111">
      <c r="CZ36960" s="256"/>
      <c r="DG36960" s="256"/>
    </row>
    <row r="36961" spans="104:111">
      <c r="CZ36961" s="256"/>
      <c r="DG36961" s="256"/>
    </row>
    <row r="36962" spans="104:111">
      <c r="CZ36962" s="256"/>
      <c r="DG36962" s="256"/>
    </row>
    <row r="36963" spans="104:111">
      <c r="CZ36963" s="256"/>
      <c r="DG36963" s="256"/>
    </row>
    <row r="36964" spans="104:111">
      <c r="CZ36964" s="256"/>
      <c r="DG36964" s="256"/>
    </row>
    <row r="36965" spans="104:111">
      <c r="CZ36965" s="256"/>
      <c r="DG36965" s="256"/>
    </row>
    <row r="36966" spans="104:111">
      <c r="CZ36966" s="256"/>
      <c r="DG36966" s="256"/>
    </row>
    <row r="36967" spans="104:111">
      <c r="CZ36967" s="256"/>
      <c r="DG36967" s="256"/>
    </row>
    <row r="36968" spans="104:111">
      <c r="CZ36968" s="256"/>
      <c r="DG36968" s="256"/>
    </row>
    <row r="36969" spans="104:111">
      <c r="CZ36969" s="256"/>
      <c r="DG36969" s="256"/>
    </row>
    <row r="36970" spans="104:111">
      <c r="CZ36970" s="256"/>
      <c r="DG36970" s="256"/>
    </row>
    <row r="36971" spans="104:111">
      <c r="CZ36971" s="256"/>
      <c r="DG36971" s="256"/>
    </row>
    <row r="36972" spans="104:111">
      <c r="CZ36972" s="256"/>
      <c r="DG36972" s="256"/>
    </row>
    <row r="36973" spans="104:111">
      <c r="CZ36973" s="256"/>
      <c r="DG36973" s="256"/>
    </row>
    <row r="36974" spans="104:111">
      <c r="CZ36974" s="256"/>
      <c r="DG36974" s="256"/>
    </row>
    <row r="36975" spans="104:111">
      <c r="CZ36975" s="256"/>
      <c r="DG36975" s="256"/>
    </row>
    <row r="36976" spans="104:111">
      <c r="CZ36976" s="256"/>
      <c r="DG36976" s="256"/>
    </row>
    <row r="36977" spans="104:111">
      <c r="CZ36977" s="256"/>
      <c r="DG36977" s="256"/>
    </row>
    <row r="36978" spans="104:111">
      <c r="CZ36978" s="256"/>
      <c r="DG36978" s="256"/>
    </row>
    <row r="36979" spans="104:111">
      <c r="CZ36979" s="256"/>
      <c r="DG36979" s="256"/>
    </row>
    <row r="36980" spans="104:111">
      <c r="CZ36980" s="256"/>
      <c r="DG36980" s="256"/>
    </row>
    <row r="36981" spans="104:111">
      <c r="CZ36981" s="256"/>
      <c r="DG36981" s="256"/>
    </row>
    <row r="36982" spans="104:111">
      <c r="CZ36982" s="256"/>
      <c r="DG36982" s="256"/>
    </row>
    <row r="36983" spans="104:111">
      <c r="CZ36983" s="256"/>
      <c r="DG36983" s="256"/>
    </row>
    <row r="36984" spans="104:111">
      <c r="CZ36984" s="256"/>
      <c r="DG36984" s="256"/>
    </row>
    <row r="36985" spans="104:111">
      <c r="CZ36985" s="256"/>
      <c r="DG36985" s="256"/>
    </row>
    <row r="36986" spans="104:111">
      <c r="CZ36986" s="256"/>
      <c r="DG36986" s="256"/>
    </row>
    <row r="36987" spans="104:111">
      <c r="CZ36987" s="256"/>
      <c r="DG36987" s="256"/>
    </row>
    <row r="36988" spans="104:111">
      <c r="CZ36988" s="256"/>
      <c r="DG36988" s="256"/>
    </row>
    <row r="36989" spans="104:111">
      <c r="CZ36989" s="256"/>
      <c r="DG36989" s="256"/>
    </row>
    <row r="36990" spans="104:111">
      <c r="CZ36990" s="256"/>
      <c r="DG36990" s="256"/>
    </row>
    <row r="36991" spans="104:111">
      <c r="CZ36991" s="256"/>
      <c r="DG36991" s="256"/>
    </row>
    <row r="36992" spans="104:111">
      <c r="CZ36992" s="256"/>
      <c r="DG36992" s="256"/>
    </row>
    <row r="36993" spans="104:111">
      <c r="CZ36993" s="256"/>
      <c r="DG36993" s="256"/>
    </row>
    <row r="36994" spans="104:111">
      <c r="CZ36994" s="256"/>
      <c r="DG36994" s="256"/>
    </row>
    <row r="36995" spans="104:111">
      <c r="CZ36995" s="256"/>
      <c r="DG36995" s="256"/>
    </row>
    <row r="36996" spans="104:111">
      <c r="CZ36996" s="256"/>
      <c r="DG36996" s="256"/>
    </row>
    <row r="36997" spans="104:111">
      <c r="CZ36997" s="256"/>
      <c r="DG36997" s="256"/>
    </row>
    <row r="36998" spans="104:111">
      <c r="CZ36998" s="256"/>
      <c r="DG36998" s="256"/>
    </row>
    <row r="36999" spans="104:111">
      <c r="CZ36999" s="256"/>
      <c r="DG36999" s="256"/>
    </row>
    <row r="37000" spans="104:111">
      <c r="CZ37000" s="256"/>
      <c r="DG37000" s="256"/>
    </row>
    <row r="37001" spans="104:111">
      <c r="CZ37001" s="256"/>
      <c r="DG37001" s="256"/>
    </row>
    <row r="37002" spans="104:111">
      <c r="CZ37002" s="256"/>
      <c r="DG37002" s="256"/>
    </row>
    <row r="37003" spans="104:111">
      <c r="CZ37003" s="256"/>
      <c r="DG37003" s="256"/>
    </row>
    <row r="37004" spans="104:111">
      <c r="CZ37004" s="256"/>
      <c r="DG37004" s="256"/>
    </row>
    <row r="37005" spans="104:111">
      <c r="CZ37005" s="256"/>
      <c r="DG37005" s="256"/>
    </row>
    <row r="37006" spans="104:111">
      <c r="CZ37006" s="256"/>
      <c r="DG37006" s="256"/>
    </row>
    <row r="37007" spans="104:111">
      <c r="CZ37007" s="256"/>
      <c r="DG37007" s="256"/>
    </row>
    <row r="37008" spans="104:111">
      <c r="CZ37008" s="256"/>
      <c r="DG37008" s="256"/>
    </row>
    <row r="37009" spans="104:111">
      <c r="CZ37009" s="256"/>
      <c r="DG37009" s="256"/>
    </row>
    <row r="37010" spans="104:111">
      <c r="CZ37010" s="256"/>
      <c r="DG37010" s="256"/>
    </row>
    <row r="37011" spans="104:111">
      <c r="CZ37011" s="256"/>
      <c r="DG37011" s="256"/>
    </row>
    <row r="37012" spans="104:111">
      <c r="CZ37012" s="256"/>
      <c r="DG37012" s="256"/>
    </row>
    <row r="37013" spans="104:111">
      <c r="CZ37013" s="256"/>
      <c r="DG37013" s="256"/>
    </row>
    <row r="37014" spans="104:111">
      <c r="CZ37014" s="256"/>
      <c r="DG37014" s="256"/>
    </row>
    <row r="37015" spans="104:111">
      <c r="CZ37015" s="256"/>
      <c r="DG37015" s="256"/>
    </row>
    <row r="37016" spans="104:111">
      <c r="CZ37016" s="256"/>
      <c r="DG37016" s="256"/>
    </row>
    <row r="37017" spans="104:111">
      <c r="CZ37017" s="256"/>
      <c r="DG37017" s="256"/>
    </row>
    <row r="37018" spans="104:111">
      <c r="CZ37018" s="256"/>
      <c r="DG37018" s="256"/>
    </row>
    <row r="37019" spans="104:111">
      <c r="CZ37019" s="256"/>
      <c r="DG37019" s="256"/>
    </row>
    <row r="37020" spans="104:111">
      <c r="CZ37020" s="256"/>
      <c r="DG37020" s="256"/>
    </row>
    <row r="37021" spans="104:111">
      <c r="CZ37021" s="256"/>
      <c r="DG37021" s="256"/>
    </row>
    <row r="37022" spans="104:111">
      <c r="CZ37022" s="256"/>
      <c r="DG37022" s="256"/>
    </row>
    <row r="37023" spans="104:111">
      <c r="CZ37023" s="256"/>
      <c r="DG37023" s="256"/>
    </row>
    <row r="37024" spans="104:111">
      <c r="CZ37024" s="256"/>
      <c r="DG37024" s="256"/>
    </row>
    <row r="37025" spans="104:111">
      <c r="CZ37025" s="256"/>
      <c r="DG37025" s="256"/>
    </row>
    <row r="37026" spans="104:111">
      <c r="CZ37026" s="256"/>
      <c r="DG37026" s="256"/>
    </row>
    <row r="37027" spans="104:111">
      <c r="CZ37027" s="256"/>
      <c r="DG37027" s="256"/>
    </row>
    <row r="37028" spans="104:111">
      <c r="CZ37028" s="256"/>
      <c r="DG37028" s="256"/>
    </row>
    <row r="37029" spans="104:111">
      <c r="CZ37029" s="256"/>
      <c r="DG37029" s="256"/>
    </row>
    <row r="37030" spans="104:111">
      <c r="CZ37030" s="256"/>
      <c r="DG37030" s="256"/>
    </row>
    <row r="37031" spans="104:111">
      <c r="CZ37031" s="256"/>
      <c r="DG37031" s="256"/>
    </row>
    <row r="37032" spans="104:111">
      <c r="CZ37032" s="256"/>
      <c r="DG37032" s="256"/>
    </row>
    <row r="37033" spans="104:111">
      <c r="CZ37033" s="256"/>
      <c r="DG37033" s="256"/>
    </row>
    <row r="37034" spans="104:111">
      <c r="CZ37034" s="256"/>
      <c r="DG37034" s="256"/>
    </row>
    <row r="37035" spans="104:111">
      <c r="CZ37035" s="256"/>
      <c r="DG37035" s="256"/>
    </row>
    <row r="37036" spans="104:111">
      <c r="CZ37036" s="256"/>
      <c r="DG37036" s="256"/>
    </row>
    <row r="37037" spans="104:111">
      <c r="CZ37037" s="256"/>
      <c r="DG37037" s="256"/>
    </row>
    <row r="37038" spans="104:111">
      <c r="CZ37038" s="256"/>
      <c r="DG37038" s="256"/>
    </row>
    <row r="37039" spans="104:111">
      <c r="CZ37039" s="256"/>
      <c r="DG37039" s="256"/>
    </row>
    <row r="37040" spans="104:111">
      <c r="CZ37040" s="256"/>
      <c r="DG37040" s="256"/>
    </row>
    <row r="37041" spans="104:111">
      <c r="CZ37041" s="256"/>
      <c r="DG37041" s="256"/>
    </row>
    <row r="37042" spans="104:111">
      <c r="CZ37042" s="256"/>
      <c r="DG37042" s="256"/>
    </row>
    <row r="37043" spans="104:111">
      <c r="CZ37043" s="256"/>
      <c r="DG37043" s="256"/>
    </row>
    <row r="37044" spans="104:111">
      <c r="CZ37044" s="256"/>
      <c r="DG37044" s="256"/>
    </row>
    <row r="37045" spans="104:111">
      <c r="CZ37045" s="256"/>
      <c r="DG37045" s="256"/>
    </row>
    <row r="37046" spans="104:111">
      <c r="CZ37046" s="256"/>
      <c r="DG37046" s="256"/>
    </row>
    <row r="37047" spans="104:111">
      <c r="CZ37047" s="256"/>
      <c r="DG37047" s="256"/>
    </row>
    <row r="37048" spans="104:111">
      <c r="CZ37048" s="256"/>
      <c r="DG37048" s="256"/>
    </row>
    <row r="37049" spans="104:111">
      <c r="CZ37049" s="256"/>
      <c r="DG37049" s="256"/>
    </row>
    <row r="37050" spans="104:111">
      <c r="CZ37050" s="256"/>
      <c r="DG37050" s="256"/>
    </row>
    <row r="37051" spans="104:111">
      <c r="CZ37051" s="256"/>
      <c r="DG37051" s="256"/>
    </row>
    <row r="37052" spans="104:111">
      <c r="CZ37052" s="256"/>
      <c r="DG37052" s="256"/>
    </row>
    <row r="37053" spans="104:111">
      <c r="CZ37053" s="256"/>
      <c r="DG37053" s="256"/>
    </row>
    <row r="37054" spans="104:111">
      <c r="CZ37054" s="256"/>
      <c r="DG37054" s="256"/>
    </row>
    <row r="37055" spans="104:111">
      <c r="CZ37055" s="256"/>
      <c r="DG37055" s="256"/>
    </row>
    <row r="37056" spans="104:111">
      <c r="CZ37056" s="256"/>
      <c r="DG37056" s="256"/>
    </row>
    <row r="37057" spans="104:111">
      <c r="CZ37057" s="256"/>
      <c r="DG37057" s="256"/>
    </row>
    <row r="37058" spans="104:111">
      <c r="CZ37058" s="256"/>
      <c r="DG37058" s="256"/>
    </row>
    <row r="37059" spans="104:111">
      <c r="CZ37059" s="256"/>
      <c r="DG37059" s="256"/>
    </row>
    <row r="37060" spans="104:111">
      <c r="CZ37060" s="256"/>
      <c r="DG37060" s="256"/>
    </row>
    <row r="37061" spans="104:111">
      <c r="CZ37061" s="256"/>
      <c r="DG37061" s="256"/>
    </row>
    <row r="37062" spans="104:111">
      <c r="CZ37062" s="256"/>
      <c r="DG37062" s="256"/>
    </row>
    <row r="37063" spans="104:111">
      <c r="CZ37063" s="256"/>
      <c r="DG37063" s="256"/>
    </row>
    <row r="37064" spans="104:111">
      <c r="CZ37064" s="256"/>
      <c r="DG37064" s="256"/>
    </row>
    <row r="37065" spans="104:111">
      <c r="CZ37065" s="256"/>
      <c r="DG37065" s="256"/>
    </row>
    <row r="37066" spans="104:111">
      <c r="CZ37066" s="256"/>
      <c r="DG37066" s="256"/>
    </row>
    <row r="37067" spans="104:111">
      <c r="CZ37067" s="256"/>
      <c r="DG37067" s="256"/>
    </row>
    <row r="37068" spans="104:111">
      <c r="CZ37068" s="256"/>
      <c r="DG37068" s="256"/>
    </row>
    <row r="37069" spans="104:111">
      <c r="CZ37069" s="256"/>
      <c r="DG37069" s="256"/>
    </row>
    <row r="37070" spans="104:111">
      <c r="CZ37070" s="256"/>
      <c r="DG37070" s="256"/>
    </row>
    <row r="37071" spans="104:111">
      <c r="CZ37071" s="256"/>
      <c r="DG37071" s="256"/>
    </row>
    <row r="37072" spans="104:111">
      <c r="CZ37072" s="256"/>
      <c r="DG37072" s="256"/>
    </row>
    <row r="37073" spans="104:111">
      <c r="CZ37073" s="256"/>
      <c r="DG37073" s="256"/>
    </row>
    <row r="37074" spans="104:111">
      <c r="CZ37074" s="256"/>
      <c r="DG37074" s="256"/>
    </row>
    <row r="37075" spans="104:111">
      <c r="CZ37075" s="256"/>
      <c r="DG37075" s="256"/>
    </row>
    <row r="37076" spans="104:111">
      <c r="CZ37076" s="256"/>
      <c r="DG37076" s="256"/>
    </row>
    <row r="37077" spans="104:111">
      <c r="CZ37077" s="256"/>
      <c r="DG37077" s="256"/>
    </row>
    <row r="37078" spans="104:111">
      <c r="CZ37078" s="256"/>
      <c r="DG37078" s="256"/>
    </row>
    <row r="37079" spans="104:111">
      <c r="CZ37079" s="256"/>
      <c r="DG37079" s="256"/>
    </row>
    <row r="37080" spans="104:111">
      <c r="CZ37080" s="256"/>
      <c r="DG37080" s="256"/>
    </row>
    <row r="37081" spans="104:111">
      <c r="CZ37081" s="256"/>
      <c r="DG37081" s="256"/>
    </row>
    <row r="37082" spans="104:111">
      <c r="CZ37082" s="256"/>
      <c r="DG37082" s="256"/>
    </row>
    <row r="37083" spans="104:111">
      <c r="CZ37083" s="256"/>
      <c r="DG37083" s="256"/>
    </row>
    <row r="37084" spans="104:111">
      <c r="CZ37084" s="256"/>
      <c r="DG37084" s="256"/>
    </row>
    <row r="37085" spans="104:111">
      <c r="CZ37085" s="256"/>
      <c r="DG37085" s="256"/>
    </row>
    <row r="37086" spans="104:111">
      <c r="CZ37086" s="256"/>
      <c r="DG37086" s="256"/>
    </row>
    <row r="37087" spans="104:111">
      <c r="CZ37087" s="256"/>
      <c r="DG37087" s="256"/>
    </row>
    <row r="37088" spans="104:111">
      <c r="CZ37088" s="256"/>
      <c r="DG37088" s="256"/>
    </row>
    <row r="37089" spans="104:111">
      <c r="CZ37089" s="256"/>
      <c r="DG37089" s="256"/>
    </row>
    <row r="37090" spans="104:111">
      <c r="CZ37090" s="256"/>
      <c r="DG37090" s="256"/>
    </row>
    <row r="37091" spans="104:111">
      <c r="CZ37091" s="256"/>
      <c r="DG37091" s="256"/>
    </row>
    <row r="37092" spans="104:111">
      <c r="CZ37092" s="256"/>
      <c r="DG37092" s="256"/>
    </row>
    <row r="37093" spans="104:111">
      <c r="CZ37093" s="256"/>
      <c r="DG37093" s="256"/>
    </row>
    <row r="37094" spans="104:111">
      <c r="CZ37094" s="256"/>
      <c r="DG37094" s="256"/>
    </row>
    <row r="37095" spans="104:111">
      <c r="CZ37095" s="256"/>
      <c r="DG37095" s="256"/>
    </row>
    <row r="37096" spans="104:111">
      <c r="CZ37096" s="256"/>
      <c r="DG37096" s="256"/>
    </row>
    <row r="37097" spans="104:111">
      <c r="CZ37097" s="256"/>
      <c r="DG37097" s="256"/>
    </row>
    <row r="37098" spans="104:111">
      <c r="CZ37098" s="256"/>
      <c r="DG37098" s="256"/>
    </row>
    <row r="37099" spans="104:111">
      <c r="CZ37099" s="256"/>
      <c r="DG37099" s="256"/>
    </row>
    <row r="37100" spans="104:111">
      <c r="CZ37100" s="256"/>
      <c r="DG37100" s="256"/>
    </row>
    <row r="37101" spans="104:111">
      <c r="CZ37101" s="256"/>
      <c r="DG37101" s="256"/>
    </row>
    <row r="37102" spans="104:111">
      <c r="CZ37102" s="256"/>
      <c r="DG37102" s="256"/>
    </row>
    <row r="37103" spans="104:111">
      <c r="CZ37103" s="256"/>
      <c r="DG37103" s="256"/>
    </row>
    <row r="37104" spans="104:111">
      <c r="CZ37104" s="256"/>
      <c r="DG37104" s="256"/>
    </row>
    <row r="37105" spans="104:111">
      <c r="CZ37105" s="256"/>
      <c r="DG37105" s="256"/>
    </row>
    <row r="37106" spans="104:111">
      <c r="CZ37106" s="256"/>
      <c r="DG37106" s="256"/>
    </row>
    <row r="37107" spans="104:111">
      <c r="CZ37107" s="256"/>
      <c r="DG37107" s="256"/>
    </row>
    <row r="37108" spans="104:111">
      <c r="CZ37108" s="256"/>
      <c r="DG37108" s="256"/>
    </row>
    <row r="37109" spans="104:111">
      <c r="CZ37109" s="256"/>
      <c r="DG37109" s="256"/>
    </row>
    <row r="37110" spans="104:111">
      <c r="CZ37110" s="256"/>
      <c r="DG37110" s="256"/>
    </row>
    <row r="37111" spans="104:111">
      <c r="CZ37111" s="256"/>
      <c r="DG37111" s="256"/>
    </row>
    <row r="37112" spans="104:111">
      <c r="CZ37112" s="256"/>
      <c r="DG37112" s="256"/>
    </row>
    <row r="37113" spans="104:111">
      <c r="CZ37113" s="256"/>
      <c r="DG37113" s="256"/>
    </row>
    <row r="37114" spans="104:111">
      <c r="CZ37114" s="256"/>
      <c r="DG37114" s="256"/>
    </row>
    <row r="37115" spans="104:111">
      <c r="CZ37115" s="256"/>
      <c r="DG37115" s="256"/>
    </row>
    <row r="37116" spans="104:111">
      <c r="CZ37116" s="256"/>
      <c r="DG37116" s="256"/>
    </row>
    <row r="37117" spans="104:111">
      <c r="CZ37117" s="256"/>
      <c r="DG37117" s="256"/>
    </row>
    <row r="37118" spans="104:111">
      <c r="CZ37118" s="256"/>
      <c r="DG37118" s="256"/>
    </row>
    <row r="37119" spans="104:111">
      <c r="CZ37119" s="256"/>
      <c r="DG37119" s="256"/>
    </row>
    <row r="37120" spans="104:111">
      <c r="CZ37120" s="256"/>
      <c r="DG37120" s="256"/>
    </row>
    <row r="37121" spans="104:111">
      <c r="CZ37121" s="256"/>
      <c r="DG37121" s="256"/>
    </row>
    <row r="37122" spans="104:111">
      <c r="CZ37122" s="256"/>
      <c r="DG37122" s="256"/>
    </row>
    <row r="37123" spans="104:111">
      <c r="CZ37123" s="256"/>
      <c r="DG37123" s="256"/>
    </row>
    <row r="37124" spans="104:111">
      <c r="CZ37124" s="256"/>
      <c r="DG37124" s="256"/>
    </row>
    <row r="37125" spans="104:111">
      <c r="CZ37125" s="256"/>
      <c r="DG37125" s="256"/>
    </row>
    <row r="37126" spans="104:111">
      <c r="CZ37126" s="256"/>
      <c r="DG37126" s="256"/>
    </row>
    <row r="37127" spans="104:111">
      <c r="CZ37127" s="256"/>
      <c r="DG37127" s="256"/>
    </row>
    <row r="37128" spans="104:111">
      <c r="CZ37128" s="256"/>
      <c r="DG37128" s="256"/>
    </row>
    <row r="37129" spans="104:111">
      <c r="CZ37129" s="256"/>
      <c r="DG37129" s="256"/>
    </row>
    <row r="37130" spans="104:111">
      <c r="CZ37130" s="256"/>
      <c r="DG37130" s="256"/>
    </row>
    <row r="37131" spans="104:111">
      <c r="CZ37131" s="256"/>
      <c r="DG37131" s="256"/>
    </row>
    <row r="37132" spans="104:111">
      <c r="CZ37132" s="256"/>
      <c r="DG37132" s="256"/>
    </row>
    <row r="37133" spans="104:111">
      <c r="CZ37133" s="256"/>
      <c r="DG37133" s="256"/>
    </row>
    <row r="37134" spans="104:111">
      <c r="CZ37134" s="256"/>
      <c r="DG37134" s="256"/>
    </row>
    <row r="37135" spans="104:111">
      <c r="CZ37135" s="256"/>
      <c r="DG37135" s="256"/>
    </row>
    <row r="37136" spans="104:111">
      <c r="CZ37136" s="256"/>
      <c r="DG37136" s="256"/>
    </row>
    <row r="37137" spans="104:111">
      <c r="CZ37137" s="256"/>
      <c r="DG37137" s="256"/>
    </row>
    <row r="37138" spans="104:111">
      <c r="CZ37138" s="256"/>
      <c r="DG37138" s="256"/>
    </row>
    <row r="37139" spans="104:111">
      <c r="CZ37139" s="256"/>
      <c r="DG37139" s="256"/>
    </row>
    <row r="37140" spans="104:111">
      <c r="CZ37140" s="256"/>
      <c r="DG37140" s="256"/>
    </row>
    <row r="37141" spans="104:111">
      <c r="CZ37141" s="256"/>
      <c r="DG37141" s="256"/>
    </row>
    <row r="37142" spans="104:111">
      <c r="CZ37142" s="256"/>
      <c r="DG37142" s="256"/>
    </row>
    <row r="37143" spans="104:111">
      <c r="CZ37143" s="256"/>
      <c r="DG37143" s="256"/>
    </row>
    <row r="37144" spans="104:111">
      <c r="CZ37144" s="256"/>
      <c r="DG37144" s="256"/>
    </row>
    <row r="37145" spans="104:111">
      <c r="CZ37145" s="256"/>
      <c r="DG37145" s="256"/>
    </row>
    <row r="37146" spans="104:111">
      <c r="CZ37146" s="256"/>
      <c r="DG37146" s="256"/>
    </row>
    <row r="37147" spans="104:111">
      <c r="CZ37147" s="256"/>
      <c r="DG37147" s="256"/>
    </row>
    <row r="37148" spans="104:111">
      <c r="CZ37148" s="256"/>
      <c r="DG37148" s="256"/>
    </row>
    <row r="37149" spans="104:111">
      <c r="CZ37149" s="256"/>
      <c r="DG37149" s="256"/>
    </row>
    <row r="37150" spans="104:111">
      <c r="CZ37150" s="256"/>
      <c r="DG37150" s="256"/>
    </row>
    <row r="37151" spans="104:111">
      <c r="CZ37151" s="256"/>
      <c r="DG37151" s="256"/>
    </row>
    <row r="37152" spans="104:111">
      <c r="CZ37152" s="256"/>
      <c r="DG37152" s="256"/>
    </row>
    <row r="37153" spans="104:111">
      <c r="CZ37153" s="256"/>
      <c r="DG37153" s="256"/>
    </row>
    <row r="37154" spans="104:111">
      <c r="CZ37154" s="256"/>
      <c r="DG37154" s="256"/>
    </row>
    <row r="37155" spans="104:111">
      <c r="CZ37155" s="256"/>
      <c r="DG37155" s="256"/>
    </row>
    <row r="37156" spans="104:111">
      <c r="CZ37156" s="256"/>
      <c r="DG37156" s="256"/>
    </row>
    <row r="37157" spans="104:111">
      <c r="CZ37157" s="256"/>
      <c r="DG37157" s="256"/>
    </row>
    <row r="37158" spans="104:111">
      <c r="CZ37158" s="256"/>
      <c r="DG37158" s="256"/>
    </row>
    <row r="37159" spans="104:111">
      <c r="CZ37159" s="256"/>
      <c r="DG37159" s="256"/>
    </row>
    <row r="37160" spans="104:111">
      <c r="CZ37160" s="256"/>
      <c r="DG37160" s="256"/>
    </row>
    <row r="37161" spans="104:111">
      <c r="CZ37161" s="256"/>
      <c r="DG37161" s="256"/>
    </row>
    <row r="37162" spans="104:111">
      <c r="CZ37162" s="256"/>
      <c r="DG37162" s="256"/>
    </row>
    <row r="37163" spans="104:111">
      <c r="CZ37163" s="256"/>
      <c r="DG37163" s="256"/>
    </row>
    <row r="37164" spans="104:111">
      <c r="CZ37164" s="256"/>
      <c r="DG37164" s="256"/>
    </row>
    <row r="37165" spans="104:111">
      <c r="CZ37165" s="256"/>
      <c r="DG37165" s="256"/>
    </row>
    <row r="37166" spans="104:111">
      <c r="CZ37166" s="256"/>
      <c r="DG37166" s="256"/>
    </row>
    <row r="37167" spans="104:111">
      <c r="CZ37167" s="256"/>
      <c r="DG37167" s="256"/>
    </row>
    <row r="37168" spans="104:111">
      <c r="CZ37168" s="256"/>
      <c r="DG37168" s="256"/>
    </row>
    <row r="37169" spans="104:111">
      <c r="CZ37169" s="256"/>
      <c r="DG37169" s="256"/>
    </row>
    <row r="37170" spans="104:111">
      <c r="CZ37170" s="256"/>
      <c r="DG37170" s="256"/>
    </row>
    <row r="37171" spans="104:111">
      <c r="CZ37171" s="256"/>
      <c r="DG37171" s="256"/>
    </row>
    <row r="37172" spans="104:111">
      <c r="CZ37172" s="256"/>
      <c r="DG37172" s="256"/>
    </row>
    <row r="37173" spans="104:111">
      <c r="CZ37173" s="256"/>
      <c r="DG37173" s="256"/>
    </row>
    <row r="37174" spans="104:111">
      <c r="CZ37174" s="256"/>
      <c r="DG37174" s="256"/>
    </row>
    <row r="37175" spans="104:111">
      <c r="CZ37175" s="256"/>
      <c r="DG37175" s="256"/>
    </row>
    <row r="37176" spans="104:111">
      <c r="CZ37176" s="256"/>
      <c r="DG37176" s="256"/>
    </row>
    <row r="37177" spans="104:111">
      <c r="CZ37177" s="256"/>
      <c r="DG37177" s="256"/>
    </row>
    <row r="37178" spans="104:111">
      <c r="CZ37178" s="256"/>
      <c r="DG37178" s="256"/>
    </row>
    <row r="37179" spans="104:111">
      <c r="CZ37179" s="256"/>
      <c r="DG37179" s="256"/>
    </row>
    <row r="37180" spans="104:111">
      <c r="CZ37180" s="256"/>
      <c r="DG37180" s="256"/>
    </row>
    <row r="37181" spans="104:111">
      <c r="CZ37181" s="256"/>
      <c r="DG37181" s="256"/>
    </row>
    <row r="37182" spans="104:111">
      <c r="CZ37182" s="256"/>
      <c r="DG37182" s="256"/>
    </row>
    <row r="37183" spans="104:111">
      <c r="CZ37183" s="256"/>
      <c r="DG37183" s="256"/>
    </row>
    <row r="37184" spans="104:111">
      <c r="CZ37184" s="256"/>
      <c r="DG37184" s="256"/>
    </row>
    <row r="37185" spans="104:111">
      <c r="CZ37185" s="256"/>
      <c r="DG37185" s="256"/>
    </row>
    <row r="37186" spans="104:111">
      <c r="CZ37186" s="256"/>
      <c r="DG37186" s="256"/>
    </row>
    <row r="37187" spans="104:111">
      <c r="CZ37187" s="256"/>
      <c r="DG37187" s="256"/>
    </row>
    <row r="37188" spans="104:111">
      <c r="CZ37188" s="256"/>
      <c r="DG37188" s="256"/>
    </row>
    <row r="37189" spans="104:111">
      <c r="CZ37189" s="256"/>
      <c r="DG37189" s="256"/>
    </row>
    <row r="37190" spans="104:111">
      <c r="CZ37190" s="256"/>
      <c r="DG37190" s="256"/>
    </row>
    <row r="37191" spans="104:111">
      <c r="CZ37191" s="256"/>
      <c r="DG37191" s="256"/>
    </row>
    <row r="37192" spans="104:111">
      <c r="CZ37192" s="256"/>
      <c r="DG37192" s="256"/>
    </row>
    <row r="37193" spans="104:111">
      <c r="CZ37193" s="256"/>
      <c r="DG37193" s="256"/>
    </row>
    <row r="37194" spans="104:111">
      <c r="CZ37194" s="256"/>
      <c r="DG37194" s="256"/>
    </row>
    <row r="37195" spans="104:111">
      <c r="CZ37195" s="256"/>
      <c r="DG37195" s="256"/>
    </row>
    <row r="37196" spans="104:111">
      <c r="CZ37196" s="256"/>
      <c r="DG37196" s="256"/>
    </row>
    <row r="37197" spans="104:111">
      <c r="CZ37197" s="256"/>
      <c r="DG37197" s="256"/>
    </row>
    <row r="37198" spans="104:111">
      <c r="CZ37198" s="256"/>
      <c r="DG37198" s="256"/>
    </row>
    <row r="37199" spans="104:111">
      <c r="CZ37199" s="256"/>
      <c r="DG37199" s="256"/>
    </row>
    <row r="37200" spans="104:111">
      <c r="CZ37200" s="256"/>
      <c r="DG37200" s="256"/>
    </row>
    <row r="37201" spans="104:111">
      <c r="CZ37201" s="256"/>
      <c r="DG37201" s="256"/>
    </row>
    <row r="37202" spans="104:111">
      <c r="CZ37202" s="256"/>
      <c r="DG37202" s="256"/>
    </row>
    <row r="37203" spans="104:111">
      <c r="CZ37203" s="256"/>
      <c r="DG37203" s="256"/>
    </row>
    <row r="37204" spans="104:111">
      <c r="CZ37204" s="256"/>
      <c r="DG37204" s="256"/>
    </row>
    <row r="37205" spans="104:111">
      <c r="CZ37205" s="256"/>
      <c r="DG37205" s="256"/>
    </row>
    <row r="37206" spans="104:111">
      <c r="CZ37206" s="256"/>
      <c r="DG37206" s="256"/>
    </row>
    <row r="37207" spans="104:111">
      <c r="CZ37207" s="256"/>
      <c r="DG37207" s="256"/>
    </row>
    <row r="37208" spans="104:111">
      <c r="CZ37208" s="256"/>
      <c r="DG37208" s="256"/>
    </row>
    <row r="37209" spans="104:111">
      <c r="CZ37209" s="256"/>
      <c r="DG37209" s="256"/>
    </row>
    <row r="37210" spans="104:111">
      <c r="CZ37210" s="256"/>
      <c r="DG37210" s="256"/>
    </row>
    <row r="37211" spans="104:111">
      <c r="CZ37211" s="256"/>
      <c r="DG37211" s="256"/>
    </row>
    <row r="37212" spans="104:111">
      <c r="CZ37212" s="256"/>
      <c r="DG37212" s="256"/>
    </row>
    <row r="37213" spans="104:111">
      <c r="CZ37213" s="256"/>
      <c r="DG37213" s="256"/>
    </row>
    <row r="37214" spans="104:111">
      <c r="CZ37214" s="256"/>
      <c r="DG37214" s="256"/>
    </row>
    <row r="37215" spans="104:111">
      <c r="CZ37215" s="256"/>
      <c r="DG37215" s="256"/>
    </row>
    <row r="37216" spans="104:111">
      <c r="CZ37216" s="256"/>
      <c r="DG37216" s="256"/>
    </row>
    <row r="37217" spans="104:111">
      <c r="CZ37217" s="256"/>
      <c r="DG37217" s="256"/>
    </row>
    <row r="37218" spans="104:111">
      <c r="CZ37218" s="256"/>
      <c r="DG37218" s="256"/>
    </row>
    <row r="37219" spans="104:111">
      <c r="CZ37219" s="256"/>
      <c r="DG37219" s="256"/>
    </row>
    <row r="37220" spans="104:111">
      <c r="CZ37220" s="256"/>
      <c r="DG37220" s="256"/>
    </row>
    <row r="37221" spans="104:111">
      <c r="CZ37221" s="256"/>
      <c r="DG37221" s="256"/>
    </row>
    <row r="37222" spans="104:111">
      <c r="CZ37222" s="256"/>
      <c r="DG37222" s="256"/>
    </row>
    <row r="37223" spans="104:111">
      <c r="CZ37223" s="256"/>
      <c r="DG37223" s="256"/>
    </row>
    <row r="37224" spans="104:111">
      <c r="CZ37224" s="256"/>
      <c r="DG37224" s="256"/>
    </row>
    <row r="37225" spans="104:111">
      <c r="CZ37225" s="256"/>
      <c r="DG37225" s="256"/>
    </row>
    <row r="37226" spans="104:111">
      <c r="CZ37226" s="256"/>
      <c r="DG37226" s="256"/>
    </row>
    <row r="37227" spans="104:111">
      <c r="CZ37227" s="256"/>
      <c r="DG37227" s="256"/>
    </row>
    <row r="37228" spans="104:111">
      <c r="CZ37228" s="256"/>
      <c r="DG37228" s="256"/>
    </row>
    <row r="37229" spans="104:111">
      <c r="CZ37229" s="256"/>
      <c r="DG37229" s="256"/>
    </row>
    <row r="37230" spans="104:111">
      <c r="CZ37230" s="256"/>
      <c r="DG37230" s="256"/>
    </row>
    <row r="37231" spans="104:111">
      <c r="CZ37231" s="256"/>
      <c r="DG37231" s="256"/>
    </row>
    <row r="37232" spans="104:111">
      <c r="CZ37232" s="256"/>
      <c r="DG37232" s="256"/>
    </row>
    <row r="37233" spans="104:111">
      <c r="CZ37233" s="256"/>
      <c r="DG37233" s="256"/>
    </row>
    <row r="37234" spans="104:111">
      <c r="CZ37234" s="256"/>
      <c r="DG37234" s="256"/>
    </row>
    <row r="37235" spans="104:111">
      <c r="CZ37235" s="256"/>
      <c r="DG37235" s="256"/>
    </row>
    <row r="37236" spans="104:111">
      <c r="CZ37236" s="256"/>
      <c r="DG37236" s="256"/>
    </row>
    <row r="37237" spans="104:111">
      <c r="CZ37237" s="256"/>
      <c r="DG37237" s="256"/>
    </row>
    <row r="37238" spans="104:111">
      <c r="CZ37238" s="256"/>
      <c r="DG37238" s="256"/>
    </row>
    <row r="37239" spans="104:111">
      <c r="CZ37239" s="256"/>
      <c r="DG37239" s="256"/>
    </row>
    <row r="37240" spans="104:111">
      <c r="CZ37240" s="256"/>
      <c r="DG37240" s="256"/>
    </row>
    <row r="37241" spans="104:111">
      <c r="CZ37241" s="256"/>
      <c r="DG37241" s="256"/>
    </row>
    <row r="37242" spans="104:111">
      <c r="CZ37242" s="256"/>
      <c r="DG37242" s="256"/>
    </row>
    <row r="37243" spans="104:111">
      <c r="CZ37243" s="256"/>
      <c r="DG37243" s="256"/>
    </row>
    <row r="37244" spans="104:111">
      <c r="CZ37244" s="256"/>
      <c r="DG37244" s="256"/>
    </row>
    <row r="37245" spans="104:111">
      <c r="CZ37245" s="256"/>
      <c r="DG37245" s="256"/>
    </row>
    <row r="37246" spans="104:111">
      <c r="CZ37246" s="256"/>
      <c r="DG37246" s="256"/>
    </row>
    <row r="37247" spans="104:111">
      <c r="CZ37247" s="256"/>
      <c r="DG37247" s="256"/>
    </row>
    <row r="37248" spans="104:111">
      <c r="CZ37248" s="256"/>
      <c r="DG37248" s="256"/>
    </row>
    <row r="37249" spans="104:111">
      <c r="CZ37249" s="256"/>
      <c r="DG37249" s="256"/>
    </row>
    <row r="37250" spans="104:111">
      <c r="CZ37250" s="256"/>
      <c r="DG37250" s="256"/>
    </row>
    <row r="37251" spans="104:111">
      <c r="CZ37251" s="256"/>
      <c r="DG37251" s="256"/>
    </row>
    <row r="37252" spans="104:111">
      <c r="CZ37252" s="256"/>
      <c r="DG37252" s="256"/>
    </row>
    <row r="37253" spans="104:111">
      <c r="CZ37253" s="256"/>
      <c r="DG37253" s="256"/>
    </row>
    <row r="37254" spans="104:111">
      <c r="CZ37254" s="256"/>
      <c r="DG37254" s="256"/>
    </row>
    <row r="37255" spans="104:111">
      <c r="CZ37255" s="256"/>
      <c r="DG37255" s="256"/>
    </row>
    <row r="37256" spans="104:111">
      <c r="CZ37256" s="256"/>
      <c r="DG37256" s="256"/>
    </row>
    <row r="37257" spans="104:111">
      <c r="CZ37257" s="256"/>
      <c r="DG37257" s="256"/>
    </row>
    <row r="37258" spans="104:111">
      <c r="CZ37258" s="256"/>
      <c r="DG37258" s="256"/>
    </row>
    <row r="37259" spans="104:111">
      <c r="CZ37259" s="256"/>
      <c r="DG37259" s="256"/>
    </row>
    <row r="37260" spans="104:111">
      <c r="CZ37260" s="256"/>
      <c r="DG37260" s="256"/>
    </row>
    <row r="37261" spans="104:111">
      <c r="CZ37261" s="256"/>
      <c r="DG37261" s="256"/>
    </row>
    <row r="37262" spans="104:111">
      <c r="CZ37262" s="256"/>
      <c r="DG37262" s="256"/>
    </row>
    <row r="37263" spans="104:111">
      <c r="CZ37263" s="256"/>
      <c r="DG37263" s="256"/>
    </row>
    <row r="37264" spans="104:111">
      <c r="CZ37264" s="256"/>
      <c r="DG37264" s="256"/>
    </row>
    <row r="37265" spans="104:111">
      <c r="CZ37265" s="256"/>
      <c r="DG37265" s="256"/>
    </row>
    <row r="37266" spans="104:111">
      <c r="CZ37266" s="256"/>
      <c r="DG37266" s="256"/>
    </row>
    <row r="37267" spans="104:111">
      <c r="CZ37267" s="256"/>
      <c r="DG37267" s="256"/>
    </row>
    <row r="37268" spans="104:111">
      <c r="CZ37268" s="256"/>
      <c r="DG37268" s="256"/>
    </row>
    <row r="37269" spans="104:111">
      <c r="CZ37269" s="256"/>
      <c r="DG37269" s="256"/>
    </row>
    <row r="37270" spans="104:111">
      <c r="CZ37270" s="256"/>
      <c r="DG37270" s="256"/>
    </row>
    <row r="37271" spans="104:111">
      <c r="CZ37271" s="256"/>
      <c r="DG37271" s="256"/>
    </row>
    <row r="37272" spans="104:111">
      <c r="CZ37272" s="256"/>
      <c r="DG37272" s="256"/>
    </row>
    <row r="37273" spans="104:111">
      <c r="CZ37273" s="256"/>
      <c r="DG37273" s="256"/>
    </row>
    <row r="37274" spans="104:111">
      <c r="CZ37274" s="256"/>
      <c r="DG37274" s="256"/>
    </row>
    <row r="37275" spans="104:111">
      <c r="CZ37275" s="256"/>
      <c r="DG37275" s="256"/>
    </row>
    <row r="37276" spans="104:111">
      <c r="CZ37276" s="256"/>
      <c r="DG37276" s="256"/>
    </row>
    <row r="37277" spans="104:111">
      <c r="CZ37277" s="256"/>
      <c r="DG37277" s="256"/>
    </row>
    <row r="37278" spans="104:111">
      <c r="CZ37278" s="256"/>
      <c r="DG37278" s="256"/>
    </row>
    <row r="37279" spans="104:111">
      <c r="CZ37279" s="256"/>
      <c r="DG37279" s="256"/>
    </row>
    <row r="37280" spans="104:111">
      <c r="CZ37280" s="256"/>
      <c r="DG37280" s="256"/>
    </row>
    <row r="37281" spans="104:111">
      <c r="CZ37281" s="256"/>
      <c r="DG37281" s="256"/>
    </row>
    <row r="37282" spans="104:111">
      <c r="CZ37282" s="256"/>
      <c r="DG37282" s="256"/>
    </row>
    <row r="37283" spans="104:111">
      <c r="CZ37283" s="256"/>
      <c r="DG37283" s="256"/>
    </row>
    <row r="37284" spans="104:111">
      <c r="CZ37284" s="256"/>
      <c r="DG37284" s="256"/>
    </row>
    <row r="37285" spans="104:111">
      <c r="CZ37285" s="256"/>
      <c r="DG37285" s="256"/>
    </row>
    <row r="37286" spans="104:111">
      <c r="CZ37286" s="256"/>
      <c r="DG37286" s="256"/>
    </row>
    <row r="37287" spans="104:111">
      <c r="CZ37287" s="256"/>
      <c r="DG37287" s="256"/>
    </row>
    <row r="37288" spans="104:111">
      <c r="CZ37288" s="256"/>
      <c r="DG37288" s="256"/>
    </row>
    <row r="37289" spans="104:111">
      <c r="CZ37289" s="256"/>
      <c r="DG37289" s="256"/>
    </row>
    <row r="37290" spans="104:111">
      <c r="CZ37290" s="256"/>
      <c r="DG37290" s="256"/>
    </row>
    <row r="37291" spans="104:111">
      <c r="CZ37291" s="256"/>
      <c r="DG37291" s="256"/>
    </row>
    <row r="37292" spans="104:111">
      <c r="CZ37292" s="256"/>
      <c r="DG37292" s="256"/>
    </row>
    <row r="37293" spans="104:111">
      <c r="CZ37293" s="256"/>
      <c r="DG37293" s="256"/>
    </row>
    <row r="37294" spans="104:111">
      <c r="CZ37294" s="256"/>
      <c r="DG37294" s="256"/>
    </row>
    <row r="37295" spans="104:111">
      <c r="CZ37295" s="256"/>
      <c r="DG37295" s="256"/>
    </row>
    <row r="37296" spans="104:111">
      <c r="CZ37296" s="256"/>
      <c r="DG37296" s="256"/>
    </row>
    <row r="37297" spans="104:111">
      <c r="CZ37297" s="256"/>
      <c r="DG37297" s="256"/>
    </row>
    <row r="37298" spans="104:111">
      <c r="CZ37298" s="256"/>
      <c r="DG37298" s="256"/>
    </row>
    <row r="37299" spans="104:111">
      <c r="CZ37299" s="256"/>
      <c r="DG37299" s="256"/>
    </row>
    <row r="37300" spans="104:111">
      <c r="CZ37300" s="256"/>
      <c r="DG37300" s="256"/>
    </row>
    <row r="37301" spans="104:111">
      <c r="CZ37301" s="256"/>
      <c r="DG37301" s="256"/>
    </row>
    <row r="37302" spans="104:111">
      <c r="CZ37302" s="256"/>
      <c r="DG37302" s="256"/>
    </row>
    <row r="37303" spans="104:111">
      <c r="CZ37303" s="256"/>
      <c r="DG37303" s="256"/>
    </row>
    <row r="37304" spans="104:111">
      <c r="CZ37304" s="256"/>
      <c r="DG37304" s="256"/>
    </row>
    <row r="37305" spans="104:111">
      <c r="CZ37305" s="256"/>
      <c r="DG37305" s="256"/>
    </row>
    <row r="37306" spans="104:111">
      <c r="CZ37306" s="256"/>
      <c r="DG37306" s="256"/>
    </row>
    <row r="37307" spans="104:111">
      <c r="CZ37307" s="256"/>
      <c r="DG37307" s="256"/>
    </row>
    <row r="37308" spans="104:111">
      <c r="CZ37308" s="256"/>
      <c r="DG37308" s="256"/>
    </row>
    <row r="37309" spans="104:111">
      <c r="CZ37309" s="256"/>
      <c r="DG37309" s="256"/>
    </row>
    <row r="37310" spans="104:111">
      <c r="CZ37310" s="256"/>
      <c r="DG37310" s="256"/>
    </row>
    <row r="37311" spans="104:111">
      <c r="CZ37311" s="256"/>
      <c r="DG37311" s="256"/>
    </row>
    <row r="37312" spans="104:111">
      <c r="CZ37312" s="256"/>
      <c r="DG37312" s="256"/>
    </row>
    <row r="37313" spans="104:111">
      <c r="CZ37313" s="256"/>
      <c r="DG37313" s="256"/>
    </row>
    <row r="37314" spans="104:111">
      <c r="CZ37314" s="256"/>
      <c r="DG37314" s="256"/>
    </row>
    <row r="37315" spans="104:111">
      <c r="CZ37315" s="256"/>
      <c r="DG37315" s="256"/>
    </row>
    <row r="37316" spans="104:111">
      <c r="CZ37316" s="256"/>
      <c r="DG37316" s="256"/>
    </row>
    <row r="37317" spans="104:111">
      <c r="CZ37317" s="256"/>
      <c r="DG37317" s="256"/>
    </row>
    <row r="37318" spans="104:111">
      <c r="CZ37318" s="256"/>
      <c r="DG37318" s="256"/>
    </row>
    <row r="37319" spans="104:111">
      <c r="CZ37319" s="256"/>
      <c r="DG37319" s="256"/>
    </row>
    <row r="37320" spans="104:111">
      <c r="CZ37320" s="256"/>
      <c r="DG37320" s="256"/>
    </row>
    <row r="37321" spans="104:111">
      <c r="CZ37321" s="256"/>
      <c r="DG37321" s="256"/>
    </row>
    <row r="37322" spans="104:111">
      <c r="CZ37322" s="256"/>
      <c r="DG37322" s="256"/>
    </row>
    <row r="37323" spans="104:111">
      <c r="CZ37323" s="256"/>
      <c r="DG37323" s="256"/>
    </row>
    <row r="37324" spans="104:111">
      <c r="CZ37324" s="256"/>
      <c r="DG37324" s="256"/>
    </row>
    <row r="37325" spans="104:111">
      <c r="CZ37325" s="256"/>
      <c r="DG37325" s="256"/>
    </row>
    <row r="37326" spans="104:111">
      <c r="CZ37326" s="256"/>
      <c r="DG37326" s="256"/>
    </row>
    <row r="37327" spans="104:111">
      <c r="CZ37327" s="256"/>
      <c r="DG37327" s="256"/>
    </row>
    <row r="37328" spans="104:111">
      <c r="CZ37328" s="256"/>
      <c r="DG37328" s="256"/>
    </row>
    <row r="37329" spans="104:111">
      <c r="CZ37329" s="256"/>
      <c r="DG37329" s="256"/>
    </row>
    <row r="37330" spans="104:111">
      <c r="CZ37330" s="256"/>
      <c r="DG37330" s="256"/>
    </row>
    <row r="37331" spans="104:111">
      <c r="CZ37331" s="256"/>
      <c r="DG37331" s="256"/>
    </row>
    <row r="37332" spans="104:111">
      <c r="CZ37332" s="256"/>
      <c r="DG37332" s="256"/>
    </row>
    <row r="37333" spans="104:111">
      <c r="CZ37333" s="256"/>
      <c r="DG37333" s="256"/>
    </row>
    <row r="37334" spans="104:111">
      <c r="CZ37334" s="256"/>
      <c r="DG37334" s="256"/>
    </row>
    <row r="37335" spans="104:111">
      <c r="CZ37335" s="256"/>
      <c r="DG37335" s="256"/>
    </row>
    <row r="37336" spans="104:111">
      <c r="CZ37336" s="256"/>
      <c r="DG37336" s="256"/>
    </row>
    <row r="37337" spans="104:111">
      <c r="CZ37337" s="256"/>
      <c r="DG37337" s="256"/>
    </row>
    <row r="37338" spans="104:111">
      <c r="CZ37338" s="256"/>
      <c r="DG37338" s="256"/>
    </row>
    <row r="37339" spans="104:111">
      <c r="CZ37339" s="256"/>
      <c r="DG37339" s="256"/>
    </row>
    <row r="37340" spans="104:111">
      <c r="CZ37340" s="256"/>
      <c r="DG37340" s="256"/>
    </row>
    <row r="37341" spans="104:111">
      <c r="CZ37341" s="256"/>
      <c r="DG37341" s="256"/>
    </row>
    <row r="37342" spans="104:111">
      <c r="CZ37342" s="256"/>
      <c r="DG37342" s="256"/>
    </row>
    <row r="37343" spans="104:111">
      <c r="CZ37343" s="256"/>
      <c r="DG37343" s="256"/>
    </row>
    <row r="37344" spans="104:111">
      <c r="CZ37344" s="256"/>
      <c r="DG37344" s="256"/>
    </row>
    <row r="37345" spans="104:111">
      <c r="CZ37345" s="256"/>
      <c r="DG37345" s="256"/>
    </row>
    <row r="37346" spans="104:111">
      <c r="CZ37346" s="256"/>
      <c r="DG37346" s="256"/>
    </row>
    <row r="37347" spans="104:111">
      <c r="CZ37347" s="256"/>
      <c r="DG37347" s="256"/>
    </row>
    <row r="37348" spans="104:111">
      <c r="CZ37348" s="256"/>
      <c r="DG37348" s="256"/>
    </row>
    <row r="37349" spans="104:111">
      <c r="CZ37349" s="256"/>
      <c r="DG37349" s="256"/>
    </row>
    <row r="37350" spans="104:111">
      <c r="CZ37350" s="256"/>
      <c r="DG37350" s="256"/>
    </row>
    <row r="37351" spans="104:111">
      <c r="CZ37351" s="256"/>
      <c r="DG37351" s="256"/>
    </row>
    <row r="37352" spans="104:111">
      <c r="CZ37352" s="256"/>
      <c r="DG37352" s="256"/>
    </row>
    <row r="37353" spans="104:111">
      <c r="CZ37353" s="256"/>
      <c r="DG37353" s="256"/>
    </row>
    <row r="37354" spans="104:111">
      <c r="CZ37354" s="256"/>
      <c r="DG37354" s="256"/>
    </row>
    <row r="37355" spans="104:111">
      <c r="CZ37355" s="256"/>
      <c r="DG37355" s="256"/>
    </row>
    <row r="37356" spans="104:111">
      <c r="CZ37356" s="256"/>
      <c r="DG37356" s="256"/>
    </row>
    <row r="37357" spans="104:111">
      <c r="CZ37357" s="256"/>
      <c r="DG37357" s="256"/>
    </row>
    <row r="37358" spans="104:111">
      <c r="CZ37358" s="256"/>
      <c r="DG37358" s="256"/>
    </row>
    <row r="37359" spans="104:111">
      <c r="CZ37359" s="256"/>
      <c r="DG37359" s="256"/>
    </row>
    <row r="37360" spans="104:111">
      <c r="CZ37360" s="256"/>
      <c r="DG37360" s="256"/>
    </row>
    <row r="37361" spans="104:111">
      <c r="CZ37361" s="256"/>
      <c r="DG37361" s="256"/>
    </row>
    <row r="37362" spans="104:111">
      <c r="CZ37362" s="256"/>
      <c r="DG37362" s="256"/>
    </row>
    <row r="37363" spans="104:111">
      <c r="CZ37363" s="256"/>
      <c r="DG37363" s="256"/>
    </row>
    <row r="37364" spans="104:111">
      <c r="CZ37364" s="256"/>
      <c r="DG37364" s="256"/>
    </row>
    <row r="37365" spans="104:111">
      <c r="CZ37365" s="256"/>
      <c r="DG37365" s="256"/>
    </row>
    <row r="37366" spans="104:111">
      <c r="CZ37366" s="256"/>
      <c r="DG37366" s="256"/>
    </row>
    <row r="37367" spans="104:111">
      <c r="CZ37367" s="256"/>
      <c r="DG37367" s="256"/>
    </row>
    <row r="37368" spans="104:111">
      <c r="CZ37368" s="256"/>
      <c r="DG37368" s="256"/>
    </row>
    <row r="37369" spans="104:111">
      <c r="CZ37369" s="256"/>
      <c r="DG37369" s="256"/>
    </row>
    <row r="37370" spans="104:111">
      <c r="CZ37370" s="256"/>
      <c r="DG37370" s="256"/>
    </row>
    <row r="37371" spans="104:111">
      <c r="CZ37371" s="256"/>
      <c r="DG37371" s="256"/>
    </row>
    <row r="37372" spans="104:111">
      <c r="CZ37372" s="256"/>
      <c r="DG37372" s="256"/>
    </row>
    <row r="37373" spans="104:111">
      <c r="CZ37373" s="256"/>
      <c r="DG37373" s="256"/>
    </row>
    <row r="37374" spans="104:111">
      <c r="CZ37374" s="256"/>
      <c r="DG37374" s="256"/>
    </row>
    <row r="37375" spans="104:111">
      <c r="CZ37375" s="256"/>
      <c r="DG37375" s="256"/>
    </row>
    <row r="37376" spans="104:111">
      <c r="CZ37376" s="256"/>
      <c r="DG37376" s="256"/>
    </row>
    <row r="37377" spans="104:111">
      <c r="CZ37377" s="256"/>
      <c r="DG37377" s="256"/>
    </row>
    <row r="37378" spans="104:111">
      <c r="CZ37378" s="256"/>
      <c r="DG37378" s="256"/>
    </row>
    <row r="37379" spans="104:111">
      <c r="CZ37379" s="256"/>
      <c r="DG37379" s="256"/>
    </row>
    <row r="37380" spans="104:111">
      <c r="CZ37380" s="256"/>
      <c r="DG37380" s="256"/>
    </row>
    <row r="37381" spans="104:111">
      <c r="CZ37381" s="256"/>
      <c r="DG37381" s="256"/>
    </row>
    <row r="37382" spans="104:111">
      <c r="CZ37382" s="256"/>
      <c r="DG37382" s="256"/>
    </row>
    <row r="37383" spans="104:111">
      <c r="CZ37383" s="256"/>
      <c r="DG37383" s="256"/>
    </row>
    <row r="37384" spans="104:111">
      <c r="CZ37384" s="256"/>
      <c r="DG37384" s="256"/>
    </row>
    <row r="37385" spans="104:111">
      <c r="CZ37385" s="256"/>
      <c r="DG37385" s="256"/>
    </row>
    <row r="37386" spans="104:111">
      <c r="CZ37386" s="256"/>
      <c r="DG37386" s="256"/>
    </row>
    <row r="37387" spans="104:111">
      <c r="CZ37387" s="256"/>
      <c r="DG37387" s="256"/>
    </row>
    <row r="37388" spans="104:111">
      <c r="CZ37388" s="256"/>
      <c r="DG37388" s="256"/>
    </row>
    <row r="37389" spans="104:111">
      <c r="CZ37389" s="256"/>
      <c r="DG37389" s="256"/>
    </row>
    <row r="37390" spans="104:111">
      <c r="CZ37390" s="256"/>
      <c r="DG37390" s="256"/>
    </row>
    <row r="37391" spans="104:111">
      <c r="CZ37391" s="256"/>
      <c r="DG37391" s="256"/>
    </row>
    <row r="37392" spans="104:111">
      <c r="CZ37392" s="256"/>
      <c r="DG37392" s="256"/>
    </row>
    <row r="37393" spans="104:111">
      <c r="CZ37393" s="256"/>
      <c r="DG37393" s="256"/>
    </row>
    <row r="37394" spans="104:111">
      <c r="CZ37394" s="256"/>
      <c r="DG37394" s="256"/>
    </row>
    <row r="37395" spans="104:111">
      <c r="CZ37395" s="256"/>
      <c r="DG37395" s="256"/>
    </row>
    <row r="37396" spans="104:111">
      <c r="CZ37396" s="256"/>
      <c r="DG37396" s="256"/>
    </row>
    <row r="37397" spans="104:111">
      <c r="CZ37397" s="256"/>
      <c r="DG37397" s="256"/>
    </row>
    <row r="37398" spans="104:111">
      <c r="CZ37398" s="256"/>
      <c r="DG37398" s="256"/>
    </row>
    <row r="37399" spans="104:111">
      <c r="CZ37399" s="256"/>
      <c r="DG37399" s="256"/>
    </row>
    <row r="37400" spans="104:111">
      <c r="CZ37400" s="256"/>
      <c r="DG37400" s="256"/>
    </row>
    <row r="37401" spans="104:111">
      <c r="CZ37401" s="256"/>
      <c r="DG37401" s="256"/>
    </row>
    <row r="37402" spans="104:111">
      <c r="CZ37402" s="256"/>
      <c r="DG37402" s="256"/>
    </row>
    <row r="37403" spans="104:111">
      <c r="CZ37403" s="256"/>
      <c r="DG37403" s="256"/>
    </row>
    <row r="37404" spans="104:111">
      <c r="CZ37404" s="256"/>
      <c r="DG37404" s="256"/>
    </row>
    <row r="37405" spans="104:111">
      <c r="CZ37405" s="256"/>
      <c r="DG37405" s="256"/>
    </row>
    <row r="37406" spans="104:111">
      <c r="CZ37406" s="256"/>
      <c r="DG37406" s="256"/>
    </row>
    <row r="37407" spans="104:111">
      <c r="CZ37407" s="256"/>
      <c r="DG37407" s="256"/>
    </row>
    <row r="37408" spans="104:111">
      <c r="CZ37408" s="256"/>
      <c r="DG37408" s="256"/>
    </row>
    <row r="37409" spans="104:111">
      <c r="CZ37409" s="256"/>
      <c r="DG37409" s="256"/>
    </row>
    <row r="37410" spans="104:111">
      <c r="CZ37410" s="256"/>
      <c r="DG37410" s="256"/>
    </row>
    <row r="37411" spans="104:111">
      <c r="CZ37411" s="256"/>
      <c r="DG37411" s="256"/>
    </row>
    <row r="37412" spans="104:111">
      <c r="CZ37412" s="256"/>
      <c r="DG37412" s="256"/>
    </row>
    <row r="37413" spans="104:111">
      <c r="CZ37413" s="256"/>
      <c r="DG37413" s="256"/>
    </row>
    <row r="37414" spans="104:111">
      <c r="CZ37414" s="256"/>
      <c r="DG37414" s="256"/>
    </row>
    <row r="37415" spans="104:111">
      <c r="CZ37415" s="256"/>
      <c r="DG37415" s="256"/>
    </row>
    <row r="37416" spans="104:111">
      <c r="CZ37416" s="256"/>
      <c r="DG37416" s="256"/>
    </row>
    <row r="37417" spans="104:111">
      <c r="CZ37417" s="256"/>
      <c r="DG37417" s="256"/>
    </row>
    <row r="37418" spans="104:111">
      <c r="CZ37418" s="256"/>
      <c r="DG37418" s="256"/>
    </row>
    <row r="37419" spans="104:111">
      <c r="CZ37419" s="256"/>
      <c r="DG37419" s="256"/>
    </row>
    <row r="37420" spans="104:111">
      <c r="CZ37420" s="256"/>
      <c r="DG37420" s="256"/>
    </row>
    <row r="37421" spans="104:111">
      <c r="CZ37421" s="256"/>
      <c r="DG37421" s="256"/>
    </row>
    <row r="37422" spans="104:111">
      <c r="CZ37422" s="256"/>
      <c r="DG37422" s="256"/>
    </row>
    <row r="37423" spans="104:111">
      <c r="CZ37423" s="256"/>
      <c r="DG37423" s="256"/>
    </row>
    <row r="37424" spans="104:111">
      <c r="CZ37424" s="256"/>
      <c r="DG37424" s="256"/>
    </row>
    <row r="37425" spans="104:111">
      <c r="CZ37425" s="256"/>
      <c r="DG37425" s="256"/>
    </row>
    <row r="37426" spans="104:111">
      <c r="CZ37426" s="256"/>
      <c r="DG37426" s="256"/>
    </row>
    <row r="37427" spans="104:111">
      <c r="CZ37427" s="256"/>
      <c r="DG37427" s="256"/>
    </row>
    <row r="37428" spans="104:111">
      <c r="CZ37428" s="256"/>
      <c r="DG37428" s="256"/>
    </row>
    <row r="37429" spans="104:111">
      <c r="CZ37429" s="256"/>
      <c r="DG37429" s="256"/>
    </row>
    <row r="37430" spans="104:111">
      <c r="CZ37430" s="256"/>
      <c r="DG37430" s="256"/>
    </row>
    <row r="37431" spans="104:111">
      <c r="CZ37431" s="256"/>
      <c r="DG37431" s="256"/>
    </row>
    <row r="37432" spans="104:111">
      <c r="CZ37432" s="256"/>
      <c r="DG37432" s="256"/>
    </row>
    <row r="37433" spans="104:111">
      <c r="CZ37433" s="256"/>
      <c r="DG37433" s="256"/>
    </row>
    <row r="37434" spans="104:111">
      <c r="CZ37434" s="256"/>
      <c r="DG37434" s="256"/>
    </row>
    <row r="37435" spans="104:111">
      <c r="CZ37435" s="256"/>
      <c r="DG37435" s="256"/>
    </row>
    <row r="37436" spans="104:111">
      <c r="CZ37436" s="256"/>
      <c r="DG37436" s="256"/>
    </row>
    <row r="37437" spans="104:111">
      <c r="CZ37437" s="256"/>
      <c r="DG37437" s="256"/>
    </row>
    <row r="37438" spans="104:111">
      <c r="CZ37438" s="256"/>
      <c r="DG37438" s="256"/>
    </row>
    <row r="37439" spans="104:111">
      <c r="CZ37439" s="256"/>
      <c r="DG37439" s="256"/>
    </row>
    <row r="37440" spans="104:111">
      <c r="CZ37440" s="256"/>
      <c r="DG37440" s="256"/>
    </row>
    <row r="37441" spans="104:111">
      <c r="CZ37441" s="256"/>
      <c r="DG37441" s="256"/>
    </row>
    <row r="37442" spans="104:111">
      <c r="CZ37442" s="256"/>
      <c r="DG37442" s="256"/>
    </row>
    <row r="37443" spans="104:111">
      <c r="CZ37443" s="256"/>
      <c r="DG37443" s="256"/>
    </row>
    <row r="37444" spans="104:111">
      <c r="CZ37444" s="256"/>
      <c r="DG37444" s="256"/>
    </row>
    <row r="37445" spans="104:111">
      <c r="CZ37445" s="256"/>
      <c r="DG37445" s="256"/>
    </row>
    <row r="37446" spans="104:111">
      <c r="CZ37446" s="256"/>
      <c r="DG37446" s="256"/>
    </row>
    <row r="37447" spans="104:111">
      <c r="CZ37447" s="256"/>
      <c r="DG37447" s="256"/>
    </row>
    <row r="37448" spans="104:111">
      <c r="CZ37448" s="256"/>
      <c r="DG37448" s="256"/>
    </row>
    <row r="37449" spans="104:111">
      <c r="CZ37449" s="256"/>
      <c r="DG37449" s="256"/>
    </row>
    <row r="37450" spans="104:111">
      <c r="CZ37450" s="256"/>
      <c r="DG37450" s="256"/>
    </row>
    <row r="37451" spans="104:111">
      <c r="CZ37451" s="256"/>
      <c r="DG37451" s="256"/>
    </row>
    <row r="37452" spans="104:111">
      <c r="CZ37452" s="256"/>
      <c r="DG37452" s="256"/>
    </row>
    <row r="37453" spans="104:111">
      <c r="CZ37453" s="256"/>
      <c r="DG37453" s="256"/>
    </row>
    <row r="37454" spans="104:111">
      <c r="CZ37454" s="256"/>
      <c r="DG37454" s="256"/>
    </row>
    <row r="37455" spans="104:111">
      <c r="CZ37455" s="256"/>
      <c r="DG37455" s="256"/>
    </row>
    <row r="37456" spans="104:111">
      <c r="CZ37456" s="256"/>
      <c r="DG37456" s="256"/>
    </row>
    <row r="37457" spans="104:111">
      <c r="CZ37457" s="256"/>
      <c r="DG37457" s="256"/>
    </row>
    <row r="37458" spans="104:111">
      <c r="CZ37458" s="256"/>
      <c r="DG37458" s="256"/>
    </row>
    <row r="37459" spans="104:111">
      <c r="CZ37459" s="256"/>
      <c r="DG37459" s="256"/>
    </row>
    <row r="37460" spans="104:111">
      <c r="CZ37460" s="256"/>
      <c r="DG37460" s="256"/>
    </row>
    <row r="37461" spans="104:111">
      <c r="CZ37461" s="256"/>
      <c r="DG37461" s="256"/>
    </row>
    <row r="37462" spans="104:111">
      <c r="CZ37462" s="256"/>
      <c r="DG37462" s="256"/>
    </row>
    <row r="37463" spans="104:111">
      <c r="CZ37463" s="256"/>
      <c r="DG37463" s="256"/>
    </row>
    <row r="37464" spans="104:111">
      <c r="CZ37464" s="256"/>
      <c r="DG37464" s="256"/>
    </row>
    <row r="37465" spans="104:111">
      <c r="CZ37465" s="256"/>
      <c r="DG37465" s="256"/>
    </row>
    <row r="37466" spans="104:111">
      <c r="CZ37466" s="256"/>
      <c r="DG37466" s="256"/>
    </row>
    <row r="37467" spans="104:111">
      <c r="CZ37467" s="256"/>
      <c r="DG37467" s="256"/>
    </row>
    <row r="37468" spans="104:111">
      <c r="CZ37468" s="256"/>
      <c r="DG37468" s="256"/>
    </row>
    <row r="37469" spans="104:111">
      <c r="CZ37469" s="256"/>
      <c r="DG37469" s="256"/>
    </row>
    <row r="37470" spans="104:111">
      <c r="CZ37470" s="256"/>
      <c r="DG37470" s="256"/>
    </row>
    <row r="37471" spans="104:111">
      <c r="CZ37471" s="256"/>
      <c r="DG37471" s="256"/>
    </row>
    <row r="37472" spans="104:111">
      <c r="CZ37472" s="256"/>
      <c r="DG37472" s="256"/>
    </row>
    <row r="37473" spans="104:111">
      <c r="CZ37473" s="256"/>
      <c r="DG37473" s="256"/>
    </row>
    <row r="37474" spans="104:111">
      <c r="CZ37474" s="256"/>
      <c r="DG37474" s="256"/>
    </row>
    <row r="37475" spans="104:111">
      <c r="CZ37475" s="256"/>
      <c r="DG37475" s="256"/>
    </row>
    <row r="37476" spans="104:111">
      <c r="CZ37476" s="256"/>
      <c r="DG37476" s="256"/>
    </row>
    <row r="37477" spans="104:111">
      <c r="CZ37477" s="256"/>
      <c r="DG37477" s="256"/>
    </row>
    <row r="37478" spans="104:111">
      <c r="CZ37478" s="256"/>
      <c r="DG37478" s="256"/>
    </row>
    <row r="37479" spans="104:111">
      <c r="CZ37479" s="256"/>
      <c r="DG37479" s="256"/>
    </row>
    <row r="37480" spans="104:111">
      <c r="CZ37480" s="256"/>
      <c r="DG37480" s="256"/>
    </row>
    <row r="37481" spans="104:111">
      <c r="CZ37481" s="256"/>
      <c r="DG37481" s="256"/>
    </row>
    <row r="37482" spans="104:111">
      <c r="CZ37482" s="256"/>
      <c r="DG37482" s="256"/>
    </row>
    <row r="37483" spans="104:111">
      <c r="CZ37483" s="256"/>
      <c r="DG37483" s="256"/>
    </row>
    <row r="37484" spans="104:111">
      <c r="CZ37484" s="256"/>
      <c r="DG37484" s="256"/>
    </row>
    <row r="37485" spans="104:111">
      <c r="CZ37485" s="256"/>
      <c r="DG37485" s="256"/>
    </row>
    <row r="37486" spans="104:111">
      <c r="CZ37486" s="256"/>
      <c r="DG37486" s="256"/>
    </row>
    <row r="37487" spans="104:111">
      <c r="CZ37487" s="256"/>
      <c r="DG37487" s="256"/>
    </row>
    <row r="37488" spans="104:111">
      <c r="CZ37488" s="256"/>
      <c r="DG37488" s="256"/>
    </row>
    <row r="37489" spans="104:111">
      <c r="CZ37489" s="256"/>
      <c r="DG37489" s="256"/>
    </row>
    <row r="37490" spans="104:111">
      <c r="CZ37490" s="256"/>
      <c r="DG37490" s="256"/>
    </row>
    <row r="37491" spans="104:111">
      <c r="CZ37491" s="256"/>
      <c r="DG37491" s="256"/>
    </row>
    <row r="37492" spans="104:111">
      <c r="CZ37492" s="256"/>
      <c r="DG37492" s="256"/>
    </row>
    <row r="37493" spans="104:111">
      <c r="CZ37493" s="256"/>
      <c r="DG37493" s="256"/>
    </row>
    <row r="37494" spans="104:111">
      <c r="CZ37494" s="256"/>
      <c r="DG37494" s="256"/>
    </row>
    <row r="37495" spans="104:111">
      <c r="CZ37495" s="256"/>
      <c r="DG37495" s="256"/>
    </row>
    <row r="37496" spans="104:111">
      <c r="CZ37496" s="256"/>
      <c r="DG37496" s="256"/>
    </row>
    <row r="37497" spans="104:111">
      <c r="CZ37497" s="256"/>
      <c r="DG37497" s="256"/>
    </row>
    <row r="37498" spans="104:111">
      <c r="CZ37498" s="256"/>
      <c r="DG37498" s="256"/>
    </row>
    <row r="37499" spans="104:111">
      <c r="CZ37499" s="256"/>
      <c r="DG37499" s="256"/>
    </row>
    <row r="37500" spans="104:111">
      <c r="CZ37500" s="256"/>
      <c r="DG37500" s="256"/>
    </row>
    <row r="37501" spans="104:111">
      <c r="CZ37501" s="256"/>
      <c r="DG37501" s="256"/>
    </row>
    <row r="37502" spans="104:111">
      <c r="CZ37502" s="256"/>
      <c r="DG37502" s="256"/>
    </row>
    <row r="37503" spans="104:111">
      <c r="CZ37503" s="256"/>
      <c r="DG37503" s="256"/>
    </row>
    <row r="37504" spans="104:111">
      <c r="CZ37504" s="256"/>
      <c r="DG37504" s="256"/>
    </row>
    <row r="37505" spans="104:111">
      <c r="CZ37505" s="256"/>
      <c r="DG37505" s="256"/>
    </row>
    <row r="37506" spans="104:111">
      <c r="CZ37506" s="256"/>
      <c r="DG37506" s="256"/>
    </row>
    <row r="37507" spans="104:111">
      <c r="CZ37507" s="256"/>
      <c r="DG37507" s="256"/>
    </row>
    <row r="37508" spans="104:111">
      <c r="CZ37508" s="256"/>
      <c r="DG37508" s="256"/>
    </row>
    <row r="37509" spans="104:111">
      <c r="CZ37509" s="256"/>
      <c r="DG37509" s="256"/>
    </row>
    <row r="37510" spans="104:111">
      <c r="CZ37510" s="256"/>
      <c r="DG37510" s="256"/>
    </row>
    <row r="37511" spans="104:111">
      <c r="CZ37511" s="256"/>
      <c r="DG37511" s="256"/>
    </row>
    <row r="37512" spans="104:111">
      <c r="CZ37512" s="256"/>
      <c r="DG37512" s="256"/>
    </row>
    <row r="37513" spans="104:111">
      <c r="CZ37513" s="256"/>
      <c r="DG37513" s="256"/>
    </row>
    <row r="37514" spans="104:111">
      <c r="CZ37514" s="256"/>
      <c r="DG37514" s="256"/>
    </row>
    <row r="37515" spans="104:111">
      <c r="CZ37515" s="256"/>
      <c r="DG37515" s="256"/>
    </row>
    <row r="37516" spans="104:111">
      <c r="CZ37516" s="256"/>
      <c r="DG37516" s="256"/>
    </row>
    <row r="37517" spans="104:111">
      <c r="CZ37517" s="256"/>
      <c r="DG37517" s="256"/>
    </row>
    <row r="37518" spans="104:111">
      <c r="CZ37518" s="256"/>
      <c r="DG37518" s="256"/>
    </row>
    <row r="37519" spans="104:111">
      <c r="CZ37519" s="256"/>
      <c r="DG37519" s="256"/>
    </row>
    <row r="37520" spans="104:111">
      <c r="CZ37520" s="256"/>
      <c r="DG37520" s="256"/>
    </row>
    <row r="37521" spans="104:111">
      <c r="CZ37521" s="256"/>
      <c r="DG37521" s="256"/>
    </row>
    <row r="37522" spans="104:111">
      <c r="CZ37522" s="256"/>
      <c r="DG37522" s="256"/>
    </row>
    <row r="37523" spans="104:111">
      <c r="CZ37523" s="256"/>
      <c r="DG37523" s="256"/>
    </row>
    <row r="37524" spans="104:111">
      <c r="CZ37524" s="256"/>
      <c r="DG37524" s="256"/>
    </row>
    <row r="37525" spans="104:111">
      <c r="CZ37525" s="256"/>
      <c r="DG37525" s="256"/>
    </row>
    <row r="37526" spans="104:111">
      <c r="CZ37526" s="256"/>
      <c r="DG37526" s="256"/>
    </row>
    <row r="37527" spans="104:111">
      <c r="CZ37527" s="256"/>
      <c r="DG37527" s="256"/>
    </row>
    <row r="37528" spans="104:111">
      <c r="CZ37528" s="256"/>
      <c r="DG37528" s="256"/>
    </row>
    <row r="37529" spans="104:111">
      <c r="CZ37529" s="256"/>
      <c r="DG37529" s="256"/>
    </row>
    <row r="37530" spans="104:111">
      <c r="CZ37530" s="256"/>
      <c r="DG37530" s="256"/>
    </row>
    <row r="37531" spans="104:111">
      <c r="CZ37531" s="256"/>
      <c r="DG37531" s="256"/>
    </row>
    <row r="37532" spans="104:111">
      <c r="CZ37532" s="256"/>
      <c r="DG37532" s="256"/>
    </row>
    <row r="37533" spans="104:111">
      <c r="CZ37533" s="256"/>
      <c r="DG37533" s="256"/>
    </row>
    <row r="37534" spans="104:111">
      <c r="CZ37534" s="256"/>
      <c r="DG37534" s="256"/>
    </row>
    <row r="37535" spans="104:111">
      <c r="CZ37535" s="256"/>
      <c r="DG37535" s="256"/>
    </row>
    <row r="37536" spans="104:111">
      <c r="CZ37536" s="256"/>
      <c r="DG37536" s="256"/>
    </row>
    <row r="37537" spans="104:111">
      <c r="CZ37537" s="256"/>
      <c r="DG37537" s="256"/>
    </row>
    <row r="37538" spans="104:111">
      <c r="CZ37538" s="256"/>
      <c r="DG37538" s="256"/>
    </row>
    <row r="37539" spans="104:111">
      <c r="CZ37539" s="256"/>
      <c r="DG37539" s="256"/>
    </row>
    <row r="37540" spans="104:111">
      <c r="CZ37540" s="256"/>
      <c r="DG37540" s="256"/>
    </row>
    <row r="37541" spans="104:111">
      <c r="CZ37541" s="256"/>
      <c r="DG37541" s="256"/>
    </row>
    <row r="37542" spans="104:111">
      <c r="CZ37542" s="256"/>
      <c r="DG37542" s="256"/>
    </row>
    <row r="37543" spans="104:111">
      <c r="CZ37543" s="256"/>
      <c r="DG37543" s="256"/>
    </row>
    <row r="37544" spans="104:111">
      <c r="CZ37544" s="256"/>
      <c r="DG37544" s="256"/>
    </row>
    <row r="37545" spans="104:111">
      <c r="CZ37545" s="256"/>
      <c r="DG37545" s="256"/>
    </row>
    <row r="37546" spans="104:111">
      <c r="CZ37546" s="256"/>
      <c r="DG37546" s="256"/>
    </row>
    <row r="37547" spans="104:111">
      <c r="CZ37547" s="256"/>
      <c r="DG37547" s="256"/>
    </row>
    <row r="37548" spans="104:111">
      <c r="CZ37548" s="256"/>
      <c r="DG37548" s="256"/>
    </row>
    <row r="37549" spans="104:111">
      <c r="CZ37549" s="256"/>
      <c r="DG37549" s="256"/>
    </row>
    <row r="37550" spans="104:111">
      <c r="CZ37550" s="256"/>
      <c r="DG37550" s="256"/>
    </row>
    <row r="37551" spans="104:111">
      <c r="CZ37551" s="256"/>
      <c r="DG37551" s="256"/>
    </row>
    <row r="37552" spans="104:111">
      <c r="CZ37552" s="256"/>
      <c r="DG37552" s="256"/>
    </row>
    <row r="37553" spans="104:111">
      <c r="CZ37553" s="256"/>
      <c r="DG37553" s="256"/>
    </row>
    <row r="37554" spans="104:111">
      <c r="CZ37554" s="256"/>
      <c r="DG37554" s="256"/>
    </row>
    <row r="37555" spans="104:111">
      <c r="CZ37555" s="256"/>
      <c r="DG37555" s="256"/>
    </row>
    <row r="37556" spans="104:111">
      <c r="CZ37556" s="256"/>
      <c r="DG37556" s="256"/>
    </row>
    <row r="37557" spans="104:111">
      <c r="CZ37557" s="256"/>
      <c r="DG37557" s="256"/>
    </row>
    <row r="37558" spans="104:111">
      <c r="CZ37558" s="256"/>
      <c r="DG37558" s="256"/>
    </row>
    <row r="37559" spans="104:111">
      <c r="CZ37559" s="256"/>
      <c r="DG37559" s="256"/>
    </row>
    <row r="37560" spans="104:111">
      <c r="CZ37560" s="256"/>
      <c r="DG37560" s="256"/>
    </row>
    <row r="37561" spans="104:111">
      <c r="CZ37561" s="256"/>
      <c r="DG37561" s="256"/>
    </row>
    <row r="37562" spans="104:111">
      <c r="CZ37562" s="256"/>
      <c r="DG37562" s="256"/>
    </row>
    <row r="37563" spans="104:111">
      <c r="CZ37563" s="256"/>
      <c r="DG37563" s="256"/>
    </row>
    <row r="37564" spans="104:111">
      <c r="CZ37564" s="256"/>
      <c r="DG37564" s="256"/>
    </row>
    <row r="37565" spans="104:111">
      <c r="CZ37565" s="256"/>
      <c r="DG37565" s="256"/>
    </row>
    <row r="37566" spans="104:111">
      <c r="CZ37566" s="256"/>
      <c r="DG37566" s="256"/>
    </row>
    <row r="37567" spans="104:111">
      <c r="CZ37567" s="256"/>
      <c r="DG37567" s="256"/>
    </row>
    <row r="37568" spans="104:111">
      <c r="CZ37568" s="256"/>
      <c r="DG37568" s="256"/>
    </row>
    <row r="37569" spans="104:111">
      <c r="CZ37569" s="256"/>
      <c r="DG37569" s="256"/>
    </row>
    <row r="37570" spans="104:111">
      <c r="CZ37570" s="256"/>
      <c r="DG37570" s="256"/>
    </row>
    <row r="37571" spans="104:111">
      <c r="CZ37571" s="256"/>
      <c r="DG37571" s="256"/>
    </row>
    <row r="37572" spans="104:111">
      <c r="CZ37572" s="256"/>
      <c r="DG37572" s="256"/>
    </row>
    <row r="37573" spans="104:111">
      <c r="CZ37573" s="256"/>
      <c r="DG37573" s="256"/>
    </row>
    <row r="37574" spans="104:111">
      <c r="CZ37574" s="256"/>
      <c r="DG37574" s="256"/>
    </row>
    <row r="37575" spans="104:111">
      <c r="CZ37575" s="256"/>
      <c r="DG37575" s="256"/>
    </row>
    <row r="37576" spans="104:111">
      <c r="CZ37576" s="256"/>
      <c r="DG37576" s="256"/>
    </row>
    <row r="37577" spans="104:111">
      <c r="CZ37577" s="256"/>
      <c r="DG37577" s="256"/>
    </row>
    <row r="37578" spans="104:111">
      <c r="CZ37578" s="256"/>
      <c r="DG37578" s="256"/>
    </row>
    <row r="37579" spans="104:111">
      <c r="CZ37579" s="256"/>
      <c r="DG37579" s="256"/>
    </row>
    <row r="37580" spans="104:111">
      <c r="CZ37580" s="256"/>
      <c r="DG37580" s="256"/>
    </row>
    <row r="37581" spans="104:111">
      <c r="CZ37581" s="256"/>
      <c r="DG37581" s="256"/>
    </row>
    <row r="37582" spans="104:111">
      <c r="CZ37582" s="256"/>
      <c r="DG37582" s="256"/>
    </row>
    <row r="37583" spans="104:111">
      <c r="CZ37583" s="256"/>
      <c r="DG37583" s="256"/>
    </row>
    <row r="37584" spans="104:111">
      <c r="CZ37584" s="256"/>
      <c r="DG37584" s="256"/>
    </row>
    <row r="37585" spans="104:111">
      <c r="CZ37585" s="256"/>
      <c r="DG37585" s="256"/>
    </row>
    <row r="37586" spans="104:111">
      <c r="CZ37586" s="256"/>
      <c r="DG37586" s="256"/>
    </row>
    <row r="37587" spans="104:111">
      <c r="CZ37587" s="256"/>
      <c r="DG37587" s="256"/>
    </row>
    <row r="37588" spans="104:111">
      <c r="CZ37588" s="256"/>
      <c r="DG37588" s="256"/>
    </row>
    <row r="37589" spans="104:111">
      <c r="CZ37589" s="256"/>
      <c r="DG37589" s="256"/>
    </row>
    <row r="37590" spans="104:111">
      <c r="CZ37590" s="256"/>
      <c r="DG37590" s="256"/>
    </row>
    <row r="37591" spans="104:111">
      <c r="CZ37591" s="256"/>
      <c r="DG37591" s="256"/>
    </row>
    <row r="37592" spans="104:111">
      <c r="CZ37592" s="256"/>
      <c r="DG37592" s="256"/>
    </row>
    <row r="37593" spans="104:111">
      <c r="CZ37593" s="256"/>
      <c r="DG37593" s="256"/>
    </row>
    <row r="37594" spans="104:111">
      <c r="CZ37594" s="256"/>
      <c r="DG37594" s="256"/>
    </row>
    <row r="37595" spans="104:111">
      <c r="CZ37595" s="256"/>
      <c r="DG37595" s="256"/>
    </row>
    <row r="37596" spans="104:111">
      <c r="CZ37596" s="256"/>
      <c r="DG37596" s="256"/>
    </row>
    <row r="37597" spans="104:111">
      <c r="CZ37597" s="256"/>
      <c r="DG37597" s="256"/>
    </row>
    <row r="37598" spans="104:111">
      <c r="CZ37598" s="256"/>
      <c r="DG37598" s="256"/>
    </row>
    <row r="37599" spans="104:111">
      <c r="CZ37599" s="256"/>
      <c r="DG37599" s="256"/>
    </row>
    <row r="37600" spans="104:111">
      <c r="CZ37600" s="256"/>
      <c r="DG37600" s="256"/>
    </row>
    <row r="37601" spans="104:111">
      <c r="CZ37601" s="256"/>
      <c r="DG37601" s="256"/>
    </row>
    <row r="37602" spans="104:111">
      <c r="CZ37602" s="256"/>
      <c r="DG37602" s="256"/>
    </row>
    <row r="37603" spans="104:111">
      <c r="CZ37603" s="256"/>
      <c r="DG37603" s="256"/>
    </row>
    <row r="37604" spans="104:111">
      <c r="CZ37604" s="256"/>
      <c r="DG37604" s="256"/>
    </row>
    <row r="37605" spans="104:111">
      <c r="CZ37605" s="256"/>
      <c r="DG37605" s="256"/>
    </row>
    <row r="37606" spans="104:111">
      <c r="CZ37606" s="256"/>
      <c r="DG37606" s="256"/>
    </row>
    <row r="37607" spans="104:111">
      <c r="CZ37607" s="256"/>
      <c r="DG37607" s="256"/>
    </row>
    <row r="37608" spans="104:111">
      <c r="CZ37608" s="256"/>
      <c r="DG37608" s="256"/>
    </row>
    <row r="37609" spans="104:111">
      <c r="CZ37609" s="256"/>
      <c r="DG37609" s="256"/>
    </row>
    <row r="37610" spans="104:111">
      <c r="CZ37610" s="256"/>
      <c r="DG37610" s="256"/>
    </row>
    <row r="37611" spans="104:111">
      <c r="CZ37611" s="256"/>
      <c r="DG37611" s="256"/>
    </row>
    <row r="37612" spans="104:111">
      <c r="CZ37612" s="256"/>
      <c r="DG37612" s="256"/>
    </row>
    <row r="37613" spans="104:111">
      <c r="CZ37613" s="256"/>
      <c r="DG37613" s="256"/>
    </row>
    <row r="37614" spans="104:111">
      <c r="CZ37614" s="256"/>
      <c r="DG37614" s="256"/>
    </row>
    <row r="37615" spans="104:111">
      <c r="CZ37615" s="256"/>
      <c r="DG37615" s="256"/>
    </row>
    <row r="37616" spans="104:111">
      <c r="CZ37616" s="256"/>
      <c r="DG37616" s="256"/>
    </row>
    <row r="37617" spans="104:111">
      <c r="CZ37617" s="256"/>
      <c r="DG37617" s="256"/>
    </row>
    <row r="37618" spans="104:111">
      <c r="CZ37618" s="256"/>
      <c r="DG37618" s="256"/>
    </row>
    <row r="37619" spans="104:111">
      <c r="CZ37619" s="256"/>
      <c r="DG37619" s="256"/>
    </row>
    <row r="37620" spans="104:111">
      <c r="CZ37620" s="256"/>
      <c r="DG37620" s="256"/>
    </row>
    <row r="37621" spans="104:111">
      <c r="CZ37621" s="256"/>
      <c r="DG37621" s="256"/>
    </row>
    <row r="37622" spans="104:111">
      <c r="CZ37622" s="256"/>
      <c r="DG37622" s="256"/>
    </row>
    <row r="37623" spans="104:111">
      <c r="CZ37623" s="256"/>
      <c r="DG37623" s="256"/>
    </row>
    <row r="37624" spans="104:111">
      <c r="CZ37624" s="256"/>
      <c r="DG37624" s="256"/>
    </row>
    <row r="37625" spans="104:111">
      <c r="CZ37625" s="256"/>
      <c r="DG37625" s="256"/>
    </row>
    <row r="37626" spans="104:111">
      <c r="CZ37626" s="256"/>
      <c r="DG37626" s="256"/>
    </row>
    <row r="37627" spans="104:111">
      <c r="CZ37627" s="256"/>
      <c r="DG37627" s="256"/>
    </row>
    <row r="37628" spans="104:111">
      <c r="CZ37628" s="256"/>
      <c r="DG37628" s="256"/>
    </row>
    <row r="37629" spans="104:111">
      <c r="CZ37629" s="256"/>
      <c r="DG37629" s="256"/>
    </row>
    <row r="37630" spans="104:111">
      <c r="CZ37630" s="256"/>
      <c r="DG37630" s="256"/>
    </row>
    <row r="37631" spans="104:111">
      <c r="CZ37631" s="256"/>
      <c r="DG37631" s="256"/>
    </row>
    <row r="37632" spans="104:111">
      <c r="CZ37632" s="256"/>
      <c r="DG37632" s="256"/>
    </row>
    <row r="37633" spans="104:111">
      <c r="CZ37633" s="256"/>
      <c r="DG37633" s="256"/>
    </row>
    <row r="37634" spans="104:111">
      <c r="CZ37634" s="256"/>
      <c r="DG37634" s="256"/>
    </row>
    <row r="37635" spans="104:111">
      <c r="CZ37635" s="256"/>
      <c r="DG37635" s="256"/>
    </row>
    <row r="37636" spans="104:111">
      <c r="CZ37636" s="256"/>
      <c r="DG37636" s="256"/>
    </row>
    <row r="37637" spans="104:111">
      <c r="CZ37637" s="256"/>
      <c r="DG37637" s="256"/>
    </row>
    <row r="37638" spans="104:111">
      <c r="CZ37638" s="256"/>
      <c r="DG37638" s="256"/>
    </row>
    <row r="37639" spans="104:111">
      <c r="CZ37639" s="256"/>
      <c r="DG37639" s="256"/>
    </row>
    <row r="37640" spans="104:111">
      <c r="CZ37640" s="256"/>
      <c r="DG37640" s="256"/>
    </row>
    <row r="37641" spans="104:111">
      <c r="CZ37641" s="256"/>
      <c r="DG37641" s="256"/>
    </row>
    <row r="37642" spans="104:111">
      <c r="CZ37642" s="256"/>
      <c r="DG37642" s="256"/>
    </row>
    <row r="37643" spans="104:111">
      <c r="CZ37643" s="256"/>
      <c r="DG37643" s="256"/>
    </row>
    <row r="37644" spans="104:111">
      <c r="CZ37644" s="256"/>
      <c r="DG37644" s="256"/>
    </row>
    <row r="37645" spans="104:111">
      <c r="CZ37645" s="256"/>
      <c r="DG37645" s="256"/>
    </row>
    <row r="37646" spans="104:111">
      <c r="CZ37646" s="256"/>
      <c r="DG37646" s="256"/>
    </row>
    <row r="37647" spans="104:111">
      <c r="CZ37647" s="256"/>
      <c r="DG37647" s="256"/>
    </row>
    <row r="37648" spans="104:111">
      <c r="CZ37648" s="256"/>
      <c r="DG37648" s="256"/>
    </row>
    <row r="37649" spans="104:111">
      <c r="CZ37649" s="256"/>
      <c r="DG37649" s="256"/>
    </row>
    <row r="37650" spans="104:111">
      <c r="CZ37650" s="256"/>
      <c r="DG37650" s="256"/>
    </row>
    <row r="37651" spans="104:111">
      <c r="CZ37651" s="256"/>
      <c r="DG37651" s="256"/>
    </row>
    <row r="37652" spans="104:111">
      <c r="CZ37652" s="256"/>
      <c r="DG37652" s="256"/>
    </row>
    <row r="37653" spans="104:111">
      <c r="CZ37653" s="256"/>
      <c r="DG37653" s="256"/>
    </row>
    <row r="37654" spans="104:111">
      <c r="CZ37654" s="256"/>
      <c r="DG37654" s="256"/>
    </row>
    <row r="37655" spans="104:111">
      <c r="CZ37655" s="256"/>
      <c r="DG37655" s="256"/>
    </row>
    <row r="37656" spans="104:111">
      <c r="CZ37656" s="256"/>
      <c r="DG37656" s="256"/>
    </row>
    <row r="37657" spans="104:111">
      <c r="CZ37657" s="256"/>
      <c r="DG37657" s="256"/>
    </row>
    <row r="37658" spans="104:111">
      <c r="CZ37658" s="256"/>
      <c r="DG37658" s="256"/>
    </row>
    <row r="37659" spans="104:111">
      <c r="CZ37659" s="256"/>
      <c r="DG37659" s="256"/>
    </row>
    <row r="37660" spans="104:111">
      <c r="CZ37660" s="256"/>
      <c r="DG37660" s="256"/>
    </row>
    <row r="37661" spans="104:111">
      <c r="CZ37661" s="256"/>
      <c r="DG37661" s="256"/>
    </row>
    <row r="37662" spans="104:111">
      <c r="CZ37662" s="256"/>
      <c r="DG37662" s="256"/>
    </row>
    <row r="37663" spans="104:111">
      <c r="CZ37663" s="256"/>
      <c r="DG37663" s="256"/>
    </row>
    <row r="37664" spans="104:111">
      <c r="CZ37664" s="256"/>
      <c r="DG37664" s="256"/>
    </row>
    <row r="37665" spans="104:111">
      <c r="CZ37665" s="256"/>
      <c r="DG37665" s="256"/>
    </row>
    <row r="37666" spans="104:111">
      <c r="CZ37666" s="256"/>
      <c r="DG37666" s="256"/>
    </row>
    <row r="37667" spans="104:111">
      <c r="CZ37667" s="256"/>
      <c r="DG37667" s="256"/>
    </row>
    <row r="37668" spans="104:111">
      <c r="CZ37668" s="256"/>
      <c r="DG37668" s="256"/>
    </row>
    <row r="37669" spans="104:111">
      <c r="CZ37669" s="256"/>
      <c r="DG37669" s="256"/>
    </row>
    <row r="37670" spans="104:111">
      <c r="CZ37670" s="256"/>
      <c r="DG37670" s="256"/>
    </row>
    <row r="37671" spans="104:111">
      <c r="CZ37671" s="256"/>
      <c r="DG37671" s="256"/>
    </row>
    <row r="37672" spans="104:111">
      <c r="CZ37672" s="256"/>
      <c r="DG37672" s="256"/>
    </row>
    <row r="37673" spans="104:111">
      <c r="CZ37673" s="256"/>
      <c r="DG37673" s="256"/>
    </row>
    <row r="37674" spans="104:111">
      <c r="CZ37674" s="256"/>
      <c r="DG37674" s="256"/>
    </row>
    <row r="37675" spans="104:111">
      <c r="CZ37675" s="256"/>
      <c r="DG37675" s="256"/>
    </row>
    <row r="37676" spans="104:111">
      <c r="CZ37676" s="256"/>
      <c r="DG37676" s="256"/>
    </row>
    <row r="37677" spans="104:111">
      <c r="CZ37677" s="256"/>
      <c r="DG37677" s="256"/>
    </row>
    <row r="37678" spans="104:111">
      <c r="CZ37678" s="256"/>
      <c r="DG37678" s="256"/>
    </row>
    <row r="37679" spans="104:111">
      <c r="CZ37679" s="256"/>
      <c r="DG37679" s="256"/>
    </row>
    <row r="37680" spans="104:111">
      <c r="CZ37680" s="256"/>
      <c r="DG37680" s="256"/>
    </row>
    <row r="37681" spans="104:111">
      <c r="CZ37681" s="256"/>
      <c r="DG37681" s="256"/>
    </row>
    <row r="37682" spans="104:111">
      <c r="CZ37682" s="256"/>
      <c r="DG37682" s="256"/>
    </row>
    <row r="37683" spans="104:111">
      <c r="CZ37683" s="256"/>
      <c r="DG37683" s="256"/>
    </row>
    <row r="37684" spans="104:111">
      <c r="CZ37684" s="256"/>
      <c r="DG37684" s="256"/>
    </row>
    <row r="37685" spans="104:111">
      <c r="CZ37685" s="256"/>
      <c r="DG37685" s="256"/>
    </row>
    <row r="37686" spans="104:111">
      <c r="CZ37686" s="256"/>
      <c r="DG37686" s="256"/>
    </row>
    <row r="37687" spans="104:111">
      <c r="CZ37687" s="256"/>
      <c r="DG37687" s="256"/>
    </row>
    <row r="37688" spans="104:111">
      <c r="CZ37688" s="256"/>
      <c r="DG37688" s="256"/>
    </row>
    <row r="37689" spans="104:111">
      <c r="CZ37689" s="256"/>
      <c r="DG37689" s="256"/>
    </row>
    <row r="37690" spans="104:111">
      <c r="CZ37690" s="256"/>
      <c r="DG37690" s="256"/>
    </row>
    <row r="37691" spans="104:111">
      <c r="CZ37691" s="256"/>
      <c r="DG37691" s="256"/>
    </row>
    <row r="37692" spans="104:111">
      <c r="CZ37692" s="256"/>
      <c r="DG37692" s="256"/>
    </row>
    <row r="37693" spans="104:111">
      <c r="CZ37693" s="256"/>
      <c r="DG37693" s="256"/>
    </row>
    <row r="37694" spans="104:111">
      <c r="CZ37694" s="256"/>
      <c r="DG37694" s="256"/>
    </row>
    <row r="37695" spans="104:111">
      <c r="CZ37695" s="256"/>
      <c r="DG37695" s="256"/>
    </row>
    <row r="37696" spans="104:111">
      <c r="CZ37696" s="256"/>
      <c r="DG37696" s="256"/>
    </row>
    <row r="37697" spans="104:111">
      <c r="CZ37697" s="256"/>
      <c r="DG37697" s="256"/>
    </row>
    <row r="37698" spans="104:111">
      <c r="CZ37698" s="256"/>
      <c r="DG37698" s="256"/>
    </row>
    <row r="37699" spans="104:111">
      <c r="CZ37699" s="256"/>
      <c r="DG37699" s="256"/>
    </row>
    <row r="37700" spans="104:111">
      <c r="CZ37700" s="256"/>
      <c r="DG37700" s="256"/>
    </row>
    <row r="37701" spans="104:111">
      <c r="CZ37701" s="256"/>
      <c r="DG37701" s="256"/>
    </row>
    <row r="37702" spans="104:111">
      <c r="CZ37702" s="256"/>
      <c r="DG37702" s="256"/>
    </row>
    <row r="37703" spans="104:111">
      <c r="CZ37703" s="256"/>
      <c r="DG37703" s="256"/>
    </row>
    <row r="37704" spans="104:111">
      <c r="CZ37704" s="256"/>
      <c r="DG37704" s="256"/>
    </row>
    <row r="37705" spans="104:111">
      <c r="CZ37705" s="256"/>
      <c r="DG37705" s="256"/>
    </row>
    <row r="37706" spans="104:111">
      <c r="CZ37706" s="256"/>
      <c r="DG37706" s="256"/>
    </row>
    <row r="37707" spans="104:111">
      <c r="CZ37707" s="256"/>
      <c r="DG37707" s="256"/>
    </row>
    <row r="37708" spans="104:111">
      <c r="CZ37708" s="256"/>
      <c r="DG37708" s="256"/>
    </row>
    <row r="37709" spans="104:111">
      <c r="CZ37709" s="256"/>
      <c r="DG37709" s="256"/>
    </row>
    <row r="37710" spans="104:111">
      <c r="CZ37710" s="256"/>
      <c r="DG37710" s="256"/>
    </row>
    <row r="37711" spans="104:111">
      <c r="CZ37711" s="256"/>
      <c r="DG37711" s="256"/>
    </row>
    <row r="37712" spans="104:111">
      <c r="CZ37712" s="256"/>
      <c r="DG37712" s="256"/>
    </row>
    <row r="37713" spans="104:111">
      <c r="CZ37713" s="256"/>
      <c r="DG37713" s="256"/>
    </row>
    <row r="37714" spans="104:111">
      <c r="CZ37714" s="256"/>
      <c r="DG37714" s="256"/>
    </row>
    <row r="37715" spans="104:111">
      <c r="CZ37715" s="256"/>
      <c r="DG37715" s="256"/>
    </row>
    <row r="37716" spans="104:111">
      <c r="CZ37716" s="256"/>
      <c r="DG37716" s="256"/>
    </row>
    <row r="37717" spans="104:111">
      <c r="CZ37717" s="256"/>
      <c r="DG37717" s="256"/>
    </row>
    <row r="37718" spans="104:111">
      <c r="CZ37718" s="256"/>
      <c r="DG37718" s="256"/>
    </row>
    <row r="37719" spans="104:111">
      <c r="CZ37719" s="256"/>
      <c r="DG37719" s="256"/>
    </row>
    <row r="37720" spans="104:111">
      <c r="CZ37720" s="256"/>
      <c r="DG37720" s="256"/>
    </row>
    <row r="37721" spans="104:111">
      <c r="CZ37721" s="256"/>
      <c r="DG37721" s="256"/>
    </row>
    <row r="37722" spans="104:111">
      <c r="CZ37722" s="256"/>
      <c r="DG37722" s="256"/>
    </row>
    <row r="37723" spans="104:111">
      <c r="CZ37723" s="256"/>
      <c r="DG37723" s="256"/>
    </row>
    <row r="37724" spans="104:111">
      <c r="CZ37724" s="256"/>
      <c r="DG37724" s="256"/>
    </row>
    <row r="37725" spans="104:111">
      <c r="CZ37725" s="256"/>
      <c r="DG37725" s="256"/>
    </row>
    <row r="37726" spans="104:111">
      <c r="CZ37726" s="256"/>
      <c r="DG37726" s="256"/>
    </row>
    <row r="37727" spans="104:111">
      <c r="CZ37727" s="256"/>
      <c r="DG37727" s="256"/>
    </row>
    <row r="37728" spans="104:111">
      <c r="CZ37728" s="256"/>
      <c r="DG37728" s="256"/>
    </row>
    <row r="37729" spans="104:111">
      <c r="CZ37729" s="256"/>
      <c r="DG37729" s="256"/>
    </row>
    <row r="37730" spans="104:111">
      <c r="CZ37730" s="256"/>
      <c r="DG37730" s="256"/>
    </row>
    <row r="37731" spans="104:111">
      <c r="CZ37731" s="256"/>
      <c r="DG37731" s="256"/>
    </row>
    <row r="37732" spans="104:111">
      <c r="CZ37732" s="256"/>
      <c r="DG37732" s="256"/>
    </row>
    <row r="37733" spans="104:111">
      <c r="CZ37733" s="256"/>
      <c r="DG37733" s="256"/>
    </row>
    <row r="37734" spans="104:111">
      <c r="CZ37734" s="256"/>
      <c r="DG37734" s="256"/>
    </row>
    <row r="37735" spans="104:111">
      <c r="CZ37735" s="256"/>
      <c r="DG37735" s="256"/>
    </row>
    <row r="37736" spans="104:111">
      <c r="CZ37736" s="256"/>
      <c r="DG37736" s="256"/>
    </row>
    <row r="37737" spans="104:111">
      <c r="CZ37737" s="256"/>
      <c r="DG37737" s="256"/>
    </row>
    <row r="37738" spans="104:111">
      <c r="CZ37738" s="256"/>
      <c r="DG37738" s="256"/>
    </row>
    <row r="37739" spans="104:111">
      <c r="CZ37739" s="256"/>
      <c r="DG37739" s="256"/>
    </row>
    <row r="37740" spans="104:111">
      <c r="CZ37740" s="256"/>
      <c r="DG37740" s="256"/>
    </row>
    <row r="37741" spans="104:111">
      <c r="CZ37741" s="256"/>
      <c r="DG37741" s="256"/>
    </row>
    <row r="37742" spans="104:111">
      <c r="CZ37742" s="256"/>
      <c r="DG37742" s="256"/>
    </row>
    <row r="37743" spans="104:111">
      <c r="CZ37743" s="256"/>
      <c r="DG37743" s="256"/>
    </row>
    <row r="37744" spans="104:111">
      <c r="CZ37744" s="256"/>
      <c r="DG37744" s="256"/>
    </row>
    <row r="37745" spans="104:111">
      <c r="CZ37745" s="256"/>
      <c r="DG37745" s="256"/>
    </row>
    <row r="37746" spans="104:111">
      <c r="CZ37746" s="256"/>
      <c r="DG37746" s="256"/>
    </row>
    <row r="37747" spans="104:111">
      <c r="CZ37747" s="256"/>
      <c r="DG37747" s="256"/>
    </row>
    <row r="37748" spans="104:111">
      <c r="CZ37748" s="256"/>
      <c r="DG37748" s="256"/>
    </row>
    <row r="37749" spans="104:111">
      <c r="CZ37749" s="256"/>
      <c r="DG37749" s="256"/>
    </row>
    <row r="37750" spans="104:111">
      <c r="CZ37750" s="256"/>
      <c r="DG37750" s="256"/>
    </row>
    <row r="37751" spans="104:111">
      <c r="CZ37751" s="256"/>
      <c r="DG37751" s="256"/>
    </row>
    <row r="37752" spans="104:111">
      <c r="CZ37752" s="256"/>
      <c r="DG37752" s="256"/>
    </row>
    <row r="37753" spans="104:111">
      <c r="CZ37753" s="256"/>
      <c r="DG37753" s="256"/>
    </row>
    <row r="37754" spans="104:111">
      <c r="CZ37754" s="256"/>
      <c r="DG37754" s="256"/>
    </row>
    <row r="37755" spans="104:111">
      <c r="CZ37755" s="256"/>
      <c r="DG37755" s="256"/>
    </row>
    <row r="37756" spans="104:111">
      <c r="CZ37756" s="256"/>
      <c r="DG37756" s="256"/>
    </row>
    <row r="37757" spans="104:111">
      <c r="CZ37757" s="256"/>
      <c r="DG37757" s="256"/>
    </row>
    <row r="37758" spans="104:111">
      <c r="CZ37758" s="256"/>
      <c r="DG37758" s="256"/>
    </row>
    <row r="37759" spans="104:111">
      <c r="CZ37759" s="256"/>
      <c r="DG37759" s="256"/>
    </row>
    <row r="37760" spans="104:111">
      <c r="CZ37760" s="256"/>
      <c r="DG37760" s="256"/>
    </row>
    <row r="37761" spans="104:111">
      <c r="CZ37761" s="256"/>
      <c r="DG37761" s="256"/>
    </row>
    <row r="37762" spans="104:111">
      <c r="CZ37762" s="256"/>
      <c r="DG37762" s="256"/>
    </row>
    <row r="37763" spans="104:111">
      <c r="CZ37763" s="256"/>
      <c r="DG37763" s="256"/>
    </row>
    <row r="37764" spans="104:111">
      <c r="CZ37764" s="256"/>
      <c r="DG37764" s="256"/>
    </row>
    <row r="37765" spans="104:111">
      <c r="CZ37765" s="256"/>
      <c r="DG37765" s="256"/>
    </row>
    <row r="37766" spans="104:111">
      <c r="CZ37766" s="256"/>
      <c r="DG37766" s="256"/>
    </row>
    <row r="37767" spans="104:111">
      <c r="CZ37767" s="256"/>
      <c r="DG37767" s="256"/>
    </row>
    <row r="37768" spans="104:111">
      <c r="CZ37768" s="256"/>
      <c r="DG37768" s="256"/>
    </row>
    <row r="37769" spans="104:111">
      <c r="CZ37769" s="256"/>
      <c r="DG37769" s="256"/>
    </row>
    <row r="37770" spans="104:111">
      <c r="CZ37770" s="256"/>
      <c r="DG37770" s="256"/>
    </row>
    <row r="37771" spans="104:111">
      <c r="CZ37771" s="256"/>
      <c r="DG37771" s="256"/>
    </row>
    <row r="37772" spans="104:111">
      <c r="CZ37772" s="256"/>
      <c r="DG37772" s="256"/>
    </row>
    <row r="37773" spans="104:111">
      <c r="CZ37773" s="256"/>
      <c r="DG37773" s="256"/>
    </row>
    <row r="37774" spans="104:111">
      <c r="CZ37774" s="256"/>
      <c r="DG37774" s="256"/>
    </row>
    <row r="37775" spans="104:111">
      <c r="CZ37775" s="256"/>
      <c r="DG37775" s="256"/>
    </row>
    <row r="37776" spans="104:111">
      <c r="CZ37776" s="256"/>
      <c r="DG37776" s="256"/>
    </row>
    <row r="37777" spans="104:111">
      <c r="CZ37777" s="256"/>
      <c r="DG37777" s="256"/>
    </row>
    <row r="37778" spans="104:111">
      <c r="CZ37778" s="256"/>
      <c r="DG37778" s="256"/>
    </row>
    <row r="37779" spans="104:111">
      <c r="CZ37779" s="256"/>
      <c r="DG37779" s="256"/>
    </row>
    <row r="37780" spans="104:111">
      <c r="CZ37780" s="256"/>
      <c r="DG37780" s="256"/>
    </row>
    <row r="37781" spans="104:111">
      <c r="CZ37781" s="256"/>
      <c r="DG37781" s="256"/>
    </row>
    <row r="37782" spans="104:111">
      <c r="CZ37782" s="256"/>
      <c r="DG37782" s="256"/>
    </row>
    <row r="37783" spans="104:111">
      <c r="CZ37783" s="256"/>
      <c r="DG37783" s="256"/>
    </row>
    <row r="37784" spans="104:111">
      <c r="CZ37784" s="256"/>
      <c r="DG37784" s="256"/>
    </row>
    <row r="37785" spans="104:111">
      <c r="CZ37785" s="256"/>
      <c r="DG37785" s="256"/>
    </row>
    <row r="37786" spans="104:111">
      <c r="CZ37786" s="256"/>
      <c r="DG37786" s="256"/>
    </row>
    <row r="37787" spans="104:111">
      <c r="CZ37787" s="256"/>
      <c r="DG37787" s="256"/>
    </row>
    <row r="37788" spans="104:111">
      <c r="CZ37788" s="256"/>
      <c r="DG37788" s="256"/>
    </row>
    <row r="37789" spans="104:111">
      <c r="CZ37789" s="256"/>
      <c r="DG37789" s="256"/>
    </row>
    <row r="37790" spans="104:111">
      <c r="CZ37790" s="256"/>
      <c r="DG37790" s="256"/>
    </row>
    <row r="37791" spans="104:111">
      <c r="CZ37791" s="256"/>
      <c r="DG37791" s="256"/>
    </row>
    <row r="37792" spans="104:111">
      <c r="CZ37792" s="256"/>
      <c r="DG37792" s="256"/>
    </row>
    <row r="37793" spans="104:111">
      <c r="CZ37793" s="256"/>
      <c r="DG37793" s="256"/>
    </row>
    <row r="37794" spans="104:111">
      <c r="CZ37794" s="256"/>
      <c r="DG37794" s="256"/>
    </row>
    <row r="37795" spans="104:111">
      <c r="CZ37795" s="256"/>
      <c r="DG37795" s="256"/>
    </row>
    <row r="37796" spans="104:111">
      <c r="CZ37796" s="256"/>
      <c r="DG37796" s="256"/>
    </row>
    <row r="37797" spans="104:111">
      <c r="CZ37797" s="256"/>
      <c r="DG37797" s="256"/>
    </row>
    <row r="37798" spans="104:111">
      <c r="CZ37798" s="256"/>
      <c r="DG37798" s="256"/>
    </row>
    <row r="37799" spans="104:111">
      <c r="CZ37799" s="256"/>
      <c r="DG37799" s="256"/>
    </row>
    <row r="37800" spans="104:111">
      <c r="CZ37800" s="256"/>
      <c r="DG37800" s="256"/>
    </row>
    <row r="37801" spans="104:111">
      <c r="CZ37801" s="256"/>
      <c r="DG37801" s="256"/>
    </row>
    <row r="37802" spans="104:111">
      <c r="CZ37802" s="256"/>
      <c r="DG37802" s="256"/>
    </row>
    <row r="37803" spans="104:111">
      <c r="CZ37803" s="256"/>
      <c r="DG37803" s="256"/>
    </row>
    <row r="37804" spans="104:111">
      <c r="CZ37804" s="256"/>
      <c r="DG37804" s="256"/>
    </row>
    <row r="37805" spans="104:111">
      <c r="CZ37805" s="256"/>
      <c r="DG37805" s="256"/>
    </row>
    <row r="37806" spans="104:111">
      <c r="CZ37806" s="256"/>
      <c r="DG37806" s="256"/>
    </row>
    <row r="37807" spans="104:111">
      <c r="CZ37807" s="256"/>
      <c r="DG37807" s="256"/>
    </row>
    <row r="37808" spans="104:111">
      <c r="CZ37808" s="256"/>
      <c r="DG37808" s="256"/>
    </row>
    <row r="37809" spans="104:111">
      <c r="CZ37809" s="256"/>
      <c r="DG37809" s="256"/>
    </row>
    <row r="37810" spans="104:111">
      <c r="CZ37810" s="256"/>
      <c r="DG37810" s="256"/>
    </row>
    <row r="37811" spans="104:111">
      <c r="CZ37811" s="256"/>
      <c r="DG37811" s="256"/>
    </row>
    <row r="37812" spans="104:111">
      <c r="CZ37812" s="256"/>
      <c r="DG37812" s="256"/>
    </row>
    <row r="37813" spans="104:111">
      <c r="CZ37813" s="256"/>
      <c r="DG37813" s="256"/>
    </row>
    <row r="37814" spans="104:111">
      <c r="CZ37814" s="256"/>
      <c r="DG37814" s="256"/>
    </row>
    <row r="37815" spans="104:111">
      <c r="CZ37815" s="256"/>
      <c r="DG37815" s="256"/>
    </row>
    <row r="37816" spans="104:111">
      <c r="CZ37816" s="256"/>
      <c r="DG37816" s="256"/>
    </row>
    <row r="37817" spans="104:111">
      <c r="CZ37817" s="256"/>
      <c r="DG37817" s="256"/>
    </row>
    <row r="37818" spans="104:111">
      <c r="CZ37818" s="256"/>
      <c r="DG37818" s="256"/>
    </row>
    <row r="37819" spans="104:111">
      <c r="CZ37819" s="256"/>
      <c r="DG37819" s="256"/>
    </row>
    <row r="37820" spans="104:111">
      <c r="CZ37820" s="256"/>
      <c r="DG37820" s="256"/>
    </row>
    <row r="37821" spans="104:111">
      <c r="CZ37821" s="256"/>
      <c r="DG37821" s="256"/>
    </row>
    <row r="37822" spans="104:111">
      <c r="CZ37822" s="256"/>
      <c r="DG37822" s="256"/>
    </row>
    <row r="37823" spans="104:111">
      <c r="CZ37823" s="256"/>
      <c r="DG37823" s="256"/>
    </row>
    <row r="37824" spans="104:111">
      <c r="CZ37824" s="256"/>
      <c r="DG37824" s="256"/>
    </row>
    <row r="37825" spans="104:111">
      <c r="CZ37825" s="256"/>
      <c r="DG37825" s="256"/>
    </row>
    <row r="37826" spans="104:111">
      <c r="CZ37826" s="256"/>
      <c r="DG37826" s="256"/>
    </row>
    <row r="37827" spans="104:111">
      <c r="CZ37827" s="256"/>
      <c r="DG37827" s="256"/>
    </row>
    <row r="37828" spans="104:111">
      <c r="CZ37828" s="256"/>
      <c r="DG37828" s="256"/>
    </row>
    <row r="37829" spans="104:111">
      <c r="CZ37829" s="256"/>
      <c r="DG37829" s="256"/>
    </row>
    <row r="37830" spans="104:111">
      <c r="CZ37830" s="256"/>
      <c r="DG37830" s="256"/>
    </row>
    <row r="37831" spans="104:111">
      <c r="CZ37831" s="256"/>
      <c r="DG37831" s="256"/>
    </row>
    <row r="37832" spans="104:111">
      <c r="CZ37832" s="256"/>
      <c r="DG37832" s="256"/>
    </row>
    <row r="37833" spans="104:111">
      <c r="CZ37833" s="256"/>
      <c r="DG37833" s="256"/>
    </row>
    <row r="37834" spans="104:111">
      <c r="CZ37834" s="256"/>
      <c r="DG37834" s="256"/>
    </row>
    <row r="37835" spans="104:111">
      <c r="CZ37835" s="256"/>
      <c r="DG37835" s="256"/>
    </row>
    <row r="37836" spans="104:111">
      <c r="CZ37836" s="256"/>
      <c r="DG37836" s="256"/>
    </row>
    <row r="37837" spans="104:111">
      <c r="CZ37837" s="256"/>
      <c r="DG37837" s="256"/>
    </row>
    <row r="37838" spans="104:111">
      <c r="CZ37838" s="256"/>
      <c r="DG37838" s="256"/>
    </row>
    <row r="37839" spans="104:111">
      <c r="CZ37839" s="256"/>
      <c r="DG37839" s="256"/>
    </row>
    <row r="37840" spans="104:111">
      <c r="CZ37840" s="256"/>
      <c r="DG37840" s="256"/>
    </row>
    <row r="37841" spans="104:111">
      <c r="CZ37841" s="256"/>
      <c r="DG37841" s="256"/>
    </row>
    <row r="37842" spans="104:111">
      <c r="CZ37842" s="256"/>
      <c r="DG37842" s="256"/>
    </row>
    <row r="37843" spans="104:111">
      <c r="CZ37843" s="256"/>
      <c r="DG37843" s="256"/>
    </row>
    <row r="37844" spans="104:111">
      <c r="CZ37844" s="256"/>
      <c r="DG37844" s="256"/>
    </row>
    <row r="37845" spans="104:111">
      <c r="CZ37845" s="256"/>
      <c r="DG37845" s="256"/>
    </row>
    <row r="37846" spans="104:111">
      <c r="CZ37846" s="256"/>
      <c r="DG37846" s="256"/>
    </row>
    <row r="37847" spans="104:111">
      <c r="CZ37847" s="256"/>
      <c r="DG37847" s="256"/>
    </row>
    <row r="37848" spans="104:111">
      <c r="CZ37848" s="256"/>
      <c r="DG37848" s="256"/>
    </row>
    <row r="37849" spans="104:111">
      <c r="CZ37849" s="256"/>
      <c r="DG37849" s="256"/>
    </row>
    <row r="37850" spans="104:111">
      <c r="CZ37850" s="256"/>
      <c r="DG37850" s="256"/>
    </row>
    <row r="37851" spans="104:111">
      <c r="CZ37851" s="256"/>
      <c r="DG37851" s="256"/>
    </row>
    <row r="37852" spans="104:111">
      <c r="CZ37852" s="256"/>
      <c r="DG37852" s="256"/>
    </row>
    <row r="37853" spans="104:111">
      <c r="CZ37853" s="256"/>
      <c r="DG37853" s="256"/>
    </row>
    <row r="37854" spans="104:111">
      <c r="CZ37854" s="256"/>
      <c r="DG37854" s="256"/>
    </row>
    <row r="37855" spans="104:111">
      <c r="CZ37855" s="256"/>
      <c r="DG37855" s="256"/>
    </row>
    <row r="37856" spans="104:111">
      <c r="CZ37856" s="256"/>
      <c r="DG37856" s="256"/>
    </row>
    <row r="37857" spans="104:111">
      <c r="CZ37857" s="256"/>
      <c r="DG37857" s="256"/>
    </row>
    <row r="37858" spans="104:111">
      <c r="CZ37858" s="256"/>
      <c r="DG37858" s="256"/>
    </row>
    <row r="37859" spans="104:111">
      <c r="CZ37859" s="256"/>
      <c r="DG37859" s="256"/>
    </row>
    <row r="37860" spans="104:111">
      <c r="CZ37860" s="256"/>
      <c r="DG37860" s="256"/>
    </row>
    <row r="37861" spans="104:111">
      <c r="CZ37861" s="256"/>
      <c r="DG37861" s="256"/>
    </row>
    <row r="37862" spans="104:111">
      <c r="CZ37862" s="256"/>
      <c r="DG37862" s="256"/>
    </row>
    <row r="37863" spans="104:111">
      <c r="CZ37863" s="256"/>
      <c r="DG37863" s="256"/>
    </row>
    <row r="37864" spans="104:111">
      <c r="CZ37864" s="256"/>
      <c r="DG37864" s="256"/>
    </row>
    <row r="37865" spans="104:111">
      <c r="CZ37865" s="256"/>
      <c r="DG37865" s="256"/>
    </row>
    <row r="37866" spans="104:111">
      <c r="CZ37866" s="256"/>
      <c r="DG37866" s="256"/>
    </row>
    <row r="37867" spans="104:111">
      <c r="CZ37867" s="256"/>
      <c r="DG37867" s="256"/>
    </row>
    <row r="37868" spans="104:111">
      <c r="CZ37868" s="256"/>
      <c r="DG37868" s="256"/>
    </row>
    <row r="37869" spans="104:111">
      <c r="CZ37869" s="256"/>
      <c r="DG37869" s="256"/>
    </row>
    <row r="37870" spans="104:111">
      <c r="CZ37870" s="256"/>
      <c r="DG37870" s="256"/>
    </row>
    <row r="37871" spans="104:111">
      <c r="CZ37871" s="256"/>
      <c r="DG37871" s="256"/>
    </row>
    <row r="37872" spans="104:111">
      <c r="CZ37872" s="256"/>
      <c r="DG37872" s="256"/>
    </row>
    <row r="37873" spans="104:111">
      <c r="CZ37873" s="256"/>
      <c r="DG37873" s="256"/>
    </row>
    <row r="37874" spans="104:111">
      <c r="CZ37874" s="256"/>
      <c r="DG37874" s="256"/>
    </row>
    <row r="37875" spans="104:111">
      <c r="CZ37875" s="256"/>
      <c r="DG37875" s="256"/>
    </row>
    <row r="37876" spans="104:111">
      <c r="CZ37876" s="256"/>
      <c r="DG37876" s="256"/>
    </row>
    <row r="37877" spans="104:111">
      <c r="CZ37877" s="256"/>
      <c r="DG37877" s="256"/>
    </row>
    <row r="37878" spans="104:111">
      <c r="CZ37878" s="256"/>
      <c r="DG37878" s="256"/>
    </row>
    <row r="37879" spans="104:111">
      <c r="CZ37879" s="256"/>
      <c r="DG37879" s="256"/>
    </row>
    <row r="37880" spans="104:111">
      <c r="CZ37880" s="256"/>
      <c r="DG37880" s="256"/>
    </row>
    <row r="37881" spans="104:111">
      <c r="CZ37881" s="256"/>
      <c r="DG37881" s="256"/>
    </row>
    <row r="37882" spans="104:111">
      <c r="CZ37882" s="256"/>
      <c r="DG37882" s="256"/>
    </row>
    <row r="37883" spans="104:111">
      <c r="CZ37883" s="256"/>
      <c r="DG37883" s="256"/>
    </row>
    <row r="37884" spans="104:111">
      <c r="CZ37884" s="256"/>
      <c r="DG37884" s="256"/>
    </row>
    <row r="37885" spans="104:111">
      <c r="CZ37885" s="256"/>
      <c r="DG37885" s="256"/>
    </row>
    <row r="37886" spans="104:111">
      <c r="CZ37886" s="256"/>
      <c r="DG37886" s="256"/>
    </row>
    <row r="37887" spans="104:111">
      <c r="CZ37887" s="256"/>
      <c r="DG37887" s="256"/>
    </row>
    <row r="37888" spans="104:111">
      <c r="CZ37888" s="256"/>
      <c r="DG37888" s="256"/>
    </row>
    <row r="37889" spans="104:111">
      <c r="CZ37889" s="256"/>
      <c r="DG37889" s="256"/>
    </row>
    <row r="37890" spans="104:111">
      <c r="CZ37890" s="256"/>
      <c r="DG37890" s="256"/>
    </row>
    <row r="37891" spans="104:111">
      <c r="CZ37891" s="256"/>
      <c r="DG37891" s="256"/>
    </row>
    <row r="37892" spans="104:111">
      <c r="CZ37892" s="256"/>
      <c r="DG37892" s="256"/>
    </row>
    <row r="37893" spans="104:111">
      <c r="CZ37893" s="256"/>
      <c r="DG37893" s="256"/>
    </row>
    <row r="37894" spans="104:111">
      <c r="CZ37894" s="256"/>
      <c r="DG37894" s="256"/>
    </row>
    <row r="37895" spans="104:111">
      <c r="CZ37895" s="256"/>
      <c r="DG37895" s="256"/>
    </row>
    <row r="37896" spans="104:111">
      <c r="CZ37896" s="256"/>
      <c r="DG37896" s="256"/>
    </row>
    <row r="37897" spans="104:111">
      <c r="CZ37897" s="256"/>
      <c r="DG37897" s="256"/>
    </row>
    <row r="37898" spans="104:111">
      <c r="CZ37898" s="256"/>
      <c r="DG37898" s="256"/>
    </row>
    <row r="37899" spans="104:111">
      <c r="CZ37899" s="256"/>
      <c r="DG37899" s="256"/>
    </row>
    <row r="37900" spans="104:111">
      <c r="CZ37900" s="256"/>
      <c r="DG37900" s="256"/>
    </row>
    <row r="37901" spans="104:111">
      <c r="CZ37901" s="256"/>
      <c r="DG37901" s="256"/>
    </row>
    <row r="37902" spans="104:111">
      <c r="CZ37902" s="256"/>
      <c r="DG37902" s="256"/>
    </row>
    <row r="37903" spans="104:111">
      <c r="CZ37903" s="256"/>
      <c r="DG37903" s="256"/>
    </row>
    <row r="37904" spans="104:111">
      <c r="CZ37904" s="256"/>
      <c r="DG37904" s="256"/>
    </row>
    <row r="37905" spans="104:111">
      <c r="CZ37905" s="256"/>
      <c r="DG37905" s="256"/>
    </row>
    <row r="37906" spans="104:111">
      <c r="CZ37906" s="256"/>
      <c r="DG37906" s="256"/>
    </row>
    <row r="37907" spans="104:111">
      <c r="CZ37907" s="256"/>
      <c r="DG37907" s="256"/>
    </row>
    <row r="37908" spans="104:111">
      <c r="CZ37908" s="256"/>
      <c r="DG37908" s="256"/>
    </row>
    <row r="37909" spans="104:111">
      <c r="CZ37909" s="256"/>
      <c r="DG37909" s="256"/>
    </row>
    <row r="37910" spans="104:111">
      <c r="CZ37910" s="256"/>
      <c r="DG37910" s="256"/>
    </row>
    <row r="37911" spans="104:111">
      <c r="CZ37911" s="256"/>
      <c r="DG37911" s="256"/>
    </row>
    <row r="37912" spans="104:111">
      <c r="CZ37912" s="256"/>
      <c r="DG37912" s="256"/>
    </row>
    <row r="37913" spans="104:111">
      <c r="CZ37913" s="256"/>
      <c r="DG37913" s="256"/>
    </row>
    <row r="37914" spans="104:111">
      <c r="CZ37914" s="256"/>
      <c r="DG37914" s="256"/>
    </row>
    <row r="37915" spans="104:111">
      <c r="CZ37915" s="256"/>
      <c r="DG37915" s="256"/>
    </row>
    <row r="37916" spans="104:111">
      <c r="CZ37916" s="256"/>
      <c r="DG37916" s="256"/>
    </row>
    <row r="37917" spans="104:111">
      <c r="CZ37917" s="256"/>
      <c r="DG37917" s="256"/>
    </row>
    <row r="37918" spans="104:111">
      <c r="CZ37918" s="256"/>
      <c r="DG37918" s="256"/>
    </row>
    <row r="37919" spans="104:111">
      <c r="CZ37919" s="256"/>
      <c r="DG37919" s="256"/>
    </row>
    <row r="37920" spans="104:111">
      <c r="CZ37920" s="256"/>
      <c r="DG37920" s="256"/>
    </row>
    <row r="37921" spans="104:111">
      <c r="CZ37921" s="256"/>
      <c r="DG37921" s="256"/>
    </row>
    <row r="37922" spans="104:111">
      <c r="CZ37922" s="256"/>
      <c r="DG37922" s="256"/>
    </row>
    <row r="37923" spans="104:111">
      <c r="CZ37923" s="256"/>
      <c r="DG37923" s="256"/>
    </row>
    <row r="37924" spans="104:111">
      <c r="CZ37924" s="256"/>
      <c r="DG37924" s="256"/>
    </row>
    <row r="37925" spans="104:111">
      <c r="CZ37925" s="256"/>
      <c r="DG37925" s="256"/>
    </row>
    <row r="37926" spans="104:111">
      <c r="CZ37926" s="256"/>
      <c r="DG37926" s="256"/>
    </row>
    <row r="37927" spans="104:111">
      <c r="CZ37927" s="256"/>
      <c r="DG37927" s="256"/>
    </row>
    <row r="37928" spans="104:111">
      <c r="CZ37928" s="256"/>
      <c r="DG37928" s="256"/>
    </row>
    <row r="37929" spans="104:111">
      <c r="CZ37929" s="256"/>
      <c r="DG37929" s="256"/>
    </row>
    <row r="37930" spans="104:111">
      <c r="CZ37930" s="256"/>
      <c r="DG37930" s="256"/>
    </row>
    <row r="37931" spans="104:111">
      <c r="CZ37931" s="256"/>
      <c r="DG37931" s="256"/>
    </row>
    <row r="37932" spans="104:111">
      <c r="CZ37932" s="256"/>
      <c r="DG37932" s="256"/>
    </row>
    <row r="37933" spans="104:111">
      <c r="CZ37933" s="256"/>
      <c r="DG37933" s="256"/>
    </row>
    <row r="37934" spans="104:111">
      <c r="CZ37934" s="256"/>
      <c r="DG37934" s="256"/>
    </row>
    <row r="37935" spans="104:111">
      <c r="CZ37935" s="256"/>
      <c r="DG37935" s="256"/>
    </row>
    <row r="37936" spans="104:111">
      <c r="CZ37936" s="256"/>
      <c r="DG37936" s="256"/>
    </row>
    <row r="37937" spans="104:111">
      <c r="CZ37937" s="256"/>
      <c r="DG37937" s="256"/>
    </row>
    <row r="37938" spans="104:111">
      <c r="CZ37938" s="256"/>
      <c r="DG37938" s="256"/>
    </row>
    <row r="37939" spans="104:111">
      <c r="CZ37939" s="256"/>
      <c r="DG37939" s="256"/>
    </row>
    <row r="37940" spans="104:111">
      <c r="CZ37940" s="256"/>
      <c r="DG37940" s="256"/>
    </row>
    <row r="37941" spans="104:111">
      <c r="CZ37941" s="256"/>
      <c r="DG37941" s="256"/>
    </row>
    <row r="37942" spans="104:111">
      <c r="CZ37942" s="256"/>
      <c r="DG37942" s="256"/>
    </row>
    <row r="37943" spans="104:111">
      <c r="CZ37943" s="256"/>
      <c r="DG37943" s="256"/>
    </row>
    <row r="37944" spans="104:111">
      <c r="CZ37944" s="256"/>
      <c r="DG37944" s="256"/>
    </row>
    <row r="37945" spans="104:111">
      <c r="CZ37945" s="256"/>
      <c r="DG37945" s="256"/>
    </row>
    <row r="37946" spans="104:111">
      <c r="CZ37946" s="256"/>
      <c r="DG37946" s="256"/>
    </row>
    <row r="37947" spans="104:111">
      <c r="CZ37947" s="256"/>
      <c r="DG37947" s="256"/>
    </row>
    <row r="37948" spans="104:111">
      <c r="CZ37948" s="256"/>
      <c r="DG37948" s="256"/>
    </row>
    <row r="37949" spans="104:111">
      <c r="CZ37949" s="256"/>
      <c r="DG37949" s="256"/>
    </row>
    <row r="37950" spans="104:111">
      <c r="CZ37950" s="256"/>
      <c r="DG37950" s="256"/>
    </row>
    <row r="37951" spans="104:111">
      <c r="CZ37951" s="256"/>
      <c r="DG37951" s="256"/>
    </row>
    <row r="37952" spans="104:111">
      <c r="CZ37952" s="256"/>
      <c r="DG37952" s="256"/>
    </row>
    <row r="37953" spans="104:111">
      <c r="CZ37953" s="256"/>
      <c r="DG37953" s="256"/>
    </row>
    <row r="37954" spans="104:111">
      <c r="CZ37954" s="256"/>
      <c r="DG37954" s="256"/>
    </row>
    <row r="37955" spans="104:111">
      <c r="CZ37955" s="256"/>
      <c r="DG37955" s="256"/>
    </row>
    <row r="37956" spans="104:111">
      <c r="CZ37956" s="256"/>
      <c r="DG37956" s="256"/>
    </row>
    <row r="37957" spans="104:111">
      <c r="CZ37957" s="256"/>
      <c r="DG37957" s="256"/>
    </row>
    <row r="37958" spans="104:111">
      <c r="CZ37958" s="256"/>
      <c r="DG37958" s="256"/>
    </row>
    <row r="37959" spans="104:111">
      <c r="CZ37959" s="256"/>
      <c r="DG37959" s="256"/>
    </row>
    <row r="37960" spans="104:111">
      <c r="CZ37960" s="256"/>
      <c r="DG37960" s="256"/>
    </row>
    <row r="37961" spans="104:111">
      <c r="CZ37961" s="256"/>
      <c r="DG37961" s="256"/>
    </row>
    <row r="37962" spans="104:111">
      <c r="CZ37962" s="256"/>
      <c r="DG37962" s="256"/>
    </row>
    <row r="37963" spans="104:111">
      <c r="CZ37963" s="256"/>
      <c r="DG37963" s="256"/>
    </row>
    <row r="37964" spans="104:111">
      <c r="CZ37964" s="256"/>
      <c r="DG37964" s="256"/>
    </row>
    <row r="37965" spans="104:111">
      <c r="CZ37965" s="256"/>
      <c r="DG37965" s="256"/>
    </row>
    <row r="37966" spans="104:111">
      <c r="CZ37966" s="256"/>
      <c r="DG37966" s="256"/>
    </row>
    <row r="37967" spans="104:111">
      <c r="CZ37967" s="256"/>
      <c r="DG37967" s="256"/>
    </row>
    <row r="37968" spans="104:111">
      <c r="CZ37968" s="256"/>
      <c r="DG37968" s="256"/>
    </row>
    <row r="37969" spans="104:111">
      <c r="CZ37969" s="256"/>
      <c r="DG37969" s="256"/>
    </row>
    <row r="37970" spans="104:111">
      <c r="CZ37970" s="256"/>
      <c r="DG37970" s="256"/>
    </row>
    <row r="37971" spans="104:111">
      <c r="CZ37971" s="256"/>
      <c r="DG37971" s="256"/>
    </row>
    <row r="37972" spans="104:111">
      <c r="CZ37972" s="256"/>
      <c r="DG37972" s="256"/>
    </row>
    <row r="37973" spans="104:111">
      <c r="CZ37973" s="256"/>
      <c r="DG37973" s="256"/>
    </row>
    <row r="37974" spans="104:111">
      <c r="CZ37974" s="256"/>
      <c r="DG37974" s="256"/>
    </row>
    <row r="37975" spans="104:111">
      <c r="CZ37975" s="256"/>
      <c r="DG37975" s="256"/>
    </row>
    <row r="37976" spans="104:111">
      <c r="CZ37976" s="256"/>
      <c r="DG37976" s="256"/>
    </row>
    <row r="37977" spans="104:111">
      <c r="CZ37977" s="256"/>
      <c r="DG37977" s="256"/>
    </row>
    <row r="37978" spans="104:111">
      <c r="CZ37978" s="256"/>
      <c r="DG37978" s="256"/>
    </row>
    <row r="37979" spans="104:111">
      <c r="CZ37979" s="256"/>
      <c r="DG37979" s="256"/>
    </row>
    <row r="37980" spans="104:111">
      <c r="CZ37980" s="256"/>
      <c r="DG37980" s="256"/>
    </row>
    <row r="37981" spans="104:111">
      <c r="CZ37981" s="256"/>
      <c r="DG37981" s="256"/>
    </row>
    <row r="37982" spans="104:111">
      <c r="CZ37982" s="256"/>
      <c r="DG37982" s="256"/>
    </row>
    <row r="37983" spans="104:111">
      <c r="CZ37983" s="256"/>
      <c r="DG37983" s="256"/>
    </row>
    <row r="37984" spans="104:111">
      <c r="CZ37984" s="256"/>
      <c r="DG37984" s="256"/>
    </row>
    <row r="37985" spans="104:111">
      <c r="CZ37985" s="256"/>
      <c r="DG37985" s="256"/>
    </row>
    <row r="37986" spans="104:111">
      <c r="CZ37986" s="256"/>
      <c r="DG37986" s="256"/>
    </row>
    <row r="37987" spans="104:111">
      <c r="CZ37987" s="256"/>
      <c r="DG37987" s="256"/>
    </row>
    <row r="37988" spans="104:111">
      <c r="CZ37988" s="256"/>
      <c r="DG37988" s="256"/>
    </row>
    <row r="37989" spans="104:111">
      <c r="CZ37989" s="256"/>
      <c r="DG37989" s="256"/>
    </row>
    <row r="37990" spans="104:111">
      <c r="CZ37990" s="256"/>
      <c r="DG37990" s="256"/>
    </row>
    <row r="37991" spans="104:111">
      <c r="CZ37991" s="256"/>
      <c r="DG37991" s="256"/>
    </row>
    <row r="37992" spans="104:111">
      <c r="CZ37992" s="256"/>
      <c r="DG37992" s="256"/>
    </row>
    <row r="37993" spans="104:111">
      <c r="CZ37993" s="256"/>
      <c r="DG37993" s="256"/>
    </row>
    <row r="37994" spans="104:111">
      <c r="CZ37994" s="256"/>
      <c r="DG37994" s="256"/>
    </row>
    <row r="37995" spans="104:111">
      <c r="CZ37995" s="256"/>
      <c r="DG37995" s="256"/>
    </row>
    <row r="37996" spans="104:111">
      <c r="CZ37996" s="256"/>
      <c r="DG37996" s="256"/>
    </row>
    <row r="37997" spans="104:111">
      <c r="CZ37997" s="256"/>
      <c r="DG37997" s="256"/>
    </row>
    <row r="37998" spans="104:111">
      <c r="CZ37998" s="256"/>
      <c r="DG37998" s="256"/>
    </row>
    <row r="37999" spans="104:111">
      <c r="CZ37999" s="256"/>
      <c r="DG37999" s="256"/>
    </row>
    <row r="38000" spans="104:111">
      <c r="CZ38000" s="256"/>
      <c r="DG38000" s="256"/>
    </row>
    <row r="38001" spans="104:111">
      <c r="CZ38001" s="256"/>
      <c r="DG38001" s="256"/>
    </row>
    <row r="38002" spans="104:111">
      <c r="CZ38002" s="256"/>
      <c r="DG38002" s="256"/>
    </row>
    <row r="38003" spans="104:111">
      <c r="CZ38003" s="256"/>
      <c r="DG38003" s="256"/>
    </row>
    <row r="38004" spans="104:111">
      <c r="CZ38004" s="256"/>
      <c r="DG38004" s="256"/>
    </row>
    <row r="38005" spans="104:111">
      <c r="CZ38005" s="256"/>
      <c r="DG38005" s="256"/>
    </row>
    <row r="38006" spans="104:111">
      <c r="CZ38006" s="256"/>
      <c r="DG38006" s="256"/>
    </row>
    <row r="38007" spans="104:111">
      <c r="CZ38007" s="256"/>
      <c r="DG38007" s="256"/>
    </row>
    <row r="38008" spans="104:111">
      <c r="CZ38008" s="256"/>
      <c r="DG38008" s="256"/>
    </row>
    <row r="38009" spans="104:111">
      <c r="CZ38009" s="256"/>
      <c r="DG38009" s="256"/>
    </row>
    <row r="38010" spans="104:111">
      <c r="CZ38010" s="256"/>
      <c r="DG38010" s="256"/>
    </row>
    <row r="38011" spans="104:111">
      <c r="CZ38011" s="256"/>
      <c r="DG38011" s="256"/>
    </row>
    <row r="38012" spans="104:111">
      <c r="CZ38012" s="256"/>
      <c r="DG38012" s="256"/>
    </row>
    <row r="38013" spans="104:111">
      <c r="CZ38013" s="256"/>
      <c r="DG38013" s="256"/>
    </row>
    <row r="38014" spans="104:111">
      <c r="CZ38014" s="256"/>
      <c r="DG38014" s="256"/>
    </row>
    <row r="38015" spans="104:111">
      <c r="CZ38015" s="256"/>
      <c r="DG38015" s="256"/>
    </row>
    <row r="38016" spans="104:111">
      <c r="CZ38016" s="256"/>
      <c r="DG38016" s="256"/>
    </row>
    <row r="38017" spans="104:111">
      <c r="CZ38017" s="256"/>
      <c r="DG38017" s="256"/>
    </row>
    <row r="38018" spans="104:111">
      <c r="CZ38018" s="256"/>
      <c r="DG38018" s="256"/>
    </row>
    <row r="38019" spans="104:111">
      <c r="CZ38019" s="256"/>
      <c r="DG38019" s="256"/>
    </row>
    <row r="38020" spans="104:111">
      <c r="CZ38020" s="256"/>
      <c r="DG38020" s="256"/>
    </row>
    <row r="38021" spans="104:111">
      <c r="CZ38021" s="256"/>
      <c r="DG38021" s="256"/>
    </row>
    <row r="38022" spans="104:111">
      <c r="CZ38022" s="256"/>
      <c r="DG38022" s="256"/>
    </row>
    <row r="38023" spans="104:111">
      <c r="CZ38023" s="256"/>
      <c r="DG38023" s="256"/>
    </row>
    <row r="38024" spans="104:111">
      <c r="CZ38024" s="256"/>
      <c r="DG38024" s="256"/>
    </row>
    <row r="38025" spans="104:111">
      <c r="CZ38025" s="256"/>
      <c r="DG38025" s="256"/>
    </row>
    <row r="38026" spans="104:111">
      <c r="CZ38026" s="256"/>
      <c r="DG38026" s="256"/>
    </row>
    <row r="38027" spans="104:111">
      <c r="CZ38027" s="256"/>
      <c r="DG38027" s="256"/>
    </row>
    <row r="38028" spans="104:111">
      <c r="CZ38028" s="256"/>
      <c r="DG38028" s="256"/>
    </row>
    <row r="38029" spans="104:111">
      <c r="CZ38029" s="256"/>
      <c r="DG38029" s="256"/>
    </row>
    <row r="38030" spans="104:111">
      <c r="CZ38030" s="256"/>
      <c r="DG38030" s="256"/>
    </row>
    <row r="38031" spans="104:111">
      <c r="CZ38031" s="256"/>
      <c r="DG38031" s="256"/>
    </row>
    <row r="38032" spans="104:111">
      <c r="CZ38032" s="256"/>
      <c r="DG38032" s="256"/>
    </row>
    <row r="38033" spans="104:111">
      <c r="CZ38033" s="256"/>
      <c r="DG38033" s="256"/>
    </row>
    <row r="38034" spans="104:111">
      <c r="CZ38034" s="256"/>
      <c r="DG38034" s="256"/>
    </row>
    <row r="38035" spans="104:111">
      <c r="CZ38035" s="256"/>
      <c r="DG38035" s="256"/>
    </row>
    <row r="38036" spans="104:111">
      <c r="CZ38036" s="256"/>
      <c r="DG38036" s="256"/>
    </row>
    <row r="38037" spans="104:111">
      <c r="CZ38037" s="256"/>
      <c r="DG38037" s="256"/>
    </row>
    <row r="38038" spans="104:111">
      <c r="CZ38038" s="256"/>
      <c r="DG38038" s="256"/>
    </row>
    <row r="38039" spans="104:111">
      <c r="CZ38039" s="256"/>
      <c r="DG38039" s="256"/>
    </row>
    <row r="38040" spans="104:111">
      <c r="CZ38040" s="256"/>
      <c r="DG38040" s="256"/>
    </row>
    <row r="38041" spans="104:111">
      <c r="CZ38041" s="256"/>
      <c r="DG38041" s="256"/>
    </row>
    <row r="38042" spans="104:111">
      <c r="CZ38042" s="256"/>
      <c r="DG38042" s="256"/>
    </row>
    <row r="38043" spans="104:111">
      <c r="CZ38043" s="256"/>
      <c r="DG38043" s="256"/>
    </row>
    <row r="38044" spans="104:111">
      <c r="CZ38044" s="256"/>
      <c r="DG38044" s="256"/>
    </row>
    <row r="38045" spans="104:111">
      <c r="CZ38045" s="256"/>
      <c r="DG38045" s="256"/>
    </row>
    <row r="38046" spans="104:111">
      <c r="CZ38046" s="256"/>
      <c r="DG38046" s="256"/>
    </row>
    <row r="38047" spans="104:111">
      <c r="CZ38047" s="256"/>
      <c r="DG38047" s="256"/>
    </row>
    <row r="38048" spans="104:111">
      <c r="CZ38048" s="256"/>
      <c r="DG38048" s="256"/>
    </row>
    <row r="38049" spans="104:111">
      <c r="CZ38049" s="256"/>
      <c r="DG38049" s="256"/>
    </row>
    <row r="38050" spans="104:111">
      <c r="CZ38050" s="256"/>
      <c r="DG38050" s="256"/>
    </row>
    <row r="38051" spans="104:111">
      <c r="CZ38051" s="256"/>
      <c r="DG38051" s="256"/>
    </row>
    <row r="38052" spans="104:111">
      <c r="CZ38052" s="256"/>
      <c r="DG38052" s="256"/>
    </row>
    <row r="38053" spans="104:111">
      <c r="CZ38053" s="256"/>
      <c r="DG38053" s="256"/>
    </row>
    <row r="38054" spans="104:111">
      <c r="CZ38054" s="256"/>
      <c r="DG38054" s="256"/>
    </row>
    <row r="38055" spans="104:111">
      <c r="CZ38055" s="256"/>
      <c r="DG38055" s="256"/>
    </row>
    <row r="38056" spans="104:111">
      <c r="CZ38056" s="256"/>
      <c r="DG38056" s="256"/>
    </row>
    <row r="38057" spans="104:111">
      <c r="CZ38057" s="256"/>
      <c r="DG38057" s="256"/>
    </row>
    <row r="38058" spans="104:111">
      <c r="CZ38058" s="256"/>
      <c r="DG38058" s="256"/>
    </row>
    <row r="38059" spans="104:111">
      <c r="CZ38059" s="256"/>
      <c r="DG38059" s="256"/>
    </row>
    <row r="38060" spans="104:111">
      <c r="CZ38060" s="256"/>
      <c r="DG38060" s="256"/>
    </row>
    <row r="38061" spans="104:111">
      <c r="CZ38061" s="256"/>
      <c r="DG38061" s="256"/>
    </row>
    <row r="38062" spans="104:111">
      <c r="CZ38062" s="256"/>
      <c r="DG38062" s="256"/>
    </row>
    <row r="38063" spans="104:111">
      <c r="CZ38063" s="256"/>
      <c r="DG38063" s="256"/>
    </row>
    <row r="38064" spans="104:111">
      <c r="CZ38064" s="256"/>
      <c r="DG38064" s="256"/>
    </row>
    <row r="38065" spans="104:111">
      <c r="CZ38065" s="256"/>
      <c r="DG38065" s="256"/>
    </row>
    <row r="38066" spans="104:111">
      <c r="CZ38066" s="256"/>
      <c r="DG38066" s="256"/>
    </row>
    <row r="38067" spans="104:111">
      <c r="CZ38067" s="256"/>
      <c r="DG38067" s="256"/>
    </row>
    <row r="38068" spans="104:111">
      <c r="CZ38068" s="256"/>
      <c r="DG38068" s="256"/>
    </row>
    <row r="38069" spans="104:111">
      <c r="CZ38069" s="256"/>
      <c r="DG38069" s="256"/>
    </row>
    <row r="38070" spans="104:111">
      <c r="CZ38070" s="256"/>
      <c r="DG38070" s="256"/>
    </row>
    <row r="38071" spans="104:111">
      <c r="CZ38071" s="256"/>
      <c r="DG38071" s="256"/>
    </row>
    <row r="38072" spans="104:111">
      <c r="CZ38072" s="256"/>
      <c r="DG38072" s="256"/>
    </row>
    <row r="38073" spans="104:111">
      <c r="CZ38073" s="256"/>
      <c r="DG38073" s="256"/>
    </row>
    <row r="38074" spans="104:111">
      <c r="CZ38074" s="256"/>
      <c r="DG38074" s="256"/>
    </row>
    <row r="38075" spans="104:111">
      <c r="CZ38075" s="256"/>
      <c r="DG38075" s="256"/>
    </row>
    <row r="38076" spans="104:111">
      <c r="CZ38076" s="256"/>
      <c r="DG38076" s="256"/>
    </row>
    <row r="38077" spans="104:111">
      <c r="CZ38077" s="256"/>
      <c r="DG38077" s="256"/>
    </row>
    <row r="38078" spans="104:111">
      <c r="CZ38078" s="256"/>
      <c r="DG38078" s="256"/>
    </row>
    <row r="38079" spans="104:111">
      <c r="CZ38079" s="256"/>
      <c r="DG38079" s="256"/>
    </row>
    <row r="38080" spans="104:111">
      <c r="CZ38080" s="256"/>
      <c r="DG38080" s="256"/>
    </row>
    <row r="38081" spans="104:111">
      <c r="CZ38081" s="256"/>
      <c r="DG38081" s="256"/>
    </row>
    <row r="38082" spans="104:111">
      <c r="CZ38082" s="256"/>
      <c r="DG38082" s="256"/>
    </row>
    <row r="38083" spans="104:111">
      <c r="CZ38083" s="256"/>
      <c r="DG38083" s="256"/>
    </row>
    <row r="38084" spans="104:111">
      <c r="CZ38084" s="256"/>
      <c r="DG38084" s="256"/>
    </row>
    <row r="38085" spans="104:111">
      <c r="CZ38085" s="256"/>
      <c r="DG38085" s="256"/>
    </row>
    <row r="38086" spans="104:111">
      <c r="CZ38086" s="256"/>
      <c r="DG38086" s="256"/>
    </row>
    <row r="38087" spans="104:111">
      <c r="CZ38087" s="256"/>
      <c r="DG38087" s="256"/>
    </row>
    <row r="38088" spans="104:111">
      <c r="CZ38088" s="256"/>
      <c r="DG38088" s="256"/>
    </row>
    <row r="38089" spans="104:111">
      <c r="CZ38089" s="256"/>
      <c r="DG38089" s="256"/>
    </row>
    <row r="38090" spans="104:111">
      <c r="CZ38090" s="256"/>
      <c r="DG38090" s="256"/>
    </row>
    <row r="38091" spans="104:111">
      <c r="CZ38091" s="256"/>
      <c r="DG38091" s="256"/>
    </row>
    <row r="38092" spans="104:111">
      <c r="CZ38092" s="256"/>
      <c r="DG38092" s="256"/>
    </row>
    <row r="38093" spans="104:111">
      <c r="CZ38093" s="256"/>
      <c r="DG38093" s="256"/>
    </row>
    <row r="38094" spans="104:111">
      <c r="CZ38094" s="256"/>
      <c r="DG38094" s="256"/>
    </row>
    <row r="38095" spans="104:111">
      <c r="CZ38095" s="256"/>
      <c r="DG38095" s="256"/>
    </row>
    <row r="38096" spans="104:111">
      <c r="CZ38096" s="256"/>
      <c r="DG38096" s="256"/>
    </row>
    <row r="38097" spans="104:111">
      <c r="CZ38097" s="256"/>
      <c r="DG38097" s="256"/>
    </row>
    <row r="38098" spans="104:111">
      <c r="CZ38098" s="256"/>
      <c r="DG38098" s="256"/>
    </row>
    <row r="38099" spans="104:111">
      <c r="CZ38099" s="256"/>
      <c r="DG38099" s="256"/>
    </row>
    <row r="38100" spans="104:111">
      <c r="CZ38100" s="256"/>
      <c r="DG38100" s="256"/>
    </row>
    <row r="38101" spans="104:111">
      <c r="CZ38101" s="256"/>
      <c r="DG38101" s="256"/>
    </row>
    <row r="38102" spans="104:111">
      <c r="CZ38102" s="256"/>
      <c r="DG38102" s="256"/>
    </row>
    <row r="38103" spans="104:111">
      <c r="CZ38103" s="256"/>
      <c r="DG38103" s="256"/>
    </row>
    <row r="38104" spans="104:111">
      <c r="CZ38104" s="256"/>
      <c r="DG38104" s="256"/>
    </row>
    <row r="38105" spans="104:111">
      <c r="CZ38105" s="256"/>
      <c r="DG38105" s="256"/>
    </row>
    <row r="38106" spans="104:111">
      <c r="CZ38106" s="256"/>
      <c r="DG38106" s="256"/>
    </row>
    <row r="38107" spans="104:111">
      <c r="CZ38107" s="256"/>
      <c r="DG38107" s="256"/>
    </row>
    <row r="38108" spans="104:111">
      <c r="CZ38108" s="256"/>
      <c r="DG38108" s="256"/>
    </row>
    <row r="38109" spans="104:111">
      <c r="CZ38109" s="256"/>
      <c r="DG38109" s="256"/>
    </row>
    <row r="38110" spans="104:111">
      <c r="CZ38110" s="256"/>
      <c r="DG38110" s="256"/>
    </row>
    <row r="38111" spans="104:111">
      <c r="CZ38111" s="256"/>
      <c r="DG38111" s="256"/>
    </row>
    <row r="38112" spans="104:111">
      <c r="CZ38112" s="256"/>
      <c r="DG38112" s="256"/>
    </row>
    <row r="38113" spans="104:111">
      <c r="CZ38113" s="256"/>
      <c r="DG38113" s="256"/>
    </row>
    <row r="38114" spans="104:111">
      <c r="CZ38114" s="256"/>
      <c r="DG38114" s="256"/>
    </row>
    <row r="38115" spans="104:111">
      <c r="CZ38115" s="256"/>
      <c r="DG38115" s="256"/>
    </row>
    <row r="38116" spans="104:111">
      <c r="CZ38116" s="256"/>
      <c r="DG38116" s="256"/>
    </row>
    <row r="38117" spans="104:111">
      <c r="CZ38117" s="256"/>
      <c r="DG38117" s="256"/>
    </row>
    <row r="38118" spans="104:111">
      <c r="CZ38118" s="256"/>
      <c r="DG38118" s="256"/>
    </row>
    <row r="38119" spans="104:111">
      <c r="CZ38119" s="256"/>
      <c r="DG38119" s="256"/>
    </row>
    <row r="38120" spans="104:111">
      <c r="CZ38120" s="256"/>
      <c r="DG38120" s="256"/>
    </row>
    <row r="38121" spans="104:111">
      <c r="CZ38121" s="256"/>
      <c r="DG38121" s="256"/>
    </row>
    <row r="38122" spans="104:111">
      <c r="CZ38122" s="256"/>
      <c r="DG38122" s="256"/>
    </row>
    <row r="38123" spans="104:111">
      <c r="CZ38123" s="256"/>
      <c r="DG38123" s="256"/>
    </row>
    <row r="38124" spans="104:111">
      <c r="CZ38124" s="256"/>
      <c r="DG38124" s="256"/>
    </row>
    <row r="38125" spans="104:111">
      <c r="CZ38125" s="256"/>
      <c r="DG38125" s="256"/>
    </row>
    <row r="38126" spans="104:111">
      <c r="CZ38126" s="256"/>
      <c r="DG38126" s="256"/>
    </row>
    <row r="38127" spans="104:111">
      <c r="CZ38127" s="256"/>
      <c r="DG38127" s="256"/>
    </row>
    <row r="38128" spans="104:111">
      <c r="CZ38128" s="256"/>
      <c r="DG38128" s="256"/>
    </row>
    <row r="38129" spans="104:111">
      <c r="CZ38129" s="256"/>
      <c r="DG38129" s="256"/>
    </row>
    <row r="38130" spans="104:111">
      <c r="CZ38130" s="256"/>
      <c r="DG38130" s="256"/>
    </row>
    <row r="38131" spans="104:111">
      <c r="CZ38131" s="256"/>
      <c r="DG38131" s="256"/>
    </row>
    <row r="38132" spans="104:111">
      <c r="CZ38132" s="256"/>
      <c r="DG38132" s="256"/>
    </row>
    <row r="38133" spans="104:111">
      <c r="CZ38133" s="256"/>
      <c r="DG38133" s="256"/>
    </row>
    <row r="38134" spans="104:111">
      <c r="CZ38134" s="256"/>
      <c r="DG38134" s="256"/>
    </row>
    <row r="38135" spans="104:111">
      <c r="CZ38135" s="256"/>
      <c r="DG38135" s="256"/>
    </row>
    <row r="38136" spans="104:111">
      <c r="CZ38136" s="256"/>
      <c r="DG38136" s="256"/>
    </row>
    <row r="38137" spans="104:111">
      <c r="CZ38137" s="256"/>
      <c r="DG38137" s="256"/>
    </row>
    <row r="38138" spans="104:111">
      <c r="CZ38138" s="256"/>
      <c r="DG38138" s="256"/>
    </row>
    <row r="38139" spans="104:111">
      <c r="CZ38139" s="256"/>
      <c r="DG38139" s="256"/>
    </row>
    <row r="38140" spans="104:111">
      <c r="CZ38140" s="256"/>
      <c r="DG38140" s="256"/>
    </row>
    <row r="38141" spans="104:111">
      <c r="CZ38141" s="256"/>
      <c r="DG38141" s="256"/>
    </row>
    <row r="38142" spans="104:111">
      <c r="CZ38142" s="256"/>
      <c r="DG38142" s="256"/>
    </row>
    <row r="38143" spans="104:111">
      <c r="CZ38143" s="256"/>
      <c r="DG38143" s="256"/>
    </row>
    <row r="38144" spans="104:111">
      <c r="CZ38144" s="256"/>
      <c r="DG38144" s="256"/>
    </row>
    <row r="38145" spans="104:111">
      <c r="CZ38145" s="256"/>
      <c r="DG38145" s="256"/>
    </row>
    <row r="38146" spans="104:111">
      <c r="CZ38146" s="256"/>
      <c r="DG38146" s="256"/>
    </row>
    <row r="38147" spans="104:111">
      <c r="CZ38147" s="256"/>
      <c r="DG38147" s="256"/>
    </row>
    <row r="38148" spans="104:111">
      <c r="CZ38148" s="256"/>
      <c r="DG38148" s="256"/>
    </row>
    <row r="38149" spans="104:111">
      <c r="CZ38149" s="256"/>
      <c r="DG38149" s="256"/>
    </row>
    <row r="38150" spans="104:111">
      <c r="CZ38150" s="256"/>
      <c r="DG38150" s="256"/>
    </row>
    <row r="38151" spans="104:111">
      <c r="CZ38151" s="256"/>
      <c r="DG38151" s="256"/>
    </row>
    <row r="38152" spans="104:111">
      <c r="CZ38152" s="256"/>
      <c r="DG38152" s="256"/>
    </row>
    <row r="38153" spans="104:111">
      <c r="CZ38153" s="256"/>
      <c r="DG38153" s="256"/>
    </row>
    <row r="38154" spans="104:111">
      <c r="CZ38154" s="256"/>
      <c r="DG38154" s="256"/>
    </row>
    <row r="38155" spans="104:111">
      <c r="CZ38155" s="256"/>
      <c r="DG38155" s="256"/>
    </row>
    <row r="38156" spans="104:111">
      <c r="CZ38156" s="256"/>
      <c r="DG38156" s="256"/>
    </row>
    <row r="38157" spans="104:111">
      <c r="CZ38157" s="256"/>
      <c r="DG38157" s="256"/>
    </row>
    <row r="38158" spans="104:111">
      <c r="CZ38158" s="256"/>
      <c r="DG38158" s="256"/>
    </row>
    <row r="38159" spans="104:111">
      <c r="CZ38159" s="256"/>
      <c r="DG38159" s="256"/>
    </row>
    <row r="38160" spans="104:111">
      <c r="CZ38160" s="256"/>
      <c r="DG38160" s="256"/>
    </row>
    <row r="38161" spans="104:111">
      <c r="CZ38161" s="256"/>
      <c r="DG38161" s="256"/>
    </row>
    <row r="38162" spans="104:111">
      <c r="CZ38162" s="256"/>
      <c r="DG38162" s="256"/>
    </row>
    <row r="38163" spans="104:111">
      <c r="CZ38163" s="256"/>
      <c r="DG38163" s="256"/>
    </row>
    <row r="38164" spans="104:111">
      <c r="CZ38164" s="256"/>
      <c r="DG38164" s="256"/>
    </row>
    <row r="38165" spans="104:111">
      <c r="CZ38165" s="256"/>
      <c r="DG38165" s="256"/>
    </row>
    <row r="38166" spans="104:111">
      <c r="CZ38166" s="256"/>
      <c r="DG38166" s="256"/>
    </row>
    <row r="38167" spans="104:111">
      <c r="CZ38167" s="256"/>
      <c r="DG38167" s="256"/>
    </row>
    <row r="38168" spans="104:111">
      <c r="CZ38168" s="256"/>
      <c r="DG38168" s="256"/>
    </row>
    <row r="38169" spans="104:111">
      <c r="CZ38169" s="256"/>
      <c r="DG38169" s="256"/>
    </row>
    <row r="38170" spans="104:111">
      <c r="CZ38170" s="256"/>
      <c r="DG38170" s="256"/>
    </row>
    <row r="38171" spans="104:111">
      <c r="CZ38171" s="256"/>
      <c r="DG38171" s="256"/>
    </row>
    <row r="38172" spans="104:111">
      <c r="CZ38172" s="256"/>
      <c r="DG38172" s="256"/>
    </row>
    <row r="38173" spans="104:111">
      <c r="CZ38173" s="256"/>
      <c r="DG38173" s="256"/>
    </row>
    <row r="38174" spans="104:111">
      <c r="CZ38174" s="256"/>
      <c r="DG38174" s="256"/>
    </row>
    <row r="38175" spans="104:111">
      <c r="CZ38175" s="256"/>
      <c r="DG38175" s="256"/>
    </row>
    <row r="38176" spans="104:111">
      <c r="CZ38176" s="256"/>
      <c r="DG38176" s="256"/>
    </row>
    <row r="38177" spans="104:111">
      <c r="CZ38177" s="256"/>
      <c r="DG38177" s="256"/>
    </row>
    <row r="38178" spans="104:111">
      <c r="CZ38178" s="256"/>
      <c r="DG38178" s="256"/>
    </row>
    <row r="38179" spans="104:111">
      <c r="CZ38179" s="256"/>
      <c r="DG38179" s="256"/>
    </row>
    <row r="38180" spans="104:111">
      <c r="CZ38180" s="256"/>
      <c r="DG38180" s="256"/>
    </row>
    <row r="38181" spans="104:111">
      <c r="CZ38181" s="256"/>
      <c r="DG38181" s="256"/>
    </row>
    <row r="38182" spans="104:111">
      <c r="CZ38182" s="256"/>
      <c r="DG38182" s="256"/>
    </row>
    <row r="38183" spans="104:111">
      <c r="CZ38183" s="256"/>
      <c r="DG38183" s="256"/>
    </row>
    <row r="38184" spans="104:111">
      <c r="CZ38184" s="256"/>
      <c r="DG38184" s="256"/>
    </row>
    <row r="38185" spans="104:111">
      <c r="CZ38185" s="256"/>
      <c r="DG38185" s="256"/>
    </row>
    <row r="38186" spans="104:111">
      <c r="CZ38186" s="256"/>
      <c r="DG38186" s="256"/>
    </row>
    <row r="38187" spans="104:111">
      <c r="CZ38187" s="256"/>
      <c r="DG38187" s="256"/>
    </row>
    <row r="38188" spans="104:111">
      <c r="CZ38188" s="256"/>
      <c r="DG38188" s="256"/>
    </row>
    <row r="38189" spans="104:111">
      <c r="CZ38189" s="256"/>
      <c r="DG38189" s="256"/>
    </row>
    <row r="38190" spans="104:111">
      <c r="CZ38190" s="256"/>
      <c r="DG38190" s="256"/>
    </row>
    <row r="38191" spans="104:111">
      <c r="CZ38191" s="256"/>
      <c r="DG38191" s="256"/>
    </row>
    <row r="38192" spans="104:111">
      <c r="CZ38192" s="256"/>
      <c r="DG38192" s="256"/>
    </row>
    <row r="38193" spans="104:111">
      <c r="CZ38193" s="256"/>
      <c r="DG38193" s="256"/>
    </row>
    <row r="38194" spans="104:111">
      <c r="CZ38194" s="256"/>
      <c r="DG38194" s="256"/>
    </row>
    <row r="38195" spans="104:111">
      <c r="CZ38195" s="256"/>
      <c r="DG38195" s="256"/>
    </row>
    <row r="38196" spans="104:111">
      <c r="CZ38196" s="256"/>
      <c r="DG38196" s="256"/>
    </row>
    <row r="38197" spans="104:111">
      <c r="CZ38197" s="256"/>
      <c r="DG38197" s="256"/>
    </row>
    <row r="38198" spans="104:111">
      <c r="CZ38198" s="256"/>
      <c r="DG38198" s="256"/>
    </row>
    <row r="38199" spans="104:111">
      <c r="CZ38199" s="256"/>
      <c r="DG38199" s="256"/>
    </row>
    <row r="38200" spans="104:111">
      <c r="CZ38200" s="256"/>
      <c r="DG38200" s="256"/>
    </row>
    <row r="38201" spans="104:111">
      <c r="CZ38201" s="256"/>
      <c r="DG38201" s="256"/>
    </row>
    <row r="38202" spans="104:111">
      <c r="CZ38202" s="256"/>
      <c r="DG38202" s="256"/>
    </row>
    <row r="38203" spans="104:111">
      <c r="CZ38203" s="256"/>
      <c r="DG38203" s="256"/>
    </row>
    <row r="38204" spans="104:111">
      <c r="CZ38204" s="256"/>
      <c r="DG38204" s="256"/>
    </row>
    <row r="38205" spans="104:111">
      <c r="CZ38205" s="256"/>
      <c r="DG38205" s="256"/>
    </row>
    <row r="38206" spans="104:111">
      <c r="CZ38206" s="256"/>
      <c r="DG38206" s="256"/>
    </row>
    <row r="38207" spans="104:111">
      <c r="CZ38207" s="256"/>
      <c r="DG38207" s="256"/>
    </row>
    <row r="38208" spans="104:111">
      <c r="CZ38208" s="256"/>
      <c r="DG38208" s="256"/>
    </row>
    <row r="38209" spans="104:111">
      <c r="CZ38209" s="256"/>
      <c r="DG38209" s="256"/>
    </row>
    <row r="38210" spans="104:111">
      <c r="CZ38210" s="256"/>
      <c r="DG38210" s="256"/>
    </row>
    <row r="38211" spans="104:111">
      <c r="CZ38211" s="256"/>
      <c r="DG38211" s="256"/>
    </row>
    <row r="38212" spans="104:111">
      <c r="CZ38212" s="256"/>
      <c r="DG38212" s="256"/>
    </row>
    <row r="38213" spans="104:111">
      <c r="CZ38213" s="256"/>
      <c r="DG38213" s="256"/>
    </row>
    <row r="38214" spans="104:111">
      <c r="CZ38214" s="256"/>
      <c r="DG38214" s="256"/>
    </row>
    <row r="38215" spans="104:111">
      <c r="CZ38215" s="256"/>
      <c r="DG38215" s="256"/>
    </row>
    <row r="38216" spans="104:111">
      <c r="CZ38216" s="256"/>
      <c r="DG38216" s="256"/>
    </row>
    <row r="38217" spans="104:111">
      <c r="CZ38217" s="256"/>
      <c r="DG38217" s="256"/>
    </row>
    <row r="38218" spans="104:111">
      <c r="CZ38218" s="256"/>
      <c r="DG38218" s="256"/>
    </row>
    <row r="38219" spans="104:111">
      <c r="CZ38219" s="256"/>
      <c r="DG38219" s="256"/>
    </row>
    <row r="38220" spans="104:111">
      <c r="CZ38220" s="256"/>
      <c r="DG38220" s="256"/>
    </row>
    <row r="38221" spans="104:111">
      <c r="CZ38221" s="256"/>
      <c r="DG38221" s="256"/>
    </row>
    <row r="38222" spans="104:111">
      <c r="CZ38222" s="256"/>
      <c r="DG38222" s="256"/>
    </row>
    <row r="38223" spans="104:111">
      <c r="CZ38223" s="256"/>
      <c r="DG38223" s="256"/>
    </row>
    <row r="38224" spans="104:111">
      <c r="CZ38224" s="256"/>
      <c r="DG38224" s="256"/>
    </row>
    <row r="38225" spans="104:111">
      <c r="CZ38225" s="256"/>
      <c r="DG38225" s="256"/>
    </row>
    <row r="38226" spans="104:111">
      <c r="CZ38226" s="256"/>
      <c r="DG38226" s="256"/>
    </row>
    <row r="38227" spans="104:111">
      <c r="CZ38227" s="256"/>
      <c r="DG38227" s="256"/>
    </row>
    <row r="38228" spans="104:111">
      <c r="CZ38228" s="256"/>
      <c r="DG38228" s="256"/>
    </row>
    <row r="38229" spans="104:111">
      <c r="CZ38229" s="256"/>
      <c r="DG38229" s="256"/>
    </row>
    <row r="38230" spans="104:111">
      <c r="CZ38230" s="256"/>
      <c r="DG38230" s="256"/>
    </row>
    <row r="38231" spans="104:111">
      <c r="CZ38231" s="256"/>
      <c r="DG38231" s="256"/>
    </row>
    <row r="38232" spans="104:111">
      <c r="CZ38232" s="256"/>
      <c r="DG38232" s="256"/>
    </row>
    <row r="38233" spans="104:111">
      <c r="CZ38233" s="256"/>
      <c r="DG38233" s="256"/>
    </row>
    <row r="38234" spans="104:111">
      <c r="CZ38234" s="256"/>
      <c r="DG38234" s="256"/>
    </row>
    <row r="38235" spans="104:111">
      <c r="CZ38235" s="256"/>
      <c r="DG38235" s="256"/>
    </row>
    <row r="38236" spans="104:111">
      <c r="CZ38236" s="256"/>
      <c r="DG38236" s="256"/>
    </row>
    <row r="38237" spans="104:111">
      <c r="CZ38237" s="256"/>
      <c r="DG38237" s="256"/>
    </row>
    <row r="38238" spans="104:111">
      <c r="CZ38238" s="256"/>
      <c r="DG38238" s="256"/>
    </row>
    <row r="38239" spans="104:111">
      <c r="CZ38239" s="256"/>
      <c r="DG38239" s="256"/>
    </row>
    <row r="38240" spans="104:111">
      <c r="CZ38240" s="256"/>
      <c r="DG38240" s="256"/>
    </row>
    <row r="38241" spans="104:111">
      <c r="CZ38241" s="256"/>
      <c r="DG38241" s="256"/>
    </row>
    <row r="38242" spans="104:111">
      <c r="CZ38242" s="256"/>
      <c r="DG38242" s="256"/>
    </row>
    <row r="38243" spans="104:111">
      <c r="CZ38243" s="256"/>
      <c r="DG38243" s="256"/>
    </row>
    <row r="38244" spans="104:111">
      <c r="CZ38244" s="256"/>
      <c r="DG38244" s="256"/>
    </row>
    <row r="38245" spans="104:111">
      <c r="CZ38245" s="256"/>
      <c r="DG38245" s="256"/>
    </row>
    <row r="38246" spans="104:111">
      <c r="CZ38246" s="256"/>
      <c r="DG38246" s="256"/>
    </row>
    <row r="38247" spans="104:111">
      <c r="CZ38247" s="256"/>
      <c r="DG38247" s="256"/>
    </row>
    <row r="38248" spans="104:111">
      <c r="CZ38248" s="256"/>
      <c r="DG38248" s="256"/>
    </row>
    <row r="38249" spans="104:111">
      <c r="CZ38249" s="256"/>
      <c r="DG38249" s="256"/>
    </row>
    <row r="38250" spans="104:111">
      <c r="CZ38250" s="256"/>
      <c r="DG38250" s="256"/>
    </row>
    <row r="38251" spans="104:111">
      <c r="CZ38251" s="256"/>
      <c r="DG38251" s="256"/>
    </row>
    <row r="38252" spans="104:111">
      <c r="CZ38252" s="256"/>
      <c r="DG38252" s="256"/>
    </row>
    <row r="38253" spans="104:111">
      <c r="CZ38253" s="256"/>
      <c r="DG38253" s="256"/>
    </row>
    <row r="38254" spans="104:111">
      <c r="CZ38254" s="256"/>
      <c r="DG38254" s="256"/>
    </row>
    <row r="38255" spans="104:111">
      <c r="CZ38255" s="256"/>
      <c r="DG38255" s="256"/>
    </row>
    <row r="38256" spans="104:111">
      <c r="CZ38256" s="256"/>
      <c r="DG38256" s="256"/>
    </row>
    <row r="38257" spans="104:111">
      <c r="CZ38257" s="256"/>
      <c r="DG38257" s="256"/>
    </row>
    <row r="38258" spans="104:111">
      <c r="CZ38258" s="256"/>
      <c r="DG38258" s="256"/>
    </row>
    <row r="38259" spans="104:111">
      <c r="CZ38259" s="256"/>
      <c r="DG38259" s="256"/>
    </row>
    <row r="38260" spans="104:111">
      <c r="CZ38260" s="256"/>
      <c r="DG38260" s="256"/>
    </row>
    <row r="38261" spans="104:111">
      <c r="CZ38261" s="256"/>
      <c r="DG38261" s="256"/>
    </row>
    <row r="38262" spans="104:111">
      <c r="CZ38262" s="256"/>
      <c r="DG38262" s="256"/>
    </row>
    <row r="38263" spans="104:111">
      <c r="CZ38263" s="256"/>
      <c r="DG38263" s="256"/>
    </row>
    <row r="38264" spans="104:111">
      <c r="CZ38264" s="256"/>
      <c r="DG38264" s="256"/>
    </row>
    <row r="38265" spans="104:111">
      <c r="CZ38265" s="256"/>
      <c r="DG38265" s="256"/>
    </row>
    <row r="38266" spans="104:111">
      <c r="CZ38266" s="256"/>
      <c r="DG38266" s="256"/>
    </row>
    <row r="38267" spans="104:111">
      <c r="CZ38267" s="256"/>
      <c r="DG38267" s="256"/>
    </row>
    <row r="38268" spans="104:111">
      <c r="CZ38268" s="256"/>
      <c r="DG38268" s="256"/>
    </row>
    <row r="38269" spans="104:111">
      <c r="CZ38269" s="256"/>
      <c r="DG38269" s="256"/>
    </row>
    <row r="38270" spans="104:111">
      <c r="CZ38270" s="256"/>
      <c r="DG38270" s="256"/>
    </row>
    <row r="38271" spans="104:111">
      <c r="CZ38271" s="256"/>
      <c r="DG38271" s="256"/>
    </row>
    <row r="38272" spans="104:111">
      <c r="CZ38272" s="256"/>
      <c r="DG38272" s="256"/>
    </row>
    <row r="38273" spans="104:111">
      <c r="CZ38273" s="256"/>
      <c r="DG38273" s="256"/>
    </row>
    <row r="38274" spans="104:111">
      <c r="CZ38274" s="256"/>
      <c r="DG38274" s="256"/>
    </row>
    <row r="38275" spans="104:111">
      <c r="CZ38275" s="256"/>
      <c r="DG38275" s="256"/>
    </row>
    <row r="38276" spans="104:111">
      <c r="CZ38276" s="256"/>
      <c r="DG38276" s="256"/>
    </row>
    <row r="38277" spans="104:111">
      <c r="CZ38277" s="256"/>
      <c r="DG38277" s="256"/>
    </row>
    <row r="38278" spans="104:111">
      <c r="CZ38278" s="256"/>
      <c r="DG38278" s="256"/>
    </row>
    <row r="38279" spans="104:111">
      <c r="CZ38279" s="256"/>
      <c r="DG38279" s="256"/>
    </row>
    <row r="38280" spans="104:111">
      <c r="CZ38280" s="256"/>
      <c r="DG38280" s="256"/>
    </row>
    <row r="38281" spans="104:111">
      <c r="CZ38281" s="256"/>
      <c r="DG38281" s="256"/>
    </row>
    <row r="38282" spans="104:111">
      <c r="CZ38282" s="256"/>
      <c r="DG38282" s="256"/>
    </row>
    <row r="38283" spans="104:111">
      <c r="CZ38283" s="256"/>
      <c r="DG38283" s="256"/>
    </row>
    <row r="38284" spans="104:111">
      <c r="CZ38284" s="256"/>
      <c r="DG38284" s="256"/>
    </row>
    <row r="38285" spans="104:111">
      <c r="CZ38285" s="256"/>
      <c r="DG38285" s="256"/>
    </row>
    <row r="38286" spans="104:111">
      <c r="CZ38286" s="256"/>
      <c r="DG38286" s="256"/>
    </row>
    <row r="38287" spans="104:111">
      <c r="CZ38287" s="256"/>
      <c r="DG38287" s="256"/>
    </row>
    <row r="38288" spans="104:111">
      <c r="CZ38288" s="256"/>
      <c r="DG38288" s="256"/>
    </row>
    <row r="38289" spans="104:111">
      <c r="CZ38289" s="256"/>
      <c r="DG38289" s="256"/>
    </row>
    <row r="38290" spans="104:111">
      <c r="CZ38290" s="256"/>
      <c r="DG38290" s="256"/>
    </row>
    <row r="38291" spans="104:111">
      <c r="CZ38291" s="256"/>
      <c r="DG38291" s="256"/>
    </row>
    <row r="38292" spans="104:111">
      <c r="CZ38292" s="256"/>
      <c r="DG38292" s="256"/>
    </row>
    <row r="38293" spans="104:111">
      <c r="CZ38293" s="256"/>
      <c r="DG38293" s="256"/>
    </row>
    <row r="38294" spans="104:111">
      <c r="CZ38294" s="256"/>
      <c r="DG38294" s="256"/>
    </row>
    <row r="38295" spans="104:111">
      <c r="CZ38295" s="256"/>
      <c r="DG38295" s="256"/>
    </row>
    <row r="38296" spans="104:111">
      <c r="CZ38296" s="256"/>
      <c r="DG38296" s="256"/>
    </row>
    <row r="38297" spans="104:111">
      <c r="CZ38297" s="256"/>
      <c r="DG38297" s="256"/>
    </row>
    <row r="38298" spans="104:111">
      <c r="CZ38298" s="256"/>
      <c r="DG38298" s="256"/>
    </row>
    <row r="38299" spans="104:111">
      <c r="CZ38299" s="256"/>
      <c r="DG38299" s="256"/>
    </row>
    <row r="38300" spans="104:111">
      <c r="CZ38300" s="256"/>
      <c r="DG38300" s="256"/>
    </row>
    <row r="38301" spans="104:111">
      <c r="CZ38301" s="256"/>
      <c r="DG38301" s="256"/>
    </row>
    <row r="38302" spans="104:111">
      <c r="CZ38302" s="256"/>
      <c r="DG38302" s="256"/>
    </row>
    <row r="38303" spans="104:111">
      <c r="CZ38303" s="256"/>
      <c r="DG38303" s="256"/>
    </row>
    <row r="38304" spans="104:111">
      <c r="CZ38304" s="256"/>
      <c r="DG38304" s="256"/>
    </row>
    <row r="38305" spans="104:111">
      <c r="CZ38305" s="256"/>
      <c r="DG38305" s="256"/>
    </row>
    <row r="38306" spans="104:111">
      <c r="CZ38306" s="256"/>
      <c r="DG38306" s="256"/>
    </row>
    <row r="38307" spans="104:111">
      <c r="CZ38307" s="256"/>
      <c r="DG38307" s="256"/>
    </row>
    <row r="38308" spans="104:111">
      <c r="CZ38308" s="256"/>
      <c r="DG38308" s="256"/>
    </row>
    <row r="38309" spans="104:111">
      <c r="CZ38309" s="256"/>
      <c r="DG38309" s="256"/>
    </row>
    <row r="38310" spans="104:111">
      <c r="CZ38310" s="256"/>
      <c r="DG38310" s="256"/>
    </row>
    <row r="38311" spans="104:111">
      <c r="CZ38311" s="256"/>
      <c r="DG38311" s="256"/>
    </row>
    <row r="38312" spans="104:111">
      <c r="CZ38312" s="256"/>
      <c r="DG38312" s="256"/>
    </row>
    <row r="38313" spans="104:111">
      <c r="CZ38313" s="256"/>
      <c r="DG38313" s="256"/>
    </row>
    <row r="38314" spans="104:111">
      <c r="CZ38314" s="256"/>
      <c r="DG38314" s="256"/>
    </row>
    <row r="38315" spans="104:111">
      <c r="CZ38315" s="256"/>
      <c r="DG38315" s="256"/>
    </row>
    <row r="38316" spans="104:111">
      <c r="CZ38316" s="256"/>
      <c r="DG38316" s="256"/>
    </row>
    <row r="38317" spans="104:111">
      <c r="CZ38317" s="256"/>
      <c r="DG38317" s="256"/>
    </row>
    <row r="38318" spans="104:111">
      <c r="CZ38318" s="256"/>
      <c r="DG38318" s="256"/>
    </row>
    <row r="38319" spans="104:111">
      <c r="CZ38319" s="256"/>
      <c r="DG38319" s="256"/>
    </row>
    <row r="38320" spans="104:111">
      <c r="CZ38320" s="256"/>
      <c r="DG38320" s="256"/>
    </row>
    <row r="38321" spans="104:111">
      <c r="CZ38321" s="256"/>
      <c r="DG38321" s="256"/>
    </row>
    <row r="38322" spans="104:111">
      <c r="CZ38322" s="256"/>
      <c r="DG38322" s="256"/>
    </row>
    <row r="38323" spans="104:111">
      <c r="CZ38323" s="256"/>
      <c r="DG38323" s="256"/>
    </row>
    <row r="38324" spans="104:111">
      <c r="CZ38324" s="256"/>
      <c r="DG38324" s="256"/>
    </row>
    <row r="38325" spans="104:111">
      <c r="CZ38325" s="256"/>
      <c r="DG38325" s="256"/>
    </row>
    <row r="38326" spans="104:111">
      <c r="CZ38326" s="256"/>
      <c r="DG38326" s="256"/>
    </row>
    <row r="38327" spans="104:111">
      <c r="CZ38327" s="256"/>
      <c r="DG38327" s="256"/>
    </row>
    <row r="38328" spans="104:111">
      <c r="CZ38328" s="256"/>
      <c r="DG38328" s="256"/>
    </row>
    <row r="38329" spans="104:111">
      <c r="CZ38329" s="256"/>
      <c r="DG38329" s="256"/>
    </row>
    <row r="38330" spans="104:111">
      <c r="CZ38330" s="256"/>
      <c r="DG38330" s="256"/>
    </row>
    <row r="38331" spans="104:111">
      <c r="CZ38331" s="256"/>
      <c r="DG38331" s="256"/>
    </row>
    <row r="38332" spans="104:111">
      <c r="CZ38332" s="256"/>
      <c r="DG38332" s="256"/>
    </row>
    <row r="38333" spans="104:111">
      <c r="CZ38333" s="256"/>
      <c r="DG38333" s="256"/>
    </row>
    <row r="38334" spans="104:111">
      <c r="CZ38334" s="256"/>
      <c r="DG38334" s="256"/>
    </row>
    <row r="38335" spans="104:111">
      <c r="CZ38335" s="256"/>
      <c r="DG38335" s="256"/>
    </row>
    <row r="38336" spans="104:111">
      <c r="CZ38336" s="256"/>
      <c r="DG38336" s="256"/>
    </row>
    <row r="38337" spans="104:111">
      <c r="CZ38337" s="256"/>
      <c r="DG38337" s="256"/>
    </row>
    <row r="38338" spans="104:111">
      <c r="CZ38338" s="256"/>
      <c r="DG38338" s="256"/>
    </row>
    <row r="38339" spans="104:111">
      <c r="CZ38339" s="256"/>
      <c r="DG38339" s="256"/>
    </row>
    <row r="38340" spans="104:111">
      <c r="CZ38340" s="256"/>
      <c r="DG38340" s="256"/>
    </row>
    <row r="38341" spans="104:111">
      <c r="CZ38341" s="256"/>
      <c r="DG38341" s="256"/>
    </row>
    <row r="38342" spans="104:111">
      <c r="CZ38342" s="256"/>
      <c r="DG38342" s="256"/>
    </row>
    <row r="38343" spans="104:111">
      <c r="CZ38343" s="256"/>
      <c r="DG38343" s="256"/>
    </row>
    <row r="38344" spans="104:111">
      <c r="CZ38344" s="256"/>
      <c r="DG38344" s="256"/>
    </row>
    <row r="38345" spans="104:111">
      <c r="CZ38345" s="256"/>
      <c r="DG38345" s="256"/>
    </row>
    <row r="38346" spans="104:111">
      <c r="CZ38346" s="256"/>
      <c r="DG38346" s="256"/>
    </row>
    <row r="38347" spans="104:111">
      <c r="CZ38347" s="256"/>
      <c r="DG38347" s="256"/>
    </row>
    <row r="38348" spans="104:111">
      <c r="CZ38348" s="256"/>
      <c r="DG38348" s="256"/>
    </row>
    <row r="38349" spans="104:111">
      <c r="CZ38349" s="256"/>
      <c r="DG38349" s="256"/>
    </row>
    <row r="38350" spans="104:111">
      <c r="CZ38350" s="256"/>
      <c r="DG38350" s="256"/>
    </row>
    <row r="38351" spans="104:111">
      <c r="CZ38351" s="256"/>
      <c r="DG38351" s="256"/>
    </row>
    <row r="38352" spans="104:111">
      <c r="CZ38352" s="256"/>
      <c r="DG38352" s="256"/>
    </row>
    <row r="38353" spans="104:111">
      <c r="CZ38353" s="256"/>
      <c r="DG38353" s="256"/>
    </row>
    <row r="38354" spans="104:111">
      <c r="CZ38354" s="256"/>
      <c r="DG38354" s="256"/>
    </row>
    <row r="38355" spans="104:111">
      <c r="CZ38355" s="256"/>
      <c r="DG38355" s="256"/>
    </row>
    <row r="38356" spans="104:111">
      <c r="CZ38356" s="256"/>
      <c r="DG38356" s="256"/>
    </row>
    <row r="38357" spans="104:111">
      <c r="CZ38357" s="256"/>
      <c r="DG38357" s="256"/>
    </row>
    <row r="38358" spans="104:111">
      <c r="CZ38358" s="256"/>
      <c r="DG38358" s="256"/>
    </row>
    <row r="38359" spans="104:111">
      <c r="CZ38359" s="256"/>
      <c r="DG38359" s="256"/>
    </row>
    <row r="38360" spans="104:111">
      <c r="CZ38360" s="256"/>
      <c r="DG38360" s="256"/>
    </row>
    <row r="38361" spans="104:111">
      <c r="CZ38361" s="256"/>
      <c r="DG38361" s="256"/>
    </row>
    <row r="38362" spans="104:111">
      <c r="CZ38362" s="256"/>
      <c r="DG38362" s="256"/>
    </row>
    <row r="38363" spans="104:111">
      <c r="CZ38363" s="256"/>
      <c r="DG38363" s="256"/>
    </row>
    <row r="38364" spans="104:111">
      <c r="CZ38364" s="256"/>
      <c r="DG38364" s="256"/>
    </row>
    <row r="38365" spans="104:111">
      <c r="CZ38365" s="256"/>
      <c r="DG38365" s="256"/>
    </row>
    <row r="38366" spans="104:111">
      <c r="CZ38366" s="256"/>
      <c r="DG38366" s="256"/>
    </row>
    <row r="38367" spans="104:111">
      <c r="CZ38367" s="256"/>
      <c r="DG38367" s="256"/>
    </row>
    <row r="38368" spans="104:111">
      <c r="CZ38368" s="256"/>
      <c r="DG38368" s="256"/>
    </row>
    <row r="38369" spans="104:111">
      <c r="CZ38369" s="256"/>
      <c r="DG38369" s="256"/>
    </row>
    <row r="38370" spans="104:111">
      <c r="CZ38370" s="256"/>
      <c r="DG38370" s="256"/>
    </row>
    <row r="38371" spans="104:111">
      <c r="CZ38371" s="256"/>
      <c r="DG38371" s="256"/>
    </row>
    <row r="38372" spans="104:111">
      <c r="CZ38372" s="256"/>
      <c r="DG38372" s="256"/>
    </row>
    <row r="38373" spans="104:111">
      <c r="CZ38373" s="256"/>
      <c r="DG38373" s="256"/>
    </row>
    <row r="38374" spans="104:111">
      <c r="CZ38374" s="256"/>
      <c r="DG38374" s="256"/>
    </row>
    <row r="38375" spans="104:111">
      <c r="CZ38375" s="256"/>
      <c r="DG38375" s="256"/>
    </row>
    <row r="38376" spans="104:111">
      <c r="CZ38376" s="256"/>
      <c r="DG38376" s="256"/>
    </row>
    <row r="38377" spans="104:111">
      <c r="CZ38377" s="256"/>
      <c r="DG38377" s="256"/>
    </row>
    <row r="38378" spans="104:111">
      <c r="CZ38378" s="256"/>
      <c r="DG38378" s="256"/>
    </row>
    <row r="38379" spans="104:111">
      <c r="CZ38379" s="256"/>
      <c r="DG38379" s="256"/>
    </row>
    <row r="38380" spans="104:111">
      <c r="CZ38380" s="256"/>
      <c r="DG38380" s="256"/>
    </row>
    <row r="38381" spans="104:111">
      <c r="CZ38381" s="256"/>
      <c r="DG38381" s="256"/>
    </row>
    <row r="38382" spans="104:111">
      <c r="CZ38382" s="256"/>
      <c r="DG38382" s="256"/>
    </row>
    <row r="38383" spans="104:111">
      <c r="CZ38383" s="256"/>
      <c r="DG38383" s="256"/>
    </row>
    <row r="38384" spans="104:111">
      <c r="CZ38384" s="256"/>
      <c r="DG38384" s="256"/>
    </row>
    <row r="38385" spans="104:111">
      <c r="CZ38385" s="256"/>
      <c r="DG38385" s="256"/>
    </row>
    <row r="38386" spans="104:111">
      <c r="CZ38386" s="256"/>
      <c r="DG38386" s="256"/>
    </row>
    <row r="38387" spans="104:111">
      <c r="CZ38387" s="256"/>
      <c r="DG38387" s="256"/>
    </row>
    <row r="38388" spans="104:111">
      <c r="CZ38388" s="256"/>
      <c r="DG38388" s="256"/>
    </row>
    <row r="38389" spans="104:111">
      <c r="CZ38389" s="256"/>
      <c r="DG38389" s="256"/>
    </row>
    <row r="38390" spans="104:111">
      <c r="CZ38390" s="256"/>
      <c r="DG38390" s="256"/>
    </row>
    <row r="38391" spans="104:111">
      <c r="CZ38391" s="256"/>
      <c r="DG38391" s="256"/>
    </row>
    <row r="38392" spans="104:111">
      <c r="CZ38392" s="256"/>
      <c r="DG38392" s="256"/>
    </row>
    <row r="38393" spans="104:111">
      <c r="CZ38393" s="256"/>
      <c r="DG38393" s="256"/>
    </row>
    <row r="38394" spans="104:111">
      <c r="CZ38394" s="256"/>
      <c r="DG38394" s="256"/>
    </row>
    <row r="38395" spans="104:111">
      <c r="CZ38395" s="256"/>
      <c r="DG38395" s="256"/>
    </row>
    <row r="38396" spans="104:111">
      <c r="CZ38396" s="256"/>
      <c r="DG38396" s="256"/>
    </row>
    <row r="38397" spans="104:111">
      <c r="CZ38397" s="256"/>
      <c r="DG38397" s="256"/>
    </row>
    <row r="38398" spans="104:111">
      <c r="CZ38398" s="256"/>
      <c r="DG38398" s="256"/>
    </row>
    <row r="38399" spans="104:111">
      <c r="CZ38399" s="256"/>
      <c r="DG38399" s="256"/>
    </row>
    <row r="38400" spans="104:111">
      <c r="CZ38400" s="256"/>
      <c r="DG38400" s="256"/>
    </row>
    <row r="38401" spans="104:111">
      <c r="CZ38401" s="256"/>
      <c r="DG38401" s="256"/>
    </row>
    <row r="38402" spans="104:111">
      <c r="CZ38402" s="256"/>
      <c r="DG38402" s="256"/>
    </row>
    <row r="38403" spans="104:111">
      <c r="CZ38403" s="256"/>
      <c r="DG38403" s="256"/>
    </row>
    <row r="38404" spans="104:111">
      <c r="CZ38404" s="256"/>
      <c r="DG38404" s="256"/>
    </row>
    <row r="38405" spans="104:111">
      <c r="CZ38405" s="256"/>
      <c r="DG38405" s="256"/>
    </row>
    <row r="38406" spans="104:111">
      <c r="CZ38406" s="256"/>
      <c r="DG38406" s="256"/>
    </row>
    <row r="38407" spans="104:111">
      <c r="CZ38407" s="256"/>
      <c r="DG38407" s="256"/>
    </row>
    <row r="38408" spans="104:111">
      <c r="CZ38408" s="256"/>
      <c r="DG38408" s="256"/>
    </row>
    <row r="38409" spans="104:111">
      <c r="CZ38409" s="256"/>
      <c r="DG38409" s="256"/>
    </row>
    <row r="38410" spans="104:111">
      <c r="CZ38410" s="256"/>
      <c r="DG38410" s="256"/>
    </row>
    <row r="38411" spans="104:111">
      <c r="CZ38411" s="256"/>
      <c r="DG38411" s="256"/>
    </row>
    <row r="38412" spans="104:111">
      <c r="CZ38412" s="256"/>
      <c r="DG38412" s="256"/>
    </row>
    <row r="38413" spans="104:111">
      <c r="CZ38413" s="256"/>
      <c r="DG38413" s="256"/>
    </row>
    <row r="38414" spans="104:111">
      <c r="CZ38414" s="256"/>
      <c r="DG38414" s="256"/>
    </row>
    <row r="38415" spans="104:111">
      <c r="CZ38415" s="256"/>
      <c r="DG38415" s="256"/>
    </row>
    <row r="38416" spans="104:111">
      <c r="CZ38416" s="256"/>
      <c r="DG38416" s="256"/>
    </row>
    <row r="38417" spans="104:111">
      <c r="CZ38417" s="256"/>
      <c r="DG38417" s="256"/>
    </row>
    <row r="38418" spans="104:111">
      <c r="CZ38418" s="256"/>
      <c r="DG38418" s="256"/>
    </row>
    <row r="38419" spans="104:111">
      <c r="CZ38419" s="256"/>
      <c r="DG38419" s="256"/>
    </row>
    <row r="38420" spans="104:111">
      <c r="CZ38420" s="256"/>
      <c r="DG38420" s="256"/>
    </row>
    <row r="38421" spans="104:111">
      <c r="CZ38421" s="256"/>
      <c r="DG38421" s="256"/>
    </row>
    <row r="38422" spans="104:111">
      <c r="CZ38422" s="256"/>
      <c r="DG38422" s="256"/>
    </row>
    <row r="38423" spans="104:111">
      <c r="CZ38423" s="256"/>
      <c r="DG38423" s="256"/>
    </row>
    <row r="38424" spans="104:111">
      <c r="CZ38424" s="256"/>
      <c r="DG38424" s="256"/>
    </row>
    <row r="38425" spans="104:111">
      <c r="CZ38425" s="256"/>
      <c r="DG38425" s="256"/>
    </row>
    <row r="38426" spans="104:111">
      <c r="CZ38426" s="256"/>
      <c r="DG38426" s="256"/>
    </row>
    <row r="38427" spans="104:111">
      <c r="CZ38427" s="256"/>
      <c r="DG38427" s="256"/>
    </row>
    <row r="38428" spans="104:111">
      <c r="CZ38428" s="256"/>
      <c r="DG38428" s="256"/>
    </row>
    <row r="38429" spans="104:111">
      <c r="CZ38429" s="256"/>
      <c r="DG38429" s="256"/>
    </row>
    <row r="38430" spans="104:111">
      <c r="CZ38430" s="256"/>
      <c r="DG38430" s="256"/>
    </row>
    <row r="38431" spans="104:111">
      <c r="CZ38431" s="256"/>
      <c r="DG38431" s="256"/>
    </row>
    <row r="38432" spans="104:111">
      <c r="CZ38432" s="256"/>
      <c r="DG38432" s="256"/>
    </row>
    <row r="38433" spans="104:111">
      <c r="CZ38433" s="256"/>
      <c r="DG38433" s="256"/>
    </row>
    <row r="38434" spans="104:111">
      <c r="CZ38434" s="256"/>
      <c r="DG38434" s="256"/>
    </row>
    <row r="38435" spans="104:111">
      <c r="CZ38435" s="256"/>
      <c r="DG38435" s="256"/>
    </row>
    <row r="38436" spans="104:111">
      <c r="CZ38436" s="256"/>
      <c r="DG38436" s="256"/>
    </row>
    <row r="38437" spans="104:111">
      <c r="CZ38437" s="256"/>
      <c r="DG38437" s="256"/>
    </row>
    <row r="38438" spans="104:111">
      <c r="CZ38438" s="256"/>
      <c r="DG38438" s="256"/>
    </row>
    <row r="38439" spans="104:111">
      <c r="CZ38439" s="256"/>
      <c r="DG38439" s="256"/>
    </row>
    <row r="38440" spans="104:111">
      <c r="CZ38440" s="256"/>
      <c r="DG38440" s="256"/>
    </row>
    <row r="38441" spans="104:111">
      <c r="CZ38441" s="256"/>
      <c r="DG38441" s="256"/>
    </row>
    <row r="38442" spans="104:111">
      <c r="CZ38442" s="256"/>
      <c r="DG38442" s="256"/>
    </row>
    <row r="38443" spans="104:111">
      <c r="CZ38443" s="256"/>
      <c r="DG38443" s="256"/>
    </row>
    <row r="38444" spans="104:111">
      <c r="CZ38444" s="256"/>
      <c r="DG38444" s="256"/>
    </row>
    <row r="38445" spans="104:111">
      <c r="CZ38445" s="256"/>
      <c r="DG38445" s="256"/>
    </row>
    <row r="38446" spans="104:111">
      <c r="CZ38446" s="256"/>
      <c r="DG38446" s="256"/>
    </row>
    <row r="38447" spans="104:111">
      <c r="CZ38447" s="256"/>
      <c r="DG38447" s="256"/>
    </row>
    <row r="38448" spans="104:111">
      <c r="CZ38448" s="256"/>
      <c r="DG38448" s="256"/>
    </row>
    <row r="38449" spans="104:111">
      <c r="CZ38449" s="256"/>
      <c r="DG38449" s="256"/>
    </row>
    <row r="38450" spans="104:111">
      <c r="CZ38450" s="256"/>
      <c r="DG38450" s="256"/>
    </row>
    <row r="38451" spans="104:111">
      <c r="CZ38451" s="256"/>
      <c r="DG38451" s="256"/>
    </row>
    <row r="38452" spans="104:111">
      <c r="CZ38452" s="256"/>
      <c r="DG38452" s="256"/>
    </row>
    <row r="38453" spans="104:111">
      <c r="CZ38453" s="256"/>
      <c r="DG38453" s="256"/>
    </row>
    <row r="38454" spans="104:111">
      <c r="CZ38454" s="256"/>
      <c r="DG38454" s="256"/>
    </row>
    <row r="38455" spans="104:111">
      <c r="CZ38455" s="256"/>
      <c r="DG38455" s="256"/>
    </row>
    <row r="38456" spans="104:111">
      <c r="CZ38456" s="256"/>
      <c r="DG38456" s="256"/>
    </row>
    <row r="38457" spans="104:111">
      <c r="CZ38457" s="256"/>
      <c r="DG38457" s="256"/>
    </row>
    <row r="38458" spans="104:111">
      <c r="CZ38458" s="256"/>
      <c r="DG38458" s="256"/>
    </row>
    <row r="38459" spans="104:111">
      <c r="CZ38459" s="256"/>
      <c r="DG38459" s="256"/>
    </row>
    <row r="38460" spans="104:111">
      <c r="CZ38460" s="256"/>
      <c r="DG38460" s="256"/>
    </row>
    <row r="38461" spans="104:111">
      <c r="CZ38461" s="256"/>
      <c r="DG38461" s="256"/>
    </row>
    <row r="38462" spans="104:111">
      <c r="CZ38462" s="256"/>
      <c r="DG38462" s="256"/>
    </row>
    <row r="38463" spans="104:111">
      <c r="CZ38463" s="256"/>
      <c r="DG38463" s="256"/>
    </row>
    <row r="38464" spans="104:111">
      <c r="CZ38464" s="256"/>
      <c r="DG38464" s="256"/>
    </row>
    <row r="38465" spans="104:111">
      <c r="CZ38465" s="256"/>
      <c r="DG38465" s="256"/>
    </row>
    <row r="38466" spans="104:111">
      <c r="CZ38466" s="256"/>
      <c r="DG38466" s="256"/>
    </row>
    <row r="38467" spans="104:111">
      <c r="CZ38467" s="256"/>
      <c r="DG38467" s="256"/>
    </row>
    <row r="38468" spans="104:111">
      <c r="CZ38468" s="256"/>
      <c r="DG38468" s="256"/>
    </row>
    <row r="38469" spans="104:111">
      <c r="CZ38469" s="256"/>
      <c r="DG38469" s="256"/>
    </row>
    <row r="38470" spans="104:111">
      <c r="CZ38470" s="256"/>
      <c r="DG38470" s="256"/>
    </row>
    <row r="38471" spans="104:111">
      <c r="CZ38471" s="256"/>
      <c r="DG38471" s="256"/>
    </row>
    <row r="38472" spans="104:111">
      <c r="CZ38472" s="256"/>
      <c r="DG38472" s="256"/>
    </row>
    <row r="38473" spans="104:111">
      <c r="CZ38473" s="256"/>
      <c r="DG38473" s="256"/>
    </row>
    <row r="38474" spans="104:111">
      <c r="CZ38474" s="256"/>
      <c r="DG38474" s="256"/>
    </row>
    <row r="38475" spans="104:111">
      <c r="CZ38475" s="256"/>
      <c r="DG38475" s="256"/>
    </row>
    <row r="38476" spans="104:111">
      <c r="CZ38476" s="256"/>
      <c r="DG38476" s="256"/>
    </row>
    <row r="38477" spans="104:111">
      <c r="CZ38477" s="256"/>
      <c r="DG38477" s="256"/>
    </row>
    <row r="38478" spans="104:111">
      <c r="CZ38478" s="256"/>
      <c r="DG38478" s="256"/>
    </row>
    <row r="38479" spans="104:111">
      <c r="CZ38479" s="256"/>
      <c r="DG38479" s="256"/>
    </row>
    <row r="38480" spans="104:111">
      <c r="CZ38480" s="256"/>
      <c r="DG38480" s="256"/>
    </row>
    <row r="38481" spans="104:111">
      <c r="CZ38481" s="256"/>
      <c r="DG38481" s="256"/>
    </row>
    <row r="38482" spans="104:111">
      <c r="CZ38482" s="256"/>
      <c r="DG38482" s="256"/>
    </row>
    <row r="38483" spans="104:111">
      <c r="CZ38483" s="256"/>
      <c r="DG38483" s="256"/>
    </row>
    <row r="38484" spans="104:111">
      <c r="CZ38484" s="256"/>
      <c r="DG38484" s="256"/>
    </row>
    <row r="38485" spans="104:111">
      <c r="CZ38485" s="256"/>
      <c r="DG38485" s="256"/>
    </row>
    <row r="38486" spans="104:111">
      <c r="CZ38486" s="256"/>
      <c r="DG38486" s="256"/>
    </row>
    <row r="38487" spans="104:111">
      <c r="CZ38487" s="256"/>
      <c r="DG38487" s="256"/>
    </row>
    <row r="38488" spans="104:111">
      <c r="CZ38488" s="256"/>
      <c r="DG38488" s="256"/>
    </row>
    <row r="38489" spans="104:111">
      <c r="CZ38489" s="256"/>
      <c r="DG38489" s="256"/>
    </row>
    <row r="38490" spans="104:111">
      <c r="CZ38490" s="256"/>
      <c r="DG38490" s="256"/>
    </row>
    <row r="38491" spans="104:111">
      <c r="CZ38491" s="256"/>
      <c r="DG38491" s="256"/>
    </row>
    <row r="38492" spans="104:111">
      <c r="CZ38492" s="256"/>
      <c r="DG38492" s="256"/>
    </row>
    <row r="38493" spans="104:111">
      <c r="CZ38493" s="256"/>
      <c r="DG38493" s="256"/>
    </row>
    <row r="38494" spans="104:111">
      <c r="CZ38494" s="256"/>
      <c r="DG38494" s="256"/>
    </row>
    <row r="38495" spans="104:111">
      <c r="CZ38495" s="256"/>
      <c r="DG38495" s="256"/>
    </row>
    <row r="38496" spans="104:111">
      <c r="CZ38496" s="256"/>
      <c r="DG38496" s="256"/>
    </row>
    <row r="38497" spans="104:111">
      <c r="CZ38497" s="256"/>
      <c r="DG38497" s="256"/>
    </row>
    <row r="38498" spans="104:111">
      <c r="CZ38498" s="256"/>
      <c r="DG38498" s="256"/>
    </row>
    <row r="38499" spans="104:111">
      <c r="CZ38499" s="256"/>
      <c r="DG38499" s="256"/>
    </row>
    <row r="38500" spans="104:111">
      <c r="CZ38500" s="256"/>
      <c r="DG38500" s="256"/>
    </row>
    <row r="38501" spans="104:111">
      <c r="CZ38501" s="256"/>
      <c r="DG38501" s="256"/>
    </row>
    <row r="38502" spans="104:111">
      <c r="CZ38502" s="256"/>
      <c r="DG38502" s="256"/>
    </row>
    <row r="38503" spans="104:111">
      <c r="CZ38503" s="256"/>
      <c r="DG38503" s="256"/>
    </row>
    <row r="38504" spans="104:111">
      <c r="CZ38504" s="256"/>
      <c r="DG38504" s="256"/>
    </row>
    <row r="38505" spans="104:111">
      <c r="CZ38505" s="256"/>
      <c r="DG38505" s="256"/>
    </row>
    <row r="38506" spans="104:111">
      <c r="CZ38506" s="256"/>
      <c r="DG38506" s="256"/>
    </row>
    <row r="38507" spans="104:111">
      <c r="CZ38507" s="256"/>
      <c r="DG38507" s="256"/>
    </row>
    <row r="38508" spans="104:111">
      <c r="CZ38508" s="256"/>
      <c r="DG38508" s="256"/>
    </row>
    <row r="38509" spans="104:111">
      <c r="CZ38509" s="256"/>
      <c r="DG38509" s="256"/>
    </row>
    <row r="38510" spans="104:111">
      <c r="CZ38510" s="256"/>
      <c r="DG38510" s="256"/>
    </row>
    <row r="38511" spans="104:111">
      <c r="CZ38511" s="256"/>
      <c r="DG38511" s="256"/>
    </row>
    <row r="38512" spans="104:111">
      <c r="CZ38512" s="256"/>
      <c r="DG38512" s="256"/>
    </row>
    <row r="38513" spans="104:111">
      <c r="CZ38513" s="256"/>
      <c r="DG38513" s="256"/>
    </row>
    <row r="38514" spans="104:111">
      <c r="CZ38514" s="256"/>
      <c r="DG38514" s="256"/>
    </row>
    <row r="38515" spans="104:111">
      <c r="CZ38515" s="256"/>
      <c r="DG38515" s="256"/>
    </row>
    <row r="38516" spans="104:111">
      <c r="CZ38516" s="256"/>
      <c r="DG38516" s="256"/>
    </row>
    <row r="38517" spans="104:111">
      <c r="CZ38517" s="256"/>
      <c r="DG38517" s="256"/>
    </row>
    <row r="38518" spans="104:111">
      <c r="CZ38518" s="256"/>
      <c r="DG38518" s="256"/>
    </row>
    <row r="38519" spans="104:111">
      <c r="CZ38519" s="256"/>
      <c r="DG38519" s="256"/>
    </row>
    <row r="38520" spans="104:111">
      <c r="CZ38520" s="256"/>
      <c r="DG38520" s="256"/>
    </row>
    <row r="38521" spans="104:111">
      <c r="CZ38521" s="256"/>
      <c r="DG38521" s="256"/>
    </row>
    <row r="38522" spans="104:111">
      <c r="CZ38522" s="256"/>
      <c r="DG38522" s="256"/>
    </row>
    <row r="38523" spans="104:111">
      <c r="CZ38523" s="256"/>
      <c r="DG38523" s="256"/>
    </row>
    <row r="38524" spans="104:111">
      <c r="CZ38524" s="256"/>
      <c r="DG38524" s="256"/>
    </row>
    <row r="38525" spans="104:111">
      <c r="CZ38525" s="256"/>
      <c r="DG38525" s="256"/>
    </row>
    <row r="38526" spans="104:111">
      <c r="CZ38526" s="256"/>
      <c r="DG38526" s="256"/>
    </row>
    <row r="38527" spans="104:111">
      <c r="CZ38527" s="256"/>
      <c r="DG38527" s="256"/>
    </row>
    <row r="38528" spans="104:111">
      <c r="CZ38528" s="256"/>
      <c r="DG38528" s="256"/>
    </row>
    <row r="38529" spans="104:111">
      <c r="CZ38529" s="256"/>
      <c r="DG38529" s="256"/>
    </row>
    <row r="38530" spans="104:111">
      <c r="CZ38530" s="256"/>
      <c r="DG38530" s="256"/>
    </row>
    <row r="38531" spans="104:111">
      <c r="CZ38531" s="256"/>
      <c r="DG38531" s="256"/>
    </row>
    <row r="38532" spans="104:111">
      <c r="CZ38532" s="256"/>
      <c r="DG38532" s="256"/>
    </row>
    <row r="38533" spans="104:111">
      <c r="CZ38533" s="256"/>
      <c r="DG38533" s="256"/>
    </row>
    <row r="38534" spans="104:111">
      <c r="CZ38534" s="256"/>
      <c r="DG38534" s="256"/>
    </row>
    <row r="38535" spans="104:111">
      <c r="CZ38535" s="256"/>
      <c r="DG38535" s="256"/>
    </row>
    <row r="38536" spans="104:111">
      <c r="CZ38536" s="256"/>
      <c r="DG38536" s="256"/>
    </row>
    <row r="38537" spans="104:111">
      <c r="CZ38537" s="256"/>
      <c r="DG38537" s="256"/>
    </row>
    <row r="38538" spans="104:111">
      <c r="CZ38538" s="256"/>
      <c r="DG38538" s="256"/>
    </row>
    <row r="38539" spans="104:111">
      <c r="CZ38539" s="256"/>
      <c r="DG38539" s="256"/>
    </row>
    <row r="38540" spans="104:111">
      <c r="CZ38540" s="256"/>
      <c r="DG38540" s="256"/>
    </row>
    <row r="38541" spans="104:111">
      <c r="CZ38541" s="256"/>
      <c r="DG38541" s="256"/>
    </row>
    <row r="38542" spans="104:111">
      <c r="CZ38542" s="256"/>
      <c r="DG38542" s="256"/>
    </row>
    <row r="38543" spans="104:111">
      <c r="CZ38543" s="256"/>
      <c r="DG38543" s="256"/>
    </row>
    <row r="38544" spans="104:111">
      <c r="CZ38544" s="256"/>
      <c r="DG38544" s="256"/>
    </row>
    <row r="38545" spans="104:111">
      <c r="CZ38545" s="256"/>
      <c r="DG38545" s="256"/>
    </row>
    <row r="38546" spans="104:111">
      <c r="CZ38546" s="256"/>
      <c r="DG38546" s="256"/>
    </row>
    <row r="38547" spans="104:111">
      <c r="CZ38547" s="256"/>
      <c r="DG38547" s="256"/>
    </row>
    <row r="38548" spans="104:111">
      <c r="CZ38548" s="256"/>
      <c r="DG38548" s="256"/>
    </row>
    <row r="38549" spans="104:111">
      <c r="CZ38549" s="256"/>
      <c r="DG38549" s="256"/>
    </row>
    <row r="38550" spans="104:111">
      <c r="CZ38550" s="256"/>
      <c r="DG38550" s="256"/>
    </row>
    <row r="38551" spans="104:111">
      <c r="CZ38551" s="256"/>
      <c r="DG38551" s="256"/>
    </row>
    <row r="38552" spans="104:111">
      <c r="CZ38552" s="256"/>
      <c r="DG38552" s="256"/>
    </row>
    <row r="38553" spans="104:111">
      <c r="CZ38553" s="256"/>
      <c r="DG38553" s="256"/>
    </row>
    <row r="38554" spans="104:111">
      <c r="CZ38554" s="256"/>
      <c r="DG38554" s="256"/>
    </row>
    <row r="38555" spans="104:111">
      <c r="CZ38555" s="256"/>
      <c r="DG38555" s="256"/>
    </row>
    <row r="38556" spans="104:111">
      <c r="CZ38556" s="256"/>
      <c r="DG38556" s="256"/>
    </row>
    <row r="38557" spans="104:111">
      <c r="CZ38557" s="256"/>
      <c r="DG38557" s="256"/>
    </row>
    <row r="38558" spans="104:111">
      <c r="CZ38558" s="256"/>
      <c r="DG38558" s="256"/>
    </row>
    <row r="38559" spans="104:111">
      <c r="CZ38559" s="256"/>
      <c r="DG38559" s="256"/>
    </row>
    <row r="38560" spans="104:111">
      <c r="CZ38560" s="256"/>
      <c r="DG38560" s="256"/>
    </row>
    <row r="38561" spans="104:111">
      <c r="CZ38561" s="256"/>
      <c r="DG38561" s="256"/>
    </row>
    <row r="38562" spans="104:111">
      <c r="CZ38562" s="256"/>
      <c r="DG38562" s="256"/>
    </row>
    <row r="38563" spans="104:111">
      <c r="CZ38563" s="256"/>
      <c r="DG38563" s="256"/>
    </row>
    <row r="38564" spans="104:111">
      <c r="CZ38564" s="256"/>
      <c r="DG38564" s="256"/>
    </row>
    <row r="38565" spans="104:111">
      <c r="CZ38565" s="256"/>
      <c r="DG38565" s="256"/>
    </row>
    <row r="38566" spans="104:111">
      <c r="CZ38566" s="256"/>
      <c r="DG38566" s="256"/>
    </row>
    <row r="38567" spans="104:111">
      <c r="CZ38567" s="256"/>
      <c r="DG38567" s="256"/>
    </row>
    <row r="38568" spans="104:111">
      <c r="CZ38568" s="256"/>
      <c r="DG38568" s="256"/>
    </row>
    <row r="38569" spans="104:111">
      <c r="CZ38569" s="256"/>
      <c r="DG38569" s="256"/>
    </row>
    <row r="38570" spans="104:111">
      <c r="CZ38570" s="256"/>
      <c r="DG38570" s="256"/>
    </row>
    <row r="38571" spans="104:111">
      <c r="CZ38571" s="256"/>
      <c r="DG38571" s="256"/>
    </row>
    <row r="38572" spans="104:111">
      <c r="CZ38572" s="256"/>
      <c r="DG38572" s="256"/>
    </row>
    <row r="38573" spans="104:111">
      <c r="CZ38573" s="256"/>
      <c r="DG38573" s="256"/>
    </row>
    <row r="38574" spans="104:111">
      <c r="CZ38574" s="256"/>
      <c r="DG38574" s="256"/>
    </row>
    <row r="38575" spans="104:111">
      <c r="CZ38575" s="256"/>
      <c r="DG38575" s="256"/>
    </row>
    <row r="38576" spans="104:111">
      <c r="CZ38576" s="256"/>
      <c r="DG38576" s="256"/>
    </row>
    <row r="38577" spans="104:111">
      <c r="CZ38577" s="256"/>
      <c r="DG38577" s="256"/>
    </row>
    <row r="38578" spans="104:111">
      <c r="CZ38578" s="256"/>
      <c r="DG38578" s="256"/>
    </row>
    <row r="38579" spans="104:111">
      <c r="CZ38579" s="256"/>
      <c r="DG38579" s="256"/>
    </row>
    <row r="38580" spans="104:111">
      <c r="CZ38580" s="256"/>
      <c r="DG38580" s="256"/>
    </row>
    <row r="38581" spans="104:111">
      <c r="CZ38581" s="256"/>
      <c r="DG38581" s="256"/>
    </row>
    <row r="38582" spans="104:111">
      <c r="CZ38582" s="256"/>
      <c r="DG38582" s="256"/>
    </row>
    <row r="38583" spans="104:111">
      <c r="CZ38583" s="256"/>
      <c r="DG38583" s="256"/>
    </row>
    <row r="38584" spans="104:111">
      <c r="CZ38584" s="256"/>
      <c r="DG38584" s="256"/>
    </row>
    <row r="38585" spans="104:111">
      <c r="CZ38585" s="256"/>
      <c r="DG38585" s="256"/>
    </row>
    <row r="38586" spans="104:111">
      <c r="CZ38586" s="256"/>
      <c r="DG38586" s="256"/>
    </row>
    <row r="38587" spans="104:111">
      <c r="CZ38587" s="256"/>
      <c r="DG38587" s="256"/>
    </row>
    <row r="38588" spans="104:111">
      <c r="CZ38588" s="256"/>
      <c r="DG38588" s="256"/>
    </row>
    <row r="38589" spans="104:111">
      <c r="CZ38589" s="256"/>
      <c r="DG38589" s="256"/>
    </row>
    <row r="38590" spans="104:111">
      <c r="CZ38590" s="256"/>
      <c r="DG38590" s="256"/>
    </row>
    <row r="38591" spans="104:111">
      <c r="CZ38591" s="256"/>
      <c r="DG38591" s="256"/>
    </row>
    <row r="38592" spans="104:111">
      <c r="CZ38592" s="256"/>
      <c r="DG38592" s="256"/>
    </row>
    <row r="38593" spans="104:111">
      <c r="CZ38593" s="256"/>
      <c r="DG38593" s="256"/>
    </row>
    <row r="38594" spans="104:111">
      <c r="CZ38594" s="256"/>
      <c r="DG38594" s="256"/>
    </row>
    <row r="38595" spans="104:111">
      <c r="CZ38595" s="256"/>
      <c r="DG38595" s="256"/>
    </row>
    <row r="38596" spans="104:111">
      <c r="CZ38596" s="256"/>
      <c r="DG38596" s="256"/>
    </row>
    <row r="38597" spans="104:111">
      <c r="CZ38597" s="256"/>
      <c r="DG38597" s="256"/>
    </row>
    <row r="38598" spans="104:111">
      <c r="CZ38598" s="256"/>
      <c r="DG38598" s="256"/>
    </row>
    <row r="38599" spans="104:111">
      <c r="CZ38599" s="256"/>
      <c r="DG38599" s="256"/>
    </row>
    <row r="38600" spans="104:111">
      <c r="CZ38600" s="256"/>
      <c r="DG38600" s="256"/>
    </row>
    <row r="38601" spans="104:111">
      <c r="CZ38601" s="256"/>
      <c r="DG38601" s="256"/>
    </row>
    <row r="38602" spans="104:111">
      <c r="CZ38602" s="256"/>
      <c r="DG38602" s="256"/>
    </row>
    <row r="38603" spans="104:111">
      <c r="CZ38603" s="256"/>
      <c r="DG38603" s="256"/>
    </row>
    <row r="38604" spans="104:111">
      <c r="CZ38604" s="256"/>
      <c r="DG38604" s="256"/>
    </row>
    <row r="38605" spans="104:111">
      <c r="CZ38605" s="256"/>
      <c r="DG38605" s="256"/>
    </row>
    <row r="38606" spans="104:111">
      <c r="CZ38606" s="256"/>
      <c r="DG38606" s="256"/>
    </row>
    <row r="38607" spans="104:111">
      <c r="CZ38607" s="256"/>
      <c r="DG38607" s="256"/>
    </row>
    <row r="38608" spans="104:111">
      <c r="CZ38608" s="256"/>
      <c r="DG38608" s="256"/>
    </row>
    <row r="38609" spans="104:111">
      <c r="CZ38609" s="256"/>
      <c r="DG38609" s="256"/>
    </row>
    <row r="38610" spans="104:111">
      <c r="CZ38610" s="256"/>
      <c r="DG38610" s="256"/>
    </row>
    <row r="38611" spans="104:111">
      <c r="CZ38611" s="256"/>
      <c r="DG38611" s="256"/>
    </row>
    <row r="38612" spans="104:111">
      <c r="CZ38612" s="256"/>
      <c r="DG38612" s="256"/>
    </row>
    <row r="38613" spans="104:111">
      <c r="CZ38613" s="256"/>
      <c r="DG38613" s="256"/>
    </row>
    <row r="38614" spans="104:111">
      <c r="CZ38614" s="256"/>
      <c r="DG38614" s="256"/>
    </row>
    <row r="38615" spans="104:111">
      <c r="CZ38615" s="256"/>
      <c r="DG38615" s="256"/>
    </row>
    <row r="38616" spans="104:111">
      <c r="CZ38616" s="256"/>
      <c r="DG38616" s="256"/>
    </row>
    <row r="38617" spans="104:111">
      <c r="CZ38617" s="256"/>
      <c r="DG38617" s="256"/>
    </row>
    <row r="38618" spans="104:111">
      <c r="CZ38618" s="256"/>
      <c r="DG38618" s="256"/>
    </row>
    <row r="38619" spans="104:111">
      <c r="CZ38619" s="256"/>
      <c r="DG38619" s="256"/>
    </row>
    <row r="38620" spans="104:111">
      <c r="CZ38620" s="256"/>
      <c r="DG38620" s="256"/>
    </row>
    <row r="38621" spans="104:111">
      <c r="CZ38621" s="256"/>
      <c r="DG38621" s="256"/>
    </row>
    <row r="38622" spans="104:111">
      <c r="CZ38622" s="256"/>
      <c r="DG38622" s="256"/>
    </row>
    <row r="38623" spans="104:111">
      <c r="CZ38623" s="256"/>
      <c r="DG38623" s="256"/>
    </row>
    <row r="38624" spans="104:111">
      <c r="CZ38624" s="256"/>
      <c r="DG38624" s="256"/>
    </row>
    <row r="38625" spans="104:111">
      <c r="CZ38625" s="256"/>
      <c r="DG38625" s="256"/>
    </row>
    <row r="38626" spans="104:111">
      <c r="CZ38626" s="256"/>
      <c r="DG38626" s="256"/>
    </row>
    <row r="38627" spans="104:111">
      <c r="CZ38627" s="256"/>
      <c r="DG38627" s="256"/>
    </row>
    <row r="38628" spans="104:111">
      <c r="CZ38628" s="256"/>
      <c r="DG38628" s="256"/>
    </row>
    <row r="38629" spans="104:111">
      <c r="CZ38629" s="256"/>
      <c r="DG38629" s="256"/>
    </row>
    <row r="38630" spans="104:111">
      <c r="CZ38630" s="256"/>
      <c r="DG38630" s="256"/>
    </row>
    <row r="38631" spans="104:111">
      <c r="CZ38631" s="256"/>
      <c r="DG38631" s="256"/>
    </row>
    <row r="38632" spans="104:111">
      <c r="CZ38632" s="256"/>
      <c r="DG38632" s="256"/>
    </row>
    <row r="38633" spans="104:111">
      <c r="CZ38633" s="256"/>
      <c r="DG38633" s="256"/>
    </row>
    <row r="38634" spans="104:111">
      <c r="CZ38634" s="256"/>
      <c r="DG38634" s="256"/>
    </row>
    <row r="38635" spans="104:111">
      <c r="CZ38635" s="256"/>
      <c r="DG38635" s="256"/>
    </row>
    <row r="38636" spans="104:111">
      <c r="CZ38636" s="256"/>
      <c r="DG38636" s="256"/>
    </row>
    <row r="38637" spans="104:111">
      <c r="CZ38637" s="256"/>
      <c r="DG38637" s="256"/>
    </row>
    <row r="38638" spans="104:111">
      <c r="CZ38638" s="256"/>
      <c r="DG38638" s="256"/>
    </row>
    <row r="38639" spans="104:111">
      <c r="CZ38639" s="256"/>
      <c r="DG38639" s="256"/>
    </row>
    <row r="38640" spans="104:111">
      <c r="CZ38640" s="256"/>
      <c r="DG38640" s="256"/>
    </row>
    <row r="38641" spans="104:111">
      <c r="CZ38641" s="256"/>
      <c r="DG38641" s="256"/>
    </row>
    <row r="38642" spans="104:111">
      <c r="CZ38642" s="256"/>
      <c r="DG38642" s="256"/>
    </row>
    <row r="38643" spans="104:111">
      <c r="CZ38643" s="256"/>
      <c r="DG38643" s="256"/>
    </row>
    <row r="38644" spans="104:111">
      <c r="CZ38644" s="256"/>
      <c r="DG38644" s="256"/>
    </row>
    <row r="38645" spans="104:111">
      <c r="CZ38645" s="256"/>
      <c r="DG38645" s="256"/>
    </row>
    <row r="38646" spans="104:111">
      <c r="CZ38646" s="256"/>
      <c r="DG38646" s="256"/>
    </row>
    <row r="38647" spans="104:111">
      <c r="CZ38647" s="256"/>
      <c r="DG38647" s="256"/>
    </row>
    <row r="38648" spans="104:111">
      <c r="CZ38648" s="256"/>
      <c r="DG38648" s="256"/>
    </row>
    <row r="38649" spans="104:111">
      <c r="CZ38649" s="256"/>
      <c r="DG38649" s="256"/>
    </row>
    <row r="38650" spans="104:111">
      <c r="CZ38650" s="256"/>
      <c r="DG38650" s="256"/>
    </row>
    <row r="38651" spans="104:111">
      <c r="CZ38651" s="256"/>
      <c r="DG38651" s="256"/>
    </row>
    <row r="38652" spans="104:111">
      <c r="CZ38652" s="256"/>
      <c r="DG38652" s="256"/>
    </row>
    <row r="38653" spans="104:111">
      <c r="CZ38653" s="256"/>
      <c r="DG38653" s="256"/>
    </row>
    <row r="38654" spans="104:111">
      <c r="CZ38654" s="256"/>
      <c r="DG38654" s="256"/>
    </row>
    <row r="38655" spans="104:111">
      <c r="CZ38655" s="256"/>
      <c r="DG38655" s="256"/>
    </row>
    <row r="38656" spans="104:111">
      <c r="CZ38656" s="256"/>
      <c r="DG38656" s="256"/>
    </row>
    <row r="38657" spans="104:111">
      <c r="CZ38657" s="256"/>
      <c r="DG38657" s="256"/>
    </row>
    <row r="38658" spans="104:111">
      <c r="CZ38658" s="256"/>
      <c r="DG38658" s="256"/>
    </row>
    <row r="38659" spans="104:111">
      <c r="CZ38659" s="256"/>
      <c r="DG38659" s="256"/>
    </row>
    <row r="38660" spans="104:111">
      <c r="CZ38660" s="256"/>
      <c r="DG38660" s="256"/>
    </row>
    <row r="38661" spans="104:111">
      <c r="CZ38661" s="256"/>
      <c r="DG38661" s="256"/>
    </row>
    <row r="38662" spans="104:111">
      <c r="CZ38662" s="256"/>
      <c r="DG38662" s="256"/>
    </row>
    <row r="38663" spans="104:111">
      <c r="CZ38663" s="256"/>
      <c r="DG38663" s="256"/>
    </row>
    <row r="38664" spans="104:111">
      <c r="CZ38664" s="256"/>
      <c r="DG38664" s="256"/>
    </row>
    <row r="38665" spans="104:111">
      <c r="CZ38665" s="256"/>
      <c r="DG38665" s="256"/>
    </row>
    <row r="38666" spans="104:111">
      <c r="CZ38666" s="256"/>
      <c r="DG38666" s="256"/>
    </row>
    <row r="38667" spans="104:111">
      <c r="CZ38667" s="256"/>
      <c r="DG38667" s="256"/>
    </row>
    <row r="38668" spans="104:111">
      <c r="CZ38668" s="256"/>
      <c r="DG38668" s="256"/>
    </row>
    <row r="38669" spans="104:111">
      <c r="CZ38669" s="256"/>
      <c r="DG38669" s="256"/>
    </row>
    <row r="38670" spans="104:111">
      <c r="CZ38670" s="256"/>
      <c r="DG38670" s="256"/>
    </row>
    <row r="38671" spans="104:111">
      <c r="CZ38671" s="256"/>
      <c r="DG38671" s="256"/>
    </row>
    <row r="38672" spans="104:111">
      <c r="CZ38672" s="256"/>
      <c r="DG38672" s="256"/>
    </row>
    <row r="38673" spans="104:111">
      <c r="CZ38673" s="256"/>
      <c r="DG38673" s="256"/>
    </row>
    <row r="38674" spans="104:111">
      <c r="CZ38674" s="256"/>
      <c r="DG38674" s="256"/>
    </row>
    <row r="38675" spans="104:111">
      <c r="CZ38675" s="256"/>
      <c r="DG38675" s="256"/>
    </row>
    <row r="38676" spans="104:111">
      <c r="CZ38676" s="256"/>
      <c r="DG38676" s="256"/>
    </row>
    <row r="38677" spans="104:111">
      <c r="CZ38677" s="256"/>
      <c r="DG38677" s="256"/>
    </row>
    <row r="38678" spans="104:111">
      <c r="CZ38678" s="256"/>
      <c r="DG38678" s="256"/>
    </row>
    <row r="38679" spans="104:111">
      <c r="CZ38679" s="256"/>
      <c r="DG38679" s="256"/>
    </row>
    <row r="38680" spans="104:111">
      <c r="CZ38680" s="256"/>
      <c r="DG38680" s="256"/>
    </row>
    <row r="38681" spans="104:111">
      <c r="CZ38681" s="256"/>
      <c r="DG38681" s="256"/>
    </row>
    <row r="38682" spans="104:111">
      <c r="CZ38682" s="256"/>
      <c r="DG38682" s="256"/>
    </row>
    <row r="38683" spans="104:111">
      <c r="CZ38683" s="256"/>
      <c r="DG38683" s="256"/>
    </row>
    <row r="38684" spans="104:111">
      <c r="CZ38684" s="256"/>
      <c r="DG38684" s="256"/>
    </row>
    <row r="38685" spans="104:111">
      <c r="CZ38685" s="256"/>
      <c r="DG38685" s="256"/>
    </row>
    <row r="38686" spans="104:111">
      <c r="CZ38686" s="256"/>
      <c r="DG38686" s="256"/>
    </row>
    <row r="38687" spans="104:111">
      <c r="CZ38687" s="256"/>
      <c r="DG38687" s="256"/>
    </row>
    <row r="38688" spans="104:111">
      <c r="CZ38688" s="256"/>
      <c r="DG38688" s="256"/>
    </row>
    <row r="38689" spans="104:111">
      <c r="CZ38689" s="256"/>
      <c r="DG38689" s="256"/>
    </row>
    <row r="38690" spans="104:111">
      <c r="CZ38690" s="256"/>
      <c r="DG38690" s="256"/>
    </row>
    <row r="38691" spans="104:111">
      <c r="CZ38691" s="256"/>
      <c r="DG38691" s="256"/>
    </row>
    <row r="38692" spans="104:111">
      <c r="CZ38692" s="256"/>
      <c r="DG38692" s="256"/>
    </row>
    <row r="38693" spans="104:111">
      <c r="CZ38693" s="256"/>
      <c r="DG38693" s="256"/>
    </row>
    <row r="38694" spans="104:111">
      <c r="CZ38694" s="256"/>
      <c r="DG38694" s="256"/>
    </row>
    <row r="38695" spans="104:111">
      <c r="CZ38695" s="256"/>
      <c r="DG38695" s="256"/>
    </row>
    <row r="38696" spans="104:111">
      <c r="CZ38696" s="256"/>
      <c r="DG38696" s="256"/>
    </row>
    <row r="38697" spans="104:111">
      <c r="CZ38697" s="256"/>
      <c r="DG38697" s="256"/>
    </row>
    <row r="38698" spans="104:111">
      <c r="CZ38698" s="256"/>
      <c r="DG38698" s="256"/>
    </row>
    <row r="38699" spans="104:111">
      <c r="CZ38699" s="256"/>
      <c r="DG38699" s="256"/>
    </row>
    <row r="38700" spans="104:111">
      <c r="CZ38700" s="256"/>
      <c r="DG38700" s="256"/>
    </row>
    <row r="38701" spans="104:111">
      <c r="CZ38701" s="256"/>
      <c r="DG38701" s="256"/>
    </row>
    <row r="38702" spans="104:111">
      <c r="CZ38702" s="256"/>
      <c r="DG38702" s="256"/>
    </row>
    <row r="38703" spans="104:111">
      <c r="CZ38703" s="256"/>
      <c r="DG38703" s="256"/>
    </row>
    <row r="38704" spans="104:111">
      <c r="CZ38704" s="256"/>
      <c r="DG38704" s="256"/>
    </row>
    <row r="38705" spans="104:111">
      <c r="CZ38705" s="256"/>
      <c r="DG38705" s="256"/>
    </row>
    <row r="38706" spans="104:111">
      <c r="CZ38706" s="256"/>
      <c r="DG38706" s="256"/>
    </row>
    <row r="38707" spans="104:111">
      <c r="CZ38707" s="256"/>
      <c r="DG38707" s="256"/>
    </row>
    <row r="38708" spans="104:111">
      <c r="CZ38708" s="256"/>
      <c r="DG38708" s="256"/>
    </row>
    <row r="38709" spans="104:111">
      <c r="CZ38709" s="256"/>
      <c r="DG38709" s="256"/>
    </row>
    <row r="38710" spans="104:111">
      <c r="CZ38710" s="256"/>
      <c r="DG38710" s="256"/>
    </row>
    <row r="38711" spans="104:111">
      <c r="CZ38711" s="256"/>
      <c r="DG38711" s="256"/>
    </row>
    <row r="38712" spans="104:111">
      <c r="CZ38712" s="256"/>
      <c r="DG38712" s="256"/>
    </row>
    <row r="38713" spans="104:111">
      <c r="CZ38713" s="256"/>
      <c r="DG38713" s="256"/>
    </row>
    <row r="38714" spans="104:111">
      <c r="CZ38714" s="256"/>
      <c r="DG38714" s="256"/>
    </row>
    <row r="38715" spans="104:111">
      <c r="CZ38715" s="256"/>
      <c r="DG38715" s="256"/>
    </row>
    <row r="38716" spans="104:111">
      <c r="CZ38716" s="256"/>
      <c r="DG38716" s="256"/>
    </row>
    <row r="38717" spans="104:111">
      <c r="CZ38717" s="256"/>
      <c r="DG38717" s="256"/>
    </row>
    <row r="38718" spans="104:111">
      <c r="CZ38718" s="256"/>
      <c r="DG38718" s="256"/>
    </row>
    <row r="38719" spans="104:111">
      <c r="CZ38719" s="256"/>
      <c r="DG38719" s="256"/>
    </row>
    <row r="38720" spans="104:111">
      <c r="CZ38720" s="256"/>
      <c r="DG38720" s="256"/>
    </row>
    <row r="38721" spans="104:111">
      <c r="CZ38721" s="256"/>
      <c r="DG38721" s="256"/>
    </row>
    <row r="38722" spans="104:111">
      <c r="CZ38722" s="256"/>
      <c r="DG38722" s="256"/>
    </row>
    <row r="38723" spans="104:111">
      <c r="CZ38723" s="256"/>
      <c r="DG38723" s="256"/>
    </row>
    <row r="38724" spans="104:111">
      <c r="CZ38724" s="256"/>
      <c r="DG38724" s="256"/>
    </row>
    <row r="38725" spans="104:111">
      <c r="CZ38725" s="256"/>
      <c r="DG38725" s="256"/>
    </row>
    <row r="38726" spans="104:111">
      <c r="CZ38726" s="256"/>
      <c r="DG38726" s="256"/>
    </row>
    <row r="38727" spans="104:111">
      <c r="CZ38727" s="256"/>
      <c r="DG38727" s="256"/>
    </row>
    <row r="38728" spans="104:111">
      <c r="CZ38728" s="256"/>
      <c r="DG38728" s="256"/>
    </row>
    <row r="38729" spans="104:111">
      <c r="CZ38729" s="256"/>
      <c r="DG38729" s="256"/>
    </row>
    <row r="38730" spans="104:111">
      <c r="CZ38730" s="256"/>
      <c r="DG38730" s="256"/>
    </row>
    <row r="38731" spans="104:111">
      <c r="CZ38731" s="256"/>
      <c r="DG38731" s="256"/>
    </row>
    <row r="38732" spans="104:111">
      <c r="CZ38732" s="256"/>
      <c r="DG38732" s="256"/>
    </row>
    <row r="38733" spans="104:111">
      <c r="CZ38733" s="256"/>
      <c r="DG38733" s="256"/>
    </row>
    <row r="38734" spans="104:111">
      <c r="CZ38734" s="256"/>
      <c r="DG38734" s="256"/>
    </row>
    <row r="38735" spans="104:111">
      <c r="CZ38735" s="256"/>
      <c r="DG38735" s="256"/>
    </row>
    <row r="38736" spans="104:111">
      <c r="CZ38736" s="256"/>
      <c r="DG38736" s="256"/>
    </row>
    <row r="38737" spans="104:111">
      <c r="CZ38737" s="256"/>
      <c r="DG38737" s="256"/>
    </row>
    <row r="38738" spans="104:111">
      <c r="CZ38738" s="256"/>
      <c r="DG38738" s="256"/>
    </row>
    <row r="38739" spans="104:111">
      <c r="CZ38739" s="256"/>
      <c r="DG38739" s="256"/>
    </row>
    <row r="38740" spans="104:111">
      <c r="CZ38740" s="256"/>
      <c r="DG38740" s="256"/>
    </row>
    <row r="38741" spans="104:111">
      <c r="CZ38741" s="256"/>
      <c r="DG38741" s="256"/>
    </row>
    <row r="38742" spans="104:111">
      <c r="CZ38742" s="256"/>
      <c r="DG38742" s="256"/>
    </row>
    <row r="38743" spans="104:111">
      <c r="CZ38743" s="256"/>
      <c r="DG38743" s="256"/>
    </row>
    <row r="38744" spans="104:111">
      <c r="CZ38744" s="256"/>
      <c r="DG38744" s="256"/>
    </row>
    <row r="38745" spans="104:111">
      <c r="CZ38745" s="256"/>
      <c r="DG38745" s="256"/>
    </row>
    <row r="38746" spans="104:111">
      <c r="CZ38746" s="256"/>
      <c r="DG38746" s="256"/>
    </row>
    <row r="38747" spans="104:111">
      <c r="CZ38747" s="256"/>
      <c r="DG38747" s="256"/>
    </row>
    <row r="38748" spans="104:111">
      <c r="CZ38748" s="256"/>
      <c r="DG38748" s="256"/>
    </row>
    <row r="38749" spans="104:111">
      <c r="CZ38749" s="256"/>
      <c r="DG38749" s="256"/>
    </row>
    <row r="38750" spans="104:111">
      <c r="CZ38750" s="256"/>
      <c r="DG38750" s="256"/>
    </row>
    <row r="38751" spans="104:111">
      <c r="CZ38751" s="256"/>
      <c r="DG38751" s="256"/>
    </row>
    <row r="38752" spans="104:111">
      <c r="CZ38752" s="256"/>
      <c r="DG38752" s="256"/>
    </row>
    <row r="38753" spans="104:111">
      <c r="CZ38753" s="256"/>
      <c r="DG38753" s="256"/>
    </row>
    <row r="38754" spans="104:111">
      <c r="CZ38754" s="256"/>
      <c r="DG38754" s="256"/>
    </row>
    <row r="38755" spans="104:111">
      <c r="CZ38755" s="256"/>
      <c r="DG38755" s="256"/>
    </row>
    <row r="38756" spans="104:111">
      <c r="CZ38756" s="256"/>
      <c r="DG38756" s="256"/>
    </row>
    <row r="38757" spans="104:111">
      <c r="CZ38757" s="256"/>
      <c r="DG38757" s="256"/>
    </row>
    <row r="38758" spans="104:111">
      <c r="CZ38758" s="256"/>
      <c r="DG38758" s="256"/>
    </row>
    <row r="38759" spans="104:111">
      <c r="CZ38759" s="256"/>
      <c r="DG38759" s="256"/>
    </row>
    <row r="38760" spans="104:111">
      <c r="CZ38760" s="256"/>
      <c r="DG38760" s="256"/>
    </row>
    <row r="38761" spans="104:111">
      <c r="CZ38761" s="256"/>
      <c r="DG38761" s="256"/>
    </row>
    <row r="38762" spans="104:111">
      <c r="CZ38762" s="256"/>
      <c r="DG38762" s="256"/>
    </row>
    <row r="38763" spans="104:111">
      <c r="CZ38763" s="256"/>
      <c r="DG38763" s="256"/>
    </row>
    <row r="38764" spans="104:111">
      <c r="CZ38764" s="256"/>
      <c r="DG38764" s="256"/>
    </row>
    <row r="38765" spans="104:111">
      <c r="CZ38765" s="256"/>
      <c r="DG38765" s="256"/>
    </row>
    <row r="38766" spans="104:111">
      <c r="CZ38766" s="256"/>
      <c r="DG38766" s="256"/>
    </row>
    <row r="38767" spans="104:111">
      <c r="CZ38767" s="256"/>
      <c r="DG38767" s="256"/>
    </row>
    <row r="38768" spans="104:111">
      <c r="CZ38768" s="256"/>
      <c r="DG38768" s="256"/>
    </row>
    <row r="38769" spans="104:111">
      <c r="CZ38769" s="256"/>
      <c r="DG38769" s="256"/>
    </row>
    <row r="38770" spans="104:111">
      <c r="CZ38770" s="256"/>
      <c r="DG38770" s="256"/>
    </row>
    <row r="38771" spans="104:111">
      <c r="CZ38771" s="256"/>
      <c r="DG38771" s="256"/>
    </row>
    <row r="38772" spans="104:111">
      <c r="CZ38772" s="256"/>
      <c r="DG38772" s="256"/>
    </row>
    <row r="38773" spans="104:111">
      <c r="CZ38773" s="256"/>
      <c r="DG38773" s="256"/>
    </row>
    <row r="38774" spans="104:111">
      <c r="CZ38774" s="256"/>
      <c r="DG38774" s="256"/>
    </row>
    <row r="38775" spans="104:111">
      <c r="CZ38775" s="256"/>
      <c r="DG38775" s="256"/>
    </row>
    <row r="38776" spans="104:111">
      <c r="CZ38776" s="256"/>
      <c r="DG38776" s="256"/>
    </row>
    <row r="38777" spans="104:111">
      <c r="CZ38777" s="256"/>
      <c r="DG38777" s="256"/>
    </row>
    <row r="38778" spans="104:111">
      <c r="CZ38778" s="256"/>
      <c r="DG38778" s="256"/>
    </row>
    <row r="38779" spans="104:111">
      <c r="CZ38779" s="256"/>
      <c r="DG38779" s="256"/>
    </row>
    <row r="38780" spans="104:111">
      <c r="CZ38780" s="256"/>
      <c r="DG38780" s="256"/>
    </row>
    <row r="38781" spans="104:111">
      <c r="CZ38781" s="256"/>
      <c r="DG38781" s="256"/>
    </row>
    <row r="38782" spans="104:111">
      <c r="CZ38782" s="256"/>
      <c r="DG38782" s="256"/>
    </row>
    <row r="38783" spans="104:111">
      <c r="CZ38783" s="256"/>
      <c r="DG38783" s="256"/>
    </row>
    <row r="38784" spans="104:111">
      <c r="CZ38784" s="256"/>
      <c r="DG38784" s="256"/>
    </row>
    <row r="38785" spans="104:111">
      <c r="CZ38785" s="256"/>
      <c r="DG38785" s="256"/>
    </row>
    <row r="38786" spans="104:111">
      <c r="CZ38786" s="256"/>
      <c r="DG38786" s="256"/>
    </row>
    <row r="38787" spans="104:111">
      <c r="CZ38787" s="256"/>
      <c r="DG38787" s="256"/>
    </row>
    <row r="38788" spans="104:111">
      <c r="CZ38788" s="256"/>
      <c r="DG38788" s="256"/>
    </row>
    <row r="38789" spans="104:111">
      <c r="CZ38789" s="256"/>
      <c r="DG38789" s="256"/>
    </row>
    <row r="38790" spans="104:111">
      <c r="CZ38790" s="256"/>
      <c r="DG38790" s="256"/>
    </row>
    <row r="38791" spans="104:111">
      <c r="CZ38791" s="256"/>
      <c r="DG38791" s="256"/>
    </row>
    <row r="38792" spans="104:111">
      <c r="CZ38792" s="256"/>
      <c r="DG38792" s="256"/>
    </row>
    <row r="38793" spans="104:111">
      <c r="CZ38793" s="256"/>
      <c r="DG38793" s="256"/>
    </row>
    <row r="38794" spans="104:111">
      <c r="CZ38794" s="256"/>
      <c r="DG38794" s="256"/>
    </row>
    <row r="38795" spans="104:111">
      <c r="CZ38795" s="256"/>
      <c r="DG38795" s="256"/>
    </row>
    <row r="38796" spans="104:111">
      <c r="CZ38796" s="256"/>
      <c r="DG38796" s="256"/>
    </row>
    <row r="38797" spans="104:111">
      <c r="CZ38797" s="256"/>
      <c r="DG38797" s="256"/>
    </row>
    <row r="38798" spans="104:111">
      <c r="CZ38798" s="256"/>
      <c r="DG38798" s="256"/>
    </row>
    <row r="38799" spans="104:111">
      <c r="CZ38799" s="256"/>
      <c r="DG38799" s="256"/>
    </row>
    <row r="38800" spans="104:111">
      <c r="CZ38800" s="256"/>
      <c r="DG38800" s="256"/>
    </row>
    <row r="38801" spans="104:111">
      <c r="CZ38801" s="256"/>
      <c r="DG38801" s="256"/>
    </row>
    <row r="38802" spans="104:111">
      <c r="CZ38802" s="256"/>
      <c r="DG38802" s="256"/>
    </row>
    <row r="38803" spans="104:111">
      <c r="CZ38803" s="256"/>
      <c r="DG38803" s="256"/>
    </row>
    <row r="38804" spans="104:111">
      <c r="CZ38804" s="256"/>
      <c r="DG38804" s="256"/>
    </row>
    <row r="38805" spans="104:111">
      <c r="CZ38805" s="256"/>
      <c r="DG38805" s="256"/>
    </row>
    <row r="38806" spans="104:111">
      <c r="CZ38806" s="256"/>
      <c r="DG38806" s="256"/>
    </row>
    <row r="38807" spans="104:111">
      <c r="CZ38807" s="256"/>
      <c r="DG38807" s="256"/>
    </row>
    <row r="38808" spans="104:111">
      <c r="CZ38808" s="256"/>
      <c r="DG38808" s="256"/>
    </row>
    <row r="38809" spans="104:111">
      <c r="CZ38809" s="256"/>
      <c r="DG38809" s="256"/>
    </row>
    <row r="38810" spans="104:111">
      <c r="CZ38810" s="256"/>
      <c r="DG38810" s="256"/>
    </row>
    <row r="38811" spans="104:111">
      <c r="CZ38811" s="256"/>
      <c r="DG38811" s="256"/>
    </row>
    <row r="38812" spans="104:111">
      <c r="CZ38812" s="256"/>
      <c r="DG38812" s="256"/>
    </row>
    <row r="38813" spans="104:111">
      <c r="CZ38813" s="256"/>
      <c r="DG38813" s="256"/>
    </row>
    <row r="38814" spans="104:111">
      <c r="CZ38814" s="256"/>
      <c r="DG38814" s="256"/>
    </row>
    <row r="38815" spans="104:111">
      <c r="CZ38815" s="256"/>
      <c r="DG38815" s="256"/>
    </row>
    <row r="38816" spans="104:111">
      <c r="CZ38816" s="256"/>
      <c r="DG38816" s="256"/>
    </row>
    <row r="38817" spans="104:111">
      <c r="CZ38817" s="256"/>
      <c r="DG38817" s="256"/>
    </row>
    <row r="38818" spans="104:111">
      <c r="CZ38818" s="256"/>
      <c r="DG38818" s="256"/>
    </row>
    <row r="38819" spans="104:111">
      <c r="CZ38819" s="256"/>
      <c r="DG38819" s="256"/>
    </row>
    <row r="38820" spans="104:111">
      <c r="CZ38820" s="256"/>
      <c r="DG38820" s="256"/>
    </row>
    <row r="38821" spans="104:111">
      <c r="CZ38821" s="256"/>
      <c r="DG38821" s="256"/>
    </row>
    <row r="38822" spans="104:111">
      <c r="CZ38822" s="256"/>
      <c r="DG38822" s="256"/>
    </row>
    <row r="38823" spans="104:111">
      <c r="CZ38823" s="256"/>
      <c r="DG38823" s="256"/>
    </row>
    <row r="38824" spans="104:111">
      <c r="CZ38824" s="256"/>
      <c r="DG38824" s="256"/>
    </row>
    <row r="38825" spans="104:111">
      <c r="CZ38825" s="256"/>
      <c r="DG38825" s="256"/>
    </row>
    <row r="38826" spans="104:111">
      <c r="CZ38826" s="256"/>
      <c r="DG38826" s="256"/>
    </row>
    <row r="38827" spans="104:111">
      <c r="CZ38827" s="256"/>
      <c r="DG38827" s="256"/>
    </row>
    <row r="38828" spans="104:111">
      <c r="CZ38828" s="256"/>
      <c r="DG38828" s="256"/>
    </row>
    <row r="38829" spans="104:111">
      <c r="CZ38829" s="256"/>
      <c r="DG38829" s="256"/>
    </row>
    <row r="38830" spans="104:111">
      <c r="CZ38830" s="256"/>
      <c r="DG38830" s="256"/>
    </row>
    <row r="38831" spans="104:111">
      <c r="CZ38831" s="256"/>
      <c r="DG38831" s="256"/>
    </row>
    <row r="38832" spans="104:111">
      <c r="CZ38832" s="256"/>
      <c r="DG38832" s="256"/>
    </row>
    <row r="38833" spans="104:111">
      <c r="CZ38833" s="256"/>
      <c r="DG38833" s="256"/>
    </row>
    <row r="38834" spans="104:111">
      <c r="CZ38834" s="256"/>
      <c r="DG38834" s="256"/>
    </row>
    <row r="38835" spans="104:111">
      <c r="CZ38835" s="256"/>
      <c r="DG38835" s="256"/>
    </row>
    <row r="38836" spans="104:111">
      <c r="CZ38836" s="256"/>
      <c r="DG38836" s="256"/>
    </row>
    <row r="38837" spans="104:111">
      <c r="CZ38837" s="256"/>
      <c r="DG38837" s="256"/>
    </row>
    <row r="38838" spans="104:111">
      <c r="CZ38838" s="256"/>
      <c r="DG38838" s="256"/>
    </row>
    <row r="38839" spans="104:111">
      <c r="CZ38839" s="256"/>
      <c r="DG38839" s="256"/>
    </row>
    <row r="38840" spans="104:111">
      <c r="CZ38840" s="256"/>
      <c r="DG38840" s="256"/>
    </row>
    <row r="38841" spans="104:111">
      <c r="CZ38841" s="256"/>
      <c r="DG38841" s="256"/>
    </row>
    <row r="38842" spans="104:111">
      <c r="CZ38842" s="256"/>
      <c r="DG38842" s="256"/>
    </row>
    <row r="38843" spans="104:111">
      <c r="CZ38843" s="256"/>
      <c r="DG38843" s="256"/>
    </row>
    <row r="38844" spans="104:111">
      <c r="CZ38844" s="256"/>
      <c r="DG38844" s="256"/>
    </row>
    <row r="38845" spans="104:111">
      <c r="CZ38845" s="256"/>
      <c r="DG38845" s="256"/>
    </row>
    <row r="38846" spans="104:111">
      <c r="CZ38846" s="256"/>
      <c r="DG38846" s="256"/>
    </row>
    <row r="38847" spans="104:111">
      <c r="CZ38847" s="256"/>
      <c r="DG38847" s="256"/>
    </row>
    <row r="38848" spans="104:111">
      <c r="CZ38848" s="256"/>
      <c r="DG38848" s="256"/>
    </row>
    <row r="38849" spans="104:111">
      <c r="CZ38849" s="256"/>
      <c r="DG38849" s="256"/>
    </row>
    <row r="38850" spans="104:111">
      <c r="CZ38850" s="256"/>
      <c r="DG38850" s="256"/>
    </row>
    <row r="38851" spans="104:111">
      <c r="CZ38851" s="256"/>
      <c r="DG38851" s="256"/>
    </row>
    <row r="38852" spans="104:111">
      <c r="CZ38852" s="256"/>
      <c r="DG38852" s="256"/>
    </row>
    <row r="38853" spans="104:111">
      <c r="CZ38853" s="256"/>
      <c r="DG38853" s="256"/>
    </row>
    <row r="38854" spans="104:111">
      <c r="CZ38854" s="256"/>
      <c r="DG38854" s="256"/>
    </row>
    <row r="38855" spans="104:111">
      <c r="CZ38855" s="256"/>
      <c r="DG38855" s="256"/>
    </row>
    <row r="38856" spans="104:111">
      <c r="CZ38856" s="256"/>
      <c r="DG38856" s="256"/>
    </row>
    <row r="38857" spans="104:111">
      <c r="CZ38857" s="256"/>
      <c r="DG38857" s="256"/>
    </row>
    <row r="38858" spans="104:111">
      <c r="CZ38858" s="256"/>
      <c r="DG38858" s="256"/>
    </row>
    <row r="38859" spans="104:111">
      <c r="CZ38859" s="256"/>
      <c r="DG38859" s="256"/>
    </row>
    <row r="38860" spans="104:111">
      <c r="CZ38860" s="256"/>
      <c r="DG38860" s="256"/>
    </row>
    <row r="38861" spans="104:111">
      <c r="CZ38861" s="256"/>
      <c r="DG38861" s="256"/>
    </row>
    <row r="38862" spans="104:111">
      <c r="CZ38862" s="256"/>
      <c r="DG38862" s="256"/>
    </row>
    <row r="38863" spans="104:111">
      <c r="CZ38863" s="256"/>
      <c r="DG38863" s="256"/>
    </row>
    <row r="38864" spans="104:111">
      <c r="CZ38864" s="256"/>
      <c r="DG38864" s="256"/>
    </row>
    <row r="38865" spans="104:111">
      <c r="CZ38865" s="256"/>
      <c r="DG38865" s="256"/>
    </row>
    <row r="38866" spans="104:111">
      <c r="CZ38866" s="256"/>
      <c r="DG38866" s="256"/>
    </row>
    <row r="38867" spans="104:111">
      <c r="CZ38867" s="256"/>
      <c r="DG38867" s="256"/>
    </row>
    <row r="38868" spans="104:111">
      <c r="CZ38868" s="256"/>
      <c r="DG38868" s="256"/>
    </row>
    <row r="38869" spans="104:111">
      <c r="CZ38869" s="256"/>
      <c r="DG38869" s="256"/>
    </row>
    <row r="38870" spans="104:111">
      <c r="CZ38870" s="256"/>
      <c r="DG38870" s="256"/>
    </row>
    <row r="38871" spans="104:111">
      <c r="CZ38871" s="256"/>
      <c r="DG38871" s="256"/>
    </row>
    <row r="38872" spans="104:111">
      <c r="CZ38872" s="256"/>
      <c r="DG38872" s="256"/>
    </row>
    <row r="38873" spans="104:111">
      <c r="CZ38873" s="256"/>
      <c r="DG38873" s="256"/>
    </row>
    <row r="38874" spans="104:111">
      <c r="CZ38874" s="256"/>
      <c r="DG38874" s="256"/>
    </row>
    <row r="38875" spans="104:111">
      <c r="CZ38875" s="256"/>
      <c r="DG38875" s="256"/>
    </row>
    <row r="38876" spans="104:111">
      <c r="CZ38876" s="256"/>
      <c r="DG38876" s="256"/>
    </row>
    <row r="38877" spans="104:111">
      <c r="CZ38877" s="256"/>
      <c r="DG38877" s="256"/>
    </row>
    <row r="38878" spans="104:111">
      <c r="CZ38878" s="256"/>
      <c r="DG38878" s="256"/>
    </row>
    <row r="38879" spans="104:111">
      <c r="CZ38879" s="256"/>
      <c r="DG38879" s="256"/>
    </row>
    <row r="38880" spans="104:111">
      <c r="CZ38880" s="256"/>
      <c r="DG38880" s="256"/>
    </row>
    <row r="38881" spans="104:111">
      <c r="CZ38881" s="256"/>
      <c r="DG38881" s="256"/>
    </row>
    <row r="38882" spans="104:111">
      <c r="CZ38882" s="256"/>
      <c r="DG38882" s="256"/>
    </row>
    <row r="38883" spans="104:111">
      <c r="CZ38883" s="256"/>
      <c r="DG38883" s="256"/>
    </row>
    <row r="38884" spans="104:111">
      <c r="CZ38884" s="256"/>
      <c r="DG38884" s="256"/>
    </row>
    <row r="38885" spans="104:111">
      <c r="CZ38885" s="256"/>
      <c r="DG38885" s="256"/>
    </row>
    <row r="38886" spans="104:111">
      <c r="CZ38886" s="256"/>
      <c r="DG38886" s="256"/>
    </row>
    <row r="38887" spans="104:111">
      <c r="CZ38887" s="256"/>
      <c r="DG38887" s="256"/>
    </row>
    <row r="38888" spans="104:111">
      <c r="CZ38888" s="256"/>
      <c r="DG38888" s="256"/>
    </row>
    <row r="38889" spans="104:111">
      <c r="CZ38889" s="256"/>
      <c r="DG38889" s="256"/>
    </row>
    <row r="38890" spans="104:111">
      <c r="CZ38890" s="256"/>
      <c r="DG38890" s="256"/>
    </row>
    <row r="38891" spans="104:111">
      <c r="CZ38891" s="256"/>
      <c r="DG38891" s="256"/>
    </row>
    <row r="38892" spans="104:111">
      <c r="CZ38892" s="256"/>
      <c r="DG38892" s="256"/>
    </row>
    <row r="38893" spans="104:111">
      <c r="CZ38893" s="256"/>
      <c r="DG38893" s="256"/>
    </row>
    <row r="38894" spans="104:111">
      <c r="CZ38894" s="256"/>
      <c r="DG38894" s="256"/>
    </row>
    <row r="38895" spans="104:111">
      <c r="CZ38895" s="256"/>
      <c r="DG38895" s="256"/>
    </row>
    <row r="38896" spans="104:111">
      <c r="CZ38896" s="256"/>
      <c r="DG38896" s="256"/>
    </row>
    <row r="38897" spans="104:111">
      <c r="CZ38897" s="256"/>
      <c r="DG38897" s="256"/>
    </row>
    <row r="38898" spans="104:111">
      <c r="CZ38898" s="256"/>
      <c r="DG38898" s="256"/>
    </row>
    <row r="38899" spans="104:111">
      <c r="CZ38899" s="256"/>
      <c r="DG38899" s="256"/>
    </row>
    <row r="38900" spans="104:111">
      <c r="CZ38900" s="256"/>
      <c r="DG38900" s="256"/>
    </row>
    <row r="38901" spans="104:111">
      <c r="CZ38901" s="256"/>
      <c r="DG38901" s="256"/>
    </row>
    <row r="38902" spans="104:111">
      <c r="CZ38902" s="256"/>
      <c r="DG38902" s="256"/>
    </row>
    <row r="38903" spans="104:111">
      <c r="CZ38903" s="256"/>
      <c r="DG38903" s="256"/>
    </row>
    <row r="38904" spans="104:111">
      <c r="CZ38904" s="256"/>
      <c r="DG38904" s="256"/>
    </row>
    <row r="38905" spans="104:111">
      <c r="CZ38905" s="256"/>
      <c r="DG38905" s="256"/>
    </row>
    <row r="38906" spans="104:111">
      <c r="CZ38906" s="256"/>
      <c r="DG38906" s="256"/>
    </row>
    <row r="38907" spans="104:111">
      <c r="CZ38907" s="256"/>
      <c r="DG38907" s="256"/>
    </row>
    <row r="38908" spans="104:111">
      <c r="CZ38908" s="256"/>
      <c r="DG38908" s="256"/>
    </row>
    <row r="38909" spans="104:111">
      <c r="CZ38909" s="256"/>
      <c r="DG38909" s="256"/>
    </row>
    <row r="38910" spans="104:111">
      <c r="CZ38910" s="256"/>
      <c r="DG38910" s="256"/>
    </row>
    <row r="38911" spans="104:111">
      <c r="CZ38911" s="256"/>
      <c r="DG38911" s="256"/>
    </row>
    <row r="38912" spans="104:111">
      <c r="CZ38912" s="256"/>
      <c r="DG38912" s="256"/>
    </row>
    <row r="38913" spans="104:111">
      <c r="CZ38913" s="256"/>
      <c r="DG38913" s="256"/>
    </row>
    <row r="38914" spans="104:111">
      <c r="CZ38914" s="256"/>
      <c r="DG38914" s="256"/>
    </row>
    <row r="38915" spans="104:111">
      <c r="CZ38915" s="256"/>
      <c r="DG38915" s="256"/>
    </row>
    <row r="38916" spans="104:111">
      <c r="CZ38916" s="256"/>
      <c r="DG38916" s="256"/>
    </row>
    <row r="38917" spans="104:111">
      <c r="CZ38917" s="256"/>
      <c r="DG38917" s="256"/>
    </row>
    <row r="38918" spans="104:111">
      <c r="CZ38918" s="256"/>
      <c r="DG38918" s="256"/>
    </row>
    <row r="38919" spans="104:111">
      <c r="CZ38919" s="256"/>
      <c r="DG38919" s="256"/>
    </row>
    <row r="38920" spans="104:111">
      <c r="CZ38920" s="256"/>
      <c r="DG38920" s="256"/>
    </row>
    <row r="38921" spans="104:111">
      <c r="CZ38921" s="256"/>
      <c r="DG38921" s="256"/>
    </row>
    <row r="38922" spans="104:111">
      <c r="CZ38922" s="256"/>
      <c r="DG38922" s="256"/>
    </row>
    <row r="38923" spans="104:111">
      <c r="CZ38923" s="256"/>
      <c r="DG38923" s="256"/>
    </row>
    <row r="38924" spans="104:111">
      <c r="CZ38924" s="256"/>
      <c r="DG38924" s="256"/>
    </row>
    <row r="38925" spans="104:111">
      <c r="CZ38925" s="256"/>
      <c r="DG38925" s="256"/>
    </row>
    <row r="38926" spans="104:111">
      <c r="CZ38926" s="256"/>
      <c r="DG38926" s="256"/>
    </row>
    <row r="38927" spans="104:111">
      <c r="CZ38927" s="256"/>
      <c r="DG38927" s="256"/>
    </row>
    <row r="38928" spans="104:111">
      <c r="CZ38928" s="256"/>
      <c r="DG38928" s="256"/>
    </row>
    <row r="38929" spans="104:111">
      <c r="CZ38929" s="256"/>
      <c r="DG38929" s="256"/>
    </row>
    <row r="38930" spans="104:111">
      <c r="CZ38930" s="256"/>
      <c r="DG38930" s="256"/>
    </row>
    <row r="38931" spans="104:111">
      <c r="CZ38931" s="256"/>
      <c r="DG38931" s="256"/>
    </row>
    <row r="38932" spans="104:111">
      <c r="CZ38932" s="256"/>
      <c r="DG38932" s="256"/>
    </row>
    <row r="38933" spans="104:111">
      <c r="CZ38933" s="256"/>
      <c r="DG38933" s="256"/>
    </row>
    <row r="38934" spans="104:111">
      <c r="CZ38934" s="256"/>
      <c r="DG38934" s="256"/>
    </row>
    <row r="38935" spans="104:111">
      <c r="CZ38935" s="256"/>
      <c r="DG38935" s="256"/>
    </row>
    <row r="38936" spans="104:111">
      <c r="CZ38936" s="256"/>
      <c r="DG38936" s="256"/>
    </row>
    <row r="38937" spans="104:111">
      <c r="CZ38937" s="256"/>
      <c r="DG38937" s="256"/>
    </row>
    <row r="38938" spans="104:111">
      <c r="CZ38938" s="256"/>
      <c r="DG38938" s="256"/>
    </row>
    <row r="38939" spans="104:111">
      <c r="CZ38939" s="256"/>
      <c r="DG38939" s="256"/>
    </row>
    <row r="38940" spans="104:111">
      <c r="CZ38940" s="256"/>
      <c r="DG38940" s="256"/>
    </row>
    <row r="38941" spans="104:111">
      <c r="CZ38941" s="256"/>
      <c r="DG38941" s="256"/>
    </row>
    <row r="38942" spans="104:111">
      <c r="CZ38942" s="256"/>
      <c r="DG38942" s="256"/>
    </row>
    <row r="38943" spans="104:111">
      <c r="CZ38943" s="256"/>
      <c r="DG38943" s="256"/>
    </row>
    <row r="38944" spans="104:111">
      <c r="CZ38944" s="256"/>
      <c r="DG38944" s="256"/>
    </row>
    <row r="38945" spans="104:111">
      <c r="CZ38945" s="256"/>
      <c r="DG38945" s="256"/>
    </row>
    <row r="38946" spans="104:111">
      <c r="CZ38946" s="256"/>
      <c r="DG38946" s="256"/>
    </row>
    <row r="38947" spans="104:111">
      <c r="CZ38947" s="256"/>
      <c r="DG38947" s="256"/>
    </row>
    <row r="38948" spans="104:111">
      <c r="CZ38948" s="256"/>
      <c r="DG38948" s="256"/>
    </row>
    <row r="38949" spans="104:111">
      <c r="CZ38949" s="256"/>
      <c r="DG38949" s="256"/>
    </row>
    <row r="38950" spans="104:111">
      <c r="CZ38950" s="256"/>
      <c r="DG38950" s="256"/>
    </row>
    <row r="38951" spans="104:111">
      <c r="CZ38951" s="256"/>
      <c r="DG38951" s="256"/>
    </row>
    <row r="38952" spans="104:111">
      <c r="CZ38952" s="256"/>
      <c r="DG38952" s="256"/>
    </row>
    <row r="38953" spans="104:111">
      <c r="CZ38953" s="256"/>
      <c r="DG38953" s="256"/>
    </row>
    <row r="38954" spans="104:111">
      <c r="CZ38954" s="256"/>
      <c r="DG38954" s="256"/>
    </row>
    <row r="38955" spans="104:111">
      <c r="CZ38955" s="256"/>
      <c r="DG38955" s="256"/>
    </row>
    <row r="38956" spans="104:111">
      <c r="CZ38956" s="256"/>
      <c r="DG38956" s="256"/>
    </row>
    <row r="38957" spans="104:111">
      <c r="CZ38957" s="256"/>
      <c r="DG38957" s="256"/>
    </row>
    <row r="38958" spans="104:111">
      <c r="CZ38958" s="256"/>
      <c r="DG38958" s="256"/>
    </row>
    <row r="38959" spans="104:111">
      <c r="CZ38959" s="256"/>
      <c r="DG38959" s="256"/>
    </row>
    <row r="38960" spans="104:111">
      <c r="CZ38960" s="256"/>
      <c r="DG38960" s="256"/>
    </row>
    <row r="38961" spans="104:111">
      <c r="CZ38961" s="256"/>
      <c r="DG38961" s="256"/>
    </row>
    <row r="38962" spans="104:111">
      <c r="CZ38962" s="256"/>
      <c r="DG38962" s="256"/>
    </row>
    <row r="38963" spans="104:111">
      <c r="CZ38963" s="256"/>
      <c r="DG38963" s="256"/>
    </row>
    <row r="38964" spans="104:111">
      <c r="CZ38964" s="256"/>
      <c r="DG38964" s="256"/>
    </row>
    <row r="38965" spans="104:111">
      <c r="CZ38965" s="256"/>
      <c r="DG38965" s="256"/>
    </row>
    <row r="38966" spans="104:111">
      <c r="CZ38966" s="256"/>
      <c r="DG38966" s="256"/>
    </row>
    <row r="38967" spans="104:111">
      <c r="CZ38967" s="256"/>
      <c r="DG38967" s="256"/>
    </row>
    <row r="38968" spans="104:111">
      <c r="CZ38968" s="256"/>
      <c r="DG38968" s="256"/>
    </row>
    <row r="38969" spans="104:111">
      <c r="CZ38969" s="256"/>
      <c r="DG38969" s="256"/>
    </row>
    <row r="38970" spans="104:111">
      <c r="CZ38970" s="256"/>
      <c r="DG38970" s="256"/>
    </row>
    <row r="38971" spans="104:111">
      <c r="CZ38971" s="256"/>
      <c r="DG38971" s="256"/>
    </row>
    <row r="38972" spans="104:111">
      <c r="CZ38972" s="256"/>
      <c r="DG38972" s="256"/>
    </row>
    <row r="38973" spans="104:111">
      <c r="CZ38973" s="256"/>
      <c r="DG38973" s="256"/>
    </row>
    <row r="38974" spans="104:111">
      <c r="CZ38974" s="256"/>
      <c r="DG38974" s="256"/>
    </row>
    <row r="38975" spans="104:111">
      <c r="CZ38975" s="256"/>
      <c r="DG38975" s="256"/>
    </row>
    <row r="38976" spans="104:111">
      <c r="CZ38976" s="256"/>
      <c r="DG38976" s="256"/>
    </row>
    <row r="38977" spans="104:111">
      <c r="CZ38977" s="256"/>
      <c r="DG38977" s="256"/>
    </row>
    <row r="38978" spans="104:111">
      <c r="CZ38978" s="256"/>
      <c r="DG38978" s="256"/>
    </row>
    <row r="38979" spans="104:111">
      <c r="CZ38979" s="256"/>
      <c r="DG38979" s="256"/>
    </row>
    <row r="38980" spans="104:111">
      <c r="CZ38980" s="256"/>
      <c r="DG38980" s="256"/>
    </row>
    <row r="38981" spans="104:111">
      <c r="CZ38981" s="256"/>
      <c r="DG38981" s="256"/>
    </row>
    <row r="38982" spans="104:111">
      <c r="CZ38982" s="256"/>
      <c r="DG38982" s="256"/>
    </row>
    <row r="38983" spans="104:111">
      <c r="CZ38983" s="256"/>
      <c r="DG38983" s="256"/>
    </row>
    <row r="38984" spans="104:111">
      <c r="CZ38984" s="256"/>
      <c r="DG38984" s="256"/>
    </row>
    <row r="38985" spans="104:111">
      <c r="CZ38985" s="256"/>
      <c r="DG38985" s="256"/>
    </row>
    <row r="38986" spans="104:111">
      <c r="CZ38986" s="256"/>
      <c r="DG38986" s="256"/>
    </row>
    <row r="38987" spans="104:111">
      <c r="CZ38987" s="256"/>
      <c r="DG38987" s="256"/>
    </row>
    <row r="38988" spans="104:111">
      <c r="CZ38988" s="256"/>
      <c r="DG38988" s="256"/>
    </row>
    <row r="38989" spans="104:111">
      <c r="CZ38989" s="256"/>
      <c r="DG38989" s="256"/>
    </row>
    <row r="38990" spans="104:111">
      <c r="CZ38990" s="256"/>
      <c r="DG38990" s="256"/>
    </row>
    <row r="38991" spans="104:111">
      <c r="CZ38991" s="256"/>
      <c r="DG38991" s="256"/>
    </row>
    <row r="38992" spans="104:111">
      <c r="CZ38992" s="256"/>
      <c r="DG38992" s="256"/>
    </row>
    <row r="38993" spans="104:111">
      <c r="CZ38993" s="256"/>
      <c r="DG38993" s="256"/>
    </row>
    <row r="38994" spans="104:111">
      <c r="CZ38994" s="256"/>
      <c r="DG38994" s="256"/>
    </row>
    <row r="38995" spans="104:111">
      <c r="CZ38995" s="256"/>
      <c r="DG38995" s="256"/>
    </row>
    <row r="38996" spans="104:111">
      <c r="CZ38996" s="256"/>
      <c r="DG38996" s="256"/>
    </row>
    <row r="38997" spans="104:111">
      <c r="CZ38997" s="256"/>
      <c r="DG38997" s="256"/>
    </row>
    <row r="38998" spans="104:111">
      <c r="CZ38998" s="256"/>
      <c r="DG38998" s="256"/>
    </row>
    <row r="38999" spans="104:111">
      <c r="CZ38999" s="256"/>
      <c r="DG38999" s="256"/>
    </row>
    <row r="39000" spans="104:111">
      <c r="CZ39000" s="256"/>
      <c r="DG39000" s="256"/>
    </row>
    <row r="39001" spans="104:111">
      <c r="CZ39001" s="256"/>
      <c r="DG39001" s="256"/>
    </row>
    <row r="39002" spans="104:111">
      <c r="CZ39002" s="256"/>
      <c r="DG39002" s="256"/>
    </row>
    <row r="39003" spans="104:111">
      <c r="CZ39003" s="256"/>
      <c r="DG39003" s="256"/>
    </row>
    <row r="39004" spans="104:111">
      <c r="CZ39004" s="256"/>
      <c r="DG39004" s="256"/>
    </row>
    <row r="39005" spans="104:111">
      <c r="CZ39005" s="256"/>
      <c r="DG39005" s="256"/>
    </row>
    <row r="39006" spans="104:111">
      <c r="CZ39006" s="256"/>
      <c r="DG39006" s="256"/>
    </row>
    <row r="39007" spans="104:111">
      <c r="CZ39007" s="256"/>
      <c r="DG39007" s="256"/>
    </row>
    <row r="39008" spans="104:111">
      <c r="CZ39008" s="256"/>
      <c r="DG39008" s="256"/>
    </row>
    <row r="39009" spans="104:111">
      <c r="CZ39009" s="256"/>
      <c r="DG39009" s="256"/>
    </row>
    <row r="39010" spans="104:111">
      <c r="CZ39010" s="256"/>
      <c r="DG39010" s="256"/>
    </row>
    <row r="39011" spans="104:111">
      <c r="CZ39011" s="256"/>
      <c r="DG39011" s="256"/>
    </row>
    <row r="39012" spans="104:111">
      <c r="CZ39012" s="256"/>
      <c r="DG39012" s="256"/>
    </row>
    <row r="39013" spans="104:111">
      <c r="CZ39013" s="256"/>
      <c r="DG39013" s="256"/>
    </row>
    <row r="39014" spans="104:111">
      <c r="CZ39014" s="256"/>
      <c r="DG39014" s="256"/>
    </row>
    <row r="39015" spans="104:111">
      <c r="CZ39015" s="256"/>
      <c r="DG39015" s="256"/>
    </row>
    <row r="39016" spans="104:111">
      <c r="CZ39016" s="256"/>
      <c r="DG39016" s="256"/>
    </row>
    <row r="39017" spans="104:111">
      <c r="CZ39017" s="256"/>
      <c r="DG39017" s="256"/>
    </row>
    <row r="39018" spans="104:111">
      <c r="CZ39018" s="256"/>
      <c r="DG39018" s="256"/>
    </row>
    <row r="39019" spans="104:111">
      <c r="CZ39019" s="256"/>
      <c r="DG39019" s="256"/>
    </row>
    <row r="39020" spans="104:111">
      <c r="CZ39020" s="256"/>
      <c r="DG39020" s="256"/>
    </row>
    <row r="39021" spans="104:111">
      <c r="CZ39021" s="256"/>
      <c r="DG39021" s="256"/>
    </row>
    <row r="39022" spans="104:111">
      <c r="CZ39022" s="256"/>
      <c r="DG39022" s="256"/>
    </row>
    <row r="39023" spans="104:111">
      <c r="CZ39023" s="256"/>
      <c r="DG39023" s="256"/>
    </row>
    <row r="39024" spans="104:111">
      <c r="CZ39024" s="256"/>
      <c r="DG39024" s="256"/>
    </row>
    <row r="39025" spans="104:111">
      <c r="CZ39025" s="256"/>
      <c r="DG39025" s="256"/>
    </row>
    <row r="39026" spans="104:111">
      <c r="CZ39026" s="256"/>
      <c r="DG39026" s="256"/>
    </row>
    <row r="39027" spans="104:111">
      <c r="CZ39027" s="256"/>
      <c r="DG39027" s="256"/>
    </row>
    <row r="39028" spans="104:111">
      <c r="CZ39028" s="256"/>
      <c r="DG39028" s="256"/>
    </row>
    <row r="39029" spans="104:111">
      <c r="CZ39029" s="256"/>
      <c r="DG39029" s="256"/>
    </row>
    <row r="39030" spans="104:111">
      <c r="CZ39030" s="256"/>
      <c r="DG39030" s="256"/>
    </row>
    <row r="39031" spans="104:111">
      <c r="CZ39031" s="256"/>
      <c r="DG39031" s="256"/>
    </row>
    <row r="39032" spans="104:111">
      <c r="CZ39032" s="256"/>
      <c r="DG39032" s="256"/>
    </row>
    <row r="39033" spans="104:111">
      <c r="CZ39033" s="256"/>
      <c r="DG39033" s="256"/>
    </row>
    <row r="39034" spans="104:111">
      <c r="CZ39034" s="256"/>
      <c r="DG39034" s="256"/>
    </row>
    <row r="39035" spans="104:111">
      <c r="CZ39035" s="256"/>
      <c r="DG39035" s="256"/>
    </row>
    <row r="39036" spans="104:111">
      <c r="CZ39036" s="256"/>
      <c r="DG39036" s="256"/>
    </row>
    <row r="39037" spans="104:111">
      <c r="CZ39037" s="256"/>
      <c r="DG39037" s="256"/>
    </row>
    <row r="39038" spans="104:111">
      <c r="CZ39038" s="256"/>
      <c r="DG39038" s="256"/>
    </row>
    <row r="39039" spans="104:111">
      <c r="CZ39039" s="256"/>
      <c r="DG39039" s="256"/>
    </row>
    <row r="39040" spans="104:111">
      <c r="CZ39040" s="256"/>
      <c r="DG39040" s="256"/>
    </row>
    <row r="39041" spans="104:111">
      <c r="CZ39041" s="256"/>
      <c r="DG39041" s="256"/>
    </row>
    <row r="39042" spans="104:111">
      <c r="CZ39042" s="256"/>
      <c r="DG39042" s="256"/>
    </row>
    <row r="39043" spans="104:111">
      <c r="CZ39043" s="256"/>
      <c r="DG39043" s="256"/>
    </row>
    <row r="39044" spans="104:111">
      <c r="CZ39044" s="256"/>
      <c r="DG39044" s="256"/>
    </row>
    <row r="39045" spans="104:111">
      <c r="CZ39045" s="256"/>
      <c r="DG39045" s="256"/>
    </row>
    <row r="39046" spans="104:111">
      <c r="CZ39046" s="256"/>
      <c r="DG39046" s="256"/>
    </row>
    <row r="39047" spans="104:111">
      <c r="CZ39047" s="256"/>
      <c r="DG39047" s="256"/>
    </row>
    <row r="39048" spans="104:111">
      <c r="CZ39048" s="256"/>
      <c r="DG39048" s="256"/>
    </row>
    <row r="39049" spans="104:111">
      <c r="CZ39049" s="256"/>
      <c r="DG39049" s="256"/>
    </row>
    <row r="39050" spans="104:111">
      <c r="CZ39050" s="256"/>
      <c r="DG39050" s="256"/>
    </row>
    <row r="39051" spans="104:111">
      <c r="CZ39051" s="256"/>
      <c r="DG39051" s="256"/>
    </row>
    <row r="39052" spans="104:111">
      <c r="CZ39052" s="256"/>
      <c r="DG39052" s="256"/>
    </row>
    <row r="39053" spans="104:111">
      <c r="CZ39053" s="256"/>
      <c r="DG39053" s="256"/>
    </row>
    <row r="39054" spans="104:111">
      <c r="CZ39054" s="256"/>
      <c r="DG39054" s="256"/>
    </row>
    <row r="39055" spans="104:111">
      <c r="CZ39055" s="256"/>
      <c r="DG39055" s="256"/>
    </row>
    <row r="39056" spans="104:111">
      <c r="CZ39056" s="256"/>
      <c r="DG39056" s="256"/>
    </row>
    <row r="39057" spans="104:111">
      <c r="CZ39057" s="256"/>
      <c r="DG39057" s="256"/>
    </row>
    <row r="39058" spans="104:111">
      <c r="CZ39058" s="256"/>
      <c r="DG39058" s="256"/>
    </row>
    <row r="39059" spans="104:111">
      <c r="CZ39059" s="256"/>
      <c r="DG39059" s="256"/>
    </row>
    <row r="39060" spans="104:111">
      <c r="CZ39060" s="256"/>
      <c r="DG39060" s="256"/>
    </row>
    <row r="39061" spans="104:111">
      <c r="CZ39061" s="256"/>
      <c r="DG39061" s="256"/>
    </row>
    <row r="39062" spans="104:111">
      <c r="CZ39062" s="256"/>
      <c r="DG39062" s="256"/>
    </row>
    <row r="39063" spans="104:111">
      <c r="CZ39063" s="256"/>
      <c r="DG39063" s="256"/>
    </row>
    <row r="39064" spans="104:111">
      <c r="CZ39064" s="256"/>
      <c r="DG39064" s="256"/>
    </row>
    <row r="39065" spans="104:111">
      <c r="CZ39065" s="256"/>
      <c r="DG39065" s="256"/>
    </row>
    <row r="39066" spans="104:111">
      <c r="CZ39066" s="256"/>
      <c r="DG39066" s="256"/>
    </row>
    <row r="39067" spans="104:111">
      <c r="CZ39067" s="256"/>
      <c r="DG39067" s="256"/>
    </row>
    <row r="39068" spans="104:111">
      <c r="CZ39068" s="256"/>
      <c r="DG39068" s="256"/>
    </row>
    <row r="39069" spans="104:111">
      <c r="CZ39069" s="256"/>
      <c r="DG39069" s="256"/>
    </row>
    <row r="39070" spans="104:111">
      <c r="CZ39070" s="256"/>
      <c r="DG39070" s="256"/>
    </row>
    <row r="39071" spans="104:111">
      <c r="CZ39071" s="256"/>
      <c r="DG39071" s="256"/>
    </row>
    <row r="39072" spans="104:111">
      <c r="CZ39072" s="256"/>
      <c r="DG39072" s="256"/>
    </row>
    <row r="39073" spans="104:111">
      <c r="CZ39073" s="256"/>
      <c r="DG39073" s="256"/>
    </row>
    <row r="39074" spans="104:111">
      <c r="CZ39074" s="256"/>
      <c r="DG39074" s="256"/>
    </row>
    <row r="39075" spans="104:111">
      <c r="CZ39075" s="256"/>
      <c r="DG39075" s="256"/>
    </row>
    <row r="39076" spans="104:111">
      <c r="CZ39076" s="256"/>
      <c r="DG39076" s="256"/>
    </row>
    <row r="39077" spans="104:111">
      <c r="CZ39077" s="256"/>
      <c r="DG39077" s="256"/>
    </row>
    <row r="39078" spans="104:111">
      <c r="CZ39078" s="256"/>
      <c r="DG39078" s="256"/>
    </row>
    <row r="39079" spans="104:111">
      <c r="CZ39079" s="256"/>
      <c r="DG39079" s="256"/>
    </row>
    <row r="39080" spans="104:111">
      <c r="CZ39080" s="256"/>
      <c r="DG39080" s="256"/>
    </row>
    <row r="39081" spans="104:111">
      <c r="CZ39081" s="256"/>
      <c r="DG39081" s="256"/>
    </row>
    <row r="39082" spans="104:111">
      <c r="CZ39082" s="256"/>
      <c r="DG39082" s="256"/>
    </row>
    <row r="39083" spans="104:111">
      <c r="CZ39083" s="256"/>
      <c r="DG39083" s="256"/>
    </row>
    <row r="39084" spans="104:111">
      <c r="CZ39084" s="256"/>
      <c r="DG39084" s="256"/>
    </row>
    <row r="39085" spans="104:111">
      <c r="CZ39085" s="256"/>
      <c r="DG39085" s="256"/>
    </row>
    <row r="39086" spans="104:111">
      <c r="CZ39086" s="256"/>
      <c r="DG39086" s="256"/>
    </row>
    <row r="39087" spans="104:111">
      <c r="CZ39087" s="256"/>
      <c r="DG39087" s="256"/>
    </row>
    <row r="39088" spans="104:111">
      <c r="CZ39088" s="256"/>
      <c r="DG39088" s="256"/>
    </row>
    <row r="39089" spans="104:111">
      <c r="CZ39089" s="256"/>
      <c r="DG39089" s="256"/>
    </row>
    <row r="39090" spans="104:111">
      <c r="CZ39090" s="256"/>
      <c r="DG39090" s="256"/>
    </row>
    <row r="39091" spans="104:111">
      <c r="CZ39091" s="256"/>
      <c r="DG39091" s="256"/>
    </row>
    <row r="39092" spans="104:111">
      <c r="CZ39092" s="256"/>
      <c r="DG39092" s="256"/>
    </row>
    <row r="39093" spans="104:111">
      <c r="CZ39093" s="256"/>
      <c r="DG39093" s="256"/>
    </row>
    <row r="39094" spans="104:111">
      <c r="CZ39094" s="256"/>
      <c r="DG39094" s="256"/>
    </row>
    <row r="39095" spans="104:111">
      <c r="CZ39095" s="256"/>
      <c r="DG39095" s="256"/>
    </row>
    <row r="39096" spans="104:111">
      <c r="CZ39096" s="256"/>
      <c r="DG39096" s="256"/>
    </row>
    <row r="39097" spans="104:111">
      <c r="CZ39097" s="256"/>
      <c r="DG39097" s="256"/>
    </row>
    <row r="39098" spans="104:111">
      <c r="CZ39098" s="256"/>
      <c r="DG39098" s="256"/>
    </row>
    <row r="39099" spans="104:111">
      <c r="CZ39099" s="256"/>
      <c r="DG39099" s="256"/>
    </row>
    <row r="39100" spans="104:111">
      <c r="CZ39100" s="256"/>
      <c r="DG39100" s="256"/>
    </row>
    <row r="39101" spans="104:111">
      <c r="CZ39101" s="256"/>
      <c r="DG39101" s="256"/>
    </row>
    <row r="39102" spans="104:111">
      <c r="CZ39102" s="256"/>
      <c r="DG39102" s="256"/>
    </row>
    <row r="39103" spans="104:111">
      <c r="CZ39103" s="256"/>
      <c r="DG39103" s="256"/>
    </row>
    <row r="39104" spans="104:111">
      <c r="CZ39104" s="256"/>
      <c r="DG39104" s="256"/>
    </row>
    <row r="39105" spans="104:111">
      <c r="CZ39105" s="256"/>
      <c r="DG39105" s="256"/>
    </row>
    <row r="39106" spans="104:111">
      <c r="CZ39106" s="256"/>
      <c r="DG39106" s="256"/>
    </row>
    <row r="39107" spans="104:111">
      <c r="CZ39107" s="256"/>
      <c r="DG39107" s="256"/>
    </row>
    <row r="39108" spans="104:111">
      <c r="CZ39108" s="256"/>
      <c r="DG39108" s="256"/>
    </row>
    <row r="39109" spans="104:111">
      <c r="CZ39109" s="256"/>
      <c r="DG39109" s="256"/>
    </row>
    <row r="39110" spans="104:111">
      <c r="CZ39110" s="256"/>
      <c r="DG39110" s="256"/>
    </row>
    <row r="39111" spans="104:111">
      <c r="CZ39111" s="256"/>
      <c r="DG39111" s="256"/>
    </row>
    <row r="39112" spans="104:111">
      <c r="CZ39112" s="256"/>
      <c r="DG39112" s="256"/>
    </row>
    <row r="39113" spans="104:111">
      <c r="CZ39113" s="256"/>
      <c r="DG39113" s="256"/>
    </row>
    <row r="39114" spans="104:111">
      <c r="CZ39114" s="256"/>
      <c r="DG39114" s="256"/>
    </row>
    <row r="39115" spans="104:111">
      <c r="CZ39115" s="256"/>
      <c r="DG39115" s="256"/>
    </row>
    <row r="39116" spans="104:111">
      <c r="CZ39116" s="256"/>
      <c r="DG39116" s="256"/>
    </row>
    <row r="39117" spans="104:111">
      <c r="CZ39117" s="256"/>
      <c r="DG39117" s="256"/>
    </row>
    <row r="39118" spans="104:111">
      <c r="CZ39118" s="256"/>
      <c r="DG39118" s="256"/>
    </row>
    <row r="39119" spans="104:111">
      <c r="CZ39119" s="256"/>
      <c r="DG39119" s="256"/>
    </row>
    <row r="39120" spans="104:111">
      <c r="CZ39120" s="256"/>
      <c r="DG39120" s="256"/>
    </row>
    <row r="39121" spans="104:111">
      <c r="CZ39121" s="256"/>
      <c r="DG39121" s="256"/>
    </row>
    <row r="39122" spans="104:111">
      <c r="CZ39122" s="256"/>
      <c r="DG39122" s="256"/>
    </row>
    <row r="39123" spans="104:111">
      <c r="CZ39123" s="256"/>
      <c r="DG39123" s="256"/>
    </row>
    <row r="39124" spans="104:111">
      <c r="CZ39124" s="256"/>
      <c r="DG39124" s="256"/>
    </row>
    <row r="39125" spans="104:111">
      <c r="CZ39125" s="256"/>
      <c r="DG39125" s="256"/>
    </row>
    <row r="39126" spans="104:111">
      <c r="CZ39126" s="256"/>
      <c r="DG39126" s="256"/>
    </row>
    <row r="39127" spans="104:111">
      <c r="CZ39127" s="256"/>
      <c r="DG39127" s="256"/>
    </row>
    <row r="39128" spans="104:111">
      <c r="CZ39128" s="256"/>
      <c r="DG39128" s="256"/>
    </row>
    <row r="39129" spans="104:111">
      <c r="CZ39129" s="256"/>
      <c r="DG39129" s="256"/>
    </row>
    <row r="39130" spans="104:111">
      <c r="CZ39130" s="256"/>
      <c r="DG39130" s="256"/>
    </row>
    <row r="39131" spans="104:111">
      <c r="CZ39131" s="256"/>
      <c r="DG39131" s="256"/>
    </row>
    <row r="39132" spans="104:111">
      <c r="CZ39132" s="256"/>
      <c r="DG39132" s="256"/>
    </row>
    <row r="39133" spans="104:111">
      <c r="CZ39133" s="256"/>
      <c r="DG39133" s="256"/>
    </row>
    <row r="39134" spans="104:111">
      <c r="CZ39134" s="256"/>
      <c r="DG39134" s="256"/>
    </row>
    <row r="39135" spans="104:111">
      <c r="CZ39135" s="256"/>
      <c r="DG39135" s="256"/>
    </row>
    <row r="39136" spans="104:111">
      <c r="CZ39136" s="256"/>
      <c r="DG39136" s="256"/>
    </row>
    <row r="39137" spans="104:111">
      <c r="CZ39137" s="256"/>
      <c r="DG39137" s="256"/>
    </row>
    <row r="39138" spans="104:111">
      <c r="CZ39138" s="256"/>
      <c r="DG39138" s="256"/>
    </row>
    <row r="39139" spans="104:111">
      <c r="CZ39139" s="256"/>
      <c r="DG39139" s="256"/>
    </row>
    <row r="39140" spans="104:111">
      <c r="CZ39140" s="256"/>
      <c r="DG39140" s="256"/>
    </row>
    <row r="39141" spans="104:111">
      <c r="CZ39141" s="256"/>
      <c r="DG39141" s="256"/>
    </row>
    <row r="39142" spans="104:111">
      <c r="CZ39142" s="256"/>
      <c r="DG39142" s="256"/>
    </row>
    <row r="39143" spans="104:111">
      <c r="CZ39143" s="256"/>
      <c r="DG39143" s="256"/>
    </row>
    <row r="39144" spans="104:111">
      <c r="CZ39144" s="256"/>
      <c r="DG39144" s="256"/>
    </row>
    <row r="39145" spans="104:111">
      <c r="CZ39145" s="256"/>
      <c r="DG39145" s="256"/>
    </row>
    <row r="39146" spans="104:111">
      <c r="CZ39146" s="256"/>
      <c r="DG39146" s="256"/>
    </row>
    <row r="39147" spans="104:111">
      <c r="CZ39147" s="256"/>
      <c r="DG39147" s="256"/>
    </row>
    <row r="39148" spans="104:111">
      <c r="CZ39148" s="256"/>
      <c r="DG39148" s="256"/>
    </row>
    <row r="39149" spans="104:111">
      <c r="CZ39149" s="256"/>
      <c r="DG39149" s="256"/>
    </row>
    <row r="39150" spans="104:111">
      <c r="CZ39150" s="256"/>
      <c r="DG39150" s="256"/>
    </row>
    <row r="39151" spans="104:111">
      <c r="CZ39151" s="256"/>
      <c r="DG39151" s="256"/>
    </row>
    <row r="39152" spans="104:111">
      <c r="CZ39152" s="256"/>
      <c r="DG39152" s="256"/>
    </row>
    <row r="39153" spans="104:111">
      <c r="CZ39153" s="256"/>
      <c r="DG39153" s="256"/>
    </row>
    <row r="39154" spans="104:111">
      <c r="CZ39154" s="256"/>
      <c r="DG39154" s="256"/>
    </row>
    <row r="39155" spans="104:111">
      <c r="CZ39155" s="256"/>
      <c r="DG39155" s="256"/>
    </row>
    <row r="39156" spans="104:111">
      <c r="CZ39156" s="256"/>
      <c r="DG39156" s="256"/>
    </row>
    <row r="39157" spans="104:111">
      <c r="CZ39157" s="256"/>
      <c r="DG39157" s="256"/>
    </row>
    <row r="39158" spans="104:111">
      <c r="CZ39158" s="256"/>
      <c r="DG39158" s="256"/>
    </row>
    <row r="39159" spans="104:111">
      <c r="CZ39159" s="256"/>
      <c r="DG39159" s="256"/>
    </row>
    <row r="39160" spans="104:111">
      <c r="CZ39160" s="256"/>
      <c r="DG39160" s="256"/>
    </row>
    <row r="39161" spans="104:111">
      <c r="CZ39161" s="256"/>
      <c r="DG39161" s="256"/>
    </row>
    <row r="39162" spans="104:111">
      <c r="CZ39162" s="256"/>
      <c r="DG39162" s="256"/>
    </row>
    <row r="39163" spans="104:111">
      <c r="CZ39163" s="256"/>
      <c r="DG39163" s="256"/>
    </row>
    <row r="39164" spans="104:111">
      <c r="CZ39164" s="256"/>
      <c r="DG39164" s="256"/>
    </row>
    <row r="39165" spans="104:111">
      <c r="CZ39165" s="256"/>
      <c r="DG39165" s="256"/>
    </row>
    <row r="39166" spans="104:111">
      <c r="CZ39166" s="256"/>
      <c r="DG39166" s="256"/>
    </row>
    <row r="39167" spans="104:111">
      <c r="CZ39167" s="256"/>
      <c r="DG39167" s="256"/>
    </row>
    <row r="39168" spans="104:111">
      <c r="CZ39168" s="256"/>
      <c r="DG39168" s="256"/>
    </row>
    <row r="39169" spans="104:111">
      <c r="CZ39169" s="256"/>
      <c r="DG39169" s="256"/>
    </row>
    <row r="39170" spans="104:111">
      <c r="CZ39170" s="256"/>
      <c r="DG39170" s="256"/>
    </row>
    <row r="39171" spans="104:111">
      <c r="CZ39171" s="256"/>
      <c r="DG39171" s="256"/>
    </row>
    <row r="39172" spans="104:111">
      <c r="CZ39172" s="256"/>
      <c r="DG39172" s="256"/>
    </row>
    <row r="39173" spans="104:111">
      <c r="CZ39173" s="256"/>
      <c r="DG39173" s="256"/>
    </row>
    <row r="39174" spans="104:111">
      <c r="CZ39174" s="256"/>
      <c r="DG39174" s="256"/>
    </row>
    <row r="39175" spans="104:111">
      <c r="CZ39175" s="256"/>
      <c r="DG39175" s="256"/>
    </row>
    <row r="39176" spans="104:111">
      <c r="CZ39176" s="256"/>
      <c r="DG39176" s="256"/>
    </row>
    <row r="39177" spans="104:111">
      <c r="CZ39177" s="256"/>
      <c r="DG39177" s="256"/>
    </row>
    <row r="39178" spans="104:111">
      <c r="CZ39178" s="256"/>
      <c r="DG39178" s="256"/>
    </row>
    <row r="39179" spans="104:111">
      <c r="CZ39179" s="256"/>
      <c r="DG39179" s="256"/>
    </row>
    <row r="39180" spans="104:111">
      <c r="CZ39180" s="256"/>
      <c r="DG39180" s="256"/>
    </row>
    <row r="39181" spans="104:111">
      <c r="CZ39181" s="256"/>
      <c r="DG39181" s="256"/>
    </row>
    <row r="39182" spans="104:111">
      <c r="CZ39182" s="256"/>
      <c r="DG39182" s="256"/>
    </row>
    <row r="39183" spans="104:111">
      <c r="CZ39183" s="256"/>
      <c r="DG39183" s="256"/>
    </row>
    <row r="39184" spans="104:111">
      <c r="CZ39184" s="256"/>
      <c r="DG39184" s="256"/>
    </row>
    <row r="39185" spans="104:111">
      <c r="CZ39185" s="256"/>
      <c r="DG39185" s="256"/>
    </row>
    <row r="39186" spans="104:111">
      <c r="CZ39186" s="256"/>
      <c r="DG39186" s="256"/>
    </row>
    <row r="39187" spans="104:111">
      <c r="CZ39187" s="256"/>
      <c r="DG39187" s="256"/>
    </row>
    <row r="39188" spans="104:111">
      <c r="CZ39188" s="256"/>
      <c r="DG39188" s="256"/>
    </row>
    <row r="39189" spans="104:111">
      <c r="CZ39189" s="256"/>
      <c r="DG39189" s="256"/>
    </row>
    <row r="39190" spans="104:111">
      <c r="CZ39190" s="256"/>
      <c r="DG39190" s="256"/>
    </row>
    <row r="39191" spans="104:111">
      <c r="CZ39191" s="256"/>
      <c r="DG39191" s="256"/>
    </row>
    <row r="39192" spans="104:111">
      <c r="CZ39192" s="256"/>
      <c r="DG39192" s="256"/>
    </row>
    <row r="39193" spans="104:111">
      <c r="CZ39193" s="256"/>
      <c r="DG39193" s="256"/>
    </row>
    <row r="39194" spans="104:111">
      <c r="CZ39194" s="256"/>
      <c r="DG39194" s="256"/>
    </row>
    <row r="39195" spans="104:111">
      <c r="CZ39195" s="256"/>
      <c r="DG39195" s="256"/>
    </row>
    <row r="39196" spans="104:111">
      <c r="CZ39196" s="256"/>
      <c r="DG39196" s="256"/>
    </row>
    <row r="39197" spans="104:111">
      <c r="CZ39197" s="256"/>
      <c r="DG39197" s="256"/>
    </row>
    <row r="39198" spans="104:111">
      <c r="CZ39198" s="256"/>
      <c r="DG39198" s="256"/>
    </row>
    <row r="39199" spans="104:111">
      <c r="CZ39199" s="256"/>
      <c r="DG39199" s="256"/>
    </row>
    <row r="39200" spans="104:111">
      <c r="CZ39200" s="256"/>
      <c r="DG39200" s="256"/>
    </row>
    <row r="39201" spans="104:111">
      <c r="CZ39201" s="256"/>
      <c r="DG39201" s="256"/>
    </row>
    <row r="39202" spans="104:111">
      <c r="CZ39202" s="256"/>
      <c r="DG39202" s="256"/>
    </row>
    <row r="39203" spans="104:111">
      <c r="CZ39203" s="256"/>
      <c r="DG39203" s="256"/>
    </row>
    <row r="39204" spans="104:111">
      <c r="CZ39204" s="256"/>
      <c r="DG39204" s="256"/>
    </row>
    <row r="39205" spans="104:111">
      <c r="CZ39205" s="256"/>
      <c r="DG39205" s="256"/>
    </row>
    <row r="39206" spans="104:111">
      <c r="CZ39206" s="256"/>
      <c r="DG39206" s="256"/>
    </row>
    <row r="39207" spans="104:111">
      <c r="CZ39207" s="256"/>
      <c r="DG39207" s="256"/>
    </row>
    <row r="39208" spans="104:111">
      <c r="CZ39208" s="256"/>
      <c r="DG39208" s="256"/>
    </row>
    <row r="39209" spans="104:111">
      <c r="CZ39209" s="256"/>
      <c r="DG39209" s="256"/>
    </row>
    <row r="39210" spans="104:111">
      <c r="CZ39210" s="256"/>
      <c r="DG39210" s="256"/>
    </row>
    <row r="39211" spans="104:111">
      <c r="CZ39211" s="256"/>
      <c r="DG39211" s="256"/>
    </row>
    <row r="39212" spans="104:111">
      <c r="CZ39212" s="256"/>
      <c r="DG39212" s="256"/>
    </row>
    <row r="39213" spans="104:111">
      <c r="CZ39213" s="256"/>
      <c r="DG39213" s="256"/>
    </row>
    <row r="39214" spans="104:111">
      <c r="CZ39214" s="256"/>
      <c r="DG39214" s="256"/>
    </row>
    <row r="39215" spans="104:111">
      <c r="CZ39215" s="256"/>
      <c r="DG39215" s="256"/>
    </row>
    <row r="39216" spans="104:111">
      <c r="CZ39216" s="256"/>
      <c r="DG39216" s="256"/>
    </row>
    <row r="39217" spans="104:111">
      <c r="CZ39217" s="256"/>
      <c r="DG39217" s="256"/>
    </row>
    <row r="39218" spans="104:111">
      <c r="CZ39218" s="256"/>
      <c r="DG39218" s="256"/>
    </row>
    <row r="39219" spans="104:111">
      <c r="CZ39219" s="256"/>
      <c r="DG39219" s="256"/>
    </row>
    <row r="39220" spans="104:111">
      <c r="CZ39220" s="256"/>
      <c r="DG39220" s="256"/>
    </row>
    <row r="39221" spans="104:111">
      <c r="CZ39221" s="256"/>
      <c r="DG39221" s="256"/>
    </row>
    <row r="39222" spans="104:111">
      <c r="CZ39222" s="256"/>
      <c r="DG39222" s="256"/>
    </row>
    <row r="39223" spans="104:111">
      <c r="CZ39223" s="256"/>
      <c r="DG39223" s="256"/>
    </row>
    <row r="39224" spans="104:111">
      <c r="CZ39224" s="256"/>
      <c r="DG39224" s="256"/>
    </row>
    <row r="39225" spans="104:111">
      <c r="CZ39225" s="256"/>
      <c r="DG39225" s="256"/>
    </row>
    <row r="39226" spans="104:111">
      <c r="CZ39226" s="256"/>
      <c r="DG39226" s="256"/>
    </row>
    <row r="39227" spans="104:111">
      <c r="CZ39227" s="256"/>
      <c r="DG39227" s="256"/>
    </row>
    <row r="39228" spans="104:111">
      <c r="CZ39228" s="256"/>
      <c r="DG39228" s="256"/>
    </row>
    <row r="39229" spans="104:111">
      <c r="CZ39229" s="256"/>
      <c r="DG39229" s="256"/>
    </row>
    <row r="39230" spans="104:111">
      <c r="CZ39230" s="256"/>
      <c r="DG39230" s="256"/>
    </row>
    <row r="39231" spans="104:111">
      <c r="CZ39231" s="256"/>
      <c r="DG39231" s="256"/>
    </row>
    <row r="39232" spans="104:111">
      <c r="CZ39232" s="256"/>
      <c r="DG39232" s="256"/>
    </row>
    <row r="39233" spans="104:111">
      <c r="CZ39233" s="256"/>
      <c r="DG39233" s="256"/>
    </row>
    <row r="39234" spans="104:111">
      <c r="CZ39234" s="256"/>
      <c r="DG39234" s="256"/>
    </row>
    <row r="39235" spans="104:111">
      <c r="CZ39235" s="256"/>
      <c r="DG39235" s="256"/>
    </row>
    <row r="39236" spans="104:111">
      <c r="CZ39236" s="256"/>
      <c r="DG39236" s="256"/>
    </row>
    <row r="39237" spans="104:111">
      <c r="CZ39237" s="256"/>
      <c r="DG39237" s="256"/>
    </row>
    <row r="39238" spans="104:111">
      <c r="CZ39238" s="256"/>
      <c r="DG39238" s="256"/>
    </row>
    <row r="39239" spans="104:111">
      <c r="CZ39239" s="256"/>
      <c r="DG39239" s="256"/>
    </row>
    <row r="39240" spans="104:111">
      <c r="CZ39240" s="256"/>
      <c r="DG39240" s="256"/>
    </row>
    <row r="39241" spans="104:111">
      <c r="CZ39241" s="256"/>
      <c r="DG39241" s="256"/>
    </row>
    <row r="39242" spans="104:111">
      <c r="CZ39242" s="256"/>
      <c r="DG39242" s="256"/>
    </row>
    <row r="39243" spans="104:111">
      <c r="CZ39243" s="256"/>
      <c r="DG39243" s="256"/>
    </row>
    <row r="39244" spans="104:111">
      <c r="CZ39244" s="256"/>
      <c r="DG39244" s="256"/>
    </row>
    <row r="39245" spans="104:111">
      <c r="CZ39245" s="256"/>
      <c r="DG39245" s="256"/>
    </row>
    <row r="39246" spans="104:111">
      <c r="CZ39246" s="256"/>
      <c r="DG39246" s="256"/>
    </row>
    <row r="39247" spans="104:111">
      <c r="CZ39247" s="256"/>
      <c r="DG39247" s="256"/>
    </row>
    <row r="39248" spans="104:111">
      <c r="CZ39248" s="256"/>
      <c r="DG39248" s="256"/>
    </row>
    <row r="39249" spans="104:111">
      <c r="CZ39249" s="256"/>
      <c r="DG39249" s="256"/>
    </row>
    <row r="39250" spans="104:111">
      <c r="CZ39250" s="256"/>
      <c r="DG39250" s="256"/>
    </row>
    <row r="39251" spans="104:111">
      <c r="CZ39251" s="256"/>
      <c r="DG39251" s="256"/>
    </row>
    <row r="39252" spans="104:111">
      <c r="CZ39252" s="256"/>
      <c r="DG39252" s="256"/>
    </row>
    <row r="39253" spans="104:111">
      <c r="CZ39253" s="256"/>
      <c r="DG39253" s="256"/>
    </row>
    <row r="39254" spans="104:111">
      <c r="CZ39254" s="256"/>
      <c r="DG39254" s="256"/>
    </row>
    <row r="39255" spans="104:111">
      <c r="CZ39255" s="256"/>
      <c r="DG39255" s="256"/>
    </row>
    <row r="39256" spans="104:111">
      <c r="CZ39256" s="256"/>
      <c r="DG39256" s="256"/>
    </row>
    <row r="39257" spans="104:111">
      <c r="CZ39257" s="256"/>
      <c r="DG39257" s="256"/>
    </row>
    <row r="39258" spans="104:111">
      <c r="CZ39258" s="256"/>
      <c r="DG39258" s="256"/>
    </row>
    <row r="39259" spans="104:111">
      <c r="CZ39259" s="256"/>
      <c r="DG39259" s="256"/>
    </row>
    <row r="39260" spans="104:111">
      <c r="CZ39260" s="256"/>
      <c r="DG39260" s="256"/>
    </row>
    <row r="39261" spans="104:111">
      <c r="CZ39261" s="256"/>
      <c r="DG39261" s="256"/>
    </row>
    <row r="39262" spans="104:111">
      <c r="CZ39262" s="256"/>
      <c r="DG39262" s="256"/>
    </row>
    <row r="39263" spans="104:111">
      <c r="CZ39263" s="256"/>
      <c r="DG39263" s="256"/>
    </row>
    <row r="39264" spans="104:111">
      <c r="CZ39264" s="256"/>
      <c r="DG39264" s="256"/>
    </row>
    <row r="39265" spans="104:111">
      <c r="CZ39265" s="256"/>
      <c r="DG39265" s="256"/>
    </row>
    <row r="39266" spans="104:111">
      <c r="CZ39266" s="256"/>
      <c r="DG39266" s="256"/>
    </row>
    <row r="39267" spans="104:111">
      <c r="CZ39267" s="256"/>
      <c r="DG39267" s="256"/>
    </row>
    <row r="39268" spans="104:111">
      <c r="CZ39268" s="256"/>
      <c r="DG39268" s="256"/>
    </row>
    <row r="39269" spans="104:111">
      <c r="CZ39269" s="256"/>
      <c r="DG39269" s="256"/>
    </row>
    <row r="39270" spans="104:111">
      <c r="CZ39270" s="256"/>
      <c r="DG39270" s="256"/>
    </row>
    <row r="39271" spans="104:111">
      <c r="CZ39271" s="256"/>
      <c r="DG39271" s="256"/>
    </row>
    <row r="39272" spans="104:111">
      <c r="CZ39272" s="256"/>
      <c r="DG39272" s="256"/>
    </row>
    <row r="39273" spans="104:111">
      <c r="CZ39273" s="256"/>
      <c r="DG39273" s="256"/>
    </row>
    <row r="39274" spans="104:111">
      <c r="CZ39274" s="256"/>
      <c r="DG39274" s="256"/>
    </row>
    <row r="39275" spans="104:111">
      <c r="CZ39275" s="256"/>
      <c r="DG39275" s="256"/>
    </row>
    <row r="39276" spans="104:111">
      <c r="CZ39276" s="256"/>
      <c r="DG39276" s="256"/>
    </row>
    <row r="39277" spans="104:111">
      <c r="CZ39277" s="256"/>
      <c r="DG39277" s="256"/>
    </row>
    <row r="39278" spans="104:111">
      <c r="CZ39278" s="256"/>
      <c r="DG39278" s="256"/>
    </row>
    <row r="39279" spans="104:111">
      <c r="CZ39279" s="256"/>
      <c r="DG39279" s="256"/>
    </row>
    <row r="39280" spans="104:111">
      <c r="CZ39280" s="256"/>
      <c r="DG39280" s="256"/>
    </row>
    <row r="39281" spans="104:111">
      <c r="CZ39281" s="256"/>
      <c r="DG39281" s="256"/>
    </row>
    <row r="39282" spans="104:111">
      <c r="CZ39282" s="256"/>
      <c r="DG39282" s="256"/>
    </row>
    <row r="39283" spans="104:111">
      <c r="CZ39283" s="256"/>
      <c r="DG39283" s="256"/>
    </row>
    <row r="39284" spans="104:111">
      <c r="CZ39284" s="256"/>
      <c r="DG39284" s="256"/>
    </row>
    <row r="39285" spans="104:111">
      <c r="CZ39285" s="256"/>
      <c r="DG39285" s="256"/>
    </row>
    <row r="39286" spans="104:111">
      <c r="CZ39286" s="256"/>
      <c r="DG39286" s="256"/>
    </row>
    <row r="39287" spans="104:111">
      <c r="CZ39287" s="256"/>
      <c r="DG39287" s="256"/>
    </row>
    <row r="39288" spans="104:111">
      <c r="CZ39288" s="256"/>
      <c r="DG39288" s="256"/>
    </row>
    <row r="39289" spans="104:111">
      <c r="CZ39289" s="256"/>
      <c r="DG39289" s="256"/>
    </row>
    <row r="39290" spans="104:111">
      <c r="CZ39290" s="256"/>
      <c r="DG39290" s="256"/>
    </row>
    <row r="39291" spans="104:111">
      <c r="CZ39291" s="256"/>
      <c r="DG39291" s="256"/>
    </row>
    <row r="39292" spans="104:111">
      <c r="CZ39292" s="256"/>
      <c r="DG39292" s="256"/>
    </row>
    <row r="39293" spans="104:111">
      <c r="CZ39293" s="256"/>
      <c r="DG39293" s="256"/>
    </row>
    <row r="39294" spans="104:111">
      <c r="CZ39294" s="256"/>
      <c r="DG39294" s="256"/>
    </row>
    <row r="39295" spans="104:111">
      <c r="CZ39295" s="256"/>
      <c r="DG39295" s="256"/>
    </row>
    <row r="39296" spans="104:111">
      <c r="CZ39296" s="256"/>
      <c r="DG39296" s="256"/>
    </row>
    <row r="39297" spans="104:111">
      <c r="CZ39297" s="256"/>
      <c r="DG39297" s="256"/>
    </row>
    <row r="39298" spans="104:111">
      <c r="CZ39298" s="256"/>
      <c r="DG39298" s="256"/>
    </row>
    <row r="39299" spans="104:111">
      <c r="CZ39299" s="256"/>
      <c r="DG39299" s="256"/>
    </row>
    <row r="39300" spans="104:111">
      <c r="CZ39300" s="256"/>
      <c r="DG39300" s="256"/>
    </row>
    <row r="39301" spans="104:111">
      <c r="CZ39301" s="256"/>
      <c r="DG39301" s="256"/>
    </row>
    <row r="39302" spans="104:111">
      <c r="CZ39302" s="256"/>
      <c r="DG39302" s="256"/>
    </row>
    <row r="39303" spans="104:111">
      <c r="CZ39303" s="256"/>
      <c r="DG39303" s="256"/>
    </row>
    <row r="39304" spans="104:111">
      <c r="CZ39304" s="256"/>
      <c r="DG39304" s="256"/>
    </row>
    <row r="39305" spans="104:111">
      <c r="CZ39305" s="256"/>
      <c r="DG39305" s="256"/>
    </row>
    <row r="39306" spans="104:111">
      <c r="CZ39306" s="256"/>
      <c r="DG39306" s="256"/>
    </row>
    <row r="39307" spans="104:111">
      <c r="CZ39307" s="256"/>
      <c r="DG39307" s="256"/>
    </row>
    <row r="39308" spans="104:111">
      <c r="CZ39308" s="256"/>
      <c r="DG39308" s="256"/>
    </row>
    <row r="39309" spans="104:111">
      <c r="CZ39309" s="256"/>
      <c r="DG39309" s="256"/>
    </row>
    <row r="39310" spans="104:111">
      <c r="CZ39310" s="256"/>
      <c r="DG39310" s="256"/>
    </row>
    <row r="39311" spans="104:111">
      <c r="CZ39311" s="256"/>
      <c r="DG39311" s="256"/>
    </row>
    <row r="39312" spans="104:111">
      <c r="CZ39312" s="256"/>
      <c r="DG39312" s="256"/>
    </row>
    <row r="39313" spans="104:111">
      <c r="CZ39313" s="256"/>
      <c r="DG39313" s="256"/>
    </row>
    <row r="39314" spans="104:111">
      <c r="CZ39314" s="256"/>
      <c r="DG39314" s="256"/>
    </row>
    <row r="39315" spans="104:111">
      <c r="CZ39315" s="256"/>
      <c r="DG39315" s="256"/>
    </row>
    <row r="39316" spans="104:111">
      <c r="CZ39316" s="256"/>
      <c r="DG39316" s="256"/>
    </row>
    <row r="39317" spans="104:111">
      <c r="CZ39317" s="256"/>
      <c r="DG39317" s="256"/>
    </row>
    <row r="39318" spans="104:111">
      <c r="CZ39318" s="256"/>
      <c r="DG39318" s="256"/>
    </row>
    <row r="39319" spans="104:111">
      <c r="CZ39319" s="256"/>
      <c r="DG39319" s="256"/>
    </row>
    <row r="39320" spans="104:111">
      <c r="CZ39320" s="256"/>
      <c r="DG39320" s="256"/>
    </row>
    <row r="39321" spans="104:111">
      <c r="CZ39321" s="256"/>
      <c r="DG39321" s="256"/>
    </row>
    <row r="39322" spans="104:111">
      <c r="CZ39322" s="256"/>
      <c r="DG39322" s="256"/>
    </row>
    <row r="39323" spans="104:111">
      <c r="CZ39323" s="256"/>
      <c r="DG39323" s="256"/>
    </row>
    <row r="39324" spans="104:111">
      <c r="CZ39324" s="256"/>
      <c r="DG39324" s="256"/>
    </row>
    <row r="39325" spans="104:111">
      <c r="CZ39325" s="256"/>
      <c r="DG39325" s="256"/>
    </row>
    <row r="39326" spans="104:111">
      <c r="CZ39326" s="256"/>
      <c r="DG39326" s="256"/>
    </row>
    <row r="39327" spans="104:111">
      <c r="CZ39327" s="256"/>
      <c r="DG39327" s="256"/>
    </row>
    <row r="39328" spans="104:111">
      <c r="CZ39328" s="256"/>
      <c r="DG39328" s="256"/>
    </row>
    <row r="39329" spans="104:111">
      <c r="CZ39329" s="256"/>
      <c r="DG39329" s="256"/>
    </row>
    <row r="39330" spans="104:111">
      <c r="CZ39330" s="256"/>
      <c r="DG39330" s="256"/>
    </row>
    <row r="39331" spans="104:111">
      <c r="CZ39331" s="256"/>
      <c r="DG39331" s="256"/>
    </row>
    <row r="39332" spans="104:111">
      <c r="CZ39332" s="256"/>
      <c r="DG39332" s="256"/>
    </row>
    <row r="39333" spans="104:111">
      <c r="CZ39333" s="256"/>
      <c r="DG39333" s="256"/>
    </row>
    <row r="39334" spans="104:111">
      <c r="CZ39334" s="256"/>
      <c r="DG39334" s="256"/>
    </row>
    <row r="39335" spans="104:111">
      <c r="CZ39335" s="256"/>
      <c r="DG39335" s="256"/>
    </row>
    <row r="39336" spans="104:111">
      <c r="CZ39336" s="256"/>
      <c r="DG39336" s="256"/>
    </row>
    <row r="39337" spans="104:111">
      <c r="CZ39337" s="256"/>
      <c r="DG39337" s="256"/>
    </row>
    <row r="39338" spans="104:111">
      <c r="CZ39338" s="256"/>
      <c r="DG39338" s="256"/>
    </row>
    <row r="39339" spans="104:111">
      <c r="CZ39339" s="256"/>
      <c r="DG39339" s="256"/>
    </row>
    <row r="39340" spans="104:111">
      <c r="CZ39340" s="256"/>
      <c r="DG39340" s="256"/>
    </row>
    <row r="39341" spans="104:111">
      <c r="CZ39341" s="256"/>
      <c r="DG39341" s="256"/>
    </row>
    <row r="39342" spans="104:111">
      <c r="CZ39342" s="256"/>
      <c r="DG39342" s="256"/>
    </row>
    <row r="39343" spans="104:111">
      <c r="CZ39343" s="256"/>
      <c r="DG39343" s="256"/>
    </row>
    <row r="39344" spans="104:111">
      <c r="CZ39344" s="256"/>
      <c r="DG39344" s="256"/>
    </row>
    <row r="39345" spans="104:111">
      <c r="CZ39345" s="256"/>
      <c r="DG39345" s="256"/>
    </row>
    <row r="39346" spans="104:111">
      <c r="CZ39346" s="256"/>
      <c r="DG39346" s="256"/>
    </row>
    <row r="39347" spans="104:111">
      <c r="CZ39347" s="256"/>
      <c r="DG39347" s="256"/>
    </row>
    <row r="39348" spans="104:111">
      <c r="CZ39348" s="256"/>
      <c r="DG39348" s="256"/>
    </row>
    <row r="39349" spans="104:111">
      <c r="CZ39349" s="256"/>
      <c r="DG39349" s="256"/>
    </row>
    <row r="39350" spans="104:111">
      <c r="CZ39350" s="256"/>
      <c r="DG39350" s="256"/>
    </row>
    <row r="39351" spans="104:111">
      <c r="CZ39351" s="256"/>
      <c r="DG39351" s="256"/>
    </row>
    <row r="39352" spans="104:111">
      <c r="CZ39352" s="256"/>
      <c r="DG39352" s="256"/>
    </row>
    <row r="39353" spans="104:111">
      <c r="CZ39353" s="256"/>
      <c r="DG39353" s="256"/>
    </row>
    <row r="39354" spans="104:111">
      <c r="CZ39354" s="256"/>
      <c r="DG39354" s="256"/>
    </row>
    <row r="39355" spans="104:111">
      <c r="CZ39355" s="256"/>
      <c r="DG39355" s="256"/>
    </row>
    <row r="39356" spans="104:111">
      <c r="CZ39356" s="256"/>
      <c r="DG39356" s="256"/>
    </row>
    <row r="39357" spans="104:111">
      <c r="CZ39357" s="256"/>
      <c r="DG39357" s="256"/>
    </row>
    <row r="39358" spans="104:111">
      <c r="CZ39358" s="256"/>
      <c r="DG39358" s="256"/>
    </row>
    <row r="39359" spans="104:111">
      <c r="CZ39359" s="256"/>
      <c r="DG39359" s="256"/>
    </row>
    <row r="39360" spans="104:111">
      <c r="CZ39360" s="256"/>
      <c r="DG39360" s="256"/>
    </row>
    <row r="39361" spans="104:111">
      <c r="CZ39361" s="256"/>
      <c r="DG39361" s="256"/>
    </row>
    <row r="39362" spans="104:111">
      <c r="CZ39362" s="256"/>
      <c r="DG39362" s="256"/>
    </row>
    <row r="39363" spans="104:111">
      <c r="CZ39363" s="256"/>
      <c r="DG39363" s="256"/>
    </row>
    <row r="39364" spans="104:111">
      <c r="CZ39364" s="256"/>
      <c r="DG39364" s="256"/>
    </row>
    <row r="39365" spans="104:111">
      <c r="CZ39365" s="256"/>
      <c r="DG39365" s="256"/>
    </row>
    <row r="39366" spans="104:111">
      <c r="CZ39366" s="256"/>
      <c r="DG39366" s="256"/>
    </row>
    <row r="39367" spans="104:111">
      <c r="CZ39367" s="256"/>
      <c r="DG39367" s="256"/>
    </row>
    <row r="39368" spans="104:111">
      <c r="CZ39368" s="256"/>
      <c r="DG39368" s="256"/>
    </row>
    <row r="39369" spans="104:111">
      <c r="CZ39369" s="256"/>
      <c r="DG39369" s="256"/>
    </row>
    <row r="39370" spans="104:111">
      <c r="CZ39370" s="256"/>
      <c r="DG39370" s="256"/>
    </row>
    <row r="39371" spans="104:111">
      <c r="CZ39371" s="256"/>
      <c r="DG39371" s="256"/>
    </row>
    <row r="39372" spans="104:111">
      <c r="CZ39372" s="256"/>
      <c r="DG39372" s="256"/>
    </row>
    <row r="39373" spans="104:111">
      <c r="CZ39373" s="256"/>
      <c r="DG39373" s="256"/>
    </row>
    <row r="39374" spans="104:111">
      <c r="CZ39374" s="256"/>
      <c r="DG39374" s="256"/>
    </row>
    <row r="39375" spans="104:111">
      <c r="CZ39375" s="256"/>
      <c r="DG39375" s="256"/>
    </row>
    <row r="39376" spans="104:111">
      <c r="CZ39376" s="256"/>
      <c r="DG39376" s="256"/>
    </row>
    <row r="39377" spans="104:111">
      <c r="CZ39377" s="256"/>
      <c r="DG39377" s="256"/>
    </row>
    <row r="39378" spans="104:111">
      <c r="CZ39378" s="256"/>
      <c r="DG39378" s="256"/>
    </row>
    <row r="39379" spans="104:111">
      <c r="CZ39379" s="256"/>
      <c r="DG39379" s="256"/>
    </row>
    <row r="39380" spans="104:111">
      <c r="CZ39380" s="256"/>
      <c r="DG39380" s="256"/>
    </row>
    <row r="39381" spans="104:111">
      <c r="CZ39381" s="256"/>
      <c r="DG39381" s="256"/>
    </row>
    <row r="39382" spans="104:111">
      <c r="CZ39382" s="256"/>
      <c r="DG39382" s="256"/>
    </row>
    <row r="39383" spans="104:111">
      <c r="CZ39383" s="256"/>
      <c r="DG39383" s="256"/>
    </row>
    <row r="39384" spans="104:111">
      <c r="CZ39384" s="256"/>
      <c r="DG39384" s="256"/>
    </row>
    <row r="39385" spans="104:111">
      <c r="CZ39385" s="256"/>
      <c r="DG39385" s="256"/>
    </row>
    <row r="39386" spans="104:111">
      <c r="CZ39386" s="256"/>
      <c r="DG39386" s="256"/>
    </row>
    <row r="39387" spans="104:111">
      <c r="CZ39387" s="256"/>
      <c r="DG39387" s="256"/>
    </row>
    <row r="39388" spans="104:111">
      <c r="CZ39388" s="256"/>
      <c r="DG39388" s="256"/>
    </row>
    <row r="39389" spans="104:111">
      <c r="CZ39389" s="256"/>
      <c r="DG39389" s="256"/>
    </row>
    <row r="39390" spans="104:111">
      <c r="CZ39390" s="256"/>
      <c r="DG39390" s="256"/>
    </row>
    <row r="39391" spans="104:111">
      <c r="CZ39391" s="256"/>
      <c r="DG39391" s="256"/>
    </row>
    <row r="39392" spans="104:111">
      <c r="CZ39392" s="256"/>
      <c r="DG39392" s="256"/>
    </row>
    <row r="39393" spans="104:111">
      <c r="CZ39393" s="256"/>
      <c r="DG39393" s="256"/>
    </row>
    <row r="39394" spans="104:111">
      <c r="CZ39394" s="256"/>
      <c r="DG39394" s="256"/>
    </row>
    <row r="39395" spans="104:111">
      <c r="CZ39395" s="256"/>
      <c r="DG39395" s="256"/>
    </row>
    <row r="39396" spans="104:111">
      <c r="CZ39396" s="256"/>
      <c r="DG39396" s="256"/>
    </row>
    <row r="39397" spans="104:111">
      <c r="CZ39397" s="256"/>
      <c r="DG39397" s="256"/>
    </row>
    <row r="39398" spans="104:111">
      <c r="CZ39398" s="256"/>
      <c r="DG39398" s="256"/>
    </row>
    <row r="39399" spans="104:111">
      <c r="CZ39399" s="256"/>
      <c r="DG39399" s="256"/>
    </row>
    <row r="39400" spans="104:111">
      <c r="CZ39400" s="256"/>
      <c r="DG39400" s="256"/>
    </row>
    <row r="39401" spans="104:111">
      <c r="CZ39401" s="256"/>
      <c r="DG39401" s="256"/>
    </row>
    <row r="39402" spans="104:111">
      <c r="CZ39402" s="256"/>
      <c r="DG39402" s="256"/>
    </row>
    <row r="39403" spans="104:111">
      <c r="CZ39403" s="256"/>
      <c r="DG39403" s="256"/>
    </row>
    <row r="39404" spans="104:111">
      <c r="CZ39404" s="256"/>
      <c r="DG39404" s="256"/>
    </row>
    <row r="39405" spans="104:111">
      <c r="CZ39405" s="256"/>
      <c r="DG39405" s="256"/>
    </row>
    <row r="39406" spans="104:111">
      <c r="CZ39406" s="256"/>
      <c r="DG39406" s="256"/>
    </row>
    <row r="39407" spans="104:111">
      <c r="CZ39407" s="256"/>
      <c r="DG39407" s="256"/>
    </row>
    <row r="39408" spans="104:111">
      <c r="CZ39408" s="256"/>
      <c r="DG39408" s="256"/>
    </row>
    <row r="39409" spans="104:111">
      <c r="CZ39409" s="256"/>
      <c r="DG39409" s="256"/>
    </row>
    <row r="39410" spans="104:111">
      <c r="CZ39410" s="256"/>
      <c r="DG39410" s="256"/>
    </row>
    <row r="39411" spans="104:111">
      <c r="CZ39411" s="256"/>
      <c r="DG39411" s="256"/>
    </row>
    <row r="39412" spans="104:111">
      <c r="CZ39412" s="256"/>
      <c r="DG39412" s="256"/>
    </row>
    <row r="39413" spans="104:111">
      <c r="CZ39413" s="256"/>
      <c r="DG39413" s="256"/>
    </row>
    <row r="39414" spans="104:111">
      <c r="CZ39414" s="256"/>
      <c r="DG39414" s="256"/>
    </row>
    <row r="39415" spans="104:111">
      <c r="CZ39415" s="256"/>
      <c r="DG39415" s="256"/>
    </row>
    <row r="39416" spans="104:111">
      <c r="CZ39416" s="256"/>
      <c r="DG39416" s="256"/>
    </row>
    <row r="39417" spans="104:111">
      <c r="CZ39417" s="256"/>
      <c r="DG39417" s="256"/>
    </row>
    <row r="39418" spans="104:111">
      <c r="CZ39418" s="256"/>
      <c r="DG39418" s="256"/>
    </row>
    <row r="39419" spans="104:111">
      <c r="CZ39419" s="256"/>
      <c r="DG39419" s="256"/>
    </row>
    <row r="39420" spans="104:111">
      <c r="CZ39420" s="256"/>
      <c r="DG39420" s="256"/>
    </row>
    <row r="39421" spans="104:111">
      <c r="CZ39421" s="256"/>
      <c r="DG39421" s="256"/>
    </row>
    <row r="39422" spans="104:111">
      <c r="CZ39422" s="256"/>
      <c r="DG39422" s="256"/>
    </row>
    <row r="39423" spans="104:111">
      <c r="CZ39423" s="256"/>
      <c r="DG39423" s="256"/>
    </row>
    <row r="39424" spans="104:111">
      <c r="CZ39424" s="256"/>
      <c r="DG39424" s="256"/>
    </row>
    <row r="39425" spans="104:111">
      <c r="CZ39425" s="256"/>
      <c r="DG39425" s="256"/>
    </row>
    <row r="39426" spans="104:111">
      <c r="CZ39426" s="256"/>
      <c r="DG39426" s="256"/>
    </row>
    <row r="39427" spans="104:111">
      <c r="CZ39427" s="256"/>
      <c r="DG39427" s="256"/>
    </row>
    <row r="39428" spans="104:111">
      <c r="CZ39428" s="256"/>
      <c r="DG39428" s="256"/>
    </row>
    <row r="39429" spans="104:111">
      <c r="CZ39429" s="256"/>
      <c r="DG39429" s="256"/>
    </row>
    <row r="39430" spans="104:111">
      <c r="CZ39430" s="256"/>
      <c r="DG39430" s="256"/>
    </row>
    <row r="39431" spans="104:111">
      <c r="CZ39431" s="256"/>
      <c r="DG39431" s="256"/>
    </row>
    <row r="39432" spans="104:111">
      <c r="CZ39432" s="256"/>
      <c r="DG39432" s="256"/>
    </row>
    <row r="39433" spans="104:111">
      <c r="CZ39433" s="256"/>
      <c r="DG39433" s="256"/>
    </row>
    <row r="39434" spans="104:111">
      <c r="CZ39434" s="256"/>
      <c r="DG39434" s="256"/>
    </row>
    <row r="39435" spans="104:111">
      <c r="CZ39435" s="256"/>
      <c r="DG39435" s="256"/>
    </row>
    <row r="39436" spans="104:111">
      <c r="CZ39436" s="256"/>
      <c r="DG39436" s="256"/>
    </row>
    <row r="39437" spans="104:111">
      <c r="CZ39437" s="256"/>
      <c r="DG39437" s="256"/>
    </row>
    <row r="39438" spans="104:111">
      <c r="CZ39438" s="256"/>
      <c r="DG39438" s="256"/>
    </row>
    <row r="39439" spans="104:111">
      <c r="CZ39439" s="256"/>
      <c r="DG39439" s="256"/>
    </row>
    <row r="39440" spans="104:111">
      <c r="CZ39440" s="256"/>
      <c r="DG39440" s="256"/>
    </row>
    <row r="39441" spans="104:111">
      <c r="CZ39441" s="256"/>
      <c r="DG39441" s="256"/>
    </row>
    <row r="39442" spans="104:111">
      <c r="CZ39442" s="256"/>
      <c r="DG39442" s="256"/>
    </row>
    <row r="39443" spans="104:111">
      <c r="CZ39443" s="256"/>
      <c r="DG39443" s="256"/>
    </row>
    <row r="39444" spans="104:111">
      <c r="CZ39444" s="256"/>
      <c r="DG39444" s="256"/>
    </row>
    <row r="39445" spans="104:111">
      <c r="CZ39445" s="256"/>
      <c r="DG39445" s="256"/>
    </row>
    <row r="39446" spans="104:111">
      <c r="CZ39446" s="256"/>
      <c r="DG39446" s="256"/>
    </row>
    <row r="39447" spans="104:111">
      <c r="CZ39447" s="256"/>
      <c r="DG39447" s="256"/>
    </row>
    <row r="39448" spans="104:111">
      <c r="CZ39448" s="256"/>
      <c r="DG39448" s="256"/>
    </row>
    <row r="39449" spans="104:111">
      <c r="CZ39449" s="256"/>
      <c r="DG39449" s="256"/>
    </row>
    <row r="39450" spans="104:111">
      <c r="CZ39450" s="256"/>
      <c r="DG39450" s="256"/>
    </row>
    <row r="39451" spans="104:111">
      <c r="CZ39451" s="256"/>
      <c r="DG39451" s="256"/>
    </row>
    <row r="39452" spans="104:111">
      <c r="CZ39452" s="256"/>
      <c r="DG39452" s="256"/>
    </row>
    <row r="39453" spans="104:111">
      <c r="CZ39453" s="256"/>
      <c r="DG39453" s="256"/>
    </row>
    <row r="39454" spans="104:111">
      <c r="CZ39454" s="256"/>
      <c r="DG39454" s="256"/>
    </row>
    <row r="39455" spans="104:111">
      <c r="CZ39455" s="256"/>
      <c r="DG39455" s="256"/>
    </row>
    <row r="39456" spans="104:111">
      <c r="CZ39456" s="256"/>
      <c r="DG39456" s="256"/>
    </row>
    <row r="39457" spans="104:111">
      <c r="CZ39457" s="256"/>
      <c r="DG39457" s="256"/>
    </row>
    <row r="39458" spans="104:111">
      <c r="CZ39458" s="256"/>
      <c r="DG39458" s="256"/>
    </row>
    <row r="39459" spans="104:111">
      <c r="CZ39459" s="256"/>
      <c r="DG39459" s="256"/>
    </row>
    <row r="39460" spans="104:111">
      <c r="CZ39460" s="256"/>
      <c r="DG39460" s="256"/>
    </row>
    <row r="39461" spans="104:111">
      <c r="CZ39461" s="256"/>
      <c r="DG39461" s="256"/>
    </row>
    <row r="39462" spans="104:111">
      <c r="CZ39462" s="256"/>
      <c r="DG39462" s="256"/>
    </row>
    <row r="39463" spans="104:111">
      <c r="CZ39463" s="256"/>
      <c r="DG39463" s="256"/>
    </row>
    <row r="39464" spans="104:111">
      <c r="CZ39464" s="256"/>
      <c r="DG39464" s="256"/>
    </row>
    <row r="39465" spans="104:111">
      <c r="CZ39465" s="256"/>
      <c r="DG39465" s="256"/>
    </row>
    <row r="39466" spans="104:111">
      <c r="CZ39466" s="256"/>
      <c r="DG39466" s="256"/>
    </row>
    <row r="39467" spans="104:111">
      <c r="CZ39467" s="256"/>
      <c r="DG39467" s="256"/>
    </row>
    <row r="39468" spans="104:111">
      <c r="CZ39468" s="256"/>
      <c r="DG39468" s="256"/>
    </row>
    <row r="39469" spans="104:111">
      <c r="CZ39469" s="256"/>
      <c r="DG39469" s="256"/>
    </row>
    <row r="39470" spans="104:111">
      <c r="CZ39470" s="256"/>
      <c r="DG39470" s="256"/>
    </row>
    <row r="39471" spans="104:111">
      <c r="CZ39471" s="256"/>
      <c r="DG39471" s="256"/>
    </row>
    <row r="39472" spans="104:111">
      <c r="CZ39472" s="256"/>
      <c r="DG39472" s="256"/>
    </row>
    <row r="39473" spans="104:111">
      <c r="CZ39473" s="256"/>
      <c r="DG39473" s="256"/>
    </row>
    <row r="39474" spans="104:111">
      <c r="CZ39474" s="256"/>
      <c r="DG39474" s="256"/>
    </row>
    <row r="39475" spans="104:111">
      <c r="CZ39475" s="256"/>
      <c r="DG39475" s="256"/>
    </row>
    <row r="39476" spans="104:111">
      <c r="CZ39476" s="256"/>
      <c r="DG39476" s="256"/>
    </row>
    <row r="39477" spans="104:111">
      <c r="CZ39477" s="256"/>
      <c r="DG39477" s="256"/>
    </row>
    <row r="39478" spans="104:111">
      <c r="CZ39478" s="256"/>
      <c r="DG39478" s="256"/>
    </row>
    <row r="39479" spans="104:111">
      <c r="CZ39479" s="256"/>
      <c r="DG39479" s="256"/>
    </row>
    <row r="39480" spans="104:111">
      <c r="CZ39480" s="256"/>
      <c r="DG39480" s="256"/>
    </row>
    <row r="39481" spans="104:111">
      <c r="CZ39481" s="256"/>
      <c r="DG39481" s="256"/>
    </row>
    <row r="39482" spans="104:111">
      <c r="CZ39482" s="256"/>
      <c r="DG39482" s="256"/>
    </row>
    <row r="39483" spans="104:111">
      <c r="CZ39483" s="256"/>
      <c r="DG39483" s="256"/>
    </row>
    <row r="39484" spans="104:111">
      <c r="CZ39484" s="256"/>
      <c r="DG39484" s="256"/>
    </row>
    <row r="39485" spans="104:111">
      <c r="CZ39485" s="256"/>
      <c r="DG39485" s="256"/>
    </row>
    <row r="39486" spans="104:111">
      <c r="CZ39486" s="256"/>
      <c r="DG39486" s="256"/>
    </row>
    <row r="39487" spans="104:111">
      <c r="CZ39487" s="256"/>
      <c r="DG39487" s="256"/>
    </row>
    <row r="39488" spans="104:111">
      <c r="CZ39488" s="256"/>
      <c r="DG39488" s="256"/>
    </row>
    <row r="39489" spans="104:111">
      <c r="CZ39489" s="256"/>
      <c r="DG39489" s="256"/>
    </row>
    <row r="39490" spans="104:111">
      <c r="CZ39490" s="256"/>
      <c r="DG39490" s="256"/>
    </row>
    <row r="39491" spans="104:111">
      <c r="CZ39491" s="256"/>
      <c r="DG39491" s="256"/>
    </row>
    <row r="39492" spans="104:111">
      <c r="CZ39492" s="256"/>
      <c r="DG39492" s="256"/>
    </row>
    <row r="39493" spans="104:111">
      <c r="CZ39493" s="256"/>
      <c r="DG39493" s="256"/>
    </row>
    <row r="39494" spans="104:111">
      <c r="CZ39494" s="256"/>
      <c r="DG39494" s="256"/>
    </row>
    <row r="39495" spans="104:111">
      <c r="CZ39495" s="256"/>
      <c r="DG39495" s="256"/>
    </row>
    <row r="39496" spans="104:111">
      <c r="CZ39496" s="256"/>
      <c r="DG39496" s="256"/>
    </row>
    <row r="39497" spans="104:111">
      <c r="CZ39497" s="256"/>
      <c r="DG39497" s="256"/>
    </row>
    <row r="39498" spans="104:111">
      <c r="CZ39498" s="256"/>
      <c r="DG39498" s="256"/>
    </row>
    <row r="39499" spans="104:111">
      <c r="CZ39499" s="256"/>
      <c r="DG39499" s="256"/>
    </row>
    <row r="39500" spans="104:111">
      <c r="CZ39500" s="256"/>
      <c r="DG39500" s="256"/>
    </row>
    <row r="39501" spans="104:111">
      <c r="CZ39501" s="256"/>
      <c r="DG39501" s="256"/>
    </row>
    <row r="39502" spans="104:111">
      <c r="CZ39502" s="256"/>
      <c r="DG39502" s="256"/>
    </row>
    <row r="39503" spans="104:111">
      <c r="CZ39503" s="256"/>
      <c r="DG39503" s="256"/>
    </row>
    <row r="39504" spans="104:111">
      <c r="CZ39504" s="256"/>
      <c r="DG39504" s="256"/>
    </row>
    <row r="39505" spans="104:111">
      <c r="CZ39505" s="256"/>
      <c r="DG39505" s="256"/>
    </row>
    <row r="39506" spans="104:111">
      <c r="CZ39506" s="256"/>
      <c r="DG39506" s="256"/>
    </row>
    <row r="39507" spans="104:111">
      <c r="CZ39507" s="256"/>
      <c r="DG39507" s="256"/>
    </row>
    <row r="39508" spans="104:111">
      <c r="CZ39508" s="256"/>
      <c r="DG39508" s="256"/>
    </row>
    <row r="39509" spans="104:111">
      <c r="CZ39509" s="256"/>
      <c r="DG39509" s="256"/>
    </row>
    <row r="39510" spans="104:111">
      <c r="CZ39510" s="256"/>
      <c r="DG39510" s="256"/>
    </row>
    <row r="39511" spans="104:111">
      <c r="CZ39511" s="256"/>
      <c r="DG39511" s="256"/>
    </row>
    <row r="39512" spans="104:111">
      <c r="CZ39512" s="256"/>
      <c r="DG39512" s="256"/>
    </row>
    <row r="39513" spans="104:111">
      <c r="CZ39513" s="256"/>
      <c r="DG39513" s="256"/>
    </row>
    <row r="39514" spans="104:111">
      <c r="CZ39514" s="256"/>
      <c r="DG39514" s="256"/>
    </row>
    <row r="39515" spans="104:111">
      <c r="CZ39515" s="256"/>
      <c r="DG39515" s="256"/>
    </row>
    <row r="39516" spans="104:111">
      <c r="CZ39516" s="256"/>
      <c r="DG39516" s="256"/>
    </row>
    <row r="39517" spans="104:111">
      <c r="CZ39517" s="256"/>
      <c r="DG39517" s="256"/>
    </row>
    <row r="39518" spans="104:111">
      <c r="CZ39518" s="256"/>
      <c r="DG39518" s="256"/>
    </row>
    <row r="39519" spans="104:111">
      <c r="CZ39519" s="256"/>
      <c r="DG39519" s="256"/>
    </row>
    <row r="39520" spans="104:111">
      <c r="CZ39520" s="256"/>
      <c r="DG39520" s="256"/>
    </row>
    <row r="39521" spans="104:111">
      <c r="CZ39521" s="256"/>
      <c r="DG39521" s="256"/>
    </row>
    <row r="39522" spans="104:111">
      <c r="CZ39522" s="256"/>
      <c r="DG39522" s="256"/>
    </row>
    <row r="39523" spans="104:111">
      <c r="CZ39523" s="256"/>
      <c r="DG39523" s="256"/>
    </row>
    <row r="39524" spans="104:111">
      <c r="CZ39524" s="256"/>
      <c r="DG39524" s="256"/>
    </row>
    <row r="39525" spans="104:111">
      <c r="CZ39525" s="256"/>
      <c r="DG39525" s="256"/>
    </row>
    <row r="39526" spans="104:111">
      <c r="CZ39526" s="256"/>
      <c r="DG39526" s="256"/>
    </row>
    <row r="39527" spans="104:111">
      <c r="CZ39527" s="256"/>
      <c r="DG39527" s="256"/>
    </row>
    <row r="39528" spans="104:111">
      <c r="CZ39528" s="256"/>
      <c r="DG39528" s="256"/>
    </row>
    <row r="39529" spans="104:111">
      <c r="CZ39529" s="256"/>
      <c r="DG39529" s="256"/>
    </row>
    <row r="39530" spans="104:111">
      <c r="CZ39530" s="256"/>
      <c r="DG39530" s="256"/>
    </row>
    <row r="39531" spans="104:111">
      <c r="CZ39531" s="256"/>
      <c r="DG39531" s="256"/>
    </row>
    <row r="39532" spans="104:111">
      <c r="CZ39532" s="256"/>
      <c r="DG39532" s="256"/>
    </row>
    <row r="39533" spans="104:111">
      <c r="CZ39533" s="256"/>
      <c r="DG39533" s="256"/>
    </row>
    <row r="39534" spans="104:111">
      <c r="CZ39534" s="256"/>
      <c r="DG39534" s="256"/>
    </row>
    <row r="39535" spans="104:111">
      <c r="CZ39535" s="256"/>
      <c r="DG39535" s="256"/>
    </row>
    <row r="39536" spans="104:111">
      <c r="CZ39536" s="256"/>
      <c r="DG39536" s="256"/>
    </row>
    <row r="39537" spans="104:111">
      <c r="CZ39537" s="256"/>
      <c r="DG39537" s="256"/>
    </row>
    <row r="39538" spans="104:111">
      <c r="CZ39538" s="256"/>
      <c r="DG39538" s="256"/>
    </row>
    <row r="39539" spans="104:111">
      <c r="CZ39539" s="256"/>
      <c r="DG39539" s="256"/>
    </row>
    <row r="39540" spans="104:111">
      <c r="CZ39540" s="256"/>
      <c r="DG39540" s="256"/>
    </row>
    <row r="39541" spans="104:111">
      <c r="CZ39541" s="256"/>
      <c r="DG39541" s="256"/>
    </row>
    <row r="39542" spans="104:111">
      <c r="CZ39542" s="256"/>
      <c r="DG39542" s="256"/>
    </row>
    <row r="39543" spans="104:111">
      <c r="CZ39543" s="256"/>
      <c r="DG39543" s="256"/>
    </row>
    <row r="39544" spans="104:111">
      <c r="CZ39544" s="256"/>
      <c r="DG39544" s="256"/>
    </row>
    <row r="39545" spans="104:111">
      <c r="CZ39545" s="256"/>
      <c r="DG39545" s="256"/>
    </row>
    <row r="39546" spans="104:111">
      <c r="CZ39546" s="256"/>
      <c r="DG39546" s="256"/>
    </row>
    <row r="39547" spans="104:111">
      <c r="CZ39547" s="256"/>
      <c r="DG39547" s="256"/>
    </row>
    <row r="39548" spans="104:111">
      <c r="CZ39548" s="256"/>
      <c r="DG39548" s="256"/>
    </row>
    <row r="39549" spans="104:111">
      <c r="CZ39549" s="256"/>
      <c r="DG39549" s="256"/>
    </row>
    <row r="39550" spans="104:111">
      <c r="CZ39550" s="256"/>
      <c r="DG39550" s="256"/>
    </row>
    <row r="39551" spans="104:111">
      <c r="CZ39551" s="256"/>
      <c r="DG39551" s="256"/>
    </row>
    <row r="39552" spans="104:111">
      <c r="CZ39552" s="256"/>
      <c r="DG39552" s="256"/>
    </row>
    <row r="39553" spans="104:111">
      <c r="CZ39553" s="256"/>
      <c r="DG39553" s="256"/>
    </row>
    <row r="39554" spans="104:111">
      <c r="CZ39554" s="256"/>
      <c r="DG39554" s="256"/>
    </row>
    <row r="39555" spans="104:111">
      <c r="CZ39555" s="256"/>
      <c r="DG39555" s="256"/>
    </row>
    <row r="39556" spans="104:111">
      <c r="CZ39556" s="256"/>
      <c r="DG39556" s="256"/>
    </row>
    <row r="39557" spans="104:111">
      <c r="CZ39557" s="256"/>
      <c r="DG39557" s="256"/>
    </row>
    <row r="39558" spans="104:111">
      <c r="CZ39558" s="256"/>
      <c r="DG39558" s="256"/>
    </row>
    <row r="39559" spans="104:111">
      <c r="CZ39559" s="256"/>
      <c r="DG39559" s="256"/>
    </row>
    <row r="39560" spans="104:111">
      <c r="CZ39560" s="256"/>
      <c r="DG39560" s="256"/>
    </row>
    <row r="39561" spans="104:111">
      <c r="CZ39561" s="256"/>
      <c r="DG39561" s="256"/>
    </row>
    <row r="39562" spans="104:111">
      <c r="CZ39562" s="256"/>
      <c r="DG39562" s="256"/>
    </row>
    <row r="39563" spans="104:111">
      <c r="CZ39563" s="256"/>
      <c r="DG39563" s="256"/>
    </row>
    <row r="39564" spans="104:111">
      <c r="CZ39564" s="256"/>
      <c r="DG39564" s="256"/>
    </row>
    <row r="39565" spans="104:111">
      <c r="CZ39565" s="256"/>
      <c r="DG39565" s="256"/>
    </row>
    <row r="39566" spans="104:111">
      <c r="CZ39566" s="256"/>
      <c r="DG39566" s="256"/>
    </row>
    <row r="39567" spans="104:111">
      <c r="CZ39567" s="256"/>
      <c r="DG39567" s="256"/>
    </row>
    <row r="39568" spans="104:111">
      <c r="CZ39568" s="256"/>
      <c r="DG39568" s="256"/>
    </row>
    <row r="39569" spans="104:111">
      <c r="CZ39569" s="256"/>
      <c r="DG39569" s="256"/>
    </row>
    <row r="39570" spans="104:111">
      <c r="CZ39570" s="256"/>
      <c r="DG39570" s="256"/>
    </row>
    <row r="39571" spans="104:111">
      <c r="CZ39571" s="256"/>
      <c r="DG39571" s="256"/>
    </row>
    <row r="39572" spans="104:111">
      <c r="CZ39572" s="256"/>
      <c r="DG39572" s="256"/>
    </row>
    <row r="39573" spans="104:111">
      <c r="CZ39573" s="256"/>
      <c r="DG39573" s="256"/>
    </row>
    <row r="39574" spans="104:111">
      <c r="CZ39574" s="256"/>
      <c r="DG39574" s="256"/>
    </row>
    <row r="39575" spans="104:111">
      <c r="CZ39575" s="256"/>
      <c r="DG39575" s="256"/>
    </row>
    <row r="39576" spans="104:111">
      <c r="CZ39576" s="256"/>
      <c r="DG39576" s="256"/>
    </row>
    <row r="39577" spans="104:111">
      <c r="CZ39577" s="256"/>
      <c r="DG39577" s="256"/>
    </row>
    <row r="39578" spans="104:111">
      <c r="CZ39578" s="256"/>
      <c r="DG39578" s="256"/>
    </row>
    <row r="39579" spans="104:111">
      <c r="CZ39579" s="256"/>
      <c r="DG39579" s="256"/>
    </row>
    <row r="39580" spans="104:111">
      <c r="CZ39580" s="256"/>
      <c r="DG39580" s="256"/>
    </row>
    <row r="39581" spans="104:111">
      <c r="CZ39581" s="256"/>
      <c r="DG39581" s="256"/>
    </row>
    <row r="39582" spans="104:111">
      <c r="CZ39582" s="256"/>
      <c r="DG39582" s="256"/>
    </row>
    <row r="39583" spans="104:111">
      <c r="CZ39583" s="256"/>
      <c r="DG39583" s="256"/>
    </row>
    <row r="39584" spans="104:111">
      <c r="CZ39584" s="256"/>
      <c r="DG39584" s="256"/>
    </row>
    <row r="39585" spans="104:111">
      <c r="CZ39585" s="256"/>
      <c r="DG39585" s="256"/>
    </row>
    <row r="39586" spans="104:111">
      <c r="CZ39586" s="256"/>
      <c r="DG39586" s="256"/>
    </row>
    <row r="39587" spans="104:111">
      <c r="CZ39587" s="256"/>
      <c r="DG39587" s="256"/>
    </row>
    <row r="39588" spans="104:111">
      <c r="CZ39588" s="256"/>
      <c r="DG39588" s="256"/>
    </row>
    <row r="39589" spans="104:111">
      <c r="CZ39589" s="256"/>
      <c r="DG39589" s="256"/>
    </row>
    <row r="39590" spans="104:111">
      <c r="CZ39590" s="256"/>
      <c r="DG39590" s="256"/>
    </row>
    <row r="39591" spans="104:111">
      <c r="CZ39591" s="256"/>
      <c r="DG39591" s="256"/>
    </row>
    <row r="39592" spans="104:111">
      <c r="CZ39592" s="256"/>
      <c r="DG39592" s="256"/>
    </row>
    <row r="39593" spans="104:111">
      <c r="CZ39593" s="256"/>
      <c r="DG39593" s="256"/>
    </row>
    <row r="39594" spans="104:111">
      <c r="CZ39594" s="256"/>
      <c r="DG39594" s="256"/>
    </row>
    <row r="39595" spans="104:111">
      <c r="CZ39595" s="256"/>
      <c r="DG39595" s="256"/>
    </row>
    <row r="39596" spans="104:111">
      <c r="CZ39596" s="256"/>
      <c r="DG39596" s="256"/>
    </row>
    <row r="39597" spans="104:111">
      <c r="CZ39597" s="256"/>
      <c r="DG39597" s="256"/>
    </row>
    <row r="39598" spans="104:111">
      <c r="CZ39598" s="256"/>
      <c r="DG39598" s="256"/>
    </row>
    <row r="39599" spans="104:111">
      <c r="CZ39599" s="256"/>
      <c r="DG39599" s="256"/>
    </row>
    <row r="39600" spans="104:111">
      <c r="CZ39600" s="256"/>
      <c r="DG39600" s="256"/>
    </row>
    <row r="39601" spans="104:111">
      <c r="CZ39601" s="256"/>
      <c r="DG39601" s="256"/>
    </row>
    <row r="39602" spans="104:111">
      <c r="CZ39602" s="256"/>
      <c r="DG39602" s="256"/>
    </row>
    <row r="39603" spans="104:111">
      <c r="CZ39603" s="256"/>
      <c r="DG39603" s="256"/>
    </row>
    <row r="39604" spans="104:111">
      <c r="CZ39604" s="256"/>
      <c r="DG39604" s="256"/>
    </row>
    <row r="39605" spans="104:111">
      <c r="CZ39605" s="256"/>
      <c r="DG39605" s="256"/>
    </row>
    <row r="39606" spans="104:111">
      <c r="CZ39606" s="256"/>
      <c r="DG39606" s="256"/>
    </row>
    <row r="39607" spans="104:111">
      <c r="CZ39607" s="256"/>
      <c r="DG39607" s="256"/>
    </row>
    <row r="39608" spans="104:111">
      <c r="CZ39608" s="256"/>
      <c r="DG39608" s="256"/>
    </row>
    <row r="39609" spans="104:111">
      <c r="CZ39609" s="256"/>
      <c r="DG39609" s="256"/>
    </row>
    <row r="39610" spans="104:111">
      <c r="CZ39610" s="256"/>
      <c r="DG39610" s="256"/>
    </row>
    <row r="39611" spans="104:111">
      <c r="CZ39611" s="256"/>
      <c r="DG39611" s="256"/>
    </row>
    <row r="39612" spans="104:111">
      <c r="CZ39612" s="256"/>
      <c r="DG39612" s="256"/>
    </row>
    <row r="39613" spans="104:111">
      <c r="CZ39613" s="256"/>
      <c r="DG39613" s="256"/>
    </row>
    <row r="39614" spans="104:111">
      <c r="CZ39614" s="256"/>
      <c r="DG39614" s="256"/>
    </row>
    <row r="39615" spans="104:111">
      <c r="CZ39615" s="256"/>
      <c r="DG39615" s="256"/>
    </row>
    <row r="39616" spans="104:111">
      <c r="CZ39616" s="256"/>
      <c r="DG39616" s="256"/>
    </row>
    <row r="39617" spans="104:111">
      <c r="CZ39617" s="256"/>
      <c r="DG39617" s="256"/>
    </row>
    <row r="39618" spans="104:111">
      <c r="CZ39618" s="256"/>
      <c r="DG39618" s="256"/>
    </row>
    <row r="39619" spans="104:111">
      <c r="CZ39619" s="256"/>
      <c r="DG39619" s="256"/>
    </row>
    <row r="39620" spans="104:111">
      <c r="CZ39620" s="256"/>
      <c r="DG39620" s="256"/>
    </row>
    <row r="39621" spans="104:111">
      <c r="CZ39621" s="256"/>
      <c r="DG39621" s="256"/>
    </row>
    <row r="39622" spans="104:111">
      <c r="CZ39622" s="256"/>
      <c r="DG39622" s="256"/>
    </row>
    <row r="39623" spans="104:111">
      <c r="CZ39623" s="256"/>
      <c r="DG39623" s="256"/>
    </row>
    <row r="39624" spans="104:111">
      <c r="CZ39624" s="256"/>
      <c r="DG39624" s="256"/>
    </row>
    <row r="39625" spans="104:111">
      <c r="CZ39625" s="256"/>
      <c r="DG39625" s="256"/>
    </row>
    <row r="39626" spans="104:111">
      <c r="CZ39626" s="256"/>
      <c r="DG39626" s="256"/>
    </row>
    <row r="39627" spans="104:111">
      <c r="CZ39627" s="256"/>
      <c r="DG39627" s="256"/>
    </row>
    <row r="39628" spans="104:111">
      <c r="CZ39628" s="256"/>
      <c r="DG39628" s="256"/>
    </row>
    <row r="39629" spans="104:111">
      <c r="CZ39629" s="256"/>
      <c r="DG39629" s="256"/>
    </row>
    <row r="39630" spans="104:111">
      <c r="CZ39630" s="256"/>
      <c r="DG39630" s="256"/>
    </row>
    <row r="39631" spans="104:111">
      <c r="CZ39631" s="256"/>
      <c r="DG39631" s="256"/>
    </row>
    <row r="39632" spans="104:111">
      <c r="CZ39632" s="256"/>
      <c r="DG39632" s="256"/>
    </row>
    <row r="39633" spans="104:111">
      <c r="CZ39633" s="256"/>
      <c r="DG39633" s="256"/>
    </row>
    <row r="39634" spans="104:111">
      <c r="CZ39634" s="256"/>
      <c r="DG39634" s="256"/>
    </row>
    <row r="39635" spans="104:111">
      <c r="CZ39635" s="256"/>
      <c r="DG39635" s="256"/>
    </row>
    <row r="39636" spans="104:111">
      <c r="CZ39636" s="256"/>
      <c r="DG39636" s="256"/>
    </row>
    <row r="39637" spans="104:111">
      <c r="CZ39637" s="256"/>
      <c r="DG39637" s="256"/>
    </row>
    <row r="39638" spans="104:111">
      <c r="CZ39638" s="256"/>
      <c r="DG39638" s="256"/>
    </row>
    <row r="39639" spans="104:111">
      <c r="CZ39639" s="256"/>
      <c r="DG39639" s="256"/>
    </row>
    <row r="39640" spans="104:111">
      <c r="CZ39640" s="256"/>
      <c r="DG39640" s="256"/>
    </row>
    <row r="39641" spans="104:111">
      <c r="CZ39641" s="256"/>
      <c r="DG39641" s="256"/>
    </row>
    <row r="39642" spans="104:111">
      <c r="CZ39642" s="256"/>
      <c r="DG39642" s="256"/>
    </row>
    <row r="39643" spans="104:111">
      <c r="CZ39643" s="256"/>
      <c r="DG39643" s="256"/>
    </row>
    <row r="39644" spans="104:111">
      <c r="CZ39644" s="256"/>
      <c r="DG39644" s="256"/>
    </row>
    <row r="39645" spans="104:111">
      <c r="CZ39645" s="256"/>
      <c r="DG39645" s="256"/>
    </row>
    <row r="39646" spans="104:111">
      <c r="CZ39646" s="256"/>
      <c r="DG39646" s="256"/>
    </row>
    <row r="39647" spans="104:111">
      <c r="CZ39647" s="256"/>
      <c r="DG39647" s="256"/>
    </row>
    <row r="39648" spans="104:111">
      <c r="CZ39648" s="256"/>
      <c r="DG39648" s="256"/>
    </row>
    <row r="39649" spans="104:111">
      <c r="CZ39649" s="256"/>
      <c r="DG39649" s="256"/>
    </row>
    <row r="39650" spans="104:111">
      <c r="CZ39650" s="256"/>
      <c r="DG39650" s="256"/>
    </row>
    <row r="39651" spans="104:111">
      <c r="CZ39651" s="256"/>
      <c r="DG39651" s="256"/>
    </row>
    <row r="39652" spans="104:111">
      <c r="CZ39652" s="256"/>
      <c r="DG39652" s="256"/>
    </row>
    <row r="39653" spans="104:111">
      <c r="CZ39653" s="256"/>
      <c r="DG39653" s="256"/>
    </row>
    <row r="39654" spans="104:111">
      <c r="CZ39654" s="256"/>
      <c r="DG39654" s="256"/>
    </row>
    <row r="39655" spans="104:111">
      <c r="CZ39655" s="256"/>
      <c r="DG39655" s="256"/>
    </row>
    <row r="39656" spans="104:111">
      <c r="CZ39656" s="256"/>
      <c r="DG39656" s="256"/>
    </row>
    <row r="39657" spans="104:111">
      <c r="CZ39657" s="256"/>
      <c r="DG39657" s="256"/>
    </row>
    <row r="39658" spans="104:111">
      <c r="CZ39658" s="256"/>
      <c r="DG39658" s="256"/>
    </row>
    <row r="39659" spans="104:111">
      <c r="CZ39659" s="256"/>
      <c r="DG39659" s="256"/>
    </row>
    <row r="39660" spans="104:111">
      <c r="CZ39660" s="256"/>
      <c r="DG39660" s="256"/>
    </row>
    <row r="39661" spans="104:111">
      <c r="CZ39661" s="256"/>
      <c r="DG39661" s="256"/>
    </row>
    <row r="39662" spans="104:111">
      <c r="CZ39662" s="256"/>
      <c r="DG39662" s="256"/>
    </row>
    <row r="39663" spans="104:111">
      <c r="CZ39663" s="256"/>
      <c r="DG39663" s="256"/>
    </row>
    <row r="39664" spans="104:111">
      <c r="CZ39664" s="256"/>
      <c r="DG39664" s="256"/>
    </row>
    <row r="39665" spans="104:111">
      <c r="CZ39665" s="256"/>
      <c r="DG39665" s="256"/>
    </row>
    <row r="39666" spans="104:111">
      <c r="CZ39666" s="256"/>
      <c r="DG39666" s="256"/>
    </row>
    <row r="39667" spans="104:111">
      <c r="CZ39667" s="256"/>
      <c r="DG39667" s="256"/>
    </row>
    <row r="39668" spans="104:111">
      <c r="CZ39668" s="256"/>
      <c r="DG39668" s="256"/>
    </row>
    <row r="39669" spans="104:111">
      <c r="CZ39669" s="256"/>
      <c r="DG39669" s="256"/>
    </row>
    <row r="39670" spans="104:111">
      <c r="CZ39670" s="256"/>
      <c r="DG39670" s="256"/>
    </row>
    <row r="39671" spans="104:111">
      <c r="CZ39671" s="256"/>
      <c r="DG39671" s="256"/>
    </row>
    <row r="39672" spans="104:111">
      <c r="CZ39672" s="256"/>
      <c r="DG39672" s="256"/>
    </row>
    <row r="39673" spans="104:111">
      <c r="CZ39673" s="256"/>
      <c r="DG39673" s="256"/>
    </row>
    <row r="39674" spans="104:111">
      <c r="CZ39674" s="256"/>
      <c r="DG39674" s="256"/>
    </row>
    <row r="39675" spans="104:111">
      <c r="CZ39675" s="256"/>
      <c r="DG39675" s="256"/>
    </row>
    <row r="39676" spans="104:111">
      <c r="CZ39676" s="256"/>
      <c r="DG39676" s="256"/>
    </row>
    <row r="39677" spans="104:111">
      <c r="CZ39677" s="256"/>
      <c r="DG39677" s="256"/>
    </row>
    <row r="39678" spans="104:111">
      <c r="CZ39678" s="256"/>
      <c r="DG39678" s="256"/>
    </row>
    <row r="39679" spans="104:111">
      <c r="CZ39679" s="256"/>
      <c r="DG39679" s="256"/>
    </row>
    <row r="39680" spans="104:111">
      <c r="CZ39680" s="256"/>
      <c r="DG39680" s="256"/>
    </row>
    <row r="39681" spans="104:111">
      <c r="CZ39681" s="256"/>
      <c r="DG39681" s="256"/>
    </row>
    <row r="39682" spans="104:111">
      <c r="CZ39682" s="256"/>
      <c r="DG39682" s="256"/>
    </row>
    <row r="39683" spans="104:111">
      <c r="CZ39683" s="256"/>
      <c r="DG39683" s="256"/>
    </row>
    <row r="39684" spans="104:111">
      <c r="CZ39684" s="256"/>
      <c r="DG39684" s="256"/>
    </row>
    <row r="39685" spans="104:111">
      <c r="CZ39685" s="256"/>
      <c r="DG39685" s="256"/>
    </row>
    <row r="39686" spans="104:111">
      <c r="CZ39686" s="256"/>
      <c r="DG39686" s="256"/>
    </row>
    <row r="39687" spans="104:111">
      <c r="CZ39687" s="256"/>
      <c r="DG39687" s="256"/>
    </row>
    <row r="39688" spans="104:111">
      <c r="CZ39688" s="256"/>
      <c r="DG39688" s="256"/>
    </row>
    <row r="39689" spans="104:111">
      <c r="CZ39689" s="256"/>
      <c r="DG39689" s="256"/>
    </row>
    <row r="39690" spans="104:111">
      <c r="CZ39690" s="256"/>
      <c r="DG39690" s="256"/>
    </row>
    <row r="39691" spans="104:111">
      <c r="CZ39691" s="256"/>
      <c r="DG39691" s="256"/>
    </row>
    <row r="39692" spans="104:111">
      <c r="CZ39692" s="256"/>
      <c r="DG39692" s="256"/>
    </row>
    <row r="39693" spans="104:111">
      <c r="CZ39693" s="256"/>
      <c r="DG39693" s="256"/>
    </row>
    <row r="39694" spans="104:111">
      <c r="CZ39694" s="256"/>
      <c r="DG39694" s="256"/>
    </row>
    <row r="39695" spans="104:111">
      <c r="CZ39695" s="256"/>
      <c r="DG39695" s="256"/>
    </row>
    <row r="39696" spans="104:111">
      <c r="CZ39696" s="256"/>
      <c r="DG39696" s="256"/>
    </row>
    <row r="39697" spans="104:111">
      <c r="CZ39697" s="256"/>
      <c r="DG39697" s="256"/>
    </row>
    <row r="39698" spans="104:111">
      <c r="CZ39698" s="256"/>
      <c r="DG39698" s="256"/>
    </row>
    <row r="39699" spans="104:111">
      <c r="CZ39699" s="256"/>
      <c r="DG39699" s="256"/>
    </row>
    <row r="39700" spans="104:111">
      <c r="CZ39700" s="256"/>
      <c r="DG39700" s="256"/>
    </row>
    <row r="39701" spans="104:111">
      <c r="CZ39701" s="256"/>
      <c r="DG39701" s="256"/>
    </row>
    <row r="39702" spans="104:111">
      <c r="CZ39702" s="256"/>
      <c r="DG39702" s="256"/>
    </row>
    <row r="39703" spans="104:111">
      <c r="CZ39703" s="256"/>
      <c r="DG39703" s="256"/>
    </row>
    <row r="39704" spans="104:111">
      <c r="CZ39704" s="256"/>
      <c r="DG39704" s="256"/>
    </row>
    <row r="39705" spans="104:111">
      <c r="CZ39705" s="256"/>
      <c r="DG39705" s="256"/>
    </row>
    <row r="39706" spans="104:111">
      <c r="CZ39706" s="256"/>
      <c r="DG39706" s="256"/>
    </row>
    <row r="39707" spans="104:111">
      <c r="CZ39707" s="256"/>
      <c r="DG39707" s="256"/>
    </row>
    <row r="39708" spans="104:111">
      <c r="CZ39708" s="256"/>
      <c r="DG39708" s="256"/>
    </row>
    <row r="39709" spans="104:111">
      <c r="CZ39709" s="256"/>
      <c r="DG39709" s="256"/>
    </row>
    <row r="39710" spans="104:111">
      <c r="CZ39710" s="256"/>
      <c r="DG39710" s="256"/>
    </row>
    <row r="39711" spans="104:111">
      <c r="CZ39711" s="256"/>
      <c r="DG39711" s="256"/>
    </row>
    <row r="39712" spans="104:111">
      <c r="CZ39712" s="256"/>
      <c r="DG39712" s="256"/>
    </row>
    <row r="39713" spans="104:111">
      <c r="CZ39713" s="256"/>
      <c r="DG39713" s="256"/>
    </row>
    <row r="39714" spans="104:111">
      <c r="CZ39714" s="256"/>
      <c r="DG39714" s="256"/>
    </row>
    <row r="39715" spans="104:111">
      <c r="CZ39715" s="256"/>
      <c r="DG39715" s="256"/>
    </row>
    <row r="39716" spans="104:111">
      <c r="CZ39716" s="256"/>
      <c r="DG39716" s="256"/>
    </row>
    <row r="39717" spans="104:111">
      <c r="CZ39717" s="256"/>
      <c r="DG39717" s="256"/>
    </row>
    <row r="39718" spans="104:111">
      <c r="CZ39718" s="256"/>
      <c r="DG39718" s="256"/>
    </row>
    <row r="39719" spans="104:111">
      <c r="CZ39719" s="256"/>
      <c r="DG39719" s="256"/>
    </row>
    <row r="39720" spans="104:111">
      <c r="CZ39720" s="256"/>
      <c r="DG39720" s="256"/>
    </row>
    <row r="39721" spans="104:111">
      <c r="CZ39721" s="256"/>
      <c r="DG39721" s="256"/>
    </row>
    <row r="39722" spans="104:111">
      <c r="CZ39722" s="256"/>
      <c r="DG39722" s="256"/>
    </row>
    <row r="39723" spans="104:111">
      <c r="CZ39723" s="256"/>
      <c r="DG39723" s="256"/>
    </row>
    <row r="39724" spans="104:111">
      <c r="CZ39724" s="256"/>
      <c r="DG39724" s="256"/>
    </row>
    <row r="39725" spans="104:111">
      <c r="CZ39725" s="256"/>
      <c r="DG39725" s="256"/>
    </row>
    <row r="39726" spans="104:111">
      <c r="CZ39726" s="256"/>
      <c r="DG39726" s="256"/>
    </row>
    <row r="39727" spans="104:111">
      <c r="CZ39727" s="256"/>
      <c r="DG39727" s="256"/>
    </row>
    <row r="39728" spans="104:111">
      <c r="CZ39728" s="256"/>
      <c r="DG39728" s="256"/>
    </row>
    <row r="39729" spans="104:111">
      <c r="CZ39729" s="256"/>
      <c r="DG39729" s="256"/>
    </row>
    <row r="39730" spans="104:111">
      <c r="CZ39730" s="256"/>
      <c r="DG39730" s="256"/>
    </row>
    <row r="39731" spans="104:111">
      <c r="CZ39731" s="256"/>
      <c r="DG39731" s="256"/>
    </row>
    <row r="39732" spans="104:111">
      <c r="CZ39732" s="256"/>
      <c r="DG39732" s="256"/>
    </row>
    <row r="39733" spans="104:111">
      <c r="CZ39733" s="256"/>
      <c r="DG39733" s="256"/>
    </row>
    <row r="39734" spans="104:111">
      <c r="CZ39734" s="256"/>
      <c r="DG39734" s="256"/>
    </row>
    <row r="39735" spans="104:111">
      <c r="CZ39735" s="256"/>
      <c r="DG39735" s="256"/>
    </row>
    <row r="39736" spans="104:111">
      <c r="CZ39736" s="256"/>
      <c r="DG39736" s="256"/>
    </row>
    <row r="39737" spans="104:111">
      <c r="CZ39737" s="256"/>
      <c r="DG39737" s="256"/>
    </row>
    <row r="39738" spans="104:111">
      <c r="CZ39738" s="256"/>
      <c r="DG39738" s="256"/>
    </row>
    <row r="39739" spans="104:111">
      <c r="CZ39739" s="256"/>
      <c r="DG39739" s="256"/>
    </row>
    <row r="39740" spans="104:111">
      <c r="CZ39740" s="256"/>
      <c r="DG39740" s="256"/>
    </row>
    <row r="39741" spans="104:111">
      <c r="CZ39741" s="256"/>
      <c r="DG39741" s="256"/>
    </row>
    <row r="39742" spans="104:111">
      <c r="CZ39742" s="256"/>
      <c r="DG39742" s="256"/>
    </row>
    <row r="39743" spans="104:111">
      <c r="CZ39743" s="256"/>
      <c r="DG39743" s="256"/>
    </row>
    <row r="39744" spans="104:111">
      <c r="CZ39744" s="256"/>
      <c r="DG39744" s="256"/>
    </row>
    <row r="39745" spans="104:111">
      <c r="CZ39745" s="256"/>
      <c r="DG39745" s="256"/>
    </row>
    <row r="39746" spans="104:111">
      <c r="CZ39746" s="256"/>
      <c r="DG39746" s="256"/>
    </row>
    <row r="39747" spans="104:111">
      <c r="CZ39747" s="256"/>
      <c r="DG39747" s="256"/>
    </row>
    <row r="39748" spans="104:111">
      <c r="CZ39748" s="256"/>
      <c r="DG39748" s="256"/>
    </row>
    <row r="39749" spans="104:111">
      <c r="CZ39749" s="256"/>
      <c r="DG39749" s="256"/>
    </row>
    <row r="39750" spans="104:111">
      <c r="CZ39750" s="256"/>
      <c r="DG39750" s="256"/>
    </row>
    <row r="39751" spans="104:111">
      <c r="CZ39751" s="256"/>
      <c r="DG39751" s="256"/>
    </row>
    <row r="39752" spans="104:111">
      <c r="CZ39752" s="256"/>
      <c r="DG39752" s="256"/>
    </row>
    <row r="39753" spans="104:111">
      <c r="CZ39753" s="256"/>
      <c r="DG39753" s="256"/>
    </row>
    <row r="39754" spans="104:111">
      <c r="CZ39754" s="256"/>
      <c r="DG39754" s="256"/>
    </row>
    <row r="39755" spans="104:111">
      <c r="CZ39755" s="256"/>
      <c r="DG39755" s="256"/>
    </row>
    <row r="39756" spans="104:111">
      <c r="CZ39756" s="256"/>
      <c r="DG39756" s="256"/>
    </row>
    <row r="39757" spans="104:111">
      <c r="CZ39757" s="256"/>
      <c r="DG39757" s="256"/>
    </row>
    <row r="39758" spans="104:111">
      <c r="CZ39758" s="256"/>
      <c r="DG39758" s="256"/>
    </row>
    <row r="39759" spans="104:111">
      <c r="CZ39759" s="256"/>
      <c r="DG39759" s="256"/>
    </row>
    <row r="39760" spans="104:111">
      <c r="CZ39760" s="256"/>
      <c r="DG39760" s="256"/>
    </row>
    <row r="39761" spans="104:111">
      <c r="CZ39761" s="256"/>
      <c r="DG39761" s="256"/>
    </row>
    <row r="39762" spans="104:111">
      <c r="CZ39762" s="256"/>
      <c r="DG39762" s="256"/>
    </row>
    <row r="39763" spans="104:111">
      <c r="CZ39763" s="256"/>
      <c r="DG39763" s="256"/>
    </row>
    <row r="39764" spans="104:111">
      <c r="CZ39764" s="256"/>
      <c r="DG39764" s="256"/>
    </row>
    <row r="39765" spans="104:111">
      <c r="CZ39765" s="256"/>
      <c r="DG39765" s="256"/>
    </row>
    <row r="39766" spans="104:111">
      <c r="CZ39766" s="256"/>
      <c r="DG39766" s="256"/>
    </row>
    <row r="39767" spans="104:111">
      <c r="CZ39767" s="256"/>
      <c r="DG39767" s="256"/>
    </row>
    <row r="39768" spans="104:111">
      <c r="CZ39768" s="256"/>
      <c r="DG39768" s="256"/>
    </row>
    <row r="39769" spans="104:111">
      <c r="CZ39769" s="256"/>
      <c r="DG39769" s="256"/>
    </row>
    <row r="39770" spans="104:111">
      <c r="CZ39770" s="256"/>
      <c r="DG39770" s="256"/>
    </row>
    <row r="39771" spans="104:111">
      <c r="CZ39771" s="256"/>
      <c r="DG39771" s="256"/>
    </row>
    <row r="39772" spans="104:111">
      <c r="CZ39772" s="256"/>
      <c r="DG39772" s="256"/>
    </row>
    <row r="39773" spans="104:111">
      <c r="CZ39773" s="256"/>
      <c r="DG39773" s="256"/>
    </row>
    <row r="39774" spans="104:111">
      <c r="CZ39774" s="256"/>
      <c r="DG39774" s="256"/>
    </row>
    <row r="39775" spans="104:111">
      <c r="CZ39775" s="256"/>
      <c r="DG39775" s="256"/>
    </row>
    <row r="39776" spans="104:111">
      <c r="CZ39776" s="256"/>
      <c r="DG39776" s="256"/>
    </row>
    <row r="39777" spans="104:111">
      <c r="CZ39777" s="256"/>
      <c r="DG39777" s="256"/>
    </row>
    <row r="39778" spans="104:111">
      <c r="CZ39778" s="256"/>
      <c r="DG39778" s="256"/>
    </row>
    <row r="39779" spans="104:111">
      <c r="CZ39779" s="256"/>
      <c r="DG39779" s="256"/>
    </row>
    <row r="39780" spans="104:111">
      <c r="CZ39780" s="256"/>
      <c r="DG39780" s="256"/>
    </row>
    <row r="39781" spans="104:111">
      <c r="CZ39781" s="256"/>
      <c r="DG39781" s="256"/>
    </row>
    <row r="39782" spans="104:111">
      <c r="CZ39782" s="256"/>
      <c r="DG39782" s="256"/>
    </row>
    <row r="39783" spans="104:111">
      <c r="CZ39783" s="256"/>
      <c r="DG39783" s="256"/>
    </row>
    <row r="39784" spans="104:111">
      <c r="CZ39784" s="256"/>
      <c r="DG39784" s="256"/>
    </row>
    <row r="39785" spans="104:111">
      <c r="CZ39785" s="256"/>
      <c r="DG39785" s="256"/>
    </row>
    <row r="39786" spans="104:111">
      <c r="CZ39786" s="256"/>
      <c r="DG39786" s="256"/>
    </row>
    <row r="39787" spans="104:111">
      <c r="CZ39787" s="256"/>
      <c r="DG39787" s="256"/>
    </row>
    <row r="39788" spans="104:111">
      <c r="CZ39788" s="256"/>
      <c r="DG39788" s="256"/>
    </row>
    <row r="39789" spans="104:111">
      <c r="CZ39789" s="256"/>
      <c r="DG39789" s="256"/>
    </row>
    <row r="39790" spans="104:111">
      <c r="CZ39790" s="256"/>
      <c r="DG39790" s="256"/>
    </row>
    <row r="39791" spans="104:111">
      <c r="CZ39791" s="256"/>
      <c r="DG39791" s="256"/>
    </row>
    <row r="39792" spans="104:111">
      <c r="CZ39792" s="256"/>
      <c r="DG39792" s="256"/>
    </row>
    <row r="39793" spans="104:111">
      <c r="CZ39793" s="256"/>
      <c r="DG39793" s="256"/>
    </row>
    <row r="39794" spans="104:111">
      <c r="CZ39794" s="256"/>
      <c r="DG39794" s="256"/>
    </row>
    <row r="39795" spans="104:111">
      <c r="CZ39795" s="256"/>
      <c r="DG39795" s="256"/>
    </row>
    <row r="39796" spans="104:111">
      <c r="CZ39796" s="256"/>
      <c r="DG39796" s="256"/>
    </row>
    <row r="39797" spans="104:111">
      <c r="CZ39797" s="256"/>
      <c r="DG39797" s="256"/>
    </row>
    <row r="39798" spans="104:111">
      <c r="CZ39798" s="256"/>
      <c r="DG39798" s="256"/>
    </row>
    <row r="39799" spans="104:111">
      <c r="CZ39799" s="256"/>
      <c r="DG39799" s="256"/>
    </row>
    <row r="39800" spans="104:111">
      <c r="CZ39800" s="256"/>
      <c r="DG39800" s="256"/>
    </row>
    <row r="39801" spans="104:111">
      <c r="CZ39801" s="256"/>
      <c r="DG39801" s="256"/>
    </row>
    <row r="39802" spans="104:111">
      <c r="CZ39802" s="256"/>
      <c r="DG39802" s="256"/>
    </row>
    <row r="39803" spans="104:111">
      <c r="CZ39803" s="256"/>
      <c r="DG39803" s="256"/>
    </row>
    <row r="39804" spans="104:111">
      <c r="CZ39804" s="256"/>
      <c r="DG39804" s="256"/>
    </row>
    <row r="39805" spans="104:111">
      <c r="CZ39805" s="256"/>
      <c r="DG39805" s="256"/>
    </row>
    <row r="39806" spans="104:111">
      <c r="CZ39806" s="256"/>
      <c r="DG39806" s="256"/>
    </row>
    <row r="39807" spans="104:111">
      <c r="CZ39807" s="256"/>
      <c r="DG39807" s="256"/>
    </row>
    <row r="39808" spans="104:111">
      <c r="CZ39808" s="256"/>
      <c r="DG39808" s="256"/>
    </row>
    <row r="39809" spans="104:111">
      <c r="CZ39809" s="256"/>
      <c r="DG39809" s="256"/>
    </row>
    <row r="39810" spans="104:111">
      <c r="CZ39810" s="256"/>
      <c r="DG39810" s="256"/>
    </row>
    <row r="39811" spans="104:111">
      <c r="CZ39811" s="256"/>
      <c r="DG39811" s="256"/>
    </row>
    <row r="39812" spans="104:111">
      <c r="CZ39812" s="256"/>
      <c r="DG39812" s="256"/>
    </row>
    <row r="39813" spans="104:111">
      <c r="CZ39813" s="256"/>
      <c r="DG39813" s="256"/>
    </row>
    <row r="39814" spans="104:111">
      <c r="CZ39814" s="256"/>
      <c r="DG39814" s="256"/>
    </row>
    <row r="39815" spans="104:111">
      <c r="CZ39815" s="256"/>
      <c r="DG39815" s="256"/>
    </row>
    <row r="39816" spans="104:111">
      <c r="CZ39816" s="256"/>
      <c r="DG39816" s="256"/>
    </row>
    <row r="39817" spans="104:111">
      <c r="CZ39817" s="256"/>
      <c r="DG39817" s="256"/>
    </row>
    <row r="39818" spans="104:111">
      <c r="CZ39818" s="256"/>
      <c r="DG39818" s="256"/>
    </row>
    <row r="39819" spans="104:111">
      <c r="CZ39819" s="256"/>
      <c r="DG39819" s="256"/>
    </row>
    <row r="39820" spans="104:111">
      <c r="CZ39820" s="256"/>
      <c r="DG39820" s="256"/>
    </row>
    <row r="39821" spans="104:111">
      <c r="CZ39821" s="256"/>
      <c r="DG39821" s="256"/>
    </row>
    <row r="39822" spans="104:111">
      <c r="CZ39822" s="256"/>
      <c r="DG39822" s="256"/>
    </row>
    <row r="39823" spans="104:111">
      <c r="CZ39823" s="256"/>
      <c r="DG39823" s="256"/>
    </row>
    <row r="39824" spans="104:111">
      <c r="CZ39824" s="256"/>
      <c r="DG39824" s="256"/>
    </row>
    <row r="39825" spans="104:111">
      <c r="CZ39825" s="256"/>
      <c r="DG39825" s="256"/>
    </row>
    <row r="39826" spans="104:111">
      <c r="CZ39826" s="256"/>
      <c r="DG39826" s="256"/>
    </row>
    <row r="39827" spans="104:111">
      <c r="CZ39827" s="256"/>
      <c r="DG39827" s="256"/>
    </row>
    <row r="39828" spans="104:111">
      <c r="CZ39828" s="256"/>
      <c r="DG39828" s="256"/>
    </row>
    <row r="39829" spans="104:111">
      <c r="CZ39829" s="256"/>
      <c r="DG39829" s="256"/>
    </row>
    <row r="39830" spans="104:111">
      <c r="CZ39830" s="256"/>
      <c r="DG39830" s="256"/>
    </row>
    <row r="39831" spans="104:111">
      <c r="CZ39831" s="256"/>
      <c r="DG39831" s="256"/>
    </row>
    <row r="39832" spans="104:111">
      <c r="CZ39832" s="256"/>
      <c r="DG39832" s="256"/>
    </row>
    <row r="39833" spans="104:111">
      <c r="CZ39833" s="256"/>
      <c r="DG39833" s="256"/>
    </row>
    <row r="39834" spans="104:111">
      <c r="CZ39834" s="256"/>
      <c r="DG39834" s="256"/>
    </row>
    <row r="39835" spans="104:111">
      <c r="CZ39835" s="256"/>
      <c r="DG39835" s="256"/>
    </row>
    <row r="39836" spans="104:111">
      <c r="CZ39836" s="256"/>
      <c r="DG39836" s="256"/>
    </row>
    <row r="39837" spans="104:111">
      <c r="CZ39837" s="256"/>
      <c r="DG39837" s="256"/>
    </row>
    <row r="39838" spans="104:111">
      <c r="CZ39838" s="256"/>
      <c r="DG39838" s="256"/>
    </row>
    <row r="39839" spans="104:111">
      <c r="CZ39839" s="256"/>
      <c r="DG39839" s="256"/>
    </row>
    <row r="39840" spans="104:111">
      <c r="CZ39840" s="256"/>
      <c r="DG39840" s="256"/>
    </row>
    <row r="39841" spans="104:111">
      <c r="CZ39841" s="256"/>
      <c r="DG39841" s="256"/>
    </row>
    <row r="39842" spans="104:111">
      <c r="CZ39842" s="256"/>
      <c r="DG39842" s="256"/>
    </row>
    <row r="39843" spans="104:111">
      <c r="CZ39843" s="256"/>
      <c r="DG39843" s="256"/>
    </row>
    <row r="39844" spans="104:111">
      <c r="CZ39844" s="256"/>
      <c r="DG39844" s="256"/>
    </row>
    <row r="39845" spans="104:111">
      <c r="CZ39845" s="256"/>
      <c r="DG39845" s="256"/>
    </row>
    <row r="39846" spans="104:111">
      <c r="CZ39846" s="256"/>
      <c r="DG39846" s="256"/>
    </row>
    <row r="39847" spans="104:111">
      <c r="CZ39847" s="256"/>
      <c r="DG39847" s="256"/>
    </row>
    <row r="39848" spans="104:111">
      <c r="CZ39848" s="256"/>
      <c r="DG39848" s="256"/>
    </row>
    <row r="39849" spans="104:111">
      <c r="CZ39849" s="256"/>
      <c r="DG39849" s="256"/>
    </row>
    <row r="39850" spans="104:111">
      <c r="CZ39850" s="256"/>
      <c r="DG39850" s="256"/>
    </row>
    <row r="39851" spans="104:111">
      <c r="CZ39851" s="256"/>
      <c r="DG39851" s="256"/>
    </row>
    <row r="39852" spans="104:111">
      <c r="CZ39852" s="256"/>
      <c r="DG39852" s="256"/>
    </row>
    <row r="39853" spans="104:111">
      <c r="CZ39853" s="256"/>
      <c r="DG39853" s="256"/>
    </row>
    <row r="39854" spans="104:111">
      <c r="CZ39854" s="256"/>
      <c r="DG39854" s="256"/>
    </row>
    <row r="39855" spans="104:111">
      <c r="CZ39855" s="256"/>
      <c r="DG39855" s="256"/>
    </row>
    <row r="39856" spans="104:111">
      <c r="CZ39856" s="256"/>
      <c r="DG39856" s="256"/>
    </row>
    <row r="39857" spans="104:111">
      <c r="CZ39857" s="256"/>
      <c r="DG39857" s="256"/>
    </row>
    <row r="39858" spans="104:111">
      <c r="CZ39858" s="256"/>
      <c r="DG39858" s="256"/>
    </row>
    <row r="39859" spans="104:111">
      <c r="CZ39859" s="256"/>
      <c r="DG39859" s="256"/>
    </row>
    <row r="39860" spans="104:111">
      <c r="CZ39860" s="256"/>
      <c r="DG39860" s="256"/>
    </row>
    <row r="39861" spans="104:111">
      <c r="CZ39861" s="256"/>
      <c r="DG39861" s="256"/>
    </row>
    <row r="39862" spans="104:111">
      <c r="CZ39862" s="256"/>
      <c r="DG39862" s="256"/>
    </row>
    <row r="39863" spans="104:111">
      <c r="CZ39863" s="256"/>
      <c r="DG39863" s="256"/>
    </row>
    <row r="39864" spans="104:111">
      <c r="CZ39864" s="256"/>
      <c r="DG39864" s="256"/>
    </row>
    <row r="39865" spans="104:111">
      <c r="CZ39865" s="256"/>
      <c r="DG39865" s="256"/>
    </row>
    <row r="39866" spans="104:111">
      <c r="CZ39866" s="256"/>
      <c r="DG39866" s="256"/>
    </row>
    <row r="39867" spans="104:111">
      <c r="CZ39867" s="256"/>
      <c r="DG39867" s="256"/>
    </row>
    <row r="39868" spans="104:111">
      <c r="CZ39868" s="256"/>
      <c r="DG39868" s="256"/>
    </row>
    <row r="39869" spans="104:111">
      <c r="CZ39869" s="256"/>
      <c r="DG39869" s="256"/>
    </row>
    <row r="39870" spans="104:111">
      <c r="CZ39870" s="256"/>
      <c r="DG39870" s="256"/>
    </row>
    <row r="39871" spans="104:111">
      <c r="CZ39871" s="256"/>
      <c r="DG39871" s="256"/>
    </row>
    <row r="39872" spans="104:111">
      <c r="CZ39872" s="256"/>
      <c r="DG39872" s="256"/>
    </row>
    <row r="39873" spans="104:111">
      <c r="CZ39873" s="256"/>
      <c r="DG39873" s="256"/>
    </row>
    <row r="39874" spans="104:111">
      <c r="CZ39874" s="256"/>
      <c r="DG39874" s="256"/>
    </row>
    <row r="39875" spans="104:111">
      <c r="CZ39875" s="256"/>
      <c r="DG39875" s="256"/>
    </row>
    <row r="39876" spans="104:111">
      <c r="CZ39876" s="256"/>
      <c r="DG39876" s="256"/>
    </row>
    <row r="39877" spans="104:111">
      <c r="CZ39877" s="256"/>
      <c r="DG39877" s="256"/>
    </row>
    <row r="39878" spans="104:111">
      <c r="CZ39878" s="256"/>
      <c r="DG39878" s="256"/>
    </row>
    <row r="39879" spans="104:111">
      <c r="CZ39879" s="256"/>
      <c r="DG39879" s="256"/>
    </row>
    <row r="39880" spans="104:111">
      <c r="CZ39880" s="256"/>
      <c r="DG39880" s="256"/>
    </row>
    <row r="39881" spans="104:111">
      <c r="CZ39881" s="256"/>
      <c r="DG39881" s="256"/>
    </row>
    <row r="39882" spans="104:111">
      <c r="CZ39882" s="256"/>
      <c r="DG39882" s="256"/>
    </row>
    <row r="39883" spans="104:111">
      <c r="CZ39883" s="256"/>
      <c r="DG39883" s="256"/>
    </row>
    <row r="39884" spans="104:111">
      <c r="CZ39884" s="256"/>
      <c r="DG39884" s="256"/>
    </row>
    <row r="39885" spans="104:111">
      <c r="CZ39885" s="256"/>
      <c r="DG39885" s="256"/>
    </row>
    <row r="39886" spans="104:111">
      <c r="CZ39886" s="256"/>
      <c r="DG39886" s="256"/>
    </row>
    <row r="39887" spans="104:111">
      <c r="CZ39887" s="256"/>
      <c r="DG39887" s="256"/>
    </row>
    <row r="39888" spans="104:111">
      <c r="CZ39888" s="256"/>
      <c r="DG39888" s="256"/>
    </row>
    <row r="39889" spans="104:111">
      <c r="CZ39889" s="256"/>
      <c r="DG39889" s="256"/>
    </row>
    <row r="39890" spans="104:111">
      <c r="CZ39890" s="256"/>
      <c r="DG39890" s="256"/>
    </row>
    <row r="39891" spans="104:111">
      <c r="CZ39891" s="256"/>
      <c r="DG39891" s="256"/>
    </row>
    <row r="39892" spans="104:111">
      <c r="CZ39892" s="256"/>
      <c r="DG39892" s="256"/>
    </row>
    <row r="39893" spans="104:111">
      <c r="CZ39893" s="256"/>
      <c r="DG39893" s="256"/>
    </row>
    <row r="39894" spans="104:111">
      <c r="CZ39894" s="256"/>
      <c r="DG39894" s="256"/>
    </row>
    <row r="39895" spans="104:111">
      <c r="CZ39895" s="256"/>
      <c r="DG39895" s="256"/>
    </row>
    <row r="39896" spans="104:111">
      <c r="CZ39896" s="256"/>
      <c r="DG39896" s="256"/>
    </row>
    <row r="39897" spans="104:111">
      <c r="CZ39897" s="256"/>
      <c r="DG39897" s="256"/>
    </row>
    <row r="39898" spans="104:111">
      <c r="CZ39898" s="256"/>
      <c r="DG39898" s="256"/>
    </row>
    <row r="39899" spans="104:111">
      <c r="CZ39899" s="256"/>
      <c r="DG39899" s="256"/>
    </row>
    <row r="39900" spans="104:111">
      <c r="CZ39900" s="256"/>
      <c r="DG39900" s="256"/>
    </row>
    <row r="39901" spans="104:111">
      <c r="CZ39901" s="256"/>
      <c r="DG39901" s="256"/>
    </row>
    <row r="39902" spans="104:111">
      <c r="CZ39902" s="256"/>
      <c r="DG39902" s="256"/>
    </row>
    <row r="39903" spans="104:111">
      <c r="CZ39903" s="256"/>
      <c r="DG39903" s="256"/>
    </row>
    <row r="39904" spans="104:111">
      <c r="CZ39904" s="256"/>
      <c r="DG39904" s="256"/>
    </row>
    <row r="39905" spans="104:111">
      <c r="CZ39905" s="256"/>
      <c r="DG39905" s="256"/>
    </row>
    <row r="39906" spans="104:111">
      <c r="CZ39906" s="256"/>
      <c r="DG39906" s="256"/>
    </row>
    <row r="39907" spans="104:111">
      <c r="CZ39907" s="256"/>
      <c r="DG39907" s="256"/>
    </row>
    <row r="39908" spans="104:111">
      <c r="CZ39908" s="256"/>
      <c r="DG39908" s="256"/>
    </row>
    <row r="39909" spans="104:111">
      <c r="CZ39909" s="256"/>
      <c r="DG39909" s="256"/>
    </row>
    <row r="39910" spans="104:111">
      <c r="CZ39910" s="256"/>
      <c r="DG39910" s="256"/>
    </row>
    <row r="39911" spans="104:111">
      <c r="CZ39911" s="256"/>
      <c r="DG39911" s="256"/>
    </row>
    <row r="39912" spans="104:111">
      <c r="CZ39912" s="256"/>
      <c r="DG39912" s="256"/>
    </row>
    <row r="39913" spans="104:111">
      <c r="CZ39913" s="256"/>
      <c r="DG39913" s="256"/>
    </row>
    <row r="39914" spans="104:111">
      <c r="CZ39914" s="256"/>
      <c r="DG39914" s="256"/>
    </row>
    <row r="39915" spans="104:111">
      <c r="CZ39915" s="256"/>
      <c r="DG39915" s="256"/>
    </row>
    <row r="39916" spans="104:111">
      <c r="CZ39916" s="256"/>
      <c r="DG39916" s="256"/>
    </row>
    <row r="39917" spans="104:111">
      <c r="CZ39917" s="256"/>
      <c r="DG39917" s="256"/>
    </row>
    <row r="39918" spans="104:111">
      <c r="CZ39918" s="256"/>
      <c r="DG39918" s="256"/>
    </row>
    <row r="39919" spans="104:111">
      <c r="CZ39919" s="256"/>
      <c r="DG39919" s="256"/>
    </row>
    <row r="39920" spans="104:111">
      <c r="CZ39920" s="256"/>
      <c r="DG39920" s="256"/>
    </row>
    <row r="39921" spans="104:111">
      <c r="CZ39921" s="256"/>
      <c r="DG39921" s="256"/>
    </row>
    <row r="39922" spans="104:111">
      <c r="CZ39922" s="256"/>
      <c r="DG39922" s="256"/>
    </row>
    <row r="39923" spans="104:111">
      <c r="CZ39923" s="256"/>
      <c r="DG39923" s="256"/>
    </row>
    <row r="39924" spans="104:111">
      <c r="CZ39924" s="256"/>
      <c r="DG39924" s="256"/>
    </row>
    <row r="39925" spans="104:111">
      <c r="CZ39925" s="256"/>
      <c r="DG39925" s="256"/>
    </row>
    <row r="39926" spans="104:111">
      <c r="CZ39926" s="256"/>
      <c r="DG39926" s="256"/>
    </row>
    <row r="39927" spans="104:111">
      <c r="CZ39927" s="256"/>
      <c r="DG39927" s="256"/>
    </row>
    <row r="39928" spans="104:111">
      <c r="CZ39928" s="256"/>
      <c r="DG39928" s="256"/>
    </row>
    <row r="39929" spans="104:111">
      <c r="CZ39929" s="256"/>
      <c r="DG39929" s="256"/>
    </row>
    <row r="39930" spans="104:111">
      <c r="CZ39930" s="256"/>
      <c r="DG39930" s="256"/>
    </row>
    <row r="39931" spans="104:111">
      <c r="CZ39931" s="256"/>
      <c r="DG39931" s="256"/>
    </row>
    <row r="39932" spans="104:111">
      <c r="CZ39932" s="256"/>
      <c r="DG39932" s="256"/>
    </row>
    <row r="39933" spans="104:111">
      <c r="CZ39933" s="256"/>
      <c r="DG39933" s="256"/>
    </row>
    <row r="39934" spans="104:111">
      <c r="CZ39934" s="256"/>
      <c r="DG39934" s="256"/>
    </row>
    <row r="39935" spans="104:111">
      <c r="CZ39935" s="256"/>
      <c r="DG39935" s="256"/>
    </row>
    <row r="39936" spans="104:111">
      <c r="CZ39936" s="256"/>
      <c r="DG39936" s="256"/>
    </row>
    <row r="39937" spans="104:111">
      <c r="CZ39937" s="256"/>
      <c r="DG39937" s="256"/>
    </row>
    <row r="39938" spans="104:111">
      <c r="CZ39938" s="256"/>
      <c r="DG39938" s="256"/>
    </row>
    <row r="39939" spans="104:111">
      <c r="CZ39939" s="256"/>
      <c r="DG39939" s="256"/>
    </row>
    <row r="39940" spans="104:111">
      <c r="CZ39940" s="256"/>
      <c r="DG39940" s="256"/>
    </row>
    <row r="39941" spans="104:111">
      <c r="CZ39941" s="256"/>
      <c r="DG39941" s="256"/>
    </row>
    <row r="39942" spans="104:111">
      <c r="CZ39942" s="256"/>
      <c r="DG39942" s="256"/>
    </row>
    <row r="39943" spans="104:111">
      <c r="CZ39943" s="256"/>
      <c r="DG39943" s="256"/>
    </row>
    <row r="39944" spans="104:111">
      <c r="CZ39944" s="256"/>
      <c r="DG39944" s="256"/>
    </row>
    <row r="39945" spans="104:111">
      <c r="CZ39945" s="256"/>
      <c r="DG39945" s="256"/>
    </row>
    <row r="39946" spans="104:111">
      <c r="CZ39946" s="256"/>
      <c r="DG39946" s="256"/>
    </row>
    <row r="39947" spans="104:111">
      <c r="CZ39947" s="256"/>
      <c r="DG39947" s="256"/>
    </row>
    <row r="39948" spans="104:111">
      <c r="CZ39948" s="256"/>
      <c r="DG39948" s="256"/>
    </row>
    <row r="39949" spans="104:111">
      <c r="CZ39949" s="256"/>
      <c r="DG39949" s="256"/>
    </row>
    <row r="39950" spans="104:111">
      <c r="CZ39950" s="256"/>
      <c r="DG39950" s="256"/>
    </row>
    <row r="39951" spans="104:111">
      <c r="CZ39951" s="256"/>
      <c r="DG39951" s="256"/>
    </row>
    <row r="39952" spans="104:111">
      <c r="CZ39952" s="256"/>
      <c r="DG39952" s="256"/>
    </row>
    <row r="39953" spans="104:111">
      <c r="CZ39953" s="256"/>
      <c r="DG39953" s="256"/>
    </row>
    <row r="39954" spans="104:111">
      <c r="CZ39954" s="256"/>
      <c r="DG39954" s="256"/>
    </row>
    <row r="39955" spans="104:111">
      <c r="CZ39955" s="256"/>
      <c r="DG39955" s="256"/>
    </row>
    <row r="39956" spans="104:111">
      <c r="CZ39956" s="256"/>
      <c r="DG39956" s="256"/>
    </row>
    <row r="39957" spans="104:111">
      <c r="CZ39957" s="256"/>
      <c r="DG39957" s="256"/>
    </row>
    <row r="39958" spans="104:111">
      <c r="CZ39958" s="256"/>
      <c r="DG39958" s="256"/>
    </row>
    <row r="39959" spans="104:111">
      <c r="CZ39959" s="256"/>
      <c r="DG39959" s="256"/>
    </row>
    <row r="39960" spans="104:111">
      <c r="CZ39960" s="256"/>
      <c r="DG39960" s="256"/>
    </row>
    <row r="39961" spans="104:111">
      <c r="CZ39961" s="256"/>
      <c r="DG39961" s="256"/>
    </row>
    <row r="39962" spans="104:111">
      <c r="CZ39962" s="256"/>
      <c r="DG39962" s="256"/>
    </row>
    <row r="39963" spans="104:111">
      <c r="CZ39963" s="256"/>
      <c r="DG39963" s="256"/>
    </row>
    <row r="39964" spans="104:111">
      <c r="CZ39964" s="256"/>
      <c r="DG39964" s="256"/>
    </row>
    <row r="39965" spans="104:111">
      <c r="CZ39965" s="256"/>
      <c r="DG39965" s="256"/>
    </row>
    <row r="39966" spans="104:111">
      <c r="CZ39966" s="256"/>
      <c r="DG39966" s="256"/>
    </row>
    <row r="39967" spans="104:111">
      <c r="CZ39967" s="256"/>
      <c r="DG39967" s="256"/>
    </row>
    <row r="39968" spans="104:111">
      <c r="CZ39968" s="256"/>
      <c r="DG39968" s="256"/>
    </row>
    <row r="39969" spans="104:111">
      <c r="CZ39969" s="256"/>
      <c r="DG39969" s="256"/>
    </row>
    <row r="39970" spans="104:111">
      <c r="CZ39970" s="256"/>
      <c r="DG39970" s="256"/>
    </row>
    <row r="39971" spans="104:111">
      <c r="CZ39971" s="256"/>
      <c r="DG39971" s="256"/>
    </row>
    <row r="39972" spans="104:111">
      <c r="CZ39972" s="256"/>
      <c r="DG39972" s="256"/>
    </row>
    <row r="39973" spans="104:111">
      <c r="CZ39973" s="256"/>
      <c r="DG39973" s="256"/>
    </row>
    <row r="39974" spans="104:111">
      <c r="CZ39974" s="256"/>
      <c r="DG39974" s="256"/>
    </row>
    <row r="39975" spans="104:111">
      <c r="CZ39975" s="256"/>
      <c r="DG39975" s="256"/>
    </row>
    <row r="39976" spans="104:111">
      <c r="CZ39976" s="256"/>
      <c r="DG39976" s="256"/>
    </row>
    <row r="39977" spans="104:111">
      <c r="CZ39977" s="256"/>
      <c r="DG39977" s="256"/>
    </row>
    <row r="39978" spans="104:111">
      <c r="CZ39978" s="256"/>
      <c r="DG39978" s="256"/>
    </row>
    <row r="39979" spans="104:111">
      <c r="CZ39979" s="256"/>
      <c r="DG39979" s="256"/>
    </row>
    <row r="39980" spans="104:111">
      <c r="CZ39980" s="256"/>
      <c r="DG39980" s="256"/>
    </row>
    <row r="39981" spans="104:111">
      <c r="CZ39981" s="256"/>
      <c r="DG39981" s="256"/>
    </row>
    <row r="39982" spans="104:111">
      <c r="CZ39982" s="256"/>
      <c r="DG39982" s="256"/>
    </row>
    <row r="39983" spans="104:111">
      <c r="CZ39983" s="256"/>
      <c r="DG39983" s="256"/>
    </row>
    <row r="39984" spans="104:111">
      <c r="CZ39984" s="256"/>
      <c r="DG39984" s="256"/>
    </row>
    <row r="39985" spans="104:111">
      <c r="CZ39985" s="256"/>
      <c r="DG39985" s="256"/>
    </row>
    <row r="39986" spans="104:111">
      <c r="CZ39986" s="256"/>
      <c r="DG39986" s="256"/>
    </row>
    <row r="39987" spans="104:111">
      <c r="CZ39987" s="256"/>
      <c r="DG39987" s="256"/>
    </row>
    <row r="39988" spans="104:111">
      <c r="CZ39988" s="256"/>
      <c r="DG39988" s="256"/>
    </row>
    <row r="39989" spans="104:111">
      <c r="CZ39989" s="256"/>
      <c r="DG39989" s="256"/>
    </row>
    <row r="39990" spans="104:111">
      <c r="CZ39990" s="256"/>
      <c r="DG39990" s="256"/>
    </row>
    <row r="39991" spans="104:111">
      <c r="CZ39991" s="256"/>
      <c r="DG39991" s="256"/>
    </row>
    <row r="39992" spans="104:111">
      <c r="CZ39992" s="256"/>
      <c r="DG39992" s="256"/>
    </row>
    <row r="39993" spans="104:111">
      <c r="CZ39993" s="256"/>
      <c r="DG39993" s="256"/>
    </row>
    <row r="39994" spans="104:111">
      <c r="CZ39994" s="256"/>
      <c r="DG39994" s="256"/>
    </row>
    <row r="39995" spans="104:111">
      <c r="CZ39995" s="256"/>
      <c r="DG39995" s="256"/>
    </row>
    <row r="39996" spans="104:111">
      <c r="CZ39996" s="256"/>
      <c r="DG39996" s="256"/>
    </row>
    <row r="39997" spans="104:111">
      <c r="CZ39997" s="256"/>
      <c r="DG39997" s="256"/>
    </row>
    <row r="39998" spans="104:111">
      <c r="CZ39998" s="256"/>
      <c r="DG39998" s="256"/>
    </row>
    <row r="39999" spans="104:111">
      <c r="CZ39999" s="256"/>
      <c r="DG39999" s="256"/>
    </row>
    <row r="40000" spans="104:111">
      <c r="CZ40000" s="256"/>
      <c r="DG40000" s="256"/>
    </row>
    <row r="40001" spans="104:111">
      <c r="CZ40001" s="256"/>
      <c r="DG40001" s="256"/>
    </row>
    <row r="40002" spans="104:111">
      <c r="CZ40002" s="256"/>
      <c r="DG40002" s="256"/>
    </row>
    <row r="40003" spans="104:111">
      <c r="CZ40003" s="256"/>
      <c r="DG40003" s="256"/>
    </row>
    <row r="40004" spans="104:111">
      <c r="CZ40004" s="256"/>
      <c r="DG40004" s="256"/>
    </row>
    <row r="40005" spans="104:111">
      <c r="CZ40005" s="256"/>
      <c r="DG40005" s="256"/>
    </row>
    <row r="40006" spans="104:111">
      <c r="CZ40006" s="256"/>
      <c r="DG40006" s="256"/>
    </row>
    <row r="40007" spans="104:111">
      <c r="CZ40007" s="256"/>
      <c r="DG40007" s="256"/>
    </row>
    <row r="40008" spans="104:111">
      <c r="CZ40008" s="256"/>
      <c r="DG40008" s="256"/>
    </row>
    <row r="40009" spans="104:111">
      <c r="CZ40009" s="256"/>
      <c r="DG40009" s="256"/>
    </row>
    <row r="40010" spans="104:111">
      <c r="CZ40010" s="256"/>
      <c r="DG40010" s="256"/>
    </row>
    <row r="40011" spans="104:111">
      <c r="CZ40011" s="256"/>
      <c r="DG40011" s="256"/>
    </row>
    <row r="40012" spans="104:111">
      <c r="CZ40012" s="256"/>
      <c r="DG40012" s="256"/>
    </row>
    <row r="40013" spans="104:111">
      <c r="CZ40013" s="256"/>
      <c r="DG40013" s="256"/>
    </row>
    <row r="40014" spans="104:111">
      <c r="CZ40014" s="256"/>
      <c r="DG40014" s="256"/>
    </row>
    <row r="40015" spans="104:111">
      <c r="CZ40015" s="256"/>
      <c r="DG40015" s="256"/>
    </row>
    <row r="40016" spans="104:111">
      <c r="CZ40016" s="256"/>
      <c r="DG40016" s="256"/>
    </row>
    <row r="40017" spans="104:111">
      <c r="CZ40017" s="256"/>
      <c r="DG40017" s="256"/>
    </row>
    <row r="40018" spans="104:111">
      <c r="CZ40018" s="256"/>
      <c r="DG40018" s="256"/>
    </row>
    <row r="40019" spans="104:111">
      <c r="CZ40019" s="256"/>
      <c r="DG40019" s="256"/>
    </row>
    <row r="40020" spans="104:111">
      <c r="CZ40020" s="256"/>
      <c r="DG40020" s="256"/>
    </row>
    <row r="40021" spans="104:111">
      <c r="CZ40021" s="256"/>
      <c r="DG40021" s="256"/>
    </row>
    <row r="40022" spans="104:111">
      <c r="CZ40022" s="256"/>
      <c r="DG40022" s="256"/>
    </row>
    <row r="40023" spans="104:111">
      <c r="CZ40023" s="256"/>
      <c r="DG40023" s="256"/>
    </row>
    <row r="40024" spans="104:111">
      <c r="CZ40024" s="256"/>
      <c r="DG40024" s="256"/>
    </row>
    <row r="40025" spans="104:111">
      <c r="CZ40025" s="256"/>
      <c r="DG40025" s="256"/>
    </row>
    <row r="40026" spans="104:111">
      <c r="CZ40026" s="256"/>
      <c r="DG40026" s="256"/>
    </row>
    <row r="40027" spans="104:111">
      <c r="CZ40027" s="256"/>
      <c r="DG40027" s="256"/>
    </row>
    <row r="40028" spans="104:111">
      <c r="CZ40028" s="256"/>
      <c r="DG40028" s="256"/>
    </row>
    <row r="40029" spans="104:111">
      <c r="CZ40029" s="256"/>
      <c r="DG40029" s="256"/>
    </row>
    <row r="40030" spans="104:111">
      <c r="CZ40030" s="256"/>
      <c r="DG40030" s="256"/>
    </row>
    <row r="40031" spans="104:111">
      <c r="CZ40031" s="256"/>
      <c r="DG40031" s="256"/>
    </row>
    <row r="40032" spans="104:111">
      <c r="CZ40032" s="256"/>
      <c r="DG40032" s="256"/>
    </row>
    <row r="40033" spans="104:111">
      <c r="CZ40033" s="256"/>
      <c r="DG40033" s="256"/>
    </row>
    <row r="40034" spans="104:111">
      <c r="CZ40034" s="256"/>
      <c r="DG40034" s="256"/>
    </row>
    <row r="40035" spans="104:111">
      <c r="CZ40035" s="256"/>
      <c r="DG40035" s="256"/>
    </row>
    <row r="40036" spans="104:111">
      <c r="CZ40036" s="256"/>
      <c r="DG40036" s="256"/>
    </row>
    <row r="40037" spans="104:111">
      <c r="CZ40037" s="256"/>
      <c r="DG40037" s="256"/>
    </row>
    <row r="40038" spans="104:111">
      <c r="CZ40038" s="256"/>
      <c r="DG40038" s="256"/>
    </row>
    <row r="40039" spans="104:111">
      <c r="CZ40039" s="256"/>
      <c r="DG40039" s="256"/>
    </row>
    <row r="40040" spans="104:111">
      <c r="CZ40040" s="256"/>
      <c r="DG40040" s="256"/>
    </row>
    <row r="40041" spans="104:111">
      <c r="CZ40041" s="256"/>
      <c r="DG40041" s="256"/>
    </row>
    <row r="40042" spans="104:111">
      <c r="CZ40042" s="256"/>
      <c r="DG40042" s="256"/>
    </row>
    <row r="40043" spans="104:111">
      <c r="CZ40043" s="256"/>
      <c r="DG40043" s="256"/>
    </row>
    <row r="40044" spans="104:111">
      <c r="CZ40044" s="256"/>
      <c r="DG40044" s="256"/>
    </row>
    <row r="40045" spans="104:111">
      <c r="CZ40045" s="256"/>
      <c r="DG40045" s="256"/>
    </row>
    <row r="40046" spans="104:111">
      <c r="CZ40046" s="256"/>
      <c r="DG40046" s="256"/>
    </row>
    <row r="40047" spans="104:111">
      <c r="CZ40047" s="256"/>
      <c r="DG40047" s="256"/>
    </row>
    <row r="40048" spans="104:111">
      <c r="CZ40048" s="256"/>
      <c r="DG40048" s="256"/>
    </row>
    <row r="40049" spans="104:111">
      <c r="CZ40049" s="256"/>
      <c r="DG40049" s="256"/>
    </row>
    <row r="40050" spans="104:111">
      <c r="CZ40050" s="256"/>
      <c r="DG40050" s="256"/>
    </row>
    <row r="40051" spans="104:111">
      <c r="CZ40051" s="256"/>
      <c r="DG40051" s="256"/>
    </row>
    <row r="40052" spans="104:111">
      <c r="CZ40052" s="256"/>
      <c r="DG40052" s="256"/>
    </row>
    <row r="40053" spans="104:111">
      <c r="CZ40053" s="256"/>
      <c r="DG40053" s="256"/>
    </row>
    <row r="40054" spans="104:111">
      <c r="CZ40054" s="256"/>
      <c r="DG40054" s="256"/>
    </row>
    <row r="40055" spans="104:111">
      <c r="CZ40055" s="256"/>
      <c r="DG40055" s="256"/>
    </row>
    <row r="40056" spans="104:111">
      <c r="CZ40056" s="256"/>
      <c r="DG40056" s="256"/>
    </row>
    <row r="40057" spans="104:111">
      <c r="CZ40057" s="256"/>
      <c r="DG40057" s="256"/>
    </row>
    <row r="40058" spans="104:111">
      <c r="CZ40058" s="256"/>
      <c r="DG40058" s="256"/>
    </row>
    <row r="40059" spans="104:111">
      <c r="CZ40059" s="256"/>
      <c r="DG40059" s="256"/>
    </row>
    <row r="40060" spans="104:111">
      <c r="CZ40060" s="256"/>
      <c r="DG40060" s="256"/>
    </row>
    <row r="40061" spans="104:111">
      <c r="CZ40061" s="256"/>
      <c r="DG40061" s="256"/>
    </row>
    <row r="40062" spans="104:111">
      <c r="CZ40062" s="256"/>
      <c r="DG40062" s="256"/>
    </row>
    <row r="40063" spans="104:111">
      <c r="CZ40063" s="256"/>
      <c r="DG40063" s="256"/>
    </row>
    <row r="40064" spans="104:111">
      <c r="CZ40064" s="256"/>
      <c r="DG40064" s="256"/>
    </row>
    <row r="40065" spans="104:111">
      <c r="CZ40065" s="256"/>
      <c r="DG40065" s="256"/>
    </row>
    <row r="40066" spans="104:111">
      <c r="CZ40066" s="256"/>
      <c r="DG40066" s="256"/>
    </row>
    <row r="40067" spans="104:111">
      <c r="CZ40067" s="256"/>
      <c r="DG40067" s="256"/>
    </row>
    <row r="40068" spans="104:111">
      <c r="CZ40068" s="256"/>
      <c r="DG40068" s="256"/>
    </row>
    <row r="40069" spans="104:111">
      <c r="CZ40069" s="256"/>
      <c r="DG40069" s="256"/>
    </row>
    <row r="40070" spans="104:111">
      <c r="CZ40070" s="256"/>
      <c r="DG40070" s="256"/>
    </row>
    <row r="40071" spans="104:111">
      <c r="CZ40071" s="256"/>
      <c r="DG40071" s="256"/>
    </row>
    <row r="40072" spans="104:111">
      <c r="CZ40072" s="256"/>
      <c r="DG40072" s="256"/>
    </row>
    <row r="40073" spans="104:111">
      <c r="CZ40073" s="256"/>
      <c r="DG40073" s="256"/>
    </row>
    <row r="40074" spans="104:111">
      <c r="CZ40074" s="256"/>
      <c r="DG40074" s="256"/>
    </row>
    <row r="40075" spans="104:111">
      <c r="CZ40075" s="256"/>
      <c r="DG40075" s="256"/>
    </row>
    <row r="40076" spans="104:111">
      <c r="CZ40076" s="256"/>
      <c r="DG40076" s="256"/>
    </row>
    <row r="40077" spans="104:111">
      <c r="CZ40077" s="256"/>
      <c r="DG40077" s="256"/>
    </row>
    <row r="40078" spans="104:111">
      <c r="CZ40078" s="256"/>
      <c r="DG40078" s="256"/>
    </row>
    <row r="40079" spans="104:111">
      <c r="CZ40079" s="256"/>
      <c r="DG40079" s="256"/>
    </row>
    <row r="40080" spans="104:111">
      <c r="CZ40080" s="256"/>
      <c r="DG40080" s="256"/>
    </row>
    <row r="40081" spans="104:111">
      <c r="CZ40081" s="256"/>
      <c r="DG40081" s="256"/>
    </row>
    <row r="40082" spans="104:111">
      <c r="CZ40082" s="256"/>
      <c r="DG40082" s="256"/>
    </row>
    <row r="40083" spans="104:111">
      <c r="CZ40083" s="256"/>
      <c r="DG40083" s="256"/>
    </row>
    <row r="40084" spans="104:111">
      <c r="CZ40084" s="256"/>
      <c r="DG40084" s="256"/>
    </row>
    <row r="40085" spans="104:111">
      <c r="CZ40085" s="256"/>
      <c r="DG40085" s="256"/>
    </row>
    <row r="40086" spans="104:111">
      <c r="CZ40086" s="256"/>
      <c r="DG40086" s="256"/>
    </row>
    <row r="40087" spans="104:111">
      <c r="CZ40087" s="256"/>
      <c r="DG40087" s="256"/>
    </row>
    <row r="40088" spans="104:111">
      <c r="CZ40088" s="256"/>
      <c r="DG40088" s="256"/>
    </row>
    <row r="40089" spans="104:111">
      <c r="CZ40089" s="256"/>
      <c r="DG40089" s="256"/>
    </row>
    <row r="40090" spans="104:111">
      <c r="CZ40090" s="256"/>
      <c r="DG40090" s="256"/>
    </row>
    <row r="40091" spans="104:111">
      <c r="CZ40091" s="256"/>
      <c r="DG40091" s="256"/>
    </row>
    <row r="40092" spans="104:111">
      <c r="CZ40092" s="256"/>
      <c r="DG40092" s="256"/>
    </row>
    <row r="40093" spans="104:111">
      <c r="CZ40093" s="256"/>
      <c r="DG40093" s="256"/>
    </row>
    <row r="40094" spans="104:111">
      <c r="CZ40094" s="256"/>
      <c r="DG40094" s="256"/>
    </row>
    <row r="40095" spans="104:111">
      <c r="CZ40095" s="256"/>
      <c r="DG40095" s="256"/>
    </row>
    <row r="40096" spans="104:111">
      <c r="CZ40096" s="256"/>
      <c r="DG40096" s="256"/>
    </row>
    <row r="40097" spans="104:111">
      <c r="CZ40097" s="256"/>
      <c r="DG40097" s="256"/>
    </row>
    <row r="40098" spans="104:111">
      <c r="CZ40098" s="256"/>
      <c r="DG40098" s="256"/>
    </row>
    <row r="40099" spans="104:111">
      <c r="CZ40099" s="256"/>
      <c r="DG40099" s="256"/>
    </row>
    <row r="40100" spans="104:111">
      <c r="CZ40100" s="256"/>
      <c r="DG40100" s="256"/>
    </row>
    <row r="40101" spans="104:111">
      <c r="CZ40101" s="256"/>
      <c r="DG40101" s="256"/>
    </row>
    <row r="40102" spans="104:111">
      <c r="CZ40102" s="256"/>
      <c r="DG40102" s="256"/>
    </row>
    <row r="40103" spans="104:111">
      <c r="CZ40103" s="256"/>
      <c r="DG40103" s="256"/>
    </row>
    <row r="40104" spans="104:111">
      <c r="CZ40104" s="256"/>
      <c r="DG40104" s="256"/>
    </row>
    <row r="40105" spans="104:111">
      <c r="CZ40105" s="256"/>
      <c r="DG40105" s="256"/>
    </row>
    <row r="40106" spans="104:111">
      <c r="CZ40106" s="256"/>
      <c r="DG40106" s="256"/>
    </row>
    <row r="40107" spans="104:111">
      <c r="CZ40107" s="256"/>
      <c r="DG40107" s="256"/>
    </row>
    <row r="40108" spans="104:111">
      <c r="CZ40108" s="256"/>
      <c r="DG40108" s="256"/>
    </row>
    <row r="40109" spans="104:111">
      <c r="CZ40109" s="256"/>
      <c r="DG40109" s="256"/>
    </row>
    <row r="40110" spans="104:111">
      <c r="CZ40110" s="256"/>
      <c r="DG40110" s="256"/>
    </row>
    <row r="40111" spans="104:111">
      <c r="CZ40111" s="256"/>
      <c r="DG40111" s="256"/>
    </row>
    <row r="40112" spans="104:111">
      <c r="CZ40112" s="256"/>
      <c r="DG40112" s="256"/>
    </row>
    <row r="40113" spans="104:111">
      <c r="CZ40113" s="256"/>
      <c r="DG40113" s="256"/>
    </row>
    <row r="40114" spans="104:111">
      <c r="CZ40114" s="256"/>
      <c r="DG40114" s="256"/>
    </row>
    <row r="40115" spans="104:111">
      <c r="CZ40115" s="256"/>
      <c r="DG40115" s="256"/>
    </row>
    <row r="40116" spans="104:111">
      <c r="CZ40116" s="256"/>
      <c r="DG40116" s="256"/>
    </row>
    <row r="40117" spans="104:111">
      <c r="CZ40117" s="256"/>
      <c r="DG40117" s="256"/>
    </row>
    <row r="40118" spans="104:111">
      <c r="CZ40118" s="256"/>
      <c r="DG40118" s="256"/>
    </row>
    <row r="40119" spans="104:111">
      <c r="CZ40119" s="256"/>
      <c r="DG40119" s="256"/>
    </row>
    <row r="40120" spans="104:111">
      <c r="CZ40120" s="256"/>
      <c r="DG40120" s="256"/>
    </row>
    <row r="40121" spans="104:111">
      <c r="CZ40121" s="256"/>
      <c r="DG40121" s="256"/>
    </row>
    <row r="40122" spans="104:111">
      <c r="CZ40122" s="256"/>
      <c r="DG40122" s="256"/>
    </row>
    <row r="40123" spans="104:111">
      <c r="CZ40123" s="256"/>
      <c r="DG40123" s="256"/>
    </row>
    <row r="40124" spans="104:111">
      <c r="CZ40124" s="256"/>
      <c r="DG40124" s="256"/>
    </row>
    <row r="40125" spans="104:111">
      <c r="CZ40125" s="256"/>
      <c r="DG40125" s="256"/>
    </row>
    <row r="40126" spans="104:111">
      <c r="CZ40126" s="256"/>
      <c r="DG40126" s="256"/>
    </row>
    <row r="40127" spans="104:111">
      <c r="CZ40127" s="256"/>
      <c r="DG40127" s="256"/>
    </row>
    <row r="40128" spans="104:111">
      <c r="CZ40128" s="256"/>
      <c r="DG40128" s="256"/>
    </row>
    <row r="40129" spans="104:111">
      <c r="CZ40129" s="256"/>
      <c r="DG40129" s="256"/>
    </row>
    <row r="40130" spans="104:111">
      <c r="CZ40130" s="256"/>
      <c r="DG40130" s="256"/>
    </row>
    <row r="40131" spans="104:111">
      <c r="CZ40131" s="256"/>
      <c r="DG40131" s="256"/>
    </row>
    <row r="40132" spans="104:111">
      <c r="CZ40132" s="256"/>
      <c r="DG40132" s="256"/>
    </row>
    <row r="40133" spans="104:111">
      <c r="CZ40133" s="256"/>
      <c r="DG40133" s="256"/>
    </row>
    <row r="40134" spans="104:111">
      <c r="CZ40134" s="256"/>
      <c r="DG40134" s="256"/>
    </row>
    <row r="40135" spans="104:111">
      <c r="CZ40135" s="256"/>
      <c r="DG40135" s="256"/>
    </row>
    <row r="40136" spans="104:111">
      <c r="CZ40136" s="256"/>
      <c r="DG40136" s="256"/>
    </row>
    <row r="40137" spans="104:111">
      <c r="CZ40137" s="256"/>
      <c r="DG40137" s="256"/>
    </row>
    <row r="40138" spans="104:111">
      <c r="CZ40138" s="256"/>
      <c r="DG40138" s="256"/>
    </row>
    <row r="40139" spans="104:111">
      <c r="CZ40139" s="256"/>
      <c r="DG40139" s="256"/>
    </row>
    <row r="40140" spans="104:111">
      <c r="CZ40140" s="256"/>
      <c r="DG40140" s="256"/>
    </row>
    <row r="40141" spans="104:111">
      <c r="CZ40141" s="256"/>
      <c r="DG40141" s="256"/>
    </row>
    <row r="40142" spans="104:111">
      <c r="CZ40142" s="256"/>
      <c r="DG40142" s="256"/>
    </row>
    <row r="40143" spans="104:111">
      <c r="CZ40143" s="256"/>
      <c r="DG40143" s="256"/>
    </row>
    <row r="40144" spans="104:111">
      <c r="CZ40144" s="256"/>
      <c r="DG40144" s="256"/>
    </row>
    <row r="40145" spans="104:111">
      <c r="CZ40145" s="256"/>
      <c r="DG40145" s="256"/>
    </row>
    <row r="40146" spans="104:111">
      <c r="CZ40146" s="256"/>
      <c r="DG40146" s="256"/>
    </row>
    <row r="40147" spans="104:111">
      <c r="CZ40147" s="256"/>
      <c r="DG40147" s="256"/>
    </row>
    <row r="40148" spans="104:111">
      <c r="CZ40148" s="256"/>
      <c r="DG40148" s="256"/>
    </row>
    <row r="40149" spans="104:111">
      <c r="CZ40149" s="256"/>
      <c r="DG40149" s="256"/>
    </row>
    <row r="40150" spans="104:111">
      <c r="CZ40150" s="256"/>
      <c r="DG40150" s="256"/>
    </row>
    <row r="40151" spans="104:111">
      <c r="CZ40151" s="256"/>
      <c r="DG40151" s="256"/>
    </row>
    <row r="40152" spans="104:111">
      <c r="CZ40152" s="256"/>
      <c r="DG40152" s="256"/>
    </row>
    <row r="40153" spans="104:111">
      <c r="CZ40153" s="256"/>
      <c r="DG40153" s="256"/>
    </row>
    <row r="40154" spans="104:111">
      <c r="CZ40154" s="256"/>
      <c r="DG40154" s="256"/>
    </row>
    <row r="40155" spans="104:111">
      <c r="CZ40155" s="256"/>
      <c r="DG40155" s="256"/>
    </row>
    <row r="40156" spans="104:111">
      <c r="CZ40156" s="256"/>
      <c r="DG40156" s="256"/>
    </row>
    <row r="40157" spans="104:111">
      <c r="CZ40157" s="256"/>
      <c r="DG40157" s="256"/>
    </row>
    <row r="40158" spans="104:111">
      <c r="CZ40158" s="256"/>
      <c r="DG40158" s="256"/>
    </row>
    <row r="40159" spans="104:111">
      <c r="CZ40159" s="256"/>
      <c r="DG40159" s="256"/>
    </row>
    <row r="40160" spans="104:111">
      <c r="CZ40160" s="256"/>
      <c r="DG40160" s="256"/>
    </row>
    <row r="40161" spans="104:111">
      <c r="CZ40161" s="256"/>
      <c r="DG40161" s="256"/>
    </row>
    <row r="40162" spans="104:111">
      <c r="CZ40162" s="256"/>
      <c r="DG40162" s="256"/>
    </row>
    <row r="40163" spans="104:111">
      <c r="CZ40163" s="256"/>
      <c r="DG40163" s="256"/>
    </row>
    <row r="40164" spans="104:111">
      <c r="CZ40164" s="256"/>
      <c r="DG40164" s="256"/>
    </row>
    <row r="40165" spans="104:111">
      <c r="CZ40165" s="256"/>
      <c r="DG40165" s="256"/>
    </row>
    <row r="40166" spans="104:111">
      <c r="CZ40166" s="256"/>
      <c r="DG40166" s="256"/>
    </row>
    <row r="40167" spans="104:111">
      <c r="CZ40167" s="256"/>
      <c r="DG40167" s="256"/>
    </row>
    <row r="40168" spans="104:111">
      <c r="CZ40168" s="256"/>
      <c r="DG40168" s="256"/>
    </row>
    <row r="40169" spans="104:111">
      <c r="CZ40169" s="256"/>
      <c r="DG40169" s="256"/>
    </row>
    <row r="40170" spans="104:111">
      <c r="CZ40170" s="256"/>
      <c r="DG40170" s="256"/>
    </row>
    <row r="40171" spans="104:111">
      <c r="CZ40171" s="256"/>
      <c r="DG40171" s="256"/>
    </row>
    <row r="40172" spans="104:111">
      <c r="CZ40172" s="256"/>
      <c r="DG40172" s="256"/>
    </row>
    <row r="40173" spans="104:111">
      <c r="CZ40173" s="256"/>
      <c r="DG40173" s="256"/>
    </row>
    <row r="40174" spans="104:111">
      <c r="CZ40174" s="256"/>
      <c r="DG40174" s="256"/>
    </row>
    <row r="40175" spans="104:111">
      <c r="CZ40175" s="256"/>
      <c r="DG40175" s="256"/>
    </row>
    <row r="40176" spans="104:111">
      <c r="CZ40176" s="256"/>
      <c r="DG40176" s="256"/>
    </row>
    <row r="40177" spans="104:111">
      <c r="CZ40177" s="256"/>
      <c r="DG40177" s="256"/>
    </row>
    <row r="40178" spans="104:111">
      <c r="CZ40178" s="256"/>
      <c r="DG40178" s="256"/>
    </row>
    <row r="40179" spans="104:111">
      <c r="CZ40179" s="256"/>
      <c r="DG40179" s="256"/>
    </row>
    <row r="40180" spans="104:111">
      <c r="CZ40180" s="256"/>
      <c r="DG40180" s="256"/>
    </row>
    <row r="40181" spans="104:111">
      <c r="CZ40181" s="256"/>
      <c r="DG40181" s="256"/>
    </row>
    <row r="40182" spans="104:111">
      <c r="CZ40182" s="256"/>
      <c r="DG40182" s="256"/>
    </row>
    <row r="40183" spans="104:111">
      <c r="CZ40183" s="256"/>
      <c r="DG40183" s="256"/>
    </row>
    <row r="40184" spans="104:111">
      <c r="CZ40184" s="256"/>
      <c r="DG40184" s="256"/>
    </row>
    <row r="40185" spans="104:111">
      <c r="CZ40185" s="256"/>
      <c r="DG40185" s="256"/>
    </row>
    <row r="40186" spans="104:111">
      <c r="CZ40186" s="256"/>
      <c r="DG40186" s="256"/>
    </row>
    <row r="40187" spans="104:111">
      <c r="CZ40187" s="256"/>
      <c r="DG40187" s="256"/>
    </row>
    <row r="40188" spans="104:111">
      <c r="CZ40188" s="256"/>
      <c r="DG40188" s="256"/>
    </row>
    <row r="40189" spans="104:111">
      <c r="CZ40189" s="256"/>
      <c r="DG40189" s="256"/>
    </row>
    <row r="40190" spans="104:111">
      <c r="CZ40190" s="256"/>
      <c r="DG40190" s="256"/>
    </row>
    <row r="40191" spans="104:111">
      <c r="CZ40191" s="256"/>
      <c r="DG40191" s="256"/>
    </row>
    <row r="40192" spans="104:111">
      <c r="CZ40192" s="256"/>
      <c r="DG40192" s="256"/>
    </row>
    <row r="40193" spans="104:111">
      <c r="CZ40193" s="256"/>
      <c r="DG40193" s="256"/>
    </row>
    <row r="40194" spans="104:111">
      <c r="CZ40194" s="256"/>
      <c r="DG40194" s="256"/>
    </row>
    <row r="40195" spans="104:111">
      <c r="CZ40195" s="256"/>
      <c r="DG40195" s="256"/>
    </row>
    <row r="40196" spans="104:111">
      <c r="CZ40196" s="256"/>
      <c r="DG40196" s="256"/>
    </row>
    <row r="40197" spans="104:111">
      <c r="CZ40197" s="256"/>
      <c r="DG40197" s="256"/>
    </row>
    <row r="40198" spans="104:111">
      <c r="CZ40198" s="256"/>
      <c r="DG40198" s="256"/>
    </row>
    <row r="40199" spans="104:111">
      <c r="CZ40199" s="256"/>
      <c r="DG40199" s="256"/>
    </row>
    <row r="40200" spans="104:111">
      <c r="CZ40200" s="256"/>
      <c r="DG40200" s="256"/>
    </row>
    <row r="40201" spans="104:111">
      <c r="CZ40201" s="256"/>
      <c r="DG40201" s="256"/>
    </row>
    <row r="40202" spans="104:111">
      <c r="CZ40202" s="256"/>
      <c r="DG40202" s="256"/>
    </row>
    <row r="40203" spans="104:111">
      <c r="CZ40203" s="256"/>
      <c r="DG40203" s="256"/>
    </row>
    <row r="40204" spans="104:111">
      <c r="CZ40204" s="256"/>
      <c r="DG40204" s="256"/>
    </row>
    <row r="40205" spans="104:111">
      <c r="CZ40205" s="256"/>
      <c r="DG40205" s="256"/>
    </row>
    <row r="40206" spans="104:111">
      <c r="CZ40206" s="256"/>
      <c r="DG40206" s="256"/>
    </row>
    <row r="40207" spans="104:111">
      <c r="CZ40207" s="256"/>
      <c r="DG40207" s="256"/>
    </row>
    <row r="40208" spans="104:111">
      <c r="CZ40208" s="256"/>
      <c r="DG40208" s="256"/>
    </row>
    <row r="40209" spans="104:111">
      <c r="CZ40209" s="256"/>
      <c r="DG40209" s="256"/>
    </row>
    <row r="40210" spans="104:111">
      <c r="CZ40210" s="256"/>
      <c r="DG40210" s="256"/>
    </row>
    <row r="40211" spans="104:111">
      <c r="CZ40211" s="256"/>
      <c r="DG40211" s="256"/>
    </row>
    <row r="40212" spans="104:111">
      <c r="CZ40212" s="256"/>
      <c r="DG40212" s="256"/>
    </row>
    <row r="40213" spans="104:111">
      <c r="CZ40213" s="256"/>
      <c r="DG40213" s="256"/>
    </row>
    <row r="40214" spans="104:111">
      <c r="CZ40214" s="256"/>
      <c r="DG40214" s="256"/>
    </row>
    <row r="40215" spans="104:111">
      <c r="CZ40215" s="256"/>
      <c r="DG40215" s="256"/>
    </row>
    <row r="40216" spans="104:111">
      <c r="CZ40216" s="256"/>
      <c r="DG40216" s="256"/>
    </row>
    <row r="40217" spans="104:111">
      <c r="CZ40217" s="256"/>
      <c r="DG40217" s="256"/>
    </row>
    <row r="40218" spans="104:111">
      <c r="CZ40218" s="256"/>
      <c r="DG40218" s="256"/>
    </row>
    <row r="40219" spans="104:111">
      <c r="CZ40219" s="256"/>
      <c r="DG40219" s="256"/>
    </row>
    <row r="40220" spans="104:111">
      <c r="CZ40220" s="256"/>
      <c r="DG40220" s="256"/>
    </row>
    <row r="40221" spans="104:111">
      <c r="CZ40221" s="256"/>
      <c r="DG40221" s="256"/>
    </row>
    <row r="40222" spans="104:111">
      <c r="CZ40222" s="256"/>
      <c r="DG40222" s="256"/>
    </row>
    <row r="40223" spans="104:111">
      <c r="CZ40223" s="256"/>
      <c r="DG40223" s="256"/>
    </row>
    <row r="40224" spans="104:111">
      <c r="CZ40224" s="256"/>
      <c r="DG40224" s="256"/>
    </row>
    <row r="40225" spans="104:111">
      <c r="CZ40225" s="256"/>
      <c r="DG40225" s="256"/>
    </row>
    <row r="40226" spans="104:111">
      <c r="CZ40226" s="256"/>
      <c r="DG40226" s="256"/>
    </row>
    <row r="40227" spans="104:111">
      <c r="CZ40227" s="256"/>
      <c r="DG40227" s="256"/>
    </row>
    <row r="40228" spans="104:111">
      <c r="CZ40228" s="256"/>
      <c r="DG40228" s="256"/>
    </row>
    <row r="40229" spans="104:111">
      <c r="CZ40229" s="256"/>
      <c r="DG40229" s="256"/>
    </row>
    <row r="40230" spans="104:111">
      <c r="CZ40230" s="256"/>
      <c r="DG40230" s="256"/>
    </row>
    <row r="40231" spans="104:111">
      <c r="CZ40231" s="256"/>
      <c r="DG40231" s="256"/>
    </row>
    <row r="40232" spans="104:111">
      <c r="CZ40232" s="256"/>
      <c r="DG40232" s="256"/>
    </row>
    <row r="40233" spans="104:111">
      <c r="CZ40233" s="256"/>
      <c r="DG40233" s="256"/>
    </row>
    <row r="40234" spans="104:111">
      <c r="CZ40234" s="256"/>
      <c r="DG40234" s="256"/>
    </row>
    <row r="40235" spans="104:111">
      <c r="CZ40235" s="256"/>
      <c r="DG40235" s="256"/>
    </row>
    <row r="40236" spans="104:111">
      <c r="CZ40236" s="256"/>
      <c r="DG40236" s="256"/>
    </row>
    <row r="40237" spans="104:111">
      <c r="CZ40237" s="256"/>
      <c r="DG40237" s="256"/>
    </row>
    <row r="40238" spans="104:111">
      <c r="CZ40238" s="256"/>
      <c r="DG40238" s="256"/>
    </row>
    <row r="40239" spans="104:111">
      <c r="CZ40239" s="256"/>
      <c r="DG40239" s="256"/>
    </row>
    <row r="40240" spans="104:111">
      <c r="CZ40240" s="256"/>
      <c r="DG40240" s="256"/>
    </row>
    <row r="40241" spans="104:111">
      <c r="CZ40241" s="256"/>
      <c r="DG40241" s="256"/>
    </row>
    <row r="40242" spans="104:111">
      <c r="CZ40242" s="256"/>
      <c r="DG40242" s="256"/>
    </row>
    <row r="40243" spans="104:111">
      <c r="CZ40243" s="256"/>
      <c r="DG40243" s="256"/>
    </row>
    <row r="40244" spans="104:111">
      <c r="CZ40244" s="256"/>
      <c r="DG40244" s="256"/>
    </row>
    <row r="40245" spans="104:111">
      <c r="CZ40245" s="256"/>
      <c r="DG40245" s="256"/>
    </row>
    <row r="40246" spans="104:111">
      <c r="CZ40246" s="256"/>
      <c r="DG40246" s="256"/>
    </row>
    <row r="40247" spans="104:111">
      <c r="CZ40247" s="256"/>
      <c r="DG40247" s="256"/>
    </row>
    <row r="40248" spans="104:111">
      <c r="CZ40248" s="256"/>
      <c r="DG40248" s="256"/>
    </row>
    <row r="40249" spans="104:111">
      <c r="CZ40249" s="256"/>
      <c r="DG40249" s="256"/>
    </row>
    <row r="40250" spans="104:111">
      <c r="CZ40250" s="256"/>
      <c r="DG40250" s="256"/>
    </row>
    <row r="40251" spans="104:111">
      <c r="CZ40251" s="256"/>
      <c r="DG40251" s="256"/>
    </row>
    <row r="40252" spans="104:111">
      <c r="CZ40252" s="256"/>
      <c r="DG40252" s="256"/>
    </row>
    <row r="40253" spans="104:111">
      <c r="CZ40253" s="256"/>
      <c r="DG40253" s="256"/>
    </row>
    <row r="40254" spans="104:111">
      <c r="CZ40254" s="256"/>
      <c r="DG40254" s="256"/>
    </row>
    <row r="40255" spans="104:111">
      <c r="CZ40255" s="256"/>
      <c r="DG40255" s="256"/>
    </row>
    <row r="40256" spans="104:111">
      <c r="CZ40256" s="256"/>
      <c r="DG40256" s="256"/>
    </row>
    <row r="40257" spans="104:111">
      <c r="CZ40257" s="256"/>
      <c r="DG40257" s="256"/>
    </row>
    <row r="40258" spans="104:111">
      <c r="CZ40258" s="256"/>
      <c r="DG40258" s="256"/>
    </row>
    <row r="40259" spans="104:111">
      <c r="CZ40259" s="256"/>
      <c r="DG40259" s="256"/>
    </row>
    <row r="40260" spans="104:111">
      <c r="CZ40260" s="256"/>
      <c r="DG40260" s="256"/>
    </row>
    <row r="40261" spans="104:111">
      <c r="CZ40261" s="256"/>
      <c r="DG40261" s="256"/>
    </row>
    <row r="40262" spans="104:111">
      <c r="CZ40262" s="256"/>
      <c r="DG40262" s="256"/>
    </row>
    <row r="40263" spans="104:111">
      <c r="CZ40263" s="256"/>
      <c r="DG40263" s="256"/>
    </row>
    <row r="40264" spans="104:111">
      <c r="CZ40264" s="256"/>
      <c r="DG40264" s="256"/>
    </row>
    <row r="40265" spans="104:111">
      <c r="CZ40265" s="256"/>
      <c r="DG40265" s="256"/>
    </row>
    <row r="40266" spans="104:111">
      <c r="CZ40266" s="256"/>
      <c r="DG40266" s="256"/>
    </row>
    <row r="40267" spans="104:111">
      <c r="CZ40267" s="256"/>
      <c r="DG40267" s="256"/>
    </row>
    <row r="40268" spans="104:111">
      <c r="CZ40268" s="256"/>
      <c r="DG40268" s="256"/>
    </row>
    <row r="40269" spans="104:111">
      <c r="CZ40269" s="256"/>
      <c r="DG40269" s="256"/>
    </row>
    <row r="40270" spans="104:111">
      <c r="CZ40270" s="256"/>
      <c r="DG40270" s="256"/>
    </row>
    <row r="40271" spans="104:111">
      <c r="CZ40271" s="256"/>
      <c r="DG40271" s="256"/>
    </row>
    <row r="40272" spans="104:111">
      <c r="CZ40272" s="256"/>
      <c r="DG40272" s="256"/>
    </row>
    <row r="40273" spans="104:111">
      <c r="CZ40273" s="256"/>
      <c r="DG40273" s="256"/>
    </row>
    <row r="40274" spans="104:111">
      <c r="CZ40274" s="256"/>
      <c r="DG40274" s="256"/>
    </row>
    <row r="40275" spans="104:111">
      <c r="CZ40275" s="256"/>
      <c r="DG40275" s="256"/>
    </row>
    <row r="40276" spans="104:111">
      <c r="CZ40276" s="256"/>
      <c r="DG40276" s="256"/>
    </row>
    <row r="40277" spans="104:111">
      <c r="CZ40277" s="256"/>
      <c r="DG40277" s="256"/>
    </row>
    <row r="40278" spans="104:111">
      <c r="CZ40278" s="256"/>
      <c r="DG40278" s="256"/>
    </row>
    <row r="40279" spans="104:111">
      <c r="CZ40279" s="256"/>
      <c r="DG40279" s="256"/>
    </row>
    <row r="40280" spans="104:111">
      <c r="CZ40280" s="256"/>
      <c r="DG40280" s="256"/>
    </row>
    <row r="40281" spans="104:111">
      <c r="CZ40281" s="256"/>
      <c r="DG40281" s="256"/>
    </row>
    <row r="40282" spans="104:111">
      <c r="CZ40282" s="256"/>
      <c r="DG40282" s="256"/>
    </row>
    <row r="40283" spans="104:111">
      <c r="CZ40283" s="256"/>
      <c r="DG40283" s="256"/>
    </row>
    <row r="40284" spans="104:111">
      <c r="CZ40284" s="256"/>
      <c r="DG40284" s="256"/>
    </row>
    <row r="40285" spans="104:111">
      <c r="CZ40285" s="256"/>
      <c r="DG40285" s="256"/>
    </row>
    <row r="40286" spans="104:111">
      <c r="CZ40286" s="256"/>
      <c r="DG40286" s="256"/>
    </row>
    <row r="40287" spans="104:111">
      <c r="CZ40287" s="256"/>
      <c r="DG40287" s="256"/>
    </row>
    <row r="40288" spans="104:111">
      <c r="CZ40288" s="256"/>
      <c r="DG40288" s="256"/>
    </row>
    <row r="40289" spans="104:111">
      <c r="CZ40289" s="256"/>
      <c r="DG40289" s="256"/>
    </row>
    <row r="40290" spans="104:111">
      <c r="CZ40290" s="256"/>
      <c r="DG40290" s="256"/>
    </row>
    <row r="40291" spans="104:111">
      <c r="CZ40291" s="256"/>
      <c r="DG40291" s="256"/>
    </row>
    <row r="40292" spans="104:111">
      <c r="CZ40292" s="256"/>
      <c r="DG40292" s="256"/>
    </row>
    <row r="40293" spans="104:111">
      <c r="CZ40293" s="256"/>
      <c r="DG40293" s="256"/>
    </row>
    <row r="40294" spans="104:111">
      <c r="CZ40294" s="256"/>
      <c r="DG40294" s="256"/>
    </row>
    <row r="40295" spans="104:111">
      <c r="CZ40295" s="256"/>
      <c r="DG40295" s="256"/>
    </row>
    <row r="40296" spans="104:111">
      <c r="CZ40296" s="256"/>
      <c r="DG40296" s="256"/>
    </row>
    <row r="40297" spans="104:111">
      <c r="CZ40297" s="256"/>
      <c r="DG40297" s="256"/>
    </row>
    <row r="40298" spans="104:111">
      <c r="CZ40298" s="256"/>
      <c r="DG40298" s="256"/>
    </row>
    <row r="40299" spans="104:111">
      <c r="CZ40299" s="256"/>
      <c r="DG40299" s="256"/>
    </row>
    <row r="40300" spans="104:111">
      <c r="CZ40300" s="256"/>
      <c r="DG40300" s="256"/>
    </row>
    <row r="40301" spans="104:111">
      <c r="CZ40301" s="256"/>
      <c r="DG40301" s="256"/>
    </row>
    <row r="40302" spans="104:111">
      <c r="CZ40302" s="256"/>
      <c r="DG40302" s="256"/>
    </row>
    <row r="40303" spans="104:111">
      <c r="CZ40303" s="256"/>
      <c r="DG40303" s="256"/>
    </row>
    <row r="40304" spans="104:111">
      <c r="CZ40304" s="256"/>
      <c r="DG40304" s="256"/>
    </row>
    <row r="40305" spans="104:111">
      <c r="CZ40305" s="256"/>
      <c r="DG40305" s="256"/>
    </row>
    <row r="40306" spans="104:111">
      <c r="CZ40306" s="256"/>
      <c r="DG40306" s="256"/>
    </row>
    <row r="40307" spans="104:111">
      <c r="CZ40307" s="256"/>
      <c r="DG40307" s="256"/>
    </row>
    <row r="40308" spans="104:111">
      <c r="CZ40308" s="256"/>
      <c r="DG40308" s="256"/>
    </row>
    <row r="40309" spans="104:111">
      <c r="CZ40309" s="256"/>
      <c r="DG40309" s="256"/>
    </row>
    <row r="40310" spans="104:111">
      <c r="CZ40310" s="256"/>
      <c r="DG40310" s="256"/>
    </row>
    <row r="40311" spans="104:111">
      <c r="CZ40311" s="256"/>
      <c r="DG40311" s="256"/>
    </row>
    <row r="40312" spans="104:111">
      <c r="CZ40312" s="256"/>
      <c r="DG40312" s="256"/>
    </row>
    <row r="40313" spans="104:111">
      <c r="CZ40313" s="256"/>
      <c r="DG40313" s="256"/>
    </row>
    <row r="40314" spans="104:111">
      <c r="CZ40314" s="256"/>
      <c r="DG40314" s="256"/>
    </row>
    <row r="40315" spans="104:111">
      <c r="CZ40315" s="256"/>
      <c r="DG40315" s="256"/>
    </row>
    <row r="40316" spans="104:111">
      <c r="CZ40316" s="256"/>
      <c r="DG40316" s="256"/>
    </row>
    <row r="40317" spans="104:111">
      <c r="CZ40317" s="256"/>
      <c r="DG40317" s="256"/>
    </row>
    <row r="40318" spans="104:111">
      <c r="CZ40318" s="256"/>
      <c r="DG40318" s="256"/>
    </row>
    <row r="40319" spans="104:111">
      <c r="CZ40319" s="256"/>
      <c r="DG40319" s="256"/>
    </row>
    <row r="40320" spans="104:111">
      <c r="CZ40320" s="256"/>
      <c r="DG40320" s="256"/>
    </row>
    <row r="40321" spans="104:111">
      <c r="CZ40321" s="256"/>
      <c r="DG40321" s="256"/>
    </row>
    <row r="40322" spans="104:111">
      <c r="CZ40322" s="256"/>
      <c r="DG40322" s="256"/>
    </row>
    <row r="40323" spans="104:111">
      <c r="CZ40323" s="256"/>
      <c r="DG40323" s="256"/>
    </row>
    <row r="40324" spans="104:111">
      <c r="CZ40324" s="256"/>
      <c r="DG40324" s="256"/>
    </row>
    <row r="40325" spans="104:111">
      <c r="CZ40325" s="256"/>
      <c r="DG40325" s="256"/>
    </row>
    <row r="40326" spans="104:111">
      <c r="CZ40326" s="256"/>
      <c r="DG40326" s="256"/>
    </row>
    <row r="40327" spans="104:111">
      <c r="CZ40327" s="256"/>
      <c r="DG40327" s="256"/>
    </row>
    <row r="40328" spans="104:111">
      <c r="CZ40328" s="256"/>
      <c r="DG40328" s="256"/>
    </row>
    <row r="40329" spans="104:111">
      <c r="CZ40329" s="256"/>
      <c r="DG40329" s="256"/>
    </row>
    <row r="40330" spans="104:111">
      <c r="CZ40330" s="256"/>
      <c r="DG40330" s="256"/>
    </row>
    <row r="40331" spans="104:111">
      <c r="CZ40331" s="256"/>
      <c r="DG40331" s="256"/>
    </row>
    <row r="40332" spans="104:111">
      <c r="CZ40332" s="256"/>
      <c r="DG40332" s="256"/>
    </row>
    <row r="40333" spans="104:111">
      <c r="CZ40333" s="256"/>
      <c r="DG40333" s="256"/>
    </row>
    <row r="40334" spans="104:111">
      <c r="CZ40334" s="256"/>
      <c r="DG40334" s="256"/>
    </row>
    <row r="40335" spans="104:111">
      <c r="CZ40335" s="256"/>
      <c r="DG40335" s="256"/>
    </row>
    <row r="40336" spans="104:111">
      <c r="CZ40336" s="256"/>
      <c r="DG40336" s="256"/>
    </row>
    <row r="40337" spans="104:111">
      <c r="CZ40337" s="256"/>
      <c r="DG40337" s="256"/>
    </row>
    <row r="40338" spans="104:111">
      <c r="CZ40338" s="256"/>
      <c r="DG40338" s="256"/>
    </row>
    <row r="40339" spans="104:111">
      <c r="CZ40339" s="256"/>
      <c r="DG40339" s="256"/>
    </row>
    <row r="40340" spans="104:111">
      <c r="CZ40340" s="256"/>
      <c r="DG40340" s="256"/>
    </row>
    <row r="40341" spans="104:111">
      <c r="CZ40341" s="256"/>
      <c r="DG40341" s="256"/>
    </row>
    <row r="40342" spans="104:111">
      <c r="CZ40342" s="256"/>
      <c r="DG40342" s="256"/>
    </row>
    <row r="40343" spans="104:111">
      <c r="CZ40343" s="256"/>
      <c r="DG40343" s="256"/>
    </row>
    <row r="40344" spans="104:111">
      <c r="CZ40344" s="256"/>
      <c r="DG40344" s="256"/>
    </row>
    <row r="40345" spans="104:111">
      <c r="CZ40345" s="256"/>
      <c r="DG40345" s="256"/>
    </row>
    <row r="40346" spans="104:111">
      <c r="CZ40346" s="256"/>
      <c r="DG40346" s="256"/>
    </row>
    <row r="40347" spans="104:111">
      <c r="CZ40347" s="256"/>
      <c r="DG40347" s="256"/>
    </row>
    <row r="40348" spans="104:111">
      <c r="CZ40348" s="256"/>
      <c r="DG40348" s="256"/>
    </row>
    <row r="40349" spans="104:111">
      <c r="CZ40349" s="256"/>
      <c r="DG40349" s="256"/>
    </row>
    <row r="40350" spans="104:111">
      <c r="CZ40350" s="256"/>
      <c r="DG40350" s="256"/>
    </row>
    <row r="40351" spans="104:111">
      <c r="CZ40351" s="256"/>
      <c r="DG40351" s="256"/>
    </row>
    <row r="40352" spans="104:111">
      <c r="CZ40352" s="256"/>
      <c r="DG40352" s="256"/>
    </row>
    <row r="40353" spans="104:111">
      <c r="CZ40353" s="256"/>
      <c r="DG40353" s="256"/>
    </row>
    <row r="40354" spans="104:111">
      <c r="CZ40354" s="256"/>
      <c r="DG40354" s="256"/>
    </row>
    <row r="40355" spans="104:111">
      <c r="CZ40355" s="256"/>
      <c r="DG40355" s="256"/>
    </row>
    <row r="40356" spans="104:111">
      <c r="CZ40356" s="256"/>
      <c r="DG40356" s="256"/>
    </row>
    <row r="40357" spans="104:111">
      <c r="CZ40357" s="256"/>
      <c r="DG40357" s="256"/>
    </row>
    <row r="40358" spans="104:111">
      <c r="CZ40358" s="256"/>
      <c r="DG40358" s="256"/>
    </row>
    <row r="40359" spans="104:111">
      <c r="CZ40359" s="256"/>
      <c r="DG40359" s="256"/>
    </row>
    <row r="40360" spans="104:111">
      <c r="CZ40360" s="256"/>
      <c r="DG40360" s="256"/>
    </row>
    <row r="40361" spans="104:111">
      <c r="CZ40361" s="256"/>
      <c r="DG40361" s="256"/>
    </row>
    <row r="40362" spans="104:111">
      <c r="CZ40362" s="256"/>
      <c r="DG40362" s="256"/>
    </row>
    <row r="40363" spans="104:111">
      <c r="CZ40363" s="256"/>
      <c r="DG40363" s="256"/>
    </row>
    <row r="40364" spans="104:111">
      <c r="CZ40364" s="256"/>
      <c r="DG40364" s="256"/>
    </row>
    <row r="40365" spans="104:111">
      <c r="CZ40365" s="256"/>
      <c r="DG40365" s="256"/>
    </row>
    <row r="40366" spans="104:111">
      <c r="CZ40366" s="256"/>
      <c r="DG40366" s="256"/>
    </row>
    <row r="40367" spans="104:111">
      <c r="CZ40367" s="256"/>
      <c r="DG40367" s="256"/>
    </row>
    <row r="40368" spans="104:111">
      <c r="CZ40368" s="256"/>
      <c r="DG40368" s="256"/>
    </row>
    <row r="40369" spans="104:111">
      <c r="CZ40369" s="256"/>
      <c r="DG40369" s="256"/>
    </row>
    <row r="40370" spans="104:111">
      <c r="CZ40370" s="256"/>
      <c r="DG40370" s="256"/>
    </row>
    <row r="40371" spans="104:111">
      <c r="CZ40371" s="256"/>
      <c r="DG40371" s="256"/>
    </row>
    <row r="40372" spans="104:111">
      <c r="CZ40372" s="256"/>
      <c r="DG40372" s="256"/>
    </row>
    <row r="40373" spans="104:111">
      <c r="CZ40373" s="256"/>
      <c r="DG40373" s="256"/>
    </row>
    <row r="40374" spans="104:111">
      <c r="CZ40374" s="256"/>
      <c r="DG40374" s="256"/>
    </row>
    <row r="40375" spans="104:111">
      <c r="CZ40375" s="256"/>
      <c r="DG40375" s="256"/>
    </row>
    <row r="40376" spans="104:111">
      <c r="CZ40376" s="256"/>
      <c r="DG40376" s="256"/>
    </row>
    <row r="40377" spans="104:111">
      <c r="CZ40377" s="256"/>
      <c r="DG40377" s="256"/>
    </row>
    <row r="40378" spans="104:111">
      <c r="CZ40378" s="256"/>
      <c r="DG40378" s="256"/>
    </row>
    <row r="40379" spans="104:111">
      <c r="CZ40379" s="256"/>
      <c r="DG40379" s="256"/>
    </row>
    <row r="40380" spans="104:111">
      <c r="CZ40380" s="256"/>
      <c r="DG40380" s="256"/>
    </row>
    <row r="40381" spans="104:111">
      <c r="CZ40381" s="256"/>
      <c r="DG40381" s="256"/>
    </row>
    <row r="40382" spans="104:111">
      <c r="CZ40382" s="256"/>
      <c r="DG40382" s="256"/>
    </row>
    <row r="40383" spans="104:111">
      <c r="CZ40383" s="256"/>
      <c r="DG40383" s="256"/>
    </row>
    <row r="40384" spans="104:111">
      <c r="CZ40384" s="256"/>
      <c r="DG40384" s="256"/>
    </row>
    <row r="40385" spans="104:111">
      <c r="CZ40385" s="256"/>
      <c r="DG40385" s="256"/>
    </row>
    <row r="40386" spans="104:111">
      <c r="CZ40386" s="256"/>
      <c r="DG40386" s="256"/>
    </row>
    <row r="40387" spans="104:111">
      <c r="CZ40387" s="256"/>
      <c r="DG40387" s="256"/>
    </row>
    <row r="40388" spans="104:111">
      <c r="CZ40388" s="256"/>
      <c r="DG40388" s="256"/>
    </row>
    <row r="40389" spans="104:111">
      <c r="CZ40389" s="256"/>
      <c r="DG40389" s="256"/>
    </row>
    <row r="40390" spans="104:111">
      <c r="CZ40390" s="256"/>
      <c r="DG40390" s="256"/>
    </row>
    <row r="40391" spans="104:111">
      <c r="CZ40391" s="256"/>
      <c r="DG40391" s="256"/>
    </row>
    <row r="40392" spans="104:111">
      <c r="CZ40392" s="256"/>
      <c r="DG40392" s="256"/>
    </row>
    <row r="40393" spans="104:111">
      <c r="CZ40393" s="256"/>
      <c r="DG40393" s="256"/>
    </row>
    <row r="40394" spans="104:111">
      <c r="CZ40394" s="256"/>
      <c r="DG40394" s="256"/>
    </row>
    <row r="40395" spans="104:111">
      <c r="CZ40395" s="256"/>
      <c r="DG40395" s="256"/>
    </row>
    <row r="40396" spans="104:111">
      <c r="CZ40396" s="256"/>
      <c r="DG40396" s="256"/>
    </row>
    <row r="40397" spans="104:111">
      <c r="CZ40397" s="256"/>
      <c r="DG40397" s="256"/>
    </row>
    <row r="40398" spans="104:111">
      <c r="CZ40398" s="256"/>
      <c r="DG40398" s="256"/>
    </row>
    <row r="40399" spans="104:111">
      <c r="CZ40399" s="256"/>
      <c r="DG40399" s="256"/>
    </row>
    <row r="40400" spans="104:111">
      <c r="CZ40400" s="256"/>
      <c r="DG40400" s="256"/>
    </row>
    <row r="40401" spans="104:111">
      <c r="CZ40401" s="256"/>
      <c r="DG40401" s="256"/>
    </row>
    <row r="40402" spans="104:111">
      <c r="CZ40402" s="256"/>
      <c r="DG40402" s="256"/>
    </row>
    <row r="40403" spans="104:111">
      <c r="CZ40403" s="256"/>
      <c r="DG40403" s="256"/>
    </row>
    <row r="40404" spans="104:111">
      <c r="CZ40404" s="256"/>
      <c r="DG40404" s="256"/>
    </row>
    <row r="40405" spans="104:111">
      <c r="CZ40405" s="256"/>
      <c r="DG40405" s="256"/>
    </row>
    <row r="40406" spans="104:111">
      <c r="CZ40406" s="256"/>
      <c r="DG40406" s="256"/>
    </row>
    <row r="40407" spans="104:111">
      <c r="CZ40407" s="256"/>
      <c r="DG40407" s="256"/>
    </row>
    <row r="40408" spans="104:111">
      <c r="CZ40408" s="256"/>
      <c r="DG40408" s="256"/>
    </row>
    <row r="40409" spans="104:111">
      <c r="CZ40409" s="256"/>
      <c r="DG40409" s="256"/>
    </row>
    <row r="40410" spans="104:111">
      <c r="CZ40410" s="256"/>
      <c r="DG40410" s="256"/>
    </row>
    <row r="40411" spans="104:111">
      <c r="CZ40411" s="256"/>
      <c r="DG40411" s="256"/>
    </row>
    <row r="40412" spans="104:111">
      <c r="CZ40412" s="256"/>
      <c r="DG40412" s="256"/>
    </row>
    <row r="40413" spans="104:111">
      <c r="CZ40413" s="256"/>
      <c r="DG40413" s="256"/>
    </row>
    <row r="40414" spans="104:111">
      <c r="CZ40414" s="256"/>
      <c r="DG40414" s="256"/>
    </row>
    <row r="40415" spans="104:111">
      <c r="CZ40415" s="256"/>
      <c r="DG40415" s="256"/>
    </row>
    <row r="40416" spans="104:111">
      <c r="CZ40416" s="256"/>
      <c r="DG40416" s="256"/>
    </row>
    <row r="40417" spans="104:111">
      <c r="CZ40417" s="256"/>
      <c r="DG40417" s="256"/>
    </row>
    <row r="40418" spans="104:111">
      <c r="CZ40418" s="256"/>
      <c r="DG40418" s="256"/>
    </row>
    <row r="40419" spans="104:111">
      <c r="CZ40419" s="256"/>
      <c r="DG40419" s="256"/>
    </row>
    <row r="40420" spans="104:111">
      <c r="CZ40420" s="256"/>
      <c r="DG40420" s="256"/>
    </row>
    <row r="40421" spans="104:111">
      <c r="CZ40421" s="256"/>
      <c r="DG40421" s="256"/>
    </row>
    <row r="40422" spans="104:111">
      <c r="CZ40422" s="256"/>
      <c r="DG40422" s="256"/>
    </row>
    <row r="40423" spans="104:111">
      <c r="CZ40423" s="256"/>
      <c r="DG40423" s="256"/>
    </row>
    <row r="40424" spans="104:111">
      <c r="CZ40424" s="256"/>
      <c r="DG40424" s="256"/>
    </row>
    <row r="40425" spans="104:111">
      <c r="CZ40425" s="256"/>
      <c r="DG40425" s="256"/>
    </row>
    <row r="40426" spans="104:111">
      <c r="CZ40426" s="256"/>
      <c r="DG40426" s="256"/>
    </row>
    <row r="40427" spans="104:111">
      <c r="CZ40427" s="256"/>
      <c r="DG40427" s="256"/>
    </row>
    <row r="40428" spans="104:111">
      <c r="CZ40428" s="256"/>
      <c r="DG40428" s="256"/>
    </row>
    <row r="40429" spans="104:111">
      <c r="CZ40429" s="256"/>
      <c r="DG40429" s="256"/>
    </row>
    <row r="40430" spans="104:111">
      <c r="CZ40430" s="256"/>
      <c r="DG40430" s="256"/>
    </row>
    <row r="40431" spans="104:111">
      <c r="CZ40431" s="256"/>
      <c r="DG40431" s="256"/>
    </row>
    <row r="40432" spans="104:111">
      <c r="CZ40432" s="256"/>
      <c r="DG40432" s="256"/>
    </row>
    <row r="40433" spans="104:111">
      <c r="CZ40433" s="256"/>
      <c r="DG40433" s="256"/>
    </row>
    <row r="40434" spans="104:111">
      <c r="CZ40434" s="256"/>
      <c r="DG40434" s="256"/>
    </row>
    <row r="40435" spans="104:111">
      <c r="CZ40435" s="256"/>
      <c r="DG40435" s="256"/>
    </row>
    <row r="40436" spans="104:111">
      <c r="CZ40436" s="256"/>
      <c r="DG40436" s="256"/>
    </row>
    <row r="40437" spans="104:111">
      <c r="CZ40437" s="256"/>
      <c r="DG40437" s="256"/>
    </row>
    <row r="40438" spans="104:111">
      <c r="CZ40438" s="256"/>
      <c r="DG40438" s="256"/>
    </row>
    <row r="40439" spans="104:111">
      <c r="CZ40439" s="256"/>
      <c r="DG40439" s="256"/>
    </row>
    <row r="40440" spans="104:111">
      <c r="CZ40440" s="256"/>
      <c r="DG40440" s="256"/>
    </row>
    <row r="40441" spans="104:111">
      <c r="CZ40441" s="256"/>
      <c r="DG40441" s="256"/>
    </row>
    <row r="40442" spans="104:111">
      <c r="CZ40442" s="256"/>
      <c r="DG40442" s="256"/>
    </row>
    <row r="40443" spans="104:111">
      <c r="CZ40443" s="256"/>
      <c r="DG40443" s="256"/>
    </row>
    <row r="40444" spans="104:111">
      <c r="CZ40444" s="256"/>
      <c r="DG40444" s="256"/>
    </row>
    <row r="40445" spans="104:111">
      <c r="CZ40445" s="256"/>
      <c r="DG40445" s="256"/>
    </row>
    <row r="40446" spans="104:111">
      <c r="CZ40446" s="256"/>
      <c r="DG40446" s="256"/>
    </row>
    <row r="40447" spans="104:111">
      <c r="CZ40447" s="256"/>
      <c r="DG40447" s="256"/>
    </row>
    <row r="40448" spans="104:111">
      <c r="CZ40448" s="256"/>
      <c r="DG40448" s="256"/>
    </row>
    <row r="40449" spans="104:111">
      <c r="CZ40449" s="256"/>
      <c r="DG40449" s="256"/>
    </row>
    <row r="40450" spans="104:111">
      <c r="CZ40450" s="256"/>
      <c r="DG40450" s="256"/>
    </row>
    <row r="40451" spans="104:111">
      <c r="CZ40451" s="256"/>
      <c r="DG40451" s="256"/>
    </row>
    <row r="40452" spans="104:111">
      <c r="CZ40452" s="256"/>
      <c r="DG40452" s="256"/>
    </row>
    <row r="40453" spans="104:111">
      <c r="CZ40453" s="256"/>
      <c r="DG40453" s="256"/>
    </row>
    <row r="40454" spans="104:111">
      <c r="CZ40454" s="256"/>
      <c r="DG40454" s="256"/>
    </row>
    <row r="40455" spans="104:111">
      <c r="CZ40455" s="256"/>
      <c r="DG40455" s="256"/>
    </row>
    <row r="40456" spans="104:111">
      <c r="CZ40456" s="256"/>
      <c r="DG40456" s="256"/>
    </row>
    <row r="40457" spans="104:111">
      <c r="CZ40457" s="256"/>
      <c r="DG40457" s="256"/>
    </row>
    <row r="40458" spans="104:111">
      <c r="CZ40458" s="256"/>
      <c r="DG40458" s="256"/>
    </row>
    <row r="40459" spans="104:111">
      <c r="CZ40459" s="256"/>
      <c r="DG40459" s="256"/>
    </row>
    <row r="40460" spans="104:111">
      <c r="CZ40460" s="256"/>
      <c r="DG40460" s="256"/>
    </row>
    <row r="40461" spans="104:111">
      <c r="CZ40461" s="256"/>
      <c r="DG40461" s="256"/>
    </row>
    <row r="40462" spans="104:111">
      <c r="CZ40462" s="256"/>
      <c r="DG40462" s="256"/>
    </row>
    <row r="40463" spans="104:111">
      <c r="CZ40463" s="256"/>
      <c r="DG40463" s="256"/>
    </row>
    <row r="40464" spans="104:111">
      <c r="CZ40464" s="256"/>
      <c r="DG40464" s="256"/>
    </row>
    <row r="40465" spans="104:111">
      <c r="CZ40465" s="256"/>
      <c r="DG40465" s="256"/>
    </row>
    <row r="40466" spans="104:111">
      <c r="CZ40466" s="256"/>
      <c r="DG40466" s="256"/>
    </row>
    <row r="40467" spans="104:111">
      <c r="CZ40467" s="256"/>
      <c r="DG40467" s="256"/>
    </row>
    <row r="40468" spans="104:111">
      <c r="CZ40468" s="256"/>
      <c r="DG40468" s="256"/>
    </row>
    <row r="40469" spans="104:111">
      <c r="CZ40469" s="256"/>
      <c r="DG40469" s="256"/>
    </row>
    <row r="40470" spans="104:111">
      <c r="CZ40470" s="256"/>
      <c r="DG40470" s="256"/>
    </row>
    <row r="40471" spans="104:111">
      <c r="CZ40471" s="256"/>
      <c r="DG40471" s="256"/>
    </row>
    <row r="40472" spans="104:111">
      <c r="CZ40472" s="256"/>
      <c r="DG40472" s="256"/>
    </row>
    <row r="40473" spans="104:111">
      <c r="CZ40473" s="256"/>
      <c r="DG40473" s="256"/>
    </row>
    <row r="40474" spans="104:111">
      <c r="CZ40474" s="256"/>
      <c r="DG40474" s="256"/>
    </row>
    <row r="40475" spans="104:111">
      <c r="CZ40475" s="256"/>
      <c r="DG40475" s="256"/>
    </row>
    <row r="40476" spans="104:111">
      <c r="CZ40476" s="256"/>
      <c r="DG40476" s="256"/>
    </row>
    <row r="40477" spans="104:111">
      <c r="CZ40477" s="256"/>
      <c r="DG40477" s="256"/>
    </row>
    <row r="40478" spans="104:111">
      <c r="CZ40478" s="256"/>
      <c r="DG40478" s="256"/>
    </row>
    <row r="40479" spans="104:111">
      <c r="CZ40479" s="256"/>
      <c r="DG40479" s="256"/>
    </row>
    <row r="40480" spans="104:111">
      <c r="CZ40480" s="256"/>
      <c r="DG40480" s="256"/>
    </row>
    <row r="40481" spans="104:111">
      <c r="CZ40481" s="256"/>
      <c r="DG40481" s="256"/>
    </row>
    <row r="40482" spans="104:111">
      <c r="CZ40482" s="256"/>
      <c r="DG40482" s="256"/>
    </row>
    <row r="40483" spans="104:111">
      <c r="CZ40483" s="256"/>
      <c r="DG40483" s="256"/>
    </row>
    <row r="40484" spans="104:111">
      <c r="CZ40484" s="256"/>
      <c r="DG40484" s="256"/>
    </row>
    <row r="40485" spans="104:111">
      <c r="CZ40485" s="256"/>
      <c r="DG40485" s="256"/>
    </row>
    <row r="40486" spans="104:111">
      <c r="CZ40486" s="256"/>
      <c r="DG40486" s="256"/>
    </row>
    <row r="40487" spans="104:111">
      <c r="CZ40487" s="256"/>
      <c r="DG40487" s="256"/>
    </row>
    <row r="40488" spans="104:111">
      <c r="CZ40488" s="256"/>
      <c r="DG40488" s="256"/>
    </row>
    <row r="40489" spans="104:111">
      <c r="CZ40489" s="256"/>
      <c r="DG40489" s="256"/>
    </row>
    <row r="40490" spans="104:111">
      <c r="CZ40490" s="256"/>
      <c r="DG40490" s="256"/>
    </row>
    <row r="40491" spans="104:111">
      <c r="CZ40491" s="256"/>
      <c r="DG40491" s="256"/>
    </row>
    <row r="40492" spans="104:111">
      <c r="CZ40492" s="256"/>
      <c r="DG40492" s="256"/>
    </row>
    <row r="40493" spans="104:111">
      <c r="CZ40493" s="256"/>
      <c r="DG40493" s="256"/>
    </row>
    <row r="40494" spans="104:111">
      <c r="CZ40494" s="256"/>
      <c r="DG40494" s="256"/>
    </row>
    <row r="40495" spans="104:111">
      <c r="CZ40495" s="256"/>
      <c r="DG40495" s="256"/>
    </row>
    <row r="40496" spans="104:111">
      <c r="CZ40496" s="256"/>
      <c r="DG40496" s="256"/>
    </row>
    <row r="40497" spans="104:111">
      <c r="CZ40497" s="256"/>
      <c r="DG40497" s="256"/>
    </row>
    <row r="40498" spans="104:111">
      <c r="CZ40498" s="256"/>
      <c r="DG40498" s="256"/>
    </row>
    <row r="40499" spans="104:111">
      <c r="CZ40499" s="256"/>
      <c r="DG40499" s="256"/>
    </row>
    <row r="40500" spans="104:111">
      <c r="CZ40500" s="256"/>
      <c r="DG40500" s="256"/>
    </row>
    <row r="40501" spans="104:111">
      <c r="CZ40501" s="256"/>
      <c r="DG40501" s="256"/>
    </row>
    <row r="40502" spans="104:111">
      <c r="CZ40502" s="256"/>
      <c r="DG40502" s="256"/>
    </row>
    <row r="40503" spans="104:111">
      <c r="CZ40503" s="256"/>
      <c r="DG40503" s="256"/>
    </row>
    <row r="40504" spans="104:111">
      <c r="CZ40504" s="256"/>
      <c r="DG40504" s="256"/>
    </row>
    <row r="40505" spans="104:111">
      <c r="CZ40505" s="256"/>
      <c r="DG40505" s="256"/>
    </row>
    <row r="40506" spans="104:111">
      <c r="CZ40506" s="256"/>
      <c r="DG40506" s="256"/>
    </row>
    <row r="40507" spans="104:111">
      <c r="CZ40507" s="256"/>
      <c r="DG40507" s="256"/>
    </row>
    <row r="40508" spans="104:111">
      <c r="CZ40508" s="256"/>
      <c r="DG40508" s="256"/>
    </row>
    <row r="40509" spans="104:111">
      <c r="CZ40509" s="256"/>
      <c r="DG40509" s="256"/>
    </row>
    <row r="40510" spans="104:111">
      <c r="CZ40510" s="256"/>
      <c r="DG40510" s="256"/>
    </row>
    <row r="40511" spans="104:111">
      <c r="CZ40511" s="256"/>
      <c r="DG40511" s="256"/>
    </row>
    <row r="40512" spans="104:111">
      <c r="CZ40512" s="256"/>
      <c r="DG40512" s="256"/>
    </row>
    <row r="40513" spans="104:111">
      <c r="CZ40513" s="256"/>
      <c r="DG40513" s="256"/>
    </row>
    <row r="40514" spans="104:111">
      <c r="CZ40514" s="256"/>
      <c r="DG40514" s="256"/>
    </row>
    <row r="40515" spans="104:111">
      <c r="CZ40515" s="256"/>
      <c r="DG40515" s="256"/>
    </row>
    <row r="40516" spans="104:111">
      <c r="CZ40516" s="256"/>
      <c r="DG40516" s="256"/>
    </row>
    <row r="40517" spans="104:111">
      <c r="CZ40517" s="256"/>
      <c r="DG40517" s="256"/>
    </row>
    <row r="40518" spans="104:111">
      <c r="CZ40518" s="256"/>
      <c r="DG40518" s="256"/>
    </row>
    <row r="40519" spans="104:111">
      <c r="CZ40519" s="256"/>
      <c r="DG40519" s="256"/>
    </row>
    <row r="40520" spans="104:111">
      <c r="CZ40520" s="256"/>
      <c r="DG40520" s="256"/>
    </row>
    <row r="40521" spans="104:111">
      <c r="CZ40521" s="256"/>
      <c r="DG40521" s="256"/>
    </row>
    <row r="40522" spans="104:111">
      <c r="CZ40522" s="256"/>
      <c r="DG40522" s="256"/>
    </row>
    <row r="40523" spans="104:111">
      <c r="CZ40523" s="256"/>
      <c r="DG40523" s="256"/>
    </row>
    <row r="40524" spans="104:111">
      <c r="CZ40524" s="256"/>
      <c r="DG40524" s="256"/>
    </row>
    <row r="40525" spans="104:111">
      <c r="CZ40525" s="256"/>
      <c r="DG40525" s="256"/>
    </row>
    <row r="40526" spans="104:111">
      <c r="CZ40526" s="256"/>
      <c r="DG40526" s="256"/>
    </row>
    <row r="40527" spans="104:111">
      <c r="CZ40527" s="256"/>
      <c r="DG40527" s="256"/>
    </row>
    <row r="40528" spans="104:111">
      <c r="CZ40528" s="256"/>
      <c r="DG40528" s="256"/>
    </row>
    <row r="40529" spans="104:111">
      <c r="CZ40529" s="256"/>
      <c r="DG40529" s="256"/>
    </row>
    <row r="40530" spans="104:111">
      <c r="CZ40530" s="256"/>
      <c r="DG40530" s="256"/>
    </row>
    <row r="40531" spans="104:111">
      <c r="CZ40531" s="256"/>
      <c r="DG40531" s="256"/>
    </row>
    <row r="40532" spans="104:111">
      <c r="CZ40532" s="256"/>
      <c r="DG40532" s="256"/>
    </row>
    <row r="40533" spans="104:111">
      <c r="CZ40533" s="256"/>
      <c r="DG40533" s="256"/>
    </row>
    <row r="40534" spans="104:111">
      <c r="CZ40534" s="256"/>
      <c r="DG40534" s="256"/>
    </row>
    <row r="40535" spans="104:111">
      <c r="CZ40535" s="256"/>
      <c r="DG40535" s="256"/>
    </row>
    <row r="40536" spans="104:111">
      <c r="CZ40536" s="256"/>
      <c r="DG40536" s="256"/>
    </row>
    <row r="40537" spans="104:111">
      <c r="CZ40537" s="256"/>
      <c r="DG40537" s="256"/>
    </row>
    <row r="40538" spans="104:111">
      <c r="CZ40538" s="256"/>
      <c r="DG40538" s="256"/>
    </row>
    <row r="40539" spans="104:111">
      <c r="CZ40539" s="256"/>
      <c r="DG40539" s="256"/>
    </row>
    <row r="40540" spans="104:111">
      <c r="CZ40540" s="256"/>
      <c r="DG40540" s="256"/>
    </row>
    <row r="40541" spans="104:111">
      <c r="CZ40541" s="256"/>
      <c r="DG40541" s="256"/>
    </row>
    <row r="40542" spans="104:111">
      <c r="CZ40542" s="256"/>
      <c r="DG40542" s="256"/>
    </row>
    <row r="40543" spans="104:111">
      <c r="CZ40543" s="256"/>
      <c r="DG40543" s="256"/>
    </row>
    <row r="40544" spans="104:111">
      <c r="CZ40544" s="256"/>
      <c r="DG40544" s="256"/>
    </row>
    <row r="40545" spans="104:111">
      <c r="CZ40545" s="256"/>
      <c r="DG40545" s="256"/>
    </row>
    <row r="40546" spans="104:111">
      <c r="CZ40546" s="256"/>
      <c r="DG40546" s="256"/>
    </row>
    <row r="40547" spans="104:111">
      <c r="CZ40547" s="256"/>
      <c r="DG40547" s="256"/>
    </row>
    <row r="40548" spans="104:111">
      <c r="CZ40548" s="256"/>
      <c r="DG40548" s="256"/>
    </row>
    <row r="40549" spans="104:111">
      <c r="CZ40549" s="256"/>
      <c r="DG40549" s="256"/>
    </row>
    <row r="40550" spans="104:111">
      <c r="CZ40550" s="256"/>
      <c r="DG40550" s="256"/>
    </row>
    <row r="40551" spans="104:111">
      <c r="CZ40551" s="256"/>
      <c r="DG40551" s="256"/>
    </row>
    <row r="40552" spans="104:111">
      <c r="CZ40552" s="256"/>
      <c r="DG40552" s="256"/>
    </row>
    <row r="40553" spans="104:111">
      <c r="CZ40553" s="256"/>
      <c r="DG40553" s="256"/>
    </row>
    <row r="40554" spans="104:111">
      <c r="CZ40554" s="256"/>
      <c r="DG40554" s="256"/>
    </row>
    <row r="40555" spans="104:111">
      <c r="CZ40555" s="256"/>
      <c r="DG40555" s="256"/>
    </row>
    <row r="40556" spans="104:111">
      <c r="CZ40556" s="256"/>
      <c r="DG40556" s="256"/>
    </row>
    <row r="40557" spans="104:111">
      <c r="CZ40557" s="256"/>
      <c r="DG40557" s="256"/>
    </row>
    <row r="40558" spans="104:111">
      <c r="CZ40558" s="256"/>
      <c r="DG40558" s="256"/>
    </row>
    <row r="40559" spans="104:111">
      <c r="CZ40559" s="256"/>
      <c r="DG40559" s="256"/>
    </row>
    <row r="40560" spans="104:111">
      <c r="CZ40560" s="256"/>
      <c r="DG40560" s="256"/>
    </row>
    <row r="40561" spans="104:111">
      <c r="CZ40561" s="256"/>
      <c r="DG40561" s="256"/>
    </row>
    <row r="40562" spans="104:111">
      <c r="CZ40562" s="256"/>
      <c r="DG40562" s="256"/>
    </row>
    <row r="40563" spans="104:111">
      <c r="CZ40563" s="256"/>
      <c r="DG40563" s="256"/>
    </row>
    <row r="40564" spans="104:111">
      <c r="CZ40564" s="256"/>
      <c r="DG40564" s="256"/>
    </row>
    <row r="40565" spans="104:111">
      <c r="CZ40565" s="256"/>
      <c r="DG40565" s="256"/>
    </row>
    <row r="40566" spans="104:111">
      <c r="CZ40566" s="256"/>
      <c r="DG40566" s="256"/>
    </row>
    <row r="40567" spans="104:111">
      <c r="CZ40567" s="256"/>
      <c r="DG40567" s="256"/>
    </row>
    <row r="40568" spans="104:111">
      <c r="CZ40568" s="256"/>
      <c r="DG40568" s="256"/>
    </row>
    <row r="40569" spans="104:111">
      <c r="CZ40569" s="256"/>
      <c r="DG40569" s="256"/>
    </row>
    <row r="40570" spans="104:111">
      <c r="CZ40570" s="256"/>
      <c r="DG40570" s="256"/>
    </row>
    <row r="40571" spans="104:111">
      <c r="CZ40571" s="256"/>
      <c r="DG40571" s="256"/>
    </row>
    <row r="40572" spans="104:111">
      <c r="CZ40572" s="256"/>
      <c r="DG40572" s="256"/>
    </row>
    <row r="40573" spans="104:111">
      <c r="CZ40573" s="256"/>
      <c r="DG40573" s="256"/>
    </row>
    <row r="40574" spans="104:111">
      <c r="CZ40574" s="256"/>
      <c r="DG40574" s="256"/>
    </row>
    <row r="40575" spans="104:111">
      <c r="CZ40575" s="256"/>
      <c r="DG40575" s="256"/>
    </row>
    <row r="40576" spans="104:111">
      <c r="CZ40576" s="256"/>
      <c r="DG40576" s="256"/>
    </row>
    <row r="40577" spans="104:111">
      <c r="CZ40577" s="256"/>
      <c r="DG40577" s="256"/>
    </row>
    <row r="40578" spans="104:111">
      <c r="CZ40578" s="256"/>
      <c r="DG40578" s="256"/>
    </row>
    <row r="40579" spans="104:111">
      <c r="CZ40579" s="256"/>
      <c r="DG40579" s="256"/>
    </row>
    <row r="40580" spans="104:111">
      <c r="CZ40580" s="256"/>
      <c r="DG40580" s="256"/>
    </row>
    <row r="40581" spans="104:111">
      <c r="CZ40581" s="256"/>
      <c r="DG40581" s="256"/>
    </row>
    <row r="40582" spans="104:111">
      <c r="CZ40582" s="256"/>
      <c r="DG40582" s="256"/>
    </row>
    <row r="40583" spans="104:111">
      <c r="CZ40583" s="256"/>
      <c r="DG40583" s="256"/>
    </row>
    <row r="40584" spans="104:111">
      <c r="CZ40584" s="256"/>
      <c r="DG40584" s="256"/>
    </row>
    <row r="40585" spans="104:111">
      <c r="CZ40585" s="256"/>
      <c r="DG40585" s="256"/>
    </row>
    <row r="40586" spans="104:111">
      <c r="CZ40586" s="256"/>
      <c r="DG40586" s="256"/>
    </row>
    <row r="40587" spans="104:111">
      <c r="CZ40587" s="256"/>
      <c r="DG40587" s="256"/>
    </row>
    <row r="40588" spans="104:111">
      <c r="CZ40588" s="256"/>
      <c r="DG40588" s="256"/>
    </row>
    <row r="40589" spans="104:111">
      <c r="CZ40589" s="256"/>
      <c r="DG40589" s="256"/>
    </row>
    <row r="40590" spans="104:111">
      <c r="CZ40590" s="256"/>
      <c r="DG40590" s="256"/>
    </row>
    <row r="40591" spans="104:111">
      <c r="CZ40591" s="256"/>
      <c r="DG40591" s="256"/>
    </row>
    <row r="40592" spans="104:111">
      <c r="CZ40592" s="256"/>
      <c r="DG40592" s="256"/>
    </row>
    <row r="40593" spans="104:111">
      <c r="CZ40593" s="256"/>
      <c r="DG40593" s="256"/>
    </row>
    <row r="40594" spans="104:111">
      <c r="CZ40594" s="256"/>
      <c r="DG40594" s="256"/>
    </row>
    <row r="40595" spans="104:111">
      <c r="CZ40595" s="256"/>
      <c r="DG40595" s="256"/>
    </row>
    <row r="40596" spans="104:111">
      <c r="CZ40596" s="256"/>
      <c r="DG40596" s="256"/>
    </row>
    <row r="40597" spans="104:111">
      <c r="CZ40597" s="256"/>
      <c r="DG40597" s="256"/>
    </row>
    <row r="40598" spans="104:111">
      <c r="CZ40598" s="256"/>
      <c r="DG40598" s="256"/>
    </row>
    <row r="40599" spans="104:111">
      <c r="CZ40599" s="256"/>
      <c r="DG40599" s="256"/>
    </row>
    <row r="40600" spans="104:111">
      <c r="CZ40600" s="256"/>
      <c r="DG40600" s="256"/>
    </row>
    <row r="40601" spans="104:111">
      <c r="CZ40601" s="256"/>
      <c r="DG40601" s="256"/>
    </row>
    <row r="40602" spans="104:111">
      <c r="CZ40602" s="256"/>
      <c r="DG40602" s="256"/>
    </row>
    <row r="40603" spans="104:111">
      <c r="CZ40603" s="256"/>
      <c r="DG40603" s="256"/>
    </row>
    <row r="40604" spans="104:111">
      <c r="CZ40604" s="256"/>
      <c r="DG40604" s="256"/>
    </row>
    <row r="40605" spans="104:111">
      <c r="CZ40605" s="256"/>
      <c r="DG40605" s="256"/>
    </row>
    <row r="40606" spans="104:111">
      <c r="CZ40606" s="256"/>
      <c r="DG40606" s="256"/>
    </row>
    <row r="40607" spans="104:111">
      <c r="CZ40607" s="256"/>
      <c r="DG40607" s="256"/>
    </row>
    <row r="40608" spans="104:111">
      <c r="CZ40608" s="256"/>
      <c r="DG40608" s="256"/>
    </row>
    <row r="40609" spans="104:111">
      <c r="CZ40609" s="256"/>
      <c r="DG40609" s="256"/>
    </row>
    <row r="40610" spans="104:111">
      <c r="CZ40610" s="256"/>
      <c r="DG40610" s="256"/>
    </row>
    <row r="40611" spans="104:111">
      <c r="CZ40611" s="256"/>
      <c r="DG40611" s="256"/>
    </row>
    <row r="40612" spans="104:111">
      <c r="CZ40612" s="256"/>
      <c r="DG40612" s="256"/>
    </row>
    <row r="40613" spans="104:111">
      <c r="CZ40613" s="256"/>
      <c r="DG40613" s="256"/>
    </row>
    <row r="40614" spans="104:111">
      <c r="CZ40614" s="256"/>
      <c r="DG40614" s="256"/>
    </row>
    <row r="40615" spans="104:111">
      <c r="CZ40615" s="256"/>
      <c r="DG40615" s="256"/>
    </row>
    <row r="40616" spans="104:111">
      <c r="CZ40616" s="256"/>
      <c r="DG40616" s="256"/>
    </row>
    <row r="40617" spans="104:111">
      <c r="CZ40617" s="256"/>
      <c r="DG40617" s="256"/>
    </row>
    <row r="40618" spans="104:111">
      <c r="CZ40618" s="256"/>
      <c r="DG40618" s="256"/>
    </row>
    <row r="40619" spans="104:111">
      <c r="CZ40619" s="256"/>
      <c r="DG40619" s="256"/>
    </row>
    <row r="40620" spans="104:111">
      <c r="CZ40620" s="256"/>
      <c r="DG40620" s="256"/>
    </row>
    <row r="40621" spans="104:111">
      <c r="CZ40621" s="256"/>
      <c r="DG40621" s="256"/>
    </row>
    <row r="40622" spans="104:111">
      <c r="CZ40622" s="256"/>
      <c r="DG40622" s="256"/>
    </row>
    <row r="40623" spans="104:111">
      <c r="CZ40623" s="256"/>
      <c r="DG40623" s="256"/>
    </row>
    <row r="40624" spans="104:111">
      <c r="CZ40624" s="256"/>
      <c r="DG40624" s="256"/>
    </row>
    <row r="40625" spans="104:111">
      <c r="CZ40625" s="256"/>
      <c r="DG40625" s="256"/>
    </row>
    <row r="40626" spans="104:111">
      <c r="CZ40626" s="256"/>
      <c r="DG40626" s="256"/>
    </row>
    <row r="40627" spans="104:111">
      <c r="CZ40627" s="256"/>
      <c r="DG40627" s="256"/>
    </row>
    <row r="40628" spans="104:111">
      <c r="CZ40628" s="256"/>
      <c r="DG40628" s="256"/>
    </row>
    <row r="40629" spans="104:111">
      <c r="CZ40629" s="256"/>
      <c r="DG40629" s="256"/>
    </row>
    <row r="40630" spans="104:111">
      <c r="CZ40630" s="256"/>
      <c r="DG40630" s="256"/>
    </row>
    <row r="40631" spans="104:111">
      <c r="CZ40631" s="256"/>
      <c r="DG40631" s="256"/>
    </row>
    <row r="40632" spans="104:111">
      <c r="CZ40632" s="256"/>
      <c r="DG40632" s="256"/>
    </row>
    <row r="40633" spans="104:111">
      <c r="CZ40633" s="256"/>
      <c r="DG40633" s="256"/>
    </row>
    <row r="40634" spans="104:111">
      <c r="CZ40634" s="256"/>
      <c r="DG40634" s="256"/>
    </row>
    <row r="40635" spans="104:111">
      <c r="CZ40635" s="256"/>
      <c r="DG40635" s="256"/>
    </row>
    <row r="40636" spans="104:111">
      <c r="CZ40636" s="256"/>
      <c r="DG40636" s="256"/>
    </row>
    <row r="40637" spans="104:111">
      <c r="CZ40637" s="256"/>
      <c r="DG40637" s="256"/>
    </row>
    <row r="40638" spans="104:111">
      <c r="CZ40638" s="256"/>
      <c r="DG40638" s="256"/>
    </row>
    <row r="40639" spans="104:111">
      <c r="CZ40639" s="256"/>
      <c r="DG40639" s="256"/>
    </row>
    <row r="40640" spans="104:111">
      <c r="CZ40640" s="256"/>
      <c r="DG40640" s="256"/>
    </row>
    <row r="40641" spans="104:111">
      <c r="CZ40641" s="256"/>
      <c r="DG40641" s="256"/>
    </row>
    <row r="40642" spans="104:111">
      <c r="CZ40642" s="256"/>
      <c r="DG40642" s="256"/>
    </row>
    <row r="40643" spans="104:111">
      <c r="CZ40643" s="256"/>
      <c r="DG40643" s="256"/>
    </row>
    <row r="40644" spans="104:111">
      <c r="CZ40644" s="256"/>
      <c r="DG40644" s="256"/>
    </row>
    <row r="40645" spans="104:111">
      <c r="CZ40645" s="256"/>
      <c r="DG40645" s="256"/>
    </row>
    <row r="40646" spans="104:111">
      <c r="CZ40646" s="256"/>
      <c r="DG40646" s="256"/>
    </row>
    <row r="40647" spans="104:111">
      <c r="CZ40647" s="256"/>
      <c r="DG40647" s="256"/>
    </row>
    <row r="40648" spans="104:111">
      <c r="CZ40648" s="256"/>
      <c r="DG40648" s="256"/>
    </row>
    <row r="40649" spans="104:111">
      <c r="CZ40649" s="256"/>
      <c r="DG40649" s="256"/>
    </row>
    <row r="40650" spans="104:111">
      <c r="CZ40650" s="256"/>
      <c r="DG40650" s="256"/>
    </row>
    <row r="40651" spans="104:111">
      <c r="CZ40651" s="256"/>
      <c r="DG40651" s="256"/>
    </row>
    <row r="40652" spans="104:111">
      <c r="CZ40652" s="256"/>
      <c r="DG40652" s="256"/>
    </row>
    <row r="40653" spans="104:111">
      <c r="CZ40653" s="256"/>
      <c r="DG40653" s="256"/>
    </row>
    <row r="40654" spans="104:111">
      <c r="CZ40654" s="256"/>
      <c r="DG40654" s="256"/>
    </row>
    <row r="40655" spans="104:111">
      <c r="CZ40655" s="256"/>
      <c r="DG40655" s="256"/>
    </row>
    <row r="40656" spans="104:111">
      <c r="CZ40656" s="256"/>
      <c r="DG40656" s="256"/>
    </row>
    <row r="40657" spans="104:111">
      <c r="CZ40657" s="256"/>
      <c r="DG40657" s="256"/>
    </row>
    <row r="40658" spans="104:111">
      <c r="CZ40658" s="256"/>
      <c r="DG40658" s="256"/>
    </row>
    <row r="40659" spans="104:111">
      <c r="CZ40659" s="256"/>
      <c r="DG40659" s="256"/>
    </row>
    <row r="40660" spans="104:111">
      <c r="CZ40660" s="256"/>
      <c r="DG40660" s="256"/>
    </row>
    <row r="40661" spans="104:111">
      <c r="CZ40661" s="256"/>
      <c r="DG40661" s="256"/>
    </row>
    <row r="40662" spans="104:111">
      <c r="CZ40662" s="256"/>
      <c r="DG40662" s="256"/>
    </row>
    <row r="40663" spans="104:111">
      <c r="CZ40663" s="256"/>
      <c r="DG40663" s="256"/>
    </row>
    <row r="40664" spans="104:111">
      <c r="CZ40664" s="256"/>
      <c r="DG40664" s="256"/>
    </row>
    <row r="40665" spans="104:111">
      <c r="CZ40665" s="256"/>
      <c r="DG40665" s="256"/>
    </row>
    <row r="40666" spans="104:111">
      <c r="CZ40666" s="256"/>
      <c r="DG40666" s="256"/>
    </row>
    <row r="40667" spans="104:111">
      <c r="CZ40667" s="256"/>
      <c r="DG40667" s="256"/>
    </row>
    <row r="40668" spans="104:111">
      <c r="CZ40668" s="256"/>
      <c r="DG40668" s="256"/>
    </row>
    <row r="40669" spans="104:111">
      <c r="CZ40669" s="256"/>
      <c r="DG40669" s="256"/>
    </row>
    <row r="40670" spans="104:111">
      <c r="CZ40670" s="256"/>
      <c r="DG40670" s="256"/>
    </row>
    <row r="40671" spans="104:111">
      <c r="CZ40671" s="256"/>
      <c r="DG40671" s="256"/>
    </row>
    <row r="40672" spans="104:111">
      <c r="CZ40672" s="256"/>
      <c r="DG40672" s="256"/>
    </row>
    <row r="40673" spans="104:111">
      <c r="CZ40673" s="256"/>
      <c r="DG40673" s="256"/>
    </row>
    <row r="40674" spans="104:111">
      <c r="CZ40674" s="256"/>
      <c r="DG40674" s="256"/>
    </row>
    <row r="40675" spans="104:111">
      <c r="CZ40675" s="256"/>
      <c r="DG40675" s="256"/>
    </row>
    <row r="40676" spans="104:111">
      <c r="CZ40676" s="256"/>
      <c r="DG40676" s="256"/>
    </row>
    <row r="40677" spans="104:111">
      <c r="CZ40677" s="256"/>
      <c r="DG40677" s="256"/>
    </row>
    <row r="40678" spans="104:111">
      <c r="CZ40678" s="256"/>
      <c r="DG40678" s="256"/>
    </row>
    <row r="40679" spans="104:111">
      <c r="CZ40679" s="256"/>
      <c r="DG40679" s="256"/>
    </row>
    <row r="40680" spans="104:111">
      <c r="CZ40680" s="256"/>
      <c r="DG40680" s="256"/>
    </row>
    <row r="40681" spans="104:111">
      <c r="CZ40681" s="256"/>
      <c r="DG40681" s="256"/>
    </row>
    <row r="40682" spans="104:111">
      <c r="CZ40682" s="256"/>
      <c r="DG40682" s="256"/>
    </row>
    <row r="40683" spans="104:111">
      <c r="CZ40683" s="256"/>
      <c r="DG40683" s="256"/>
    </row>
    <row r="40684" spans="104:111">
      <c r="CZ40684" s="256"/>
      <c r="DG40684" s="256"/>
    </row>
    <row r="40685" spans="104:111">
      <c r="CZ40685" s="256"/>
      <c r="DG40685" s="256"/>
    </row>
    <row r="40686" spans="104:111">
      <c r="CZ40686" s="256"/>
      <c r="DG40686" s="256"/>
    </row>
    <row r="40687" spans="104:111">
      <c r="CZ40687" s="256"/>
      <c r="DG40687" s="256"/>
    </row>
    <row r="40688" spans="104:111">
      <c r="CZ40688" s="256"/>
      <c r="DG40688" s="256"/>
    </row>
    <row r="40689" spans="104:111">
      <c r="CZ40689" s="256"/>
      <c r="DG40689" s="256"/>
    </row>
    <row r="40690" spans="104:111">
      <c r="CZ40690" s="256"/>
      <c r="DG40690" s="256"/>
    </row>
    <row r="40691" spans="104:111">
      <c r="CZ40691" s="256"/>
      <c r="DG40691" s="256"/>
    </row>
    <row r="40692" spans="104:111">
      <c r="CZ40692" s="256"/>
      <c r="DG40692" s="256"/>
    </row>
    <row r="40693" spans="104:111">
      <c r="CZ40693" s="256"/>
      <c r="DG40693" s="256"/>
    </row>
    <row r="40694" spans="104:111">
      <c r="CZ40694" s="256"/>
      <c r="DG40694" s="256"/>
    </row>
    <row r="40695" spans="104:111">
      <c r="CZ40695" s="256"/>
      <c r="DG40695" s="256"/>
    </row>
    <row r="40696" spans="104:111">
      <c r="CZ40696" s="256"/>
      <c r="DG40696" s="256"/>
    </row>
    <row r="40697" spans="104:111">
      <c r="CZ40697" s="256"/>
      <c r="DG40697" s="256"/>
    </row>
    <row r="40698" spans="104:111">
      <c r="CZ40698" s="256"/>
      <c r="DG40698" s="256"/>
    </row>
    <row r="40699" spans="104:111">
      <c r="CZ40699" s="256"/>
      <c r="DG40699" s="256"/>
    </row>
    <row r="40700" spans="104:111">
      <c r="CZ40700" s="256"/>
      <c r="DG40700" s="256"/>
    </row>
    <row r="40701" spans="104:111">
      <c r="CZ40701" s="256"/>
      <c r="DG40701" s="256"/>
    </row>
    <row r="40702" spans="104:111">
      <c r="CZ40702" s="256"/>
      <c r="DG40702" s="256"/>
    </row>
    <row r="40703" spans="104:111">
      <c r="CZ40703" s="256"/>
      <c r="DG40703" s="256"/>
    </row>
    <row r="40704" spans="104:111">
      <c r="CZ40704" s="256"/>
      <c r="DG40704" s="256"/>
    </row>
    <row r="40705" spans="104:111">
      <c r="CZ40705" s="256"/>
      <c r="DG40705" s="256"/>
    </row>
    <row r="40706" spans="104:111">
      <c r="CZ40706" s="256"/>
      <c r="DG40706" s="256"/>
    </row>
    <row r="40707" spans="104:111">
      <c r="CZ40707" s="256"/>
      <c r="DG40707" s="256"/>
    </row>
    <row r="40708" spans="104:111">
      <c r="CZ40708" s="256"/>
      <c r="DG40708" s="256"/>
    </row>
    <row r="40709" spans="104:111">
      <c r="CZ40709" s="256"/>
      <c r="DG40709" s="256"/>
    </row>
    <row r="40710" spans="104:111">
      <c r="CZ40710" s="256"/>
      <c r="DG40710" s="256"/>
    </row>
    <row r="40711" spans="104:111">
      <c r="CZ40711" s="256"/>
      <c r="DG40711" s="256"/>
    </row>
    <row r="40712" spans="104:111">
      <c r="CZ40712" s="256"/>
      <c r="DG40712" s="256"/>
    </row>
    <row r="40713" spans="104:111">
      <c r="CZ40713" s="256"/>
      <c r="DG40713" s="256"/>
    </row>
    <row r="40714" spans="104:111">
      <c r="CZ40714" s="256"/>
      <c r="DG40714" s="256"/>
    </row>
    <row r="40715" spans="104:111">
      <c r="CZ40715" s="256"/>
      <c r="DG40715" s="256"/>
    </row>
    <row r="40716" spans="104:111">
      <c r="CZ40716" s="256"/>
      <c r="DG40716" s="256"/>
    </row>
    <row r="40717" spans="104:111">
      <c r="CZ40717" s="256"/>
      <c r="DG40717" s="256"/>
    </row>
    <row r="40718" spans="104:111">
      <c r="CZ40718" s="256"/>
      <c r="DG40718" s="256"/>
    </row>
    <row r="40719" spans="104:111">
      <c r="CZ40719" s="256"/>
      <c r="DG40719" s="256"/>
    </row>
    <row r="40720" spans="104:111">
      <c r="CZ40720" s="256"/>
      <c r="DG40720" s="256"/>
    </row>
    <row r="40721" spans="104:111">
      <c r="CZ40721" s="256"/>
      <c r="DG40721" s="256"/>
    </row>
    <row r="40722" spans="104:111">
      <c r="CZ40722" s="256"/>
      <c r="DG40722" s="256"/>
    </row>
    <row r="40723" spans="104:111">
      <c r="CZ40723" s="256"/>
      <c r="DG40723" s="256"/>
    </row>
    <row r="40724" spans="104:111">
      <c r="CZ40724" s="256"/>
      <c r="DG40724" s="256"/>
    </row>
    <row r="40725" spans="104:111">
      <c r="CZ40725" s="256"/>
      <c r="DG40725" s="256"/>
    </row>
    <row r="40726" spans="104:111">
      <c r="CZ40726" s="256"/>
      <c r="DG40726" s="256"/>
    </row>
    <row r="40727" spans="104:111">
      <c r="CZ40727" s="256"/>
      <c r="DG40727" s="256"/>
    </row>
    <row r="40728" spans="104:111">
      <c r="CZ40728" s="256"/>
      <c r="DG40728" s="256"/>
    </row>
    <row r="40729" spans="104:111">
      <c r="CZ40729" s="256"/>
      <c r="DG40729" s="256"/>
    </row>
    <row r="40730" spans="104:111">
      <c r="CZ40730" s="256"/>
      <c r="DG40730" s="256"/>
    </row>
    <row r="40731" spans="104:111">
      <c r="CZ40731" s="256"/>
      <c r="DG40731" s="256"/>
    </row>
    <row r="40732" spans="104:111">
      <c r="CZ40732" s="256"/>
      <c r="DG40732" s="256"/>
    </row>
    <row r="40733" spans="104:111">
      <c r="CZ40733" s="256"/>
      <c r="DG40733" s="256"/>
    </row>
    <row r="40734" spans="104:111">
      <c r="CZ40734" s="256"/>
      <c r="DG40734" s="256"/>
    </row>
    <row r="40735" spans="104:111">
      <c r="CZ40735" s="256"/>
      <c r="DG40735" s="256"/>
    </row>
    <row r="40736" spans="104:111">
      <c r="CZ40736" s="256"/>
      <c r="DG40736" s="256"/>
    </row>
    <row r="40737" spans="104:111">
      <c r="CZ40737" s="256"/>
      <c r="DG40737" s="256"/>
    </row>
    <row r="40738" spans="104:111">
      <c r="CZ40738" s="256"/>
      <c r="DG40738" s="256"/>
    </row>
    <row r="40739" spans="104:111">
      <c r="CZ40739" s="256"/>
      <c r="DG40739" s="256"/>
    </row>
    <row r="40740" spans="104:111">
      <c r="CZ40740" s="256"/>
      <c r="DG40740" s="256"/>
    </row>
    <row r="40741" spans="104:111">
      <c r="CZ40741" s="256"/>
      <c r="DG40741" s="256"/>
    </row>
    <row r="40742" spans="104:111">
      <c r="CZ40742" s="256"/>
      <c r="DG40742" s="256"/>
    </row>
    <row r="40743" spans="104:111">
      <c r="CZ40743" s="256"/>
      <c r="DG40743" s="256"/>
    </row>
    <row r="40744" spans="104:111">
      <c r="CZ40744" s="256"/>
      <c r="DG40744" s="256"/>
    </row>
    <row r="40745" spans="104:111">
      <c r="CZ40745" s="256"/>
      <c r="DG40745" s="256"/>
    </row>
    <row r="40746" spans="104:111">
      <c r="CZ40746" s="256"/>
      <c r="DG40746" s="256"/>
    </row>
    <row r="40747" spans="104:111">
      <c r="CZ40747" s="256"/>
      <c r="DG40747" s="256"/>
    </row>
    <row r="40748" spans="104:111">
      <c r="CZ40748" s="256"/>
      <c r="DG40748" s="256"/>
    </row>
    <row r="40749" spans="104:111">
      <c r="CZ40749" s="256"/>
      <c r="DG40749" s="256"/>
    </row>
    <row r="40750" spans="104:111">
      <c r="CZ40750" s="256"/>
      <c r="DG40750" s="256"/>
    </row>
    <row r="40751" spans="104:111">
      <c r="CZ40751" s="256"/>
      <c r="DG40751" s="256"/>
    </row>
    <row r="40752" spans="104:111">
      <c r="CZ40752" s="256"/>
      <c r="DG40752" s="256"/>
    </row>
    <row r="40753" spans="104:111">
      <c r="CZ40753" s="256"/>
      <c r="DG40753" s="256"/>
    </row>
    <row r="40754" spans="104:111">
      <c r="CZ40754" s="256"/>
      <c r="DG40754" s="256"/>
    </row>
    <row r="40755" spans="104:111">
      <c r="CZ40755" s="256"/>
      <c r="DG40755" s="256"/>
    </row>
    <row r="40756" spans="104:111">
      <c r="CZ40756" s="256"/>
      <c r="DG40756" s="256"/>
    </row>
    <row r="40757" spans="104:111">
      <c r="CZ40757" s="256"/>
      <c r="DG40757" s="256"/>
    </row>
    <row r="40758" spans="104:111">
      <c r="CZ40758" s="256"/>
      <c r="DG40758" s="256"/>
    </row>
    <row r="40759" spans="104:111">
      <c r="CZ40759" s="256"/>
      <c r="DG40759" s="256"/>
    </row>
    <row r="40760" spans="104:111">
      <c r="CZ40760" s="256"/>
      <c r="DG40760" s="256"/>
    </row>
    <row r="40761" spans="104:111">
      <c r="CZ40761" s="256"/>
      <c r="DG40761" s="256"/>
    </row>
    <row r="40762" spans="104:111">
      <c r="CZ40762" s="256"/>
      <c r="DG40762" s="256"/>
    </row>
    <row r="40763" spans="104:111">
      <c r="CZ40763" s="256"/>
      <c r="DG40763" s="256"/>
    </row>
    <row r="40764" spans="104:111">
      <c r="CZ40764" s="256"/>
      <c r="DG40764" s="256"/>
    </row>
    <row r="40765" spans="104:111">
      <c r="CZ40765" s="256"/>
      <c r="DG40765" s="256"/>
    </row>
    <row r="40766" spans="104:111">
      <c r="CZ40766" s="256"/>
      <c r="DG40766" s="256"/>
    </row>
    <row r="40767" spans="104:111">
      <c r="CZ40767" s="256"/>
      <c r="DG40767" s="256"/>
    </row>
    <row r="40768" spans="104:111">
      <c r="CZ40768" s="256"/>
      <c r="DG40768" s="256"/>
    </row>
    <row r="40769" spans="104:111">
      <c r="CZ40769" s="256"/>
      <c r="DG40769" s="256"/>
    </row>
    <row r="40770" spans="104:111">
      <c r="CZ40770" s="256"/>
      <c r="DG40770" s="256"/>
    </row>
    <row r="40771" spans="104:111">
      <c r="CZ40771" s="256"/>
      <c r="DG40771" s="256"/>
    </row>
    <row r="40772" spans="104:111">
      <c r="CZ40772" s="256"/>
      <c r="DG40772" s="256"/>
    </row>
    <row r="40773" spans="104:111">
      <c r="CZ40773" s="256"/>
      <c r="DG40773" s="256"/>
    </row>
    <row r="40774" spans="104:111">
      <c r="CZ40774" s="256"/>
      <c r="DG40774" s="256"/>
    </row>
    <row r="40775" spans="104:111">
      <c r="CZ40775" s="256"/>
      <c r="DG40775" s="256"/>
    </row>
    <row r="40776" spans="104:111">
      <c r="CZ40776" s="256"/>
      <c r="DG40776" s="256"/>
    </row>
    <row r="40777" spans="104:111">
      <c r="CZ40777" s="256"/>
      <c r="DG40777" s="256"/>
    </row>
    <row r="40778" spans="104:111">
      <c r="CZ40778" s="256"/>
      <c r="DG40778" s="256"/>
    </row>
    <row r="40779" spans="104:111">
      <c r="CZ40779" s="256"/>
      <c r="DG40779" s="256"/>
    </row>
    <row r="40780" spans="104:111">
      <c r="CZ40780" s="256"/>
      <c r="DG40780" s="256"/>
    </row>
    <row r="40781" spans="104:111">
      <c r="CZ40781" s="256"/>
      <c r="DG40781" s="256"/>
    </row>
    <row r="40782" spans="104:111">
      <c r="CZ40782" s="256"/>
      <c r="DG40782" s="256"/>
    </row>
    <row r="40783" spans="104:111">
      <c r="CZ40783" s="256"/>
      <c r="DG40783" s="256"/>
    </row>
    <row r="40784" spans="104:111">
      <c r="CZ40784" s="256"/>
      <c r="DG40784" s="256"/>
    </row>
    <row r="40785" spans="104:111">
      <c r="CZ40785" s="256"/>
      <c r="DG40785" s="256"/>
    </row>
    <row r="40786" spans="104:111">
      <c r="CZ40786" s="256"/>
      <c r="DG40786" s="256"/>
    </row>
    <row r="40787" spans="104:111">
      <c r="CZ40787" s="256"/>
      <c r="DG40787" s="256"/>
    </row>
    <row r="40788" spans="104:111">
      <c r="CZ40788" s="256"/>
      <c r="DG40788" s="256"/>
    </row>
    <row r="40789" spans="104:111">
      <c r="CZ40789" s="256"/>
      <c r="DG40789" s="256"/>
    </row>
    <row r="40790" spans="104:111">
      <c r="CZ40790" s="256"/>
      <c r="DG40790" s="256"/>
    </row>
    <row r="40791" spans="104:111">
      <c r="CZ40791" s="256"/>
      <c r="DG40791" s="256"/>
    </row>
    <row r="40792" spans="104:111">
      <c r="CZ40792" s="256"/>
      <c r="DG40792" s="256"/>
    </row>
    <row r="40793" spans="104:111">
      <c r="CZ40793" s="256"/>
      <c r="DG40793" s="256"/>
    </row>
    <row r="40794" spans="104:111">
      <c r="CZ40794" s="256"/>
      <c r="DG40794" s="256"/>
    </row>
    <row r="40795" spans="104:111">
      <c r="CZ40795" s="256"/>
      <c r="DG40795" s="256"/>
    </row>
    <row r="40796" spans="104:111">
      <c r="CZ40796" s="256"/>
      <c r="DG40796" s="256"/>
    </row>
    <row r="40797" spans="104:111">
      <c r="CZ40797" s="256"/>
      <c r="DG40797" s="256"/>
    </row>
    <row r="40798" spans="104:111">
      <c r="CZ40798" s="256"/>
      <c r="DG40798" s="256"/>
    </row>
    <row r="40799" spans="104:111">
      <c r="CZ40799" s="256"/>
      <c r="DG40799" s="256"/>
    </row>
    <row r="40800" spans="104:111">
      <c r="CZ40800" s="256"/>
      <c r="DG40800" s="256"/>
    </row>
    <row r="40801" spans="104:111">
      <c r="CZ40801" s="256"/>
      <c r="DG40801" s="256"/>
    </row>
    <row r="40802" spans="104:111">
      <c r="CZ40802" s="256"/>
      <c r="DG40802" s="256"/>
    </row>
    <row r="40803" spans="104:111">
      <c r="CZ40803" s="256"/>
      <c r="DG40803" s="256"/>
    </row>
    <row r="40804" spans="104:111">
      <c r="CZ40804" s="256"/>
      <c r="DG40804" s="256"/>
    </row>
    <row r="40805" spans="104:111">
      <c r="CZ40805" s="256"/>
      <c r="DG40805" s="256"/>
    </row>
    <row r="40806" spans="104:111">
      <c r="CZ40806" s="256"/>
      <c r="DG40806" s="256"/>
    </row>
    <row r="40807" spans="104:111">
      <c r="CZ40807" s="256"/>
      <c r="DG40807" s="256"/>
    </row>
    <row r="40808" spans="104:111">
      <c r="CZ40808" s="256"/>
      <c r="DG40808" s="256"/>
    </row>
    <row r="40809" spans="104:111">
      <c r="CZ40809" s="256"/>
      <c r="DG40809" s="256"/>
    </row>
    <row r="40810" spans="104:111">
      <c r="CZ40810" s="256"/>
      <c r="DG40810" s="256"/>
    </row>
    <row r="40811" spans="104:111">
      <c r="CZ40811" s="256"/>
      <c r="DG40811" s="256"/>
    </row>
    <row r="40812" spans="104:111">
      <c r="CZ40812" s="256"/>
      <c r="DG40812" s="256"/>
    </row>
    <row r="40813" spans="104:111">
      <c r="CZ40813" s="256"/>
      <c r="DG40813" s="256"/>
    </row>
    <row r="40814" spans="104:111">
      <c r="CZ40814" s="256"/>
      <c r="DG40814" s="256"/>
    </row>
    <row r="40815" spans="104:111">
      <c r="CZ40815" s="256"/>
      <c r="DG40815" s="256"/>
    </row>
    <row r="40816" spans="104:111">
      <c r="CZ40816" s="256"/>
      <c r="DG40816" s="256"/>
    </row>
    <row r="40817" spans="104:111">
      <c r="CZ40817" s="256"/>
      <c r="DG40817" s="256"/>
    </row>
    <row r="40818" spans="104:111">
      <c r="CZ40818" s="256"/>
      <c r="DG40818" s="256"/>
    </row>
    <row r="40819" spans="104:111">
      <c r="CZ40819" s="256"/>
      <c r="DG40819" s="256"/>
    </row>
    <row r="40820" spans="104:111">
      <c r="CZ40820" s="256"/>
      <c r="DG40820" s="256"/>
    </row>
    <row r="40821" spans="104:111">
      <c r="CZ40821" s="256"/>
      <c r="DG40821" s="256"/>
    </row>
    <row r="40822" spans="104:111">
      <c r="CZ40822" s="256"/>
      <c r="DG40822" s="256"/>
    </row>
    <row r="40823" spans="104:111">
      <c r="CZ40823" s="256"/>
      <c r="DG40823" s="256"/>
    </row>
    <row r="40824" spans="104:111">
      <c r="CZ40824" s="256"/>
      <c r="DG40824" s="256"/>
    </row>
    <row r="40825" spans="104:111">
      <c r="CZ40825" s="256"/>
      <c r="DG40825" s="256"/>
    </row>
    <row r="40826" spans="104:111">
      <c r="CZ40826" s="256"/>
      <c r="DG40826" s="256"/>
    </row>
    <row r="40827" spans="104:111">
      <c r="CZ40827" s="256"/>
      <c r="DG40827" s="256"/>
    </row>
    <row r="40828" spans="104:111">
      <c r="CZ40828" s="256"/>
      <c r="DG40828" s="256"/>
    </row>
    <row r="40829" spans="104:111">
      <c r="CZ40829" s="256"/>
      <c r="DG40829" s="256"/>
    </row>
    <row r="40830" spans="104:111">
      <c r="CZ40830" s="256"/>
      <c r="DG40830" s="256"/>
    </row>
    <row r="40831" spans="104:111">
      <c r="CZ40831" s="256"/>
      <c r="DG40831" s="256"/>
    </row>
    <row r="40832" spans="104:111">
      <c r="CZ40832" s="256"/>
      <c r="DG40832" s="256"/>
    </row>
    <row r="40833" spans="104:111">
      <c r="CZ40833" s="256"/>
      <c r="DG40833" s="256"/>
    </row>
    <row r="40834" spans="104:111">
      <c r="CZ40834" s="256"/>
      <c r="DG40834" s="256"/>
    </row>
    <row r="40835" spans="104:111">
      <c r="CZ40835" s="256"/>
      <c r="DG40835" s="256"/>
    </row>
    <row r="40836" spans="104:111">
      <c r="CZ40836" s="256"/>
      <c r="DG40836" s="256"/>
    </row>
    <row r="40837" spans="104:111">
      <c r="CZ40837" s="256"/>
      <c r="DG40837" s="256"/>
    </row>
    <row r="40838" spans="104:111">
      <c r="CZ40838" s="256"/>
      <c r="DG40838" s="256"/>
    </row>
    <row r="40839" spans="104:111">
      <c r="CZ40839" s="256"/>
      <c r="DG40839" s="256"/>
    </row>
    <row r="40840" spans="104:111">
      <c r="CZ40840" s="256"/>
      <c r="DG40840" s="256"/>
    </row>
    <row r="40841" spans="104:111">
      <c r="CZ40841" s="256"/>
      <c r="DG40841" s="256"/>
    </row>
    <row r="40842" spans="104:111">
      <c r="CZ40842" s="256"/>
      <c r="DG40842" s="256"/>
    </row>
    <row r="40843" spans="104:111">
      <c r="CZ40843" s="256"/>
      <c r="DG40843" s="256"/>
    </row>
    <row r="40844" spans="104:111">
      <c r="CZ40844" s="256"/>
      <c r="DG40844" s="256"/>
    </row>
    <row r="40845" spans="104:111">
      <c r="CZ40845" s="256"/>
      <c r="DG40845" s="256"/>
    </row>
    <row r="40846" spans="104:111">
      <c r="CZ40846" s="256"/>
      <c r="DG40846" s="256"/>
    </row>
    <row r="40847" spans="104:111">
      <c r="CZ40847" s="256"/>
      <c r="DG40847" s="256"/>
    </row>
    <row r="40848" spans="104:111">
      <c r="CZ40848" s="256"/>
      <c r="DG40848" s="256"/>
    </row>
    <row r="40849" spans="104:111">
      <c r="CZ40849" s="256"/>
      <c r="DG40849" s="256"/>
    </row>
    <row r="40850" spans="104:111">
      <c r="CZ40850" s="256"/>
      <c r="DG40850" s="256"/>
    </row>
    <row r="40851" spans="104:111">
      <c r="CZ40851" s="256"/>
      <c r="DG40851" s="256"/>
    </row>
    <row r="40852" spans="104:111">
      <c r="CZ40852" s="256"/>
      <c r="DG40852" s="256"/>
    </row>
    <row r="40853" spans="104:111">
      <c r="CZ40853" s="256"/>
      <c r="DG40853" s="256"/>
    </row>
    <row r="40854" spans="104:111">
      <c r="CZ40854" s="256"/>
      <c r="DG40854" s="256"/>
    </row>
    <row r="40855" spans="104:111">
      <c r="CZ40855" s="256"/>
      <c r="DG40855" s="256"/>
    </row>
    <row r="40856" spans="104:111">
      <c r="CZ40856" s="256"/>
      <c r="DG40856" s="256"/>
    </row>
    <row r="40857" spans="104:111">
      <c r="CZ40857" s="256"/>
      <c r="DG40857" s="256"/>
    </row>
    <row r="40858" spans="104:111">
      <c r="CZ40858" s="256"/>
      <c r="DG40858" s="256"/>
    </row>
    <row r="40859" spans="104:111">
      <c r="CZ40859" s="256"/>
      <c r="DG40859" s="256"/>
    </row>
    <row r="40860" spans="104:111">
      <c r="CZ40860" s="256"/>
      <c r="DG40860" s="256"/>
    </row>
    <row r="40861" spans="104:111">
      <c r="CZ40861" s="256"/>
      <c r="DG40861" s="256"/>
    </row>
    <row r="40862" spans="104:111">
      <c r="CZ40862" s="256"/>
      <c r="DG40862" s="256"/>
    </row>
    <row r="40863" spans="104:111">
      <c r="CZ40863" s="256"/>
      <c r="DG40863" s="256"/>
    </row>
    <row r="40864" spans="104:111">
      <c r="CZ40864" s="256"/>
      <c r="DG40864" s="256"/>
    </row>
    <row r="40865" spans="104:111">
      <c r="CZ40865" s="256"/>
      <c r="DG40865" s="256"/>
    </row>
    <row r="40866" spans="104:111">
      <c r="CZ40866" s="256"/>
      <c r="DG40866" s="256"/>
    </row>
    <row r="40867" spans="104:111">
      <c r="CZ40867" s="256"/>
      <c r="DG40867" s="256"/>
    </row>
    <row r="40868" spans="104:111">
      <c r="CZ40868" s="256"/>
      <c r="DG40868" s="256"/>
    </row>
    <row r="40869" spans="104:111">
      <c r="CZ40869" s="256"/>
      <c r="DG40869" s="256"/>
    </row>
    <row r="40870" spans="104:111">
      <c r="CZ40870" s="256"/>
      <c r="DG40870" s="256"/>
    </row>
    <row r="40871" spans="104:111">
      <c r="CZ40871" s="256"/>
      <c r="DG40871" s="256"/>
    </row>
    <row r="40872" spans="104:111">
      <c r="CZ40872" s="256"/>
      <c r="DG40872" s="256"/>
    </row>
    <row r="40873" spans="104:111">
      <c r="CZ40873" s="256"/>
      <c r="DG40873" s="256"/>
    </row>
    <row r="40874" spans="104:111">
      <c r="CZ40874" s="256"/>
      <c r="DG40874" s="256"/>
    </row>
    <row r="40875" spans="104:111">
      <c r="CZ40875" s="256"/>
      <c r="DG40875" s="256"/>
    </row>
    <row r="40876" spans="104:111">
      <c r="CZ40876" s="256"/>
      <c r="DG40876" s="256"/>
    </row>
    <row r="40877" spans="104:111">
      <c r="CZ40877" s="256"/>
      <c r="DG40877" s="256"/>
    </row>
    <row r="40878" spans="104:111">
      <c r="CZ40878" s="256"/>
      <c r="DG40878" s="256"/>
    </row>
    <row r="40879" spans="104:111">
      <c r="CZ40879" s="256"/>
      <c r="DG40879" s="256"/>
    </row>
    <row r="40880" spans="104:111">
      <c r="CZ40880" s="256"/>
      <c r="DG40880" s="256"/>
    </row>
    <row r="40881" spans="104:111">
      <c r="CZ40881" s="256"/>
      <c r="DG40881" s="256"/>
    </row>
    <row r="40882" spans="104:111">
      <c r="CZ40882" s="256"/>
      <c r="DG40882" s="256"/>
    </row>
    <row r="40883" spans="104:111">
      <c r="CZ40883" s="256"/>
      <c r="DG40883" s="256"/>
    </row>
    <row r="40884" spans="104:111">
      <c r="CZ40884" s="256"/>
      <c r="DG40884" s="256"/>
    </row>
    <row r="40885" spans="104:111">
      <c r="CZ40885" s="256"/>
      <c r="DG40885" s="256"/>
    </row>
    <row r="40886" spans="104:111">
      <c r="CZ40886" s="256"/>
      <c r="DG40886" s="256"/>
    </row>
    <row r="40887" spans="104:111">
      <c r="CZ40887" s="256"/>
      <c r="DG40887" s="256"/>
    </row>
    <row r="40888" spans="104:111">
      <c r="CZ40888" s="256"/>
      <c r="DG40888" s="256"/>
    </row>
    <row r="40889" spans="104:111">
      <c r="CZ40889" s="256"/>
      <c r="DG40889" s="256"/>
    </row>
    <row r="40890" spans="104:111">
      <c r="CZ40890" s="256"/>
      <c r="DG40890" s="256"/>
    </row>
    <row r="40891" spans="104:111">
      <c r="CZ40891" s="256"/>
      <c r="DG40891" s="256"/>
    </row>
    <row r="40892" spans="104:111">
      <c r="CZ40892" s="256"/>
      <c r="DG40892" s="256"/>
    </row>
    <row r="40893" spans="104:111">
      <c r="CZ40893" s="256"/>
      <c r="DG40893" s="256"/>
    </row>
    <row r="40894" spans="104:111">
      <c r="CZ40894" s="256"/>
      <c r="DG40894" s="256"/>
    </row>
    <row r="40895" spans="104:111">
      <c r="CZ40895" s="256"/>
      <c r="DG40895" s="256"/>
    </row>
    <row r="40896" spans="104:111">
      <c r="CZ40896" s="256"/>
      <c r="DG40896" s="256"/>
    </row>
    <row r="40897" spans="104:111">
      <c r="CZ40897" s="256"/>
      <c r="DG40897" s="256"/>
    </row>
    <row r="40898" spans="104:111">
      <c r="CZ40898" s="256"/>
      <c r="DG40898" s="256"/>
    </row>
    <row r="40899" spans="104:111">
      <c r="CZ40899" s="256"/>
      <c r="DG40899" s="256"/>
    </row>
    <row r="40900" spans="104:111">
      <c r="CZ40900" s="256"/>
      <c r="DG40900" s="256"/>
    </row>
    <row r="40901" spans="104:111">
      <c r="CZ40901" s="256"/>
      <c r="DG40901" s="256"/>
    </row>
    <row r="40902" spans="104:111">
      <c r="CZ40902" s="256"/>
      <c r="DG40902" s="256"/>
    </row>
    <row r="40903" spans="104:111">
      <c r="CZ40903" s="256"/>
      <c r="DG40903" s="256"/>
    </row>
    <row r="40904" spans="104:111">
      <c r="CZ40904" s="256"/>
      <c r="DG40904" s="256"/>
    </row>
    <row r="40905" spans="104:111">
      <c r="CZ40905" s="256"/>
      <c r="DG40905" s="256"/>
    </row>
    <row r="40906" spans="104:111">
      <c r="CZ40906" s="256"/>
      <c r="DG40906" s="256"/>
    </row>
    <row r="40907" spans="104:111">
      <c r="CZ40907" s="256"/>
      <c r="DG40907" s="256"/>
    </row>
    <row r="40908" spans="104:111">
      <c r="CZ40908" s="256"/>
      <c r="DG40908" s="256"/>
    </row>
    <row r="40909" spans="104:111">
      <c r="CZ40909" s="256"/>
      <c r="DG40909" s="256"/>
    </row>
    <row r="40910" spans="104:111">
      <c r="CZ40910" s="256"/>
      <c r="DG40910" s="256"/>
    </row>
    <row r="40911" spans="104:111">
      <c r="CZ40911" s="256"/>
      <c r="DG40911" s="256"/>
    </row>
    <row r="40912" spans="104:111">
      <c r="CZ40912" s="256"/>
      <c r="DG40912" s="256"/>
    </row>
    <row r="40913" spans="104:111">
      <c r="CZ40913" s="256"/>
      <c r="DG40913" s="256"/>
    </row>
    <row r="40914" spans="104:111">
      <c r="CZ40914" s="256"/>
      <c r="DG40914" s="256"/>
    </row>
    <row r="40915" spans="104:111">
      <c r="CZ40915" s="256"/>
      <c r="DG40915" s="256"/>
    </row>
    <row r="40916" spans="104:111">
      <c r="CZ40916" s="256"/>
      <c r="DG40916" s="256"/>
    </row>
    <row r="40917" spans="104:111">
      <c r="CZ40917" s="256"/>
      <c r="DG40917" s="256"/>
    </row>
    <row r="40918" spans="104:111">
      <c r="CZ40918" s="256"/>
      <c r="DG40918" s="256"/>
    </row>
    <row r="40919" spans="104:111">
      <c r="CZ40919" s="256"/>
      <c r="DG40919" s="256"/>
    </row>
    <row r="40920" spans="104:111">
      <c r="CZ40920" s="256"/>
      <c r="DG40920" s="256"/>
    </row>
    <row r="40921" spans="104:111">
      <c r="CZ40921" s="256"/>
      <c r="DG40921" s="256"/>
    </row>
    <row r="40922" spans="104:111">
      <c r="CZ40922" s="256"/>
      <c r="DG40922" s="256"/>
    </row>
    <row r="40923" spans="104:111">
      <c r="CZ40923" s="256"/>
      <c r="DG40923" s="256"/>
    </row>
    <row r="40924" spans="104:111">
      <c r="CZ40924" s="256"/>
      <c r="DG40924" s="256"/>
    </row>
    <row r="40925" spans="104:111">
      <c r="CZ40925" s="256"/>
      <c r="DG40925" s="256"/>
    </row>
    <row r="40926" spans="104:111">
      <c r="CZ40926" s="256"/>
      <c r="DG40926" s="256"/>
    </row>
    <row r="40927" spans="104:111">
      <c r="CZ40927" s="256"/>
      <c r="DG40927" s="256"/>
    </row>
    <row r="40928" spans="104:111">
      <c r="CZ40928" s="256"/>
      <c r="DG40928" s="256"/>
    </row>
    <row r="40929" spans="104:111">
      <c r="CZ40929" s="256"/>
      <c r="DG40929" s="256"/>
    </row>
    <row r="40930" spans="104:111">
      <c r="CZ40930" s="256"/>
      <c r="DG40930" s="256"/>
    </row>
    <row r="40931" spans="104:111">
      <c r="CZ40931" s="256"/>
      <c r="DG40931" s="256"/>
    </row>
    <row r="40932" spans="104:111">
      <c r="CZ40932" s="256"/>
      <c r="DG40932" s="256"/>
    </row>
    <row r="40933" spans="104:111">
      <c r="CZ40933" s="256"/>
      <c r="DG40933" s="256"/>
    </row>
    <row r="40934" spans="104:111">
      <c r="CZ40934" s="256"/>
      <c r="DG40934" s="256"/>
    </row>
    <row r="40935" spans="104:111">
      <c r="CZ40935" s="256"/>
      <c r="DG40935" s="256"/>
    </row>
    <row r="40936" spans="104:111">
      <c r="CZ40936" s="256"/>
      <c r="DG40936" s="256"/>
    </row>
    <row r="40937" spans="104:111">
      <c r="CZ40937" s="256"/>
      <c r="DG40937" s="256"/>
    </row>
    <row r="40938" spans="104:111">
      <c r="CZ40938" s="256"/>
      <c r="DG40938" s="256"/>
    </row>
    <row r="40939" spans="104:111">
      <c r="CZ40939" s="256"/>
      <c r="DG40939" s="256"/>
    </row>
    <row r="40940" spans="104:111">
      <c r="CZ40940" s="256"/>
      <c r="DG40940" s="256"/>
    </row>
    <row r="40941" spans="104:111">
      <c r="CZ40941" s="256"/>
      <c r="DG40941" s="256"/>
    </row>
    <row r="40942" spans="104:111">
      <c r="CZ40942" s="256"/>
      <c r="DG40942" s="256"/>
    </row>
    <row r="40943" spans="104:111">
      <c r="CZ40943" s="256"/>
      <c r="DG40943" s="256"/>
    </row>
    <row r="40944" spans="104:111">
      <c r="CZ40944" s="256"/>
      <c r="DG40944" s="256"/>
    </row>
    <row r="40945" spans="104:111">
      <c r="CZ40945" s="256"/>
      <c r="DG40945" s="256"/>
    </row>
    <row r="40946" spans="104:111">
      <c r="CZ40946" s="256"/>
      <c r="DG40946" s="256"/>
    </row>
    <row r="40947" spans="104:111">
      <c r="CZ40947" s="256"/>
      <c r="DG40947" s="256"/>
    </row>
    <row r="40948" spans="104:111">
      <c r="CZ40948" s="256"/>
      <c r="DG40948" s="256"/>
    </row>
    <row r="40949" spans="104:111">
      <c r="CZ40949" s="256"/>
      <c r="DG40949" s="256"/>
    </row>
    <row r="40950" spans="104:111">
      <c r="CZ40950" s="256"/>
      <c r="DG40950" s="256"/>
    </row>
    <row r="40951" spans="104:111">
      <c r="CZ40951" s="256"/>
      <c r="DG40951" s="256"/>
    </row>
    <row r="40952" spans="104:111">
      <c r="CZ40952" s="256"/>
      <c r="DG40952" s="256"/>
    </row>
    <row r="40953" spans="104:111">
      <c r="CZ40953" s="256"/>
      <c r="DG40953" s="256"/>
    </row>
    <row r="40954" spans="104:111">
      <c r="CZ40954" s="256"/>
      <c r="DG40954" s="256"/>
    </row>
    <row r="40955" spans="104:111">
      <c r="CZ40955" s="256"/>
      <c r="DG40955" s="256"/>
    </row>
    <row r="40956" spans="104:111">
      <c r="CZ40956" s="256"/>
      <c r="DG40956" s="256"/>
    </row>
    <row r="40957" spans="104:111">
      <c r="CZ40957" s="256"/>
      <c r="DG40957" s="256"/>
    </row>
    <row r="40958" spans="104:111">
      <c r="CZ40958" s="256"/>
      <c r="DG40958" s="256"/>
    </row>
    <row r="40959" spans="104:111">
      <c r="CZ40959" s="256"/>
      <c r="DG40959" s="256"/>
    </row>
    <row r="40960" spans="104:111">
      <c r="CZ40960" s="256"/>
      <c r="DG40960" s="256"/>
    </row>
    <row r="40961" spans="104:111">
      <c r="CZ40961" s="256"/>
      <c r="DG40961" s="256"/>
    </row>
    <row r="40962" spans="104:111">
      <c r="CZ40962" s="256"/>
      <c r="DG40962" s="256"/>
    </row>
    <row r="40963" spans="104:111">
      <c r="CZ40963" s="256"/>
      <c r="DG40963" s="256"/>
    </row>
    <row r="40964" spans="104:111">
      <c r="CZ40964" s="256"/>
      <c r="DG40964" s="256"/>
    </row>
    <row r="40965" spans="104:111">
      <c r="CZ40965" s="256"/>
      <c r="DG40965" s="256"/>
    </row>
    <row r="40966" spans="104:111">
      <c r="CZ40966" s="256"/>
      <c r="DG40966" s="256"/>
    </row>
    <row r="40967" spans="104:111">
      <c r="CZ40967" s="256"/>
      <c r="DG40967" s="256"/>
    </row>
    <row r="40968" spans="104:111">
      <c r="CZ40968" s="256"/>
      <c r="DG40968" s="256"/>
    </row>
    <row r="40969" spans="104:111">
      <c r="CZ40969" s="256"/>
      <c r="DG40969" s="256"/>
    </row>
    <row r="40970" spans="104:111">
      <c r="CZ40970" s="256"/>
      <c r="DG40970" s="256"/>
    </row>
    <row r="40971" spans="104:111">
      <c r="CZ40971" s="256"/>
      <c r="DG40971" s="256"/>
    </row>
    <row r="40972" spans="104:111">
      <c r="CZ40972" s="256"/>
      <c r="DG40972" s="256"/>
    </row>
    <row r="40973" spans="104:111">
      <c r="CZ40973" s="256"/>
      <c r="DG40973" s="256"/>
    </row>
    <row r="40974" spans="104:111">
      <c r="CZ40974" s="256"/>
      <c r="DG40974" s="256"/>
    </row>
    <row r="40975" spans="104:111">
      <c r="CZ40975" s="256"/>
      <c r="DG40975" s="256"/>
    </row>
    <row r="40976" spans="104:111">
      <c r="CZ40976" s="256"/>
      <c r="DG40976" s="256"/>
    </row>
    <row r="40977" spans="104:111">
      <c r="CZ40977" s="256"/>
      <c r="DG40977" s="256"/>
    </row>
    <row r="40978" spans="104:111">
      <c r="CZ40978" s="256"/>
      <c r="DG40978" s="256"/>
    </row>
    <row r="40979" spans="104:111">
      <c r="CZ40979" s="256"/>
      <c r="DG40979" s="256"/>
    </row>
    <row r="40980" spans="104:111">
      <c r="CZ40980" s="256"/>
      <c r="DG40980" s="256"/>
    </row>
    <row r="40981" spans="104:111">
      <c r="CZ40981" s="256"/>
      <c r="DG40981" s="256"/>
    </row>
    <row r="40982" spans="104:111">
      <c r="CZ40982" s="256"/>
      <c r="DG40982" s="256"/>
    </row>
    <row r="40983" spans="104:111">
      <c r="CZ40983" s="256"/>
      <c r="DG40983" s="256"/>
    </row>
    <row r="40984" spans="104:111">
      <c r="CZ40984" s="256"/>
      <c r="DG40984" s="256"/>
    </row>
    <row r="40985" spans="104:111">
      <c r="CZ40985" s="256"/>
      <c r="DG40985" s="256"/>
    </row>
    <row r="40986" spans="104:111">
      <c r="CZ40986" s="256"/>
      <c r="DG40986" s="256"/>
    </row>
    <row r="40987" spans="104:111">
      <c r="CZ40987" s="256"/>
      <c r="DG40987" s="256"/>
    </row>
    <row r="40988" spans="104:111">
      <c r="CZ40988" s="256"/>
      <c r="DG40988" s="256"/>
    </row>
    <row r="40989" spans="104:111">
      <c r="CZ40989" s="256"/>
      <c r="DG40989" s="256"/>
    </row>
    <row r="40990" spans="104:111">
      <c r="CZ40990" s="256"/>
      <c r="DG40990" s="256"/>
    </row>
    <row r="40991" spans="104:111">
      <c r="CZ40991" s="256"/>
      <c r="DG40991" s="256"/>
    </row>
    <row r="40992" spans="104:111">
      <c r="CZ40992" s="256"/>
      <c r="DG40992" s="256"/>
    </row>
    <row r="40993" spans="104:111">
      <c r="CZ40993" s="256"/>
      <c r="DG40993" s="256"/>
    </row>
    <row r="40994" spans="104:111">
      <c r="CZ40994" s="256"/>
      <c r="DG40994" s="256"/>
    </row>
    <row r="40995" spans="104:111">
      <c r="CZ40995" s="256"/>
      <c r="DG40995" s="256"/>
    </row>
    <row r="40996" spans="104:111">
      <c r="CZ40996" s="256"/>
      <c r="DG40996" s="256"/>
    </row>
    <row r="40997" spans="104:111">
      <c r="CZ40997" s="256"/>
      <c r="DG40997" s="256"/>
    </row>
    <row r="40998" spans="104:111">
      <c r="CZ40998" s="256"/>
      <c r="DG40998" s="256"/>
    </row>
    <row r="40999" spans="104:111">
      <c r="CZ40999" s="256"/>
      <c r="DG40999" s="256"/>
    </row>
    <row r="41000" spans="104:111">
      <c r="CZ41000" s="256"/>
      <c r="DG41000" s="256"/>
    </row>
    <row r="41001" spans="104:111">
      <c r="CZ41001" s="256"/>
      <c r="DG41001" s="256"/>
    </row>
    <row r="41002" spans="104:111">
      <c r="CZ41002" s="256"/>
      <c r="DG41002" s="256"/>
    </row>
    <row r="41003" spans="104:111">
      <c r="CZ41003" s="256"/>
      <c r="DG41003" s="256"/>
    </row>
    <row r="41004" spans="104:111">
      <c r="CZ41004" s="256"/>
      <c r="DG41004" s="256"/>
    </row>
    <row r="41005" spans="104:111">
      <c r="CZ41005" s="256"/>
      <c r="DG41005" s="256"/>
    </row>
    <row r="41006" spans="104:111">
      <c r="CZ41006" s="256"/>
      <c r="DG41006" s="256"/>
    </row>
    <row r="41007" spans="104:111">
      <c r="CZ41007" s="256"/>
      <c r="DG41007" s="256"/>
    </row>
    <row r="41008" spans="104:111">
      <c r="CZ41008" s="256"/>
      <c r="DG41008" s="256"/>
    </row>
    <row r="41009" spans="104:111">
      <c r="CZ41009" s="256"/>
      <c r="DG41009" s="256"/>
    </row>
    <row r="41010" spans="104:111">
      <c r="CZ41010" s="256"/>
      <c r="DG41010" s="256"/>
    </row>
    <row r="41011" spans="104:111">
      <c r="CZ41011" s="256"/>
      <c r="DG41011" s="256"/>
    </row>
    <row r="41012" spans="104:111">
      <c r="CZ41012" s="256"/>
      <c r="DG41012" s="256"/>
    </row>
    <row r="41013" spans="104:111">
      <c r="CZ41013" s="256"/>
      <c r="DG41013" s="256"/>
    </row>
    <row r="41014" spans="104:111">
      <c r="CZ41014" s="256"/>
      <c r="DG41014" s="256"/>
    </row>
    <row r="41015" spans="104:111">
      <c r="CZ41015" s="256"/>
      <c r="DG41015" s="256"/>
    </row>
    <row r="41016" spans="104:111">
      <c r="CZ41016" s="256"/>
      <c r="DG41016" s="256"/>
    </row>
    <row r="41017" spans="104:111">
      <c r="CZ41017" s="256"/>
      <c r="DG41017" s="256"/>
    </row>
    <row r="41018" spans="104:111">
      <c r="CZ41018" s="256"/>
      <c r="DG41018" s="256"/>
    </row>
    <row r="41019" spans="104:111">
      <c r="CZ41019" s="256"/>
      <c r="DG41019" s="256"/>
    </row>
    <row r="41020" spans="104:111">
      <c r="CZ41020" s="256"/>
      <c r="DG41020" s="256"/>
    </row>
    <row r="41021" spans="104:111">
      <c r="CZ41021" s="256"/>
      <c r="DG41021" s="256"/>
    </row>
    <row r="41022" spans="104:111">
      <c r="CZ41022" s="256"/>
      <c r="DG41022" s="256"/>
    </row>
    <row r="41023" spans="104:111">
      <c r="CZ41023" s="256"/>
      <c r="DG41023" s="256"/>
    </row>
    <row r="41024" spans="104:111">
      <c r="CZ41024" s="256"/>
      <c r="DG41024" s="256"/>
    </row>
    <row r="41025" spans="104:111">
      <c r="CZ41025" s="256"/>
      <c r="DG41025" s="256"/>
    </row>
    <row r="41026" spans="104:111">
      <c r="CZ41026" s="256"/>
      <c r="DG41026" s="256"/>
    </row>
    <row r="41027" spans="104:111">
      <c r="CZ41027" s="256"/>
      <c r="DG41027" s="256"/>
    </row>
    <row r="41028" spans="104:111">
      <c r="CZ41028" s="256"/>
      <c r="DG41028" s="256"/>
    </row>
    <row r="41029" spans="104:111">
      <c r="CZ41029" s="256"/>
      <c r="DG41029" s="256"/>
    </row>
    <row r="41030" spans="104:111">
      <c r="CZ41030" s="256"/>
      <c r="DG41030" s="256"/>
    </row>
    <row r="41031" spans="104:111">
      <c r="CZ41031" s="256"/>
      <c r="DG41031" s="256"/>
    </row>
    <row r="41032" spans="104:111">
      <c r="CZ41032" s="256"/>
      <c r="DG41032" s="256"/>
    </row>
    <row r="41033" spans="104:111">
      <c r="CZ41033" s="256"/>
      <c r="DG41033" s="256"/>
    </row>
    <row r="41034" spans="104:111">
      <c r="CZ41034" s="256"/>
      <c r="DG41034" s="256"/>
    </row>
    <row r="41035" spans="104:111">
      <c r="CZ41035" s="256"/>
      <c r="DG41035" s="256"/>
    </row>
    <row r="41036" spans="104:111">
      <c r="CZ41036" s="256"/>
      <c r="DG41036" s="256"/>
    </row>
    <row r="41037" spans="104:111">
      <c r="CZ41037" s="256"/>
      <c r="DG41037" s="256"/>
    </row>
    <row r="41038" spans="104:111">
      <c r="CZ41038" s="256"/>
      <c r="DG41038" s="256"/>
    </row>
    <row r="41039" spans="104:111">
      <c r="CZ41039" s="256"/>
      <c r="DG41039" s="256"/>
    </row>
    <row r="41040" spans="104:111">
      <c r="CZ41040" s="256"/>
      <c r="DG41040" s="256"/>
    </row>
    <row r="41041" spans="104:111">
      <c r="CZ41041" s="256"/>
      <c r="DG41041" s="256"/>
    </row>
    <row r="41042" spans="104:111">
      <c r="CZ41042" s="256"/>
      <c r="DG41042" s="256"/>
    </row>
    <row r="41043" spans="104:111">
      <c r="CZ41043" s="256"/>
      <c r="DG41043" s="256"/>
    </row>
    <row r="41044" spans="104:111">
      <c r="CZ41044" s="256"/>
      <c r="DG41044" s="256"/>
    </row>
    <row r="41045" spans="104:111">
      <c r="CZ41045" s="256"/>
      <c r="DG41045" s="256"/>
    </row>
    <row r="41046" spans="104:111">
      <c r="CZ41046" s="256"/>
      <c r="DG41046" s="256"/>
    </row>
    <row r="41047" spans="104:111">
      <c r="CZ41047" s="256"/>
      <c r="DG41047" s="256"/>
    </row>
    <row r="41048" spans="104:111">
      <c r="CZ41048" s="256"/>
      <c r="DG41048" s="256"/>
    </row>
    <row r="41049" spans="104:111">
      <c r="CZ41049" s="256"/>
      <c r="DG41049" s="256"/>
    </row>
    <row r="41050" spans="104:111">
      <c r="CZ41050" s="256"/>
      <c r="DG41050" s="256"/>
    </row>
    <row r="41051" spans="104:111">
      <c r="CZ41051" s="256"/>
      <c r="DG41051" s="256"/>
    </row>
    <row r="41052" spans="104:111">
      <c r="CZ41052" s="256"/>
      <c r="DG41052" s="256"/>
    </row>
    <row r="41053" spans="104:111">
      <c r="CZ41053" s="256"/>
      <c r="DG41053" s="256"/>
    </row>
    <row r="41054" spans="104:111">
      <c r="CZ41054" s="256"/>
      <c r="DG41054" s="256"/>
    </row>
    <row r="41055" spans="104:111">
      <c r="CZ41055" s="256"/>
      <c r="DG41055" s="256"/>
    </row>
    <row r="41056" spans="104:111">
      <c r="CZ41056" s="256"/>
      <c r="DG41056" s="256"/>
    </row>
    <row r="41057" spans="104:111">
      <c r="CZ41057" s="256"/>
      <c r="DG41057" s="256"/>
    </row>
    <row r="41058" spans="104:111">
      <c r="CZ41058" s="256"/>
      <c r="DG41058" s="256"/>
    </row>
    <row r="41059" spans="104:111">
      <c r="CZ41059" s="256"/>
      <c r="DG41059" s="256"/>
    </row>
    <row r="41060" spans="104:111">
      <c r="CZ41060" s="256"/>
      <c r="DG41060" s="256"/>
    </row>
    <row r="41061" spans="104:111">
      <c r="CZ41061" s="256"/>
      <c r="DG41061" s="256"/>
    </row>
    <row r="41062" spans="104:111">
      <c r="CZ41062" s="256"/>
      <c r="DG41062" s="256"/>
    </row>
    <row r="41063" spans="104:111">
      <c r="CZ41063" s="256"/>
      <c r="DG41063" s="256"/>
    </row>
    <row r="41064" spans="104:111">
      <c r="CZ41064" s="256"/>
      <c r="DG41064" s="256"/>
    </row>
    <row r="41065" spans="104:111">
      <c r="CZ41065" s="256"/>
      <c r="DG41065" s="256"/>
    </row>
    <row r="41066" spans="104:111">
      <c r="CZ41066" s="256"/>
      <c r="DG41066" s="256"/>
    </row>
    <row r="41067" spans="104:111">
      <c r="CZ41067" s="256"/>
      <c r="DG41067" s="256"/>
    </row>
    <row r="41068" spans="104:111">
      <c r="CZ41068" s="256"/>
      <c r="DG41068" s="256"/>
    </row>
    <row r="41069" spans="104:111">
      <c r="CZ41069" s="256"/>
      <c r="DG41069" s="256"/>
    </row>
    <row r="41070" spans="104:111">
      <c r="CZ41070" s="256"/>
      <c r="DG41070" s="256"/>
    </row>
    <row r="41071" spans="104:111">
      <c r="CZ41071" s="256"/>
      <c r="DG41071" s="256"/>
    </row>
    <row r="41072" spans="104:111">
      <c r="CZ41072" s="256"/>
      <c r="DG41072" s="256"/>
    </row>
    <row r="41073" spans="104:111">
      <c r="CZ41073" s="256"/>
      <c r="DG41073" s="256"/>
    </row>
    <row r="41074" spans="104:111">
      <c r="CZ41074" s="256"/>
      <c r="DG41074" s="256"/>
    </row>
    <row r="41075" spans="104:111">
      <c r="CZ41075" s="256"/>
      <c r="DG41075" s="256"/>
    </row>
    <row r="41076" spans="104:111">
      <c r="CZ41076" s="256"/>
      <c r="DG41076" s="256"/>
    </row>
    <row r="41077" spans="104:111">
      <c r="CZ41077" s="256"/>
      <c r="DG41077" s="256"/>
    </row>
    <row r="41078" spans="104:111">
      <c r="CZ41078" s="256"/>
      <c r="DG41078" s="256"/>
    </row>
    <row r="41079" spans="104:111">
      <c r="CZ41079" s="256"/>
      <c r="DG41079" s="256"/>
    </row>
    <row r="41080" spans="104:111">
      <c r="CZ41080" s="256"/>
      <c r="DG41080" s="256"/>
    </row>
    <row r="41081" spans="104:111">
      <c r="CZ41081" s="256"/>
      <c r="DG41081" s="256"/>
    </row>
    <row r="41082" spans="104:111">
      <c r="CZ41082" s="256"/>
      <c r="DG41082" s="256"/>
    </row>
    <row r="41083" spans="104:111">
      <c r="CZ41083" s="256"/>
      <c r="DG41083" s="256"/>
    </row>
    <row r="41084" spans="104:111">
      <c r="CZ41084" s="256"/>
      <c r="DG41084" s="256"/>
    </row>
    <row r="41085" spans="104:111">
      <c r="CZ41085" s="256"/>
      <c r="DG41085" s="256"/>
    </row>
    <row r="41086" spans="104:111">
      <c r="CZ41086" s="256"/>
      <c r="DG41086" s="256"/>
    </row>
    <row r="41087" spans="104:111">
      <c r="CZ41087" s="256"/>
      <c r="DG41087" s="256"/>
    </row>
    <row r="41088" spans="104:111">
      <c r="CZ41088" s="256"/>
      <c r="DG41088" s="256"/>
    </row>
    <row r="41089" spans="104:111">
      <c r="CZ41089" s="256"/>
      <c r="DG41089" s="256"/>
    </row>
    <row r="41090" spans="104:111">
      <c r="CZ41090" s="256"/>
      <c r="DG41090" s="256"/>
    </row>
    <row r="41091" spans="104:111">
      <c r="CZ41091" s="256"/>
      <c r="DG41091" s="256"/>
    </row>
    <row r="41092" spans="104:111">
      <c r="CZ41092" s="256"/>
      <c r="DG41092" s="256"/>
    </row>
    <row r="41093" spans="104:111">
      <c r="CZ41093" s="256"/>
      <c r="DG41093" s="256"/>
    </row>
    <row r="41094" spans="104:111">
      <c r="CZ41094" s="256"/>
      <c r="DG41094" s="256"/>
    </row>
    <row r="41095" spans="104:111">
      <c r="CZ41095" s="256"/>
      <c r="DG41095" s="256"/>
    </row>
    <row r="41096" spans="104:111">
      <c r="CZ41096" s="256"/>
      <c r="DG41096" s="256"/>
    </row>
    <row r="41097" spans="104:111">
      <c r="CZ41097" s="256"/>
      <c r="DG41097" s="256"/>
    </row>
    <row r="41098" spans="104:111">
      <c r="CZ41098" s="256"/>
      <c r="DG41098" s="256"/>
    </row>
    <row r="41099" spans="104:111">
      <c r="CZ41099" s="256"/>
      <c r="DG41099" s="256"/>
    </row>
    <row r="41100" spans="104:111">
      <c r="CZ41100" s="256"/>
      <c r="DG41100" s="256"/>
    </row>
    <row r="41101" spans="104:111">
      <c r="CZ41101" s="256"/>
      <c r="DG41101" s="256"/>
    </row>
    <row r="41102" spans="104:111">
      <c r="CZ41102" s="256"/>
      <c r="DG41102" s="256"/>
    </row>
    <row r="41103" spans="104:111">
      <c r="CZ41103" s="256"/>
      <c r="DG41103" s="256"/>
    </row>
    <row r="41104" spans="104:111">
      <c r="CZ41104" s="256"/>
      <c r="DG41104" s="256"/>
    </row>
    <row r="41105" spans="104:111">
      <c r="CZ41105" s="256"/>
      <c r="DG41105" s="256"/>
    </row>
    <row r="41106" spans="104:111">
      <c r="CZ41106" s="256"/>
      <c r="DG41106" s="256"/>
    </row>
    <row r="41107" spans="104:111">
      <c r="CZ41107" s="256"/>
      <c r="DG41107" s="256"/>
    </row>
    <row r="41108" spans="104:111">
      <c r="CZ41108" s="256"/>
      <c r="DG41108" s="256"/>
    </row>
    <row r="41109" spans="104:111">
      <c r="CZ41109" s="256"/>
      <c r="DG41109" s="256"/>
    </row>
    <row r="41110" spans="104:111">
      <c r="CZ41110" s="256"/>
      <c r="DG41110" s="256"/>
    </row>
    <row r="41111" spans="104:111">
      <c r="CZ41111" s="256"/>
      <c r="DG41111" s="256"/>
    </row>
    <row r="41112" spans="104:111">
      <c r="CZ41112" s="256"/>
      <c r="DG41112" s="256"/>
    </row>
    <row r="41113" spans="104:111">
      <c r="CZ41113" s="256"/>
      <c r="DG41113" s="256"/>
    </row>
    <row r="41114" spans="104:111">
      <c r="CZ41114" s="256"/>
      <c r="DG41114" s="256"/>
    </row>
    <row r="41115" spans="104:111">
      <c r="CZ41115" s="256"/>
      <c r="DG41115" s="256"/>
    </row>
    <row r="41116" spans="104:111">
      <c r="CZ41116" s="256"/>
      <c r="DG41116" s="256"/>
    </row>
    <row r="41117" spans="104:111">
      <c r="CZ41117" s="256"/>
      <c r="DG41117" s="256"/>
    </row>
    <row r="41118" spans="104:111">
      <c r="CZ41118" s="256"/>
      <c r="DG41118" s="256"/>
    </row>
    <row r="41119" spans="104:111">
      <c r="CZ41119" s="256"/>
      <c r="DG41119" s="256"/>
    </row>
    <row r="41120" spans="104:111">
      <c r="CZ41120" s="256"/>
      <c r="DG41120" s="256"/>
    </row>
    <row r="41121" spans="104:111">
      <c r="CZ41121" s="256"/>
      <c r="DG41121" s="256"/>
    </row>
    <row r="41122" spans="104:111">
      <c r="CZ41122" s="256"/>
      <c r="DG41122" s="256"/>
    </row>
    <row r="41123" spans="104:111">
      <c r="CZ41123" s="256"/>
      <c r="DG41123" s="256"/>
    </row>
    <row r="41124" spans="104:111">
      <c r="CZ41124" s="256"/>
      <c r="DG41124" s="256"/>
    </row>
    <row r="41125" spans="104:111">
      <c r="CZ41125" s="256"/>
      <c r="DG41125" s="256"/>
    </row>
    <row r="41126" spans="104:111">
      <c r="CZ41126" s="256"/>
      <c r="DG41126" s="256"/>
    </row>
    <row r="41127" spans="104:111">
      <c r="CZ41127" s="256"/>
      <c r="DG41127" s="256"/>
    </row>
    <row r="41128" spans="104:111">
      <c r="CZ41128" s="256"/>
      <c r="DG41128" s="256"/>
    </row>
    <row r="41129" spans="104:111">
      <c r="CZ41129" s="256"/>
      <c r="DG41129" s="256"/>
    </row>
    <row r="41130" spans="104:111">
      <c r="CZ41130" s="256"/>
      <c r="DG41130" s="256"/>
    </row>
    <row r="41131" spans="104:111">
      <c r="CZ41131" s="256"/>
      <c r="DG41131" s="256"/>
    </row>
    <row r="41132" spans="104:111">
      <c r="CZ41132" s="256"/>
      <c r="DG41132" s="256"/>
    </row>
    <row r="41133" spans="104:111">
      <c r="CZ41133" s="256"/>
      <c r="DG41133" s="256"/>
    </row>
    <row r="41134" spans="104:111">
      <c r="CZ41134" s="256"/>
      <c r="DG41134" s="256"/>
    </row>
    <row r="41135" spans="104:111">
      <c r="CZ41135" s="256"/>
      <c r="DG41135" s="256"/>
    </row>
    <row r="41136" spans="104:111">
      <c r="CZ41136" s="256"/>
      <c r="DG41136" s="256"/>
    </row>
    <row r="41137" spans="104:111">
      <c r="CZ41137" s="256"/>
      <c r="DG41137" s="256"/>
    </row>
    <row r="41138" spans="104:111">
      <c r="CZ41138" s="256"/>
      <c r="DG41138" s="256"/>
    </row>
    <row r="41139" spans="104:111">
      <c r="CZ41139" s="256"/>
      <c r="DG41139" s="256"/>
    </row>
    <row r="41140" spans="104:111">
      <c r="CZ41140" s="256"/>
      <c r="DG41140" s="256"/>
    </row>
    <row r="41141" spans="104:111">
      <c r="CZ41141" s="256"/>
      <c r="DG41141" s="256"/>
    </row>
    <row r="41142" spans="104:111">
      <c r="CZ41142" s="256"/>
      <c r="DG41142" s="256"/>
    </row>
    <row r="41143" spans="104:111">
      <c r="CZ41143" s="256"/>
      <c r="DG41143" s="256"/>
    </row>
    <row r="41144" spans="104:111">
      <c r="CZ41144" s="256"/>
      <c r="DG41144" s="256"/>
    </row>
    <row r="41145" spans="104:111">
      <c r="CZ41145" s="256"/>
      <c r="DG41145" s="256"/>
    </row>
    <row r="41146" spans="104:111">
      <c r="CZ41146" s="256"/>
      <c r="DG41146" s="256"/>
    </row>
    <row r="41147" spans="104:111">
      <c r="CZ41147" s="256"/>
      <c r="DG41147" s="256"/>
    </row>
    <row r="41148" spans="104:111">
      <c r="CZ41148" s="256"/>
      <c r="DG41148" s="256"/>
    </row>
    <row r="41149" spans="104:111">
      <c r="CZ41149" s="256"/>
      <c r="DG41149" s="256"/>
    </row>
    <row r="41150" spans="104:111">
      <c r="CZ41150" s="256"/>
      <c r="DG41150" s="256"/>
    </row>
    <row r="41151" spans="104:111">
      <c r="CZ41151" s="256"/>
      <c r="DG41151" s="256"/>
    </row>
    <row r="41152" spans="104:111">
      <c r="CZ41152" s="256"/>
      <c r="DG41152" s="256"/>
    </row>
    <row r="41153" spans="104:111">
      <c r="CZ41153" s="256"/>
      <c r="DG41153" s="256"/>
    </row>
    <row r="41154" spans="104:111">
      <c r="CZ41154" s="256"/>
      <c r="DG41154" s="256"/>
    </row>
    <row r="41155" spans="104:111">
      <c r="CZ41155" s="256"/>
      <c r="DG41155" s="256"/>
    </row>
    <row r="41156" spans="104:111">
      <c r="CZ41156" s="256"/>
      <c r="DG41156" s="256"/>
    </row>
    <row r="41157" spans="104:111">
      <c r="CZ41157" s="256"/>
      <c r="DG41157" s="256"/>
    </row>
    <row r="41158" spans="104:111">
      <c r="CZ41158" s="256"/>
      <c r="DG41158" s="256"/>
    </row>
    <row r="41159" spans="104:111">
      <c r="CZ41159" s="256"/>
      <c r="DG41159" s="256"/>
    </row>
    <row r="41160" spans="104:111">
      <c r="CZ41160" s="256"/>
      <c r="DG41160" s="256"/>
    </row>
    <row r="41161" spans="104:111">
      <c r="CZ41161" s="256"/>
      <c r="DG41161" s="256"/>
    </row>
    <row r="41162" spans="104:111">
      <c r="CZ41162" s="256"/>
      <c r="DG41162" s="256"/>
    </row>
    <row r="41163" spans="104:111">
      <c r="CZ41163" s="256"/>
      <c r="DG41163" s="256"/>
    </row>
    <row r="41164" spans="104:111">
      <c r="CZ41164" s="256"/>
      <c r="DG41164" s="256"/>
    </row>
    <row r="41165" spans="104:111">
      <c r="CZ41165" s="256"/>
      <c r="DG41165" s="256"/>
    </row>
    <row r="41166" spans="104:111">
      <c r="CZ41166" s="256"/>
      <c r="DG41166" s="256"/>
    </row>
    <row r="41167" spans="104:111">
      <c r="CZ41167" s="256"/>
      <c r="DG41167" s="256"/>
    </row>
    <row r="41168" spans="104:111">
      <c r="CZ41168" s="256"/>
      <c r="DG41168" s="256"/>
    </row>
    <row r="41169" spans="104:111">
      <c r="CZ41169" s="256"/>
      <c r="DG41169" s="256"/>
    </row>
    <row r="41170" spans="104:111">
      <c r="CZ41170" s="256"/>
      <c r="DG41170" s="256"/>
    </row>
    <row r="41171" spans="104:111">
      <c r="CZ41171" s="256"/>
      <c r="DG41171" s="256"/>
    </row>
    <row r="41172" spans="104:111">
      <c r="CZ41172" s="256"/>
      <c r="DG41172" s="256"/>
    </row>
    <row r="41173" spans="104:111">
      <c r="CZ41173" s="256"/>
      <c r="DG41173" s="256"/>
    </row>
    <row r="41174" spans="104:111">
      <c r="CZ41174" s="256"/>
      <c r="DG41174" s="256"/>
    </row>
    <row r="41175" spans="104:111">
      <c r="CZ41175" s="256"/>
      <c r="DG41175" s="256"/>
    </row>
    <row r="41176" spans="104:111">
      <c r="CZ41176" s="256"/>
      <c r="DG41176" s="256"/>
    </row>
    <row r="41177" spans="104:111">
      <c r="CZ41177" s="256"/>
      <c r="DG41177" s="256"/>
    </row>
    <row r="41178" spans="104:111">
      <c r="CZ41178" s="256"/>
      <c r="DG41178" s="256"/>
    </row>
    <row r="41179" spans="104:111">
      <c r="CZ41179" s="256"/>
      <c r="DG41179" s="256"/>
    </row>
    <row r="41180" spans="104:111">
      <c r="CZ41180" s="256"/>
      <c r="DG41180" s="256"/>
    </row>
    <row r="41181" spans="104:111">
      <c r="CZ41181" s="256"/>
      <c r="DG41181" s="256"/>
    </row>
    <row r="41182" spans="104:111">
      <c r="CZ41182" s="256"/>
      <c r="DG41182" s="256"/>
    </row>
    <row r="41183" spans="104:111">
      <c r="CZ41183" s="256"/>
      <c r="DG41183" s="256"/>
    </row>
    <row r="41184" spans="104:111">
      <c r="CZ41184" s="256"/>
      <c r="DG41184" s="256"/>
    </row>
    <row r="41185" spans="104:111">
      <c r="CZ41185" s="256"/>
      <c r="DG41185" s="256"/>
    </row>
    <row r="41186" spans="104:111">
      <c r="CZ41186" s="256"/>
      <c r="DG41186" s="256"/>
    </row>
    <row r="41187" spans="104:111">
      <c r="CZ41187" s="256"/>
      <c r="DG41187" s="256"/>
    </row>
    <row r="41188" spans="104:111">
      <c r="CZ41188" s="256"/>
      <c r="DG41188" s="256"/>
    </row>
    <row r="41189" spans="104:111">
      <c r="CZ41189" s="256"/>
      <c r="DG41189" s="256"/>
    </row>
    <row r="41190" spans="104:111">
      <c r="CZ41190" s="256"/>
      <c r="DG41190" s="256"/>
    </row>
    <row r="41191" spans="104:111">
      <c r="CZ41191" s="256"/>
      <c r="DG41191" s="256"/>
    </row>
    <row r="41192" spans="104:111">
      <c r="CZ41192" s="256"/>
      <c r="DG41192" s="256"/>
    </row>
    <row r="41193" spans="104:111">
      <c r="CZ41193" s="256"/>
      <c r="DG41193" s="256"/>
    </row>
    <row r="41194" spans="104:111">
      <c r="CZ41194" s="256"/>
      <c r="DG41194" s="256"/>
    </row>
    <row r="41195" spans="104:111">
      <c r="CZ41195" s="256"/>
      <c r="DG41195" s="256"/>
    </row>
    <row r="41196" spans="104:111">
      <c r="CZ41196" s="256"/>
      <c r="DG41196" s="256"/>
    </row>
    <row r="41197" spans="104:111">
      <c r="CZ41197" s="256"/>
      <c r="DG41197" s="256"/>
    </row>
    <row r="41198" spans="104:111">
      <c r="CZ41198" s="256"/>
      <c r="DG41198" s="256"/>
    </row>
    <row r="41199" spans="104:111">
      <c r="CZ41199" s="256"/>
      <c r="DG41199" s="256"/>
    </row>
    <row r="41200" spans="104:111">
      <c r="CZ41200" s="256"/>
      <c r="DG41200" s="256"/>
    </row>
    <row r="41201" spans="104:111">
      <c r="CZ41201" s="256"/>
      <c r="DG41201" s="256"/>
    </row>
    <row r="41202" spans="104:111">
      <c r="CZ41202" s="256"/>
      <c r="DG41202" s="256"/>
    </row>
    <row r="41203" spans="104:111">
      <c r="CZ41203" s="256"/>
      <c r="DG41203" s="256"/>
    </row>
    <row r="41204" spans="104:111">
      <c r="CZ41204" s="256"/>
      <c r="DG41204" s="256"/>
    </row>
    <row r="41205" spans="104:111">
      <c r="CZ41205" s="256"/>
      <c r="DG41205" s="256"/>
    </row>
    <row r="41206" spans="104:111">
      <c r="CZ41206" s="256"/>
      <c r="DG41206" s="256"/>
    </row>
    <row r="41207" spans="104:111">
      <c r="CZ41207" s="256"/>
      <c r="DG41207" s="256"/>
    </row>
    <row r="41208" spans="104:111">
      <c r="CZ41208" s="256"/>
      <c r="DG41208" s="256"/>
    </row>
    <row r="41209" spans="104:111">
      <c r="CZ41209" s="256"/>
      <c r="DG41209" s="256"/>
    </row>
    <row r="41210" spans="104:111">
      <c r="CZ41210" s="256"/>
      <c r="DG41210" s="256"/>
    </row>
    <row r="41211" spans="104:111">
      <c r="CZ41211" s="256"/>
      <c r="DG41211" s="256"/>
    </row>
    <row r="41212" spans="104:111">
      <c r="CZ41212" s="256"/>
      <c r="DG41212" s="256"/>
    </row>
    <row r="41213" spans="104:111">
      <c r="CZ41213" s="256"/>
      <c r="DG41213" s="256"/>
    </row>
    <row r="41214" spans="104:111">
      <c r="CZ41214" s="256"/>
      <c r="DG41214" s="256"/>
    </row>
    <row r="41215" spans="104:111">
      <c r="CZ41215" s="256"/>
      <c r="DG41215" s="256"/>
    </row>
    <row r="41216" spans="104:111">
      <c r="CZ41216" s="256"/>
      <c r="DG41216" s="256"/>
    </row>
    <row r="41217" spans="104:111">
      <c r="CZ41217" s="256"/>
      <c r="DG41217" s="256"/>
    </row>
    <row r="41218" spans="104:111">
      <c r="CZ41218" s="256"/>
      <c r="DG41218" s="256"/>
    </row>
    <row r="41219" spans="104:111">
      <c r="CZ41219" s="256"/>
      <c r="DG41219" s="256"/>
    </row>
    <row r="41220" spans="104:111">
      <c r="CZ41220" s="256"/>
      <c r="DG41220" s="256"/>
    </row>
    <row r="41221" spans="104:111">
      <c r="CZ41221" s="256"/>
      <c r="DG41221" s="256"/>
    </row>
    <row r="41222" spans="104:111">
      <c r="CZ41222" s="256"/>
      <c r="DG41222" s="256"/>
    </row>
    <row r="41223" spans="104:111">
      <c r="CZ41223" s="256"/>
      <c r="DG41223" s="256"/>
    </row>
    <row r="41224" spans="104:111">
      <c r="CZ41224" s="256"/>
      <c r="DG41224" s="256"/>
    </row>
    <row r="41225" spans="104:111">
      <c r="CZ41225" s="256"/>
      <c r="DG41225" s="256"/>
    </row>
    <row r="41226" spans="104:111">
      <c r="CZ41226" s="256"/>
      <c r="DG41226" s="256"/>
    </row>
    <row r="41227" spans="104:111">
      <c r="CZ41227" s="256"/>
      <c r="DG41227" s="256"/>
    </row>
    <row r="41228" spans="104:111">
      <c r="CZ41228" s="256"/>
      <c r="DG41228" s="256"/>
    </row>
    <row r="41229" spans="104:111">
      <c r="CZ41229" s="256"/>
      <c r="DG41229" s="256"/>
    </row>
    <row r="41230" spans="104:111">
      <c r="CZ41230" s="256"/>
      <c r="DG41230" s="256"/>
    </row>
    <row r="41231" spans="104:111">
      <c r="CZ41231" s="256"/>
      <c r="DG41231" s="256"/>
    </row>
    <row r="41232" spans="104:111">
      <c r="CZ41232" s="256"/>
      <c r="DG41232" s="256"/>
    </row>
    <row r="41233" spans="104:111">
      <c r="CZ41233" s="256"/>
      <c r="DG41233" s="256"/>
    </row>
    <row r="41234" spans="104:111">
      <c r="CZ41234" s="256"/>
      <c r="DG41234" s="256"/>
    </row>
    <row r="41235" spans="104:111">
      <c r="CZ41235" s="256"/>
      <c r="DG41235" s="256"/>
    </row>
    <row r="41236" spans="104:111">
      <c r="CZ41236" s="256"/>
      <c r="DG41236" s="256"/>
    </row>
    <row r="41237" spans="104:111">
      <c r="CZ41237" s="256"/>
      <c r="DG41237" s="256"/>
    </row>
    <row r="41238" spans="104:111">
      <c r="CZ41238" s="256"/>
      <c r="DG41238" s="256"/>
    </row>
    <row r="41239" spans="104:111">
      <c r="CZ41239" s="256"/>
      <c r="DG41239" s="256"/>
    </row>
    <row r="41240" spans="104:111">
      <c r="CZ41240" s="256"/>
      <c r="DG41240" s="256"/>
    </row>
    <row r="41241" spans="104:111">
      <c r="CZ41241" s="256"/>
      <c r="DG41241" s="256"/>
    </row>
    <row r="41242" spans="104:111">
      <c r="CZ41242" s="256"/>
      <c r="DG41242" s="256"/>
    </row>
    <row r="41243" spans="104:111">
      <c r="CZ41243" s="256"/>
      <c r="DG41243" s="256"/>
    </row>
    <row r="41244" spans="104:111">
      <c r="CZ41244" s="256"/>
      <c r="DG41244" s="256"/>
    </row>
    <row r="41245" spans="104:111">
      <c r="CZ41245" s="256"/>
      <c r="DG41245" s="256"/>
    </row>
    <row r="41246" spans="104:111">
      <c r="CZ41246" s="256"/>
      <c r="DG41246" s="256"/>
    </row>
    <row r="41247" spans="104:111">
      <c r="CZ41247" s="256"/>
      <c r="DG41247" s="256"/>
    </row>
    <row r="41248" spans="104:111">
      <c r="CZ41248" s="256"/>
      <c r="DG41248" s="256"/>
    </row>
    <row r="41249" spans="104:111">
      <c r="CZ41249" s="256"/>
      <c r="DG41249" s="256"/>
    </row>
    <row r="41250" spans="104:111">
      <c r="CZ41250" s="256"/>
      <c r="DG41250" s="256"/>
    </row>
    <row r="41251" spans="104:111">
      <c r="CZ41251" s="256"/>
      <c r="DG41251" s="256"/>
    </row>
    <row r="41252" spans="104:111">
      <c r="CZ41252" s="256"/>
      <c r="DG41252" s="256"/>
    </row>
    <row r="41253" spans="104:111">
      <c r="CZ41253" s="256"/>
      <c r="DG41253" s="256"/>
    </row>
    <row r="41254" spans="104:111">
      <c r="CZ41254" s="256"/>
      <c r="DG41254" s="256"/>
    </row>
    <row r="41255" spans="104:111">
      <c r="CZ41255" s="256"/>
      <c r="DG41255" s="256"/>
    </row>
    <row r="41256" spans="104:111">
      <c r="CZ41256" s="256"/>
      <c r="DG41256" s="256"/>
    </row>
    <row r="41257" spans="104:111">
      <c r="CZ41257" s="256"/>
      <c r="DG41257" s="256"/>
    </row>
    <row r="41258" spans="104:111">
      <c r="CZ41258" s="256"/>
      <c r="DG41258" s="256"/>
    </row>
    <row r="41259" spans="104:111">
      <c r="CZ41259" s="256"/>
      <c r="DG41259" s="256"/>
    </row>
    <row r="41260" spans="104:111">
      <c r="CZ41260" s="256"/>
      <c r="DG41260" s="256"/>
    </row>
    <row r="41261" spans="104:111">
      <c r="CZ41261" s="256"/>
      <c r="DG41261" s="256"/>
    </row>
    <row r="41262" spans="104:111">
      <c r="CZ41262" s="256"/>
      <c r="DG41262" s="256"/>
    </row>
    <row r="41263" spans="104:111">
      <c r="CZ41263" s="256"/>
      <c r="DG41263" s="256"/>
    </row>
    <row r="41264" spans="104:111">
      <c r="CZ41264" s="256"/>
      <c r="DG41264" s="256"/>
    </row>
    <row r="41265" spans="104:111">
      <c r="CZ41265" s="256"/>
      <c r="DG41265" s="256"/>
    </row>
    <row r="41266" spans="104:111">
      <c r="CZ41266" s="256"/>
      <c r="DG41266" s="256"/>
    </row>
    <row r="41267" spans="104:111">
      <c r="CZ41267" s="256"/>
      <c r="DG41267" s="256"/>
    </row>
    <row r="41268" spans="104:111">
      <c r="CZ41268" s="256"/>
      <c r="DG41268" s="256"/>
    </row>
    <row r="41269" spans="104:111">
      <c r="CZ41269" s="256"/>
      <c r="DG41269" s="256"/>
    </row>
    <row r="41270" spans="104:111">
      <c r="CZ41270" s="256"/>
      <c r="DG41270" s="256"/>
    </row>
    <row r="41271" spans="104:111">
      <c r="CZ41271" s="256"/>
      <c r="DG41271" s="256"/>
    </row>
    <row r="41272" spans="104:111">
      <c r="CZ41272" s="256"/>
      <c r="DG41272" s="256"/>
    </row>
    <row r="41273" spans="104:111">
      <c r="CZ41273" s="256"/>
      <c r="DG41273" s="256"/>
    </row>
    <row r="41274" spans="104:111">
      <c r="CZ41274" s="256"/>
      <c r="DG41274" s="256"/>
    </row>
    <row r="41275" spans="104:111">
      <c r="CZ41275" s="256"/>
      <c r="DG41275" s="256"/>
    </row>
    <row r="41276" spans="104:111">
      <c r="CZ41276" s="256"/>
      <c r="DG41276" s="256"/>
    </row>
    <row r="41277" spans="104:111">
      <c r="CZ41277" s="256"/>
      <c r="DG41277" s="256"/>
    </row>
    <row r="41278" spans="104:111">
      <c r="CZ41278" s="256"/>
      <c r="DG41278" s="256"/>
    </row>
    <row r="41279" spans="104:111">
      <c r="CZ41279" s="256"/>
      <c r="DG41279" s="256"/>
    </row>
    <row r="41280" spans="104:111">
      <c r="CZ41280" s="256"/>
      <c r="DG41280" s="256"/>
    </row>
    <row r="41281" spans="104:111">
      <c r="CZ41281" s="256"/>
      <c r="DG41281" s="256"/>
    </row>
    <row r="41282" spans="104:111">
      <c r="CZ41282" s="256"/>
      <c r="DG41282" s="256"/>
    </row>
    <row r="41283" spans="104:111">
      <c r="CZ41283" s="256"/>
      <c r="DG41283" s="256"/>
    </row>
    <row r="41284" spans="104:111">
      <c r="CZ41284" s="256"/>
      <c r="DG41284" s="256"/>
    </row>
    <row r="41285" spans="104:111">
      <c r="CZ41285" s="256"/>
      <c r="DG41285" s="256"/>
    </row>
    <row r="41286" spans="104:111">
      <c r="CZ41286" s="256"/>
      <c r="DG41286" s="256"/>
    </row>
    <row r="41287" spans="104:111">
      <c r="CZ41287" s="256"/>
      <c r="DG41287" s="256"/>
    </row>
    <row r="41288" spans="104:111">
      <c r="CZ41288" s="256"/>
      <c r="DG41288" s="256"/>
    </row>
    <row r="41289" spans="104:111">
      <c r="CZ41289" s="256"/>
      <c r="DG41289" s="256"/>
    </row>
    <row r="41290" spans="104:111">
      <c r="CZ41290" s="256"/>
      <c r="DG41290" s="256"/>
    </row>
    <row r="41291" spans="104:111">
      <c r="CZ41291" s="256"/>
      <c r="DG41291" s="256"/>
    </row>
    <row r="41292" spans="104:111">
      <c r="CZ41292" s="256"/>
      <c r="DG41292" s="256"/>
    </row>
    <row r="41293" spans="104:111">
      <c r="CZ41293" s="256"/>
      <c r="DG41293" s="256"/>
    </row>
    <row r="41294" spans="104:111">
      <c r="CZ41294" s="256"/>
      <c r="DG41294" s="256"/>
    </row>
    <row r="41295" spans="104:111">
      <c r="CZ41295" s="256"/>
      <c r="DG41295" s="256"/>
    </row>
    <row r="41296" spans="104:111">
      <c r="CZ41296" s="256"/>
      <c r="DG41296" s="256"/>
    </row>
    <row r="41297" spans="104:111">
      <c r="CZ41297" s="256"/>
      <c r="DG41297" s="256"/>
    </row>
    <row r="41298" spans="104:111">
      <c r="CZ41298" s="256"/>
      <c r="DG41298" s="256"/>
    </row>
    <row r="41299" spans="104:111">
      <c r="CZ41299" s="256"/>
      <c r="DG41299" s="256"/>
    </row>
    <row r="41300" spans="104:111">
      <c r="CZ41300" s="256"/>
      <c r="DG41300" s="256"/>
    </row>
    <row r="41301" spans="104:111">
      <c r="CZ41301" s="256"/>
      <c r="DG41301" s="256"/>
    </row>
    <row r="41302" spans="104:111">
      <c r="CZ41302" s="256"/>
      <c r="DG41302" s="256"/>
    </row>
    <row r="41303" spans="104:111">
      <c r="CZ41303" s="256"/>
      <c r="DG41303" s="256"/>
    </row>
    <row r="41304" spans="104:111">
      <c r="CZ41304" s="256"/>
      <c r="DG41304" s="256"/>
    </row>
    <row r="41305" spans="104:111">
      <c r="CZ41305" s="256"/>
      <c r="DG41305" s="256"/>
    </row>
    <row r="41306" spans="104:111">
      <c r="CZ41306" s="256"/>
      <c r="DG41306" s="256"/>
    </row>
    <row r="41307" spans="104:111">
      <c r="CZ41307" s="256"/>
      <c r="DG41307" s="256"/>
    </row>
    <row r="41308" spans="104:111">
      <c r="CZ41308" s="256"/>
      <c r="DG41308" s="256"/>
    </row>
    <row r="41309" spans="104:111">
      <c r="CZ41309" s="256"/>
      <c r="DG41309" s="256"/>
    </row>
    <row r="41310" spans="104:111">
      <c r="CZ41310" s="256"/>
      <c r="DG41310" s="256"/>
    </row>
    <row r="41311" spans="104:111">
      <c r="CZ41311" s="256"/>
      <c r="DG41311" s="256"/>
    </row>
    <row r="41312" spans="104:111">
      <c r="CZ41312" s="256"/>
      <c r="DG41312" s="256"/>
    </row>
    <row r="41313" spans="104:111">
      <c r="CZ41313" s="256"/>
      <c r="DG41313" s="256"/>
    </row>
    <row r="41314" spans="104:111">
      <c r="CZ41314" s="256"/>
      <c r="DG41314" s="256"/>
    </row>
    <row r="41315" spans="104:111">
      <c r="CZ41315" s="256"/>
      <c r="DG41315" s="256"/>
    </row>
    <row r="41316" spans="104:111">
      <c r="CZ41316" s="256"/>
      <c r="DG41316" s="256"/>
    </row>
    <row r="41317" spans="104:111">
      <c r="CZ41317" s="256"/>
      <c r="DG41317" s="256"/>
    </row>
    <row r="41318" spans="104:111">
      <c r="CZ41318" s="256"/>
      <c r="DG41318" s="256"/>
    </row>
    <row r="41319" spans="104:111">
      <c r="CZ41319" s="256"/>
      <c r="DG41319" s="256"/>
    </row>
    <row r="41320" spans="104:111">
      <c r="CZ41320" s="256"/>
      <c r="DG41320" s="256"/>
    </row>
    <row r="41321" spans="104:111">
      <c r="CZ41321" s="256"/>
      <c r="DG41321" s="256"/>
    </row>
    <row r="41322" spans="104:111">
      <c r="CZ41322" s="256"/>
      <c r="DG41322" s="256"/>
    </row>
    <row r="41323" spans="104:111">
      <c r="CZ41323" s="256"/>
      <c r="DG41323" s="256"/>
    </row>
    <row r="41324" spans="104:111">
      <c r="CZ41324" s="256"/>
      <c r="DG41324" s="256"/>
    </row>
    <row r="41325" spans="104:111">
      <c r="CZ41325" s="256"/>
      <c r="DG41325" s="256"/>
    </row>
    <row r="41326" spans="104:111">
      <c r="CZ41326" s="256"/>
      <c r="DG41326" s="256"/>
    </row>
    <row r="41327" spans="104:111">
      <c r="CZ41327" s="256"/>
      <c r="DG41327" s="256"/>
    </row>
    <row r="41328" spans="104:111">
      <c r="CZ41328" s="256"/>
      <c r="DG41328" s="256"/>
    </row>
    <row r="41329" spans="104:111">
      <c r="CZ41329" s="256"/>
      <c r="DG41329" s="256"/>
    </row>
    <row r="41330" spans="104:111">
      <c r="CZ41330" s="256"/>
      <c r="DG41330" s="256"/>
    </row>
    <row r="41331" spans="104:111">
      <c r="CZ41331" s="256"/>
      <c r="DG41331" s="256"/>
    </row>
    <row r="41332" spans="104:111">
      <c r="CZ41332" s="256"/>
      <c r="DG41332" s="256"/>
    </row>
    <row r="41333" spans="104:111">
      <c r="CZ41333" s="256"/>
      <c r="DG41333" s="256"/>
    </row>
    <row r="41334" spans="104:111">
      <c r="CZ41334" s="256"/>
      <c r="DG41334" s="256"/>
    </row>
    <row r="41335" spans="104:111">
      <c r="CZ41335" s="256"/>
      <c r="DG41335" s="256"/>
    </row>
    <row r="41336" spans="104:111">
      <c r="CZ41336" s="256"/>
      <c r="DG41336" s="256"/>
    </row>
    <row r="41337" spans="104:111">
      <c r="CZ41337" s="256"/>
      <c r="DG41337" s="256"/>
    </row>
    <row r="41338" spans="104:111">
      <c r="CZ41338" s="256"/>
      <c r="DG41338" s="256"/>
    </row>
    <row r="41339" spans="104:111">
      <c r="CZ41339" s="256"/>
      <c r="DG41339" s="256"/>
    </row>
    <row r="41340" spans="104:111">
      <c r="CZ41340" s="256"/>
      <c r="DG41340" s="256"/>
    </row>
    <row r="41341" spans="104:111">
      <c r="CZ41341" s="256"/>
      <c r="DG41341" s="256"/>
    </row>
    <row r="41342" spans="104:111">
      <c r="CZ41342" s="256"/>
      <c r="DG41342" s="256"/>
    </row>
    <row r="41343" spans="104:111">
      <c r="CZ41343" s="256"/>
      <c r="DG41343" s="256"/>
    </row>
    <row r="41344" spans="104:111">
      <c r="CZ41344" s="256"/>
      <c r="DG41344" s="256"/>
    </row>
    <row r="41345" spans="104:111">
      <c r="CZ41345" s="256"/>
      <c r="DG41345" s="256"/>
    </row>
    <row r="41346" spans="104:111">
      <c r="CZ41346" s="256"/>
      <c r="DG41346" s="256"/>
    </row>
    <row r="41347" spans="104:111">
      <c r="CZ41347" s="256"/>
      <c r="DG41347" s="256"/>
    </row>
    <row r="41348" spans="104:111">
      <c r="CZ41348" s="256"/>
      <c r="DG41348" s="256"/>
    </row>
    <row r="41349" spans="104:111">
      <c r="CZ41349" s="256"/>
      <c r="DG41349" s="256"/>
    </row>
    <row r="41350" spans="104:111">
      <c r="CZ41350" s="256"/>
      <c r="DG41350" s="256"/>
    </row>
    <row r="41351" spans="104:111">
      <c r="CZ41351" s="256"/>
      <c r="DG41351" s="256"/>
    </row>
    <row r="41352" spans="104:111">
      <c r="CZ41352" s="256"/>
      <c r="DG41352" s="256"/>
    </row>
    <row r="41353" spans="104:111">
      <c r="CZ41353" s="256"/>
      <c r="DG41353" s="256"/>
    </row>
    <row r="41354" spans="104:111">
      <c r="CZ41354" s="256"/>
      <c r="DG41354" s="256"/>
    </row>
    <row r="41355" spans="104:111">
      <c r="CZ41355" s="256"/>
      <c r="DG41355" s="256"/>
    </row>
    <row r="41356" spans="104:111">
      <c r="CZ41356" s="256"/>
      <c r="DG41356" s="256"/>
    </row>
    <row r="41357" spans="104:111">
      <c r="CZ41357" s="256"/>
      <c r="DG41357" s="256"/>
    </row>
    <row r="41358" spans="104:111">
      <c r="CZ41358" s="256"/>
      <c r="DG41358" s="256"/>
    </row>
    <row r="41359" spans="104:111">
      <c r="CZ41359" s="256"/>
      <c r="DG41359" s="256"/>
    </row>
    <row r="41360" spans="104:111">
      <c r="CZ41360" s="256"/>
      <c r="DG41360" s="256"/>
    </row>
    <row r="41361" spans="104:111">
      <c r="CZ41361" s="256"/>
      <c r="DG41361" s="256"/>
    </row>
    <row r="41362" spans="104:111">
      <c r="CZ41362" s="256"/>
      <c r="DG41362" s="256"/>
    </row>
    <row r="41363" spans="104:111">
      <c r="CZ41363" s="256"/>
      <c r="DG41363" s="256"/>
    </row>
    <row r="41364" spans="104:111">
      <c r="CZ41364" s="256"/>
      <c r="DG41364" s="256"/>
    </row>
    <row r="41365" spans="104:111">
      <c r="CZ41365" s="256"/>
      <c r="DG41365" s="256"/>
    </row>
    <row r="41366" spans="104:111">
      <c r="CZ41366" s="256"/>
      <c r="DG41366" s="256"/>
    </row>
    <row r="41367" spans="104:111">
      <c r="CZ41367" s="256"/>
      <c r="DG41367" s="256"/>
    </row>
    <row r="41368" spans="104:111">
      <c r="CZ41368" s="256"/>
      <c r="DG41368" s="256"/>
    </row>
    <row r="41369" spans="104:111">
      <c r="CZ41369" s="256"/>
      <c r="DG41369" s="256"/>
    </row>
    <row r="41370" spans="104:111">
      <c r="CZ41370" s="256"/>
      <c r="DG41370" s="256"/>
    </row>
    <row r="41371" spans="104:111">
      <c r="CZ41371" s="256"/>
      <c r="DG41371" s="256"/>
    </row>
    <row r="41372" spans="104:111">
      <c r="CZ41372" s="256"/>
      <c r="DG41372" s="256"/>
    </row>
    <row r="41373" spans="104:111">
      <c r="CZ41373" s="256"/>
      <c r="DG41373" s="256"/>
    </row>
    <row r="41374" spans="104:111">
      <c r="CZ41374" s="256"/>
      <c r="DG41374" s="256"/>
    </row>
    <row r="41375" spans="104:111">
      <c r="CZ41375" s="256"/>
      <c r="DG41375" s="256"/>
    </row>
    <row r="41376" spans="104:111">
      <c r="CZ41376" s="256"/>
      <c r="DG41376" s="256"/>
    </row>
    <row r="41377" spans="104:111">
      <c r="CZ41377" s="256"/>
      <c r="DG41377" s="256"/>
    </row>
    <row r="41378" spans="104:111">
      <c r="CZ41378" s="256"/>
      <c r="DG41378" s="256"/>
    </row>
    <row r="41379" spans="104:111">
      <c r="CZ41379" s="256"/>
      <c r="DG41379" s="256"/>
    </row>
    <row r="41380" spans="104:111">
      <c r="CZ41380" s="256"/>
      <c r="DG41380" s="256"/>
    </row>
    <row r="41381" spans="104:111">
      <c r="CZ41381" s="256"/>
      <c r="DG41381" s="256"/>
    </row>
    <row r="41382" spans="104:111">
      <c r="CZ41382" s="256"/>
      <c r="DG41382" s="256"/>
    </row>
    <row r="41383" spans="104:111">
      <c r="CZ41383" s="256"/>
      <c r="DG41383" s="256"/>
    </row>
    <row r="41384" spans="104:111">
      <c r="CZ41384" s="256"/>
      <c r="DG41384" s="256"/>
    </row>
    <row r="41385" spans="104:111">
      <c r="CZ41385" s="256"/>
      <c r="DG41385" s="256"/>
    </row>
    <row r="41386" spans="104:111">
      <c r="CZ41386" s="256"/>
      <c r="DG41386" s="256"/>
    </row>
    <row r="41387" spans="104:111">
      <c r="CZ41387" s="256"/>
      <c r="DG41387" s="256"/>
    </row>
    <row r="41388" spans="104:111">
      <c r="CZ41388" s="256"/>
      <c r="DG41388" s="256"/>
    </row>
    <row r="41389" spans="104:111">
      <c r="CZ41389" s="256"/>
      <c r="DG41389" s="256"/>
    </row>
    <row r="41390" spans="104:111">
      <c r="CZ41390" s="256"/>
      <c r="DG41390" s="256"/>
    </row>
    <row r="41391" spans="104:111">
      <c r="CZ41391" s="256"/>
      <c r="DG41391" s="256"/>
    </row>
    <row r="41392" spans="104:111">
      <c r="CZ41392" s="256"/>
      <c r="DG41392" s="256"/>
    </row>
    <row r="41393" spans="104:111">
      <c r="CZ41393" s="256"/>
      <c r="DG41393" s="256"/>
    </row>
    <row r="41394" spans="104:111">
      <c r="CZ41394" s="256"/>
      <c r="DG41394" s="256"/>
    </row>
    <row r="41395" spans="104:111">
      <c r="CZ41395" s="256"/>
      <c r="DG41395" s="256"/>
    </row>
    <row r="41396" spans="104:111">
      <c r="CZ41396" s="256"/>
      <c r="DG41396" s="256"/>
    </row>
    <row r="41397" spans="104:111">
      <c r="CZ41397" s="256"/>
      <c r="DG41397" s="256"/>
    </row>
    <row r="41398" spans="104:111">
      <c r="CZ41398" s="256"/>
      <c r="DG41398" s="256"/>
    </row>
    <row r="41399" spans="104:111">
      <c r="CZ41399" s="256"/>
      <c r="DG41399" s="256"/>
    </row>
    <row r="41400" spans="104:111">
      <c r="CZ41400" s="256"/>
      <c r="DG41400" s="256"/>
    </row>
    <row r="41401" spans="104:111">
      <c r="CZ41401" s="256"/>
      <c r="DG41401" s="256"/>
    </row>
    <row r="41402" spans="104:111">
      <c r="CZ41402" s="256"/>
      <c r="DG41402" s="256"/>
    </row>
    <row r="41403" spans="104:111">
      <c r="CZ41403" s="256"/>
      <c r="DG41403" s="256"/>
    </row>
    <row r="41404" spans="104:111">
      <c r="CZ41404" s="256"/>
      <c r="DG41404" s="256"/>
    </row>
    <row r="41405" spans="104:111">
      <c r="CZ41405" s="256"/>
      <c r="DG41405" s="256"/>
    </row>
    <row r="41406" spans="104:111">
      <c r="CZ41406" s="256"/>
      <c r="DG41406" s="256"/>
    </row>
    <row r="41407" spans="104:111">
      <c r="CZ41407" s="256"/>
      <c r="DG41407" s="256"/>
    </row>
    <row r="41408" spans="104:111">
      <c r="CZ41408" s="256"/>
      <c r="DG41408" s="256"/>
    </row>
    <row r="41409" spans="104:111">
      <c r="CZ41409" s="256"/>
      <c r="DG41409" s="256"/>
    </row>
    <row r="41410" spans="104:111">
      <c r="CZ41410" s="256"/>
      <c r="DG41410" s="256"/>
    </row>
    <row r="41411" spans="104:111">
      <c r="CZ41411" s="256"/>
      <c r="DG41411" s="256"/>
    </row>
    <row r="41412" spans="104:111">
      <c r="CZ41412" s="256"/>
      <c r="DG41412" s="256"/>
    </row>
    <row r="41413" spans="104:111">
      <c r="CZ41413" s="256"/>
      <c r="DG41413" s="256"/>
    </row>
    <row r="41414" spans="104:111">
      <c r="CZ41414" s="256"/>
      <c r="DG41414" s="256"/>
    </row>
    <row r="41415" spans="104:111">
      <c r="CZ41415" s="256"/>
      <c r="DG41415" s="256"/>
    </row>
    <row r="41416" spans="104:111">
      <c r="CZ41416" s="256"/>
      <c r="DG41416" s="256"/>
    </row>
    <row r="41417" spans="104:111">
      <c r="CZ41417" s="256"/>
      <c r="DG41417" s="256"/>
    </row>
    <row r="41418" spans="104:111">
      <c r="CZ41418" s="256"/>
      <c r="DG41418" s="256"/>
    </row>
    <row r="41419" spans="104:111">
      <c r="CZ41419" s="256"/>
      <c r="DG41419" s="256"/>
    </row>
    <row r="41420" spans="104:111">
      <c r="CZ41420" s="256"/>
      <c r="DG41420" s="256"/>
    </row>
    <row r="41421" spans="104:111">
      <c r="CZ41421" s="256"/>
      <c r="DG41421" s="256"/>
    </row>
    <row r="41422" spans="104:111">
      <c r="CZ41422" s="256"/>
      <c r="DG41422" s="256"/>
    </row>
    <row r="41423" spans="104:111">
      <c r="CZ41423" s="256"/>
      <c r="DG41423" s="256"/>
    </row>
    <row r="41424" spans="104:111">
      <c r="CZ41424" s="256"/>
      <c r="DG41424" s="256"/>
    </row>
    <row r="41425" spans="104:111">
      <c r="CZ41425" s="256"/>
      <c r="DG41425" s="256"/>
    </row>
    <row r="41426" spans="104:111">
      <c r="CZ41426" s="256"/>
      <c r="DG41426" s="256"/>
    </row>
    <row r="41427" spans="104:111">
      <c r="CZ41427" s="256"/>
      <c r="DG41427" s="256"/>
    </row>
    <row r="41428" spans="104:111">
      <c r="CZ41428" s="256"/>
      <c r="DG41428" s="256"/>
    </row>
    <row r="41429" spans="104:111">
      <c r="CZ41429" s="256"/>
      <c r="DG41429" s="256"/>
    </row>
    <row r="41430" spans="104:111">
      <c r="CZ41430" s="256"/>
      <c r="DG41430" s="256"/>
    </row>
    <row r="41431" spans="104:111">
      <c r="CZ41431" s="256"/>
      <c r="DG41431" s="256"/>
    </row>
    <row r="41432" spans="104:111">
      <c r="CZ41432" s="256"/>
      <c r="DG41432" s="256"/>
    </row>
    <row r="41433" spans="104:111">
      <c r="CZ41433" s="256"/>
      <c r="DG41433" s="256"/>
    </row>
    <row r="41434" spans="104:111">
      <c r="CZ41434" s="256"/>
      <c r="DG41434" s="256"/>
    </row>
    <row r="41435" spans="104:111">
      <c r="CZ41435" s="256"/>
      <c r="DG41435" s="256"/>
    </row>
    <row r="41436" spans="104:111">
      <c r="CZ41436" s="256"/>
      <c r="DG41436" s="256"/>
    </row>
    <row r="41437" spans="104:111">
      <c r="CZ41437" s="256"/>
      <c r="DG41437" s="256"/>
    </row>
    <row r="41438" spans="104:111">
      <c r="CZ41438" s="256"/>
      <c r="DG41438" s="256"/>
    </row>
    <row r="41439" spans="104:111">
      <c r="CZ41439" s="256"/>
      <c r="DG41439" s="256"/>
    </row>
    <row r="41440" spans="104:111">
      <c r="CZ41440" s="256"/>
      <c r="DG41440" s="256"/>
    </row>
    <row r="41441" spans="104:111">
      <c r="CZ41441" s="256"/>
      <c r="DG41441" s="256"/>
    </row>
    <row r="41442" spans="104:111">
      <c r="CZ41442" s="256"/>
      <c r="DG41442" s="256"/>
    </row>
    <row r="41443" spans="104:111">
      <c r="CZ41443" s="256"/>
      <c r="DG41443" s="256"/>
    </row>
    <row r="41444" spans="104:111">
      <c r="CZ41444" s="256"/>
      <c r="DG41444" s="256"/>
    </row>
    <row r="41445" spans="104:111">
      <c r="CZ41445" s="256"/>
      <c r="DG41445" s="256"/>
    </row>
    <row r="41446" spans="104:111">
      <c r="CZ41446" s="256"/>
      <c r="DG41446" s="256"/>
    </row>
    <row r="41447" spans="104:111">
      <c r="CZ41447" s="256"/>
      <c r="DG41447" s="256"/>
    </row>
    <row r="41448" spans="104:111">
      <c r="CZ41448" s="256"/>
      <c r="DG41448" s="256"/>
    </row>
    <row r="41449" spans="104:111">
      <c r="CZ41449" s="256"/>
      <c r="DG41449" s="256"/>
    </row>
    <row r="41450" spans="104:111">
      <c r="CZ41450" s="256"/>
      <c r="DG41450" s="256"/>
    </row>
    <row r="41451" spans="104:111">
      <c r="CZ41451" s="256"/>
      <c r="DG41451" s="256"/>
    </row>
    <row r="41452" spans="104:111">
      <c r="CZ41452" s="256"/>
      <c r="DG41452" s="256"/>
    </row>
    <row r="41453" spans="104:111">
      <c r="CZ41453" s="256"/>
      <c r="DG41453" s="256"/>
    </row>
    <row r="41454" spans="104:111">
      <c r="CZ41454" s="256"/>
      <c r="DG41454" s="256"/>
    </row>
    <row r="41455" spans="104:111">
      <c r="CZ41455" s="256"/>
      <c r="DG41455" s="256"/>
    </row>
    <row r="41456" spans="104:111">
      <c r="CZ41456" s="256"/>
      <c r="DG41456" s="256"/>
    </row>
    <row r="41457" spans="104:111">
      <c r="CZ41457" s="256"/>
      <c r="DG41457" s="256"/>
    </row>
    <row r="41458" spans="104:111">
      <c r="CZ41458" s="256"/>
      <c r="DG41458" s="256"/>
    </row>
    <row r="41459" spans="104:111">
      <c r="CZ41459" s="256"/>
      <c r="DG41459" s="256"/>
    </row>
    <row r="41460" spans="104:111">
      <c r="CZ41460" s="256"/>
      <c r="DG41460" s="256"/>
    </row>
    <row r="41461" spans="104:111">
      <c r="CZ41461" s="256"/>
      <c r="DG41461" s="256"/>
    </row>
    <row r="41462" spans="104:111">
      <c r="CZ41462" s="256"/>
      <c r="DG41462" s="256"/>
    </row>
    <row r="41463" spans="104:111">
      <c r="CZ41463" s="256"/>
      <c r="DG41463" s="256"/>
    </row>
    <row r="41464" spans="104:111">
      <c r="CZ41464" s="256"/>
      <c r="DG41464" s="256"/>
    </row>
    <row r="41465" spans="104:111">
      <c r="CZ41465" s="256"/>
      <c r="DG41465" s="256"/>
    </row>
    <row r="41466" spans="104:111">
      <c r="CZ41466" s="256"/>
      <c r="DG41466" s="256"/>
    </row>
    <row r="41467" spans="104:111">
      <c r="CZ41467" s="256"/>
      <c r="DG41467" s="256"/>
    </row>
    <row r="41468" spans="104:111">
      <c r="CZ41468" s="256"/>
      <c r="DG41468" s="256"/>
    </row>
    <row r="41469" spans="104:111">
      <c r="CZ41469" s="256"/>
      <c r="DG41469" s="256"/>
    </row>
    <row r="41470" spans="104:111">
      <c r="CZ41470" s="256"/>
      <c r="DG41470" s="256"/>
    </row>
    <row r="41471" spans="104:111">
      <c r="CZ41471" s="256"/>
      <c r="DG41471" s="256"/>
    </row>
    <row r="41472" spans="104:111">
      <c r="CZ41472" s="256"/>
      <c r="DG41472" s="256"/>
    </row>
    <row r="41473" spans="104:111">
      <c r="CZ41473" s="256"/>
      <c r="DG41473" s="256"/>
    </row>
    <row r="41474" spans="104:111">
      <c r="CZ41474" s="256"/>
      <c r="DG41474" s="256"/>
    </row>
    <row r="41475" spans="104:111">
      <c r="CZ41475" s="256"/>
      <c r="DG41475" s="256"/>
    </row>
    <row r="41476" spans="104:111">
      <c r="CZ41476" s="256"/>
      <c r="DG41476" s="256"/>
    </row>
    <row r="41477" spans="104:111">
      <c r="CZ41477" s="256"/>
      <c r="DG41477" s="256"/>
    </row>
    <row r="41478" spans="104:111">
      <c r="CZ41478" s="256"/>
      <c r="DG41478" s="256"/>
    </row>
    <row r="41479" spans="104:111">
      <c r="CZ41479" s="256"/>
      <c r="DG41479" s="256"/>
    </row>
    <row r="41480" spans="104:111">
      <c r="CZ41480" s="256"/>
      <c r="DG41480" s="256"/>
    </row>
    <row r="41481" spans="104:111">
      <c r="CZ41481" s="256"/>
      <c r="DG41481" s="256"/>
    </row>
    <row r="41482" spans="104:111">
      <c r="CZ41482" s="256"/>
      <c r="DG41482" s="256"/>
    </row>
    <row r="41483" spans="104:111">
      <c r="CZ41483" s="256"/>
      <c r="DG41483" s="256"/>
    </row>
    <row r="41484" spans="104:111">
      <c r="CZ41484" s="256"/>
      <c r="DG41484" s="256"/>
    </row>
    <row r="41485" spans="104:111">
      <c r="CZ41485" s="256"/>
      <c r="DG41485" s="256"/>
    </row>
    <row r="41486" spans="104:111">
      <c r="CZ41486" s="256"/>
      <c r="DG41486" s="256"/>
    </row>
    <row r="41487" spans="104:111">
      <c r="CZ41487" s="256"/>
      <c r="DG41487" s="256"/>
    </row>
    <row r="41488" spans="104:111">
      <c r="CZ41488" s="256"/>
      <c r="DG41488" s="256"/>
    </row>
    <row r="41489" spans="104:111">
      <c r="CZ41489" s="256"/>
      <c r="DG41489" s="256"/>
    </row>
    <row r="41490" spans="104:111">
      <c r="CZ41490" s="256"/>
      <c r="DG41490" s="256"/>
    </row>
    <row r="41491" spans="104:111">
      <c r="CZ41491" s="256"/>
      <c r="DG41491" s="256"/>
    </row>
    <row r="41492" spans="104:111">
      <c r="CZ41492" s="256"/>
      <c r="DG41492" s="256"/>
    </row>
    <row r="41493" spans="104:111">
      <c r="CZ41493" s="256"/>
      <c r="DG41493" s="256"/>
    </row>
    <row r="41494" spans="104:111">
      <c r="CZ41494" s="256"/>
      <c r="DG41494" s="256"/>
    </row>
    <row r="41495" spans="104:111">
      <c r="CZ41495" s="256"/>
      <c r="DG41495" s="256"/>
    </row>
    <row r="41496" spans="104:111">
      <c r="CZ41496" s="256"/>
      <c r="DG41496" s="256"/>
    </row>
    <row r="41497" spans="104:111">
      <c r="CZ41497" s="256"/>
      <c r="DG41497" s="256"/>
    </row>
    <row r="41498" spans="104:111">
      <c r="CZ41498" s="256"/>
      <c r="DG41498" s="256"/>
    </row>
    <row r="41499" spans="104:111">
      <c r="CZ41499" s="256"/>
      <c r="DG41499" s="256"/>
    </row>
    <row r="41500" spans="104:111">
      <c r="CZ41500" s="256"/>
      <c r="DG41500" s="256"/>
    </row>
    <row r="41501" spans="104:111">
      <c r="CZ41501" s="256"/>
      <c r="DG41501" s="256"/>
    </row>
    <row r="41502" spans="104:111">
      <c r="CZ41502" s="256"/>
      <c r="DG41502" s="256"/>
    </row>
    <row r="41503" spans="104:111">
      <c r="CZ41503" s="256"/>
      <c r="DG41503" s="256"/>
    </row>
    <row r="41504" spans="104:111">
      <c r="CZ41504" s="256"/>
      <c r="DG41504" s="256"/>
    </row>
    <row r="41505" spans="104:111">
      <c r="CZ41505" s="256"/>
      <c r="DG41505" s="256"/>
    </row>
    <row r="41506" spans="104:111">
      <c r="CZ41506" s="256"/>
      <c r="DG41506" s="256"/>
    </row>
    <row r="41507" spans="104:111">
      <c r="CZ41507" s="256"/>
      <c r="DG41507" s="256"/>
    </row>
    <row r="41508" spans="104:111">
      <c r="CZ41508" s="256"/>
      <c r="DG41508" s="256"/>
    </row>
    <row r="41509" spans="104:111">
      <c r="CZ41509" s="256"/>
      <c r="DG41509" s="256"/>
    </row>
    <row r="41510" spans="104:111">
      <c r="CZ41510" s="256"/>
      <c r="DG41510" s="256"/>
    </row>
    <row r="41511" spans="104:111">
      <c r="CZ41511" s="256"/>
      <c r="DG41511" s="256"/>
    </row>
    <row r="41512" spans="104:111">
      <c r="CZ41512" s="256"/>
      <c r="DG41512" s="256"/>
    </row>
    <row r="41513" spans="104:111">
      <c r="CZ41513" s="256"/>
      <c r="DG41513" s="256"/>
    </row>
    <row r="41514" spans="104:111">
      <c r="CZ41514" s="256"/>
      <c r="DG41514" s="256"/>
    </row>
    <row r="41515" spans="104:111">
      <c r="CZ41515" s="256"/>
      <c r="DG41515" s="256"/>
    </row>
    <row r="41516" spans="104:111">
      <c r="CZ41516" s="256"/>
      <c r="DG41516" s="256"/>
    </row>
    <row r="41517" spans="104:111">
      <c r="CZ41517" s="256"/>
      <c r="DG41517" s="256"/>
    </row>
    <row r="41518" spans="104:111">
      <c r="CZ41518" s="256"/>
      <c r="DG41518" s="256"/>
    </row>
    <row r="41519" spans="104:111">
      <c r="CZ41519" s="256"/>
      <c r="DG41519" s="256"/>
    </row>
    <row r="41520" spans="104:111">
      <c r="CZ41520" s="256"/>
      <c r="DG41520" s="256"/>
    </row>
    <row r="41521" spans="104:111">
      <c r="CZ41521" s="256"/>
      <c r="DG41521" s="256"/>
    </row>
    <row r="41522" spans="104:111">
      <c r="CZ41522" s="256"/>
      <c r="DG41522" s="256"/>
    </row>
    <row r="41523" spans="104:111">
      <c r="CZ41523" s="256"/>
      <c r="DG41523" s="256"/>
    </row>
    <row r="41524" spans="104:111">
      <c r="CZ41524" s="256"/>
      <c r="DG41524" s="256"/>
    </row>
    <row r="41525" spans="104:111">
      <c r="CZ41525" s="256"/>
      <c r="DG41525" s="256"/>
    </row>
    <row r="41526" spans="104:111">
      <c r="CZ41526" s="256"/>
      <c r="DG41526" s="256"/>
    </row>
    <row r="41527" spans="104:111">
      <c r="CZ41527" s="256"/>
      <c r="DG41527" s="256"/>
    </row>
    <row r="41528" spans="104:111">
      <c r="CZ41528" s="256"/>
      <c r="DG41528" s="256"/>
    </row>
    <row r="41529" spans="104:111">
      <c r="CZ41529" s="256"/>
      <c r="DG41529" s="256"/>
    </row>
    <row r="41530" spans="104:111">
      <c r="CZ41530" s="256"/>
      <c r="DG41530" s="256"/>
    </row>
    <row r="41531" spans="104:111">
      <c r="CZ41531" s="256"/>
      <c r="DG41531" s="256"/>
    </row>
    <row r="41532" spans="104:111">
      <c r="CZ41532" s="256"/>
      <c r="DG41532" s="256"/>
    </row>
    <row r="41533" spans="104:111">
      <c r="CZ41533" s="256"/>
      <c r="DG41533" s="256"/>
    </row>
    <row r="41534" spans="104:111">
      <c r="CZ41534" s="256"/>
      <c r="DG41534" s="256"/>
    </row>
    <row r="41535" spans="104:111">
      <c r="CZ41535" s="256"/>
      <c r="DG41535" s="256"/>
    </row>
    <row r="41536" spans="104:111">
      <c r="CZ41536" s="256"/>
      <c r="DG41536" s="256"/>
    </row>
    <row r="41537" spans="104:111">
      <c r="CZ41537" s="256"/>
      <c r="DG41537" s="256"/>
    </row>
    <row r="41538" spans="104:111">
      <c r="CZ41538" s="256"/>
      <c r="DG41538" s="256"/>
    </row>
    <row r="41539" spans="104:111">
      <c r="CZ41539" s="256"/>
      <c r="DG41539" s="256"/>
    </row>
    <row r="41540" spans="104:111">
      <c r="CZ41540" s="256"/>
      <c r="DG41540" s="256"/>
    </row>
    <row r="41541" spans="104:111">
      <c r="CZ41541" s="256"/>
      <c r="DG41541" s="256"/>
    </row>
    <row r="41542" spans="104:111">
      <c r="CZ41542" s="256"/>
      <c r="DG41542" s="256"/>
    </row>
    <row r="41543" spans="104:111">
      <c r="CZ41543" s="256"/>
      <c r="DG41543" s="256"/>
    </row>
    <row r="41544" spans="104:111">
      <c r="CZ41544" s="256"/>
      <c r="DG41544" s="256"/>
    </row>
    <row r="41545" spans="104:111">
      <c r="CZ41545" s="256"/>
      <c r="DG41545" s="256"/>
    </row>
    <row r="41546" spans="104:111">
      <c r="CZ41546" s="256"/>
      <c r="DG41546" s="256"/>
    </row>
    <row r="41547" spans="104:111">
      <c r="CZ41547" s="256"/>
      <c r="DG41547" s="256"/>
    </row>
    <row r="41548" spans="104:111">
      <c r="CZ41548" s="256"/>
      <c r="DG41548" s="256"/>
    </row>
    <row r="41549" spans="104:111">
      <c r="CZ41549" s="256"/>
      <c r="DG41549" s="256"/>
    </row>
    <row r="41550" spans="104:111">
      <c r="CZ41550" s="256"/>
      <c r="DG41550" s="256"/>
    </row>
    <row r="41551" spans="104:111">
      <c r="CZ41551" s="256"/>
      <c r="DG41551" s="256"/>
    </row>
    <row r="41552" spans="104:111">
      <c r="CZ41552" s="256"/>
      <c r="DG41552" s="256"/>
    </row>
    <row r="41553" spans="104:111">
      <c r="CZ41553" s="256"/>
      <c r="DG41553" s="256"/>
    </row>
    <row r="41554" spans="104:111">
      <c r="CZ41554" s="256"/>
      <c r="DG41554" s="256"/>
    </row>
    <row r="41555" spans="104:111">
      <c r="CZ41555" s="256"/>
      <c r="DG41555" s="256"/>
    </row>
    <row r="41556" spans="104:111">
      <c r="CZ41556" s="256"/>
      <c r="DG41556" s="256"/>
    </row>
    <row r="41557" spans="104:111">
      <c r="CZ41557" s="256"/>
      <c r="DG41557" s="256"/>
    </row>
    <row r="41558" spans="104:111">
      <c r="CZ41558" s="256"/>
      <c r="DG41558" s="256"/>
    </row>
    <row r="41559" spans="104:111">
      <c r="CZ41559" s="256"/>
      <c r="DG41559" s="256"/>
    </row>
    <row r="41560" spans="104:111">
      <c r="CZ41560" s="256"/>
      <c r="DG41560" s="256"/>
    </row>
    <row r="41561" spans="104:111">
      <c r="CZ41561" s="256"/>
      <c r="DG41561" s="256"/>
    </row>
    <row r="41562" spans="104:111">
      <c r="CZ41562" s="256"/>
      <c r="DG41562" s="256"/>
    </row>
    <row r="41563" spans="104:111">
      <c r="CZ41563" s="256"/>
      <c r="DG41563" s="256"/>
    </row>
    <row r="41564" spans="104:111">
      <c r="CZ41564" s="256"/>
      <c r="DG41564" s="256"/>
    </row>
    <row r="41565" spans="104:111">
      <c r="CZ41565" s="256"/>
      <c r="DG41565" s="256"/>
    </row>
    <row r="41566" spans="104:111">
      <c r="CZ41566" s="256"/>
      <c r="DG41566" s="256"/>
    </row>
    <row r="41567" spans="104:111">
      <c r="CZ41567" s="256"/>
      <c r="DG41567" s="256"/>
    </row>
    <row r="41568" spans="104:111">
      <c r="CZ41568" s="256"/>
      <c r="DG41568" s="256"/>
    </row>
    <row r="41569" spans="104:111">
      <c r="CZ41569" s="256"/>
      <c r="DG41569" s="256"/>
    </row>
    <row r="41570" spans="104:111">
      <c r="CZ41570" s="256"/>
      <c r="DG41570" s="256"/>
    </row>
    <row r="41571" spans="104:111">
      <c r="CZ41571" s="256"/>
      <c r="DG41571" s="256"/>
    </row>
    <row r="41572" spans="104:111">
      <c r="CZ41572" s="256"/>
      <c r="DG41572" s="256"/>
    </row>
    <row r="41573" spans="104:111">
      <c r="CZ41573" s="256"/>
      <c r="DG41573" s="256"/>
    </row>
    <row r="41574" spans="104:111">
      <c r="CZ41574" s="256"/>
      <c r="DG41574" s="256"/>
    </row>
    <row r="41575" spans="104:111">
      <c r="CZ41575" s="256"/>
      <c r="DG41575" s="256"/>
    </row>
    <row r="41576" spans="104:111">
      <c r="CZ41576" s="256"/>
      <c r="DG41576" s="256"/>
    </row>
    <row r="41577" spans="104:111">
      <c r="CZ41577" s="256"/>
      <c r="DG41577" s="256"/>
    </row>
    <row r="41578" spans="104:111">
      <c r="CZ41578" s="256"/>
      <c r="DG41578" s="256"/>
    </row>
    <row r="41579" spans="104:111">
      <c r="CZ41579" s="256"/>
      <c r="DG41579" s="256"/>
    </row>
    <row r="41580" spans="104:111">
      <c r="CZ41580" s="256"/>
      <c r="DG41580" s="256"/>
    </row>
    <row r="41581" spans="104:111">
      <c r="CZ41581" s="256"/>
      <c r="DG41581" s="256"/>
    </row>
    <row r="41582" spans="104:111">
      <c r="CZ41582" s="256"/>
      <c r="DG41582" s="256"/>
    </row>
    <row r="41583" spans="104:111">
      <c r="CZ41583" s="256"/>
      <c r="DG41583" s="256"/>
    </row>
    <row r="41584" spans="104:111">
      <c r="CZ41584" s="256"/>
      <c r="DG41584" s="256"/>
    </row>
    <row r="41585" spans="104:111">
      <c r="CZ41585" s="256"/>
      <c r="DG41585" s="256"/>
    </row>
    <row r="41586" spans="104:111">
      <c r="CZ41586" s="256"/>
      <c r="DG41586" s="256"/>
    </row>
    <row r="41587" spans="104:111">
      <c r="CZ41587" s="256"/>
      <c r="DG41587" s="256"/>
    </row>
    <row r="41588" spans="104:111">
      <c r="CZ41588" s="256"/>
      <c r="DG41588" s="256"/>
    </row>
    <row r="41589" spans="104:111">
      <c r="CZ41589" s="256"/>
      <c r="DG41589" s="256"/>
    </row>
    <row r="41590" spans="104:111">
      <c r="CZ41590" s="256"/>
      <c r="DG41590" s="256"/>
    </row>
    <row r="41591" spans="104:111">
      <c r="CZ41591" s="256"/>
      <c r="DG41591" s="256"/>
    </row>
    <row r="41592" spans="104:111">
      <c r="CZ41592" s="256"/>
      <c r="DG41592" s="256"/>
    </row>
    <row r="41593" spans="104:111">
      <c r="CZ41593" s="256"/>
      <c r="DG41593" s="256"/>
    </row>
    <row r="41594" spans="104:111">
      <c r="CZ41594" s="256"/>
      <c r="DG41594" s="256"/>
    </row>
    <row r="41595" spans="104:111">
      <c r="CZ41595" s="256"/>
      <c r="DG41595" s="256"/>
    </row>
    <row r="41596" spans="104:111">
      <c r="CZ41596" s="256"/>
      <c r="DG41596" s="256"/>
    </row>
    <row r="41597" spans="104:111">
      <c r="CZ41597" s="256"/>
      <c r="DG41597" s="256"/>
    </row>
    <row r="41598" spans="104:111">
      <c r="CZ41598" s="256"/>
      <c r="DG41598" s="256"/>
    </row>
    <row r="41599" spans="104:111">
      <c r="CZ41599" s="256"/>
      <c r="DG41599" s="256"/>
    </row>
    <row r="41600" spans="104:111">
      <c r="CZ41600" s="256"/>
      <c r="DG41600" s="256"/>
    </row>
    <row r="41601" spans="104:111">
      <c r="CZ41601" s="256"/>
      <c r="DG41601" s="256"/>
    </row>
    <row r="41602" spans="104:111">
      <c r="CZ41602" s="256"/>
      <c r="DG41602" s="256"/>
    </row>
    <row r="41603" spans="104:111">
      <c r="CZ41603" s="256"/>
      <c r="DG41603" s="256"/>
    </row>
    <row r="41604" spans="104:111">
      <c r="CZ41604" s="256"/>
      <c r="DG41604" s="256"/>
    </row>
    <row r="41605" spans="104:111">
      <c r="CZ41605" s="256"/>
      <c r="DG41605" s="256"/>
    </row>
    <row r="41606" spans="104:111">
      <c r="CZ41606" s="256"/>
      <c r="DG41606" s="256"/>
    </row>
    <row r="41607" spans="104:111">
      <c r="CZ41607" s="256"/>
      <c r="DG41607" s="256"/>
    </row>
    <row r="41608" spans="104:111">
      <c r="CZ41608" s="256"/>
      <c r="DG41608" s="256"/>
    </row>
    <row r="41609" spans="104:111">
      <c r="CZ41609" s="256"/>
      <c r="DG41609" s="256"/>
    </row>
    <row r="41610" spans="104:111">
      <c r="CZ41610" s="256"/>
      <c r="DG41610" s="256"/>
    </row>
    <row r="41611" spans="104:111">
      <c r="CZ41611" s="256"/>
      <c r="DG41611" s="256"/>
    </row>
    <row r="41612" spans="104:111">
      <c r="CZ41612" s="256"/>
      <c r="DG41612" s="256"/>
    </row>
    <row r="41613" spans="104:111">
      <c r="CZ41613" s="256"/>
      <c r="DG41613" s="256"/>
    </row>
    <row r="41614" spans="104:111">
      <c r="CZ41614" s="256"/>
      <c r="DG41614" s="256"/>
    </row>
    <row r="41615" spans="104:111">
      <c r="CZ41615" s="256"/>
      <c r="DG41615" s="256"/>
    </row>
    <row r="41616" spans="104:111">
      <c r="CZ41616" s="256"/>
      <c r="DG41616" s="256"/>
    </row>
    <row r="41617" spans="104:111">
      <c r="CZ41617" s="256"/>
      <c r="DG41617" s="256"/>
    </row>
    <row r="41618" spans="104:111">
      <c r="CZ41618" s="256"/>
      <c r="DG41618" s="256"/>
    </row>
    <row r="41619" spans="104:111">
      <c r="CZ41619" s="256"/>
      <c r="DG41619" s="256"/>
    </row>
    <row r="41620" spans="104:111">
      <c r="CZ41620" s="256"/>
      <c r="DG41620" s="256"/>
    </row>
    <row r="41621" spans="104:111">
      <c r="CZ41621" s="256"/>
      <c r="DG41621" s="256"/>
    </row>
    <row r="41622" spans="104:111">
      <c r="CZ41622" s="256"/>
      <c r="DG41622" s="256"/>
    </row>
    <row r="41623" spans="104:111">
      <c r="CZ41623" s="256"/>
      <c r="DG41623" s="256"/>
    </row>
    <row r="41624" spans="104:111">
      <c r="CZ41624" s="256"/>
      <c r="DG41624" s="256"/>
    </row>
    <row r="41625" spans="104:111">
      <c r="CZ41625" s="256"/>
      <c r="DG41625" s="256"/>
    </row>
    <row r="41626" spans="104:111">
      <c r="CZ41626" s="256"/>
      <c r="DG41626" s="256"/>
    </row>
    <row r="41627" spans="104:111">
      <c r="CZ41627" s="256"/>
      <c r="DG41627" s="256"/>
    </row>
    <row r="41628" spans="104:111">
      <c r="CZ41628" s="256"/>
      <c r="DG41628" s="256"/>
    </row>
    <row r="41629" spans="104:111">
      <c r="CZ41629" s="256"/>
      <c r="DG41629" s="256"/>
    </row>
    <row r="41630" spans="104:111">
      <c r="CZ41630" s="256"/>
      <c r="DG41630" s="256"/>
    </row>
    <row r="41631" spans="104:111">
      <c r="CZ41631" s="256"/>
      <c r="DG41631" s="256"/>
    </row>
    <row r="41632" spans="104:111">
      <c r="CZ41632" s="256"/>
      <c r="DG41632" s="256"/>
    </row>
    <row r="41633" spans="104:111">
      <c r="CZ41633" s="256"/>
      <c r="DG41633" s="256"/>
    </row>
    <row r="41634" spans="104:111">
      <c r="CZ41634" s="256"/>
      <c r="DG41634" s="256"/>
    </row>
    <row r="41635" spans="104:111">
      <c r="CZ41635" s="256"/>
      <c r="DG41635" s="256"/>
    </row>
    <row r="41636" spans="104:111">
      <c r="CZ41636" s="256"/>
      <c r="DG41636" s="256"/>
    </row>
    <row r="41637" spans="104:111">
      <c r="CZ41637" s="256"/>
      <c r="DG41637" s="256"/>
    </row>
    <row r="41638" spans="104:111">
      <c r="CZ41638" s="256"/>
      <c r="DG41638" s="256"/>
    </row>
    <row r="41639" spans="104:111">
      <c r="CZ41639" s="256"/>
      <c r="DG41639" s="256"/>
    </row>
    <row r="41640" spans="104:111">
      <c r="CZ41640" s="256"/>
      <c r="DG41640" s="256"/>
    </row>
    <row r="41641" spans="104:111">
      <c r="CZ41641" s="256"/>
      <c r="DG41641" s="256"/>
    </row>
    <row r="41642" spans="104:111">
      <c r="CZ41642" s="256"/>
      <c r="DG41642" s="256"/>
    </row>
    <row r="41643" spans="104:111">
      <c r="CZ41643" s="256"/>
      <c r="DG41643" s="256"/>
    </row>
    <row r="41644" spans="104:111">
      <c r="CZ41644" s="256"/>
      <c r="DG41644" s="256"/>
    </row>
    <row r="41645" spans="104:111">
      <c r="CZ41645" s="256"/>
      <c r="DG41645" s="256"/>
    </row>
    <row r="41646" spans="104:111">
      <c r="CZ41646" s="256"/>
      <c r="DG41646" s="256"/>
    </row>
    <row r="41647" spans="104:111">
      <c r="CZ41647" s="256"/>
      <c r="DG41647" s="256"/>
    </row>
    <row r="41648" spans="104:111">
      <c r="CZ41648" s="256"/>
      <c r="DG41648" s="256"/>
    </row>
    <row r="41649" spans="104:111">
      <c r="CZ41649" s="256"/>
      <c r="DG41649" s="256"/>
    </row>
    <row r="41650" spans="104:111">
      <c r="CZ41650" s="256"/>
      <c r="DG41650" s="256"/>
    </row>
    <row r="41651" spans="104:111">
      <c r="CZ41651" s="256"/>
      <c r="DG41651" s="256"/>
    </row>
    <row r="41652" spans="104:111">
      <c r="CZ41652" s="256"/>
      <c r="DG41652" s="256"/>
    </row>
    <row r="41653" spans="104:111">
      <c r="CZ41653" s="256"/>
      <c r="DG41653" s="256"/>
    </row>
    <row r="41654" spans="104:111">
      <c r="CZ41654" s="256"/>
      <c r="DG41654" s="256"/>
    </row>
    <row r="41655" spans="104:111">
      <c r="CZ41655" s="256"/>
      <c r="DG41655" s="256"/>
    </row>
    <row r="41656" spans="104:111">
      <c r="CZ41656" s="256"/>
      <c r="DG41656" s="256"/>
    </row>
    <row r="41657" spans="104:111">
      <c r="CZ41657" s="256"/>
      <c r="DG41657" s="256"/>
    </row>
    <row r="41658" spans="104:111">
      <c r="CZ41658" s="256"/>
      <c r="DG41658" s="256"/>
    </row>
    <row r="41659" spans="104:111">
      <c r="CZ41659" s="256"/>
      <c r="DG41659" s="256"/>
    </row>
    <row r="41660" spans="104:111">
      <c r="CZ41660" s="256"/>
      <c r="DG41660" s="256"/>
    </row>
    <row r="41661" spans="104:111">
      <c r="CZ41661" s="256"/>
      <c r="DG41661" s="256"/>
    </row>
    <row r="41662" spans="104:111">
      <c r="CZ41662" s="256"/>
      <c r="DG41662" s="256"/>
    </row>
    <row r="41663" spans="104:111">
      <c r="CZ41663" s="256"/>
      <c r="DG41663" s="256"/>
    </row>
    <row r="41664" spans="104:111">
      <c r="CZ41664" s="256"/>
      <c r="DG41664" s="256"/>
    </row>
    <row r="41665" spans="104:111">
      <c r="CZ41665" s="256"/>
      <c r="DG41665" s="256"/>
    </row>
    <row r="41666" spans="104:111">
      <c r="CZ41666" s="256"/>
      <c r="DG41666" s="256"/>
    </row>
    <row r="41667" spans="104:111">
      <c r="CZ41667" s="256"/>
      <c r="DG41667" s="256"/>
    </row>
    <row r="41668" spans="104:111">
      <c r="CZ41668" s="256"/>
      <c r="DG41668" s="256"/>
    </row>
    <row r="41669" spans="104:111">
      <c r="CZ41669" s="256"/>
      <c r="DG41669" s="256"/>
    </row>
    <row r="41670" spans="104:111">
      <c r="CZ41670" s="256"/>
      <c r="DG41670" s="256"/>
    </row>
    <row r="41671" spans="104:111">
      <c r="CZ41671" s="256"/>
      <c r="DG41671" s="256"/>
    </row>
    <row r="41672" spans="104:111">
      <c r="CZ41672" s="256"/>
      <c r="DG41672" s="256"/>
    </row>
    <row r="41673" spans="104:111">
      <c r="CZ41673" s="256"/>
      <c r="DG41673" s="256"/>
    </row>
    <row r="41674" spans="104:111">
      <c r="CZ41674" s="256"/>
      <c r="DG41674" s="256"/>
    </row>
    <row r="41675" spans="104:111">
      <c r="CZ41675" s="256"/>
      <c r="DG41675" s="256"/>
    </row>
    <row r="41676" spans="104:111">
      <c r="CZ41676" s="256"/>
      <c r="DG41676" s="256"/>
    </row>
    <row r="41677" spans="104:111">
      <c r="CZ41677" s="256"/>
      <c r="DG41677" s="256"/>
    </row>
    <row r="41678" spans="104:111">
      <c r="CZ41678" s="256"/>
      <c r="DG41678" s="256"/>
    </row>
    <row r="41679" spans="104:111">
      <c r="CZ41679" s="256"/>
      <c r="DG41679" s="256"/>
    </row>
    <row r="41680" spans="104:111">
      <c r="CZ41680" s="256"/>
      <c r="DG41680" s="256"/>
    </row>
    <row r="41681" spans="104:111">
      <c r="CZ41681" s="256"/>
      <c r="DG41681" s="256"/>
    </row>
    <row r="41682" spans="104:111">
      <c r="CZ41682" s="256"/>
      <c r="DG41682" s="256"/>
    </row>
    <row r="41683" spans="104:111">
      <c r="CZ41683" s="256"/>
      <c r="DG41683" s="256"/>
    </row>
    <row r="41684" spans="104:111">
      <c r="CZ41684" s="256"/>
      <c r="DG41684" s="256"/>
    </row>
    <row r="41685" spans="104:111">
      <c r="CZ41685" s="256"/>
      <c r="DG41685" s="256"/>
    </row>
    <row r="41686" spans="104:111">
      <c r="CZ41686" s="256"/>
      <c r="DG41686" s="256"/>
    </row>
    <row r="41687" spans="104:111">
      <c r="CZ41687" s="256"/>
      <c r="DG41687" s="256"/>
    </row>
    <row r="41688" spans="104:111">
      <c r="CZ41688" s="256"/>
      <c r="DG41688" s="256"/>
    </row>
    <row r="41689" spans="104:111">
      <c r="CZ41689" s="256"/>
      <c r="DG41689" s="256"/>
    </row>
    <row r="41690" spans="104:111">
      <c r="CZ41690" s="256"/>
      <c r="DG41690" s="256"/>
    </row>
    <row r="41691" spans="104:111">
      <c r="CZ41691" s="256"/>
      <c r="DG41691" s="256"/>
    </row>
    <row r="41692" spans="104:111">
      <c r="CZ41692" s="256"/>
      <c r="DG41692" s="256"/>
    </row>
    <row r="41693" spans="104:111">
      <c r="CZ41693" s="256"/>
      <c r="DG41693" s="256"/>
    </row>
    <row r="41694" spans="104:111">
      <c r="CZ41694" s="256"/>
      <c r="DG41694" s="256"/>
    </row>
    <row r="41695" spans="104:111">
      <c r="CZ41695" s="256"/>
      <c r="DG41695" s="256"/>
    </row>
    <row r="41696" spans="104:111">
      <c r="CZ41696" s="256"/>
      <c r="DG41696" s="256"/>
    </row>
    <row r="41697" spans="104:111">
      <c r="CZ41697" s="256"/>
      <c r="DG41697" s="256"/>
    </row>
    <row r="41698" spans="104:111">
      <c r="CZ41698" s="256"/>
      <c r="DG41698" s="256"/>
    </row>
    <row r="41699" spans="104:111">
      <c r="CZ41699" s="256"/>
      <c r="DG41699" s="256"/>
    </row>
    <row r="41700" spans="104:111">
      <c r="CZ41700" s="256"/>
      <c r="DG41700" s="256"/>
    </row>
    <row r="41701" spans="104:111">
      <c r="CZ41701" s="256"/>
      <c r="DG41701" s="256"/>
    </row>
    <row r="41702" spans="104:111">
      <c r="CZ41702" s="256"/>
      <c r="DG41702" s="256"/>
    </row>
    <row r="41703" spans="104:111">
      <c r="CZ41703" s="256"/>
      <c r="DG41703" s="256"/>
    </row>
    <row r="41704" spans="104:111">
      <c r="CZ41704" s="256"/>
      <c r="DG41704" s="256"/>
    </row>
    <row r="41705" spans="104:111">
      <c r="CZ41705" s="256"/>
      <c r="DG41705" s="256"/>
    </row>
    <row r="41706" spans="104:111">
      <c r="CZ41706" s="256"/>
      <c r="DG41706" s="256"/>
    </row>
    <row r="41707" spans="104:111">
      <c r="CZ41707" s="256"/>
      <c r="DG41707" s="256"/>
    </row>
    <row r="41708" spans="104:111">
      <c r="CZ41708" s="256"/>
      <c r="DG41708" s="256"/>
    </row>
    <row r="41709" spans="104:111">
      <c r="CZ41709" s="256"/>
      <c r="DG41709" s="256"/>
    </row>
    <row r="41710" spans="104:111">
      <c r="CZ41710" s="256"/>
      <c r="DG41710" s="256"/>
    </row>
    <row r="41711" spans="104:111">
      <c r="CZ41711" s="256"/>
      <c r="DG41711" s="256"/>
    </row>
    <row r="41712" spans="104:111">
      <c r="CZ41712" s="256"/>
      <c r="DG41712" s="256"/>
    </row>
    <row r="41713" spans="104:111">
      <c r="CZ41713" s="256"/>
      <c r="DG41713" s="256"/>
    </row>
    <row r="41714" spans="104:111">
      <c r="CZ41714" s="256"/>
      <c r="DG41714" s="256"/>
    </row>
    <row r="41715" spans="104:111">
      <c r="CZ41715" s="256"/>
      <c r="DG41715" s="256"/>
    </row>
    <row r="41716" spans="104:111">
      <c r="CZ41716" s="256"/>
      <c r="DG41716" s="256"/>
    </row>
    <row r="41717" spans="104:111">
      <c r="CZ41717" s="256"/>
      <c r="DG41717" s="256"/>
    </row>
    <row r="41718" spans="104:111">
      <c r="CZ41718" s="256"/>
      <c r="DG41718" s="256"/>
    </row>
    <row r="41719" spans="104:111">
      <c r="CZ41719" s="256"/>
      <c r="DG41719" s="256"/>
    </row>
    <row r="41720" spans="104:111">
      <c r="CZ41720" s="256"/>
      <c r="DG41720" s="256"/>
    </row>
    <row r="41721" spans="104:111">
      <c r="CZ41721" s="256"/>
      <c r="DG41721" s="256"/>
    </row>
    <row r="41722" spans="104:111">
      <c r="CZ41722" s="256"/>
      <c r="DG41722" s="256"/>
    </row>
    <row r="41723" spans="104:111">
      <c r="CZ41723" s="256"/>
      <c r="DG41723" s="256"/>
    </row>
    <row r="41724" spans="104:111">
      <c r="CZ41724" s="256"/>
      <c r="DG41724" s="256"/>
    </row>
    <row r="41725" spans="104:111">
      <c r="CZ41725" s="256"/>
      <c r="DG41725" s="256"/>
    </row>
    <row r="41726" spans="104:111">
      <c r="CZ41726" s="256"/>
      <c r="DG41726" s="256"/>
    </row>
    <row r="41727" spans="104:111">
      <c r="CZ41727" s="256"/>
      <c r="DG41727" s="256"/>
    </row>
    <row r="41728" spans="104:111">
      <c r="CZ41728" s="256"/>
      <c r="DG41728" s="256"/>
    </row>
    <row r="41729" spans="104:111">
      <c r="CZ41729" s="256"/>
      <c r="DG41729" s="256"/>
    </row>
    <row r="41730" spans="104:111">
      <c r="CZ41730" s="256"/>
      <c r="DG41730" s="256"/>
    </row>
    <row r="41731" spans="104:111">
      <c r="CZ41731" s="256"/>
      <c r="DG41731" s="256"/>
    </row>
    <row r="41732" spans="104:111">
      <c r="CZ41732" s="256"/>
      <c r="DG41732" s="256"/>
    </row>
    <row r="41733" spans="104:111">
      <c r="CZ41733" s="256"/>
      <c r="DG41733" s="256"/>
    </row>
    <row r="41734" spans="104:111">
      <c r="CZ41734" s="256"/>
      <c r="DG41734" s="256"/>
    </row>
    <row r="41735" spans="104:111">
      <c r="CZ41735" s="256"/>
      <c r="DG41735" s="256"/>
    </row>
    <row r="41736" spans="104:111">
      <c r="CZ41736" s="256"/>
      <c r="DG41736" s="256"/>
    </row>
    <row r="41737" spans="104:111">
      <c r="CZ41737" s="256"/>
      <c r="DG41737" s="256"/>
    </row>
    <row r="41738" spans="104:111">
      <c r="CZ41738" s="256"/>
      <c r="DG41738" s="256"/>
    </row>
    <row r="41739" spans="104:111">
      <c r="CZ41739" s="256"/>
      <c r="DG41739" s="256"/>
    </row>
    <row r="41740" spans="104:111">
      <c r="CZ41740" s="256"/>
      <c r="DG41740" s="256"/>
    </row>
    <row r="41741" spans="104:111">
      <c r="CZ41741" s="256"/>
      <c r="DG41741" s="256"/>
    </row>
    <row r="41742" spans="104:111">
      <c r="CZ41742" s="256"/>
      <c r="DG41742" s="256"/>
    </row>
    <row r="41743" spans="104:111">
      <c r="CZ41743" s="256"/>
      <c r="DG41743" s="256"/>
    </row>
    <row r="41744" spans="104:111">
      <c r="CZ41744" s="256"/>
      <c r="DG41744" s="256"/>
    </row>
    <row r="41745" spans="104:111">
      <c r="CZ41745" s="256"/>
      <c r="DG41745" s="256"/>
    </row>
    <row r="41746" spans="104:111">
      <c r="CZ41746" s="256"/>
      <c r="DG41746" s="256"/>
    </row>
    <row r="41747" spans="104:111">
      <c r="CZ41747" s="256"/>
      <c r="DG41747" s="256"/>
    </row>
    <row r="41748" spans="104:111">
      <c r="CZ41748" s="256"/>
      <c r="DG41748" s="256"/>
    </row>
    <row r="41749" spans="104:111">
      <c r="CZ41749" s="256"/>
      <c r="DG41749" s="256"/>
    </row>
    <row r="41750" spans="104:111">
      <c r="CZ41750" s="256"/>
      <c r="DG41750" s="256"/>
    </row>
    <row r="41751" spans="104:111">
      <c r="CZ41751" s="256"/>
      <c r="DG41751" s="256"/>
    </row>
    <row r="41752" spans="104:111">
      <c r="CZ41752" s="256"/>
      <c r="DG41752" s="256"/>
    </row>
    <row r="41753" spans="104:111">
      <c r="CZ41753" s="256"/>
      <c r="DG41753" s="256"/>
    </row>
    <row r="41754" spans="104:111">
      <c r="CZ41754" s="256"/>
      <c r="DG41754" s="256"/>
    </row>
    <row r="41755" spans="104:111">
      <c r="CZ41755" s="256"/>
      <c r="DG41755" s="256"/>
    </row>
    <row r="41756" spans="104:111">
      <c r="CZ41756" s="256"/>
      <c r="DG41756" s="256"/>
    </row>
    <row r="41757" spans="104:111">
      <c r="CZ41757" s="256"/>
      <c r="DG41757" s="256"/>
    </row>
    <row r="41758" spans="104:111">
      <c r="CZ41758" s="256"/>
      <c r="DG41758" s="256"/>
    </row>
    <row r="41759" spans="104:111">
      <c r="CZ41759" s="256"/>
      <c r="DG41759" s="256"/>
    </row>
    <row r="41760" spans="104:111">
      <c r="CZ41760" s="256"/>
      <c r="DG41760" s="256"/>
    </row>
    <row r="41761" spans="104:111">
      <c r="CZ41761" s="256"/>
      <c r="DG41761" s="256"/>
    </row>
    <row r="41762" spans="104:111">
      <c r="CZ41762" s="256"/>
      <c r="DG41762" s="256"/>
    </row>
    <row r="41763" spans="104:111">
      <c r="CZ41763" s="256"/>
      <c r="DG41763" s="256"/>
    </row>
    <row r="41764" spans="104:111">
      <c r="CZ41764" s="256"/>
      <c r="DG41764" s="256"/>
    </row>
    <row r="41765" spans="104:111">
      <c r="CZ41765" s="256"/>
      <c r="DG41765" s="256"/>
    </row>
    <row r="41766" spans="104:111">
      <c r="CZ41766" s="256"/>
      <c r="DG41766" s="256"/>
    </row>
    <row r="41767" spans="104:111">
      <c r="CZ41767" s="256"/>
      <c r="DG41767" s="256"/>
    </row>
    <row r="41768" spans="104:111">
      <c r="CZ41768" s="256"/>
      <c r="DG41768" s="256"/>
    </row>
    <row r="41769" spans="104:111">
      <c r="CZ41769" s="256"/>
      <c r="DG41769" s="256"/>
    </row>
    <row r="41770" spans="104:111">
      <c r="CZ41770" s="256"/>
      <c r="DG41770" s="256"/>
    </row>
    <row r="41771" spans="104:111">
      <c r="CZ41771" s="256"/>
      <c r="DG41771" s="256"/>
    </row>
    <row r="41772" spans="104:111">
      <c r="CZ41772" s="256"/>
      <c r="DG41772" s="256"/>
    </row>
    <row r="41773" spans="104:111">
      <c r="CZ41773" s="256"/>
      <c r="DG41773" s="256"/>
    </row>
    <row r="41774" spans="104:111">
      <c r="CZ41774" s="256"/>
      <c r="DG41774" s="256"/>
    </row>
    <row r="41775" spans="104:111">
      <c r="CZ41775" s="256"/>
      <c r="DG41775" s="256"/>
    </row>
    <row r="41776" spans="104:111">
      <c r="CZ41776" s="256"/>
      <c r="DG41776" s="256"/>
    </row>
    <row r="41777" spans="104:111">
      <c r="CZ41777" s="256"/>
      <c r="DG41777" s="256"/>
    </row>
    <row r="41778" spans="104:111">
      <c r="CZ41778" s="256"/>
      <c r="DG41778" s="256"/>
    </row>
    <row r="41779" spans="104:111">
      <c r="CZ41779" s="256"/>
      <c r="DG41779" s="256"/>
    </row>
    <row r="41780" spans="104:111">
      <c r="CZ41780" s="256"/>
      <c r="DG41780" s="256"/>
    </row>
    <row r="41781" spans="104:111">
      <c r="CZ41781" s="256"/>
      <c r="DG41781" s="256"/>
    </row>
    <row r="41782" spans="104:111">
      <c r="CZ41782" s="256"/>
      <c r="DG41782" s="256"/>
    </row>
    <row r="41783" spans="104:111">
      <c r="CZ41783" s="256"/>
      <c r="DG41783" s="256"/>
    </row>
    <row r="41784" spans="104:111">
      <c r="CZ41784" s="256"/>
      <c r="DG41784" s="256"/>
    </row>
    <row r="41785" spans="104:111">
      <c r="CZ41785" s="256"/>
      <c r="DG41785" s="256"/>
    </row>
    <row r="41786" spans="104:111">
      <c r="CZ41786" s="256"/>
      <c r="DG41786" s="256"/>
    </row>
    <row r="41787" spans="104:111">
      <c r="CZ41787" s="256"/>
      <c r="DG41787" s="256"/>
    </row>
    <row r="41788" spans="104:111">
      <c r="CZ41788" s="256"/>
      <c r="DG41788" s="256"/>
    </row>
    <row r="41789" spans="104:111">
      <c r="CZ41789" s="256"/>
      <c r="DG41789" s="256"/>
    </row>
    <row r="41790" spans="104:111">
      <c r="CZ41790" s="256"/>
      <c r="DG41790" s="256"/>
    </row>
    <row r="41791" spans="104:111">
      <c r="CZ41791" s="256"/>
      <c r="DG41791" s="256"/>
    </row>
    <row r="41792" spans="104:111">
      <c r="CZ41792" s="256"/>
      <c r="DG41792" s="256"/>
    </row>
    <row r="41793" spans="104:111">
      <c r="CZ41793" s="256"/>
      <c r="DG41793" s="256"/>
    </row>
    <row r="41794" spans="104:111">
      <c r="CZ41794" s="256"/>
      <c r="DG41794" s="256"/>
    </row>
    <row r="41795" spans="104:111">
      <c r="CZ41795" s="256"/>
      <c r="DG41795" s="256"/>
    </row>
    <row r="41796" spans="104:111">
      <c r="CZ41796" s="256"/>
      <c r="DG41796" s="256"/>
    </row>
    <row r="41797" spans="104:111">
      <c r="CZ41797" s="256"/>
      <c r="DG41797" s="256"/>
    </row>
    <row r="41798" spans="104:111">
      <c r="CZ41798" s="256"/>
      <c r="DG41798" s="256"/>
    </row>
    <row r="41799" spans="104:111">
      <c r="CZ41799" s="256"/>
      <c r="DG41799" s="256"/>
    </row>
    <row r="41800" spans="104:111">
      <c r="CZ41800" s="256"/>
      <c r="DG41800" s="256"/>
    </row>
    <row r="41801" spans="104:111">
      <c r="CZ41801" s="256"/>
      <c r="DG41801" s="256"/>
    </row>
    <row r="41802" spans="104:111">
      <c r="CZ41802" s="256"/>
      <c r="DG41802" s="256"/>
    </row>
    <row r="41803" spans="104:111">
      <c r="CZ41803" s="256"/>
      <c r="DG41803" s="256"/>
    </row>
    <row r="41804" spans="104:111">
      <c r="CZ41804" s="256"/>
      <c r="DG41804" s="256"/>
    </row>
    <row r="41805" spans="104:111">
      <c r="CZ41805" s="256"/>
      <c r="DG41805" s="256"/>
    </row>
    <row r="41806" spans="104:111">
      <c r="CZ41806" s="256"/>
      <c r="DG41806" s="256"/>
    </row>
    <row r="41807" spans="104:111">
      <c r="CZ41807" s="256"/>
      <c r="DG41807" s="256"/>
    </row>
    <row r="41808" spans="104:111">
      <c r="CZ41808" s="256"/>
      <c r="DG41808" s="256"/>
    </row>
    <row r="41809" spans="104:111">
      <c r="CZ41809" s="256"/>
      <c r="DG41809" s="256"/>
    </row>
    <row r="41810" spans="104:111">
      <c r="CZ41810" s="256"/>
      <c r="DG41810" s="256"/>
    </row>
    <row r="41811" spans="104:111">
      <c r="CZ41811" s="256"/>
      <c r="DG41811" s="256"/>
    </row>
    <row r="41812" spans="104:111">
      <c r="CZ41812" s="256"/>
      <c r="DG41812" s="256"/>
    </row>
    <row r="41813" spans="104:111">
      <c r="CZ41813" s="256"/>
      <c r="DG41813" s="256"/>
    </row>
    <row r="41814" spans="104:111">
      <c r="CZ41814" s="256"/>
      <c r="DG41814" s="256"/>
    </row>
    <row r="41815" spans="104:111">
      <c r="CZ41815" s="256"/>
      <c r="DG41815" s="256"/>
    </row>
    <row r="41816" spans="104:111">
      <c r="CZ41816" s="256"/>
      <c r="DG41816" s="256"/>
    </row>
    <row r="41817" spans="104:111">
      <c r="CZ41817" s="256"/>
      <c r="DG41817" s="256"/>
    </row>
    <row r="41818" spans="104:111">
      <c r="CZ41818" s="256"/>
      <c r="DG41818" s="256"/>
    </row>
    <row r="41819" spans="104:111">
      <c r="CZ41819" s="256"/>
      <c r="DG41819" s="256"/>
    </row>
    <row r="41820" spans="104:111">
      <c r="CZ41820" s="256"/>
      <c r="DG41820" s="256"/>
    </row>
    <row r="41821" spans="104:111">
      <c r="CZ41821" s="256"/>
      <c r="DG41821" s="256"/>
    </row>
    <row r="41822" spans="104:111">
      <c r="CZ41822" s="256"/>
      <c r="DG41822" s="256"/>
    </row>
    <row r="41823" spans="104:111">
      <c r="CZ41823" s="256"/>
      <c r="DG41823" s="256"/>
    </row>
    <row r="41824" spans="104:111">
      <c r="CZ41824" s="256"/>
      <c r="DG41824" s="256"/>
    </row>
    <row r="41825" spans="104:111">
      <c r="CZ41825" s="256"/>
      <c r="DG41825" s="256"/>
    </row>
    <row r="41826" spans="104:111">
      <c r="CZ41826" s="256"/>
      <c r="DG41826" s="256"/>
    </row>
    <row r="41827" spans="104:111">
      <c r="CZ41827" s="256"/>
      <c r="DG41827" s="256"/>
    </row>
    <row r="41828" spans="104:111">
      <c r="CZ41828" s="256"/>
      <c r="DG41828" s="256"/>
    </row>
    <row r="41829" spans="104:111">
      <c r="CZ41829" s="256"/>
      <c r="DG41829" s="256"/>
    </row>
    <row r="41830" spans="104:111">
      <c r="CZ41830" s="256"/>
      <c r="DG41830" s="256"/>
    </row>
    <row r="41831" spans="104:111">
      <c r="CZ41831" s="256"/>
      <c r="DG41831" s="256"/>
    </row>
    <row r="41832" spans="104:111">
      <c r="CZ41832" s="256"/>
      <c r="DG41832" s="256"/>
    </row>
    <row r="41833" spans="104:111">
      <c r="CZ41833" s="256"/>
      <c r="DG41833" s="256"/>
    </row>
    <row r="41834" spans="104:111">
      <c r="CZ41834" s="256"/>
      <c r="DG41834" s="256"/>
    </row>
    <row r="41835" spans="104:111">
      <c r="CZ41835" s="256"/>
      <c r="DG41835" s="256"/>
    </row>
    <row r="41836" spans="104:111">
      <c r="CZ41836" s="256"/>
      <c r="DG41836" s="256"/>
    </row>
    <row r="41837" spans="104:111">
      <c r="CZ41837" s="256"/>
      <c r="DG41837" s="256"/>
    </row>
    <row r="41838" spans="104:111">
      <c r="CZ41838" s="256"/>
      <c r="DG41838" s="256"/>
    </row>
    <row r="41839" spans="104:111">
      <c r="CZ41839" s="256"/>
      <c r="DG41839" s="256"/>
    </row>
    <row r="41840" spans="104:111">
      <c r="CZ41840" s="256"/>
      <c r="DG41840" s="256"/>
    </row>
    <row r="41841" spans="104:111">
      <c r="CZ41841" s="256"/>
      <c r="DG41841" s="256"/>
    </row>
    <row r="41842" spans="104:111">
      <c r="CZ41842" s="256"/>
      <c r="DG41842" s="256"/>
    </row>
    <row r="41843" spans="104:111">
      <c r="CZ41843" s="256"/>
      <c r="DG41843" s="256"/>
    </row>
    <row r="41844" spans="104:111">
      <c r="CZ41844" s="256"/>
      <c r="DG41844" s="256"/>
    </row>
    <row r="41845" spans="104:111">
      <c r="CZ41845" s="256"/>
      <c r="DG41845" s="256"/>
    </row>
    <row r="41846" spans="104:111">
      <c r="CZ41846" s="256"/>
      <c r="DG41846" s="256"/>
    </row>
    <row r="41847" spans="104:111">
      <c r="CZ41847" s="256"/>
      <c r="DG41847" s="256"/>
    </row>
    <row r="41848" spans="104:111">
      <c r="CZ41848" s="256"/>
      <c r="DG41848" s="256"/>
    </row>
    <row r="41849" spans="104:111">
      <c r="CZ41849" s="256"/>
      <c r="DG41849" s="256"/>
    </row>
    <row r="41850" spans="104:111">
      <c r="CZ41850" s="256"/>
      <c r="DG41850" s="256"/>
    </row>
    <row r="41851" spans="104:111">
      <c r="CZ41851" s="256"/>
      <c r="DG41851" s="256"/>
    </row>
    <row r="41852" spans="104:111">
      <c r="CZ41852" s="256"/>
      <c r="DG41852" s="256"/>
    </row>
    <row r="41853" spans="104:111">
      <c r="CZ41853" s="256"/>
      <c r="DG41853" s="256"/>
    </row>
    <row r="41854" spans="104:111">
      <c r="CZ41854" s="256"/>
      <c r="DG41854" s="256"/>
    </row>
    <row r="41855" spans="104:111">
      <c r="CZ41855" s="256"/>
      <c r="DG41855" s="256"/>
    </row>
    <row r="41856" spans="104:111">
      <c r="CZ41856" s="256"/>
      <c r="DG41856" s="256"/>
    </row>
    <row r="41857" spans="104:111">
      <c r="CZ41857" s="256"/>
      <c r="DG41857" s="256"/>
    </row>
    <row r="41858" spans="104:111">
      <c r="CZ41858" s="256"/>
      <c r="DG41858" s="256"/>
    </row>
    <row r="41859" spans="104:111">
      <c r="CZ41859" s="256"/>
      <c r="DG41859" s="256"/>
    </row>
    <row r="41860" spans="104:111">
      <c r="CZ41860" s="256"/>
      <c r="DG41860" s="256"/>
    </row>
    <row r="41861" spans="104:111">
      <c r="CZ41861" s="256"/>
      <c r="DG41861" s="256"/>
    </row>
    <row r="41862" spans="104:111">
      <c r="CZ41862" s="256"/>
      <c r="DG41862" s="256"/>
    </row>
    <row r="41863" spans="104:111">
      <c r="CZ41863" s="256"/>
      <c r="DG41863" s="256"/>
    </row>
    <row r="41864" spans="104:111">
      <c r="CZ41864" s="256"/>
      <c r="DG41864" s="256"/>
    </row>
    <row r="41865" spans="104:111">
      <c r="CZ41865" s="256"/>
      <c r="DG41865" s="256"/>
    </row>
    <row r="41866" spans="104:111">
      <c r="CZ41866" s="256"/>
      <c r="DG41866" s="256"/>
    </row>
    <row r="41867" spans="104:111">
      <c r="CZ41867" s="256"/>
      <c r="DG41867" s="256"/>
    </row>
    <row r="41868" spans="104:111">
      <c r="CZ41868" s="256"/>
      <c r="DG41868" s="256"/>
    </row>
    <row r="41869" spans="104:111">
      <c r="CZ41869" s="256"/>
      <c r="DG41869" s="256"/>
    </row>
    <row r="41870" spans="104:111">
      <c r="CZ41870" s="256"/>
      <c r="DG41870" s="256"/>
    </row>
    <row r="41871" spans="104:111">
      <c r="CZ41871" s="256"/>
      <c r="DG41871" s="256"/>
    </row>
    <row r="41872" spans="104:111">
      <c r="CZ41872" s="256"/>
      <c r="DG41872" s="256"/>
    </row>
    <row r="41873" spans="104:111">
      <c r="CZ41873" s="256"/>
      <c r="DG41873" s="256"/>
    </row>
    <row r="41874" spans="104:111">
      <c r="CZ41874" s="256"/>
      <c r="DG41874" s="256"/>
    </row>
    <row r="41875" spans="104:111">
      <c r="CZ41875" s="256"/>
      <c r="DG41875" s="256"/>
    </row>
    <row r="41876" spans="104:111">
      <c r="CZ41876" s="256"/>
      <c r="DG41876" s="256"/>
    </row>
    <row r="41877" spans="104:111">
      <c r="CZ41877" s="256"/>
      <c r="DG41877" s="256"/>
    </row>
    <row r="41878" spans="104:111">
      <c r="CZ41878" s="256"/>
      <c r="DG41878" s="256"/>
    </row>
    <row r="41879" spans="104:111">
      <c r="CZ41879" s="256"/>
      <c r="DG41879" s="256"/>
    </row>
    <row r="41880" spans="104:111">
      <c r="CZ41880" s="256"/>
      <c r="DG41880" s="256"/>
    </row>
    <row r="41881" spans="104:111">
      <c r="CZ41881" s="256"/>
      <c r="DG41881" s="256"/>
    </row>
    <row r="41882" spans="104:111">
      <c r="CZ41882" s="256"/>
      <c r="DG41882" s="256"/>
    </row>
    <row r="41883" spans="104:111">
      <c r="CZ41883" s="256"/>
      <c r="DG41883" s="256"/>
    </row>
    <row r="41884" spans="104:111">
      <c r="CZ41884" s="256"/>
      <c r="DG41884" s="256"/>
    </row>
    <row r="41885" spans="104:111">
      <c r="CZ41885" s="256"/>
      <c r="DG41885" s="256"/>
    </row>
    <row r="41886" spans="104:111">
      <c r="CZ41886" s="256"/>
      <c r="DG41886" s="256"/>
    </row>
    <row r="41887" spans="104:111">
      <c r="CZ41887" s="256"/>
      <c r="DG41887" s="256"/>
    </row>
    <row r="41888" spans="104:111">
      <c r="CZ41888" s="256"/>
      <c r="DG41888" s="256"/>
    </row>
    <row r="41889" spans="104:111">
      <c r="CZ41889" s="256"/>
      <c r="DG41889" s="256"/>
    </row>
    <row r="41890" spans="104:111">
      <c r="CZ41890" s="256"/>
      <c r="DG41890" s="256"/>
    </row>
    <row r="41891" spans="104:111">
      <c r="CZ41891" s="256"/>
      <c r="DG41891" s="256"/>
    </row>
    <row r="41892" spans="104:111">
      <c r="CZ41892" s="256"/>
      <c r="DG41892" s="256"/>
    </row>
    <row r="41893" spans="104:111">
      <c r="CZ41893" s="256"/>
      <c r="DG41893" s="256"/>
    </row>
    <row r="41894" spans="104:111">
      <c r="CZ41894" s="256"/>
      <c r="DG41894" s="256"/>
    </row>
    <row r="41895" spans="104:111">
      <c r="CZ41895" s="256"/>
      <c r="DG41895" s="256"/>
    </row>
    <row r="41896" spans="104:111">
      <c r="CZ41896" s="256"/>
      <c r="DG41896" s="256"/>
    </row>
    <row r="41897" spans="104:111">
      <c r="CZ41897" s="256"/>
      <c r="DG41897" s="256"/>
    </row>
    <row r="41898" spans="104:111">
      <c r="CZ41898" s="256"/>
      <c r="DG41898" s="256"/>
    </row>
    <row r="41899" spans="104:111">
      <c r="CZ41899" s="256"/>
      <c r="DG41899" s="256"/>
    </row>
    <row r="41900" spans="104:111">
      <c r="CZ41900" s="256"/>
      <c r="DG41900" s="256"/>
    </row>
    <row r="41901" spans="104:111">
      <c r="CZ41901" s="256"/>
      <c r="DG41901" s="256"/>
    </row>
    <row r="41902" spans="104:111">
      <c r="CZ41902" s="256"/>
      <c r="DG41902" s="256"/>
    </row>
    <row r="41903" spans="104:111">
      <c r="CZ41903" s="256"/>
      <c r="DG41903" s="256"/>
    </row>
    <row r="41904" spans="104:111">
      <c r="CZ41904" s="256"/>
      <c r="DG41904" s="256"/>
    </row>
    <row r="41905" spans="104:111">
      <c r="CZ41905" s="256"/>
      <c r="DG41905" s="256"/>
    </row>
    <row r="41906" spans="104:111">
      <c r="CZ41906" s="256"/>
      <c r="DG41906" s="256"/>
    </row>
    <row r="41907" spans="104:111">
      <c r="CZ41907" s="256"/>
      <c r="DG41907" s="256"/>
    </row>
    <row r="41908" spans="104:111">
      <c r="CZ41908" s="256"/>
      <c r="DG41908" s="256"/>
    </row>
    <row r="41909" spans="104:111">
      <c r="CZ41909" s="256"/>
      <c r="DG41909" s="256"/>
    </row>
    <row r="41910" spans="104:111">
      <c r="CZ41910" s="256"/>
      <c r="DG41910" s="256"/>
    </row>
    <row r="41911" spans="104:111">
      <c r="CZ41911" s="256"/>
      <c r="DG41911" s="256"/>
    </row>
    <row r="41912" spans="104:111">
      <c r="CZ41912" s="256"/>
      <c r="DG41912" s="256"/>
    </row>
    <row r="41913" spans="104:111">
      <c r="CZ41913" s="256"/>
      <c r="DG41913" s="256"/>
    </row>
    <row r="41914" spans="104:111">
      <c r="CZ41914" s="256"/>
      <c r="DG41914" s="256"/>
    </row>
    <row r="41915" spans="104:111">
      <c r="CZ41915" s="256"/>
      <c r="DG41915" s="256"/>
    </row>
    <row r="41916" spans="104:111">
      <c r="CZ41916" s="256"/>
      <c r="DG41916" s="256"/>
    </row>
    <row r="41917" spans="104:111">
      <c r="CZ41917" s="256"/>
      <c r="DG41917" s="256"/>
    </row>
    <row r="41918" spans="104:111">
      <c r="CZ41918" s="256"/>
      <c r="DG41918" s="256"/>
    </row>
    <row r="41919" spans="104:111">
      <c r="CZ41919" s="256"/>
      <c r="DG41919" s="256"/>
    </row>
    <row r="41920" spans="104:111">
      <c r="CZ41920" s="256"/>
      <c r="DG41920" s="256"/>
    </row>
    <row r="41921" spans="104:111">
      <c r="CZ41921" s="256"/>
      <c r="DG41921" s="256"/>
    </row>
    <row r="41922" spans="104:111">
      <c r="CZ41922" s="256"/>
      <c r="DG41922" s="256"/>
    </row>
    <row r="41923" spans="104:111">
      <c r="CZ41923" s="256"/>
      <c r="DG41923" s="256"/>
    </row>
    <row r="41924" spans="104:111">
      <c r="CZ41924" s="256"/>
      <c r="DG41924" s="256"/>
    </row>
    <row r="41925" spans="104:111">
      <c r="CZ41925" s="256"/>
      <c r="DG41925" s="256"/>
    </row>
    <row r="41926" spans="104:111">
      <c r="CZ41926" s="256"/>
      <c r="DG41926" s="256"/>
    </row>
    <row r="41927" spans="104:111">
      <c r="CZ41927" s="256"/>
      <c r="DG41927" s="256"/>
    </row>
    <row r="41928" spans="104:111">
      <c r="CZ41928" s="256"/>
      <c r="DG41928" s="256"/>
    </row>
    <row r="41929" spans="104:111">
      <c r="CZ41929" s="256"/>
      <c r="DG41929" s="256"/>
    </row>
    <row r="41930" spans="104:111">
      <c r="CZ41930" s="256"/>
      <c r="DG41930" s="256"/>
    </row>
    <row r="41931" spans="104:111">
      <c r="CZ41931" s="256"/>
      <c r="DG41931" s="256"/>
    </row>
    <row r="41932" spans="104:111">
      <c r="CZ41932" s="256"/>
      <c r="DG41932" s="256"/>
    </row>
    <row r="41933" spans="104:111">
      <c r="CZ41933" s="256"/>
      <c r="DG41933" s="256"/>
    </row>
    <row r="41934" spans="104:111">
      <c r="CZ41934" s="256"/>
      <c r="DG41934" s="256"/>
    </row>
    <row r="41935" spans="104:111">
      <c r="CZ41935" s="256"/>
      <c r="DG41935" s="256"/>
    </row>
    <row r="41936" spans="104:111">
      <c r="CZ41936" s="256"/>
      <c r="DG41936" s="256"/>
    </row>
    <row r="41937" spans="104:111">
      <c r="CZ41937" s="256"/>
      <c r="DG41937" s="256"/>
    </row>
    <row r="41938" spans="104:111">
      <c r="CZ41938" s="256"/>
      <c r="DG41938" s="256"/>
    </row>
    <row r="41939" spans="104:111">
      <c r="CZ41939" s="256"/>
      <c r="DG41939" s="256"/>
    </row>
    <row r="41940" spans="104:111">
      <c r="CZ41940" s="256"/>
      <c r="DG41940" s="256"/>
    </row>
    <row r="41941" spans="104:111">
      <c r="CZ41941" s="256"/>
      <c r="DG41941" s="256"/>
    </row>
    <row r="41942" spans="104:111">
      <c r="CZ41942" s="256"/>
      <c r="DG41942" s="256"/>
    </row>
    <row r="41943" spans="104:111">
      <c r="CZ41943" s="256"/>
      <c r="DG41943" s="256"/>
    </row>
    <row r="41944" spans="104:111">
      <c r="CZ41944" s="256"/>
      <c r="DG41944" s="256"/>
    </row>
    <row r="41945" spans="104:111">
      <c r="CZ41945" s="256"/>
      <c r="DG41945" s="256"/>
    </row>
    <row r="41946" spans="104:111">
      <c r="CZ41946" s="256"/>
      <c r="DG41946" s="256"/>
    </row>
    <row r="41947" spans="104:111">
      <c r="CZ41947" s="256"/>
      <c r="DG41947" s="256"/>
    </row>
    <row r="41948" spans="104:111">
      <c r="CZ41948" s="256"/>
      <c r="DG41948" s="256"/>
    </row>
    <row r="41949" spans="104:111">
      <c r="CZ41949" s="256"/>
      <c r="DG41949" s="256"/>
    </row>
    <row r="41950" spans="104:111">
      <c r="CZ41950" s="256"/>
      <c r="DG41950" s="256"/>
    </row>
    <row r="41951" spans="104:111">
      <c r="CZ41951" s="256"/>
      <c r="DG41951" s="256"/>
    </row>
    <row r="41952" spans="104:111">
      <c r="CZ41952" s="256"/>
      <c r="DG41952" s="256"/>
    </row>
    <row r="41953" spans="104:111">
      <c r="CZ41953" s="256"/>
      <c r="DG41953" s="256"/>
    </row>
    <row r="41954" spans="104:111">
      <c r="CZ41954" s="256"/>
      <c r="DG41954" s="256"/>
    </row>
    <row r="41955" spans="104:111">
      <c r="CZ41955" s="256"/>
      <c r="DG41955" s="256"/>
    </row>
    <row r="41956" spans="104:111">
      <c r="CZ41956" s="256"/>
      <c r="DG41956" s="256"/>
    </row>
    <row r="41957" spans="104:111">
      <c r="CZ41957" s="256"/>
      <c r="DG41957" s="256"/>
    </row>
    <row r="41958" spans="104:111">
      <c r="CZ41958" s="256"/>
      <c r="DG41958" s="256"/>
    </row>
    <row r="41959" spans="104:111">
      <c r="CZ41959" s="256"/>
      <c r="DG41959" s="256"/>
    </row>
    <row r="41960" spans="104:111">
      <c r="CZ41960" s="256"/>
      <c r="DG41960" s="256"/>
    </row>
    <row r="41961" spans="104:111">
      <c r="CZ41961" s="256"/>
      <c r="DG41961" s="256"/>
    </row>
    <row r="41962" spans="104:111">
      <c r="CZ41962" s="256"/>
      <c r="DG41962" s="256"/>
    </row>
    <row r="41963" spans="104:111">
      <c r="CZ41963" s="256"/>
      <c r="DG41963" s="256"/>
    </row>
    <row r="41964" spans="104:111">
      <c r="CZ41964" s="256"/>
      <c r="DG41964" s="256"/>
    </row>
    <row r="41965" spans="104:111">
      <c r="CZ41965" s="256"/>
      <c r="DG41965" s="256"/>
    </row>
    <row r="41966" spans="104:111">
      <c r="CZ41966" s="256"/>
      <c r="DG41966" s="256"/>
    </row>
    <row r="41967" spans="104:111">
      <c r="CZ41967" s="256"/>
      <c r="DG41967" s="256"/>
    </row>
    <row r="41968" spans="104:111">
      <c r="CZ41968" s="256"/>
      <c r="DG41968" s="256"/>
    </row>
    <row r="41969" spans="104:111">
      <c r="CZ41969" s="256"/>
      <c r="DG41969" s="256"/>
    </row>
    <row r="41970" spans="104:111">
      <c r="CZ41970" s="256"/>
      <c r="DG41970" s="256"/>
    </row>
    <row r="41971" spans="104:111">
      <c r="CZ41971" s="256"/>
      <c r="DG41971" s="256"/>
    </row>
    <row r="41972" spans="104:111">
      <c r="CZ41972" s="256"/>
      <c r="DG41972" s="256"/>
    </row>
    <row r="41973" spans="104:111">
      <c r="CZ41973" s="256"/>
      <c r="DG41973" s="256"/>
    </row>
    <row r="41974" spans="104:111">
      <c r="CZ41974" s="256"/>
      <c r="DG41974" s="256"/>
    </row>
    <row r="41975" spans="104:111">
      <c r="CZ41975" s="256"/>
      <c r="DG41975" s="256"/>
    </row>
    <row r="41976" spans="104:111">
      <c r="CZ41976" s="256"/>
      <c r="DG41976" s="256"/>
    </row>
    <row r="41977" spans="104:111">
      <c r="CZ41977" s="256"/>
      <c r="DG41977" s="256"/>
    </row>
    <row r="41978" spans="104:111">
      <c r="CZ41978" s="256"/>
      <c r="DG41978" s="256"/>
    </row>
    <row r="41979" spans="104:111">
      <c r="CZ41979" s="256"/>
      <c r="DG41979" s="256"/>
    </row>
    <row r="41980" spans="104:111">
      <c r="CZ41980" s="256"/>
      <c r="DG41980" s="256"/>
    </row>
    <row r="41981" spans="104:111">
      <c r="CZ41981" s="256"/>
      <c r="DG41981" s="256"/>
    </row>
    <row r="41982" spans="104:111">
      <c r="CZ41982" s="256"/>
      <c r="DG41982" s="256"/>
    </row>
    <row r="41983" spans="104:111">
      <c r="CZ41983" s="256"/>
      <c r="DG41983" s="256"/>
    </row>
    <row r="41984" spans="104:111">
      <c r="CZ41984" s="256"/>
      <c r="DG41984" s="256"/>
    </row>
    <row r="41985" spans="104:111">
      <c r="CZ41985" s="256"/>
      <c r="DG41985" s="256"/>
    </row>
    <row r="41986" spans="104:111">
      <c r="CZ41986" s="256"/>
      <c r="DG41986" s="256"/>
    </row>
    <row r="41987" spans="104:111">
      <c r="CZ41987" s="256"/>
      <c r="DG41987" s="256"/>
    </row>
    <row r="41988" spans="104:111">
      <c r="CZ41988" s="256"/>
      <c r="DG41988" s="256"/>
    </row>
    <row r="41989" spans="104:111">
      <c r="CZ41989" s="256"/>
      <c r="DG41989" s="256"/>
    </row>
    <row r="41990" spans="104:111">
      <c r="CZ41990" s="256"/>
      <c r="DG41990" s="256"/>
    </row>
    <row r="41991" spans="104:111">
      <c r="CZ41991" s="256"/>
      <c r="DG41991" s="256"/>
    </row>
    <row r="41992" spans="104:111">
      <c r="CZ41992" s="256"/>
      <c r="DG41992" s="256"/>
    </row>
    <row r="41993" spans="104:111">
      <c r="CZ41993" s="256"/>
      <c r="DG41993" s="256"/>
    </row>
    <row r="41994" spans="104:111">
      <c r="CZ41994" s="256"/>
      <c r="DG41994" s="256"/>
    </row>
    <row r="41995" spans="104:111">
      <c r="CZ41995" s="256"/>
      <c r="DG41995" s="256"/>
    </row>
    <row r="41996" spans="104:111">
      <c r="CZ41996" s="256"/>
      <c r="DG41996" s="256"/>
    </row>
    <row r="41997" spans="104:111">
      <c r="CZ41997" s="256"/>
      <c r="DG41997" s="256"/>
    </row>
    <row r="41998" spans="104:111">
      <c r="CZ41998" s="256"/>
      <c r="DG41998" s="256"/>
    </row>
    <row r="41999" spans="104:111">
      <c r="CZ41999" s="256"/>
      <c r="DG41999" s="256"/>
    </row>
    <row r="42000" spans="104:111">
      <c r="CZ42000" s="256"/>
      <c r="DG42000" s="256"/>
    </row>
    <row r="42001" spans="104:111">
      <c r="CZ42001" s="256"/>
      <c r="DG42001" s="256"/>
    </row>
    <row r="42002" spans="104:111">
      <c r="CZ42002" s="256"/>
      <c r="DG42002" s="256"/>
    </row>
    <row r="42003" spans="104:111">
      <c r="CZ42003" s="256"/>
      <c r="DG42003" s="256"/>
    </row>
    <row r="42004" spans="104:111">
      <c r="CZ42004" s="256"/>
      <c r="DG42004" s="256"/>
    </row>
    <row r="42005" spans="104:111">
      <c r="CZ42005" s="256"/>
      <c r="DG42005" s="256"/>
    </row>
    <row r="42006" spans="104:111">
      <c r="CZ42006" s="256"/>
      <c r="DG42006" s="256"/>
    </row>
    <row r="42007" spans="104:111">
      <c r="CZ42007" s="256"/>
      <c r="DG42007" s="256"/>
    </row>
    <row r="42008" spans="104:111">
      <c r="CZ42008" s="256"/>
      <c r="DG42008" s="256"/>
    </row>
    <row r="42009" spans="104:111">
      <c r="CZ42009" s="256"/>
      <c r="DG42009" s="256"/>
    </row>
    <row r="42010" spans="104:111">
      <c r="CZ42010" s="256"/>
      <c r="DG42010" s="256"/>
    </row>
    <row r="42011" spans="104:111">
      <c r="CZ42011" s="256"/>
      <c r="DG42011" s="256"/>
    </row>
    <row r="42012" spans="104:111">
      <c r="CZ42012" s="256"/>
      <c r="DG42012" s="256"/>
    </row>
    <row r="42013" spans="104:111">
      <c r="CZ42013" s="256"/>
      <c r="DG42013" s="256"/>
    </row>
    <row r="42014" spans="104:111">
      <c r="CZ42014" s="256"/>
      <c r="DG42014" s="256"/>
    </row>
    <row r="42015" spans="104:111">
      <c r="CZ42015" s="256"/>
      <c r="DG42015" s="256"/>
    </row>
    <row r="42016" spans="104:111">
      <c r="CZ42016" s="256"/>
      <c r="DG42016" s="256"/>
    </row>
    <row r="42017" spans="104:111">
      <c r="CZ42017" s="256"/>
      <c r="DG42017" s="256"/>
    </row>
    <row r="42018" spans="104:111">
      <c r="CZ42018" s="256"/>
      <c r="DG42018" s="256"/>
    </row>
    <row r="42019" spans="104:111">
      <c r="CZ42019" s="256"/>
      <c r="DG42019" s="256"/>
    </row>
    <row r="42020" spans="104:111">
      <c r="CZ42020" s="256"/>
      <c r="DG42020" s="256"/>
    </row>
    <row r="42021" spans="104:111">
      <c r="CZ42021" s="256"/>
      <c r="DG42021" s="256"/>
    </row>
    <row r="42022" spans="104:111">
      <c r="CZ42022" s="256"/>
      <c r="DG42022" s="256"/>
    </row>
    <row r="42023" spans="104:111">
      <c r="CZ42023" s="256"/>
      <c r="DG42023" s="256"/>
    </row>
    <row r="42024" spans="104:111">
      <c r="CZ42024" s="256"/>
      <c r="DG42024" s="256"/>
    </row>
    <row r="42025" spans="104:111">
      <c r="CZ42025" s="256"/>
      <c r="DG42025" s="256"/>
    </row>
    <row r="42026" spans="104:111">
      <c r="CZ42026" s="256"/>
      <c r="DG42026" s="256"/>
    </row>
    <row r="42027" spans="104:111">
      <c r="CZ42027" s="256"/>
      <c r="DG42027" s="256"/>
    </row>
    <row r="42028" spans="104:111">
      <c r="CZ42028" s="256"/>
      <c r="DG42028" s="256"/>
    </row>
    <row r="42029" spans="104:111">
      <c r="CZ42029" s="256"/>
      <c r="DG42029" s="256"/>
    </row>
    <row r="42030" spans="104:111">
      <c r="CZ42030" s="256"/>
      <c r="DG42030" s="256"/>
    </row>
    <row r="42031" spans="104:111">
      <c r="CZ42031" s="256"/>
      <c r="DG42031" s="256"/>
    </row>
    <row r="42032" spans="104:111">
      <c r="CZ42032" s="256"/>
      <c r="DG42032" s="256"/>
    </row>
    <row r="42033" spans="104:111">
      <c r="CZ42033" s="256"/>
      <c r="DG42033" s="256"/>
    </row>
    <row r="42034" spans="104:111">
      <c r="CZ42034" s="256"/>
      <c r="DG42034" s="256"/>
    </row>
    <row r="42035" spans="104:111">
      <c r="CZ42035" s="256"/>
      <c r="DG42035" s="256"/>
    </row>
    <row r="42036" spans="104:111">
      <c r="CZ42036" s="256"/>
      <c r="DG42036" s="256"/>
    </row>
    <row r="42037" spans="104:111">
      <c r="CZ42037" s="256"/>
      <c r="DG42037" s="256"/>
    </row>
    <row r="42038" spans="104:111">
      <c r="CZ42038" s="256"/>
      <c r="DG42038" s="256"/>
    </row>
    <row r="42039" spans="104:111">
      <c r="CZ42039" s="256"/>
      <c r="DG42039" s="256"/>
    </row>
    <row r="42040" spans="104:111">
      <c r="CZ42040" s="256"/>
      <c r="DG42040" s="256"/>
    </row>
    <row r="42041" spans="104:111">
      <c r="CZ42041" s="256"/>
      <c r="DG42041" s="256"/>
    </row>
    <row r="42042" spans="104:111">
      <c r="CZ42042" s="256"/>
      <c r="DG42042" s="256"/>
    </row>
    <row r="42043" spans="104:111">
      <c r="CZ42043" s="256"/>
      <c r="DG42043" s="256"/>
    </row>
    <row r="42044" spans="104:111">
      <c r="CZ42044" s="256"/>
      <c r="DG42044" s="256"/>
    </row>
    <row r="42045" spans="104:111">
      <c r="CZ42045" s="256"/>
      <c r="DG42045" s="256"/>
    </row>
    <row r="42046" spans="104:111">
      <c r="CZ42046" s="256"/>
      <c r="DG42046" s="256"/>
    </row>
    <row r="42047" spans="104:111">
      <c r="CZ42047" s="256"/>
      <c r="DG42047" s="256"/>
    </row>
    <row r="42048" spans="104:111">
      <c r="CZ42048" s="256"/>
      <c r="DG42048" s="256"/>
    </row>
    <row r="42049" spans="104:111">
      <c r="CZ42049" s="256"/>
      <c r="DG42049" s="256"/>
    </row>
    <row r="42050" spans="104:111">
      <c r="CZ42050" s="256"/>
      <c r="DG42050" s="256"/>
    </row>
    <row r="42051" spans="104:111">
      <c r="CZ42051" s="256"/>
      <c r="DG42051" s="256"/>
    </row>
    <row r="42052" spans="104:111">
      <c r="CZ42052" s="256"/>
      <c r="DG42052" s="256"/>
    </row>
    <row r="42053" spans="104:111">
      <c r="CZ42053" s="256"/>
      <c r="DG42053" s="256"/>
    </row>
    <row r="42054" spans="104:111">
      <c r="CZ42054" s="256"/>
      <c r="DG42054" s="256"/>
    </row>
    <row r="42055" spans="104:111">
      <c r="CZ42055" s="256"/>
      <c r="DG42055" s="256"/>
    </row>
    <row r="42056" spans="104:111">
      <c r="CZ42056" s="256"/>
      <c r="DG42056" s="256"/>
    </row>
    <row r="42057" spans="104:111">
      <c r="CZ42057" s="256"/>
      <c r="DG42057" s="256"/>
    </row>
    <row r="42058" spans="104:111">
      <c r="CZ42058" s="256"/>
      <c r="DG42058" s="256"/>
    </row>
    <row r="42059" spans="104:111">
      <c r="CZ42059" s="256"/>
      <c r="DG42059" s="256"/>
    </row>
    <row r="42060" spans="104:111">
      <c r="CZ42060" s="256"/>
      <c r="DG42060" s="256"/>
    </row>
    <row r="42061" spans="104:111">
      <c r="CZ42061" s="256"/>
      <c r="DG42061" s="256"/>
    </row>
    <row r="42062" spans="104:111">
      <c r="CZ42062" s="256"/>
      <c r="DG42062" s="256"/>
    </row>
    <row r="42063" spans="104:111">
      <c r="CZ42063" s="256"/>
      <c r="DG42063" s="256"/>
    </row>
    <row r="42064" spans="104:111">
      <c r="CZ42064" s="256"/>
      <c r="DG42064" s="256"/>
    </row>
    <row r="42065" spans="104:111">
      <c r="CZ42065" s="256"/>
      <c r="DG42065" s="256"/>
    </row>
    <row r="42066" spans="104:111">
      <c r="CZ42066" s="256"/>
      <c r="DG42066" s="256"/>
    </row>
    <row r="42067" spans="104:111">
      <c r="CZ42067" s="256"/>
      <c r="DG42067" s="256"/>
    </row>
    <row r="42068" spans="104:111">
      <c r="CZ42068" s="256"/>
      <c r="DG42068" s="256"/>
    </row>
    <row r="42069" spans="104:111">
      <c r="CZ42069" s="256"/>
      <c r="DG42069" s="256"/>
    </row>
    <row r="42070" spans="104:111">
      <c r="CZ42070" s="256"/>
      <c r="DG42070" s="256"/>
    </row>
    <row r="42071" spans="104:111">
      <c r="CZ42071" s="256"/>
      <c r="DG42071" s="256"/>
    </row>
    <row r="42072" spans="104:111">
      <c r="CZ42072" s="256"/>
      <c r="DG42072" s="256"/>
    </row>
    <row r="42073" spans="104:111">
      <c r="CZ42073" s="256"/>
      <c r="DG42073" s="256"/>
    </row>
    <row r="42074" spans="104:111">
      <c r="CZ42074" s="256"/>
      <c r="DG42074" s="256"/>
    </row>
    <row r="42075" spans="104:111">
      <c r="CZ42075" s="256"/>
      <c r="DG42075" s="256"/>
    </row>
    <row r="42076" spans="104:111">
      <c r="CZ42076" s="256"/>
      <c r="DG42076" s="256"/>
    </row>
    <row r="42077" spans="104:111">
      <c r="CZ42077" s="256"/>
      <c r="DG42077" s="256"/>
    </row>
    <row r="42078" spans="104:111">
      <c r="CZ42078" s="256"/>
      <c r="DG42078" s="256"/>
    </row>
    <row r="42079" spans="104:111">
      <c r="CZ42079" s="256"/>
      <c r="DG42079" s="256"/>
    </row>
    <row r="42080" spans="104:111">
      <c r="CZ42080" s="256"/>
      <c r="DG42080" s="256"/>
    </row>
    <row r="42081" spans="104:111">
      <c r="CZ42081" s="256"/>
      <c r="DG42081" s="256"/>
    </row>
    <row r="42082" spans="104:111">
      <c r="CZ42082" s="256"/>
      <c r="DG42082" s="256"/>
    </row>
    <row r="42083" spans="104:111">
      <c r="CZ42083" s="256"/>
      <c r="DG42083" s="256"/>
    </row>
    <row r="42084" spans="104:111">
      <c r="CZ42084" s="256"/>
      <c r="DG42084" s="256"/>
    </row>
    <row r="42085" spans="104:111">
      <c r="CZ42085" s="256"/>
      <c r="DG42085" s="256"/>
    </row>
    <row r="42086" spans="104:111">
      <c r="CZ42086" s="256"/>
      <c r="DG42086" s="256"/>
    </row>
    <row r="42087" spans="104:111">
      <c r="CZ42087" s="256"/>
      <c r="DG42087" s="256"/>
    </row>
    <row r="42088" spans="104:111">
      <c r="CZ42088" s="256"/>
      <c r="DG42088" s="256"/>
    </row>
    <row r="42089" spans="104:111">
      <c r="CZ42089" s="256"/>
      <c r="DG42089" s="256"/>
    </row>
    <row r="42090" spans="104:111">
      <c r="CZ42090" s="256"/>
      <c r="DG42090" s="256"/>
    </row>
    <row r="42091" spans="104:111">
      <c r="CZ42091" s="256"/>
      <c r="DG42091" s="256"/>
    </row>
    <row r="42092" spans="104:111">
      <c r="CZ42092" s="256"/>
      <c r="DG42092" s="256"/>
    </row>
    <row r="42093" spans="104:111">
      <c r="CZ42093" s="256"/>
      <c r="DG42093" s="256"/>
    </row>
    <row r="42094" spans="104:111">
      <c r="CZ42094" s="256"/>
      <c r="DG42094" s="256"/>
    </row>
    <row r="42095" spans="104:111">
      <c r="CZ42095" s="256"/>
      <c r="DG42095" s="256"/>
    </row>
    <row r="42096" spans="104:111">
      <c r="CZ42096" s="256"/>
      <c r="DG42096" s="256"/>
    </row>
    <row r="42097" spans="104:111">
      <c r="CZ42097" s="256"/>
      <c r="DG42097" s="256"/>
    </row>
    <row r="42098" spans="104:111">
      <c r="CZ42098" s="256"/>
      <c r="DG42098" s="256"/>
    </row>
    <row r="42099" spans="104:111">
      <c r="CZ42099" s="256"/>
      <c r="DG42099" s="256"/>
    </row>
    <row r="42100" spans="104:111">
      <c r="CZ42100" s="256"/>
      <c r="DG42100" s="256"/>
    </row>
    <row r="42101" spans="104:111">
      <c r="CZ42101" s="256"/>
      <c r="DG42101" s="256"/>
    </row>
    <row r="42102" spans="104:111">
      <c r="CZ42102" s="256"/>
      <c r="DG42102" s="256"/>
    </row>
    <row r="42103" spans="104:111">
      <c r="CZ42103" s="256"/>
      <c r="DG42103" s="256"/>
    </row>
    <row r="42104" spans="104:111">
      <c r="CZ42104" s="256"/>
      <c r="DG42104" s="256"/>
    </row>
    <row r="42105" spans="104:111">
      <c r="CZ42105" s="256"/>
      <c r="DG42105" s="256"/>
    </row>
    <row r="42106" spans="104:111">
      <c r="CZ42106" s="256"/>
      <c r="DG42106" s="256"/>
    </row>
    <row r="42107" spans="104:111">
      <c r="CZ42107" s="256"/>
      <c r="DG42107" s="256"/>
    </row>
    <row r="42108" spans="104:111">
      <c r="CZ42108" s="256"/>
      <c r="DG42108" s="256"/>
    </row>
    <row r="42109" spans="104:111">
      <c r="CZ42109" s="256"/>
      <c r="DG42109" s="256"/>
    </row>
    <row r="42110" spans="104:111">
      <c r="CZ42110" s="256"/>
      <c r="DG42110" s="256"/>
    </row>
    <row r="42111" spans="104:111">
      <c r="CZ42111" s="256"/>
      <c r="DG42111" s="256"/>
    </row>
    <row r="42112" spans="104:111">
      <c r="CZ42112" s="256"/>
      <c r="DG42112" s="256"/>
    </row>
    <row r="42113" spans="104:111">
      <c r="CZ42113" s="256"/>
      <c r="DG42113" s="256"/>
    </row>
    <row r="42114" spans="104:111">
      <c r="CZ42114" s="256"/>
      <c r="DG42114" s="256"/>
    </row>
    <row r="42115" spans="104:111">
      <c r="CZ42115" s="256"/>
      <c r="DG42115" s="256"/>
    </row>
    <row r="42116" spans="104:111">
      <c r="CZ42116" s="256"/>
      <c r="DG42116" s="256"/>
    </row>
    <row r="42117" spans="104:111">
      <c r="CZ42117" s="256"/>
      <c r="DG42117" s="256"/>
    </row>
    <row r="42118" spans="104:111">
      <c r="CZ42118" s="256"/>
      <c r="DG42118" s="256"/>
    </row>
    <row r="42119" spans="104:111">
      <c r="CZ42119" s="256"/>
      <c r="DG42119" s="256"/>
    </row>
    <row r="42120" spans="104:111">
      <c r="CZ42120" s="256"/>
      <c r="DG42120" s="256"/>
    </row>
    <row r="42121" spans="104:111">
      <c r="CZ42121" s="256"/>
      <c r="DG42121" s="256"/>
    </row>
    <row r="42122" spans="104:111">
      <c r="CZ42122" s="256"/>
      <c r="DG42122" s="256"/>
    </row>
    <row r="42123" spans="104:111">
      <c r="CZ42123" s="256"/>
      <c r="DG42123" s="256"/>
    </row>
    <row r="42124" spans="104:111">
      <c r="CZ42124" s="256"/>
      <c r="DG42124" s="256"/>
    </row>
    <row r="42125" spans="104:111">
      <c r="CZ42125" s="256"/>
      <c r="DG42125" s="256"/>
    </row>
    <row r="42126" spans="104:111">
      <c r="CZ42126" s="256"/>
      <c r="DG42126" s="256"/>
    </row>
    <row r="42127" spans="104:111">
      <c r="CZ42127" s="256"/>
      <c r="DG42127" s="256"/>
    </row>
    <row r="42128" spans="104:111">
      <c r="CZ42128" s="256"/>
      <c r="DG42128" s="256"/>
    </row>
    <row r="42129" spans="104:111">
      <c r="CZ42129" s="256"/>
      <c r="DG42129" s="256"/>
    </row>
    <row r="42130" spans="104:111">
      <c r="CZ42130" s="256"/>
      <c r="DG42130" s="256"/>
    </row>
    <row r="42131" spans="104:111">
      <c r="CZ42131" s="256"/>
      <c r="DG42131" s="256"/>
    </row>
    <row r="42132" spans="104:111">
      <c r="CZ42132" s="256"/>
      <c r="DG42132" s="256"/>
    </row>
    <row r="42133" spans="104:111">
      <c r="CZ42133" s="256"/>
      <c r="DG42133" s="256"/>
    </row>
    <row r="42134" spans="104:111">
      <c r="CZ42134" s="256"/>
      <c r="DG42134" s="256"/>
    </row>
    <row r="42135" spans="104:111">
      <c r="CZ42135" s="256"/>
      <c r="DG42135" s="256"/>
    </row>
    <row r="42136" spans="104:111">
      <c r="CZ42136" s="256"/>
      <c r="DG42136" s="256"/>
    </row>
    <row r="42137" spans="104:111">
      <c r="CZ42137" s="256"/>
      <c r="DG42137" s="256"/>
    </row>
    <row r="42138" spans="104:111">
      <c r="CZ42138" s="256"/>
      <c r="DG42138" s="256"/>
    </row>
    <row r="42139" spans="104:111">
      <c r="CZ42139" s="256"/>
      <c r="DG42139" s="256"/>
    </row>
    <row r="42140" spans="104:111">
      <c r="CZ42140" s="256"/>
      <c r="DG42140" s="256"/>
    </row>
    <row r="42141" spans="104:111">
      <c r="CZ42141" s="256"/>
      <c r="DG42141" s="256"/>
    </row>
    <row r="42142" spans="104:111">
      <c r="CZ42142" s="256"/>
      <c r="DG42142" s="256"/>
    </row>
    <row r="42143" spans="104:111">
      <c r="CZ42143" s="256"/>
      <c r="DG42143" s="256"/>
    </row>
    <row r="42144" spans="104:111">
      <c r="CZ42144" s="256"/>
      <c r="DG42144" s="256"/>
    </row>
    <row r="42145" spans="104:111">
      <c r="CZ42145" s="256"/>
      <c r="DG42145" s="256"/>
    </row>
    <row r="42146" spans="104:111">
      <c r="CZ42146" s="256"/>
      <c r="DG42146" s="256"/>
    </row>
    <row r="42147" spans="104:111">
      <c r="CZ42147" s="256"/>
      <c r="DG42147" s="256"/>
    </row>
    <row r="42148" spans="104:111">
      <c r="CZ42148" s="256"/>
      <c r="DG42148" s="256"/>
    </row>
    <row r="42149" spans="104:111">
      <c r="CZ42149" s="256"/>
      <c r="DG42149" s="256"/>
    </row>
    <row r="42150" spans="104:111">
      <c r="CZ42150" s="256"/>
      <c r="DG42150" s="256"/>
    </row>
    <row r="42151" spans="104:111">
      <c r="CZ42151" s="256"/>
      <c r="DG42151" s="256"/>
    </row>
    <row r="42152" spans="104:111">
      <c r="CZ42152" s="256"/>
      <c r="DG42152" s="256"/>
    </row>
    <row r="42153" spans="104:111">
      <c r="CZ42153" s="256"/>
      <c r="DG42153" s="256"/>
    </row>
    <row r="42154" spans="104:111">
      <c r="CZ42154" s="256"/>
      <c r="DG42154" s="256"/>
    </row>
    <row r="42155" spans="104:111">
      <c r="CZ42155" s="256"/>
      <c r="DG42155" s="256"/>
    </row>
    <row r="42156" spans="104:111">
      <c r="CZ42156" s="256"/>
      <c r="DG42156" s="256"/>
    </row>
    <row r="42157" spans="104:111">
      <c r="CZ42157" s="256"/>
      <c r="DG42157" s="256"/>
    </row>
    <row r="42158" spans="104:111">
      <c r="CZ42158" s="256"/>
      <c r="DG42158" s="256"/>
    </row>
    <row r="42159" spans="104:111">
      <c r="CZ42159" s="256"/>
      <c r="DG42159" s="256"/>
    </row>
    <row r="42160" spans="104:111">
      <c r="CZ42160" s="256"/>
      <c r="DG42160" s="256"/>
    </row>
    <row r="42161" spans="104:111">
      <c r="CZ42161" s="256"/>
      <c r="DG42161" s="256"/>
    </row>
    <row r="42162" spans="104:111">
      <c r="CZ42162" s="256"/>
      <c r="DG42162" s="256"/>
    </row>
    <row r="42163" spans="104:111">
      <c r="CZ42163" s="256"/>
      <c r="DG42163" s="256"/>
    </row>
    <row r="42164" spans="104:111">
      <c r="CZ42164" s="256"/>
      <c r="DG42164" s="256"/>
    </row>
    <row r="42165" spans="104:111">
      <c r="CZ42165" s="256"/>
      <c r="DG42165" s="256"/>
    </row>
    <row r="42166" spans="104:111">
      <c r="CZ42166" s="256"/>
      <c r="DG42166" s="256"/>
    </row>
    <row r="42167" spans="104:111">
      <c r="CZ42167" s="256"/>
      <c r="DG42167" s="256"/>
    </row>
    <row r="42168" spans="104:111">
      <c r="CZ42168" s="256"/>
      <c r="DG42168" s="256"/>
    </row>
    <row r="42169" spans="104:111">
      <c r="CZ42169" s="256"/>
      <c r="DG42169" s="256"/>
    </row>
    <row r="42170" spans="104:111">
      <c r="CZ42170" s="256"/>
      <c r="DG42170" s="256"/>
    </row>
    <row r="42171" spans="104:111">
      <c r="CZ42171" s="256"/>
      <c r="DG42171" s="256"/>
    </row>
    <row r="42172" spans="104:111">
      <c r="CZ42172" s="256"/>
      <c r="DG42172" s="256"/>
    </row>
    <row r="42173" spans="104:111">
      <c r="CZ42173" s="256"/>
      <c r="DG42173" s="256"/>
    </row>
    <row r="42174" spans="104:111">
      <c r="CZ42174" s="256"/>
      <c r="DG42174" s="256"/>
    </row>
    <row r="42175" spans="104:111">
      <c r="CZ42175" s="256"/>
      <c r="DG42175" s="256"/>
    </row>
    <row r="42176" spans="104:111">
      <c r="CZ42176" s="256"/>
      <c r="DG42176" s="256"/>
    </row>
    <row r="42177" spans="104:111">
      <c r="CZ42177" s="256"/>
      <c r="DG42177" s="256"/>
    </row>
    <row r="42178" spans="104:111">
      <c r="CZ42178" s="256"/>
      <c r="DG42178" s="256"/>
    </row>
    <row r="42179" spans="104:111">
      <c r="CZ42179" s="256"/>
      <c r="DG42179" s="256"/>
    </row>
    <row r="42180" spans="104:111">
      <c r="CZ42180" s="256"/>
      <c r="DG42180" s="256"/>
    </row>
    <row r="42181" spans="104:111">
      <c r="CZ42181" s="256"/>
      <c r="DG42181" s="256"/>
    </row>
    <row r="42182" spans="104:111">
      <c r="CZ42182" s="256"/>
      <c r="DG42182" s="256"/>
    </row>
    <row r="42183" spans="104:111">
      <c r="CZ42183" s="256"/>
      <c r="DG42183" s="256"/>
    </row>
    <row r="42184" spans="104:111">
      <c r="CZ42184" s="256"/>
      <c r="DG42184" s="256"/>
    </row>
    <row r="42185" spans="104:111">
      <c r="CZ42185" s="256"/>
      <c r="DG42185" s="256"/>
    </row>
    <row r="42186" spans="104:111">
      <c r="CZ42186" s="256"/>
      <c r="DG42186" s="256"/>
    </row>
    <row r="42187" spans="104:111">
      <c r="CZ42187" s="256"/>
      <c r="DG42187" s="256"/>
    </row>
    <row r="42188" spans="104:111">
      <c r="CZ42188" s="256"/>
      <c r="DG42188" s="256"/>
    </row>
    <row r="42189" spans="104:111">
      <c r="CZ42189" s="256"/>
      <c r="DG42189" s="256"/>
    </row>
    <row r="42190" spans="104:111">
      <c r="CZ42190" s="256"/>
      <c r="DG42190" s="256"/>
    </row>
    <row r="42191" spans="104:111">
      <c r="CZ42191" s="256"/>
      <c r="DG42191" s="256"/>
    </row>
    <row r="42192" spans="104:111">
      <c r="CZ42192" s="256"/>
      <c r="DG42192" s="256"/>
    </row>
    <row r="42193" spans="104:111">
      <c r="CZ42193" s="256"/>
      <c r="DG42193" s="256"/>
    </row>
    <row r="42194" spans="104:111">
      <c r="CZ42194" s="256"/>
      <c r="DG42194" s="256"/>
    </row>
    <row r="42195" spans="104:111">
      <c r="CZ42195" s="256"/>
      <c r="DG42195" s="256"/>
    </row>
    <row r="42196" spans="104:111">
      <c r="CZ42196" s="256"/>
      <c r="DG42196" s="256"/>
    </row>
    <row r="42197" spans="104:111">
      <c r="CZ42197" s="256"/>
      <c r="DG42197" s="256"/>
    </row>
    <row r="42198" spans="104:111">
      <c r="CZ42198" s="256"/>
      <c r="DG42198" s="256"/>
    </row>
    <row r="42199" spans="104:111">
      <c r="CZ42199" s="256"/>
      <c r="DG42199" s="256"/>
    </row>
    <row r="42200" spans="104:111">
      <c r="CZ42200" s="256"/>
      <c r="DG42200" s="256"/>
    </row>
    <row r="42201" spans="104:111">
      <c r="CZ42201" s="256"/>
      <c r="DG42201" s="256"/>
    </row>
    <row r="42202" spans="104:111">
      <c r="CZ42202" s="256"/>
      <c r="DG42202" s="256"/>
    </row>
    <row r="42203" spans="104:111">
      <c r="CZ42203" s="256"/>
      <c r="DG42203" s="256"/>
    </row>
    <row r="42204" spans="104:111">
      <c r="CZ42204" s="256"/>
      <c r="DG42204" s="256"/>
    </row>
    <row r="42205" spans="104:111">
      <c r="CZ42205" s="256"/>
      <c r="DG42205" s="256"/>
    </row>
    <row r="42206" spans="104:111">
      <c r="CZ42206" s="256"/>
      <c r="DG42206" s="256"/>
    </row>
    <row r="42207" spans="104:111">
      <c r="CZ42207" s="256"/>
      <c r="DG42207" s="256"/>
    </row>
    <row r="42208" spans="104:111">
      <c r="CZ42208" s="256"/>
      <c r="DG42208" s="256"/>
    </row>
    <row r="42209" spans="104:111">
      <c r="CZ42209" s="256"/>
      <c r="DG42209" s="256"/>
    </row>
    <row r="42210" spans="104:111">
      <c r="CZ42210" s="256"/>
      <c r="DG42210" s="256"/>
    </row>
    <row r="42211" spans="104:111">
      <c r="CZ42211" s="256"/>
      <c r="DG42211" s="256"/>
    </row>
    <row r="42212" spans="104:111">
      <c r="CZ42212" s="256"/>
      <c r="DG42212" s="256"/>
    </row>
    <row r="42213" spans="104:111">
      <c r="CZ42213" s="256"/>
      <c r="DG42213" s="256"/>
    </row>
    <row r="42214" spans="104:111">
      <c r="CZ42214" s="256"/>
      <c r="DG42214" s="256"/>
    </row>
    <row r="42215" spans="104:111">
      <c r="CZ42215" s="256"/>
      <c r="DG42215" s="256"/>
    </row>
    <row r="42216" spans="104:111">
      <c r="CZ42216" s="256"/>
      <c r="DG42216" s="256"/>
    </row>
    <row r="42217" spans="104:111">
      <c r="CZ42217" s="256"/>
      <c r="DG42217" s="256"/>
    </row>
    <row r="42218" spans="104:111">
      <c r="CZ42218" s="256"/>
      <c r="DG42218" s="256"/>
    </row>
    <row r="42219" spans="104:111">
      <c r="CZ42219" s="256"/>
      <c r="DG42219" s="256"/>
    </row>
    <row r="42220" spans="104:111">
      <c r="CZ42220" s="256"/>
      <c r="DG42220" s="256"/>
    </row>
    <row r="42221" spans="104:111">
      <c r="CZ42221" s="256"/>
      <c r="DG42221" s="256"/>
    </row>
    <row r="42222" spans="104:111">
      <c r="CZ42222" s="256"/>
      <c r="DG42222" s="256"/>
    </row>
    <row r="42223" spans="104:111">
      <c r="CZ42223" s="256"/>
      <c r="DG42223" s="256"/>
    </row>
    <row r="42224" spans="104:111">
      <c r="CZ42224" s="256"/>
      <c r="DG42224" s="256"/>
    </row>
    <row r="42225" spans="104:111">
      <c r="CZ42225" s="256"/>
      <c r="DG42225" s="256"/>
    </row>
    <row r="42226" spans="104:111">
      <c r="CZ42226" s="256"/>
      <c r="DG42226" s="256"/>
    </row>
    <row r="42227" spans="104:111">
      <c r="CZ42227" s="256"/>
      <c r="DG42227" s="256"/>
    </row>
    <row r="42228" spans="104:111">
      <c r="CZ42228" s="256"/>
      <c r="DG42228" s="256"/>
    </row>
    <row r="42229" spans="104:111">
      <c r="CZ42229" s="256"/>
      <c r="DG42229" s="256"/>
    </row>
    <row r="42230" spans="104:111">
      <c r="CZ42230" s="256"/>
      <c r="DG42230" s="256"/>
    </row>
    <row r="42231" spans="104:111">
      <c r="CZ42231" s="256"/>
      <c r="DG42231" s="256"/>
    </row>
    <row r="42232" spans="104:111">
      <c r="CZ42232" s="256"/>
      <c r="DG42232" s="256"/>
    </row>
    <row r="42233" spans="104:111">
      <c r="CZ42233" s="256"/>
      <c r="DG42233" s="256"/>
    </row>
    <row r="42234" spans="104:111">
      <c r="CZ42234" s="256"/>
      <c r="DG42234" s="256"/>
    </row>
    <row r="42235" spans="104:111">
      <c r="CZ42235" s="256"/>
      <c r="DG42235" s="256"/>
    </row>
    <row r="42236" spans="104:111">
      <c r="CZ42236" s="256"/>
      <c r="DG42236" s="256"/>
    </row>
    <row r="42237" spans="104:111">
      <c r="CZ42237" s="256"/>
      <c r="DG42237" s="256"/>
    </row>
    <row r="42238" spans="104:111">
      <c r="CZ42238" s="256"/>
      <c r="DG42238" s="256"/>
    </row>
    <row r="42239" spans="104:111">
      <c r="CZ42239" s="256"/>
      <c r="DG42239" s="256"/>
    </row>
    <row r="42240" spans="104:111">
      <c r="CZ42240" s="256"/>
      <c r="DG42240" s="256"/>
    </row>
    <row r="42241" spans="104:111">
      <c r="CZ42241" s="256"/>
      <c r="DG42241" s="256"/>
    </row>
    <row r="42242" spans="104:111">
      <c r="CZ42242" s="256"/>
      <c r="DG42242" s="256"/>
    </row>
    <row r="42243" spans="104:111">
      <c r="CZ42243" s="256"/>
      <c r="DG42243" s="256"/>
    </row>
    <row r="42244" spans="104:111">
      <c r="CZ42244" s="256"/>
      <c r="DG42244" s="256"/>
    </row>
    <row r="42245" spans="104:111">
      <c r="CZ42245" s="256"/>
      <c r="DG42245" s="256"/>
    </row>
    <row r="42246" spans="104:111">
      <c r="CZ42246" s="256"/>
      <c r="DG42246" s="256"/>
    </row>
    <row r="42247" spans="104:111">
      <c r="CZ42247" s="256"/>
      <c r="DG42247" s="256"/>
    </row>
    <row r="42248" spans="104:111">
      <c r="CZ42248" s="256"/>
      <c r="DG42248" s="256"/>
    </row>
    <row r="42249" spans="104:111">
      <c r="CZ42249" s="256"/>
      <c r="DG42249" s="256"/>
    </row>
    <row r="42250" spans="104:111">
      <c r="CZ42250" s="256"/>
      <c r="DG42250" s="256"/>
    </row>
    <row r="42251" spans="104:111">
      <c r="CZ42251" s="256"/>
      <c r="DG42251" s="256"/>
    </row>
    <row r="42252" spans="104:111">
      <c r="CZ42252" s="256"/>
      <c r="DG42252" s="256"/>
    </row>
    <row r="42253" spans="104:111">
      <c r="CZ42253" s="256"/>
      <c r="DG42253" s="256"/>
    </row>
    <row r="42254" spans="104:111">
      <c r="CZ42254" s="256"/>
      <c r="DG42254" s="256"/>
    </row>
    <row r="42255" spans="104:111">
      <c r="CZ42255" s="256"/>
      <c r="DG42255" s="256"/>
    </row>
    <row r="42256" spans="104:111">
      <c r="CZ42256" s="256"/>
      <c r="DG42256" s="256"/>
    </row>
    <row r="42257" spans="104:111">
      <c r="CZ42257" s="256"/>
      <c r="DG42257" s="256"/>
    </row>
    <row r="42258" spans="104:111">
      <c r="CZ42258" s="256"/>
      <c r="DG42258" s="256"/>
    </row>
    <row r="42259" spans="104:111">
      <c r="CZ42259" s="256"/>
      <c r="DG42259" s="256"/>
    </row>
    <row r="42260" spans="104:111">
      <c r="CZ42260" s="256"/>
      <c r="DG42260" s="256"/>
    </row>
    <row r="42261" spans="104:111">
      <c r="CZ42261" s="256"/>
      <c r="DG42261" s="256"/>
    </row>
    <row r="42262" spans="104:111">
      <c r="CZ42262" s="256"/>
      <c r="DG42262" s="256"/>
    </row>
    <row r="42263" spans="104:111">
      <c r="CZ42263" s="256"/>
      <c r="DG42263" s="256"/>
    </row>
    <row r="42264" spans="104:111">
      <c r="CZ42264" s="256"/>
      <c r="DG42264" s="256"/>
    </row>
    <row r="42265" spans="104:111">
      <c r="CZ42265" s="256"/>
      <c r="DG42265" s="256"/>
    </row>
    <row r="42266" spans="104:111">
      <c r="CZ42266" s="256"/>
      <c r="DG42266" s="256"/>
    </row>
    <row r="42267" spans="104:111">
      <c r="CZ42267" s="256"/>
      <c r="DG42267" s="256"/>
    </row>
    <row r="42268" spans="104:111">
      <c r="CZ42268" s="256"/>
      <c r="DG42268" s="256"/>
    </row>
    <row r="42269" spans="104:111">
      <c r="CZ42269" s="256"/>
      <c r="DG42269" s="256"/>
    </row>
    <row r="42270" spans="104:111">
      <c r="CZ42270" s="256"/>
      <c r="DG42270" s="256"/>
    </row>
    <row r="42271" spans="104:111">
      <c r="CZ42271" s="256"/>
      <c r="DG42271" s="256"/>
    </row>
    <row r="42272" spans="104:111">
      <c r="CZ42272" s="256"/>
      <c r="DG42272" s="256"/>
    </row>
    <row r="42273" spans="104:111">
      <c r="CZ42273" s="256"/>
      <c r="DG42273" s="256"/>
    </row>
    <row r="42274" spans="104:111">
      <c r="CZ42274" s="256"/>
      <c r="DG42274" s="256"/>
    </row>
    <row r="42275" spans="104:111">
      <c r="CZ42275" s="256"/>
      <c r="DG42275" s="256"/>
    </row>
    <row r="42276" spans="104:111">
      <c r="CZ42276" s="256"/>
      <c r="DG42276" s="256"/>
    </row>
    <row r="42277" spans="104:111">
      <c r="CZ42277" s="256"/>
      <c r="DG42277" s="256"/>
    </row>
    <row r="42278" spans="104:111">
      <c r="CZ42278" s="256"/>
      <c r="DG42278" s="256"/>
    </row>
    <row r="42279" spans="104:111">
      <c r="CZ42279" s="256"/>
      <c r="DG42279" s="256"/>
    </row>
    <row r="42280" spans="104:111">
      <c r="CZ42280" s="256"/>
      <c r="DG42280" s="256"/>
    </row>
    <row r="42281" spans="104:111">
      <c r="CZ42281" s="256"/>
      <c r="DG42281" s="256"/>
    </row>
    <row r="42282" spans="104:111">
      <c r="CZ42282" s="256"/>
      <c r="DG42282" s="256"/>
    </row>
    <row r="42283" spans="104:111">
      <c r="CZ42283" s="256"/>
      <c r="DG42283" s="256"/>
    </row>
    <row r="42284" spans="104:111">
      <c r="CZ42284" s="256"/>
      <c r="DG42284" s="256"/>
    </row>
    <row r="42285" spans="104:111">
      <c r="CZ42285" s="256"/>
      <c r="DG42285" s="256"/>
    </row>
    <row r="42286" spans="104:111">
      <c r="CZ42286" s="256"/>
      <c r="DG42286" s="256"/>
    </row>
    <row r="42287" spans="104:111">
      <c r="CZ42287" s="256"/>
      <c r="DG42287" s="256"/>
    </row>
    <row r="42288" spans="104:111">
      <c r="CZ42288" s="256"/>
      <c r="DG42288" s="256"/>
    </row>
    <row r="42289" spans="104:111">
      <c r="CZ42289" s="256"/>
      <c r="DG42289" s="256"/>
    </row>
    <row r="42290" spans="104:111">
      <c r="CZ42290" s="256"/>
      <c r="DG42290" s="256"/>
    </row>
    <row r="42291" spans="104:111">
      <c r="CZ42291" s="256"/>
      <c r="DG42291" s="256"/>
    </row>
    <row r="42292" spans="104:111">
      <c r="CZ42292" s="256"/>
      <c r="DG42292" s="256"/>
    </row>
    <row r="42293" spans="104:111">
      <c r="CZ42293" s="256"/>
      <c r="DG42293" s="256"/>
    </row>
    <row r="42294" spans="104:111">
      <c r="CZ42294" s="256"/>
      <c r="DG42294" s="256"/>
    </row>
    <row r="42295" spans="104:111">
      <c r="CZ42295" s="256"/>
      <c r="DG42295" s="256"/>
    </row>
    <row r="42296" spans="104:111">
      <c r="CZ42296" s="256"/>
      <c r="DG42296" s="256"/>
    </row>
    <row r="42297" spans="104:111">
      <c r="CZ42297" s="256"/>
      <c r="DG42297" s="256"/>
    </row>
    <row r="42298" spans="104:111">
      <c r="CZ42298" s="256"/>
      <c r="DG42298" s="256"/>
    </row>
    <row r="42299" spans="104:111">
      <c r="CZ42299" s="256"/>
      <c r="DG42299" s="256"/>
    </row>
    <row r="42300" spans="104:111">
      <c r="CZ42300" s="256"/>
      <c r="DG42300" s="256"/>
    </row>
    <row r="42301" spans="104:111">
      <c r="CZ42301" s="256"/>
      <c r="DG42301" s="256"/>
    </row>
    <row r="42302" spans="104:111">
      <c r="CZ42302" s="256"/>
      <c r="DG42302" s="256"/>
    </row>
    <row r="42303" spans="104:111">
      <c r="CZ42303" s="256"/>
      <c r="DG42303" s="256"/>
    </row>
    <row r="42304" spans="104:111">
      <c r="CZ42304" s="256"/>
      <c r="DG42304" s="256"/>
    </row>
    <row r="42305" spans="104:111">
      <c r="CZ42305" s="256"/>
      <c r="DG42305" s="256"/>
    </row>
    <row r="42306" spans="104:111">
      <c r="CZ42306" s="256"/>
      <c r="DG42306" s="256"/>
    </row>
    <row r="42307" spans="104:111">
      <c r="CZ42307" s="256"/>
      <c r="DG42307" s="256"/>
    </row>
    <row r="42308" spans="104:111">
      <c r="CZ42308" s="256"/>
      <c r="DG42308" s="256"/>
    </row>
    <row r="42309" spans="104:111">
      <c r="CZ42309" s="256"/>
      <c r="DG42309" s="256"/>
    </row>
    <row r="42310" spans="104:111">
      <c r="CZ42310" s="256"/>
      <c r="DG42310" s="256"/>
    </row>
    <row r="42311" spans="104:111">
      <c r="CZ42311" s="256"/>
      <c r="DG42311" s="256"/>
    </row>
    <row r="42312" spans="104:111">
      <c r="CZ42312" s="256"/>
      <c r="DG42312" s="256"/>
    </row>
    <row r="42313" spans="104:111">
      <c r="CZ42313" s="256"/>
      <c r="DG42313" s="256"/>
    </row>
    <row r="42314" spans="104:111">
      <c r="CZ42314" s="256"/>
      <c r="DG42314" s="256"/>
    </row>
    <row r="42315" spans="104:111">
      <c r="CZ42315" s="256"/>
      <c r="DG42315" s="256"/>
    </row>
    <row r="42316" spans="104:111">
      <c r="CZ42316" s="256"/>
      <c r="DG42316" s="256"/>
    </row>
    <row r="42317" spans="104:111">
      <c r="CZ42317" s="256"/>
      <c r="DG42317" s="256"/>
    </row>
    <row r="42318" spans="104:111">
      <c r="CZ42318" s="256"/>
      <c r="DG42318" s="256"/>
    </row>
    <row r="42319" spans="104:111">
      <c r="CZ42319" s="256"/>
      <c r="DG42319" s="256"/>
    </row>
    <row r="42320" spans="104:111">
      <c r="CZ42320" s="256"/>
      <c r="DG42320" s="256"/>
    </row>
    <row r="42321" spans="104:111">
      <c r="CZ42321" s="256"/>
      <c r="DG42321" s="256"/>
    </row>
    <row r="42322" spans="104:111">
      <c r="CZ42322" s="256"/>
      <c r="DG42322" s="256"/>
    </row>
    <row r="42323" spans="104:111">
      <c r="CZ42323" s="256"/>
      <c r="DG42323" s="256"/>
    </row>
    <row r="42324" spans="104:111">
      <c r="CZ42324" s="256"/>
      <c r="DG42324" s="256"/>
    </row>
    <row r="42325" spans="104:111">
      <c r="CZ42325" s="256"/>
      <c r="DG42325" s="256"/>
    </row>
    <row r="42326" spans="104:111">
      <c r="CZ42326" s="256"/>
      <c r="DG42326" s="256"/>
    </row>
    <row r="42327" spans="104:111">
      <c r="CZ42327" s="256"/>
      <c r="DG42327" s="256"/>
    </row>
    <row r="42328" spans="104:111">
      <c r="CZ42328" s="256"/>
      <c r="DG42328" s="256"/>
    </row>
    <row r="42329" spans="104:111">
      <c r="CZ42329" s="256"/>
      <c r="DG42329" s="256"/>
    </row>
    <row r="42330" spans="104:111">
      <c r="CZ42330" s="256"/>
      <c r="DG42330" s="256"/>
    </row>
    <row r="42331" spans="104:111">
      <c r="CZ42331" s="256"/>
      <c r="DG42331" s="256"/>
    </row>
    <row r="42332" spans="104:111">
      <c r="CZ42332" s="256"/>
      <c r="DG42332" s="256"/>
    </row>
    <row r="42333" spans="104:111">
      <c r="CZ42333" s="256"/>
      <c r="DG42333" s="256"/>
    </row>
    <row r="42334" spans="104:111">
      <c r="CZ42334" s="256"/>
      <c r="DG42334" s="256"/>
    </row>
    <row r="42335" spans="104:111">
      <c r="CZ42335" s="256"/>
      <c r="DG42335" s="256"/>
    </row>
    <row r="42336" spans="104:111">
      <c r="CZ42336" s="256"/>
      <c r="DG42336" s="256"/>
    </row>
    <row r="42337" spans="104:111">
      <c r="CZ42337" s="256"/>
      <c r="DG42337" s="256"/>
    </row>
    <row r="42338" spans="104:111">
      <c r="CZ42338" s="256"/>
      <c r="DG42338" s="256"/>
    </row>
    <row r="42339" spans="104:111">
      <c r="CZ42339" s="256"/>
      <c r="DG42339" s="256"/>
    </row>
    <row r="42340" spans="104:111">
      <c r="CZ42340" s="256"/>
      <c r="DG42340" s="256"/>
    </row>
    <row r="42341" spans="104:111">
      <c r="CZ42341" s="256"/>
      <c r="DG42341" s="256"/>
    </row>
    <row r="42342" spans="104:111">
      <c r="CZ42342" s="256"/>
      <c r="DG42342" s="256"/>
    </row>
    <row r="42343" spans="104:111">
      <c r="CZ42343" s="256"/>
      <c r="DG42343" s="256"/>
    </row>
    <row r="42344" spans="104:111">
      <c r="CZ42344" s="256"/>
      <c r="DG42344" s="256"/>
    </row>
    <row r="42345" spans="104:111">
      <c r="CZ42345" s="256"/>
      <c r="DG42345" s="256"/>
    </row>
    <row r="42346" spans="104:111">
      <c r="CZ42346" s="256"/>
      <c r="DG42346" s="256"/>
    </row>
    <row r="42347" spans="104:111">
      <c r="CZ42347" s="256"/>
      <c r="DG42347" s="256"/>
    </row>
    <row r="42348" spans="104:111">
      <c r="CZ42348" s="256"/>
      <c r="DG42348" s="256"/>
    </row>
    <row r="42349" spans="104:111">
      <c r="CZ42349" s="256"/>
      <c r="DG42349" s="256"/>
    </row>
    <row r="42350" spans="104:111">
      <c r="CZ42350" s="256"/>
      <c r="DG42350" s="256"/>
    </row>
    <row r="42351" spans="104:111">
      <c r="CZ42351" s="256"/>
      <c r="DG42351" s="256"/>
    </row>
    <row r="42352" spans="104:111">
      <c r="CZ42352" s="256"/>
      <c r="DG42352" s="256"/>
    </row>
    <row r="42353" spans="104:111">
      <c r="CZ42353" s="256"/>
      <c r="DG42353" s="256"/>
    </row>
    <row r="42354" spans="104:111">
      <c r="CZ42354" s="256"/>
      <c r="DG42354" s="256"/>
    </row>
    <row r="42355" spans="104:111">
      <c r="CZ42355" s="256"/>
      <c r="DG42355" s="256"/>
    </row>
    <row r="42356" spans="104:111">
      <c r="CZ42356" s="256"/>
      <c r="DG42356" s="256"/>
    </row>
    <row r="42357" spans="104:111">
      <c r="CZ42357" s="256"/>
      <c r="DG42357" s="256"/>
    </row>
    <row r="42358" spans="104:111">
      <c r="CZ42358" s="256"/>
      <c r="DG42358" s="256"/>
    </row>
    <row r="42359" spans="104:111">
      <c r="CZ42359" s="256"/>
      <c r="DG42359" s="256"/>
    </row>
    <row r="42360" spans="104:111">
      <c r="CZ42360" s="256"/>
      <c r="DG42360" s="256"/>
    </row>
    <row r="42361" spans="104:111">
      <c r="CZ42361" s="256"/>
      <c r="DG42361" s="256"/>
    </row>
    <row r="42362" spans="104:111">
      <c r="CZ42362" s="256"/>
      <c r="DG42362" s="256"/>
    </row>
    <row r="42363" spans="104:111">
      <c r="CZ42363" s="256"/>
      <c r="DG42363" s="256"/>
    </row>
    <row r="42364" spans="104:111">
      <c r="CZ42364" s="256"/>
      <c r="DG42364" s="256"/>
    </row>
    <row r="42365" spans="104:111">
      <c r="CZ42365" s="256"/>
      <c r="DG42365" s="256"/>
    </row>
    <row r="42366" spans="104:111">
      <c r="CZ42366" s="256"/>
      <c r="DG42366" s="256"/>
    </row>
    <row r="42367" spans="104:111">
      <c r="CZ42367" s="256"/>
      <c r="DG42367" s="256"/>
    </row>
    <row r="42368" spans="104:111">
      <c r="CZ42368" s="256"/>
      <c r="DG42368" s="256"/>
    </row>
    <row r="42369" spans="104:111">
      <c r="CZ42369" s="256"/>
      <c r="DG42369" s="256"/>
    </row>
    <row r="42370" spans="104:111">
      <c r="CZ42370" s="256"/>
      <c r="DG42370" s="256"/>
    </row>
    <row r="42371" spans="104:111">
      <c r="CZ42371" s="256"/>
      <c r="DG42371" s="256"/>
    </row>
    <row r="42372" spans="104:111">
      <c r="CZ42372" s="256"/>
      <c r="DG42372" s="256"/>
    </row>
    <row r="42373" spans="104:111">
      <c r="CZ42373" s="256"/>
      <c r="DG42373" s="256"/>
    </row>
    <row r="42374" spans="104:111">
      <c r="CZ42374" s="256"/>
      <c r="DG42374" s="256"/>
    </row>
    <row r="42375" spans="104:111">
      <c r="CZ42375" s="256"/>
      <c r="DG42375" s="256"/>
    </row>
    <row r="42376" spans="104:111">
      <c r="CZ42376" s="256"/>
      <c r="DG42376" s="256"/>
    </row>
    <row r="42377" spans="104:111">
      <c r="CZ42377" s="256"/>
      <c r="DG42377" s="256"/>
    </row>
    <row r="42378" spans="104:111">
      <c r="CZ42378" s="256"/>
      <c r="DG42378" s="256"/>
    </row>
    <row r="42379" spans="104:111">
      <c r="CZ42379" s="256"/>
      <c r="DG42379" s="256"/>
    </row>
    <row r="42380" spans="104:111">
      <c r="CZ42380" s="256"/>
      <c r="DG42380" s="256"/>
    </row>
    <row r="42381" spans="104:111">
      <c r="CZ42381" s="256"/>
      <c r="DG42381" s="256"/>
    </row>
    <row r="42382" spans="104:111">
      <c r="CZ42382" s="256"/>
      <c r="DG42382" s="256"/>
    </row>
    <row r="42383" spans="104:111">
      <c r="CZ42383" s="256"/>
      <c r="DG42383" s="256"/>
    </row>
    <row r="42384" spans="104:111">
      <c r="CZ42384" s="256"/>
      <c r="DG42384" s="256"/>
    </row>
    <row r="42385" spans="104:111">
      <c r="CZ42385" s="256"/>
      <c r="DG42385" s="256"/>
    </row>
    <row r="42386" spans="104:111">
      <c r="CZ42386" s="256"/>
      <c r="DG42386" s="256"/>
    </row>
    <row r="42387" spans="104:111">
      <c r="CZ42387" s="256"/>
      <c r="DG42387" s="256"/>
    </row>
    <row r="42388" spans="104:111">
      <c r="CZ42388" s="256"/>
      <c r="DG42388" s="256"/>
    </row>
    <row r="42389" spans="104:111">
      <c r="CZ42389" s="256"/>
      <c r="DG42389" s="256"/>
    </row>
    <row r="42390" spans="104:111">
      <c r="CZ42390" s="256"/>
      <c r="DG42390" s="256"/>
    </row>
    <row r="42391" spans="104:111">
      <c r="CZ42391" s="256"/>
      <c r="DG42391" s="256"/>
    </row>
    <row r="42392" spans="104:111">
      <c r="CZ42392" s="256"/>
      <c r="DG42392" s="256"/>
    </row>
    <row r="42393" spans="104:111">
      <c r="CZ42393" s="256"/>
      <c r="DG42393" s="256"/>
    </row>
    <row r="42394" spans="104:111">
      <c r="CZ42394" s="256"/>
      <c r="DG42394" s="256"/>
    </row>
    <row r="42395" spans="104:111">
      <c r="CZ42395" s="256"/>
      <c r="DG42395" s="256"/>
    </row>
    <row r="42396" spans="104:111">
      <c r="CZ42396" s="256"/>
      <c r="DG42396" s="256"/>
    </row>
    <row r="42397" spans="104:111">
      <c r="CZ42397" s="256"/>
      <c r="DG42397" s="256"/>
    </row>
    <row r="42398" spans="104:111">
      <c r="CZ42398" s="256"/>
      <c r="DG42398" s="256"/>
    </row>
    <row r="42399" spans="104:111">
      <c r="CZ42399" s="256"/>
      <c r="DG42399" s="256"/>
    </row>
    <row r="42400" spans="104:111">
      <c r="CZ42400" s="256"/>
      <c r="DG42400" s="256"/>
    </row>
    <row r="42401" spans="104:111">
      <c r="CZ42401" s="256"/>
      <c r="DG42401" s="256"/>
    </row>
    <row r="42402" spans="104:111">
      <c r="CZ42402" s="256"/>
      <c r="DG42402" s="256"/>
    </row>
    <row r="42403" spans="104:111">
      <c r="CZ42403" s="256"/>
      <c r="DG42403" s="256"/>
    </row>
    <row r="42404" spans="104:111">
      <c r="CZ42404" s="256"/>
      <c r="DG42404" s="256"/>
    </row>
    <row r="42405" spans="104:111">
      <c r="CZ42405" s="256"/>
      <c r="DG42405" s="256"/>
    </row>
    <row r="42406" spans="104:111">
      <c r="CZ42406" s="256"/>
      <c r="DG42406" s="256"/>
    </row>
    <row r="42407" spans="104:111">
      <c r="CZ42407" s="256"/>
      <c r="DG42407" s="256"/>
    </row>
    <row r="42408" spans="104:111">
      <c r="CZ42408" s="256"/>
      <c r="DG42408" s="256"/>
    </row>
    <row r="42409" spans="104:111">
      <c r="CZ42409" s="256"/>
      <c r="DG42409" s="256"/>
    </row>
    <row r="42410" spans="104:111">
      <c r="CZ42410" s="256"/>
      <c r="DG42410" s="256"/>
    </row>
    <row r="42411" spans="104:111">
      <c r="CZ42411" s="256"/>
      <c r="DG42411" s="256"/>
    </row>
    <row r="42412" spans="104:111">
      <c r="CZ42412" s="256"/>
      <c r="DG42412" s="256"/>
    </row>
    <row r="42413" spans="104:111">
      <c r="CZ42413" s="256"/>
      <c r="DG42413" s="256"/>
    </row>
    <row r="42414" spans="104:111">
      <c r="CZ42414" s="256"/>
      <c r="DG42414" s="256"/>
    </row>
    <row r="42415" spans="104:111">
      <c r="CZ42415" s="256"/>
      <c r="DG42415" s="256"/>
    </row>
    <row r="42416" spans="104:111">
      <c r="CZ42416" s="256"/>
      <c r="DG42416" s="256"/>
    </row>
    <row r="42417" spans="104:111">
      <c r="CZ42417" s="256"/>
      <c r="DG42417" s="256"/>
    </row>
    <row r="42418" spans="104:111">
      <c r="CZ42418" s="256"/>
      <c r="DG42418" s="256"/>
    </row>
    <row r="42419" spans="104:111">
      <c r="CZ42419" s="256"/>
      <c r="DG42419" s="256"/>
    </row>
    <row r="42420" spans="104:111">
      <c r="CZ42420" s="256"/>
      <c r="DG42420" s="256"/>
    </row>
    <row r="42421" spans="104:111">
      <c r="CZ42421" s="256"/>
      <c r="DG42421" s="256"/>
    </row>
    <row r="42422" spans="104:111">
      <c r="CZ42422" s="256"/>
      <c r="DG42422" s="256"/>
    </row>
    <row r="42423" spans="104:111">
      <c r="CZ42423" s="256"/>
      <c r="DG42423" s="256"/>
    </row>
    <row r="42424" spans="104:111">
      <c r="CZ42424" s="256"/>
      <c r="DG42424" s="256"/>
    </row>
    <row r="42425" spans="104:111">
      <c r="CZ42425" s="256"/>
      <c r="DG42425" s="256"/>
    </row>
    <row r="42426" spans="104:111">
      <c r="CZ42426" s="256"/>
      <c r="DG42426" s="256"/>
    </row>
    <row r="42427" spans="104:111">
      <c r="CZ42427" s="256"/>
      <c r="DG42427" s="256"/>
    </row>
    <row r="42428" spans="104:111">
      <c r="CZ42428" s="256"/>
      <c r="DG42428" s="256"/>
    </row>
    <row r="42429" spans="104:111">
      <c r="CZ42429" s="256"/>
      <c r="DG42429" s="256"/>
    </row>
    <row r="42430" spans="104:111">
      <c r="CZ42430" s="256"/>
      <c r="DG42430" s="256"/>
    </row>
    <row r="42431" spans="104:111">
      <c r="CZ42431" s="256"/>
      <c r="DG42431" s="256"/>
    </row>
    <row r="42432" spans="104:111">
      <c r="CZ42432" s="256"/>
      <c r="DG42432" s="256"/>
    </row>
    <row r="42433" spans="104:111">
      <c r="CZ42433" s="256"/>
      <c r="DG42433" s="256"/>
    </row>
    <row r="42434" spans="104:111">
      <c r="CZ42434" s="256"/>
      <c r="DG42434" s="256"/>
    </row>
    <row r="42435" spans="104:111">
      <c r="CZ42435" s="256"/>
      <c r="DG42435" s="256"/>
    </row>
    <row r="42436" spans="104:111">
      <c r="CZ42436" s="256"/>
      <c r="DG42436" s="256"/>
    </row>
    <row r="42437" spans="104:111">
      <c r="CZ42437" s="256"/>
      <c r="DG42437" s="256"/>
    </row>
    <row r="42438" spans="104:111">
      <c r="CZ42438" s="256"/>
      <c r="DG42438" s="256"/>
    </row>
    <row r="42439" spans="104:111">
      <c r="CZ42439" s="256"/>
      <c r="DG42439" s="256"/>
    </row>
    <row r="42440" spans="104:111">
      <c r="CZ42440" s="256"/>
      <c r="DG42440" s="256"/>
    </row>
    <row r="42441" spans="104:111">
      <c r="CZ42441" s="256"/>
      <c r="DG42441" s="256"/>
    </row>
    <row r="42442" spans="104:111">
      <c r="CZ42442" s="256"/>
      <c r="DG42442" s="256"/>
    </row>
    <row r="42443" spans="104:111">
      <c r="CZ42443" s="256"/>
      <c r="DG42443" s="256"/>
    </row>
    <row r="42444" spans="104:111">
      <c r="CZ42444" s="256"/>
      <c r="DG42444" s="256"/>
    </row>
    <row r="42445" spans="104:111">
      <c r="CZ42445" s="256"/>
      <c r="DG42445" s="256"/>
    </row>
    <row r="42446" spans="104:111">
      <c r="CZ42446" s="256"/>
      <c r="DG42446" s="256"/>
    </row>
    <row r="42447" spans="104:111">
      <c r="CZ42447" s="256"/>
      <c r="DG42447" s="256"/>
    </row>
    <row r="42448" spans="104:111">
      <c r="CZ42448" s="256"/>
      <c r="DG42448" s="256"/>
    </row>
    <row r="42449" spans="104:111">
      <c r="CZ42449" s="256"/>
      <c r="DG42449" s="256"/>
    </row>
    <row r="42450" spans="104:111">
      <c r="CZ42450" s="256"/>
      <c r="DG42450" s="256"/>
    </row>
    <row r="42451" spans="104:111">
      <c r="CZ42451" s="256"/>
      <c r="DG42451" s="256"/>
    </row>
    <row r="42452" spans="104:111">
      <c r="CZ42452" s="256"/>
      <c r="DG42452" s="256"/>
    </row>
    <row r="42453" spans="104:111">
      <c r="CZ42453" s="256"/>
      <c r="DG42453" s="256"/>
    </row>
    <row r="42454" spans="104:111">
      <c r="CZ42454" s="256"/>
      <c r="DG42454" s="256"/>
    </row>
    <row r="42455" spans="104:111">
      <c r="CZ42455" s="256"/>
      <c r="DG42455" s="256"/>
    </row>
    <row r="42456" spans="104:111">
      <c r="CZ42456" s="256"/>
      <c r="DG42456" s="256"/>
    </row>
    <row r="42457" spans="104:111">
      <c r="CZ42457" s="256"/>
      <c r="DG42457" s="256"/>
    </row>
    <row r="42458" spans="104:111">
      <c r="CZ42458" s="256"/>
      <c r="DG42458" s="256"/>
    </row>
    <row r="42459" spans="104:111">
      <c r="CZ42459" s="256"/>
      <c r="DG42459" s="256"/>
    </row>
    <row r="42460" spans="104:111">
      <c r="CZ42460" s="256"/>
      <c r="DG42460" s="256"/>
    </row>
    <row r="42461" spans="104:111">
      <c r="CZ42461" s="256"/>
      <c r="DG42461" s="256"/>
    </row>
    <row r="42462" spans="104:111">
      <c r="CZ42462" s="256"/>
      <c r="DG42462" s="256"/>
    </row>
    <row r="42463" spans="104:111">
      <c r="CZ42463" s="256"/>
      <c r="DG42463" s="256"/>
    </row>
    <row r="42464" spans="104:111">
      <c r="CZ42464" s="256"/>
      <c r="DG42464" s="256"/>
    </row>
    <row r="42465" spans="104:111">
      <c r="CZ42465" s="256"/>
      <c r="DG42465" s="256"/>
    </row>
    <row r="42466" spans="104:111">
      <c r="CZ42466" s="256"/>
      <c r="DG42466" s="256"/>
    </row>
    <row r="42467" spans="104:111">
      <c r="CZ42467" s="256"/>
      <c r="DG42467" s="256"/>
    </row>
    <row r="42468" spans="104:111">
      <c r="CZ42468" s="256"/>
      <c r="DG42468" s="256"/>
    </row>
    <row r="42469" spans="104:111">
      <c r="CZ42469" s="256"/>
      <c r="DG42469" s="256"/>
    </row>
    <row r="42470" spans="104:111">
      <c r="CZ42470" s="256"/>
      <c r="DG42470" s="256"/>
    </row>
    <row r="42471" spans="104:111">
      <c r="CZ42471" s="256"/>
      <c r="DG42471" s="256"/>
    </row>
    <row r="42472" spans="104:111">
      <c r="CZ42472" s="256"/>
      <c r="DG42472" s="256"/>
    </row>
    <row r="42473" spans="104:111">
      <c r="CZ42473" s="256"/>
      <c r="DG42473" s="256"/>
    </row>
    <row r="42474" spans="104:111">
      <c r="CZ42474" s="256"/>
      <c r="DG42474" s="256"/>
    </row>
    <row r="42475" spans="104:111">
      <c r="CZ42475" s="256"/>
      <c r="DG42475" s="256"/>
    </row>
    <row r="42476" spans="104:111">
      <c r="CZ42476" s="256"/>
      <c r="DG42476" s="256"/>
    </row>
    <row r="42477" spans="104:111">
      <c r="CZ42477" s="256"/>
      <c r="DG42477" s="256"/>
    </row>
    <row r="42478" spans="104:111">
      <c r="CZ42478" s="256"/>
      <c r="DG42478" s="256"/>
    </row>
    <row r="42479" spans="104:111">
      <c r="CZ42479" s="256"/>
      <c r="DG42479" s="256"/>
    </row>
    <row r="42480" spans="104:111">
      <c r="CZ42480" s="256"/>
      <c r="DG42480" s="256"/>
    </row>
    <row r="42481" spans="104:111">
      <c r="CZ42481" s="256"/>
      <c r="DG42481" s="256"/>
    </row>
    <row r="42482" spans="104:111">
      <c r="CZ42482" s="256"/>
      <c r="DG42482" s="256"/>
    </row>
    <row r="42483" spans="104:111">
      <c r="CZ42483" s="256"/>
      <c r="DG42483" s="256"/>
    </row>
    <row r="42484" spans="104:111">
      <c r="CZ42484" s="256"/>
      <c r="DG42484" s="256"/>
    </row>
    <row r="42485" spans="104:111">
      <c r="CZ42485" s="256"/>
      <c r="DG42485" s="256"/>
    </row>
    <row r="42486" spans="104:111">
      <c r="CZ42486" s="256"/>
      <c r="DG42486" s="256"/>
    </row>
    <row r="42487" spans="104:111">
      <c r="CZ42487" s="256"/>
      <c r="DG42487" s="256"/>
    </row>
    <row r="42488" spans="104:111">
      <c r="CZ42488" s="256"/>
      <c r="DG42488" s="256"/>
    </row>
    <row r="42489" spans="104:111">
      <c r="CZ42489" s="256"/>
      <c r="DG42489" s="256"/>
    </row>
    <row r="42490" spans="104:111">
      <c r="CZ42490" s="256"/>
      <c r="DG42490" s="256"/>
    </row>
    <row r="42491" spans="104:111">
      <c r="CZ42491" s="256"/>
      <c r="DG42491" s="256"/>
    </row>
    <row r="42492" spans="104:111">
      <c r="CZ42492" s="256"/>
      <c r="DG42492" s="256"/>
    </row>
    <row r="42493" spans="104:111">
      <c r="CZ42493" s="256"/>
      <c r="DG42493" s="256"/>
    </row>
    <row r="42494" spans="104:111">
      <c r="CZ42494" s="256"/>
      <c r="DG42494" s="256"/>
    </row>
    <row r="42495" spans="104:111">
      <c r="CZ42495" s="256"/>
      <c r="DG42495" s="256"/>
    </row>
    <row r="42496" spans="104:111">
      <c r="CZ42496" s="256"/>
      <c r="DG42496" s="256"/>
    </row>
    <row r="42497" spans="104:111">
      <c r="CZ42497" s="256"/>
      <c r="DG42497" s="256"/>
    </row>
    <row r="42498" spans="104:111">
      <c r="CZ42498" s="256"/>
      <c r="DG42498" s="256"/>
    </row>
    <row r="42499" spans="104:111">
      <c r="CZ42499" s="256"/>
      <c r="DG42499" s="256"/>
    </row>
    <row r="42500" spans="104:111">
      <c r="CZ42500" s="256"/>
      <c r="DG42500" s="256"/>
    </row>
    <row r="42501" spans="104:111">
      <c r="CZ42501" s="256"/>
      <c r="DG42501" s="256"/>
    </row>
    <row r="42502" spans="104:111">
      <c r="CZ42502" s="256"/>
      <c r="DG42502" s="256"/>
    </row>
    <row r="42503" spans="104:111">
      <c r="CZ42503" s="256"/>
      <c r="DG42503" s="256"/>
    </row>
    <row r="42504" spans="104:111">
      <c r="CZ42504" s="256"/>
      <c r="DG42504" s="256"/>
    </row>
    <row r="42505" spans="104:111">
      <c r="CZ42505" s="256"/>
      <c r="DG42505" s="256"/>
    </row>
    <row r="42506" spans="104:111">
      <c r="CZ42506" s="256"/>
      <c r="DG42506" s="256"/>
    </row>
    <row r="42507" spans="104:111">
      <c r="CZ42507" s="256"/>
      <c r="DG42507" s="256"/>
    </row>
    <row r="42508" spans="104:111">
      <c r="CZ42508" s="256"/>
      <c r="DG42508" s="256"/>
    </row>
    <row r="42509" spans="104:111">
      <c r="CZ42509" s="256"/>
      <c r="DG42509" s="256"/>
    </row>
    <row r="42510" spans="104:111">
      <c r="CZ42510" s="256"/>
      <c r="DG42510" s="256"/>
    </row>
    <row r="42511" spans="104:111">
      <c r="CZ42511" s="256"/>
      <c r="DG42511" s="256"/>
    </row>
    <row r="42512" spans="104:111">
      <c r="CZ42512" s="256"/>
      <c r="DG42512" s="256"/>
    </row>
    <row r="42513" spans="104:111">
      <c r="CZ42513" s="256"/>
      <c r="DG42513" s="256"/>
    </row>
    <row r="42514" spans="104:111">
      <c r="CZ42514" s="256"/>
      <c r="DG42514" s="256"/>
    </row>
    <row r="42515" spans="104:111">
      <c r="CZ42515" s="256"/>
      <c r="DG42515" s="256"/>
    </row>
    <row r="42516" spans="104:111">
      <c r="CZ42516" s="256"/>
      <c r="DG42516" s="256"/>
    </row>
    <row r="42517" spans="104:111">
      <c r="CZ42517" s="256"/>
      <c r="DG42517" s="256"/>
    </row>
    <row r="42518" spans="104:111">
      <c r="CZ42518" s="256"/>
      <c r="DG42518" s="256"/>
    </row>
    <row r="42519" spans="104:111">
      <c r="CZ42519" s="256"/>
      <c r="DG42519" s="256"/>
    </row>
    <row r="42520" spans="104:111">
      <c r="CZ42520" s="256"/>
      <c r="DG42520" s="256"/>
    </row>
    <row r="42521" spans="104:111">
      <c r="CZ42521" s="256"/>
      <c r="DG42521" s="256"/>
    </row>
    <row r="42522" spans="104:111">
      <c r="CZ42522" s="256"/>
      <c r="DG42522" s="256"/>
    </row>
    <row r="42523" spans="104:111">
      <c r="CZ42523" s="256"/>
      <c r="DG42523" s="256"/>
    </row>
    <row r="42524" spans="104:111">
      <c r="CZ42524" s="256"/>
      <c r="DG42524" s="256"/>
    </row>
    <row r="42525" spans="104:111">
      <c r="CZ42525" s="256"/>
      <c r="DG42525" s="256"/>
    </row>
    <row r="42526" spans="104:111">
      <c r="CZ42526" s="256"/>
      <c r="DG42526" s="256"/>
    </row>
    <row r="42527" spans="104:111">
      <c r="CZ42527" s="256"/>
      <c r="DG42527" s="256"/>
    </row>
    <row r="42528" spans="104:111">
      <c r="CZ42528" s="256"/>
      <c r="DG42528" s="256"/>
    </row>
    <row r="42529" spans="104:111">
      <c r="CZ42529" s="256"/>
      <c r="DG42529" s="256"/>
    </row>
    <row r="42530" spans="104:111">
      <c r="CZ42530" s="256"/>
      <c r="DG42530" s="256"/>
    </row>
    <row r="42531" spans="104:111">
      <c r="CZ42531" s="256"/>
      <c r="DG42531" s="256"/>
    </row>
    <row r="42532" spans="104:111">
      <c r="CZ42532" s="256"/>
      <c r="DG42532" s="256"/>
    </row>
    <row r="42533" spans="104:111">
      <c r="CZ42533" s="256"/>
      <c r="DG42533" s="256"/>
    </row>
    <row r="42534" spans="104:111">
      <c r="CZ42534" s="256"/>
      <c r="DG42534" s="256"/>
    </row>
    <row r="42535" spans="104:111">
      <c r="CZ42535" s="256"/>
      <c r="DG42535" s="256"/>
    </row>
    <row r="42536" spans="104:111">
      <c r="CZ42536" s="256"/>
      <c r="DG42536" s="256"/>
    </row>
    <row r="42537" spans="104:111">
      <c r="CZ42537" s="256"/>
      <c r="DG42537" s="256"/>
    </row>
    <row r="42538" spans="104:111">
      <c r="CZ42538" s="256"/>
      <c r="DG42538" s="256"/>
    </row>
    <row r="42539" spans="104:111">
      <c r="CZ42539" s="256"/>
      <c r="DG42539" s="256"/>
    </row>
    <row r="42540" spans="104:111">
      <c r="CZ42540" s="256"/>
      <c r="DG42540" s="256"/>
    </row>
    <row r="42541" spans="104:111">
      <c r="CZ42541" s="256"/>
      <c r="DG42541" s="256"/>
    </row>
    <row r="42542" spans="104:111">
      <c r="CZ42542" s="256"/>
      <c r="DG42542" s="256"/>
    </row>
    <row r="42543" spans="104:111">
      <c r="CZ42543" s="256"/>
      <c r="DG42543" s="256"/>
    </row>
    <row r="42544" spans="104:111">
      <c r="CZ42544" s="256"/>
      <c r="DG42544" s="256"/>
    </row>
    <row r="42545" spans="104:111">
      <c r="CZ42545" s="256"/>
      <c r="DG42545" s="256"/>
    </row>
    <row r="42546" spans="104:111">
      <c r="CZ42546" s="256"/>
      <c r="DG42546" s="256"/>
    </row>
    <row r="42547" spans="104:111">
      <c r="CZ42547" s="256"/>
      <c r="DG42547" s="256"/>
    </row>
    <row r="42548" spans="104:111">
      <c r="CZ42548" s="256"/>
      <c r="DG42548" s="256"/>
    </row>
    <row r="42549" spans="104:111">
      <c r="CZ42549" s="256"/>
      <c r="DG42549" s="256"/>
    </row>
    <row r="42550" spans="104:111">
      <c r="CZ42550" s="256"/>
      <c r="DG42550" s="256"/>
    </row>
    <row r="42551" spans="104:111">
      <c r="CZ42551" s="256"/>
      <c r="DG42551" s="256"/>
    </row>
    <row r="42552" spans="104:111">
      <c r="CZ42552" s="256"/>
      <c r="DG42552" s="256"/>
    </row>
    <row r="42553" spans="104:111">
      <c r="CZ42553" s="256"/>
      <c r="DG42553" s="256"/>
    </row>
    <row r="42554" spans="104:111">
      <c r="CZ42554" s="256"/>
      <c r="DG42554" s="256"/>
    </row>
    <row r="42555" spans="104:111">
      <c r="CZ42555" s="256"/>
      <c r="DG42555" s="256"/>
    </row>
    <row r="42556" spans="104:111">
      <c r="CZ42556" s="256"/>
      <c r="DG42556" s="256"/>
    </row>
    <row r="42557" spans="104:111">
      <c r="CZ42557" s="256"/>
      <c r="DG42557" s="256"/>
    </row>
    <row r="42558" spans="104:111">
      <c r="CZ42558" s="256"/>
      <c r="DG42558" s="256"/>
    </row>
    <row r="42559" spans="104:111">
      <c r="CZ42559" s="256"/>
      <c r="DG42559" s="256"/>
    </row>
    <row r="42560" spans="104:111">
      <c r="CZ42560" s="256"/>
      <c r="DG42560" s="256"/>
    </row>
    <row r="42561" spans="104:111">
      <c r="CZ42561" s="256"/>
      <c r="DG42561" s="256"/>
    </row>
    <row r="42562" spans="104:111">
      <c r="CZ42562" s="256"/>
      <c r="DG42562" s="256"/>
    </row>
    <row r="42563" spans="104:111">
      <c r="CZ42563" s="256"/>
      <c r="DG42563" s="256"/>
    </row>
    <row r="42564" spans="104:111">
      <c r="CZ42564" s="256"/>
      <c r="DG42564" s="256"/>
    </row>
    <row r="42565" spans="104:111">
      <c r="CZ42565" s="256"/>
      <c r="DG42565" s="256"/>
    </row>
    <row r="42566" spans="104:111">
      <c r="CZ42566" s="256"/>
      <c r="DG42566" s="256"/>
    </row>
    <row r="42567" spans="104:111">
      <c r="CZ42567" s="256"/>
      <c r="DG42567" s="256"/>
    </row>
    <row r="42568" spans="104:111">
      <c r="CZ42568" s="256"/>
      <c r="DG42568" s="256"/>
    </row>
    <row r="42569" spans="104:111">
      <c r="CZ42569" s="256"/>
      <c r="DG42569" s="256"/>
    </row>
    <row r="42570" spans="104:111">
      <c r="CZ42570" s="256"/>
      <c r="DG42570" s="256"/>
    </row>
    <row r="42571" spans="104:111">
      <c r="CZ42571" s="256"/>
      <c r="DG42571" s="256"/>
    </row>
    <row r="42572" spans="104:111">
      <c r="CZ42572" s="256"/>
      <c r="DG42572" s="256"/>
    </row>
    <row r="42573" spans="104:111">
      <c r="CZ42573" s="256"/>
      <c r="DG42573" s="256"/>
    </row>
    <row r="42574" spans="104:111">
      <c r="CZ42574" s="256"/>
      <c r="DG42574" s="256"/>
    </row>
    <row r="42575" spans="104:111">
      <c r="CZ42575" s="256"/>
      <c r="DG42575" s="256"/>
    </row>
    <row r="42576" spans="104:111">
      <c r="CZ42576" s="256"/>
      <c r="DG42576" s="256"/>
    </row>
    <row r="42577" spans="104:111">
      <c r="CZ42577" s="256"/>
      <c r="DG42577" s="256"/>
    </row>
    <row r="42578" spans="104:111">
      <c r="CZ42578" s="256"/>
      <c r="DG42578" s="256"/>
    </row>
    <row r="42579" spans="104:111">
      <c r="CZ42579" s="256"/>
      <c r="DG42579" s="256"/>
    </row>
    <row r="42580" spans="104:111">
      <c r="CZ42580" s="256"/>
      <c r="DG42580" s="256"/>
    </row>
    <row r="42581" spans="104:111">
      <c r="CZ42581" s="256"/>
      <c r="DG42581" s="256"/>
    </row>
    <row r="42582" spans="104:111">
      <c r="CZ42582" s="256"/>
      <c r="DG42582" s="256"/>
    </row>
    <row r="42583" spans="104:111">
      <c r="CZ42583" s="256"/>
      <c r="DG42583" s="256"/>
    </row>
    <row r="42584" spans="104:111">
      <c r="CZ42584" s="256"/>
      <c r="DG42584" s="256"/>
    </row>
    <row r="42585" spans="104:111">
      <c r="CZ42585" s="256"/>
      <c r="DG42585" s="256"/>
    </row>
    <row r="42586" spans="104:111">
      <c r="CZ42586" s="256"/>
      <c r="DG42586" s="256"/>
    </row>
    <row r="42587" spans="104:111">
      <c r="CZ42587" s="256"/>
      <c r="DG42587" s="256"/>
    </row>
    <row r="42588" spans="104:111">
      <c r="CZ42588" s="256"/>
      <c r="DG42588" s="256"/>
    </row>
    <row r="42589" spans="104:111">
      <c r="CZ42589" s="256"/>
      <c r="DG42589" s="256"/>
    </row>
    <row r="42590" spans="104:111">
      <c r="CZ42590" s="256"/>
      <c r="DG42590" s="256"/>
    </row>
    <row r="42591" spans="104:111">
      <c r="CZ42591" s="256"/>
      <c r="DG42591" s="256"/>
    </row>
    <row r="42592" spans="104:111">
      <c r="CZ42592" s="256"/>
      <c r="DG42592" s="256"/>
    </row>
    <row r="42593" spans="104:111">
      <c r="CZ42593" s="256"/>
      <c r="DG42593" s="256"/>
    </row>
    <row r="42594" spans="104:111">
      <c r="CZ42594" s="256"/>
      <c r="DG42594" s="256"/>
    </row>
    <row r="42595" spans="104:111">
      <c r="CZ42595" s="256"/>
      <c r="DG42595" s="256"/>
    </row>
    <row r="42596" spans="104:111">
      <c r="CZ42596" s="256"/>
      <c r="DG42596" s="256"/>
    </row>
    <row r="42597" spans="104:111">
      <c r="CZ42597" s="256"/>
      <c r="DG42597" s="256"/>
    </row>
    <row r="42598" spans="104:111">
      <c r="CZ42598" s="256"/>
      <c r="DG42598" s="256"/>
    </row>
    <row r="42599" spans="104:111">
      <c r="CZ42599" s="256"/>
      <c r="DG42599" s="256"/>
    </row>
    <row r="42600" spans="104:111">
      <c r="CZ42600" s="256"/>
      <c r="DG42600" s="256"/>
    </row>
    <row r="42601" spans="104:111">
      <c r="CZ42601" s="256"/>
      <c r="DG42601" s="256"/>
    </row>
    <row r="42602" spans="104:111">
      <c r="CZ42602" s="256"/>
      <c r="DG42602" s="256"/>
    </row>
    <row r="42603" spans="104:111">
      <c r="CZ42603" s="256"/>
      <c r="DG42603" s="256"/>
    </row>
    <row r="42604" spans="104:111">
      <c r="CZ42604" s="256"/>
      <c r="DG42604" s="256"/>
    </row>
    <row r="42605" spans="104:111">
      <c r="CZ42605" s="256"/>
      <c r="DG42605" s="256"/>
    </row>
    <row r="42606" spans="104:111">
      <c r="CZ42606" s="256"/>
      <c r="DG42606" s="256"/>
    </row>
    <row r="42607" spans="104:111">
      <c r="CZ42607" s="256"/>
      <c r="DG42607" s="256"/>
    </row>
    <row r="42608" spans="104:111">
      <c r="CZ42608" s="256"/>
      <c r="DG42608" s="256"/>
    </row>
    <row r="42609" spans="104:111">
      <c r="CZ42609" s="256"/>
      <c r="DG42609" s="256"/>
    </row>
    <row r="42610" spans="104:111">
      <c r="CZ42610" s="256"/>
      <c r="DG42610" s="256"/>
    </row>
    <row r="42611" spans="104:111">
      <c r="CZ42611" s="256"/>
      <c r="DG42611" s="256"/>
    </row>
    <row r="42612" spans="104:111">
      <c r="CZ42612" s="256"/>
      <c r="DG42612" s="256"/>
    </row>
    <row r="42613" spans="104:111">
      <c r="CZ42613" s="256"/>
      <c r="DG42613" s="256"/>
    </row>
    <row r="42614" spans="104:111">
      <c r="CZ42614" s="256"/>
      <c r="DG42614" s="256"/>
    </row>
    <row r="42615" spans="104:111">
      <c r="CZ42615" s="256"/>
      <c r="DG42615" s="256"/>
    </row>
    <row r="42616" spans="104:111">
      <c r="CZ42616" s="256"/>
      <c r="DG42616" s="256"/>
    </row>
    <row r="42617" spans="104:111">
      <c r="CZ42617" s="256"/>
      <c r="DG42617" s="256"/>
    </row>
    <row r="42618" spans="104:111">
      <c r="CZ42618" s="256"/>
      <c r="DG42618" s="256"/>
    </row>
    <row r="42619" spans="104:111">
      <c r="CZ42619" s="256"/>
      <c r="DG42619" s="256"/>
    </row>
    <row r="42620" spans="104:111">
      <c r="CZ42620" s="256"/>
      <c r="DG42620" s="256"/>
    </row>
    <row r="42621" spans="104:111">
      <c r="CZ42621" s="256"/>
      <c r="DG42621" s="256"/>
    </row>
    <row r="42622" spans="104:111">
      <c r="CZ42622" s="256"/>
      <c r="DG42622" s="256"/>
    </row>
    <row r="42623" spans="104:111">
      <c r="CZ42623" s="256"/>
      <c r="DG42623" s="256"/>
    </row>
    <row r="42624" spans="104:111">
      <c r="CZ42624" s="256"/>
      <c r="DG42624" s="256"/>
    </row>
    <row r="42625" spans="104:111">
      <c r="CZ42625" s="256"/>
      <c r="DG42625" s="256"/>
    </row>
    <row r="42626" spans="104:111">
      <c r="CZ42626" s="256"/>
      <c r="DG42626" s="256"/>
    </row>
    <row r="42627" spans="104:111">
      <c r="CZ42627" s="256"/>
      <c r="DG42627" s="256"/>
    </row>
    <row r="42628" spans="104:111">
      <c r="CZ42628" s="256"/>
      <c r="DG42628" s="256"/>
    </row>
    <row r="42629" spans="104:111">
      <c r="CZ42629" s="256"/>
      <c r="DG42629" s="256"/>
    </row>
    <row r="42630" spans="104:111">
      <c r="CZ42630" s="256"/>
      <c r="DG42630" s="256"/>
    </row>
    <row r="42631" spans="104:111">
      <c r="CZ42631" s="256"/>
      <c r="DG42631" s="256"/>
    </row>
    <row r="42632" spans="104:111">
      <c r="CZ42632" s="256"/>
      <c r="DG42632" s="256"/>
    </row>
    <row r="42633" spans="104:111">
      <c r="CZ42633" s="256"/>
      <c r="DG42633" s="256"/>
    </row>
    <row r="42634" spans="104:111">
      <c r="CZ42634" s="256"/>
      <c r="DG42634" s="256"/>
    </row>
    <row r="42635" spans="104:111">
      <c r="CZ42635" s="256"/>
      <c r="DG42635" s="256"/>
    </row>
    <row r="42636" spans="104:111">
      <c r="CZ42636" s="256"/>
      <c r="DG42636" s="256"/>
    </row>
    <row r="42637" spans="104:111">
      <c r="CZ42637" s="256"/>
      <c r="DG42637" s="256"/>
    </row>
    <row r="42638" spans="104:111">
      <c r="CZ42638" s="256"/>
      <c r="DG42638" s="256"/>
    </row>
    <row r="42639" spans="104:111">
      <c r="CZ42639" s="256"/>
      <c r="DG42639" s="256"/>
    </row>
    <row r="42640" spans="104:111">
      <c r="CZ42640" s="256"/>
      <c r="DG42640" s="256"/>
    </row>
    <row r="42641" spans="104:111">
      <c r="CZ42641" s="256"/>
      <c r="DG42641" s="256"/>
    </row>
    <row r="42642" spans="104:111">
      <c r="CZ42642" s="256"/>
      <c r="DG42642" s="256"/>
    </row>
    <row r="42643" spans="104:111">
      <c r="CZ42643" s="256"/>
      <c r="DG42643" s="256"/>
    </row>
    <row r="42644" spans="104:111">
      <c r="CZ42644" s="256"/>
      <c r="DG42644" s="256"/>
    </row>
    <row r="42645" spans="104:111">
      <c r="CZ42645" s="256"/>
      <c r="DG42645" s="256"/>
    </row>
    <row r="42646" spans="104:111">
      <c r="CZ42646" s="256"/>
      <c r="DG42646" s="256"/>
    </row>
    <row r="42647" spans="104:111">
      <c r="CZ42647" s="256"/>
      <c r="DG42647" s="256"/>
    </row>
    <row r="42648" spans="104:111">
      <c r="CZ42648" s="256"/>
      <c r="DG42648" s="256"/>
    </row>
    <row r="42649" spans="104:111">
      <c r="CZ42649" s="256"/>
      <c r="DG42649" s="256"/>
    </row>
    <row r="42650" spans="104:111">
      <c r="CZ42650" s="256"/>
      <c r="DG42650" s="256"/>
    </row>
    <row r="42651" spans="104:111">
      <c r="CZ42651" s="256"/>
      <c r="DG42651" s="256"/>
    </row>
    <row r="42652" spans="104:111">
      <c r="CZ42652" s="256"/>
      <c r="DG42652" s="256"/>
    </row>
    <row r="42653" spans="104:111">
      <c r="CZ42653" s="256"/>
      <c r="DG42653" s="256"/>
    </row>
    <row r="42654" spans="104:111">
      <c r="CZ42654" s="256"/>
      <c r="DG42654" s="256"/>
    </row>
    <row r="42655" spans="104:111">
      <c r="CZ42655" s="256"/>
      <c r="DG42655" s="256"/>
    </row>
    <row r="42656" spans="104:111">
      <c r="CZ42656" s="256"/>
      <c r="DG42656" s="256"/>
    </row>
    <row r="42657" spans="104:111">
      <c r="CZ42657" s="256"/>
      <c r="DG42657" s="256"/>
    </row>
    <row r="42658" spans="104:111">
      <c r="CZ42658" s="256"/>
      <c r="DG42658" s="256"/>
    </row>
    <row r="42659" spans="104:111">
      <c r="CZ42659" s="256"/>
      <c r="DG42659" s="256"/>
    </row>
    <row r="42660" spans="104:111">
      <c r="CZ42660" s="256"/>
      <c r="DG42660" s="256"/>
    </row>
    <row r="42661" spans="104:111">
      <c r="CZ42661" s="256"/>
      <c r="DG42661" s="256"/>
    </row>
    <row r="42662" spans="104:111">
      <c r="CZ42662" s="256"/>
      <c r="DG42662" s="256"/>
    </row>
    <row r="42663" spans="104:111">
      <c r="CZ42663" s="256"/>
      <c r="DG42663" s="256"/>
    </row>
    <row r="42664" spans="104:111">
      <c r="CZ42664" s="256"/>
      <c r="DG42664" s="256"/>
    </row>
    <row r="42665" spans="104:111">
      <c r="CZ42665" s="256"/>
      <c r="DG42665" s="256"/>
    </row>
    <row r="42666" spans="104:111">
      <c r="CZ42666" s="256"/>
      <c r="DG42666" s="256"/>
    </row>
    <row r="42667" spans="104:111">
      <c r="CZ42667" s="256"/>
      <c r="DG42667" s="256"/>
    </row>
    <row r="42668" spans="104:111">
      <c r="CZ42668" s="256"/>
      <c r="DG42668" s="256"/>
    </row>
    <row r="42669" spans="104:111">
      <c r="CZ42669" s="256"/>
      <c r="DG42669" s="256"/>
    </row>
    <row r="42670" spans="104:111">
      <c r="CZ42670" s="256"/>
      <c r="DG42670" s="256"/>
    </row>
    <row r="42671" spans="104:111">
      <c r="CZ42671" s="256"/>
      <c r="DG42671" s="256"/>
    </row>
    <row r="42672" spans="104:111">
      <c r="CZ42672" s="256"/>
      <c r="DG42672" s="256"/>
    </row>
    <row r="42673" spans="104:111">
      <c r="CZ42673" s="256"/>
      <c r="DG42673" s="256"/>
    </row>
    <row r="42674" spans="104:111">
      <c r="CZ42674" s="256"/>
      <c r="DG42674" s="256"/>
    </row>
    <row r="42675" spans="104:111">
      <c r="CZ42675" s="256"/>
      <c r="DG42675" s="256"/>
    </row>
    <row r="42676" spans="104:111">
      <c r="CZ42676" s="256"/>
      <c r="DG42676" s="256"/>
    </row>
    <row r="42677" spans="104:111">
      <c r="CZ42677" s="256"/>
      <c r="DG42677" s="256"/>
    </row>
    <row r="42678" spans="104:111">
      <c r="CZ42678" s="256"/>
      <c r="DG42678" s="256"/>
    </row>
    <row r="42679" spans="104:111">
      <c r="CZ42679" s="256"/>
      <c r="DG42679" s="256"/>
    </row>
    <row r="42680" spans="104:111">
      <c r="CZ42680" s="256"/>
      <c r="DG42680" s="256"/>
    </row>
    <row r="42681" spans="104:111">
      <c r="CZ42681" s="256"/>
      <c r="DG42681" s="256"/>
    </row>
    <row r="42682" spans="104:111">
      <c r="CZ42682" s="256"/>
      <c r="DG42682" s="256"/>
    </row>
    <row r="42683" spans="104:111">
      <c r="CZ42683" s="256"/>
      <c r="DG42683" s="256"/>
    </row>
    <row r="42684" spans="104:111">
      <c r="CZ42684" s="256"/>
      <c r="DG42684" s="256"/>
    </row>
    <row r="42685" spans="104:111">
      <c r="CZ42685" s="256"/>
      <c r="DG42685" s="256"/>
    </row>
    <row r="42686" spans="104:111">
      <c r="CZ42686" s="256"/>
      <c r="DG42686" s="256"/>
    </row>
    <row r="42687" spans="104:111">
      <c r="CZ42687" s="256"/>
      <c r="DG42687" s="256"/>
    </row>
    <row r="42688" spans="104:111">
      <c r="CZ42688" s="256"/>
      <c r="DG42688" s="256"/>
    </row>
    <row r="42689" spans="104:111">
      <c r="CZ42689" s="256"/>
      <c r="DG42689" s="256"/>
    </row>
    <row r="42690" spans="104:111">
      <c r="CZ42690" s="256"/>
      <c r="DG42690" s="256"/>
    </row>
    <row r="42691" spans="104:111">
      <c r="CZ42691" s="256"/>
      <c r="DG42691" s="256"/>
    </row>
    <row r="42692" spans="104:111">
      <c r="CZ42692" s="256"/>
      <c r="DG42692" s="256"/>
    </row>
    <row r="42693" spans="104:111">
      <c r="CZ42693" s="256"/>
      <c r="DG42693" s="256"/>
    </row>
    <row r="42694" spans="104:111">
      <c r="CZ42694" s="256"/>
      <c r="DG42694" s="256"/>
    </row>
    <row r="42695" spans="104:111">
      <c r="CZ42695" s="256"/>
      <c r="DG42695" s="256"/>
    </row>
    <row r="42696" spans="104:111">
      <c r="CZ42696" s="256"/>
      <c r="DG42696" s="256"/>
    </row>
    <row r="42697" spans="104:111">
      <c r="CZ42697" s="256"/>
      <c r="DG42697" s="256"/>
    </row>
    <row r="42698" spans="104:111">
      <c r="CZ42698" s="256"/>
      <c r="DG42698" s="256"/>
    </row>
    <row r="42699" spans="104:111">
      <c r="CZ42699" s="256"/>
      <c r="DG42699" s="256"/>
    </row>
    <row r="42700" spans="104:111">
      <c r="CZ42700" s="256"/>
      <c r="DG42700" s="256"/>
    </row>
    <row r="42701" spans="104:111">
      <c r="CZ42701" s="256"/>
      <c r="DG42701" s="256"/>
    </row>
    <row r="42702" spans="104:111">
      <c r="CZ42702" s="256"/>
      <c r="DG42702" s="256"/>
    </row>
    <row r="42703" spans="104:111">
      <c r="CZ42703" s="256"/>
      <c r="DG42703" s="256"/>
    </row>
    <row r="42704" spans="104:111">
      <c r="CZ42704" s="256"/>
      <c r="DG42704" s="256"/>
    </row>
    <row r="42705" spans="104:111">
      <c r="CZ42705" s="256"/>
      <c r="DG42705" s="256"/>
    </row>
    <row r="42706" spans="104:111">
      <c r="CZ42706" s="256"/>
      <c r="DG42706" s="256"/>
    </row>
    <row r="42707" spans="104:111">
      <c r="CZ42707" s="256"/>
      <c r="DG42707" s="256"/>
    </row>
    <row r="42708" spans="104:111">
      <c r="CZ42708" s="256"/>
      <c r="DG42708" s="256"/>
    </row>
    <row r="42709" spans="104:111">
      <c r="CZ42709" s="256"/>
      <c r="DG42709" s="256"/>
    </row>
    <row r="42710" spans="104:111">
      <c r="CZ42710" s="256"/>
      <c r="DG42710" s="256"/>
    </row>
    <row r="42711" spans="104:111">
      <c r="CZ42711" s="256"/>
      <c r="DG42711" s="256"/>
    </row>
    <row r="42712" spans="104:111">
      <c r="CZ42712" s="256"/>
      <c r="DG42712" s="256"/>
    </row>
    <row r="42713" spans="104:111">
      <c r="CZ42713" s="256"/>
      <c r="DG42713" s="256"/>
    </row>
    <row r="42714" spans="104:111">
      <c r="CZ42714" s="256"/>
      <c r="DG42714" s="256"/>
    </row>
    <row r="42715" spans="104:111">
      <c r="CZ42715" s="256"/>
      <c r="DG42715" s="256"/>
    </row>
    <row r="42716" spans="104:111">
      <c r="CZ42716" s="256"/>
      <c r="DG42716" s="256"/>
    </row>
    <row r="42717" spans="104:111">
      <c r="CZ42717" s="256"/>
      <c r="DG42717" s="256"/>
    </row>
    <row r="42718" spans="104:111">
      <c r="CZ42718" s="256"/>
      <c r="DG42718" s="256"/>
    </row>
    <row r="42719" spans="104:111">
      <c r="CZ42719" s="256"/>
      <c r="DG42719" s="256"/>
    </row>
    <row r="42720" spans="104:111">
      <c r="CZ42720" s="256"/>
      <c r="DG42720" s="256"/>
    </row>
    <row r="42721" spans="104:111">
      <c r="CZ42721" s="256"/>
      <c r="DG42721" s="256"/>
    </row>
    <row r="42722" spans="104:111">
      <c r="CZ42722" s="256"/>
      <c r="DG42722" s="256"/>
    </row>
    <row r="42723" spans="104:111">
      <c r="CZ42723" s="256"/>
      <c r="DG42723" s="256"/>
    </row>
    <row r="42724" spans="104:111">
      <c r="CZ42724" s="256"/>
      <c r="DG42724" s="256"/>
    </row>
    <row r="42725" spans="104:111">
      <c r="CZ42725" s="256"/>
      <c r="DG42725" s="256"/>
    </row>
    <row r="42726" spans="104:111">
      <c r="CZ42726" s="256"/>
      <c r="DG42726" s="256"/>
    </row>
    <row r="42727" spans="104:111">
      <c r="CZ42727" s="256"/>
      <c r="DG42727" s="256"/>
    </row>
    <row r="42728" spans="104:111">
      <c r="CZ42728" s="256"/>
      <c r="DG42728" s="256"/>
    </row>
    <row r="42729" spans="104:111">
      <c r="CZ42729" s="256"/>
      <c r="DG42729" s="256"/>
    </row>
    <row r="42730" spans="104:111">
      <c r="CZ42730" s="256"/>
      <c r="DG42730" s="256"/>
    </row>
    <row r="42731" spans="104:111">
      <c r="CZ42731" s="256"/>
      <c r="DG42731" s="256"/>
    </row>
    <row r="42732" spans="104:111">
      <c r="CZ42732" s="256"/>
      <c r="DG42732" s="256"/>
    </row>
    <row r="42733" spans="104:111">
      <c r="CZ42733" s="256"/>
      <c r="DG42733" s="256"/>
    </row>
    <row r="42734" spans="104:111">
      <c r="CZ42734" s="256"/>
      <c r="DG42734" s="256"/>
    </row>
    <row r="42735" spans="104:111">
      <c r="CZ42735" s="256"/>
      <c r="DG42735" s="256"/>
    </row>
    <row r="42736" spans="104:111">
      <c r="CZ42736" s="256"/>
      <c r="DG42736" s="256"/>
    </row>
    <row r="42737" spans="104:111">
      <c r="CZ42737" s="256"/>
      <c r="DG42737" s="256"/>
    </row>
    <row r="42738" spans="104:111">
      <c r="CZ42738" s="256"/>
      <c r="DG42738" s="256"/>
    </row>
    <row r="42739" spans="104:111">
      <c r="CZ42739" s="256"/>
      <c r="DG42739" s="256"/>
    </row>
    <row r="42740" spans="104:111">
      <c r="CZ42740" s="256"/>
      <c r="DG42740" s="256"/>
    </row>
    <row r="42741" spans="104:111">
      <c r="CZ42741" s="256"/>
      <c r="DG42741" s="256"/>
    </row>
    <row r="42742" spans="104:111">
      <c r="CZ42742" s="256"/>
      <c r="DG42742" s="256"/>
    </row>
    <row r="42743" spans="104:111">
      <c r="CZ42743" s="256"/>
      <c r="DG42743" s="256"/>
    </row>
    <row r="42744" spans="104:111">
      <c r="CZ42744" s="256"/>
      <c r="DG42744" s="256"/>
    </row>
    <row r="42745" spans="104:111">
      <c r="CZ42745" s="256"/>
      <c r="DG42745" s="256"/>
    </row>
    <row r="42746" spans="104:111">
      <c r="CZ42746" s="256"/>
      <c r="DG42746" s="256"/>
    </row>
    <row r="42747" spans="104:111">
      <c r="CZ42747" s="256"/>
      <c r="DG42747" s="256"/>
    </row>
    <row r="42748" spans="104:111">
      <c r="CZ42748" s="256"/>
      <c r="DG42748" s="256"/>
    </row>
    <row r="42749" spans="104:111">
      <c r="CZ42749" s="256"/>
      <c r="DG42749" s="256"/>
    </row>
    <row r="42750" spans="104:111">
      <c r="CZ42750" s="256"/>
      <c r="DG42750" s="256"/>
    </row>
    <row r="42751" spans="104:111">
      <c r="CZ42751" s="256"/>
      <c r="DG42751" s="256"/>
    </row>
    <row r="42752" spans="104:111">
      <c r="CZ42752" s="256"/>
      <c r="DG42752" s="256"/>
    </row>
    <row r="42753" spans="104:111">
      <c r="CZ42753" s="256"/>
      <c r="DG42753" s="256"/>
    </row>
    <row r="42754" spans="104:111">
      <c r="CZ42754" s="256"/>
      <c r="DG42754" s="256"/>
    </row>
    <row r="42755" spans="104:111">
      <c r="CZ42755" s="256"/>
      <c r="DG42755" s="256"/>
    </row>
    <row r="42756" spans="104:111">
      <c r="CZ42756" s="256"/>
      <c r="DG42756" s="256"/>
    </row>
    <row r="42757" spans="104:111">
      <c r="CZ42757" s="256"/>
      <c r="DG42757" s="256"/>
    </row>
    <row r="42758" spans="104:111">
      <c r="CZ42758" s="256"/>
      <c r="DG42758" s="256"/>
    </row>
    <row r="42759" spans="104:111">
      <c r="CZ42759" s="256"/>
      <c r="DG42759" s="256"/>
    </row>
    <row r="42760" spans="104:111">
      <c r="CZ42760" s="256"/>
      <c r="DG42760" s="256"/>
    </row>
    <row r="42761" spans="104:111">
      <c r="CZ42761" s="256"/>
      <c r="DG42761" s="256"/>
    </row>
    <row r="42762" spans="104:111">
      <c r="CZ42762" s="256"/>
      <c r="DG42762" s="256"/>
    </row>
    <row r="42763" spans="104:111">
      <c r="CZ42763" s="256"/>
      <c r="DG42763" s="256"/>
    </row>
    <row r="42764" spans="104:111">
      <c r="CZ42764" s="256"/>
      <c r="DG42764" s="256"/>
    </row>
    <row r="42765" spans="104:111">
      <c r="CZ42765" s="256"/>
      <c r="DG42765" s="256"/>
    </row>
    <row r="42766" spans="104:111">
      <c r="CZ42766" s="256"/>
      <c r="DG42766" s="256"/>
    </row>
    <row r="42767" spans="104:111">
      <c r="CZ42767" s="256"/>
      <c r="DG42767" s="256"/>
    </row>
    <row r="42768" spans="104:111">
      <c r="CZ42768" s="256"/>
      <c r="DG42768" s="256"/>
    </row>
    <row r="42769" spans="104:111">
      <c r="CZ42769" s="256"/>
      <c r="DG42769" s="256"/>
    </row>
    <row r="42770" spans="104:111">
      <c r="CZ42770" s="256"/>
      <c r="DG42770" s="256"/>
    </row>
    <row r="42771" spans="104:111">
      <c r="CZ42771" s="256"/>
      <c r="DG42771" s="256"/>
    </row>
    <row r="42772" spans="104:111">
      <c r="CZ42772" s="256"/>
      <c r="DG42772" s="256"/>
    </row>
    <row r="42773" spans="104:111">
      <c r="CZ42773" s="256"/>
      <c r="DG42773" s="256"/>
    </row>
    <row r="42774" spans="104:111">
      <c r="CZ42774" s="256"/>
      <c r="DG42774" s="256"/>
    </row>
    <row r="42775" spans="104:111">
      <c r="CZ42775" s="256"/>
      <c r="DG42775" s="256"/>
    </row>
    <row r="42776" spans="104:111">
      <c r="CZ42776" s="256"/>
      <c r="DG42776" s="256"/>
    </row>
    <row r="42777" spans="104:111">
      <c r="CZ42777" s="256"/>
      <c r="DG42777" s="256"/>
    </row>
    <row r="42778" spans="104:111">
      <c r="CZ42778" s="256"/>
      <c r="DG42778" s="256"/>
    </row>
    <row r="42779" spans="104:111">
      <c r="CZ42779" s="256"/>
      <c r="DG42779" s="256"/>
    </row>
    <row r="42780" spans="104:111">
      <c r="CZ42780" s="256"/>
      <c r="DG42780" s="256"/>
    </row>
    <row r="42781" spans="104:111">
      <c r="CZ42781" s="256"/>
      <c r="DG42781" s="256"/>
    </row>
    <row r="42782" spans="104:111">
      <c r="CZ42782" s="256"/>
      <c r="DG42782" s="256"/>
    </row>
    <row r="42783" spans="104:111">
      <c r="CZ42783" s="256"/>
      <c r="DG42783" s="256"/>
    </row>
    <row r="42784" spans="104:111">
      <c r="CZ42784" s="256"/>
      <c r="DG42784" s="256"/>
    </row>
    <row r="42785" spans="104:111">
      <c r="CZ42785" s="256"/>
      <c r="DG42785" s="256"/>
    </row>
    <row r="42786" spans="104:111">
      <c r="CZ42786" s="256"/>
      <c r="DG42786" s="256"/>
    </row>
    <row r="42787" spans="104:111">
      <c r="CZ42787" s="256"/>
      <c r="DG42787" s="256"/>
    </row>
    <row r="42788" spans="104:111">
      <c r="CZ42788" s="256"/>
      <c r="DG42788" s="256"/>
    </row>
    <row r="42789" spans="104:111">
      <c r="CZ42789" s="256"/>
      <c r="DG42789" s="256"/>
    </row>
    <row r="42790" spans="104:111">
      <c r="CZ42790" s="256"/>
      <c r="DG42790" s="256"/>
    </row>
    <row r="42791" spans="104:111">
      <c r="CZ42791" s="256"/>
      <c r="DG42791" s="256"/>
    </row>
    <row r="42792" spans="104:111">
      <c r="CZ42792" s="256"/>
      <c r="DG42792" s="256"/>
    </row>
    <row r="42793" spans="104:111">
      <c r="CZ42793" s="256"/>
      <c r="DG42793" s="256"/>
    </row>
    <row r="42794" spans="104:111">
      <c r="CZ42794" s="256"/>
      <c r="DG42794" s="256"/>
    </row>
    <row r="42795" spans="104:111">
      <c r="CZ42795" s="256"/>
      <c r="DG42795" s="256"/>
    </row>
    <row r="42796" spans="104:111">
      <c r="CZ42796" s="256"/>
      <c r="DG42796" s="256"/>
    </row>
    <row r="42797" spans="104:111">
      <c r="CZ42797" s="256"/>
      <c r="DG42797" s="256"/>
    </row>
    <row r="42798" spans="104:111">
      <c r="CZ42798" s="256"/>
      <c r="DG42798" s="256"/>
    </row>
    <row r="42799" spans="104:111">
      <c r="CZ42799" s="256"/>
      <c r="DG42799" s="256"/>
    </row>
    <row r="42800" spans="104:111">
      <c r="CZ42800" s="256"/>
      <c r="DG42800" s="256"/>
    </row>
    <row r="42801" spans="104:111">
      <c r="CZ42801" s="256"/>
      <c r="DG42801" s="256"/>
    </row>
    <row r="42802" spans="104:111">
      <c r="CZ42802" s="256"/>
      <c r="DG42802" s="256"/>
    </row>
    <row r="42803" spans="104:111">
      <c r="CZ42803" s="256"/>
      <c r="DG42803" s="256"/>
    </row>
    <row r="42804" spans="104:111">
      <c r="CZ42804" s="256"/>
      <c r="DG42804" s="256"/>
    </row>
    <row r="42805" spans="104:111">
      <c r="CZ42805" s="256"/>
      <c r="DG42805" s="256"/>
    </row>
    <row r="42806" spans="104:111">
      <c r="CZ42806" s="256"/>
      <c r="DG42806" s="256"/>
    </row>
    <row r="42807" spans="104:111">
      <c r="CZ42807" s="256"/>
      <c r="DG42807" s="256"/>
    </row>
    <row r="42808" spans="104:111">
      <c r="CZ42808" s="256"/>
      <c r="DG42808" s="256"/>
    </row>
    <row r="42809" spans="104:111">
      <c r="CZ42809" s="256"/>
      <c r="DG42809" s="256"/>
    </row>
    <row r="42810" spans="104:111">
      <c r="CZ42810" s="256"/>
      <c r="DG42810" s="256"/>
    </row>
    <row r="42811" spans="104:111">
      <c r="CZ42811" s="256"/>
      <c r="DG42811" s="256"/>
    </row>
    <row r="42812" spans="104:111">
      <c r="CZ42812" s="256"/>
      <c r="DG42812" s="256"/>
    </row>
    <row r="42813" spans="104:111">
      <c r="CZ42813" s="256"/>
      <c r="DG42813" s="256"/>
    </row>
    <row r="42814" spans="104:111">
      <c r="CZ42814" s="256"/>
      <c r="DG42814" s="256"/>
    </row>
    <row r="42815" spans="104:111">
      <c r="CZ42815" s="256"/>
      <c r="DG42815" s="256"/>
    </row>
    <row r="42816" spans="104:111">
      <c r="CZ42816" s="256"/>
      <c r="DG42816" s="256"/>
    </row>
    <row r="42817" spans="104:111">
      <c r="CZ42817" s="256"/>
      <c r="DG42817" s="256"/>
    </row>
    <row r="42818" spans="104:111">
      <c r="CZ42818" s="256"/>
      <c r="DG42818" s="256"/>
    </row>
    <row r="42819" spans="104:111">
      <c r="CZ42819" s="256"/>
      <c r="DG42819" s="256"/>
    </row>
    <row r="42820" spans="104:111">
      <c r="CZ42820" s="256"/>
      <c r="DG42820" s="256"/>
    </row>
    <row r="42821" spans="104:111">
      <c r="CZ42821" s="256"/>
      <c r="DG42821" s="256"/>
    </row>
    <row r="42822" spans="104:111">
      <c r="CZ42822" s="256"/>
      <c r="DG42822" s="256"/>
    </row>
    <row r="42823" spans="104:111">
      <c r="CZ42823" s="256"/>
      <c r="DG42823" s="256"/>
    </row>
    <row r="42824" spans="104:111">
      <c r="CZ42824" s="256"/>
      <c r="DG42824" s="256"/>
    </row>
    <row r="42825" spans="104:111">
      <c r="CZ42825" s="256"/>
      <c r="DG42825" s="256"/>
    </row>
    <row r="42826" spans="104:111">
      <c r="CZ42826" s="256"/>
      <c r="DG42826" s="256"/>
    </row>
    <row r="42827" spans="104:111">
      <c r="CZ42827" s="256"/>
      <c r="DG42827" s="256"/>
    </row>
    <row r="42828" spans="104:111">
      <c r="CZ42828" s="256"/>
      <c r="DG42828" s="256"/>
    </row>
    <row r="42829" spans="104:111">
      <c r="CZ42829" s="256"/>
      <c r="DG42829" s="256"/>
    </row>
    <row r="42830" spans="104:111">
      <c r="CZ42830" s="256"/>
      <c r="DG42830" s="256"/>
    </row>
    <row r="42831" spans="104:111">
      <c r="CZ42831" s="256"/>
      <c r="DG42831" s="256"/>
    </row>
    <row r="42832" spans="104:111">
      <c r="CZ42832" s="256"/>
      <c r="DG42832" s="256"/>
    </row>
    <row r="42833" spans="104:111">
      <c r="CZ42833" s="256"/>
      <c r="DG42833" s="256"/>
    </row>
    <row r="42834" spans="104:111">
      <c r="CZ42834" s="256"/>
      <c r="DG42834" s="256"/>
    </row>
    <row r="42835" spans="104:111">
      <c r="CZ42835" s="256"/>
      <c r="DG42835" s="256"/>
    </row>
    <row r="42836" spans="104:111">
      <c r="CZ42836" s="256"/>
      <c r="DG42836" s="256"/>
    </row>
    <row r="42837" spans="104:111">
      <c r="CZ42837" s="256"/>
      <c r="DG42837" s="256"/>
    </row>
    <row r="42838" spans="104:111">
      <c r="CZ42838" s="256"/>
      <c r="DG42838" s="256"/>
    </row>
    <row r="42839" spans="104:111">
      <c r="CZ42839" s="256"/>
      <c r="DG42839" s="256"/>
    </row>
    <row r="42840" spans="104:111">
      <c r="CZ42840" s="256"/>
      <c r="DG42840" s="256"/>
    </row>
    <row r="42841" spans="104:111">
      <c r="CZ42841" s="256"/>
      <c r="DG42841" s="256"/>
    </row>
    <row r="42842" spans="104:111">
      <c r="CZ42842" s="256"/>
      <c r="DG42842" s="256"/>
    </row>
    <row r="42843" spans="104:111">
      <c r="CZ42843" s="256"/>
      <c r="DG42843" s="256"/>
    </row>
    <row r="42844" spans="104:111">
      <c r="CZ42844" s="256"/>
      <c r="DG42844" s="256"/>
    </row>
    <row r="42845" spans="104:111">
      <c r="CZ42845" s="256"/>
      <c r="DG42845" s="256"/>
    </row>
    <row r="42846" spans="104:111">
      <c r="CZ42846" s="256"/>
      <c r="DG42846" s="256"/>
    </row>
    <row r="42847" spans="104:111">
      <c r="CZ42847" s="256"/>
      <c r="DG42847" s="256"/>
    </row>
    <row r="42848" spans="104:111">
      <c r="CZ42848" s="256"/>
      <c r="DG42848" s="256"/>
    </row>
    <row r="42849" spans="104:111">
      <c r="CZ42849" s="256"/>
      <c r="DG42849" s="256"/>
    </row>
    <row r="42850" spans="104:111">
      <c r="CZ42850" s="256"/>
      <c r="DG42850" s="256"/>
    </row>
    <row r="42851" spans="104:111">
      <c r="CZ42851" s="256"/>
      <c r="DG42851" s="256"/>
    </row>
    <row r="42852" spans="104:111">
      <c r="CZ42852" s="256"/>
      <c r="DG42852" s="256"/>
    </row>
    <row r="42853" spans="104:111">
      <c r="CZ42853" s="256"/>
      <c r="DG42853" s="256"/>
    </row>
    <row r="42854" spans="104:111">
      <c r="CZ42854" s="256"/>
      <c r="DG42854" s="256"/>
    </row>
    <row r="42855" spans="104:111">
      <c r="CZ42855" s="256"/>
      <c r="DG42855" s="256"/>
    </row>
    <row r="42856" spans="104:111">
      <c r="CZ42856" s="256"/>
      <c r="DG42856" s="256"/>
    </row>
    <row r="42857" spans="104:111">
      <c r="CZ42857" s="256"/>
      <c r="DG42857" s="256"/>
    </row>
    <row r="42858" spans="104:111">
      <c r="CZ42858" s="256"/>
      <c r="DG42858" s="256"/>
    </row>
    <row r="42859" spans="104:111">
      <c r="CZ42859" s="256"/>
      <c r="DG42859" s="256"/>
    </row>
    <row r="42860" spans="104:111">
      <c r="CZ42860" s="256"/>
      <c r="DG42860" s="256"/>
    </row>
    <row r="42861" spans="104:111">
      <c r="CZ42861" s="256"/>
      <c r="DG42861" s="256"/>
    </row>
    <row r="42862" spans="104:111">
      <c r="CZ42862" s="256"/>
      <c r="DG42862" s="256"/>
    </row>
    <row r="42863" spans="104:111">
      <c r="CZ42863" s="256"/>
      <c r="DG42863" s="256"/>
    </row>
    <row r="42864" spans="104:111">
      <c r="CZ42864" s="256"/>
      <c r="DG42864" s="256"/>
    </row>
    <row r="42865" spans="104:111">
      <c r="CZ42865" s="256"/>
      <c r="DG42865" s="256"/>
    </row>
    <row r="42866" spans="104:111">
      <c r="CZ42866" s="256"/>
      <c r="DG42866" s="256"/>
    </row>
    <row r="42867" spans="104:111">
      <c r="CZ42867" s="256"/>
      <c r="DG42867" s="256"/>
    </row>
    <row r="42868" spans="104:111">
      <c r="CZ42868" s="256"/>
      <c r="DG42868" s="256"/>
    </row>
    <row r="42869" spans="104:111">
      <c r="CZ42869" s="256"/>
      <c r="DG42869" s="256"/>
    </row>
    <row r="42870" spans="104:111">
      <c r="CZ42870" s="256"/>
      <c r="DG42870" s="256"/>
    </row>
    <row r="42871" spans="104:111">
      <c r="CZ42871" s="256"/>
      <c r="DG42871" s="256"/>
    </row>
    <row r="42872" spans="104:111">
      <c r="CZ42872" s="256"/>
      <c r="DG42872" s="256"/>
    </row>
    <row r="42873" spans="104:111">
      <c r="CZ42873" s="256"/>
      <c r="DG42873" s="256"/>
    </row>
    <row r="42874" spans="104:111">
      <c r="CZ42874" s="256"/>
      <c r="DG42874" s="256"/>
    </row>
    <row r="42875" spans="104:111">
      <c r="CZ42875" s="256"/>
      <c r="DG42875" s="256"/>
    </row>
    <row r="42876" spans="104:111">
      <c r="CZ42876" s="256"/>
      <c r="DG42876" s="256"/>
    </row>
    <row r="42877" spans="104:111">
      <c r="CZ42877" s="256"/>
      <c r="DG42877" s="256"/>
    </row>
    <row r="42878" spans="104:111">
      <c r="CZ42878" s="256"/>
      <c r="DG42878" s="256"/>
    </row>
    <row r="42879" spans="104:111">
      <c r="CZ42879" s="256"/>
      <c r="DG42879" s="256"/>
    </row>
    <row r="42880" spans="104:111">
      <c r="CZ42880" s="256"/>
      <c r="DG42880" s="256"/>
    </row>
    <row r="42881" spans="104:111">
      <c r="CZ42881" s="256"/>
      <c r="DG42881" s="256"/>
    </row>
    <row r="42882" spans="104:111">
      <c r="CZ42882" s="256"/>
      <c r="DG42882" s="256"/>
    </row>
    <row r="42883" spans="104:111">
      <c r="CZ42883" s="256"/>
      <c r="DG42883" s="256"/>
    </row>
    <row r="42884" spans="104:111">
      <c r="CZ42884" s="256"/>
      <c r="DG42884" s="256"/>
    </row>
    <row r="42885" spans="104:111">
      <c r="CZ42885" s="256"/>
      <c r="DG42885" s="256"/>
    </row>
    <row r="42886" spans="104:111">
      <c r="CZ42886" s="256"/>
      <c r="DG42886" s="256"/>
    </row>
    <row r="42887" spans="104:111">
      <c r="CZ42887" s="256"/>
      <c r="DG42887" s="256"/>
    </row>
    <row r="42888" spans="104:111">
      <c r="CZ42888" s="256"/>
      <c r="DG42888" s="256"/>
    </row>
    <row r="42889" spans="104:111">
      <c r="CZ42889" s="256"/>
      <c r="DG42889" s="256"/>
    </row>
    <row r="42890" spans="104:111">
      <c r="CZ42890" s="256"/>
      <c r="DG42890" s="256"/>
    </row>
    <row r="42891" spans="104:111">
      <c r="CZ42891" s="256"/>
      <c r="DG42891" s="256"/>
    </row>
    <row r="42892" spans="104:111">
      <c r="CZ42892" s="256"/>
      <c r="DG42892" s="256"/>
    </row>
    <row r="42893" spans="104:111">
      <c r="CZ42893" s="256"/>
      <c r="DG42893" s="256"/>
    </row>
    <row r="42894" spans="104:111">
      <c r="CZ42894" s="256"/>
      <c r="DG42894" s="256"/>
    </row>
    <row r="42895" spans="104:111">
      <c r="CZ42895" s="256"/>
      <c r="DG42895" s="256"/>
    </row>
    <row r="42896" spans="104:111">
      <c r="CZ42896" s="256"/>
      <c r="DG42896" s="256"/>
    </row>
    <row r="42897" spans="104:111">
      <c r="CZ42897" s="256"/>
      <c r="DG42897" s="256"/>
    </row>
    <row r="42898" spans="104:111">
      <c r="CZ42898" s="256"/>
      <c r="DG42898" s="256"/>
    </row>
    <row r="42899" spans="104:111">
      <c r="CZ42899" s="256"/>
      <c r="DG42899" s="256"/>
    </row>
    <row r="42900" spans="104:111">
      <c r="CZ42900" s="256"/>
      <c r="DG42900" s="256"/>
    </row>
    <row r="42901" spans="104:111">
      <c r="CZ42901" s="256"/>
      <c r="DG42901" s="256"/>
    </row>
    <row r="42902" spans="104:111">
      <c r="CZ42902" s="256"/>
      <c r="DG42902" s="256"/>
    </row>
    <row r="42903" spans="104:111">
      <c r="CZ42903" s="256"/>
      <c r="DG42903" s="256"/>
    </row>
    <row r="42904" spans="104:111">
      <c r="CZ42904" s="256"/>
      <c r="DG42904" s="256"/>
    </row>
    <row r="42905" spans="104:111">
      <c r="CZ42905" s="256"/>
      <c r="DG42905" s="256"/>
    </row>
    <row r="42906" spans="104:111">
      <c r="CZ42906" s="256"/>
      <c r="DG42906" s="256"/>
    </row>
    <row r="42907" spans="104:111">
      <c r="CZ42907" s="256"/>
      <c r="DG42907" s="256"/>
    </row>
    <row r="42908" spans="104:111">
      <c r="CZ42908" s="256"/>
      <c r="DG42908" s="256"/>
    </row>
    <row r="42909" spans="104:111">
      <c r="CZ42909" s="256"/>
      <c r="DG42909" s="256"/>
    </row>
    <row r="42910" spans="104:111">
      <c r="CZ42910" s="256"/>
      <c r="DG42910" s="256"/>
    </row>
    <row r="42911" spans="104:111">
      <c r="CZ42911" s="256"/>
      <c r="DG42911" s="256"/>
    </row>
    <row r="42912" spans="104:111">
      <c r="CZ42912" s="256"/>
      <c r="DG42912" s="256"/>
    </row>
    <row r="42913" spans="104:111">
      <c r="CZ42913" s="256"/>
      <c r="DG42913" s="256"/>
    </row>
    <row r="42914" spans="104:111">
      <c r="CZ42914" s="256"/>
      <c r="DG42914" s="256"/>
    </row>
    <row r="42915" spans="104:111">
      <c r="CZ42915" s="256"/>
      <c r="DG42915" s="256"/>
    </row>
    <row r="42916" spans="104:111">
      <c r="CZ42916" s="256"/>
      <c r="DG42916" s="256"/>
    </row>
    <row r="42917" spans="104:111">
      <c r="CZ42917" s="256"/>
      <c r="DG42917" s="256"/>
    </row>
    <row r="42918" spans="104:111">
      <c r="CZ42918" s="256"/>
      <c r="DG42918" s="256"/>
    </row>
    <row r="42919" spans="104:111">
      <c r="CZ42919" s="256"/>
      <c r="DG42919" s="256"/>
    </row>
    <row r="42920" spans="104:111">
      <c r="CZ42920" s="256"/>
      <c r="DG42920" s="256"/>
    </row>
    <row r="42921" spans="104:111">
      <c r="CZ42921" s="256"/>
      <c r="DG42921" s="256"/>
    </row>
    <row r="42922" spans="104:111">
      <c r="CZ42922" s="256"/>
      <c r="DG42922" s="256"/>
    </row>
    <row r="42923" spans="104:111">
      <c r="CZ42923" s="256"/>
      <c r="DG42923" s="256"/>
    </row>
    <row r="42924" spans="104:111">
      <c r="CZ42924" s="256"/>
      <c r="DG42924" s="256"/>
    </row>
    <row r="42925" spans="104:111">
      <c r="CZ42925" s="256"/>
      <c r="DG42925" s="256"/>
    </row>
    <row r="42926" spans="104:111">
      <c r="CZ42926" s="256"/>
      <c r="DG42926" s="256"/>
    </row>
    <row r="42927" spans="104:111">
      <c r="CZ42927" s="256"/>
      <c r="DG42927" s="256"/>
    </row>
    <row r="42928" spans="104:111">
      <c r="CZ42928" s="256"/>
      <c r="DG42928" s="256"/>
    </row>
    <row r="42929" spans="104:111">
      <c r="CZ42929" s="256"/>
      <c r="DG42929" s="256"/>
    </row>
    <row r="42930" spans="104:111">
      <c r="CZ42930" s="256"/>
      <c r="DG42930" s="256"/>
    </row>
    <row r="42931" spans="104:111">
      <c r="CZ42931" s="256"/>
      <c r="DG42931" s="256"/>
    </row>
    <row r="42932" spans="104:111">
      <c r="CZ42932" s="256"/>
      <c r="DG42932" s="256"/>
    </row>
    <row r="42933" spans="104:111">
      <c r="CZ42933" s="256"/>
      <c r="DG42933" s="256"/>
    </row>
    <row r="42934" spans="104:111">
      <c r="CZ42934" s="256"/>
      <c r="DG42934" s="256"/>
    </row>
    <row r="42935" spans="104:111">
      <c r="CZ42935" s="256"/>
      <c r="DG42935" s="256"/>
    </row>
    <row r="42936" spans="104:111">
      <c r="CZ42936" s="256"/>
      <c r="DG42936" s="256"/>
    </row>
    <row r="42937" spans="104:111">
      <c r="CZ42937" s="256"/>
      <c r="DG42937" s="256"/>
    </row>
    <row r="42938" spans="104:111">
      <c r="CZ42938" s="256"/>
      <c r="DG42938" s="256"/>
    </row>
    <row r="42939" spans="104:111">
      <c r="CZ42939" s="256"/>
      <c r="DG42939" s="256"/>
    </row>
    <row r="42940" spans="104:111">
      <c r="CZ42940" s="256"/>
      <c r="DG42940" s="256"/>
    </row>
    <row r="42941" spans="104:111">
      <c r="CZ42941" s="256"/>
      <c r="DG42941" s="256"/>
    </row>
    <row r="42942" spans="104:111">
      <c r="CZ42942" s="256"/>
      <c r="DG42942" s="256"/>
    </row>
    <row r="42943" spans="104:111">
      <c r="CZ42943" s="256"/>
      <c r="DG42943" s="256"/>
    </row>
    <row r="42944" spans="104:111">
      <c r="CZ42944" s="256"/>
      <c r="DG42944" s="256"/>
    </row>
    <row r="42945" spans="104:111">
      <c r="CZ42945" s="256"/>
      <c r="DG42945" s="256"/>
    </row>
    <row r="42946" spans="104:111">
      <c r="CZ42946" s="256"/>
      <c r="DG42946" s="256"/>
    </row>
    <row r="42947" spans="104:111">
      <c r="CZ42947" s="256"/>
      <c r="DG42947" s="256"/>
    </row>
    <row r="42948" spans="104:111">
      <c r="CZ42948" s="256"/>
      <c r="DG42948" s="256"/>
    </row>
    <row r="42949" spans="104:111">
      <c r="CZ42949" s="256"/>
      <c r="DG42949" s="256"/>
    </row>
    <row r="42950" spans="104:111">
      <c r="CZ42950" s="256"/>
      <c r="DG42950" s="256"/>
    </row>
    <row r="42951" spans="104:111">
      <c r="CZ42951" s="256"/>
      <c r="DG42951" s="256"/>
    </row>
    <row r="42952" spans="104:111">
      <c r="CZ42952" s="256"/>
      <c r="DG42952" s="256"/>
    </row>
    <row r="42953" spans="104:111">
      <c r="CZ42953" s="256"/>
      <c r="DG42953" s="256"/>
    </row>
    <row r="42954" spans="104:111">
      <c r="CZ42954" s="256"/>
      <c r="DG42954" s="256"/>
    </row>
    <row r="42955" spans="104:111">
      <c r="CZ42955" s="256"/>
      <c r="DG42955" s="256"/>
    </row>
    <row r="42956" spans="104:111">
      <c r="CZ42956" s="256"/>
      <c r="DG42956" s="256"/>
    </row>
    <row r="42957" spans="104:111">
      <c r="CZ42957" s="256"/>
      <c r="DG42957" s="256"/>
    </row>
    <row r="42958" spans="104:111">
      <c r="CZ42958" s="256"/>
      <c r="DG42958" s="256"/>
    </row>
    <row r="42959" spans="104:111">
      <c r="CZ42959" s="256"/>
      <c r="DG42959" s="256"/>
    </row>
    <row r="42960" spans="104:111">
      <c r="CZ42960" s="256"/>
      <c r="DG42960" s="256"/>
    </row>
    <row r="42961" spans="104:111">
      <c r="CZ42961" s="256"/>
      <c r="DG42961" s="256"/>
    </row>
    <row r="42962" spans="104:111">
      <c r="CZ42962" s="256"/>
      <c r="DG42962" s="256"/>
    </row>
    <row r="42963" spans="104:111">
      <c r="CZ42963" s="256"/>
      <c r="DG42963" s="256"/>
    </row>
    <row r="42964" spans="104:111">
      <c r="CZ42964" s="256"/>
      <c r="DG42964" s="256"/>
    </row>
    <row r="42965" spans="104:111">
      <c r="CZ42965" s="256"/>
      <c r="DG42965" s="256"/>
    </row>
    <row r="42966" spans="104:111">
      <c r="CZ42966" s="256"/>
      <c r="DG42966" s="256"/>
    </row>
    <row r="42967" spans="104:111">
      <c r="CZ42967" s="256"/>
      <c r="DG42967" s="256"/>
    </row>
    <row r="42968" spans="104:111">
      <c r="CZ42968" s="256"/>
      <c r="DG42968" s="256"/>
    </row>
    <row r="42969" spans="104:111">
      <c r="CZ42969" s="256"/>
      <c r="DG42969" s="256"/>
    </row>
    <row r="42970" spans="104:111">
      <c r="CZ42970" s="256"/>
      <c r="DG42970" s="256"/>
    </row>
    <row r="42971" spans="104:111">
      <c r="CZ42971" s="256"/>
      <c r="DG42971" s="256"/>
    </row>
    <row r="42972" spans="104:111">
      <c r="CZ42972" s="256"/>
      <c r="DG42972" s="256"/>
    </row>
    <row r="42973" spans="104:111">
      <c r="CZ42973" s="256"/>
      <c r="DG42973" s="256"/>
    </row>
    <row r="42974" spans="104:111">
      <c r="CZ42974" s="256"/>
      <c r="DG42974" s="256"/>
    </row>
    <row r="42975" spans="104:111">
      <c r="CZ42975" s="256"/>
      <c r="DG42975" s="256"/>
    </row>
    <row r="42976" spans="104:111">
      <c r="CZ42976" s="256"/>
      <c r="DG42976" s="256"/>
    </row>
    <row r="42977" spans="104:111">
      <c r="CZ42977" s="256"/>
      <c r="DG42977" s="256"/>
    </row>
    <row r="42978" spans="104:111">
      <c r="CZ42978" s="256"/>
      <c r="DG42978" s="256"/>
    </row>
    <row r="42979" spans="104:111">
      <c r="CZ42979" s="256"/>
      <c r="DG42979" s="256"/>
    </row>
    <row r="42980" spans="104:111">
      <c r="CZ42980" s="256"/>
      <c r="DG42980" s="256"/>
    </row>
    <row r="42981" spans="104:111">
      <c r="CZ42981" s="256"/>
      <c r="DG42981" s="256"/>
    </row>
    <row r="42982" spans="104:111">
      <c r="CZ42982" s="256"/>
      <c r="DG42982" s="256"/>
    </row>
    <row r="42983" spans="104:111">
      <c r="CZ42983" s="256"/>
      <c r="DG42983" s="256"/>
    </row>
    <row r="42984" spans="104:111">
      <c r="CZ42984" s="256"/>
      <c r="DG42984" s="256"/>
    </row>
    <row r="42985" spans="104:111">
      <c r="CZ42985" s="256"/>
      <c r="DG42985" s="256"/>
    </row>
    <row r="42986" spans="104:111">
      <c r="CZ42986" s="256"/>
      <c r="DG42986" s="256"/>
    </row>
    <row r="42987" spans="104:111">
      <c r="CZ42987" s="256"/>
      <c r="DG42987" s="256"/>
    </row>
    <row r="42988" spans="104:111">
      <c r="CZ42988" s="256"/>
      <c r="DG42988" s="256"/>
    </row>
    <row r="42989" spans="104:111">
      <c r="CZ42989" s="256"/>
      <c r="DG42989" s="256"/>
    </row>
    <row r="42990" spans="104:111">
      <c r="CZ42990" s="256"/>
      <c r="DG42990" s="256"/>
    </row>
    <row r="42991" spans="104:111">
      <c r="CZ42991" s="256"/>
      <c r="DG42991" s="256"/>
    </row>
    <row r="42992" spans="104:111">
      <c r="CZ42992" s="256"/>
      <c r="DG42992" s="256"/>
    </row>
    <row r="42993" spans="104:111">
      <c r="CZ42993" s="256"/>
      <c r="DG42993" s="256"/>
    </row>
    <row r="42994" spans="104:111">
      <c r="CZ42994" s="256"/>
      <c r="DG42994" s="256"/>
    </row>
    <row r="42995" spans="104:111">
      <c r="CZ42995" s="256"/>
      <c r="DG42995" s="256"/>
    </row>
    <row r="42996" spans="104:111">
      <c r="CZ42996" s="256"/>
      <c r="DG42996" s="256"/>
    </row>
    <row r="42997" spans="104:111">
      <c r="CZ42997" s="256"/>
      <c r="DG42997" s="256"/>
    </row>
    <row r="42998" spans="104:111">
      <c r="CZ42998" s="256"/>
      <c r="DG42998" s="256"/>
    </row>
    <row r="42999" spans="104:111">
      <c r="CZ42999" s="256"/>
      <c r="DG42999" s="256"/>
    </row>
    <row r="43000" spans="104:111">
      <c r="CZ43000" s="256"/>
      <c r="DG43000" s="256"/>
    </row>
    <row r="43001" spans="104:111">
      <c r="CZ43001" s="256"/>
      <c r="DG43001" s="256"/>
    </row>
    <row r="43002" spans="104:111">
      <c r="CZ43002" s="256"/>
      <c r="DG43002" s="256"/>
    </row>
    <row r="43003" spans="104:111">
      <c r="CZ43003" s="256"/>
      <c r="DG43003" s="256"/>
    </row>
    <row r="43004" spans="104:111">
      <c r="CZ43004" s="256"/>
      <c r="DG43004" s="256"/>
    </row>
    <row r="43005" spans="104:111">
      <c r="CZ43005" s="256"/>
      <c r="DG43005" s="256"/>
    </row>
    <row r="43006" spans="104:111">
      <c r="CZ43006" s="256"/>
      <c r="DG43006" s="256"/>
    </row>
    <row r="43007" spans="104:111">
      <c r="CZ43007" s="256"/>
      <c r="DG43007" s="256"/>
    </row>
    <row r="43008" spans="104:111">
      <c r="CZ43008" s="256"/>
      <c r="DG43008" s="256"/>
    </row>
    <row r="43009" spans="104:111">
      <c r="CZ43009" s="256"/>
      <c r="DG43009" s="256"/>
    </row>
    <row r="43010" spans="104:111">
      <c r="CZ43010" s="256"/>
      <c r="DG43010" s="256"/>
    </row>
    <row r="43011" spans="104:111">
      <c r="CZ43011" s="256"/>
      <c r="DG43011" s="256"/>
    </row>
    <row r="43012" spans="104:111">
      <c r="CZ43012" s="256"/>
      <c r="DG43012" s="256"/>
    </row>
    <row r="43013" spans="104:111">
      <c r="CZ43013" s="256"/>
      <c r="DG43013" s="256"/>
    </row>
    <row r="43014" spans="104:111">
      <c r="CZ43014" s="256"/>
      <c r="DG43014" s="256"/>
    </row>
    <row r="43015" spans="104:111">
      <c r="CZ43015" s="256"/>
      <c r="DG43015" s="256"/>
    </row>
    <row r="43016" spans="104:111">
      <c r="CZ43016" s="256"/>
      <c r="DG43016" s="256"/>
    </row>
    <row r="43017" spans="104:111">
      <c r="CZ43017" s="256"/>
      <c r="DG43017" s="256"/>
    </row>
    <row r="43018" spans="104:111">
      <c r="CZ43018" s="256"/>
      <c r="DG43018" s="256"/>
    </row>
    <row r="43019" spans="104:111">
      <c r="CZ43019" s="256"/>
      <c r="DG43019" s="256"/>
    </row>
    <row r="43020" spans="104:111">
      <c r="CZ43020" s="256"/>
      <c r="DG43020" s="256"/>
    </row>
    <row r="43021" spans="104:111">
      <c r="CZ43021" s="256"/>
      <c r="DG43021" s="256"/>
    </row>
    <row r="43022" spans="104:111">
      <c r="CZ43022" s="256"/>
      <c r="DG43022" s="256"/>
    </row>
    <row r="43023" spans="104:111">
      <c r="CZ43023" s="256"/>
      <c r="DG43023" s="256"/>
    </row>
    <row r="43024" spans="104:111">
      <c r="CZ43024" s="256"/>
      <c r="DG43024" s="256"/>
    </row>
    <row r="43025" spans="104:111">
      <c r="CZ43025" s="256"/>
      <c r="DG43025" s="256"/>
    </row>
    <row r="43026" spans="104:111">
      <c r="CZ43026" s="256"/>
      <c r="DG43026" s="256"/>
    </row>
    <row r="43027" spans="104:111">
      <c r="CZ43027" s="256"/>
      <c r="DG43027" s="256"/>
    </row>
    <row r="43028" spans="104:111">
      <c r="CZ43028" s="256"/>
      <c r="DG43028" s="256"/>
    </row>
    <row r="43029" spans="104:111">
      <c r="CZ43029" s="256"/>
      <c r="DG43029" s="256"/>
    </row>
    <row r="43030" spans="104:111">
      <c r="CZ43030" s="256"/>
      <c r="DG43030" s="256"/>
    </row>
    <row r="43031" spans="104:111">
      <c r="CZ43031" s="256"/>
      <c r="DG43031" s="256"/>
    </row>
    <row r="43032" spans="104:111">
      <c r="CZ43032" s="256"/>
      <c r="DG43032" s="256"/>
    </row>
    <row r="43033" spans="104:111">
      <c r="CZ43033" s="256"/>
      <c r="DG43033" s="256"/>
    </row>
    <row r="43034" spans="104:111">
      <c r="CZ43034" s="256"/>
      <c r="DG43034" s="256"/>
    </row>
    <row r="43035" spans="104:111">
      <c r="CZ43035" s="256"/>
      <c r="DG43035" s="256"/>
    </row>
    <row r="43036" spans="104:111">
      <c r="CZ43036" s="256"/>
      <c r="DG43036" s="256"/>
    </row>
    <row r="43037" spans="104:111">
      <c r="CZ43037" s="256"/>
      <c r="DG43037" s="256"/>
    </row>
    <row r="43038" spans="104:111">
      <c r="CZ43038" s="256"/>
      <c r="DG43038" s="256"/>
    </row>
    <row r="43039" spans="104:111">
      <c r="CZ43039" s="256"/>
      <c r="DG43039" s="256"/>
    </row>
    <row r="43040" spans="104:111">
      <c r="CZ43040" s="256"/>
      <c r="DG43040" s="256"/>
    </row>
    <row r="43041" spans="104:111">
      <c r="CZ43041" s="256"/>
      <c r="DG43041" s="256"/>
    </row>
    <row r="43042" spans="104:111">
      <c r="CZ43042" s="256"/>
      <c r="DG43042" s="256"/>
    </row>
    <row r="43043" spans="104:111">
      <c r="CZ43043" s="256"/>
      <c r="DG43043" s="256"/>
    </row>
    <row r="43044" spans="104:111">
      <c r="CZ43044" s="256"/>
      <c r="DG43044" s="256"/>
    </row>
    <row r="43045" spans="104:111">
      <c r="CZ43045" s="256"/>
      <c r="DG43045" s="256"/>
    </row>
    <row r="43046" spans="104:111">
      <c r="CZ43046" s="256"/>
      <c r="DG43046" s="256"/>
    </row>
    <row r="43047" spans="104:111">
      <c r="CZ43047" s="256"/>
      <c r="DG43047" s="256"/>
    </row>
    <row r="43048" spans="104:111">
      <c r="CZ43048" s="256"/>
      <c r="DG43048" s="256"/>
    </row>
    <row r="43049" spans="104:111">
      <c r="CZ43049" s="256"/>
      <c r="DG43049" s="256"/>
    </row>
    <row r="43050" spans="104:111">
      <c r="CZ43050" s="256"/>
      <c r="DG43050" s="256"/>
    </row>
    <row r="43051" spans="104:111">
      <c r="CZ43051" s="256"/>
      <c r="DG43051" s="256"/>
    </row>
    <row r="43052" spans="104:111">
      <c r="CZ43052" s="256"/>
      <c r="DG43052" s="256"/>
    </row>
    <row r="43053" spans="104:111">
      <c r="CZ43053" s="256"/>
      <c r="DG43053" s="256"/>
    </row>
    <row r="43054" spans="104:111">
      <c r="CZ43054" s="256"/>
      <c r="DG43054" s="256"/>
    </row>
    <row r="43055" spans="104:111">
      <c r="CZ43055" s="256"/>
      <c r="DG43055" s="256"/>
    </row>
    <row r="43056" spans="104:111">
      <c r="CZ43056" s="256"/>
      <c r="DG43056" s="256"/>
    </row>
    <row r="43057" spans="104:111">
      <c r="CZ43057" s="256"/>
      <c r="DG43057" s="256"/>
    </row>
    <row r="43058" spans="104:111">
      <c r="CZ43058" s="256"/>
      <c r="DG43058" s="256"/>
    </row>
    <row r="43059" spans="104:111">
      <c r="CZ43059" s="256"/>
      <c r="DG43059" s="256"/>
    </row>
    <row r="43060" spans="104:111">
      <c r="CZ43060" s="256"/>
      <c r="DG43060" s="256"/>
    </row>
    <row r="43061" spans="104:111">
      <c r="CZ43061" s="256"/>
      <c r="DG43061" s="256"/>
    </row>
    <row r="43062" spans="104:111">
      <c r="CZ43062" s="256"/>
      <c r="DG43062" s="256"/>
    </row>
    <row r="43063" spans="104:111">
      <c r="CZ43063" s="256"/>
      <c r="DG43063" s="256"/>
    </row>
    <row r="43064" spans="104:111">
      <c r="CZ43064" s="256"/>
      <c r="DG43064" s="256"/>
    </row>
    <row r="43065" spans="104:111">
      <c r="CZ43065" s="256"/>
      <c r="DG43065" s="256"/>
    </row>
    <row r="43066" spans="104:111">
      <c r="CZ43066" s="256"/>
      <c r="DG43066" s="256"/>
    </row>
    <row r="43067" spans="104:111">
      <c r="CZ43067" s="256"/>
      <c r="DG43067" s="256"/>
    </row>
    <row r="43068" spans="104:111">
      <c r="CZ43068" s="256"/>
      <c r="DG43068" s="256"/>
    </row>
    <row r="43069" spans="104:111">
      <c r="CZ43069" s="256"/>
      <c r="DG43069" s="256"/>
    </row>
    <row r="43070" spans="104:111">
      <c r="CZ43070" s="256"/>
      <c r="DG43070" s="256"/>
    </row>
    <row r="43071" spans="104:111">
      <c r="CZ43071" s="256"/>
      <c r="DG43071" s="256"/>
    </row>
    <row r="43072" spans="104:111">
      <c r="CZ43072" s="256"/>
      <c r="DG43072" s="256"/>
    </row>
    <row r="43073" spans="104:111">
      <c r="CZ43073" s="256"/>
      <c r="DG43073" s="256"/>
    </row>
    <row r="43074" spans="104:111">
      <c r="CZ43074" s="256"/>
      <c r="DG43074" s="256"/>
    </row>
    <row r="43075" spans="104:111">
      <c r="CZ43075" s="256"/>
      <c r="DG43075" s="256"/>
    </row>
    <row r="43076" spans="104:111">
      <c r="CZ43076" s="256"/>
      <c r="DG43076" s="256"/>
    </row>
    <row r="43077" spans="104:111">
      <c r="CZ43077" s="256"/>
      <c r="DG43077" s="256"/>
    </row>
    <row r="43078" spans="104:111">
      <c r="CZ43078" s="256"/>
      <c r="DG43078" s="256"/>
    </row>
    <row r="43079" spans="104:111">
      <c r="CZ43079" s="256"/>
      <c r="DG43079" s="256"/>
    </row>
    <row r="43080" spans="104:111">
      <c r="CZ43080" s="256"/>
      <c r="DG43080" s="256"/>
    </row>
    <row r="43081" spans="104:111">
      <c r="CZ43081" s="256"/>
      <c r="DG43081" s="256"/>
    </row>
    <row r="43082" spans="104:111">
      <c r="CZ43082" s="256"/>
      <c r="DG43082" s="256"/>
    </row>
    <row r="43083" spans="104:111">
      <c r="CZ43083" s="256"/>
      <c r="DG43083" s="256"/>
    </row>
    <row r="43084" spans="104:111">
      <c r="CZ43084" s="256"/>
      <c r="DG43084" s="256"/>
    </row>
    <row r="43085" spans="104:111">
      <c r="CZ43085" s="256"/>
      <c r="DG43085" s="256"/>
    </row>
    <row r="43086" spans="104:111">
      <c r="CZ43086" s="256"/>
      <c r="DG43086" s="256"/>
    </row>
    <row r="43087" spans="104:111">
      <c r="CZ43087" s="256"/>
      <c r="DG43087" s="256"/>
    </row>
    <row r="43088" spans="104:111">
      <c r="CZ43088" s="256"/>
      <c r="DG43088" s="256"/>
    </row>
    <row r="43089" spans="104:111">
      <c r="CZ43089" s="256"/>
      <c r="DG43089" s="256"/>
    </row>
    <row r="43090" spans="104:111">
      <c r="CZ43090" s="256"/>
      <c r="DG43090" s="256"/>
    </row>
    <row r="43091" spans="104:111">
      <c r="CZ43091" s="256"/>
      <c r="DG43091" s="256"/>
    </row>
    <row r="43092" spans="104:111">
      <c r="CZ43092" s="256"/>
      <c r="DG43092" s="256"/>
    </row>
    <row r="43093" spans="104:111">
      <c r="CZ43093" s="256"/>
      <c r="DG43093" s="256"/>
    </row>
    <row r="43094" spans="104:111">
      <c r="CZ43094" s="256"/>
      <c r="DG43094" s="256"/>
    </row>
    <row r="43095" spans="104:111">
      <c r="CZ43095" s="256"/>
      <c r="DG43095" s="256"/>
    </row>
    <row r="43096" spans="104:111">
      <c r="CZ43096" s="256"/>
      <c r="DG43096" s="256"/>
    </row>
    <row r="43097" spans="104:111">
      <c r="CZ43097" s="256"/>
      <c r="DG43097" s="256"/>
    </row>
    <row r="43098" spans="104:111">
      <c r="CZ43098" s="256"/>
      <c r="DG43098" s="256"/>
    </row>
    <row r="43099" spans="104:111">
      <c r="CZ43099" s="256"/>
      <c r="DG43099" s="256"/>
    </row>
    <row r="43100" spans="104:111">
      <c r="CZ43100" s="256"/>
      <c r="DG43100" s="256"/>
    </row>
    <row r="43101" spans="104:111">
      <c r="CZ43101" s="256"/>
      <c r="DG43101" s="256"/>
    </row>
    <row r="43102" spans="104:111">
      <c r="CZ43102" s="256"/>
      <c r="DG43102" s="256"/>
    </row>
    <row r="43103" spans="104:111">
      <c r="CZ43103" s="256"/>
      <c r="DG43103" s="256"/>
    </row>
    <row r="43104" spans="104:111">
      <c r="CZ43104" s="256"/>
      <c r="DG43104" s="256"/>
    </row>
    <row r="43105" spans="104:111">
      <c r="CZ43105" s="256"/>
      <c r="DG43105" s="256"/>
    </row>
    <row r="43106" spans="104:111">
      <c r="CZ43106" s="256"/>
      <c r="DG43106" s="256"/>
    </row>
    <row r="43107" spans="104:111">
      <c r="CZ43107" s="256"/>
      <c r="DG43107" s="256"/>
    </row>
    <row r="43108" spans="104:111">
      <c r="CZ43108" s="256"/>
      <c r="DG43108" s="256"/>
    </row>
    <row r="43109" spans="104:111">
      <c r="CZ43109" s="256"/>
      <c r="DG43109" s="256"/>
    </row>
    <row r="43110" spans="104:111">
      <c r="CZ43110" s="256"/>
      <c r="DG43110" s="256"/>
    </row>
    <row r="43111" spans="104:111">
      <c r="CZ43111" s="256"/>
      <c r="DG43111" s="256"/>
    </row>
    <row r="43112" spans="104:111">
      <c r="CZ43112" s="256"/>
      <c r="DG43112" s="256"/>
    </row>
    <row r="43113" spans="104:111">
      <c r="CZ43113" s="256"/>
      <c r="DG43113" s="256"/>
    </row>
    <row r="43114" spans="104:111">
      <c r="CZ43114" s="256"/>
      <c r="DG43114" s="256"/>
    </row>
    <row r="43115" spans="104:111">
      <c r="CZ43115" s="256"/>
      <c r="DG43115" s="256"/>
    </row>
    <row r="43116" spans="104:111">
      <c r="CZ43116" s="256"/>
      <c r="DG43116" s="256"/>
    </row>
    <row r="43117" spans="104:111">
      <c r="CZ43117" s="256"/>
      <c r="DG43117" s="256"/>
    </row>
    <row r="43118" spans="104:111">
      <c r="CZ43118" s="256"/>
      <c r="DG43118" s="256"/>
    </row>
    <row r="43119" spans="104:111">
      <c r="CZ43119" s="256"/>
      <c r="DG43119" s="256"/>
    </row>
    <row r="43120" spans="104:111">
      <c r="CZ43120" s="256"/>
      <c r="DG43120" s="256"/>
    </row>
    <row r="43121" spans="104:111">
      <c r="CZ43121" s="256"/>
      <c r="DG43121" s="256"/>
    </row>
    <row r="43122" spans="104:111">
      <c r="CZ43122" s="256"/>
      <c r="DG43122" s="256"/>
    </row>
    <row r="43123" spans="104:111">
      <c r="CZ43123" s="256"/>
      <c r="DG43123" s="256"/>
    </row>
    <row r="43124" spans="104:111">
      <c r="CZ43124" s="256"/>
      <c r="DG43124" s="256"/>
    </row>
    <row r="43125" spans="104:111">
      <c r="CZ43125" s="256"/>
      <c r="DG43125" s="256"/>
    </row>
    <row r="43126" spans="104:111">
      <c r="CZ43126" s="256"/>
      <c r="DG43126" s="256"/>
    </row>
    <row r="43127" spans="104:111">
      <c r="CZ43127" s="256"/>
      <c r="DG43127" s="256"/>
    </row>
    <row r="43128" spans="104:111">
      <c r="CZ43128" s="256"/>
      <c r="DG43128" s="256"/>
    </row>
    <row r="43129" spans="104:111">
      <c r="CZ43129" s="256"/>
      <c r="DG43129" s="256"/>
    </row>
    <row r="43130" spans="104:111">
      <c r="CZ43130" s="256"/>
      <c r="DG43130" s="256"/>
    </row>
    <row r="43131" spans="104:111">
      <c r="CZ43131" s="256"/>
      <c r="DG43131" s="256"/>
    </row>
    <row r="43132" spans="104:111">
      <c r="CZ43132" s="256"/>
      <c r="DG43132" s="256"/>
    </row>
    <row r="43133" spans="104:111">
      <c r="CZ43133" s="256"/>
      <c r="DG43133" s="256"/>
    </row>
    <row r="43134" spans="104:111">
      <c r="CZ43134" s="256"/>
      <c r="DG43134" s="256"/>
    </row>
    <row r="43135" spans="104:111">
      <c r="CZ43135" s="256"/>
      <c r="DG43135" s="256"/>
    </row>
    <row r="43136" spans="104:111">
      <c r="CZ43136" s="256"/>
      <c r="DG43136" s="256"/>
    </row>
    <row r="43137" spans="104:111">
      <c r="CZ43137" s="256"/>
      <c r="DG43137" s="256"/>
    </row>
    <row r="43138" spans="104:111">
      <c r="CZ43138" s="256"/>
      <c r="DG43138" s="256"/>
    </row>
    <row r="43139" spans="104:111">
      <c r="CZ43139" s="256"/>
      <c r="DG43139" s="256"/>
    </row>
    <row r="43140" spans="104:111">
      <c r="CZ43140" s="256"/>
      <c r="DG43140" s="256"/>
    </row>
    <row r="43141" spans="104:111">
      <c r="CZ43141" s="256"/>
      <c r="DG43141" s="256"/>
    </row>
    <row r="43142" spans="104:111">
      <c r="CZ43142" s="256"/>
      <c r="DG43142" s="256"/>
    </row>
    <row r="43143" spans="104:111">
      <c r="CZ43143" s="256"/>
      <c r="DG43143" s="256"/>
    </row>
    <row r="43144" spans="104:111">
      <c r="CZ43144" s="256"/>
      <c r="DG43144" s="256"/>
    </row>
    <row r="43145" spans="104:111">
      <c r="CZ43145" s="256"/>
      <c r="DG43145" s="256"/>
    </row>
    <row r="43146" spans="104:111">
      <c r="CZ43146" s="256"/>
      <c r="DG43146" s="256"/>
    </row>
    <row r="43147" spans="104:111">
      <c r="CZ43147" s="256"/>
      <c r="DG43147" s="256"/>
    </row>
    <row r="43148" spans="104:111">
      <c r="CZ43148" s="256"/>
      <c r="DG43148" s="256"/>
    </row>
    <row r="43149" spans="104:111">
      <c r="CZ43149" s="256"/>
      <c r="DG43149" s="256"/>
    </row>
    <row r="43150" spans="104:111">
      <c r="CZ43150" s="256"/>
      <c r="DG43150" s="256"/>
    </row>
    <row r="43151" spans="104:111">
      <c r="CZ43151" s="256"/>
      <c r="DG43151" s="256"/>
    </row>
    <row r="43152" spans="104:111">
      <c r="CZ43152" s="256"/>
      <c r="DG43152" s="256"/>
    </row>
    <row r="43153" spans="104:111">
      <c r="CZ43153" s="256"/>
      <c r="DG43153" s="256"/>
    </row>
    <row r="43154" spans="104:111">
      <c r="CZ43154" s="256"/>
      <c r="DG43154" s="256"/>
    </row>
    <row r="43155" spans="104:111">
      <c r="CZ43155" s="256"/>
      <c r="DG43155" s="256"/>
    </row>
    <row r="43156" spans="104:111">
      <c r="CZ43156" s="256"/>
      <c r="DG43156" s="256"/>
    </row>
    <row r="43157" spans="104:111">
      <c r="CZ43157" s="256"/>
      <c r="DG43157" s="256"/>
    </row>
    <row r="43158" spans="104:111">
      <c r="CZ43158" s="256"/>
      <c r="DG43158" s="256"/>
    </row>
    <row r="43159" spans="104:111">
      <c r="CZ43159" s="256"/>
      <c r="DG43159" s="256"/>
    </row>
    <row r="43160" spans="104:111">
      <c r="CZ43160" s="256"/>
      <c r="DG43160" s="256"/>
    </row>
    <row r="43161" spans="104:111">
      <c r="CZ43161" s="256"/>
      <c r="DG43161" s="256"/>
    </row>
    <row r="43162" spans="104:111">
      <c r="CZ43162" s="256"/>
      <c r="DG43162" s="256"/>
    </row>
    <row r="43163" spans="104:111">
      <c r="CZ43163" s="256"/>
      <c r="DG43163" s="256"/>
    </row>
    <row r="43164" spans="104:111">
      <c r="CZ43164" s="256"/>
      <c r="DG43164" s="256"/>
    </row>
    <row r="43165" spans="104:111">
      <c r="CZ43165" s="256"/>
      <c r="DG43165" s="256"/>
    </row>
    <row r="43166" spans="104:111">
      <c r="CZ43166" s="256"/>
      <c r="DG43166" s="256"/>
    </row>
    <row r="43167" spans="104:111">
      <c r="CZ43167" s="256"/>
      <c r="DG43167" s="256"/>
    </row>
    <row r="43168" spans="104:111">
      <c r="CZ43168" s="256"/>
      <c r="DG43168" s="256"/>
    </row>
    <row r="43169" spans="104:111">
      <c r="CZ43169" s="256"/>
      <c r="DG43169" s="256"/>
    </row>
    <row r="43170" spans="104:111">
      <c r="CZ43170" s="256"/>
      <c r="DG43170" s="256"/>
    </row>
    <row r="43171" spans="104:111">
      <c r="CZ43171" s="256"/>
      <c r="DG43171" s="256"/>
    </row>
    <row r="43172" spans="104:111">
      <c r="CZ43172" s="256"/>
      <c r="DG43172" s="256"/>
    </row>
    <row r="43173" spans="104:111">
      <c r="CZ43173" s="256"/>
      <c r="DG43173" s="256"/>
    </row>
    <row r="43174" spans="104:111">
      <c r="CZ43174" s="256"/>
      <c r="DG43174" s="256"/>
    </row>
    <row r="43175" spans="104:111">
      <c r="CZ43175" s="256"/>
      <c r="DG43175" s="256"/>
    </row>
    <row r="43176" spans="104:111">
      <c r="CZ43176" s="256"/>
      <c r="DG43176" s="256"/>
    </row>
    <row r="43177" spans="104:111">
      <c r="CZ43177" s="256"/>
      <c r="DG43177" s="256"/>
    </row>
    <row r="43178" spans="104:111">
      <c r="CZ43178" s="256"/>
      <c r="DG43178" s="256"/>
    </row>
    <row r="43179" spans="104:111">
      <c r="CZ43179" s="256"/>
      <c r="DG43179" s="256"/>
    </row>
    <row r="43180" spans="104:111">
      <c r="CZ43180" s="256"/>
      <c r="DG43180" s="256"/>
    </row>
    <row r="43181" spans="104:111">
      <c r="CZ43181" s="256"/>
      <c r="DG43181" s="256"/>
    </row>
    <row r="43182" spans="104:111">
      <c r="CZ43182" s="256"/>
      <c r="DG43182" s="256"/>
    </row>
    <row r="43183" spans="104:111">
      <c r="CZ43183" s="256"/>
      <c r="DG43183" s="256"/>
    </row>
    <row r="43184" spans="104:111">
      <c r="CZ43184" s="256"/>
      <c r="DG43184" s="256"/>
    </row>
    <row r="43185" spans="104:111">
      <c r="CZ43185" s="256"/>
      <c r="DG43185" s="256"/>
    </row>
    <row r="43186" spans="104:111">
      <c r="CZ43186" s="256"/>
      <c r="DG43186" s="256"/>
    </row>
    <row r="43187" spans="104:111">
      <c r="CZ43187" s="256"/>
      <c r="DG43187" s="256"/>
    </row>
    <row r="43188" spans="104:111">
      <c r="CZ43188" s="256"/>
      <c r="DG43188" s="256"/>
    </row>
    <row r="43189" spans="104:111">
      <c r="CZ43189" s="256"/>
      <c r="DG43189" s="256"/>
    </row>
    <row r="43190" spans="104:111">
      <c r="CZ43190" s="256"/>
      <c r="DG43190" s="256"/>
    </row>
    <row r="43191" spans="104:111">
      <c r="CZ43191" s="256"/>
      <c r="DG43191" s="256"/>
    </row>
    <row r="43192" spans="104:111">
      <c r="CZ43192" s="256"/>
      <c r="DG43192" s="256"/>
    </row>
    <row r="43193" spans="104:111">
      <c r="CZ43193" s="256"/>
      <c r="DG43193" s="256"/>
    </row>
    <row r="43194" spans="104:111">
      <c r="CZ43194" s="256"/>
      <c r="DG43194" s="256"/>
    </row>
    <row r="43195" spans="104:111">
      <c r="CZ43195" s="256"/>
      <c r="DG43195" s="256"/>
    </row>
    <row r="43196" spans="104:111">
      <c r="CZ43196" s="256"/>
      <c r="DG43196" s="256"/>
    </row>
    <row r="43197" spans="104:111">
      <c r="CZ43197" s="256"/>
      <c r="DG43197" s="256"/>
    </row>
    <row r="43198" spans="104:111">
      <c r="CZ43198" s="256"/>
      <c r="DG43198" s="256"/>
    </row>
    <row r="43199" spans="104:111">
      <c r="CZ43199" s="256"/>
      <c r="DG43199" s="256"/>
    </row>
    <row r="43200" spans="104:111">
      <c r="CZ43200" s="256"/>
      <c r="DG43200" s="256"/>
    </row>
    <row r="43201" spans="104:111">
      <c r="CZ43201" s="256"/>
      <c r="DG43201" s="256"/>
    </row>
    <row r="43202" spans="104:111">
      <c r="CZ43202" s="256"/>
      <c r="DG43202" s="256"/>
    </row>
    <row r="43203" spans="104:111">
      <c r="CZ43203" s="256"/>
      <c r="DG43203" s="256"/>
    </row>
    <row r="43204" spans="104:111">
      <c r="CZ43204" s="256"/>
      <c r="DG43204" s="256"/>
    </row>
    <row r="43205" spans="104:111">
      <c r="CZ43205" s="256"/>
      <c r="DG43205" s="256"/>
    </row>
    <row r="43206" spans="104:111">
      <c r="CZ43206" s="256"/>
      <c r="DG43206" s="256"/>
    </row>
    <row r="43207" spans="104:111">
      <c r="CZ43207" s="256"/>
      <c r="DG43207" s="256"/>
    </row>
    <row r="43208" spans="104:111">
      <c r="CZ43208" s="256"/>
      <c r="DG43208" s="256"/>
    </row>
    <row r="43209" spans="104:111">
      <c r="CZ43209" s="256"/>
      <c r="DG43209" s="256"/>
    </row>
    <row r="43210" spans="104:111">
      <c r="CZ43210" s="256"/>
      <c r="DG43210" s="256"/>
    </row>
    <row r="43211" spans="104:111">
      <c r="CZ43211" s="256"/>
      <c r="DG43211" s="256"/>
    </row>
    <row r="43212" spans="104:111">
      <c r="CZ43212" s="256"/>
      <c r="DG43212" s="256"/>
    </row>
    <row r="43213" spans="104:111">
      <c r="CZ43213" s="256"/>
      <c r="DG43213" s="256"/>
    </row>
    <row r="43214" spans="104:111">
      <c r="CZ43214" s="256"/>
      <c r="DG43214" s="256"/>
    </row>
    <row r="43215" spans="104:111">
      <c r="CZ43215" s="256"/>
      <c r="DG43215" s="256"/>
    </row>
    <row r="43216" spans="104:111">
      <c r="CZ43216" s="256"/>
      <c r="DG43216" s="256"/>
    </row>
    <row r="43217" spans="104:111">
      <c r="CZ43217" s="256"/>
      <c r="DG43217" s="256"/>
    </row>
    <row r="43218" spans="104:111">
      <c r="CZ43218" s="256"/>
      <c r="DG43218" s="256"/>
    </row>
    <row r="43219" spans="104:111">
      <c r="CZ43219" s="256"/>
      <c r="DG43219" s="256"/>
    </row>
    <row r="43220" spans="104:111">
      <c r="CZ43220" s="256"/>
      <c r="DG43220" s="256"/>
    </row>
    <row r="43221" spans="104:111">
      <c r="CZ43221" s="256"/>
      <c r="DG43221" s="256"/>
    </row>
    <row r="43222" spans="104:111">
      <c r="CZ43222" s="256"/>
      <c r="DG43222" s="256"/>
    </row>
    <row r="43223" spans="104:111">
      <c r="CZ43223" s="256"/>
      <c r="DG43223" s="256"/>
    </row>
    <row r="43224" spans="104:111">
      <c r="CZ43224" s="256"/>
      <c r="DG43224" s="256"/>
    </row>
    <row r="43225" spans="104:111">
      <c r="CZ43225" s="256"/>
      <c r="DG43225" s="256"/>
    </row>
    <row r="43226" spans="104:111">
      <c r="CZ43226" s="256"/>
      <c r="DG43226" s="256"/>
    </row>
    <row r="43227" spans="104:111">
      <c r="CZ43227" s="256"/>
      <c r="DG43227" s="256"/>
    </row>
    <row r="43228" spans="104:111">
      <c r="CZ43228" s="256"/>
      <c r="DG43228" s="256"/>
    </row>
    <row r="43229" spans="104:111">
      <c r="CZ43229" s="256"/>
      <c r="DG43229" s="256"/>
    </row>
    <row r="43230" spans="104:111">
      <c r="CZ43230" s="256"/>
      <c r="DG43230" s="256"/>
    </row>
    <row r="43231" spans="104:111">
      <c r="CZ43231" s="256"/>
      <c r="DG43231" s="256"/>
    </row>
    <row r="43232" spans="104:111">
      <c r="CZ43232" s="256"/>
      <c r="DG43232" s="256"/>
    </row>
    <row r="43233" spans="104:111">
      <c r="CZ43233" s="256"/>
      <c r="DG43233" s="256"/>
    </row>
    <row r="43234" spans="104:111">
      <c r="CZ43234" s="256"/>
      <c r="DG43234" s="256"/>
    </row>
    <row r="43235" spans="104:111">
      <c r="CZ43235" s="256"/>
      <c r="DG43235" s="256"/>
    </row>
    <row r="43236" spans="104:111">
      <c r="CZ43236" s="256"/>
      <c r="DG43236" s="256"/>
    </row>
    <row r="43237" spans="104:111">
      <c r="CZ43237" s="256"/>
      <c r="DG43237" s="256"/>
    </row>
    <row r="43238" spans="104:111">
      <c r="CZ43238" s="256"/>
      <c r="DG43238" s="256"/>
    </row>
    <row r="43239" spans="104:111">
      <c r="CZ43239" s="256"/>
      <c r="DG43239" s="256"/>
    </row>
    <row r="43240" spans="104:111">
      <c r="CZ43240" s="256"/>
      <c r="DG43240" s="256"/>
    </row>
    <row r="43241" spans="104:111">
      <c r="CZ43241" s="256"/>
      <c r="DG43241" s="256"/>
    </row>
    <row r="43242" spans="104:111">
      <c r="CZ43242" s="256"/>
      <c r="DG43242" s="256"/>
    </row>
    <row r="43243" spans="104:111">
      <c r="CZ43243" s="256"/>
      <c r="DG43243" s="256"/>
    </row>
    <row r="43244" spans="104:111">
      <c r="CZ43244" s="256"/>
      <c r="DG43244" s="256"/>
    </row>
    <row r="43245" spans="104:111">
      <c r="CZ43245" s="256"/>
      <c r="DG43245" s="256"/>
    </row>
    <row r="43246" spans="104:111">
      <c r="CZ43246" s="256"/>
      <c r="DG43246" s="256"/>
    </row>
    <row r="43247" spans="104:111">
      <c r="CZ43247" s="256"/>
      <c r="DG43247" s="256"/>
    </row>
    <row r="43248" spans="104:111">
      <c r="CZ43248" s="256"/>
      <c r="DG43248" s="256"/>
    </row>
    <row r="43249" spans="104:111">
      <c r="CZ43249" s="256"/>
      <c r="DG43249" s="256"/>
    </row>
    <row r="43250" spans="104:111">
      <c r="CZ43250" s="256"/>
      <c r="DG43250" s="256"/>
    </row>
    <row r="43251" spans="104:111">
      <c r="CZ43251" s="256"/>
      <c r="DG43251" s="256"/>
    </row>
    <row r="43252" spans="104:111">
      <c r="CZ43252" s="256"/>
      <c r="DG43252" s="256"/>
    </row>
    <row r="43253" spans="104:111">
      <c r="CZ43253" s="256"/>
      <c r="DG43253" s="256"/>
    </row>
    <row r="43254" spans="104:111">
      <c r="CZ43254" s="256"/>
      <c r="DG43254" s="256"/>
    </row>
    <row r="43255" spans="104:111">
      <c r="CZ43255" s="256"/>
      <c r="DG43255" s="256"/>
    </row>
    <row r="43256" spans="104:111">
      <c r="CZ43256" s="256"/>
      <c r="DG43256" s="256"/>
    </row>
    <row r="43257" spans="104:111">
      <c r="CZ43257" s="256"/>
      <c r="DG43257" s="256"/>
    </row>
    <row r="43258" spans="104:111">
      <c r="CZ43258" s="256"/>
      <c r="DG43258" s="256"/>
    </row>
    <row r="43259" spans="104:111">
      <c r="CZ43259" s="256"/>
      <c r="DG43259" s="256"/>
    </row>
    <row r="43260" spans="104:111">
      <c r="CZ43260" s="256"/>
      <c r="DG43260" s="256"/>
    </row>
    <row r="43261" spans="104:111">
      <c r="CZ43261" s="256"/>
      <c r="DG43261" s="256"/>
    </row>
    <row r="43262" spans="104:111">
      <c r="CZ43262" s="256"/>
      <c r="DG43262" s="256"/>
    </row>
    <row r="43263" spans="104:111">
      <c r="CZ43263" s="256"/>
      <c r="DG43263" s="256"/>
    </row>
    <row r="43264" spans="104:111">
      <c r="CZ43264" s="256"/>
      <c r="DG43264" s="256"/>
    </row>
    <row r="43265" spans="104:111">
      <c r="CZ43265" s="256"/>
      <c r="DG43265" s="256"/>
    </row>
    <row r="43266" spans="104:111">
      <c r="CZ43266" s="256"/>
      <c r="DG43266" s="256"/>
    </row>
    <row r="43267" spans="104:111">
      <c r="CZ43267" s="256"/>
      <c r="DG43267" s="256"/>
    </row>
    <row r="43268" spans="104:111">
      <c r="CZ43268" s="256"/>
      <c r="DG43268" s="256"/>
    </row>
    <row r="43269" spans="104:111">
      <c r="CZ43269" s="256"/>
      <c r="DG43269" s="256"/>
    </row>
    <row r="43270" spans="104:111">
      <c r="CZ43270" s="256"/>
      <c r="DG43270" s="256"/>
    </row>
    <row r="43271" spans="104:111">
      <c r="CZ43271" s="256"/>
      <c r="DG43271" s="256"/>
    </row>
    <row r="43272" spans="104:111">
      <c r="CZ43272" s="256"/>
      <c r="DG43272" s="256"/>
    </row>
    <row r="43273" spans="104:111">
      <c r="CZ43273" s="256"/>
      <c r="DG43273" s="256"/>
    </row>
    <row r="43274" spans="104:111">
      <c r="CZ43274" s="256"/>
      <c r="DG43274" s="256"/>
    </row>
    <row r="43275" spans="104:111">
      <c r="CZ43275" s="256"/>
      <c r="DG43275" s="256"/>
    </row>
    <row r="43276" spans="104:111">
      <c r="CZ43276" s="256"/>
      <c r="DG43276" s="256"/>
    </row>
    <row r="43277" spans="104:111">
      <c r="CZ43277" s="256"/>
      <c r="DG43277" s="256"/>
    </row>
    <row r="43278" spans="104:111">
      <c r="CZ43278" s="256"/>
      <c r="DG43278" s="256"/>
    </row>
    <row r="43279" spans="104:111">
      <c r="CZ43279" s="256"/>
      <c r="DG43279" s="256"/>
    </row>
    <row r="43280" spans="104:111">
      <c r="CZ43280" s="256"/>
      <c r="DG43280" s="256"/>
    </row>
    <row r="43281" spans="104:111">
      <c r="CZ43281" s="256"/>
      <c r="DG43281" s="256"/>
    </row>
    <row r="43282" spans="104:111">
      <c r="CZ43282" s="256"/>
      <c r="DG43282" s="256"/>
    </row>
    <row r="43283" spans="104:111">
      <c r="CZ43283" s="256"/>
      <c r="DG43283" s="256"/>
    </row>
    <row r="43284" spans="104:111">
      <c r="CZ43284" s="256"/>
      <c r="DG43284" s="256"/>
    </row>
    <row r="43285" spans="104:111">
      <c r="CZ43285" s="256"/>
      <c r="DG43285" s="256"/>
    </row>
    <row r="43286" spans="104:111">
      <c r="CZ43286" s="256"/>
      <c r="DG43286" s="256"/>
    </row>
    <row r="43287" spans="104:111">
      <c r="CZ43287" s="256"/>
      <c r="DG43287" s="256"/>
    </row>
    <row r="43288" spans="104:111">
      <c r="CZ43288" s="256"/>
      <c r="DG43288" s="256"/>
    </row>
    <row r="43289" spans="104:111">
      <c r="CZ43289" s="256"/>
      <c r="DG43289" s="256"/>
    </row>
    <row r="43290" spans="104:111">
      <c r="CZ43290" s="256"/>
      <c r="DG43290" s="256"/>
    </row>
    <row r="43291" spans="104:111">
      <c r="CZ43291" s="256"/>
      <c r="DG43291" s="256"/>
    </row>
    <row r="43292" spans="104:111">
      <c r="CZ43292" s="256"/>
      <c r="DG43292" s="256"/>
    </row>
    <row r="43293" spans="104:111">
      <c r="CZ43293" s="256"/>
      <c r="DG43293" s="256"/>
    </row>
    <row r="43294" spans="104:111">
      <c r="CZ43294" s="256"/>
      <c r="DG43294" s="256"/>
    </row>
    <row r="43295" spans="104:111">
      <c r="CZ43295" s="256"/>
      <c r="DG43295" s="256"/>
    </row>
    <row r="43296" spans="104:111">
      <c r="CZ43296" s="256"/>
      <c r="DG43296" s="256"/>
    </row>
    <row r="43297" spans="104:111">
      <c r="CZ43297" s="256"/>
      <c r="DG43297" s="256"/>
    </row>
    <row r="43298" spans="104:111">
      <c r="CZ43298" s="256"/>
      <c r="DG43298" s="256"/>
    </row>
    <row r="43299" spans="104:111">
      <c r="CZ43299" s="256"/>
      <c r="DG43299" s="256"/>
    </row>
    <row r="43300" spans="104:111">
      <c r="CZ43300" s="256"/>
      <c r="DG43300" s="256"/>
    </row>
    <row r="43301" spans="104:111">
      <c r="CZ43301" s="256"/>
      <c r="DG43301" s="256"/>
    </row>
    <row r="43302" spans="104:111">
      <c r="CZ43302" s="256"/>
      <c r="DG43302" s="256"/>
    </row>
    <row r="43303" spans="104:111">
      <c r="CZ43303" s="256"/>
      <c r="DG43303" s="256"/>
    </row>
    <row r="43304" spans="104:111">
      <c r="CZ43304" s="256"/>
      <c r="DG43304" s="256"/>
    </row>
    <row r="43305" spans="104:111">
      <c r="CZ43305" s="256"/>
      <c r="DG43305" s="256"/>
    </row>
    <row r="43306" spans="104:111">
      <c r="CZ43306" s="256"/>
      <c r="DG43306" s="256"/>
    </row>
    <row r="43307" spans="104:111">
      <c r="CZ43307" s="256"/>
      <c r="DG43307" s="256"/>
    </row>
    <row r="43308" spans="104:111">
      <c r="CZ43308" s="256"/>
      <c r="DG43308" s="256"/>
    </row>
    <row r="43309" spans="104:111">
      <c r="CZ43309" s="256"/>
      <c r="DG43309" s="256"/>
    </row>
    <row r="43310" spans="104:111">
      <c r="CZ43310" s="256"/>
      <c r="DG43310" s="256"/>
    </row>
    <row r="43311" spans="104:111">
      <c r="CZ43311" s="256"/>
      <c r="DG43311" s="256"/>
    </row>
    <row r="43312" spans="104:111">
      <c r="CZ43312" s="256"/>
      <c r="DG43312" s="256"/>
    </row>
    <row r="43313" spans="104:111">
      <c r="CZ43313" s="256"/>
      <c r="DG43313" s="256"/>
    </row>
    <row r="43314" spans="104:111">
      <c r="CZ43314" s="256"/>
      <c r="DG43314" s="256"/>
    </row>
    <row r="43315" spans="104:111">
      <c r="CZ43315" s="256"/>
      <c r="DG43315" s="256"/>
    </row>
    <row r="43316" spans="104:111">
      <c r="CZ43316" s="256"/>
      <c r="DG43316" s="256"/>
    </row>
    <row r="43317" spans="104:111">
      <c r="CZ43317" s="256"/>
      <c r="DG43317" s="256"/>
    </row>
    <row r="43318" spans="104:111">
      <c r="CZ43318" s="256"/>
      <c r="DG43318" s="256"/>
    </row>
    <row r="43319" spans="104:111">
      <c r="CZ43319" s="256"/>
      <c r="DG43319" s="256"/>
    </row>
    <row r="43320" spans="104:111">
      <c r="CZ43320" s="256"/>
      <c r="DG43320" s="256"/>
    </row>
    <row r="43321" spans="104:111">
      <c r="CZ43321" s="256"/>
      <c r="DG43321" s="256"/>
    </row>
    <row r="43322" spans="104:111">
      <c r="CZ43322" s="256"/>
      <c r="DG43322" s="256"/>
    </row>
    <row r="43323" spans="104:111">
      <c r="CZ43323" s="256"/>
      <c r="DG43323" s="256"/>
    </row>
    <row r="43324" spans="104:111">
      <c r="CZ43324" s="256"/>
      <c r="DG43324" s="256"/>
    </row>
    <row r="43325" spans="104:111">
      <c r="CZ43325" s="256"/>
      <c r="DG43325" s="256"/>
    </row>
    <row r="43326" spans="104:111">
      <c r="CZ43326" s="256"/>
      <c r="DG43326" s="256"/>
    </row>
    <row r="43327" spans="104:111">
      <c r="CZ43327" s="256"/>
      <c r="DG43327" s="256"/>
    </row>
    <row r="43328" spans="104:111">
      <c r="CZ43328" s="256"/>
      <c r="DG43328" s="256"/>
    </row>
    <row r="43329" spans="104:111">
      <c r="CZ43329" s="256"/>
      <c r="DG43329" s="256"/>
    </row>
    <row r="43330" spans="104:111">
      <c r="CZ43330" s="256"/>
      <c r="DG43330" s="256"/>
    </row>
    <row r="43331" spans="104:111">
      <c r="CZ43331" s="256"/>
      <c r="DG43331" s="256"/>
    </row>
    <row r="43332" spans="104:111">
      <c r="CZ43332" s="256"/>
      <c r="DG43332" s="256"/>
    </row>
    <row r="43333" spans="104:111">
      <c r="CZ43333" s="256"/>
      <c r="DG43333" s="256"/>
    </row>
    <row r="43334" spans="104:111">
      <c r="CZ43334" s="256"/>
      <c r="DG43334" s="256"/>
    </row>
    <row r="43335" spans="104:111">
      <c r="CZ43335" s="256"/>
      <c r="DG43335" s="256"/>
    </row>
    <row r="43336" spans="104:111">
      <c r="CZ43336" s="256"/>
      <c r="DG43336" s="256"/>
    </row>
    <row r="43337" spans="104:111">
      <c r="CZ43337" s="256"/>
      <c r="DG43337" s="256"/>
    </row>
    <row r="43338" spans="104:111">
      <c r="CZ43338" s="256"/>
      <c r="DG43338" s="256"/>
    </row>
    <row r="43339" spans="104:111">
      <c r="CZ43339" s="256"/>
      <c r="DG43339" s="256"/>
    </row>
    <row r="43340" spans="104:111">
      <c r="CZ43340" s="256"/>
      <c r="DG43340" s="256"/>
    </row>
    <row r="43341" spans="104:111">
      <c r="CZ43341" s="256"/>
      <c r="DG43341" s="256"/>
    </row>
    <row r="43342" spans="104:111">
      <c r="CZ43342" s="256"/>
      <c r="DG43342" s="256"/>
    </row>
    <row r="43343" spans="104:111">
      <c r="CZ43343" s="256"/>
      <c r="DG43343" s="256"/>
    </row>
    <row r="43344" spans="104:111">
      <c r="CZ43344" s="256"/>
      <c r="DG43344" s="256"/>
    </row>
    <row r="43345" spans="104:111">
      <c r="CZ43345" s="256"/>
      <c r="DG43345" s="256"/>
    </row>
    <row r="43346" spans="104:111">
      <c r="CZ43346" s="256"/>
      <c r="DG43346" s="256"/>
    </row>
    <row r="43347" spans="104:111">
      <c r="CZ43347" s="256"/>
      <c r="DG43347" s="256"/>
    </row>
    <row r="43348" spans="104:111">
      <c r="CZ43348" s="256"/>
      <c r="DG43348" s="256"/>
    </row>
    <row r="43349" spans="104:111">
      <c r="CZ43349" s="256"/>
      <c r="DG43349" s="256"/>
    </row>
    <row r="43350" spans="104:111">
      <c r="CZ43350" s="256"/>
      <c r="DG43350" s="256"/>
    </row>
    <row r="43351" spans="104:111">
      <c r="CZ43351" s="256"/>
      <c r="DG43351" s="256"/>
    </row>
    <row r="43352" spans="104:111">
      <c r="CZ43352" s="256"/>
      <c r="DG43352" s="256"/>
    </row>
    <row r="43353" spans="104:111">
      <c r="CZ43353" s="256"/>
      <c r="DG43353" s="256"/>
    </row>
    <row r="43354" spans="104:111">
      <c r="CZ43354" s="256"/>
      <c r="DG43354" s="256"/>
    </row>
    <row r="43355" spans="104:111">
      <c r="CZ43355" s="256"/>
      <c r="DG43355" s="256"/>
    </row>
    <row r="43356" spans="104:111">
      <c r="CZ43356" s="256"/>
      <c r="DG43356" s="256"/>
    </row>
    <row r="43357" spans="104:111">
      <c r="CZ43357" s="256"/>
      <c r="DG43357" s="256"/>
    </row>
    <row r="43358" spans="104:111">
      <c r="CZ43358" s="256"/>
      <c r="DG43358" s="256"/>
    </row>
    <row r="43359" spans="104:111">
      <c r="CZ43359" s="256"/>
      <c r="DG43359" s="256"/>
    </row>
    <row r="43360" spans="104:111">
      <c r="CZ43360" s="256"/>
      <c r="DG43360" s="256"/>
    </row>
    <row r="43361" spans="104:111">
      <c r="CZ43361" s="256"/>
      <c r="DG43361" s="256"/>
    </row>
    <row r="43362" spans="104:111">
      <c r="CZ43362" s="256"/>
      <c r="DG43362" s="256"/>
    </row>
    <row r="43363" spans="104:111">
      <c r="CZ43363" s="256"/>
      <c r="DG43363" s="256"/>
    </row>
    <row r="43364" spans="104:111">
      <c r="CZ43364" s="256"/>
      <c r="DG43364" s="256"/>
    </row>
    <row r="43365" spans="104:111">
      <c r="CZ43365" s="256"/>
      <c r="DG43365" s="256"/>
    </row>
    <row r="43366" spans="104:111">
      <c r="CZ43366" s="256"/>
      <c r="DG43366" s="256"/>
    </row>
    <row r="43367" spans="104:111">
      <c r="CZ43367" s="256"/>
      <c r="DG43367" s="256"/>
    </row>
    <row r="43368" spans="104:111">
      <c r="CZ43368" s="256"/>
      <c r="DG43368" s="256"/>
    </row>
    <row r="43369" spans="104:111">
      <c r="CZ43369" s="256"/>
      <c r="DG43369" s="256"/>
    </row>
    <row r="43370" spans="104:111">
      <c r="CZ43370" s="256"/>
      <c r="DG43370" s="256"/>
    </row>
    <row r="43371" spans="104:111">
      <c r="CZ43371" s="256"/>
      <c r="DG43371" s="256"/>
    </row>
    <row r="43372" spans="104:111">
      <c r="CZ43372" s="256"/>
      <c r="DG43372" s="256"/>
    </row>
    <row r="43373" spans="104:111">
      <c r="CZ43373" s="256"/>
      <c r="DG43373" s="256"/>
    </row>
    <row r="43374" spans="104:111">
      <c r="CZ43374" s="256"/>
      <c r="DG43374" s="256"/>
    </row>
    <row r="43375" spans="104:111">
      <c r="CZ43375" s="256"/>
      <c r="DG43375" s="256"/>
    </row>
    <row r="43376" spans="104:111">
      <c r="CZ43376" s="256"/>
      <c r="DG43376" s="256"/>
    </row>
    <row r="43377" spans="104:111">
      <c r="CZ43377" s="256"/>
      <c r="DG43377" s="256"/>
    </row>
    <row r="43378" spans="104:111">
      <c r="CZ43378" s="256"/>
      <c r="DG43378" s="256"/>
    </row>
    <row r="43379" spans="104:111">
      <c r="CZ43379" s="256"/>
      <c r="DG43379" s="256"/>
    </row>
    <row r="43380" spans="104:111">
      <c r="CZ43380" s="256"/>
      <c r="DG43380" s="256"/>
    </row>
    <row r="43381" spans="104:111">
      <c r="CZ43381" s="256"/>
      <c r="DG43381" s="256"/>
    </row>
    <row r="43382" spans="104:111">
      <c r="CZ43382" s="256"/>
      <c r="DG43382" s="256"/>
    </row>
    <row r="43383" spans="104:111">
      <c r="CZ43383" s="256"/>
      <c r="DG43383" s="256"/>
    </row>
    <row r="43384" spans="104:111">
      <c r="CZ43384" s="256"/>
      <c r="DG43384" s="256"/>
    </row>
    <row r="43385" spans="104:111">
      <c r="CZ43385" s="256"/>
      <c r="DG43385" s="256"/>
    </row>
    <row r="43386" spans="104:111">
      <c r="CZ43386" s="256"/>
      <c r="DG43386" s="256"/>
    </row>
    <row r="43387" spans="104:111">
      <c r="CZ43387" s="256"/>
      <c r="DG43387" s="256"/>
    </row>
    <row r="43388" spans="104:111">
      <c r="CZ43388" s="256"/>
      <c r="DG43388" s="256"/>
    </row>
    <row r="43389" spans="104:111">
      <c r="CZ43389" s="256"/>
      <c r="DG43389" s="256"/>
    </row>
    <row r="43390" spans="104:111">
      <c r="CZ43390" s="256"/>
      <c r="DG43390" s="256"/>
    </row>
    <row r="43391" spans="104:111">
      <c r="CZ43391" s="256"/>
      <c r="DG43391" s="256"/>
    </row>
    <row r="43392" spans="104:111">
      <c r="CZ43392" s="256"/>
      <c r="DG43392" s="256"/>
    </row>
    <row r="43393" spans="104:111">
      <c r="CZ43393" s="256"/>
      <c r="DG43393" s="256"/>
    </row>
    <row r="43394" spans="104:111">
      <c r="CZ43394" s="256"/>
      <c r="DG43394" s="256"/>
    </row>
    <row r="43395" spans="104:111">
      <c r="CZ43395" s="256"/>
      <c r="DG43395" s="256"/>
    </row>
    <row r="43396" spans="104:111">
      <c r="CZ43396" s="256"/>
      <c r="DG43396" s="256"/>
    </row>
    <row r="43397" spans="104:111">
      <c r="CZ43397" s="256"/>
      <c r="DG43397" s="256"/>
    </row>
    <row r="43398" spans="104:111">
      <c r="CZ43398" s="256"/>
      <c r="DG43398" s="256"/>
    </row>
    <row r="43399" spans="104:111">
      <c r="CZ43399" s="256"/>
      <c r="DG43399" s="256"/>
    </row>
    <row r="43400" spans="104:111">
      <c r="CZ43400" s="256"/>
      <c r="DG43400" s="256"/>
    </row>
    <row r="43401" spans="104:111">
      <c r="CZ43401" s="256"/>
      <c r="DG43401" s="256"/>
    </row>
    <row r="43402" spans="104:111">
      <c r="CZ43402" s="256"/>
      <c r="DG43402" s="256"/>
    </row>
    <row r="43403" spans="104:111">
      <c r="CZ43403" s="256"/>
      <c r="DG43403" s="256"/>
    </row>
    <row r="43404" spans="104:111">
      <c r="CZ43404" s="256"/>
      <c r="DG43404" s="256"/>
    </row>
    <row r="43405" spans="104:111">
      <c r="CZ43405" s="256"/>
      <c r="DG43405" s="256"/>
    </row>
    <row r="43406" spans="104:111">
      <c r="CZ43406" s="256"/>
      <c r="DG43406" s="256"/>
    </row>
    <row r="43407" spans="104:111">
      <c r="CZ43407" s="256"/>
      <c r="DG43407" s="256"/>
    </row>
    <row r="43408" spans="104:111">
      <c r="CZ43408" s="256"/>
      <c r="DG43408" s="256"/>
    </row>
    <row r="43409" spans="104:111">
      <c r="CZ43409" s="256"/>
      <c r="DG43409" s="256"/>
    </row>
    <row r="43410" spans="104:111">
      <c r="CZ43410" s="256"/>
      <c r="DG43410" s="256"/>
    </row>
    <row r="43411" spans="104:111">
      <c r="CZ43411" s="256"/>
      <c r="DG43411" s="256"/>
    </row>
    <row r="43412" spans="104:111">
      <c r="CZ43412" s="256"/>
      <c r="DG43412" s="256"/>
    </row>
    <row r="43413" spans="104:111">
      <c r="CZ43413" s="256"/>
      <c r="DG43413" s="256"/>
    </row>
    <row r="43414" spans="104:111">
      <c r="CZ43414" s="256"/>
      <c r="DG43414" s="256"/>
    </row>
    <row r="43415" spans="104:111">
      <c r="CZ43415" s="256"/>
      <c r="DG43415" s="256"/>
    </row>
    <row r="43416" spans="104:111">
      <c r="CZ43416" s="256"/>
      <c r="DG43416" s="256"/>
    </row>
    <row r="43417" spans="104:111">
      <c r="CZ43417" s="256"/>
      <c r="DG43417" s="256"/>
    </row>
    <row r="43418" spans="104:111">
      <c r="CZ43418" s="256"/>
      <c r="DG43418" s="256"/>
    </row>
    <row r="43419" spans="104:111">
      <c r="CZ43419" s="256"/>
      <c r="DG43419" s="256"/>
    </row>
    <row r="43420" spans="104:111">
      <c r="CZ43420" s="256"/>
      <c r="DG43420" s="256"/>
    </row>
    <row r="43421" spans="104:111">
      <c r="CZ43421" s="256"/>
      <c r="DG43421" s="256"/>
    </row>
    <row r="43422" spans="104:111">
      <c r="CZ43422" s="256"/>
      <c r="DG43422" s="256"/>
    </row>
    <row r="43423" spans="104:111">
      <c r="CZ43423" s="256"/>
      <c r="DG43423" s="256"/>
    </row>
    <row r="43424" spans="104:111">
      <c r="CZ43424" s="256"/>
      <c r="DG43424" s="256"/>
    </row>
    <row r="43425" spans="104:111">
      <c r="CZ43425" s="256"/>
      <c r="DG43425" s="256"/>
    </row>
    <row r="43426" spans="104:111">
      <c r="CZ43426" s="256"/>
      <c r="DG43426" s="256"/>
    </row>
    <row r="43427" spans="104:111">
      <c r="CZ43427" s="256"/>
      <c r="DG43427" s="256"/>
    </row>
    <row r="43428" spans="104:111">
      <c r="CZ43428" s="256"/>
      <c r="DG43428" s="256"/>
    </row>
    <row r="43429" spans="104:111">
      <c r="CZ43429" s="256"/>
      <c r="DG43429" s="256"/>
    </row>
    <row r="43430" spans="104:111">
      <c r="CZ43430" s="256"/>
      <c r="DG43430" s="256"/>
    </row>
    <row r="43431" spans="104:111">
      <c r="CZ43431" s="256"/>
      <c r="DG43431" s="256"/>
    </row>
    <row r="43432" spans="104:111">
      <c r="CZ43432" s="256"/>
      <c r="DG43432" s="256"/>
    </row>
    <row r="43433" spans="104:111">
      <c r="CZ43433" s="256"/>
      <c r="DG43433" s="256"/>
    </row>
    <row r="43434" spans="104:111">
      <c r="CZ43434" s="256"/>
      <c r="DG43434" s="256"/>
    </row>
    <row r="43435" spans="104:111">
      <c r="CZ43435" s="256"/>
      <c r="DG43435" s="256"/>
    </row>
    <row r="43436" spans="104:111">
      <c r="CZ43436" s="256"/>
      <c r="DG43436" s="256"/>
    </row>
    <row r="43437" spans="104:111">
      <c r="CZ43437" s="256"/>
      <c r="DG43437" s="256"/>
    </row>
    <row r="43438" spans="104:111">
      <c r="CZ43438" s="256"/>
      <c r="DG43438" s="256"/>
    </row>
    <row r="43439" spans="104:111">
      <c r="CZ43439" s="256"/>
      <c r="DG43439" s="256"/>
    </row>
    <row r="43440" spans="104:111">
      <c r="CZ43440" s="256"/>
      <c r="DG43440" s="256"/>
    </row>
    <row r="43441" spans="104:111">
      <c r="CZ43441" s="256"/>
      <c r="DG43441" s="256"/>
    </row>
    <row r="43442" spans="104:111">
      <c r="CZ43442" s="256"/>
      <c r="DG43442" s="256"/>
    </row>
    <row r="43443" spans="104:111">
      <c r="CZ43443" s="256"/>
      <c r="DG43443" s="256"/>
    </row>
    <row r="43444" spans="104:111">
      <c r="CZ43444" s="256"/>
      <c r="DG43444" s="256"/>
    </row>
    <row r="43445" spans="104:111">
      <c r="CZ43445" s="256"/>
      <c r="DG43445" s="256"/>
    </row>
    <row r="43446" spans="104:111">
      <c r="CZ43446" s="256"/>
      <c r="DG43446" s="256"/>
    </row>
    <row r="43447" spans="104:111">
      <c r="CZ43447" s="256"/>
      <c r="DG43447" s="256"/>
    </row>
    <row r="43448" spans="104:111">
      <c r="CZ43448" s="256"/>
      <c r="DG43448" s="256"/>
    </row>
    <row r="43449" spans="104:111">
      <c r="CZ43449" s="256"/>
      <c r="DG43449" s="256"/>
    </row>
    <row r="43450" spans="104:111">
      <c r="CZ43450" s="256"/>
      <c r="DG43450" s="256"/>
    </row>
    <row r="43451" spans="104:111">
      <c r="CZ43451" s="256"/>
      <c r="DG43451" s="256"/>
    </row>
    <row r="43452" spans="104:111">
      <c r="CZ43452" s="256"/>
      <c r="DG43452" s="256"/>
    </row>
    <row r="43453" spans="104:111">
      <c r="CZ43453" s="256"/>
      <c r="DG43453" s="256"/>
    </row>
    <row r="43454" spans="104:111">
      <c r="CZ43454" s="256"/>
      <c r="DG43454" s="256"/>
    </row>
    <row r="43455" spans="104:111">
      <c r="CZ43455" s="256"/>
      <c r="DG43455" s="256"/>
    </row>
    <row r="43456" spans="104:111">
      <c r="CZ43456" s="256"/>
      <c r="DG43456" s="256"/>
    </row>
    <row r="43457" spans="104:111">
      <c r="CZ43457" s="256"/>
      <c r="DG43457" s="256"/>
    </row>
    <row r="43458" spans="104:111">
      <c r="CZ43458" s="256"/>
      <c r="DG43458" s="256"/>
    </row>
    <row r="43459" spans="104:111">
      <c r="CZ43459" s="256"/>
      <c r="DG43459" s="256"/>
    </row>
    <row r="43460" spans="104:111">
      <c r="CZ43460" s="256"/>
      <c r="DG43460" s="256"/>
    </row>
    <row r="43461" spans="104:111">
      <c r="CZ43461" s="256"/>
      <c r="DG43461" s="256"/>
    </row>
    <row r="43462" spans="104:111">
      <c r="CZ43462" s="256"/>
      <c r="DG43462" s="256"/>
    </row>
    <row r="43463" spans="104:111">
      <c r="CZ43463" s="256"/>
      <c r="DG43463" s="256"/>
    </row>
    <row r="43464" spans="104:111">
      <c r="CZ43464" s="256"/>
      <c r="DG43464" s="256"/>
    </row>
    <row r="43465" spans="104:111">
      <c r="CZ43465" s="256"/>
      <c r="DG43465" s="256"/>
    </row>
    <row r="43466" spans="104:111">
      <c r="CZ43466" s="256"/>
      <c r="DG43466" s="256"/>
    </row>
    <row r="43467" spans="104:111">
      <c r="CZ43467" s="256"/>
      <c r="DG43467" s="256"/>
    </row>
    <row r="43468" spans="104:111">
      <c r="CZ43468" s="256"/>
      <c r="DG43468" s="256"/>
    </row>
    <row r="43469" spans="104:111">
      <c r="CZ43469" s="256"/>
      <c r="DG43469" s="256"/>
    </row>
    <row r="43470" spans="104:111">
      <c r="CZ43470" s="256"/>
      <c r="DG43470" s="256"/>
    </row>
    <row r="43471" spans="104:111">
      <c r="CZ43471" s="256"/>
      <c r="DG43471" s="256"/>
    </row>
    <row r="43472" spans="104:111">
      <c r="CZ43472" s="256"/>
      <c r="DG43472" s="256"/>
    </row>
    <row r="43473" spans="104:111">
      <c r="CZ43473" s="256"/>
      <c r="DG43473" s="256"/>
    </row>
    <row r="43474" spans="104:111">
      <c r="CZ43474" s="256"/>
      <c r="DG43474" s="256"/>
    </row>
    <row r="43475" spans="104:111">
      <c r="CZ43475" s="256"/>
      <c r="DG43475" s="256"/>
    </row>
    <row r="43476" spans="104:111">
      <c r="CZ43476" s="256"/>
      <c r="DG43476" s="256"/>
    </row>
    <row r="43477" spans="104:111">
      <c r="CZ43477" s="256"/>
      <c r="DG43477" s="256"/>
    </row>
    <row r="43478" spans="104:111">
      <c r="CZ43478" s="256"/>
      <c r="DG43478" s="256"/>
    </row>
    <row r="43479" spans="104:111">
      <c r="CZ43479" s="256"/>
      <c r="DG43479" s="256"/>
    </row>
    <row r="43480" spans="104:111">
      <c r="CZ43480" s="256"/>
      <c r="DG43480" s="256"/>
    </row>
    <row r="43481" spans="104:111">
      <c r="CZ43481" s="256"/>
      <c r="DG43481" s="256"/>
    </row>
    <row r="43482" spans="104:111">
      <c r="CZ43482" s="256"/>
      <c r="DG43482" s="256"/>
    </row>
    <row r="43483" spans="104:111">
      <c r="CZ43483" s="256"/>
      <c r="DG43483" s="256"/>
    </row>
    <row r="43484" spans="104:111">
      <c r="CZ43484" s="256"/>
      <c r="DG43484" s="256"/>
    </row>
    <row r="43485" spans="104:111">
      <c r="CZ43485" s="256"/>
      <c r="DG43485" s="256"/>
    </row>
    <row r="43486" spans="104:111">
      <c r="CZ43486" s="256"/>
      <c r="DG43486" s="256"/>
    </row>
    <row r="43487" spans="104:111">
      <c r="CZ43487" s="256"/>
      <c r="DG43487" s="256"/>
    </row>
    <row r="43488" spans="104:111">
      <c r="CZ43488" s="256"/>
      <c r="DG43488" s="256"/>
    </row>
    <row r="43489" spans="104:111">
      <c r="CZ43489" s="256"/>
      <c r="DG43489" s="256"/>
    </row>
    <row r="43490" spans="104:111">
      <c r="CZ43490" s="256"/>
      <c r="DG43490" s="256"/>
    </row>
    <row r="43491" spans="104:111">
      <c r="CZ43491" s="256"/>
      <c r="DG43491" s="256"/>
    </row>
    <row r="43492" spans="104:111">
      <c r="CZ43492" s="256"/>
      <c r="DG43492" s="256"/>
    </row>
    <row r="43493" spans="104:111">
      <c r="CZ43493" s="256"/>
      <c r="DG43493" s="256"/>
    </row>
    <row r="43494" spans="104:111">
      <c r="CZ43494" s="256"/>
      <c r="DG43494" s="256"/>
    </row>
    <row r="43495" spans="104:111">
      <c r="CZ43495" s="256"/>
      <c r="DG43495" s="256"/>
    </row>
    <row r="43496" spans="104:111">
      <c r="CZ43496" s="256"/>
      <c r="DG43496" s="256"/>
    </row>
    <row r="43497" spans="104:111">
      <c r="CZ43497" s="256"/>
      <c r="DG43497" s="256"/>
    </row>
    <row r="43498" spans="104:111">
      <c r="CZ43498" s="256"/>
      <c r="DG43498" s="256"/>
    </row>
    <row r="43499" spans="104:111">
      <c r="CZ43499" s="256"/>
      <c r="DG43499" s="256"/>
    </row>
    <row r="43500" spans="104:111">
      <c r="CZ43500" s="256"/>
      <c r="DG43500" s="256"/>
    </row>
    <row r="43501" spans="104:111">
      <c r="CZ43501" s="256"/>
      <c r="DG43501" s="256"/>
    </row>
    <row r="43502" spans="104:111">
      <c r="CZ43502" s="256"/>
      <c r="DG43502" s="256"/>
    </row>
    <row r="43503" spans="104:111">
      <c r="CZ43503" s="256"/>
      <c r="DG43503" s="256"/>
    </row>
    <row r="43504" spans="104:111">
      <c r="CZ43504" s="256"/>
      <c r="DG43504" s="256"/>
    </row>
    <row r="43505" spans="104:111">
      <c r="CZ43505" s="256"/>
      <c r="DG43505" s="256"/>
    </row>
    <row r="43506" spans="104:111">
      <c r="CZ43506" s="256"/>
      <c r="DG43506" s="256"/>
    </row>
    <row r="43507" spans="104:111">
      <c r="CZ43507" s="256"/>
      <c r="DG43507" s="256"/>
    </row>
    <row r="43508" spans="104:111">
      <c r="CZ43508" s="256"/>
      <c r="DG43508" s="256"/>
    </row>
    <row r="43509" spans="104:111">
      <c r="CZ43509" s="256"/>
      <c r="DG43509" s="256"/>
    </row>
    <row r="43510" spans="104:111">
      <c r="CZ43510" s="256"/>
      <c r="DG43510" s="256"/>
    </row>
    <row r="43511" spans="104:111">
      <c r="CZ43511" s="256"/>
      <c r="DG43511" s="256"/>
    </row>
    <row r="43512" spans="104:111">
      <c r="CZ43512" s="256"/>
      <c r="DG43512" s="256"/>
    </row>
    <row r="43513" spans="104:111">
      <c r="CZ43513" s="256"/>
      <c r="DG43513" s="256"/>
    </row>
    <row r="43514" spans="104:111">
      <c r="CZ43514" s="256"/>
      <c r="DG43514" s="256"/>
    </row>
    <row r="43515" spans="104:111">
      <c r="CZ43515" s="256"/>
      <c r="DG43515" s="256"/>
    </row>
    <row r="43516" spans="104:111">
      <c r="CZ43516" s="256"/>
      <c r="DG43516" s="256"/>
    </row>
    <row r="43517" spans="104:111">
      <c r="CZ43517" s="256"/>
      <c r="DG43517" s="256"/>
    </row>
    <row r="43518" spans="104:111">
      <c r="CZ43518" s="256"/>
      <c r="DG43518" s="256"/>
    </row>
    <row r="43519" spans="104:111">
      <c r="CZ43519" s="256"/>
      <c r="DG43519" s="256"/>
    </row>
    <row r="43520" spans="104:111">
      <c r="CZ43520" s="256"/>
      <c r="DG43520" s="256"/>
    </row>
    <row r="43521" spans="104:111">
      <c r="CZ43521" s="256"/>
      <c r="DG43521" s="256"/>
    </row>
    <row r="43522" spans="104:111">
      <c r="CZ43522" s="256"/>
      <c r="DG43522" s="256"/>
    </row>
    <row r="43523" spans="104:111">
      <c r="CZ43523" s="256"/>
      <c r="DG43523" s="256"/>
    </row>
    <row r="43524" spans="104:111">
      <c r="CZ43524" s="256"/>
      <c r="DG43524" s="256"/>
    </row>
    <row r="43525" spans="104:111">
      <c r="CZ43525" s="256"/>
      <c r="DG43525" s="256"/>
    </row>
    <row r="43526" spans="104:111">
      <c r="CZ43526" s="256"/>
      <c r="DG43526" s="256"/>
    </row>
    <row r="43527" spans="104:111">
      <c r="CZ43527" s="256"/>
      <c r="DG43527" s="256"/>
    </row>
    <row r="43528" spans="104:111">
      <c r="CZ43528" s="256"/>
      <c r="DG43528" s="256"/>
    </row>
    <row r="43529" spans="104:111">
      <c r="CZ43529" s="256"/>
      <c r="DG43529" s="256"/>
    </row>
    <row r="43530" spans="104:111">
      <c r="CZ43530" s="256"/>
      <c r="DG43530" s="256"/>
    </row>
    <row r="43531" spans="104:111">
      <c r="CZ43531" s="256"/>
      <c r="DG43531" s="256"/>
    </row>
    <row r="43532" spans="104:111">
      <c r="CZ43532" s="256"/>
      <c r="DG43532" s="256"/>
    </row>
    <row r="43533" spans="104:111">
      <c r="CZ43533" s="256"/>
      <c r="DG43533" s="256"/>
    </row>
    <row r="43534" spans="104:111">
      <c r="CZ43534" s="256"/>
      <c r="DG43534" s="256"/>
    </row>
    <row r="43535" spans="104:111">
      <c r="CZ43535" s="256"/>
      <c r="DG43535" s="256"/>
    </row>
    <row r="43536" spans="104:111">
      <c r="CZ43536" s="256"/>
      <c r="DG43536" s="256"/>
    </row>
    <row r="43537" spans="104:111">
      <c r="CZ43537" s="256"/>
      <c r="DG43537" s="256"/>
    </row>
    <row r="43538" spans="104:111">
      <c r="CZ43538" s="256"/>
      <c r="DG43538" s="256"/>
    </row>
    <row r="43539" spans="104:111">
      <c r="CZ43539" s="256"/>
      <c r="DG43539" s="256"/>
    </row>
    <row r="43540" spans="104:111">
      <c r="CZ43540" s="256"/>
      <c r="DG43540" s="256"/>
    </row>
    <row r="43541" spans="104:111">
      <c r="CZ43541" s="256"/>
      <c r="DG43541" s="256"/>
    </row>
    <row r="43542" spans="104:111">
      <c r="CZ43542" s="256"/>
      <c r="DG43542" s="256"/>
    </row>
    <row r="43543" spans="104:111">
      <c r="CZ43543" s="256"/>
      <c r="DG43543" s="256"/>
    </row>
    <row r="43544" spans="104:111">
      <c r="CZ43544" s="256"/>
      <c r="DG43544" s="256"/>
    </row>
    <row r="43545" spans="104:111">
      <c r="CZ43545" s="256"/>
      <c r="DG43545" s="256"/>
    </row>
    <row r="43546" spans="104:111">
      <c r="CZ43546" s="256"/>
      <c r="DG43546" s="256"/>
    </row>
    <row r="43547" spans="104:111">
      <c r="CZ43547" s="256"/>
      <c r="DG43547" s="256"/>
    </row>
    <row r="43548" spans="104:111">
      <c r="CZ43548" s="256"/>
      <c r="DG43548" s="256"/>
    </row>
    <row r="43549" spans="104:111">
      <c r="CZ43549" s="256"/>
      <c r="DG43549" s="256"/>
    </row>
    <row r="43550" spans="104:111">
      <c r="CZ43550" s="256"/>
      <c r="DG43550" s="256"/>
    </row>
    <row r="43551" spans="104:111">
      <c r="CZ43551" s="256"/>
      <c r="DG43551" s="256"/>
    </row>
    <row r="43552" spans="104:111">
      <c r="CZ43552" s="256"/>
      <c r="DG43552" s="256"/>
    </row>
    <row r="43553" spans="104:111">
      <c r="CZ43553" s="256"/>
      <c r="DG43553" s="256"/>
    </row>
    <row r="43554" spans="104:111">
      <c r="CZ43554" s="256"/>
      <c r="DG43554" s="256"/>
    </row>
    <row r="43555" spans="104:111">
      <c r="CZ43555" s="256"/>
      <c r="DG43555" s="256"/>
    </row>
    <row r="43556" spans="104:111">
      <c r="CZ43556" s="256"/>
      <c r="DG43556" s="256"/>
    </row>
    <row r="43557" spans="104:111">
      <c r="CZ43557" s="256"/>
      <c r="DG43557" s="256"/>
    </row>
    <row r="43558" spans="104:111">
      <c r="CZ43558" s="256"/>
      <c r="DG43558" s="256"/>
    </row>
    <row r="43559" spans="104:111">
      <c r="CZ43559" s="256"/>
      <c r="DG43559" s="256"/>
    </row>
    <row r="43560" spans="104:111">
      <c r="CZ43560" s="256"/>
      <c r="DG43560" s="256"/>
    </row>
    <row r="43561" spans="104:111">
      <c r="CZ43561" s="256"/>
      <c r="DG43561" s="256"/>
    </row>
    <row r="43562" spans="104:111">
      <c r="CZ43562" s="256"/>
      <c r="DG43562" s="256"/>
    </row>
    <row r="43563" spans="104:111">
      <c r="CZ43563" s="256"/>
      <c r="DG43563" s="256"/>
    </row>
    <row r="43564" spans="104:111">
      <c r="CZ43564" s="256"/>
      <c r="DG43564" s="256"/>
    </row>
    <row r="43565" spans="104:111">
      <c r="CZ43565" s="256"/>
      <c r="DG43565" s="256"/>
    </row>
    <row r="43566" spans="104:111">
      <c r="CZ43566" s="256"/>
      <c r="DG43566" s="256"/>
    </row>
    <row r="43567" spans="104:111">
      <c r="CZ43567" s="256"/>
      <c r="DG43567" s="256"/>
    </row>
    <row r="43568" spans="104:111">
      <c r="CZ43568" s="256"/>
      <c r="DG43568" s="256"/>
    </row>
    <row r="43569" spans="104:111">
      <c r="CZ43569" s="256"/>
      <c r="DG43569" s="256"/>
    </row>
    <row r="43570" spans="104:111">
      <c r="CZ43570" s="256"/>
      <c r="DG43570" s="256"/>
    </row>
    <row r="43571" spans="104:111">
      <c r="CZ43571" s="256"/>
      <c r="DG43571" s="256"/>
    </row>
    <row r="43572" spans="104:111">
      <c r="CZ43572" s="256"/>
      <c r="DG43572" s="256"/>
    </row>
    <row r="43573" spans="104:111">
      <c r="CZ43573" s="256"/>
      <c r="DG43573" s="256"/>
    </row>
    <row r="43574" spans="104:111">
      <c r="CZ43574" s="256"/>
      <c r="DG43574" s="256"/>
    </row>
    <row r="43575" spans="104:111">
      <c r="CZ43575" s="256"/>
      <c r="DG43575" s="256"/>
    </row>
    <row r="43576" spans="104:111">
      <c r="CZ43576" s="256"/>
      <c r="DG43576" s="256"/>
    </row>
    <row r="43577" spans="104:111">
      <c r="CZ43577" s="256"/>
      <c r="DG43577" s="256"/>
    </row>
    <row r="43578" spans="104:111">
      <c r="CZ43578" s="256"/>
      <c r="DG43578" s="256"/>
    </row>
    <row r="43579" spans="104:111">
      <c r="CZ43579" s="256"/>
      <c r="DG43579" s="256"/>
    </row>
    <row r="43580" spans="104:111">
      <c r="CZ43580" s="256"/>
      <c r="DG43580" s="256"/>
    </row>
    <row r="43581" spans="104:111">
      <c r="CZ43581" s="256"/>
      <c r="DG43581" s="256"/>
    </row>
    <row r="43582" spans="104:111">
      <c r="CZ43582" s="256"/>
      <c r="DG43582" s="256"/>
    </row>
    <row r="43583" spans="104:111">
      <c r="CZ43583" s="256"/>
      <c r="DG43583" s="256"/>
    </row>
    <row r="43584" spans="104:111">
      <c r="CZ43584" s="256"/>
      <c r="DG43584" s="256"/>
    </row>
    <row r="43585" spans="104:111">
      <c r="CZ43585" s="256"/>
      <c r="DG43585" s="256"/>
    </row>
    <row r="43586" spans="104:111">
      <c r="CZ43586" s="256"/>
      <c r="DG43586" s="256"/>
    </row>
    <row r="43587" spans="104:111">
      <c r="CZ43587" s="256"/>
      <c r="DG43587" s="256"/>
    </row>
    <row r="43588" spans="104:111">
      <c r="CZ43588" s="256"/>
      <c r="DG43588" s="256"/>
    </row>
    <row r="43589" spans="104:111">
      <c r="CZ43589" s="256"/>
      <c r="DG43589" s="256"/>
    </row>
    <row r="43590" spans="104:111">
      <c r="CZ43590" s="256"/>
      <c r="DG43590" s="256"/>
    </row>
    <row r="43591" spans="104:111">
      <c r="CZ43591" s="256"/>
      <c r="DG43591" s="256"/>
    </row>
    <row r="43592" spans="104:111">
      <c r="CZ43592" s="256"/>
      <c r="DG43592" s="256"/>
    </row>
    <row r="43593" spans="104:111">
      <c r="CZ43593" s="256"/>
      <c r="DG43593" s="256"/>
    </row>
    <row r="43594" spans="104:111">
      <c r="CZ43594" s="256"/>
      <c r="DG43594" s="256"/>
    </row>
    <row r="43595" spans="104:111">
      <c r="CZ43595" s="256"/>
      <c r="DG43595" s="256"/>
    </row>
    <row r="43596" spans="104:111">
      <c r="CZ43596" s="256"/>
      <c r="DG43596" s="256"/>
    </row>
    <row r="43597" spans="104:111">
      <c r="CZ43597" s="256"/>
      <c r="DG43597" s="256"/>
    </row>
    <row r="43598" spans="104:111">
      <c r="CZ43598" s="256"/>
      <c r="DG43598" s="256"/>
    </row>
    <row r="43599" spans="104:111">
      <c r="CZ43599" s="256"/>
      <c r="DG43599" s="256"/>
    </row>
    <row r="43600" spans="104:111">
      <c r="CZ43600" s="256"/>
      <c r="DG43600" s="256"/>
    </row>
    <row r="43601" spans="104:111">
      <c r="CZ43601" s="256"/>
      <c r="DG43601" s="256"/>
    </row>
    <row r="43602" spans="104:111">
      <c r="CZ43602" s="256"/>
      <c r="DG43602" s="256"/>
    </row>
    <row r="43603" spans="104:111">
      <c r="CZ43603" s="256"/>
      <c r="DG43603" s="256"/>
    </row>
    <row r="43604" spans="104:111">
      <c r="CZ43604" s="256"/>
      <c r="DG43604" s="256"/>
    </row>
    <row r="43605" spans="104:111">
      <c r="CZ43605" s="256"/>
      <c r="DG43605" s="256"/>
    </row>
    <row r="43606" spans="104:111">
      <c r="CZ43606" s="256"/>
      <c r="DG43606" s="256"/>
    </row>
    <row r="43607" spans="104:111">
      <c r="CZ43607" s="256"/>
      <c r="DG43607" s="256"/>
    </row>
    <row r="43608" spans="104:111">
      <c r="CZ43608" s="256"/>
      <c r="DG43608" s="256"/>
    </row>
    <row r="43609" spans="104:111">
      <c r="CZ43609" s="256"/>
      <c r="DG43609" s="256"/>
    </row>
    <row r="43610" spans="104:111">
      <c r="CZ43610" s="256"/>
      <c r="DG43610" s="256"/>
    </row>
    <row r="43611" spans="104:111">
      <c r="CZ43611" s="256"/>
      <c r="DG43611" s="256"/>
    </row>
    <row r="43612" spans="104:111">
      <c r="CZ43612" s="256"/>
      <c r="DG43612" s="256"/>
    </row>
    <row r="43613" spans="104:111">
      <c r="CZ43613" s="256"/>
      <c r="DG43613" s="256"/>
    </row>
    <row r="43614" spans="104:111">
      <c r="CZ43614" s="256"/>
      <c r="DG43614" s="256"/>
    </row>
    <row r="43615" spans="104:111">
      <c r="CZ43615" s="256"/>
      <c r="DG43615" s="256"/>
    </row>
    <row r="43616" spans="104:111">
      <c r="CZ43616" s="256"/>
      <c r="DG43616" s="256"/>
    </row>
    <row r="43617" spans="104:111">
      <c r="CZ43617" s="256"/>
      <c r="DG43617" s="256"/>
    </row>
    <row r="43618" spans="104:111">
      <c r="CZ43618" s="256"/>
      <c r="DG43618" s="256"/>
    </row>
    <row r="43619" spans="104:111">
      <c r="CZ43619" s="256"/>
      <c r="DG43619" s="256"/>
    </row>
    <row r="43620" spans="104:111">
      <c r="CZ43620" s="256"/>
      <c r="DG43620" s="256"/>
    </row>
    <row r="43621" spans="104:111">
      <c r="CZ43621" s="256"/>
      <c r="DG43621" s="256"/>
    </row>
    <row r="43622" spans="104:111">
      <c r="CZ43622" s="256"/>
      <c r="DG43622" s="256"/>
    </row>
    <row r="43623" spans="104:111">
      <c r="CZ43623" s="256"/>
      <c r="DG43623" s="256"/>
    </row>
    <row r="43624" spans="104:111">
      <c r="CZ43624" s="256"/>
      <c r="DG43624" s="256"/>
    </row>
    <row r="43625" spans="104:111">
      <c r="CZ43625" s="256"/>
      <c r="DG43625" s="256"/>
    </row>
    <row r="43626" spans="104:111">
      <c r="CZ43626" s="256"/>
      <c r="DG43626" s="256"/>
    </row>
    <row r="43627" spans="104:111">
      <c r="CZ43627" s="256"/>
      <c r="DG43627" s="256"/>
    </row>
    <row r="43628" spans="104:111">
      <c r="CZ43628" s="256"/>
      <c r="DG43628" s="256"/>
    </row>
    <row r="43629" spans="104:111">
      <c r="CZ43629" s="256"/>
      <c r="DG43629" s="256"/>
    </row>
    <row r="43630" spans="104:111">
      <c r="CZ43630" s="256"/>
      <c r="DG43630" s="256"/>
    </row>
    <row r="43631" spans="104:111">
      <c r="CZ43631" s="256"/>
      <c r="DG43631" s="256"/>
    </row>
    <row r="43632" spans="104:111">
      <c r="CZ43632" s="256"/>
      <c r="DG43632" s="256"/>
    </row>
    <row r="43633" spans="104:111">
      <c r="CZ43633" s="256"/>
      <c r="DG43633" s="256"/>
    </row>
    <row r="43634" spans="104:111">
      <c r="CZ43634" s="256"/>
      <c r="DG43634" s="256"/>
    </row>
    <row r="43635" spans="104:111">
      <c r="CZ43635" s="256"/>
      <c r="DG43635" s="256"/>
    </row>
    <row r="43636" spans="104:111">
      <c r="CZ43636" s="256"/>
      <c r="DG43636" s="256"/>
    </row>
    <row r="43637" spans="104:111">
      <c r="CZ43637" s="256"/>
      <c r="DG43637" s="256"/>
    </row>
    <row r="43638" spans="104:111">
      <c r="CZ43638" s="256"/>
      <c r="DG43638" s="256"/>
    </row>
    <row r="43639" spans="104:111">
      <c r="CZ43639" s="256"/>
      <c r="DG43639" s="256"/>
    </row>
    <row r="43640" spans="104:111">
      <c r="CZ43640" s="256"/>
      <c r="DG43640" s="256"/>
    </row>
    <row r="43641" spans="104:111">
      <c r="CZ43641" s="256"/>
      <c r="DG43641" s="256"/>
    </row>
    <row r="43642" spans="104:111">
      <c r="CZ43642" s="256"/>
      <c r="DG43642" s="256"/>
    </row>
    <row r="43643" spans="104:111">
      <c r="CZ43643" s="256"/>
      <c r="DG43643" s="256"/>
    </row>
    <row r="43644" spans="104:111">
      <c r="CZ43644" s="256"/>
      <c r="DG43644" s="256"/>
    </row>
    <row r="43645" spans="104:111">
      <c r="CZ43645" s="256"/>
      <c r="DG43645" s="256"/>
    </row>
    <row r="43646" spans="104:111">
      <c r="CZ43646" s="256"/>
      <c r="DG43646" s="256"/>
    </row>
    <row r="43647" spans="104:111">
      <c r="CZ43647" s="256"/>
      <c r="DG43647" s="256"/>
    </row>
    <row r="43648" spans="104:111">
      <c r="CZ43648" s="256"/>
      <c r="DG43648" s="256"/>
    </row>
    <row r="43649" spans="104:111">
      <c r="CZ43649" s="256"/>
      <c r="DG43649" s="256"/>
    </row>
    <row r="43650" spans="104:111">
      <c r="CZ43650" s="256"/>
      <c r="DG43650" s="256"/>
    </row>
    <row r="43651" spans="104:111">
      <c r="CZ43651" s="256"/>
      <c r="DG43651" s="256"/>
    </row>
    <row r="43652" spans="104:111">
      <c r="CZ43652" s="256"/>
      <c r="DG43652" s="256"/>
    </row>
    <row r="43653" spans="104:111">
      <c r="CZ43653" s="256"/>
      <c r="DG43653" s="256"/>
    </row>
    <row r="43654" spans="104:111">
      <c r="CZ43654" s="256"/>
      <c r="DG43654" s="256"/>
    </row>
    <row r="43655" spans="104:111">
      <c r="CZ43655" s="256"/>
      <c r="DG43655" s="256"/>
    </row>
    <row r="43656" spans="104:111">
      <c r="CZ43656" s="256"/>
      <c r="DG43656" s="256"/>
    </row>
    <row r="43657" spans="104:111">
      <c r="CZ43657" s="256"/>
      <c r="DG43657" s="256"/>
    </row>
    <row r="43658" spans="104:111">
      <c r="CZ43658" s="256"/>
      <c r="DG43658" s="256"/>
    </row>
    <row r="43659" spans="104:111">
      <c r="CZ43659" s="256"/>
      <c r="DG43659" s="256"/>
    </row>
    <row r="43660" spans="104:111">
      <c r="CZ43660" s="256"/>
      <c r="DG43660" s="256"/>
    </row>
    <row r="43661" spans="104:111">
      <c r="CZ43661" s="256"/>
      <c r="DG43661" s="256"/>
    </row>
    <row r="43662" spans="104:111">
      <c r="CZ43662" s="256"/>
      <c r="DG43662" s="256"/>
    </row>
    <row r="43663" spans="104:111">
      <c r="CZ43663" s="256"/>
      <c r="DG43663" s="256"/>
    </row>
    <row r="43664" spans="104:111">
      <c r="CZ43664" s="256"/>
      <c r="DG43664" s="256"/>
    </row>
    <row r="43665" spans="104:111">
      <c r="CZ43665" s="256"/>
      <c r="DG43665" s="256"/>
    </row>
    <row r="43666" spans="104:111">
      <c r="CZ43666" s="256"/>
      <c r="DG43666" s="256"/>
    </row>
    <row r="43667" spans="104:111">
      <c r="CZ43667" s="256"/>
      <c r="DG43667" s="256"/>
    </row>
    <row r="43668" spans="104:111">
      <c r="CZ43668" s="256"/>
      <c r="DG43668" s="256"/>
    </row>
    <row r="43669" spans="104:111">
      <c r="CZ43669" s="256"/>
      <c r="DG43669" s="256"/>
    </row>
    <row r="43670" spans="104:111">
      <c r="CZ43670" s="256"/>
      <c r="DG43670" s="256"/>
    </row>
    <row r="43671" spans="104:111">
      <c r="CZ43671" s="256"/>
      <c r="DG43671" s="256"/>
    </row>
    <row r="43672" spans="104:111">
      <c r="CZ43672" s="256"/>
      <c r="DG43672" s="256"/>
    </row>
    <row r="43673" spans="104:111">
      <c r="CZ43673" s="256"/>
      <c r="DG43673" s="256"/>
    </row>
    <row r="43674" spans="104:111">
      <c r="CZ43674" s="256"/>
      <c r="DG43674" s="256"/>
    </row>
    <row r="43675" spans="104:111">
      <c r="CZ43675" s="256"/>
      <c r="DG43675" s="256"/>
    </row>
    <row r="43676" spans="104:111">
      <c r="CZ43676" s="256"/>
      <c r="DG43676" s="256"/>
    </row>
    <row r="43677" spans="104:111">
      <c r="CZ43677" s="256"/>
      <c r="DG43677" s="256"/>
    </row>
    <row r="43678" spans="104:111">
      <c r="CZ43678" s="256"/>
      <c r="DG43678" s="256"/>
    </row>
    <row r="43679" spans="104:111">
      <c r="CZ43679" s="256"/>
      <c r="DG43679" s="256"/>
    </row>
    <row r="43680" spans="104:111">
      <c r="CZ43680" s="256"/>
      <c r="DG43680" s="256"/>
    </row>
    <row r="43681" spans="104:111">
      <c r="CZ43681" s="256"/>
      <c r="DG43681" s="256"/>
    </row>
    <row r="43682" spans="104:111">
      <c r="CZ43682" s="256"/>
      <c r="DG43682" s="256"/>
    </row>
    <row r="43683" spans="104:111">
      <c r="CZ43683" s="256"/>
      <c r="DG43683" s="256"/>
    </row>
    <row r="43684" spans="104:111">
      <c r="CZ43684" s="256"/>
      <c r="DG43684" s="256"/>
    </row>
    <row r="43685" spans="104:111">
      <c r="CZ43685" s="256"/>
      <c r="DG43685" s="256"/>
    </row>
    <row r="43686" spans="104:111">
      <c r="CZ43686" s="256"/>
      <c r="DG43686" s="256"/>
    </row>
    <row r="43687" spans="104:111">
      <c r="CZ43687" s="256"/>
      <c r="DG43687" s="256"/>
    </row>
    <row r="43688" spans="104:111">
      <c r="CZ43688" s="256"/>
      <c r="DG43688" s="256"/>
    </row>
    <row r="43689" spans="104:111">
      <c r="CZ43689" s="256"/>
      <c r="DG43689" s="256"/>
    </row>
    <row r="43690" spans="104:111">
      <c r="CZ43690" s="256"/>
      <c r="DG43690" s="256"/>
    </row>
    <row r="43691" spans="104:111">
      <c r="CZ43691" s="256"/>
      <c r="DG43691" s="256"/>
    </row>
    <row r="43692" spans="104:111">
      <c r="CZ43692" s="256"/>
      <c r="DG43692" s="256"/>
    </row>
    <row r="43693" spans="104:111">
      <c r="CZ43693" s="256"/>
      <c r="DG43693" s="256"/>
    </row>
    <row r="43694" spans="104:111">
      <c r="CZ43694" s="256"/>
      <c r="DG43694" s="256"/>
    </row>
    <row r="43695" spans="104:111">
      <c r="CZ43695" s="256"/>
      <c r="DG43695" s="256"/>
    </row>
    <row r="43696" spans="104:111">
      <c r="CZ43696" s="256"/>
      <c r="DG43696" s="256"/>
    </row>
    <row r="43697" spans="104:111">
      <c r="CZ43697" s="256"/>
      <c r="DG43697" s="256"/>
    </row>
    <row r="43698" spans="104:111">
      <c r="CZ43698" s="256"/>
      <c r="DG43698" s="256"/>
    </row>
    <row r="43699" spans="104:111">
      <c r="CZ43699" s="256"/>
      <c r="DG43699" s="256"/>
    </row>
    <row r="43700" spans="104:111">
      <c r="CZ43700" s="256"/>
      <c r="DG43700" s="256"/>
    </row>
    <row r="43701" spans="104:111">
      <c r="CZ43701" s="256"/>
      <c r="DG43701" s="256"/>
    </row>
    <row r="43702" spans="104:111">
      <c r="CZ43702" s="256"/>
      <c r="DG43702" s="256"/>
    </row>
    <row r="43703" spans="104:111">
      <c r="CZ43703" s="256"/>
      <c r="DG43703" s="256"/>
    </row>
    <row r="43704" spans="104:111">
      <c r="CZ43704" s="256"/>
      <c r="DG43704" s="256"/>
    </row>
    <row r="43705" spans="104:111">
      <c r="CZ43705" s="256"/>
      <c r="DG43705" s="256"/>
    </row>
    <row r="43706" spans="104:111">
      <c r="CZ43706" s="256"/>
      <c r="DG43706" s="256"/>
    </row>
    <row r="43707" spans="104:111">
      <c r="CZ43707" s="256"/>
      <c r="DG43707" s="256"/>
    </row>
    <row r="43708" spans="104:111">
      <c r="CZ43708" s="256"/>
      <c r="DG43708" s="256"/>
    </row>
    <row r="43709" spans="104:111">
      <c r="CZ43709" s="256"/>
      <c r="DG43709" s="256"/>
    </row>
    <row r="43710" spans="104:111">
      <c r="CZ43710" s="256"/>
      <c r="DG43710" s="256"/>
    </row>
    <row r="43711" spans="104:111">
      <c r="CZ43711" s="256"/>
      <c r="DG43711" s="256"/>
    </row>
    <row r="43712" spans="104:111">
      <c r="CZ43712" s="256"/>
      <c r="DG43712" s="256"/>
    </row>
    <row r="43713" spans="104:111">
      <c r="CZ43713" s="256"/>
      <c r="DG43713" s="256"/>
    </row>
    <row r="43714" spans="104:111">
      <c r="CZ43714" s="256"/>
      <c r="DG43714" s="256"/>
    </row>
    <row r="43715" spans="104:111">
      <c r="CZ43715" s="256"/>
      <c r="DG43715" s="256"/>
    </row>
    <row r="43716" spans="104:111">
      <c r="CZ43716" s="256"/>
      <c r="DG43716" s="256"/>
    </row>
    <row r="43717" spans="104:111">
      <c r="CZ43717" s="256"/>
      <c r="DG43717" s="256"/>
    </row>
    <row r="43718" spans="104:111">
      <c r="CZ43718" s="256"/>
      <c r="DG43718" s="256"/>
    </row>
    <row r="43719" spans="104:111">
      <c r="CZ43719" s="256"/>
      <c r="DG43719" s="256"/>
    </row>
    <row r="43720" spans="104:111">
      <c r="CZ43720" s="256"/>
      <c r="DG43720" s="256"/>
    </row>
    <row r="43721" spans="104:111">
      <c r="CZ43721" s="256"/>
      <c r="DG43721" s="256"/>
    </row>
    <row r="43722" spans="104:111">
      <c r="CZ43722" s="256"/>
      <c r="DG43722" s="256"/>
    </row>
    <row r="43723" spans="104:111">
      <c r="CZ43723" s="256"/>
      <c r="DG43723" s="256"/>
    </row>
    <row r="43724" spans="104:111">
      <c r="CZ43724" s="256"/>
      <c r="DG43724" s="256"/>
    </row>
    <row r="43725" spans="104:111">
      <c r="CZ43725" s="256"/>
      <c r="DG43725" s="256"/>
    </row>
    <row r="43726" spans="104:111">
      <c r="CZ43726" s="256"/>
      <c r="DG43726" s="256"/>
    </row>
    <row r="43727" spans="104:111">
      <c r="CZ43727" s="256"/>
      <c r="DG43727" s="256"/>
    </row>
    <row r="43728" spans="104:111">
      <c r="CZ43728" s="256"/>
      <c r="DG43728" s="256"/>
    </row>
    <row r="43729" spans="104:111">
      <c r="CZ43729" s="256"/>
      <c r="DG43729" s="256"/>
    </row>
    <row r="43730" spans="104:111">
      <c r="CZ43730" s="256"/>
      <c r="DG43730" s="256"/>
    </row>
    <row r="43731" spans="104:111">
      <c r="CZ43731" s="256"/>
      <c r="DG43731" s="256"/>
    </row>
    <row r="43732" spans="104:111">
      <c r="CZ43732" s="256"/>
      <c r="DG43732" s="256"/>
    </row>
    <row r="43733" spans="104:111">
      <c r="CZ43733" s="256"/>
      <c r="DG43733" s="256"/>
    </row>
    <row r="43734" spans="104:111">
      <c r="CZ43734" s="256"/>
      <c r="DG43734" s="256"/>
    </row>
    <row r="43735" spans="104:111">
      <c r="CZ43735" s="256"/>
      <c r="DG43735" s="256"/>
    </row>
    <row r="43736" spans="104:111">
      <c r="CZ43736" s="256"/>
      <c r="DG43736" s="256"/>
    </row>
    <row r="43737" spans="104:111">
      <c r="CZ43737" s="256"/>
      <c r="DG43737" s="256"/>
    </row>
    <row r="43738" spans="104:111">
      <c r="CZ43738" s="256"/>
      <c r="DG43738" s="256"/>
    </row>
    <row r="43739" spans="104:111">
      <c r="CZ43739" s="256"/>
      <c r="DG43739" s="256"/>
    </row>
    <row r="43740" spans="104:111">
      <c r="CZ43740" s="256"/>
      <c r="DG43740" s="256"/>
    </row>
    <row r="43741" spans="104:111">
      <c r="CZ43741" s="256"/>
      <c r="DG43741" s="256"/>
    </row>
    <row r="43742" spans="104:111">
      <c r="CZ43742" s="256"/>
      <c r="DG43742" s="256"/>
    </row>
    <row r="43743" spans="104:111">
      <c r="CZ43743" s="256"/>
      <c r="DG43743" s="256"/>
    </row>
    <row r="43744" spans="104:111">
      <c r="CZ43744" s="256"/>
      <c r="DG43744" s="256"/>
    </row>
    <row r="43745" spans="104:111">
      <c r="CZ43745" s="256"/>
      <c r="DG43745" s="256"/>
    </row>
    <row r="43746" spans="104:111">
      <c r="CZ43746" s="256"/>
      <c r="DG43746" s="256"/>
    </row>
    <row r="43747" spans="104:111">
      <c r="CZ43747" s="256"/>
      <c r="DG43747" s="256"/>
    </row>
    <row r="43748" spans="104:111">
      <c r="CZ43748" s="256"/>
      <c r="DG43748" s="256"/>
    </row>
    <row r="43749" spans="104:111">
      <c r="CZ43749" s="256"/>
      <c r="DG43749" s="256"/>
    </row>
    <row r="43750" spans="104:111">
      <c r="CZ43750" s="256"/>
      <c r="DG43750" s="256"/>
    </row>
    <row r="43751" spans="104:111">
      <c r="CZ43751" s="256"/>
      <c r="DG43751" s="256"/>
    </row>
    <row r="43752" spans="104:111">
      <c r="CZ43752" s="256"/>
      <c r="DG43752" s="256"/>
    </row>
    <row r="43753" spans="104:111">
      <c r="CZ43753" s="256"/>
      <c r="DG43753" s="256"/>
    </row>
    <row r="43754" spans="104:111">
      <c r="CZ43754" s="256"/>
      <c r="DG43754" s="256"/>
    </row>
    <row r="43755" spans="104:111">
      <c r="CZ43755" s="256"/>
      <c r="DG43755" s="256"/>
    </row>
    <row r="43756" spans="104:111">
      <c r="CZ43756" s="256"/>
      <c r="DG43756" s="256"/>
    </row>
    <row r="43757" spans="104:111">
      <c r="CZ43757" s="256"/>
      <c r="DG43757" s="256"/>
    </row>
    <row r="43758" spans="104:111">
      <c r="CZ43758" s="256"/>
      <c r="DG43758" s="256"/>
    </row>
    <row r="43759" spans="104:111">
      <c r="CZ43759" s="256"/>
      <c r="DG43759" s="256"/>
    </row>
    <row r="43760" spans="104:111">
      <c r="CZ43760" s="256"/>
      <c r="DG43760" s="256"/>
    </row>
    <row r="43761" spans="104:111">
      <c r="CZ43761" s="256"/>
      <c r="DG43761" s="256"/>
    </row>
    <row r="43762" spans="104:111">
      <c r="CZ43762" s="256"/>
      <c r="DG43762" s="256"/>
    </row>
    <row r="43763" spans="104:111">
      <c r="CZ43763" s="256"/>
      <c r="DG43763" s="256"/>
    </row>
    <row r="43764" spans="104:111">
      <c r="CZ43764" s="256"/>
      <c r="DG43764" s="256"/>
    </row>
    <row r="43765" spans="104:111">
      <c r="CZ43765" s="256"/>
      <c r="DG43765" s="256"/>
    </row>
    <row r="43766" spans="104:111">
      <c r="CZ43766" s="256"/>
      <c r="DG43766" s="256"/>
    </row>
    <row r="43767" spans="104:111">
      <c r="CZ43767" s="256"/>
      <c r="DG43767" s="256"/>
    </row>
    <row r="43768" spans="104:111">
      <c r="CZ43768" s="256"/>
      <c r="DG43768" s="256"/>
    </row>
    <row r="43769" spans="104:111">
      <c r="CZ43769" s="256"/>
      <c r="DG43769" s="256"/>
    </row>
    <row r="43770" spans="104:111">
      <c r="CZ43770" s="256"/>
      <c r="DG43770" s="256"/>
    </row>
    <row r="43771" spans="104:111">
      <c r="CZ43771" s="256"/>
      <c r="DG43771" s="256"/>
    </row>
    <row r="43772" spans="104:111">
      <c r="CZ43772" s="256"/>
      <c r="DG43772" s="256"/>
    </row>
    <row r="43773" spans="104:111">
      <c r="CZ43773" s="256"/>
      <c r="DG43773" s="256"/>
    </row>
    <row r="43774" spans="104:111">
      <c r="CZ43774" s="256"/>
      <c r="DG43774" s="256"/>
    </row>
    <row r="43775" spans="104:111">
      <c r="CZ43775" s="256"/>
      <c r="DG43775" s="256"/>
    </row>
    <row r="43776" spans="104:111">
      <c r="CZ43776" s="256"/>
      <c r="DG43776" s="256"/>
    </row>
    <row r="43777" spans="104:111">
      <c r="CZ43777" s="256"/>
      <c r="DG43777" s="256"/>
    </row>
    <row r="43778" spans="104:111">
      <c r="CZ43778" s="256"/>
      <c r="DG43778" s="256"/>
    </row>
    <row r="43779" spans="104:111">
      <c r="CZ43779" s="256"/>
      <c r="DG43779" s="256"/>
    </row>
    <row r="43780" spans="104:111">
      <c r="CZ43780" s="256"/>
      <c r="DG43780" s="256"/>
    </row>
    <row r="43781" spans="104:111">
      <c r="CZ43781" s="256"/>
      <c r="DG43781" s="256"/>
    </row>
    <row r="43782" spans="104:111">
      <c r="CZ43782" s="256"/>
      <c r="DG43782" s="256"/>
    </row>
    <row r="43783" spans="104:111">
      <c r="CZ43783" s="256"/>
      <c r="DG43783" s="256"/>
    </row>
    <row r="43784" spans="104:111">
      <c r="CZ43784" s="256"/>
      <c r="DG43784" s="256"/>
    </row>
    <row r="43785" spans="104:111">
      <c r="CZ43785" s="256"/>
      <c r="DG43785" s="256"/>
    </row>
    <row r="43786" spans="104:111">
      <c r="CZ43786" s="256"/>
      <c r="DG43786" s="256"/>
    </row>
    <row r="43787" spans="104:111">
      <c r="CZ43787" s="256"/>
      <c r="DG43787" s="256"/>
    </row>
    <row r="43788" spans="104:111">
      <c r="CZ43788" s="256"/>
      <c r="DG43788" s="256"/>
    </row>
    <row r="43789" spans="104:111">
      <c r="CZ43789" s="256"/>
      <c r="DG43789" s="256"/>
    </row>
    <row r="43790" spans="104:111">
      <c r="CZ43790" s="256"/>
      <c r="DG43790" s="256"/>
    </row>
    <row r="43791" spans="104:111">
      <c r="CZ43791" s="256"/>
      <c r="DG43791" s="256"/>
    </row>
    <row r="43792" spans="104:111">
      <c r="CZ43792" s="256"/>
      <c r="DG43792" s="256"/>
    </row>
    <row r="43793" spans="104:111">
      <c r="CZ43793" s="256"/>
      <c r="DG43793" s="256"/>
    </row>
    <row r="43794" spans="104:111">
      <c r="CZ43794" s="256"/>
      <c r="DG43794" s="256"/>
    </row>
    <row r="43795" spans="104:111">
      <c r="CZ43795" s="256"/>
      <c r="DG43795" s="256"/>
    </row>
    <row r="43796" spans="104:111">
      <c r="CZ43796" s="256"/>
      <c r="DG43796" s="256"/>
    </row>
    <row r="43797" spans="104:111">
      <c r="CZ43797" s="256"/>
      <c r="DG43797" s="256"/>
    </row>
    <row r="43798" spans="104:111">
      <c r="CZ43798" s="256"/>
      <c r="DG43798" s="256"/>
    </row>
    <row r="43799" spans="104:111">
      <c r="CZ43799" s="256"/>
      <c r="DG43799" s="256"/>
    </row>
    <row r="43800" spans="104:111">
      <c r="CZ43800" s="256"/>
      <c r="DG43800" s="256"/>
    </row>
    <row r="43801" spans="104:111">
      <c r="CZ43801" s="256"/>
      <c r="DG43801" s="256"/>
    </row>
    <row r="43802" spans="104:111">
      <c r="CZ43802" s="256"/>
      <c r="DG43802" s="256"/>
    </row>
    <row r="43803" spans="104:111">
      <c r="CZ43803" s="256"/>
      <c r="DG43803" s="256"/>
    </row>
    <row r="43804" spans="104:111">
      <c r="CZ43804" s="256"/>
      <c r="DG43804" s="256"/>
    </row>
    <row r="43805" spans="104:111">
      <c r="CZ43805" s="256"/>
      <c r="DG43805" s="256"/>
    </row>
    <row r="43806" spans="104:111">
      <c r="CZ43806" s="256"/>
      <c r="DG43806" s="256"/>
    </row>
    <row r="43807" spans="104:111">
      <c r="CZ43807" s="256"/>
      <c r="DG43807" s="256"/>
    </row>
    <row r="43808" spans="104:111">
      <c r="CZ43808" s="256"/>
      <c r="DG43808" s="256"/>
    </row>
    <row r="43809" spans="104:111">
      <c r="CZ43809" s="256"/>
      <c r="DG43809" s="256"/>
    </row>
    <row r="43810" spans="104:111">
      <c r="CZ43810" s="256"/>
      <c r="DG43810" s="256"/>
    </row>
    <row r="43811" spans="104:111">
      <c r="CZ43811" s="256"/>
      <c r="DG43811" s="256"/>
    </row>
    <row r="43812" spans="104:111">
      <c r="CZ43812" s="256"/>
      <c r="DG43812" s="256"/>
    </row>
    <row r="43813" spans="104:111">
      <c r="CZ43813" s="256"/>
      <c r="DG43813" s="256"/>
    </row>
    <row r="43814" spans="104:111">
      <c r="CZ43814" s="256"/>
      <c r="DG43814" s="256"/>
    </row>
    <row r="43815" spans="104:111">
      <c r="CZ43815" s="256"/>
      <c r="DG43815" s="256"/>
    </row>
    <row r="43816" spans="104:111">
      <c r="CZ43816" s="256"/>
      <c r="DG43816" s="256"/>
    </row>
    <row r="43817" spans="104:111">
      <c r="CZ43817" s="256"/>
      <c r="DG43817" s="256"/>
    </row>
    <row r="43818" spans="104:111">
      <c r="CZ43818" s="256"/>
      <c r="DG43818" s="256"/>
    </row>
    <row r="43819" spans="104:111">
      <c r="CZ43819" s="256"/>
      <c r="DG43819" s="256"/>
    </row>
    <row r="43820" spans="104:111">
      <c r="CZ43820" s="256"/>
      <c r="DG43820" s="256"/>
    </row>
    <row r="43821" spans="104:111">
      <c r="CZ43821" s="256"/>
      <c r="DG43821" s="256"/>
    </row>
    <row r="43822" spans="104:111">
      <c r="CZ43822" s="256"/>
      <c r="DG43822" s="256"/>
    </row>
    <row r="43823" spans="104:111">
      <c r="CZ43823" s="256"/>
      <c r="DG43823" s="256"/>
    </row>
    <row r="43824" spans="104:111">
      <c r="CZ43824" s="256"/>
      <c r="DG43824" s="256"/>
    </row>
    <row r="43825" spans="104:111">
      <c r="CZ43825" s="256"/>
      <c r="DG43825" s="256"/>
    </row>
    <row r="43826" spans="104:111">
      <c r="CZ43826" s="256"/>
      <c r="DG43826" s="256"/>
    </row>
    <row r="43827" spans="104:111">
      <c r="CZ43827" s="256"/>
      <c r="DG43827" s="256"/>
    </row>
    <row r="43828" spans="104:111">
      <c r="CZ43828" s="256"/>
      <c r="DG43828" s="256"/>
    </row>
    <row r="43829" spans="104:111">
      <c r="CZ43829" s="256"/>
      <c r="DG43829" s="256"/>
    </row>
    <row r="43830" spans="104:111">
      <c r="CZ43830" s="256"/>
      <c r="DG43830" s="256"/>
    </row>
    <row r="43831" spans="104:111">
      <c r="CZ43831" s="256"/>
      <c r="DG43831" s="256"/>
    </row>
    <row r="43832" spans="104:111">
      <c r="CZ43832" s="256"/>
      <c r="DG43832" s="256"/>
    </row>
    <row r="43833" spans="104:111">
      <c r="CZ43833" s="256"/>
      <c r="DG43833" s="256"/>
    </row>
    <row r="43834" spans="104:111">
      <c r="CZ43834" s="256"/>
      <c r="DG43834" s="256"/>
    </row>
    <row r="43835" spans="104:111">
      <c r="CZ43835" s="256"/>
      <c r="DG43835" s="256"/>
    </row>
    <row r="43836" spans="104:111">
      <c r="CZ43836" s="256"/>
      <c r="DG43836" s="256"/>
    </row>
    <row r="43837" spans="104:111">
      <c r="CZ43837" s="256"/>
      <c r="DG43837" s="256"/>
    </row>
    <row r="43838" spans="104:111">
      <c r="CZ43838" s="256"/>
      <c r="DG43838" s="256"/>
    </row>
    <row r="43839" spans="104:111">
      <c r="CZ43839" s="256"/>
      <c r="DG43839" s="256"/>
    </row>
    <row r="43840" spans="104:111">
      <c r="CZ43840" s="256"/>
      <c r="DG43840" s="256"/>
    </row>
    <row r="43841" spans="104:111">
      <c r="CZ43841" s="256"/>
      <c r="DG43841" s="256"/>
    </row>
    <row r="43842" spans="104:111">
      <c r="CZ43842" s="256"/>
      <c r="DG43842" s="256"/>
    </row>
    <row r="43843" spans="104:111">
      <c r="CZ43843" s="256"/>
      <c r="DG43843" s="256"/>
    </row>
    <row r="43844" spans="104:111">
      <c r="CZ43844" s="256"/>
      <c r="DG43844" s="256"/>
    </row>
    <row r="43845" spans="104:111">
      <c r="CZ43845" s="256"/>
      <c r="DG43845" s="256"/>
    </row>
    <row r="43846" spans="104:111">
      <c r="CZ43846" s="256"/>
      <c r="DG43846" s="256"/>
    </row>
    <row r="43847" spans="104:111">
      <c r="CZ43847" s="256"/>
      <c r="DG43847" s="256"/>
    </row>
    <row r="43848" spans="104:111">
      <c r="CZ43848" s="256"/>
      <c r="DG43848" s="256"/>
    </row>
    <row r="43849" spans="104:111">
      <c r="CZ43849" s="256"/>
      <c r="DG43849" s="256"/>
    </row>
    <row r="43850" spans="104:111">
      <c r="CZ43850" s="256"/>
      <c r="DG43850" s="256"/>
    </row>
    <row r="43851" spans="104:111">
      <c r="CZ43851" s="256"/>
      <c r="DG43851" s="256"/>
    </row>
    <row r="43852" spans="104:111">
      <c r="CZ43852" s="256"/>
      <c r="DG43852" s="256"/>
    </row>
    <row r="43853" spans="104:111">
      <c r="CZ43853" s="256"/>
      <c r="DG43853" s="256"/>
    </row>
    <row r="43854" spans="104:111">
      <c r="CZ43854" s="256"/>
      <c r="DG43854" s="256"/>
    </row>
    <row r="43855" spans="104:111">
      <c r="CZ43855" s="256"/>
      <c r="DG43855" s="256"/>
    </row>
    <row r="43856" spans="104:111">
      <c r="CZ43856" s="256"/>
      <c r="DG43856" s="256"/>
    </row>
    <row r="43857" spans="104:111">
      <c r="CZ43857" s="256"/>
      <c r="DG43857" s="256"/>
    </row>
    <row r="43858" spans="104:111">
      <c r="CZ43858" s="256"/>
      <c r="DG43858" s="256"/>
    </row>
    <row r="43859" spans="104:111">
      <c r="CZ43859" s="256"/>
      <c r="DG43859" s="256"/>
    </row>
    <row r="43860" spans="104:111">
      <c r="CZ43860" s="256"/>
      <c r="DG43860" s="256"/>
    </row>
    <row r="43861" spans="104:111">
      <c r="CZ43861" s="256"/>
      <c r="DG43861" s="256"/>
    </row>
    <row r="43862" spans="104:111">
      <c r="CZ43862" s="256"/>
      <c r="DG43862" s="256"/>
    </row>
    <row r="43863" spans="104:111">
      <c r="CZ43863" s="256"/>
      <c r="DG43863" s="256"/>
    </row>
    <row r="43864" spans="104:111">
      <c r="CZ43864" s="256"/>
      <c r="DG43864" s="256"/>
    </row>
    <row r="43865" spans="104:111">
      <c r="CZ43865" s="256"/>
      <c r="DG43865" s="256"/>
    </row>
    <row r="43866" spans="104:111">
      <c r="CZ43866" s="256"/>
      <c r="DG43866" s="256"/>
    </row>
    <row r="43867" spans="104:111">
      <c r="CZ43867" s="256"/>
      <c r="DG43867" s="256"/>
    </row>
    <row r="43868" spans="104:111">
      <c r="CZ43868" s="256"/>
      <c r="DG43868" s="256"/>
    </row>
    <row r="43869" spans="104:111">
      <c r="CZ43869" s="256"/>
      <c r="DG43869" s="256"/>
    </row>
    <row r="43870" spans="104:111">
      <c r="CZ43870" s="256"/>
      <c r="DG43870" s="256"/>
    </row>
    <row r="43871" spans="104:111">
      <c r="CZ43871" s="256"/>
      <c r="DG43871" s="256"/>
    </row>
    <row r="43872" spans="104:111">
      <c r="CZ43872" s="256"/>
      <c r="DG43872" s="256"/>
    </row>
    <row r="43873" spans="104:111">
      <c r="CZ43873" s="256"/>
      <c r="DG43873" s="256"/>
    </row>
    <row r="43874" spans="104:111">
      <c r="CZ43874" s="256"/>
      <c r="DG43874" s="256"/>
    </row>
    <row r="43875" spans="104:111">
      <c r="CZ43875" s="256"/>
      <c r="DG43875" s="256"/>
    </row>
    <row r="43876" spans="104:111">
      <c r="CZ43876" s="256"/>
      <c r="DG43876" s="256"/>
    </row>
    <row r="43877" spans="104:111">
      <c r="CZ43877" s="256"/>
      <c r="DG43877" s="256"/>
    </row>
    <row r="43878" spans="104:111">
      <c r="CZ43878" s="256"/>
      <c r="DG43878" s="256"/>
    </row>
    <row r="43879" spans="104:111">
      <c r="CZ43879" s="256"/>
      <c r="DG43879" s="256"/>
    </row>
    <row r="43880" spans="104:111">
      <c r="CZ43880" s="256"/>
      <c r="DG43880" s="256"/>
    </row>
    <row r="43881" spans="104:111">
      <c r="CZ43881" s="256"/>
      <c r="DG43881" s="256"/>
    </row>
    <row r="43882" spans="104:111">
      <c r="CZ43882" s="256"/>
      <c r="DG43882" s="256"/>
    </row>
    <row r="43883" spans="104:111">
      <c r="CZ43883" s="256"/>
      <c r="DG43883" s="256"/>
    </row>
    <row r="43884" spans="104:111">
      <c r="CZ43884" s="256"/>
      <c r="DG43884" s="256"/>
    </row>
    <row r="43885" spans="104:111">
      <c r="CZ43885" s="256"/>
      <c r="DG43885" s="256"/>
    </row>
    <row r="43886" spans="104:111">
      <c r="CZ43886" s="256"/>
      <c r="DG43886" s="256"/>
    </row>
    <row r="43887" spans="104:111">
      <c r="CZ43887" s="256"/>
      <c r="DG43887" s="256"/>
    </row>
    <row r="43888" spans="104:111">
      <c r="CZ43888" s="256"/>
      <c r="DG43888" s="256"/>
    </row>
    <row r="43889" spans="104:111">
      <c r="CZ43889" s="256"/>
      <c r="DG43889" s="256"/>
    </row>
    <row r="43890" spans="104:111">
      <c r="CZ43890" s="256"/>
      <c r="DG43890" s="256"/>
    </row>
    <row r="43891" spans="104:111">
      <c r="CZ43891" s="256"/>
      <c r="DG43891" s="256"/>
    </row>
    <row r="43892" spans="104:111">
      <c r="CZ43892" s="256"/>
      <c r="DG43892" s="256"/>
    </row>
    <row r="43893" spans="104:111">
      <c r="CZ43893" s="256"/>
      <c r="DG43893" s="256"/>
    </row>
    <row r="43894" spans="104:111">
      <c r="CZ43894" s="256"/>
      <c r="DG43894" s="256"/>
    </row>
    <row r="43895" spans="104:111">
      <c r="CZ43895" s="256"/>
      <c r="DG43895" s="256"/>
    </row>
    <row r="43896" spans="104:111">
      <c r="CZ43896" s="256"/>
      <c r="DG43896" s="256"/>
    </row>
    <row r="43897" spans="104:111">
      <c r="CZ43897" s="256"/>
      <c r="DG43897" s="256"/>
    </row>
    <row r="43898" spans="104:111">
      <c r="CZ43898" s="256"/>
      <c r="DG43898" s="256"/>
    </row>
    <row r="43899" spans="104:111">
      <c r="CZ43899" s="256"/>
      <c r="DG43899" s="256"/>
    </row>
    <row r="43900" spans="104:111">
      <c r="CZ43900" s="256"/>
      <c r="DG43900" s="256"/>
    </row>
    <row r="43901" spans="104:111">
      <c r="CZ43901" s="256"/>
      <c r="DG43901" s="256"/>
    </row>
    <row r="43902" spans="104:111">
      <c r="CZ43902" s="256"/>
      <c r="DG43902" s="256"/>
    </row>
    <row r="43903" spans="104:111">
      <c r="CZ43903" s="256"/>
      <c r="DG43903" s="256"/>
    </row>
    <row r="43904" spans="104:111">
      <c r="CZ43904" s="256"/>
      <c r="DG43904" s="256"/>
    </row>
    <row r="43905" spans="104:111">
      <c r="CZ43905" s="256"/>
      <c r="DG43905" s="256"/>
    </row>
    <row r="43906" spans="104:111">
      <c r="CZ43906" s="256"/>
      <c r="DG43906" s="256"/>
    </row>
    <row r="43907" spans="104:111">
      <c r="CZ43907" s="256"/>
      <c r="DG43907" s="256"/>
    </row>
    <row r="43908" spans="104:111">
      <c r="CZ43908" s="256"/>
      <c r="DG43908" s="256"/>
    </row>
    <row r="43909" spans="104:111">
      <c r="CZ43909" s="256"/>
      <c r="DG43909" s="256"/>
    </row>
    <row r="43910" spans="104:111">
      <c r="CZ43910" s="256"/>
      <c r="DG43910" s="256"/>
    </row>
    <row r="43911" spans="104:111">
      <c r="CZ43911" s="256"/>
      <c r="DG43911" s="256"/>
    </row>
    <row r="43912" spans="104:111">
      <c r="CZ43912" s="256"/>
      <c r="DG43912" s="256"/>
    </row>
    <row r="43913" spans="104:111">
      <c r="CZ43913" s="256"/>
      <c r="DG43913" s="256"/>
    </row>
    <row r="43914" spans="104:111">
      <c r="CZ43914" s="256"/>
      <c r="DG43914" s="256"/>
    </row>
    <row r="43915" spans="104:111">
      <c r="CZ43915" s="256"/>
      <c r="DG43915" s="256"/>
    </row>
    <row r="43916" spans="104:111">
      <c r="CZ43916" s="256"/>
      <c r="DG43916" s="256"/>
    </row>
    <row r="43917" spans="104:111">
      <c r="CZ43917" s="256"/>
      <c r="DG43917" s="256"/>
    </row>
    <row r="43918" spans="104:111">
      <c r="CZ43918" s="256"/>
      <c r="DG43918" s="256"/>
    </row>
    <row r="43919" spans="104:111">
      <c r="CZ43919" s="256"/>
      <c r="DG43919" s="256"/>
    </row>
    <row r="43920" spans="104:111">
      <c r="CZ43920" s="256"/>
      <c r="DG43920" s="256"/>
    </row>
    <row r="43921" spans="104:111">
      <c r="CZ43921" s="256"/>
      <c r="DG43921" s="256"/>
    </row>
    <row r="43922" spans="104:111">
      <c r="CZ43922" s="256"/>
      <c r="DG43922" s="256"/>
    </row>
    <row r="43923" spans="104:111">
      <c r="CZ43923" s="256"/>
      <c r="DG43923" s="256"/>
    </row>
    <row r="43924" spans="104:111">
      <c r="CZ43924" s="256"/>
      <c r="DG43924" s="256"/>
    </row>
    <row r="43925" spans="104:111">
      <c r="CZ43925" s="256"/>
      <c r="DG43925" s="256"/>
    </row>
    <row r="43926" spans="104:111">
      <c r="CZ43926" s="256"/>
      <c r="DG43926" s="256"/>
    </row>
    <row r="43927" spans="104:111">
      <c r="CZ43927" s="256"/>
      <c r="DG43927" s="256"/>
    </row>
    <row r="43928" spans="104:111">
      <c r="CZ43928" s="256"/>
      <c r="DG43928" s="256"/>
    </row>
    <row r="43929" spans="104:111">
      <c r="CZ43929" s="256"/>
      <c r="DG43929" s="256"/>
    </row>
    <row r="43930" spans="104:111">
      <c r="CZ43930" s="256"/>
      <c r="DG43930" s="256"/>
    </row>
    <row r="43931" spans="104:111">
      <c r="CZ43931" s="256"/>
      <c r="DG43931" s="256"/>
    </row>
    <row r="43932" spans="104:111">
      <c r="CZ43932" s="256"/>
      <c r="DG43932" s="256"/>
    </row>
    <row r="43933" spans="104:111">
      <c r="CZ43933" s="256"/>
      <c r="DG43933" s="256"/>
    </row>
    <row r="43934" spans="104:111">
      <c r="CZ43934" s="256"/>
      <c r="DG43934" s="256"/>
    </row>
    <row r="43935" spans="104:111">
      <c r="CZ43935" s="256"/>
      <c r="DG43935" s="256"/>
    </row>
    <row r="43936" spans="104:111">
      <c r="CZ43936" s="256"/>
      <c r="DG43936" s="256"/>
    </row>
    <row r="43937" spans="104:111">
      <c r="CZ43937" s="256"/>
      <c r="DG43937" s="256"/>
    </row>
    <row r="43938" spans="104:111">
      <c r="CZ43938" s="256"/>
      <c r="DG43938" s="256"/>
    </row>
    <row r="43939" spans="104:111">
      <c r="CZ43939" s="256"/>
      <c r="DG43939" s="256"/>
    </row>
    <row r="43940" spans="104:111">
      <c r="CZ43940" s="256"/>
      <c r="DG43940" s="256"/>
    </row>
    <row r="43941" spans="104:111">
      <c r="CZ43941" s="256"/>
      <c r="DG43941" s="256"/>
    </row>
    <row r="43942" spans="104:111">
      <c r="CZ43942" s="256"/>
      <c r="DG43942" s="256"/>
    </row>
    <row r="43943" spans="104:111">
      <c r="CZ43943" s="256"/>
      <c r="DG43943" s="256"/>
    </row>
    <row r="43944" spans="104:111">
      <c r="CZ43944" s="256"/>
      <c r="DG43944" s="256"/>
    </row>
    <row r="43945" spans="104:111">
      <c r="CZ43945" s="256"/>
      <c r="DG43945" s="256"/>
    </row>
    <row r="43946" spans="104:111">
      <c r="CZ43946" s="256"/>
      <c r="DG43946" s="256"/>
    </row>
    <row r="43947" spans="104:111">
      <c r="CZ43947" s="256"/>
      <c r="DG43947" s="256"/>
    </row>
    <row r="43948" spans="104:111">
      <c r="CZ43948" s="256"/>
      <c r="DG43948" s="256"/>
    </row>
    <row r="43949" spans="104:111">
      <c r="CZ43949" s="256"/>
      <c r="DG43949" s="256"/>
    </row>
    <row r="43950" spans="104:111">
      <c r="CZ43950" s="256"/>
      <c r="DG43950" s="256"/>
    </row>
    <row r="43951" spans="104:111">
      <c r="CZ43951" s="256"/>
      <c r="DG43951" s="256"/>
    </row>
    <row r="43952" spans="104:111">
      <c r="CZ43952" s="256"/>
      <c r="DG43952" s="256"/>
    </row>
    <row r="43953" spans="104:111">
      <c r="CZ43953" s="256"/>
      <c r="DG43953" s="256"/>
    </row>
    <row r="43954" spans="104:111">
      <c r="CZ43954" s="256"/>
      <c r="DG43954" s="256"/>
    </row>
    <row r="43955" spans="104:111">
      <c r="CZ43955" s="256"/>
      <c r="DG43955" s="256"/>
    </row>
    <row r="43956" spans="104:111">
      <c r="CZ43956" s="256"/>
      <c r="DG43956" s="256"/>
    </row>
    <row r="43957" spans="104:111">
      <c r="CZ43957" s="256"/>
      <c r="DG43957" s="256"/>
    </row>
    <row r="43958" spans="104:111">
      <c r="CZ43958" s="256"/>
      <c r="DG43958" s="256"/>
    </row>
    <row r="43959" spans="104:111">
      <c r="CZ43959" s="256"/>
      <c r="DG43959" s="256"/>
    </row>
    <row r="43960" spans="104:111">
      <c r="CZ43960" s="256"/>
      <c r="DG43960" s="256"/>
    </row>
    <row r="43961" spans="104:111">
      <c r="CZ43961" s="256"/>
      <c r="DG43961" s="256"/>
    </row>
    <row r="43962" spans="104:111">
      <c r="CZ43962" s="256"/>
      <c r="DG43962" s="256"/>
    </row>
    <row r="43963" spans="104:111">
      <c r="CZ43963" s="256"/>
      <c r="DG43963" s="256"/>
    </row>
    <row r="43964" spans="104:111">
      <c r="CZ43964" s="256"/>
      <c r="DG43964" s="256"/>
    </row>
    <row r="43965" spans="104:111">
      <c r="CZ43965" s="256"/>
      <c r="DG43965" s="256"/>
    </row>
    <row r="43966" spans="104:111">
      <c r="CZ43966" s="256"/>
      <c r="DG43966" s="256"/>
    </row>
    <row r="43967" spans="104:111">
      <c r="CZ43967" s="256"/>
      <c r="DG43967" s="256"/>
    </row>
    <row r="43968" spans="104:111">
      <c r="CZ43968" s="256"/>
      <c r="DG43968" s="256"/>
    </row>
    <row r="43969" spans="104:111">
      <c r="CZ43969" s="256"/>
      <c r="DG43969" s="256"/>
    </row>
    <row r="43970" spans="104:111">
      <c r="CZ43970" s="256"/>
      <c r="DG43970" s="256"/>
    </row>
    <row r="43971" spans="104:111">
      <c r="CZ43971" s="256"/>
      <c r="DG43971" s="256"/>
    </row>
    <row r="43972" spans="104:111">
      <c r="CZ43972" s="256"/>
      <c r="DG43972" s="256"/>
    </row>
    <row r="43973" spans="104:111">
      <c r="CZ43973" s="256"/>
      <c r="DG43973" s="256"/>
    </row>
    <row r="43974" spans="104:111">
      <c r="CZ43974" s="256"/>
      <c r="DG43974" s="256"/>
    </row>
    <row r="43975" spans="104:111">
      <c r="CZ43975" s="256"/>
      <c r="DG43975" s="256"/>
    </row>
    <row r="43976" spans="104:111">
      <c r="CZ43976" s="256"/>
      <c r="DG43976" s="256"/>
    </row>
    <row r="43977" spans="104:111">
      <c r="CZ43977" s="256"/>
      <c r="DG43977" s="256"/>
    </row>
    <row r="43978" spans="104:111">
      <c r="CZ43978" s="256"/>
      <c r="DG43978" s="256"/>
    </row>
    <row r="43979" spans="104:111">
      <c r="CZ43979" s="256"/>
      <c r="DG43979" s="256"/>
    </row>
    <row r="43980" spans="104:111">
      <c r="CZ43980" s="256"/>
      <c r="DG43980" s="256"/>
    </row>
    <row r="43981" spans="104:111">
      <c r="CZ43981" s="256"/>
      <c r="DG43981" s="256"/>
    </row>
    <row r="43982" spans="104:111">
      <c r="CZ43982" s="256"/>
      <c r="DG43982" s="256"/>
    </row>
    <row r="43983" spans="104:111">
      <c r="CZ43983" s="256"/>
      <c r="DG43983" s="256"/>
    </row>
    <row r="43984" spans="104:111">
      <c r="CZ43984" s="256"/>
      <c r="DG43984" s="256"/>
    </row>
    <row r="43985" spans="104:111">
      <c r="CZ43985" s="256"/>
      <c r="DG43985" s="256"/>
    </row>
    <row r="43986" spans="104:111">
      <c r="CZ43986" s="256"/>
      <c r="DG43986" s="256"/>
    </row>
    <row r="43987" spans="104:111">
      <c r="CZ43987" s="256"/>
      <c r="DG43987" s="256"/>
    </row>
    <row r="43988" spans="104:111">
      <c r="CZ43988" s="256"/>
      <c r="DG43988" s="256"/>
    </row>
    <row r="43989" spans="104:111">
      <c r="CZ43989" s="256"/>
      <c r="DG43989" s="256"/>
    </row>
    <row r="43990" spans="104:111">
      <c r="CZ43990" s="256"/>
      <c r="DG43990" s="256"/>
    </row>
    <row r="43991" spans="104:111">
      <c r="CZ43991" s="256"/>
      <c r="DG43991" s="256"/>
    </row>
    <row r="43992" spans="104:111">
      <c r="CZ43992" s="256"/>
      <c r="DG43992" s="256"/>
    </row>
    <row r="43993" spans="104:111">
      <c r="CZ43993" s="256"/>
      <c r="DG43993" s="256"/>
    </row>
    <row r="43994" spans="104:111">
      <c r="CZ43994" s="256"/>
      <c r="DG43994" s="256"/>
    </row>
    <row r="43995" spans="104:111">
      <c r="CZ43995" s="256"/>
      <c r="DG43995" s="256"/>
    </row>
    <row r="43996" spans="104:111">
      <c r="CZ43996" s="256"/>
      <c r="DG43996" s="256"/>
    </row>
    <row r="43997" spans="104:111">
      <c r="CZ43997" s="256"/>
      <c r="DG43997" s="256"/>
    </row>
    <row r="43998" spans="104:111">
      <c r="CZ43998" s="256"/>
      <c r="DG43998" s="256"/>
    </row>
    <row r="43999" spans="104:111">
      <c r="CZ43999" s="256"/>
      <c r="DG43999" s="256"/>
    </row>
    <row r="44000" spans="104:111">
      <c r="CZ44000" s="256"/>
      <c r="DG44000" s="256"/>
    </row>
    <row r="44001" spans="104:111">
      <c r="CZ44001" s="256"/>
      <c r="DG44001" s="256"/>
    </row>
    <row r="44002" spans="104:111">
      <c r="CZ44002" s="256"/>
      <c r="DG44002" s="256"/>
    </row>
    <row r="44003" spans="104:111">
      <c r="CZ44003" s="256"/>
      <c r="DG44003" s="256"/>
    </row>
    <row r="44004" spans="104:111">
      <c r="CZ44004" s="256"/>
      <c r="DG44004" s="256"/>
    </row>
    <row r="44005" spans="104:111">
      <c r="CZ44005" s="256"/>
      <c r="DG44005" s="256"/>
    </row>
    <row r="44006" spans="104:111">
      <c r="CZ44006" s="256"/>
      <c r="DG44006" s="256"/>
    </row>
    <row r="44007" spans="104:111">
      <c r="CZ44007" s="256"/>
      <c r="DG44007" s="256"/>
    </row>
    <row r="44008" spans="104:111">
      <c r="CZ44008" s="256"/>
      <c r="DG44008" s="256"/>
    </row>
    <row r="44009" spans="104:111">
      <c r="CZ44009" s="256"/>
      <c r="DG44009" s="256"/>
    </row>
    <row r="44010" spans="104:111">
      <c r="CZ44010" s="256"/>
      <c r="DG44010" s="256"/>
    </row>
    <row r="44011" spans="104:111">
      <c r="CZ44011" s="256"/>
      <c r="DG44011" s="256"/>
    </row>
    <row r="44012" spans="104:111">
      <c r="CZ44012" s="256"/>
      <c r="DG44012" s="256"/>
    </row>
    <row r="44013" spans="104:111">
      <c r="CZ44013" s="256"/>
      <c r="DG44013" s="256"/>
    </row>
    <row r="44014" spans="104:111">
      <c r="CZ44014" s="256"/>
      <c r="DG44014" s="256"/>
    </row>
    <row r="44015" spans="104:111">
      <c r="CZ44015" s="256"/>
      <c r="DG44015" s="256"/>
    </row>
    <row r="44016" spans="104:111">
      <c r="CZ44016" s="256"/>
      <c r="DG44016" s="256"/>
    </row>
    <row r="44017" spans="104:111">
      <c r="CZ44017" s="256"/>
      <c r="DG44017" s="256"/>
    </row>
    <row r="44018" spans="104:111">
      <c r="CZ44018" s="256"/>
      <c r="DG44018" s="256"/>
    </row>
    <row r="44019" spans="104:111">
      <c r="CZ44019" s="256"/>
      <c r="DG44019" s="256"/>
    </row>
    <row r="44020" spans="104:111">
      <c r="CZ44020" s="256"/>
      <c r="DG44020" s="256"/>
    </row>
    <row r="44021" spans="104:111">
      <c r="CZ44021" s="256"/>
      <c r="DG44021" s="256"/>
    </row>
    <row r="44022" spans="104:111">
      <c r="CZ44022" s="256"/>
      <c r="DG44022" s="256"/>
    </row>
    <row r="44023" spans="104:111">
      <c r="CZ44023" s="256"/>
      <c r="DG44023" s="256"/>
    </row>
    <row r="44024" spans="104:111">
      <c r="CZ44024" s="256"/>
      <c r="DG44024" s="256"/>
    </row>
    <row r="44025" spans="104:111">
      <c r="CZ44025" s="256"/>
      <c r="DG44025" s="256"/>
    </row>
    <row r="44026" spans="104:111">
      <c r="CZ44026" s="256"/>
      <c r="DG44026" s="256"/>
    </row>
    <row r="44027" spans="104:111">
      <c r="CZ44027" s="256"/>
      <c r="DG44027" s="256"/>
    </row>
    <row r="44028" spans="104:111">
      <c r="CZ44028" s="256"/>
      <c r="DG44028" s="256"/>
    </row>
    <row r="44029" spans="104:111">
      <c r="CZ44029" s="256"/>
      <c r="DG44029" s="256"/>
    </row>
    <row r="44030" spans="104:111">
      <c r="CZ44030" s="256"/>
      <c r="DG44030" s="256"/>
    </row>
    <row r="44031" spans="104:111">
      <c r="CZ44031" s="256"/>
      <c r="DG44031" s="256"/>
    </row>
    <row r="44032" spans="104:111">
      <c r="CZ44032" s="256"/>
      <c r="DG44032" s="256"/>
    </row>
    <row r="44033" spans="104:111">
      <c r="CZ44033" s="256"/>
      <c r="DG44033" s="256"/>
    </row>
    <row r="44034" spans="104:111">
      <c r="CZ44034" s="256"/>
      <c r="DG44034" s="256"/>
    </row>
    <row r="44035" spans="104:111">
      <c r="CZ44035" s="256"/>
      <c r="DG44035" s="256"/>
    </row>
    <row r="44036" spans="104:111">
      <c r="CZ44036" s="256"/>
      <c r="DG44036" s="256"/>
    </row>
    <row r="44037" spans="104:111">
      <c r="CZ44037" s="256"/>
      <c r="DG44037" s="256"/>
    </row>
    <row r="44038" spans="104:111">
      <c r="CZ44038" s="256"/>
      <c r="DG44038" s="256"/>
    </row>
    <row r="44039" spans="104:111">
      <c r="CZ44039" s="256"/>
      <c r="DG44039" s="256"/>
    </row>
    <row r="44040" spans="104:111">
      <c r="CZ44040" s="256"/>
      <c r="DG44040" s="256"/>
    </row>
    <row r="44041" spans="104:111">
      <c r="CZ44041" s="256"/>
      <c r="DG44041" s="256"/>
    </row>
    <row r="44042" spans="104:111">
      <c r="CZ44042" s="256"/>
      <c r="DG44042" s="256"/>
    </row>
    <row r="44043" spans="104:111">
      <c r="CZ44043" s="256"/>
      <c r="DG44043" s="256"/>
    </row>
    <row r="44044" spans="104:111">
      <c r="CZ44044" s="256"/>
      <c r="DG44044" s="256"/>
    </row>
    <row r="44045" spans="104:111">
      <c r="CZ44045" s="256"/>
      <c r="DG44045" s="256"/>
    </row>
    <row r="44046" spans="104:111">
      <c r="CZ44046" s="256"/>
      <c r="DG44046" s="256"/>
    </row>
    <row r="44047" spans="104:111">
      <c r="CZ44047" s="256"/>
      <c r="DG44047" s="256"/>
    </row>
    <row r="44048" spans="104:111">
      <c r="CZ44048" s="256"/>
      <c r="DG44048" s="256"/>
    </row>
    <row r="44049" spans="104:111">
      <c r="CZ44049" s="256"/>
      <c r="DG44049" s="256"/>
    </row>
    <row r="44050" spans="104:111">
      <c r="CZ44050" s="256"/>
      <c r="DG44050" s="256"/>
    </row>
    <row r="44051" spans="104:111">
      <c r="CZ44051" s="256"/>
      <c r="DG44051" s="256"/>
    </row>
    <row r="44052" spans="104:111">
      <c r="CZ44052" s="256"/>
      <c r="DG44052" s="256"/>
    </row>
    <row r="44053" spans="104:111">
      <c r="CZ44053" s="256"/>
      <c r="DG44053" s="256"/>
    </row>
    <row r="44054" spans="104:111">
      <c r="CZ44054" s="256"/>
      <c r="DG44054" s="256"/>
    </row>
    <row r="44055" spans="104:111">
      <c r="CZ44055" s="256"/>
      <c r="DG44055" s="256"/>
    </row>
    <row r="44056" spans="104:111">
      <c r="CZ44056" s="256"/>
      <c r="DG44056" s="256"/>
    </row>
    <row r="44057" spans="104:111">
      <c r="CZ44057" s="256"/>
      <c r="DG44057" s="256"/>
    </row>
    <row r="44058" spans="104:111">
      <c r="CZ44058" s="256"/>
      <c r="DG44058" s="256"/>
    </row>
    <row r="44059" spans="104:111">
      <c r="CZ44059" s="256"/>
      <c r="DG44059" s="256"/>
    </row>
    <row r="44060" spans="104:111">
      <c r="CZ44060" s="256"/>
      <c r="DG44060" s="256"/>
    </row>
    <row r="44061" spans="104:111">
      <c r="CZ44061" s="256"/>
      <c r="DG44061" s="256"/>
    </row>
    <row r="44062" spans="104:111">
      <c r="CZ44062" s="256"/>
      <c r="DG44062" s="256"/>
    </row>
    <row r="44063" spans="104:111">
      <c r="CZ44063" s="256"/>
      <c r="DG44063" s="256"/>
    </row>
    <row r="44064" spans="104:111">
      <c r="CZ44064" s="256"/>
      <c r="DG44064" s="256"/>
    </row>
    <row r="44065" spans="104:111">
      <c r="CZ44065" s="256"/>
      <c r="DG44065" s="256"/>
    </row>
    <row r="44066" spans="104:111">
      <c r="CZ44066" s="256"/>
      <c r="DG44066" s="256"/>
    </row>
    <row r="44067" spans="104:111">
      <c r="CZ44067" s="256"/>
      <c r="DG44067" s="256"/>
    </row>
    <row r="44068" spans="104:111">
      <c r="CZ44068" s="256"/>
      <c r="DG44068" s="256"/>
    </row>
    <row r="44069" spans="104:111">
      <c r="CZ44069" s="256"/>
      <c r="DG44069" s="256"/>
    </row>
    <row r="44070" spans="104:111">
      <c r="CZ44070" s="256"/>
      <c r="DG44070" s="256"/>
    </row>
    <row r="44071" spans="104:111">
      <c r="CZ44071" s="256"/>
      <c r="DG44071" s="256"/>
    </row>
    <row r="44072" spans="104:111">
      <c r="CZ44072" s="256"/>
      <c r="DG44072" s="256"/>
    </row>
    <row r="44073" spans="104:111">
      <c r="CZ44073" s="256"/>
      <c r="DG44073" s="256"/>
    </row>
    <row r="44074" spans="104:111">
      <c r="CZ44074" s="256"/>
      <c r="DG44074" s="256"/>
    </row>
    <row r="44075" spans="104:111">
      <c r="CZ44075" s="256"/>
      <c r="DG44075" s="256"/>
    </row>
    <row r="44076" spans="104:111">
      <c r="CZ44076" s="256"/>
      <c r="DG44076" s="256"/>
    </row>
    <row r="44077" spans="104:111">
      <c r="CZ44077" s="256"/>
      <c r="DG44077" s="256"/>
    </row>
    <row r="44078" spans="104:111">
      <c r="CZ44078" s="256"/>
      <c r="DG44078" s="256"/>
    </row>
    <row r="44079" spans="104:111">
      <c r="CZ44079" s="256"/>
      <c r="DG44079" s="256"/>
    </row>
    <row r="44080" spans="104:111">
      <c r="CZ44080" s="256"/>
      <c r="DG44080" s="256"/>
    </row>
    <row r="44081" spans="104:111">
      <c r="CZ44081" s="256"/>
      <c r="DG44081" s="256"/>
    </row>
    <row r="44082" spans="104:111">
      <c r="CZ44082" s="256"/>
      <c r="DG44082" s="256"/>
    </row>
    <row r="44083" spans="104:111">
      <c r="CZ44083" s="256"/>
      <c r="DG44083" s="256"/>
    </row>
    <row r="44084" spans="104:111">
      <c r="CZ44084" s="256"/>
      <c r="DG44084" s="256"/>
    </row>
    <row r="44085" spans="104:111">
      <c r="CZ44085" s="256"/>
      <c r="DG44085" s="256"/>
    </row>
    <row r="44086" spans="104:111">
      <c r="CZ44086" s="256"/>
      <c r="DG44086" s="256"/>
    </row>
    <row r="44087" spans="104:111">
      <c r="CZ44087" s="256"/>
      <c r="DG44087" s="256"/>
    </row>
    <row r="44088" spans="104:111">
      <c r="CZ44088" s="256"/>
      <c r="DG44088" s="256"/>
    </row>
    <row r="44089" spans="104:111">
      <c r="CZ44089" s="256"/>
      <c r="DG44089" s="256"/>
    </row>
    <row r="44090" spans="104:111">
      <c r="CZ44090" s="256"/>
      <c r="DG44090" s="256"/>
    </row>
    <row r="44091" spans="104:111">
      <c r="CZ44091" s="256"/>
      <c r="DG44091" s="256"/>
    </row>
    <row r="44092" spans="104:111">
      <c r="CZ44092" s="256"/>
      <c r="DG44092" s="256"/>
    </row>
    <row r="44093" spans="104:111">
      <c r="CZ44093" s="256"/>
      <c r="DG44093" s="256"/>
    </row>
    <row r="44094" spans="104:111">
      <c r="CZ44094" s="256"/>
      <c r="DG44094" s="256"/>
    </row>
    <row r="44095" spans="104:111">
      <c r="CZ44095" s="256"/>
      <c r="DG44095" s="256"/>
    </row>
    <row r="44096" spans="104:111">
      <c r="CZ44096" s="256"/>
      <c r="DG44096" s="256"/>
    </row>
    <row r="44097" spans="104:111">
      <c r="CZ44097" s="256"/>
      <c r="DG44097" s="256"/>
    </row>
    <row r="44098" spans="104:111">
      <c r="CZ44098" s="256"/>
      <c r="DG44098" s="256"/>
    </row>
    <row r="44099" spans="104:111">
      <c r="CZ44099" s="256"/>
      <c r="DG44099" s="256"/>
    </row>
    <row r="44100" spans="104:111">
      <c r="CZ44100" s="256"/>
      <c r="DG44100" s="256"/>
    </row>
    <row r="44101" spans="104:111">
      <c r="CZ44101" s="256"/>
      <c r="DG44101" s="256"/>
    </row>
    <row r="44102" spans="104:111">
      <c r="CZ44102" s="256"/>
      <c r="DG44102" s="256"/>
    </row>
    <row r="44103" spans="104:111">
      <c r="CZ44103" s="256"/>
      <c r="DG44103" s="256"/>
    </row>
    <row r="44104" spans="104:111">
      <c r="CZ44104" s="256"/>
      <c r="DG44104" s="256"/>
    </row>
    <row r="44105" spans="104:111">
      <c r="CZ44105" s="256"/>
      <c r="DG44105" s="256"/>
    </row>
    <row r="44106" spans="104:111">
      <c r="CZ44106" s="256"/>
      <c r="DG44106" s="256"/>
    </row>
    <row r="44107" spans="104:111">
      <c r="CZ44107" s="256"/>
      <c r="DG44107" s="256"/>
    </row>
    <row r="44108" spans="104:111">
      <c r="CZ44108" s="256"/>
      <c r="DG44108" s="256"/>
    </row>
    <row r="44109" spans="104:111">
      <c r="CZ44109" s="256"/>
      <c r="DG44109" s="256"/>
    </row>
    <row r="44110" spans="104:111">
      <c r="CZ44110" s="256"/>
      <c r="DG44110" s="256"/>
    </row>
    <row r="44111" spans="104:111">
      <c r="CZ44111" s="256"/>
      <c r="DG44111" s="256"/>
    </row>
    <row r="44112" spans="104:111">
      <c r="CZ44112" s="256"/>
      <c r="DG44112" s="256"/>
    </row>
    <row r="44113" spans="104:111">
      <c r="CZ44113" s="256"/>
      <c r="DG44113" s="256"/>
    </row>
    <row r="44114" spans="104:111">
      <c r="CZ44114" s="256"/>
      <c r="DG44114" s="256"/>
    </row>
    <row r="44115" spans="104:111">
      <c r="CZ44115" s="256"/>
      <c r="DG44115" s="256"/>
    </row>
    <row r="44116" spans="104:111">
      <c r="CZ44116" s="256"/>
      <c r="DG44116" s="256"/>
    </row>
    <row r="44117" spans="104:111">
      <c r="CZ44117" s="256"/>
      <c r="DG44117" s="256"/>
    </row>
    <row r="44118" spans="104:111">
      <c r="CZ44118" s="256"/>
      <c r="DG44118" s="256"/>
    </row>
    <row r="44119" spans="104:111">
      <c r="CZ44119" s="256"/>
      <c r="DG44119" s="256"/>
    </row>
    <row r="44120" spans="104:111">
      <c r="CZ44120" s="256"/>
      <c r="DG44120" s="256"/>
    </row>
    <row r="44121" spans="104:111">
      <c r="CZ44121" s="256"/>
      <c r="DG44121" s="256"/>
    </row>
    <row r="44122" spans="104:111">
      <c r="CZ44122" s="256"/>
      <c r="DG44122" s="256"/>
    </row>
    <row r="44123" spans="104:111">
      <c r="CZ44123" s="256"/>
      <c r="DG44123" s="256"/>
    </row>
    <row r="44124" spans="104:111">
      <c r="CZ44124" s="256"/>
      <c r="DG44124" s="256"/>
    </row>
    <row r="44125" spans="104:111">
      <c r="CZ44125" s="256"/>
      <c r="DG44125" s="256"/>
    </row>
    <row r="44126" spans="104:111">
      <c r="CZ44126" s="256"/>
      <c r="DG44126" s="256"/>
    </row>
    <row r="44127" spans="104:111">
      <c r="CZ44127" s="256"/>
      <c r="DG44127" s="256"/>
    </row>
    <row r="44128" spans="104:111">
      <c r="CZ44128" s="256"/>
      <c r="DG44128" s="256"/>
    </row>
    <row r="44129" spans="104:111">
      <c r="CZ44129" s="256"/>
      <c r="DG44129" s="256"/>
    </row>
    <row r="44130" spans="104:111">
      <c r="CZ44130" s="256"/>
      <c r="DG44130" s="256"/>
    </row>
    <row r="44131" spans="104:111">
      <c r="CZ44131" s="256"/>
      <c r="DG44131" s="256"/>
    </row>
    <row r="44132" spans="104:111">
      <c r="CZ44132" s="256"/>
      <c r="DG44132" s="256"/>
    </row>
    <row r="44133" spans="104:111">
      <c r="CZ44133" s="256"/>
      <c r="DG44133" s="256"/>
    </row>
    <row r="44134" spans="104:111">
      <c r="CZ44134" s="256"/>
      <c r="DG44134" s="256"/>
    </row>
    <row r="44135" spans="104:111">
      <c r="CZ44135" s="256"/>
      <c r="DG44135" s="256"/>
    </row>
    <row r="44136" spans="104:111">
      <c r="CZ44136" s="256"/>
      <c r="DG44136" s="256"/>
    </row>
    <row r="44137" spans="104:111">
      <c r="CZ44137" s="256"/>
      <c r="DG44137" s="256"/>
    </row>
    <row r="44138" spans="104:111">
      <c r="CZ44138" s="256"/>
      <c r="DG44138" s="256"/>
    </row>
    <row r="44139" spans="104:111">
      <c r="CZ44139" s="256"/>
      <c r="DG44139" s="256"/>
    </row>
    <row r="44140" spans="104:111">
      <c r="CZ44140" s="256"/>
      <c r="DG44140" s="256"/>
    </row>
    <row r="44141" spans="104:111">
      <c r="CZ44141" s="256"/>
      <c r="DG44141" s="256"/>
    </row>
    <row r="44142" spans="104:111">
      <c r="CZ44142" s="256"/>
      <c r="DG44142" s="256"/>
    </row>
    <row r="44143" spans="104:111">
      <c r="CZ44143" s="256"/>
      <c r="DG44143" s="256"/>
    </row>
    <row r="44144" spans="104:111">
      <c r="CZ44144" s="256"/>
      <c r="DG44144" s="256"/>
    </row>
    <row r="44145" spans="104:111">
      <c r="CZ44145" s="256"/>
      <c r="DG44145" s="256"/>
    </row>
    <row r="44146" spans="104:111">
      <c r="CZ44146" s="256"/>
      <c r="DG44146" s="256"/>
    </row>
    <row r="44147" spans="104:111">
      <c r="CZ44147" s="256"/>
      <c r="DG44147" s="256"/>
    </row>
    <row r="44148" spans="104:111">
      <c r="CZ44148" s="256"/>
      <c r="DG44148" s="256"/>
    </row>
    <row r="44149" spans="104:111">
      <c r="CZ44149" s="256"/>
      <c r="DG44149" s="256"/>
    </row>
    <row r="44150" spans="104:111">
      <c r="CZ44150" s="256"/>
      <c r="DG44150" s="256"/>
    </row>
    <row r="44151" spans="104:111">
      <c r="CZ44151" s="256"/>
      <c r="DG44151" s="256"/>
    </row>
    <row r="44152" spans="104:111">
      <c r="CZ44152" s="256"/>
      <c r="DG44152" s="256"/>
    </row>
    <row r="44153" spans="104:111">
      <c r="CZ44153" s="256"/>
      <c r="DG44153" s="256"/>
    </row>
    <row r="44154" spans="104:111">
      <c r="CZ44154" s="256"/>
      <c r="DG44154" s="256"/>
    </row>
    <row r="44155" spans="104:111">
      <c r="CZ44155" s="256"/>
      <c r="DG44155" s="256"/>
    </row>
    <row r="44156" spans="104:111">
      <c r="CZ44156" s="256"/>
      <c r="DG44156" s="256"/>
    </row>
    <row r="44157" spans="104:111">
      <c r="CZ44157" s="256"/>
      <c r="DG44157" s="256"/>
    </row>
    <row r="44158" spans="104:111">
      <c r="CZ44158" s="256"/>
      <c r="DG44158" s="256"/>
    </row>
    <row r="44159" spans="104:111">
      <c r="CZ44159" s="256"/>
      <c r="DG44159" s="256"/>
    </row>
    <row r="44160" spans="104:111">
      <c r="CZ44160" s="256"/>
      <c r="DG44160" s="256"/>
    </row>
    <row r="44161" spans="104:111">
      <c r="CZ44161" s="256"/>
      <c r="DG44161" s="256"/>
    </row>
    <row r="44162" spans="104:111">
      <c r="CZ44162" s="256"/>
      <c r="DG44162" s="256"/>
    </row>
    <row r="44163" spans="104:111">
      <c r="CZ44163" s="256"/>
      <c r="DG44163" s="256"/>
    </row>
    <row r="44164" spans="104:111">
      <c r="CZ44164" s="256"/>
      <c r="DG44164" s="256"/>
    </row>
    <row r="44165" spans="104:111">
      <c r="CZ44165" s="256"/>
      <c r="DG44165" s="256"/>
    </row>
    <row r="44166" spans="104:111">
      <c r="CZ44166" s="256"/>
      <c r="DG44166" s="256"/>
    </row>
    <row r="44167" spans="104:111">
      <c r="CZ44167" s="256"/>
      <c r="DG44167" s="256"/>
    </row>
    <row r="44168" spans="104:111">
      <c r="CZ44168" s="256"/>
      <c r="DG44168" s="256"/>
    </row>
    <row r="44169" spans="104:111">
      <c r="CZ44169" s="256"/>
      <c r="DG44169" s="256"/>
    </row>
    <row r="44170" spans="104:111">
      <c r="CZ44170" s="256"/>
      <c r="DG44170" s="256"/>
    </row>
    <row r="44171" spans="104:111">
      <c r="CZ44171" s="256"/>
      <c r="DG44171" s="256"/>
    </row>
    <row r="44172" spans="104:111">
      <c r="CZ44172" s="256"/>
      <c r="DG44172" s="256"/>
    </row>
    <row r="44173" spans="104:111">
      <c r="CZ44173" s="256"/>
      <c r="DG44173" s="256"/>
    </row>
    <row r="44174" spans="104:111">
      <c r="CZ44174" s="256"/>
      <c r="DG44174" s="256"/>
    </row>
    <row r="44175" spans="104:111">
      <c r="CZ44175" s="256"/>
      <c r="DG44175" s="256"/>
    </row>
    <row r="44176" spans="104:111">
      <c r="CZ44176" s="256"/>
      <c r="DG44176" s="256"/>
    </row>
    <row r="44177" spans="104:111">
      <c r="CZ44177" s="256"/>
      <c r="DG44177" s="256"/>
    </row>
    <row r="44178" spans="104:111">
      <c r="CZ44178" s="256"/>
      <c r="DG44178" s="256"/>
    </row>
    <row r="44179" spans="104:111">
      <c r="CZ44179" s="256"/>
      <c r="DG44179" s="256"/>
    </row>
    <row r="44180" spans="104:111">
      <c r="CZ44180" s="256"/>
      <c r="DG44180" s="256"/>
    </row>
    <row r="44181" spans="104:111">
      <c r="CZ44181" s="256"/>
      <c r="DG44181" s="256"/>
    </row>
    <row r="44182" spans="104:111">
      <c r="CZ44182" s="256"/>
      <c r="DG44182" s="256"/>
    </row>
    <row r="44183" spans="104:111">
      <c r="CZ44183" s="256"/>
      <c r="DG44183" s="256"/>
    </row>
    <row r="44184" spans="104:111">
      <c r="CZ44184" s="256"/>
      <c r="DG44184" s="256"/>
    </row>
    <row r="44185" spans="104:111">
      <c r="CZ44185" s="256"/>
      <c r="DG44185" s="256"/>
    </row>
    <row r="44186" spans="104:111">
      <c r="CZ44186" s="256"/>
      <c r="DG44186" s="256"/>
    </row>
    <row r="44187" spans="104:111">
      <c r="CZ44187" s="256"/>
      <c r="DG44187" s="256"/>
    </row>
    <row r="44188" spans="104:111">
      <c r="CZ44188" s="256"/>
      <c r="DG44188" s="256"/>
    </row>
    <row r="44189" spans="104:111">
      <c r="CZ44189" s="256"/>
      <c r="DG44189" s="256"/>
    </row>
    <row r="44190" spans="104:111">
      <c r="CZ44190" s="256"/>
      <c r="DG44190" s="256"/>
    </row>
    <row r="44191" spans="104:111">
      <c r="CZ44191" s="256"/>
      <c r="DG44191" s="256"/>
    </row>
    <row r="44192" spans="104:111">
      <c r="CZ44192" s="256"/>
      <c r="DG44192" s="256"/>
    </row>
    <row r="44193" spans="104:111">
      <c r="CZ44193" s="256"/>
      <c r="DG44193" s="256"/>
    </row>
    <row r="44194" spans="104:111">
      <c r="CZ44194" s="256"/>
      <c r="DG44194" s="256"/>
    </row>
    <row r="44195" spans="104:111">
      <c r="CZ44195" s="256"/>
      <c r="DG44195" s="256"/>
    </row>
    <row r="44196" spans="104:111">
      <c r="CZ44196" s="256"/>
      <c r="DG44196" s="256"/>
    </row>
    <row r="44197" spans="104:111">
      <c r="CZ44197" s="256"/>
      <c r="DG44197" s="256"/>
    </row>
    <row r="44198" spans="104:111">
      <c r="CZ44198" s="256"/>
      <c r="DG44198" s="256"/>
    </row>
    <row r="44199" spans="104:111">
      <c r="CZ44199" s="256"/>
      <c r="DG44199" s="256"/>
    </row>
    <row r="44200" spans="104:111">
      <c r="CZ44200" s="256"/>
      <c r="DG44200" s="256"/>
    </row>
    <row r="44201" spans="104:111">
      <c r="CZ44201" s="256"/>
      <c r="DG44201" s="256"/>
    </row>
    <row r="44202" spans="104:111">
      <c r="CZ44202" s="256"/>
      <c r="DG44202" s="256"/>
    </row>
    <row r="44203" spans="104:111">
      <c r="CZ44203" s="256"/>
      <c r="DG44203" s="256"/>
    </row>
    <row r="44204" spans="104:111">
      <c r="CZ44204" s="256"/>
      <c r="DG44204" s="256"/>
    </row>
    <row r="44205" spans="104:111">
      <c r="CZ44205" s="256"/>
      <c r="DG44205" s="256"/>
    </row>
    <row r="44206" spans="104:111">
      <c r="CZ44206" s="256"/>
      <c r="DG44206" s="256"/>
    </row>
    <row r="44207" spans="104:111">
      <c r="CZ44207" s="256"/>
      <c r="DG44207" s="256"/>
    </row>
    <row r="44208" spans="104:111">
      <c r="CZ44208" s="256"/>
      <c r="DG44208" s="256"/>
    </row>
    <row r="44209" spans="104:111">
      <c r="CZ44209" s="256"/>
      <c r="DG44209" s="256"/>
    </row>
    <row r="44210" spans="104:111">
      <c r="CZ44210" s="256"/>
      <c r="DG44210" s="256"/>
    </row>
    <row r="44211" spans="104:111">
      <c r="CZ44211" s="256"/>
      <c r="DG44211" s="256"/>
    </row>
    <row r="44212" spans="104:111">
      <c r="CZ44212" s="256"/>
      <c r="DG44212" s="256"/>
    </row>
    <row r="44213" spans="104:111">
      <c r="CZ44213" s="256"/>
      <c r="DG44213" s="256"/>
    </row>
    <row r="44214" spans="104:111">
      <c r="CZ44214" s="256"/>
      <c r="DG44214" s="256"/>
    </row>
    <row r="44215" spans="104:111">
      <c r="CZ44215" s="256"/>
      <c r="DG44215" s="256"/>
    </row>
    <row r="44216" spans="104:111">
      <c r="CZ44216" s="256"/>
      <c r="DG44216" s="256"/>
    </row>
    <row r="44217" spans="104:111">
      <c r="CZ44217" s="256"/>
      <c r="DG44217" s="256"/>
    </row>
    <row r="44218" spans="104:111">
      <c r="CZ44218" s="256"/>
      <c r="DG44218" s="256"/>
    </row>
    <row r="44219" spans="104:111">
      <c r="CZ44219" s="256"/>
      <c r="DG44219" s="256"/>
    </row>
    <row r="44220" spans="104:111">
      <c r="CZ44220" s="256"/>
      <c r="DG44220" s="256"/>
    </row>
    <row r="44221" spans="104:111">
      <c r="CZ44221" s="256"/>
      <c r="DG44221" s="256"/>
    </row>
    <row r="44222" spans="104:111">
      <c r="CZ44222" s="256"/>
      <c r="DG44222" s="256"/>
    </row>
    <row r="44223" spans="104:111">
      <c r="CZ44223" s="256"/>
      <c r="DG44223" s="256"/>
    </row>
    <row r="44224" spans="104:111">
      <c r="CZ44224" s="256"/>
      <c r="DG44224" s="256"/>
    </row>
    <row r="44225" spans="104:111">
      <c r="CZ44225" s="256"/>
      <c r="DG44225" s="256"/>
    </row>
    <row r="44226" spans="104:111">
      <c r="CZ44226" s="256"/>
      <c r="DG44226" s="256"/>
    </row>
    <row r="44227" spans="104:111">
      <c r="CZ44227" s="256"/>
      <c r="DG44227" s="256"/>
    </row>
    <row r="44228" spans="104:111">
      <c r="CZ44228" s="256"/>
      <c r="DG44228" s="256"/>
    </row>
    <row r="44229" spans="104:111">
      <c r="CZ44229" s="256"/>
      <c r="DG44229" s="256"/>
    </row>
    <row r="44230" spans="104:111">
      <c r="CZ44230" s="256"/>
      <c r="DG44230" s="256"/>
    </row>
    <row r="44231" spans="104:111">
      <c r="CZ44231" s="256"/>
      <c r="DG44231" s="256"/>
    </row>
    <row r="44232" spans="104:111">
      <c r="CZ44232" s="256"/>
      <c r="DG44232" s="256"/>
    </row>
    <row r="44233" spans="104:111">
      <c r="CZ44233" s="256"/>
      <c r="DG44233" s="256"/>
    </row>
    <row r="44234" spans="104:111">
      <c r="CZ44234" s="256"/>
      <c r="DG44234" s="256"/>
    </row>
    <row r="44235" spans="104:111">
      <c r="CZ44235" s="256"/>
      <c r="DG44235" s="256"/>
    </row>
    <row r="44236" spans="104:111">
      <c r="CZ44236" s="256"/>
      <c r="DG44236" s="256"/>
    </row>
    <row r="44237" spans="104:111">
      <c r="CZ44237" s="256"/>
      <c r="DG44237" s="256"/>
    </row>
    <row r="44238" spans="104:111">
      <c r="CZ44238" s="256"/>
      <c r="DG44238" s="256"/>
    </row>
    <row r="44239" spans="104:111">
      <c r="CZ44239" s="256"/>
      <c r="DG44239" s="256"/>
    </row>
    <row r="44240" spans="104:111">
      <c r="CZ44240" s="256"/>
      <c r="DG44240" s="256"/>
    </row>
    <row r="44241" spans="104:111">
      <c r="CZ44241" s="256"/>
      <c r="DG44241" s="256"/>
    </row>
    <row r="44242" spans="104:111">
      <c r="CZ44242" s="256"/>
      <c r="DG44242" s="256"/>
    </row>
    <row r="44243" spans="104:111">
      <c r="CZ44243" s="256"/>
      <c r="DG44243" s="256"/>
    </row>
    <row r="44244" spans="104:111">
      <c r="CZ44244" s="256"/>
      <c r="DG44244" s="256"/>
    </row>
    <row r="44245" spans="104:111">
      <c r="CZ44245" s="256"/>
      <c r="DG44245" s="256"/>
    </row>
    <row r="44246" spans="104:111">
      <c r="CZ44246" s="256"/>
      <c r="DG44246" s="256"/>
    </row>
    <row r="44247" spans="104:111">
      <c r="CZ44247" s="256"/>
      <c r="DG44247" s="256"/>
    </row>
    <row r="44248" spans="104:111">
      <c r="CZ44248" s="256"/>
      <c r="DG44248" s="256"/>
    </row>
    <row r="44249" spans="104:111">
      <c r="CZ44249" s="256"/>
      <c r="DG44249" s="256"/>
    </row>
    <row r="44250" spans="104:111">
      <c r="CZ44250" s="256"/>
      <c r="DG44250" s="256"/>
    </row>
    <row r="44251" spans="104:111">
      <c r="CZ44251" s="256"/>
      <c r="DG44251" s="256"/>
    </row>
    <row r="44252" spans="104:111">
      <c r="CZ44252" s="256"/>
      <c r="DG44252" s="256"/>
    </row>
    <row r="44253" spans="104:111">
      <c r="CZ44253" s="256"/>
      <c r="DG44253" s="256"/>
    </row>
    <row r="44254" spans="104:111">
      <c r="CZ44254" s="256"/>
      <c r="DG44254" s="256"/>
    </row>
    <row r="44255" spans="104:111">
      <c r="CZ44255" s="256"/>
      <c r="DG44255" s="256"/>
    </row>
    <row r="44256" spans="104:111">
      <c r="CZ44256" s="256"/>
      <c r="DG44256" s="256"/>
    </row>
    <row r="44257" spans="104:111">
      <c r="CZ44257" s="256"/>
      <c r="DG44257" s="256"/>
    </row>
    <row r="44258" spans="104:111">
      <c r="CZ44258" s="256"/>
      <c r="DG44258" s="256"/>
    </row>
    <row r="44259" spans="104:111">
      <c r="CZ44259" s="256"/>
      <c r="DG44259" s="256"/>
    </row>
    <row r="44260" spans="104:111">
      <c r="CZ44260" s="256"/>
      <c r="DG44260" s="256"/>
    </row>
    <row r="44261" spans="104:111">
      <c r="CZ44261" s="256"/>
      <c r="DG44261" s="256"/>
    </row>
    <row r="44262" spans="104:111">
      <c r="CZ44262" s="256"/>
      <c r="DG44262" s="256"/>
    </row>
    <row r="44263" spans="104:111">
      <c r="CZ44263" s="256"/>
      <c r="DG44263" s="256"/>
    </row>
    <row r="44264" spans="104:111">
      <c r="CZ44264" s="256"/>
      <c r="DG44264" s="256"/>
    </row>
    <row r="44265" spans="104:111">
      <c r="CZ44265" s="256"/>
      <c r="DG44265" s="256"/>
    </row>
    <row r="44266" spans="104:111">
      <c r="CZ44266" s="256"/>
      <c r="DG44266" s="256"/>
    </row>
    <row r="44267" spans="104:111">
      <c r="CZ44267" s="256"/>
      <c r="DG44267" s="256"/>
    </row>
    <row r="44268" spans="104:111">
      <c r="CZ44268" s="256"/>
      <c r="DG44268" s="256"/>
    </row>
    <row r="44269" spans="104:111">
      <c r="CZ44269" s="256"/>
      <c r="DG44269" s="256"/>
    </row>
    <row r="44270" spans="104:111">
      <c r="CZ44270" s="256"/>
      <c r="DG44270" s="256"/>
    </row>
    <row r="44271" spans="104:111">
      <c r="CZ44271" s="256"/>
      <c r="DG44271" s="256"/>
    </row>
    <row r="44272" spans="104:111">
      <c r="CZ44272" s="256"/>
      <c r="DG44272" s="256"/>
    </row>
    <row r="44273" spans="104:111">
      <c r="CZ44273" s="256"/>
      <c r="DG44273" s="256"/>
    </row>
    <row r="44274" spans="104:111">
      <c r="CZ44274" s="256"/>
      <c r="DG44274" s="256"/>
    </row>
    <row r="44275" spans="104:111">
      <c r="CZ44275" s="256"/>
      <c r="DG44275" s="256"/>
    </row>
    <row r="44276" spans="104:111">
      <c r="CZ44276" s="256"/>
      <c r="DG44276" s="256"/>
    </row>
    <row r="44277" spans="104:111">
      <c r="CZ44277" s="256"/>
      <c r="DG44277" s="256"/>
    </row>
    <row r="44278" spans="104:111">
      <c r="CZ44278" s="256"/>
      <c r="DG44278" s="256"/>
    </row>
    <row r="44279" spans="104:111">
      <c r="CZ44279" s="256"/>
      <c r="DG44279" s="256"/>
    </row>
    <row r="44280" spans="104:111">
      <c r="CZ44280" s="256"/>
      <c r="DG44280" s="256"/>
    </row>
    <row r="44281" spans="104:111">
      <c r="CZ44281" s="256"/>
      <c r="DG44281" s="256"/>
    </row>
    <row r="44282" spans="104:111">
      <c r="CZ44282" s="256"/>
      <c r="DG44282" s="256"/>
    </row>
    <row r="44283" spans="104:111">
      <c r="CZ44283" s="256"/>
      <c r="DG44283" s="256"/>
    </row>
    <row r="44284" spans="104:111">
      <c r="CZ44284" s="256"/>
      <c r="DG44284" s="256"/>
    </row>
    <row r="44285" spans="104:111">
      <c r="CZ44285" s="256"/>
      <c r="DG44285" s="256"/>
    </row>
    <row r="44286" spans="104:111">
      <c r="CZ44286" s="256"/>
      <c r="DG44286" s="256"/>
    </row>
    <row r="44287" spans="104:111">
      <c r="CZ44287" s="256"/>
      <c r="DG44287" s="256"/>
    </row>
    <row r="44288" spans="104:111">
      <c r="CZ44288" s="256"/>
      <c r="DG44288" s="256"/>
    </row>
    <row r="44289" spans="104:111">
      <c r="CZ44289" s="256"/>
      <c r="DG44289" s="256"/>
    </row>
    <row r="44290" spans="104:111">
      <c r="CZ44290" s="256"/>
      <c r="DG44290" s="256"/>
    </row>
    <row r="44291" spans="104:111">
      <c r="CZ44291" s="256"/>
      <c r="DG44291" s="256"/>
    </row>
    <row r="44292" spans="104:111">
      <c r="CZ44292" s="256"/>
      <c r="DG44292" s="256"/>
    </row>
    <row r="44293" spans="104:111">
      <c r="CZ44293" s="256"/>
      <c r="DG44293" s="256"/>
    </row>
    <row r="44294" spans="104:111">
      <c r="CZ44294" s="256"/>
      <c r="DG44294" s="256"/>
    </row>
    <row r="44295" spans="104:111">
      <c r="CZ44295" s="256"/>
      <c r="DG44295" s="256"/>
    </row>
    <row r="44296" spans="104:111">
      <c r="CZ44296" s="256"/>
      <c r="DG44296" s="256"/>
    </row>
    <row r="44297" spans="104:111">
      <c r="CZ44297" s="256"/>
      <c r="DG44297" s="256"/>
    </row>
    <row r="44298" spans="104:111">
      <c r="CZ44298" s="256"/>
      <c r="DG44298" s="256"/>
    </row>
    <row r="44299" spans="104:111">
      <c r="CZ44299" s="256"/>
      <c r="DG44299" s="256"/>
    </row>
    <row r="44300" spans="104:111">
      <c r="CZ44300" s="256"/>
      <c r="DG44300" s="256"/>
    </row>
    <row r="44301" spans="104:111">
      <c r="CZ44301" s="256"/>
      <c r="DG44301" s="256"/>
    </row>
    <row r="44302" spans="104:111">
      <c r="CZ44302" s="256"/>
      <c r="DG44302" s="256"/>
    </row>
    <row r="44303" spans="104:111">
      <c r="CZ44303" s="256"/>
      <c r="DG44303" s="256"/>
    </row>
    <row r="44304" spans="104:111">
      <c r="CZ44304" s="256"/>
      <c r="DG44304" s="256"/>
    </row>
    <row r="44305" spans="104:111">
      <c r="CZ44305" s="256"/>
      <c r="DG44305" s="256"/>
    </row>
    <row r="44306" spans="104:111">
      <c r="CZ44306" s="256"/>
      <c r="DG44306" s="256"/>
    </row>
    <row r="44307" spans="104:111">
      <c r="CZ44307" s="256"/>
      <c r="DG44307" s="256"/>
    </row>
    <row r="44308" spans="104:111">
      <c r="CZ44308" s="256"/>
      <c r="DG44308" s="256"/>
    </row>
    <row r="44309" spans="104:111">
      <c r="CZ44309" s="256"/>
      <c r="DG44309" s="256"/>
    </row>
    <row r="44310" spans="104:111">
      <c r="CZ44310" s="256"/>
      <c r="DG44310" s="256"/>
    </row>
    <row r="44311" spans="104:111">
      <c r="CZ44311" s="256"/>
      <c r="DG44311" s="256"/>
    </row>
    <row r="44312" spans="104:111">
      <c r="CZ44312" s="256"/>
      <c r="DG44312" s="256"/>
    </row>
    <row r="44313" spans="104:111">
      <c r="CZ44313" s="256"/>
      <c r="DG44313" s="256"/>
    </row>
    <row r="44314" spans="104:111">
      <c r="CZ44314" s="256"/>
      <c r="DG44314" s="256"/>
    </row>
    <row r="44315" spans="104:111">
      <c r="CZ44315" s="256"/>
      <c r="DG44315" s="256"/>
    </row>
    <row r="44316" spans="104:111">
      <c r="CZ44316" s="256"/>
      <c r="DG44316" s="256"/>
    </row>
    <row r="44317" spans="104:111">
      <c r="CZ44317" s="256"/>
      <c r="DG44317" s="256"/>
    </row>
    <row r="44318" spans="104:111">
      <c r="CZ44318" s="256"/>
      <c r="DG44318" s="256"/>
    </row>
    <row r="44319" spans="104:111">
      <c r="CZ44319" s="256"/>
      <c r="DG44319" s="256"/>
    </row>
    <row r="44320" spans="104:111">
      <c r="CZ44320" s="256"/>
      <c r="DG44320" s="256"/>
    </row>
    <row r="44321" spans="104:111">
      <c r="CZ44321" s="256"/>
      <c r="DG44321" s="256"/>
    </row>
    <row r="44322" spans="104:111">
      <c r="CZ44322" s="256"/>
      <c r="DG44322" s="256"/>
    </row>
    <row r="44323" spans="104:111">
      <c r="CZ44323" s="256"/>
      <c r="DG44323" s="256"/>
    </row>
    <row r="44324" spans="104:111">
      <c r="CZ44324" s="256"/>
      <c r="DG44324" s="256"/>
    </row>
    <row r="44325" spans="104:111">
      <c r="CZ44325" s="256"/>
      <c r="DG44325" s="256"/>
    </row>
    <row r="44326" spans="104:111">
      <c r="CZ44326" s="256"/>
      <c r="DG44326" s="256"/>
    </row>
    <row r="44327" spans="104:111">
      <c r="CZ44327" s="256"/>
      <c r="DG44327" s="256"/>
    </row>
    <row r="44328" spans="104:111">
      <c r="CZ44328" s="256"/>
      <c r="DG44328" s="256"/>
    </row>
    <row r="44329" spans="104:111">
      <c r="CZ44329" s="256"/>
      <c r="DG44329" s="256"/>
    </row>
    <row r="44330" spans="104:111">
      <c r="CZ44330" s="256"/>
      <c r="DG44330" s="256"/>
    </row>
    <row r="44331" spans="104:111">
      <c r="CZ44331" s="256"/>
      <c r="DG44331" s="256"/>
    </row>
    <row r="44332" spans="104:111">
      <c r="CZ44332" s="256"/>
      <c r="DG44332" s="256"/>
    </row>
    <row r="44333" spans="104:111">
      <c r="CZ44333" s="256"/>
      <c r="DG44333" s="256"/>
    </row>
    <row r="44334" spans="104:111">
      <c r="CZ44334" s="256"/>
      <c r="DG44334" s="256"/>
    </row>
    <row r="44335" spans="104:111">
      <c r="CZ44335" s="256"/>
      <c r="DG44335" s="256"/>
    </row>
    <row r="44336" spans="104:111">
      <c r="CZ44336" s="256"/>
      <c r="DG44336" s="256"/>
    </row>
    <row r="44337" spans="104:111">
      <c r="CZ44337" s="256"/>
      <c r="DG44337" s="256"/>
    </row>
    <row r="44338" spans="104:111">
      <c r="CZ44338" s="256"/>
      <c r="DG44338" s="256"/>
    </row>
    <row r="44339" spans="104:111">
      <c r="CZ44339" s="256"/>
      <c r="DG44339" s="256"/>
    </row>
    <row r="44340" spans="104:111">
      <c r="CZ44340" s="256"/>
      <c r="DG44340" s="256"/>
    </row>
    <row r="44341" spans="104:111">
      <c r="CZ44341" s="256"/>
      <c r="DG44341" s="256"/>
    </row>
    <row r="44342" spans="104:111">
      <c r="CZ44342" s="256"/>
      <c r="DG44342" s="256"/>
    </row>
    <row r="44343" spans="104:111">
      <c r="CZ44343" s="256"/>
      <c r="DG44343" s="256"/>
    </row>
    <row r="44344" spans="104:111">
      <c r="CZ44344" s="256"/>
      <c r="DG44344" s="256"/>
    </row>
    <row r="44345" spans="104:111">
      <c r="CZ44345" s="256"/>
      <c r="DG44345" s="256"/>
    </row>
    <row r="44346" spans="104:111">
      <c r="CZ44346" s="256"/>
      <c r="DG44346" s="256"/>
    </row>
    <row r="44347" spans="104:111">
      <c r="CZ44347" s="256"/>
      <c r="DG44347" s="256"/>
    </row>
    <row r="44348" spans="104:111">
      <c r="CZ44348" s="256"/>
      <c r="DG44348" s="256"/>
    </row>
    <row r="44349" spans="104:111">
      <c r="CZ44349" s="256"/>
      <c r="DG44349" s="256"/>
    </row>
    <row r="44350" spans="104:111">
      <c r="CZ44350" s="256"/>
      <c r="DG44350" s="256"/>
    </row>
    <row r="44351" spans="104:111">
      <c r="CZ44351" s="256"/>
      <c r="DG44351" s="256"/>
    </row>
    <row r="44352" spans="104:111">
      <c r="CZ44352" s="256"/>
      <c r="DG44352" s="256"/>
    </row>
    <row r="44353" spans="104:111">
      <c r="CZ44353" s="256"/>
      <c r="DG44353" s="256"/>
    </row>
    <row r="44354" spans="104:111">
      <c r="CZ44354" s="256"/>
      <c r="DG44354" s="256"/>
    </row>
    <row r="44355" spans="104:111">
      <c r="CZ44355" s="256"/>
      <c r="DG44355" s="256"/>
    </row>
    <row r="44356" spans="104:111">
      <c r="CZ44356" s="256"/>
      <c r="DG44356" s="256"/>
    </row>
    <row r="44357" spans="104:111">
      <c r="CZ44357" s="256"/>
      <c r="DG44357" s="256"/>
    </row>
    <row r="44358" spans="104:111">
      <c r="CZ44358" s="256"/>
      <c r="DG44358" s="256"/>
    </row>
    <row r="44359" spans="104:111">
      <c r="CZ44359" s="256"/>
      <c r="DG44359" s="256"/>
    </row>
    <row r="44360" spans="104:111">
      <c r="CZ44360" s="256"/>
      <c r="DG44360" s="256"/>
    </row>
    <row r="44361" spans="104:111">
      <c r="CZ44361" s="256"/>
      <c r="DG44361" s="256"/>
    </row>
    <row r="44362" spans="104:111">
      <c r="CZ44362" s="256"/>
      <c r="DG44362" s="256"/>
    </row>
    <row r="44363" spans="104:111">
      <c r="CZ44363" s="256"/>
      <c r="DG44363" s="256"/>
    </row>
    <row r="44364" spans="104:111">
      <c r="CZ44364" s="256"/>
      <c r="DG44364" s="256"/>
    </row>
    <row r="44365" spans="104:111">
      <c r="CZ44365" s="256"/>
      <c r="DG44365" s="256"/>
    </row>
    <row r="44366" spans="104:111">
      <c r="CZ44366" s="256"/>
      <c r="DG44366" s="256"/>
    </row>
    <row r="44367" spans="104:111">
      <c r="CZ44367" s="256"/>
      <c r="DG44367" s="256"/>
    </row>
    <row r="44368" spans="104:111">
      <c r="CZ44368" s="256"/>
      <c r="DG44368" s="256"/>
    </row>
    <row r="44369" spans="104:111">
      <c r="CZ44369" s="256"/>
      <c r="DG44369" s="256"/>
    </row>
    <row r="44370" spans="104:111">
      <c r="CZ44370" s="256"/>
      <c r="DG44370" s="256"/>
    </row>
    <row r="44371" spans="104:111">
      <c r="CZ44371" s="256"/>
      <c r="DG44371" s="256"/>
    </row>
    <row r="44372" spans="104:111">
      <c r="CZ44372" s="256"/>
      <c r="DG44372" s="256"/>
    </row>
    <row r="44373" spans="104:111">
      <c r="CZ44373" s="256"/>
      <c r="DG44373" s="256"/>
    </row>
    <row r="44374" spans="104:111">
      <c r="CZ44374" s="256"/>
      <c r="DG44374" s="256"/>
    </row>
    <row r="44375" spans="104:111">
      <c r="CZ44375" s="256"/>
      <c r="DG44375" s="256"/>
    </row>
    <row r="44376" spans="104:111">
      <c r="CZ44376" s="256"/>
      <c r="DG44376" s="256"/>
    </row>
    <row r="44377" spans="104:111">
      <c r="CZ44377" s="256"/>
      <c r="DG44377" s="256"/>
    </row>
    <row r="44378" spans="104:111">
      <c r="CZ44378" s="256"/>
      <c r="DG44378" s="256"/>
    </row>
    <row r="44379" spans="104:111">
      <c r="CZ44379" s="256"/>
      <c r="DG44379" s="256"/>
    </row>
    <row r="44380" spans="104:111">
      <c r="CZ44380" s="256"/>
      <c r="DG44380" s="256"/>
    </row>
    <row r="44381" spans="104:111">
      <c r="CZ44381" s="256"/>
      <c r="DG44381" s="256"/>
    </row>
    <row r="44382" spans="104:111">
      <c r="CZ44382" s="256"/>
      <c r="DG44382" s="256"/>
    </row>
    <row r="44383" spans="104:111">
      <c r="CZ44383" s="256"/>
      <c r="DG44383" s="256"/>
    </row>
    <row r="44384" spans="104:111">
      <c r="CZ44384" s="256"/>
      <c r="DG44384" s="256"/>
    </row>
    <row r="44385" spans="104:111">
      <c r="CZ44385" s="256"/>
      <c r="DG44385" s="256"/>
    </row>
    <row r="44386" spans="104:111">
      <c r="CZ44386" s="256"/>
      <c r="DG44386" s="256"/>
    </row>
    <row r="44387" spans="104:111">
      <c r="CZ44387" s="256"/>
      <c r="DG44387" s="256"/>
    </row>
    <row r="44388" spans="104:111">
      <c r="CZ44388" s="256"/>
      <c r="DG44388" s="256"/>
    </row>
    <row r="44389" spans="104:111">
      <c r="CZ44389" s="256"/>
      <c r="DG44389" s="256"/>
    </row>
    <row r="44390" spans="104:111">
      <c r="CZ44390" s="256"/>
      <c r="DG44390" s="256"/>
    </row>
    <row r="44391" spans="104:111">
      <c r="CZ44391" s="256"/>
      <c r="DG44391" s="256"/>
    </row>
    <row r="44392" spans="104:111">
      <c r="CZ44392" s="256"/>
      <c r="DG44392" s="256"/>
    </row>
    <row r="44393" spans="104:111">
      <c r="CZ44393" s="256"/>
      <c r="DG44393" s="256"/>
    </row>
    <row r="44394" spans="104:111">
      <c r="CZ44394" s="256"/>
      <c r="DG44394" s="256"/>
    </row>
    <row r="44395" spans="104:111">
      <c r="CZ44395" s="256"/>
      <c r="DG44395" s="256"/>
    </row>
    <row r="44396" spans="104:111">
      <c r="CZ44396" s="256"/>
      <c r="DG44396" s="256"/>
    </row>
    <row r="44397" spans="104:111">
      <c r="CZ44397" s="256"/>
      <c r="DG44397" s="256"/>
    </row>
    <row r="44398" spans="104:111">
      <c r="CZ44398" s="256"/>
      <c r="DG44398" s="256"/>
    </row>
    <row r="44399" spans="104:111">
      <c r="CZ44399" s="256"/>
      <c r="DG44399" s="256"/>
    </row>
    <row r="44400" spans="104:111">
      <c r="CZ44400" s="256"/>
      <c r="DG44400" s="256"/>
    </row>
    <row r="44401" spans="104:111">
      <c r="CZ44401" s="256"/>
      <c r="DG44401" s="256"/>
    </row>
    <row r="44402" spans="104:111">
      <c r="CZ44402" s="256"/>
      <c r="DG44402" s="256"/>
    </row>
    <row r="44403" spans="104:111">
      <c r="CZ44403" s="256"/>
      <c r="DG44403" s="256"/>
    </row>
    <row r="44404" spans="104:111">
      <c r="CZ44404" s="256"/>
      <c r="DG44404" s="256"/>
    </row>
    <row r="44405" spans="104:111">
      <c r="CZ44405" s="256"/>
      <c r="DG44405" s="256"/>
    </row>
    <row r="44406" spans="104:111">
      <c r="CZ44406" s="256"/>
      <c r="DG44406" s="256"/>
    </row>
    <row r="44407" spans="104:111">
      <c r="CZ44407" s="256"/>
      <c r="DG44407" s="256"/>
    </row>
    <row r="44408" spans="104:111">
      <c r="CZ44408" s="256"/>
      <c r="DG44408" s="256"/>
    </row>
    <row r="44409" spans="104:111">
      <c r="CZ44409" s="256"/>
      <c r="DG44409" s="256"/>
    </row>
    <row r="44410" spans="104:111">
      <c r="CZ44410" s="256"/>
      <c r="DG44410" s="256"/>
    </row>
    <row r="44411" spans="104:111">
      <c r="CZ44411" s="256"/>
      <c r="DG44411" s="256"/>
    </row>
    <row r="44412" spans="104:111">
      <c r="CZ44412" s="256"/>
      <c r="DG44412" s="256"/>
    </row>
    <row r="44413" spans="104:111">
      <c r="CZ44413" s="256"/>
      <c r="DG44413" s="256"/>
    </row>
    <row r="44414" spans="104:111">
      <c r="CZ44414" s="256"/>
      <c r="DG44414" s="256"/>
    </row>
    <row r="44415" spans="104:111">
      <c r="CZ44415" s="256"/>
      <c r="DG44415" s="256"/>
    </row>
    <row r="44416" spans="104:111">
      <c r="CZ44416" s="256"/>
      <c r="DG44416" s="256"/>
    </row>
    <row r="44417" spans="104:111">
      <c r="CZ44417" s="256"/>
      <c r="DG44417" s="256"/>
    </row>
    <row r="44418" spans="104:111">
      <c r="CZ44418" s="256"/>
      <c r="DG44418" s="256"/>
    </row>
    <row r="44419" spans="104:111">
      <c r="CZ44419" s="256"/>
      <c r="DG44419" s="256"/>
    </row>
    <row r="44420" spans="104:111">
      <c r="CZ44420" s="256"/>
      <c r="DG44420" s="256"/>
    </row>
    <row r="44421" spans="104:111">
      <c r="CZ44421" s="256"/>
      <c r="DG44421" s="256"/>
    </row>
    <row r="44422" spans="104:111">
      <c r="CZ44422" s="256"/>
      <c r="DG44422" s="256"/>
    </row>
    <row r="44423" spans="104:111">
      <c r="CZ44423" s="256"/>
      <c r="DG44423" s="256"/>
    </row>
    <row r="44424" spans="104:111">
      <c r="CZ44424" s="256"/>
      <c r="DG44424" s="256"/>
    </row>
    <row r="44425" spans="104:111">
      <c r="CZ44425" s="256"/>
      <c r="DG44425" s="256"/>
    </row>
    <row r="44426" spans="104:111">
      <c r="CZ44426" s="256"/>
      <c r="DG44426" s="256"/>
    </row>
    <row r="44427" spans="104:111">
      <c r="CZ44427" s="256"/>
      <c r="DG44427" s="256"/>
    </row>
    <row r="44428" spans="104:111">
      <c r="CZ44428" s="256"/>
      <c r="DG44428" s="256"/>
    </row>
    <row r="44429" spans="104:111">
      <c r="CZ44429" s="256"/>
      <c r="DG44429" s="256"/>
    </row>
    <row r="44430" spans="104:111">
      <c r="CZ44430" s="256"/>
      <c r="DG44430" s="256"/>
    </row>
    <row r="44431" spans="104:111">
      <c r="CZ44431" s="256"/>
      <c r="DG44431" s="256"/>
    </row>
    <row r="44432" spans="104:111">
      <c r="CZ44432" s="256"/>
      <c r="DG44432" s="256"/>
    </row>
    <row r="44433" spans="104:111">
      <c r="CZ44433" s="256"/>
      <c r="DG44433" s="256"/>
    </row>
    <row r="44434" spans="104:111">
      <c r="CZ44434" s="256"/>
      <c r="DG44434" s="256"/>
    </row>
    <row r="44435" spans="104:111">
      <c r="CZ44435" s="256"/>
      <c r="DG44435" s="256"/>
    </row>
    <row r="44436" spans="104:111">
      <c r="CZ44436" s="256"/>
      <c r="DG44436" s="256"/>
    </row>
    <row r="44437" spans="104:111">
      <c r="CZ44437" s="256"/>
      <c r="DG44437" s="256"/>
    </row>
    <row r="44438" spans="104:111">
      <c r="CZ44438" s="256"/>
      <c r="DG44438" s="256"/>
    </row>
    <row r="44439" spans="104:111">
      <c r="CZ44439" s="256"/>
      <c r="DG44439" s="256"/>
    </row>
    <row r="44440" spans="104:111">
      <c r="CZ44440" s="256"/>
      <c r="DG44440" s="256"/>
    </row>
    <row r="44441" spans="104:111">
      <c r="CZ44441" s="256"/>
      <c r="DG44441" s="256"/>
    </row>
    <row r="44442" spans="104:111">
      <c r="CZ44442" s="256"/>
      <c r="DG44442" s="256"/>
    </row>
    <row r="44443" spans="104:111">
      <c r="CZ44443" s="256"/>
      <c r="DG44443" s="256"/>
    </row>
    <row r="44444" spans="104:111">
      <c r="CZ44444" s="256"/>
      <c r="DG44444" s="256"/>
    </row>
    <row r="44445" spans="104:111">
      <c r="CZ44445" s="256"/>
      <c r="DG44445" s="256"/>
    </row>
    <row r="44446" spans="104:111">
      <c r="CZ44446" s="256"/>
      <c r="DG44446" s="256"/>
    </row>
    <row r="44447" spans="104:111">
      <c r="CZ44447" s="256"/>
      <c r="DG44447" s="256"/>
    </row>
    <row r="44448" spans="104:111">
      <c r="CZ44448" s="256"/>
      <c r="DG44448" s="256"/>
    </row>
    <row r="44449" spans="104:111">
      <c r="CZ44449" s="256"/>
      <c r="DG44449" s="256"/>
    </row>
    <row r="44450" spans="104:111">
      <c r="CZ44450" s="256"/>
      <c r="DG44450" s="256"/>
    </row>
    <row r="44451" spans="104:111">
      <c r="CZ44451" s="256"/>
      <c r="DG44451" s="256"/>
    </row>
    <row r="44452" spans="104:111">
      <c r="CZ44452" s="256"/>
      <c r="DG44452" s="256"/>
    </row>
    <row r="44453" spans="104:111">
      <c r="CZ44453" s="256"/>
      <c r="DG44453" s="256"/>
    </row>
    <row r="44454" spans="104:111">
      <c r="CZ44454" s="256"/>
      <c r="DG44454" s="256"/>
    </row>
    <row r="44455" spans="104:111">
      <c r="CZ44455" s="256"/>
      <c r="DG44455" s="256"/>
    </row>
    <row r="44456" spans="104:111">
      <c r="CZ44456" s="256"/>
      <c r="DG44456" s="256"/>
    </row>
    <row r="44457" spans="104:111">
      <c r="CZ44457" s="256"/>
      <c r="DG44457" s="256"/>
    </row>
    <row r="44458" spans="104:111">
      <c r="CZ44458" s="256"/>
      <c r="DG44458" s="256"/>
    </row>
    <row r="44459" spans="104:111">
      <c r="CZ44459" s="256"/>
      <c r="DG44459" s="256"/>
    </row>
    <row r="44460" spans="104:111">
      <c r="CZ44460" s="256"/>
      <c r="DG44460" s="256"/>
    </row>
    <row r="44461" spans="104:111">
      <c r="CZ44461" s="256"/>
      <c r="DG44461" s="256"/>
    </row>
    <row r="44462" spans="104:111">
      <c r="CZ44462" s="256"/>
      <c r="DG44462" s="256"/>
    </row>
    <row r="44463" spans="104:111">
      <c r="CZ44463" s="256"/>
      <c r="DG44463" s="256"/>
    </row>
    <row r="44464" spans="104:111">
      <c r="CZ44464" s="256"/>
      <c r="DG44464" s="256"/>
    </row>
    <row r="44465" spans="104:111">
      <c r="CZ44465" s="256"/>
      <c r="DG44465" s="256"/>
    </row>
    <row r="44466" spans="104:111">
      <c r="CZ44466" s="256"/>
      <c r="DG44466" s="256"/>
    </row>
    <row r="44467" spans="104:111">
      <c r="CZ44467" s="256"/>
      <c r="DG44467" s="256"/>
    </row>
    <row r="44468" spans="104:111">
      <c r="CZ44468" s="256"/>
      <c r="DG44468" s="256"/>
    </row>
    <row r="44469" spans="104:111">
      <c r="CZ44469" s="256"/>
      <c r="DG44469" s="256"/>
    </row>
    <row r="44470" spans="104:111">
      <c r="CZ44470" s="256"/>
      <c r="DG44470" s="256"/>
    </row>
    <row r="44471" spans="104:111">
      <c r="CZ44471" s="256"/>
      <c r="DG44471" s="256"/>
    </row>
    <row r="44472" spans="104:111">
      <c r="CZ44472" s="256"/>
      <c r="DG44472" s="256"/>
    </row>
    <row r="44473" spans="104:111">
      <c r="CZ44473" s="256"/>
      <c r="DG44473" s="256"/>
    </row>
    <row r="44474" spans="104:111">
      <c r="CZ44474" s="256"/>
      <c r="DG44474" s="256"/>
    </row>
    <row r="44475" spans="104:111">
      <c r="CZ44475" s="256"/>
      <c r="DG44475" s="256"/>
    </row>
    <row r="44476" spans="104:111">
      <c r="CZ44476" s="256"/>
      <c r="DG44476" s="256"/>
    </row>
    <row r="44477" spans="104:111">
      <c r="CZ44477" s="256"/>
      <c r="DG44477" s="256"/>
    </row>
    <row r="44478" spans="104:111">
      <c r="CZ44478" s="256"/>
      <c r="DG44478" s="256"/>
    </row>
    <row r="44479" spans="104:111">
      <c r="CZ44479" s="256"/>
      <c r="DG44479" s="256"/>
    </row>
    <row r="44480" spans="104:111">
      <c r="CZ44480" s="256"/>
      <c r="DG44480" s="256"/>
    </row>
    <row r="44481" spans="104:111">
      <c r="CZ44481" s="256"/>
      <c r="DG44481" s="256"/>
    </row>
    <row r="44482" spans="104:111">
      <c r="CZ44482" s="256"/>
      <c r="DG44482" s="256"/>
    </row>
    <row r="44483" spans="104:111">
      <c r="CZ44483" s="256"/>
      <c r="DG44483" s="256"/>
    </row>
    <row r="44484" spans="104:111">
      <c r="CZ44484" s="256"/>
      <c r="DG44484" s="256"/>
    </row>
    <row r="44485" spans="104:111">
      <c r="CZ44485" s="256"/>
      <c r="DG44485" s="256"/>
    </row>
    <row r="44486" spans="104:111">
      <c r="CZ44486" s="256"/>
      <c r="DG44486" s="256"/>
    </row>
    <row r="44487" spans="104:111">
      <c r="CZ44487" s="256"/>
      <c r="DG44487" s="256"/>
    </row>
    <row r="44488" spans="104:111">
      <c r="CZ44488" s="256"/>
      <c r="DG44488" s="256"/>
    </row>
    <row r="44489" spans="104:111">
      <c r="CZ44489" s="256"/>
      <c r="DG44489" s="256"/>
    </row>
    <row r="44490" spans="104:111">
      <c r="CZ44490" s="256"/>
      <c r="DG44490" s="256"/>
    </row>
    <row r="44491" spans="104:111">
      <c r="CZ44491" s="256"/>
      <c r="DG44491" s="256"/>
    </row>
    <row r="44492" spans="104:111">
      <c r="CZ44492" s="256"/>
      <c r="DG44492" s="256"/>
    </row>
    <row r="44493" spans="104:111">
      <c r="CZ44493" s="256"/>
      <c r="DG44493" s="256"/>
    </row>
    <row r="44494" spans="104:111">
      <c r="CZ44494" s="256"/>
      <c r="DG44494" s="256"/>
    </row>
    <row r="44495" spans="104:111">
      <c r="CZ44495" s="256"/>
      <c r="DG44495" s="256"/>
    </row>
    <row r="44496" spans="104:111">
      <c r="CZ44496" s="256"/>
      <c r="DG44496" s="256"/>
    </row>
    <row r="44497" spans="104:111">
      <c r="CZ44497" s="256"/>
      <c r="DG44497" s="256"/>
    </row>
    <row r="44498" spans="104:111">
      <c r="CZ44498" s="256"/>
      <c r="DG44498" s="256"/>
    </row>
    <row r="44499" spans="104:111">
      <c r="CZ44499" s="256"/>
      <c r="DG44499" s="256"/>
    </row>
    <row r="44500" spans="104:111">
      <c r="CZ44500" s="256"/>
      <c r="DG44500" s="256"/>
    </row>
    <row r="44501" spans="104:111">
      <c r="CZ44501" s="256"/>
      <c r="DG44501" s="256"/>
    </row>
    <row r="44502" spans="104:111">
      <c r="CZ44502" s="256"/>
      <c r="DG44502" s="256"/>
    </row>
    <row r="44503" spans="104:111">
      <c r="CZ44503" s="256"/>
      <c r="DG44503" s="256"/>
    </row>
    <row r="44504" spans="104:111">
      <c r="CZ44504" s="256"/>
      <c r="DG44504" s="256"/>
    </row>
    <row r="44505" spans="104:111">
      <c r="CZ44505" s="256"/>
      <c r="DG44505" s="256"/>
    </row>
    <row r="44506" spans="104:111">
      <c r="CZ44506" s="256"/>
      <c r="DG44506" s="256"/>
    </row>
    <row r="44507" spans="104:111">
      <c r="CZ44507" s="256"/>
      <c r="DG44507" s="256"/>
    </row>
    <row r="44508" spans="104:111">
      <c r="CZ44508" s="256"/>
      <c r="DG44508" s="256"/>
    </row>
    <row r="44509" spans="104:111">
      <c r="CZ44509" s="256"/>
      <c r="DG44509" s="256"/>
    </row>
    <row r="44510" spans="104:111">
      <c r="CZ44510" s="256"/>
      <c r="DG44510" s="256"/>
    </row>
    <row r="44511" spans="104:111">
      <c r="CZ44511" s="256"/>
      <c r="DG44511" s="256"/>
    </row>
    <row r="44512" spans="104:111">
      <c r="CZ44512" s="256"/>
      <c r="DG44512" s="256"/>
    </row>
    <row r="44513" spans="104:111">
      <c r="CZ44513" s="256"/>
      <c r="DG44513" s="256"/>
    </row>
    <row r="44514" spans="104:111">
      <c r="CZ44514" s="256"/>
      <c r="DG44514" s="256"/>
    </row>
    <row r="44515" spans="104:111">
      <c r="CZ44515" s="256"/>
      <c r="DG44515" s="256"/>
    </row>
    <row r="44516" spans="104:111">
      <c r="CZ44516" s="256"/>
      <c r="DG44516" s="256"/>
    </row>
    <row r="44517" spans="104:111">
      <c r="CZ44517" s="256"/>
      <c r="DG44517" s="256"/>
    </row>
    <row r="44518" spans="104:111">
      <c r="CZ44518" s="256"/>
      <c r="DG44518" s="256"/>
    </row>
    <row r="44519" spans="104:111">
      <c r="CZ44519" s="256"/>
      <c r="DG44519" s="256"/>
    </row>
    <row r="44520" spans="104:111">
      <c r="CZ44520" s="256"/>
      <c r="DG44520" s="256"/>
    </row>
    <row r="44521" spans="104:111">
      <c r="CZ44521" s="256"/>
      <c r="DG44521" s="256"/>
    </row>
    <row r="44522" spans="104:111">
      <c r="CZ44522" s="256"/>
      <c r="DG44522" s="256"/>
    </row>
    <row r="44523" spans="104:111">
      <c r="CZ44523" s="256"/>
      <c r="DG44523" s="256"/>
    </row>
    <row r="44524" spans="104:111">
      <c r="CZ44524" s="256"/>
      <c r="DG44524" s="256"/>
    </row>
    <row r="44525" spans="104:111">
      <c r="CZ44525" s="256"/>
      <c r="DG44525" s="256"/>
    </row>
    <row r="44526" spans="104:111">
      <c r="CZ44526" s="256"/>
      <c r="DG44526" s="256"/>
    </row>
    <row r="44527" spans="104:111">
      <c r="CZ44527" s="256"/>
      <c r="DG44527" s="256"/>
    </row>
    <row r="44528" spans="104:111">
      <c r="CZ44528" s="256"/>
      <c r="DG44528" s="256"/>
    </row>
    <row r="44529" spans="104:111">
      <c r="CZ44529" s="256"/>
      <c r="DG44529" s="256"/>
    </row>
    <row r="44530" spans="104:111">
      <c r="CZ44530" s="256"/>
      <c r="DG44530" s="256"/>
    </row>
    <row r="44531" spans="104:111">
      <c r="CZ44531" s="256"/>
      <c r="DG44531" s="256"/>
    </row>
    <row r="44532" spans="104:111">
      <c r="CZ44532" s="256"/>
      <c r="DG44532" s="256"/>
    </row>
    <row r="44533" spans="104:111">
      <c r="CZ44533" s="256"/>
      <c r="DG44533" s="256"/>
    </row>
    <row r="44534" spans="104:111">
      <c r="CZ44534" s="256"/>
      <c r="DG44534" s="256"/>
    </row>
    <row r="44535" spans="104:111">
      <c r="CZ44535" s="256"/>
      <c r="DG44535" s="256"/>
    </row>
    <row r="44536" spans="104:111">
      <c r="CZ44536" s="256"/>
      <c r="DG44536" s="256"/>
    </row>
    <row r="44537" spans="104:111">
      <c r="CZ44537" s="256"/>
      <c r="DG44537" s="256"/>
    </row>
    <row r="44538" spans="104:111">
      <c r="CZ44538" s="256"/>
      <c r="DG44538" s="256"/>
    </row>
    <row r="44539" spans="104:111">
      <c r="CZ44539" s="256"/>
      <c r="DG44539" s="256"/>
    </row>
    <row r="44540" spans="104:111">
      <c r="CZ44540" s="256"/>
      <c r="DG44540" s="256"/>
    </row>
    <row r="44541" spans="104:111">
      <c r="CZ44541" s="256"/>
      <c r="DG44541" s="256"/>
    </row>
    <row r="44542" spans="104:111">
      <c r="CZ44542" s="256"/>
      <c r="DG44542" s="256"/>
    </row>
    <row r="44543" spans="104:111">
      <c r="CZ44543" s="256"/>
      <c r="DG44543" s="256"/>
    </row>
    <row r="44544" spans="104:111">
      <c r="CZ44544" s="256"/>
      <c r="DG44544" s="256"/>
    </row>
    <row r="44545" spans="104:111">
      <c r="CZ44545" s="256"/>
      <c r="DG44545" s="256"/>
    </row>
    <row r="44546" spans="104:111">
      <c r="CZ44546" s="256"/>
      <c r="DG44546" s="256"/>
    </row>
    <row r="44547" spans="104:111">
      <c r="CZ44547" s="256"/>
      <c r="DG44547" s="256"/>
    </row>
    <row r="44548" spans="104:111">
      <c r="CZ44548" s="256"/>
      <c r="DG44548" s="256"/>
    </row>
    <row r="44549" spans="104:111">
      <c r="CZ44549" s="256"/>
      <c r="DG44549" s="256"/>
    </row>
    <row r="44550" spans="104:111">
      <c r="CZ44550" s="256"/>
      <c r="DG44550" s="256"/>
    </row>
    <row r="44551" spans="104:111">
      <c r="CZ44551" s="256"/>
      <c r="DG44551" s="256"/>
    </row>
    <row r="44552" spans="104:111">
      <c r="CZ44552" s="256"/>
      <c r="DG44552" s="256"/>
    </row>
    <row r="44553" spans="104:111">
      <c r="CZ44553" s="256"/>
      <c r="DG44553" s="256"/>
    </row>
    <row r="44554" spans="104:111">
      <c r="CZ44554" s="256"/>
      <c r="DG44554" s="256"/>
    </row>
    <row r="44555" spans="104:111">
      <c r="CZ44555" s="256"/>
      <c r="DG44555" s="256"/>
    </row>
    <row r="44556" spans="104:111">
      <c r="CZ44556" s="256"/>
      <c r="DG44556" s="256"/>
    </row>
    <row r="44557" spans="104:111">
      <c r="CZ44557" s="256"/>
      <c r="DG44557" s="256"/>
    </row>
    <row r="44558" spans="104:111">
      <c r="CZ44558" s="256"/>
      <c r="DG44558" s="256"/>
    </row>
    <row r="44559" spans="104:111">
      <c r="CZ44559" s="256"/>
      <c r="DG44559" s="256"/>
    </row>
    <row r="44560" spans="104:111">
      <c r="CZ44560" s="256"/>
      <c r="DG44560" s="256"/>
    </row>
    <row r="44561" spans="104:111">
      <c r="CZ44561" s="256"/>
      <c r="DG44561" s="256"/>
    </row>
    <row r="44562" spans="104:111">
      <c r="CZ44562" s="256"/>
      <c r="DG44562" s="256"/>
    </row>
    <row r="44563" spans="104:111">
      <c r="CZ44563" s="256"/>
      <c r="DG44563" s="256"/>
    </row>
    <row r="44564" spans="104:111">
      <c r="CZ44564" s="256"/>
      <c r="DG44564" s="256"/>
    </row>
    <row r="44565" spans="104:111">
      <c r="CZ44565" s="256"/>
      <c r="DG44565" s="256"/>
    </row>
    <row r="44566" spans="104:111">
      <c r="CZ44566" s="256"/>
      <c r="DG44566" s="256"/>
    </row>
    <row r="44567" spans="104:111">
      <c r="CZ44567" s="256"/>
      <c r="DG44567" s="256"/>
    </row>
    <row r="44568" spans="104:111">
      <c r="CZ44568" s="256"/>
      <c r="DG44568" s="256"/>
    </row>
    <row r="44569" spans="104:111">
      <c r="CZ44569" s="256"/>
      <c r="DG44569" s="256"/>
    </row>
    <row r="44570" spans="104:111">
      <c r="CZ44570" s="256"/>
      <c r="DG44570" s="256"/>
    </row>
    <row r="44571" spans="104:111">
      <c r="CZ44571" s="256"/>
      <c r="DG44571" s="256"/>
    </row>
    <row r="44572" spans="104:111">
      <c r="CZ44572" s="256"/>
      <c r="DG44572" s="256"/>
    </row>
    <row r="44573" spans="104:111">
      <c r="CZ44573" s="256"/>
      <c r="DG44573" s="256"/>
    </row>
    <row r="44574" spans="104:111">
      <c r="CZ44574" s="256"/>
      <c r="DG44574" s="256"/>
    </row>
    <row r="44575" spans="104:111">
      <c r="CZ44575" s="256"/>
      <c r="DG44575" s="256"/>
    </row>
    <row r="44576" spans="104:111">
      <c r="CZ44576" s="256"/>
      <c r="DG44576" s="256"/>
    </row>
    <row r="44577" spans="104:111">
      <c r="CZ44577" s="256"/>
      <c r="DG44577" s="256"/>
    </row>
    <row r="44578" spans="104:111">
      <c r="CZ44578" s="256"/>
      <c r="DG44578" s="256"/>
    </row>
    <row r="44579" spans="104:111">
      <c r="CZ44579" s="256"/>
      <c r="DG44579" s="256"/>
    </row>
    <row r="44580" spans="104:111">
      <c r="CZ44580" s="256"/>
      <c r="DG44580" s="256"/>
    </row>
    <row r="44581" spans="104:111">
      <c r="CZ44581" s="256"/>
      <c r="DG44581" s="256"/>
    </row>
    <row r="44582" spans="104:111">
      <c r="CZ44582" s="256"/>
      <c r="DG44582" s="256"/>
    </row>
    <row r="44583" spans="104:111">
      <c r="CZ44583" s="256"/>
      <c r="DG44583" s="256"/>
    </row>
    <row r="44584" spans="104:111">
      <c r="CZ44584" s="256"/>
      <c r="DG44584" s="256"/>
    </row>
    <row r="44585" spans="104:111">
      <c r="CZ44585" s="256"/>
      <c r="DG44585" s="256"/>
    </row>
    <row r="44586" spans="104:111">
      <c r="CZ44586" s="256"/>
      <c r="DG44586" s="256"/>
    </row>
    <row r="44587" spans="104:111">
      <c r="CZ44587" s="256"/>
      <c r="DG44587" s="256"/>
    </row>
    <row r="44588" spans="104:111">
      <c r="CZ44588" s="256"/>
      <c r="DG44588" s="256"/>
    </row>
    <row r="44589" spans="104:111">
      <c r="CZ44589" s="256"/>
      <c r="DG44589" s="256"/>
    </row>
    <row r="44590" spans="104:111">
      <c r="CZ44590" s="256"/>
      <c r="DG44590" s="256"/>
    </row>
    <row r="44591" spans="104:111">
      <c r="CZ44591" s="256"/>
      <c r="DG44591" s="256"/>
    </row>
    <row r="44592" spans="104:111">
      <c r="CZ44592" s="256"/>
      <c r="DG44592" s="256"/>
    </row>
    <row r="44593" spans="104:111">
      <c r="CZ44593" s="256"/>
      <c r="DG44593" s="256"/>
    </row>
    <row r="44594" spans="104:111">
      <c r="CZ44594" s="256"/>
      <c r="DG44594" s="256"/>
    </row>
    <row r="44595" spans="104:111">
      <c r="CZ44595" s="256"/>
      <c r="DG44595" s="256"/>
    </row>
    <row r="44596" spans="104:111">
      <c r="CZ44596" s="256"/>
      <c r="DG44596" s="256"/>
    </row>
    <row r="44597" spans="104:111">
      <c r="CZ44597" s="256"/>
      <c r="DG44597" s="256"/>
    </row>
    <row r="44598" spans="104:111">
      <c r="CZ44598" s="256"/>
      <c r="DG44598" s="256"/>
    </row>
    <row r="44599" spans="104:111">
      <c r="CZ44599" s="256"/>
      <c r="DG44599" s="256"/>
    </row>
    <row r="44600" spans="104:111">
      <c r="CZ44600" s="256"/>
      <c r="DG44600" s="256"/>
    </row>
    <row r="44601" spans="104:111">
      <c r="CZ44601" s="256"/>
      <c r="DG44601" s="256"/>
    </row>
    <row r="44602" spans="104:111">
      <c r="CZ44602" s="256"/>
      <c r="DG44602" s="256"/>
    </row>
    <row r="44603" spans="104:111">
      <c r="CZ44603" s="256"/>
      <c r="DG44603" s="256"/>
    </row>
    <row r="44604" spans="104:111">
      <c r="CZ44604" s="256"/>
      <c r="DG44604" s="256"/>
    </row>
    <row r="44605" spans="104:111">
      <c r="CZ44605" s="256"/>
      <c r="DG44605" s="256"/>
    </row>
    <row r="44606" spans="104:111">
      <c r="CZ44606" s="256"/>
      <c r="DG44606" s="256"/>
    </row>
    <row r="44607" spans="104:111">
      <c r="CZ44607" s="256"/>
      <c r="DG44607" s="256"/>
    </row>
    <row r="44608" spans="104:111">
      <c r="CZ44608" s="256"/>
      <c r="DG44608" s="256"/>
    </row>
    <row r="44609" spans="104:111">
      <c r="CZ44609" s="256"/>
      <c r="DG44609" s="256"/>
    </row>
    <row r="44610" spans="104:111">
      <c r="CZ44610" s="256"/>
      <c r="DG44610" s="256"/>
    </row>
    <row r="44611" spans="104:111">
      <c r="CZ44611" s="256"/>
      <c r="DG44611" s="256"/>
    </row>
    <row r="44612" spans="104:111">
      <c r="CZ44612" s="256"/>
      <c r="DG44612" s="256"/>
    </row>
    <row r="44613" spans="104:111">
      <c r="CZ44613" s="256"/>
      <c r="DG44613" s="256"/>
    </row>
    <row r="44614" spans="104:111">
      <c r="CZ44614" s="256"/>
      <c r="DG44614" s="256"/>
    </row>
    <row r="44615" spans="104:111">
      <c r="CZ44615" s="256"/>
      <c r="DG44615" s="256"/>
    </row>
    <row r="44616" spans="104:111">
      <c r="CZ44616" s="256"/>
      <c r="DG44616" s="256"/>
    </row>
    <row r="44617" spans="104:111">
      <c r="CZ44617" s="256"/>
      <c r="DG44617" s="256"/>
    </row>
    <row r="44618" spans="104:111">
      <c r="CZ44618" s="256"/>
      <c r="DG44618" s="256"/>
    </row>
    <row r="44619" spans="104:111">
      <c r="CZ44619" s="256"/>
      <c r="DG44619" s="256"/>
    </row>
    <row r="44620" spans="104:111">
      <c r="CZ44620" s="256"/>
      <c r="DG44620" s="256"/>
    </row>
    <row r="44621" spans="104:111">
      <c r="CZ44621" s="256"/>
      <c r="DG44621" s="256"/>
    </row>
    <row r="44622" spans="104:111">
      <c r="CZ44622" s="256"/>
      <c r="DG44622" s="256"/>
    </row>
    <row r="44623" spans="104:111">
      <c r="CZ44623" s="256"/>
      <c r="DG44623" s="256"/>
    </row>
    <row r="44624" spans="104:111">
      <c r="CZ44624" s="256"/>
      <c r="DG44624" s="256"/>
    </row>
    <row r="44625" spans="104:111">
      <c r="CZ44625" s="256"/>
      <c r="DG44625" s="256"/>
    </row>
    <row r="44626" spans="104:111">
      <c r="CZ44626" s="256"/>
      <c r="DG44626" s="256"/>
    </row>
    <row r="44627" spans="104:111">
      <c r="CZ44627" s="256"/>
      <c r="DG44627" s="256"/>
    </row>
    <row r="44628" spans="104:111">
      <c r="CZ44628" s="256"/>
      <c r="DG44628" s="256"/>
    </row>
    <row r="44629" spans="104:111">
      <c r="CZ44629" s="256"/>
      <c r="DG44629" s="256"/>
    </row>
    <row r="44630" spans="104:111">
      <c r="CZ44630" s="256"/>
      <c r="DG44630" s="256"/>
    </row>
    <row r="44631" spans="104:111">
      <c r="CZ44631" s="256"/>
      <c r="DG44631" s="256"/>
    </row>
    <row r="44632" spans="104:111">
      <c r="CZ44632" s="256"/>
      <c r="DG44632" s="256"/>
    </row>
    <row r="44633" spans="104:111">
      <c r="CZ44633" s="256"/>
      <c r="DG44633" s="256"/>
    </row>
    <row r="44634" spans="104:111">
      <c r="CZ44634" s="256"/>
      <c r="DG44634" s="256"/>
    </row>
    <row r="44635" spans="104:111">
      <c r="CZ44635" s="256"/>
      <c r="DG44635" s="256"/>
    </row>
    <row r="44636" spans="104:111">
      <c r="CZ44636" s="256"/>
      <c r="DG44636" s="256"/>
    </row>
    <row r="44637" spans="104:111">
      <c r="CZ44637" s="256"/>
      <c r="DG44637" s="256"/>
    </row>
    <row r="44638" spans="104:111">
      <c r="CZ44638" s="256"/>
      <c r="DG44638" s="256"/>
    </row>
    <row r="44639" spans="104:111">
      <c r="CZ44639" s="256"/>
      <c r="DG44639" s="256"/>
    </row>
    <row r="44640" spans="104:111">
      <c r="CZ44640" s="256"/>
      <c r="DG44640" s="256"/>
    </row>
    <row r="44641" spans="104:111">
      <c r="CZ44641" s="256"/>
      <c r="DG44641" s="256"/>
    </row>
    <row r="44642" spans="104:111">
      <c r="CZ44642" s="256"/>
      <c r="DG44642" s="256"/>
    </row>
    <row r="44643" spans="104:111">
      <c r="CZ44643" s="256"/>
      <c r="DG44643" s="256"/>
    </row>
    <row r="44644" spans="104:111">
      <c r="CZ44644" s="256"/>
      <c r="DG44644" s="256"/>
    </row>
    <row r="44645" spans="104:111">
      <c r="CZ44645" s="256"/>
      <c r="DG44645" s="256"/>
    </row>
    <row r="44646" spans="104:111">
      <c r="CZ44646" s="256"/>
      <c r="DG44646" s="256"/>
    </row>
    <row r="44647" spans="104:111">
      <c r="CZ44647" s="256"/>
      <c r="DG44647" s="256"/>
    </row>
    <row r="44648" spans="104:111">
      <c r="CZ44648" s="256"/>
      <c r="DG44648" s="256"/>
    </row>
    <row r="44649" spans="104:111">
      <c r="CZ44649" s="256"/>
      <c r="DG44649" s="256"/>
    </row>
    <row r="44650" spans="104:111">
      <c r="CZ44650" s="256"/>
      <c r="DG44650" s="256"/>
    </row>
    <row r="44651" spans="104:111">
      <c r="CZ44651" s="256"/>
      <c r="DG44651" s="256"/>
    </row>
    <row r="44652" spans="104:111">
      <c r="CZ44652" s="256"/>
      <c r="DG44652" s="256"/>
    </row>
    <row r="44653" spans="104:111">
      <c r="CZ44653" s="256"/>
      <c r="DG44653" s="256"/>
    </row>
    <row r="44654" spans="104:111">
      <c r="CZ44654" s="256"/>
      <c r="DG44654" s="256"/>
    </row>
    <row r="44655" spans="104:111">
      <c r="CZ44655" s="256"/>
      <c r="DG44655" s="256"/>
    </row>
    <row r="44656" spans="104:111">
      <c r="CZ44656" s="256"/>
      <c r="DG44656" s="256"/>
    </row>
    <row r="44657" spans="104:111">
      <c r="CZ44657" s="256"/>
      <c r="DG44657" s="256"/>
    </row>
    <row r="44658" spans="104:111">
      <c r="CZ44658" s="256"/>
      <c r="DG44658" s="256"/>
    </row>
    <row r="44659" spans="104:111">
      <c r="CZ44659" s="256"/>
      <c r="DG44659" s="256"/>
    </row>
    <row r="44660" spans="104:111">
      <c r="CZ44660" s="256"/>
      <c r="DG44660" s="256"/>
    </row>
    <row r="44661" spans="104:111">
      <c r="CZ44661" s="256"/>
      <c r="DG44661" s="256"/>
    </row>
    <row r="44662" spans="104:111">
      <c r="CZ44662" s="256"/>
      <c r="DG44662" s="256"/>
    </row>
    <row r="44663" spans="104:111">
      <c r="CZ44663" s="256"/>
      <c r="DG44663" s="256"/>
    </row>
    <row r="44664" spans="104:111">
      <c r="CZ44664" s="256"/>
      <c r="DG44664" s="256"/>
    </row>
    <row r="44665" spans="104:111">
      <c r="CZ44665" s="256"/>
      <c r="DG44665" s="256"/>
    </row>
    <row r="44666" spans="104:111">
      <c r="CZ44666" s="256"/>
      <c r="DG44666" s="256"/>
    </row>
    <row r="44667" spans="104:111">
      <c r="CZ44667" s="256"/>
      <c r="DG44667" s="256"/>
    </row>
    <row r="44668" spans="104:111">
      <c r="CZ44668" s="256"/>
      <c r="DG44668" s="256"/>
    </row>
    <row r="44669" spans="104:111">
      <c r="CZ44669" s="256"/>
      <c r="DG44669" s="256"/>
    </row>
    <row r="44670" spans="104:111">
      <c r="CZ44670" s="256"/>
      <c r="DG44670" s="256"/>
    </row>
    <row r="44671" spans="104:111">
      <c r="CZ44671" s="256"/>
      <c r="DG44671" s="256"/>
    </row>
    <row r="44672" spans="104:111">
      <c r="CZ44672" s="256"/>
      <c r="DG44672" s="256"/>
    </row>
    <row r="44673" spans="104:111">
      <c r="CZ44673" s="256"/>
      <c r="DG44673" s="256"/>
    </row>
    <row r="44674" spans="104:111">
      <c r="CZ44674" s="256"/>
      <c r="DG44674" s="256"/>
    </row>
    <row r="44675" spans="104:111">
      <c r="CZ44675" s="256"/>
      <c r="DG44675" s="256"/>
    </row>
    <row r="44676" spans="104:111">
      <c r="CZ44676" s="256"/>
      <c r="DG44676" s="256"/>
    </row>
    <row r="44677" spans="104:111">
      <c r="CZ44677" s="256"/>
      <c r="DG44677" s="256"/>
    </row>
    <row r="44678" spans="104:111">
      <c r="CZ44678" s="256"/>
      <c r="DG44678" s="256"/>
    </row>
    <row r="44679" spans="104:111">
      <c r="CZ44679" s="256"/>
      <c r="DG44679" s="256"/>
    </row>
    <row r="44680" spans="104:111">
      <c r="CZ44680" s="256"/>
      <c r="DG44680" s="256"/>
    </row>
    <row r="44681" spans="104:111">
      <c r="CZ44681" s="256"/>
      <c r="DG44681" s="256"/>
    </row>
    <row r="44682" spans="104:111">
      <c r="CZ44682" s="256"/>
      <c r="DG44682" s="256"/>
    </row>
    <row r="44683" spans="104:111">
      <c r="CZ44683" s="256"/>
      <c r="DG44683" s="256"/>
    </row>
    <row r="44684" spans="104:111">
      <c r="CZ44684" s="256"/>
      <c r="DG44684" s="256"/>
    </row>
    <row r="44685" spans="104:111">
      <c r="CZ44685" s="256"/>
      <c r="DG44685" s="256"/>
    </row>
    <row r="44686" spans="104:111">
      <c r="CZ44686" s="256"/>
      <c r="DG44686" s="256"/>
    </row>
    <row r="44687" spans="104:111">
      <c r="CZ44687" s="256"/>
      <c r="DG44687" s="256"/>
    </row>
    <row r="44688" spans="104:111">
      <c r="CZ44688" s="256"/>
      <c r="DG44688" s="256"/>
    </row>
    <row r="44689" spans="104:111">
      <c r="CZ44689" s="256"/>
      <c r="DG44689" s="256"/>
    </row>
    <row r="44690" spans="104:111">
      <c r="CZ44690" s="256"/>
      <c r="DG44690" s="256"/>
    </row>
    <row r="44691" spans="104:111">
      <c r="CZ44691" s="256"/>
      <c r="DG44691" s="256"/>
    </row>
    <row r="44692" spans="104:111">
      <c r="CZ44692" s="256"/>
      <c r="DG44692" s="256"/>
    </row>
    <row r="44693" spans="104:111">
      <c r="CZ44693" s="256"/>
      <c r="DG44693" s="256"/>
    </row>
    <row r="44694" spans="104:111">
      <c r="CZ44694" s="256"/>
      <c r="DG44694" s="256"/>
    </row>
    <row r="44695" spans="104:111">
      <c r="CZ44695" s="256"/>
      <c r="DG44695" s="256"/>
    </row>
    <row r="44696" spans="104:111">
      <c r="CZ44696" s="256"/>
      <c r="DG44696" s="256"/>
    </row>
    <row r="44697" spans="104:111">
      <c r="CZ44697" s="256"/>
      <c r="DG44697" s="256"/>
    </row>
    <row r="44698" spans="104:111">
      <c r="CZ44698" s="256"/>
      <c r="DG44698" s="256"/>
    </row>
    <row r="44699" spans="104:111">
      <c r="CZ44699" s="256"/>
      <c r="DG44699" s="256"/>
    </row>
    <row r="44700" spans="104:111">
      <c r="CZ44700" s="256"/>
      <c r="DG44700" s="256"/>
    </row>
    <row r="44701" spans="104:111">
      <c r="CZ44701" s="256"/>
      <c r="DG44701" s="256"/>
    </row>
    <row r="44702" spans="104:111">
      <c r="CZ44702" s="256"/>
      <c r="DG44702" s="256"/>
    </row>
    <row r="44703" spans="104:111">
      <c r="CZ44703" s="256"/>
      <c r="DG44703" s="256"/>
    </row>
    <row r="44704" spans="104:111">
      <c r="CZ44704" s="256"/>
      <c r="DG44704" s="256"/>
    </row>
    <row r="44705" spans="104:111">
      <c r="CZ44705" s="256"/>
      <c r="DG44705" s="256"/>
    </row>
    <row r="44706" spans="104:111">
      <c r="CZ44706" s="256"/>
      <c r="DG44706" s="256"/>
    </row>
    <row r="44707" spans="104:111">
      <c r="CZ44707" s="256"/>
      <c r="DG44707" s="256"/>
    </row>
    <row r="44708" spans="104:111">
      <c r="CZ44708" s="256"/>
      <c r="DG44708" s="256"/>
    </row>
    <row r="44709" spans="104:111">
      <c r="CZ44709" s="256"/>
      <c r="DG44709" s="256"/>
    </row>
    <row r="44710" spans="104:111">
      <c r="CZ44710" s="256"/>
      <c r="DG44710" s="256"/>
    </row>
    <row r="44711" spans="104:111">
      <c r="CZ44711" s="256"/>
      <c r="DG44711" s="256"/>
    </row>
    <row r="44712" spans="104:111">
      <c r="CZ44712" s="256"/>
      <c r="DG44712" s="256"/>
    </row>
    <row r="44713" spans="104:111">
      <c r="CZ44713" s="256"/>
      <c r="DG44713" s="256"/>
    </row>
    <row r="44714" spans="104:111">
      <c r="CZ44714" s="256"/>
      <c r="DG44714" s="256"/>
    </row>
    <row r="44715" spans="104:111">
      <c r="CZ44715" s="256"/>
      <c r="DG44715" s="256"/>
    </row>
    <row r="44716" spans="104:111">
      <c r="CZ44716" s="256"/>
      <c r="DG44716" s="256"/>
    </row>
    <row r="44717" spans="104:111">
      <c r="CZ44717" s="256"/>
      <c r="DG44717" s="256"/>
    </row>
    <row r="44718" spans="104:111">
      <c r="CZ44718" s="256"/>
      <c r="DG44718" s="256"/>
    </row>
    <row r="44719" spans="104:111">
      <c r="CZ44719" s="256"/>
      <c r="DG44719" s="256"/>
    </row>
    <row r="44720" spans="104:111">
      <c r="CZ44720" s="256"/>
      <c r="DG44720" s="256"/>
    </row>
    <row r="44721" spans="104:111">
      <c r="CZ44721" s="256"/>
      <c r="DG44721" s="256"/>
    </row>
    <row r="44722" spans="104:111">
      <c r="CZ44722" s="256"/>
      <c r="DG44722" s="256"/>
    </row>
    <row r="44723" spans="104:111">
      <c r="CZ44723" s="256"/>
      <c r="DG44723" s="256"/>
    </row>
    <row r="44724" spans="104:111">
      <c r="CZ44724" s="256"/>
      <c r="DG44724" s="256"/>
    </row>
    <row r="44725" spans="104:111">
      <c r="CZ44725" s="256"/>
      <c r="DG44725" s="256"/>
    </row>
    <row r="44726" spans="104:111">
      <c r="CZ44726" s="256"/>
      <c r="DG44726" s="256"/>
    </row>
    <row r="44727" spans="104:111">
      <c r="CZ44727" s="256"/>
      <c r="DG44727" s="256"/>
    </row>
    <row r="44728" spans="104:111">
      <c r="CZ44728" s="256"/>
      <c r="DG44728" s="256"/>
    </row>
    <row r="44729" spans="104:111">
      <c r="CZ44729" s="256"/>
      <c r="DG44729" s="256"/>
    </row>
    <row r="44730" spans="104:111">
      <c r="CZ44730" s="256"/>
      <c r="DG44730" s="256"/>
    </row>
    <row r="44731" spans="104:111">
      <c r="CZ44731" s="256"/>
      <c r="DG44731" s="256"/>
    </row>
    <row r="44732" spans="104:111">
      <c r="CZ44732" s="256"/>
      <c r="DG44732" s="256"/>
    </row>
    <row r="44733" spans="104:111">
      <c r="CZ44733" s="256"/>
      <c r="DG44733" s="256"/>
    </row>
    <row r="44734" spans="104:111">
      <c r="CZ44734" s="256"/>
      <c r="DG44734" s="256"/>
    </row>
    <row r="44735" spans="104:111">
      <c r="CZ44735" s="256"/>
      <c r="DG44735" s="256"/>
    </row>
    <row r="44736" spans="104:111">
      <c r="CZ44736" s="256"/>
      <c r="DG44736" s="256"/>
    </row>
    <row r="44737" spans="104:111">
      <c r="CZ44737" s="256"/>
      <c r="DG44737" s="256"/>
    </row>
    <row r="44738" spans="104:111">
      <c r="CZ44738" s="256"/>
      <c r="DG44738" s="256"/>
    </row>
    <row r="44739" spans="104:111">
      <c r="CZ44739" s="256"/>
      <c r="DG44739" s="256"/>
    </row>
    <row r="44740" spans="104:111">
      <c r="CZ44740" s="256"/>
      <c r="DG44740" s="256"/>
    </row>
    <row r="44741" spans="104:111">
      <c r="CZ44741" s="256"/>
      <c r="DG44741" s="256"/>
    </row>
    <row r="44742" spans="104:111">
      <c r="CZ44742" s="256"/>
      <c r="DG44742" s="256"/>
    </row>
    <row r="44743" spans="104:111">
      <c r="CZ44743" s="256"/>
      <c r="DG44743" s="256"/>
    </row>
    <row r="44744" spans="104:111">
      <c r="CZ44744" s="256"/>
      <c r="DG44744" s="256"/>
    </row>
    <row r="44745" spans="104:111">
      <c r="CZ44745" s="256"/>
      <c r="DG44745" s="256"/>
    </row>
    <row r="44746" spans="104:111">
      <c r="CZ44746" s="256"/>
      <c r="DG44746" s="256"/>
    </row>
    <row r="44747" spans="104:111">
      <c r="CZ44747" s="256"/>
      <c r="DG44747" s="256"/>
    </row>
    <row r="44748" spans="104:111">
      <c r="CZ44748" s="256"/>
      <c r="DG44748" s="256"/>
    </row>
    <row r="44749" spans="104:111">
      <c r="CZ44749" s="256"/>
      <c r="DG44749" s="256"/>
    </row>
    <row r="44750" spans="104:111">
      <c r="CZ44750" s="256"/>
      <c r="DG44750" s="256"/>
    </row>
    <row r="44751" spans="104:111">
      <c r="CZ44751" s="256"/>
      <c r="DG44751" s="256"/>
    </row>
    <row r="44752" spans="104:111">
      <c r="CZ44752" s="256"/>
      <c r="DG44752" s="256"/>
    </row>
    <row r="44753" spans="104:111">
      <c r="CZ44753" s="256"/>
      <c r="DG44753" s="256"/>
    </row>
    <row r="44754" spans="104:111">
      <c r="CZ44754" s="256"/>
      <c r="DG44754" s="256"/>
    </row>
    <row r="44755" spans="104:111">
      <c r="CZ44755" s="256"/>
      <c r="DG44755" s="256"/>
    </row>
    <row r="44756" spans="104:111">
      <c r="CZ44756" s="256"/>
      <c r="DG44756" s="256"/>
    </row>
    <row r="44757" spans="104:111">
      <c r="CZ44757" s="256"/>
      <c r="DG44757" s="256"/>
    </row>
    <row r="44758" spans="104:111">
      <c r="CZ44758" s="256"/>
      <c r="DG44758" s="256"/>
    </row>
    <row r="44759" spans="104:111">
      <c r="CZ44759" s="256"/>
      <c r="DG44759" s="256"/>
    </row>
    <row r="44760" spans="104:111">
      <c r="CZ44760" s="256"/>
      <c r="DG44760" s="256"/>
    </row>
    <row r="44761" spans="104:111">
      <c r="CZ44761" s="256"/>
      <c r="DG44761" s="256"/>
    </row>
    <row r="44762" spans="104:111">
      <c r="CZ44762" s="256"/>
      <c r="DG44762" s="256"/>
    </row>
    <row r="44763" spans="104:111">
      <c r="CZ44763" s="256"/>
      <c r="DG44763" s="256"/>
    </row>
    <row r="44764" spans="104:111">
      <c r="CZ44764" s="256"/>
      <c r="DG44764" s="256"/>
    </row>
    <row r="44765" spans="104:111">
      <c r="CZ44765" s="256"/>
      <c r="DG44765" s="256"/>
    </row>
    <row r="44766" spans="104:111">
      <c r="CZ44766" s="256"/>
      <c r="DG44766" s="256"/>
    </row>
    <row r="44767" spans="104:111">
      <c r="CZ44767" s="256"/>
      <c r="DG44767" s="256"/>
    </row>
    <row r="44768" spans="104:111">
      <c r="CZ44768" s="256"/>
      <c r="DG44768" s="256"/>
    </row>
    <row r="44769" spans="104:111">
      <c r="CZ44769" s="256"/>
      <c r="DG44769" s="256"/>
    </row>
    <row r="44770" spans="104:111">
      <c r="CZ44770" s="256"/>
      <c r="DG44770" s="256"/>
    </row>
    <row r="44771" spans="104:111">
      <c r="CZ44771" s="256"/>
      <c r="DG44771" s="256"/>
    </row>
    <row r="44772" spans="104:111">
      <c r="CZ44772" s="256"/>
      <c r="DG44772" s="256"/>
    </row>
    <row r="44773" spans="104:111">
      <c r="CZ44773" s="256"/>
      <c r="DG44773" s="256"/>
    </row>
    <row r="44774" spans="104:111">
      <c r="CZ44774" s="256"/>
      <c r="DG44774" s="256"/>
    </row>
    <row r="44775" spans="104:111">
      <c r="CZ44775" s="256"/>
      <c r="DG44775" s="256"/>
    </row>
    <row r="44776" spans="104:111">
      <c r="CZ44776" s="256"/>
      <c r="DG44776" s="256"/>
    </row>
    <row r="44777" spans="104:111">
      <c r="CZ44777" s="256"/>
      <c r="DG44777" s="256"/>
    </row>
    <row r="44778" spans="104:111">
      <c r="CZ44778" s="256"/>
      <c r="DG44778" s="256"/>
    </row>
    <row r="44779" spans="104:111">
      <c r="CZ44779" s="256"/>
      <c r="DG44779" s="256"/>
    </row>
    <row r="44780" spans="104:111">
      <c r="CZ44780" s="256"/>
      <c r="DG44780" s="256"/>
    </row>
    <row r="44781" spans="104:111">
      <c r="CZ44781" s="256"/>
      <c r="DG44781" s="256"/>
    </row>
    <row r="44782" spans="104:111">
      <c r="CZ44782" s="256"/>
      <c r="DG44782" s="256"/>
    </row>
    <row r="44783" spans="104:111">
      <c r="CZ44783" s="256"/>
      <c r="DG44783" s="256"/>
    </row>
    <row r="44784" spans="104:111">
      <c r="CZ44784" s="256"/>
      <c r="DG44784" s="256"/>
    </row>
    <row r="44785" spans="104:111">
      <c r="CZ44785" s="256"/>
      <c r="DG44785" s="256"/>
    </row>
    <row r="44786" spans="104:111">
      <c r="CZ44786" s="256"/>
      <c r="DG44786" s="256"/>
    </row>
    <row r="44787" spans="104:111">
      <c r="CZ44787" s="256"/>
      <c r="DG44787" s="256"/>
    </row>
    <row r="44788" spans="104:111">
      <c r="CZ44788" s="256"/>
      <c r="DG44788" s="256"/>
    </row>
    <row r="44789" spans="104:111">
      <c r="CZ44789" s="256"/>
      <c r="DG44789" s="256"/>
    </row>
    <row r="44790" spans="104:111">
      <c r="CZ44790" s="256"/>
      <c r="DG44790" s="256"/>
    </row>
    <row r="44791" spans="104:111">
      <c r="CZ44791" s="256"/>
      <c r="DG44791" s="256"/>
    </row>
    <row r="44792" spans="104:111">
      <c r="CZ44792" s="256"/>
      <c r="DG44792" s="256"/>
    </row>
    <row r="44793" spans="104:111">
      <c r="CZ44793" s="256"/>
      <c r="DG44793" s="256"/>
    </row>
    <row r="44794" spans="104:111">
      <c r="CZ44794" s="256"/>
      <c r="DG44794" s="256"/>
    </row>
    <row r="44795" spans="104:111">
      <c r="CZ44795" s="256"/>
      <c r="DG44795" s="256"/>
    </row>
    <row r="44796" spans="104:111">
      <c r="CZ44796" s="256"/>
      <c r="DG44796" s="256"/>
    </row>
    <row r="44797" spans="104:111">
      <c r="CZ44797" s="256"/>
      <c r="DG44797" s="256"/>
    </row>
    <row r="44798" spans="104:111">
      <c r="CZ44798" s="256"/>
      <c r="DG44798" s="256"/>
    </row>
    <row r="44799" spans="104:111">
      <c r="CZ44799" s="256"/>
      <c r="DG44799" s="256"/>
    </row>
    <row r="44800" spans="104:111">
      <c r="CZ44800" s="256"/>
      <c r="DG44800" s="256"/>
    </row>
    <row r="44801" spans="104:111">
      <c r="CZ44801" s="256"/>
      <c r="DG44801" s="256"/>
    </row>
    <row r="44802" spans="104:111">
      <c r="CZ44802" s="256"/>
      <c r="DG44802" s="256"/>
    </row>
    <row r="44803" spans="104:111">
      <c r="CZ44803" s="256"/>
      <c r="DG44803" s="256"/>
    </row>
    <row r="44804" spans="104:111">
      <c r="CZ44804" s="256"/>
      <c r="DG44804" s="256"/>
    </row>
    <row r="44805" spans="104:111">
      <c r="CZ44805" s="256"/>
      <c r="DG44805" s="256"/>
    </row>
    <row r="44806" spans="104:111">
      <c r="CZ44806" s="256"/>
      <c r="DG44806" s="256"/>
    </row>
    <row r="44807" spans="104:111">
      <c r="CZ44807" s="256"/>
      <c r="DG44807" s="256"/>
    </row>
    <row r="44808" spans="104:111">
      <c r="CZ44808" s="256"/>
      <c r="DG44808" s="256"/>
    </row>
    <row r="44809" spans="104:111">
      <c r="CZ44809" s="256"/>
      <c r="DG44809" s="256"/>
    </row>
    <row r="44810" spans="104:111">
      <c r="CZ44810" s="256"/>
      <c r="DG44810" s="256"/>
    </row>
    <row r="44811" spans="104:111">
      <c r="CZ44811" s="256"/>
      <c r="DG44811" s="256"/>
    </row>
    <row r="44812" spans="104:111">
      <c r="CZ44812" s="256"/>
      <c r="DG44812" s="256"/>
    </row>
    <row r="44813" spans="104:111">
      <c r="CZ44813" s="256"/>
      <c r="DG44813" s="256"/>
    </row>
    <row r="44814" spans="104:111">
      <c r="CZ44814" s="256"/>
      <c r="DG44814" s="256"/>
    </row>
    <row r="44815" spans="104:111">
      <c r="CZ44815" s="256"/>
      <c r="DG44815" s="256"/>
    </row>
    <row r="44816" spans="104:111">
      <c r="CZ44816" s="256"/>
      <c r="DG44816" s="256"/>
    </row>
    <row r="44817" spans="104:111">
      <c r="CZ44817" s="256"/>
      <c r="DG44817" s="256"/>
    </row>
    <row r="44818" spans="104:111">
      <c r="CZ44818" s="256"/>
      <c r="DG44818" s="256"/>
    </row>
    <row r="44819" spans="104:111">
      <c r="CZ44819" s="256"/>
      <c r="DG44819" s="256"/>
    </row>
    <row r="44820" spans="104:111">
      <c r="CZ44820" s="256"/>
      <c r="DG44820" s="256"/>
    </row>
    <row r="44821" spans="104:111">
      <c r="CZ44821" s="256"/>
      <c r="DG44821" s="256"/>
    </row>
    <row r="44822" spans="104:111">
      <c r="CZ44822" s="256"/>
      <c r="DG44822" s="256"/>
    </row>
    <row r="44823" spans="104:111">
      <c r="CZ44823" s="256"/>
      <c r="DG44823" s="256"/>
    </row>
    <row r="44824" spans="104:111">
      <c r="CZ44824" s="256"/>
      <c r="DG44824" s="256"/>
    </row>
    <row r="44825" spans="104:111">
      <c r="CZ44825" s="256"/>
      <c r="DG44825" s="256"/>
    </row>
    <row r="44826" spans="104:111">
      <c r="CZ44826" s="256"/>
      <c r="DG44826" s="256"/>
    </row>
    <row r="44827" spans="104:111">
      <c r="CZ44827" s="256"/>
      <c r="DG44827" s="256"/>
    </row>
    <row r="44828" spans="104:111">
      <c r="CZ44828" s="256"/>
      <c r="DG44828" s="256"/>
    </row>
    <row r="44829" spans="104:111">
      <c r="CZ44829" s="256"/>
      <c r="DG44829" s="256"/>
    </row>
    <row r="44830" spans="104:111">
      <c r="CZ44830" s="256"/>
      <c r="DG44830" s="256"/>
    </row>
    <row r="44831" spans="104:111">
      <c r="CZ44831" s="256"/>
      <c r="DG44831" s="256"/>
    </row>
    <row r="44832" spans="104:111">
      <c r="CZ44832" s="256"/>
      <c r="DG44832" s="256"/>
    </row>
    <row r="44833" spans="104:111">
      <c r="CZ44833" s="256"/>
      <c r="DG44833" s="256"/>
    </row>
    <row r="44834" spans="104:111">
      <c r="CZ44834" s="256"/>
      <c r="DG44834" s="256"/>
    </row>
    <row r="44835" spans="104:111">
      <c r="CZ44835" s="256"/>
      <c r="DG44835" s="256"/>
    </row>
    <row r="44836" spans="104:111">
      <c r="CZ44836" s="256"/>
      <c r="DG44836" s="256"/>
    </row>
    <row r="44837" spans="104:111">
      <c r="CZ44837" s="256"/>
      <c r="DG44837" s="256"/>
    </row>
    <row r="44838" spans="104:111">
      <c r="CZ44838" s="256"/>
      <c r="DG44838" s="256"/>
    </row>
    <row r="44839" spans="104:111">
      <c r="CZ44839" s="256"/>
      <c r="DG44839" s="256"/>
    </row>
    <row r="44840" spans="104:111">
      <c r="CZ44840" s="256"/>
      <c r="DG44840" s="256"/>
    </row>
    <row r="44841" spans="104:111">
      <c r="CZ44841" s="256"/>
      <c r="DG44841" s="256"/>
    </row>
    <row r="44842" spans="104:111">
      <c r="CZ44842" s="256"/>
      <c r="DG44842" s="256"/>
    </row>
    <row r="44843" spans="104:111">
      <c r="CZ44843" s="256"/>
      <c r="DG44843" s="256"/>
    </row>
    <row r="44844" spans="104:111">
      <c r="CZ44844" s="256"/>
      <c r="DG44844" s="256"/>
    </row>
    <row r="44845" spans="104:111">
      <c r="CZ44845" s="256"/>
      <c r="DG44845" s="256"/>
    </row>
    <row r="44846" spans="104:111">
      <c r="CZ44846" s="256"/>
      <c r="DG44846" s="256"/>
    </row>
    <row r="44847" spans="104:111">
      <c r="CZ44847" s="256"/>
      <c r="DG44847" s="256"/>
    </row>
    <row r="44848" spans="104:111">
      <c r="CZ44848" s="256"/>
      <c r="DG44848" s="256"/>
    </row>
    <row r="44849" spans="104:111">
      <c r="CZ44849" s="256"/>
      <c r="DG44849" s="256"/>
    </row>
    <row r="44850" spans="104:111">
      <c r="CZ44850" s="256"/>
      <c r="DG44850" s="256"/>
    </row>
    <row r="44851" spans="104:111">
      <c r="CZ44851" s="256"/>
      <c r="DG44851" s="256"/>
    </row>
    <row r="44852" spans="104:111">
      <c r="CZ44852" s="256"/>
      <c r="DG44852" s="256"/>
    </row>
    <row r="44853" spans="104:111">
      <c r="CZ44853" s="256"/>
      <c r="DG44853" s="256"/>
    </row>
    <row r="44854" spans="104:111">
      <c r="CZ44854" s="256"/>
      <c r="DG44854" s="256"/>
    </row>
    <row r="44855" spans="104:111">
      <c r="CZ44855" s="256"/>
      <c r="DG44855" s="256"/>
    </row>
    <row r="44856" spans="104:111">
      <c r="CZ44856" s="256"/>
      <c r="DG44856" s="256"/>
    </row>
    <row r="44857" spans="104:111">
      <c r="CZ44857" s="256"/>
      <c r="DG44857" s="256"/>
    </row>
    <row r="44858" spans="104:111">
      <c r="CZ44858" s="256"/>
      <c r="DG44858" s="256"/>
    </row>
    <row r="44859" spans="104:111">
      <c r="CZ44859" s="256"/>
      <c r="DG44859" s="256"/>
    </row>
    <row r="44860" spans="104:111">
      <c r="CZ44860" s="256"/>
      <c r="DG44860" s="256"/>
    </row>
    <row r="44861" spans="104:111">
      <c r="CZ44861" s="256"/>
      <c r="DG44861" s="256"/>
    </row>
    <row r="44862" spans="104:111">
      <c r="CZ44862" s="256"/>
      <c r="DG44862" s="256"/>
    </row>
    <row r="44863" spans="104:111">
      <c r="CZ44863" s="256"/>
      <c r="DG44863" s="256"/>
    </row>
    <row r="44864" spans="104:111">
      <c r="CZ44864" s="256"/>
      <c r="DG44864" s="256"/>
    </row>
    <row r="44865" spans="104:111">
      <c r="CZ44865" s="256"/>
      <c r="DG44865" s="256"/>
    </row>
    <row r="44866" spans="104:111">
      <c r="CZ44866" s="256"/>
      <c r="DG44866" s="256"/>
    </row>
    <row r="44867" spans="104:111">
      <c r="CZ44867" s="256"/>
      <c r="DG44867" s="256"/>
    </row>
    <row r="44868" spans="104:111">
      <c r="CZ44868" s="256"/>
      <c r="DG44868" s="256"/>
    </row>
    <row r="44869" spans="104:111">
      <c r="CZ44869" s="256"/>
      <c r="DG44869" s="256"/>
    </row>
    <row r="44870" spans="104:111">
      <c r="CZ44870" s="256"/>
      <c r="DG44870" s="256"/>
    </row>
    <row r="44871" spans="104:111">
      <c r="CZ44871" s="256"/>
      <c r="DG44871" s="256"/>
    </row>
    <row r="44872" spans="104:111">
      <c r="CZ44872" s="256"/>
      <c r="DG44872" s="256"/>
    </row>
    <row r="44873" spans="104:111">
      <c r="CZ44873" s="256"/>
      <c r="DG44873" s="256"/>
    </row>
    <row r="44874" spans="104:111">
      <c r="CZ44874" s="256"/>
      <c r="DG44874" s="256"/>
    </row>
    <row r="44875" spans="104:111">
      <c r="CZ44875" s="256"/>
      <c r="DG44875" s="256"/>
    </row>
    <row r="44876" spans="104:111">
      <c r="CZ44876" s="256"/>
      <c r="DG44876" s="256"/>
    </row>
    <row r="44877" spans="104:111">
      <c r="CZ44877" s="256"/>
      <c r="DG44877" s="256"/>
    </row>
    <row r="44878" spans="104:111">
      <c r="CZ44878" s="256"/>
      <c r="DG44878" s="256"/>
    </row>
    <row r="44879" spans="104:111">
      <c r="CZ44879" s="256"/>
      <c r="DG44879" s="256"/>
    </row>
    <row r="44880" spans="104:111">
      <c r="CZ44880" s="256"/>
      <c r="DG44880" s="256"/>
    </row>
    <row r="44881" spans="104:111">
      <c r="CZ44881" s="256"/>
      <c r="DG44881" s="256"/>
    </row>
    <row r="44882" spans="104:111">
      <c r="CZ44882" s="256"/>
      <c r="DG44882" s="256"/>
    </row>
    <row r="44883" spans="104:111">
      <c r="CZ44883" s="256"/>
      <c r="DG44883" s="256"/>
    </row>
    <row r="44884" spans="104:111">
      <c r="CZ44884" s="256"/>
      <c r="DG44884" s="256"/>
    </row>
    <row r="44885" spans="104:111">
      <c r="CZ44885" s="256"/>
      <c r="DG44885" s="256"/>
    </row>
    <row r="44886" spans="104:111">
      <c r="CZ44886" s="256"/>
      <c r="DG44886" s="256"/>
    </row>
    <row r="44887" spans="104:111">
      <c r="CZ44887" s="256"/>
      <c r="DG44887" s="256"/>
    </row>
    <row r="44888" spans="104:111">
      <c r="CZ44888" s="256"/>
      <c r="DG44888" s="256"/>
    </row>
    <row r="44889" spans="104:111">
      <c r="CZ44889" s="256"/>
      <c r="DG44889" s="256"/>
    </row>
    <row r="44890" spans="104:111">
      <c r="CZ44890" s="256"/>
      <c r="DG44890" s="256"/>
    </row>
    <row r="44891" spans="104:111">
      <c r="CZ44891" s="256"/>
      <c r="DG44891" s="256"/>
    </row>
    <row r="44892" spans="104:111">
      <c r="CZ44892" s="256"/>
      <c r="DG44892" s="256"/>
    </row>
    <row r="44893" spans="104:111">
      <c r="CZ44893" s="256"/>
      <c r="DG44893" s="256"/>
    </row>
    <row r="44894" spans="104:111">
      <c r="CZ44894" s="256"/>
      <c r="DG44894" s="256"/>
    </row>
    <row r="44895" spans="104:111">
      <c r="CZ44895" s="256"/>
      <c r="DG44895" s="256"/>
    </row>
    <row r="44896" spans="104:111">
      <c r="CZ44896" s="256"/>
      <c r="DG44896" s="256"/>
    </row>
    <row r="44897" spans="104:111">
      <c r="CZ44897" s="256"/>
      <c r="DG44897" s="256"/>
    </row>
    <row r="44898" spans="104:111">
      <c r="CZ44898" s="256"/>
      <c r="DG44898" s="256"/>
    </row>
    <row r="44899" spans="104:111">
      <c r="CZ44899" s="256"/>
      <c r="DG44899" s="256"/>
    </row>
    <row r="44900" spans="104:111">
      <c r="CZ44900" s="256"/>
      <c r="DG44900" s="256"/>
    </row>
    <row r="44901" spans="104:111">
      <c r="CZ44901" s="256"/>
      <c r="DG44901" s="256"/>
    </row>
    <row r="44902" spans="104:111">
      <c r="CZ44902" s="256"/>
      <c r="DG44902" s="256"/>
    </row>
    <row r="44903" spans="104:111">
      <c r="CZ44903" s="256"/>
      <c r="DG44903" s="256"/>
    </row>
    <row r="44904" spans="104:111">
      <c r="CZ44904" s="256"/>
      <c r="DG44904" s="256"/>
    </row>
    <row r="44905" spans="104:111">
      <c r="CZ44905" s="256"/>
      <c r="DG44905" s="256"/>
    </row>
    <row r="44906" spans="104:111">
      <c r="CZ44906" s="256"/>
      <c r="DG44906" s="256"/>
    </row>
    <row r="44907" spans="104:111">
      <c r="CZ44907" s="256"/>
      <c r="DG44907" s="256"/>
    </row>
    <row r="44908" spans="104:111">
      <c r="CZ44908" s="256"/>
      <c r="DG44908" s="256"/>
    </row>
    <row r="44909" spans="104:111">
      <c r="CZ44909" s="256"/>
      <c r="DG44909" s="256"/>
    </row>
    <row r="44910" spans="104:111">
      <c r="CZ44910" s="256"/>
      <c r="DG44910" s="256"/>
    </row>
    <row r="44911" spans="104:111">
      <c r="CZ44911" s="256"/>
      <c r="DG44911" s="256"/>
    </row>
    <row r="44912" spans="104:111">
      <c r="CZ44912" s="256"/>
      <c r="DG44912" s="256"/>
    </row>
    <row r="44913" spans="104:111">
      <c r="CZ44913" s="256"/>
      <c r="DG44913" s="256"/>
    </row>
    <row r="44914" spans="104:111">
      <c r="CZ44914" s="256"/>
      <c r="DG44914" s="256"/>
    </row>
    <row r="44915" spans="104:111">
      <c r="CZ44915" s="256"/>
      <c r="DG44915" s="256"/>
    </row>
    <row r="44916" spans="104:111">
      <c r="CZ44916" s="256"/>
      <c r="DG44916" s="256"/>
    </row>
    <row r="44917" spans="104:111">
      <c r="CZ44917" s="256"/>
      <c r="DG44917" s="256"/>
    </row>
    <row r="44918" spans="104:111">
      <c r="CZ44918" s="256"/>
      <c r="DG44918" s="256"/>
    </row>
    <row r="44919" spans="104:111">
      <c r="CZ44919" s="256"/>
      <c r="DG44919" s="256"/>
    </row>
    <row r="44920" spans="104:111">
      <c r="CZ44920" s="256"/>
      <c r="DG44920" s="256"/>
    </row>
    <row r="44921" spans="104:111">
      <c r="CZ44921" s="256"/>
      <c r="DG44921" s="256"/>
    </row>
    <row r="44922" spans="104:111">
      <c r="CZ44922" s="256"/>
      <c r="DG44922" s="256"/>
    </row>
    <row r="44923" spans="104:111">
      <c r="CZ44923" s="256"/>
      <c r="DG44923" s="256"/>
    </row>
    <row r="44924" spans="104:111">
      <c r="CZ44924" s="256"/>
      <c r="DG44924" s="256"/>
    </row>
    <row r="44925" spans="104:111">
      <c r="CZ44925" s="256"/>
      <c r="DG44925" s="256"/>
    </row>
    <row r="44926" spans="104:111">
      <c r="CZ44926" s="256"/>
      <c r="DG44926" s="256"/>
    </row>
    <row r="44927" spans="104:111">
      <c r="CZ44927" s="256"/>
      <c r="DG44927" s="256"/>
    </row>
    <row r="44928" spans="104:111">
      <c r="CZ44928" s="256"/>
      <c r="DG44928" s="256"/>
    </row>
    <row r="44929" spans="104:111">
      <c r="CZ44929" s="256"/>
      <c r="DG44929" s="256"/>
    </row>
    <row r="44930" spans="104:111">
      <c r="CZ44930" s="256"/>
      <c r="DG44930" s="256"/>
    </row>
    <row r="44931" spans="104:111">
      <c r="CZ44931" s="256"/>
      <c r="DG44931" s="256"/>
    </row>
    <row r="44932" spans="104:111">
      <c r="CZ44932" s="256"/>
      <c r="DG44932" s="256"/>
    </row>
    <row r="44933" spans="104:111">
      <c r="CZ44933" s="256"/>
      <c r="DG44933" s="256"/>
    </row>
    <row r="44934" spans="104:111">
      <c r="CZ44934" s="256"/>
      <c r="DG44934" s="256"/>
    </row>
    <row r="44935" spans="104:111">
      <c r="CZ44935" s="256"/>
      <c r="DG44935" s="256"/>
    </row>
    <row r="44936" spans="104:111">
      <c r="CZ44936" s="256"/>
      <c r="DG44936" s="256"/>
    </row>
    <row r="44937" spans="104:111">
      <c r="CZ44937" s="256"/>
      <c r="DG44937" s="256"/>
    </row>
    <row r="44938" spans="104:111">
      <c r="CZ44938" s="256"/>
      <c r="DG44938" s="256"/>
    </row>
    <row r="44939" spans="104:111">
      <c r="CZ44939" s="256"/>
      <c r="DG44939" s="256"/>
    </row>
    <row r="44940" spans="104:111">
      <c r="CZ44940" s="256"/>
      <c r="DG44940" s="256"/>
    </row>
    <row r="44941" spans="104:111">
      <c r="CZ44941" s="256"/>
      <c r="DG44941" s="256"/>
    </row>
    <row r="44942" spans="104:111">
      <c r="CZ44942" s="256"/>
      <c r="DG44942" s="256"/>
    </row>
    <row r="44943" spans="104:111">
      <c r="CZ44943" s="256"/>
      <c r="DG44943" s="256"/>
    </row>
    <row r="44944" spans="104:111">
      <c r="CZ44944" s="256"/>
      <c r="DG44944" s="256"/>
    </row>
    <row r="44945" spans="104:111">
      <c r="CZ44945" s="256"/>
      <c r="DG44945" s="256"/>
    </row>
    <row r="44946" spans="104:111">
      <c r="CZ44946" s="256"/>
      <c r="DG44946" s="256"/>
    </row>
    <row r="44947" spans="104:111">
      <c r="CZ44947" s="256"/>
      <c r="DG44947" s="256"/>
    </row>
    <row r="44948" spans="104:111">
      <c r="CZ44948" s="256"/>
      <c r="DG44948" s="256"/>
    </row>
    <row r="44949" spans="104:111">
      <c r="CZ44949" s="256"/>
      <c r="DG44949" s="256"/>
    </row>
    <row r="44950" spans="104:111">
      <c r="CZ44950" s="256"/>
      <c r="DG44950" s="256"/>
    </row>
    <row r="44951" spans="104:111">
      <c r="CZ44951" s="256"/>
      <c r="DG44951" s="256"/>
    </row>
    <row r="44952" spans="104:111">
      <c r="CZ44952" s="256"/>
      <c r="DG44952" s="256"/>
    </row>
    <row r="44953" spans="104:111">
      <c r="CZ44953" s="256"/>
      <c r="DG44953" s="256"/>
    </row>
    <row r="44954" spans="104:111">
      <c r="CZ44954" s="256"/>
      <c r="DG44954" s="256"/>
    </row>
    <row r="44955" spans="104:111">
      <c r="CZ44955" s="256"/>
      <c r="DG44955" s="256"/>
    </row>
    <row r="44956" spans="104:111">
      <c r="CZ44956" s="256"/>
      <c r="DG44956" s="256"/>
    </row>
    <row r="44957" spans="104:111">
      <c r="CZ44957" s="256"/>
      <c r="DG44957" s="256"/>
    </row>
    <row r="44958" spans="104:111">
      <c r="CZ44958" s="256"/>
      <c r="DG44958" s="256"/>
    </row>
    <row r="44959" spans="104:111">
      <c r="CZ44959" s="256"/>
      <c r="DG44959" s="256"/>
    </row>
    <row r="44960" spans="104:111">
      <c r="CZ44960" s="256"/>
      <c r="DG44960" s="256"/>
    </row>
    <row r="44961" spans="104:111">
      <c r="CZ44961" s="256"/>
      <c r="DG44961" s="256"/>
    </row>
    <row r="44962" spans="104:111">
      <c r="CZ44962" s="256"/>
      <c r="DG44962" s="256"/>
    </row>
    <row r="44963" spans="104:111">
      <c r="CZ44963" s="256"/>
      <c r="DG44963" s="256"/>
    </row>
    <row r="44964" spans="104:111">
      <c r="CZ44964" s="256"/>
      <c r="DG44964" s="256"/>
    </row>
    <row r="44965" spans="104:111">
      <c r="CZ44965" s="256"/>
      <c r="DG44965" s="256"/>
    </row>
    <row r="44966" spans="104:111">
      <c r="CZ44966" s="256"/>
      <c r="DG44966" s="256"/>
    </row>
    <row r="44967" spans="104:111">
      <c r="CZ44967" s="256"/>
      <c r="DG44967" s="256"/>
    </row>
    <row r="44968" spans="104:111">
      <c r="CZ44968" s="256"/>
      <c r="DG44968" s="256"/>
    </row>
    <row r="44969" spans="104:111">
      <c r="CZ44969" s="256"/>
      <c r="DG44969" s="256"/>
    </row>
    <row r="44970" spans="104:111">
      <c r="CZ44970" s="256"/>
      <c r="DG44970" s="256"/>
    </row>
    <row r="44971" spans="104:111">
      <c r="CZ44971" s="256"/>
      <c r="DG44971" s="256"/>
    </row>
    <row r="44972" spans="104:111">
      <c r="CZ44972" s="256"/>
      <c r="DG44972" s="256"/>
    </row>
    <row r="44973" spans="104:111">
      <c r="CZ44973" s="256"/>
      <c r="DG44973" s="256"/>
    </row>
    <row r="44974" spans="104:111">
      <c r="CZ44974" s="256"/>
      <c r="DG44974" s="256"/>
    </row>
    <row r="44975" spans="104:111">
      <c r="CZ44975" s="256"/>
      <c r="DG44975" s="256"/>
    </row>
    <row r="44976" spans="104:111">
      <c r="CZ44976" s="256"/>
      <c r="DG44976" s="256"/>
    </row>
    <row r="44977" spans="104:111">
      <c r="CZ44977" s="256"/>
      <c r="DG44977" s="256"/>
    </row>
    <row r="44978" spans="104:111">
      <c r="CZ44978" s="256"/>
      <c r="DG44978" s="256"/>
    </row>
    <row r="44979" spans="104:111">
      <c r="CZ44979" s="256"/>
      <c r="DG44979" s="256"/>
    </row>
    <row r="44980" spans="104:111">
      <c r="CZ44980" s="256"/>
      <c r="DG44980" s="256"/>
    </row>
    <row r="44981" spans="104:111">
      <c r="CZ44981" s="256"/>
      <c r="DG44981" s="256"/>
    </row>
    <row r="44982" spans="104:111">
      <c r="CZ44982" s="256"/>
      <c r="DG44982" s="256"/>
    </row>
    <row r="44983" spans="104:111">
      <c r="CZ44983" s="256"/>
      <c r="DG44983" s="256"/>
    </row>
    <row r="44984" spans="104:111">
      <c r="CZ44984" s="256"/>
      <c r="DG44984" s="256"/>
    </row>
    <row r="44985" spans="104:111">
      <c r="CZ44985" s="256"/>
      <c r="DG44985" s="256"/>
    </row>
    <row r="44986" spans="104:111">
      <c r="CZ44986" s="256"/>
      <c r="DG44986" s="256"/>
    </row>
    <row r="44987" spans="104:111">
      <c r="CZ44987" s="256"/>
      <c r="DG44987" s="256"/>
    </row>
    <row r="44988" spans="104:111">
      <c r="CZ44988" s="256"/>
      <c r="DG44988" s="256"/>
    </row>
    <row r="44989" spans="104:111">
      <c r="CZ44989" s="256"/>
      <c r="DG44989" s="256"/>
    </row>
    <row r="44990" spans="104:111">
      <c r="CZ44990" s="256"/>
      <c r="DG44990" s="256"/>
    </row>
    <row r="44991" spans="104:111">
      <c r="CZ44991" s="256"/>
      <c r="DG44991" s="256"/>
    </row>
    <row r="44992" spans="104:111">
      <c r="CZ44992" s="256"/>
      <c r="DG44992" s="256"/>
    </row>
    <row r="44993" spans="104:111">
      <c r="CZ44993" s="256"/>
      <c r="DG44993" s="256"/>
    </row>
    <row r="44994" spans="104:111">
      <c r="CZ44994" s="256"/>
      <c r="DG44994" s="256"/>
    </row>
    <row r="44995" spans="104:111">
      <c r="CZ44995" s="256"/>
      <c r="DG44995" s="256"/>
    </row>
    <row r="44996" spans="104:111">
      <c r="CZ44996" s="256"/>
      <c r="DG44996" s="256"/>
    </row>
    <row r="44997" spans="104:111">
      <c r="CZ44997" s="256"/>
      <c r="DG44997" s="256"/>
    </row>
    <row r="44998" spans="104:111">
      <c r="CZ44998" s="256"/>
      <c r="DG44998" s="256"/>
    </row>
    <row r="44999" spans="104:111">
      <c r="CZ44999" s="256"/>
      <c r="DG44999" s="256"/>
    </row>
    <row r="45000" spans="104:111">
      <c r="CZ45000" s="256"/>
      <c r="DG45000" s="256"/>
    </row>
    <row r="45001" spans="104:111">
      <c r="CZ45001" s="256"/>
      <c r="DG45001" s="256"/>
    </row>
    <row r="45002" spans="104:111">
      <c r="CZ45002" s="256"/>
      <c r="DG45002" s="256"/>
    </row>
    <row r="45003" spans="104:111">
      <c r="CZ45003" s="256"/>
      <c r="DG45003" s="256"/>
    </row>
    <row r="45004" spans="104:111">
      <c r="CZ45004" s="256"/>
      <c r="DG45004" s="256"/>
    </row>
    <row r="45005" spans="104:111">
      <c r="CZ45005" s="256"/>
      <c r="DG45005" s="256"/>
    </row>
    <row r="45006" spans="104:111">
      <c r="CZ45006" s="256"/>
      <c r="DG45006" s="256"/>
    </row>
    <row r="45007" spans="104:111">
      <c r="CZ45007" s="256"/>
      <c r="DG45007" s="256"/>
    </row>
    <row r="45008" spans="104:111">
      <c r="CZ45008" s="256"/>
      <c r="DG45008" s="256"/>
    </row>
    <row r="45009" spans="104:111">
      <c r="CZ45009" s="256"/>
      <c r="DG45009" s="256"/>
    </row>
    <row r="45010" spans="104:111">
      <c r="CZ45010" s="256"/>
      <c r="DG45010" s="256"/>
    </row>
    <row r="45011" spans="104:111">
      <c r="CZ45011" s="256"/>
      <c r="DG45011" s="256"/>
    </row>
    <row r="45012" spans="104:111">
      <c r="CZ45012" s="256"/>
      <c r="DG45012" s="256"/>
    </row>
    <row r="45013" spans="104:111">
      <c r="CZ45013" s="256"/>
      <c r="DG45013" s="256"/>
    </row>
    <row r="45014" spans="104:111">
      <c r="CZ45014" s="256"/>
      <c r="DG45014" s="256"/>
    </row>
    <row r="45015" spans="104:111">
      <c r="CZ45015" s="256"/>
      <c r="DG45015" s="256"/>
    </row>
    <row r="45016" spans="104:111">
      <c r="CZ45016" s="256"/>
      <c r="DG45016" s="256"/>
    </row>
    <row r="45017" spans="104:111">
      <c r="CZ45017" s="256"/>
      <c r="DG45017" s="256"/>
    </row>
    <row r="45018" spans="104:111">
      <c r="CZ45018" s="256"/>
      <c r="DG45018" s="256"/>
    </row>
    <row r="45019" spans="104:111">
      <c r="CZ45019" s="256"/>
      <c r="DG45019" s="256"/>
    </row>
    <row r="45020" spans="104:111">
      <c r="CZ45020" s="256"/>
      <c r="DG45020" s="256"/>
    </row>
    <row r="45021" spans="104:111">
      <c r="CZ45021" s="256"/>
      <c r="DG45021" s="256"/>
    </row>
    <row r="45022" spans="104:111">
      <c r="CZ45022" s="256"/>
      <c r="DG45022" s="256"/>
    </row>
    <row r="45023" spans="104:111">
      <c r="CZ45023" s="256"/>
      <c r="DG45023" s="256"/>
    </row>
    <row r="45024" spans="104:111">
      <c r="CZ45024" s="256"/>
      <c r="DG45024" s="256"/>
    </row>
    <row r="45025" spans="104:111">
      <c r="CZ45025" s="256"/>
      <c r="DG45025" s="256"/>
    </row>
    <row r="45026" spans="104:111">
      <c r="CZ45026" s="256"/>
      <c r="DG45026" s="256"/>
    </row>
    <row r="45027" spans="104:111">
      <c r="CZ45027" s="256"/>
      <c r="DG45027" s="256"/>
    </row>
    <row r="45028" spans="104:111">
      <c r="CZ45028" s="256"/>
      <c r="DG45028" s="256"/>
    </row>
    <row r="45029" spans="104:111">
      <c r="CZ45029" s="256"/>
      <c r="DG45029" s="256"/>
    </row>
    <row r="45030" spans="104:111">
      <c r="CZ45030" s="256"/>
      <c r="DG45030" s="256"/>
    </row>
    <row r="45031" spans="104:111">
      <c r="CZ45031" s="256"/>
      <c r="DG45031" s="256"/>
    </row>
    <row r="45032" spans="104:111">
      <c r="CZ45032" s="256"/>
      <c r="DG45032" s="256"/>
    </row>
    <row r="45033" spans="104:111">
      <c r="CZ45033" s="256"/>
      <c r="DG45033" s="256"/>
    </row>
    <row r="45034" spans="104:111">
      <c r="CZ45034" s="256"/>
      <c r="DG45034" s="256"/>
    </row>
    <row r="45035" spans="104:111">
      <c r="CZ45035" s="256"/>
      <c r="DG45035" s="256"/>
    </row>
    <row r="45036" spans="104:111">
      <c r="CZ45036" s="256"/>
      <c r="DG45036" s="256"/>
    </row>
    <row r="45037" spans="104:111">
      <c r="CZ45037" s="256"/>
      <c r="DG45037" s="256"/>
    </row>
    <row r="45038" spans="104:111">
      <c r="CZ45038" s="256"/>
      <c r="DG45038" s="256"/>
    </row>
    <row r="45039" spans="104:111">
      <c r="CZ45039" s="256"/>
      <c r="DG45039" s="256"/>
    </row>
    <row r="45040" spans="104:111">
      <c r="CZ45040" s="256"/>
      <c r="DG45040" s="256"/>
    </row>
    <row r="45041" spans="104:111">
      <c r="CZ45041" s="256"/>
      <c r="DG45041" s="256"/>
    </row>
    <row r="45042" spans="104:111">
      <c r="CZ45042" s="256"/>
      <c r="DG45042" s="256"/>
    </row>
    <row r="45043" spans="104:111">
      <c r="CZ45043" s="256"/>
      <c r="DG45043" s="256"/>
    </row>
    <row r="45044" spans="104:111">
      <c r="CZ45044" s="256"/>
      <c r="DG45044" s="256"/>
    </row>
    <row r="45045" spans="104:111">
      <c r="CZ45045" s="256"/>
      <c r="DG45045" s="256"/>
    </row>
    <row r="45046" spans="104:111">
      <c r="CZ45046" s="256"/>
      <c r="DG45046" s="256"/>
    </row>
    <row r="45047" spans="104:111">
      <c r="CZ45047" s="256"/>
      <c r="DG45047" s="256"/>
    </row>
    <row r="45048" spans="104:111">
      <c r="CZ45048" s="256"/>
      <c r="DG45048" s="256"/>
    </row>
    <row r="45049" spans="104:111">
      <c r="CZ45049" s="256"/>
      <c r="DG45049" s="256"/>
    </row>
    <row r="45050" spans="104:111">
      <c r="CZ45050" s="256"/>
      <c r="DG45050" s="256"/>
    </row>
    <row r="45051" spans="104:111">
      <c r="CZ45051" s="256"/>
      <c r="DG45051" s="256"/>
    </row>
    <row r="45052" spans="104:111">
      <c r="CZ45052" s="256"/>
      <c r="DG45052" s="256"/>
    </row>
    <row r="45053" spans="104:111">
      <c r="CZ45053" s="256"/>
      <c r="DG45053" s="256"/>
    </row>
    <row r="45054" spans="104:111">
      <c r="CZ45054" s="256"/>
      <c r="DG45054" s="256"/>
    </row>
    <row r="45055" spans="104:111">
      <c r="CZ45055" s="256"/>
      <c r="DG45055" s="256"/>
    </row>
    <row r="45056" spans="104:111">
      <c r="CZ45056" s="256"/>
      <c r="DG45056" s="256"/>
    </row>
    <row r="45057" spans="104:111">
      <c r="CZ45057" s="256"/>
      <c r="DG45057" s="256"/>
    </row>
    <row r="45058" spans="104:111">
      <c r="CZ45058" s="256"/>
      <c r="DG45058" s="256"/>
    </row>
    <row r="45059" spans="104:111">
      <c r="CZ45059" s="256"/>
      <c r="DG45059" s="256"/>
    </row>
    <row r="45060" spans="104:111">
      <c r="CZ45060" s="256"/>
      <c r="DG45060" s="256"/>
    </row>
    <row r="45061" spans="104:111">
      <c r="CZ45061" s="256"/>
      <c r="DG45061" s="256"/>
    </row>
    <row r="45062" spans="104:111">
      <c r="CZ45062" s="256"/>
      <c r="DG45062" s="256"/>
    </row>
    <row r="45063" spans="104:111">
      <c r="CZ45063" s="256"/>
      <c r="DG45063" s="256"/>
    </row>
    <row r="45064" spans="104:111">
      <c r="CZ45064" s="256"/>
      <c r="DG45064" s="256"/>
    </row>
    <row r="45065" spans="104:111">
      <c r="CZ45065" s="256"/>
      <c r="DG45065" s="256"/>
    </row>
    <row r="45066" spans="104:111">
      <c r="CZ45066" s="256"/>
      <c r="DG45066" s="256"/>
    </row>
    <row r="45067" spans="104:111">
      <c r="CZ45067" s="256"/>
      <c r="DG45067" s="256"/>
    </row>
    <row r="45068" spans="104:111">
      <c r="CZ45068" s="256"/>
      <c r="DG45068" s="256"/>
    </row>
    <row r="45069" spans="104:111">
      <c r="CZ45069" s="256"/>
      <c r="DG45069" s="256"/>
    </row>
    <row r="45070" spans="104:111">
      <c r="CZ45070" s="256"/>
      <c r="DG45070" s="256"/>
    </row>
    <row r="45071" spans="104:111">
      <c r="CZ45071" s="256"/>
      <c r="DG45071" s="256"/>
    </row>
    <row r="45072" spans="104:111">
      <c r="CZ45072" s="256"/>
      <c r="DG45072" s="256"/>
    </row>
    <row r="45073" spans="104:111">
      <c r="CZ45073" s="256"/>
      <c r="DG45073" s="256"/>
    </row>
    <row r="45074" spans="104:111">
      <c r="CZ45074" s="256"/>
      <c r="DG45074" s="256"/>
    </row>
    <row r="45075" spans="104:111">
      <c r="CZ45075" s="256"/>
      <c r="DG45075" s="256"/>
    </row>
    <row r="45076" spans="104:111">
      <c r="CZ45076" s="256"/>
      <c r="DG45076" s="256"/>
    </row>
    <row r="45077" spans="104:111">
      <c r="CZ45077" s="256"/>
      <c r="DG45077" s="256"/>
    </row>
    <row r="45078" spans="104:111">
      <c r="CZ45078" s="256"/>
      <c r="DG45078" s="256"/>
    </row>
    <row r="45079" spans="104:111">
      <c r="CZ45079" s="256"/>
      <c r="DG45079" s="256"/>
    </row>
    <row r="45080" spans="104:111">
      <c r="CZ45080" s="256"/>
      <c r="DG45080" s="256"/>
    </row>
    <row r="45081" spans="104:111">
      <c r="CZ45081" s="256"/>
      <c r="DG45081" s="256"/>
    </row>
    <row r="45082" spans="104:111">
      <c r="CZ45082" s="256"/>
      <c r="DG45082" s="256"/>
    </row>
    <row r="45083" spans="104:111">
      <c r="CZ45083" s="256"/>
      <c r="DG45083" s="256"/>
    </row>
    <row r="45084" spans="104:111">
      <c r="CZ45084" s="256"/>
      <c r="DG45084" s="256"/>
    </row>
    <row r="45085" spans="104:111">
      <c r="CZ45085" s="256"/>
      <c r="DG45085" s="256"/>
    </row>
    <row r="45086" spans="104:111">
      <c r="CZ45086" s="256"/>
      <c r="DG45086" s="256"/>
    </row>
    <row r="45087" spans="104:111">
      <c r="CZ45087" s="256"/>
      <c r="DG45087" s="256"/>
    </row>
    <row r="45088" spans="104:111">
      <c r="CZ45088" s="256"/>
      <c r="DG45088" s="256"/>
    </row>
    <row r="45089" spans="104:111">
      <c r="CZ45089" s="256"/>
      <c r="DG45089" s="256"/>
    </row>
    <row r="45090" spans="104:111">
      <c r="CZ45090" s="256"/>
      <c r="DG45090" s="256"/>
    </row>
    <row r="45091" spans="104:111">
      <c r="CZ45091" s="256"/>
      <c r="DG45091" s="256"/>
    </row>
    <row r="45092" spans="104:111">
      <c r="CZ45092" s="256"/>
      <c r="DG45092" s="256"/>
    </row>
    <row r="45093" spans="104:111">
      <c r="CZ45093" s="256"/>
      <c r="DG45093" s="256"/>
    </row>
    <row r="45094" spans="104:111">
      <c r="CZ45094" s="256"/>
      <c r="DG45094" s="256"/>
    </row>
    <row r="45095" spans="104:111">
      <c r="CZ45095" s="256"/>
      <c r="DG45095" s="256"/>
    </row>
    <row r="45096" spans="104:111">
      <c r="CZ45096" s="256"/>
      <c r="DG45096" s="256"/>
    </row>
    <row r="45097" spans="104:111">
      <c r="CZ45097" s="256"/>
      <c r="DG45097" s="256"/>
    </row>
    <row r="45098" spans="104:111">
      <c r="CZ45098" s="256"/>
      <c r="DG45098" s="256"/>
    </row>
    <row r="45099" spans="104:111">
      <c r="CZ45099" s="256"/>
      <c r="DG45099" s="256"/>
    </row>
    <row r="45100" spans="104:111">
      <c r="CZ45100" s="256"/>
      <c r="DG45100" s="256"/>
    </row>
    <row r="45101" spans="104:111">
      <c r="CZ45101" s="256"/>
      <c r="DG45101" s="256"/>
    </row>
    <row r="45102" spans="104:111">
      <c r="CZ45102" s="256"/>
      <c r="DG45102" s="256"/>
    </row>
    <row r="45103" spans="104:111">
      <c r="CZ45103" s="256"/>
      <c r="DG45103" s="256"/>
    </row>
    <row r="45104" spans="104:111">
      <c r="CZ45104" s="256"/>
      <c r="DG45104" s="256"/>
    </row>
    <row r="45105" spans="104:111">
      <c r="CZ45105" s="256"/>
      <c r="DG45105" s="256"/>
    </row>
    <row r="45106" spans="104:111">
      <c r="CZ45106" s="256"/>
      <c r="DG45106" s="256"/>
    </row>
    <row r="45107" spans="104:111">
      <c r="CZ45107" s="256"/>
      <c r="DG45107" s="256"/>
    </row>
    <row r="45108" spans="104:111">
      <c r="CZ45108" s="256"/>
      <c r="DG45108" s="256"/>
    </row>
    <row r="45109" spans="104:111">
      <c r="CZ45109" s="256"/>
      <c r="DG45109" s="256"/>
    </row>
    <row r="45110" spans="104:111">
      <c r="CZ45110" s="256"/>
      <c r="DG45110" s="256"/>
    </row>
    <row r="45111" spans="104:111">
      <c r="CZ45111" s="256"/>
      <c r="DG45111" s="256"/>
    </row>
    <row r="45112" spans="104:111">
      <c r="CZ45112" s="256"/>
      <c r="DG45112" s="256"/>
    </row>
    <row r="45113" spans="104:111">
      <c r="CZ45113" s="256"/>
      <c r="DG45113" s="256"/>
    </row>
    <row r="45114" spans="104:111">
      <c r="CZ45114" s="256"/>
      <c r="DG45114" s="256"/>
    </row>
    <row r="45115" spans="104:111">
      <c r="CZ45115" s="256"/>
      <c r="DG45115" s="256"/>
    </row>
    <row r="45116" spans="104:111">
      <c r="CZ45116" s="256"/>
      <c r="DG45116" s="256"/>
    </row>
    <row r="45117" spans="104:111">
      <c r="CZ45117" s="256"/>
      <c r="DG45117" s="256"/>
    </row>
    <row r="45118" spans="104:111">
      <c r="CZ45118" s="256"/>
      <c r="DG45118" s="256"/>
    </row>
    <row r="45119" spans="104:111">
      <c r="CZ45119" s="256"/>
      <c r="DG45119" s="256"/>
    </row>
    <row r="45120" spans="104:111">
      <c r="CZ45120" s="256"/>
      <c r="DG45120" s="256"/>
    </row>
    <row r="45121" spans="104:111">
      <c r="CZ45121" s="256"/>
      <c r="DG45121" s="256"/>
    </row>
    <row r="45122" spans="104:111">
      <c r="CZ45122" s="256"/>
      <c r="DG45122" s="256"/>
    </row>
    <row r="45123" spans="104:111">
      <c r="CZ45123" s="256"/>
      <c r="DG45123" s="256"/>
    </row>
    <row r="45124" spans="104:111">
      <c r="CZ45124" s="256"/>
      <c r="DG45124" s="256"/>
    </row>
    <row r="45125" spans="104:111">
      <c r="CZ45125" s="256"/>
      <c r="DG45125" s="256"/>
    </row>
    <row r="45126" spans="104:111">
      <c r="CZ45126" s="256"/>
      <c r="DG45126" s="256"/>
    </row>
    <row r="45127" spans="104:111">
      <c r="CZ45127" s="256"/>
      <c r="DG45127" s="256"/>
    </row>
    <row r="45128" spans="104:111">
      <c r="CZ45128" s="256"/>
      <c r="DG45128" s="256"/>
    </row>
    <row r="45129" spans="104:111">
      <c r="CZ45129" s="256"/>
      <c r="DG45129" s="256"/>
    </row>
    <row r="45130" spans="104:111">
      <c r="CZ45130" s="256"/>
      <c r="DG45130" s="256"/>
    </row>
    <row r="45131" spans="104:111">
      <c r="CZ45131" s="256"/>
      <c r="DG45131" s="256"/>
    </row>
    <row r="45132" spans="104:111">
      <c r="CZ45132" s="256"/>
      <c r="DG45132" s="256"/>
    </row>
    <row r="45133" spans="104:111">
      <c r="CZ45133" s="256"/>
      <c r="DG45133" s="256"/>
    </row>
    <row r="45134" spans="104:111">
      <c r="CZ45134" s="256"/>
      <c r="DG45134" s="256"/>
    </row>
    <row r="45135" spans="104:111">
      <c r="CZ45135" s="256"/>
      <c r="DG45135" s="256"/>
    </row>
    <row r="45136" spans="104:111">
      <c r="CZ45136" s="256"/>
      <c r="DG45136" s="256"/>
    </row>
    <row r="45137" spans="104:111">
      <c r="CZ45137" s="256"/>
      <c r="DG45137" s="256"/>
    </row>
    <row r="45138" spans="104:111">
      <c r="CZ45138" s="256"/>
      <c r="DG45138" s="256"/>
    </row>
    <row r="45139" spans="104:111">
      <c r="CZ45139" s="256"/>
      <c r="DG45139" s="256"/>
    </row>
    <row r="45140" spans="104:111">
      <c r="CZ45140" s="256"/>
      <c r="DG45140" s="256"/>
    </row>
    <row r="45141" spans="104:111">
      <c r="CZ45141" s="256"/>
      <c r="DG45141" s="256"/>
    </row>
    <row r="45142" spans="104:111">
      <c r="CZ45142" s="256"/>
      <c r="DG45142" s="256"/>
    </row>
    <row r="45143" spans="104:111">
      <c r="CZ45143" s="256"/>
      <c r="DG45143" s="256"/>
    </row>
    <row r="45144" spans="104:111">
      <c r="CZ45144" s="256"/>
      <c r="DG45144" s="256"/>
    </row>
    <row r="45145" spans="104:111">
      <c r="CZ45145" s="256"/>
      <c r="DG45145" s="256"/>
    </row>
    <row r="45146" spans="104:111">
      <c r="CZ45146" s="256"/>
      <c r="DG45146" s="256"/>
    </row>
    <row r="45147" spans="104:111">
      <c r="CZ45147" s="256"/>
      <c r="DG45147" s="256"/>
    </row>
    <row r="45148" spans="104:111">
      <c r="CZ45148" s="256"/>
      <c r="DG45148" s="256"/>
    </row>
    <row r="45149" spans="104:111">
      <c r="CZ45149" s="256"/>
      <c r="DG45149" s="256"/>
    </row>
    <row r="45150" spans="104:111">
      <c r="CZ45150" s="256"/>
      <c r="DG45150" s="256"/>
    </row>
    <row r="45151" spans="104:111">
      <c r="CZ45151" s="256"/>
      <c r="DG45151" s="256"/>
    </row>
    <row r="45152" spans="104:111">
      <c r="CZ45152" s="256"/>
      <c r="DG45152" s="256"/>
    </row>
    <row r="45153" spans="104:111">
      <c r="CZ45153" s="256"/>
      <c r="DG45153" s="256"/>
    </row>
    <row r="45154" spans="104:111">
      <c r="CZ45154" s="256"/>
      <c r="DG45154" s="256"/>
    </row>
    <row r="45155" spans="104:111">
      <c r="CZ45155" s="256"/>
      <c r="DG45155" s="256"/>
    </row>
    <row r="45156" spans="104:111">
      <c r="CZ45156" s="256"/>
      <c r="DG45156" s="256"/>
    </row>
    <row r="45157" spans="104:111">
      <c r="CZ45157" s="256"/>
      <c r="DG45157" s="256"/>
    </row>
    <row r="45158" spans="104:111">
      <c r="CZ45158" s="256"/>
      <c r="DG45158" s="256"/>
    </row>
    <row r="45159" spans="104:111">
      <c r="CZ45159" s="256"/>
      <c r="DG45159" s="256"/>
    </row>
    <row r="45160" spans="104:111">
      <c r="CZ45160" s="256"/>
      <c r="DG45160" s="256"/>
    </row>
    <row r="45161" spans="104:111">
      <c r="CZ45161" s="256"/>
      <c r="DG45161" s="256"/>
    </row>
    <row r="45162" spans="104:111">
      <c r="CZ45162" s="256"/>
      <c r="DG45162" s="256"/>
    </row>
    <row r="45163" spans="104:111">
      <c r="CZ45163" s="256"/>
      <c r="DG45163" s="256"/>
    </row>
    <row r="45164" spans="104:111">
      <c r="CZ45164" s="256"/>
      <c r="DG45164" s="256"/>
    </row>
    <row r="45165" spans="104:111">
      <c r="CZ45165" s="256"/>
      <c r="DG45165" s="256"/>
    </row>
    <row r="45166" spans="104:111">
      <c r="CZ45166" s="256"/>
      <c r="DG45166" s="256"/>
    </row>
    <row r="45167" spans="104:111">
      <c r="CZ45167" s="256"/>
      <c r="DG45167" s="256"/>
    </row>
    <row r="45168" spans="104:111">
      <c r="CZ45168" s="256"/>
      <c r="DG45168" s="256"/>
    </row>
    <row r="45169" spans="104:111">
      <c r="CZ45169" s="256"/>
      <c r="DG45169" s="256"/>
    </row>
    <row r="45170" spans="104:111">
      <c r="CZ45170" s="256"/>
      <c r="DG45170" s="256"/>
    </row>
    <row r="45171" spans="104:111">
      <c r="CZ45171" s="256"/>
      <c r="DG45171" s="256"/>
    </row>
    <row r="45172" spans="104:111">
      <c r="CZ45172" s="256"/>
      <c r="DG45172" s="256"/>
    </row>
    <row r="45173" spans="104:111">
      <c r="CZ45173" s="256"/>
      <c r="DG45173" s="256"/>
    </row>
    <row r="45174" spans="104:111">
      <c r="CZ45174" s="256"/>
      <c r="DG45174" s="256"/>
    </row>
    <row r="45175" spans="104:111">
      <c r="CZ45175" s="256"/>
      <c r="DG45175" s="256"/>
    </row>
    <row r="45176" spans="104:111">
      <c r="CZ45176" s="256"/>
      <c r="DG45176" s="256"/>
    </row>
    <row r="45177" spans="104:111">
      <c r="CZ45177" s="256"/>
      <c r="DG45177" s="256"/>
    </row>
    <row r="45178" spans="104:111">
      <c r="CZ45178" s="256"/>
      <c r="DG45178" s="256"/>
    </row>
    <row r="45179" spans="104:111">
      <c r="CZ45179" s="256"/>
      <c r="DG45179" s="256"/>
    </row>
    <row r="45180" spans="104:111">
      <c r="CZ45180" s="256"/>
      <c r="DG45180" s="256"/>
    </row>
    <row r="45181" spans="104:111">
      <c r="CZ45181" s="256"/>
      <c r="DG45181" s="256"/>
    </row>
    <row r="45182" spans="104:111">
      <c r="CZ45182" s="256"/>
      <c r="DG45182" s="256"/>
    </row>
    <row r="45183" spans="104:111">
      <c r="CZ45183" s="256"/>
      <c r="DG45183" s="256"/>
    </row>
    <row r="45184" spans="104:111">
      <c r="CZ45184" s="256"/>
      <c r="DG45184" s="256"/>
    </row>
    <row r="45185" spans="104:111">
      <c r="CZ45185" s="256"/>
      <c r="DG45185" s="256"/>
    </row>
    <row r="45186" spans="104:111">
      <c r="CZ45186" s="256"/>
      <c r="DG45186" s="256"/>
    </row>
    <row r="45187" spans="104:111">
      <c r="CZ45187" s="256"/>
      <c r="DG45187" s="256"/>
    </row>
    <row r="45188" spans="104:111">
      <c r="CZ45188" s="256"/>
      <c r="DG45188" s="256"/>
    </row>
    <row r="45189" spans="104:111">
      <c r="CZ45189" s="256"/>
      <c r="DG45189" s="256"/>
    </row>
    <row r="45190" spans="104:111">
      <c r="CZ45190" s="256"/>
      <c r="DG45190" s="256"/>
    </row>
    <row r="45191" spans="104:111">
      <c r="CZ45191" s="256"/>
      <c r="DG45191" s="256"/>
    </row>
    <row r="45192" spans="104:111">
      <c r="CZ45192" s="256"/>
      <c r="DG45192" s="256"/>
    </row>
    <row r="45193" spans="104:111">
      <c r="CZ45193" s="256"/>
      <c r="DG45193" s="256"/>
    </row>
    <row r="45194" spans="104:111">
      <c r="CZ45194" s="256"/>
      <c r="DG45194" s="256"/>
    </row>
    <row r="45195" spans="104:111">
      <c r="CZ45195" s="256"/>
      <c r="DG45195" s="256"/>
    </row>
    <row r="45196" spans="104:111">
      <c r="CZ45196" s="256"/>
      <c r="DG45196" s="256"/>
    </row>
    <row r="45197" spans="104:111">
      <c r="CZ45197" s="256"/>
      <c r="DG45197" s="256"/>
    </row>
    <row r="45198" spans="104:111">
      <c r="CZ45198" s="256"/>
      <c r="DG45198" s="256"/>
    </row>
    <row r="45199" spans="104:111">
      <c r="CZ45199" s="256"/>
      <c r="DG45199" s="256"/>
    </row>
    <row r="45200" spans="104:111">
      <c r="CZ45200" s="256"/>
      <c r="DG45200" s="256"/>
    </row>
    <row r="45201" spans="104:111">
      <c r="CZ45201" s="256"/>
      <c r="DG45201" s="256"/>
    </row>
    <row r="45202" spans="104:111">
      <c r="CZ45202" s="256"/>
      <c r="DG45202" s="256"/>
    </row>
    <row r="45203" spans="104:111">
      <c r="CZ45203" s="256"/>
      <c r="DG45203" s="256"/>
    </row>
    <row r="45204" spans="104:111">
      <c r="CZ45204" s="256"/>
      <c r="DG45204" s="256"/>
    </row>
    <row r="45205" spans="104:111">
      <c r="CZ45205" s="256"/>
      <c r="DG45205" s="256"/>
    </row>
    <row r="45206" spans="104:111">
      <c r="CZ45206" s="256"/>
      <c r="DG45206" s="256"/>
    </row>
    <row r="45207" spans="104:111">
      <c r="CZ45207" s="256"/>
      <c r="DG45207" s="256"/>
    </row>
    <row r="45208" spans="104:111">
      <c r="CZ45208" s="256"/>
      <c r="DG45208" s="256"/>
    </row>
    <row r="45209" spans="104:111">
      <c r="CZ45209" s="256"/>
      <c r="DG45209" s="256"/>
    </row>
    <row r="45210" spans="104:111">
      <c r="CZ45210" s="256"/>
      <c r="DG45210" s="256"/>
    </row>
    <row r="45211" spans="104:111">
      <c r="CZ45211" s="256"/>
      <c r="DG45211" s="256"/>
    </row>
    <row r="45212" spans="104:111">
      <c r="CZ45212" s="256"/>
      <c r="DG45212" s="256"/>
    </row>
    <row r="45213" spans="104:111">
      <c r="CZ45213" s="256"/>
      <c r="DG45213" s="256"/>
    </row>
    <row r="45214" spans="104:111">
      <c r="CZ45214" s="256"/>
      <c r="DG45214" s="256"/>
    </row>
    <row r="45215" spans="104:111">
      <c r="CZ45215" s="256"/>
      <c r="DG45215" s="256"/>
    </row>
    <row r="45216" spans="104:111">
      <c r="CZ45216" s="256"/>
      <c r="DG45216" s="256"/>
    </row>
    <row r="45217" spans="104:111">
      <c r="CZ45217" s="256"/>
      <c r="DG45217" s="256"/>
    </row>
    <row r="45218" spans="104:111">
      <c r="CZ45218" s="256"/>
      <c r="DG45218" s="256"/>
    </row>
    <row r="45219" spans="104:111">
      <c r="CZ45219" s="256"/>
      <c r="DG45219" s="256"/>
    </row>
    <row r="45220" spans="104:111">
      <c r="CZ45220" s="256"/>
      <c r="DG45220" s="256"/>
    </row>
    <row r="45221" spans="104:111">
      <c r="CZ45221" s="256"/>
      <c r="DG45221" s="256"/>
    </row>
    <row r="45222" spans="104:111">
      <c r="CZ45222" s="256"/>
      <c r="DG45222" s="256"/>
    </row>
    <row r="45223" spans="104:111">
      <c r="CZ45223" s="256"/>
      <c r="DG45223" s="256"/>
    </row>
    <row r="45224" spans="104:111">
      <c r="CZ45224" s="256"/>
      <c r="DG45224" s="256"/>
    </row>
    <row r="45225" spans="104:111">
      <c r="CZ45225" s="256"/>
      <c r="DG45225" s="256"/>
    </row>
    <row r="45226" spans="104:111">
      <c r="CZ45226" s="256"/>
      <c r="DG45226" s="256"/>
    </row>
    <row r="45227" spans="104:111">
      <c r="CZ45227" s="256"/>
      <c r="DG45227" s="256"/>
    </row>
    <row r="45228" spans="104:111">
      <c r="CZ45228" s="256"/>
      <c r="DG45228" s="256"/>
    </row>
    <row r="45229" spans="104:111">
      <c r="CZ45229" s="256"/>
      <c r="DG45229" s="256"/>
    </row>
    <row r="45230" spans="104:111">
      <c r="CZ45230" s="256"/>
      <c r="DG45230" s="256"/>
    </row>
    <row r="45231" spans="104:111">
      <c r="CZ45231" s="256"/>
      <c r="DG45231" s="256"/>
    </row>
    <row r="45232" spans="104:111">
      <c r="CZ45232" s="256"/>
      <c r="DG45232" s="256"/>
    </row>
    <row r="45233" spans="104:111">
      <c r="CZ45233" s="256"/>
      <c r="DG45233" s="256"/>
    </row>
    <row r="45234" spans="104:111">
      <c r="CZ45234" s="256"/>
      <c r="DG45234" s="256"/>
    </row>
    <row r="45235" spans="104:111">
      <c r="CZ45235" s="256"/>
      <c r="DG45235" s="256"/>
    </row>
    <row r="45236" spans="104:111">
      <c r="CZ45236" s="256"/>
      <c r="DG45236" s="256"/>
    </row>
    <row r="45237" spans="104:111">
      <c r="CZ45237" s="256"/>
      <c r="DG45237" s="256"/>
    </row>
    <row r="45238" spans="104:111">
      <c r="CZ45238" s="256"/>
      <c r="DG45238" s="256"/>
    </row>
    <row r="45239" spans="104:111">
      <c r="CZ45239" s="256"/>
      <c r="DG45239" s="256"/>
    </row>
    <row r="45240" spans="104:111">
      <c r="CZ45240" s="256"/>
      <c r="DG45240" s="256"/>
    </row>
    <row r="45241" spans="104:111">
      <c r="CZ45241" s="256"/>
      <c r="DG45241" s="256"/>
    </row>
    <row r="45242" spans="104:111">
      <c r="CZ45242" s="256"/>
      <c r="DG45242" s="256"/>
    </row>
    <row r="45243" spans="104:111">
      <c r="CZ45243" s="256"/>
      <c r="DG45243" s="256"/>
    </row>
    <row r="45244" spans="104:111">
      <c r="CZ45244" s="256"/>
      <c r="DG45244" s="256"/>
    </row>
    <row r="45245" spans="104:111">
      <c r="CZ45245" s="256"/>
      <c r="DG45245" s="256"/>
    </row>
    <row r="45246" spans="104:111">
      <c r="CZ45246" s="256"/>
      <c r="DG45246" s="256"/>
    </row>
    <row r="45247" spans="104:111">
      <c r="CZ45247" s="256"/>
      <c r="DG45247" s="256"/>
    </row>
    <row r="45248" spans="104:111">
      <c r="CZ45248" s="256"/>
      <c r="DG45248" s="256"/>
    </row>
    <row r="45249" spans="104:111">
      <c r="CZ45249" s="256"/>
      <c r="DG45249" s="256"/>
    </row>
    <row r="45250" spans="104:111">
      <c r="CZ45250" s="256"/>
      <c r="DG45250" s="256"/>
    </row>
    <row r="45251" spans="104:111">
      <c r="CZ45251" s="256"/>
      <c r="DG45251" s="256"/>
    </row>
    <row r="45252" spans="104:111">
      <c r="CZ45252" s="256"/>
      <c r="DG45252" s="256"/>
    </row>
    <row r="45253" spans="104:111">
      <c r="CZ45253" s="256"/>
      <c r="DG45253" s="256"/>
    </row>
    <row r="45254" spans="104:111">
      <c r="CZ45254" s="256"/>
      <c r="DG45254" s="256"/>
    </row>
    <row r="45255" spans="104:111">
      <c r="CZ45255" s="256"/>
      <c r="DG45255" s="256"/>
    </row>
    <row r="45256" spans="104:111">
      <c r="CZ45256" s="256"/>
      <c r="DG45256" s="256"/>
    </row>
    <row r="45257" spans="104:111">
      <c r="CZ45257" s="256"/>
      <c r="DG45257" s="256"/>
    </row>
    <row r="45258" spans="104:111">
      <c r="CZ45258" s="256"/>
      <c r="DG45258" s="256"/>
    </row>
    <row r="45259" spans="104:111">
      <c r="CZ45259" s="256"/>
      <c r="DG45259" s="256"/>
    </row>
    <row r="45260" spans="104:111">
      <c r="CZ45260" s="256"/>
      <c r="DG45260" s="256"/>
    </row>
    <row r="45261" spans="104:111">
      <c r="CZ45261" s="256"/>
      <c r="DG45261" s="256"/>
    </row>
    <row r="45262" spans="104:111">
      <c r="CZ45262" s="256"/>
      <c r="DG45262" s="256"/>
    </row>
    <row r="45263" spans="104:111">
      <c r="CZ45263" s="256"/>
      <c r="DG45263" s="256"/>
    </row>
    <row r="45264" spans="104:111">
      <c r="CZ45264" s="256"/>
      <c r="DG45264" s="256"/>
    </row>
    <row r="45265" spans="104:111">
      <c r="CZ45265" s="256"/>
      <c r="DG45265" s="256"/>
    </row>
    <row r="45266" spans="104:111">
      <c r="CZ45266" s="256"/>
      <c r="DG45266" s="256"/>
    </row>
    <row r="45267" spans="104:111">
      <c r="CZ45267" s="256"/>
      <c r="DG45267" s="256"/>
    </row>
    <row r="45268" spans="104:111">
      <c r="CZ45268" s="256"/>
      <c r="DG45268" s="256"/>
    </row>
    <row r="45269" spans="104:111">
      <c r="CZ45269" s="256"/>
      <c r="DG45269" s="256"/>
    </row>
    <row r="45270" spans="104:111">
      <c r="CZ45270" s="256"/>
      <c r="DG45270" s="256"/>
    </row>
    <row r="45271" spans="104:111">
      <c r="CZ45271" s="256"/>
      <c r="DG45271" s="256"/>
    </row>
    <row r="45272" spans="104:111">
      <c r="CZ45272" s="256"/>
      <c r="DG45272" s="256"/>
    </row>
    <row r="45273" spans="104:111">
      <c r="CZ45273" s="256"/>
      <c r="DG45273" s="256"/>
    </row>
    <row r="45274" spans="104:111">
      <c r="CZ45274" s="256"/>
      <c r="DG45274" s="256"/>
    </row>
    <row r="45275" spans="104:111">
      <c r="CZ45275" s="256"/>
      <c r="DG45275" s="256"/>
    </row>
    <row r="45276" spans="104:111">
      <c r="CZ45276" s="256"/>
      <c r="DG45276" s="256"/>
    </row>
    <row r="45277" spans="104:111">
      <c r="CZ45277" s="256"/>
      <c r="DG45277" s="256"/>
    </row>
    <row r="45278" spans="104:111">
      <c r="CZ45278" s="256"/>
      <c r="DG45278" s="256"/>
    </row>
    <row r="45279" spans="104:111">
      <c r="CZ45279" s="256"/>
      <c r="DG45279" s="256"/>
    </row>
    <row r="45280" spans="104:111">
      <c r="CZ45280" s="256"/>
      <c r="DG45280" s="256"/>
    </row>
    <row r="45281" spans="104:111">
      <c r="CZ45281" s="256"/>
      <c r="DG45281" s="256"/>
    </row>
    <row r="45282" spans="104:111">
      <c r="CZ45282" s="256"/>
      <c r="DG45282" s="256"/>
    </row>
    <row r="45283" spans="104:111">
      <c r="CZ45283" s="256"/>
      <c r="DG45283" s="256"/>
    </row>
    <row r="45284" spans="104:111">
      <c r="CZ45284" s="256"/>
      <c r="DG45284" s="256"/>
    </row>
    <row r="45285" spans="104:111">
      <c r="CZ45285" s="256"/>
      <c r="DG45285" s="256"/>
    </row>
    <row r="45286" spans="104:111">
      <c r="CZ45286" s="256"/>
      <c r="DG45286" s="256"/>
    </row>
    <row r="45287" spans="104:111">
      <c r="CZ45287" s="256"/>
      <c r="DG45287" s="256"/>
    </row>
    <row r="45288" spans="104:111">
      <c r="CZ45288" s="256"/>
      <c r="DG45288" s="256"/>
    </row>
    <row r="45289" spans="104:111">
      <c r="CZ45289" s="256"/>
      <c r="DG45289" s="256"/>
    </row>
    <row r="45290" spans="104:111">
      <c r="CZ45290" s="256"/>
      <c r="DG45290" s="256"/>
    </row>
    <row r="45291" spans="104:111">
      <c r="CZ45291" s="256"/>
      <c r="DG45291" s="256"/>
    </row>
    <row r="45292" spans="104:111">
      <c r="CZ45292" s="256"/>
      <c r="DG45292" s="256"/>
    </row>
    <row r="45293" spans="104:111">
      <c r="CZ45293" s="256"/>
      <c r="DG45293" s="256"/>
    </row>
    <row r="45294" spans="104:111">
      <c r="CZ45294" s="256"/>
      <c r="DG45294" s="256"/>
    </row>
    <row r="45295" spans="104:111">
      <c r="CZ45295" s="256"/>
      <c r="DG45295" s="256"/>
    </row>
    <row r="45296" spans="104:111">
      <c r="CZ45296" s="256"/>
      <c r="DG45296" s="256"/>
    </row>
    <row r="45297" spans="104:111">
      <c r="CZ45297" s="256"/>
      <c r="DG45297" s="256"/>
    </row>
    <row r="45298" spans="104:111">
      <c r="CZ45298" s="256"/>
      <c r="DG45298" s="256"/>
    </row>
    <row r="45299" spans="104:111">
      <c r="CZ45299" s="256"/>
      <c r="DG45299" s="256"/>
    </row>
    <row r="45300" spans="104:111">
      <c r="CZ45300" s="256"/>
      <c r="DG45300" s="256"/>
    </row>
    <row r="45301" spans="104:111">
      <c r="CZ45301" s="256"/>
      <c r="DG45301" s="256"/>
    </row>
    <row r="45302" spans="104:111">
      <c r="CZ45302" s="256"/>
      <c r="DG45302" s="256"/>
    </row>
    <row r="45303" spans="104:111">
      <c r="CZ45303" s="256"/>
      <c r="DG45303" s="256"/>
    </row>
    <row r="45304" spans="104:111">
      <c r="CZ45304" s="256"/>
      <c r="DG45304" s="256"/>
    </row>
    <row r="45305" spans="104:111">
      <c r="CZ45305" s="256"/>
      <c r="DG45305" s="256"/>
    </row>
    <row r="45306" spans="104:111">
      <c r="CZ45306" s="256"/>
      <c r="DG45306" s="256"/>
    </row>
    <row r="45307" spans="104:111">
      <c r="CZ45307" s="256"/>
      <c r="DG45307" s="256"/>
    </row>
    <row r="45308" spans="104:111">
      <c r="CZ45308" s="256"/>
      <c r="DG45308" s="256"/>
    </row>
    <row r="45309" spans="104:111">
      <c r="CZ45309" s="256"/>
      <c r="DG45309" s="256"/>
    </row>
    <row r="45310" spans="104:111">
      <c r="CZ45310" s="256"/>
      <c r="DG45310" s="256"/>
    </row>
    <row r="45311" spans="104:111">
      <c r="CZ45311" s="256"/>
      <c r="DG45311" s="256"/>
    </row>
    <row r="45312" spans="104:111">
      <c r="CZ45312" s="256"/>
      <c r="DG45312" s="256"/>
    </row>
    <row r="45313" spans="104:111">
      <c r="CZ45313" s="256"/>
      <c r="DG45313" s="256"/>
    </row>
    <row r="45314" spans="104:111">
      <c r="CZ45314" s="256"/>
      <c r="DG45314" s="256"/>
    </row>
    <row r="45315" spans="104:111">
      <c r="CZ45315" s="256"/>
      <c r="DG45315" s="256"/>
    </row>
    <row r="45316" spans="104:111">
      <c r="CZ45316" s="256"/>
      <c r="DG45316" s="256"/>
    </row>
    <row r="45317" spans="104:111">
      <c r="CZ45317" s="256"/>
      <c r="DG45317" s="256"/>
    </row>
    <row r="45318" spans="104:111">
      <c r="CZ45318" s="256"/>
      <c r="DG45318" s="256"/>
    </row>
    <row r="45319" spans="104:111">
      <c r="CZ45319" s="256"/>
      <c r="DG45319" s="256"/>
    </row>
    <row r="45320" spans="104:111">
      <c r="CZ45320" s="256"/>
      <c r="DG45320" s="256"/>
    </row>
    <row r="45321" spans="104:111">
      <c r="CZ45321" s="256"/>
      <c r="DG45321" s="256"/>
    </row>
    <row r="45322" spans="104:111">
      <c r="CZ45322" s="256"/>
      <c r="DG45322" s="256"/>
    </row>
    <row r="45323" spans="104:111">
      <c r="CZ45323" s="256"/>
      <c r="DG45323" s="256"/>
    </row>
    <row r="45324" spans="104:111">
      <c r="CZ45324" s="256"/>
      <c r="DG45324" s="256"/>
    </row>
    <row r="45325" spans="104:111">
      <c r="CZ45325" s="256"/>
      <c r="DG45325" s="256"/>
    </row>
    <row r="45326" spans="104:111">
      <c r="CZ45326" s="256"/>
      <c r="DG45326" s="256"/>
    </row>
    <row r="45327" spans="104:111">
      <c r="CZ45327" s="256"/>
      <c r="DG45327" s="256"/>
    </row>
    <row r="45328" spans="104:111">
      <c r="CZ45328" s="256"/>
      <c r="DG45328" s="256"/>
    </row>
    <row r="45329" spans="104:111">
      <c r="CZ45329" s="256"/>
      <c r="DG45329" s="256"/>
    </row>
    <row r="45330" spans="104:111">
      <c r="CZ45330" s="256"/>
      <c r="DG45330" s="256"/>
    </row>
    <row r="45331" spans="104:111">
      <c r="CZ45331" s="256"/>
      <c r="DG45331" s="256"/>
    </row>
    <row r="45332" spans="104:111">
      <c r="CZ45332" s="256"/>
      <c r="DG45332" s="256"/>
    </row>
    <row r="45333" spans="104:111">
      <c r="CZ45333" s="256"/>
      <c r="DG45333" s="256"/>
    </row>
    <row r="45334" spans="104:111">
      <c r="CZ45334" s="256"/>
      <c r="DG45334" s="256"/>
    </row>
    <row r="45335" spans="104:111">
      <c r="CZ45335" s="256"/>
      <c r="DG45335" s="256"/>
    </row>
    <row r="45336" spans="104:111">
      <c r="CZ45336" s="256"/>
      <c r="DG45336" s="256"/>
    </row>
    <row r="45337" spans="104:111">
      <c r="CZ45337" s="256"/>
      <c r="DG45337" s="256"/>
    </row>
    <row r="45338" spans="104:111">
      <c r="CZ45338" s="256"/>
      <c r="DG45338" s="256"/>
    </row>
    <row r="45339" spans="104:111">
      <c r="CZ45339" s="256"/>
      <c r="DG45339" s="256"/>
    </row>
    <row r="45340" spans="104:111">
      <c r="CZ45340" s="256"/>
      <c r="DG45340" s="256"/>
    </row>
    <row r="45341" spans="104:111">
      <c r="CZ45341" s="256"/>
      <c r="DG45341" s="256"/>
    </row>
    <row r="45342" spans="104:111">
      <c r="CZ45342" s="256"/>
      <c r="DG45342" s="256"/>
    </row>
    <row r="45343" spans="104:111">
      <c r="CZ45343" s="256"/>
      <c r="DG45343" s="256"/>
    </row>
    <row r="45344" spans="104:111">
      <c r="CZ45344" s="256"/>
      <c r="DG45344" s="256"/>
    </row>
    <row r="45345" spans="104:111">
      <c r="CZ45345" s="256"/>
      <c r="DG45345" s="256"/>
    </row>
    <row r="45346" spans="104:111">
      <c r="CZ45346" s="256"/>
      <c r="DG45346" s="256"/>
    </row>
    <row r="45347" spans="104:111">
      <c r="CZ45347" s="256"/>
      <c r="DG45347" s="256"/>
    </row>
    <row r="45348" spans="104:111">
      <c r="CZ45348" s="256"/>
      <c r="DG45348" s="256"/>
    </row>
    <row r="45349" spans="104:111">
      <c r="CZ45349" s="256"/>
      <c r="DG45349" s="256"/>
    </row>
    <row r="45350" spans="104:111">
      <c r="CZ45350" s="256"/>
      <c r="DG45350" s="256"/>
    </row>
    <row r="45351" spans="104:111">
      <c r="CZ45351" s="256"/>
      <c r="DG45351" s="256"/>
    </row>
    <row r="45352" spans="104:111">
      <c r="CZ45352" s="256"/>
      <c r="DG45352" s="256"/>
    </row>
    <row r="45353" spans="104:111">
      <c r="CZ45353" s="256"/>
      <c r="DG45353" s="256"/>
    </row>
    <row r="45354" spans="104:111">
      <c r="CZ45354" s="256"/>
      <c r="DG45354" s="256"/>
    </row>
    <row r="45355" spans="104:111">
      <c r="CZ45355" s="256"/>
      <c r="DG45355" s="256"/>
    </row>
    <row r="45356" spans="104:111">
      <c r="CZ45356" s="256"/>
      <c r="DG45356" s="256"/>
    </row>
    <row r="45357" spans="104:111">
      <c r="CZ45357" s="256"/>
      <c r="DG45357" s="256"/>
    </row>
    <row r="45358" spans="104:111">
      <c r="CZ45358" s="256"/>
      <c r="DG45358" s="256"/>
    </row>
    <row r="45359" spans="104:111">
      <c r="CZ45359" s="256"/>
      <c r="DG45359" s="256"/>
    </row>
    <row r="45360" spans="104:111">
      <c r="CZ45360" s="256"/>
      <c r="DG45360" s="256"/>
    </row>
    <row r="45361" spans="104:111">
      <c r="CZ45361" s="256"/>
      <c r="DG45361" s="256"/>
    </row>
    <row r="45362" spans="104:111">
      <c r="CZ45362" s="256"/>
      <c r="DG45362" s="256"/>
    </row>
    <row r="45363" spans="104:111">
      <c r="CZ45363" s="256"/>
      <c r="DG45363" s="256"/>
    </row>
    <row r="45364" spans="104:111">
      <c r="CZ45364" s="256"/>
      <c r="DG45364" s="256"/>
    </row>
    <row r="45365" spans="104:111">
      <c r="CZ45365" s="256"/>
      <c r="DG45365" s="256"/>
    </row>
    <row r="45366" spans="104:111">
      <c r="CZ45366" s="256"/>
      <c r="DG45366" s="256"/>
    </row>
    <row r="45367" spans="104:111">
      <c r="CZ45367" s="256"/>
      <c r="DG45367" s="256"/>
    </row>
    <row r="45368" spans="104:111">
      <c r="CZ45368" s="256"/>
      <c r="DG45368" s="256"/>
    </row>
    <row r="45369" spans="104:111">
      <c r="CZ45369" s="256"/>
      <c r="DG45369" s="256"/>
    </row>
    <row r="45370" spans="104:111">
      <c r="CZ45370" s="256"/>
      <c r="DG45370" s="256"/>
    </row>
    <row r="45371" spans="104:111">
      <c r="CZ45371" s="256"/>
      <c r="DG45371" s="256"/>
    </row>
    <row r="45372" spans="104:111">
      <c r="CZ45372" s="256"/>
      <c r="DG45372" s="256"/>
    </row>
    <row r="45373" spans="104:111">
      <c r="CZ45373" s="256"/>
      <c r="DG45373" s="256"/>
    </row>
    <row r="45374" spans="104:111">
      <c r="CZ45374" s="256"/>
      <c r="DG45374" s="256"/>
    </row>
    <row r="45375" spans="104:111">
      <c r="CZ45375" s="256"/>
      <c r="DG45375" s="256"/>
    </row>
    <row r="45376" spans="104:111">
      <c r="CZ45376" s="256"/>
      <c r="DG45376" s="256"/>
    </row>
    <row r="45377" spans="104:111">
      <c r="CZ45377" s="256"/>
      <c r="DG45377" s="256"/>
    </row>
    <row r="45378" spans="104:111">
      <c r="CZ45378" s="256"/>
      <c r="DG45378" s="256"/>
    </row>
    <row r="45379" spans="104:111">
      <c r="CZ45379" s="256"/>
      <c r="DG45379" s="256"/>
    </row>
    <row r="45380" spans="104:111">
      <c r="CZ45380" s="256"/>
      <c r="DG45380" s="256"/>
    </row>
    <row r="45381" spans="104:111">
      <c r="CZ45381" s="256"/>
      <c r="DG45381" s="256"/>
    </row>
    <row r="45382" spans="104:111">
      <c r="CZ45382" s="256"/>
      <c r="DG45382" s="256"/>
    </row>
    <row r="45383" spans="104:111">
      <c r="CZ45383" s="256"/>
      <c r="DG45383" s="256"/>
    </row>
    <row r="45384" spans="104:111">
      <c r="CZ45384" s="256"/>
      <c r="DG45384" s="256"/>
    </row>
    <row r="45385" spans="104:111">
      <c r="CZ45385" s="256"/>
      <c r="DG45385" s="256"/>
    </row>
    <row r="45386" spans="104:111">
      <c r="CZ45386" s="256"/>
      <c r="DG45386" s="256"/>
    </row>
    <row r="45387" spans="104:111">
      <c r="CZ45387" s="256"/>
      <c r="DG45387" s="256"/>
    </row>
    <row r="45388" spans="104:111">
      <c r="CZ45388" s="256"/>
      <c r="DG45388" s="256"/>
    </row>
    <row r="45389" spans="104:111">
      <c r="CZ45389" s="256"/>
      <c r="DG45389" s="256"/>
    </row>
    <row r="45390" spans="104:111">
      <c r="CZ45390" s="256"/>
      <c r="DG45390" s="256"/>
    </row>
    <row r="45391" spans="104:111">
      <c r="CZ45391" s="256"/>
      <c r="DG45391" s="256"/>
    </row>
    <row r="45392" spans="104:111">
      <c r="CZ45392" s="256"/>
      <c r="DG45392" s="256"/>
    </row>
    <row r="45393" spans="104:111">
      <c r="CZ45393" s="256"/>
      <c r="DG45393" s="256"/>
    </row>
    <row r="45394" spans="104:111">
      <c r="CZ45394" s="256"/>
      <c r="DG45394" s="256"/>
    </row>
    <row r="45395" spans="104:111">
      <c r="CZ45395" s="256"/>
      <c r="DG45395" s="256"/>
    </row>
    <row r="45396" spans="104:111">
      <c r="CZ45396" s="256"/>
      <c r="DG45396" s="256"/>
    </row>
    <row r="45397" spans="104:111">
      <c r="CZ45397" s="256"/>
      <c r="DG45397" s="256"/>
    </row>
    <row r="45398" spans="104:111">
      <c r="CZ45398" s="256"/>
      <c r="DG45398" s="256"/>
    </row>
    <row r="45399" spans="104:111">
      <c r="CZ45399" s="256"/>
      <c r="DG45399" s="256"/>
    </row>
    <row r="45400" spans="104:111">
      <c r="CZ45400" s="256"/>
      <c r="DG45400" s="256"/>
    </row>
    <row r="45401" spans="104:111">
      <c r="CZ45401" s="256"/>
      <c r="DG45401" s="256"/>
    </row>
    <row r="45402" spans="104:111">
      <c r="CZ45402" s="256"/>
      <c r="DG45402" s="256"/>
    </row>
    <row r="45403" spans="104:111">
      <c r="CZ45403" s="256"/>
      <c r="DG45403" s="256"/>
    </row>
    <row r="45404" spans="104:111">
      <c r="CZ45404" s="256"/>
      <c r="DG45404" s="256"/>
    </row>
    <row r="45405" spans="104:111">
      <c r="CZ45405" s="256"/>
      <c r="DG45405" s="256"/>
    </row>
    <row r="45406" spans="104:111">
      <c r="CZ45406" s="256"/>
      <c r="DG45406" s="256"/>
    </row>
    <row r="45407" spans="104:111">
      <c r="CZ45407" s="256"/>
      <c r="DG45407" s="256"/>
    </row>
    <row r="45408" spans="104:111">
      <c r="CZ45408" s="256"/>
      <c r="DG45408" s="256"/>
    </row>
    <row r="45409" spans="104:111">
      <c r="CZ45409" s="256"/>
      <c r="DG45409" s="256"/>
    </row>
    <row r="45410" spans="104:111">
      <c r="CZ45410" s="256"/>
      <c r="DG45410" s="256"/>
    </row>
    <row r="45411" spans="104:111">
      <c r="CZ45411" s="256"/>
      <c r="DG45411" s="256"/>
    </row>
    <row r="45412" spans="104:111">
      <c r="CZ45412" s="256"/>
      <c r="DG45412" s="256"/>
    </row>
    <row r="45413" spans="104:111">
      <c r="CZ45413" s="256"/>
      <c r="DG45413" s="256"/>
    </row>
    <row r="45414" spans="104:111">
      <c r="CZ45414" s="256"/>
      <c r="DG45414" s="256"/>
    </row>
    <row r="45415" spans="104:111">
      <c r="CZ45415" s="256"/>
      <c r="DG45415" s="256"/>
    </row>
    <row r="45416" spans="104:111">
      <c r="CZ45416" s="256"/>
      <c r="DG45416" s="256"/>
    </row>
    <row r="45417" spans="104:111">
      <c r="CZ45417" s="256"/>
      <c r="DG45417" s="256"/>
    </row>
    <row r="45418" spans="104:111">
      <c r="CZ45418" s="256"/>
      <c r="DG45418" s="256"/>
    </row>
    <row r="45419" spans="104:111">
      <c r="CZ45419" s="256"/>
      <c r="DG45419" s="256"/>
    </row>
    <row r="45420" spans="104:111">
      <c r="CZ45420" s="256"/>
      <c r="DG45420" s="256"/>
    </row>
    <row r="45421" spans="104:111">
      <c r="CZ45421" s="256"/>
      <c r="DG45421" s="256"/>
    </row>
    <row r="45422" spans="104:111">
      <c r="CZ45422" s="256"/>
      <c r="DG45422" s="256"/>
    </row>
    <row r="45423" spans="104:111">
      <c r="CZ45423" s="256"/>
      <c r="DG45423" s="256"/>
    </row>
    <row r="45424" spans="104:111">
      <c r="CZ45424" s="256"/>
      <c r="DG45424" s="256"/>
    </row>
    <row r="45425" spans="104:111">
      <c r="CZ45425" s="256"/>
      <c r="DG45425" s="256"/>
    </row>
    <row r="45426" spans="104:111">
      <c r="CZ45426" s="256"/>
      <c r="DG45426" s="256"/>
    </row>
    <row r="45427" spans="104:111">
      <c r="CZ45427" s="256"/>
      <c r="DG45427" s="256"/>
    </row>
    <row r="45428" spans="104:111">
      <c r="CZ45428" s="256"/>
      <c r="DG45428" s="256"/>
    </row>
    <row r="45429" spans="104:111">
      <c r="CZ45429" s="256"/>
      <c r="DG45429" s="256"/>
    </row>
    <row r="45430" spans="104:111">
      <c r="CZ45430" s="256"/>
      <c r="DG45430" s="256"/>
    </row>
    <row r="45431" spans="104:111">
      <c r="CZ45431" s="256"/>
      <c r="DG45431" s="256"/>
    </row>
    <row r="45432" spans="104:111">
      <c r="CZ45432" s="256"/>
      <c r="DG45432" s="256"/>
    </row>
    <row r="45433" spans="104:111">
      <c r="CZ45433" s="256"/>
      <c r="DG45433" s="256"/>
    </row>
    <row r="45434" spans="104:111">
      <c r="CZ45434" s="256"/>
      <c r="DG45434" s="256"/>
    </row>
    <row r="45435" spans="104:111">
      <c r="CZ45435" s="256"/>
      <c r="DG45435" s="256"/>
    </row>
    <row r="45436" spans="104:111">
      <c r="CZ45436" s="256"/>
      <c r="DG45436" s="256"/>
    </row>
    <row r="45437" spans="104:111">
      <c r="CZ45437" s="256"/>
      <c r="DG45437" s="256"/>
    </row>
    <row r="45438" spans="104:111">
      <c r="CZ45438" s="256"/>
      <c r="DG45438" s="256"/>
    </row>
    <row r="45439" spans="104:111">
      <c r="CZ45439" s="256"/>
      <c r="DG45439" s="256"/>
    </row>
    <row r="45440" spans="104:111">
      <c r="CZ45440" s="256"/>
      <c r="DG45440" s="256"/>
    </row>
    <row r="45441" spans="104:111">
      <c r="CZ45441" s="256"/>
      <c r="DG45441" s="256"/>
    </row>
    <row r="45442" spans="104:111">
      <c r="CZ45442" s="256"/>
      <c r="DG45442" s="256"/>
    </row>
    <row r="45443" spans="104:111">
      <c r="CZ45443" s="256"/>
      <c r="DG45443" s="256"/>
    </row>
    <row r="45444" spans="104:111">
      <c r="CZ45444" s="256"/>
      <c r="DG45444" s="256"/>
    </row>
    <row r="45445" spans="104:111">
      <c r="CZ45445" s="256"/>
      <c r="DG45445" s="256"/>
    </row>
    <row r="45446" spans="104:111">
      <c r="CZ45446" s="256"/>
      <c r="DG45446" s="256"/>
    </row>
    <row r="45447" spans="104:111">
      <c r="CZ45447" s="256"/>
      <c r="DG45447" s="256"/>
    </row>
    <row r="45448" spans="104:111">
      <c r="CZ45448" s="256"/>
      <c r="DG45448" s="256"/>
    </row>
    <row r="45449" spans="104:111">
      <c r="CZ45449" s="256"/>
      <c r="DG45449" s="256"/>
    </row>
    <row r="45450" spans="104:111">
      <c r="CZ45450" s="256"/>
      <c r="DG45450" s="256"/>
    </row>
    <row r="45451" spans="104:111">
      <c r="CZ45451" s="256"/>
      <c r="DG45451" s="256"/>
    </row>
    <row r="45452" spans="104:111">
      <c r="CZ45452" s="256"/>
      <c r="DG45452" s="256"/>
    </row>
    <row r="45453" spans="104:111">
      <c r="CZ45453" s="256"/>
      <c r="DG45453" s="256"/>
    </row>
    <row r="45454" spans="104:111">
      <c r="CZ45454" s="256"/>
      <c r="DG45454" s="256"/>
    </row>
    <row r="45455" spans="104:111">
      <c r="CZ45455" s="256"/>
      <c r="DG45455" s="256"/>
    </row>
    <row r="45456" spans="104:111">
      <c r="CZ45456" s="256"/>
      <c r="DG45456" s="256"/>
    </row>
    <row r="45457" spans="104:111">
      <c r="CZ45457" s="256"/>
      <c r="DG45457" s="256"/>
    </row>
    <row r="45458" spans="104:111">
      <c r="CZ45458" s="256"/>
      <c r="DG45458" s="256"/>
    </row>
    <row r="45459" spans="104:111">
      <c r="CZ45459" s="256"/>
      <c r="DG45459" s="256"/>
    </row>
    <row r="45460" spans="104:111">
      <c r="CZ45460" s="256"/>
      <c r="DG45460" s="256"/>
    </row>
    <row r="45461" spans="104:111">
      <c r="CZ45461" s="256"/>
      <c r="DG45461" s="256"/>
    </row>
    <row r="45462" spans="104:111">
      <c r="CZ45462" s="256"/>
      <c r="DG45462" s="256"/>
    </row>
    <row r="45463" spans="104:111">
      <c r="CZ45463" s="256"/>
      <c r="DG45463" s="256"/>
    </row>
    <row r="45464" spans="104:111">
      <c r="CZ45464" s="256"/>
      <c r="DG45464" s="256"/>
    </row>
    <row r="45465" spans="104:111">
      <c r="CZ45465" s="256"/>
      <c r="DG45465" s="256"/>
    </row>
    <row r="45466" spans="104:111">
      <c r="CZ45466" s="256"/>
      <c r="DG45466" s="256"/>
    </row>
    <row r="45467" spans="104:111">
      <c r="CZ45467" s="256"/>
      <c r="DG45467" s="256"/>
    </row>
    <row r="45468" spans="104:111">
      <c r="CZ45468" s="256"/>
      <c r="DG45468" s="256"/>
    </row>
    <row r="45469" spans="104:111">
      <c r="CZ45469" s="256"/>
      <c r="DG45469" s="256"/>
    </row>
    <row r="45470" spans="104:111">
      <c r="CZ45470" s="256"/>
      <c r="DG45470" s="256"/>
    </row>
    <row r="45471" spans="104:111">
      <c r="CZ45471" s="256"/>
      <c r="DG45471" s="256"/>
    </row>
    <row r="45472" spans="104:111">
      <c r="CZ45472" s="256"/>
      <c r="DG45472" s="256"/>
    </row>
    <row r="45473" spans="104:111">
      <c r="CZ45473" s="256"/>
      <c r="DG45473" s="256"/>
    </row>
    <row r="45474" spans="104:111">
      <c r="CZ45474" s="256"/>
      <c r="DG45474" s="256"/>
    </row>
    <row r="45475" spans="104:111">
      <c r="CZ45475" s="256"/>
      <c r="DG45475" s="256"/>
    </row>
    <row r="45476" spans="104:111">
      <c r="CZ45476" s="256"/>
      <c r="DG45476" s="256"/>
    </row>
    <row r="45477" spans="104:111">
      <c r="CZ45477" s="256"/>
      <c r="DG45477" s="256"/>
    </row>
    <row r="45478" spans="104:111">
      <c r="CZ45478" s="256"/>
      <c r="DG45478" s="256"/>
    </row>
    <row r="45479" spans="104:111">
      <c r="CZ45479" s="256"/>
      <c r="DG45479" s="256"/>
    </row>
    <row r="45480" spans="104:111">
      <c r="CZ45480" s="256"/>
      <c r="DG45480" s="256"/>
    </row>
    <row r="45481" spans="104:111">
      <c r="CZ45481" s="256"/>
      <c r="DG45481" s="256"/>
    </row>
    <row r="45482" spans="104:111">
      <c r="CZ45482" s="256"/>
      <c r="DG45482" s="256"/>
    </row>
    <row r="45483" spans="104:111">
      <c r="CZ45483" s="256"/>
      <c r="DG45483" s="256"/>
    </row>
    <row r="45484" spans="104:111">
      <c r="CZ45484" s="256"/>
      <c r="DG45484" s="256"/>
    </row>
    <row r="45485" spans="104:111">
      <c r="CZ45485" s="256"/>
      <c r="DG45485" s="256"/>
    </row>
    <row r="45486" spans="104:111">
      <c r="CZ45486" s="256"/>
      <c r="DG45486" s="256"/>
    </row>
    <row r="45487" spans="104:111">
      <c r="CZ45487" s="256"/>
      <c r="DG45487" s="256"/>
    </row>
    <row r="45488" spans="104:111">
      <c r="CZ45488" s="256"/>
      <c r="DG45488" s="256"/>
    </row>
    <row r="45489" spans="104:111">
      <c r="CZ45489" s="256"/>
      <c r="DG45489" s="256"/>
    </row>
    <row r="45490" spans="104:111">
      <c r="CZ45490" s="256"/>
      <c r="DG45490" s="256"/>
    </row>
    <row r="45491" spans="104:111">
      <c r="CZ45491" s="256"/>
      <c r="DG45491" s="256"/>
    </row>
    <row r="45492" spans="104:111">
      <c r="CZ45492" s="256"/>
      <c r="DG45492" s="256"/>
    </row>
    <row r="45493" spans="104:111">
      <c r="CZ45493" s="256"/>
      <c r="DG45493" s="256"/>
    </row>
    <row r="45494" spans="104:111">
      <c r="CZ45494" s="256"/>
      <c r="DG45494" s="256"/>
    </row>
    <row r="45495" spans="104:111">
      <c r="CZ45495" s="256"/>
      <c r="DG45495" s="256"/>
    </row>
    <row r="45496" spans="104:111">
      <c r="CZ45496" s="256"/>
      <c r="DG45496" s="256"/>
    </row>
    <row r="45497" spans="104:111">
      <c r="CZ45497" s="256"/>
      <c r="DG45497" s="256"/>
    </row>
    <row r="45498" spans="104:111">
      <c r="CZ45498" s="256"/>
      <c r="DG45498" s="256"/>
    </row>
    <row r="45499" spans="104:111">
      <c r="CZ45499" s="256"/>
      <c r="DG45499" s="256"/>
    </row>
    <row r="45500" spans="104:111">
      <c r="CZ45500" s="256"/>
      <c r="DG45500" s="256"/>
    </row>
    <row r="45501" spans="104:111">
      <c r="CZ45501" s="256"/>
      <c r="DG45501" s="256"/>
    </row>
    <row r="45502" spans="104:111">
      <c r="CZ45502" s="256"/>
      <c r="DG45502" s="256"/>
    </row>
    <row r="45503" spans="104:111">
      <c r="CZ45503" s="256"/>
      <c r="DG45503" s="256"/>
    </row>
    <row r="45504" spans="104:111">
      <c r="CZ45504" s="256"/>
      <c r="DG45504" s="256"/>
    </row>
    <row r="45505" spans="104:111">
      <c r="CZ45505" s="256"/>
      <c r="DG45505" s="256"/>
    </row>
    <row r="45506" spans="104:111">
      <c r="CZ45506" s="256"/>
      <c r="DG45506" s="256"/>
    </row>
    <row r="45507" spans="104:111">
      <c r="CZ45507" s="256"/>
      <c r="DG45507" s="256"/>
    </row>
    <row r="45508" spans="104:111">
      <c r="CZ45508" s="256"/>
      <c r="DG45508" s="256"/>
    </row>
    <row r="45509" spans="104:111">
      <c r="CZ45509" s="256"/>
      <c r="DG45509" s="256"/>
    </row>
    <row r="45510" spans="104:111">
      <c r="CZ45510" s="256"/>
      <c r="DG45510" s="256"/>
    </row>
    <row r="45511" spans="104:111">
      <c r="CZ45511" s="256"/>
      <c r="DG45511" s="256"/>
    </row>
    <row r="45512" spans="104:111">
      <c r="CZ45512" s="256"/>
      <c r="DG45512" s="256"/>
    </row>
    <row r="45513" spans="104:111">
      <c r="CZ45513" s="256"/>
      <c r="DG45513" s="256"/>
    </row>
    <row r="45514" spans="104:111">
      <c r="CZ45514" s="256"/>
      <c r="DG45514" s="256"/>
    </row>
    <row r="45515" spans="104:111">
      <c r="CZ45515" s="256"/>
      <c r="DG45515" s="256"/>
    </row>
    <row r="45516" spans="104:111">
      <c r="CZ45516" s="256"/>
      <c r="DG45516" s="256"/>
    </row>
    <row r="45517" spans="104:111">
      <c r="CZ45517" s="256"/>
      <c r="DG45517" s="256"/>
    </row>
    <row r="45518" spans="104:111">
      <c r="CZ45518" s="256"/>
      <c r="DG45518" s="256"/>
    </row>
    <row r="45519" spans="104:111">
      <c r="CZ45519" s="256"/>
      <c r="DG45519" s="256"/>
    </row>
    <row r="45520" spans="104:111">
      <c r="CZ45520" s="256"/>
      <c r="DG45520" s="256"/>
    </row>
    <row r="45521" spans="104:111">
      <c r="CZ45521" s="256"/>
      <c r="DG45521" s="256"/>
    </row>
    <row r="45522" spans="104:111">
      <c r="CZ45522" s="256"/>
      <c r="DG45522" s="256"/>
    </row>
    <row r="45523" spans="104:111">
      <c r="CZ45523" s="256"/>
      <c r="DG45523" s="256"/>
    </row>
    <row r="45524" spans="104:111">
      <c r="CZ45524" s="256"/>
      <c r="DG45524" s="256"/>
    </row>
    <row r="45525" spans="104:111">
      <c r="CZ45525" s="256"/>
      <c r="DG45525" s="256"/>
    </row>
    <row r="45526" spans="104:111">
      <c r="CZ45526" s="256"/>
      <c r="DG45526" s="256"/>
    </row>
    <row r="45527" spans="104:111">
      <c r="CZ45527" s="256"/>
      <c r="DG45527" s="256"/>
    </row>
    <row r="45528" spans="104:111">
      <c r="CZ45528" s="256"/>
      <c r="DG45528" s="256"/>
    </row>
    <row r="45529" spans="104:111">
      <c r="CZ45529" s="256"/>
      <c r="DG45529" s="256"/>
    </row>
    <row r="45530" spans="104:111">
      <c r="CZ45530" s="256"/>
      <c r="DG45530" s="256"/>
    </row>
    <row r="45531" spans="104:111">
      <c r="CZ45531" s="256"/>
      <c r="DG45531" s="256"/>
    </row>
    <row r="45532" spans="104:111">
      <c r="CZ45532" s="256"/>
      <c r="DG45532" s="256"/>
    </row>
    <row r="45533" spans="104:111">
      <c r="CZ45533" s="256"/>
      <c r="DG45533" s="256"/>
    </row>
    <row r="45534" spans="104:111">
      <c r="CZ45534" s="256"/>
      <c r="DG45534" s="256"/>
    </row>
    <row r="45535" spans="104:111">
      <c r="CZ45535" s="256"/>
      <c r="DG45535" s="256"/>
    </row>
    <row r="45536" spans="104:111">
      <c r="CZ45536" s="256"/>
      <c r="DG45536" s="256"/>
    </row>
    <row r="45537" spans="104:111">
      <c r="CZ45537" s="256"/>
      <c r="DG45537" s="256"/>
    </row>
    <row r="45538" spans="104:111">
      <c r="CZ45538" s="256"/>
      <c r="DG45538" s="256"/>
    </row>
    <row r="45539" spans="104:111">
      <c r="CZ45539" s="256"/>
      <c r="DG45539" s="256"/>
    </row>
    <row r="45540" spans="104:111">
      <c r="CZ45540" s="256"/>
      <c r="DG45540" s="256"/>
    </row>
    <row r="45541" spans="104:111">
      <c r="CZ45541" s="256"/>
      <c r="DG45541" s="256"/>
    </row>
    <row r="45542" spans="104:111">
      <c r="CZ45542" s="256"/>
      <c r="DG45542" s="256"/>
    </row>
    <row r="45543" spans="104:111">
      <c r="CZ45543" s="256"/>
      <c r="DG45543" s="256"/>
    </row>
    <row r="45544" spans="104:111">
      <c r="CZ45544" s="256"/>
      <c r="DG45544" s="256"/>
    </row>
    <row r="45545" spans="104:111">
      <c r="CZ45545" s="256"/>
      <c r="DG45545" s="256"/>
    </row>
    <row r="45546" spans="104:111">
      <c r="CZ45546" s="256"/>
      <c r="DG45546" s="256"/>
    </row>
    <row r="45547" spans="104:111">
      <c r="CZ45547" s="256"/>
      <c r="DG45547" s="256"/>
    </row>
    <row r="45548" spans="104:111">
      <c r="CZ45548" s="256"/>
      <c r="DG45548" s="256"/>
    </row>
    <row r="45549" spans="104:111">
      <c r="CZ45549" s="256"/>
      <c r="DG45549" s="256"/>
    </row>
    <row r="45550" spans="104:111">
      <c r="CZ45550" s="256"/>
      <c r="DG45550" s="256"/>
    </row>
    <row r="45551" spans="104:111">
      <c r="CZ45551" s="256"/>
      <c r="DG45551" s="256"/>
    </row>
    <row r="45552" spans="104:111">
      <c r="CZ45552" s="256"/>
      <c r="DG45552" s="256"/>
    </row>
    <row r="45553" spans="104:111">
      <c r="CZ45553" s="256"/>
      <c r="DG45553" s="256"/>
    </row>
    <row r="45554" spans="104:111">
      <c r="CZ45554" s="256"/>
      <c r="DG45554" s="256"/>
    </row>
    <row r="45555" spans="104:111">
      <c r="CZ45555" s="256"/>
      <c r="DG45555" s="256"/>
    </row>
    <row r="45556" spans="104:111">
      <c r="CZ45556" s="256"/>
      <c r="DG45556" s="256"/>
    </row>
    <row r="45557" spans="104:111">
      <c r="CZ45557" s="256"/>
      <c r="DG45557" s="256"/>
    </row>
    <row r="45558" spans="104:111">
      <c r="CZ45558" s="256"/>
      <c r="DG45558" s="256"/>
    </row>
    <row r="45559" spans="104:111">
      <c r="CZ45559" s="256"/>
      <c r="DG45559" s="256"/>
    </row>
    <row r="45560" spans="104:111">
      <c r="CZ45560" s="256"/>
      <c r="DG45560" s="256"/>
    </row>
    <row r="45561" spans="104:111">
      <c r="CZ45561" s="256"/>
      <c r="DG45561" s="256"/>
    </row>
    <row r="45562" spans="104:111">
      <c r="CZ45562" s="256"/>
      <c r="DG45562" s="256"/>
    </row>
    <row r="45563" spans="104:111">
      <c r="CZ45563" s="256"/>
      <c r="DG45563" s="256"/>
    </row>
    <row r="45564" spans="104:111">
      <c r="CZ45564" s="256"/>
      <c r="DG45564" s="256"/>
    </row>
    <row r="45565" spans="104:111">
      <c r="CZ45565" s="256"/>
      <c r="DG45565" s="256"/>
    </row>
    <row r="45566" spans="104:111">
      <c r="CZ45566" s="256"/>
      <c r="DG45566" s="256"/>
    </row>
    <row r="45567" spans="104:111">
      <c r="CZ45567" s="256"/>
      <c r="DG45567" s="256"/>
    </row>
    <row r="45568" spans="104:111">
      <c r="CZ45568" s="256"/>
      <c r="DG45568" s="256"/>
    </row>
    <row r="45569" spans="104:111">
      <c r="CZ45569" s="256"/>
      <c r="DG45569" s="256"/>
    </row>
    <row r="45570" spans="104:111">
      <c r="CZ45570" s="256"/>
      <c r="DG45570" s="256"/>
    </row>
    <row r="45571" spans="104:111">
      <c r="CZ45571" s="256"/>
      <c r="DG45571" s="256"/>
    </row>
    <row r="45572" spans="104:111">
      <c r="CZ45572" s="256"/>
      <c r="DG45572" s="256"/>
    </row>
    <row r="45573" spans="104:111">
      <c r="CZ45573" s="256"/>
      <c r="DG45573" s="256"/>
    </row>
    <row r="45574" spans="104:111">
      <c r="CZ45574" s="256"/>
      <c r="DG45574" s="256"/>
    </row>
    <row r="45575" spans="104:111">
      <c r="CZ45575" s="256"/>
      <c r="DG45575" s="256"/>
    </row>
    <row r="45576" spans="104:111">
      <c r="CZ45576" s="256"/>
      <c r="DG45576" s="256"/>
    </row>
    <row r="45577" spans="104:111">
      <c r="CZ45577" s="256"/>
      <c r="DG45577" s="256"/>
    </row>
    <row r="45578" spans="104:111">
      <c r="CZ45578" s="256"/>
      <c r="DG45578" s="256"/>
    </row>
    <row r="45579" spans="104:111">
      <c r="CZ45579" s="256"/>
      <c r="DG45579" s="256"/>
    </row>
    <row r="45580" spans="104:111">
      <c r="CZ45580" s="256"/>
      <c r="DG45580" s="256"/>
    </row>
    <row r="45581" spans="104:111">
      <c r="CZ45581" s="256"/>
      <c r="DG45581" s="256"/>
    </row>
    <row r="45582" spans="104:111">
      <c r="CZ45582" s="256"/>
      <c r="DG45582" s="256"/>
    </row>
    <row r="45583" spans="104:111">
      <c r="CZ45583" s="256"/>
      <c r="DG45583" s="256"/>
    </row>
    <row r="45584" spans="104:111">
      <c r="CZ45584" s="256"/>
      <c r="DG45584" s="256"/>
    </row>
    <row r="45585" spans="104:111">
      <c r="CZ45585" s="256"/>
      <c r="DG45585" s="256"/>
    </row>
    <row r="45586" spans="104:111">
      <c r="CZ45586" s="256"/>
      <c r="DG45586" s="256"/>
    </row>
    <row r="45587" spans="104:111">
      <c r="CZ45587" s="256"/>
      <c r="DG45587" s="256"/>
    </row>
    <row r="45588" spans="104:111">
      <c r="CZ45588" s="256"/>
      <c r="DG45588" s="256"/>
    </row>
    <row r="45589" spans="104:111">
      <c r="CZ45589" s="256"/>
      <c r="DG45589" s="256"/>
    </row>
    <row r="45590" spans="104:111">
      <c r="CZ45590" s="256"/>
      <c r="DG45590" s="256"/>
    </row>
    <row r="45591" spans="104:111">
      <c r="CZ45591" s="256"/>
      <c r="DG45591" s="256"/>
    </row>
    <row r="45592" spans="104:111">
      <c r="CZ45592" s="256"/>
      <c r="DG45592" s="256"/>
    </row>
    <row r="45593" spans="104:111">
      <c r="CZ45593" s="256"/>
      <c r="DG45593" s="256"/>
    </row>
    <row r="45594" spans="104:111">
      <c r="CZ45594" s="256"/>
      <c r="DG45594" s="256"/>
    </row>
    <row r="45595" spans="104:111">
      <c r="CZ45595" s="256"/>
      <c r="DG45595" s="256"/>
    </row>
    <row r="45596" spans="104:111">
      <c r="CZ45596" s="256"/>
      <c r="DG45596" s="256"/>
    </row>
    <row r="45597" spans="104:111">
      <c r="CZ45597" s="256"/>
      <c r="DG45597" s="256"/>
    </row>
    <row r="45598" spans="104:111">
      <c r="CZ45598" s="256"/>
      <c r="DG45598" s="256"/>
    </row>
    <row r="45599" spans="104:111">
      <c r="CZ45599" s="256"/>
      <c r="DG45599" s="256"/>
    </row>
    <row r="45600" spans="104:111">
      <c r="CZ45600" s="256"/>
      <c r="DG45600" s="256"/>
    </row>
    <row r="45601" spans="104:111">
      <c r="CZ45601" s="256"/>
      <c r="DG45601" s="256"/>
    </row>
    <row r="45602" spans="104:111">
      <c r="CZ45602" s="256"/>
      <c r="DG45602" s="256"/>
    </row>
    <row r="45603" spans="104:111">
      <c r="CZ45603" s="256"/>
      <c r="DG45603" s="256"/>
    </row>
    <row r="45604" spans="104:111">
      <c r="CZ45604" s="256"/>
      <c r="DG45604" s="256"/>
    </row>
    <row r="45605" spans="104:111">
      <c r="CZ45605" s="256"/>
      <c r="DG45605" s="256"/>
    </row>
    <row r="45606" spans="104:111">
      <c r="CZ45606" s="256"/>
      <c r="DG45606" s="256"/>
    </row>
    <row r="45607" spans="104:111">
      <c r="CZ45607" s="256"/>
      <c r="DG45607" s="256"/>
    </row>
    <row r="45608" spans="104:111">
      <c r="CZ45608" s="256"/>
      <c r="DG45608" s="256"/>
    </row>
    <row r="45609" spans="104:111">
      <c r="CZ45609" s="256"/>
      <c r="DG45609" s="256"/>
    </row>
    <row r="45610" spans="104:111">
      <c r="CZ45610" s="256"/>
      <c r="DG45610" s="256"/>
    </row>
    <row r="45611" spans="104:111">
      <c r="CZ45611" s="256"/>
      <c r="DG45611" s="256"/>
    </row>
    <row r="45612" spans="104:111">
      <c r="CZ45612" s="256"/>
      <c r="DG45612" s="256"/>
    </row>
    <row r="45613" spans="104:111">
      <c r="CZ45613" s="256"/>
      <c r="DG45613" s="256"/>
    </row>
    <row r="45614" spans="104:111">
      <c r="CZ45614" s="256"/>
      <c r="DG45614" s="256"/>
    </row>
    <row r="45615" spans="104:111">
      <c r="CZ45615" s="256"/>
      <c r="DG45615" s="256"/>
    </row>
    <row r="45616" spans="104:111">
      <c r="CZ45616" s="256"/>
      <c r="DG45616" s="256"/>
    </row>
    <row r="45617" spans="104:111">
      <c r="CZ45617" s="256"/>
      <c r="DG45617" s="256"/>
    </row>
    <row r="45618" spans="104:111">
      <c r="CZ45618" s="256"/>
      <c r="DG45618" s="256"/>
    </row>
    <row r="45619" spans="104:111">
      <c r="CZ45619" s="256"/>
      <c r="DG45619" s="256"/>
    </row>
    <row r="45620" spans="104:111">
      <c r="CZ45620" s="256"/>
      <c r="DG45620" s="256"/>
    </row>
    <row r="45621" spans="104:111">
      <c r="CZ45621" s="256"/>
      <c r="DG45621" s="256"/>
    </row>
    <row r="45622" spans="104:111">
      <c r="CZ45622" s="256"/>
      <c r="DG45622" s="256"/>
    </row>
    <row r="45623" spans="104:111">
      <c r="CZ45623" s="256"/>
      <c r="DG45623" s="256"/>
    </row>
    <row r="45624" spans="104:111">
      <c r="CZ45624" s="256"/>
      <c r="DG45624" s="256"/>
    </row>
    <row r="45625" spans="104:111">
      <c r="CZ45625" s="256"/>
      <c r="DG45625" s="256"/>
    </row>
    <row r="45626" spans="104:111">
      <c r="CZ45626" s="256"/>
      <c r="DG45626" s="256"/>
    </row>
    <row r="45627" spans="104:111">
      <c r="CZ45627" s="256"/>
      <c r="DG45627" s="256"/>
    </row>
    <row r="45628" spans="104:111">
      <c r="CZ45628" s="256"/>
      <c r="DG45628" s="256"/>
    </row>
    <row r="45629" spans="104:111">
      <c r="CZ45629" s="256"/>
      <c r="DG45629" s="256"/>
    </row>
    <row r="45630" spans="104:111">
      <c r="CZ45630" s="256"/>
      <c r="DG45630" s="256"/>
    </row>
    <row r="45631" spans="104:111">
      <c r="CZ45631" s="256"/>
      <c r="DG45631" s="256"/>
    </row>
    <row r="45632" spans="104:111">
      <c r="CZ45632" s="256"/>
      <c r="DG45632" s="256"/>
    </row>
    <row r="45633" spans="104:111">
      <c r="CZ45633" s="256"/>
      <c r="DG45633" s="256"/>
    </row>
    <row r="45634" spans="104:111">
      <c r="CZ45634" s="256"/>
      <c r="DG45634" s="256"/>
    </row>
    <row r="45635" spans="104:111">
      <c r="CZ45635" s="256"/>
      <c r="DG45635" s="256"/>
    </row>
    <row r="45636" spans="104:111">
      <c r="CZ45636" s="256"/>
      <c r="DG45636" s="256"/>
    </row>
    <row r="45637" spans="104:111">
      <c r="CZ45637" s="256"/>
      <c r="DG45637" s="256"/>
    </row>
    <row r="45638" spans="104:111">
      <c r="CZ45638" s="256"/>
      <c r="DG45638" s="256"/>
    </row>
    <row r="45639" spans="104:111">
      <c r="CZ45639" s="256"/>
      <c r="DG45639" s="256"/>
    </row>
    <row r="45640" spans="104:111">
      <c r="CZ45640" s="256"/>
      <c r="DG45640" s="256"/>
    </row>
    <row r="45641" spans="104:111">
      <c r="CZ45641" s="256"/>
      <c r="DG45641" s="256"/>
    </row>
    <row r="45642" spans="104:111">
      <c r="CZ45642" s="256"/>
      <c r="DG45642" s="256"/>
    </row>
    <row r="45643" spans="104:111">
      <c r="CZ45643" s="256"/>
      <c r="DG45643" s="256"/>
    </row>
    <row r="45644" spans="104:111">
      <c r="CZ45644" s="256"/>
      <c r="DG45644" s="256"/>
    </row>
    <row r="45645" spans="104:111">
      <c r="CZ45645" s="256"/>
      <c r="DG45645" s="256"/>
    </row>
    <row r="45646" spans="104:111">
      <c r="CZ45646" s="256"/>
      <c r="DG45646" s="256"/>
    </row>
    <row r="45647" spans="104:111">
      <c r="CZ45647" s="256"/>
      <c r="DG45647" s="256"/>
    </row>
    <row r="45648" spans="104:111">
      <c r="CZ45648" s="256"/>
      <c r="DG45648" s="256"/>
    </row>
    <row r="45649" spans="104:111">
      <c r="CZ45649" s="256"/>
      <c r="DG45649" s="256"/>
    </row>
    <row r="45650" spans="104:111">
      <c r="CZ45650" s="256"/>
      <c r="DG45650" s="256"/>
    </row>
    <row r="45651" spans="104:111">
      <c r="CZ45651" s="256"/>
      <c r="DG45651" s="256"/>
    </row>
    <row r="45652" spans="104:111">
      <c r="CZ45652" s="256"/>
      <c r="DG45652" s="256"/>
    </row>
    <row r="45653" spans="104:111">
      <c r="CZ45653" s="256"/>
      <c r="DG45653" s="256"/>
    </row>
    <row r="45654" spans="104:111">
      <c r="CZ45654" s="256"/>
      <c r="DG45654" s="256"/>
    </row>
    <row r="45655" spans="104:111">
      <c r="CZ45655" s="256"/>
      <c r="DG45655" s="256"/>
    </row>
    <row r="45656" spans="104:111">
      <c r="CZ45656" s="256"/>
      <c r="DG45656" s="256"/>
    </row>
    <row r="45657" spans="104:111">
      <c r="CZ45657" s="256"/>
      <c r="DG45657" s="256"/>
    </row>
    <row r="45658" spans="104:111">
      <c r="CZ45658" s="256"/>
      <c r="DG45658" s="256"/>
    </row>
    <row r="45659" spans="104:111">
      <c r="CZ45659" s="256"/>
      <c r="DG45659" s="256"/>
    </row>
    <row r="45660" spans="104:111">
      <c r="CZ45660" s="256"/>
      <c r="DG45660" s="256"/>
    </row>
    <row r="45661" spans="104:111">
      <c r="CZ45661" s="256"/>
      <c r="DG45661" s="256"/>
    </row>
    <row r="45662" spans="104:111">
      <c r="CZ45662" s="256"/>
      <c r="DG45662" s="256"/>
    </row>
    <row r="45663" spans="104:111">
      <c r="CZ45663" s="256"/>
      <c r="DG45663" s="256"/>
    </row>
    <row r="45664" spans="104:111">
      <c r="CZ45664" s="256"/>
      <c r="DG45664" s="256"/>
    </row>
    <row r="45665" spans="104:111">
      <c r="CZ45665" s="256"/>
      <c r="DG45665" s="256"/>
    </row>
    <row r="45666" spans="104:111">
      <c r="CZ45666" s="256"/>
      <c r="DG45666" s="256"/>
    </row>
    <row r="45667" spans="104:111">
      <c r="CZ45667" s="256"/>
      <c r="DG45667" s="256"/>
    </row>
    <row r="45668" spans="104:111">
      <c r="CZ45668" s="256"/>
      <c r="DG45668" s="256"/>
    </row>
    <row r="45669" spans="104:111">
      <c r="CZ45669" s="256"/>
      <c r="DG45669" s="256"/>
    </row>
    <row r="45670" spans="104:111">
      <c r="CZ45670" s="256"/>
      <c r="DG45670" s="256"/>
    </row>
    <row r="45671" spans="104:111">
      <c r="CZ45671" s="256"/>
      <c r="DG45671" s="256"/>
    </row>
    <row r="45672" spans="104:111">
      <c r="CZ45672" s="256"/>
      <c r="DG45672" s="256"/>
    </row>
    <row r="45673" spans="104:111">
      <c r="CZ45673" s="256"/>
      <c r="DG45673" s="256"/>
    </row>
    <row r="45674" spans="104:111">
      <c r="CZ45674" s="256"/>
      <c r="DG45674" s="256"/>
    </row>
    <row r="45675" spans="104:111">
      <c r="CZ45675" s="256"/>
      <c r="DG45675" s="256"/>
    </row>
    <row r="45676" spans="104:111">
      <c r="CZ45676" s="256"/>
      <c r="DG45676" s="256"/>
    </row>
    <row r="45677" spans="104:111">
      <c r="CZ45677" s="256"/>
      <c r="DG45677" s="256"/>
    </row>
    <row r="45678" spans="104:111">
      <c r="CZ45678" s="256"/>
      <c r="DG45678" s="256"/>
    </row>
    <row r="45679" spans="104:111">
      <c r="CZ45679" s="256"/>
      <c r="DG45679" s="256"/>
    </row>
    <row r="45680" spans="104:111">
      <c r="CZ45680" s="256"/>
      <c r="DG45680" s="256"/>
    </row>
    <row r="45681" spans="104:111">
      <c r="CZ45681" s="256"/>
      <c r="DG45681" s="256"/>
    </row>
    <row r="45682" spans="104:111">
      <c r="CZ45682" s="256"/>
      <c r="DG45682" s="256"/>
    </row>
    <row r="45683" spans="104:111">
      <c r="CZ45683" s="256"/>
      <c r="DG45683" s="256"/>
    </row>
    <row r="45684" spans="104:111">
      <c r="CZ45684" s="256"/>
      <c r="DG45684" s="256"/>
    </row>
    <row r="45685" spans="104:111">
      <c r="CZ45685" s="256"/>
      <c r="DG45685" s="256"/>
    </row>
    <row r="45686" spans="104:111">
      <c r="CZ45686" s="256"/>
      <c r="DG45686" s="256"/>
    </row>
    <row r="45687" spans="104:111">
      <c r="CZ45687" s="256"/>
      <c r="DG45687" s="256"/>
    </row>
    <row r="45688" spans="104:111">
      <c r="CZ45688" s="256"/>
      <c r="DG45688" s="256"/>
    </row>
    <row r="45689" spans="104:111">
      <c r="CZ45689" s="256"/>
      <c r="DG45689" s="256"/>
    </row>
    <row r="45690" spans="104:111">
      <c r="CZ45690" s="256"/>
      <c r="DG45690" s="256"/>
    </row>
    <row r="45691" spans="104:111">
      <c r="CZ45691" s="256"/>
      <c r="DG45691" s="256"/>
    </row>
    <row r="45692" spans="104:111">
      <c r="CZ45692" s="256"/>
      <c r="DG45692" s="256"/>
    </row>
    <row r="45693" spans="104:111">
      <c r="CZ45693" s="256"/>
      <c r="DG45693" s="256"/>
    </row>
    <row r="45694" spans="104:111">
      <c r="CZ45694" s="256"/>
      <c r="DG45694" s="256"/>
    </row>
    <row r="45695" spans="104:111">
      <c r="CZ45695" s="256"/>
      <c r="DG45695" s="256"/>
    </row>
    <row r="45696" spans="104:111">
      <c r="CZ45696" s="256"/>
      <c r="DG45696" s="256"/>
    </row>
    <row r="45697" spans="104:111">
      <c r="CZ45697" s="256"/>
      <c r="DG45697" s="256"/>
    </row>
    <row r="45698" spans="104:111">
      <c r="CZ45698" s="256"/>
      <c r="DG45698" s="256"/>
    </row>
    <row r="45699" spans="104:111">
      <c r="CZ45699" s="256"/>
      <c r="DG45699" s="256"/>
    </row>
    <row r="45700" spans="104:111">
      <c r="CZ45700" s="256"/>
      <c r="DG45700" s="256"/>
    </row>
    <row r="45701" spans="104:111">
      <c r="CZ45701" s="256"/>
      <c r="DG45701" s="256"/>
    </row>
    <row r="45702" spans="104:111">
      <c r="CZ45702" s="256"/>
      <c r="DG45702" s="256"/>
    </row>
    <row r="45703" spans="104:111">
      <c r="CZ45703" s="256"/>
      <c r="DG45703" s="256"/>
    </row>
    <row r="45704" spans="104:111">
      <c r="CZ45704" s="256"/>
      <c r="DG45704" s="256"/>
    </row>
    <row r="45705" spans="104:111">
      <c r="CZ45705" s="256"/>
      <c r="DG45705" s="256"/>
    </row>
    <row r="45706" spans="104:111">
      <c r="CZ45706" s="256"/>
      <c r="DG45706" s="256"/>
    </row>
    <row r="45707" spans="104:111">
      <c r="CZ45707" s="256"/>
      <c r="DG45707" s="256"/>
    </row>
    <row r="45708" spans="104:111">
      <c r="CZ45708" s="256"/>
      <c r="DG45708" s="256"/>
    </row>
    <row r="45709" spans="104:111">
      <c r="CZ45709" s="256"/>
      <c r="DG45709" s="256"/>
    </row>
    <row r="45710" spans="104:111">
      <c r="CZ45710" s="256"/>
      <c r="DG45710" s="256"/>
    </row>
    <row r="45711" spans="104:111">
      <c r="CZ45711" s="256"/>
      <c r="DG45711" s="256"/>
    </row>
    <row r="45712" spans="104:111">
      <c r="CZ45712" s="256"/>
      <c r="DG45712" s="256"/>
    </row>
    <row r="45713" spans="104:111">
      <c r="CZ45713" s="256"/>
      <c r="DG45713" s="256"/>
    </row>
    <row r="45714" spans="104:111">
      <c r="CZ45714" s="256"/>
      <c r="DG45714" s="256"/>
    </row>
    <row r="45715" spans="104:111">
      <c r="CZ45715" s="256"/>
      <c r="DG45715" s="256"/>
    </row>
    <row r="45716" spans="104:111">
      <c r="CZ45716" s="256"/>
      <c r="DG45716" s="256"/>
    </row>
    <row r="45717" spans="104:111">
      <c r="CZ45717" s="256"/>
      <c r="DG45717" s="256"/>
    </row>
    <row r="45718" spans="104:111">
      <c r="CZ45718" s="256"/>
      <c r="DG45718" s="256"/>
    </row>
    <row r="45719" spans="104:111">
      <c r="CZ45719" s="256"/>
      <c r="DG45719" s="256"/>
    </row>
    <row r="45720" spans="104:111">
      <c r="CZ45720" s="256"/>
      <c r="DG45720" s="256"/>
    </row>
    <row r="45721" spans="104:111">
      <c r="CZ45721" s="256"/>
      <c r="DG45721" s="256"/>
    </row>
    <row r="45722" spans="104:111">
      <c r="CZ45722" s="256"/>
      <c r="DG45722" s="256"/>
    </row>
    <row r="45723" spans="104:111">
      <c r="CZ45723" s="256"/>
      <c r="DG45723" s="256"/>
    </row>
    <row r="45724" spans="104:111">
      <c r="CZ45724" s="256"/>
      <c r="DG45724" s="256"/>
    </row>
    <row r="45725" spans="104:111">
      <c r="CZ45725" s="256"/>
      <c r="DG45725" s="256"/>
    </row>
    <row r="45726" spans="104:111">
      <c r="CZ45726" s="256"/>
      <c r="DG45726" s="256"/>
    </row>
    <row r="45727" spans="104:111">
      <c r="CZ45727" s="256"/>
      <c r="DG45727" s="256"/>
    </row>
    <row r="45728" spans="104:111">
      <c r="CZ45728" s="256"/>
      <c r="DG45728" s="256"/>
    </row>
    <row r="45729" spans="104:111">
      <c r="CZ45729" s="256"/>
      <c r="DG45729" s="256"/>
    </row>
    <row r="45730" spans="104:111">
      <c r="CZ45730" s="256"/>
      <c r="DG45730" s="256"/>
    </row>
    <row r="45731" spans="104:111">
      <c r="CZ45731" s="256"/>
      <c r="DG45731" s="256"/>
    </row>
    <row r="45732" spans="104:111">
      <c r="CZ45732" s="256"/>
      <c r="DG45732" s="256"/>
    </row>
    <row r="45733" spans="104:111">
      <c r="CZ45733" s="256"/>
      <c r="DG45733" s="256"/>
    </row>
    <row r="45734" spans="104:111">
      <c r="CZ45734" s="256"/>
      <c r="DG45734" s="256"/>
    </row>
    <row r="45735" spans="104:111">
      <c r="CZ45735" s="256"/>
      <c r="DG45735" s="256"/>
    </row>
    <row r="45736" spans="104:111">
      <c r="CZ45736" s="256"/>
      <c r="DG45736" s="256"/>
    </row>
    <row r="45737" spans="104:111">
      <c r="CZ45737" s="256"/>
      <c r="DG45737" s="256"/>
    </row>
    <row r="45738" spans="104:111">
      <c r="CZ45738" s="256"/>
      <c r="DG45738" s="256"/>
    </row>
    <row r="45739" spans="104:111">
      <c r="CZ45739" s="256"/>
      <c r="DG45739" s="256"/>
    </row>
    <row r="45740" spans="104:111">
      <c r="CZ45740" s="256"/>
      <c r="DG45740" s="256"/>
    </row>
    <row r="45741" spans="104:111">
      <c r="CZ45741" s="256"/>
      <c r="DG45741" s="256"/>
    </row>
    <row r="45742" spans="104:111">
      <c r="CZ45742" s="256"/>
      <c r="DG45742" s="256"/>
    </row>
    <row r="45743" spans="104:111">
      <c r="CZ45743" s="256"/>
      <c r="DG45743" s="256"/>
    </row>
    <row r="45744" spans="104:111">
      <c r="CZ45744" s="256"/>
      <c r="DG45744" s="256"/>
    </row>
    <row r="45745" spans="104:111">
      <c r="CZ45745" s="256"/>
      <c r="DG45745" s="256"/>
    </row>
    <row r="45746" spans="104:111">
      <c r="CZ45746" s="256"/>
      <c r="DG45746" s="256"/>
    </row>
    <row r="45747" spans="104:111">
      <c r="CZ45747" s="256"/>
      <c r="DG45747" s="256"/>
    </row>
    <row r="45748" spans="104:111">
      <c r="CZ45748" s="256"/>
      <c r="DG45748" s="256"/>
    </row>
    <row r="45749" spans="104:111">
      <c r="CZ45749" s="256"/>
      <c r="DG45749" s="256"/>
    </row>
    <row r="45750" spans="104:111">
      <c r="CZ45750" s="256"/>
      <c r="DG45750" s="256"/>
    </row>
    <row r="45751" spans="104:111">
      <c r="CZ45751" s="256"/>
      <c r="DG45751" s="256"/>
    </row>
    <row r="45752" spans="104:111">
      <c r="CZ45752" s="256"/>
      <c r="DG45752" s="256"/>
    </row>
    <row r="45753" spans="104:111">
      <c r="CZ45753" s="256"/>
      <c r="DG45753" s="256"/>
    </row>
    <row r="45754" spans="104:111">
      <c r="CZ45754" s="256"/>
      <c r="DG45754" s="256"/>
    </row>
    <row r="45755" spans="104:111">
      <c r="CZ45755" s="256"/>
      <c r="DG45755" s="256"/>
    </row>
    <row r="45756" spans="104:111">
      <c r="CZ45756" s="256"/>
      <c r="DG45756" s="256"/>
    </row>
    <row r="45757" spans="104:111">
      <c r="CZ45757" s="256"/>
      <c r="DG45757" s="256"/>
    </row>
    <row r="45758" spans="104:111">
      <c r="CZ45758" s="256"/>
      <c r="DG45758" s="256"/>
    </row>
    <row r="45759" spans="104:111">
      <c r="CZ45759" s="256"/>
      <c r="DG45759" s="256"/>
    </row>
    <row r="45760" spans="104:111">
      <c r="CZ45760" s="256"/>
      <c r="DG45760" s="256"/>
    </row>
    <row r="45761" spans="104:111">
      <c r="CZ45761" s="256"/>
      <c r="DG45761" s="256"/>
    </row>
    <row r="45762" spans="104:111">
      <c r="CZ45762" s="256"/>
      <c r="DG45762" s="256"/>
    </row>
    <row r="45763" spans="104:111">
      <c r="CZ45763" s="256"/>
      <c r="DG45763" s="256"/>
    </row>
    <row r="45764" spans="104:111">
      <c r="CZ45764" s="256"/>
      <c r="DG45764" s="256"/>
    </row>
    <row r="45765" spans="104:111">
      <c r="CZ45765" s="256"/>
      <c r="DG45765" s="256"/>
    </row>
    <row r="45766" spans="104:111">
      <c r="CZ45766" s="256"/>
      <c r="DG45766" s="256"/>
    </row>
    <row r="45767" spans="104:111">
      <c r="CZ45767" s="256"/>
      <c r="DG45767" s="256"/>
    </row>
    <row r="45768" spans="104:111">
      <c r="CZ45768" s="256"/>
      <c r="DG45768" s="256"/>
    </row>
    <row r="45769" spans="104:111">
      <c r="CZ45769" s="256"/>
      <c r="DG45769" s="256"/>
    </row>
    <row r="45770" spans="104:111">
      <c r="CZ45770" s="256"/>
      <c r="DG45770" s="256"/>
    </row>
    <row r="45771" spans="104:111">
      <c r="CZ45771" s="256"/>
      <c r="DG45771" s="256"/>
    </row>
    <row r="45772" spans="104:111">
      <c r="CZ45772" s="256"/>
      <c r="DG45772" s="256"/>
    </row>
    <row r="45773" spans="104:111">
      <c r="CZ45773" s="256"/>
      <c r="DG45773" s="256"/>
    </row>
    <row r="45774" spans="104:111">
      <c r="CZ45774" s="256"/>
      <c r="DG45774" s="256"/>
    </row>
    <row r="45775" spans="104:111">
      <c r="CZ45775" s="256"/>
      <c r="DG45775" s="256"/>
    </row>
    <row r="45776" spans="104:111">
      <c r="CZ45776" s="256"/>
      <c r="DG45776" s="256"/>
    </row>
    <row r="45777" spans="104:111">
      <c r="CZ45777" s="256"/>
      <c r="DG45777" s="256"/>
    </row>
    <row r="45778" spans="104:111">
      <c r="CZ45778" s="256"/>
      <c r="DG45778" s="256"/>
    </row>
    <row r="45779" spans="104:111">
      <c r="CZ45779" s="256"/>
      <c r="DG45779" s="256"/>
    </row>
    <row r="45780" spans="104:111">
      <c r="CZ45780" s="256"/>
      <c r="DG45780" s="256"/>
    </row>
    <row r="45781" spans="104:111">
      <c r="CZ45781" s="256"/>
      <c r="DG45781" s="256"/>
    </row>
    <row r="45782" spans="104:111">
      <c r="CZ45782" s="256"/>
      <c r="DG45782" s="256"/>
    </row>
    <row r="45783" spans="104:111">
      <c r="CZ45783" s="256"/>
      <c r="DG45783" s="256"/>
    </row>
    <row r="45784" spans="104:111">
      <c r="CZ45784" s="256"/>
      <c r="DG45784" s="256"/>
    </row>
    <row r="45785" spans="104:111">
      <c r="CZ45785" s="256"/>
      <c r="DG45785" s="256"/>
    </row>
    <row r="45786" spans="104:111">
      <c r="CZ45786" s="256"/>
      <c r="DG45786" s="256"/>
    </row>
    <row r="45787" spans="104:111">
      <c r="CZ45787" s="256"/>
      <c r="DG45787" s="256"/>
    </row>
    <row r="45788" spans="104:111">
      <c r="CZ45788" s="256"/>
      <c r="DG45788" s="256"/>
    </row>
    <row r="45789" spans="104:111">
      <c r="CZ45789" s="256"/>
      <c r="DG45789" s="256"/>
    </row>
    <row r="45790" spans="104:111">
      <c r="CZ45790" s="256"/>
      <c r="DG45790" s="256"/>
    </row>
    <row r="45791" spans="104:111">
      <c r="CZ45791" s="256"/>
      <c r="DG45791" s="256"/>
    </row>
    <row r="45792" spans="104:111">
      <c r="CZ45792" s="256"/>
      <c r="DG45792" s="256"/>
    </row>
    <row r="45793" spans="104:111">
      <c r="CZ45793" s="256"/>
      <c r="DG45793" s="256"/>
    </row>
    <row r="45794" spans="104:111">
      <c r="CZ45794" s="256"/>
      <c r="DG45794" s="256"/>
    </row>
    <row r="45795" spans="104:111">
      <c r="CZ45795" s="256"/>
      <c r="DG45795" s="256"/>
    </row>
    <row r="45796" spans="104:111">
      <c r="CZ45796" s="256"/>
      <c r="DG45796" s="256"/>
    </row>
    <row r="45797" spans="104:111">
      <c r="CZ45797" s="256"/>
      <c r="DG45797" s="256"/>
    </row>
    <row r="45798" spans="104:111">
      <c r="CZ45798" s="256"/>
      <c r="DG45798" s="256"/>
    </row>
    <row r="45799" spans="104:111">
      <c r="CZ45799" s="256"/>
      <c r="DG45799" s="256"/>
    </row>
    <row r="45800" spans="104:111">
      <c r="CZ45800" s="256"/>
      <c r="DG45800" s="256"/>
    </row>
    <row r="45801" spans="104:111">
      <c r="CZ45801" s="256"/>
      <c r="DG45801" s="256"/>
    </row>
    <row r="45802" spans="104:111">
      <c r="CZ45802" s="256"/>
      <c r="DG45802" s="256"/>
    </row>
    <row r="45803" spans="104:111">
      <c r="CZ45803" s="256"/>
      <c r="DG45803" s="256"/>
    </row>
    <row r="45804" spans="104:111">
      <c r="CZ45804" s="256"/>
      <c r="DG45804" s="256"/>
    </row>
    <row r="45805" spans="104:111">
      <c r="CZ45805" s="256"/>
      <c r="DG45805" s="256"/>
    </row>
    <row r="45806" spans="104:111">
      <c r="CZ45806" s="256"/>
      <c r="DG45806" s="256"/>
    </row>
    <row r="45807" spans="104:111">
      <c r="CZ45807" s="256"/>
      <c r="DG45807" s="256"/>
    </row>
    <row r="45808" spans="104:111">
      <c r="CZ45808" s="256"/>
      <c r="DG45808" s="256"/>
    </row>
    <row r="45809" spans="104:111">
      <c r="CZ45809" s="256"/>
      <c r="DG45809" s="256"/>
    </row>
    <row r="45810" spans="104:111">
      <c r="CZ45810" s="256"/>
      <c r="DG45810" s="256"/>
    </row>
    <row r="45811" spans="104:111">
      <c r="CZ45811" s="256"/>
      <c r="DG45811" s="256"/>
    </row>
    <row r="45812" spans="104:111">
      <c r="CZ45812" s="256"/>
      <c r="DG45812" s="256"/>
    </row>
    <row r="45813" spans="104:111">
      <c r="CZ45813" s="256"/>
      <c r="DG45813" s="256"/>
    </row>
    <row r="45814" spans="104:111">
      <c r="CZ45814" s="256"/>
      <c r="DG45814" s="256"/>
    </row>
    <row r="45815" spans="104:111">
      <c r="CZ45815" s="256"/>
      <c r="DG45815" s="256"/>
    </row>
    <row r="45816" spans="104:111">
      <c r="CZ45816" s="256"/>
      <c r="DG45816" s="256"/>
    </row>
    <row r="45817" spans="104:111">
      <c r="CZ45817" s="256"/>
      <c r="DG45817" s="256"/>
    </row>
    <row r="45818" spans="104:111">
      <c r="CZ45818" s="256"/>
      <c r="DG45818" s="256"/>
    </row>
    <row r="45819" spans="104:111">
      <c r="CZ45819" s="256"/>
      <c r="DG45819" s="256"/>
    </row>
    <row r="45820" spans="104:111">
      <c r="CZ45820" s="256"/>
      <c r="DG45820" s="256"/>
    </row>
    <row r="45821" spans="104:111">
      <c r="CZ45821" s="256"/>
      <c r="DG45821" s="256"/>
    </row>
    <row r="45822" spans="104:111">
      <c r="CZ45822" s="256"/>
      <c r="DG45822" s="256"/>
    </row>
    <row r="45823" spans="104:111">
      <c r="CZ45823" s="256"/>
      <c r="DG45823" s="256"/>
    </row>
    <row r="45824" spans="104:111">
      <c r="CZ45824" s="256"/>
      <c r="DG45824" s="256"/>
    </row>
    <row r="45825" spans="104:111">
      <c r="CZ45825" s="256"/>
      <c r="DG45825" s="256"/>
    </row>
    <row r="45826" spans="104:111">
      <c r="CZ45826" s="256"/>
      <c r="DG45826" s="256"/>
    </row>
    <row r="45827" spans="104:111">
      <c r="CZ45827" s="256"/>
      <c r="DG45827" s="256"/>
    </row>
    <row r="45828" spans="104:111">
      <c r="CZ45828" s="256"/>
      <c r="DG45828" s="256"/>
    </row>
    <row r="45829" spans="104:111">
      <c r="CZ45829" s="256"/>
      <c r="DG45829" s="256"/>
    </row>
    <row r="45830" spans="104:111">
      <c r="CZ45830" s="256"/>
      <c r="DG45830" s="256"/>
    </row>
    <row r="45831" spans="104:111">
      <c r="CZ45831" s="256"/>
      <c r="DG45831" s="256"/>
    </row>
    <row r="45832" spans="104:111">
      <c r="CZ45832" s="256"/>
      <c r="DG45832" s="256"/>
    </row>
    <row r="45833" spans="104:111">
      <c r="CZ45833" s="256"/>
      <c r="DG45833" s="256"/>
    </row>
    <row r="45834" spans="104:111">
      <c r="CZ45834" s="256"/>
      <c r="DG45834" s="256"/>
    </row>
    <row r="45835" spans="104:111">
      <c r="CZ45835" s="256"/>
      <c r="DG45835" s="256"/>
    </row>
    <row r="45836" spans="104:111">
      <c r="CZ45836" s="256"/>
      <c r="DG45836" s="256"/>
    </row>
    <row r="45837" spans="104:111">
      <c r="CZ45837" s="256"/>
      <c r="DG45837" s="256"/>
    </row>
    <row r="45838" spans="104:111">
      <c r="CZ45838" s="256"/>
      <c r="DG45838" s="256"/>
    </row>
    <row r="45839" spans="104:111">
      <c r="CZ45839" s="256"/>
      <c r="DG45839" s="256"/>
    </row>
    <row r="45840" spans="104:111">
      <c r="CZ45840" s="256"/>
      <c r="DG45840" s="256"/>
    </row>
    <row r="45841" spans="104:111">
      <c r="CZ45841" s="256"/>
      <c r="DG45841" s="256"/>
    </row>
    <row r="45842" spans="104:111">
      <c r="CZ45842" s="256"/>
      <c r="DG45842" s="256"/>
    </row>
    <row r="45843" spans="104:111">
      <c r="CZ45843" s="256"/>
      <c r="DG45843" s="256"/>
    </row>
    <row r="45844" spans="104:111">
      <c r="CZ45844" s="256"/>
      <c r="DG45844" s="256"/>
    </row>
    <row r="45845" spans="104:111">
      <c r="CZ45845" s="256"/>
      <c r="DG45845" s="256"/>
    </row>
    <row r="45846" spans="104:111">
      <c r="CZ45846" s="256"/>
      <c r="DG45846" s="256"/>
    </row>
    <row r="45847" spans="104:111">
      <c r="CZ45847" s="256"/>
      <c r="DG45847" s="256"/>
    </row>
    <row r="45848" spans="104:111">
      <c r="CZ45848" s="256"/>
      <c r="DG45848" s="256"/>
    </row>
    <row r="45849" spans="104:111">
      <c r="CZ45849" s="256"/>
      <c r="DG45849" s="256"/>
    </row>
    <row r="45850" spans="104:111">
      <c r="CZ45850" s="256"/>
      <c r="DG45850" s="256"/>
    </row>
    <row r="45851" spans="104:111">
      <c r="CZ45851" s="256"/>
      <c r="DG45851" s="256"/>
    </row>
    <row r="45852" spans="104:111">
      <c r="CZ45852" s="256"/>
      <c r="DG45852" s="256"/>
    </row>
    <row r="45853" spans="104:111">
      <c r="CZ45853" s="256"/>
      <c r="DG45853" s="256"/>
    </row>
    <row r="45854" spans="104:111">
      <c r="CZ45854" s="256"/>
      <c r="DG45854" s="256"/>
    </row>
    <row r="45855" spans="104:111">
      <c r="CZ45855" s="256"/>
      <c r="DG45855" s="256"/>
    </row>
    <row r="45856" spans="104:111">
      <c r="CZ45856" s="256"/>
      <c r="DG45856" s="256"/>
    </row>
    <row r="45857" spans="104:111">
      <c r="CZ45857" s="256"/>
      <c r="DG45857" s="256"/>
    </row>
    <row r="45858" spans="104:111">
      <c r="CZ45858" s="256"/>
      <c r="DG45858" s="256"/>
    </row>
    <row r="45859" spans="104:111">
      <c r="CZ45859" s="256"/>
      <c r="DG45859" s="256"/>
    </row>
    <row r="45860" spans="104:111">
      <c r="CZ45860" s="256"/>
      <c r="DG45860" s="256"/>
    </row>
    <row r="45861" spans="104:111">
      <c r="CZ45861" s="256"/>
      <c r="DG45861" s="256"/>
    </row>
    <row r="45862" spans="104:111">
      <c r="CZ45862" s="256"/>
      <c r="DG45862" s="256"/>
    </row>
    <row r="45863" spans="104:111">
      <c r="CZ45863" s="256"/>
      <c r="DG45863" s="256"/>
    </row>
    <row r="45864" spans="104:111">
      <c r="CZ45864" s="256"/>
      <c r="DG45864" s="256"/>
    </row>
    <row r="45865" spans="104:111">
      <c r="CZ45865" s="256"/>
      <c r="DG45865" s="256"/>
    </row>
    <row r="45866" spans="104:111">
      <c r="CZ45866" s="256"/>
      <c r="DG45866" s="256"/>
    </row>
    <row r="45867" spans="104:111">
      <c r="CZ45867" s="256"/>
      <c r="DG45867" s="256"/>
    </row>
    <row r="45868" spans="104:111">
      <c r="CZ45868" s="256"/>
      <c r="DG45868" s="256"/>
    </row>
    <row r="45869" spans="104:111">
      <c r="CZ45869" s="256"/>
      <c r="DG45869" s="256"/>
    </row>
    <row r="45870" spans="104:111">
      <c r="CZ45870" s="256"/>
      <c r="DG45870" s="256"/>
    </row>
    <row r="45871" spans="104:111">
      <c r="CZ45871" s="256"/>
      <c r="DG45871" s="256"/>
    </row>
    <row r="45872" spans="104:111">
      <c r="CZ45872" s="256"/>
      <c r="DG45872" s="256"/>
    </row>
    <row r="45873" spans="104:111">
      <c r="CZ45873" s="256"/>
      <c r="DG45873" s="256"/>
    </row>
    <row r="45874" spans="104:111">
      <c r="CZ45874" s="256"/>
      <c r="DG45874" s="256"/>
    </row>
    <row r="45875" spans="104:111">
      <c r="CZ45875" s="256"/>
      <c r="DG45875" s="256"/>
    </row>
    <row r="45876" spans="104:111">
      <c r="CZ45876" s="256"/>
      <c r="DG45876" s="256"/>
    </row>
    <row r="45877" spans="104:111">
      <c r="CZ45877" s="256"/>
      <c r="DG45877" s="256"/>
    </row>
    <row r="45878" spans="104:111">
      <c r="CZ45878" s="256"/>
      <c r="DG45878" s="256"/>
    </row>
    <row r="45879" spans="104:111">
      <c r="CZ45879" s="256"/>
      <c r="DG45879" s="256"/>
    </row>
    <row r="45880" spans="104:111">
      <c r="CZ45880" s="256"/>
      <c r="DG45880" s="256"/>
    </row>
    <row r="45881" spans="104:111">
      <c r="CZ45881" s="256"/>
      <c r="DG45881" s="256"/>
    </row>
    <row r="45882" spans="104:111">
      <c r="CZ45882" s="256"/>
      <c r="DG45882" s="256"/>
    </row>
    <row r="45883" spans="104:111">
      <c r="CZ45883" s="256"/>
      <c r="DG45883" s="256"/>
    </row>
    <row r="45884" spans="104:111">
      <c r="CZ45884" s="256"/>
      <c r="DG45884" s="256"/>
    </row>
    <row r="45885" spans="104:111">
      <c r="CZ45885" s="256"/>
      <c r="DG45885" s="256"/>
    </row>
    <row r="45886" spans="104:111">
      <c r="CZ45886" s="256"/>
      <c r="DG45886" s="256"/>
    </row>
    <row r="45887" spans="104:111">
      <c r="CZ45887" s="256"/>
      <c r="DG45887" s="256"/>
    </row>
    <row r="45888" spans="104:111">
      <c r="CZ45888" s="256"/>
      <c r="DG45888" s="256"/>
    </row>
    <row r="45889" spans="104:111">
      <c r="CZ45889" s="256"/>
      <c r="DG45889" s="256"/>
    </row>
    <row r="45890" spans="104:111">
      <c r="CZ45890" s="256"/>
      <c r="DG45890" s="256"/>
    </row>
    <row r="45891" spans="104:111">
      <c r="CZ45891" s="256"/>
      <c r="DG45891" s="256"/>
    </row>
    <row r="45892" spans="104:111">
      <c r="CZ45892" s="256"/>
      <c r="DG45892" s="256"/>
    </row>
    <row r="45893" spans="104:111">
      <c r="CZ45893" s="256"/>
      <c r="DG45893" s="256"/>
    </row>
    <row r="45894" spans="104:111">
      <c r="CZ45894" s="256"/>
      <c r="DG45894" s="256"/>
    </row>
    <row r="45895" spans="104:111">
      <c r="CZ45895" s="256"/>
      <c r="DG45895" s="256"/>
    </row>
    <row r="45896" spans="104:111">
      <c r="CZ45896" s="256"/>
      <c r="DG45896" s="256"/>
    </row>
    <row r="45897" spans="104:111">
      <c r="CZ45897" s="256"/>
      <c r="DG45897" s="256"/>
    </row>
    <row r="45898" spans="104:111">
      <c r="CZ45898" s="256"/>
      <c r="DG45898" s="256"/>
    </row>
    <row r="45899" spans="104:111">
      <c r="CZ45899" s="256"/>
      <c r="DG45899" s="256"/>
    </row>
    <row r="45900" spans="104:111">
      <c r="CZ45900" s="256"/>
      <c r="DG45900" s="256"/>
    </row>
    <row r="45901" spans="104:111">
      <c r="CZ45901" s="256"/>
      <c r="DG45901" s="256"/>
    </row>
    <row r="45902" spans="104:111">
      <c r="CZ45902" s="256"/>
      <c r="DG45902" s="256"/>
    </row>
    <row r="45903" spans="104:111">
      <c r="CZ45903" s="256"/>
      <c r="DG45903" s="256"/>
    </row>
    <row r="45904" spans="104:111">
      <c r="CZ45904" s="256"/>
      <c r="DG45904" s="256"/>
    </row>
    <row r="45905" spans="104:111">
      <c r="CZ45905" s="256"/>
      <c r="DG45905" s="256"/>
    </row>
    <row r="45906" spans="104:111">
      <c r="CZ45906" s="256"/>
      <c r="DG45906" s="256"/>
    </row>
    <row r="45907" spans="104:111">
      <c r="CZ45907" s="256"/>
      <c r="DG45907" s="256"/>
    </row>
    <row r="45908" spans="104:111">
      <c r="CZ45908" s="256"/>
      <c r="DG45908" s="256"/>
    </row>
    <row r="45909" spans="104:111">
      <c r="CZ45909" s="256"/>
      <c r="DG45909" s="256"/>
    </row>
    <row r="45910" spans="104:111">
      <c r="CZ45910" s="256"/>
      <c r="DG45910" s="256"/>
    </row>
    <row r="45911" spans="104:111">
      <c r="CZ45911" s="256"/>
      <c r="DG45911" s="256"/>
    </row>
    <row r="45912" spans="104:111">
      <c r="CZ45912" s="256"/>
      <c r="DG45912" s="256"/>
    </row>
    <row r="45913" spans="104:111">
      <c r="CZ45913" s="256"/>
      <c r="DG45913" s="256"/>
    </row>
    <row r="45914" spans="104:111">
      <c r="CZ45914" s="256"/>
      <c r="DG45914" s="256"/>
    </row>
    <row r="45915" spans="104:111">
      <c r="CZ45915" s="256"/>
      <c r="DG45915" s="256"/>
    </row>
    <row r="45916" spans="104:111">
      <c r="CZ45916" s="256"/>
      <c r="DG45916" s="256"/>
    </row>
    <row r="45917" spans="104:111">
      <c r="CZ45917" s="256"/>
      <c r="DG45917" s="256"/>
    </row>
    <row r="45918" spans="104:111">
      <c r="CZ45918" s="256"/>
      <c r="DG45918" s="256"/>
    </row>
    <row r="45919" spans="104:111">
      <c r="CZ45919" s="256"/>
      <c r="DG45919" s="256"/>
    </row>
    <row r="45920" spans="104:111">
      <c r="CZ45920" s="256"/>
      <c r="DG45920" s="256"/>
    </row>
    <row r="45921" spans="104:111">
      <c r="CZ45921" s="256"/>
      <c r="DG45921" s="256"/>
    </row>
    <row r="45922" spans="104:111">
      <c r="CZ45922" s="256"/>
      <c r="DG45922" s="256"/>
    </row>
    <row r="45923" spans="104:111">
      <c r="CZ45923" s="256"/>
      <c r="DG45923" s="256"/>
    </row>
    <row r="45924" spans="104:111">
      <c r="CZ45924" s="256"/>
      <c r="DG45924" s="256"/>
    </row>
    <row r="45925" spans="104:111">
      <c r="CZ45925" s="256"/>
      <c r="DG45925" s="256"/>
    </row>
    <row r="45926" spans="104:111">
      <c r="CZ45926" s="256"/>
      <c r="DG45926" s="256"/>
    </row>
    <row r="45927" spans="104:111">
      <c r="CZ45927" s="256"/>
      <c r="DG45927" s="256"/>
    </row>
    <row r="45928" spans="104:111">
      <c r="CZ45928" s="256"/>
      <c r="DG45928" s="256"/>
    </row>
    <row r="45929" spans="104:111">
      <c r="CZ45929" s="256"/>
      <c r="DG45929" s="256"/>
    </row>
    <row r="45930" spans="104:111">
      <c r="CZ45930" s="256"/>
      <c r="DG45930" s="256"/>
    </row>
    <row r="45931" spans="104:111">
      <c r="CZ45931" s="256"/>
      <c r="DG45931" s="256"/>
    </row>
    <row r="45932" spans="104:111">
      <c r="CZ45932" s="256"/>
      <c r="DG45932" s="256"/>
    </row>
    <row r="45933" spans="104:111">
      <c r="CZ45933" s="256"/>
      <c r="DG45933" s="256"/>
    </row>
    <row r="45934" spans="104:111">
      <c r="CZ45934" s="256"/>
      <c r="DG45934" s="256"/>
    </row>
    <row r="45935" spans="104:111">
      <c r="CZ45935" s="256"/>
      <c r="DG45935" s="256"/>
    </row>
    <row r="45936" spans="104:111">
      <c r="CZ45936" s="256"/>
      <c r="DG45936" s="256"/>
    </row>
    <row r="45937" spans="104:111">
      <c r="CZ45937" s="256"/>
      <c r="DG45937" s="256"/>
    </row>
    <row r="45938" spans="104:111">
      <c r="CZ45938" s="256"/>
      <c r="DG45938" s="256"/>
    </row>
    <row r="45939" spans="104:111">
      <c r="CZ45939" s="256"/>
      <c r="DG45939" s="256"/>
    </row>
    <row r="45940" spans="104:111">
      <c r="CZ45940" s="256"/>
      <c r="DG45940" s="256"/>
    </row>
    <row r="45941" spans="104:111">
      <c r="CZ45941" s="256"/>
      <c r="DG45941" s="256"/>
    </row>
    <row r="45942" spans="104:111">
      <c r="CZ45942" s="256"/>
      <c r="DG45942" s="256"/>
    </row>
    <row r="45943" spans="104:111">
      <c r="CZ45943" s="256"/>
      <c r="DG45943" s="256"/>
    </row>
    <row r="45944" spans="104:111">
      <c r="CZ45944" s="256"/>
      <c r="DG45944" s="256"/>
    </row>
    <row r="45945" spans="104:111">
      <c r="CZ45945" s="256"/>
      <c r="DG45945" s="256"/>
    </row>
    <row r="45946" spans="104:111">
      <c r="CZ45946" s="256"/>
      <c r="DG45946" s="256"/>
    </row>
    <row r="45947" spans="104:111">
      <c r="CZ45947" s="256"/>
      <c r="DG45947" s="256"/>
    </row>
    <row r="45948" spans="104:111">
      <c r="CZ45948" s="256"/>
      <c r="DG45948" s="256"/>
    </row>
    <row r="45949" spans="104:111">
      <c r="CZ45949" s="256"/>
      <c r="DG45949" s="256"/>
    </row>
    <row r="45950" spans="104:111">
      <c r="CZ45950" s="256"/>
      <c r="DG45950" s="256"/>
    </row>
    <row r="45951" spans="104:111">
      <c r="CZ45951" s="256"/>
      <c r="DG45951" s="256"/>
    </row>
    <row r="45952" spans="104:111">
      <c r="CZ45952" s="256"/>
      <c r="DG45952" s="256"/>
    </row>
    <row r="45953" spans="104:111">
      <c r="CZ45953" s="256"/>
      <c r="DG45953" s="256"/>
    </row>
    <row r="45954" spans="104:111">
      <c r="CZ45954" s="256"/>
      <c r="DG45954" s="256"/>
    </row>
    <row r="45955" spans="104:111">
      <c r="CZ45955" s="256"/>
      <c r="DG45955" s="256"/>
    </row>
    <row r="45956" spans="104:111">
      <c r="CZ45956" s="256"/>
      <c r="DG45956" s="256"/>
    </row>
    <row r="45957" spans="104:111">
      <c r="CZ45957" s="256"/>
      <c r="DG45957" s="256"/>
    </row>
    <row r="45958" spans="104:111">
      <c r="CZ45958" s="256"/>
      <c r="DG45958" s="256"/>
    </row>
    <row r="45959" spans="104:111">
      <c r="CZ45959" s="256"/>
      <c r="DG45959" s="256"/>
    </row>
    <row r="45960" spans="104:111">
      <c r="CZ45960" s="256"/>
      <c r="DG45960" s="256"/>
    </row>
    <row r="45961" spans="104:111">
      <c r="CZ45961" s="256"/>
      <c r="DG45961" s="256"/>
    </row>
    <row r="45962" spans="104:111">
      <c r="CZ45962" s="256"/>
      <c r="DG45962" s="256"/>
    </row>
    <row r="45963" spans="104:111">
      <c r="CZ45963" s="256"/>
      <c r="DG45963" s="256"/>
    </row>
    <row r="45964" spans="104:111">
      <c r="CZ45964" s="256"/>
      <c r="DG45964" s="256"/>
    </row>
    <row r="45965" spans="104:111">
      <c r="CZ45965" s="256"/>
      <c r="DG45965" s="256"/>
    </row>
    <row r="45966" spans="104:111">
      <c r="CZ45966" s="256"/>
      <c r="DG45966" s="256"/>
    </row>
    <row r="45967" spans="104:111">
      <c r="CZ45967" s="256"/>
      <c r="DG45967" s="256"/>
    </row>
    <row r="45968" spans="104:111">
      <c r="CZ45968" s="256"/>
      <c r="DG45968" s="256"/>
    </row>
    <row r="45969" spans="104:111">
      <c r="CZ45969" s="256"/>
      <c r="DG45969" s="256"/>
    </row>
    <row r="45970" spans="104:111">
      <c r="CZ45970" s="256"/>
      <c r="DG45970" s="256"/>
    </row>
    <row r="45971" spans="104:111">
      <c r="CZ45971" s="256"/>
      <c r="DG45971" s="256"/>
    </row>
    <row r="45972" spans="104:111">
      <c r="CZ45972" s="256"/>
      <c r="DG45972" s="256"/>
    </row>
    <row r="45973" spans="104:111">
      <c r="CZ45973" s="256"/>
      <c r="DG45973" s="256"/>
    </row>
    <row r="45974" spans="104:111">
      <c r="CZ45974" s="256"/>
      <c r="DG45974" s="256"/>
    </row>
    <row r="45975" spans="104:111">
      <c r="CZ45975" s="256"/>
      <c r="DG45975" s="256"/>
    </row>
    <row r="45976" spans="104:111">
      <c r="CZ45976" s="256"/>
      <c r="DG45976" s="256"/>
    </row>
    <row r="45977" spans="104:111">
      <c r="CZ45977" s="256"/>
      <c r="DG45977" s="256"/>
    </row>
    <row r="45978" spans="104:111">
      <c r="CZ45978" s="256"/>
      <c r="DG45978" s="256"/>
    </row>
    <row r="45979" spans="104:111">
      <c r="CZ45979" s="256"/>
      <c r="DG45979" s="256"/>
    </row>
    <row r="45980" spans="104:111">
      <c r="CZ45980" s="256"/>
      <c r="DG45980" s="256"/>
    </row>
    <row r="45981" spans="104:111">
      <c r="CZ45981" s="256"/>
      <c r="DG45981" s="256"/>
    </row>
    <row r="45982" spans="104:111">
      <c r="CZ45982" s="256"/>
      <c r="DG45982" s="256"/>
    </row>
    <row r="45983" spans="104:111">
      <c r="CZ45983" s="256"/>
      <c r="DG45983" s="256"/>
    </row>
    <row r="45984" spans="104:111">
      <c r="CZ45984" s="256"/>
      <c r="DG45984" s="256"/>
    </row>
    <row r="45985" spans="104:111">
      <c r="CZ45985" s="256"/>
      <c r="DG45985" s="256"/>
    </row>
    <row r="45986" spans="104:111">
      <c r="CZ45986" s="256"/>
      <c r="DG45986" s="256"/>
    </row>
    <row r="45987" spans="104:111">
      <c r="CZ45987" s="256"/>
      <c r="DG45987" s="256"/>
    </row>
    <row r="45988" spans="104:111">
      <c r="CZ45988" s="256"/>
      <c r="DG45988" s="256"/>
    </row>
    <row r="45989" spans="104:111">
      <c r="CZ45989" s="256"/>
      <c r="DG45989" s="256"/>
    </row>
    <row r="45990" spans="104:111">
      <c r="CZ45990" s="256"/>
      <c r="DG45990" s="256"/>
    </row>
    <row r="45991" spans="104:111">
      <c r="CZ45991" s="256"/>
      <c r="DG45991" s="256"/>
    </row>
    <row r="45992" spans="104:111">
      <c r="CZ45992" s="256"/>
      <c r="DG45992" s="256"/>
    </row>
    <row r="45993" spans="104:111">
      <c r="CZ45993" s="256"/>
      <c r="DG45993" s="256"/>
    </row>
    <row r="45994" spans="104:111">
      <c r="CZ45994" s="256"/>
      <c r="DG45994" s="256"/>
    </row>
    <row r="45995" spans="104:111">
      <c r="CZ45995" s="256"/>
      <c r="DG45995" s="256"/>
    </row>
    <row r="45996" spans="104:111">
      <c r="CZ45996" s="256"/>
      <c r="DG45996" s="256"/>
    </row>
    <row r="45997" spans="104:111">
      <c r="CZ45997" s="256"/>
      <c r="DG45997" s="256"/>
    </row>
    <row r="45998" spans="104:111">
      <c r="CZ45998" s="256"/>
      <c r="DG45998" s="256"/>
    </row>
    <row r="45999" spans="104:111">
      <c r="CZ45999" s="256"/>
      <c r="DG45999" s="256"/>
    </row>
    <row r="46000" spans="104:111">
      <c r="CZ46000" s="256"/>
      <c r="DG46000" s="256"/>
    </row>
    <row r="46001" spans="104:111">
      <c r="CZ46001" s="256"/>
      <c r="DG46001" s="256"/>
    </row>
    <row r="46002" spans="104:111">
      <c r="CZ46002" s="256"/>
      <c r="DG46002" s="256"/>
    </row>
    <row r="46003" spans="104:111">
      <c r="CZ46003" s="256"/>
      <c r="DG46003" s="256"/>
    </row>
    <row r="46004" spans="104:111">
      <c r="CZ46004" s="256"/>
      <c r="DG46004" s="256"/>
    </row>
    <row r="46005" spans="104:111">
      <c r="CZ46005" s="256"/>
      <c r="DG46005" s="256"/>
    </row>
    <row r="46006" spans="104:111">
      <c r="CZ46006" s="256"/>
      <c r="DG46006" s="256"/>
    </row>
    <row r="46007" spans="104:111">
      <c r="CZ46007" s="256"/>
      <c r="DG46007" s="256"/>
    </row>
    <row r="46008" spans="104:111">
      <c r="CZ46008" s="256"/>
      <c r="DG46008" s="256"/>
    </row>
    <row r="46009" spans="104:111">
      <c r="CZ46009" s="256"/>
      <c r="DG46009" s="256"/>
    </row>
    <row r="46010" spans="104:111">
      <c r="CZ46010" s="256"/>
      <c r="DG46010" s="256"/>
    </row>
    <row r="46011" spans="104:111">
      <c r="CZ46011" s="256"/>
      <c r="DG46011" s="256"/>
    </row>
    <row r="46012" spans="104:111">
      <c r="CZ46012" s="256"/>
      <c r="DG46012" s="256"/>
    </row>
    <row r="46013" spans="104:111">
      <c r="CZ46013" s="256"/>
      <c r="DG46013" s="256"/>
    </row>
    <row r="46014" spans="104:111">
      <c r="CZ46014" s="256"/>
      <c r="DG46014" s="256"/>
    </row>
    <row r="46015" spans="104:111">
      <c r="CZ46015" s="256"/>
      <c r="DG46015" s="256"/>
    </row>
    <row r="46016" spans="104:111">
      <c r="CZ46016" s="256"/>
      <c r="DG46016" s="256"/>
    </row>
    <row r="46017" spans="104:111">
      <c r="CZ46017" s="256"/>
      <c r="DG46017" s="256"/>
    </row>
    <row r="46018" spans="104:111">
      <c r="CZ46018" s="256"/>
      <c r="DG46018" s="256"/>
    </row>
    <row r="46019" spans="104:111">
      <c r="CZ46019" s="256"/>
      <c r="DG46019" s="256"/>
    </row>
    <row r="46020" spans="104:111">
      <c r="CZ46020" s="256"/>
      <c r="DG46020" s="256"/>
    </row>
    <row r="46021" spans="104:111">
      <c r="CZ46021" s="256"/>
      <c r="DG46021" s="256"/>
    </row>
    <row r="46022" spans="104:111">
      <c r="CZ46022" s="256"/>
      <c r="DG46022" s="256"/>
    </row>
    <row r="46023" spans="104:111">
      <c r="CZ46023" s="256"/>
      <c r="DG46023" s="256"/>
    </row>
    <row r="46024" spans="104:111">
      <c r="CZ46024" s="256"/>
      <c r="DG46024" s="256"/>
    </row>
    <row r="46025" spans="104:111">
      <c r="CZ46025" s="256"/>
      <c r="DG46025" s="256"/>
    </row>
    <row r="46026" spans="104:111">
      <c r="CZ46026" s="256"/>
      <c r="DG46026" s="256"/>
    </row>
    <row r="46027" spans="104:111">
      <c r="CZ46027" s="256"/>
      <c r="DG46027" s="256"/>
    </row>
    <row r="46028" spans="104:111">
      <c r="CZ46028" s="256"/>
      <c r="DG46028" s="256"/>
    </row>
    <row r="46029" spans="104:111">
      <c r="CZ46029" s="256"/>
      <c r="DG46029" s="256"/>
    </row>
    <row r="46030" spans="104:111">
      <c r="CZ46030" s="256"/>
      <c r="DG46030" s="256"/>
    </row>
    <row r="46031" spans="104:111">
      <c r="CZ46031" s="256"/>
      <c r="DG46031" s="256"/>
    </row>
    <row r="46032" spans="104:111">
      <c r="CZ46032" s="256"/>
      <c r="DG46032" s="256"/>
    </row>
    <row r="46033" spans="104:111">
      <c r="CZ46033" s="256"/>
      <c r="DG46033" s="256"/>
    </row>
    <row r="46034" spans="104:111">
      <c r="CZ46034" s="256"/>
      <c r="DG46034" s="256"/>
    </row>
    <row r="46035" spans="104:111">
      <c r="CZ46035" s="256"/>
      <c r="DG46035" s="256"/>
    </row>
    <row r="46036" spans="104:111">
      <c r="CZ46036" s="256"/>
      <c r="DG46036" s="256"/>
    </row>
    <row r="46037" spans="104:111">
      <c r="CZ46037" s="256"/>
      <c r="DG46037" s="256"/>
    </row>
    <row r="46038" spans="104:111">
      <c r="CZ46038" s="256"/>
      <c r="DG46038" s="256"/>
    </row>
    <row r="46039" spans="104:111">
      <c r="CZ46039" s="256"/>
      <c r="DG46039" s="256"/>
    </row>
    <row r="46040" spans="104:111">
      <c r="CZ46040" s="256"/>
      <c r="DG46040" s="256"/>
    </row>
    <row r="46041" spans="104:111">
      <c r="CZ46041" s="256"/>
      <c r="DG46041" s="256"/>
    </row>
    <row r="46042" spans="104:111">
      <c r="CZ46042" s="256"/>
      <c r="DG46042" s="256"/>
    </row>
    <row r="46043" spans="104:111">
      <c r="CZ46043" s="256"/>
      <c r="DG46043" s="256"/>
    </row>
    <row r="46044" spans="104:111">
      <c r="CZ46044" s="256"/>
      <c r="DG46044" s="256"/>
    </row>
    <row r="46045" spans="104:111">
      <c r="CZ46045" s="256"/>
      <c r="DG46045" s="256"/>
    </row>
    <row r="46046" spans="104:111">
      <c r="CZ46046" s="256"/>
      <c r="DG46046" s="256"/>
    </row>
    <row r="46047" spans="104:111">
      <c r="CZ46047" s="256"/>
      <c r="DG46047" s="256"/>
    </row>
    <row r="46048" spans="104:111">
      <c r="CZ46048" s="256"/>
      <c r="DG46048" s="256"/>
    </row>
    <row r="46049" spans="104:111">
      <c r="CZ46049" s="256"/>
      <c r="DG46049" s="256"/>
    </row>
    <row r="46050" spans="104:111">
      <c r="CZ46050" s="256"/>
      <c r="DG46050" s="256"/>
    </row>
    <row r="46051" spans="104:111">
      <c r="CZ46051" s="256"/>
      <c r="DG46051" s="256"/>
    </row>
    <row r="46052" spans="104:111">
      <c r="CZ46052" s="256"/>
      <c r="DG46052" s="256"/>
    </row>
    <row r="46053" spans="104:111">
      <c r="CZ46053" s="256"/>
      <c r="DG46053" s="256"/>
    </row>
    <row r="46054" spans="104:111">
      <c r="CZ46054" s="256"/>
      <c r="DG46054" s="256"/>
    </row>
    <row r="46055" spans="104:111">
      <c r="CZ46055" s="256"/>
      <c r="DG46055" s="256"/>
    </row>
    <row r="46056" spans="104:111">
      <c r="CZ46056" s="256"/>
      <c r="DG46056" s="256"/>
    </row>
    <row r="46057" spans="104:111">
      <c r="CZ46057" s="256"/>
      <c r="DG46057" s="256"/>
    </row>
    <row r="46058" spans="104:111">
      <c r="CZ46058" s="256"/>
      <c r="DG46058" s="256"/>
    </row>
    <row r="46059" spans="104:111">
      <c r="CZ46059" s="256"/>
      <c r="DG46059" s="256"/>
    </row>
    <row r="46060" spans="104:111">
      <c r="CZ46060" s="256"/>
      <c r="DG46060" s="256"/>
    </row>
    <row r="46061" spans="104:111">
      <c r="CZ46061" s="256"/>
      <c r="DG46061" s="256"/>
    </row>
    <row r="46062" spans="104:111">
      <c r="CZ46062" s="256"/>
      <c r="DG46062" s="256"/>
    </row>
    <row r="46063" spans="104:111">
      <c r="CZ46063" s="256"/>
      <c r="DG46063" s="256"/>
    </row>
    <row r="46064" spans="104:111">
      <c r="CZ46064" s="256"/>
      <c r="DG46064" s="256"/>
    </row>
    <row r="46065" spans="104:111">
      <c r="CZ46065" s="256"/>
      <c r="DG46065" s="256"/>
    </row>
    <row r="46066" spans="104:111">
      <c r="CZ46066" s="256"/>
      <c r="DG46066" s="256"/>
    </row>
    <row r="46067" spans="104:111">
      <c r="CZ46067" s="256"/>
      <c r="DG46067" s="256"/>
    </row>
    <row r="46068" spans="104:111">
      <c r="CZ46068" s="256"/>
      <c r="DG46068" s="256"/>
    </row>
    <row r="46069" spans="104:111">
      <c r="CZ46069" s="256"/>
      <c r="DG46069" s="256"/>
    </row>
    <row r="46070" spans="104:111">
      <c r="CZ46070" s="256"/>
      <c r="DG46070" s="256"/>
    </row>
    <row r="46071" spans="104:111">
      <c r="CZ46071" s="256"/>
      <c r="DG46071" s="256"/>
    </row>
    <row r="46072" spans="104:111">
      <c r="CZ46072" s="256"/>
      <c r="DG46072" s="256"/>
    </row>
    <row r="46073" spans="104:111">
      <c r="CZ46073" s="256"/>
      <c r="DG46073" s="256"/>
    </row>
    <row r="46074" spans="104:111">
      <c r="CZ46074" s="256"/>
      <c r="DG46074" s="256"/>
    </row>
    <row r="46075" spans="104:111">
      <c r="CZ46075" s="256"/>
      <c r="DG46075" s="256"/>
    </row>
    <row r="46076" spans="104:111">
      <c r="CZ46076" s="256"/>
      <c r="DG46076" s="256"/>
    </row>
    <row r="46077" spans="104:111">
      <c r="CZ46077" s="256"/>
      <c r="DG46077" s="256"/>
    </row>
    <row r="46078" spans="104:111">
      <c r="CZ46078" s="256"/>
      <c r="DG46078" s="256"/>
    </row>
    <row r="46079" spans="104:111">
      <c r="CZ46079" s="256"/>
      <c r="DG46079" s="256"/>
    </row>
    <row r="46080" spans="104:111">
      <c r="CZ46080" s="256"/>
      <c r="DG46080" s="256"/>
    </row>
    <row r="46081" spans="104:111">
      <c r="CZ46081" s="256"/>
      <c r="DG46081" s="256"/>
    </row>
    <row r="46082" spans="104:111">
      <c r="CZ46082" s="256"/>
      <c r="DG46082" s="256"/>
    </row>
    <row r="46083" spans="104:111">
      <c r="CZ46083" s="256"/>
      <c r="DG46083" s="256"/>
    </row>
    <row r="46084" spans="104:111">
      <c r="CZ46084" s="256"/>
      <c r="DG46084" s="256"/>
    </row>
    <row r="46085" spans="104:111">
      <c r="CZ46085" s="256"/>
      <c r="DG46085" s="256"/>
    </row>
    <row r="46086" spans="104:111">
      <c r="CZ46086" s="256"/>
      <c r="DG46086" s="256"/>
    </row>
    <row r="46087" spans="104:111">
      <c r="CZ46087" s="256"/>
      <c r="DG46087" s="256"/>
    </row>
    <row r="46088" spans="104:111">
      <c r="CZ46088" s="256"/>
      <c r="DG46088" s="256"/>
    </row>
    <row r="46089" spans="104:111">
      <c r="CZ46089" s="256"/>
      <c r="DG46089" s="256"/>
    </row>
    <row r="46090" spans="104:111">
      <c r="CZ46090" s="256"/>
      <c r="DG46090" s="256"/>
    </row>
    <row r="46091" spans="104:111">
      <c r="CZ46091" s="256"/>
      <c r="DG46091" s="256"/>
    </row>
    <row r="46092" spans="104:111">
      <c r="CZ46092" s="256"/>
      <c r="DG46092" s="256"/>
    </row>
    <row r="46093" spans="104:111">
      <c r="CZ46093" s="256"/>
      <c r="DG46093" s="256"/>
    </row>
    <row r="46094" spans="104:111">
      <c r="CZ46094" s="256"/>
      <c r="DG46094" s="256"/>
    </row>
    <row r="46095" spans="104:111">
      <c r="CZ46095" s="256"/>
      <c r="DG46095" s="256"/>
    </row>
    <row r="46096" spans="104:111">
      <c r="CZ46096" s="256"/>
      <c r="DG46096" s="256"/>
    </row>
    <row r="46097" spans="104:111">
      <c r="CZ46097" s="256"/>
      <c r="DG46097" s="256"/>
    </row>
    <row r="46098" spans="104:111">
      <c r="CZ46098" s="256"/>
      <c r="DG46098" s="256"/>
    </row>
    <row r="46099" spans="104:111">
      <c r="CZ46099" s="256"/>
      <c r="DG46099" s="256"/>
    </row>
    <row r="46100" spans="104:111">
      <c r="CZ46100" s="256"/>
      <c r="DG46100" s="256"/>
    </row>
    <row r="46101" spans="104:111">
      <c r="CZ46101" s="256"/>
      <c r="DG46101" s="256"/>
    </row>
    <row r="46102" spans="104:111">
      <c r="CZ46102" s="256"/>
      <c r="DG46102" s="256"/>
    </row>
    <row r="46103" spans="104:111">
      <c r="CZ46103" s="256"/>
      <c r="DG46103" s="256"/>
    </row>
    <row r="46104" spans="104:111">
      <c r="CZ46104" s="256"/>
      <c r="DG46104" s="256"/>
    </row>
    <row r="46105" spans="104:111">
      <c r="CZ46105" s="256"/>
      <c r="DG46105" s="256"/>
    </row>
    <row r="46106" spans="104:111">
      <c r="CZ46106" s="256"/>
      <c r="DG46106" s="256"/>
    </row>
    <row r="46107" spans="104:111">
      <c r="CZ46107" s="256"/>
      <c r="DG46107" s="256"/>
    </row>
    <row r="46108" spans="104:111">
      <c r="CZ46108" s="256"/>
      <c r="DG46108" s="256"/>
    </row>
    <row r="46109" spans="104:111">
      <c r="CZ46109" s="256"/>
      <c r="DG46109" s="256"/>
    </row>
    <row r="46110" spans="104:111">
      <c r="CZ46110" s="256"/>
      <c r="DG46110" s="256"/>
    </row>
    <row r="46111" spans="104:111">
      <c r="CZ46111" s="256"/>
      <c r="DG46111" s="256"/>
    </row>
    <row r="46112" spans="104:111">
      <c r="CZ46112" s="256"/>
      <c r="DG46112" s="256"/>
    </row>
    <row r="46113" spans="104:111">
      <c r="CZ46113" s="256"/>
      <c r="DG46113" s="256"/>
    </row>
    <row r="46114" spans="104:111">
      <c r="CZ46114" s="256"/>
      <c r="DG46114" s="256"/>
    </row>
    <row r="46115" spans="104:111">
      <c r="CZ46115" s="256"/>
      <c r="DG46115" s="256"/>
    </row>
    <row r="46116" spans="104:111">
      <c r="CZ46116" s="256"/>
      <c r="DG46116" s="256"/>
    </row>
    <row r="46117" spans="104:111">
      <c r="CZ46117" s="256"/>
      <c r="DG46117" s="256"/>
    </row>
    <row r="46118" spans="104:111">
      <c r="CZ46118" s="256"/>
      <c r="DG46118" s="256"/>
    </row>
    <row r="46119" spans="104:111">
      <c r="CZ46119" s="256"/>
      <c r="DG46119" s="256"/>
    </row>
    <row r="46120" spans="104:111">
      <c r="CZ46120" s="256"/>
      <c r="DG46120" s="256"/>
    </row>
    <row r="46121" spans="104:111">
      <c r="CZ46121" s="256"/>
      <c r="DG46121" s="256"/>
    </row>
    <row r="46122" spans="104:111">
      <c r="CZ46122" s="256"/>
      <c r="DG46122" s="256"/>
    </row>
    <row r="46123" spans="104:111">
      <c r="CZ46123" s="256"/>
      <c r="DG46123" s="256"/>
    </row>
    <row r="46124" spans="104:111">
      <c r="CZ46124" s="256"/>
      <c r="DG46124" s="256"/>
    </row>
    <row r="46125" spans="104:111">
      <c r="CZ46125" s="256"/>
      <c r="DG46125" s="256"/>
    </row>
    <row r="46126" spans="104:111">
      <c r="CZ46126" s="256"/>
      <c r="DG46126" s="256"/>
    </row>
    <row r="46127" spans="104:111">
      <c r="CZ46127" s="256"/>
      <c r="DG46127" s="256"/>
    </row>
    <row r="46128" spans="104:111">
      <c r="CZ46128" s="256"/>
      <c r="DG46128" s="256"/>
    </row>
    <row r="46129" spans="104:111">
      <c r="CZ46129" s="256"/>
      <c r="DG46129" s="256"/>
    </row>
    <row r="46130" spans="104:111">
      <c r="CZ46130" s="256"/>
      <c r="DG46130" s="256"/>
    </row>
    <row r="46131" spans="104:111">
      <c r="CZ46131" s="256"/>
      <c r="DG46131" s="256"/>
    </row>
    <row r="46132" spans="104:111">
      <c r="CZ46132" s="256"/>
      <c r="DG46132" s="256"/>
    </row>
    <row r="46133" spans="104:111">
      <c r="CZ46133" s="256"/>
      <c r="DG46133" s="256"/>
    </row>
    <row r="46134" spans="104:111">
      <c r="CZ46134" s="256"/>
      <c r="DG46134" s="256"/>
    </row>
    <row r="46135" spans="104:111">
      <c r="CZ46135" s="256"/>
      <c r="DG46135" s="256"/>
    </row>
    <row r="46136" spans="104:111">
      <c r="CZ46136" s="256"/>
      <c r="DG46136" s="256"/>
    </row>
    <row r="46137" spans="104:111">
      <c r="CZ46137" s="256"/>
      <c r="DG46137" s="256"/>
    </row>
    <row r="46138" spans="104:111">
      <c r="CZ46138" s="256"/>
      <c r="DG46138" s="256"/>
    </row>
    <row r="46139" spans="104:111">
      <c r="CZ46139" s="256"/>
      <c r="DG46139" s="256"/>
    </row>
    <row r="46140" spans="104:111">
      <c r="CZ46140" s="256"/>
      <c r="DG46140" s="256"/>
    </row>
    <row r="46141" spans="104:111">
      <c r="CZ46141" s="256"/>
      <c r="DG46141" s="256"/>
    </row>
    <row r="46142" spans="104:111">
      <c r="CZ46142" s="256"/>
      <c r="DG46142" s="256"/>
    </row>
    <row r="46143" spans="104:111">
      <c r="CZ46143" s="256"/>
      <c r="DG46143" s="256"/>
    </row>
    <row r="46144" spans="104:111">
      <c r="CZ46144" s="256"/>
      <c r="DG46144" s="256"/>
    </row>
    <row r="46145" spans="104:111">
      <c r="CZ46145" s="256"/>
      <c r="DG46145" s="256"/>
    </row>
    <row r="46146" spans="104:111">
      <c r="CZ46146" s="256"/>
      <c r="DG46146" s="256"/>
    </row>
    <row r="46147" spans="104:111">
      <c r="CZ46147" s="256"/>
      <c r="DG46147" s="256"/>
    </row>
    <row r="46148" spans="104:111">
      <c r="CZ46148" s="256"/>
      <c r="DG46148" s="256"/>
    </row>
    <row r="46149" spans="104:111">
      <c r="CZ46149" s="256"/>
      <c r="DG46149" s="256"/>
    </row>
    <row r="46150" spans="104:111">
      <c r="CZ46150" s="256"/>
      <c r="DG46150" s="256"/>
    </row>
    <row r="46151" spans="104:111">
      <c r="CZ46151" s="256"/>
      <c r="DG46151" s="256"/>
    </row>
    <row r="46152" spans="104:111">
      <c r="CZ46152" s="256"/>
      <c r="DG46152" s="256"/>
    </row>
    <row r="46153" spans="104:111">
      <c r="CZ46153" s="256"/>
      <c r="DG46153" s="256"/>
    </row>
    <row r="46154" spans="104:111">
      <c r="CZ46154" s="256"/>
      <c r="DG46154" s="256"/>
    </row>
    <row r="46155" spans="104:111">
      <c r="CZ46155" s="256"/>
      <c r="DG46155" s="256"/>
    </row>
    <row r="46156" spans="104:111">
      <c r="CZ46156" s="256"/>
      <c r="DG46156" s="256"/>
    </row>
    <row r="46157" spans="104:111">
      <c r="CZ46157" s="256"/>
      <c r="DG46157" s="256"/>
    </row>
    <row r="46158" spans="104:111">
      <c r="CZ46158" s="256"/>
      <c r="DG46158" s="256"/>
    </row>
    <row r="46159" spans="104:111">
      <c r="CZ46159" s="256"/>
      <c r="DG46159" s="256"/>
    </row>
    <row r="46160" spans="104:111">
      <c r="CZ46160" s="256"/>
      <c r="DG46160" s="256"/>
    </row>
    <row r="46161" spans="104:111">
      <c r="CZ46161" s="256"/>
      <c r="DG46161" s="256"/>
    </row>
    <row r="46162" spans="104:111">
      <c r="CZ46162" s="256"/>
      <c r="DG46162" s="256"/>
    </row>
    <row r="46163" spans="104:111">
      <c r="CZ46163" s="256"/>
      <c r="DG46163" s="256"/>
    </row>
    <row r="46164" spans="104:111">
      <c r="CZ46164" s="256"/>
      <c r="DG46164" s="256"/>
    </row>
    <row r="46165" spans="104:111">
      <c r="CZ46165" s="256"/>
      <c r="DG46165" s="256"/>
    </row>
    <row r="46166" spans="104:111">
      <c r="CZ46166" s="256"/>
      <c r="DG46166" s="256"/>
    </row>
    <row r="46167" spans="104:111">
      <c r="CZ46167" s="256"/>
      <c r="DG46167" s="256"/>
    </row>
    <row r="46168" spans="104:111">
      <c r="CZ46168" s="256"/>
      <c r="DG46168" s="256"/>
    </row>
    <row r="46169" spans="104:111">
      <c r="CZ46169" s="256"/>
      <c r="DG46169" s="256"/>
    </row>
    <row r="46170" spans="104:111">
      <c r="CZ46170" s="256"/>
      <c r="DG46170" s="256"/>
    </row>
    <row r="46171" spans="104:111">
      <c r="CZ46171" s="256"/>
      <c r="DG46171" s="256"/>
    </row>
    <row r="46172" spans="104:111">
      <c r="CZ46172" s="256"/>
      <c r="DG46172" s="256"/>
    </row>
    <row r="46173" spans="104:111">
      <c r="CZ46173" s="256"/>
      <c r="DG46173" s="256"/>
    </row>
    <row r="46174" spans="104:111">
      <c r="CZ46174" s="256"/>
      <c r="DG46174" s="256"/>
    </row>
    <row r="46175" spans="104:111">
      <c r="CZ46175" s="256"/>
      <c r="DG46175" s="256"/>
    </row>
    <row r="46176" spans="104:111">
      <c r="CZ46176" s="256"/>
      <c r="DG46176" s="256"/>
    </row>
    <row r="46177" spans="104:111">
      <c r="CZ46177" s="256"/>
      <c r="DG46177" s="256"/>
    </row>
    <row r="46178" spans="104:111">
      <c r="CZ46178" s="256"/>
      <c r="DG46178" s="256"/>
    </row>
    <row r="46179" spans="104:111">
      <c r="CZ46179" s="256"/>
      <c r="DG46179" s="256"/>
    </row>
    <row r="46180" spans="104:111">
      <c r="CZ46180" s="256"/>
      <c r="DG46180" s="256"/>
    </row>
    <row r="46181" spans="104:111">
      <c r="CZ46181" s="256"/>
      <c r="DG46181" s="256"/>
    </row>
    <row r="46182" spans="104:111">
      <c r="CZ46182" s="256"/>
      <c r="DG46182" s="256"/>
    </row>
    <row r="46183" spans="104:111">
      <c r="CZ46183" s="256"/>
      <c r="DG46183" s="256"/>
    </row>
    <row r="46184" spans="104:111">
      <c r="CZ46184" s="256"/>
      <c r="DG46184" s="256"/>
    </row>
    <row r="46185" spans="104:111">
      <c r="CZ46185" s="256"/>
      <c r="DG46185" s="256"/>
    </row>
    <row r="46186" spans="104:111">
      <c r="CZ46186" s="256"/>
      <c r="DG46186" s="256"/>
    </row>
    <row r="46187" spans="104:111">
      <c r="CZ46187" s="256"/>
      <c r="DG46187" s="256"/>
    </row>
    <row r="46188" spans="104:111">
      <c r="CZ46188" s="256"/>
      <c r="DG46188" s="256"/>
    </row>
    <row r="46189" spans="104:111">
      <c r="CZ46189" s="256"/>
      <c r="DG46189" s="256"/>
    </row>
    <row r="46190" spans="104:111">
      <c r="CZ46190" s="256"/>
      <c r="DG46190" s="256"/>
    </row>
    <row r="46191" spans="104:111">
      <c r="CZ46191" s="256"/>
      <c r="DG46191" s="256"/>
    </row>
    <row r="46192" spans="104:111">
      <c r="CZ46192" s="256"/>
      <c r="DG46192" s="256"/>
    </row>
    <row r="46193" spans="104:111">
      <c r="CZ46193" s="256"/>
      <c r="DG46193" s="256"/>
    </row>
    <row r="46194" spans="104:111">
      <c r="CZ46194" s="256"/>
      <c r="DG46194" s="256"/>
    </row>
    <row r="46195" spans="104:111">
      <c r="CZ46195" s="256"/>
      <c r="DG46195" s="256"/>
    </row>
    <row r="46196" spans="104:111">
      <c r="CZ46196" s="256"/>
      <c r="DG46196" s="256"/>
    </row>
    <row r="46197" spans="104:111">
      <c r="CZ46197" s="256"/>
      <c r="DG46197" s="256"/>
    </row>
    <row r="46198" spans="104:111">
      <c r="CZ46198" s="256"/>
      <c r="DG46198" s="256"/>
    </row>
    <row r="46199" spans="104:111">
      <c r="CZ46199" s="256"/>
      <c r="DG46199" s="256"/>
    </row>
    <row r="46200" spans="104:111">
      <c r="CZ46200" s="256"/>
      <c r="DG46200" s="256"/>
    </row>
    <row r="46201" spans="104:111">
      <c r="CZ46201" s="256"/>
      <c r="DG46201" s="256"/>
    </row>
    <row r="46202" spans="104:111">
      <c r="CZ46202" s="256"/>
      <c r="DG46202" s="256"/>
    </row>
    <row r="46203" spans="104:111">
      <c r="CZ46203" s="256"/>
      <c r="DG46203" s="256"/>
    </row>
    <row r="46204" spans="104:111">
      <c r="CZ46204" s="256"/>
      <c r="DG46204" s="256"/>
    </row>
    <row r="46205" spans="104:111">
      <c r="CZ46205" s="256"/>
      <c r="DG46205" s="256"/>
    </row>
    <row r="46206" spans="104:111">
      <c r="CZ46206" s="256"/>
      <c r="DG46206" s="256"/>
    </row>
    <row r="46207" spans="104:111">
      <c r="CZ46207" s="256"/>
      <c r="DG46207" s="256"/>
    </row>
    <row r="46208" spans="104:111">
      <c r="CZ46208" s="256"/>
      <c r="DG46208" s="256"/>
    </row>
    <row r="46209" spans="104:111">
      <c r="CZ46209" s="256"/>
      <c r="DG46209" s="256"/>
    </row>
    <row r="46210" spans="104:111">
      <c r="CZ46210" s="256"/>
      <c r="DG46210" s="256"/>
    </row>
    <row r="46211" spans="104:111">
      <c r="CZ46211" s="256"/>
      <c r="DG46211" s="256"/>
    </row>
    <row r="46212" spans="104:111">
      <c r="CZ46212" s="256"/>
      <c r="DG46212" s="256"/>
    </row>
    <row r="46213" spans="104:111">
      <c r="CZ46213" s="256"/>
      <c r="DG46213" s="256"/>
    </row>
    <row r="46214" spans="104:111">
      <c r="CZ46214" s="256"/>
      <c r="DG46214" s="256"/>
    </row>
    <row r="46215" spans="104:111">
      <c r="CZ46215" s="256"/>
      <c r="DG46215" s="256"/>
    </row>
    <row r="46216" spans="104:111">
      <c r="CZ46216" s="256"/>
      <c r="DG46216" s="256"/>
    </row>
    <row r="46217" spans="104:111">
      <c r="CZ46217" s="256"/>
      <c r="DG46217" s="256"/>
    </row>
    <row r="46218" spans="104:111">
      <c r="CZ46218" s="256"/>
      <c r="DG46218" s="256"/>
    </row>
    <row r="46219" spans="104:111">
      <c r="CZ46219" s="256"/>
      <c r="DG46219" s="256"/>
    </row>
    <row r="46220" spans="104:111">
      <c r="CZ46220" s="256"/>
      <c r="DG46220" s="256"/>
    </row>
    <row r="46221" spans="104:111">
      <c r="CZ46221" s="256"/>
      <c r="DG46221" s="256"/>
    </row>
    <row r="46222" spans="104:111">
      <c r="CZ46222" s="256"/>
      <c r="DG46222" s="256"/>
    </row>
    <row r="46223" spans="104:111">
      <c r="CZ46223" s="256"/>
      <c r="DG46223" s="256"/>
    </row>
    <row r="46224" spans="104:111">
      <c r="CZ46224" s="256"/>
      <c r="DG46224" s="256"/>
    </row>
    <row r="46225" spans="104:111">
      <c r="CZ46225" s="256"/>
      <c r="DG46225" s="256"/>
    </row>
    <row r="46226" spans="104:111">
      <c r="CZ46226" s="256"/>
      <c r="DG46226" s="256"/>
    </row>
    <row r="46227" spans="104:111">
      <c r="CZ46227" s="256"/>
      <c r="DG46227" s="256"/>
    </row>
    <row r="46228" spans="104:111">
      <c r="CZ46228" s="256"/>
      <c r="DG46228" s="256"/>
    </row>
    <row r="46229" spans="104:111">
      <c r="CZ46229" s="256"/>
      <c r="DG46229" s="256"/>
    </row>
    <row r="46230" spans="104:111">
      <c r="CZ46230" s="256"/>
      <c r="DG46230" s="256"/>
    </row>
    <row r="46231" spans="104:111">
      <c r="CZ46231" s="256"/>
      <c r="DG46231" s="256"/>
    </row>
    <row r="46232" spans="104:111">
      <c r="CZ46232" s="256"/>
      <c r="DG46232" s="256"/>
    </row>
    <row r="46233" spans="104:111">
      <c r="CZ46233" s="256"/>
      <c r="DG46233" s="256"/>
    </row>
    <row r="46234" spans="104:111">
      <c r="CZ46234" s="256"/>
      <c r="DG46234" s="256"/>
    </row>
    <row r="46235" spans="104:111">
      <c r="CZ46235" s="256"/>
      <c r="DG46235" s="256"/>
    </row>
    <row r="46236" spans="104:111">
      <c r="CZ46236" s="256"/>
      <c r="DG46236" s="256"/>
    </row>
    <row r="46237" spans="104:111">
      <c r="CZ46237" s="256"/>
      <c r="DG46237" s="256"/>
    </row>
    <row r="46238" spans="104:111">
      <c r="CZ46238" s="256"/>
      <c r="DG46238" s="256"/>
    </row>
    <row r="46239" spans="104:111">
      <c r="CZ46239" s="256"/>
      <c r="DG46239" s="256"/>
    </row>
    <row r="46240" spans="104:111">
      <c r="CZ46240" s="256"/>
      <c r="DG46240" s="256"/>
    </row>
    <row r="46241" spans="104:111">
      <c r="CZ46241" s="256"/>
      <c r="DG46241" s="256"/>
    </row>
    <row r="46242" spans="104:111">
      <c r="CZ46242" s="256"/>
      <c r="DG46242" s="256"/>
    </row>
    <row r="46243" spans="104:111">
      <c r="CZ46243" s="256"/>
      <c r="DG46243" s="256"/>
    </row>
    <row r="46244" spans="104:111">
      <c r="CZ46244" s="256"/>
      <c r="DG46244" s="256"/>
    </row>
    <row r="46245" spans="104:111">
      <c r="CZ46245" s="256"/>
      <c r="DG46245" s="256"/>
    </row>
    <row r="46246" spans="104:111">
      <c r="CZ46246" s="256"/>
      <c r="DG46246" s="256"/>
    </row>
    <row r="46247" spans="104:111">
      <c r="CZ46247" s="256"/>
      <c r="DG46247" s="256"/>
    </row>
    <row r="46248" spans="104:111">
      <c r="CZ46248" s="256"/>
      <c r="DG46248" s="256"/>
    </row>
    <row r="46249" spans="104:111">
      <c r="CZ46249" s="256"/>
      <c r="DG46249" s="256"/>
    </row>
    <row r="46250" spans="104:111">
      <c r="CZ46250" s="256"/>
      <c r="DG46250" s="256"/>
    </row>
    <row r="46251" spans="104:111">
      <c r="CZ46251" s="256"/>
      <c r="DG46251" s="256"/>
    </row>
    <row r="46252" spans="104:111">
      <c r="CZ46252" s="256"/>
      <c r="DG46252" s="256"/>
    </row>
    <row r="46253" spans="104:111">
      <c r="CZ46253" s="256"/>
      <c r="DG46253" s="256"/>
    </row>
    <row r="46254" spans="104:111">
      <c r="CZ46254" s="256"/>
      <c r="DG46254" s="256"/>
    </row>
    <row r="46255" spans="104:111">
      <c r="CZ46255" s="256"/>
      <c r="DG46255" s="256"/>
    </row>
    <row r="46256" spans="104:111">
      <c r="CZ46256" s="256"/>
      <c r="DG46256" s="256"/>
    </row>
    <row r="46257" spans="104:111">
      <c r="CZ46257" s="256"/>
      <c r="DG46257" s="256"/>
    </row>
    <row r="46258" spans="104:111">
      <c r="CZ46258" s="256"/>
      <c r="DG46258" s="256"/>
    </row>
    <row r="46259" spans="104:111">
      <c r="CZ46259" s="256"/>
      <c r="DG46259" s="256"/>
    </row>
    <row r="46260" spans="104:111">
      <c r="CZ46260" s="256"/>
      <c r="DG46260" s="256"/>
    </row>
    <row r="46261" spans="104:111">
      <c r="CZ46261" s="256"/>
      <c r="DG46261" s="256"/>
    </row>
    <row r="46262" spans="104:111">
      <c r="CZ46262" s="256"/>
      <c r="DG46262" s="256"/>
    </row>
    <row r="46263" spans="104:111">
      <c r="CZ46263" s="256"/>
      <c r="DG46263" s="256"/>
    </row>
    <row r="46264" spans="104:111">
      <c r="CZ46264" s="256"/>
      <c r="DG46264" s="256"/>
    </row>
    <row r="46265" spans="104:111">
      <c r="CZ46265" s="256"/>
      <c r="DG46265" s="256"/>
    </row>
    <row r="46266" spans="104:111">
      <c r="CZ46266" s="256"/>
      <c r="DG46266" s="256"/>
    </row>
    <row r="46267" spans="104:111">
      <c r="CZ46267" s="256"/>
      <c r="DG46267" s="256"/>
    </row>
    <row r="46268" spans="104:111">
      <c r="CZ46268" s="256"/>
      <c r="DG46268" s="256"/>
    </row>
    <row r="46269" spans="104:111">
      <c r="CZ46269" s="256"/>
      <c r="DG46269" s="256"/>
    </row>
    <row r="46270" spans="104:111">
      <c r="CZ46270" s="256"/>
      <c r="DG46270" s="256"/>
    </row>
    <row r="46271" spans="104:111">
      <c r="CZ46271" s="256"/>
      <c r="DG46271" s="256"/>
    </row>
    <row r="46272" spans="104:111">
      <c r="CZ46272" s="256"/>
      <c r="DG46272" s="256"/>
    </row>
    <row r="46273" spans="104:111">
      <c r="CZ46273" s="256"/>
      <c r="DG46273" s="256"/>
    </row>
    <row r="46274" spans="104:111">
      <c r="CZ46274" s="256"/>
      <c r="DG46274" s="256"/>
    </row>
    <row r="46275" spans="104:111">
      <c r="CZ46275" s="256"/>
      <c r="DG46275" s="256"/>
    </row>
    <row r="46276" spans="104:111">
      <c r="CZ46276" s="256"/>
      <c r="DG46276" s="256"/>
    </row>
    <row r="46277" spans="104:111">
      <c r="CZ46277" s="256"/>
      <c r="DG46277" s="256"/>
    </row>
    <row r="46278" spans="104:111">
      <c r="CZ46278" s="256"/>
      <c r="DG46278" s="256"/>
    </row>
    <row r="46279" spans="104:111">
      <c r="CZ46279" s="256"/>
      <c r="DG46279" s="256"/>
    </row>
    <row r="46280" spans="104:111">
      <c r="CZ46280" s="256"/>
      <c r="DG46280" s="256"/>
    </row>
    <row r="46281" spans="104:111">
      <c r="CZ46281" s="256"/>
      <c r="DG46281" s="256"/>
    </row>
    <row r="46282" spans="104:111">
      <c r="CZ46282" s="256"/>
      <c r="DG46282" s="256"/>
    </row>
    <row r="46283" spans="104:111">
      <c r="CZ46283" s="256"/>
      <c r="DG46283" s="256"/>
    </row>
    <row r="46284" spans="104:111">
      <c r="CZ46284" s="256"/>
      <c r="DG46284" s="256"/>
    </row>
    <row r="46285" spans="104:111">
      <c r="CZ46285" s="256"/>
      <c r="DG46285" s="256"/>
    </row>
    <row r="46286" spans="104:111">
      <c r="CZ46286" s="256"/>
      <c r="DG46286" s="256"/>
    </row>
    <row r="46287" spans="104:111">
      <c r="CZ46287" s="256"/>
      <c r="DG46287" s="256"/>
    </row>
    <row r="46288" spans="104:111">
      <c r="CZ46288" s="256"/>
      <c r="DG46288" s="256"/>
    </row>
    <row r="46289" spans="104:111">
      <c r="CZ46289" s="256"/>
      <c r="DG46289" s="256"/>
    </row>
    <row r="46290" spans="104:111">
      <c r="CZ46290" s="256"/>
      <c r="DG46290" s="256"/>
    </row>
    <row r="46291" spans="104:111">
      <c r="CZ46291" s="256"/>
      <c r="DG46291" s="256"/>
    </row>
    <row r="46292" spans="104:111">
      <c r="CZ46292" s="256"/>
      <c r="DG46292" s="256"/>
    </row>
    <row r="46293" spans="104:111">
      <c r="CZ46293" s="256"/>
      <c r="DG46293" s="256"/>
    </row>
    <row r="46294" spans="104:111">
      <c r="CZ46294" s="256"/>
      <c r="DG46294" s="256"/>
    </row>
    <row r="46295" spans="104:111">
      <c r="CZ46295" s="256"/>
      <c r="DG46295" s="256"/>
    </row>
    <row r="46296" spans="104:111">
      <c r="CZ46296" s="256"/>
      <c r="DG46296" s="256"/>
    </row>
    <row r="46297" spans="104:111">
      <c r="CZ46297" s="256"/>
      <c r="DG46297" s="256"/>
    </row>
    <row r="46298" spans="104:111">
      <c r="CZ46298" s="256"/>
      <c r="DG46298" s="256"/>
    </row>
    <row r="46299" spans="104:111">
      <c r="CZ46299" s="256"/>
      <c r="DG46299" s="256"/>
    </row>
    <row r="46300" spans="104:111">
      <c r="CZ46300" s="256"/>
      <c r="DG46300" s="256"/>
    </row>
    <row r="46301" spans="104:111">
      <c r="CZ46301" s="256"/>
      <c r="DG46301" s="256"/>
    </row>
    <row r="46302" spans="104:111">
      <c r="CZ46302" s="256"/>
      <c r="DG46302" s="256"/>
    </row>
    <row r="46303" spans="104:111">
      <c r="CZ46303" s="256"/>
      <c r="DG46303" s="256"/>
    </row>
    <row r="46304" spans="104:111">
      <c r="CZ46304" s="256"/>
      <c r="DG46304" s="256"/>
    </row>
    <row r="46305" spans="104:111">
      <c r="CZ46305" s="256"/>
      <c r="DG46305" s="256"/>
    </row>
    <row r="46306" spans="104:111">
      <c r="CZ46306" s="256"/>
      <c r="DG46306" s="256"/>
    </row>
    <row r="46307" spans="104:111">
      <c r="CZ46307" s="256"/>
      <c r="DG46307" s="256"/>
    </row>
    <row r="46308" spans="104:111">
      <c r="CZ46308" s="256"/>
      <c r="DG46308" s="256"/>
    </row>
    <row r="46309" spans="104:111">
      <c r="CZ46309" s="256"/>
      <c r="DG46309" s="256"/>
    </row>
    <row r="46310" spans="104:111">
      <c r="CZ46310" s="256"/>
      <c r="DG46310" s="256"/>
    </row>
    <row r="46311" spans="104:111">
      <c r="CZ46311" s="256"/>
      <c r="DG46311" s="256"/>
    </row>
    <row r="46312" spans="104:111">
      <c r="CZ46312" s="256"/>
      <c r="DG46312" s="256"/>
    </row>
    <row r="46313" spans="104:111">
      <c r="CZ46313" s="256"/>
      <c r="DG46313" s="256"/>
    </row>
    <row r="46314" spans="104:111">
      <c r="CZ46314" s="256"/>
      <c r="DG46314" s="256"/>
    </row>
    <row r="46315" spans="104:111">
      <c r="CZ46315" s="256"/>
      <c r="DG46315" s="256"/>
    </row>
    <row r="46316" spans="104:111">
      <c r="CZ46316" s="256"/>
      <c r="DG46316" s="256"/>
    </row>
    <row r="46317" spans="104:111">
      <c r="CZ46317" s="256"/>
      <c r="DG46317" s="256"/>
    </row>
    <row r="46318" spans="104:111">
      <c r="CZ46318" s="256"/>
      <c r="DG46318" s="256"/>
    </row>
    <row r="46319" spans="104:111">
      <c r="CZ46319" s="256"/>
      <c r="DG46319" s="256"/>
    </row>
    <row r="46320" spans="104:111">
      <c r="CZ46320" s="256"/>
      <c r="DG46320" s="256"/>
    </row>
    <row r="46321" spans="104:111">
      <c r="CZ46321" s="256"/>
      <c r="DG46321" s="256"/>
    </row>
    <row r="46322" spans="104:111">
      <c r="CZ46322" s="256"/>
      <c r="DG46322" s="256"/>
    </row>
    <row r="46323" spans="104:111">
      <c r="CZ46323" s="256"/>
      <c r="DG46323" s="256"/>
    </row>
    <row r="46324" spans="104:111">
      <c r="CZ46324" s="256"/>
      <c r="DG46324" s="256"/>
    </row>
    <row r="46325" spans="104:111">
      <c r="CZ46325" s="256"/>
      <c r="DG46325" s="256"/>
    </row>
    <row r="46326" spans="104:111">
      <c r="CZ46326" s="256"/>
      <c r="DG46326" s="256"/>
    </row>
    <row r="46327" spans="104:111">
      <c r="CZ46327" s="256"/>
      <c r="DG46327" s="256"/>
    </row>
    <row r="46328" spans="104:111">
      <c r="CZ46328" s="256"/>
      <c r="DG46328" s="256"/>
    </row>
    <row r="46329" spans="104:111">
      <c r="CZ46329" s="256"/>
      <c r="DG46329" s="256"/>
    </row>
    <row r="46330" spans="104:111">
      <c r="CZ46330" s="256"/>
      <c r="DG46330" s="256"/>
    </row>
    <row r="46331" spans="104:111">
      <c r="CZ46331" s="256"/>
      <c r="DG46331" s="256"/>
    </row>
    <row r="46332" spans="104:111">
      <c r="CZ46332" s="256"/>
      <c r="DG46332" s="256"/>
    </row>
    <row r="46333" spans="104:111">
      <c r="CZ46333" s="256"/>
      <c r="DG46333" s="256"/>
    </row>
    <row r="46334" spans="104:111">
      <c r="CZ46334" s="256"/>
      <c r="DG46334" s="256"/>
    </row>
    <row r="46335" spans="104:111">
      <c r="CZ46335" s="256"/>
      <c r="DG46335" s="256"/>
    </row>
    <row r="46336" spans="104:111">
      <c r="CZ46336" s="256"/>
      <c r="DG46336" s="256"/>
    </row>
    <row r="46337" spans="104:111">
      <c r="CZ46337" s="256"/>
      <c r="DG46337" s="256"/>
    </row>
    <row r="46338" spans="104:111">
      <c r="CZ46338" s="256"/>
      <c r="DG46338" s="256"/>
    </row>
    <row r="46339" spans="104:111">
      <c r="CZ46339" s="256"/>
      <c r="DG46339" s="256"/>
    </row>
    <row r="46340" spans="104:111">
      <c r="CZ46340" s="256"/>
      <c r="DG46340" s="256"/>
    </row>
    <row r="46341" spans="104:111">
      <c r="CZ46341" s="256"/>
      <c r="DG46341" s="256"/>
    </row>
    <row r="46342" spans="104:111">
      <c r="CZ46342" s="256"/>
      <c r="DG46342" s="256"/>
    </row>
    <row r="46343" spans="104:111">
      <c r="CZ46343" s="256"/>
      <c r="DG46343" s="256"/>
    </row>
    <row r="46344" spans="104:111">
      <c r="CZ46344" s="256"/>
      <c r="DG46344" s="256"/>
    </row>
    <row r="46345" spans="104:111">
      <c r="CZ46345" s="256"/>
      <c r="DG46345" s="256"/>
    </row>
    <row r="46346" spans="104:111">
      <c r="CZ46346" s="256"/>
      <c r="DG46346" s="256"/>
    </row>
    <row r="46347" spans="104:111">
      <c r="CZ46347" s="256"/>
      <c r="DG46347" s="256"/>
    </row>
    <row r="46348" spans="104:111">
      <c r="CZ46348" s="256"/>
      <c r="DG46348" s="256"/>
    </row>
    <row r="46349" spans="104:111">
      <c r="CZ46349" s="256"/>
      <c r="DG46349" s="256"/>
    </row>
    <row r="46350" spans="104:111">
      <c r="CZ46350" s="256"/>
      <c r="DG46350" s="256"/>
    </row>
    <row r="46351" spans="104:111">
      <c r="CZ46351" s="256"/>
      <c r="DG46351" s="256"/>
    </row>
    <row r="46352" spans="104:111">
      <c r="CZ46352" s="256"/>
      <c r="DG46352" s="256"/>
    </row>
    <row r="46353" spans="104:111">
      <c r="CZ46353" s="256"/>
      <c r="DG46353" s="256"/>
    </row>
    <row r="46354" spans="104:111">
      <c r="CZ46354" s="256"/>
      <c r="DG46354" s="256"/>
    </row>
    <row r="46355" spans="104:111">
      <c r="CZ46355" s="256"/>
      <c r="DG46355" s="256"/>
    </row>
    <row r="46356" spans="104:111">
      <c r="CZ46356" s="256"/>
      <c r="DG46356" s="256"/>
    </row>
    <row r="46357" spans="104:111">
      <c r="CZ46357" s="256"/>
      <c r="DG46357" s="256"/>
    </row>
    <row r="46358" spans="104:111">
      <c r="CZ46358" s="256"/>
      <c r="DG46358" s="256"/>
    </row>
    <row r="46359" spans="104:111">
      <c r="CZ46359" s="256"/>
      <c r="DG46359" s="256"/>
    </row>
    <row r="46360" spans="104:111">
      <c r="CZ46360" s="256"/>
      <c r="DG46360" s="256"/>
    </row>
    <row r="46361" spans="104:111">
      <c r="CZ46361" s="256"/>
      <c r="DG46361" s="256"/>
    </row>
    <row r="46362" spans="104:111">
      <c r="CZ46362" s="256"/>
      <c r="DG46362" s="256"/>
    </row>
    <row r="46363" spans="104:111">
      <c r="CZ46363" s="256"/>
      <c r="DG46363" s="256"/>
    </row>
    <row r="46364" spans="104:111">
      <c r="CZ46364" s="256"/>
      <c r="DG46364" s="256"/>
    </row>
    <row r="46365" spans="104:111">
      <c r="CZ46365" s="256"/>
      <c r="DG46365" s="256"/>
    </row>
    <row r="46366" spans="104:111">
      <c r="CZ46366" s="256"/>
      <c r="DG46366" s="256"/>
    </row>
    <row r="46367" spans="104:111">
      <c r="CZ46367" s="256"/>
      <c r="DG46367" s="256"/>
    </row>
    <row r="46368" spans="104:111">
      <c r="CZ46368" s="256"/>
      <c r="DG46368" s="256"/>
    </row>
    <row r="46369" spans="104:111">
      <c r="CZ46369" s="256"/>
      <c r="DG46369" s="256"/>
    </row>
    <row r="46370" spans="104:111">
      <c r="CZ46370" s="256"/>
      <c r="DG46370" s="256"/>
    </row>
    <row r="46371" spans="104:111">
      <c r="CZ46371" s="256"/>
      <c r="DG46371" s="256"/>
    </row>
    <row r="46372" spans="104:111">
      <c r="CZ46372" s="256"/>
      <c r="DG46372" s="256"/>
    </row>
    <row r="46373" spans="104:111">
      <c r="CZ46373" s="256"/>
      <c r="DG46373" s="256"/>
    </row>
    <row r="46374" spans="104:111">
      <c r="CZ46374" s="256"/>
      <c r="DG46374" s="256"/>
    </row>
    <row r="46375" spans="104:111">
      <c r="CZ46375" s="256"/>
      <c r="DG46375" s="256"/>
    </row>
    <row r="46376" spans="104:111">
      <c r="CZ46376" s="256"/>
      <c r="DG46376" s="256"/>
    </row>
    <row r="46377" spans="104:111">
      <c r="CZ46377" s="256"/>
      <c r="DG46377" s="256"/>
    </row>
    <row r="46378" spans="104:111">
      <c r="CZ46378" s="256"/>
      <c r="DG46378" s="256"/>
    </row>
    <row r="46379" spans="104:111">
      <c r="CZ46379" s="256"/>
      <c r="DG46379" s="256"/>
    </row>
    <row r="46380" spans="104:111">
      <c r="CZ46380" s="256"/>
      <c r="DG46380" s="256"/>
    </row>
    <row r="46381" spans="104:111">
      <c r="CZ46381" s="256"/>
      <c r="DG46381" s="256"/>
    </row>
    <row r="46382" spans="104:111">
      <c r="CZ46382" s="256"/>
      <c r="DG46382" s="256"/>
    </row>
    <row r="46383" spans="104:111">
      <c r="CZ46383" s="256"/>
      <c r="DG46383" s="256"/>
    </row>
    <row r="46384" spans="104:111">
      <c r="CZ46384" s="256"/>
      <c r="DG46384" s="256"/>
    </row>
    <row r="46385" spans="104:111">
      <c r="CZ46385" s="256"/>
      <c r="DG46385" s="256"/>
    </row>
    <row r="46386" spans="104:111">
      <c r="CZ46386" s="256"/>
      <c r="DG46386" s="256"/>
    </row>
    <row r="46387" spans="104:111">
      <c r="CZ46387" s="256"/>
      <c r="DG46387" s="256"/>
    </row>
    <row r="46388" spans="104:111">
      <c r="CZ46388" s="256"/>
      <c r="DG46388" s="256"/>
    </row>
    <row r="46389" spans="104:111">
      <c r="CZ46389" s="256"/>
      <c r="DG46389" s="256"/>
    </row>
    <row r="46390" spans="104:111">
      <c r="CZ46390" s="256"/>
      <c r="DG46390" s="256"/>
    </row>
    <row r="46391" spans="104:111">
      <c r="CZ46391" s="256"/>
      <c r="DG46391" s="256"/>
    </row>
    <row r="46392" spans="104:111">
      <c r="CZ46392" s="256"/>
      <c r="DG46392" s="256"/>
    </row>
    <row r="46393" spans="104:111">
      <c r="CZ46393" s="256"/>
      <c r="DG46393" s="256"/>
    </row>
    <row r="46394" spans="104:111">
      <c r="CZ46394" s="256"/>
      <c r="DG46394" s="256"/>
    </row>
    <row r="46395" spans="104:111">
      <c r="CZ46395" s="256"/>
      <c r="DG46395" s="256"/>
    </row>
    <row r="46396" spans="104:111">
      <c r="CZ46396" s="256"/>
      <c r="DG46396" s="256"/>
    </row>
    <row r="46397" spans="104:111">
      <c r="CZ46397" s="256"/>
      <c r="DG46397" s="256"/>
    </row>
    <row r="46398" spans="104:111">
      <c r="CZ46398" s="256"/>
      <c r="DG46398" s="256"/>
    </row>
    <row r="46399" spans="104:111">
      <c r="CZ46399" s="256"/>
      <c r="DG46399" s="256"/>
    </row>
    <row r="46400" spans="104:111">
      <c r="CZ46400" s="256"/>
      <c r="DG46400" s="256"/>
    </row>
    <row r="46401" spans="104:111">
      <c r="CZ46401" s="256"/>
      <c r="DG46401" s="256"/>
    </row>
    <row r="46402" spans="104:111">
      <c r="CZ46402" s="256"/>
      <c r="DG46402" s="256"/>
    </row>
    <row r="46403" spans="104:111">
      <c r="CZ46403" s="256"/>
      <c r="DG46403" s="256"/>
    </row>
    <row r="46404" spans="104:111">
      <c r="CZ46404" s="256"/>
      <c r="DG46404" s="256"/>
    </row>
    <row r="46405" spans="104:111">
      <c r="CZ46405" s="256"/>
      <c r="DG46405" s="256"/>
    </row>
    <row r="46406" spans="104:111">
      <c r="CZ46406" s="256"/>
      <c r="DG46406" s="256"/>
    </row>
    <row r="46407" spans="104:111">
      <c r="CZ46407" s="256"/>
      <c r="DG46407" s="256"/>
    </row>
    <row r="46408" spans="104:111">
      <c r="CZ46408" s="256"/>
      <c r="DG46408" s="256"/>
    </row>
    <row r="46409" spans="104:111">
      <c r="CZ46409" s="256"/>
      <c r="DG46409" s="256"/>
    </row>
    <row r="46410" spans="104:111">
      <c r="CZ46410" s="256"/>
      <c r="DG46410" s="256"/>
    </row>
    <row r="46411" spans="104:111">
      <c r="CZ46411" s="256"/>
      <c r="DG46411" s="256"/>
    </row>
    <row r="46412" spans="104:111">
      <c r="CZ46412" s="256"/>
      <c r="DG46412" s="256"/>
    </row>
    <row r="46413" spans="104:111">
      <c r="CZ46413" s="256"/>
      <c r="DG46413" s="256"/>
    </row>
    <row r="46414" spans="104:111">
      <c r="CZ46414" s="256"/>
      <c r="DG46414" s="256"/>
    </row>
    <row r="46415" spans="104:111">
      <c r="CZ46415" s="256"/>
      <c r="DG46415" s="256"/>
    </row>
    <row r="46416" spans="104:111">
      <c r="CZ46416" s="256"/>
      <c r="DG46416" s="256"/>
    </row>
    <row r="46417" spans="104:111">
      <c r="CZ46417" s="256"/>
      <c r="DG46417" s="256"/>
    </row>
    <row r="46418" spans="104:111">
      <c r="CZ46418" s="256"/>
      <c r="DG46418" s="256"/>
    </row>
    <row r="46419" spans="104:111">
      <c r="CZ46419" s="256"/>
      <c r="DG46419" s="256"/>
    </row>
    <row r="46420" spans="104:111">
      <c r="CZ46420" s="256"/>
      <c r="DG46420" s="256"/>
    </row>
    <row r="46421" spans="104:111">
      <c r="CZ46421" s="256"/>
      <c r="DG46421" s="256"/>
    </row>
    <row r="46422" spans="104:111">
      <c r="CZ46422" s="256"/>
      <c r="DG46422" s="256"/>
    </row>
    <row r="46423" spans="104:111">
      <c r="CZ46423" s="256"/>
      <c r="DG46423" s="256"/>
    </row>
    <row r="46424" spans="104:111">
      <c r="CZ46424" s="256"/>
      <c r="DG46424" s="256"/>
    </row>
    <row r="46425" spans="104:111">
      <c r="CZ46425" s="256"/>
      <c r="DG46425" s="256"/>
    </row>
    <row r="46426" spans="104:111">
      <c r="CZ46426" s="256"/>
      <c r="DG46426" s="256"/>
    </row>
    <row r="46427" spans="104:111">
      <c r="CZ46427" s="256"/>
      <c r="DG46427" s="256"/>
    </row>
    <row r="46428" spans="104:111">
      <c r="CZ46428" s="256"/>
      <c r="DG46428" s="256"/>
    </row>
    <row r="46429" spans="104:111">
      <c r="CZ46429" s="256"/>
      <c r="DG46429" s="256"/>
    </row>
    <row r="46430" spans="104:111">
      <c r="CZ46430" s="256"/>
      <c r="DG46430" s="256"/>
    </row>
    <row r="46431" spans="104:111">
      <c r="CZ46431" s="256"/>
      <c r="DG46431" s="256"/>
    </row>
    <row r="46432" spans="104:111">
      <c r="CZ46432" s="256"/>
      <c r="DG46432" s="256"/>
    </row>
    <row r="46433" spans="104:111">
      <c r="CZ46433" s="256"/>
      <c r="DG46433" s="256"/>
    </row>
    <row r="46434" spans="104:111">
      <c r="CZ46434" s="256"/>
      <c r="DG46434" s="256"/>
    </row>
    <row r="46435" spans="104:111">
      <c r="CZ46435" s="256"/>
      <c r="DG46435" s="256"/>
    </row>
    <row r="46436" spans="104:111">
      <c r="CZ46436" s="256"/>
      <c r="DG46436" s="256"/>
    </row>
    <row r="46437" spans="104:111">
      <c r="CZ46437" s="256"/>
      <c r="DG46437" s="256"/>
    </row>
    <row r="46438" spans="104:111">
      <c r="CZ46438" s="256"/>
      <c r="DG46438" s="256"/>
    </row>
    <row r="46439" spans="104:111">
      <c r="CZ46439" s="256"/>
      <c r="DG46439" s="256"/>
    </row>
    <row r="46440" spans="104:111">
      <c r="CZ46440" s="256"/>
      <c r="DG46440" s="256"/>
    </row>
    <row r="46441" spans="104:111">
      <c r="CZ46441" s="256"/>
      <c r="DG46441" s="256"/>
    </row>
    <row r="46442" spans="104:111">
      <c r="CZ46442" s="256"/>
      <c r="DG46442" s="256"/>
    </row>
    <row r="46443" spans="104:111">
      <c r="CZ46443" s="256"/>
      <c r="DG46443" s="256"/>
    </row>
    <row r="46444" spans="104:111">
      <c r="CZ46444" s="256"/>
      <c r="DG46444" s="256"/>
    </row>
    <row r="46445" spans="104:111">
      <c r="CZ46445" s="256"/>
      <c r="DG46445" s="256"/>
    </row>
    <row r="46446" spans="104:111">
      <c r="CZ46446" s="256"/>
      <c r="DG46446" s="256"/>
    </row>
    <row r="46447" spans="104:111">
      <c r="CZ46447" s="256"/>
      <c r="DG46447" s="256"/>
    </row>
    <row r="46448" spans="104:111">
      <c r="CZ46448" s="256"/>
      <c r="DG46448" s="256"/>
    </row>
    <row r="46449" spans="104:111">
      <c r="CZ46449" s="256"/>
      <c r="DG46449" s="256"/>
    </row>
    <row r="46450" spans="104:111">
      <c r="CZ46450" s="256"/>
      <c r="DG46450" s="256"/>
    </row>
    <row r="46451" spans="104:111">
      <c r="CZ46451" s="256"/>
      <c r="DG46451" s="256"/>
    </row>
    <row r="46452" spans="104:111">
      <c r="CZ46452" s="256"/>
      <c r="DG46452" s="256"/>
    </row>
    <row r="46453" spans="104:111">
      <c r="CZ46453" s="256"/>
      <c r="DG46453" s="256"/>
    </row>
    <row r="46454" spans="104:111">
      <c r="CZ46454" s="256"/>
      <c r="DG46454" s="256"/>
    </row>
    <row r="46455" spans="104:111">
      <c r="CZ46455" s="256"/>
      <c r="DG46455" s="256"/>
    </row>
    <row r="46456" spans="104:111">
      <c r="CZ46456" s="256"/>
      <c r="DG46456" s="256"/>
    </row>
    <row r="46457" spans="104:111">
      <c r="CZ46457" s="256"/>
      <c r="DG46457" s="256"/>
    </row>
    <row r="46458" spans="104:111">
      <c r="CZ46458" s="256"/>
      <c r="DG46458" s="256"/>
    </row>
    <row r="46459" spans="104:111">
      <c r="CZ46459" s="256"/>
      <c r="DG46459" s="256"/>
    </row>
    <row r="46460" spans="104:111">
      <c r="CZ46460" s="256"/>
      <c r="DG46460" s="256"/>
    </row>
    <row r="46461" spans="104:111">
      <c r="CZ46461" s="256"/>
      <c r="DG46461" s="256"/>
    </row>
    <row r="46462" spans="104:111">
      <c r="CZ46462" s="256"/>
      <c r="DG46462" s="256"/>
    </row>
    <row r="46463" spans="104:111">
      <c r="CZ46463" s="256"/>
      <c r="DG46463" s="256"/>
    </row>
    <row r="46464" spans="104:111">
      <c r="CZ46464" s="256"/>
      <c r="DG46464" s="256"/>
    </row>
    <row r="46465" spans="104:111">
      <c r="CZ46465" s="256"/>
      <c r="DG46465" s="256"/>
    </row>
    <row r="46466" spans="104:111">
      <c r="CZ46466" s="256"/>
      <c r="DG46466" s="256"/>
    </row>
    <row r="46467" spans="104:111">
      <c r="CZ46467" s="256"/>
      <c r="DG46467" s="256"/>
    </row>
    <row r="46468" spans="104:111">
      <c r="CZ46468" s="256"/>
      <c r="DG46468" s="256"/>
    </row>
    <row r="46469" spans="104:111">
      <c r="CZ46469" s="256"/>
      <c r="DG46469" s="256"/>
    </row>
    <row r="46470" spans="104:111">
      <c r="CZ46470" s="256"/>
      <c r="DG46470" s="256"/>
    </row>
    <row r="46471" spans="104:111">
      <c r="CZ46471" s="256"/>
      <c r="DG46471" s="256"/>
    </row>
    <row r="46472" spans="104:111">
      <c r="CZ46472" s="256"/>
      <c r="DG46472" s="256"/>
    </row>
    <row r="46473" spans="104:111">
      <c r="CZ46473" s="256"/>
      <c r="DG46473" s="256"/>
    </row>
    <row r="46474" spans="104:111">
      <c r="CZ46474" s="256"/>
      <c r="DG46474" s="256"/>
    </row>
    <row r="46475" spans="104:111">
      <c r="CZ46475" s="256"/>
      <c r="DG46475" s="256"/>
    </row>
    <row r="46476" spans="104:111">
      <c r="CZ46476" s="256"/>
      <c r="DG46476" s="256"/>
    </row>
    <row r="46477" spans="104:111">
      <c r="CZ46477" s="256"/>
      <c r="DG46477" s="256"/>
    </row>
    <row r="46478" spans="104:111">
      <c r="CZ46478" s="256"/>
      <c r="DG46478" s="256"/>
    </row>
    <row r="46479" spans="104:111">
      <c r="CZ46479" s="256"/>
      <c r="DG46479" s="256"/>
    </row>
    <row r="46480" spans="104:111">
      <c r="CZ46480" s="256"/>
      <c r="DG46480" s="256"/>
    </row>
    <row r="46481" spans="104:111">
      <c r="CZ46481" s="256"/>
      <c r="DG46481" s="256"/>
    </row>
    <row r="46482" spans="104:111">
      <c r="CZ46482" s="256"/>
      <c r="DG46482" s="256"/>
    </row>
    <row r="46483" spans="104:111">
      <c r="CZ46483" s="256"/>
      <c r="DG46483" s="256"/>
    </row>
    <row r="46484" spans="104:111">
      <c r="CZ46484" s="256"/>
      <c r="DG46484" s="256"/>
    </row>
    <row r="46485" spans="104:111">
      <c r="CZ46485" s="256"/>
      <c r="DG46485" s="256"/>
    </row>
    <row r="46486" spans="104:111">
      <c r="CZ46486" s="256"/>
      <c r="DG46486" s="256"/>
    </row>
    <row r="46487" spans="104:111">
      <c r="CZ46487" s="256"/>
      <c r="DG46487" s="256"/>
    </row>
    <row r="46488" spans="104:111">
      <c r="CZ46488" s="256"/>
      <c r="DG46488" s="256"/>
    </row>
    <row r="46489" spans="104:111">
      <c r="CZ46489" s="256"/>
      <c r="DG46489" s="256"/>
    </row>
    <row r="46490" spans="104:111">
      <c r="CZ46490" s="256"/>
      <c r="DG46490" s="256"/>
    </row>
    <row r="46491" spans="104:111">
      <c r="CZ46491" s="256"/>
      <c r="DG46491" s="256"/>
    </row>
    <row r="46492" spans="104:111">
      <c r="CZ46492" s="256"/>
      <c r="DG46492" s="256"/>
    </row>
    <row r="46493" spans="104:111">
      <c r="CZ46493" s="256"/>
      <c r="DG46493" s="256"/>
    </row>
    <row r="46494" spans="104:111">
      <c r="CZ46494" s="256"/>
      <c r="DG46494" s="256"/>
    </row>
    <row r="46495" spans="104:111">
      <c r="CZ46495" s="256"/>
      <c r="DG46495" s="256"/>
    </row>
    <row r="46496" spans="104:111">
      <c r="CZ46496" s="256"/>
      <c r="DG46496" s="256"/>
    </row>
    <row r="46497" spans="104:111">
      <c r="CZ46497" s="256"/>
      <c r="DG46497" s="256"/>
    </row>
    <row r="46498" spans="104:111">
      <c r="CZ46498" s="256"/>
      <c r="DG46498" s="256"/>
    </row>
    <row r="46499" spans="104:111">
      <c r="CZ46499" s="256"/>
      <c r="DG46499" s="256"/>
    </row>
    <row r="46500" spans="104:111">
      <c r="CZ46500" s="256"/>
      <c r="DG46500" s="256"/>
    </row>
    <row r="46501" spans="104:111">
      <c r="CZ46501" s="256"/>
      <c r="DG46501" s="256"/>
    </row>
    <row r="46502" spans="104:111">
      <c r="CZ46502" s="256"/>
      <c r="DG46502" s="256"/>
    </row>
    <row r="46503" spans="104:111">
      <c r="CZ46503" s="256"/>
      <c r="DG46503" s="256"/>
    </row>
    <row r="46504" spans="104:111">
      <c r="CZ46504" s="256"/>
      <c r="DG46504" s="256"/>
    </row>
    <row r="46505" spans="104:111">
      <c r="CZ46505" s="256"/>
      <c r="DG46505" s="256"/>
    </row>
    <row r="46506" spans="104:111">
      <c r="CZ46506" s="256"/>
      <c r="DG46506" s="256"/>
    </row>
    <row r="46507" spans="104:111">
      <c r="CZ46507" s="256"/>
      <c r="DG46507" s="256"/>
    </row>
    <row r="46508" spans="104:111">
      <c r="CZ46508" s="256"/>
      <c r="DG46508" s="256"/>
    </row>
    <row r="46509" spans="104:111">
      <c r="CZ46509" s="256"/>
      <c r="DG46509" s="256"/>
    </row>
    <row r="46510" spans="104:111">
      <c r="CZ46510" s="256"/>
      <c r="DG46510" s="256"/>
    </row>
    <row r="46511" spans="104:111">
      <c r="CZ46511" s="256"/>
      <c r="DG46511" s="256"/>
    </row>
    <row r="46512" spans="104:111">
      <c r="CZ46512" s="256"/>
      <c r="DG46512" s="256"/>
    </row>
    <row r="46513" spans="104:111">
      <c r="CZ46513" s="256"/>
      <c r="DG46513" s="256"/>
    </row>
    <row r="46514" spans="104:111">
      <c r="CZ46514" s="256"/>
      <c r="DG46514" s="256"/>
    </row>
    <row r="46515" spans="104:111">
      <c r="CZ46515" s="256"/>
      <c r="DG46515" s="256"/>
    </row>
    <row r="46516" spans="104:111">
      <c r="CZ46516" s="256"/>
      <c r="DG46516" s="256"/>
    </row>
    <row r="46517" spans="104:111">
      <c r="CZ46517" s="256"/>
      <c r="DG46517" s="256"/>
    </row>
    <row r="46518" spans="104:111">
      <c r="CZ46518" s="256"/>
      <c r="DG46518" s="256"/>
    </row>
    <row r="46519" spans="104:111">
      <c r="CZ46519" s="256"/>
      <c r="DG46519" s="256"/>
    </row>
    <row r="46520" spans="104:111">
      <c r="CZ46520" s="256"/>
      <c r="DG46520" s="256"/>
    </row>
    <row r="46521" spans="104:111">
      <c r="CZ46521" s="256"/>
      <c r="DG46521" s="256"/>
    </row>
    <row r="46522" spans="104:111">
      <c r="CZ46522" s="256"/>
      <c r="DG46522" s="256"/>
    </row>
    <row r="46523" spans="104:111">
      <c r="CZ46523" s="256"/>
      <c r="DG46523" s="256"/>
    </row>
    <row r="46524" spans="104:111">
      <c r="CZ46524" s="256"/>
      <c r="DG46524" s="256"/>
    </row>
    <row r="46525" spans="104:111">
      <c r="CZ46525" s="256"/>
      <c r="DG46525" s="256"/>
    </row>
    <row r="46526" spans="104:111">
      <c r="CZ46526" s="256"/>
      <c r="DG46526" s="256"/>
    </row>
    <row r="46527" spans="104:111">
      <c r="CZ46527" s="256"/>
      <c r="DG46527" s="256"/>
    </row>
    <row r="46528" spans="104:111">
      <c r="CZ46528" s="256"/>
      <c r="DG46528" s="256"/>
    </row>
    <row r="46529" spans="104:111">
      <c r="CZ46529" s="256"/>
      <c r="DG46529" s="256"/>
    </row>
    <row r="46530" spans="104:111">
      <c r="CZ46530" s="256"/>
      <c r="DG46530" s="256"/>
    </row>
    <row r="46531" spans="104:111">
      <c r="CZ46531" s="256"/>
      <c r="DG46531" s="256"/>
    </row>
    <row r="46532" spans="104:111">
      <c r="CZ46532" s="256"/>
      <c r="DG46532" s="256"/>
    </row>
    <row r="46533" spans="104:111">
      <c r="CZ46533" s="256"/>
      <c r="DG46533" s="256"/>
    </row>
    <row r="46534" spans="104:111">
      <c r="CZ46534" s="256"/>
      <c r="DG46534" s="256"/>
    </row>
    <row r="46535" spans="104:111">
      <c r="CZ46535" s="256"/>
      <c r="DG46535" s="256"/>
    </row>
    <row r="46536" spans="104:111">
      <c r="CZ46536" s="256"/>
      <c r="DG46536" s="256"/>
    </row>
    <row r="46537" spans="104:111">
      <c r="CZ46537" s="256"/>
      <c r="DG46537" s="256"/>
    </row>
    <row r="46538" spans="104:111">
      <c r="CZ46538" s="256"/>
      <c r="DG46538" s="256"/>
    </row>
    <row r="46539" spans="104:111">
      <c r="CZ46539" s="256"/>
      <c r="DG46539" s="256"/>
    </row>
    <row r="46540" spans="104:111">
      <c r="CZ46540" s="256"/>
      <c r="DG46540" s="256"/>
    </row>
    <row r="46541" spans="104:111">
      <c r="CZ46541" s="256"/>
      <c r="DG46541" s="256"/>
    </row>
    <row r="46542" spans="104:111">
      <c r="CZ46542" s="256"/>
      <c r="DG46542" s="256"/>
    </row>
    <row r="46543" spans="104:111">
      <c r="CZ46543" s="256"/>
      <c r="DG46543" s="256"/>
    </row>
    <row r="46544" spans="104:111">
      <c r="CZ46544" s="256"/>
      <c r="DG46544" s="256"/>
    </row>
    <row r="46545" spans="104:111">
      <c r="CZ46545" s="256"/>
      <c r="DG46545" s="256"/>
    </row>
    <row r="46546" spans="104:111">
      <c r="CZ46546" s="256"/>
      <c r="DG46546" s="256"/>
    </row>
    <row r="46547" spans="104:111">
      <c r="CZ46547" s="256"/>
      <c r="DG46547" s="256"/>
    </row>
    <row r="46548" spans="104:111">
      <c r="CZ46548" s="256"/>
      <c r="DG46548" s="256"/>
    </row>
    <row r="46549" spans="104:111">
      <c r="CZ46549" s="256"/>
      <c r="DG46549" s="256"/>
    </row>
    <row r="46550" spans="104:111">
      <c r="CZ46550" s="256"/>
      <c r="DG46550" s="256"/>
    </row>
    <row r="46551" spans="104:111">
      <c r="CZ46551" s="256"/>
      <c r="DG46551" s="256"/>
    </row>
    <row r="46552" spans="104:111">
      <c r="CZ46552" s="256"/>
      <c r="DG46552" s="256"/>
    </row>
    <row r="46553" spans="104:111">
      <c r="CZ46553" s="256"/>
      <c r="DG46553" s="256"/>
    </row>
    <row r="46554" spans="104:111">
      <c r="CZ46554" s="256"/>
      <c r="DG46554" s="256"/>
    </row>
    <row r="46555" spans="104:111">
      <c r="CZ46555" s="256"/>
      <c r="DG46555" s="256"/>
    </row>
    <row r="46556" spans="104:111">
      <c r="CZ46556" s="256"/>
      <c r="DG46556" s="256"/>
    </row>
    <row r="46557" spans="104:111">
      <c r="CZ46557" s="256"/>
      <c r="DG46557" s="256"/>
    </row>
    <row r="46558" spans="104:111">
      <c r="CZ46558" s="256"/>
      <c r="DG46558" s="256"/>
    </row>
    <row r="46559" spans="104:111">
      <c r="CZ46559" s="256"/>
      <c r="DG46559" s="256"/>
    </row>
    <row r="46560" spans="104:111">
      <c r="CZ46560" s="256"/>
      <c r="DG46560" s="256"/>
    </row>
    <row r="46561" spans="104:111">
      <c r="CZ46561" s="256"/>
      <c r="DG46561" s="256"/>
    </row>
    <row r="46562" spans="104:111">
      <c r="CZ46562" s="256"/>
      <c r="DG46562" s="256"/>
    </row>
    <row r="46563" spans="104:111">
      <c r="CZ46563" s="256"/>
      <c r="DG46563" s="256"/>
    </row>
    <row r="46564" spans="104:111">
      <c r="CZ46564" s="256"/>
      <c r="DG46564" s="256"/>
    </row>
    <row r="46565" spans="104:111">
      <c r="CZ46565" s="256"/>
      <c r="DG46565" s="256"/>
    </row>
    <row r="46566" spans="104:111">
      <c r="CZ46566" s="256"/>
      <c r="DG46566" s="256"/>
    </row>
    <row r="46567" spans="104:111">
      <c r="CZ46567" s="256"/>
      <c r="DG46567" s="256"/>
    </row>
    <row r="46568" spans="104:111">
      <c r="CZ46568" s="256"/>
      <c r="DG46568" s="256"/>
    </row>
    <row r="46569" spans="104:111">
      <c r="CZ46569" s="256"/>
      <c r="DG46569" s="256"/>
    </row>
    <row r="46570" spans="104:111">
      <c r="CZ46570" s="256"/>
      <c r="DG46570" s="256"/>
    </row>
    <row r="46571" spans="104:111">
      <c r="CZ46571" s="256"/>
      <c r="DG46571" s="256"/>
    </row>
    <row r="46572" spans="104:111">
      <c r="CZ46572" s="256"/>
      <c r="DG46572" s="256"/>
    </row>
    <row r="46573" spans="104:111">
      <c r="CZ46573" s="256"/>
      <c r="DG46573" s="256"/>
    </row>
    <row r="46574" spans="104:111">
      <c r="CZ46574" s="256"/>
      <c r="DG46574" s="256"/>
    </row>
    <row r="46575" spans="104:111">
      <c r="CZ46575" s="256"/>
      <c r="DG46575" s="256"/>
    </row>
    <row r="46576" spans="104:111">
      <c r="CZ46576" s="256"/>
      <c r="DG46576" s="256"/>
    </row>
    <row r="46577" spans="104:111">
      <c r="CZ46577" s="256"/>
      <c r="DG46577" s="256"/>
    </row>
    <row r="46578" spans="104:111">
      <c r="CZ46578" s="256"/>
      <c r="DG46578" s="256"/>
    </row>
    <row r="46579" spans="104:111">
      <c r="CZ46579" s="256"/>
      <c r="DG46579" s="256"/>
    </row>
    <row r="46580" spans="104:111">
      <c r="CZ46580" s="256"/>
      <c r="DG46580" s="256"/>
    </row>
    <row r="46581" spans="104:111">
      <c r="CZ46581" s="256"/>
      <c r="DG46581" s="256"/>
    </row>
    <row r="46582" spans="104:111">
      <c r="CZ46582" s="256"/>
      <c r="DG46582" s="256"/>
    </row>
    <row r="46583" spans="104:111">
      <c r="CZ46583" s="256"/>
      <c r="DG46583" s="256"/>
    </row>
    <row r="46584" spans="104:111">
      <c r="CZ46584" s="256"/>
      <c r="DG46584" s="256"/>
    </row>
    <row r="46585" spans="104:111">
      <c r="CZ46585" s="256"/>
      <c r="DG46585" s="256"/>
    </row>
    <row r="46586" spans="104:111">
      <c r="CZ46586" s="256"/>
      <c r="DG46586" s="256"/>
    </row>
    <row r="46587" spans="104:111">
      <c r="CZ46587" s="256"/>
      <c r="DG46587" s="256"/>
    </row>
    <row r="46588" spans="104:111">
      <c r="CZ46588" s="256"/>
      <c r="DG46588" s="256"/>
    </row>
    <row r="46589" spans="104:111">
      <c r="CZ46589" s="256"/>
      <c r="DG46589" s="256"/>
    </row>
    <row r="46590" spans="104:111">
      <c r="CZ46590" s="256"/>
      <c r="DG46590" s="256"/>
    </row>
    <row r="46591" spans="104:111">
      <c r="CZ46591" s="256"/>
      <c r="DG46591" s="256"/>
    </row>
    <row r="46592" spans="104:111">
      <c r="CZ46592" s="256"/>
      <c r="DG46592" s="256"/>
    </row>
    <row r="46593" spans="104:111">
      <c r="CZ46593" s="256"/>
      <c r="DG46593" s="256"/>
    </row>
    <row r="46594" spans="104:111">
      <c r="CZ46594" s="256"/>
      <c r="DG46594" s="256"/>
    </row>
    <row r="46595" spans="104:111">
      <c r="CZ46595" s="256"/>
      <c r="DG46595" s="256"/>
    </row>
    <row r="46596" spans="104:111">
      <c r="CZ46596" s="256"/>
      <c r="DG46596" s="256"/>
    </row>
    <row r="46597" spans="104:111">
      <c r="CZ46597" s="256"/>
      <c r="DG46597" s="256"/>
    </row>
    <row r="46598" spans="104:111">
      <c r="CZ46598" s="256"/>
      <c r="DG46598" s="256"/>
    </row>
    <row r="46599" spans="104:111">
      <c r="CZ46599" s="256"/>
      <c r="DG46599" s="256"/>
    </row>
    <row r="46600" spans="104:111">
      <c r="CZ46600" s="256"/>
      <c r="DG46600" s="256"/>
    </row>
    <row r="46601" spans="104:111">
      <c r="CZ46601" s="256"/>
      <c r="DG46601" s="256"/>
    </row>
    <row r="46602" spans="104:111">
      <c r="CZ46602" s="256"/>
      <c r="DG46602" s="256"/>
    </row>
    <row r="46603" spans="104:111">
      <c r="CZ46603" s="256"/>
      <c r="DG46603" s="256"/>
    </row>
    <row r="46604" spans="104:111">
      <c r="CZ46604" s="256"/>
      <c r="DG46604" s="256"/>
    </row>
    <row r="46605" spans="104:111">
      <c r="CZ46605" s="256"/>
      <c r="DG46605" s="256"/>
    </row>
    <row r="46606" spans="104:111">
      <c r="CZ46606" s="256"/>
      <c r="DG46606" s="256"/>
    </row>
    <row r="46607" spans="104:111">
      <c r="CZ46607" s="256"/>
      <c r="DG46607" s="256"/>
    </row>
    <row r="46608" spans="104:111">
      <c r="CZ46608" s="256"/>
      <c r="DG46608" s="256"/>
    </row>
    <row r="46609" spans="104:111">
      <c r="CZ46609" s="256"/>
      <c r="DG46609" s="256"/>
    </row>
    <row r="46610" spans="104:111">
      <c r="CZ46610" s="256"/>
      <c r="DG46610" s="256"/>
    </row>
    <row r="46611" spans="104:111">
      <c r="CZ46611" s="256"/>
      <c r="DG46611" s="256"/>
    </row>
    <row r="46612" spans="104:111">
      <c r="CZ46612" s="256"/>
      <c r="DG46612" s="256"/>
    </row>
    <row r="46613" spans="104:111">
      <c r="CZ46613" s="256"/>
      <c r="DG46613" s="256"/>
    </row>
    <row r="46614" spans="104:111">
      <c r="CZ46614" s="256"/>
      <c r="DG46614" s="256"/>
    </row>
    <row r="46615" spans="104:111">
      <c r="CZ46615" s="256"/>
      <c r="DG46615" s="256"/>
    </row>
    <row r="46616" spans="104:111">
      <c r="CZ46616" s="256"/>
      <c r="DG46616" s="256"/>
    </row>
    <row r="46617" spans="104:111">
      <c r="CZ46617" s="256"/>
      <c r="DG46617" s="256"/>
    </row>
    <row r="46618" spans="104:111">
      <c r="CZ46618" s="256"/>
      <c r="DG46618" s="256"/>
    </row>
    <row r="46619" spans="104:111">
      <c r="CZ46619" s="256"/>
      <c r="DG46619" s="256"/>
    </row>
    <row r="46620" spans="104:111">
      <c r="CZ46620" s="256"/>
      <c r="DG46620" s="256"/>
    </row>
    <row r="46621" spans="104:111">
      <c r="CZ46621" s="256"/>
      <c r="DG46621" s="256"/>
    </row>
    <row r="46622" spans="104:111">
      <c r="CZ46622" s="256"/>
      <c r="DG46622" s="256"/>
    </row>
    <row r="46623" spans="104:111">
      <c r="CZ46623" s="256"/>
      <c r="DG46623" s="256"/>
    </row>
    <row r="46624" spans="104:111">
      <c r="CZ46624" s="256"/>
      <c r="DG46624" s="256"/>
    </row>
    <row r="46625" spans="104:111">
      <c r="CZ46625" s="256"/>
      <c r="DG46625" s="256"/>
    </row>
    <row r="46626" spans="104:111">
      <c r="CZ46626" s="256"/>
      <c r="DG46626" s="256"/>
    </row>
    <row r="46627" spans="104:111">
      <c r="CZ46627" s="256"/>
      <c r="DG46627" s="256"/>
    </row>
    <row r="46628" spans="104:111">
      <c r="CZ46628" s="256"/>
      <c r="DG46628" s="256"/>
    </row>
    <row r="46629" spans="104:111">
      <c r="CZ46629" s="256"/>
      <c r="DG46629" s="256"/>
    </row>
    <row r="46630" spans="104:111">
      <c r="CZ46630" s="256"/>
      <c r="DG46630" s="256"/>
    </row>
    <row r="46631" spans="104:111">
      <c r="CZ46631" s="256"/>
      <c r="DG46631" s="256"/>
    </row>
    <row r="46632" spans="104:111">
      <c r="CZ46632" s="256"/>
      <c r="DG46632" s="256"/>
    </row>
    <row r="46633" spans="104:111">
      <c r="CZ46633" s="256"/>
      <c r="DG46633" s="256"/>
    </row>
    <row r="46634" spans="104:111">
      <c r="CZ46634" s="256"/>
      <c r="DG46634" s="256"/>
    </row>
    <row r="46635" spans="104:111">
      <c r="CZ46635" s="256"/>
      <c r="DG46635" s="256"/>
    </row>
    <row r="46636" spans="104:111">
      <c r="CZ46636" s="256"/>
      <c r="DG46636" s="256"/>
    </row>
    <row r="46637" spans="104:111">
      <c r="CZ46637" s="256"/>
      <c r="DG46637" s="256"/>
    </row>
    <row r="46638" spans="104:111">
      <c r="CZ46638" s="256"/>
      <c r="DG46638" s="256"/>
    </row>
    <row r="46639" spans="104:111">
      <c r="CZ46639" s="256"/>
      <c r="DG46639" s="256"/>
    </row>
    <row r="46640" spans="104:111">
      <c r="CZ46640" s="256"/>
      <c r="DG46640" s="256"/>
    </row>
    <row r="46641" spans="104:111">
      <c r="CZ46641" s="256"/>
      <c r="DG46641" s="256"/>
    </row>
    <row r="46642" spans="104:111">
      <c r="CZ46642" s="256"/>
      <c r="DG46642" s="256"/>
    </row>
    <row r="46643" spans="104:111">
      <c r="CZ46643" s="256"/>
      <c r="DG46643" s="256"/>
    </row>
    <row r="46644" spans="104:111">
      <c r="CZ46644" s="256"/>
      <c r="DG46644" s="256"/>
    </row>
    <row r="46645" spans="104:111">
      <c r="CZ46645" s="256"/>
      <c r="DG46645" s="256"/>
    </row>
    <row r="46646" spans="104:111">
      <c r="CZ46646" s="256"/>
      <c r="DG46646" s="256"/>
    </row>
    <row r="46647" spans="104:111">
      <c r="CZ46647" s="256"/>
      <c r="DG46647" s="256"/>
    </row>
    <row r="46648" spans="104:111">
      <c r="CZ46648" s="256"/>
      <c r="DG46648" s="256"/>
    </row>
    <row r="46649" spans="104:111">
      <c r="CZ46649" s="256"/>
      <c r="DG46649" s="256"/>
    </row>
    <row r="46650" spans="104:111">
      <c r="CZ46650" s="256"/>
      <c r="DG46650" s="256"/>
    </row>
    <row r="46651" spans="104:111">
      <c r="CZ46651" s="256"/>
      <c r="DG46651" s="256"/>
    </row>
    <row r="46652" spans="104:111">
      <c r="CZ46652" s="256"/>
      <c r="DG46652" s="256"/>
    </row>
    <row r="46653" spans="104:111">
      <c r="CZ46653" s="256"/>
      <c r="DG46653" s="256"/>
    </row>
    <row r="46654" spans="104:111">
      <c r="CZ46654" s="256"/>
      <c r="DG46654" s="256"/>
    </row>
    <row r="46655" spans="104:111">
      <c r="CZ46655" s="256"/>
      <c r="DG46655" s="256"/>
    </row>
    <row r="46656" spans="104:111">
      <c r="CZ46656" s="256"/>
      <c r="DG46656" s="256"/>
    </row>
    <row r="46657" spans="104:111">
      <c r="CZ46657" s="256"/>
      <c r="DG46657" s="256"/>
    </row>
    <row r="46658" spans="104:111">
      <c r="CZ46658" s="256"/>
      <c r="DG46658" s="256"/>
    </row>
    <row r="46659" spans="104:111">
      <c r="CZ46659" s="256"/>
      <c r="DG46659" s="256"/>
    </row>
    <row r="46660" spans="104:111">
      <c r="CZ46660" s="256"/>
      <c r="DG46660" s="256"/>
    </row>
    <row r="46661" spans="104:111">
      <c r="CZ46661" s="256"/>
      <c r="DG46661" s="256"/>
    </row>
    <row r="46662" spans="104:111">
      <c r="CZ46662" s="256"/>
      <c r="DG46662" s="256"/>
    </row>
    <row r="46663" spans="104:111">
      <c r="CZ46663" s="256"/>
      <c r="DG46663" s="256"/>
    </row>
    <row r="46664" spans="104:111">
      <c r="CZ46664" s="256"/>
      <c r="DG46664" s="256"/>
    </row>
    <row r="46665" spans="104:111">
      <c r="CZ46665" s="256"/>
      <c r="DG46665" s="256"/>
    </row>
    <row r="46666" spans="104:111">
      <c r="CZ46666" s="256"/>
      <c r="DG46666" s="256"/>
    </row>
    <row r="46667" spans="104:111">
      <c r="CZ46667" s="256"/>
      <c r="DG46667" s="256"/>
    </row>
    <row r="46668" spans="104:111">
      <c r="CZ46668" s="256"/>
      <c r="DG46668" s="256"/>
    </row>
    <row r="46669" spans="104:111">
      <c r="CZ46669" s="256"/>
      <c r="DG46669" s="256"/>
    </row>
    <row r="46670" spans="104:111">
      <c r="CZ46670" s="256"/>
      <c r="DG46670" s="256"/>
    </row>
    <row r="46671" spans="104:111">
      <c r="CZ46671" s="256"/>
      <c r="DG46671" s="256"/>
    </row>
    <row r="46672" spans="104:111">
      <c r="CZ46672" s="256"/>
      <c r="DG46672" s="256"/>
    </row>
    <row r="46673" spans="104:111">
      <c r="CZ46673" s="256"/>
      <c r="DG46673" s="256"/>
    </row>
    <row r="46674" spans="104:111">
      <c r="CZ46674" s="256"/>
      <c r="DG46674" s="256"/>
    </row>
    <row r="46675" spans="104:111">
      <c r="CZ46675" s="256"/>
      <c r="DG46675" s="256"/>
    </row>
    <row r="46676" spans="104:111">
      <c r="CZ46676" s="256"/>
      <c r="DG46676" s="256"/>
    </row>
    <row r="46677" spans="104:111">
      <c r="CZ46677" s="256"/>
      <c r="DG46677" s="256"/>
    </row>
    <row r="46678" spans="104:111">
      <c r="CZ46678" s="256"/>
      <c r="DG46678" s="256"/>
    </row>
    <row r="46679" spans="104:111">
      <c r="CZ46679" s="256"/>
      <c r="DG46679" s="256"/>
    </row>
    <row r="46680" spans="104:111">
      <c r="CZ46680" s="256"/>
      <c r="DG46680" s="256"/>
    </row>
    <row r="46681" spans="104:111">
      <c r="CZ46681" s="256"/>
      <c r="DG46681" s="256"/>
    </row>
    <row r="46682" spans="104:111">
      <c r="CZ46682" s="256"/>
      <c r="DG46682" s="256"/>
    </row>
    <row r="46683" spans="104:111">
      <c r="CZ46683" s="256"/>
      <c r="DG46683" s="256"/>
    </row>
    <row r="46684" spans="104:111">
      <c r="CZ46684" s="256"/>
      <c r="DG46684" s="256"/>
    </row>
    <row r="46685" spans="104:111">
      <c r="CZ46685" s="256"/>
      <c r="DG46685" s="256"/>
    </row>
    <row r="46686" spans="104:111">
      <c r="CZ46686" s="256"/>
      <c r="DG46686" s="256"/>
    </row>
    <row r="46687" spans="104:111">
      <c r="CZ46687" s="256"/>
      <c r="DG46687" s="256"/>
    </row>
    <row r="46688" spans="104:111">
      <c r="CZ46688" s="256"/>
      <c r="DG46688" s="256"/>
    </row>
    <row r="46689" spans="104:111">
      <c r="CZ46689" s="256"/>
      <c r="DG46689" s="256"/>
    </row>
    <row r="46690" spans="104:111">
      <c r="CZ46690" s="256"/>
      <c r="DG46690" s="256"/>
    </row>
    <row r="46691" spans="104:111">
      <c r="CZ46691" s="256"/>
      <c r="DG46691" s="256"/>
    </row>
    <row r="46692" spans="104:111">
      <c r="CZ46692" s="256"/>
      <c r="DG46692" s="256"/>
    </row>
    <row r="46693" spans="104:111">
      <c r="CZ46693" s="256"/>
      <c r="DG46693" s="256"/>
    </row>
    <row r="46694" spans="104:111">
      <c r="CZ46694" s="256"/>
      <c r="DG46694" s="256"/>
    </row>
    <row r="46695" spans="104:111">
      <c r="CZ46695" s="256"/>
      <c r="DG46695" s="256"/>
    </row>
    <row r="46696" spans="104:111">
      <c r="CZ46696" s="256"/>
      <c r="DG46696" s="256"/>
    </row>
    <row r="46697" spans="104:111">
      <c r="CZ46697" s="256"/>
      <c r="DG46697" s="256"/>
    </row>
    <row r="46698" spans="104:111">
      <c r="CZ46698" s="256"/>
      <c r="DG46698" s="256"/>
    </row>
    <row r="46699" spans="104:111">
      <c r="CZ46699" s="256"/>
      <c r="DG46699" s="256"/>
    </row>
    <row r="46700" spans="104:111">
      <c r="CZ46700" s="256"/>
      <c r="DG46700" s="256"/>
    </row>
    <row r="46701" spans="104:111">
      <c r="CZ46701" s="256"/>
      <c r="DG46701" s="256"/>
    </row>
    <row r="46702" spans="104:111">
      <c r="CZ46702" s="256"/>
      <c r="DG46702" s="256"/>
    </row>
    <row r="46703" spans="104:111">
      <c r="CZ46703" s="256"/>
      <c r="DG46703" s="256"/>
    </row>
    <row r="46704" spans="104:111">
      <c r="CZ46704" s="256"/>
      <c r="DG46704" s="256"/>
    </row>
    <row r="46705" spans="104:111">
      <c r="CZ46705" s="256"/>
      <c r="DG46705" s="256"/>
    </row>
    <row r="46706" spans="104:111">
      <c r="CZ46706" s="256"/>
      <c r="DG46706" s="256"/>
    </row>
    <row r="46707" spans="104:111">
      <c r="CZ46707" s="256"/>
      <c r="DG46707" s="256"/>
    </row>
    <row r="46708" spans="104:111">
      <c r="CZ46708" s="256"/>
      <c r="DG46708" s="256"/>
    </row>
    <row r="46709" spans="104:111">
      <c r="CZ46709" s="256"/>
      <c r="DG46709" s="256"/>
    </row>
    <row r="46710" spans="104:111">
      <c r="CZ46710" s="256"/>
      <c r="DG46710" s="256"/>
    </row>
    <row r="46711" spans="104:111">
      <c r="CZ46711" s="256"/>
      <c r="DG46711" s="256"/>
    </row>
    <row r="46712" spans="104:111">
      <c r="CZ46712" s="256"/>
      <c r="DG46712" s="256"/>
    </row>
    <row r="46713" spans="104:111">
      <c r="CZ46713" s="256"/>
      <c r="DG46713" s="256"/>
    </row>
    <row r="46714" spans="104:111">
      <c r="CZ46714" s="256"/>
      <c r="DG46714" s="256"/>
    </row>
    <row r="46715" spans="104:111">
      <c r="CZ46715" s="256"/>
      <c r="DG46715" s="256"/>
    </row>
    <row r="46716" spans="104:111">
      <c r="CZ46716" s="256"/>
      <c r="DG46716" s="256"/>
    </row>
    <row r="46717" spans="104:111">
      <c r="CZ46717" s="256"/>
      <c r="DG46717" s="256"/>
    </row>
    <row r="46718" spans="104:111">
      <c r="CZ46718" s="256"/>
      <c r="DG46718" s="256"/>
    </row>
    <row r="46719" spans="104:111">
      <c r="CZ46719" s="256"/>
      <c r="DG46719" s="256"/>
    </row>
    <row r="46720" spans="104:111">
      <c r="CZ46720" s="256"/>
      <c r="DG46720" s="256"/>
    </row>
    <row r="46721" spans="104:111">
      <c r="CZ46721" s="256"/>
      <c r="DG46721" s="256"/>
    </row>
    <row r="46722" spans="104:111">
      <c r="CZ46722" s="256"/>
      <c r="DG46722" s="256"/>
    </row>
    <row r="46723" spans="104:111">
      <c r="CZ46723" s="256"/>
      <c r="DG46723" s="256"/>
    </row>
    <row r="46724" spans="104:111">
      <c r="CZ46724" s="256"/>
      <c r="DG46724" s="256"/>
    </row>
    <row r="46725" spans="104:111">
      <c r="CZ46725" s="256"/>
      <c r="DG46725" s="256"/>
    </row>
    <row r="46726" spans="104:111">
      <c r="CZ46726" s="256"/>
      <c r="DG46726" s="256"/>
    </row>
    <row r="46727" spans="104:111">
      <c r="CZ46727" s="256"/>
      <c r="DG46727" s="256"/>
    </row>
    <row r="46728" spans="104:111">
      <c r="CZ46728" s="256"/>
      <c r="DG46728" s="256"/>
    </row>
    <row r="46729" spans="104:111">
      <c r="CZ46729" s="256"/>
      <c r="DG46729" s="256"/>
    </row>
    <row r="46730" spans="104:111">
      <c r="CZ46730" s="256"/>
      <c r="DG46730" s="256"/>
    </row>
    <row r="46731" spans="104:111">
      <c r="CZ46731" s="256"/>
      <c r="DG46731" s="256"/>
    </row>
    <row r="46732" spans="104:111">
      <c r="CZ46732" s="256"/>
      <c r="DG46732" s="256"/>
    </row>
    <row r="46733" spans="104:111">
      <c r="CZ46733" s="256"/>
      <c r="DG46733" s="256"/>
    </row>
    <row r="46734" spans="104:111">
      <c r="CZ46734" s="256"/>
      <c r="DG46734" s="256"/>
    </row>
    <row r="46735" spans="104:111">
      <c r="CZ46735" s="256"/>
      <c r="DG46735" s="256"/>
    </row>
    <row r="46736" spans="104:111">
      <c r="CZ46736" s="256"/>
      <c r="DG46736" s="256"/>
    </row>
    <row r="46737" spans="104:111">
      <c r="CZ46737" s="256"/>
      <c r="DG46737" s="256"/>
    </row>
    <row r="46738" spans="104:111">
      <c r="CZ46738" s="256"/>
      <c r="DG46738" s="256"/>
    </row>
    <row r="46739" spans="104:111">
      <c r="CZ46739" s="256"/>
      <c r="DG46739" s="256"/>
    </row>
    <row r="46740" spans="104:111">
      <c r="CZ46740" s="256"/>
      <c r="DG46740" s="256"/>
    </row>
    <row r="46741" spans="104:111">
      <c r="CZ46741" s="256"/>
      <c r="DG46741" s="256"/>
    </row>
    <row r="46742" spans="104:111">
      <c r="CZ46742" s="256"/>
      <c r="DG46742" s="256"/>
    </row>
    <row r="46743" spans="104:111">
      <c r="CZ46743" s="256"/>
      <c r="DG46743" s="256"/>
    </row>
    <row r="46744" spans="104:111">
      <c r="CZ46744" s="256"/>
      <c r="DG46744" s="256"/>
    </row>
    <row r="46745" spans="104:111">
      <c r="CZ46745" s="256"/>
      <c r="DG46745" s="256"/>
    </row>
    <row r="46746" spans="104:111">
      <c r="CZ46746" s="256"/>
      <c r="DG46746" s="256"/>
    </row>
    <row r="46747" spans="104:111">
      <c r="CZ46747" s="256"/>
      <c r="DG46747" s="256"/>
    </row>
    <row r="46748" spans="104:111">
      <c r="CZ46748" s="256"/>
      <c r="DG46748" s="256"/>
    </row>
    <row r="46749" spans="104:111">
      <c r="CZ46749" s="256"/>
      <c r="DG46749" s="256"/>
    </row>
    <row r="46750" spans="104:111">
      <c r="CZ46750" s="256"/>
      <c r="DG46750" s="256"/>
    </row>
    <row r="46751" spans="104:111">
      <c r="CZ46751" s="256"/>
      <c r="DG46751" s="256"/>
    </row>
    <row r="46752" spans="104:111">
      <c r="CZ46752" s="256"/>
      <c r="DG46752" s="256"/>
    </row>
    <row r="46753" spans="104:111">
      <c r="CZ46753" s="256"/>
      <c r="DG46753" s="256"/>
    </row>
    <row r="46754" spans="104:111">
      <c r="CZ46754" s="256"/>
      <c r="DG46754" s="256"/>
    </row>
    <row r="46755" spans="104:111">
      <c r="CZ46755" s="256"/>
      <c r="DG46755" s="256"/>
    </row>
    <row r="46756" spans="104:111">
      <c r="CZ46756" s="256"/>
      <c r="DG46756" s="256"/>
    </row>
    <row r="46757" spans="104:111">
      <c r="CZ46757" s="256"/>
      <c r="DG46757" s="256"/>
    </row>
    <row r="46758" spans="104:111">
      <c r="CZ46758" s="256"/>
      <c r="DG46758" s="256"/>
    </row>
    <row r="46759" spans="104:111">
      <c r="CZ46759" s="256"/>
      <c r="DG46759" s="256"/>
    </row>
    <row r="46760" spans="104:111">
      <c r="CZ46760" s="256"/>
      <c r="DG46760" s="256"/>
    </row>
    <row r="46761" spans="104:111">
      <c r="CZ46761" s="256"/>
      <c r="DG46761" s="256"/>
    </row>
    <row r="46762" spans="104:111">
      <c r="CZ46762" s="256"/>
      <c r="DG46762" s="256"/>
    </row>
    <row r="46763" spans="104:111">
      <c r="CZ46763" s="256"/>
      <c r="DG46763" s="256"/>
    </row>
    <row r="46764" spans="104:111">
      <c r="CZ46764" s="256"/>
      <c r="DG46764" s="256"/>
    </row>
    <row r="46765" spans="104:111">
      <c r="CZ46765" s="256"/>
      <c r="DG46765" s="256"/>
    </row>
    <row r="46766" spans="104:111">
      <c r="CZ46766" s="256"/>
      <c r="DG46766" s="256"/>
    </row>
    <row r="46767" spans="104:111">
      <c r="CZ46767" s="256"/>
      <c r="DG46767" s="256"/>
    </row>
    <row r="46768" spans="104:111">
      <c r="CZ46768" s="256"/>
      <c r="DG46768" s="256"/>
    </row>
    <row r="46769" spans="104:111">
      <c r="CZ46769" s="256"/>
      <c r="DG46769" s="256"/>
    </row>
    <row r="46770" spans="104:111">
      <c r="CZ46770" s="256"/>
      <c r="DG46770" s="256"/>
    </row>
    <row r="46771" spans="104:111">
      <c r="CZ46771" s="256"/>
      <c r="DG46771" s="256"/>
    </row>
    <row r="46772" spans="104:111">
      <c r="CZ46772" s="256"/>
      <c r="DG46772" s="256"/>
    </row>
    <row r="46773" spans="104:111">
      <c r="CZ46773" s="256"/>
      <c r="DG46773" s="256"/>
    </row>
    <row r="46774" spans="104:111">
      <c r="CZ46774" s="256"/>
      <c r="DG46774" s="256"/>
    </row>
    <row r="46775" spans="104:111">
      <c r="CZ46775" s="256"/>
      <c r="DG46775" s="256"/>
    </row>
    <row r="46776" spans="104:111">
      <c r="CZ46776" s="256"/>
      <c r="DG46776" s="256"/>
    </row>
    <row r="46777" spans="104:111">
      <c r="CZ46777" s="256"/>
      <c r="DG46777" s="256"/>
    </row>
    <row r="46778" spans="104:111">
      <c r="CZ46778" s="256"/>
      <c r="DG46778" s="256"/>
    </row>
    <row r="46779" spans="104:111">
      <c r="CZ46779" s="256"/>
      <c r="DG46779" s="256"/>
    </row>
    <row r="46780" spans="104:111">
      <c r="CZ46780" s="256"/>
      <c r="DG46780" s="256"/>
    </row>
    <row r="46781" spans="104:111">
      <c r="CZ46781" s="256"/>
      <c r="DG46781" s="256"/>
    </row>
    <row r="46782" spans="104:111">
      <c r="CZ46782" s="256"/>
      <c r="DG46782" s="256"/>
    </row>
    <row r="46783" spans="104:111">
      <c r="CZ46783" s="256"/>
      <c r="DG46783" s="256"/>
    </row>
    <row r="46784" spans="104:111">
      <c r="CZ46784" s="256"/>
      <c r="DG46784" s="256"/>
    </row>
    <row r="46785" spans="104:111">
      <c r="CZ46785" s="256"/>
      <c r="DG46785" s="256"/>
    </row>
    <row r="46786" spans="104:111">
      <c r="CZ46786" s="256"/>
      <c r="DG46786" s="256"/>
    </row>
    <row r="46787" spans="104:111">
      <c r="CZ46787" s="256"/>
      <c r="DG46787" s="256"/>
    </row>
    <row r="46788" spans="104:111">
      <c r="CZ46788" s="256"/>
      <c r="DG46788" s="256"/>
    </row>
    <row r="46789" spans="104:111">
      <c r="CZ46789" s="256"/>
      <c r="DG46789" s="256"/>
    </row>
    <row r="46790" spans="104:111">
      <c r="CZ46790" s="256"/>
      <c r="DG46790" s="256"/>
    </row>
    <row r="46791" spans="104:111">
      <c r="CZ46791" s="256"/>
      <c r="DG46791" s="256"/>
    </row>
    <row r="46792" spans="104:111">
      <c r="CZ46792" s="256"/>
      <c r="DG46792" s="256"/>
    </row>
    <row r="46793" spans="104:111">
      <c r="CZ46793" s="256"/>
      <c r="DG46793" s="256"/>
    </row>
    <row r="46794" spans="104:111">
      <c r="CZ46794" s="256"/>
      <c r="DG46794" s="256"/>
    </row>
    <row r="46795" spans="104:111">
      <c r="CZ46795" s="256"/>
      <c r="DG46795" s="256"/>
    </row>
    <row r="46796" spans="104:111">
      <c r="CZ46796" s="256"/>
      <c r="DG46796" s="256"/>
    </row>
    <row r="46797" spans="104:111">
      <c r="CZ46797" s="256"/>
      <c r="DG46797" s="256"/>
    </row>
    <row r="46798" spans="104:111">
      <c r="CZ46798" s="256"/>
      <c r="DG46798" s="256"/>
    </row>
    <row r="46799" spans="104:111">
      <c r="CZ46799" s="256"/>
      <c r="DG46799" s="256"/>
    </row>
    <row r="46800" spans="104:111">
      <c r="CZ46800" s="256"/>
      <c r="DG46800" s="256"/>
    </row>
    <row r="46801" spans="104:111">
      <c r="CZ46801" s="256"/>
      <c r="DG46801" s="256"/>
    </row>
    <row r="46802" spans="104:111">
      <c r="CZ46802" s="256"/>
      <c r="DG46802" s="256"/>
    </row>
    <row r="46803" spans="104:111">
      <c r="CZ46803" s="256"/>
      <c r="DG46803" s="256"/>
    </row>
    <row r="46804" spans="104:111">
      <c r="CZ46804" s="256"/>
      <c r="DG46804" s="256"/>
    </row>
    <row r="46805" spans="104:111">
      <c r="CZ46805" s="256"/>
      <c r="DG46805" s="256"/>
    </row>
    <row r="46806" spans="104:111">
      <c r="CZ46806" s="256"/>
      <c r="DG46806" s="256"/>
    </row>
    <row r="46807" spans="104:111">
      <c r="CZ46807" s="256"/>
      <c r="DG46807" s="256"/>
    </row>
    <row r="46808" spans="104:111">
      <c r="CZ46808" s="256"/>
      <c r="DG46808" s="256"/>
    </row>
    <row r="46809" spans="104:111">
      <c r="CZ46809" s="256"/>
      <c r="DG46809" s="256"/>
    </row>
    <row r="46810" spans="104:111">
      <c r="CZ46810" s="256"/>
      <c r="DG46810" s="256"/>
    </row>
    <row r="46811" spans="104:111">
      <c r="CZ46811" s="256"/>
      <c r="DG46811" s="256"/>
    </row>
    <row r="46812" spans="104:111">
      <c r="CZ46812" s="256"/>
      <c r="DG46812" s="256"/>
    </row>
    <row r="46813" spans="104:111">
      <c r="CZ46813" s="256"/>
      <c r="DG46813" s="256"/>
    </row>
    <row r="46814" spans="104:111">
      <c r="CZ46814" s="256"/>
      <c r="DG46814" s="256"/>
    </row>
    <row r="46815" spans="104:111">
      <c r="CZ46815" s="256"/>
      <c r="DG46815" s="256"/>
    </row>
    <row r="46816" spans="104:111">
      <c r="CZ46816" s="256"/>
      <c r="DG46816" s="256"/>
    </row>
    <row r="46817" spans="104:111">
      <c r="CZ46817" s="256"/>
      <c r="DG46817" s="256"/>
    </row>
    <row r="46818" spans="104:111">
      <c r="CZ46818" s="256"/>
      <c r="DG46818" s="256"/>
    </row>
    <row r="46819" spans="104:111">
      <c r="CZ46819" s="256"/>
      <c r="DG46819" s="256"/>
    </row>
    <row r="46820" spans="104:111">
      <c r="CZ46820" s="256"/>
      <c r="DG46820" s="256"/>
    </row>
    <row r="46821" spans="104:111">
      <c r="CZ46821" s="256"/>
      <c r="DG46821" s="256"/>
    </row>
    <row r="46822" spans="104:111">
      <c r="CZ46822" s="256"/>
      <c r="DG46822" s="256"/>
    </row>
    <row r="46823" spans="104:111">
      <c r="CZ46823" s="256"/>
      <c r="DG46823" s="256"/>
    </row>
    <row r="46824" spans="104:111">
      <c r="CZ46824" s="256"/>
      <c r="DG46824" s="256"/>
    </row>
    <row r="46825" spans="104:111">
      <c r="CZ46825" s="256"/>
      <c r="DG46825" s="256"/>
    </row>
    <row r="46826" spans="104:111">
      <c r="CZ46826" s="256"/>
      <c r="DG46826" s="256"/>
    </row>
    <row r="46827" spans="104:111">
      <c r="CZ46827" s="256"/>
      <c r="DG46827" s="256"/>
    </row>
    <row r="46828" spans="104:111">
      <c r="CZ46828" s="256"/>
      <c r="DG46828" s="256"/>
    </row>
    <row r="46829" spans="104:111">
      <c r="CZ46829" s="256"/>
      <c r="DG46829" s="256"/>
    </row>
    <row r="46830" spans="104:111">
      <c r="CZ46830" s="256"/>
      <c r="DG46830" s="256"/>
    </row>
    <row r="46831" spans="104:111">
      <c r="CZ46831" s="256"/>
      <c r="DG46831" s="256"/>
    </row>
    <row r="46832" spans="104:111">
      <c r="CZ46832" s="256"/>
      <c r="DG46832" s="256"/>
    </row>
    <row r="46833" spans="104:111">
      <c r="CZ46833" s="256"/>
      <c r="DG46833" s="256"/>
    </row>
    <row r="46834" spans="104:111">
      <c r="CZ46834" s="256"/>
      <c r="DG46834" s="256"/>
    </row>
    <row r="46835" spans="104:111">
      <c r="CZ46835" s="256"/>
      <c r="DG46835" s="256"/>
    </row>
    <row r="46836" spans="104:111">
      <c r="CZ46836" s="256"/>
      <c r="DG46836" s="256"/>
    </row>
    <row r="46837" spans="104:111">
      <c r="CZ46837" s="256"/>
      <c r="DG46837" s="256"/>
    </row>
    <row r="46838" spans="104:111">
      <c r="CZ46838" s="256"/>
      <c r="DG46838" s="256"/>
    </row>
    <row r="46839" spans="104:111">
      <c r="CZ46839" s="256"/>
      <c r="DG46839" s="256"/>
    </row>
    <row r="46840" spans="104:111">
      <c r="CZ46840" s="256"/>
      <c r="DG46840" s="256"/>
    </row>
    <row r="46841" spans="104:111">
      <c r="CZ46841" s="256"/>
      <c r="DG46841" s="256"/>
    </row>
    <row r="46842" spans="104:111">
      <c r="CZ46842" s="256"/>
      <c r="DG46842" s="256"/>
    </row>
    <row r="46843" spans="104:111">
      <c r="CZ46843" s="256"/>
      <c r="DG46843" s="256"/>
    </row>
    <row r="46844" spans="104:111">
      <c r="CZ46844" s="256"/>
      <c r="DG46844" s="256"/>
    </row>
    <row r="46845" spans="104:111">
      <c r="CZ46845" s="256"/>
      <c r="DG46845" s="256"/>
    </row>
    <row r="46846" spans="104:111">
      <c r="CZ46846" s="256"/>
      <c r="DG46846" s="256"/>
    </row>
    <row r="46847" spans="104:111">
      <c r="CZ46847" s="256"/>
      <c r="DG46847" s="256"/>
    </row>
    <row r="46848" spans="104:111">
      <c r="CZ46848" s="256"/>
      <c r="DG46848" s="256"/>
    </row>
    <row r="46849" spans="104:111">
      <c r="CZ46849" s="256"/>
      <c r="DG46849" s="256"/>
    </row>
    <row r="46850" spans="104:111">
      <c r="CZ46850" s="256"/>
      <c r="DG46850" s="256"/>
    </row>
    <row r="46851" spans="104:111">
      <c r="CZ46851" s="256"/>
      <c r="DG46851" s="256"/>
    </row>
    <row r="46852" spans="104:111">
      <c r="CZ46852" s="256"/>
      <c r="DG46852" s="256"/>
    </row>
    <row r="46853" spans="104:111">
      <c r="CZ46853" s="256"/>
      <c r="DG46853" s="256"/>
    </row>
    <row r="46854" spans="104:111">
      <c r="CZ46854" s="256"/>
      <c r="DG46854" s="256"/>
    </row>
    <row r="46855" spans="104:111">
      <c r="CZ46855" s="256"/>
      <c r="DG46855" s="256"/>
    </row>
    <row r="46856" spans="104:111">
      <c r="CZ46856" s="256"/>
      <c r="DG46856" s="256"/>
    </row>
    <row r="46857" spans="104:111">
      <c r="CZ46857" s="256"/>
      <c r="DG46857" s="256"/>
    </row>
    <row r="46858" spans="104:111">
      <c r="CZ46858" s="256"/>
      <c r="DG46858" s="256"/>
    </row>
    <row r="46859" spans="104:111">
      <c r="CZ46859" s="256"/>
      <c r="DG46859" s="256"/>
    </row>
    <row r="46860" spans="104:111">
      <c r="CZ46860" s="256"/>
      <c r="DG46860" s="256"/>
    </row>
    <row r="46861" spans="104:111">
      <c r="CZ46861" s="256"/>
      <c r="DG46861" s="256"/>
    </row>
    <row r="46862" spans="104:111">
      <c r="CZ46862" s="256"/>
      <c r="DG46862" s="256"/>
    </row>
    <row r="46863" spans="104:111">
      <c r="CZ46863" s="256"/>
      <c r="DG46863" s="256"/>
    </row>
    <row r="46864" spans="104:111">
      <c r="CZ46864" s="256"/>
      <c r="DG46864" s="256"/>
    </row>
    <row r="46865" spans="104:111">
      <c r="CZ46865" s="256"/>
      <c r="DG46865" s="256"/>
    </row>
    <row r="46866" spans="104:111">
      <c r="CZ46866" s="256"/>
      <c r="DG46866" s="256"/>
    </row>
    <row r="46867" spans="104:111">
      <c r="CZ46867" s="256"/>
      <c r="DG46867" s="256"/>
    </row>
    <row r="46868" spans="104:111">
      <c r="CZ46868" s="256"/>
      <c r="DG46868" s="256"/>
    </row>
    <row r="46869" spans="104:111">
      <c r="CZ46869" s="256"/>
      <c r="DG46869" s="256"/>
    </row>
    <row r="46870" spans="104:111">
      <c r="CZ46870" s="256"/>
      <c r="DG46870" s="256"/>
    </row>
    <row r="46871" spans="104:111">
      <c r="CZ46871" s="256"/>
      <c r="DG46871" s="256"/>
    </row>
    <row r="46872" spans="104:111">
      <c r="CZ46872" s="256"/>
      <c r="DG46872" s="256"/>
    </row>
    <row r="46873" spans="104:111">
      <c r="CZ46873" s="256"/>
      <c r="DG46873" s="256"/>
    </row>
    <row r="46874" spans="104:111">
      <c r="CZ46874" s="256"/>
      <c r="DG46874" s="256"/>
    </row>
    <row r="46875" spans="104:111">
      <c r="CZ46875" s="256"/>
      <c r="DG46875" s="256"/>
    </row>
    <row r="46876" spans="104:111">
      <c r="CZ46876" s="256"/>
      <c r="DG46876" s="256"/>
    </row>
    <row r="46877" spans="104:111">
      <c r="CZ46877" s="256"/>
      <c r="DG46877" s="256"/>
    </row>
    <row r="46878" spans="104:111">
      <c r="CZ46878" s="256"/>
      <c r="DG46878" s="256"/>
    </row>
    <row r="46879" spans="104:111">
      <c r="CZ46879" s="256"/>
      <c r="DG46879" s="256"/>
    </row>
    <row r="46880" spans="104:111">
      <c r="CZ46880" s="256"/>
      <c r="DG46880" s="256"/>
    </row>
    <row r="46881" spans="104:111">
      <c r="CZ46881" s="256"/>
      <c r="DG46881" s="256"/>
    </row>
    <row r="46882" spans="104:111">
      <c r="CZ46882" s="256"/>
      <c r="DG46882" s="256"/>
    </row>
    <row r="46883" spans="104:111">
      <c r="CZ46883" s="256"/>
      <c r="DG46883" s="256"/>
    </row>
    <row r="46884" spans="104:111">
      <c r="CZ46884" s="256"/>
      <c r="DG46884" s="256"/>
    </row>
    <row r="46885" spans="104:111">
      <c r="CZ46885" s="256"/>
      <c r="DG46885" s="256"/>
    </row>
    <row r="46886" spans="104:111">
      <c r="CZ46886" s="256"/>
      <c r="DG46886" s="256"/>
    </row>
    <row r="46887" spans="104:111">
      <c r="CZ46887" s="256"/>
      <c r="DG46887" s="256"/>
    </row>
    <row r="46888" spans="104:111">
      <c r="CZ46888" s="256"/>
      <c r="DG46888" s="256"/>
    </row>
    <row r="46889" spans="104:111">
      <c r="CZ46889" s="256"/>
      <c r="DG46889" s="256"/>
    </row>
    <row r="46890" spans="104:111">
      <c r="CZ46890" s="256"/>
      <c r="DG46890" s="256"/>
    </row>
    <row r="46891" spans="104:111">
      <c r="CZ46891" s="256"/>
      <c r="DG46891" s="256"/>
    </row>
    <row r="46892" spans="104:111">
      <c r="CZ46892" s="256"/>
      <c r="DG46892" s="256"/>
    </row>
    <row r="46893" spans="104:111">
      <c r="CZ46893" s="256"/>
      <c r="DG46893" s="256"/>
    </row>
    <row r="46894" spans="104:111">
      <c r="CZ46894" s="256"/>
      <c r="DG46894" s="256"/>
    </row>
    <row r="46895" spans="104:111">
      <c r="CZ46895" s="256"/>
      <c r="DG46895" s="256"/>
    </row>
    <row r="46896" spans="104:111">
      <c r="CZ46896" s="256"/>
      <c r="DG46896" s="256"/>
    </row>
    <row r="46897" spans="104:111">
      <c r="CZ46897" s="256"/>
      <c r="DG46897" s="256"/>
    </row>
    <row r="46898" spans="104:111">
      <c r="CZ46898" s="256"/>
      <c r="DG46898" s="256"/>
    </row>
    <row r="46899" spans="104:111">
      <c r="CZ46899" s="256"/>
      <c r="DG46899" s="256"/>
    </row>
    <row r="46900" spans="104:111">
      <c r="CZ46900" s="256"/>
      <c r="DG46900" s="256"/>
    </row>
    <row r="46901" spans="104:111">
      <c r="CZ46901" s="256"/>
      <c r="DG46901" s="256"/>
    </row>
    <row r="46902" spans="104:111">
      <c r="CZ46902" s="256"/>
      <c r="DG46902" s="256"/>
    </row>
    <row r="46903" spans="104:111">
      <c r="CZ46903" s="256"/>
      <c r="DG46903" s="256"/>
    </row>
    <row r="46904" spans="104:111">
      <c r="CZ46904" s="256"/>
      <c r="DG46904" s="256"/>
    </row>
    <row r="46905" spans="104:111">
      <c r="CZ46905" s="256"/>
      <c r="DG46905" s="256"/>
    </row>
    <row r="46906" spans="104:111">
      <c r="CZ46906" s="256"/>
      <c r="DG46906" s="256"/>
    </row>
    <row r="46907" spans="104:111">
      <c r="CZ46907" s="256"/>
      <c r="DG46907" s="256"/>
    </row>
    <row r="46908" spans="104:111">
      <c r="CZ46908" s="256"/>
      <c r="DG46908" s="256"/>
    </row>
    <row r="46909" spans="104:111">
      <c r="CZ46909" s="256"/>
      <c r="DG46909" s="256"/>
    </row>
    <row r="46910" spans="104:111">
      <c r="CZ46910" s="256"/>
      <c r="DG46910" s="256"/>
    </row>
    <row r="46911" spans="104:111">
      <c r="CZ46911" s="256"/>
      <c r="DG46911" s="256"/>
    </row>
    <row r="46912" spans="104:111">
      <c r="CZ46912" s="256"/>
      <c r="DG46912" s="256"/>
    </row>
    <row r="46913" spans="104:111">
      <c r="CZ46913" s="256"/>
      <c r="DG46913" s="256"/>
    </row>
    <row r="46914" spans="104:111">
      <c r="CZ46914" s="256"/>
      <c r="DG46914" s="256"/>
    </row>
    <row r="46915" spans="104:111">
      <c r="CZ46915" s="256"/>
      <c r="DG46915" s="256"/>
    </row>
    <row r="46916" spans="104:111">
      <c r="CZ46916" s="256"/>
      <c r="DG46916" s="256"/>
    </row>
    <row r="46917" spans="104:111">
      <c r="CZ46917" s="256"/>
      <c r="DG46917" s="256"/>
    </row>
    <row r="46918" spans="104:111">
      <c r="CZ46918" s="256"/>
      <c r="DG46918" s="256"/>
    </row>
    <row r="46919" spans="104:111">
      <c r="CZ46919" s="256"/>
      <c r="DG46919" s="256"/>
    </row>
    <row r="46920" spans="104:111">
      <c r="CZ46920" s="256"/>
      <c r="DG46920" s="256"/>
    </row>
    <row r="46921" spans="104:111">
      <c r="CZ46921" s="256"/>
      <c r="DG46921" s="256"/>
    </row>
    <row r="46922" spans="104:111">
      <c r="CZ46922" s="256"/>
      <c r="DG46922" s="256"/>
    </row>
    <row r="46923" spans="104:111">
      <c r="CZ46923" s="256"/>
      <c r="DG46923" s="256"/>
    </row>
    <row r="46924" spans="104:111">
      <c r="CZ46924" s="256"/>
      <c r="DG46924" s="256"/>
    </row>
    <row r="46925" spans="104:111">
      <c r="CZ46925" s="256"/>
      <c r="DG46925" s="256"/>
    </row>
    <row r="46926" spans="104:111">
      <c r="CZ46926" s="256"/>
      <c r="DG46926" s="256"/>
    </row>
    <row r="46927" spans="104:111">
      <c r="CZ46927" s="256"/>
      <c r="DG46927" s="256"/>
    </row>
    <row r="46928" spans="104:111">
      <c r="CZ46928" s="256"/>
      <c r="DG46928" s="256"/>
    </row>
    <row r="46929" spans="104:111">
      <c r="CZ46929" s="256"/>
      <c r="DG46929" s="256"/>
    </row>
    <row r="46930" spans="104:111">
      <c r="CZ46930" s="256"/>
      <c r="DG46930" s="256"/>
    </row>
    <row r="46931" spans="104:111">
      <c r="CZ46931" s="256"/>
      <c r="DG46931" s="256"/>
    </row>
    <row r="46932" spans="104:111">
      <c r="CZ46932" s="256"/>
      <c r="DG46932" s="256"/>
    </row>
    <row r="46933" spans="104:111">
      <c r="CZ46933" s="256"/>
      <c r="DG46933" s="256"/>
    </row>
    <row r="46934" spans="104:111">
      <c r="CZ46934" s="256"/>
      <c r="DG46934" s="256"/>
    </row>
    <row r="46935" spans="104:111">
      <c r="CZ46935" s="256"/>
      <c r="DG46935" s="256"/>
    </row>
    <row r="46936" spans="104:111">
      <c r="CZ46936" s="256"/>
      <c r="DG46936" s="256"/>
    </row>
    <row r="46937" spans="104:111">
      <c r="CZ46937" s="256"/>
      <c r="DG46937" s="256"/>
    </row>
    <row r="46938" spans="104:111">
      <c r="CZ46938" s="256"/>
      <c r="DG46938" s="256"/>
    </row>
    <row r="46939" spans="104:111">
      <c r="CZ46939" s="256"/>
      <c r="DG46939" s="256"/>
    </row>
    <row r="46940" spans="104:111">
      <c r="CZ46940" s="256"/>
      <c r="DG46940" s="256"/>
    </row>
    <row r="46941" spans="104:111">
      <c r="CZ46941" s="256"/>
      <c r="DG46941" s="256"/>
    </row>
    <row r="46942" spans="104:111">
      <c r="CZ46942" s="256"/>
      <c r="DG46942" s="256"/>
    </row>
    <row r="46943" spans="104:111">
      <c r="CZ46943" s="256"/>
      <c r="DG46943" s="256"/>
    </row>
    <row r="46944" spans="104:111">
      <c r="CZ46944" s="256"/>
      <c r="DG46944" s="256"/>
    </row>
    <row r="46945" spans="104:111">
      <c r="CZ46945" s="256"/>
      <c r="DG46945" s="256"/>
    </row>
    <row r="46946" spans="104:111">
      <c r="CZ46946" s="256"/>
      <c r="DG46946" s="256"/>
    </row>
    <row r="46947" spans="104:111">
      <c r="CZ46947" s="256"/>
      <c r="DG46947" s="256"/>
    </row>
    <row r="46948" spans="104:111">
      <c r="CZ46948" s="256"/>
      <c r="DG46948" s="256"/>
    </row>
    <row r="46949" spans="104:111">
      <c r="CZ46949" s="256"/>
      <c r="DG46949" s="256"/>
    </row>
    <row r="46950" spans="104:111">
      <c r="CZ46950" s="256"/>
      <c r="DG46950" s="256"/>
    </row>
    <row r="46951" spans="104:111">
      <c r="CZ46951" s="256"/>
      <c r="DG46951" s="256"/>
    </row>
    <row r="46952" spans="104:111">
      <c r="CZ46952" s="256"/>
      <c r="DG46952" s="256"/>
    </row>
    <row r="46953" spans="104:111">
      <c r="CZ46953" s="256"/>
      <c r="DG46953" s="256"/>
    </row>
    <row r="46954" spans="104:111">
      <c r="CZ46954" s="256"/>
      <c r="DG46954" s="256"/>
    </row>
    <row r="46955" spans="104:111">
      <c r="CZ46955" s="256"/>
      <c r="DG46955" s="256"/>
    </row>
    <row r="46956" spans="104:111">
      <c r="CZ46956" s="256"/>
      <c r="DG46956" s="256"/>
    </row>
    <row r="46957" spans="104:111">
      <c r="CZ46957" s="256"/>
      <c r="DG46957" s="256"/>
    </row>
    <row r="46958" spans="104:111">
      <c r="CZ46958" s="256"/>
      <c r="DG46958" s="256"/>
    </row>
    <row r="46959" spans="104:111">
      <c r="CZ46959" s="256"/>
      <c r="DG46959" s="256"/>
    </row>
    <row r="46960" spans="104:111">
      <c r="CZ46960" s="256"/>
      <c r="DG46960" s="256"/>
    </row>
    <row r="46961" spans="104:111">
      <c r="CZ46961" s="256"/>
      <c r="DG46961" s="256"/>
    </row>
    <row r="46962" spans="104:111">
      <c r="CZ46962" s="256"/>
      <c r="DG46962" s="256"/>
    </row>
    <row r="46963" spans="104:111">
      <c r="CZ46963" s="256"/>
      <c r="DG46963" s="256"/>
    </row>
    <row r="46964" spans="104:111">
      <c r="CZ46964" s="256"/>
      <c r="DG46964" s="256"/>
    </row>
    <row r="46965" spans="104:111">
      <c r="CZ46965" s="256"/>
      <c r="DG46965" s="256"/>
    </row>
    <row r="46966" spans="104:111">
      <c r="CZ46966" s="256"/>
      <c r="DG46966" s="256"/>
    </row>
    <row r="46967" spans="104:111">
      <c r="CZ46967" s="256"/>
      <c r="DG46967" s="256"/>
    </row>
    <row r="46968" spans="104:111">
      <c r="CZ46968" s="256"/>
      <c r="DG46968" s="256"/>
    </row>
    <row r="46969" spans="104:111">
      <c r="CZ46969" s="256"/>
      <c r="DG46969" s="256"/>
    </row>
    <row r="46970" spans="104:111">
      <c r="CZ46970" s="256"/>
      <c r="DG46970" s="256"/>
    </row>
    <row r="46971" spans="104:111">
      <c r="CZ46971" s="256"/>
      <c r="DG46971" s="256"/>
    </row>
    <row r="46972" spans="104:111">
      <c r="CZ46972" s="256"/>
      <c r="DG46972" s="256"/>
    </row>
    <row r="46973" spans="104:111">
      <c r="CZ46973" s="256"/>
      <c r="DG46973" s="256"/>
    </row>
    <row r="46974" spans="104:111">
      <c r="CZ46974" s="256"/>
      <c r="DG46974" s="256"/>
    </row>
    <row r="46975" spans="104:111">
      <c r="CZ46975" s="256"/>
      <c r="DG46975" s="256"/>
    </row>
    <row r="46976" spans="104:111">
      <c r="CZ46976" s="256"/>
      <c r="DG46976" s="256"/>
    </row>
    <row r="46977" spans="104:111">
      <c r="CZ46977" s="256"/>
      <c r="DG46977" s="256"/>
    </row>
    <row r="46978" spans="104:111">
      <c r="CZ46978" s="256"/>
      <c r="DG46978" s="256"/>
    </row>
    <row r="46979" spans="104:111">
      <c r="CZ46979" s="256"/>
      <c r="DG46979" s="256"/>
    </row>
    <row r="46980" spans="104:111">
      <c r="CZ46980" s="256"/>
      <c r="DG46980" s="256"/>
    </row>
    <row r="46981" spans="104:111">
      <c r="CZ46981" s="256"/>
      <c r="DG46981" s="256"/>
    </row>
    <row r="46982" spans="104:111">
      <c r="CZ46982" s="256"/>
      <c r="DG46982" s="256"/>
    </row>
    <row r="46983" spans="104:111">
      <c r="CZ46983" s="256"/>
      <c r="DG46983" s="256"/>
    </row>
    <row r="46984" spans="104:111">
      <c r="CZ46984" s="256"/>
      <c r="DG46984" s="256"/>
    </row>
    <row r="46985" spans="104:111">
      <c r="CZ46985" s="256"/>
      <c r="DG46985" s="256"/>
    </row>
    <row r="46986" spans="104:111">
      <c r="CZ46986" s="256"/>
      <c r="DG46986" s="256"/>
    </row>
    <row r="46987" spans="104:111">
      <c r="CZ46987" s="256"/>
      <c r="DG46987" s="256"/>
    </row>
    <row r="46988" spans="104:111">
      <c r="CZ46988" s="256"/>
      <c r="DG46988" s="256"/>
    </row>
    <row r="46989" spans="104:111">
      <c r="CZ46989" s="256"/>
      <c r="DG46989" s="256"/>
    </row>
    <row r="46990" spans="104:111">
      <c r="CZ46990" s="256"/>
      <c r="DG46990" s="256"/>
    </row>
    <row r="46991" spans="104:111">
      <c r="CZ46991" s="256"/>
      <c r="DG46991" s="256"/>
    </row>
    <row r="46992" spans="104:111">
      <c r="CZ46992" s="256"/>
      <c r="DG46992" s="256"/>
    </row>
    <row r="46993" spans="104:111">
      <c r="CZ46993" s="256"/>
      <c r="DG46993" s="256"/>
    </row>
    <row r="46994" spans="104:111">
      <c r="CZ46994" s="256"/>
      <c r="DG46994" s="256"/>
    </row>
    <row r="46995" spans="104:111">
      <c r="CZ46995" s="256"/>
      <c r="DG46995" s="256"/>
    </row>
    <row r="46996" spans="104:111">
      <c r="CZ46996" s="256"/>
      <c r="DG46996" s="256"/>
    </row>
    <row r="46997" spans="104:111">
      <c r="CZ46997" s="256"/>
      <c r="DG46997" s="256"/>
    </row>
    <row r="46998" spans="104:111">
      <c r="CZ46998" s="256"/>
      <c r="DG46998" s="256"/>
    </row>
    <row r="46999" spans="104:111">
      <c r="CZ46999" s="256"/>
      <c r="DG46999" s="256"/>
    </row>
    <row r="47000" spans="104:111">
      <c r="CZ47000" s="256"/>
      <c r="DG47000" s="256"/>
    </row>
    <row r="47001" spans="104:111">
      <c r="CZ47001" s="256"/>
      <c r="DG47001" s="256"/>
    </row>
    <row r="47002" spans="104:111">
      <c r="CZ47002" s="256"/>
      <c r="DG47002" s="256"/>
    </row>
    <row r="47003" spans="104:111">
      <c r="CZ47003" s="256"/>
      <c r="DG47003" s="256"/>
    </row>
    <row r="47004" spans="104:111">
      <c r="CZ47004" s="256"/>
      <c r="DG47004" s="256"/>
    </row>
    <row r="47005" spans="104:111">
      <c r="CZ47005" s="256"/>
      <c r="DG47005" s="256"/>
    </row>
    <row r="47006" spans="104:111">
      <c r="CZ47006" s="256"/>
      <c r="DG47006" s="256"/>
    </row>
    <row r="47007" spans="104:111">
      <c r="CZ47007" s="256"/>
      <c r="DG47007" s="256"/>
    </row>
    <row r="47008" spans="104:111">
      <c r="CZ47008" s="256"/>
      <c r="DG47008" s="256"/>
    </row>
    <row r="47009" spans="104:111">
      <c r="CZ47009" s="256"/>
      <c r="DG47009" s="256"/>
    </row>
    <row r="47010" spans="104:111">
      <c r="CZ47010" s="256"/>
      <c r="DG47010" s="256"/>
    </row>
    <row r="47011" spans="104:111">
      <c r="CZ47011" s="256"/>
      <c r="DG47011" s="256"/>
    </row>
    <row r="47012" spans="104:111">
      <c r="CZ47012" s="256"/>
      <c r="DG47012" s="256"/>
    </row>
    <row r="47013" spans="104:111">
      <c r="CZ47013" s="256"/>
      <c r="DG47013" s="256"/>
    </row>
    <row r="47014" spans="104:111">
      <c r="CZ47014" s="256"/>
      <c r="DG47014" s="256"/>
    </row>
    <row r="47015" spans="104:111">
      <c r="CZ47015" s="256"/>
      <c r="DG47015" s="256"/>
    </row>
    <row r="47016" spans="104:111">
      <c r="CZ47016" s="256"/>
      <c r="DG47016" s="256"/>
    </row>
    <row r="47017" spans="104:111">
      <c r="CZ47017" s="256"/>
      <c r="DG47017" s="256"/>
    </row>
    <row r="47018" spans="104:111">
      <c r="CZ47018" s="256"/>
      <c r="DG47018" s="256"/>
    </row>
    <row r="47019" spans="104:111">
      <c r="CZ47019" s="256"/>
      <c r="DG47019" s="256"/>
    </row>
    <row r="47020" spans="104:111">
      <c r="CZ47020" s="256"/>
      <c r="DG47020" s="256"/>
    </row>
    <row r="47021" spans="104:111">
      <c r="CZ47021" s="256"/>
      <c r="DG47021" s="256"/>
    </row>
    <row r="47022" spans="104:111">
      <c r="CZ47022" s="256"/>
      <c r="DG47022" s="256"/>
    </row>
    <row r="47023" spans="104:111">
      <c r="CZ47023" s="256"/>
      <c r="DG47023" s="256"/>
    </row>
    <row r="47024" spans="104:111">
      <c r="CZ47024" s="256"/>
      <c r="DG47024" s="256"/>
    </row>
    <row r="47025" spans="104:111">
      <c r="CZ47025" s="256"/>
      <c r="DG47025" s="256"/>
    </row>
    <row r="47026" spans="104:111">
      <c r="CZ47026" s="256"/>
      <c r="DG47026" s="256"/>
    </row>
    <row r="47027" spans="104:111">
      <c r="CZ47027" s="256"/>
      <c r="DG47027" s="256"/>
    </row>
    <row r="47028" spans="104:111">
      <c r="CZ47028" s="256"/>
      <c r="DG47028" s="256"/>
    </row>
    <row r="47029" spans="104:111">
      <c r="CZ47029" s="256"/>
      <c r="DG47029" s="256"/>
    </row>
    <row r="47030" spans="104:111">
      <c r="CZ47030" s="256"/>
      <c r="DG47030" s="256"/>
    </row>
    <row r="47031" spans="104:111">
      <c r="CZ47031" s="256"/>
      <c r="DG47031" s="256"/>
    </row>
    <row r="47032" spans="104:111">
      <c r="CZ47032" s="256"/>
      <c r="DG47032" s="256"/>
    </row>
    <row r="47033" spans="104:111">
      <c r="CZ47033" s="256"/>
      <c r="DG47033" s="256"/>
    </row>
    <row r="47034" spans="104:111">
      <c r="CZ47034" s="256"/>
      <c r="DG47034" s="256"/>
    </row>
    <row r="47035" spans="104:111">
      <c r="CZ47035" s="256"/>
      <c r="DG47035" s="256"/>
    </row>
    <row r="47036" spans="104:111">
      <c r="CZ47036" s="256"/>
      <c r="DG47036" s="256"/>
    </row>
    <row r="47037" spans="104:111">
      <c r="CZ47037" s="256"/>
      <c r="DG47037" s="256"/>
    </row>
    <row r="47038" spans="104:111">
      <c r="CZ47038" s="256"/>
      <c r="DG47038" s="256"/>
    </row>
    <row r="47039" spans="104:111">
      <c r="CZ47039" s="256"/>
      <c r="DG47039" s="256"/>
    </row>
    <row r="47040" spans="104:111">
      <c r="CZ47040" s="256"/>
      <c r="DG47040" s="256"/>
    </row>
    <row r="47041" spans="104:111">
      <c r="CZ47041" s="256"/>
      <c r="DG47041" s="256"/>
    </row>
    <row r="47042" spans="104:111">
      <c r="CZ47042" s="256"/>
      <c r="DG47042" s="256"/>
    </row>
    <row r="47043" spans="104:111">
      <c r="CZ47043" s="256"/>
      <c r="DG47043" s="256"/>
    </row>
    <row r="47044" spans="104:111">
      <c r="CZ47044" s="256"/>
      <c r="DG47044" s="256"/>
    </row>
    <row r="47045" spans="104:111">
      <c r="CZ47045" s="256"/>
      <c r="DG47045" s="256"/>
    </row>
    <row r="47046" spans="104:111">
      <c r="CZ47046" s="256"/>
      <c r="DG47046" s="256"/>
    </row>
    <row r="47047" spans="104:111">
      <c r="CZ47047" s="256"/>
      <c r="DG47047" s="256"/>
    </row>
    <row r="47048" spans="104:111">
      <c r="CZ47048" s="256"/>
      <c r="DG47048" s="256"/>
    </row>
    <row r="47049" spans="104:111">
      <c r="CZ47049" s="256"/>
      <c r="DG47049" s="256"/>
    </row>
    <row r="47050" spans="104:111">
      <c r="CZ47050" s="256"/>
      <c r="DG47050" s="256"/>
    </row>
    <row r="47051" spans="104:111">
      <c r="CZ47051" s="256"/>
      <c r="DG47051" s="256"/>
    </row>
    <row r="47052" spans="104:111">
      <c r="CZ47052" s="256"/>
      <c r="DG47052" s="256"/>
    </row>
    <row r="47053" spans="104:111">
      <c r="CZ47053" s="256"/>
      <c r="DG47053" s="256"/>
    </row>
    <row r="47054" spans="104:111">
      <c r="CZ47054" s="256"/>
      <c r="DG47054" s="256"/>
    </row>
    <row r="47055" spans="104:111">
      <c r="CZ47055" s="256"/>
      <c r="DG47055" s="256"/>
    </row>
    <row r="47056" spans="104:111">
      <c r="CZ47056" s="256"/>
      <c r="DG47056" s="256"/>
    </row>
    <row r="47057" spans="104:111">
      <c r="CZ47057" s="256"/>
      <c r="DG47057" s="256"/>
    </row>
    <row r="47058" spans="104:111">
      <c r="CZ47058" s="256"/>
      <c r="DG47058" s="256"/>
    </row>
    <row r="47059" spans="104:111">
      <c r="CZ47059" s="256"/>
      <c r="DG47059" s="256"/>
    </row>
    <row r="47060" spans="104:111">
      <c r="CZ47060" s="256"/>
      <c r="DG47060" s="256"/>
    </row>
    <row r="47061" spans="104:111">
      <c r="CZ47061" s="256"/>
      <c r="DG47061" s="256"/>
    </row>
    <row r="47062" spans="104:111">
      <c r="CZ47062" s="256"/>
      <c r="DG47062" s="256"/>
    </row>
    <row r="47063" spans="104:111">
      <c r="CZ47063" s="256"/>
      <c r="DG47063" s="256"/>
    </row>
    <row r="47064" spans="104:111">
      <c r="CZ47064" s="256"/>
      <c r="DG47064" s="256"/>
    </row>
    <row r="47065" spans="104:111">
      <c r="CZ47065" s="256"/>
      <c r="DG47065" s="256"/>
    </row>
    <row r="47066" spans="104:111">
      <c r="CZ47066" s="256"/>
      <c r="DG47066" s="256"/>
    </row>
    <row r="47067" spans="104:111">
      <c r="CZ47067" s="256"/>
      <c r="DG47067" s="256"/>
    </row>
    <row r="47068" spans="104:111">
      <c r="CZ47068" s="256"/>
      <c r="DG47068" s="256"/>
    </row>
    <row r="47069" spans="104:111">
      <c r="CZ47069" s="256"/>
      <c r="DG47069" s="256"/>
    </row>
    <row r="47070" spans="104:111">
      <c r="CZ47070" s="256"/>
      <c r="DG47070" s="256"/>
    </row>
    <row r="47071" spans="104:111">
      <c r="CZ47071" s="256"/>
      <c r="DG47071" s="256"/>
    </row>
    <row r="47072" spans="104:111">
      <c r="CZ47072" s="256"/>
      <c r="DG47072" s="256"/>
    </row>
    <row r="47073" spans="104:111">
      <c r="CZ47073" s="256"/>
      <c r="DG47073" s="256"/>
    </row>
    <row r="47074" spans="104:111">
      <c r="CZ47074" s="256"/>
      <c r="DG47074" s="256"/>
    </row>
    <row r="47075" spans="104:111">
      <c r="CZ47075" s="256"/>
      <c r="DG47075" s="256"/>
    </row>
    <row r="47076" spans="104:111">
      <c r="CZ47076" s="256"/>
      <c r="DG47076" s="256"/>
    </row>
    <row r="47077" spans="104:111">
      <c r="CZ47077" s="256"/>
      <c r="DG47077" s="256"/>
    </row>
    <row r="47078" spans="104:111">
      <c r="CZ47078" s="256"/>
      <c r="DG47078" s="256"/>
    </row>
    <row r="47079" spans="104:111">
      <c r="CZ47079" s="256"/>
      <c r="DG47079" s="256"/>
    </row>
    <row r="47080" spans="104:111">
      <c r="CZ47080" s="256"/>
      <c r="DG47080" s="256"/>
    </row>
    <row r="47081" spans="104:111">
      <c r="CZ47081" s="256"/>
      <c r="DG47081" s="256"/>
    </row>
    <row r="47082" spans="104:111">
      <c r="CZ47082" s="256"/>
      <c r="DG47082" s="256"/>
    </row>
    <row r="47083" spans="104:111">
      <c r="CZ47083" s="256"/>
      <c r="DG47083" s="256"/>
    </row>
    <row r="47084" spans="104:111">
      <c r="CZ47084" s="256"/>
      <c r="DG47084" s="256"/>
    </row>
    <row r="47085" spans="104:111">
      <c r="CZ47085" s="256"/>
      <c r="DG47085" s="256"/>
    </row>
    <row r="47086" spans="104:111">
      <c r="CZ47086" s="256"/>
      <c r="DG47086" s="256"/>
    </row>
    <row r="47087" spans="104:111">
      <c r="CZ47087" s="256"/>
      <c r="DG47087" s="256"/>
    </row>
    <row r="47088" spans="104:111">
      <c r="CZ47088" s="256"/>
      <c r="DG47088" s="256"/>
    </row>
    <row r="47089" spans="104:111">
      <c r="CZ47089" s="256"/>
      <c r="DG47089" s="256"/>
    </row>
    <row r="47090" spans="104:111">
      <c r="CZ47090" s="256"/>
      <c r="DG47090" s="256"/>
    </row>
    <row r="47091" spans="104:111">
      <c r="CZ47091" s="256"/>
      <c r="DG47091" s="256"/>
    </row>
    <row r="47092" spans="104:111">
      <c r="CZ47092" s="256"/>
      <c r="DG47092" s="256"/>
    </row>
    <row r="47093" spans="104:111">
      <c r="CZ47093" s="256"/>
      <c r="DG47093" s="256"/>
    </row>
    <row r="47094" spans="104:111">
      <c r="CZ47094" s="256"/>
      <c r="DG47094" s="256"/>
    </row>
    <row r="47095" spans="104:111">
      <c r="CZ47095" s="256"/>
      <c r="DG47095" s="256"/>
    </row>
    <row r="47096" spans="104:111">
      <c r="CZ47096" s="256"/>
      <c r="DG47096" s="256"/>
    </row>
    <row r="47097" spans="104:111">
      <c r="CZ47097" s="256"/>
      <c r="DG47097" s="256"/>
    </row>
    <row r="47098" spans="104:111">
      <c r="CZ47098" s="256"/>
      <c r="DG47098" s="256"/>
    </row>
    <row r="47099" spans="104:111">
      <c r="CZ47099" s="256"/>
      <c r="DG47099" s="256"/>
    </row>
    <row r="47100" spans="104:111">
      <c r="CZ47100" s="256"/>
      <c r="DG47100" s="256"/>
    </row>
    <row r="47101" spans="104:111">
      <c r="CZ47101" s="256"/>
      <c r="DG47101" s="256"/>
    </row>
    <row r="47102" spans="104:111">
      <c r="CZ47102" s="256"/>
      <c r="DG47102" s="256"/>
    </row>
    <row r="47103" spans="104:111">
      <c r="CZ47103" s="256"/>
      <c r="DG47103" s="256"/>
    </row>
    <row r="47104" spans="104:111">
      <c r="CZ47104" s="256"/>
      <c r="DG47104" s="256"/>
    </row>
    <row r="47105" spans="104:111">
      <c r="CZ47105" s="256"/>
      <c r="DG47105" s="256"/>
    </row>
    <row r="47106" spans="104:111">
      <c r="CZ47106" s="256"/>
      <c r="DG47106" s="256"/>
    </row>
    <row r="47107" spans="104:111">
      <c r="CZ47107" s="256"/>
      <c r="DG47107" s="256"/>
    </row>
    <row r="47108" spans="104:111">
      <c r="CZ47108" s="256"/>
      <c r="DG47108" s="256"/>
    </row>
    <row r="47109" spans="104:111">
      <c r="CZ47109" s="256"/>
      <c r="DG47109" s="256"/>
    </row>
    <row r="47110" spans="104:111">
      <c r="CZ47110" s="256"/>
      <c r="DG47110" s="256"/>
    </row>
    <row r="47111" spans="104:111">
      <c r="CZ47111" s="256"/>
      <c r="DG47111" s="256"/>
    </row>
    <row r="47112" spans="104:111">
      <c r="CZ47112" s="256"/>
      <c r="DG47112" s="256"/>
    </row>
    <row r="47113" spans="104:111">
      <c r="CZ47113" s="256"/>
      <c r="DG47113" s="256"/>
    </row>
    <row r="47114" spans="104:111">
      <c r="CZ47114" s="256"/>
      <c r="DG47114" s="256"/>
    </row>
    <row r="47115" spans="104:111">
      <c r="CZ47115" s="256"/>
      <c r="DG47115" s="256"/>
    </row>
    <row r="47116" spans="104:111">
      <c r="CZ47116" s="256"/>
      <c r="DG47116" s="256"/>
    </row>
    <row r="47117" spans="104:111">
      <c r="CZ47117" s="256"/>
      <c r="DG47117" s="256"/>
    </row>
    <row r="47118" spans="104:111">
      <c r="CZ47118" s="256"/>
      <c r="DG47118" s="256"/>
    </row>
    <row r="47119" spans="104:111">
      <c r="CZ47119" s="256"/>
      <c r="DG47119" s="256"/>
    </row>
    <row r="47120" spans="104:111">
      <c r="CZ47120" s="256"/>
      <c r="DG47120" s="256"/>
    </row>
    <row r="47121" spans="104:111">
      <c r="CZ47121" s="256"/>
      <c r="DG47121" s="256"/>
    </row>
    <row r="47122" spans="104:111">
      <c r="CZ47122" s="256"/>
      <c r="DG47122" s="256"/>
    </row>
    <row r="47123" spans="104:111">
      <c r="CZ47123" s="256"/>
      <c r="DG47123" s="256"/>
    </row>
    <row r="47124" spans="104:111">
      <c r="CZ47124" s="256"/>
      <c r="DG47124" s="256"/>
    </row>
    <row r="47125" spans="104:111">
      <c r="CZ47125" s="256"/>
      <c r="DG47125" s="256"/>
    </row>
    <row r="47126" spans="104:111">
      <c r="CZ47126" s="256"/>
      <c r="DG47126" s="256"/>
    </row>
    <row r="47127" spans="104:111">
      <c r="CZ47127" s="256"/>
      <c r="DG47127" s="256"/>
    </row>
    <row r="47128" spans="104:111">
      <c r="CZ47128" s="256"/>
      <c r="DG47128" s="256"/>
    </row>
    <row r="47129" spans="104:111">
      <c r="CZ47129" s="256"/>
      <c r="DG47129" s="256"/>
    </row>
    <row r="47130" spans="104:111">
      <c r="CZ47130" s="256"/>
      <c r="DG47130" s="256"/>
    </row>
    <row r="47131" spans="104:111">
      <c r="CZ47131" s="256"/>
      <c r="DG47131" s="256"/>
    </row>
    <row r="47132" spans="104:111">
      <c r="CZ47132" s="256"/>
      <c r="DG47132" s="256"/>
    </row>
    <row r="47133" spans="104:111">
      <c r="CZ47133" s="256"/>
      <c r="DG47133" s="256"/>
    </row>
    <row r="47134" spans="104:111">
      <c r="CZ47134" s="256"/>
      <c r="DG47134" s="256"/>
    </row>
    <row r="47135" spans="104:111">
      <c r="CZ47135" s="256"/>
      <c r="DG47135" s="256"/>
    </row>
    <row r="47136" spans="104:111">
      <c r="CZ47136" s="256"/>
      <c r="DG47136" s="256"/>
    </row>
    <row r="47137" spans="104:111">
      <c r="CZ47137" s="256"/>
      <c r="DG47137" s="256"/>
    </row>
    <row r="47138" spans="104:111">
      <c r="CZ47138" s="256"/>
      <c r="DG47138" s="256"/>
    </row>
    <row r="47139" spans="104:111">
      <c r="CZ47139" s="256"/>
      <c r="DG47139" s="256"/>
    </row>
    <row r="47140" spans="104:111">
      <c r="CZ47140" s="256"/>
      <c r="DG47140" s="256"/>
    </row>
    <row r="47141" spans="104:111">
      <c r="CZ47141" s="256"/>
      <c r="DG47141" s="256"/>
    </row>
    <row r="47142" spans="104:111">
      <c r="CZ47142" s="256"/>
      <c r="DG47142" s="256"/>
    </row>
    <row r="47143" spans="104:111">
      <c r="CZ47143" s="256"/>
      <c r="DG47143" s="256"/>
    </row>
    <row r="47144" spans="104:111">
      <c r="CZ47144" s="256"/>
      <c r="DG47144" s="256"/>
    </row>
    <row r="47145" spans="104:111">
      <c r="CZ47145" s="256"/>
      <c r="DG47145" s="256"/>
    </row>
    <row r="47146" spans="104:111">
      <c r="CZ47146" s="256"/>
      <c r="DG47146" s="256"/>
    </row>
    <row r="47147" spans="104:111">
      <c r="CZ47147" s="256"/>
      <c r="DG47147" s="256"/>
    </row>
    <row r="47148" spans="104:111">
      <c r="CZ47148" s="256"/>
      <c r="DG47148" s="256"/>
    </row>
    <row r="47149" spans="104:111">
      <c r="CZ47149" s="256"/>
      <c r="DG47149" s="256"/>
    </row>
    <row r="47150" spans="104:111">
      <c r="CZ47150" s="256"/>
      <c r="DG47150" s="256"/>
    </row>
    <row r="47151" spans="104:111">
      <c r="CZ47151" s="256"/>
      <c r="DG47151" s="256"/>
    </row>
    <row r="47152" spans="104:111">
      <c r="CZ47152" s="256"/>
      <c r="DG47152" s="256"/>
    </row>
    <row r="47153" spans="104:111">
      <c r="CZ47153" s="256"/>
      <c r="DG47153" s="256"/>
    </row>
    <row r="47154" spans="104:111">
      <c r="CZ47154" s="256"/>
      <c r="DG47154" s="256"/>
    </row>
    <row r="47155" spans="104:111">
      <c r="CZ47155" s="256"/>
      <c r="DG47155" s="256"/>
    </row>
    <row r="47156" spans="104:111">
      <c r="CZ47156" s="256"/>
      <c r="DG47156" s="256"/>
    </row>
    <row r="47157" spans="104:111">
      <c r="CZ47157" s="256"/>
      <c r="DG47157" s="256"/>
    </row>
    <row r="47158" spans="104:111">
      <c r="CZ47158" s="256"/>
      <c r="DG47158" s="256"/>
    </row>
    <row r="47159" spans="104:111">
      <c r="CZ47159" s="256"/>
      <c r="DG47159" s="256"/>
    </row>
    <row r="47160" spans="104:111">
      <c r="CZ47160" s="256"/>
      <c r="DG47160" s="256"/>
    </row>
    <row r="47161" spans="104:111">
      <c r="CZ47161" s="256"/>
      <c r="DG47161" s="256"/>
    </row>
    <row r="47162" spans="104:111">
      <c r="CZ47162" s="256"/>
      <c r="DG47162" s="256"/>
    </row>
    <row r="47163" spans="104:111">
      <c r="CZ47163" s="256"/>
      <c r="DG47163" s="256"/>
    </row>
    <row r="47164" spans="104:111">
      <c r="CZ47164" s="256"/>
      <c r="DG47164" s="256"/>
    </row>
    <row r="47165" spans="104:111">
      <c r="CZ47165" s="256"/>
      <c r="DG47165" s="256"/>
    </row>
    <row r="47166" spans="104:111">
      <c r="CZ47166" s="256"/>
      <c r="DG47166" s="256"/>
    </row>
    <row r="47167" spans="104:111">
      <c r="CZ47167" s="256"/>
      <c r="DG47167" s="256"/>
    </row>
    <row r="47168" spans="104:111">
      <c r="CZ47168" s="256"/>
      <c r="DG47168" s="256"/>
    </row>
    <row r="47169" spans="104:111">
      <c r="CZ47169" s="256"/>
      <c r="DG47169" s="256"/>
    </row>
    <row r="47170" spans="104:111">
      <c r="CZ47170" s="256"/>
      <c r="DG47170" s="256"/>
    </row>
    <row r="47171" spans="104:111">
      <c r="CZ47171" s="256"/>
      <c r="DG47171" s="256"/>
    </row>
    <row r="47172" spans="104:111">
      <c r="CZ47172" s="256"/>
      <c r="DG47172" s="256"/>
    </row>
    <row r="47173" spans="104:111">
      <c r="CZ47173" s="256"/>
      <c r="DG47173" s="256"/>
    </row>
    <row r="47174" spans="104:111">
      <c r="CZ47174" s="256"/>
      <c r="DG47174" s="256"/>
    </row>
    <row r="47175" spans="104:111">
      <c r="CZ47175" s="256"/>
      <c r="DG47175" s="256"/>
    </row>
    <row r="47176" spans="104:111">
      <c r="CZ47176" s="256"/>
      <c r="DG47176" s="256"/>
    </row>
    <row r="47177" spans="104:111">
      <c r="CZ47177" s="256"/>
      <c r="DG47177" s="256"/>
    </row>
    <row r="47178" spans="104:111">
      <c r="CZ47178" s="256"/>
      <c r="DG47178" s="256"/>
    </row>
    <row r="47179" spans="104:111">
      <c r="CZ47179" s="256"/>
      <c r="DG47179" s="256"/>
    </row>
    <row r="47180" spans="104:111">
      <c r="CZ47180" s="256"/>
      <c r="DG47180" s="256"/>
    </row>
    <row r="47181" spans="104:111">
      <c r="CZ47181" s="256"/>
      <c r="DG47181" s="256"/>
    </row>
    <row r="47182" spans="104:111">
      <c r="CZ47182" s="256"/>
      <c r="DG47182" s="256"/>
    </row>
    <row r="47183" spans="104:111">
      <c r="CZ47183" s="256"/>
      <c r="DG47183" s="256"/>
    </row>
    <row r="47184" spans="104:111">
      <c r="CZ47184" s="256"/>
      <c r="DG47184" s="256"/>
    </row>
    <row r="47185" spans="104:111">
      <c r="CZ47185" s="256"/>
      <c r="DG47185" s="256"/>
    </row>
    <row r="47186" spans="104:111">
      <c r="CZ47186" s="256"/>
      <c r="DG47186" s="256"/>
    </row>
    <row r="47187" spans="104:111">
      <c r="CZ47187" s="256"/>
      <c r="DG47187" s="256"/>
    </row>
    <row r="47188" spans="104:111">
      <c r="CZ47188" s="256"/>
      <c r="DG47188" s="256"/>
    </row>
    <row r="47189" spans="104:111">
      <c r="CZ47189" s="256"/>
      <c r="DG47189" s="256"/>
    </row>
    <row r="47190" spans="104:111">
      <c r="CZ47190" s="256"/>
      <c r="DG47190" s="256"/>
    </row>
    <row r="47191" spans="104:111">
      <c r="CZ47191" s="256"/>
      <c r="DG47191" s="256"/>
    </row>
    <row r="47192" spans="104:111">
      <c r="CZ47192" s="256"/>
      <c r="DG47192" s="256"/>
    </row>
    <row r="47193" spans="104:111">
      <c r="CZ47193" s="256"/>
      <c r="DG47193" s="256"/>
    </row>
    <row r="47194" spans="104:111">
      <c r="CZ47194" s="256"/>
      <c r="DG47194" s="256"/>
    </row>
    <row r="47195" spans="104:111">
      <c r="CZ47195" s="256"/>
      <c r="DG47195" s="256"/>
    </row>
    <row r="47196" spans="104:111">
      <c r="CZ47196" s="256"/>
      <c r="DG47196" s="256"/>
    </row>
    <row r="47197" spans="104:111">
      <c r="CZ47197" s="256"/>
      <c r="DG47197" s="256"/>
    </row>
    <row r="47198" spans="104:111">
      <c r="CZ47198" s="256"/>
      <c r="DG47198" s="256"/>
    </row>
    <row r="47199" spans="104:111">
      <c r="CZ47199" s="256"/>
      <c r="DG47199" s="256"/>
    </row>
    <row r="47200" spans="104:111">
      <c r="CZ47200" s="256"/>
      <c r="DG47200" s="256"/>
    </row>
    <row r="47201" spans="104:111">
      <c r="CZ47201" s="256"/>
      <c r="DG47201" s="256"/>
    </row>
    <row r="47202" spans="104:111">
      <c r="CZ47202" s="256"/>
      <c r="DG47202" s="256"/>
    </row>
    <row r="47203" spans="104:111">
      <c r="CZ47203" s="256"/>
      <c r="DG47203" s="256"/>
    </row>
    <row r="47204" spans="104:111">
      <c r="CZ47204" s="256"/>
      <c r="DG47204" s="256"/>
    </row>
    <row r="47205" spans="104:111">
      <c r="CZ47205" s="256"/>
      <c r="DG47205" s="256"/>
    </row>
    <row r="47206" spans="104:111">
      <c r="CZ47206" s="256"/>
      <c r="DG47206" s="256"/>
    </row>
    <row r="47207" spans="104:111">
      <c r="CZ47207" s="256"/>
      <c r="DG47207" s="256"/>
    </row>
    <row r="47208" spans="104:111">
      <c r="CZ47208" s="256"/>
      <c r="DG47208" s="256"/>
    </row>
    <row r="47209" spans="104:111">
      <c r="CZ47209" s="256"/>
      <c r="DG47209" s="256"/>
    </row>
    <row r="47210" spans="104:111">
      <c r="CZ47210" s="256"/>
      <c r="DG47210" s="256"/>
    </row>
    <row r="47211" spans="104:111">
      <c r="CZ47211" s="256"/>
      <c r="DG47211" s="256"/>
    </row>
    <row r="47212" spans="104:111">
      <c r="CZ47212" s="256"/>
      <c r="DG47212" s="256"/>
    </row>
    <row r="47213" spans="104:111">
      <c r="CZ47213" s="256"/>
      <c r="DG47213" s="256"/>
    </row>
    <row r="47214" spans="104:111">
      <c r="CZ47214" s="256"/>
      <c r="DG47214" s="256"/>
    </row>
    <row r="47215" spans="104:111">
      <c r="CZ47215" s="256"/>
      <c r="DG47215" s="256"/>
    </row>
    <row r="47216" spans="104:111">
      <c r="CZ47216" s="256"/>
      <c r="DG47216" s="256"/>
    </row>
    <row r="47217" spans="104:111">
      <c r="CZ47217" s="256"/>
      <c r="DG47217" s="256"/>
    </row>
    <row r="47218" spans="104:111">
      <c r="CZ47218" s="256"/>
      <c r="DG47218" s="256"/>
    </row>
    <row r="47219" spans="104:111">
      <c r="CZ47219" s="256"/>
      <c r="DG47219" s="256"/>
    </row>
    <row r="47220" spans="104:111">
      <c r="CZ47220" s="256"/>
      <c r="DG47220" s="256"/>
    </row>
    <row r="47221" spans="104:111">
      <c r="CZ47221" s="256"/>
      <c r="DG47221" s="256"/>
    </row>
    <row r="47222" spans="104:111">
      <c r="CZ47222" s="256"/>
      <c r="DG47222" s="256"/>
    </row>
    <row r="47223" spans="104:111">
      <c r="CZ47223" s="256"/>
      <c r="DG47223" s="256"/>
    </row>
    <row r="47224" spans="104:111">
      <c r="CZ47224" s="256"/>
      <c r="DG47224" s="256"/>
    </row>
    <row r="47225" spans="104:111">
      <c r="CZ47225" s="256"/>
      <c r="DG47225" s="256"/>
    </row>
    <row r="47226" spans="104:111">
      <c r="CZ47226" s="256"/>
      <c r="DG47226" s="256"/>
    </row>
    <row r="47227" spans="104:111">
      <c r="CZ47227" s="256"/>
      <c r="DG47227" s="256"/>
    </row>
    <row r="47228" spans="104:111">
      <c r="CZ47228" s="256"/>
      <c r="DG47228" s="256"/>
    </row>
    <row r="47229" spans="104:111">
      <c r="CZ47229" s="256"/>
      <c r="DG47229" s="256"/>
    </row>
    <row r="47230" spans="104:111">
      <c r="CZ47230" s="256"/>
      <c r="DG47230" s="256"/>
    </row>
    <row r="47231" spans="104:111">
      <c r="CZ47231" s="256"/>
      <c r="DG47231" s="256"/>
    </row>
    <row r="47232" spans="104:111">
      <c r="CZ47232" s="256"/>
      <c r="DG47232" s="256"/>
    </row>
    <row r="47233" spans="104:111">
      <c r="CZ47233" s="256"/>
      <c r="DG47233" s="256"/>
    </row>
    <row r="47234" spans="104:111">
      <c r="CZ47234" s="256"/>
      <c r="DG47234" s="256"/>
    </row>
    <row r="47235" spans="104:111">
      <c r="CZ47235" s="256"/>
      <c r="DG47235" s="256"/>
    </row>
    <row r="47236" spans="104:111">
      <c r="CZ47236" s="256"/>
      <c r="DG47236" s="256"/>
    </row>
    <row r="47237" spans="104:111">
      <c r="CZ47237" s="256"/>
      <c r="DG47237" s="256"/>
    </row>
    <row r="47238" spans="104:111">
      <c r="CZ47238" s="256"/>
      <c r="DG47238" s="256"/>
    </row>
    <row r="47239" spans="104:111">
      <c r="CZ47239" s="256"/>
      <c r="DG47239" s="256"/>
    </row>
    <row r="47240" spans="104:111">
      <c r="CZ47240" s="256"/>
      <c r="DG47240" s="256"/>
    </row>
    <row r="47241" spans="104:111">
      <c r="CZ47241" s="256"/>
      <c r="DG47241" s="256"/>
    </row>
    <row r="47242" spans="104:111">
      <c r="CZ47242" s="256"/>
      <c r="DG47242" s="256"/>
    </row>
    <row r="47243" spans="104:111">
      <c r="CZ47243" s="256"/>
      <c r="DG47243" s="256"/>
    </row>
    <row r="47244" spans="104:111">
      <c r="CZ47244" s="256"/>
      <c r="DG47244" s="256"/>
    </row>
    <row r="47245" spans="104:111">
      <c r="CZ47245" s="256"/>
      <c r="DG47245" s="256"/>
    </row>
    <row r="47246" spans="104:111">
      <c r="CZ47246" s="256"/>
      <c r="DG47246" s="256"/>
    </row>
    <row r="47247" spans="104:111">
      <c r="CZ47247" s="256"/>
      <c r="DG47247" s="256"/>
    </row>
    <row r="47248" spans="104:111">
      <c r="CZ47248" s="256"/>
      <c r="DG47248" s="256"/>
    </row>
    <row r="47249" spans="104:111">
      <c r="CZ47249" s="256"/>
      <c r="DG47249" s="256"/>
    </row>
    <row r="47250" spans="104:111">
      <c r="CZ47250" s="256"/>
      <c r="DG47250" s="256"/>
    </row>
    <row r="47251" spans="104:111">
      <c r="CZ47251" s="256"/>
      <c r="DG47251" s="256"/>
    </row>
    <row r="47252" spans="104:111">
      <c r="CZ47252" s="256"/>
      <c r="DG47252" s="256"/>
    </row>
    <row r="47253" spans="104:111">
      <c r="CZ47253" s="256"/>
      <c r="DG47253" s="256"/>
    </row>
    <row r="47254" spans="104:111">
      <c r="CZ47254" s="256"/>
      <c r="DG47254" s="256"/>
    </row>
    <row r="47255" spans="104:111">
      <c r="CZ47255" s="256"/>
      <c r="DG47255" s="256"/>
    </row>
    <row r="47256" spans="104:111">
      <c r="CZ47256" s="256"/>
      <c r="DG47256" s="256"/>
    </row>
    <row r="47257" spans="104:111">
      <c r="CZ47257" s="256"/>
      <c r="DG47257" s="256"/>
    </row>
    <row r="47258" spans="104:111">
      <c r="CZ47258" s="256"/>
      <c r="DG47258" s="256"/>
    </row>
    <row r="47259" spans="104:111">
      <c r="CZ47259" s="256"/>
      <c r="DG47259" s="256"/>
    </row>
    <row r="47260" spans="104:111">
      <c r="CZ47260" s="256"/>
      <c r="DG47260" s="256"/>
    </row>
    <row r="47261" spans="104:111">
      <c r="CZ47261" s="256"/>
      <c r="DG47261" s="256"/>
    </row>
    <row r="47262" spans="104:111">
      <c r="CZ47262" s="256"/>
      <c r="DG47262" s="256"/>
    </row>
    <row r="47263" spans="104:111">
      <c r="CZ47263" s="256"/>
      <c r="DG47263" s="256"/>
    </row>
    <row r="47264" spans="104:111">
      <c r="CZ47264" s="256"/>
      <c r="DG47264" s="256"/>
    </row>
    <row r="47265" spans="104:111">
      <c r="CZ47265" s="256"/>
      <c r="DG47265" s="256"/>
    </row>
    <row r="47266" spans="104:111">
      <c r="CZ47266" s="256"/>
      <c r="DG47266" s="256"/>
    </row>
    <row r="47267" spans="104:111">
      <c r="CZ47267" s="256"/>
      <c r="DG47267" s="256"/>
    </row>
    <row r="47268" spans="104:111">
      <c r="CZ47268" s="256"/>
      <c r="DG47268" s="256"/>
    </row>
    <row r="47269" spans="104:111">
      <c r="CZ47269" s="256"/>
      <c r="DG47269" s="256"/>
    </row>
    <row r="47270" spans="104:111">
      <c r="CZ47270" s="256"/>
      <c r="DG47270" s="256"/>
    </row>
    <row r="47271" spans="104:111">
      <c r="CZ47271" s="256"/>
      <c r="DG47271" s="256"/>
    </row>
    <row r="47272" spans="104:111">
      <c r="CZ47272" s="256"/>
      <c r="DG47272" s="256"/>
    </row>
    <row r="47273" spans="104:111">
      <c r="CZ47273" s="256"/>
      <c r="DG47273" s="256"/>
    </row>
    <row r="47274" spans="104:111">
      <c r="CZ47274" s="256"/>
      <c r="DG47274" s="256"/>
    </row>
    <row r="47275" spans="104:111">
      <c r="CZ47275" s="256"/>
      <c r="DG47275" s="256"/>
    </row>
    <row r="47276" spans="104:111">
      <c r="CZ47276" s="256"/>
      <c r="DG47276" s="256"/>
    </row>
    <row r="47277" spans="104:111">
      <c r="CZ47277" s="256"/>
      <c r="DG47277" s="256"/>
    </row>
    <row r="47278" spans="104:111">
      <c r="CZ47278" s="256"/>
      <c r="DG47278" s="256"/>
    </row>
    <row r="47279" spans="104:111">
      <c r="CZ47279" s="256"/>
      <c r="DG47279" s="256"/>
    </row>
    <row r="47280" spans="104:111">
      <c r="CZ47280" s="256"/>
      <c r="DG47280" s="256"/>
    </row>
    <row r="47281" spans="104:111">
      <c r="CZ47281" s="256"/>
      <c r="DG47281" s="256"/>
    </row>
    <row r="47282" spans="104:111">
      <c r="CZ47282" s="256"/>
      <c r="DG47282" s="256"/>
    </row>
    <row r="47283" spans="104:111">
      <c r="CZ47283" s="256"/>
      <c r="DG47283" s="256"/>
    </row>
    <row r="47284" spans="104:111">
      <c r="CZ47284" s="256"/>
      <c r="DG47284" s="256"/>
    </row>
    <row r="47285" spans="104:111">
      <c r="CZ47285" s="256"/>
      <c r="DG47285" s="256"/>
    </row>
    <row r="47286" spans="104:111">
      <c r="CZ47286" s="256"/>
      <c r="DG47286" s="256"/>
    </row>
    <row r="47287" spans="104:111">
      <c r="CZ47287" s="256"/>
      <c r="DG47287" s="256"/>
    </row>
    <row r="47288" spans="104:111">
      <c r="CZ47288" s="256"/>
      <c r="DG47288" s="256"/>
    </row>
    <row r="47289" spans="104:111">
      <c r="CZ47289" s="256"/>
      <c r="DG47289" s="256"/>
    </row>
    <row r="47290" spans="104:111">
      <c r="CZ47290" s="256"/>
      <c r="DG47290" s="256"/>
    </row>
    <row r="47291" spans="104:111">
      <c r="CZ47291" s="256"/>
      <c r="DG47291" s="256"/>
    </row>
    <row r="47292" spans="104:111">
      <c r="CZ47292" s="256"/>
      <c r="DG47292" s="256"/>
    </row>
    <row r="47293" spans="104:111">
      <c r="CZ47293" s="256"/>
      <c r="DG47293" s="256"/>
    </row>
    <row r="47294" spans="104:111">
      <c r="CZ47294" s="256"/>
      <c r="DG47294" s="256"/>
    </row>
    <row r="47295" spans="104:111">
      <c r="CZ47295" s="256"/>
      <c r="DG47295" s="256"/>
    </row>
    <row r="47296" spans="104:111">
      <c r="CZ47296" s="256"/>
      <c r="DG47296" s="256"/>
    </row>
    <row r="47297" spans="104:111">
      <c r="CZ47297" s="256"/>
      <c r="DG47297" s="256"/>
    </row>
    <row r="47298" spans="104:111">
      <c r="CZ47298" s="256"/>
      <c r="DG47298" s="256"/>
    </row>
    <row r="47299" spans="104:111">
      <c r="CZ47299" s="256"/>
      <c r="DG47299" s="256"/>
    </row>
    <row r="47300" spans="104:111">
      <c r="CZ47300" s="256"/>
      <c r="DG47300" s="256"/>
    </row>
    <row r="47301" spans="104:111">
      <c r="CZ47301" s="256"/>
      <c r="DG47301" s="256"/>
    </row>
    <row r="47302" spans="104:111">
      <c r="CZ47302" s="256"/>
      <c r="DG47302" s="256"/>
    </row>
    <row r="47303" spans="104:111">
      <c r="CZ47303" s="256"/>
      <c r="DG47303" s="256"/>
    </row>
    <row r="47304" spans="104:111">
      <c r="CZ47304" s="256"/>
      <c r="DG47304" s="256"/>
    </row>
    <row r="47305" spans="104:111">
      <c r="CZ47305" s="256"/>
      <c r="DG47305" s="256"/>
    </row>
    <row r="47306" spans="104:111">
      <c r="CZ47306" s="256"/>
      <c r="DG47306" s="256"/>
    </row>
    <row r="47307" spans="104:111">
      <c r="CZ47307" s="256"/>
      <c r="DG47307" s="256"/>
    </row>
    <row r="47308" spans="104:111">
      <c r="CZ47308" s="256"/>
      <c r="DG47308" s="256"/>
    </row>
    <row r="47309" spans="104:111">
      <c r="CZ47309" s="256"/>
      <c r="DG47309" s="256"/>
    </row>
    <row r="47310" spans="104:111">
      <c r="CZ47310" s="256"/>
      <c r="DG47310" s="256"/>
    </row>
    <row r="47311" spans="104:111">
      <c r="CZ47311" s="256"/>
      <c r="DG47311" s="256"/>
    </row>
    <row r="47312" spans="104:111">
      <c r="CZ47312" s="256"/>
      <c r="DG47312" s="256"/>
    </row>
    <row r="47313" spans="104:111">
      <c r="CZ47313" s="256"/>
      <c r="DG47313" s="256"/>
    </row>
    <row r="47314" spans="104:111">
      <c r="CZ47314" s="256"/>
      <c r="DG47314" s="256"/>
    </row>
    <row r="47315" spans="104:111">
      <c r="CZ47315" s="256"/>
      <c r="DG47315" s="256"/>
    </row>
    <row r="47316" spans="104:111">
      <c r="CZ47316" s="256"/>
      <c r="DG47316" s="256"/>
    </row>
    <row r="47317" spans="104:111">
      <c r="CZ47317" s="256"/>
      <c r="DG47317" s="256"/>
    </row>
    <row r="47318" spans="104:111">
      <c r="CZ47318" s="256"/>
      <c r="DG47318" s="256"/>
    </row>
    <row r="47319" spans="104:111">
      <c r="CZ47319" s="256"/>
      <c r="DG47319" s="256"/>
    </row>
    <row r="47320" spans="104:111">
      <c r="CZ47320" s="256"/>
      <c r="DG47320" s="256"/>
    </row>
    <row r="47321" spans="104:111">
      <c r="CZ47321" s="256"/>
      <c r="DG47321" s="256"/>
    </row>
    <row r="47322" spans="104:111">
      <c r="CZ47322" s="256"/>
      <c r="DG47322" s="256"/>
    </row>
    <row r="47323" spans="104:111">
      <c r="CZ47323" s="256"/>
      <c r="DG47323" s="256"/>
    </row>
    <row r="47324" spans="104:111">
      <c r="CZ47324" s="256"/>
      <c r="DG47324" s="256"/>
    </row>
    <row r="47325" spans="104:111">
      <c r="CZ47325" s="256"/>
      <c r="DG47325" s="256"/>
    </row>
    <row r="47326" spans="104:111">
      <c r="CZ47326" s="256"/>
      <c r="DG47326" s="256"/>
    </row>
    <row r="47327" spans="104:111">
      <c r="CZ47327" s="256"/>
      <c r="DG47327" s="256"/>
    </row>
    <row r="47328" spans="104:111">
      <c r="CZ47328" s="256"/>
      <c r="DG47328" s="256"/>
    </row>
    <row r="47329" spans="104:111">
      <c r="CZ47329" s="256"/>
      <c r="DG47329" s="256"/>
    </row>
    <row r="47330" spans="104:111">
      <c r="CZ47330" s="256"/>
      <c r="DG47330" s="256"/>
    </row>
    <row r="47331" spans="104:111">
      <c r="CZ47331" s="256"/>
      <c r="DG47331" s="256"/>
    </row>
    <row r="47332" spans="104:111">
      <c r="CZ47332" s="256"/>
      <c r="DG47332" s="256"/>
    </row>
    <row r="47333" spans="104:111">
      <c r="CZ47333" s="256"/>
      <c r="DG47333" s="256"/>
    </row>
    <row r="47334" spans="104:111">
      <c r="CZ47334" s="256"/>
      <c r="DG47334" s="256"/>
    </row>
    <row r="47335" spans="104:111">
      <c r="CZ47335" s="256"/>
      <c r="DG47335" s="256"/>
    </row>
    <row r="47336" spans="104:111">
      <c r="CZ47336" s="256"/>
      <c r="DG47336" s="256"/>
    </row>
    <row r="47337" spans="104:111">
      <c r="CZ47337" s="256"/>
      <c r="DG47337" s="256"/>
    </row>
    <row r="47338" spans="104:111">
      <c r="CZ47338" s="256"/>
      <c r="DG47338" s="256"/>
    </row>
    <row r="47339" spans="104:111">
      <c r="CZ47339" s="256"/>
      <c r="DG47339" s="256"/>
    </row>
    <row r="47340" spans="104:111">
      <c r="CZ47340" s="256"/>
      <c r="DG47340" s="256"/>
    </row>
    <row r="47341" spans="104:111">
      <c r="CZ47341" s="256"/>
      <c r="DG47341" s="256"/>
    </row>
    <row r="47342" spans="104:111">
      <c r="CZ47342" s="256"/>
      <c r="DG47342" s="256"/>
    </row>
    <row r="47343" spans="104:111">
      <c r="CZ47343" s="256"/>
      <c r="DG47343" s="256"/>
    </row>
    <row r="47344" spans="104:111">
      <c r="CZ47344" s="256"/>
      <c r="DG47344" s="256"/>
    </row>
    <row r="47345" spans="104:111">
      <c r="CZ47345" s="256"/>
      <c r="DG47345" s="256"/>
    </row>
    <row r="47346" spans="104:111">
      <c r="CZ47346" s="256"/>
      <c r="DG47346" s="256"/>
    </row>
    <row r="47347" spans="104:111">
      <c r="CZ47347" s="256"/>
      <c r="DG47347" s="256"/>
    </row>
    <row r="47348" spans="104:111">
      <c r="CZ47348" s="256"/>
      <c r="DG47348" s="256"/>
    </row>
    <row r="47349" spans="104:111">
      <c r="CZ47349" s="256"/>
      <c r="DG47349" s="256"/>
    </row>
    <row r="47350" spans="104:111">
      <c r="CZ47350" s="256"/>
      <c r="DG47350" s="256"/>
    </row>
    <row r="47351" spans="104:111">
      <c r="CZ47351" s="256"/>
      <c r="DG47351" s="256"/>
    </row>
    <row r="47352" spans="104:111">
      <c r="CZ47352" s="256"/>
      <c r="DG47352" s="256"/>
    </row>
    <row r="47353" spans="104:111">
      <c r="CZ47353" s="256"/>
      <c r="DG47353" s="256"/>
    </row>
    <row r="47354" spans="104:111">
      <c r="CZ47354" s="256"/>
      <c r="DG47354" s="256"/>
    </row>
    <row r="47355" spans="104:111">
      <c r="CZ47355" s="256"/>
      <c r="DG47355" s="256"/>
    </row>
    <row r="47356" spans="104:111">
      <c r="CZ47356" s="256"/>
      <c r="DG47356" s="256"/>
    </row>
    <row r="47357" spans="104:111">
      <c r="CZ47357" s="256"/>
      <c r="DG47357" s="256"/>
    </row>
    <row r="47358" spans="104:111">
      <c r="CZ47358" s="256"/>
      <c r="DG47358" s="256"/>
    </row>
    <row r="47359" spans="104:111">
      <c r="CZ47359" s="256"/>
      <c r="DG47359" s="256"/>
    </row>
    <row r="47360" spans="104:111">
      <c r="CZ47360" s="256"/>
      <c r="DG47360" s="256"/>
    </row>
    <row r="47361" spans="104:111">
      <c r="CZ47361" s="256"/>
      <c r="DG47361" s="256"/>
    </row>
    <row r="47362" spans="104:111">
      <c r="CZ47362" s="256"/>
      <c r="DG47362" s="256"/>
    </row>
    <row r="47363" spans="104:111">
      <c r="CZ47363" s="256"/>
      <c r="DG47363" s="256"/>
    </row>
    <row r="47364" spans="104:111">
      <c r="CZ47364" s="256"/>
      <c r="DG47364" s="256"/>
    </row>
    <row r="47365" spans="104:111">
      <c r="CZ47365" s="256"/>
      <c r="DG47365" s="256"/>
    </row>
    <row r="47366" spans="104:111">
      <c r="CZ47366" s="256"/>
      <c r="DG47366" s="256"/>
    </row>
    <row r="47367" spans="104:111">
      <c r="CZ47367" s="256"/>
      <c r="DG47367" s="256"/>
    </row>
    <row r="47368" spans="104:111">
      <c r="CZ47368" s="256"/>
      <c r="DG47368" s="256"/>
    </row>
    <row r="47369" spans="104:111">
      <c r="CZ47369" s="256"/>
      <c r="DG47369" s="256"/>
    </row>
    <row r="47370" spans="104:111">
      <c r="CZ47370" s="256"/>
      <c r="DG47370" s="256"/>
    </row>
    <row r="47371" spans="104:111">
      <c r="CZ47371" s="256"/>
      <c r="DG47371" s="256"/>
    </row>
    <row r="47372" spans="104:111">
      <c r="CZ47372" s="256"/>
      <c r="DG47372" s="256"/>
    </row>
    <row r="47373" spans="104:111">
      <c r="CZ47373" s="256"/>
      <c r="DG47373" s="256"/>
    </row>
    <row r="47374" spans="104:111">
      <c r="CZ47374" s="256"/>
      <c r="DG47374" s="256"/>
    </row>
    <row r="47375" spans="104:111">
      <c r="CZ47375" s="256"/>
      <c r="DG47375" s="256"/>
    </row>
    <row r="47376" spans="104:111">
      <c r="CZ47376" s="256"/>
      <c r="DG47376" s="256"/>
    </row>
    <row r="47377" spans="104:111">
      <c r="CZ47377" s="256"/>
      <c r="DG47377" s="256"/>
    </row>
    <row r="47378" spans="104:111">
      <c r="CZ47378" s="256"/>
      <c r="DG47378" s="256"/>
    </row>
    <row r="47379" spans="104:111">
      <c r="CZ47379" s="256"/>
      <c r="DG47379" s="256"/>
    </row>
    <row r="47380" spans="104:111">
      <c r="CZ47380" s="256"/>
      <c r="DG47380" s="256"/>
    </row>
    <row r="47381" spans="104:111">
      <c r="CZ47381" s="256"/>
      <c r="DG47381" s="256"/>
    </row>
    <row r="47382" spans="104:111">
      <c r="CZ47382" s="256"/>
      <c r="DG47382" s="256"/>
    </row>
    <row r="47383" spans="104:111">
      <c r="CZ47383" s="256"/>
      <c r="DG47383" s="256"/>
    </row>
    <row r="47384" spans="104:111">
      <c r="CZ47384" s="256"/>
      <c r="DG47384" s="256"/>
    </row>
    <row r="47385" spans="104:111">
      <c r="CZ47385" s="256"/>
      <c r="DG47385" s="256"/>
    </row>
    <row r="47386" spans="104:111">
      <c r="CZ47386" s="256"/>
      <c r="DG47386" s="256"/>
    </row>
    <row r="47387" spans="104:111">
      <c r="CZ47387" s="256"/>
      <c r="DG47387" s="256"/>
    </row>
    <row r="47388" spans="104:111">
      <c r="CZ47388" s="256"/>
      <c r="DG47388" s="256"/>
    </row>
    <row r="47389" spans="104:111">
      <c r="CZ47389" s="256"/>
      <c r="DG47389" s="256"/>
    </row>
    <row r="47390" spans="104:111">
      <c r="CZ47390" s="256"/>
      <c r="DG47390" s="256"/>
    </row>
    <row r="47391" spans="104:111">
      <c r="CZ47391" s="256"/>
      <c r="DG47391" s="256"/>
    </row>
    <row r="47392" spans="104:111">
      <c r="CZ47392" s="256"/>
      <c r="DG47392" s="256"/>
    </row>
    <row r="47393" spans="104:111">
      <c r="CZ47393" s="256"/>
      <c r="DG47393" s="256"/>
    </row>
    <row r="47394" spans="104:111">
      <c r="CZ47394" s="256"/>
      <c r="DG47394" s="256"/>
    </row>
    <row r="47395" spans="104:111">
      <c r="CZ47395" s="256"/>
      <c r="DG47395" s="256"/>
    </row>
    <row r="47396" spans="104:111">
      <c r="CZ47396" s="256"/>
      <c r="DG47396" s="256"/>
    </row>
    <row r="47397" spans="104:111">
      <c r="CZ47397" s="256"/>
      <c r="DG47397" s="256"/>
    </row>
    <row r="47398" spans="104:111">
      <c r="CZ47398" s="256"/>
      <c r="DG47398" s="256"/>
    </row>
    <row r="47399" spans="104:111">
      <c r="CZ47399" s="256"/>
      <c r="DG47399" s="256"/>
    </row>
    <row r="47400" spans="104:111">
      <c r="CZ47400" s="256"/>
      <c r="DG47400" s="256"/>
    </row>
    <row r="47401" spans="104:111">
      <c r="CZ47401" s="256"/>
      <c r="DG47401" s="256"/>
    </row>
    <row r="47402" spans="104:111">
      <c r="CZ47402" s="256"/>
      <c r="DG47402" s="256"/>
    </row>
    <row r="47403" spans="104:111">
      <c r="CZ47403" s="256"/>
      <c r="DG47403" s="256"/>
    </row>
    <row r="47404" spans="104:111">
      <c r="CZ47404" s="256"/>
      <c r="DG47404" s="256"/>
    </row>
    <row r="47405" spans="104:111">
      <c r="CZ47405" s="256"/>
      <c r="DG47405" s="256"/>
    </row>
    <row r="47406" spans="104:111">
      <c r="CZ47406" s="256"/>
      <c r="DG47406" s="256"/>
    </row>
    <row r="47407" spans="104:111">
      <c r="CZ47407" s="256"/>
      <c r="DG47407" s="256"/>
    </row>
    <row r="47408" spans="104:111">
      <c r="CZ47408" s="256"/>
      <c r="DG47408" s="256"/>
    </row>
    <row r="47409" spans="104:111">
      <c r="CZ47409" s="256"/>
      <c r="DG47409" s="256"/>
    </row>
    <row r="47410" spans="104:111">
      <c r="CZ47410" s="256"/>
      <c r="DG47410" s="256"/>
    </row>
    <row r="47411" spans="104:111">
      <c r="CZ47411" s="256"/>
      <c r="DG47411" s="256"/>
    </row>
    <row r="47412" spans="104:111">
      <c r="CZ47412" s="256"/>
      <c r="DG47412" s="256"/>
    </row>
    <row r="47413" spans="104:111">
      <c r="CZ47413" s="256"/>
      <c r="DG47413" s="256"/>
    </row>
    <row r="47414" spans="104:111">
      <c r="CZ47414" s="256"/>
      <c r="DG47414" s="256"/>
    </row>
    <row r="47415" spans="104:111">
      <c r="CZ47415" s="256"/>
      <c r="DG47415" s="256"/>
    </row>
    <row r="47416" spans="104:111">
      <c r="CZ47416" s="256"/>
      <c r="DG47416" s="256"/>
    </row>
    <row r="47417" spans="104:111">
      <c r="CZ47417" s="256"/>
      <c r="DG47417" s="256"/>
    </row>
    <row r="47418" spans="104:111">
      <c r="CZ47418" s="256"/>
      <c r="DG47418" s="256"/>
    </row>
    <row r="47419" spans="104:111">
      <c r="CZ47419" s="256"/>
      <c r="DG47419" s="256"/>
    </row>
    <row r="47420" spans="104:111">
      <c r="CZ47420" s="256"/>
      <c r="DG47420" s="256"/>
    </row>
    <row r="47421" spans="104:111">
      <c r="CZ47421" s="256"/>
      <c r="DG47421" s="256"/>
    </row>
    <row r="47422" spans="104:111">
      <c r="CZ47422" s="256"/>
      <c r="DG47422" s="256"/>
    </row>
    <row r="47423" spans="104:111">
      <c r="CZ47423" s="256"/>
      <c r="DG47423" s="256"/>
    </row>
    <row r="47424" spans="104:111">
      <c r="CZ47424" s="256"/>
      <c r="DG47424" s="256"/>
    </row>
    <row r="47425" spans="104:111">
      <c r="CZ47425" s="256"/>
      <c r="DG47425" s="256"/>
    </row>
    <row r="47426" spans="104:111">
      <c r="CZ47426" s="256"/>
      <c r="DG47426" s="256"/>
    </row>
    <row r="47427" spans="104:111">
      <c r="CZ47427" s="256"/>
      <c r="DG47427" s="256"/>
    </row>
    <row r="47428" spans="104:111">
      <c r="CZ47428" s="256"/>
      <c r="DG47428" s="256"/>
    </row>
    <row r="47429" spans="104:111">
      <c r="CZ47429" s="256"/>
      <c r="DG47429" s="256"/>
    </row>
    <row r="47430" spans="104:111">
      <c r="CZ47430" s="256"/>
      <c r="DG47430" s="256"/>
    </row>
    <row r="47431" spans="104:111">
      <c r="CZ47431" s="256"/>
      <c r="DG47431" s="256"/>
    </row>
    <row r="47432" spans="104:111">
      <c r="CZ47432" s="256"/>
      <c r="DG47432" s="256"/>
    </row>
    <row r="47433" spans="104:111">
      <c r="CZ47433" s="256"/>
      <c r="DG47433" s="256"/>
    </row>
    <row r="47434" spans="104:111">
      <c r="CZ47434" s="256"/>
      <c r="DG47434" s="256"/>
    </row>
    <row r="47435" spans="104:111">
      <c r="CZ47435" s="256"/>
      <c r="DG47435" s="256"/>
    </row>
    <row r="47436" spans="104:111">
      <c r="CZ47436" s="256"/>
      <c r="DG47436" s="256"/>
    </row>
    <row r="47437" spans="104:111">
      <c r="CZ47437" s="256"/>
      <c r="DG47437" s="256"/>
    </row>
    <row r="47438" spans="104:111">
      <c r="CZ47438" s="256"/>
      <c r="DG47438" s="256"/>
    </row>
    <row r="47439" spans="104:111">
      <c r="CZ47439" s="256"/>
      <c r="DG47439" s="256"/>
    </row>
    <row r="47440" spans="104:111">
      <c r="CZ47440" s="256"/>
      <c r="DG47440" s="256"/>
    </row>
    <row r="47441" spans="104:111">
      <c r="CZ47441" s="256"/>
      <c r="DG47441" s="256"/>
    </row>
    <row r="47442" spans="104:111">
      <c r="CZ47442" s="256"/>
      <c r="DG47442" s="256"/>
    </row>
    <row r="47443" spans="104:111">
      <c r="CZ47443" s="256"/>
      <c r="DG47443" s="256"/>
    </row>
    <row r="47444" spans="104:111">
      <c r="CZ47444" s="256"/>
      <c r="DG47444" s="256"/>
    </row>
    <row r="47445" spans="104:111">
      <c r="CZ47445" s="256"/>
      <c r="DG47445" s="256"/>
    </row>
    <row r="47446" spans="104:111">
      <c r="CZ47446" s="256"/>
      <c r="DG47446" s="256"/>
    </row>
    <row r="47447" spans="104:111">
      <c r="CZ47447" s="256"/>
      <c r="DG47447" s="256"/>
    </row>
    <row r="47448" spans="104:111">
      <c r="CZ47448" s="256"/>
      <c r="DG47448" s="256"/>
    </row>
    <row r="47449" spans="104:111">
      <c r="CZ47449" s="256"/>
      <c r="DG47449" s="256"/>
    </row>
    <row r="47450" spans="104:111">
      <c r="CZ47450" s="256"/>
      <c r="DG47450" s="256"/>
    </row>
    <row r="47451" spans="104:111">
      <c r="CZ47451" s="256"/>
      <c r="DG47451" s="256"/>
    </row>
    <row r="47452" spans="104:111">
      <c r="CZ47452" s="256"/>
      <c r="DG47452" s="256"/>
    </row>
    <row r="47453" spans="104:111">
      <c r="CZ47453" s="256"/>
      <c r="DG47453" s="256"/>
    </row>
    <row r="47454" spans="104:111">
      <c r="CZ47454" s="256"/>
      <c r="DG47454" s="256"/>
    </row>
    <row r="47455" spans="104:111">
      <c r="CZ47455" s="256"/>
      <c r="DG47455" s="256"/>
    </row>
    <row r="47456" spans="104:111">
      <c r="CZ47456" s="256"/>
      <c r="DG47456" s="256"/>
    </row>
    <row r="47457" spans="104:111">
      <c r="CZ47457" s="256"/>
      <c r="DG47457" s="256"/>
    </row>
    <row r="47458" spans="104:111">
      <c r="CZ47458" s="256"/>
      <c r="DG47458" s="256"/>
    </row>
    <row r="47459" spans="104:111">
      <c r="CZ47459" s="256"/>
      <c r="DG47459" s="256"/>
    </row>
    <row r="47460" spans="104:111">
      <c r="CZ47460" s="256"/>
      <c r="DG47460" s="256"/>
    </row>
    <row r="47461" spans="104:111">
      <c r="CZ47461" s="256"/>
      <c r="DG47461" s="256"/>
    </row>
    <row r="47462" spans="104:111">
      <c r="CZ47462" s="256"/>
      <c r="DG47462" s="256"/>
    </row>
    <row r="47463" spans="104:111">
      <c r="CZ47463" s="256"/>
      <c r="DG47463" s="256"/>
    </row>
    <row r="47464" spans="104:111">
      <c r="CZ47464" s="256"/>
      <c r="DG47464" s="256"/>
    </row>
    <row r="47465" spans="104:111">
      <c r="CZ47465" s="256"/>
      <c r="DG47465" s="256"/>
    </row>
    <row r="47466" spans="104:111">
      <c r="CZ47466" s="256"/>
      <c r="DG47466" s="256"/>
    </row>
    <row r="47467" spans="104:111">
      <c r="CZ47467" s="256"/>
      <c r="DG47467" s="256"/>
    </row>
    <row r="47468" spans="104:111">
      <c r="CZ47468" s="256"/>
      <c r="DG47468" s="256"/>
    </row>
    <row r="47469" spans="104:111">
      <c r="CZ47469" s="256"/>
      <c r="DG47469" s="256"/>
    </row>
    <row r="47470" spans="104:111">
      <c r="CZ47470" s="256"/>
      <c r="DG47470" s="256"/>
    </row>
    <row r="47471" spans="104:111">
      <c r="CZ47471" s="256"/>
      <c r="DG47471" s="256"/>
    </row>
    <row r="47472" spans="104:111">
      <c r="CZ47472" s="256"/>
      <c r="DG47472" s="256"/>
    </row>
    <row r="47473" spans="104:111">
      <c r="CZ47473" s="256"/>
      <c r="DG47473" s="256"/>
    </row>
    <row r="47474" spans="104:111">
      <c r="CZ47474" s="256"/>
      <c r="DG47474" s="256"/>
    </row>
    <row r="47475" spans="104:111">
      <c r="CZ47475" s="256"/>
      <c r="DG47475" s="256"/>
    </row>
    <row r="47476" spans="104:111">
      <c r="CZ47476" s="256"/>
      <c r="DG47476" s="256"/>
    </row>
    <row r="47477" spans="104:111">
      <c r="CZ47477" s="256"/>
      <c r="DG47477" s="256"/>
    </row>
    <row r="47478" spans="104:111">
      <c r="CZ47478" s="256"/>
      <c r="DG47478" s="256"/>
    </row>
    <row r="47479" spans="104:111">
      <c r="CZ47479" s="256"/>
      <c r="DG47479" s="256"/>
    </row>
    <row r="47480" spans="104:111">
      <c r="CZ47480" s="256"/>
      <c r="DG47480" s="256"/>
    </row>
    <row r="47481" spans="104:111">
      <c r="CZ47481" s="256"/>
      <c r="DG47481" s="256"/>
    </row>
    <row r="47482" spans="104:111">
      <c r="CZ47482" s="256"/>
      <c r="DG47482" s="256"/>
    </row>
    <row r="47483" spans="104:111">
      <c r="CZ47483" s="256"/>
      <c r="DG47483" s="256"/>
    </row>
    <row r="47484" spans="104:111">
      <c r="CZ47484" s="256"/>
      <c r="DG47484" s="256"/>
    </row>
    <row r="47485" spans="104:111">
      <c r="CZ47485" s="256"/>
      <c r="DG47485" s="256"/>
    </row>
    <row r="47486" spans="104:111">
      <c r="CZ47486" s="256"/>
      <c r="DG47486" s="256"/>
    </row>
    <row r="47487" spans="104:111">
      <c r="CZ47487" s="256"/>
      <c r="DG47487" s="256"/>
    </row>
    <row r="47488" spans="104:111">
      <c r="CZ47488" s="256"/>
      <c r="DG47488" s="256"/>
    </row>
    <row r="47489" spans="104:111">
      <c r="CZ47489" s="256"/>
      <c r="DG47489" s="256"/>
    </row>
    <row r="47490" spans="104:111">
      <c r="CZ47490" s="256"/>
      <c r="DG47490" s="256"/>
    </row>
    <row r="47491" spans="104:111">
      <c r="CZ47491" s="256"/>
      <c r="DG47491" s="256"/>
    </row>
    <row r="47492" spans="104:111">
      <c r="CZ47492" s="256"/>
      <c r="DG47492" s="256"/>
    </row>
    <row r="47493" spans="104:111">
      <c r="CZ47493" s="256"/>
      <c r="DG47493" s="256"/>
    </row>
    <row r="47494" spans="104:111">
      <c r="CZ47494" s="256"/>
      <c r="DG47494" s="256"/>
    </row>
    <row r="47495" spans="104:111">
      <c r="CZ47495" s="256"/>
      <c r="DG47495" s="256"/>
    </row>
    <row r="47496" spans="104:111">
      <c r="CZ47496" s="256"/>
      <c r="DG47496" s="256"/>
    </row>
    <row r="47497" spans="104:111">
      <c r="CZ47497" s="256"/>
      <c r="DG47497" s="256"/>
    </row>
    <row r="47498" spans="104:111">
      <c r="CZ47498" s="256"/>
      <c r="DG47498" s="256"/>
    </row>
    <row r="47499" spans="104:111">
      <c r="CZ47499" s="256"/>
      <c r="DG47499" s="256"/>
    </row>
    <row r="47500" spans="104:111">
      <c r="CZ47500" s="256"/>
      <c r="DG47500" s="256"/>
    </row>
    <row r="47501" spans="104:111">
      <c r="CZ47501" s="256"/>
      <c r="DG47501" s="256"/>
    </row>
    <row r="47502" spans="104:111">
      <c r="CZ47502" s="256"/>
      <c r="DG47502" s="256"/>
    </row>
    <row r="47503" spans="104:111">
      <c r="CZ47503" s="256"/>
      <c r="DG47503" s="256"/>
    </row>
    <row r="47504" spans="104:111">
      <c r="CZ47504" s="256"/>
      <c r="DG47504" s="256"/>
    </row>
    <row r="47505" spans="104:111">
      <c r="CZ47505" s="256"/>
      <c r="DG47505" s="256"/>
    </row>
    <row r="47506" spans="104:111">
      <c r="CZ47506" s="256"/>
      <c r="DG47506" s="256"/>
    </row>
    <row r="47507" spans="104:111">
      <c r="CZ47507" s="256"/>
      <c r="DG47507" s="256"/>
    </row>
    <row r="47508" spans="104:111">
      <c r="CZ47508" s="256"/>
      <c r="DG47508" s="256"/>
    </row>
    <row r="47509" spans="104:111">
      <c r="CZ47509" s="256"/>
      <c r="DG47509" s="256"/>
    </row>
    <row r="47510" spans="104:111">
      <c r="CZ47510" s="256"/>
      <c r="DG47510" s="256"/>
    </row>
    <row r="47511" spans="104:111">
      <c r="CZ47511" s="256"/>
      <c r="DG47511" s="256"/>
    </row>
    <row r="47512" spans="104:111">
      <c r="CZ47512" s="256"/>
      <c r="DG47512" s="256"/>
    </row>
    <row r="47513" spans="104:111">
      <c r="CZ47513" s="256"/>
      <c r="DG47513" s="256"/>
    </row>
    <row r="47514" spans="104:111">
      <c r="CZ47514" s="256"/>
      <c r="DG47514" s="256"/>
    </row>
    <row r="47515" spans="104:111">
      <c r="CZ47515" s="256"/>
      <c r="DG47515" s="256"/>
    </row>
    <row r="47516" spans="104:111">
      <c r="CZ47516" s="256"/>
      <c r="DG47516" s="256"/>
    </row>
    <row r="47517" spans="104:111">
      <c r="CZ47517" s="256"/>
      <c r="DG47517" s="256"/>
    </row>
    <row r="47518" spans="104:111">
      <c r="CZ47518" s="256"/>
      <c r="DG47518" s="256"/>
    </row>
    <row r="47519" spans="104:111">
      <c r="CZ47519" s="256"/>
      <c r="DG47519" s="256"/>
    </row>
    <row r="47520" spans="104:111">
      <c r="CZ47520" s="256"/>
      <c r="DG47520" s="256"/>
    </row>
    <row r="47521" spans="104:111">
      <c r="CZ47521" s="256"/>
      <c r="DG47521" s="256"/>
    </row>
    <row r="47522" spans="104:111">
      <c r="CZ47522" s="256"/>
      <c r="DG47522" s="256"/>
    </row>
    <row r="47523" spans="104:111">
      <c r="CZ47523" s="256"/>
      <c r="DG47523" s="256"/>
    </row>
    <row r="47524" spans="104:111">
      <c r="CZ47524" s="256"/>
      <c r="DG47524" s="256"/>
    </row>
    <row r="47525" spans="104:111">
      <c r="CZ47525" s="256"/>
      <c r="DG47525" s="256"/>
    </row>
    <row r="47526" spans="104:111">
      <c r="CZ47526" s="256"/>
      <c r="DG47526" s="256"/>
    </row>
    <row r="47527" spans="104:111">
      <c r="CZ47527" s="256"/>
      <c r="DG47527" s="256"/>
    </row>
    <row r="47528" spans="104:111">
      <c r="CZ47528" s="256"/>
      <c r="DG47528" s="256"/>
    </row>
    <row r="47529" spans="104:111">
      <c r="CZ47529" s="256"/>
      <c r="DG47529" s="256"/>
    </row>
    <row r="47530" spans="104:111">
      <c r="CZ47530" s="256"/>
      <c r="DG47530" s="256"/>
    </row>
    <row r="47531" spans="104:111">
      <c r="CZ47531" s="256"/>
      <c r="DG47531" s="256"/>
    </row>
    <row r="47532" spans="104:111">
      <c r="CZ47532" s="256"/>
      <c r="DG47532" s="256"/>
    </row>
    <row r="47533" spans="104:111">
      <c r="CZ47533" s="256"/>
      <c r="DG47533" s="256"/>
    </row>
    <row r="47534" spans="104:111">
      <c r="CZ47534" s="256"/>
      <c r="DG47534" s="256"/>
    </row>
    <row r="47535" spans="104:111">
      <c r="CZ47535" s="256"/>
      <c r="DG47535" s="256"/>
    </row>
    <row r="47536" spans="104:111">
      <c r="CZ47536" s="256"/>
      <c r="DG47536" s="256"/>
    </row>
    <row r="47537" spans="104:111">
      <c r="CZ47537" s="256"/>
      <c r="DG47537" s="256"/>
    </row>
    <row r="47538" spans="104:111">
      <c r="CZ47538" s="256"/>
      <c r="DG47538" s="256"/>
    </row>
    <row r="47539" spans="104:111">
      <c r="CZ47539" s="256"/>
      <c r="DG47539" s="256"/>
    </row>
    <row r="47540" spans="104:111">
      <c r="CZ47540" s="256"/>
      <c r="DG47540" s="256"/>
    </row>
    <row r="47541" spans="104:111">
      <c r="CZ47541" s="256"/>
      <c r="DG47541" s="256"/>
    </row>
    <row r="47542" spans="104:111">
      <c r="CZ47542" s="256"/>
      <c r="DG47542" s="256"/>
    </row>
    <row r="47543" spans="104:111">
      <c r="CZ47543" s="256"/>
      <c r="DG47543" s="256"/>
    </row>
    <row r="47544" spans="104:111">
      <c r="CZ47544" s="256"/>
      <c r="DG47544" s="256"/>
    </row>
    <row r="47545" spans="104:111">
      <c r="CZ47545" s="256"/>
      <c r="DG47545" s="256"/>
    </row>
    <row r="47546" spans="104:111">
      <c r="CZ47546" s="256"/>
      <c r="DG47546" s="256"/>
    </row>
    <row r="47547" spans="104:111">
      <c r="CZ47547" s="256"/>
      <c r="DG47547" s="256"/>
    </row>
    <row r="47548" spans="104:111">
      <c r="CZ47548" s="256"/>
      <c r="DG47548" s="256"/>
    </row>
    <row r="47549" spans="104:111">
      <c r="CZ47549" s="256"/>
      <c r="DG47549" s="256"/>
    </row>
    <row r="47550" spans="104:111">
      <c r="CZ47550" s="256"/>
      <c r="DG47550" s="256"/>
    </row>
    <row r="47551" spans="104:111">
      <c r="CZ47551" s="256"/>
      <c r="DG47551" s="256"/>
    </row>
    <row r="47552" spans="104:111">
      <c r="CZ47552" s="256"/>
      <c r="DG47552" s="256"/>
    </row>
    <row r="47553" spans="104:111">
      <c r="CZ47553" s="256"/>
      <c r="DG47553" s="256"/>
    </row>
    <row r="47554" spans="104:111">
      <c r="CZ47554" s="256"/>
      <c r="DG47554" s="256"/>
    </row>
    <row r="47555" spans="104:111">
      <c r="CZ47555" s="256"/>
      <c r="DG47555" s="256"/>
    </row>
    <row r="47556" spans="104:111">
      <c r="CZ47556" s="256"/>
      <c r="DG47556" s="256"/>
    </row>
    <row r="47557" spans="104:111">
      <c r="CZ47557" s="256"/>
      <c r="DG47557" s="256"/>
    </row>
    <row r="47558" spans="104:111">
      <c r="CZ47558" s="256"/>
      <c r="DG47558" s="256"/>
    </row>
    <row r="47559" spans="104:111">
      <c r="CZ47559" s="256"/>
      <c r="DG47559" s="256"/>
    </row>
    <row r="47560" spans="104:111">
      <c r="CZ47560" s="256"/>
      <c r="DG47560" s="256"/>
    </row>
    <row r="47561" spans="104:111">
      <c r="CZ47561" s="256"/>
      <c r="DG47561" s="256"/>
    </row>
    <row r="47562" spans="104:111">
      <c r="CZ47562" s="256"/>
      <c r="DG47562" s="256"/>
    </row>
    <row r="47563" spans="104:111">
      <c r="CZ47563" s="256"/>
      <c r="DG47563" s="256"/>
    </row>
    <row r="47564" spans="104:111">
      <c r="CZ47564" s="256"/>
      <c r="DG47564" s="256"/>
    </row>
    <row r="47565" spans="104:111">
      <c r="CZ47565" s="256"/>
      <c r="DG47565" s="256"/>
    </row>
    <row r="47566" spans="104:111">
      <c r="CZ47566" s="256"/>
      <c r="DG47566" s="256"/>
    </row>
    <row r="47567" spans="104:111">
      <c r="CZ47567" s="256"/>
      <c r="DG47567" s="256"/>
    </row>
    <row r="47568" spans="104:111">
      <c r="CZ47568" s="256"/>
      <c r="DG47568" s="256"/>
    </row>
    <row r="47569" spans="104:111">
      <c r="CZ47569" s="256"/>
      <c r="DG47569" s="256"/>
    </row>
    <row r="47570" spans="104:111">
      <c r="CZ47570" s="256"/>
      <c r="DG47570" s="256"/>
    </row>
    <row r="47571" spans="104:111">
      <c r="CZ47571" s="256"/>
      <c r="DG47571" s="256"/>
    </row>
    <row r="47572" spans="104:111">
      <c r="CZ47572" s="256"/>
      <c r="DG47572" s="256"/>
    </row>
    <row r="47573" spans="104:111">
      <c r="CZ47573" s="256"/>
      <c r="DG47573" s="256"/>
    </row>
    <row r="47574" spans="104:111">
      <c r="CZ47574" s="256"/>
      <c r="DG47574" s="256"/>
    </row>
    <row r="47575" spans="104:111">
      <c r="CZ47575" s="256"/>
      <c r="DG47575" s="256"/>
    </row>
    <row r="47576" spans="104:111">
      <c r="CZ47576" s="256"/>
      <c r="DG47576" s="256"/>
    </row>
    <row r="47577" spans="104:111">
      <c r="CZ47577" s="256"/>
      <c r="DG47577" s="256"/>
    </row>
    <row r="47578" spans="104:111">
      <c r="CZ47578" s="256"/>
      <c r="DG47578" s="256"/>
    </row>
    <row r="47579" spans="104:111">
      <c r="CZ47579" s="256"/>
      <c r="DG47579" s="256"/>
    </row>
    <row r="47580" spans="104:111">
      <c r="CZ47580" s="256"/>
      <c r="DG47580" s="256"/>
    </row>
    <row r="47581" spans="104:111">
      <c r="CZ47581" s="256"/>
      <c r="DG47581" s="256"/>
    </row>
    <row r="47582" spans="104:111">
      <c r="CZ47582" s="256"/>
      <c r="DG47582" s="256"/>
    </row>
    <row r="47583" spans="104:111">
      <c r="CZ47583" s="256"/>
      <c r="DG47583" s="256"/>
    </row>
    <row r="47584" spans="104:111">
      <c r="CZ47584" s="256"/>
      <c r="DG47584" s="256"/>
    </row>
    <row r="47585" spans="104:111">
      <c r="CZ47585" s="256"/>
      <c r="DG47585" s="256"/>
    </row>
    <row r="47586" spans="104:111">
      <c r="CZ47586" s="256"/>
      <c r="DG47586" s="256"/>
    </row>
    <row r="47587" spans="104:111">
      <c r="CZ47587" s="256"/>
      <c r="DG47587" s="256"/>
    </row>
    <row r="47588" spans="104:111">
      <c r="CZ47588" s="256"/>
      <c r="DG47588" s="256"/>
    </row>
    <row r="47589" spans="104:111">
      <c r="CZ47589" s="256"/>
      <c r="DG47589" s="256"/>
    </row>
    <row r="47590" spans="104:111">
      <c r="CZ47590" s="256"/>
      <c r="DG47590" s="256"/>
    </row>
    <row r="47591" spans="104:111">
      <c r="CZ47591" s="256"/>
      <c r="DG47591" s="256"/>
    </row>
    <row r="47592" spans="104:111">
      <c r="CZ47592" s="256"/>
      <c r="DG47592" s="256"/>
    </row>
    <row r="47593" spans="104:111">
      <c r="CZ47593" s="256"/>
      <c r="DG47593" s="256"/>
    </row>
    <row r="47594" spans="104:111">
      <c r="CZ47594" s="256"/>
      <c r="DG47594" s="256"/>
    </row>
    <row r="47595" spans="104:111">
      <c r="CZ47595" s="256"/>
      <c r="DG47595" s="256"/>
    </row>
    <row r="47596" spans="104:111">
      <c r="CZ47596" s="256"/>
      <c r="DG47596" s="256"/>
    </row>
    <row r="47597" spans="104:111">
      <c r="CZ47597" s="256"/>
      <c r="DG47597" s="256"/>
    </row>
    <row r="47598" spans="104:111">
      <c r="CZ47598" s="256"/>
      <c r="DG47598" s="256"/>
    </row>
    <row r="47599" spans="104:111">
      <c r="CZ47599" s="256"/>
      <c r="DG47599" s="256"/>
    </row>
    <row r="47600" spans="104:111">
      <c r="CZ47600" s="256"/>
      <c r="DG47600" s="256"/>
    </row>
    <row r="47601" spans="104:111">
      <c r="CZ47601" s="256"/>
      <c r="DG47601" s="256"/>
    </row>
    <row r="47602" spans="104:111">
      <c r="CZ47602" s="256"/>
      <c r="DG47602" s="256"/>
    </row>
    <row r="47603" spans="104:111">
      <c r="CZ47603" s="256"/>
      <c r="DG47603" s="256"/>
    </row>
    <row r="47604" spans="104:111">
      <c r="CZ47604" s="256"/>
      <c r="DG47604" s="256"/>
    </row>
    <row r="47605" spans="104:111">
      <c r="CZ47605" s="256"/>
      <c r="DG47605" s="256"/>
    </row>
    <row r="47606" spans="104:111">
      <c r="CZ47606" s="256"/>
      <c r="DG47606" s="256"/>
    </row>
    <row r="47607" spans="104:111">
      <c r="CZ47607" s="256"/>
      <c r="DG47607" s="256"/>
    </row>
    <row r="47608" spans="104:111">
      <c r="CZ47608" s="256"/>
      <c r="DG47608" s="256"/>
    </row>
    <row r="47609" spans="104:111">
      <c r="CZ47609" s="256"/>
      <c r="DG47609" s="256"/>
    </row>
    <row r="47610" spans="104:111">
      <c r="CZ47610" s="256"/>
      <c r="DG47610" s="256"/>
    </row>
    <row r="47611" spans="104:111">
      <c r="CZ47611" s="256"/>
      <c r="DG47611" s="256"/>
    </row>
    <row r="47612" spans="104:111">
      <c r="CZ47612" s="256"/>
      <c r="DG47612" s="256"/>
    </row>
    <row r="47613" spans="104:111">
      <c r="CZ47613" s="256"/>
      <c r="DG47613" s="256"/>
    </row>
    <row r="47614" spans="104:111">
      <c r="CZ47614" s="256"/>
      <c r="DG47614" s="256"/>
    </row>
    <row r="47615" spans="104:111">
      <c r="CZ47615" s="256"/>
      <c r="DG47615" s="256"/>
    </row>
    <row r="47616" spans="104:111">
      <c r="CZ47616" s="256"/>
      <c r="DG47616" s="256"/>
    </row>
    <row r="47617" spans="104:111">
      <c r="CZ47617" s="256"/>
      <c r="DG47617" s="256"/>
    </row>
    <row r="47618" spans="104:111">
      <c r="CZ47618" s="256"/>
      <c r="DG47618" s="256"/>
    </row>
    <row r="47619" spans="104:111">
      <c r="CZ47619" s="256"/>
      <c r="DG47619" s="256"/>
    </row>
    <row r="47620" spans="104:111">
      <c r="CZ47620" s="256"/>
      <c r="DG47620" s="256"/>
    </row>
    <row r="47621" spans="104:111">
      <c r="CZ47621" s="256"/>
      <c r="DG47621" s="256"/>
    </row>
    <row r="47622" spans="104:111">
      <c r="CZ47622" s="256"/>
      <c r="DG47622" s="256"/>
    </row>
    <row r="47623" spans="104:111">
      <c r="CZ47623" s="256"/>
      <c r="DG47623" s="256"/>
    </row>
    <row r="47624" spans="104:111">
      <c r="CZ47624" s="256"/>
      <c r="DG47624" s="256"/>
    </row>
    <row r="47625" spans="104:111">
      <c r="CZ47625" s="256"/>
      <c r="DG47625" s="256"/>
    </row>
    <row r="47626" spans="104:111">
      <c r="CZ47626" s="256"/>
      <c r="DG47626" s="256"/>
    </row>
    <row r="47627" spans="104:111">
      <c r="CZ47627" s="256"/>
      <c r="DG47627" s="256"/>
    </row>
    <row r="47628" spans="104:111">
      <c r="CZ47628" s="256"/>
      <c r="DG47628" s="256"/>
    </row>
    <row r="47629" spans="104:111">
      <c r="CZ47629" s="256"/>
      <c r="DG47629" s="256"/>
    </row>
    <row r="47630" spans="104:111">
      <c r="CZ47630" s="256"/>
      <c r="DG47630" s="256"/>
    </row>
    <row r="47631" spans="104:111">
      <c r="CZ47631" s="256"/>
      <c r="DG47631" s="256"/>
    </row>
    <row r="47632" spans="104:111">
      <c r="CZ47632" s="256"/>
      <c r="DG47632" s="256"/>
    </row>
    <row r="47633" spans="104:111">
      <c r="CZ47633" s="256"/>
      <c r="DG47633" s="256"/>
    </row>
    <row r="47634" spans="104:111">
      <c r="CZ47634" s="256"/>
      <c r="DG47634" s="256"/>
    </row>
    <row r="47635" spans="104:111">
      <c r="CZ47635" s="256"/>
      <c r="DG47635" s="256"/>
    </row>
    <row r="47636" spans="104:111">
      <c r="CZ47636" s="256"/>
      <c r="DG47636" s="256"/>
    </row>
    <row r="47637" spans="104:111">
      <c r="CZ47637" s="256"/>
      <c r="DG47637" s="256"/>
    </row>
    <row r="47638" spans="104:111">
      <c r="CZ47638" s="256"/>
      <c r="DG47638" s="256"/>
    </row>
    <row r="47639" spans="104:111">
      <c r="CZ47639" s="256"/>
      <c r="DG47639" s="256"/>
    </row>
    <row r="47640" spans="104:111">
      <c r="CZ47640" s="256"/>
      <c r="DG47640" s="256"/>
    </row>
    <row r="47641" spans="104:111">
      <c r="CZ47641" s="256"/>
      <c r="DG47641" s="256"/>
    </row>
    <row r="47642" spans="104:111">
      <c r="CZ47642" s="256"/>
      <c r="DG47642" s="256"/>
    </row>
    <row r="47643" spans="104:111">
      <c r="CZ47643" s="256"/>
      <c r="DG47643" s="256"/>
    </row>
    <row r="47644" spans="104:111">
      <c r="CZ47644" s="256"/>
      <c r="DG47644" s="256"/>
    </row>
    <row r="47645" spans="104:111">
      <c r="CZ47645" s="256"/>
      <c r="DG47645" s="256"/>
    </row>
    <row r="47646" spans="104:111">
      <c r="CZ47646" s="256"/>
      <c r="DG47646" s="256"/>
    </row>
    <row r="47647" spans="104:111">
      <c r="CZ47647" s="256"/>
      <c r="DG47647" s="256"/>
    </row>
    <row r="47648" spans="104:111">
      <c r="CZ47648" s="256"/>
      <c r="DG47648" s="256"/>
    </row>
    <row r="47649" spans="104:111">
      <c r="CZ47649" s="256"/>
      <c r="DG47649" s="256"/>
    </row>
    <row r="47650" spans="104:111">
      <c r="CZ47650" s="256"/>
      <c r="DG47650" s="256"/>
    </row>
    <row r="47651" spans="104:111">
      <c r="CZ47651" s="256"/>
      <c r="DG47651" s="256"/>
    </row>
    <row r="47652" spans="104:111">
      <c r="CZ47652" s="256"/>
      <c r="DG47652" s="256"/>
    </row>
    <row r="47653" spans="104:111">
      <c r="CZ47653" s="256"/>
      <c r="DG47653" s="256"/>
    </row>
    <row r="47654" spans="104:111">
      <c r="CZ47654" s="256"/>
      <c r="DG47654" s="256"/>
    </row>
    <row r="47655" spans="104:111">
      <c r="CZ47655" s="256"/>
      <c r="DG47655" s="256"/>
    </row>
    <row r="47656" spans="104:111">
      <c r="CZ47656" s="256"/>
      <c r="DG47656" s="256"/>
    </row>
    <row r="47657" spans="104:111">
      <c r="CZ47657" s="256"/>
      <c r="DG47657" s="256"/>
    </row>
    <row r="47658" spans="104:111">
      <c r="CZ47658" s="256"/>
      <c r="DG47658" s="256"/>
    </row>
    <row r="47659" spans="104:111">
      <c r="CZ47659" s="256"/>
      <c r="DG47659" s="256"/>
    </row>
    <row r="47660" spans="104:111">
      <c r="CZ47660" s="256"/>
      <c r="DG47660" s="256"/>
    </row>
    <row r="47661" spans="104:111">
      <c r="CZ47661" s="256"/>
      <c r="DG47661" s="256"/>
    </row>
    <row r="47662" spans="104:111">
      <c r="CZ47662" s="256"/>
      <c r="DG47662" s="256"/>
    </row>
    <row r="47663" spans="104:111">
      <c r="CZ47663" s="256"/>
      <c r="DG47663" s="256"/>
    </row>
    <row r="47664" spans="104:111">
      <c r="CZ47664" s="256"/>
      <c r="DG47664" s="256"/>
    </row>
    <row r="47665" spans="104:111">
      <c r="CZ47665" s="256"/>
      <c r="DG47665" s="256"/>
    </row>
    <row r="47666" spans="104:111">
      <c r="CZ47666" s="256"/>
      <c r="DG47666" s="256"/>
    </row>
    <row r="47667" spans="104:111">
      <c r="CZ47667" s="256"/>
      <c r="DG47667" s="256"/>
    </row>
    <row r="47668" spans="104:111">
      <c r="CZ47668" s="256"/>
      <c r="DG47668" s="256"/>
    </row>
    <row r="47669" spans="104:111">
      <c r="CZ47669" s="256"/>
      <c r="DG47669" s="256"/>
    </row>
    <row r="47670" spans="104:111">
      <c r="CZ47670" s="256"/>
      <c r="DG47670" s="256"/>
    </row>
    <row r="47671" spans="104:111">
      <c r="CZ47671" s="256"/>
      <c r="DG47671" s="256"/>
    </row>
    <row r="47672" spans="104:111">
      <c r="CZ47672" s="256"/>
      <c r="DG47672" s="256"/>
    </row>
    <row r="47673" spans="104:111">
      <c r="CZ47673" s="256"/>
      <c r="DG47673" s="256"/>
    </row>
    <row r="47674" spans="104:111">
      <c r="CZ47674" s="256"/>
      <c r="DG47674" s="256"/>
    </row>
    <row r="47675" spans="104:111">
      <c r="CZ47675" s="256"/>
      <c r="DG47675" s="256"/>
    </row>
    <row r="47676" spans="104:111">
      <c r="CZ47676" s="256"/>
      <c r="DG47676" s="256"/>
    </row>
    <row r="47677" spans="104:111">
      <c r="CZ47677" s="256"/>
      <c r="DG47677" s="256"/>
    </row>
    <row r="47678" spans="104:111">
      <c r="CZ47678" s="256"/>
      <c r="DG47678" s="256"/>
    </row>
    <row r="47679" spans="104:111">
      <c r="CZ47679" s="256"/>
      <c r="DG47679" s="256"/>
    </row>
    <row r="47680" spans="104:111">
      <c r="CZ47680" s="256"/>
      <c r="DG47680" s="256"/>
    </row>
    <row r="47681" spans="104:111">
      <c r="CZ47681" s="256"/>
      <c r="DG47681" s="256"/>
    </row>
    <row r="47682" spans="104:111">
      <c r="CZ47682" s="256"/>
      <c r="DG47682" s="256"/>
    </row>
    <row r="47683" spans="104:111">
      <c r="CZ47683" s="256"/>
      <c r="DG47683" s="256"/>
    </row>
    <row r="47684" spans="104:111">
      <c r="CZ47684" s="256"/>
      <c r="DG47684" s="256"/>
    </row>
    <row r="47685" spans="104:111">
      <c r="CZ47685" s="256"/>
      <c r="DG47685" s="256"/>
    </row>
    <row r="47686" spans="104:111">
      <c r="CZ47686" s="256"/>
      <c r="DG47686" s="256"/>
    </row>
    <row r="47687" spans="104:111">
      <c r="CZ47687" s="256"/>
      <c r="DG47687" s="256"/>
    </row>
    <row r="47688" spans="104:111">
      <c r="CZ47688" s="256"/>
      <c r="DG47688" s="256"/>
    </row>
    <row r="47689" spans="104:111">
      <c r="CZ47689" s="256"/>
      <c r="DG47689" s="256"/>
    </row>
    <row r="47690" spans="104:111">
      <c r="CZ47690" s="256"/>
      <c r="DG47690" s="256"/>
    </row>
    <row r="47691" spans="104:111">
      <c r="CZ47691" s="256"/>
      <c r="DG47691" s="256"/>
    </row>
    <row r="47692" spans="104:111">
      <c r="CZ47692" s="256"/>
      <c r="DG47692" s="256"/>
    </row>
    <row r="47693" spans="104:111">
      <c r="CZ47693" s="256"/>
      <c r="DG47693" s="256"/>
    </row>
    <row r="47694" spans="104:111">
      <c r="CZ47694" s="256"/>
      <c r="DG47694" s="256"/>
    </row>
    <row r="47695" spans="104:111">
      <c r="CZ47695" s="256"/>
      <c r="DG47695" s="256"/>
    </row>
    <row r="47696" spans="104:111">
      <c r="CZ47696" s="256"/>
      <c r="DG47696" s="256"/>
    </row>
    <row r="47697" spans="104:111">
      <c r="CZ47697" s="256"/>
      <c r="DG47697" s="256"/>
    </row>
    <row r="47698" spans="104:111">
      <c r="CZ47698" s="256"/>
      <c r="DG47698" s="256"/>
    </row>
    <row r="47699" spans="104:111">
      <c r="CZ47699" s="256"/>
      <c r="DG47699" s="256"/>
    </row>
    <row r="47700" spans="104:111">
      <c r="CZ47700" s="256"/>
      <c r="DG47700" s="256"/>
    </row>
    <row r="47701" spans="104:111">
      <c r="CZ47701" s="256"/>
      <c r="DG47701" s="256"/>
    </row>
    <row r="47702" spans="104:111">
      <c r="CZ47702" s="256"/>
      <c r="DG47702" s="256"/>
    </row>
    <row r="47703" spans="104:111">
      <c r="CZ47703" s="256"/>
      <c r="DG47703" s="256"/>
    </row>
    <row r="47704" spans="104:111">
      <c r="CZ47704" s="256"/>
      <c r="DG47704" s="256"/>
    </row>
    <row r="47705" spans="104:111">
      <c r="CZ47705" s="256"/>
      <c r="DG47705" s="256"/>
    </row>
    <row r="47706" spans="104:111">
      <c r="CZ47706" s="256"/>
      <c r="DG47706" s="256"/>
    </row>
    <row r="47707" spans="104:111">
      <c r="CZ47707" s="256"/>
      <c r="DG47707" s="256"/>
    </row>
    <row r="47708" spans="104:111">
      <c r="CZ47708" s="256"/>
      <c r="DG47708" s="256"/>
    </row>
    <row r="47709" spans="104:111">
      <c r="CZ47709" s="256"/>
      <c r="DG47709" s="256"/>
    </row>
    <row r="47710" spans="104:111">
      <c r="CZ47710" s="256"/>
      <c r="DG47710" s="256"/>
    </row>
    <row r="47711" spans="104:111">
      <c r="CZ47711" s="256"/>
      <c r="DG47711" s="256"/>
    </row>
    <row r="47712" spans="104:111">
      <c r="CZ47712" s="256"/>
      <c r="DG47712" s="256"/>
    </row>
    <row r="47713" spans="104:111">
      <c r="CZ47713" s="256"/>
      <c r="DG47713" s="256"/>
    </row>
    <row r="47714" spans="104:111">
      <c r="CZ47714" s="256"/>
      <c r="DG47714" s="256"/>
    </row>
    <row r="47715" spans="104:111">
      <c r="CZ47715" s="256"/>
      <c r="DG47715" s="256"/>
    </row>
    <row r="47716" spans="104:111">
      <c r="CZ47716" s="256"/>
      <c r="DG47716" s="256"/>
    </row>
    <row r="47717" spans="104:111">
      <c r="CZ47717" s="256"/>
      <c r="DG47717" s="256"/>
    </row>
    <row r="47718" spans="104:111">
      <c r="CZ47718" s="256"/>
      <c r="DG47718" s="256"/>
    </row>
    <row r="47719" spans="104:111">
      <c r="CZ47719" s="256"/>
      <c r="DG47719" s="256"/>
    </row>
    <row r="47720" spans="104:111">
      <c r="CZ47720" s="256"/>
      <c r="DG47720" s="256"/>
    </row>
    <row r="47721" spans="104:111">
      <c r="CZ47721" s="256"/>
      <c r="DG47721" s="256"/>
    </row>
    <row r="47722" spans="104:111">
      <c r="CZ47722" s="256"/>
      <c r="DG47722" s="256"/>
    </row>
    <row r="47723" spans="104:111">
      <c r="CZ47723" s="256"/>
      <c r="DG47723" s="256"/>
    </row>
    <row r="47724" spans="104:111">
      <c r="CZ47724" s="256"/>
      <c r="DG47724" s="256"/>
    </row>
    <row r="47725" spans="104:111">
      <c r="CZ47725" s="256"/>
      <c r="DG47725" s="256"/>
    </row>
    <row r="47726" spans="104:111">
      <c r="CZ47726" s="256"/>
      <c r="DG47726" s="256"/>
    </row>
    <row r="47727" spans="104:111">
      <c r="CZ47727" s="256"/>
      <c r="DG47727" s="256"/>
    </row>
    <row r="47728" spans="104:111">
      <c r="CZ47728" s="256"/>
      <c r="DG47728" s="256"/>
    </row>
    <row r="47729" spans="104:111">
      <c r="CZ47729" s="256"/>
      <c r="DG47729" s="256"/>
    </row>
    <row r="47730" spans="104:111">
      <c r="CZ47730" s="256"/>
      <c r="DG47730" s="256"/>
    </row>
    <row r="47731" spans="104:111">
      <c r="CZ47731" s="256"/>
      <c r="DG47731" s="256"/>
    </row>
    <row r="47732" spans="104:111">
      <c r="CZ47732" s="256"/>
      <c r="DG47732" s="256"/>
    </row>
    <row r="47733" spans="104:111">
      <c r="CZ47733" s="256"/>
      <c r="DG47733" s="256"/>
    </row>
    <row r="47734" spans="104:111">
      <c r="CZ47734" s="256"/>
      <c r="DG47734" s="256"/>
    </row>
    <row r="47735" spans="104:111">
      <c r="CZ47735" s="256"/>
      <c r="DG47735" s="256"/>
    </row>
    <row r="47736" spans="104:111">
      <c r="CZ47736" s="256"/>
      <c r="DG47736" s="256"/>
    </row>
    <row r="47737" spans="104:111">
      <c r="CZ47737" s="256"/>
      <c r="DG47737" s="256"/>
    </row>
    <row r="47738" spans="104:111">
      <c r="CZ47738" s="256"/>
      <c r="DG47738" s="256"/>
    </row>
    <row r="47739" spans="104:111">
      <c r="CZ47739" s="256"/>
      <c r="DG47739" s="256"/>
    </row>
    <row r="47740" spans="104:111">
      <c r="CZ47740" s="256"/>
      <c r="DG47740" s="256"/>
    </row>
    <row r="47741" spans="104:111">
      <c r="CZ47741" s="256"/>
      <c r="DG47741" s="256"/>
    </row>
    <row r="47742" spans="104:111">
      <c r="CZ47742" s="256"/>
      <c r="DG47742" s="256"/>
    </row>
    <row r="47743" spans="104:111">
      <c r="CZ47743" s="256"/>
      <c r="DG47743" s="256"/>
    </row>
    <row r="47744" spans="104:111">
      <c r="CZ47744" s="256"/>
      <c r="DG47744" s="256"/>
    </row>
    <row r="47745" spans="104:111">
      <c r="CZ47745" s="256"/>
      <c r="DG47745" s="256"/>
    </row>
    <row r="47746" spans="104:111">
      <c r="CZ47746" s="256"/>
      <c r="DG47746" s="256"/>
    </row>
    <row r="47747" spans="104:111">
      <c r="CZ47747" s="256"/>
      <c r="DG47747" s="256"/>
    </row>
    <row r="47748" spans="104:111">
      <c r="CZ47748" s="256"/>
      <c r="DG47748" s="256"/>
    </row>
    <row r="47749" spans="104:111">
      <c r="CZ47749" s="256"/>
      <c r="DG47749" s="256"/>
    </row>
    <row r="47750" spans="104:111">
      <c r="CZ47750" s="256"/>
      <c r="DG47750" s="256"/>
    </row>
    <row r="47751" spans="104:111">
      <c r="CZ47751" s="256"/>
      <c r="DG47751" s="256"/>
    </row>
    <row r="47752" spans="104:111">
      <c r="CZ47752" s="256"/>
      <c r="DG47752" s="256"/>
    </row>
    <row r="47753" spans="104:111">
      <c r="CZ47753" s="256"/>
      <c r="DG47753" s="256"/>
    </row>
    <row r="47754" spans="104:111">
      <c r="CZ47754" s="256"/>
      <c r="DG47754" s="256"/>
    </row>
    <row r="47755" spans="104:111">
      <c r="CZ47755" s="256"/>
      <c r="DG47755" s="256"/>
    </row>
    <row r="47756" spans="104:111">
      <c r="CZ47756" s="256"/>
      <c r="DG47756" s="256"/>
    </row>
    <row r="47757" spans="104:111">
      <c r="CZ47757" s="256"/>
      <c r="DG47757" s="256"/>
    </row>
    <row r="47758" spans="104:111">
      <c r="CZ47758" s="256"/>
      <c r="DG47758" s="256"/>
    </row>
    <row r="47759" spans="104:111">
      <c r="CZ47759" s="256"/>
      <c r="DG47759" s="256"/>
    </row>
    <row r="47760" spans="104:111">
      <c r="CZ47760" s="256"/>
      <c r="DG47760" s="256"/>
    </row>
    <row r="47761" spans="104:111">
      <c r="CZ47761" s="256"/>
      <c r="DG47761" s="256"/>
    </row>
    <row r="47762" spans="104:111">
      <c r="CZ47762" s="256"/>
      <c r="DG47762" s="256"/>
    </row>
    <row r="47763" spans="104:111">
      <c r="CZ47763" s="256"/>
      <c r="DG47763" s="256"/>
    </row>
    <row r="47764" spans="104:111">
      <c r="CZ47764" s="256"/>
      <c r="DG47764" s="256"/>
    </row>
    <row r="47765" spans="104:111">
      <c r="CZ47765" s="256"/>
      <c r="DG47765" s="256"/>
    </row>
    <row r="47766" spans="104:111">
      <c r="CZ47766" s="256"/>
      <c r="DG47766" s="256"/>
    </row>
    <row r="47767" spans="104:111">
      <c r="CZ47767" s="256"/>
      <c r="DG47767" s="256"/>
    </row>
    <row r="47768" spans="104:111">
      <c r="CZ47768" s="256"/>
      <c r="DG47768" s="256"/>
    </row>
    <row r="47769" spans="104:111">
      <c r="CZ47769" s="256"/>
      <c r="DG47769" s="256"/>
    </row>
    <row r="47770" spans="104:111">
      <c r="CZ47770" s="256"/>
      <c r="DG47770" s="256"/>
    </row>
    <row r="47771" spans="104:111">
      <c r="CZ47771" s="256"/>
      <c r="DG47771" s="256"/>
    </row>
    <row r="47772" spans="104:111">
      <c r="CZ47772" s="256"/>
      <c r="DG47772" s="256"/>
    </row>
    <row r="47773" spans="104:111">
      <c r="CZ47773" s="256"/>
      <c r="DG47773" s="256"/>
    </row>
    <row r="47774" spans="104:111">
      <c r="CZ47774" s="256"/>
      <c r="DG47774" s="256"/>
    </row>
    <row r="47775" spans="104:111">
      <c r="CZ47775" s="256"/>
      <c r="DG47775" s="256"/>
    </row>
    <row r="47776" spans="104:111">
      <c r="CZ47776" s="256"/>
      <c r="DG47776" s="256"/>
    </row>
    <row r="47777" spans="104:111">
      <c r="CZ47777" s="256"/>
      <c r="DG47777" s="256"/>
    </row>
    <row r="47778" spans="104:111">
      <c r="CZ47778" s="256"/>
      <c r="DG47778" s="256"/>
    </row>
    <row r="47779" spans="104:111">
      <c r="CZ47779" s="256"/>
      <c r="DG47779" s="256"/>
    </row>
    <row r="47780" spans="104:111">
      <c r="CZ47780" s="256"/>
      <c r="DG47780" s="256"/>
    </row>
    <row r="47781" spans="104:111">
      <c r="CZ47781" s="256"/>
      <c r="DG47781" s="256"/>
    </row>
    <row r="47782" spans="104:111">
      <c r="CZ47782" s="256"/>
      <c r="DG47782" s="256"/>
    </row>
    <row r="47783" spans="104:111">
      <c r="CZ47783" s="256"/>
      <c r="DG47783" s="256"/>
    </row>
    <row r="47784" spans="104:111">
      <c r="CZ47784" s="256"/>
      <c r="DG47784" s="256"/>
    </row>
    <row r="47785" spans="104:111">
      <c r="CZ47785" s="256"/>
      <c r="DG47785" s="256"/>
    </row>
    <row r="47786" spans="104:111">
      <c r="CZ47786" s="256"/>
      <c r="DG47786" s="256"/>
    </row>
    <row r="47787" spans="104:111">
      <c r="CZ47787" s="256"/>
      <c r="DG47787" s="256"/>
    </row>
    <row r="47788" spans="104:111">
      <c r="CZ47788" s="256"/>
      <c r="DG47788" s="256"/>
    </row>
    <row r="47789" spans="104:111">
      <c r="CZ47789" s="256"/>
      <c r="DG47789" s="256"/>
    </row>
    <row r="47790" spans="104:111">
      <c r="CZ47790" s="256"/>
      <c r="DG47790" s="256"/>
    </row>
    <row r="47791" spans="104:111">
      <c r="CZ47791" s="256"/>
      <c r="DG47791" s="256"/>
    </row>
    <row r="47792" spans="104:111">
      <c r="CZ47792" s="256"/>
      <c r="DG47792" s="256"/>
    </row>
    <row r="47793" spans="104:111">
      <c r="CZ47793" s="256"/>
      <c r="DG47793" s="256"/>
    </row>
    <row r="47794" spans="104:111">
      <c r="CZ47794" s="256"/>
      <c r="DG47794" s="256"/>
    </row>
    <row r="47795" spans="104:111">
      <c r="CZ47795" s="256"/>
      <c r="DG47795" s="256"/>
    </row>
    <row r="47796" spans="104:111">
      <c r="CZ47796" s="256"/>
      <c r="DG47796" s="256"/>
    </row>
    <row r="47797" spans="104:111">
      <c r="CZ47797" s="256"/>
      <c r="DG47797" s="256"/>
    </row>
    <row r="47798" spans="104:111">
      <c r="CZ47798" s="256"/>
      <c r="DG47798" s="256"/>
    </row>
    <row r="47799" spans="104:111">
      <c r="CZ47799" s="256"/>
      <c r="DG47799" s="256"/>
    </row>
    <row r="47800" spans="104:111">
      <c r="CZ47800" s="256"/>
      <c r="DG47800" s="256"/>
    </row>
    <row r="47801" spans="104:111">
      <c r="CZ47801" s="256"/>
      <c r="DG47801" s="256"/>
    </row>
    <row r="47802" spans="104:111">
      <c r="CZ47802" s="256"/>
      <c r="DG47802" s="256"/>
    </row>
    <row r="47803" spans="104:111">
      <c r="CZ47803" s="256"/>
      <c r="DG47803" s="256"/>
    </row>
    <row r="47804" spans="104:111">
      <c r="CZ47804" s="256"/>
      <c r="DG47804" s="256"/>
    </row>
    <row r="47805" spans="104:111">
      <c r="CZ47805" s="256"/>
      <c r="DG47805" s="256"/>
    </row>
    <row r="47806" spans="104:111">
      <c r="CZ47806" s="256"/>
      <c r="DG47806" s="256"/>
    </row>
    <row r="47807" spans="104:111">
      <c r="CZ47807" s="256"/>
      <c r="DG47807" s="256"/>
    </row>
    <row r="47808" spans="104:111">
      <c r="CZ47808" s="256"/>
      <c r="DG47808" s="256"/>
    </row>
    <row r="47809" spans="104:111">
      <c r="CZ47809" s="256"/>
      <c r="DG47809" s="256"/>
    </row>
    <row r="47810" spans="104:111">
      <c r="CZ47810" s="256"/>
      <c r="DG47810" s="256"/>
    </row>
    <row r="47811" spans="104:111">
      <c r="CZ47811" s="256"/>
      <c r="DG47811" s="256"/>
    </row>
    <row r="47812" spans="104:111">
      <c r="CZ47812" s="256"/>
      <c r="DG47812" s="256"/>
    </row>
    <row r="47813" spans="104:111">
      <c r="CZ47813" s="256"/>
      <c r="DG47813" s="256"/>
    </row>
    <row r="47814" spans="104:111">
      <c r="CZ47814" s="256"/>
      <c r="DG47814" s="256"/>
    </row>
    <row r="47815" spans="104:111">
      <c r="CZ47815" s="256"/>
      <c r="DG47815" s="256"/>
    </row>
    <row r="47816" spans="104:111">
      <c r="CZ47816" s="256"/>
      <c r="DG47816" s="256"/>
    </row>
    <row r="47817" spans="104:111">
      <c r="CZ47817" s="256"/>
      <c r="DG47817" s="256"/>
    </row>
    <row r="47818" spans="104:111">
      <c r="CZ47818" s="256"/>
      <c r="DG47818" s="256"/>
    </row>
    <row r="47819" spans="104:111">
      <c r="CZ47819" s="256"/>
      <c r="DG47819" s="256"/>
    </row>
    <row r="47820" spans="104:111">
      <c r="CZ47820" s="256"/>
      <c r="DG47820" s="256"/>
    </row>
    <row r="47821" spans="104:111">
      <c r="CZ47821" s="256"/>
      <c r="DG47821" s="256"/>
    </row>
    <row r="47822" spans="104:111">
      <c r="CZ47822" s="256"/>
      <c r="DG47822" s="256"/>
    </row>
    <row r="47823" spans="104:111">
      <c r="CZ47823" s="256"/>
      <c r="DG47823" s="256"/>
    </row>
    <row r="47824" spans="104:111">
      <c r="CZ47824" s="256"/>
      <c r="DG47824" s="256"/>
    </row>
    <row r="47825" spans="104:111">
      <c r="CZ47825" s="256"/>
      <c r="DG47825" s="256"/>
    </row>
    <row r="47826" spans="104:111">
      <c r="CZ47826" s="256"/>
      <c r="DG47826" s="256"/>
    </row>
    <row r="47827" spans="104:111">
      <c r="CZ47827" s="256"/>
      <c r="DG47827" s="256"/>
    </row>
    <row r="47828" spans="104:111">
      <c r="CZ47828" s="256"/>
      <c r="DG47828" s="256"/>
    </row>
    <row r="47829" spans="104:111">
      <c r="CZ47829" s="256"/>
      <c r="DG47829" s="256"/>
    </row>
    <row r="47830" spans="104:111">
      <c r="CZ47830" s="256"/>
      <c r="DG47830" s="256"/>
    </row>
    <row r="47831" spans="104:111">
      <c r="CZ47831" s="256"/>
      <c r="DG47831" s="256"/>
    </row>
    <row r="47832" spans="104:111">
      <c r="CZ47832" s="256"/>
      <c r="DG47832" s="256"/>
    </row>
    <row r="47833" spans="104:111">
      <c r="CZ47833" s="256"/>
      <c r="DG47833" s="256"/>
    </row>
    <row r="47834" spans="104:111">
      <c r="CZ47834" s="256"/>
      <c r="DG47834" s="256"/>
    </row>
    <row r="47835" spans="104:111">
      <c r="CZ47835" s="256"/>
      <c r="DG47835" s="256"/>
    </row>
    <row r="47836" spans="104:111">
      <c r="CZ47836" s="256"/>
      <c r="DG47836" s="256"/>
    </row>
    <row r="47837" spans="104:111">
      <c r="CZ47837" s="256"/>
      <c r="DG47837" s="256"/>
    </row>
    <row r="47838" spans="104:111">
      <c r="CZ47838" s="256"/>
      <c r="DG47838" s="256"/>
    </row>
    <row r="47839" spans="104:111">
      <c r="CZ47839" s="256"/>
      <c r="DG47839" s="256"/>
    </row>
    <row r="47840" spans="104:111">
      <c r="CZ47840" s="256"/>
      <c r="DG47840" s="256"/>
    </row>
    <row r="47841" spans="104:111">
      <c r="CZ47841" s="256"/>
      <c r="DG47841" s="256"/>
    </row>
    <row r="47842" spans="104:111">
      <c r="CZ47842" s="256"/>
      <c r="DG47842" s="256"/>
    </row>
    <row r="47843" spans="104:111">
      <c r="CZ47843" s="256"/>
      <c r="DG47843" s="256"/>
    </row>
    <row r="47844" spans="104:111">
      <c r="CZ47844" s="256"/>
      <c r="DG47844" s="256"/>
    </row>
    <row r="47845" spans="104:111">
      <c r="CZ47845" s="256"/>
      <c r="DG47845" s="256"/>
    </row>
    <row r="47846" spans="104:111">
      <c r="CZ47846" s="256"/>
      <c r="DG47846" s="256"/>
    </row>
    <row r="47847" spans="104:111">
      <c r="CZ47847" s="256"/>
      <c r="DG47847" s="256"/>
    </row>
    <row r="47848" spans="104:111">
      <c r="CZ47848" s="256"/>
      <c r="DG47848" s="256"/>
    </row>
    <row r="47849" spans="104:111">
      <c r="CZ47849" s="256"/>
      <c r="DG47849" s="256"/>
    </row>
    <row r="47850" spans="104:111">
      <c r="CZ47850" s="256"/>
      <c r="DG47850" s="256"/>
    </row>
    <row r="47851" spans="104:111">
      <c r="CZ47851" s="256"/>
      <c r="DG47851" s="256"/>
    </row>
    <row r="47852" spans="104:111">
      <c r="CZ47852" s="256"/>
      <c r="DG47852" s="256"/>
    </row>
    <row r="47853" spans="104:111">
      <c r="CZ47853" s="256"/>
      <c r="DG47853" s="256"/>
    </row>
    <row r="47854" spans="104:111">
      <c r="CZ47854" s="256"/>
      <c r="DG47854" s="256"/>
    </row>
    <row r="47855" spans="104:111">
      <c r="CZ47855" s="256"/>
      <c r="DG47855" s="256"/>
    </row>
    <row r="47856" spans="104:111">
      <c r="CZ47856" s="256"/>
      <c r="DG47856" s="256"/>
    </row>
    <row r="47857" spans="104:111">
      <c r="CZ47857" s="256"/>
      <c r="DG47857" s="256"/>
    </row>
    <row r="47858" spans="104:111">
      <c r="CZ47858" s="256"/>
      <c r="DG47858" s="256"/>
    </row>
    <row r="47859" spans="104:111">
      <c r="CZ47859" s="256"/>
      <c r="DG47859" s="256"/>
    </row>
    <row r="47860" spans="104:111">
      <c r="CZ47860" s="256"/>
      <c r="DG47860" s="256"/>
    </row>
    <row r="47861" spans="104:111">
      <c r="CZ47861" s="256"/>
      <c r="DG47861" s="256"/>
    </row>
    <row r="47862" spans="104:111">
      <c r="CZ47862" s="256"/>
      <c r="DG47862" s="256"/>
    </row>
    <row r="47863" spans="104:111">
      <c r="CZ47863" s="256"/>
      <c r="DG47863" s="256"/>
    </row>
    <row r="47864" spans="104:111">
      <c r="CZ47864" s="256"/>
      <c r="DG47864" s="256"/>
    </row>
    <row r="47865" spans="104:111">
      <c r="CZ47865" s="256"/>
      <c r="DG47865" s="256"/>
    </row>
    <row r="47866" spans="104:111">
      <c r="CZ47866" s="256"/>
      <c r="DG47866" s="256"/>
    </row>
    <row r="47867" spans="104:111">
      <c r="CZ47867" s="256"/>
      <c r="DG47867" s="256"/>
    </row>
    <row r="47868" spans="104:111">
      <c r="CZ47868" s="256"/>
      <c r="DG47868" s="256"/>
    </row>
    <row r="47869" spans="104:111">
      <c r="CZ47869" s="256"/>
      <c r="DG47869" s="256"/>
    </row>
    <row r="47870" spans="104:111">
      <c r="CZ47870" s="256"/>
      <c r="DG47870" s="256"/>
    </row>
    <row r="47871" spans="104:111">
      <c r="CZ47871" s="256"/>
      <c r="DG47871" s="256"/>
    </row>
    <row r="47872" spans="104:111">
      <c r="CZ47872" s="256"/>
      <c r="DG47872" s="256"/>
    </row>
    <row r="47873" spans="104:111">
      <c r="CZ47873" s="256"/>
      <c r="DG47873" s="256"/>
    </row>
    <row r="47874" spans="104:111">
      <c r="CZ47874" s="256"/>
      <c r="DG47874" s="256"/>
    </row>
    <row r="47875" spans="104:111">
      <c r="CZ47875" s="256"/>
      <c r="DG47875" s="256"/>
    </row>
    <row r="47876" spans="104:111">
      <c r="CZ47876" s="256"/>
      <c r="DG47876" s="256"/>
    </row>
    <row r="47877" spans="104:111">
      <c r="CZ47877" s="256"/>
      <c r="DG47877" s="256"/>
    </row>
    <row r="47878" spans="104:111">
      <c r="CZ47878" s="256"/>
      <c r="DG47878" s="256"/>
    </row>
    <row r="47879" spans="104:111">
      <c r="CZ47879" s="256"/>
      <c r="DG47879" s="256"/>
    </row>
    <row r="47880" spans="104:111">
      <c r="CZ47880" s="256"/>
      <c r="DG47880" s="256"/>
    </row>
    <row r="47881" spans="104:111">
      <c r="CZ47881" s="256"/>
      <c r="DG47881" s="256"/>
    </row>
    <row r="47882" spans="104:111">
      <c r="CZ47882" s="256"/>
      <c r="DG47882" s="256"/>
    </row>
    <row r="47883" spans="104:111">
      <c r="CZ47883" s="256"/>
      <c r="DG47883" s="256"/>
    </row>
    <row r="47884" spans="104:111">
      <c r="CZ47884" s="256"/>
      <c r="DG47884" s="256"/>
    </row>
    <row r="47885" spans="104:111">
      <c r="CZ47885" s="256"/>
      <c r="DG47885" s="256"/>
    </row>
    <row r="47886" spans="104:111">
      <c r="CZ47886" s="256"/>
      <c r="DG47886" s="256"/>
    </row>
    <row r="47887" spans="104:111">
      <c r="CZ47887" s="256"/>
      <c r="DG47887" s="256"/>
    </row>
    <row r="47888" spans="104:111">
      <c r="CZ47888" s="256"/>
      <c r="DG47888" s="256"/>
    </row>
    <row r="47889" spans="104:111">
      <c r="CZ47889" s="256"/>
      <c r="DG47889" s="256"/>
    </row>
    <row r="47890" spans="104:111">
      <c r="CZ47890" s="256"/>
      <c r="DG47890" s="256"/>
    </row>
    <row r="47891" spans="104:111">
      <c r="CZ47891" s="256"/>
      <c r="DG47891" s="256"/>
    </row>
    <row r="47892" spans="104:111">
      <c r="CZ47892" s="256"/>
      <c r="DG47892" s="256"/>
    </row>
    <row r="47893" spans="104:111">
      <c r="CZ47893" s="256"/>
      <c r="DG47893" s="256"/>
    </row>
    <row r="47894" spans="104:111">
      <c r="CZ47894" s="256"/>
      <c r="DG47894" s="256"/>
    </row>
    <row r="47895" spans="104:111">
      <c r="CZ47895" s="256"/>
      <c r="DG47895" s="256"/>
    </row>
    <row r="47896" spans="104:111">
      <c r="CZ47896" s="256"/>
      <c r="DG47896" s="256"/>
    </row>
    <row r="47897" spans="104:111">
      <c r="CZ47897" s="256"/>
      <c r="DG47897" s="256"/>
    </row>
    <row r="47898" spans="104:111">
      <c r="CZ47898" s="256"/>
      <c r="DG47898" s="256"/>
    </row>
    <row r="47899" spans="104:111">
      <c r="CZ47899" s="256"/>
      <c r="DG47899" s="256"/>
    </row>
    <row r="47900" spans="104:111">
      <c r="CZ47900" s="256"/>
      <c r="DG47900" s="256"/>
    </row>
    <row r="47901" spans="104:111">
      <c r="CZ47901" s="256"/>
      <c r="DG47901" s="256"/>
    </row>
    <row r="47902" spans="104:111">
      <c r="CZ47902" s="256"/>
      <c r="DG47902" s="256"/>
    </row>
    <row r="47903" spans="104:111">
      <c r="CZ47903" s="256"/>
      <c r="DG47903" s="256"/>
    </row>
    <row r="47904" spans="104:111">
      <c r="CZ47904" s="256"/>
      <c r="DG47904" s="256"/>
    </row>
    <row r="47905" spans="104:111">
      <c r="CZ47905" s="256"/>
      <c r="DG47905" s="256"/>
    </row>
    <row r="47906" spans="104:111">
      <c r="CZ47906" s="256"/>
      <c r="DG47906" s="256"/>
    </row>
    <row r="47907" spans="104:111">
      <c r="CZ47907" s="256"/>
      <c r="DG47907" s="256"/>
    </row>
    <row r="47908" spans="104:111">
      <c r="CZ47908" s="256"/>
      <c r="DG47908" s="256"/>
    </row>
    <row r="47909" spans="104:111">
      <c r="CZ47909" s="256"/>
      <c r="DG47909" s="256"/>
    </row>
    <row r="47910" spans="104:111">
      <c r="CZ47910" s="256"/>
      <c r="DG47910" s="256"/>
    </row>
    <row r="47911" spans="104:111">
      <c r="CZ47911" s="256"/>
      <c r="DG47911" s="256"/>
    </row>
    <row r="47912" spans="104:111">
      <c r="CZ47912" s="256"/>
      <c r="DG47912" s="256"/>
    </row>
    <row r="47913" spans="104:111">
      <c r="CZ47913" s="256"/>
      <c r="DG47913" s="256"/>
    </row>
    <row r="47914" spans="104:111">
      <c r="CZ47914" s="256"/>
      <c r="DG47914" s="256"/>
    </row>
    <row r="47915" spans="104:111">
      <c r="CZ47915" s="256"/>
      <c r="DG47915" s="256"/>
    </row>
    <row r="47916" spans="104:111">
      <c r="CZ47916" s="256"/>
      <c r="DG47916" s="256"/>
    </row>
    <row r="47917" spans="104:111">
      <c r="CZ47917" s="256"/>
      <c r="DG47917" s="256"/>
    </row>
    <row r="47918" spans="104:111">
      <c r="CZ47918" s="256"/>
      <c r="DG47918" s="256"/>
    </row>
    <row r="47919" spans="104:111">
      <c r="CZ47919" s="256"/>
      <c r="DG47919" s="256"/>
    </row>
    <row r="47920" spans="104:111">
      <c r="CZ47920" s="256"/>
      <c r="DG47920" s="256"/>
    </row>
    <row r="47921" spans="104:111">
      <c r="CZ47921" s="256"/>
      <c r="DG47921" s="256"/>
    </row>
    <row r="47922" spans="104:111">
      <c r="CZ47922" s="256"/>
      <c r="DG47922" s="256"/>
    </row>
    <row r="47923" spans="104:111">
      <c r="CZ47923" s="256"/>
      <c r="DG47923" s="256"/>
    </row>
    <row r="47924" spans="104:111">
      <c r="CZ47924" s="256"/>
      <c r="DG47924" s="256"/>
    </row>
    <row r="47925" spans="104:111">
      <c r="CZ47925" s="256"/>
      <c r="DG47925" s="256"/>
    </row>
    <row r="47926" spans="104:111">
      <c r="CZ47926" s="256"/>
      <c r="DG47926" s="256"/>
    </row>
    <row r="47927" spans="104:111">
      <c r="CZ47927" s="256"/>
      <c r="DG47927" s="256"/>
    </row>
    <row r="47928" spans="104:111">
      <c r="CZ47928" s="256"/>
      <c r="DG47928" s="256"/>
    </row>
    <row r="47929" spans="104:111">
      <c r="CZ47929" s="256"/>
      <c r="DG47929" s="256"/>
    </row>
    <row r="47930" spans="104:111">
      <c r="CZ47930" s="256"/>
      <c r="DG47930" s="256"/>
    </row>
    <row r="47931" spans="104:111">
      <c r="CZ47931" s="256"/>
      <c r="DG47931" s="256"/>
    </row>
    <row r="47932" spans="104:111">
      <c r="CZ47932" s="256"/>
      <c r="DG47932" s="256"/>
    </row>
    <row r="47933" spans="104:111">
      <c r="CZ47933" s="256"/>
      <c r="DG47933" s="256"/>
    </row>
    <row r="47934" spans="104:111">
      <c r="CZ47934" s="256"/>
      <c r="DG47934" s="256"/>
    </row>
    <row r="47935" spans="104:111">
      <c r="CZ47935" s="256"/>
      <c r="DG47935" s="256"/>
    </row>
    <row r="47936" spans="104:111">
      <c r="CZ47936" s="256"/>
      <c r="DG47936" s="256"/>
    </row>
    <row r="47937" spans="104:111">
      <c r="CZ47937" s="256"/>
      <c r="DG47937" s="256"/>
    </row>
    <row r="47938" spans="104:111">
      <c r="CZ47938" s="256"/>
      <c r="DG47938" s="256"/>
    </row>
    <row r="47939" spans="104:111">
      <c r="CZ47939" s="256"/>
      <c r="DG47939" s="256"/>
    </row>
    <row r="47940" spans="104:111">
      <c r="CZ47940" s="256"/>
      <c r="DG47940" s="256"/>
    </row>
    <row r="47941" spans="104:111">
      <c r="CZ47941" s="256"/>
      <c r="DG47941" s="256"/>
    </row>
    <row r="47942" spans="104:111">
      <c r="CZ47942" s="256"/>
      <c r="DG47942" s="256"/>
    </row>
    <row r="47943" spans="104:111">
      <c r="CZ47943" s="256"/>
      <c r="DG47943" s="256"/>
    </row>
    <row r="47944" spans="104:111">
      <c r="CZ47944" s="256"/>
      <c r="DG47944" s="256"/>
    </row>
    <row r="47945" spans="104:111">
      <c r="CZ47945" s="256"/>
      <c r="DG47945" s="256"/>
    </row>
    <row r="47946" spans="104:111">
      <c r="CZ47946" s="256"/>
      <c r="DG47946" s="256"/>
    </row>
    <row r="47947" spans="104:111">
      <c r="CZ47947" s="256"/>
      <c r="DG47947" s="256"/>
    </row>
    <row r="47948" spans="104:111">
      <c r="CZ47948" s="256"/>
      <c r="DG47948" s="256"/>
    </row>
    <row r="47949" spans="104:111">
      <c r="CZ47949" s="256"/>
      <c r="DG47949" s="256"/>
    </row>
    <row r="47950" spans="104:111">
      <c r="CZ47950" s="256"/>
      <c r="DG47950" s="256"/>
    </row>
    <row r="47951" spans="104:111">
      <c r="CZ47951" s="256"/>
      <c r="DG47951" s="256"/>
    </row>
    <row r="47952" spans="104:111">
      <c r="CZ47952" s="256"/>
      <c r="DG47952" s="256"/>
    </row>
    <row r="47953" spans="104:111">
      <c r="CZ47953" s="256"/>
      <c r="DG47953" s="256"/>
    </row>
    <row r="47954" spans="104:111">
      <c r="CZ47954" s="256"/>
      <c r="DG47954" s="256"/>
    </row>
    <row r="47955" spans="104:111">
      <c r="CZ47955" s="256"/>
      <c r="DG47955" s="256"/>
    </row>
    <row r="47956" spans="104:111">
      <c r="CZ47956" s="256"/>
      <c r="DG47956" s="256"/>
    </row>
    <row r="47957" spans="104:111">
      <c r="CZ47957" s="256"/>
      <c r="DG47957" s="256"/>
    </row>
    <row r="47958" spans="104:111">
      <c r="CZ47958" s="256"/>
      <c r="DG47958" s="256"/>
    </row>
    <row r="47959" spans="104:111">
      <c r="CZ47959" s="256"/>
      <c r="DG47959" s="256"/>
    </row>
    <row r="47960" spans="104:111">
      <c r="CZ47960" s="256"/>
      <c r="DG47960" s="256"/>
    </row>
    <row r="47961" spans="104:111">
      <c r="CZ47961" s="256"/>
      <c r="DG47961" s="256"/>
    </row>
    <row r="47962" spans="104:111">
      <c r="CZ47962" s="256"/>
      <c r="DG47962" s="256"/>
    </row>
    <row r="47963" spans="104:111">
      <c r="CZ47963" s="256"/>
      <c r="DG47963" s="256"/>
    </row>
    <row r="47964" spans="104:111">
      <c r="CZ47964" s="256"/>
      <c r="DG47964" s="256"/>
    </row>
    <row r="47965" spans="104:111">
      <c r="CZ47965" s="256"/>
      <c r="DG47965" s="256"/>
    </row>
    <row r="47966" spans="104:111">
      <c r="CZ47966" s="256"/>
      <c r="DG47966" s="256"/>
    </row>
    <row r="47967" spans="104:111">
      <c r="CZ47967" s="256"/>
      <c r="DG47967" s="256"/>
    </row>
    <row r="47968" spans="104:111">
      <c r="CZ47968" s="256"/>
      <c r="DG47968" s="256"/>
    </row>
    <row r="47969" spans="104:111">
      <c r="CZ47969" s="256"/>
      <c r="DG47969" s="256"/>
    </row>
    <row r="47970" spans="104:111">
      <c r="CZ47970" s="256"/>
      <c r="DG47970" s="256"/>
    </row>
    <row r="47971" spans="104:111">
      <c r="CZ47971" s="256"/>
      <c r="DG47971" s="256"/>
    </row>
    <row r="47972" spans="104:111">
      <c r="CZ47972" s="256"/>
      <c r="DG47972" s="256"/>
    </row>
    <row r="47973" spans="104:111">
      <c r="CZ47973" s="256"/>
      <c r="DG47973" s="256"/>
    </row>
    <row r="47974" spans="104:111">
      <c r="CZ47974" s="256"/>
      <c r="DG47974" s="256"/>
    </row>
    <row r="47975" spans="104:111">
      <c r="CZ47975" s="256"/>
      <c r="DG47975" s="256"/>
    </row>
    <row r="47976" spans="104:111">
      <c r="CZ47976" s="256"/>
      <c r="DG47976" s="256"/>
    </row>
    <row r="47977" spans="104:111">
      <c r="CZ47977" s="256"/>
      <c r="DG47977" s="256"/>
    </row>
    <row r="47978" spans="104:111">
      <c r="CZ47978" s="256"/>
      <c r="DG47978" s="256"/>
    </row>
    <row r="47979" spans="104:111">
      <c r="CZ47979" s="256"/>
      <c r="DG47979" s="256"/>
    </row>
    <row r="47980" spans="104:111">
      <c r="CZ47980" s="256"/>
      <c r="DG47980" s="256"/>
    </row>
    <row r="47981" spans="104:111">
      <c r="CZ47981" s="256"/>
      <c r="DG47981" s="256"/>
    </row>
    <row r="47982" spans="104:111">
      <c r="CZ47982" s="256"/>
      <c r="DG47982" s="256"/>
    </row>
    <row r="47983" spans="104:111">
      <c r="CZ47983" s="256"/>
      <c r="DG47983" s="256"/>
    </row>
    <row r="47984" spans="104:111">
      <c r="CZ47984" s="256"/>
      <c r="DG47984" s="256"/>
    </row>
    <row r="47985" spans="104:111">
      <c r="CZ47985" s="256"/>
      <c r="DG47985" s="256"/>
    </row>
    <row r="47986" spans="104:111">
      <c r="CZ47986" s="256"/>
      <c r="DG47986" s="256"/>
    </row>
    <row r="47987" spans="104:111">
      <c r="CZ47987" s="256"/>
      <c r="DG47987" s="256"/>
    </row>
    <row r="47988" spans="104:111">
      <c r="CZ47988" s="256"/>
      <c r="DG47988" s="256"/>
    </row>
    <row r="47989" spans="104:111">
      <c r="CZ47989" s="256"/>
      <c r="DG47989" s="256"/>
    </row>
    <row r="47990" spans="104:111">
      <c r="CZ47990" s="256"/>
      <c r="DG47990" s="256"/>
    </row>
    <row r="47991" spans="104:111">
      <c r="CZ47991" s="256"/>
      <c r="DG47991" s="256"/>
    </row>
    <row r="47992" spans="104:111">
      <c r="CZ47992" s="256"/>
      <c r="DG47992" s="256"/>
    </row>
    <row r="47993" spans="104:111">
      <c r="CZ47993" s="256"/>
      <c r="DG47993" s="256"/>
    </row>
    <row r="47994" spans="104:111">
      <c r="CZ47994" s="256"/>
      <c r="DG47994" s="256"/>
    </row>
    <row r="47995" spans="104:111">
      <c r="CZ47995" s="256"/>
      <c r="DG47995" s="256"/>
    </row>
    <row r="47996" spans="104:111">
      <c r="CZ47996" s="256"/>
      <c r="DG47996" s="256"/>
    </row>
    <row r="47997" spans="104:111">
      <c r="CZ47997" s="256"/>
      <c r="DG47997" s="256"/>
    </row>
    <row r="47998" spans="104:111">
      <c r="CZ47998" s="256"/>
      <c r="DG47998" s="256"/>
    </row>
    <row r="47999" spans="104:111">
      <c r="CZ47999" s="256"/>
      <c r="DG47999" s="256"/>
    </row>
    <row r="48000" spans="104:111">
      <c r="CZ48000" s="256"/>
      <c r="DG48000" s="256"/>
    </row>
    <row r="48001" spans="104:111">
      <c r="CZ48001" s="256"/>
      <c r="DG48001" s="256"/>
    </row>
    <row r="48002" spans="104:111">
      <c r="CZ48002" s="256"/>
      <c r="DG48002" s="256"/>
    </row>
    <row r="48003" spans="104:111">
      <c r="CZ48003" s="256"/>
      <c r="DG48003" s="256"/>
    </row>
    <row r="48004" spans="104:111">
      <c r="CZ48004" s="256"/>
      <c r="DG48004" s="256"/>
    </row>
    <row r="48005" spans="104:111">
      <c r="CZ48005" s="256"/>
      <c r="DG48005" s="256"/>
    </row>
    <row r="48006" spans="104:111">
      <c r="CZ48006" s="256"/>
      <c r="DG48006" s="256"/>
    </row>
    <row r="48007" spans="104:111">
      <c r="CZ48007" s="256"/>
      <c r="DG48007" s="256"/>
    </row>
    <row r="48008" spans="104:111">
      <c r="CZ48008" s="256"/>
      <c r="DG48008" s="256"/>
    </row>
    <row r="48009" spans="104:111">
      <c r="CZ48009" s="256"/>
      <c r="DG48009" s="256"/>
    </row>
    <row r="48010" spans="104:111">
      <c r="CZ48010" s="256"/>
      <c r="DG48010" s="256"/>
    </row>
    <row r="48011" spans="104:111">
      <c r="CZ48011" s="256"/>
      <c r="DG48011" s="256"/>
    </row>
    <row r="48012" spans="104:111">
      <c r="CZ48012" s="256"/>
      <c r="DG48012" s="256"/>
    </row>
    <row r="48013" spans="104:111">
      <c r="CZ48013" s="256"/>
      <c r="DG48013" s="256"/>
    </row>
    <row r="48014" spans="104:111">
      <c r="CZ48014" s="256"/>
      <c r="DG48014" s="256"/>
    </row>
    <row r="48015" spans="104:111">
      <c r="CZ48015" s="256"/>
      <c r="DG48015" s="256"/>
    </row>
    <row r="48016" spans="104:111">
      <c r="CZ48016" s="256"/>
      <c r="DG48016" s="256"/>
    </row>
    <row r="48017" spans="104:111">
      <c r="CZ48017" s="256"/>
      <c r="DG48017" s="256"/>
    </row>
    <row r="48018" spans="104:111">
      <c r="CZ48018" s="256"/>
      <c r="DG48018" s="256"/>
    </row>
    <row r="48019" spans="104:111">
      <c r="CZ48019" s="256"/>
      <c r="DG48019" s="256"/>
    </row>
    <row r="48020" spans="104:111">
      <c r="CZ48020" s="256"/>
      <c r="DG48020" s="256"/>
    </row>
    <row r="48021" spans="104:111">
      <c r="CZ48021" s="256"/>
      <c r="DG48021" s="256"/>
    </row>
    <row r="48022" spans="104:111">
      <c r="CZ48022" s="256"/>
      <c r="DG48022" s="256"/>
    </row>
    <row r="48023" spans="104:111">
      <c r="CZ48023" s="256"/>
      <c r="DG48023" s="256"/>
    </row>
    <row r="48024" spans="104:111">
      <c r="CZ48024" s="256"/>
      <c r="DG48024" s="256"/>
    </row>
    <row r="48025" spans="104:111">
      <c r="CZ48025" s="256"/>
      <c r="DG48025" s="256"/>
    </row>
    <row r="48026" spans="104:111">
      <c r="CZ48026" s="256"/>
      <c r="DG48026" s="256"/>
    </row>
    <row r="48027" spans="104:111">
      <c r="CZ48027" s="256"/>
      <c r="DG48027" s="256"/>
    </row>
    <row r="48028" spans="104:111">
      <c r="CZ48028" s="256"/>
      <c r="DG48028" s="256"/>
    </row>
    <row r="48029" spans="104:111">
      <c r="CZ48029" s="256"/>
      <c r="DG48029" s="256"/>
    </row>
    <row r="48030" spans="104:111">
      <c r="CZ48030" s="256"/>
      <c r="DG48030" s="256"/>
    </row>
    <row r="48031" spans="104:111">
      <c r="CZ48031" s="256"/>
      <c r="DG48031" s="256"/>
    </row>
    <row r="48032" spans="104:111">
      <c r="CZ48032" s="256"/>
      <c r="DG48032" s="256"/>
    </row>
    <row r="48033" spans="104:111">
      <c r="CZ48033" s="256"/>
      <c r="DG48033" s="256"/>
    </row>
    <row r="48034" spans="104:111">
      <c r="CZ48034" s="256"/>
      <c r="DG48034" s="256"/>
    </row>
    <row r="48035" spans="104:111">
      <c r="CZ48035" s="256"/>
      <c r="DG48035" s="256"/>
    </row>
    <row r="48036" spans="104:111">
      <c r="CZ48036" s="256"/>
      <c r="DG48036" s="256"/>
    </row>
    <row r="48037" spans="104:111">
      <c r="CZ48037" s="256"/>
      <c r="DG48037" s="256"/>
    </row>
    <row r="48038" spans="104:111">
      <c r="CZ48038" s="256"/>
      <c r="DG48038" s="256"/>
    </row>
    <row r="48039" spans="104:111">
      <c r="CZ48039" s="256"/>
      <c r="DG48039" s="256"/>
    </row>
    <row r="48040" spans="104:111">
      <c r="CZ48040" s="256"/>
      <c r="DG48040" s="256"/>
    </row>
    <row r="48041" spans="104:111">
      <c r="CZ48041" s="256"/>
      <c r="DG48041" s="256"/>
    </row>
    <row r="48042" spans="104:111">
      <c r="CZ48042" s="256"/>
      <c r="DG48042" s="256"/>
    </row>
    <row r="48043" spans="104:111">
      <c r="CZ48043" s="256"/>
      <c r="DG48043" s="256"/>
    </row>
    <row r="48044" spans="104:111">
      <c r="CZ48044" s="256"/>
      <c r="DG48044" s="256"/>
    </row>
    <row r="48045" spans="104:111">
      <c r="CZ48045" s="256"/>
      <c r="DG48045" s="256"/>
    </row>
    <row r="48046" spans="104:111">
      <c r="CZ48046" s="256"/>
      <c r="DG48046" s="256"/>
    </row>
    <row r="48047" spans="104:111">
      <c r="CZ48047" s="256"/>
      <c r="DG48047" s="256"/>
    </row>
    <row r="48048" spans="104:111">
      <c r="CZ48048" s="256"/>
      <c r="DG48048" s="256"/>
    </row>
    <row r="48049" spans="104:111">
      <c r="CZ48049" s="256"/>
      <c r="DG48049" s="256"/>
    </row>
    <row r="48050" spans="104:111">
      <c r="CZ48050" s="256"/>
      <c r="DG48050" s="256"/>
    </row>
    <row r="48051" spans="104:111">
      <c r="CZ48051" s="256"/>
      <c r="DG48051" s="256"/>
    </row>
    <row r="48052" spans="104:111">
      <c r="CZ48052" s="256"/>
      <c r="DG48052" s="256"/>
    </row>
    <row r="48053" spans="104:111">
      <c r="CZ48053" s="256"/>
      <c r="DG48053" s="256"/>
    </row>
    <row r="48054" spans="104:111">
      <c r="CZ48054" s="256"/>
      <c r="DG48054" s="256"/>
    </row>
    <row r="48055" spans="104:111">
      <c r="CZ48055" s="256"/>
      <c r="DG48055" s="256"/>
    </row>
    <row r="48056" spans="104:111">
      <c r="CZ48056" s="256"/>
      <c r="DG48056" s="256"/>
    </row>
    <row r="48057" spans="104:111">
      <c r="CZ48057" s="256"/>
      <c r="DG48057" s="256"/>
    </row>
    <row r="48058" spans="104:111">
      <c r="CZ48058" s="256"/>
      <c r="DG48058" s="256"/>
    </row>
    <row r="48059" spans="104:111">
      <c r="CZ48059" s="256"/>
      <c r="DG48059" s="256"/>
    </row>
    <row r="48060" spans="104:111">
      <c r="CZ48060" s="256"/>
      <c r="DG48060" s="256"/>
    </row>
    <row r="48061" spans="104:111">
      <c r="CZ48061" s="256"/>
      <c r="DG48061" s="256"/>
    </row>
    <row r="48062" spans="104:111">
      <c r="CZ48062" s="256"/>
      <c r="DG48062" s="256"/>
    </row>
    <row r="48063" spans="104:111">
      <c r="CZ48063" s="256"/>
      <c r="DG48063" s="256"/>
    </row>
    <row r="48064" spans="104:111">
      <c r="CZ48064" s="256"/>
      <c r="DG48064" s="256"/>
    </row>
    <row r="48065" spans="104:111">
      <c r="CZ48065" s="256"/>
      <c r="DG48065" s="256"/>
    </row>
    <row r="48066" spans="104:111">
      <c r="CZ48066" s="256"/>
      <c r="DG48066" s="256"/>
    </row>
    <row r="48067" spans="104:111">
      <c r="CZ48067" s="256"/>
      <c r="DG48067" s="256"/>
    </row>
    <row r="48068" spans="104:111">
      <c r="CZ48068" s="256"/>
      <c r="DG48068" s="256"/>
    </row>
    <row r="48069" spans="104:111">
      <c r="CZ48069" s="256"/>
      <c r="DG48069" s="256"/>
    </row>
    <row r="48070" spans="104:111">
      <c r="CZ48070" s="256"/>
      <c r="DG48070" s="256"/>
    </row>
    <row r="48071" spans="104:111">
      <c r="CZ48071" s="256"/>
      <c r="DG48071" s="256"/>
    </row>
    <row r="48072" spans="104:111">
      <c r="CZ48072" s="256"/>
      <c r="DG48072" s="256"/>
    </row>
    <row r="48073" spans="104:111">
      <c r="CZ48073" s="256"/>
      <c r="DG48073" s="256"/>
    </row>
    <row r="48074" spans="104:111">
      <c r="CZ48074" s="256"/>
      <c r="DG48074" s="256"/>
    </row>
    <row r="48075" spans="104:111">
      <c r="CZ48075" s="256"/>
      <c r="DG48075" s="256"/>
    </row>
    <row r="48076" spans="104:111">
      <c r="CZ48076" s="256"/>
      <c r="DG48076" s="256"/>
    </row>
    <row r="48077" spans="104:111">
      <c r="CZ48077" s="256"/>
      <c r="DG48077" s="256"/>
    </row>
    <row r="48078" spans="104:111">
      <c r="CZ48078" s="256"/>
      <c r="DG48078" s="256"/>
    </row>
    <row r="48079" spans="104:111">
      <c r="CZ48079" s="256"/>
      <c r="DG48079" s="256"/>
    </row>
    <row r="48080" spans="104:111">
      <c r="CZ48080" s="256"/>
      <c r="DG48080" s="256"/>
    </row>
    <row r="48081" spans="104:111">
      <c r="CZ48081" s="256"/>
      <c r="DG48081" s="256"/>
    </row>
    <row r="48082" spans="104:111">
      <c r="CZ48082" s="256"/>
      <c r="DG48082" s="256"/>
    </row>
    <row r="48083" spans="104:111">
      <c r="CZ48083" s="256"/>
      <c r="DG48083" s="256"/>
    </row>
    <row r="48084" spans="104:111">
      <c r="CZ48084" s="256"/>
      <c r="DG48084" s="256"/>
    </row>
    <row r="48085" spans="104:111">
      <c r="CZ48085" s="256"/>
      <c r="DG48085" s="256"/>
    </row>
    <row r="48086" spans="104:111">
      <c r="CZ48086" s="256"/>
      <c r="DG48086" s="256"/>
    </row>
    <row r="48087" spans="104:111">
      <c r="CZ48087" s="256"/>
      <c r="DG48087" s="256"/>
    </row>
    <row r="48088" spans="104:111">
      <c r="CZ48088" s="256"/>
      <c r="DG48088" s="256"/>
    </row>
    <row r="48089" spans="104:111">
      <c r="CZ48089" s="256"/>
      <c r="DG48089" s="256"/>
    </row>
    <row r="48090" spans="104:111">
      <c r="CZ48090" s="256"/>
      <c r="DG48090" s="256"/>
    </row>
    <row r="48091" spans="104:111">
      <c r="CZ48091" s="256"/>
      <c r="DG48091" s="256"/>
    </row>
    <row r="48092" spans="104:111">
      <c r="CZ48092" s="256"/>
      <c r="DG48092" s="256"/>
    </row>
    <row r="48093" spans="104:111">
      <c r="CZ48093" s="256"/>
      <c r="DG48093" s="256"/>
    </row>
    <row r="48094" spans="104:111">
      <c r="CZ48094" s="256"/>
      <c r="DG48094" s="256"/>
    </row>
    <row r="48095" spans="104:111">
      <c r="CZ48095" s="256"/>
      <c r="DG48095" s="256"/>
    </row>
    <row r="48096" spans="104:111">
      <c r="CZ48096" s="256"/>
      <c r="DG48096" s="256"/>
    </row>
    <row r="48097" spans="104:111">
      <c r="CZ48097" s="256"/>
      <c r="DG48097" s="256"/>
    </row>
    <row r="48098" spans="104:111">
      <c r="CZ48098" s="256"/>
      <c r="DG48098" s="256"/>
    </row>
    <row r="48099" spans="104:111">
      <c r="CZ48099" s="256"/>
      <c r="DG48099" s="256"/>
    </row>
    <row r="48100" spans="104:111">
      <c r="CZ48100" s="256"/>
      <c r="DG48100" s="256"/>
    </row>
    <row r="48101" spans="104:111">
      <c r="CZ48101" s="256"/>
      <c r="DG48101" s="256"/>
    </row>
    <row r="48102" spans="104:111">
      <c r="CZ48102" s="256"/>
      <c r="DG48102" s="256"/>
    </row>
    <row r="48103" spans="104:111">
      <c r="CZ48103" s="256"/>
      <c r="DG48103" s="256"/>
    </row>
    <row r="48104" spans="104:111">
      <c r="CZ48104" s="256"/>
      <c r="DG48104" s="256"/>
    </row>
    <row r="48105" spans="104:111">
      <c r="CZ48105" s="256"/>
      <c r="DG48105" s="256"/>
    </row>
    <row r="48106" spans="104:111">
      <c r="CZ48106" s="256"/>
      <c r="DG48106" s="256"/>
    </row>
    <row r="48107" spans="104:111">
      <c r="CZ48107" s="256"/>
      <c r="DG48107" s="256"/>
    </row>
    <row r="48108" spans="104:111">
      <c r="CZ48108" s="256"/>
      <c r="DG48108" s="256"/>
    </row>
    <row r="48109" spans="104:111">
      <c r="CZ48109" s="256"/>
      <c r="DG48109" s="256"/>
    </row>
    <row r="48110" spans="104:111">
      <c r="CZ48110" s="256"/>
      <c r="DG48110" s="256"/>
    </row>
    <row r="48111" spans="104:111">
      <c r="CZ48111" s="256"/>
      <c r="DG48111" s="256"/>
    </row>
    <row r="48112" spans="104:111">
      <c r="CZ48112" s="256"/>
      <c r="DG48112" s="256"/>
    </row>
    <row r="48113" spans="104:111">
      <c r="CZ48113" s="256"/>
      <c r="DG48113" s="256"/>
    </row>
    <row r="48114" spans="104:111">
      <c r="CZ48114" s="256"/>
      <c r="DG48114" s="256"/>
    </row>
    <row r="48115" spans="104:111">
      <c r="CZ48115" s="256"/>
      <c r="DG48115" s="256"/>
    </row>
    <row r="48116" spans="104:111">
      <c r="CZ48116" s="256"/>
      <c r="DG48116" s="256"/>
    </row>
    <row r="48117" spans="104:111">
      <c r="CZ48117" s="256"/>
      <c r="DG48117" s="256"/>
    </row>
    <row r="48118" spans="104:111">
      <c r="CZ48118" s="256"/>
      <c r="DG48118" s="256"/>
    </row>
    <row r="48119" spans="104:111">
      <c r="CZ48119" s="256"/>
      <c r="DG48119" s="256"/>
    </row>
    <row r="48120" spans="104:111">
      <c r="CZ48120" s="256"/>
      <c r="DG48120" s="256"/>
    </row>
    <row r="48121" spans="104:111">
      <c r="CZ48121" s="256"/>
      <c r="DG48121" s="256"/>
    </row>
    <row r="48122" spans="104:111">
      <c r="CZ48122" s="256"/>
      <c r="DG48122" s="256"/>
    </row>
    <row r="48123" spans="104:111">
      <c r="CZ48123" s="256"/>
      <c r="DG48123" s="256"/>
    </row>
    <row r="48124" spans="104:111">
      <c r="CZ48124" s="256"/>
      <c r="DG48124" s="256"/>
    </row>
    <row r="48125" spans="104:111">
      <c r="CZ48125" s="256"/>
      <c r="DG48125" s="256"/>
    </row>
    <row r="48126" spans="104:111">
      <c r="CZ48126" s="256"/>
      <c r="DG48126" s="256"/>
    </row>
    <row r="48127" spans="104:111">
      <c r="CZ48127" s="256"/>
      <c r="DG48127" s="256"/>
    </row>
    <row r="48128" spans="104:111">
      <c r="CZ48128" s="256"/>
      <c r="DG48128" s="256"/>
    </row>
    <row r="48129" spans="104:111">
      <c r="CZ48129" s="256"/>
      <c r="DG48129" s="256"/>
    </row>
    <row r="48130" spans="104:111">
      <c r="CZ48130" s="256"/>
      <c r="DG48130" s="256"/>
    </row>
    <row r="48131" spans="104:111">
      <c r="CZ48131" s="256"/>
      <c r="DG48131" s="256"/>
    </row>
    <row r="48132" spans="104:111">
      <c r="CZ48132" s="256"/>
      <c r="DG48132" s="256"/>
    </row>
    <row r="48133" spans="104:111">
      <c r="CZ48133" s="256"/>
      <c r="DG48133" s="256"/>
    </row>
    <row r="48134" spans="104:111">
      <c r="CZ48134" s="256"/>
      <c r="DG48134" s="256"/>
    </row>
    <row r="48135" spans="104:111">
      <c r="CZ48135" s="256"/>
      <c r="DG48135" s="256"/>
    </row>
    <row r="48136" spans="104:111">
      <c r="CZ48136" s="256"/>
      <c r="DG48136" s="256"/>
    </row>
    <row r="48137" spans="104:111">
      <c r="CZ48137" s="256"/>
      <c r="DG48137" s="256"/>
    </row>
    <row r="48138" spans="104:111">
      <c r="CZ48138" s="256"/>
      <c r="DG48138" s="256"/>
    </row>
    <row r="48139" spans="104:111">
      <c r="CZ48139" s="256"/>
      <c r="DG48139" s="256"/>
    </row>
    <row r="48140" spans="104:111">
      <c r="CZ48140" s="256"/>
      <c r="DG48140" s="256"/>
    </row>
    <row r="48141" spans="104:111">
      <c r="CZ48141" s="256"/>
      <c r="DG48141" s="256"/>
    </row>
    <row r="48142" spans="104:111">
      <c r="CZ48142" s="256"/>
      <c r="DG48142" s="256"/>
    </row>
    <row r="48143" spans="104:111">
      <c r="CZ48143" s="256"/>
      <c r="DG48143" s="256"/>
    </row>
    <row r="48144" spans="104:111">
      <c r="CZ48144" s="256"/>
      <c r="DG48144" s="256"/>
    </row>
    <row r="48145" spans="104:111">
      <c r="CZ48145" s="256"/>
      <c r="DG48145" s="256"/>
    </row>
    <row r="48146" spans="104:111">
      <c r="CZ48146" s="256"/>
      <c r="DG48146" s="256"/>
    </row>
    <row r="48147" spans="104:111">
      <c r="CZ48147" s="256"/>
      <c r="DG48147" s="256"/>
    </row>
    <row r="48148" spans="104:111">
      <c r="CZ48148" s="256"/>
      <c r="DG48148" s="256"/>
    </row>
    <row r="48149" spans="104:111">
      <c r="CZ48149" s="256"/>
      <c r="DG48149" s="256"/>
    </row>
    <row r="48150" spans="104:111">
      <c r="CZ48150" s="256"/>
      <c r="DG48150" s="256"/>
    </row>
    <row r="48151" spans="104:111">
      <c r="CZ48151" s="256"/>
      <c r="DG48151" s="256"/>
    </row>
    <row r="48152" spans="104:111">
      <c r="CZ48152" s="256"/>
      <c r="DG48152" s="256"/>
    </row>
    <row r="48153" spans="104:111">
      <c r="CZ48153" s="256"/>
      <c r="DG48153" s="256"/>
    </row>
    <row r="48154" spans="104:111">
      <c r="CZ48154" s="256"/>
      <c r="DG48154" s="256"/>
    </row>
    <row r="48155" spans="104:111">
      <c r="CZ48155" s="256"/>
      <c r="DG48155" s="256"/>
    </row>
    <row r="48156" spans="104:111">
      <c r="CZ48156" s="256"/>
      <c r="DG48156" s="256"/>
    </row>
    <row r="48157" spans="104:111">
      <c r="CZ48157" s="256"/>
      <c r="DG48157" s="256"/>
    </row>
    <row r="48158" spans="104:111">
      <c r="CZ48158" s="256"/>
      <c r="DG48158" s="256"/>
    </row>
    <row r="48159" spans="104:111">
      <c r="CZ48159" s="256"/>
      <c r="DG48159" s="256"/>
    </row>
    <row r="48160" spans="104:111">
      <c r="CZ48160" s="256"/>
      <c r="DG48160" s="256"/>
    </row>
    <row r="48161" spans="104:111">
      <c r="CZ48161" s="256"/>
      <c r="DG48161" s="256"/>
    </row>
    <row r="48162" spans="104:111">
      <c r="CZ48162" s="256"/>
      <c r="DG48162" s="256"/>
    </row>
    <row r="48163" spans="104:111">
      <c r="CZ48163" s="256"/>
      <c r="DG48163" s="256"/>
    </row>
    <row r="48164" spans="104:111">
      <c r="CZ48164" s="256"/>
      <c r="DG48164" s="256"/>
    </row>
    <row r="48165" spans="104:111">
      <c r="CZ48165" s="256"/>
      <c r="DG48165" s="256"/>
    </row>
    <row r="48166" spans="104:111">
      <c r="CZ48166" s="256"/>
      <c r="DG48166" s="256"/>
    </row>
    <row r="48167" spans="104:111">
      <c r="CZ48167" s="256"/>
      <c r="DG48167" s="256"/>
    </row>
    <row r="48168" spans="104:111">
      <c r="CZ48168" s="256"/>
      <c r="DG48168" s="256"/>
    </row>
    <row r="48169" spans="104:111">
      <c r="CZ48169" s="256"/>
      <c r="DG48169" s="256"/>
    </row>
    <row r="48170" spans="104:111">
      <c r="CZ48170" s="256"/>
      <c r="DG48170" s="256"/>
    </row>
    <row r="48171" spans="104:111">
      <c r="CZ48171" s="256"/>
      <c r="DG48171" s="256"/>
    </row>
    <row r="48172" spans="104:111">
      <c r="CZ48172" s="256"/>
      <c r="DG48172" s="256"/>
    </row>
    <row r="48173" spans="104:111">
      <c r="CZ48173" s="256"/>
      <c r="DG48173" s="256"/>
    </row>
    <row r="48174" spans="104:111">
      <c r="CZ48174" s="256"/>
      <c r="DG48174" s="256"/>
    </row>
    <row r="48175" spans="104:111">
      <c r="CZ48175" s="256"/>
      <c r="DG48175" s="256"/>
    </row>
    <row r="48176" spans="104:111">
      <c r="CZ48176" s="256"/>
      <c r="DG48176" s="256"/>
    </row>
    <row r="48177" spans="104:111">
      <c r="CZ48177" s="256"/>
      <c r="DG48177" s="256"/>
    </row>
    <row r="48178" spans="104:111">
      <c r="CZ48178" s="256"/>
      <c r="DG48178" s="256"/>
    </row>
    <row r="48179" spans="104:111">
      <c r="CZ48179" s="256"/>
      <c r="DG48179" s="256"/>
    </row>
    <row r="48180" spans="104:111">
      <c r="CZ48180" s="256"/>
      <c r="DG48180" s="256"/>
    </row>
    <row r="48181" spans="104:111">
      <c r="CZ48181" s="256"/>
      <c r="DG48181" s="256"/>
    </row>
    <row r="48182" spans="104:111">
      <c r="CZ48182" s="256"/>
      <c r="DG48182" s="256"/>
    </row>
    <row r="48183" spans="104:111">
      <c r="CZ48183" s="256"/>
      <c r="DG48183" s="256"/>
    </row>
    <row r="48184" spans="104:111">
      <c r="CZ48184" s="256"/>
      <c r="DG48184" s="256"/>
    </row>
    <row r="48185" spans="104:111">
      <c r="CZ48185" s="256"/>
      <c r="DG48185" s="256"/>
    </row>
    <row r="48186" spans="104:111">
      <c r="CZ48186" s="256"/>
      <c r="DG48186" s="256"/>
    </row>
    <row r="48187" spans="104:111">
      <c r="CZ48187" s="256"/>
      <c r="DG48187" s="256"/>
    </row>
    <row r="48188" spans="104:111">
      <c r="CZ48188" s="256"/>
      <c r="DG48188" s="256"/>
    </row>
    <row r="48189" spans="104:111">
      <c r="CZ48189" s="256"/>
      <c r="DG48189" s="256"/>
    </row>
    <row r="48190" spans="104:111">
      <c r="CZ48190" s="256"/>
      <c r="DG48190" s="256"/>
    </row>
    <row r="48191" spans="104:111">
      <c r="CZ48191" s="256"/>
      <c r="DG48191" s="256"/>
    </row>
    <row r="48192" spans="104:111">
      <c r="CZ48192" s="256"/>
      <c r="DG48192" s="256"/>
    </row>
    <row r="48193" spans="104:111">
      <c r="CZ48193" s="256"/>
      <c r="DG48193" s="256"/>
    </row>
    <row r="48194" spans="104:111">
      <c r="CZ48194" s="256"/>
      <c r="DG48194" s="256"/>
    </row>
    <row r="48195" spans="104:111">
      <c r="CZ48195" s="256"/>
      <c r="DG48195" s="256"/>
    </row>
    <row r="48196" spans="104:111">
      <c r="CZ48196" s="256"/>
      <c r="DG48196" s="256"/>
    </row>
    <row r="48197" spans="104:111">
      <c r="CZ48197" s="256"/>
      <c r="DG48197" s="256"/>
    </row>
    <row r="48198" spans="104:111">
      <c r="CZ48198" s="256"/>
      <c r="DG48198" s="256"/>
    </row>
    <row r="48199" spans="104:111">
      <c r="CZ48199" s="256"/>
      <c r="DG48199" s="256"/>
    </row>
    <row r="48200" spans="104:111">
      <c r="CZ48200" s="256"/>
      <c r="DG48200" s="256"/>
    </row>
    <row r="48201" spans="104:111">
      <c r="CZ48201" s="256"/>
      <c r="DG48201" s="256"/>
    </row>
    <row r="48202" spans="104:111">
      <c r="CZ48202" s="256"/>
      <c r="DG48202" s="256"/>
    </row>
    <row r="48203" spans="104:111">
      <c r="CZ48203" s="256"/>
      <c r="DG48203" s="256"/>
    </row>
    <row r="48204" spans="104:111">
      <c r="CZ48204" s="256"/>
      <c r="DG48204" s="256"/>
    </row>
    <row r="48205" spans="104:111">
      <c r="CZ48205" s="256"/>
      <c r="DG48205" s="256"/>
    </row>
    <row r="48206" spans="104:111">
      <c r="CZ48206" s="256"/>
      <c r="DG48206" s="256"/>
    </row>
    <row r="48207" spans="104:111">
      <c r="CZ48207" s="256"/>
      <c r="DG48207" s="256"/>
    </row>
    <row r="48208" spans="104:111">
      <c r="CZ48208" s="256"/>
      <c r="DG48208" s="256"/>
    </row>
    <row r="48209" spans="104:111">
      <c r="CZ48209" s="256"/>
      <c r="DG48209" s="256"/>
    </row>
    <row r="48210" spans="104:111">
      <c r="CZ48210" s="256"/>
      <c r="DG48210" s="256"/>
    </row>
    <row r="48211" spans="104:111">
      <c r="CZ48211" s="256"/>
      <c r="DG48211" s="256"/>
    </row>
    <row r="48212" spans="104:111">
      <c r="CZ48212" s="256"/>
      <c r="DG48212" s="256"/>
    </row>
    <row r="48213" spans="104:111">
      <c r="CZ48213" s="256"/>
      <c r="DG48213" s="256"/>
    </row>
    <row r="48214" spans="104:111">
      <c r="CZ48214" s="256"/>
      <c r="DG48214" s="256"/>
    </row>
    <row r="48215" spans="104:111">
      <c r="CZ48215" s="256"/>
      <c r="DG48215" s="256"/>
    </row>
    <row r="48216" spans="104:111">
      <c r="CZ48216" s="256"/>
      <c r="DG48216" s="256"/>
    </row>
    <row r="48217" spans="104:111">
      <c r="CZ48217" s="256"/>
      <c r="DG48217" s="256"/>
    </row>
    <row r="48218" spans="104:111">
      <c r="CZ48218" s="256"/>
      <c r="DG48218" s="256"/>
    </row>
    <row r="48219" spans="104:111">
      <c r="CZ48219" s="256"/>
      <c r="DG48219" s="256"/>
    </row>
    <row r="48220" spans="104:111">
      <c r="CZ48220" s="256"/>
      <c r="DG48220" s="256"/>
    </row>
    <row r="48221" spans="104:111">
      <c r="CZ48221" s="256"/>
      <c r="DG48221" s="256"/>
    </row>
    <row r="48222" spans="104:111">
      <c r="CZ48222" s="256"/>
      <c r="DG48222" s="256"/>
    </row>
    <row r="48223" spans="104:111">
      <c r="CZ48223" s="256"/>
      <c r="DG48223" s="256"/>
    </row>
    <row r="48224" spans="104:111">
      <c r="CZ48224" s="256"/>
      <c r="DG48224" s="256"/>
    </row>
    <row r="48225" spans="104:111">
      <c r="CZ48225" s="256"/>
      <c r="DG48225" s="256"/>
    </row>
    <row r="48226" spans="104:111">
      <c r="CZ48226" s="256"/>
      <c r="DG48226" s="256"/>
    </row>
    <row r="48227" spans="104:111">
      <c r="CZ48227" s="256"/>
      <c r="DG48227" s="256"/>
    </row>
    <row r="48228" spans="104:111">
      <c r="CZ48228" s="256"/>
      <c r="DG48228" s="256"/>
    </row>
    <row r="48229" spans="104:111">
      <c r="CZ48229" s="256"/>
      <c r="DG48229" s="256"/>
    </row>
    <row r="48230" spans="104:111">
      <c r="CZ48230" s="256"/>
      <c r="DG48230" s="256"/>
    </row>
    <row r="48231" spans="104:111">
      <c r="CZ48231" s="256"/>
      <c r="DG48231" s="256"/>
    </row>
    <row r="48232" spans="104:111">
      <c r="CZ48232" s="256"/>
      <c r="DG48232" s="256"/>
    </row>
    <row r="48233" spans="104:111">
      <c r="CZ48233" s="256"/>
      <c r="DG48233" s="256"/>
    </row>
    <row r="48234" spans="104:111">
      <c r="CZ48234" s="256"/>
      <c r="DG48234" s="256"/>
    </row>
    <row r="48235" spans="104:111">
      <c r="CZ48235" s="256"/>
      <c r="DG48235" s="256"/>
    </row>
    <row r="48236" spans="104:111">
      <c r="CZ48236" s="256"/>
      <c r="DG48236" s="256"/>
    </row>
    <row r="48237" spans="104:111">
      <c r="CZ48237" s="256"/>
      <c r="DG48237" s="256"/>
    </row>
    <row r="48238" spans="104:111">
      <c r="CZ48238" s="256"/>
      <c r="DG48238" s="256"/>
    </row>
    <row r="48239" spans="104:111">
      <c r="CZ48239" s="256"/>
      <c r="DG48239" s="256"/>
    </row>
    <row r="48240" spans="104:111">
      <c r="CZ48240" s="256"/>
      <c r="DG48240" s="256"/>
    </row>
    <row r="48241" spans="104:111">
      <c r="CZ48241" s="256"/>
      <c r="DG48241" s="256"/>
    </row>
    <row r="48242" spans="104:111">
      <c r="CZ48242" s="256"/>
      <c r="DG48242" s="256"/>
    </row>
    <row r="48243" spans="104:111">
      <c r="CZ48243" s="256"/>
      <c r="DG48243" s="256"/>
    </row>
    <row r="48244" spans="104:111">
      <c r="CZ48244" s="256"/>
      <c r="DG48244" s="256"/>
    </row>
    <row r="48245" spans="104:111">
      <c r="CZ48245" s="256"/>
      <c r="DG48245" s="256"/>
    </row>
    <row r="48246" spans="104:111">
      <c r="CZ48246" s="256"/>
      <c r="DG48246" s="256"/>
    </row>
    <row r="48247" spans="104:111">
      <c r="CZ48247" s="256"/>
      <c r="DG48247" s="256"/>
    </row>
    <row r="48248" spans="104:111">
      <c r="CZ48248" s="256"/>
      <c r="DG48248" s="256"/>
    </row>
    <row r="48249" spans="104:111">
      <c r="CZ48249" s="256"/>
      <c r="DG48249" s="256"/>
    </row>
    <row r="48250" spans="104:111">
      <c r="CZ48250" s="256"/>
      <c r="DG48250" s="256"/>
    </row>
    <row r="48251" spans="104:111">
      <c r="CZ48251" s="256"/>
      <c r="DG48251" s="256"/>
    </row>
    <row r="48252" spans="104:111">
      <c r="CZ48252" s="256"/>
      <c r="DG48252" s="256"/>
    </row>
    <row r="48253" spans="104:111">
      <c r="CZ48253" s="256"/>
      <c r="DG48253" s="256"/>
    </row>
    <row r="48254" spans="104:111">
      <c r="CZ48254" s="256"/>
      <c r="DG48254" s="256"/>
    </row>
    <row r="48255" spans="104:111">
      <c r="CZ48255" s="256"/>
      <c r="DG48255" s="256"/>
    </row>
    <row r="48256" spans="104:111">
      <c r="CZ48256" s="256"/>
      <c r="DG48256" s="256"/>
    </row>
    <row r="48257" spans="104:111">
      <c r="CZ48257" s="256"/>
      <c r="DG48257" s="256"/>
    </row>
    <row r="48258" spans="104:111">
      <c r="CZ48258" s="256"/>
      <c r="DG48258" s="256"/>
    </row>
    <row r="48259" spans="104:111">
      <c r="CZ48259" s="256"/>
      <c r="DG48259" s="256"/>
    </row>
    <row r="48260" spans="104:111">
      <c r="CZ48260" s="256"/>
      <c r="DG48260" s="256"/>
    </row>
    <row r="48261" spans="104:111">
      <c r="CZ48261" s="256"/>
      <c r="DG48261" s="256"/>
    </row>
    <row r="48262" spans="104:111">
      <c r="CZ48262" s="256"/>
      <c r="DG48262" s="256"/>
    </row>
    <row r="48263" spans="104:111">
      <c r="CZ48263" s="256"/>
      <c r="DG48263" s="256"/>
    </row>
    <row r="48264" spans="104:111">
      <c r="CZ48264" s="256"/>
      <c r="DG48264" s="256"/>
    </row>
    <row r="48265" spans="104:111">
      <c r="CZ48265" s="256"/>
      <c r="DG48265" s="256"/>
    </row>
    <row r="48266" spans="104:111">
      <c r="CZ48266" s="256"/>
      <c r="DG48266" s="256"/>
    </row>
    <row r="48267" spans="104:111">
      <c r="CZ48267" s="256"/>
      <c r="DG48267" s="256"/>
    </row>
    <row r="48268" spans="104:111">
      <c r="CZ48268" s="256"/>
      <c r="DG48268" s="256"/>
    </row>
    <row r="48269" spans="104:111">
      <c r="CZ48269" s="256"/>
      <c r="DG48269" s="256"/>
    </row>
    <row r="48270" spans="104:111">
      <c r="CZ48270" s="256"/>
      <c r="DG48270" s="256"/>
    </row>
    <row r="48271" spans="104:111">
      <c r="CZ48271" s="256"/>
      <c r="DG48271" s="256"/>
    </row>
    <row r="48272" spans="104:111">
      <c r="CZ48272" s="256"/>
      <c r="DG48272" s="256"/>
    </row>
    <row r="48273" spans="104:111">
      <c r="CZ48273" s="256"/>
      <c r="DG48273" s="256"/>
    </row>
    <row r="48274" spans="104:111">
      <c r="CZ48274" s="256"/>
      <c r="DG48274" s="256"/>
    </row>
    <row r="48275" spans="104:111">
      <c r="CZ48275" s="256"/>
      <c r="DG48275" s="256"/>
    </row>
    <row r="48276" spans="104:111">
      <c r="CZ48276" s="256"/>
      <c r="DG48276" s="256"/>
    </row>
    <row r="48277" spans="104:111">
      <c r="CZ48277" s="256"/>
      <c r="DG48277" s="256"/>
    </row>
    <row r="48278" spans="104:111">
      <c r="CZ48278" s="256"/>
      <c r="DG48278" s="256"/>
    </row>
    <row r="48279" spans="104:111">
      <c r="CZ48279" s="256"/>
      <c r="DG48279" s="256"/>
    </row>
    <row r="48280" spans="104:111">
      <c r="CZ48280" s="256"/>
      <c r="DG48280" s="256"/>
    </row>
    <row r="48281" spans="104:111">
      <c r="CZ48281" s="256"/>
      <c r="DG48281" s="256"/>
    </row>
    <row r="48282" spans="104:111">
      <c r="CZ48282" s="256"/>
      <c r="DG48282" s="256"/>
    </row>
    <row r="48283" spans="104:111">
      <c r="CZ48283" s="256"/>
      <c r="DG48283" s="256"/>
    </row>
    <row r="48284" spans="104:111">
      <c r="CZ48284" s="256"/>
      <c r="DG48284" s="256"/>
    </row>
    <row r="48285" spans="104:111">
      <c r="CZ48285" s="256"/>
      <c r="DG48285" s="256"/>
    </row>
    <row r="48286" spans="104:111">
      <c r="CZ48286" s="256"/>
      <c r="DG48286" s="256"/>
    </row>
    <row r="48287" spans="104:111">
      <c r="CZ48287" s="256"/>
      <c r="DG48287" s="256"/>
    </row>
    <row r="48288" spans="104:111">
      <c r="CZ48288" s="256"/>
      <c r="DG48288" s="256"/>
    </row>
    <row r="48289" spans="104:111">
      <c r="CZ48289" s="256"/>
      <c r="DG48289" s="256"/>
    </row>
    <row r="48290" spans="104:111">
      <c r="CZ48290" s="256"/>
      <c r="DG48290" s="256"/>
    </row>
    <row r="48291" spans="104:111">
      <c r="CZ48291" s="256"/>
      <c r="DG48291" s="256"/>
    </row>
    <row r="48292" spans="104:111">
      <c r="CZ48292" s="256"/>
      <c r="DG48292" s="256"/>
    </row>
    <row r="48293" spans="104:111">
      <c r="CZ48293" s="256"/>
      <c r="DG48293" s="256"/>
    </row>
    <row r="48294" spans="104:111">
      <c r="CZ48294" s="256"/>
      <c r="DG48294" s="256"/>
    </row>
    <row r="48295" spans="104:111">
      <c r="CZ48295" s="256"/>
      <c r="DG48295" s="256"/>
    </row>
    <row r="48296" spans="104:111">
      <c r="CZ48296" s="256"/>
      <c r="DG48296" s="256"/>
    </row>
    <row r="48297" spans="104:111">
      <c r="CZ48297" s="256"/>
      <c r="DG48297" s="256"/>
    </row>
    <row r="48298" spans="104:111">
      <c r="CZ48298" s="256"/>
      <c r="DG48298" s="256"/>
    </row>
    <row r="48299" spans="104:111">
      <c r="CZ48299" s="256"/>
      <c r="DG48299" s="256"/>
    </row>
    <row r="48300" spans="104:111">
      <c r="CZ48300" s="256"/>
      <c r="DG48300" s="256"/>
    </row>
    <row r="48301" spans="104:111">
      <c r="CZ48301" s="256"/>
      <c r="DG48301" s="256"/>
    </row>
    <row r="48302" spans="104:111">
      <c r="CZ48302" s="256"/>
      <c r="DG48302" s="256"/>
    </row>
    <row r="48303" spans="104:111">
      <c r="CZ48303" s="256"/>
      <c r="DG48303" s="256"/>
    </row>
    <row r="48304" spans="104:111">
      <c r="CZ48304" s="256"/>
      <c r="DG48304" s="256"/>
    </row>
    <row r="48305" spans="104:111">
      <c r="CZ48305" s="256"/>
      <c r="DG48305" s="256"/>
    </row>
    <row r="48306" spans="104:111">
      <c r="CZ48306" s="256"/>
      <c r="DG48306" s="256"/>
    </row>
    <row r="48307" spans="104:111">
      <c r="CZ48307" s="256"/>
      <c r="DG48307" s="256"/>
    </row>
    <row r="48308" spans="104:111">
      <c r="CZ48308" s="256"/>
      <c r="DG48308" s="256"/>
    </row>
    <row r="48309" spans="104:111">
      <c r="CZ48309" s="256"/>
      <c r="DG48309" s="256"/>
    </row>
    <row r="48310" spans="104:111">
      <c r="CZ48310" s="256"/>
      <c r="DG48310" s="256"/>
    </row>
    <row r="48311" spans="104:111">
      <c r="CZ48311" s="256"/>
      <c r="DG48311" s="256"/>
    </row>
    <row r="48312" spans="104:111">
      <c r="CZ48312" s="256"/>
      <c r="DG48312" s="256"/>
    </row>
    <row r="48313" spans="104:111">
      <c r="CZ48313" s="256"/>
      <c r="DG48313" s="256"/>
    </row>
    <row r="48314" spans="104:111">
      <c r="CZ48314" s="256"/>
      <c r="DG48314" s="256"/>
    </row>
    <row r="48315" spans="104:111">
      <c r="CZ48315" s="256"/>
      <c r="DG48315" s="256"/>
    </row>
    <row r="48316" spans="104:111">
      <c r="CZ48316" s="256"/>
      <c r="DG48316" s="256"/>
    </row>
    <row r="48317" spans="104:111">
      <c r="CZ48317" s="256"/>
      <c r="DG48317" s="256"/>
    </row>
    <row r="48318" spans="104:111">
      <c r="CZ48318" s="256"/>
      <c r="DG48318" s="256"/>
    </row>
    <row r="48319" spans="104:111">
      <c r="CZ48319" s="256"/>
      <c r="DG48319" s="256"/>
    </row>
    <row r="48320" spans="104:111">
      <c r="CZ48320" s="256"/>
      <c r="DG48320" s="256"/>
    </row>
    <row r="48321" spans="104:111">
      <c r="CZ48321" s="256"/>
      <c r="DG48321" s="256"/>
    </row>
    <row r="48322" spans="104:111">
      <c r="CZ48322" s="256"/>
      <c r="DG48322" s="256"/>
    </row>
    <row r="48323" spans="104:111">
      <c r="CZ48323" s="256"/>
      <c r="DG48323" s="256"/>
    </row>
    <row r="48324" spans="104:111">
      <c r="CZ48324" s="256"/>
      <c r="DG48324" s="256"/>
    </row>
    <row r="48325" spans="104:111">
      <c r="CZ48325" s="256"/>
      <c r="DG48325" s="256"/>
    </row>
    <row r="48326" spans="104:111">
      <c r="CZ48326" s="256"/>
      <c r="DG48326" s="256"/>
    </row>
    <row r="48327" spans="104:111">
      <c r="CZ48327" s="256"/>
      <c r="DG48327" s="256"/>
    </row>
    <row r="48328" spans="104:111">
      <c r="CZ48328" s="256"/>
      <c r="DG48328" s="256"/>
    </row>
    <row r="48329" spans="104:111">
      <c r="CZ48329" s="256"/>
      <c r="DG48329" s="256"/>
    </row>
    <row r="48330" spans="104:111">
      <c r="CZ48330" s="256"/>
      <c r="DG48330" s="256"/>
    </row>
    <row r="48331" spans="104:111">
      <c r="CZ48331" s="256"/>
      <c r="DG48331" s="256"/>
    </row>
    <row r="48332" spans="104:111">
      <c r="CZ48332" s="256"/>
      <c r="DG48332" s="256"/>
    </row>
    <row r="48333" spans="104:111">
      <c r="CZ48333" s="256"/>
      <c r="DG48333" s="256"/>
    </row>
    <row r="48334" spans="104:111">
      <c r="CZ48334" s="256"/>
      <c r="DG48334" s="256"/>
    </row>
    <row r="48335" spans="104:111">
      <c r="CZ48335" s="256"/>
      <c r="DG48335" s="256"/>
    </row>
    <row r="48336" spans="104:111">
      <c r="CZ48336" s="256"/>
      <c r="DG48336" s="256"/>
    </row>
    <row r="48337" spans="104:111">
      <c r="CZ48337" s="256"/>
      <c r="DG48337" s="256"/>
    </row>
    <row r="48338" spans="104:111">
      <c r="CZ48338" s="256"/>
      <c r="DG48338" s="256"/>
    </row>
    <row r="48339" spans="104:111">
      <c r="CZ48339" s="256"/>
      <c r="DG48339" s="256"/>
    </row>
    <row r="48340" spans="104:111">
      <c r="CZ48340" s="256"/>
      <c r="DG48340" s="256"/>
    </row>
    <row r="48341" spans="104:111">
      <c r="CZ48341" s="256"/>
      <c r="DG48341" s="256"/>
    </row>
    <row r="48342" spans="104:111">
      <c r="CZ48342" s="256"/>
      <c r="DG48342" s="256"/>
    </row>
    <row r="48343" spans="104:111">
      <c r="CZ48343" s="256"/>
      <c r="DG48343" s="256"/>
    </row>
    <row r="48344" spans="104:111">
      <c r="CZ48344" s="256"/>
      <c r="DG48344" s="256"/>
    </row>
    <row r="48345" spans="104:111">
      <c r="CZ48345" s="256"/>
      <c r="DG48345" s="256"/>
    </row>
    <row r="48346" spans="104:111">
      <c r="CZ48346" s="256"/>
      <c r="DG48346" s="256"/>
    </row>
    <row r="48347" spans="104:111">
      <c r="CZ48347" s="256"/>
      <c r="DG48347" s="256"/>
    </row>
    <row r="48348" spans="104:111">
      <c r="CZ48348" s="256"/>
      <c r="DG48348" s="256"/>
    </row>
    <row r="48349" spans="104:111">
      <c r="CZ48349" s="256"/>
      <c r="DG48349" s="256"/>
    </row>
    <row r="48350" spans="104:111">
      <c r="CZ48350" s="256"/>
      <c r="DG48350" s="256"/>
    </row>
    <row r="48351" spans="104:111">
      <c r="CZ48351" s="256"/>
      <c r="DG48351" s="256"/>
    </row>
    <row r="48352" spans="104:111">
      <c r="CZ48352" s="256"/>
      <c r="DG48352" s="256"/>
    </row>
    <row r="48353" spans="104:111">
      <c r="CZ48353" s="256"/>
      <c r="DG48353" s="256"/>
    </row>
    <row r="48354" spans="104:111">
      <c r="CZ48354" s="256"/>
      <c r="DG48354" s="256"/>
    </row>
    <row r="48355" spans="104:111">
      <c r="CZ48355" s="256"/>
      <c r="DG48355" s="256"/>
    </row>
    <row r="48356" spans="104:111">
      <c r="CZ48356" s="256"/>
      <c r="DG48356" s="256"/>
    </row>
    <row r="48357" spans="104:111">
      <c r="CZ48357" s="256"/>
      <c r="DG48357" s="256"/>
    </row>
    <row r="48358" spans="104:111">
      <c r="CZ48358" s="256"/>
      <c r="DG48358" s="256"/>
    </row>
    <row r="48359" spans="104:111">
      <c r="CZ48359" s="256"/>
      <c r="DG48359" s="256"/>
    </row>
    <row r="48360" spans="104:111">
      <c r="CZ48360" s="256"/>
      <c r="DG48360" s="256"/>
    </row>
    <row r="48361" spans="104:111">
      <c r="CZ48361" s="256"/>
      <c r="DG48361" s="256"/>
    </row>
    <row r="48362" spans="104:111">
      <c r="CZ48362" s="256"/>
      <c r="DG48362" s="256"/>
    </row>
    <row r="48363" spans="104:111">
      <c r="CZ48363" s="256"/>
      <c r="DG48363" s="256"/>
    </row>
    <row r="48364" spans="104:111">
      <c r="CZ48364" s="256"/>
      <c r="DG48364" s="256"/>
    </row>
    <row r="48365" spans="104:111">
      <c r="CZ48365" s="256"/>
      <c r="DG48365" s="256"/>
    </row>
    <row r="48366" spans="104:111">
      <c r="CZ48366" s="256"/>
      <c r="DG48366" s="256"/>
    </row>
    <row r="48367" spans="104:111">
      <c r="CZ48367" s="256"/>
      <c r="DG48367" s="256"/>
    </row>
    <row r="48368" spans="104:111">
      <c r="CZ48368" s="256"/>
      <c r="DG48368" s="256"/>
    </row>
    <row r="48369" spans="104:111">
      <c r="CZ48369" s="256"/>
      <c r="DG48369" s="256"/>
    </row>
    <row r="48370" spans="104:111">
      <c r="CZ48370" s="256"/>
      <c r="DG48370" s="256"/>
    </row>
    <row r="48371" spans="104:111">
      <c r="CZ48371" s="256"/>
      <c r="DG48371" s="256"/>
    </row>
    <row r="48372" spans="104:111">
      <c r="CZ48372" s="256"/>
      <c r="DG48372" s="256"/>
    </row>
    <row r="48373" spans="104:111">
      <c r="CZ48373" s="256"/>
      <c r="DG48373" s="256"/>
    </row>
    <row r="48374" spans="104:111">
      <c r="CZ48374" s="256"/>
      <c r="DG48374" s="256"/>
    </row>
    <row r="48375" spans="104:111">
      <c r="CZ48375" s="256"/>
      <c r="DG48375" s="256"/>
    </row>
    <row r="48376" spans="104:111">
      <c r="CZ48376" s="256"/>
      <c r="DG48376" s="256"/>
    </row>
    <row r="48377" spans="104:111">
      <c r="CZ48377" s="256"/>
      <c r="DG48377" s="256"/>
    </row>
    <row r="48378" spans="104:111">
      <c r="CZ48378" s="256"/>
      <c r="DG48378" s="256"/>
    </row>
    <row r="48379" spans="104:111">
      <c r="CZ48379" s="256"/>
      <c r="DG48379" s="256"/>
    </row>
    <row r="48380" spans="104:111">
      <c r="CZ48380" s="256"/>
      <c r="DG48380" s="256"/>
    </row>
    <row r="48381" spans="104:111">
      <c r="CZ48381" s="256"/>
      <c r="DG48381" s="256"/>
    </row>
    <row r="48382" spans="104:111">
      <c r="CZ48382" s="256"/>
      <c r="DG48382" s="256"/>
    </row>
    <row r="48383" spans="104:111">
      <c r="CZ48383" s="256"/>
      <c r="DG48383" s="256"/>
    </row>
    <row r="48384" spans="104:111">
      <c r="CZ48384" s="256"/>
      <c r="DG48384" s="256"/>
    </row>
    <row r="48385" spans="104:111">
      <c r="CZ48385" s="256"/>
      <c r="DG48385" s="256"/>
    </row>
    <row r="48386" spans="104:111">
      <c r="CZ48386" s="256"/>
      <c r="DG48386" s="256"/>
    </row>
    <row r="48387" spans="104:111">
      <c r="CZ48387" s="256"/>
      <c r="DG48387" s="256"/>
    </row>
    <row r="48388" spans="104:111">
      <c r="CZ48388" s="256"/>
      <c r="DG48388" s="256"/>
    </row>
    <row r="48389" spans="104:111">
      <c r="CZ48389" s="256"/>
      <c r="DG48389" s="256"/>
    </row>
    <row r="48390" spans="104:111">
      <c r="CZ48390" s="256"/>
      <c r="DG48390" s="256"/>
    </row>
    <row r="48391" spans="104:111">
      <c r="CZ48391" s="256"/>
      <c r="DG48391" s="256"/>
    </row>
    <row r="48392" spans="104:111">
      <c r="CZ48392" s="256"/>
      <c r="DG48392" s="256"/>
    </row>
    <row r="48393" spans="104:111">
      <c r="CZ48393" s="256"/>
      <c r="DG48393" s="256"/>
    </row>
    <row r="48394" spans="104:111">
      <c r="CZ48394" s="256"/>
      <c r="DG48394" s="256"/>
    </row>
    <row r="48395" spans="104:111">
      <c r="CZ48395" s="256"/>
      <c r="DG48395" s="256"/>
    </row>
    <row r="48396" spans="104:111">
      <c r="CZ48396" s="256"/>
      <c r="DG48396" s="256"/>
    </row>
    <row r="48397" spans="104:111">
      <c r="CZ48397" s="256"/>
      <c r="DG48397" s="256"/>
    </row>
    <row r="48398" spans="104:111">
      <c r="CZ48398" s="256"/>
      <c r="DG48398" s="256"/>
    </row>
    <row r="48399" spans="104:111">
      <c r="CZ48399" s="256"/>
      <c r="DG48399" s="256"/>
    </row>
    <row r="48400" spans="104:111">
      <c r="CZ48400" s="256"/>
      <c r="DG48400" s="256"/>
    </row>
    <row r="48401" spans="104:111">
      <c r="CZ48401" s="256"/>
      <c r="DG48401" s="256"/>
    </row>
    <row r="48402" spans="104:111">
      <c r="CZ48402" s="256"/>
      <c r="DG48402" s="256"/>
    </row>
    <row r="48403" spans="104:111">
      <c r="CZ48403" s="256"/>
      <c r="DG48403" s="256"/>
    </row>
    <row r="48404" spans="104:111">
      <c r="CZ48404" s="256"/>
      <c r="DG48404" s="256"/>
    </row>
    <row r="48405" spans="104:111">
      <c r="CZ48405" s="256"/>
      <c r="DG48405" s="256"/>
    </row>
    <row r="48406" spans="104:111">
      <c r="CZ48406" s="256"/>
      <c r="DG48406" s="256"/>
    </row>
    <row r="48407" spans="104:111">
      <c r="CZ48407" s="256"/>
      <c r="DG48407" s="256"/>
    </row>
    <row r="48408" spans="104:111">
      <c r="CZ48408" s="256"/>
      <c r="DG48408" s="256"/>
    </row>
    <row r="48409" spans="104:111">
      <c r="CZ48409" s="256"/>
      <c r="DG48409" s="256"/>
    </row>
    <row r="48410" spans="104:111">
      <c r="CZ48410" s="256"/>
      <c r="DG48410" s="256"/>
    </row>
    <row r="48411" spans="104:111">
      <c r="CZ48411" s="256"/>
      <c r="DG48411" s="256"/>
    </row>
    <row r="48412" spans="104:111">
      <c r="CZ48412" s="256"/>
      <c r="DG48412" s="256"/>
    </row>
    <row r="48413" spans="104:111">
      <c r="CZ48413" s="256"/>
      <c r="DG48413" s="256"/>
    </row>
    <row r="48414" spans="104:111">
      <c r="CZ48414" s="256"/>
      <c r="DG48414" s="256"/>
    </row>
    <row r="48415" spans="104:111">
      <c r="CZ48415" s="256"/>
      <c r="DG48415" s="256"/>
    </row>
    <row r="48416" spans="104:111">
      <c r="CZ48416" s="256"/>
      <c r="DG48416" s="256"/>
    </row>
    <row r="48417" spans="104:111">
      <c r="CZ48417" s="256"/>
      <c r="DG48417" s="256"/>
    </row>
    <row r="48418" spans="104:111">
      <c r="CZ48418" s="256"/>
      <c r="DG48418" s="256"/>
    </row>
    <row r="48419" spans="104:111">
      <c r="CZ48419" s="256"/>
      <c r="DG48419" s="256"/>
    </row>
    <row r="48420" spans="104:111">
      <c r="CZ48420" s="256"/>
      <c r="DG48420" s="256"/>
    </row>
    <row r="48421" spans="104:111">
      <c r="CZ48421" s="256"/>
      <c r="DG48421" s="256"/>
    </row>
    <row r="48422" spans="104:111">
      <c r="CZ48422" s="256"/>
      <c r="DG48422" s="256"/>
    </row>
    <row r="48423" spans="104:111">
      <c r="CZ48423" s="256"/>
      <c r="DG48423" s="256"/>
    </row>
    <row r="48424" spans="104:111">
      <c r="CZ48424" s="256"/>
      <c r="DG48424" s="256"/>
    </row>
    <row r="48425" spans="104:111">
      <c r="CZ48425" s="256"/>
      <c r="DG48425" s="256"/>
    </row>
    <row r="48426" spans="104:111">
      <c r="CZ48426" s="256"/>
      <c r="DG48426" s="256"/>
    </row>
    <row r="48427" spans="104:111">
      <c r="CZ48427" s="256"/>
      <c r="DG48427" s="256"/>
    </row>
    <row r="48428" spans="104:111">
      <c r="CZ48428" s="256"/>
      <c r="DG48428" s="256"/>
    </row>
    <row r="48429" spans="104:111">
      <c r="CZ48429" s="256"/>
      <c r="DG48429" s="256"/>
    </row>
    <row r="48430" spans="104:111">
      <c r="CZ48430" s="256"/>
      <c r="DG48430" s="256"/>
    </row>
    <row r="48431" spans="104:111">
      <c r="CZ48431" s="256"/>
      <c r="DG48431" s="256"/>
    </row>
    <row r="48432" spans="104:111">
      <c r="CZ48432" s="256"/>
      <c r="DG48432" s="256"/>
    </row>
    <row r="48433" spans="104:111">
      <c r="CZ48433" s="256"/>
      <c r="DG48433" s="256"/>
    </row>
    <row r="48434" spans="104:111">
      <c r="CZ48434" s="256"/>
      <c r="DG48434" s="256"/>
    </row>
    <row r="48435" spans="104:111">
      <c r="CZ48435" s="256"/>
      <c r="DG48435" s="256"/>
    </row>
    <row r="48436" spans="104:111">
      <c r="CZ48436" s="256"/>
      <c r="DG48436" s="256"/>
    </row>
    <row r="48437" spans="104:111">
      <c r="CZ48437" s="256"/>
      <c r="DG48437" s="256"/>
    </row>
    <row r="48438" spans="104:111">
      <c r="CZ48438" s="256"/>
      <c r="DG48438" s="256"/>
    </row>
    <row r="48439" spans="104:111">
      <c r="CZ48439" s="256"/>
      <c r="DG48439" s="256"/>
    </row>
    <row r="48440" spans="104:111">
      <c r="CZ48440" s="256"/>
      <c r="DG48440" s="256"/>
    </row>
    <row r="48441" spans="104:111">
      <c r="CZ48441" s="256"/>
      <c r="DG48441" s="256"/>
    </row>
    <row r="48442" spans="104:111">
      <c r="CZ48442" s="256"/>
      <c r="DG48442" s="256"/>
    </row>
    <row r="48443" spans="104:111">
      <c r="CZ48443" s="256"/>
      <c r="DG48443" s="256"/>
    </row>
    <row r="48444" spans="104:111">
      <c r="CZ48444" s="256"/>
      <c r="DG48444" s="256"/>
    </row>
    <row r="48445" spans="104:111">
      <c r="CZ48445" s="256"/>
      <c r="DG48445" s="256"/>
    </row>
    <row r="48446" spans="104:111">
      <c r="CZ48446" s="256"/>
      <c r="DG48446" s="256"/>
    </row>
    <row r="48447" spans="104:111">
      <c r="CZ48447" s="256"/>
      <c r="DG48447" s="256"/>
    </row>
    <row r="48448" spans="104:111">
      <c r="CZ48448" s="256"/>
      <c r="DG48448" s="256"/>
    </row>
    <row r="48449" spans="104:111">
      <c r="CZ48449" s="256"/>
      <c r="DG48449" s="256"/>
    </row>
    <row r="48450" spans="104:111">
      <c r="CZ48450" s="256"/>
      <c r="DG48450" s="256"/>
    </row>
    <row r="48451" spans="104:111">
      <c r="CZ48451" s="256"/>
      <c r="DG48451" s="256"/>
    </row>
    <row r="48452" spans="104:111">
      <c r="CZ48452" s="256"/>
      <c r="DG48452" s="256"/>
    </row>
    <row r="48453" spans="104:111">
      <c r="CZ48453" s="256"/>
      <c r="DG48453" s="256"/>
    </row>
    <row r="48454" spans="104:111">
      <c r="CZ48454" s="256"/>
      <c r="DG48454" s="256"/>
    </row>
    <row r="48455" spans="104:111">
      <c r="CZ48455" s="256"/>
      <c r="DG48455" s="256"/>
    </row>
    <row r="48456" spans="104:111">
      <c r="CZ48456" s="256"/>
      <c r="DG48456" s="256"/>
    </row>
    <row r="48457" spans="104:111">
      <c r="CZ48457" s="256"/>
      <c r="DG48457" s="256"/>
    </row>
    <row r="48458" spans="104:111">
      <c r="CZ48458" s="256"/>
      <c r="DG48458" s="256"/>
    </row>
    <row r="48459" spans="104:111">
      <c r="CZ48459" s="256"/>
      <c r="DG48459" s="256"/>
    </row>
    <row r="48460" spans="104:111">
      <c r="CZ48460" s="256"/>
      <c r="DG48460" s="256"/>
    </row>
    <row r="48461" spans="104:111">
      <c r="CZ48461" s="256"/>
      <c r="DG48461" s="256"/>
    </row>
    <row r="48462" spans="104:111">
      <c r="CZ48462" s="256"/>
      <c r="DG48462" s="256"/>
    </row>
    <row r="48463" spans="104:111">
      <c r="CZ48463" s="256"/>
      <c r="DG48463" s="256"/>
    </row>
    <row r="48464" spans="104:111">
      <c r="CZ48464" s="256"/>
      <c r="DG48464" s="256"/>
    </row>
    <row r="48465" spans="104:111">
      <c r="CZ48465" s="256"/>
      <c r="DG48465" s="256"/>
    </row>
    <row r="48466" spans="104:111">
      <c r="CZ48466" s="256"/>
      <c r="DG48466" s="256"/>
    </row>
    <row r="48467" spans="104:111">
      <c r="CZ48467" s="256"/>
      <c r="DG48467" s="256"/>
    </row>
    <row r="48468" spans="104:111">
      <c r="CZ48468" s="256"/>
      <c r="DG48468" s="256"/>
    </row>
    <row r="48469" spans="104:111">
      <c r="CZ48469" s="256"/>
      <c r="DG48469" s="256"/>
    </row>
    <row r="48470" spans="104:111">
      <c r="CZ48470" s="256"/>
      <c r="DG48470" s="256"/>
    </row>
    <row r="48471" spans="104:111">
      <c r="CZ48471" s="256"/>
      <c r="DG48471" s="256"/>
    </row>
    <row r="48472" spans="104:111">
      <c r="CZ48472" s="256"/>
      <c r="DG48472" s="256"/>
    </row>
    <row r="48473" spans="104:111">
      <c r="CZ48473" s="256"/>
      <c r="DG48473" s="256"/>
    </row>
    <row r="48474" spans="104:111">
      <c r="CZ48474" s="256"/>
      <c r="DG48474" s="256"/>
    </row>
    <row r="48475" spans="104:111">
      <c r="CZ48475" s="256"/>
      <c r="DG48475" s="256"/>
    </row>
    <row r="48476" spans="104:111">
      <c r="CZ48476" s="256"/>
      <c r="DG48476" s="256"/>
    </row>
    <row r="48477" spans="104:111">
      <c r="CZ48477" s="256"/>
      <c r="DG48477" s="256"/>
    </row>
    <row r="48478" spans="104:111">
      <c r="CZ48478" s="256"/>
      <c r="DG48478" s="256"/>
    </row>
    <row r="48479" spans="104:111">
      <c r="CZ48479" s="256"/>
      <c r="DG48479" s="256"/>
    </row>
    <row r="48480" spans="104:111">
      <c r="CZ48480" s="256"/>
      <c r="DG48480" s="256"/>
    </row>
    <row r="48481" spans="104:111">
      <c r="CZ48481" s="256"/>
      <c r="DG48481" s="256"/>
    </row>
    <row r="48482" spans="104:111">
      <c r="CZ48482" s="256"/>
      <c r="DG48482" s="256"/>
    </row>
    <row r="48483" spans="104:111">
      <c r="CZ48483" s="256"/>
      <c r="DG48483" s="256"/>
    </row>
    <row r="48484" spans="104:111">
      <c r="CZ48484" s="256"/>
      <c r="DG48484" s="256"/>
    </row>
    <row r="48485" spans="104:111">
      <c r="CZ48485" s="256"/>
      <c r="DG48485" s="256"/>
    </row>
    <row r="48486" spans="104:111">
      <c r="CZ48486" s="256"/>
      <c r="DG48486" s="256"/>
    </row>
    <row r="48487" spans="104:111">
      <c r="CZ48487" s="256"/>
      <c r="DG48487" s="256"/>
    </row>
    <row r="48488" spans="104:111">
      <c r="CZ48488" s="256"/>
      <c r="DG48488" s="256"/>
    </row>
    <row r="48489" spans="104:111">
      <c r="CZ48489" s="256"/>
      <c r="DG48489" s="256"/>
    </row>
    <row r="48490" spans="104:111">
      <c r="CZ48490" s="256"/>
      <c r="DG48490" s="256"/>
    </row>
    <row r="48491" spans="104:111">
      <c r="CZ48491" s="256"/>
      <c r="DG48491" s="256"/>
    </row>
    <row r="48492" spans="104:111">
      <c r="CZ48492" s="256"/>
      <c r="DG48492" s="256"/>
    </row>
    <row r="48493" spans="104:111">
      <c r="CZ48493" s="256"/>
      <c r="DG48493" s="256"/>
    </row>
    <row r="48494" spans="104:111">
      <c r="CZ48494" s="256"/>
      <c r="DG48494" s="256"/>
    </row>
    <row r="48495" spans="104:111">
      <c r="CZ48495" s="256"/>
      <c r="DG48495" s="256"/>
    </row>
    <row r="48496" spans="104:111">
      <c r="CZ48496" s="256"/>
      <c r="DG48496" s="256"/>
    </row>
    <row r="48497" spans="104:111">
      <c r="CZ48497" s="256"/>
      <c r="DG48497" s="256"/>
    </row>
    <row r="48498" spans="104:111">
      <c r="CZ48498" s="256"/>
      <c r="DG48498" s="256"/>
    </row>
    <row r="48499" spans="104:111">
      <c r="CZ48499" s="256"/>
      <c r="DG48499" s="256"/>
    </row>
    <row r="48500" spans="104:111">
      <c r="CZ48500" s="256"/>
      <c r="DG48500" s="256"/>
    </row>
    <row r="48501" spans="104:111">
      <c r="CZ48501" s="256"/>
      <c r="DG48501" s="256"/>
    </row>
    <row r="48502" spans="104:111">
      <c r="CZ48502" s="256"/>
      <c r="DG48502" s="256"/>
    </row>
    <row r="48503" spans="104:111">
      <c r="CZ48503" s="256"/>
      <c r="DG48503" s="256"/>
    </row>
    <row r="48504" spans="104:111">
      <c r="CZ48504" s="256"/>
      <c r="DG48504" s="256"/>
    </row>
    <row r="48505" spans="104:111">
      <c r="CZ48505" s="256"/>
      <c r="DG48505" s="256"/>
    </row>
    <row r="48506" spans="104:111">
      <c r="CZ48506" s="256"/>
      <c r="DG48506" s="256"/>
    </row>
    <row r="48507" spans="104:111">
      <c r="CZ48507" s="256"/>
      <c r="DG48507" s="256"/>
    </row>
    <row r="48508" spans="104:111">
      <c r="CZ48508" s="256"/>
      <c r="DG48508" s="256"/>
    </row>
    <row r="48509" spans="104:111">
      <c r="CZ48509" s="256"/>
      <c r="DG48509" s="256"/>
    </row>
    <row r="48510" spans="104:111">
      <c r="CZ48510" s="256"/>
      <c r="DG48510" s="256"/>
    </row>
    <row r="48511" spans="104:111">
      <c r="CZ48511" s="256"/>
      <c r="DG48511" s="256"/>
    </row>
    <row r="48512" spans="104:111">
      <c r="CZ48512" s="256"/>
      <c r="DG48512" s="256"/>
    </row>
    <row r="48513" spans="104:111">
      <c r="CZ48513" s="256"/>
      <c r="DG48513" s="256"/>
    </row>
    <row r="48514" spans="104:111">
      <c r="CZ48514" s="256"/>
      <c r="DG48514" s="256"/>
    </row>
    <row r="48515" spans="104:111">
      <c r="CZ48515" s="256"/>
      <c r="DG48515" s="256"/>
    </row>
    <row r="48516" spans="104:111">
      <c r="CZ48516" s="256"/>
      <c r="DG48516" s="256"/>
    </row>
    <row r="48517" spans="104:111">
      <c r="CZ48517" s="256"/>
      <c r="DG48517" s="256"/>
    </row>
    <row r="48518" spans="104:111">
      <c r="CZ48518" s="256"/>
      <c r="DG48518" s="256"/>
    </row>
    <row r="48519" spans="104:111">
      <c r="CZ48519" s="256"/>
      <c r="DG48519" s="256"/>
    </row>
    <row r="48520" spans="104:111">
      <c r="CZ48520" s="256"/>
      <c r="DG48520" s="256"/>
    </row>
    <row r="48521" spans="104:111">
      <c r="CZ48521" s="256"/>
      <c r="DG48521" s="256"/>
    </row>
    <row r="48522" spans="104:111">
      <c r="CZ48522" s="256"/>
      <c r="DG48522" s="256"/>
    </row>
    <row r="48523" spans="104:111">
      <c r="CZ48523" s="256"/>
      <c r="DG48523" s="256"/>
    </row>
    <row r="48524" spans="104:111">
      <c r="CZ48524" s="256"/>
      <c r="DG48524" s="256"/>
    </row>
    <row r="48525" spans="104:111">
      <c r="CZ48525" s="256"/>
      <c r="DG48525" s="256"/>
    </row>
    <row r="48526" spans="104:111">
      <c r="CZ48526" s="256"/>
      <c r="DG48526" s="256"/>
    </row>
    <row r="48527" spans="104:111">
      <c r="CZ48527" s="256"/>
      <c r="DG48527" s="256"/>
    </row>
    <row r="48528" spans="104:111">
      <c r="CZ48528" s="256"/>
      <c r="DG48528" s="256"/>
    </row>
    <row r="48529" spans="104:111">
      <c r="CZ48529" s="256"/>
      <c r="DG48529" s="256"/>
    </row>
    <row r="48530" spans="104:111">
      <c r="CZ48530" s="256"/>
      <c r="DG48530" s="256"/>
    </row>
    <row r="48531" spans="104:111">
      <c r="CZ48531" s="256"/>
      <c r="DG48531" s="256"/>
    </row>
    <row r="48532" spans="104:111">
      <c r="CZ48532" s="256"/>
      <c r="DG48532" s="256"/>
    </row>
    <row r="48533" spans="104:111">
      <c r="CZ48533" s="256"/>
      <c r="DG48533" s="256"/>
    </row>
    <row r="48534" spans="104:111">
      <c r="CZ48534" s="256"/>
      <c r="DG48534" s="256"/>
    </row>
    <row r="48535" spans="104:111">
      <c r="CZ48535" s="256"/>
      <c r="DG48535" s="256"/>
    </row>
    <row r="48536" spans="104:111">
      <c r="CZ48536" s="256"/>
      <c r="DG48536" s="256"/>
    </row>
    <row r="48537" spans="104:111">
      <c r="CZ48537" s="256"/>
      <c r="DG48537" s="256"/>
    </row>
    <row r="48538" spans="104:111">
      <c r="CZ48538" s="256"/>
      <c r="DG48538" s="256"/>
    </row>
    <row r="48539" spans="104:111">
      <c r="CZ48539" s="256"/>
      <c r="DG48539" s="256"/>
    </row>
    <row r="48540" spans="104:111">
      <c r="CZ48540" s="256"/>
      <c r="DG48540" s="256"/>
    </row>
    <row r="48541" spans="104:111">
      <c r="CZ48541" s="256"/>
      <c r="DG48541" s="256"/>
    </row>
    <row r="48542" spans="104:111">
      <c r="CZ48542" s="256"/>
      <c r="DG48542" s="256"/>
    </row>
    <row r="48543" spans="104:111">
      <c r="CZ48543" s="256"/>
      <c r="DG48543" s="256"/>
    </row>
    <row r="48544" spans="104:111">
      <c r="CZ48544" s="256"/>
      <c r="DG48544" s="256"/>
    </row>
    <row r="48545" spans="104:111">
      <c r="CZ48545" s="256"/>
      <c r="DG48545" s="256"/>
    </row>
    <row r="48546" spans="104:111">
      <c r="CZ48546" s="256"/>
      <c r="DG48546" s="256"/>
    </row>
    <row r="48547" spans="104:111">
      <c r="CZ48547" s="256"/>
      <c r="DG48547" s="256"/>
    </row>
    <row r="48548" spans="104:111">
      <c r="CZ48548" s="256"/>
      <c r="DG48548" s="256"/>
    </row>
    <row r="48549" spans="104:111">
      <c r="CZ48549" s="256"/>
      <c r="DG48549" s="256"/>
    </row>
    <row r="48550" spans="104:111">
      <c r="CZ48550" s="256"/>
      <c r="DG48550" s="256"/>
    </row>
    <row r="48551" spans="104:111">
      <c r="CZ48551" s="256"/>
      <c r="DG48551" s="256"/>
    </row>
    <row r="48552" spans="104:111">
      <c r="CZ48552" s="256"/>
      <c r="DG48552" s="256"/>
    </row>
    <row r="48553" spans="104:111">
      <c r="CZ48553" s="256"/>
      <c r="DG48553" s="256"/>
    </row>
    <row r="48554" spans="104:111">
      <c r="CZ48554" s="256"/>
      <c r="DG48554" s="256"/>
    </row>
    <row r="48555" spans="104:111">
      <c r="CZ48555" s="256"/>
      <c r="DG48555" s="256"/>
    </row>
    <row r="48556" spans="104:111">
      <c r="CZ48556" s="256"/>
      <c r="DG48556" s="256"/>
    </row>
    <row r="48557" spans="104:111">
      <c r="CZ48557" s="256"/>
      <c r="DG48557" s="256"/>
    </row>
    <row r="48558" spans="104:111">
      <c r="CZ48558" s="256"/>
      <c r="DG48558" s="256"/>
    </row>
    <row r="48559" spans="104:111">
      <c r="CZ48559" s="256"/>
      <c r="DG48559" s="256"/>
    </row>
    <row r="48560" spans="104:111">
      <c r="CZ48560" s="256"/>
      <c r="DG48560" s="256"/>
    </row>
    <row r="48561" spans="104:111">
      <c r="CZ48561" s="256"/>
      <c r="DG48561" s="256"/>
    </row>
    <row r="48562" spans="104:111">
      <c r="CZ48562" s="256"/>
      <c r="DG48562" s="256"/>
    </row>
    <row r="48563" spans="104:111">
      <c r="CZ48563" s="256"/>
      <c r="DG48563" s="256"/>
    </row>
    <row r="48564" spans="104:111">
      <c r="CZ48564" s="256"/>
      <c r="DG48564" s="256"/>
    </row>
    <row r="48565" spans="104:111">
      <c r="CZ48565" s="256"/>
      <c r="DG48565" s="256"/>
    </row>
    <row r="48566" spans="104:111">
      <c r="CZ48566" s="256"/>
      <c r="DG48566" s="256"/>
    </row>
    <row r="48567" spans="104:111">
      <c r="CZ48567" s="256"/>
      <c r="DG48567" s="256"/>
    </row>
    <row r="48568" spans="104:111">
      <c r="CZ48568" s="256"/>
      <c r="DG48568" s="256"/>
    </row>
    <row r="48569" spans="104:111">
      <c r="CZ48569" s="256"/>
      <c r="DG48569" s="256"/>
    </row>
    <row r="48570" spans="104:111">
      <c r="CZ48570" s="256"/>
      <c r="DG48570" s="256"/>
    </row>
    <row r="48571" spans="104:111">
      <c r="CZ48571" s="256"/>
      <c r="DG48571" s="256"/>
    </row>
    <row r="48572" spans="104:111">
      <c r="CZ48572" s="256"/>
      <c r="DG48572" s="256"/>
    </row>
    <row r="48573" spans="104:111">
      <c r="CZ48573" s="256"/>
      <c r="DG48573" s="256"/>
    </row>
    <row r="48574" spans="104:111">
      <c r="CZ48574" s="256"/>
      <c r="DG48574" s="256"/>
    </row>
    <row r="48575" spans="104:111">
      <c r="CZ48575" s="256"/>
      <c r="DG48575" s="256"/>
    </row>
    <row r="48576" spans="104:111">
      <c r="CZ48576" s="256"/>
      <c r="DG48576" s="256"/>
    </row>
    <row r="48577" spans="104:111">
      <c r="CZ48577" s="256"/>
      <c r="DG48577" s="256"/>
    </row>
    <row r="48578" spans="104:111">
      <c r="CZ48578" s="256"/>
      <c r="DG48578" s="256"/>
    </row>
    <row r="48579" spans="104:111">
      <c r="CZ48579" s="256"/>
      <c r="DG48579" s="256"/>
    </row>
    <row r="48580" spans="104:111">
      <c r="CZ48580" s="256"/>
      <c r="DG48580" s="256"/>
    </row>
    <row r="48581" spans="104:111">
      <c r="CZ48581" s="256"/>
      <c r="DG48581" s="256"/>
    </row>
    <row r="48582" spans="104:111">
      <c r="CZ48582" s="256"/>
      <c r="DG48582" s="256"/>
    </row>
    <row r="48583" spans="104:111">
      <c r="CZ48583" s="256"/>
      <c r="DG48583" s="256"/>
    </row>
    <row r="48584" spans="104:111">
      <c r="CZ48584" s="256"/>
      <c r="DG48584" s="256"/>
    </row>
    <row r="48585" spans="104:111">
      <c r="CZ48585" s="256"/>
      <c r="DG48585" s="256"/>
    </row>
    <row r="48586" spans="104:111">
      <c r="CZ48586" s="256"/>
      <c r="DG48586" s="256"/>
    </row>
    <row r="48587" spans="104:111">
      <c r="CZ48587" s="256"/>
      <c r="DG48587" s="256"/>
    </row>
    <row r="48588" spans="104:111">
      <c r="CZ48588" s="256"/>
      <c r="DG48588" s="256"/>
    </row>
    <row r="48589" spans="104:111">
      <c r="CZ48589" s="256"/>
      <c r="DG48589" s="256"/>
    </row>
    <row r="48590" spans="104:111">
      <c r="CZ48590" s="256"/>
      <c r="DG48590" s="256"/>
    </row>
    <row r="48591" spans="104:111">
      <c r="CZ48591" s="256"/>
      <c r="DG48591" s="256"/>
    </row>
    <row r="48592" spans="104:111">
      <c r="CZ48592" s="256"/>
      <c r="DG48592" s="256"/>
    </row>
    <row r="48593" spans="104:111">
      <c r="CZ48593" s="256"/>
      <c r="DG48593" s="256"/>
    </row>
    <row r="48594" spans="104:111">
      <c r="CZ48594" s="256"/>
      <c r="DG48594" s="256"/>
    </row>
    <row r="48595" spans="104:111">
      <c r="CZ48595" s="256"/>
      <c r="DG48595" s="256"/>
    </row>
    <row r="48596" spans="104:111">
      <c r="CZ48596" s="256"/>
      <c r="DG48596" s="256"/>
    </row>
    <row r="48597" spans="104:111">
      <c r="CZ48597" s="256"/>
      <c r="DG48597" s="256"/>
    </row>
    <row r="48598" spans="104:111">
      <c r="CZ48598" s="256"/>
      <c r="DG48598" s="256"/>
    </row>
    <row r="48599" spans="104:111">
      <c r="CZ48599" s="256"/>
      <c r="DG48599" s="256"/>
    </row>
    <row r="48600" spans="104:111">
      <c r="CZ48600" s="256"/>
      <c r="DG48600" s="256"/>
    </row>
    <row r="48601" spans="104:111">
      <c r="CZ48601" s="256"/>
      <c r="DG48601" s="256"/>
    </row>
    <row r="48602" spans="104:111">
      <c r="CZ48602" s="256"/>
      <c r="DG48602" s="256"/>
    </row>
    <row r="48603" spans="104:111">
      <c r="CZ48603" s="256"/>
      <c r="DG48603" s="256"/>
    </row>
    <row r="48604" spans="104:111">
      <c r="CZ48604" s="256"/>
      <c r="DG48604" s="256"/>
    </row>
    <row r="48605" spans="104:111">
      <c r="CZ48605" s="256"/>
      <c r="DG48605" s="256"/>
    </row>
    <row r="48606" spans="104:111">
      <c r="CZ48606" s="256"/>
      <c r="DG48606" s="256"/>
    </row>
    <row r="48607" spans="104:111">
      <c r="CZ48607" s="256"/>
      <c r="DG48607" s="256"/>
    </row>
    <row r="48608" spans="104:111">
      <c r="CZ48608" s="256"/>
      <c r="DG48608" s="256"/>
    </row>
    <row r="48609" spans="104:111">
      <c r="CZ48609" s="256"/>
      <c r="DG48609" s="256"/>
    </row>
    <row r="48610" spans="104:111">
      <c r="CZ48610" s="256"/>
      <c r="DG48610" s="256"/>
    </row>
    <row r="48611" spans="104:111">
      <c r="CZ48611" s="256"/>
      <c r="DG48611" s="256"/>
    </row>
    <row r="48612" spans="104:111">
      <c r="CZ48612" s="256"/>
      <c r="DG48612" s="256"/>
    </row>
    <row r="48613" spans="104:111">
      <c r="CZ48613" s="256"/>
      <c r="DG48613" s="256"/>
    </row>
    <row r="48614" spans="104:111">
      <c r="CZ48614" s="256"/>
      <c r="DG48614" s="256"/>
    </row>
    <row r="48615" spans="104:111">
      <c r="CZ48615" s="256"/>
      <c r="DG48615" s="256"/>
    </row>
    <row r="48616" spans="104:111">
      <c r="CZ48616" s="256"/>
      <c r="DG48616" s="256"/>
    </row>
    <row r="48617" spans="104:111">
      <c r="CZ48617" s="256"/>
      <c r="DG48617" s="256"/>
    </row>
    <row r="48618" spans="104:111">
      <c r="CZ48618" s="256"/>
      <c r="DG48618" s="256"/>
    </row>
    <row r="48619" spans="104:111">
      <c r="CZ48619" s="256"/>
      <c r="DG48619" s="256"/>
    </row>
    <row r="48620" spans="104:111">
      <c r="CZ48620" s="256"/>
      <c r="DG48620" s="256"/>
    </row>
    <row r="48621" spans="104:111">
      <c r="CZ48621" s="256"/>
      <c r="DG48621" s="256"/>
    </row>
    <row r="48622" spans="104:111">
      <c r="CZ48622" s="256"/>
      <c r="DG48622" s="256"/>
    </row>
    <row r="48623" spans="104:111">
      <c r="CZ48623" s="256"/>
      <c r="DG48623" s="256"/>
    </row>
    <row r="48624" spans="104:111">
      <c r="CZ48624" s="256"/>
      <c r="DG48624" s="256"/>
    </row>
    <row r="48625" spans="104:111">
      <c r="CZ48625" s="256"/>
      <c r="DG48625" s="256"/>
    </row>
    <row r="48626" spans="104:111">
      <c r="CZ48626" s="256"/>
      <c r="DG48626" s="256"/>
    </row>
    <row r="48627" spans="104:111">
      <c r="CZ48627" s="256"/>
      <c r="DG48627" s="256"/>
    </row>
    <row r="48628" spans="104:111">
      <c r="CZ48628" s="256"/>
      <c r="DG48628" s="256"/>
    </row>
    <row r="48629" spans="104:111">
      <c r="CZ48629" s="256"/>
      <c r="DG48629" s="256"/>
    </row>
    <row r="48630" spans="104:111">
      <c r="CZ48630" s="256"/>
      <c r="DG48630" s="256"/>
    </row>
    <row r="48631" spans="104:111">
      <c r="CZ48631" s="256"/>
      <c r="DG48631" s="256"/>
    </row>
    <row r="48632" spans="104:111">
      <c r="CZ48632" s="256"/>
      <c r="DG48632" s="256"/>
    </row>
    <row r="48633" spans="104:111">
      <c r="CZ48633" s="256"/>
      <c r="DG48633" s="256"/>
    </row>
    <row r="48634" spans="104:111">
      <c r="CZ48634" s="256"/>
      <c r="DG48634" s="256"/>
    </row>
    <row r="48635" spans="104:111">
      <c r="CZ48635" s="256"/>
      <c r="DG48635" s="256"/>
    </row>
    <row r="48636" spans="104:111">
      <c r="CZ48636" s="256"/>
      <c r="DG48636" s="256"/>
    </row>
    <row r="48637" spans="104:111">
      <c r="CZ48637" s="256"/>
      <c r="DG48637" s="256"/>
    </row>
    <row r="48638" spans="104:111">
      <c r="CZ48638" s="256"/>
      <c r="DG48638" s="256"/>
    </row>
    <row r="48639" spans="104:111">
      <c r="CZ48639" s="256"/>
      <c r="DG48639" s="256"/>
    </row>
    <row r="48640" spans="104:111">
      <c r="CZ48640" s="256"/>
      <c r="DG48640" s="256"/>
    </row>
    <row r="48641" spans="104:111">
      <c r="CZ48641" s="256"/>
      <c r="DG48641" s="256"/>
    </row>
    <row r="48642" spans="104:111">
      <c r="CZ48642" s="256"/>
      <c r="DG48642" s="256"/>
    </row>
    <row r="48643" spans="104:111">
      <c r="CZ48643" s="256"/>
      <c r="DG48643" s="256"/>
    </row>
    <row r="48644" spans="104:111">
      <c r="CZ48644" s="256"/>
      <c r="DG48644" s="256"/>
    </row>
    <row r="48645" spans="104:111">
      <c r="CZ48645" s="256"/>
      <c r="DG48645" s="256"/>
    </row>
    <row r="48646" spans="104:111">
      <c r="CZ48646" s="256"/>
      <c r="DG48646" s="256"/>
    </row>
    <row r="48647" spans="104:111">
      <c r="CZ48647" s="256"/>
      <c r="DG48647" s="256"/>
    </row>
    <row r="48648" spans="104:111">
      <c r="CZ48648" s="256"/>
      <c r="DG48648" s="256"/>
    </row>
    <row r="48649" spans="104:111">
      <c r="CZ48649" s="256"/>
      <c r="DG48649" s="256"/>
    </row>
    <row r="48650" spans="104:111">
      <c r="CZ48650" s="256"/>
      <c r="DG48650" s="256"/>
    </row>
    <row r="48651" spans="104:111">
      <c r="CZ48651" s="256"/>
      <c r="DG48651" s="256"/>
    </row>
    <row r="48652" spans="104:111">
      <c r="CZ48652" s="256"/>
      <c r="DG48652" s="256"/>
    </row>
    <row r="48653" spans="104:111">
      <c r="CZ48653" s="256"/>
      <c r="DG48653" s="256"/>
    </row>
    <row r="48654" spans="104:111">
      <c r="CZ48654" s="256"/>
      <c r="DG48654" s="256"/>
    </row>
    <row r="48655" spans="104:111">
      <c r="CZ48655" s="256"/>
      <c r="DG48655" s="256"/>
    </row>
    <row r="48656" spans="104:111">
      <c r="CZ48656" s="256"/>
      <c r="DG48656" s="256"/>
    </row>
    <row r="48657" spans="104:111">
      <c r="CZ48657" s="256"/>
      <c r="DG48657" s="256"/>
    </row>
    <row r="48658" spans="104:111">
      <c r="CZ48658" s="256"/>
      <c r="DG48658" s="256"/>
    </row>
    <row r="48659" spans="104:111">
      <c r="CZ48659" s="256"/>
      <c r="DG48659" s="256"/>
    </row>
    <row r="48660" spans="104:111">
      <c r="CZ48660" s="256"/>
      <c r="DG48660" s="256"/>
    </row>
    <row r="48661" spans="104:111">
      <c r="CZ48661" s="256"/>
      <c r="DG48661" s="256"/>
    </row>
    <row r="48662" spans="104:111">
      <c r="CZ48662" s="256"/>
      <c r="DG48662" s="256"/>
    </row>
    <row r="48663" spans="104:111">
      <c r="CZ48663" s="256"/>
      <c r="DG48663" s="256"/>
    </row>
    <row r="48664" spans="104:111">
      <c r="CZ48664" s="256"/>
      <c r="DG48664" s="256"/>
    </row>
    <row r="48665" spans="104:111">
      <c r="CZ48665" s="256"/>
      <c r="DG48665" s="256"/>
    </row>
    <row r="48666" spans="104:111">
      <c r="CZ48666" s="256"/>
      <c r="DG48666" s="256"/>
    </row>
    <row r="48667" spans="104:111">
      <c r="CZ48667" s="256"/>
      <c r="DG48667" s="256"/>
    </row>
    <row r="48668" spans="104:111">
      <c r="CZ48668" s="256"/>
      <c r="DG48668" s="256"/>
    </row>
    <row r="48669" spans="104:111">
      <c r="CZ48669" s="256"/>
      <c r="DG48669" s="256"/>
    </row>
    <row r="48670" spans="104:111">
      <c r="CZ48670" s="256"/>
      <c r="DG48670" s="256"/>
    </row>
    <row r="48671" spans="104:111">
      <c r="CZ48671" s="256"/>
      <c r="DG48671" s="256"/>
    </row>
    <row r="48672" spans="104:111">
      <c r="CZ48672" s="256"/>
      <c r="DG48672" s="256"/>
    </row>
    <row r="48673" spans="104:111">
      <c r="CZ48673" s="256"/>
      <c r="DG48673" s="256"/>
    </row>
    <row r="48674" spans="104:111">
      <c r="CZ48674" s="256"/>
      <c r="DG48674" s="256"/>
    </row>
    <row r="48675" spans="104:111">
      <c r="CZ48675" s="256"/>
      <c r="DG48675" s="256"/>
    </row>
    <row r="48676" spans="104:111">
      <c r="CZ48676" s="256"/>
      <c r="DG48676" s="256"/>
    </row>
    <row r="48677" spans="104:111">
      <c r="CZ48677" s="256"/>
      <c r="DG48677" s="256"/>
    </row>
    <row r="48678" spans="104:111">
      <c r="CZ48678" s="256"/>
      <c r="DG48678" s="256"/>
    </row>
    <row r="48679" spans="104:111">
      <c r="CZ48679" s="256"/>
      <c r="DG48679" s="256"/>
    </row>
    <row r="48680" spans="104:111">
      <c r="CZ48680" s="256"/>
      <c r="DG48680" s="256"/>
    </row>
    <row r="48681" spans="104:111">
      <c r="CZ48681" s="256"/>
      <c r="DG48681" s="256"/>
    </row>
    <row r="48682" spans="104:111">
      <c r="CZ48682" s="256"/>
      <c r="DG48682" s="256"/>
    </row>
    <row r="48683" spans="104:111">
      <c r="CZ48683" s="256"/>
      <c r="DG48683" s="256"/>
    </row>
    <row r="48684" spans="104:111">
      <c r="CZ48684" s="256"/>
      <c r="DG48684" s="256"/>
    </row>
    <row r="48685" spans="104:111">
      <c r="CZ48685" s="256"/>
      <c r="DG48685" s="256"/>
    </row>
    <row r="48686" spans="104:111">
      <c r="CZ48686" s="256"/>
      <c r="DG48686" s="256"/>
    </row>
    <row r="48687" spans="104:111">
      <c r="CZ48687" s="256"/>
      <c r="DG48687" s="256"/>
    </row>
    <row r="48688" spans="104:111">
      <c r="CZ48688" s="256"/>
      <c r="DG48688" s="256"/>
    </row>
    <row r="48689" spans="104:111">
      <c r="CZ48689" s="256"/>
      <c r="DG48689" s="256"/>
    </row>
    <row r="48690" spans="104:111">
      <c r="CZ48690" s="256"/>
      <c r="DG48690" s="256"/>
    </row>
    <row r="48691" spans="104:111">
      <c r="CZ48691" s="256"/>
      <c r="DG48691" s="256"/>
    </row>
    <row r="48692" spans="104:111">
      <c r="CZ48692" s="256"/>
      <c r="DG48692" s="256"/>
    </row>
    <row r="48693" spans="104:111">
      <c r="CZ48693" s="256"/>
      <c r="DG48693" s="256"/>
    </row>
    <row r="48694" spans="104:111">
      <c r="CZ48694" s="256"/>
      <c r="DG48694" s="256"/>
    </row>
    <row r="48695" spans="104:111">
      <c r="CZ48695" s="256"/>
      <c r="DG48695" s="256"/>
    </row>
    <row r="48696" spans="104:111">
      <c r="CZ48696" s="256"/>
      <c r="DG48696" s="256"/>
    </row>
    <row r="48697" spans="104:111">
      <c r="CZ48697" s="256"/>
      <c r="DG48697" s="256"/>
    </row>
    <row r="48698" spans="104:111">
      <c r="CZ48698" s="256"/>
      <c r="DG48698" s="256"/>
    </row>
    <row r="48699" spans="104:111">
      <c r="CZ48699" s="256"/>
      <c r="DG48699" s="256"/>
    </row>
    <row r="48700" spans="104:111">
      <c r="CZ48700" s="256"/>
      <c r="DG48700" s="256"/>
    </row>
    <row r="48701" spans="104:111">
      <c r="CZ48701" s="256"/>
      <c r="DG48701" s="256"/>
    </row>
    <row r="48702" spans="104:111">
      <c r="CZ48702" s="256"/>
      <c r="DG48702" s="256"/>
    </row>
    <row r="48703" spans="104:111">
      <c r="CZ48703" s="256"/>
      <c r="DG48703" s="256"/>
    </row>
    <row r="48704" spans="104:111">
      <c r="CZ48704" s="256"/>
      <c r="DG48704" s="256"/>
    </row>
    <row r="48705" spans="104:111">
      <c r="CZ48705" s="256"/>
      <c r="DG48705" s="256"/>
    </row>
    <row r="48706" spans="104:111">
      <c r="CZ48706" s="256"/>
      <c r="DG48706" s="256"/>
    </row>
    <row r="48707" spans="104:111">
      <c r="CZ48707" s="256"/>
      <c r="DG48707" s="256"/>
    </row>
    <row r="48708" spans="104:111">
      <c r="CZ48708" s="256"/>
      <c r="DG48708" s="256"/>
    </row>
    <row r="48709" spans="104:111">
      <c r="CZ48709" s="256"/>
      <c r="DG48709" s="256"/>
    </row>
    <row r="48710" spans="104:111">
      <c r="CZ48710" s="256"/>
      <c r="DG48710" s="256"/>
    </row>
    <row r="48711" spans="104:111">
      <c r="CZ48711" s="256"/>
      <c r="DG48711" s="256"/>
    </row>
    <row r="48712" spans="104:111">
      <c r="CZ48712" s="256"/>
      <c r="DG48712" s="256"/>
    </row>
    <row r="48713" spans="104:111">
      <c r="CZ48713" s="256"/>
      <c r="DG48713" s="256"/>
    </row>
    <row r="48714" spans="104:111">
      <c r="CZ48714" s="256"/>
      <c r="DG48714" s="256"/>
    </row>
    <row r="48715" spans="104:111">
      <c r="CZ48715" s="256"/>
      <c r="DG48715" s="256"/>
    </row>
    <row r="48716" spans="104:111">
      <c r="CZ48716" s="256"/>
      <c r="DG48716" s="256"/>
    </row>
    <row r="48717" spans="104:111">
      <c r="CZ48717" s="256"/>
      <c r="DG48717" s="256"/>
    </row>
    <row r="48718" spans="104:111">
      <c r="CZ48718" s="256"/>
      <c r="DG48718" s="256"/>
    </row>
    <row r="48719" spans="104:111">
      <c r="CZ48719" s="256"/>
      <c r="DG48719" s="256"/>
    </row>
    <row r="48720" spans="104:111">
      <c r="CZ48720" s="256"/>
      <c r="DG48720" s="256"/>
    </row>
    <row r="48721" spans="104:111">
      <c r="CZ48721" s="256"/>
      <c r="DG48721" s="256"/>
    </row>
    <row r="48722" spans="104:111">
      <c r="CZ48722" s="256"/>
      <c r="DG48722" s="256"/>
    </row>
    <row r="48723" spans="104:111">
      <c r="CZ48723" s="256"/>
      <c r="DG48723" s="256"/>
    </row>
    <row r="48724" spans="104:111">
      <c r="CZ48724" s="256"/>
      <c r="DG48724" s="256"/>
    </row>
    <row r="48725" spans="104:111">
      <c r="CZ48725" s="256"/>
      <c r="DG48725" s="256"/>
    </row>
    <row r="48726" spans="104:111">
      <c r="CZ48726" s="256"/>
      <c r="DG48726" s="256"/>
    </row>
    <row r="48727" spans="104:111">
      <c r="CZ48727" s="256"/>
      <c r="DG48727" s="256"/>
    </row>
    <row r="48728" spans="104:111">
      <c r="CZ48728" s="256"/>
      <c r="DG48728" s="256"/>
    </row>
    <row r="48729" spans="104:111">
      <c r="CZ48729" s="256"/>
      <c r="DG48729" s="256"/>
    </row>
    <row r="48730" spans="104:111">
      <c r="CZ48730" s="256"/>
      <c r="DG48730" s="256"/>
    </row>
    <row r="48731" spans="104:111">
      <c r="CZ48731" s="256"/>
      <c r="DG48731" s="256"/>
    </row>
    <row r="48732" spans="104:111">
      <c r="CZ48732" s="256"/>
      <c r="DG48732" s="256"/>
    </row>
    <row r="48733" spans="104:111">
      <c r="CZ48733" s="256"/>
      <c r="DG48733" s="256"/>
    </row>
    <row r="48734" spans="104:111">
      <c r="CZ48734" s="256"/>
      <c r="DG48734" s="256"/>
    </row>
    <row r="48735" spans="104:111">
      <c r="CZ48735" s="256"/>
      <c r="DG48735" s="256"/>
    </row>
    <row r="48736" spans="104:111">
      <c r="CZ48736" s="256"/>
      <c r="DG48736" s="256"/>
    </row>
    <row r="48737" spans="104:111">
      <c r="CZ48737" s="256"/>
      <c r="DG48737" s="256"/>
    </row>
    <row r="48738" spans="104:111">
      <c r="CZ48738" s="256"/>
      <c r="DG48738" s="256"/>
    </row>
    <row r="48739" spans="104:111">
      <c r="CZ48739" s="256"/>
      <c r="DG48739" s="256"/>
    </row>
    <row r="48740" spans="104:111">
      <c r="CZ48740" s="256"/>
      <c r="DG48740" s="256"/>
    </row>
    <row r="48741" spans="104:111">
      <c r="CZ48741" s="256"/>
      <c r="DG48741" s="256"/>
    </row>
    <row r="48742" spans="104:111">
      <c r="CZ48742" s="256"/>
      <c r="DG48742" s="256"/>
    </row>
    <row r="48743" spans="104:111">
      <c r="CZ48743" s="256"/>
      <c r="DG48743" s="256"/>
    </row>
    <row r="48744" spans="104:111">
      <c r="CZ48744" s="256"/>
      <c r="DG48744" s="256"/>
    </row>
    <row r="48745" spans="104:111">
      <c r="CZ48745" s="256"/>
      <c r="DG48745" s="256"/>
    </row>
    <row r="48746" spans="104:111">
      <c r="CZ48746" s="256"/>
      <c r="DG48746" s="256"/>
    </row>
    <row r="48747" spans="104:111">
      <c r="CZ48747" s="256"/>
      <c r="DG48747" s="256"/>
    </row>
    <row r="48748" spans="104:111">
      <c r="CZ48748" s="256"/>
      <c r="DG48748" s="256"/>
    </row>
    <row r="48749" spans="104:111">
      <c r="CZ48749" s="256"/>
      <c r="DG48749" s="256"/>
    </row>
    <row r="48750" spans="104:111">
      <c r="CZ48750" s="256"/>
      <c r="DG48750" s="256"/>
    </row>
    <row r="48751" spans="104:111">
      <c r="CZ48751" s="256"/>
      <c r="DG48751" s="256"/>
    </row>
    <row r="48752" spans="104:111">
      <c r="CZ48752" s="256"/>
      <c r="DG48752" s="256"/>
    </row>
    <row r="48753" spans="104:111">
      <c r="CZ48753" s="256"/>
      <c r="DG48753" s="256"/>
    </row>
    <row r="48754" spans="104:111">
      <c r="CZ48754" s="256"/>
      <c r="DG48754" s="256"/>
    </row>
    <row r="48755" spans="104:111">
      <c r="CZ48755" s="256"/>
      <c r="DG48755" s="256"/>
    </row>
    <row r="48756" spans="104:111">
      <c r="CZ48756" s="256"/>
      <c r="DG48756" s="256"/>
    </row>
    <row r="48757" spans="104:111">
      <c r="CZ48757" s="256"/>
      <c r="DG48757" s="256"/>
    </row>
    <row r="48758" spans="104:111">
      <c r="CZ48758" s="256"/>
      <c r="DG48758" s="256"/>
    </row>
    <row r="48759" spans="104:111">
      <c r="CZ48759" s="256"/>
      <c r="DG48759" s="256"/>
    </row>
    <row r="48760" spans="104:111">
      <c r="CZ48760" s="256"/>
      <c r="DG48760" s="256"/>
    </row>
    <row r="48761" spans="104:111">
      <c r="CZ48761" s="256"/>
      <c r="DG48761" s="256"/>
    </row>
    <row r="48762" spans="104:111">
      <c r="CZ48762" s="256"/>
      <c r="DG48762" s="256"/>
    </row>
    <row r="48763" spans="104:111">
      <c r="CZ48763" s="256"/>
      <c r="DG48763" s="256"/>
    </row>
    <row r="48764" spans="104:111">
      <c r="CZ48764" s="256"/>
      <c r="DG48764" s="256"/>
    </row>
    <row r="48765" spans="104:111">
      <c r="CZ48765" s="256"/>
      <c r="DG48765" s="256"/>
    </row>
    <row r="48766" spans="104:111">
      <c r="CZ48766" s="256"/>
      <c r="DG48766" s="256"/>
    </row>
    <row r="48767" spans="104:111">
      <c r="CZ48767" s="256"/>
      <c r="DG48767" s="256"/>
    </row>
    <row r="48768" spans="104:111">
      <c r="CZ48768" s="256"/>
      <c r="DG48768" s="256"/>
    </row>
    <row r="48769" spans="104:111">
      <c r="CZ48769" s="256"/>
      <c r="DG48769" s="256"/>
    </row>
    <row r="48770" spans="104:111">
      <c r="CZ48770" s="256"/>
      <c r="DG48770" s="256"/>
    </row>
    <row r="48771" spans="104:111">
      <c r="CZ48771" s="256"/>
      <c r="DG48771" s="256"/>
    </row>
    <row r="48772" spans="104:111">
      <c r="CZ48772" s="256"/>
      <c r="DG48772" s="256"/>
    </row>
    <row r="48773" spans="104:111">
      <c r="CZ48773" s="256"/>
      <c r="DG48773" s="256"/>
    </row>
    <row r="48774" spans="104:111">
      <c r="CZ48774" s="256"/>
      <c r="DG48774" s="256"/>
    </row>
    <row r="48775" spans="104:111">
      <c r="CZ48775" s="256"/>
      <c r="DG48775" s="256"/>
    </row>
    <row r="48776" spans="104:111">
      <c r="CZ48776" s="256"/>
      <c r="DG48776" s="256"/>
    </row>
    <row r="48777" spans="104:111">
      <c r="CZ48777" s="256"/>
      <c r="DG48777" s="256"/>
    </row>
    <row r="48778" spans="104:111">
      <c r="CZ48778" s="256"/>
      <c r="DG48778" s="256"/>
    </row>
    <row r="48779" spans="104:111">
      <c r="CZ48779" s="256"/>
      <c r="DG48779" s="256"/>
    </row>
    <row r="48780" spans="104:111">
      <c r="CZ48780" s="256"/>
      <c r="DG48780" s="256"/>
    </row>
    <row r="48781" spans="104:111">
      <c r="CZ48781" s="256"/>
      <c r="DG48781" s="256"/>
    </row>
    <row r="48782" spans="104:111">
      <c r="CZ48782" s="256"/>
      <c r="DG48782" s="256"/>
    </row>
    <row r="48783" spans="104:111">
      <c r="CZ48783" s="256"/>
      <c r="DG48783" s="256"/>
    </row>
    <row r="48784" spans="104:111">
      <c r="CZ48784" s="256"/>
      <c r="DG48784" s="256"/>
    </row>
    <row r="48785" spans="104:111">
      <c r="CZ48785" s="256"/>
      <c r="DG48785" s="256"/>
    </row>
    <row r="48786" spans="104:111">
      <c r="CZ48786" s="256"/>
      <c r="DG48786" s="256"/>
    </row>
    <row r="48787" spans="104:111">
      <c r="CZ48787" s="256"/>
      <c r="DG48787" s="256"/>
    </row>
    <row r="48788" spans="104:111">
      <c r="CZ48788" s="256"/>
      <c r="DG48788" s="256"/>
    </row>
    <row r="48789" spans="104:111">
      <c r="CZ48789" s="256"/>
      <c r="DG48789" s="256"/>
    </row>
    <row r="48790" spans="104:111">
      <c r="CZ48790" s="256"/>
      <c r="DG48790" s="256"/>
    </row>
    <row r="48791" spans="104:111">
      <c r="CZ48791" s="256"/>
      <c r="DG48791" s="256"/>
    </row>
    <row r="48792" spans="104:111">
      <c r="CZ48792" s="256"/>
      <c r="DG48792" s="256"/>
    </row>
    <row r="48793" spans="104:111">
      <c r="CZ48793" s="256"/>
      <c r="DG48793" s="256"/>
    </row>
    <row r="48794" spans="104:111">
      <c r="CZ48794" s="256"/>
      <c r="DG48794" s="256"/>
    </row>
    <row r="48795" spans="104:111">
      <c r="CZ48795" s="256"/>
      <c r="DG48795" s="256"/>
    </row>
    <row r="48796" spans="104:111">
      <c r="CZ48796" s="256"/>
      <c r="DG48796" s="256"/>
    </row>
    <row r="48797" spans="104:111">
      <c r="CZ48797" s="256"/>
      <c r="DG48797" s="256"/>
    </row>
    <row r="48798" spans="104:111">
      <c r="CZ48798" s="256"/>
      <c r="DG48798" s="256"/>
    </row>
    <row r="48799" spans="104:111">
      <c r="CZ48799" s="256"/>
      <c r="DG48799" s="256"/>
    </row>
    <row r="48800" spans="104:111">
      <c r="CZ48800" s="256"/>
      <c r="DG48800" s="256"/>
    </row>
    <row r="48801" spans="104:111">
      <c r="CZ48801" s="256"/>
      <c r="DG48801" s="256"/>
    </row>
    <row r="48802" spans="104:111">
      <c r="CZ48802" s="256"/>
      <c r="DG48802" s="256"/>
    </row>
    <row r="48803" spans="104:111">
      <c r="CZ48803" s="256"/>
      <c r="DG48803" s="256"/>
    </row>
    <row r="48804" spans="104:111">
      <c r="CZ48804" s="256"/>
      <c r="DG48804" s="256"/>
    </row>
    <row r="48805" spans="104:111">
      <c r="CZ48805" s="256"/>
      <c r="DG48805" s="256"/>
    </row>
    <row r="48806" spans="104:111">
      <c r="CZ48806" s="256"/>
      <c r="DG48806" s="256"/>
    </row>
    <row r="48807" spans="104:111">
      <c r="CZ48807" s="256"/>
      <c r="DG48807" s="256"/>
    </row>
    <row r="48808" spans="104:111">
      <c r="CZ48808" s="256"/>
      <c r="DG48808" s="256"/>
    </row>
    <row r="48809" spans="104:111">
      <c r="CZ48809" s="256"/>
      <c r="DG48809" s="256"/>
    </row>
    <row r="48810" spans="104:111">
      <c r="CZ48810" s="256"/>
      <c r="DG48810" s="256"/>
    </row>
    <row r="48811" spans="104:111">
      <c r="CZ48811" s="256"/>
      <c r="DG48811" s="256"/>
    </row>
    <row r="48812" spans="104:111">
      <c r="CZ48812" s="256"/>
      <c r="DG48812" s="256"/>
    </row>
    <row r="48813" spans="104:111">
      <c r="CZ48813" s="256"/>
      <c r="DG48813" s="256"/>
    </row>
    <row r="48814" spans="104:111">
      <c r="CZ48814" s="256"/>
      <c r="DG48814" s="256"/>
    </row>
    <row r="48815" spans="104:111">
      <c r="CZ48815" s="256"/>
      <c r="DG48815" s="256"/>
    </row>
    <row r="48816" spans="104:111">
      <c r="CZ48816" s="256"/>
      <c r="DG48816" s="256"/>
    </row>
    <row r="48817" spans="104:111">
      <c r="CZ48817" s="256"/>
      <c r="DG48817" s="256"/>
    </row>
    <row r="48818" spans="104:111">
      <c r="CZ48818" s="256"/>
      <c r="DG48818" s="256"/>
    </row>
    <row r="48819" spans="104:111">
      <c r="CZ48819" s="256"/>
      <c r="DG48819" s="256"/>
    </row>
    <row r="48820" spans="104:111">
      <c r="CZ48820" s="256"/>
      <c r="DG48820" s="256"/>
    </row>
    <row r="48821" spans="104:111">
      <c r="CZ48821" s="256"/>
      <c r="DG48821" s="256"/>
    </row>
    <row r="48822" spans="104:111">
      <c r="CZ48822" s="256"/>
      <c r="DG48822" s="256"/>
    </row>
    <row r="48823" spans="104:111">
      <c r="CZ48823" s="256"/>
      <c r="DG48823" s="256"/>
    </row>
    <row r="48824" spans="104:111">
      <c r="CZ48824" s="256"/>
      <c r="DG48824" s="256"/>
    </row>
    <row r="48825" spans="104:111">
      <c r="CZ48825" s="256"/>
      <c r="DG48825" s="256"/>
    </row>
    <row r="48826" spans="104:111">
      <c r="CZ48826" s="256"/>
      <c r="DG48826" s="256"/>
    </row>
    <row r="48827" spans="104:111">
      <c r="CZ48827" s="256"/>
      <c r="DG48827" s="256"/>
    </row>
    <row r="48828" spans="104:111">
      <c r="CZ48828" s="256"/>
      <c r="DG48828" s="256"/>
    </row>
    <row r="48829" spans="104:111">
      <c r="CZ48829" s="256"/>
      <c r="DG48829" s="256"/>
    </row>
    <row r="48830" spans="104:111">
      <c r="CZ48830" s="256"/>
      <c r="DG48830" s="256"/>
    </row>
    <row r="48831" spans="104:111">
      <c r="CZ48831" s="256"/>
      <c r="DG48831" s="256"/>
    </row>
    <row r="48832" spans="104:111">
      <c r="CZ48832" s="256"/>
      <c r="DG48832" s="256"/>
    </row>
    <row r="48833" spans="104:111">
      <c r="CZ48833" s="256"/>
      <c r="DG48833" s="256"/>
    </row>
    <row r="48834" spans="104:111">
      <c r="CZ48834" s="256"/>
      <c r="DG48834" s="256"/>
    </row>
    <row r="48835" spans="104:111">
      <c r="CZ48835" s="256"/>
      <c r="DG48835" s="256"/>
    </row>
    <row r="48836" spans="104:111">
      <c r="CZ48836" s="256"/>
      <c r="DG48836" s="256"/>
    </row>
    <row r="48837" spans="104:111">
      <c r="CZ48837" s="256"/>
      <c r="DG48837" s="256"/>
    </row>
    <row r="48838" spans="104:111">
      <c r="CZ48838" s="256"/>
      <c r="DG48838" s="256"/>
    </row>
    <row r="48839" spans="104:111">
      <c r="CZ48839" s="256"/>
      <c r="DG48839" s="256"/>
    </row>
    <row r="48840" spans="104:111">
      <c r="CZ48840" s="256"/>
      <c r="DG48840" s="256"/>
    </row>
    <row r="48841" spans="104:111">
      <c r="CZ48841" s="256"/>
      <c r="DG48841" s="256"/>
    </row>
    <row r="48842" spans="104:111">
      <c r="CZ48842" s="256"/>
      <c r="DG48842" s="256"/>
    </row>
    <row r="48843" spans="104:111">
      <c r="CZ48843" s="256"/>
      <c r="DG48843" s="256"/>
    </row>
    <row r="48844" spans="104:111">
      <c r="CZ48844" s="256"/>
      <c r="DG48844" s="256"/>
    </row>
    <row r="48845" spans="104:111">
      <c r="CZ48845" s="256"/>
      <c r="DG48845" s="256"/>
    </row>
    <row r="48846" spans="104:111">
      <c r="CZ48846" s="256"/>
      <c r="DG48846" s="256"/>
    </row>
    <row r="48847" spans="104:111">
      <c r="CZ48847" s="256"/>
      <c r="DG48847" s="256"/>
    </row>
    <row r="48848" spans="104:111">
      <c r="CZ48848" s="256"/>
      <c r="DG48848" s="256"/>
    </row>
    <row r="48849" spans="104:111">
      <c r="CZ48849" s="256"/>
      <c r="DG48849" s="256"/>
    </row>
    <row r="48850" spans="104:111">
      <c r="CZ48850" s="256"/>
      <c r="DG48850" s="256"/>
    </row>
    <row r="48851" spans="104:111">
      <c r="CZ48851" s="256"/>
      <c r="DG48851" s="256"/>
    </row>
    <row r="48852" spans="104:111">
      <c r="CZ48852" s="256"/>
      <c r="DG48852" s="256"/>
    </row>
    <row r="48853" spans="104:111">
      <c r="CZ48853" s="256"/>
      <c r="DG48853" s="256"/>
    </row>
    <row r="48854" spans="104:111">
      <c r="CZ48854" s="256"/>
      <c r="DG48854" s="256"/>
    </row>
    <row r="48855" spans="104:111">
      <c r="CZ48855" s="256"/>
      <c r="DG48855" s="256"/>
    </row>
    <row r="48856" spans="104:111">
      <c r="CZ48856" s="256"/>
      <c r="DG48856" s="256"/>
    </row>
    <row r="48857" spans="104:111">
      <c r="CZ48857" s="256"/>
      <c r="DG48857" s="256"/>
    </row>
    <row r="48858" spans="104:111">
      <c r="CZ48858" s="256"/>
      <c r="DG48858" s="256"/>
    </row>
    <row r="48859" spans="104:111">
      <c r="CZ48859" s="256"/>
      <c r="DG48859" s="256"/>
    </row>
    <row r="48860" spans="104:111">
      <c r="CZ48860" s="256"/>
      <c r="DG48860" s="256"/>
    </row>
    <row r="48861" spans="104:111">
      <c r="CZ48861" s="256"/>
      <c r="DG48861" s="256"/>
    </row>
    <row r="48862" spans="104:111">
      <c r="CZ48862" s="256"/>
      <c r="DG48862" s="256"/>
    </row>
    <row r="48863" spans="104:111">
      <c r="CZ48863" s="256"/>
      <c r="DG48863" s="256"/>
    </row>
    <row r="48864" spans="104:111">
      <c r="CZ48864" s="256"/>
      <c r="DG48864" s="256"/>
    </row>
    <row r="48865" spans="104:111">
      <c r="CZ48865" s="256"/>
      <c r="DG48865" s="256"/>
    </row>
    <row r="48866" spans="104:111">
      <c r="CZ48866" s="256"/>
      <c r="DG48866" s="256"/>
    </row>
    <row r="48867" spans="104:111">
      <c r="CZ48867" s="256"/>
      <c r="DG48867" s="256"/>
    </row>
    <row r="48868" spans="104:111">
      <c r="CZ48868" s="256"/>
      <c r="DG48868" s="256"/>
    </row>
    <row r="48869" spans="104:111">
      <c r="CZ48869" s="256"/>
      <c r="DG48869" s="256"/>
    </row>
    <row r="48870" spans="104:111">
      <c r="CZ48870" s="256"/>
      <c r="DG48870" s="256"/>
    </row>
    <row r="48871" spans="104:111">
      <c r="CZ48871" s="256"/>
      <c r="DG48871" s="256"/>
    </row>
    <row r="48872" spans="104:111">
      <c r="CZ48872" s="256"/>
      <c r="DG48872" s="256"/>
    </row>
    <row r="48873" spans="104:111">
      <c r="CZ48873" s="256"/>
      <c r="DG48873" s="256"/>
    </row>
    <row r="48874" spans="104:111">
      <c r="CZ48874" s="256"/>
      <c r="DG48874" s="256"/>
    </row>
    <row r="48875" spans="104:111">
      <c r="CZ48875" s="256"/>
      <c r="DG48875" s="256"/>
    </row>
    <row r="48876" spans="104:111">
      <c r="CZ48876" s="256"/>
      <c r="DG48876" s="256"/>
    </row>
    <row r="48877" spans="104:111">
      <c r="CZ48877" s="256"/>
      <c r="DG48877" s="256"/>
    </row>
    <row r="48878" spans="104:111">
      <c r="CZ48878" s="256"/>
      <c r="DG48878" s="256"/>
    </row>
    <row r="48879" spans="104:111">
      <c r="CZ48879" s="256"/>
      <c r="DG48879" s="256"/>
    </row>
    <row r="48880" spans="104:111">
      <c r="CZ48880" s="256"/>
      <c r="DG48880" s="256"/>
    </row>
    <row r="48881" spans="104:111">
      <c r="CZ48881" s="256"/>
      <c r="DG48881" s="256"/>
    </row>
    <row r="48882" spans="104:111">
      <c r="CZ48882" s="256"/>
      <c r="DG48882" s="256"/>
    </row>
    <row r="48883" spans="104:111">
      <c r="CZ48883" s="256"/>
      <c r="DG48883" s="256"/>
    </row>
    <row r="48884" spans="104:111">
      <c r="CZ48884" s="256"/>
      <c r="DG48884" s="256"/>
    </row>
    <row r="48885" spans="104:111">
      <c r="CZ48885" s="256"/>
      <c r="DG48885" s="256"/>
    </row>
    <row r="48886" spans="104:111">
      <c r="CZ48886" s="256"/>
      <c r="DG48886" s="256"/>
    </row>
    <row r="48887" spans="104:111">
      <c r="CZ48887" s="256"/>
      <c r="DG48887" s="256"/>
    </row>
    <row r="48888" spans="104:111">
      <c r="CZ48888" s="256"/>
      <c r="DG48888" s="256"/>
    </row>
    <row r="48889" spans="104:111">
      <c r="CZ48889" s="256"/>
      <c r="DG48889" s="256"/>
    </row>
    <row r="48890" spans="104:111">
      <c r="CZ48890" s="256"/>
      <c r="DG48890" s="256"/>
    </row>
    <row r="48891" spans="104:111">
      <c r="CZ48891" s="256"/>
      <c r="DG48891" s="256"/>
    </row>
    <row r="48892" spans="104:111">
      <c r="CZ48892" s="256"/>
      <c r="DG48892" s="256"/>
    </row>
    <row r="48893" spans="104:111">
      <c r="CZ48893" s="256"/>
      <c r="DG48893" s="256"/>
    </row>
    <row r="48894" spans="104:111">
      <c r="CZ48894" s="256"/>
      <c r="DG48894" s="256"/>
    </row>
    <row r="48895" spans="104:111">
      <c r="CZ48895" s="256"/>
      <c r="DG48895" s="256"/>
    </row>
    <row r="48896" spans="104:111">
      <c r="CZ48896" s="256"/>
      <c r="DG48896" s="256"/>
    </row>
    <row r="48897" spans="104:111">
      <c r="CZ48897" s="256"/>
      <c r="DG48897" s="256"/>
    </row>
    <row r="48898" spans="104:111">
      <c r="CZ48898" s="256"/>
      <c r="DG48898" s="256"/>
    </row>
    <row r="48899" spans="104:111">
      <c r="CZ48899" s="256"/>
      <c r="DG48899" s="256"/>
    </row>
    <row r="48900" spans="104:111">
      <c r="CZ48900" s="256"/>
      <c r="DG48900" s="256"/>
    </row>
    <row r="48901" spans="104:111">
      <c r="CZ48901" s="256"/>
      <c r="DG48901" s="256"/>
    </row>
    <row r="48902" spans="104:111">
      <c r="CZ48902" s="256"/>
      <c r="DG48902" s="256"/>
    </row>
    <row r="48903" spans="104:111">
      <c r="CZ48903" s="256"/>
      <c r="DG48903" s="256"/>
    </row>
    <row r="48904" spans="104:111">
      <c r="CZ48904" s="256"/>
      <c r="DG48904" s="256"/>
    </row>
    <row r="48905" spans="104:111">
      <c r="CZ48905" s="256"/>
      <c r="DG48905" s="256"/>
    </row>
    <row r="48906" spans="104:111">
      <c r="CZ48906" s="256"/>
      <c r="DG48906" s="256"/>
    </row>
    <row r="48907" spans="104:111">
      <c r="CZ48907" s="256"/>
      <c r="DG48907" s="256"/>
    </row>
    <row r="48908" spans="104:111">
      <c r="CZ48908" s="256"/>
      <c r="DG48908" s="256"/>
    </row>
    <row r="48909" spans="104:111">
      <c r="CZ48909" s="256"/>
      <c r="DG48909" s="256"/>
    </row>
    <row r="48910" spans="104:111">
      <c r="CZ48910" s="256"/>
      <c r="DG48910" s="256"/>
    </row>
    <row r="48911" spans="104:111">
      <c r="CZ48911" s="256"/>
      <c r="DG48911" s="256"/>
    </row>
    <row r="48912" spans="104:111">
      <c r="CZ48912" s="256"/>
      <c r="DG48912" s="256"/>
    </row>
    <row r="48913" spans="104:111">
      <c r="CZ48913" s="256"/>
      <c r="DG48913" s="256"/>
    </row>
    <row r="48914" spans="104:111">
      <c r="CZ48914" s="256"/>
      <c r="DG48914" s="256"/>
    </row>
    <row r="48915" spans="104:111">
      <c r="CZ48915" s="256"/>
      <c r="DG48915" s="256"/>
    </row>
    <row r="48916" spans="104:111">
      <c r="CZ48916" s="256"/>
      <c r="DG48916" s="256"/>
    </row>
    <row r="48917" spans="104:111">
      <c r="CZ48917" s="256"/>
      <c r="DG48917" s="256"/>
    </row>
    <row r="48918" spans="104:111">
      <c r="CZ48918" s="256"/>
      <c r="DG48918" s="256"/>
    </row>
    <row r="48919" spans="104:111">
      <c r="CZ48919" s="256"/>
      <c r="DG48919" s="256"/>
    </row>
    <row r="48920" spans="104:111">
      <c r="CZ48920" s="256"/>
      <c r="DG48920" s="256"/>
    </row>
    <row r="48921" spans="104:111">
      <c r="CZ48921" s="256"/>
      <c r="DG48921" s="256"/>
    </row>
    <row r="48922" spans="104:111">
      <c r="CZ48922" s="256"/>
      <c r="DG48922" s="256"/>
    </row>
    <row r="48923" spans="104:111">
      <c r="CZ48923" s="256"/>
      <c r="DG48923" s="256"/>
    </row>
    <row r="48924" spans="104:111">
      <c r="CZ48924" s="256"/>
      <c r="DG48924" s="256"/>
    </row>
    <row r="48925" spans="104:111">
      <c r="CZ48925" s="256"/>
      <c r="DG48925" s="256"/>
    </row>
    <row r="48926" spans="104:111">
      <c r="CZ48926" s="256"/>
      <c r="DG48926" s="256"/>
    </row>
    <row r="48927" spans="104:111">
      <c r="CZ48927" s="256"/>
      <c r="DG48927" s="256"/>
    </row>
    <row r="48928" spans="104:111">
      <c r="CZ48928" s="256"/>
      <c r="DG48928" s="256"/>
    </row>
    <row r="48929" spans="104:111">
      <c r="CZ48929" s="256"/>
      <c r="DG48929" s="256"/>
    </row>
    <row r="48930" spans="104:111">
      <c r="CZ48930" s="256"/>
      <c r="DG48930" s="256"/>
    </row>
    <row r="48931" spans="104:111">
      <c r="CZ48931" s="256"/>
      <c r="DG48931" s="256"/>
    </row>
    <row r="48932" spans="104:111">
      <c r="CZ48932" s="256"/>
      <c r="DG48932" s="256"/>
    </row>
    <row r="48933" spans="104:111">
      <c r="CZ48933" s="256"/>
      <c r="DG48933" s="256"/>
    </row>
    <row r="48934" spans="104:111">
      <c r="CZ48934" s="256"/>
      <c r="DG48934" s="256"/>
    </row>
    <row r="48935" spans="104:111">
      <c r="CZ48935" s="256"/>
      <c r="DG48935" s="256"/>
    </row>
    <row r="48936" spans="104:111">
      <c r="CZ48936" s="256"/>
      <c r="DG48936" s="256"/>
    </row>
    <row r="48937" spans="104:111">
      <c r="CZ48937" s="256"/>
      <c r="DG48937" s="256"/>
    </row>
    <row r="48938" spans="104:111">
      <c r="CZ48938" s="256"/>
      <c r="DG48938" s="256"/>
    </row>
    <row r="48939" spans="104:111">
      <c r="CZ48939" s="256"/>
      <c r="DG48939" s="256"/>
    </row>
    <row r="48940" spans="104:111">
      <c r="CZ48940" s="256"/>
      <c r="DG48940" s="256"/>
    </row>
    <row r="48941" spans="104:111">
      <c r="CZ48941" s="256"/>
      <c r="DG48941" s="256"/>
    </row>
    <row r="48942" spans="104:111">
      <c r="CZ48942" s="256"/>
      <c r="DG48942" s="256"/>
    </row>
    <row r="48943" spans="104:111">
      <c r="CZ48943" s="256"/>
      <c r="DG48943" s="256"/>
    </row>
    <row r="48944" spans="104:111">
      <c r="CZ48944" s="256"/>
      <c r="DG48944" s="256"/>
    </row>
    <row r="48945" spans="104:111">
      <c r="CZ48945" s="256"/>
      <c r="DG48945" s="256"/>
    </row>
    <row r="48946" spans="104:111">
      <c r="CZ48946" s="256"/>
      <c r="DG48946" s="256"/>
    </row>
    <row r="48947" spans="104:111">
      <c r="CZ48947" s="256"/>
      <c r="DG48947" s="256"/>
    </row>
    <row r="48948" spans="104:111">
      <c r="CZ48948" s="256"/>
      <c r="DG48948" s="256"/>
    </row>
    <row r="48949" spans="104:111">
      <c r="CZ48949" s="256"/>
      <c r="DG48949" s="256"/>
    </row>
    <row r="48950" spans="104:111">
      <c r="CZ48950" s="256"/>
      <c r="DG48950" s="256"/>
    </row>
    <row r="48951" spans="104:111">
      <c r="CZ48951" s="256"/>
      <c r="DG48951" s="256"/>
    </row>
    <row r="48952" spans="104:111">
      <c r="CZ48952" s="256"/>
      <c r="DG48952" s="256"/>
    </row>
    <row r="48953" spans="104:111">
      <c r="CZ48953" s="256"/>
      <c r="DG48953" s="256"/>
    </row>
    <row r="48954" spans="104:111">
      <c r="CZ48954" s="256"/>
      <c r="DG48954" s="256"/>
    </row>
    <row r="48955" spans="104:111">
      <c r="CZ48955" s="256"/>
      <c r="DG48955" s="256"/>
    </row>
    <row r="48956" spans="104:111">
      <c r="CZ48956" s="256"/>
      <c r="DG48956" s="256"/>
    </row>
    <row r="48957" spans="104:111">
      <c r="CZ48957" s="256"/>
      <c r="DG48957" s="256"/>
    </row>
    <row r="48958" spans="104:111">
      <c r="CZ48958" s="256"/>
      <c r="DG48958" s="256"/>
    </row>
    <row r="48959" spans="104:111">
      <c r="CZ48959" s="256"/>
      <c r="DG48959" s="256"/>
    </row>
    <row r="48960" spans="104:111">
      <c r="CZ48960" s="256"/>
      <c r="DG48960" s="256"/>
    </row>
    <row r="48961" spans="104:111">
      <c r="CZ48961" s="256"/>
      <c r="DG48961" s="256"/>
    </row>
    <row r="48962" spans="104:111">
      <c r="CZ48962" s="256"/>
      <c r="DG48962" s="256"/>
    </row>
    <row r="48963" spans="104:111">
      <c r="CZ48963" s="256"/>
      <c r="DG48963" s="256"/>
    </row>
    <row r="48964" spans="104:111">
      <c r="CZ48964" s="256"/>
      <c r="DG48964" s="256"/>
    </row>
    <row r="48965" spans="104:111">
      <c r="CZ48965" s="256"/>
      <c r="DG48965" s="256"/>
    </row>
    <row r="48966" spans="104:111">
      <c r="CZ48966" s="256"/>
      <c r="DG48966" s="256"/>
    </row>
    <row r="48967" spans="104:111">
      <c r="CZ48967" s="256"/>
      <c r="DG48967" s="256"/>
    </row>
    <row r="48968" spans="104:111">
      <c r="CZ48968" s="256"/>
      <c r="DG48968" s="256"/>
    </row>
    <row r="48969" spans="104:111">
      <c r="CZ48969" s="256"/>
      <c r="DG48969" s="256"/>
    </row>
    <row r="48970" spans="104:111">
      <c r="CZ48970" s="256"/>
      <c r="DG48970" s="256"/>
    </row>
    <row r="48971" spans="104:111">
      <c r="CZ48971" s="256"/>
      <c r="DG48971" s="256"/>
    </row>
    <row r="48972" spans="104:111">
      <c r="CZ48972" s="256"/>
      <c r="DG48972" s="256"/>
    </row>
    <row r="48973" spans="104:111">
      <c r="CZ48973" s="256"/>
      <c r="DG48973" s="256"/>
    </row>
    <row r="48974" spans="104:111">
      <c r="CZ48974" s="256"/>
      <c r="DG48974" s="256"/>
    </row>
    <row r="48975" spans="104:111">
      <c r="CZ48975" s="256"/>
      <c r="DG48975" s="256"/>
    </row>
    <row r="48976" spans="104:111">
      <c r="CZ48976" s="256"/>
      <c r="DG48976" s="256"/>
    </row>
    <row r="48977" spans="104:111">
      <c r="CZ48977" s="256"/>
      <c r="DG48977" s="256"/>
    </row>
    <row r="48978" spans="104:111">
      <c r="CZ48978" s="256"/>
      <c r="DG48978" s="256"/>
    </row>
    <row r="48979" spans="104:111">
      <c r="CZ48979" s="256"/>
      <c r="DG48979" s="256"/>
    </row>
    <row r="48980" spans="104:111">
      <c r="CZ48980" s="256"/>
      <c r="DG48980" s="256"/>
    </row>
    <row r="48981" spans="104:111">
      <c r="CZ48981" s="256"/>
      <c r="DG48981" s="256"/>
    </row>
    <row r="48982" spans="104:111">
      <c r="CZ48982" s="256"/>
      <c r="DG48982" s="256"/>
    </row>
    <row r="48983" spans="104:111">
      <c r="CZ48983" s="256"/>
      <c r="DG48983" s="256"/>
    </row>
    <row r="48984" spans="104:111">
      <c r="CZ48984" s="256"/>
      <c r="DG48984" s="256"/>
    </row>
    <row r="48985" spans="104:111">
      <c r="CZ48985" s="256"/>
      <c r="DG48985" s="256"/>
    </row>
    <row r="48986" spans="104:111">
      <c r="CZ48986" s="256"/>
      <c r="DG48986" s="256"/>
    </row>
    <row r="48987" spans="104:111">
      <c r="CZ48987" s="256"/>
      <c r="DG48987" s="256"/>
    </row>
    <row r="48988" spans="104:111">
      <c r="CZ48988" s="256"/>
      <c r="DG48988" s="256"/>
    </row>
    <row r="48989" spans="104:111">
      <c r="CZ48989" s="256"/>
      <c r="DG48989" s="256"/>
    </row>
    <row r="48990" spans="104:111">
      <c r="CZ48990" s="256"/>
      <c r="DG48990" s="256"/>
    </row>
    <row r="48991" spans="104:111">
      <c r="CZ48991" s="256"/>
      <c r="DG48991" s="256"/>
    </row>
    <row r="48992" spans="104:111">
      <c r="CZ48992" s="256"/>
      <c r="DG48992" s="256"/>
    </row>
    <row r="48993" spans="104:111">
      <c r="CZ48993" s="256"/>
      <c r="DG48993" s="256"/>
    </row>
    <row r="48994" spans="104:111">
      <c r="CZ48994" s="256"/>
      <c r="DG48994" s="256"/>
    </row>
    <row r="48995" spans="104:111">
      <c r="CZ48995" s="256"/>
      <c r="DG48995" s="256"/>
    </row>
    <row r="48996" spans="104:111">
      <c r="CZ48996" s="256"/>
      <c r="DG48996" s="256"/>
    </row>
    <row r="48997" spans="104:111">
      <c r="CZ48997" s="256"/>
      <c r="DG48997" s="256"/>
    </row>
    <row r="48998" spans="104:111">
      <c r="CZ48998" s="256"/>
      <c r="DG48998" s="256"/>
    </row>
    <row r="48999" spans="104:111">
      <c r="CZ48999" s="256"/>
      <c r="DG48999" s="256"/>
    </row>
    <row r="49000" spans="104:111">
      <c r="CZ49000" s="256"/>
      <c r="DG49000" s="256"/>
    </row>
    <row r="49001" spans="104:111">
      <c r="CZ49001" s="256"/>
      <c r="DG49001" s="256"/>
    </row>
    <row r="49002" spans="104:111">
      <c r="CZ49002" s="256"/>
      <c r="DG49002" s="256"/>
    </row>
    <row r="49003" spans="104:111">
      <c r="CZ49003" s="256"/>
      <c r="DG49003" s="256"/>
    </row>
    <row r="49004" spans="104:111">
      <c r="CZ49004" s="256"/>
      <c r="DG49004" s="256"/>
    </row>
    <row r="49005" spans="104:111">
      <c r="CZ49005" s="256"/>
      <c r="DG49005" s="256"/>
    </row>
    <row r="49006" spans="104:111">
      <c r="CZ49006" s="256"/>
      <c r="DG49006" s="256"/>
    </row>
    <row r="49007" spans="104:111">
      <c r="CZ49007" s="256"/>
      <c r="DG49007" s="256"/>
    </row>
    <row r="49008" spans="104:111">
      <c r="CZ49008" s="256"/>
      <c r="DG49008" s="256"/>
    </row>
    <row r="49009" spans="104:111">
      <c r="CZ49009" s="256"/>
      <c r="DG49009" s="256"/>
    </row>
    <row r="49010" spans="104:111">
      <c r="CZ49010" s="256"/>
      <c r="DG49010" s="256"/>
    </row>
    <row r="49011" spans="104:111">
      <c r="CZ49011" s="256"/>
      <c r="DG49011" s="256"/>
    </row>
    <row r="49012" spans="104:111">
      <c r="CZ49012" s="256"/>
      <c r="DG49012" s="256"/>
    </row>
    <row r="49013" spans="104:111">
      <c r="CZ49013" s="256"/>
      <c r="DG49013" s="256"/>
    </row>
    <row r="49014" spans="104:111">
      <c r="CZ49014" s="256"/>
      <c r="DG49014" s="256"/>
    </row>
    <row r="49015" spans="104:111">
      <c r="CZ49015" s="256"/>
      <c r="DG49015" s="256"/>
    </row>
    <row r="49016" spans="104:111">
      <c r="CZ49016" s="256"/>
      <c r="DG49016" s="256"/>
    </row>
    <row r="49017" spans="104:111">
      <c r="CZ49017" s="256"/>
      <c r="DG49017" s="256"/>
    </row>
    <row r="49018" spans="104:111">
      <c r="CZ49018" s="256"/>
      <c r="DG49018" s="256"/>
    </row>
    <row r="49019" spans="104:111">
      <c r="CZ49019" s="256"/>
      <c r="DG49019" s="256"/>
    </row>
    <row r="49020" spans="104:111">
      <c r="CZ49020" s="256"/>
      <c r="DG49020" s="256"/>
    </row>
    <row r="49021" spans="104:111">
      <c r="CZ49021" s="256"/>
      <c r="DG49021" s="256"/>
    </row>
    <row r="49022" spans="104:111">
      <c r="CZ49022" s="256"/>
      <c r="DG49022" s="256"/>
    </row>
    <row r="49023" spans="104:111">
      <c r="CZ49023" s="256"/>
      <c r="DG49023" s="256"/>
    </row>
    <row r="49024" spans="104:111">
      <c r="CZ49024" s="256"/>
      <c r="DG49024" s="256"/>
    </row>
    <row r="49025" spans="104:111">
      <c r="CZ49025" s="256"/>
      <c r="DG49025" s="256"/>
    </row>
    <row r="49026" spans="104:111">
      <c r="CZ49026" s="256"/>
      <c r="DG49026" s="256"/>
    </row>
    <row r="49027" spans="104:111">
      <c r="CZ49027" s="256"/>
      <c r="DG49027" s="256"/>
    </row>
    <row r="49028" spans="104:111">
      <c r="CZ49028" s="256"/>
      <c r="DG49028" s="256"/>
    </row>
    <row r="49029" spans="104:111">
      <c r="CZ49029" s="256"/>
      <c r="DG49029" s="256"/>
    </row>
    <row r="49030" spans="104:111">
      <c r="CZ49030" s="256"/>
      <c r="DG49030" s="256"/>
    </row>
    <row r="49031" spans="104:111">
      <c r="CZ49031" s="256"/>
      <c r="DG49031" s="256"/>
    </row>
    <row r="49032" spans="104:111">
      <c r="CZ49032" s="256"/>
      <c r="DG49032" s="256"/>
    </row>
    <row r="49033" spans="104:111">
      <c r="CZ49033" s="256"/>
      <c r="DG49033" s="256"/>
    </row>
    <row r="49034" spans="104:111">
      <c r="CZ49034" s="256"/>
      <c r="DG49034" s="256"/>
    </row>
    <row r="49035" spans="104:111">
      <c r="CZ49035" s="256"/>
      <c r="DG49035" s="256"/>
    </row>
    <row r="49036" spans="104:111">
      <c r="CZ49036" s="256"/>
      <c r="DG49036" s="256"/>
    </row>
    <row r="49037" spans="104:111">
      <c r="CZ49037" s="256"/>
      <c r="DG49037" s="256"/>
    </row>
    <row r="49038" spans="104:111">
      <c r="CZ49038" s="256"/>
      <c r="DG49038" s="256"/>
    </row>
    <row r="49039" spans="104:111">
      <c r="CZ49039" s="256"/>
      <c r="DG49039" s="256"/>
    </row>
    <row r="49040" spans="104:111">
      <c r="CZ49040" s="256"/>
      <c r="DG49040" s="256"/>
    </row>
    <row r="49041" spans="104:111">
      <c r="CZ49041" s="256"/>
      <c r="DG49041" s="256"/>
    </row>
    <row r="49042" spans="104:111">
      <c r="CZ49042" s="256"/>
      <c r="DG49042" s="256"/>
    </row>
    <row r="49043" spans="104:111">
      <c r="CZ49043" s="256"/>
      <c r="DG49043" s="256"/>
    </row>
    <row r="49044" spans="104:111">
      <c r="CZ49044" s="256"/>
      <c r="DG49044" s="256"/>
    </row>
    <row r="49045" spans="104:111">
      <c r="CZ49045" s="256"/>
      <c r="DG49045" s="256"/>
    </row>
    <row r="49046" spans="104:111">
      <c r="CZ49046" s="256"/>
      <c r="DG49046" s="256"/>
    </row>
    <row r="49047" spans="104:111">
      <c r="CZ49047" s="256"/>
      <c r="DG49047" s="256"/>
    </row>
    <row r="49048" spans="104:111">
      <c r="CZ49048" s="256"/>
      <c r="DG49048" s="256"/>
    </row>
    <row r="49049" spans="104:111">
      <c r="CZ49049" s="256"/>
      <c r="DG49049" s="256"/>
    </row>
    <row r="49050" spans="104:111">
      <c r="CZ49050" s="256"/>
      <c r="DG49050" s="256"/>
    </row>
    <row r="49051" spans="104:111">
      <c r="CZ49051" s="256"/>
      <c r="DG49051" s="256"/>
    </row>
    <row r="49052" spans="104:111">
      <c r="CZ49052" s="256"/>
      <c r="DG49052" s="256"/>
    </row>
    <row r="49053" spans="104:111">
      <c r="CZ49053" s="256"/>
      <c r="DG49053" s="256"/>
    </row>
    <row r="49054" spans="104:111">
      <c r="CZ49054" s="256"/>
      <c r="DG49054" s="256"/>
    </row>
    <row r="49055" spans="104:111">
      <c r="CZ49055" s="256"/>
      <c r="DG49055" s="256"/>
    </row>
    <row r="49056" spans="104:111">
      <c r="CZ49056" s="256"/>
      <c r="DG49056" s="256"/>
    </row>
    <row r="49057" spans="104:111">
      <c r="CZ49057" s="256"/>
      <c r="DG49057" s="256"/>
    </row>
    <row r="49058" spans="104:111">
      <c r="CZ49058" s="256"/>
      <c r="DG49058" s="256"/>
    </row>
    <row r="49059" spans="104:111">
      <c r="CZ49059" s="256"/>
      <c r="DG49059" s="256"/>
    </row>
    <row r="49060" spans="104:111">
      <c r="CZ49060" s="256"/>
      <c r="DG49060" s="256"/>
    </row>
    <row r="49061" spans="104:111">
      <c r="CZ49061" s="256"/>
      <c r="DG49061" s="256"/>
    </row>
    <row r="49062" spans="104:111">
      <c r="CZ49062" s="256"/>
      <c r="DG49062" s="256"/>
    </row>
    <row r="49063" spans="104:111">
      <c r="CZ49063" s="256"/>
      <c r="DG49063" s="256"/>
    </row>
    <row r="49064" spans="104:111">
      <c r="CZ49064" s="256"/>
      <c r="DG49064" s="256"/>
    </row>
    <row r="49065" spans="104:111">
      <c r="CZ49065" s="256"/>
      <c r="DG49065" s="256"/>
    </row>
    <row r="49066" spans="104:111">
      <c r="CZ49066" s="256"/>
      <c r="DG49066" s="256"/>
    </row>
    <row r="49067" spans="104:111">
      <c r="CZ49067" s="256"/>
      <c r="DG49067" s="256"/>
    </row>
    <row r="49068" spans="104:111">
      <c r="CZ49068" s="256"/>
      <c r="DG49068" s="256"/>
    </row>
    <row r="49069" spans="104:111">
      <c r="CZ49069" s="256"/>
      <c r="DG49069" s="256"/>
    </row>
    <row r="49070" spans="104:111">
      <c r="CZ49070" s="256"/>
      <c r="DG49070" s="256"/>
    </row>
    <row r="49071" spans="104:111">
      <c r="CZ49071" s="256"/>
      <c r="DG49071" s="256"/>
    </row>
    <row r="49072" spans="104:111">
      <c r="CZ49072" s="256"/>
      <c r="DG49072" s="256"/>
    </row>
    <row r="49073" spans="104:111">
      <c r="CZ49073" s="256"/>
      <c r="DG49073" s="256"/>
    </row>
    <row r="49074" spans="104:111">
      <c r="CZ49074" s="256"/>
      <c r="DG49074" s="256"/>
    </row>
    <row r="49075" spans="104:111">
      <c r="CZ49075" s="256"/>
      <c r="DG49075" s="256"/>
    </row>
    <row r="49076" spans="104:111">
      <c r="CZ49076" s="256"/>
      <c r="DG49076" s="256"/>
    </row>
    <row r="49077" spans="104:111">
      <c r="CZ49077" s="256"/>
      <c r="DG49077" s="256"/>
    </row>
    <row r="49078" spans="104:111">
      <c r="CZ49078" s="256"/>
      <c r="DG49078" s="256"/>
    </row>
    <row r="49079" spans="104:111">
      <c r="CZ49079" s="256"/>
      <c r="DG49079" s="256"/>
    </row>
    <row r="49080" spans="104:111">
      <c r="CZ49080" s="256"/>
      <c r="DG49080" s="256"/>
    </row>
    <row r="49081" spans="104:111">
      <c r="CZ49081" s="256"/>
      <c r="DG49081" s="256"/>
    </row>
    <row r="49082" spans="104:111">
      <c r="CZ49082" s="256"/>
      <c r="DG49082" s="256"/>
    </row>
    <row r="49083" spans="104:111">
      <c r="CZ49083" s="256"/>
      <c r="DG49083" s="256"/>
    </row>
    <row r="49084" spans="104:111">
      <c r="CZ49084" s="256"/>
      <c r="DG49084" s="256"/>
    </row>
    <row r="49085" spans="104:111">
      <c r="CZ49085" s="256"/>
      <c r="DG49085" s="256"/>
    </row>
    <row r="49086" spans="104:111">
      <c r="CZ49086" s="256"/>
      <c r="DG49086" s="256"/>
    </row>
    <row r="49087" spans="104:111">
      <c r="CZ49087" s="256"/>
      <c r="DG49087" s="256"/>
    </row>
    <row r="49088" spans="104:111">
      <c r="CZ49088" s="256"/>
      <c r="DG49088" s="256"/>
    </row>
    <row r="49089" spans="104:111">
      <c r="CZ49089" s="256"/>
      <c r="DG49089" s="256"/>
    </row>
    <row r="49090" spans="104:111">
      <c r="CZ49090" s="256"/>
      <c r="DG49090" s="256"/>
    </row>
    <row r="49091" spans="104:111">
      <c r="CZ49091" s="256"/>
      <c r="DG49091" s="256"/>
    </row>
    <row r="49092" spans="104:111">
      <c r="CZ49092" s="256"/>
      <c r="DG49092" s="256"/>
    </row>
    <row r="49093" spans="104:111">
      <c r="CZ49093" s="256"/>
      <c r="DG49093" s="256"/>
    </row>
    <row r="49094" spans="104:111">
      <c r="CZ49094" s="256"/>
      <c r="DG49094" s="256"/>
    </row>
    <row r="49095" spans="104:111">
      <c r="CZ49095" s="256"/>
      <c r="DG49095" s="256"/>
    </row>
    <row r="49096" spans="104:111">
      <c r="CZ49096" s="256"/>
      <c r="DG49096" s="256"/>
    </row>
    <row r="49097" spans="104:111">
      <c r="CZ49097" s="256"/>
      <c r="DG49097" s="256"/>
    </row>
    <row r="49098" spans="104:111">
      <c r="CZ49098" s="256"/>
      <c r="DG49098" s="256"/>
    </row>
    <row r="49099" spans="104:111">
      <c r="CZ49099" s="256"/>
      <c r="DG49099" s="256"/>
    </row>
    <row r="49100" spans="104:111">
      <c r="CZ49100" s="256"/>
      <c r="DG49100" s="256"/>
    </row>
    <row r="49101" spans="104:111">
      <c r="CZ49101" s="256"/>
      <c r="DG49101" s="256"/>
    </row>
    <row r="49102" spans="104:111">
      <c r="CZ49102" s="256"/>
      <c r="DG49102" s="256"/>
    </row>
    <row r="49103" spans="104:111">
      <c r="CZ49103" s="256"/>
      <c r="DG49103" s="256"/>
    </row>
    <row r="49104" spans="104:111">
      <c r="CZ49104" s="256"/>
      <c r="DG49104" s="256"/>
    </row>
    <row r="49105" spans="104:111">
      <c r="CZ49105" s="256"/>
      <c r="DG49105" s="256"/>
    </row>
    <row r="49106" spans="104:111">
      <c r="CZ49106" s="256"/>
      <c r="DG49106" s="256"/>
    </row>
    <row r="49107" spans="104:111">
      <c r="CZ49107" s="256"/>
      <c r="DG49107" s="256"/>
    </row>
    <row r="49108" spans="104:111">
      <c r="CZ49108" s="256"/>
      <c r="DG49108" s="256"/>
    </row>
    <row r="49109" spans="104:111">
      <c r="CZ49109" s="256"/>
      <c r="DG49109" s="256"/>
    </row>
    <row r="49110" spans="104:111">
      <c r="CZ49110" s="256"/>
      <c r="DG49110" s="256"/>
    </row>
    <row r="49111" spans="104:111">
      <c r="CZ49111" s="256"/>
      <c r="DG49111" s="256"/>
    </row>
    <row r="49112" spans="104:111">
      <c r="CZ49112" s="256"/>
      <c r="DG49112" s="256"/>
    </row>
    <row r="49113" spans="104:111">
      <c r="CZ49113" s="256"/>
      <c r="DG49113" s="256"/>
    </row>
    <row r="49114" spans="104:111">
      <c r="CZ49114" s="256"/>
      <c r="DG49114" s="256"/>
    </row>
    <row r="49115" spans="104:111">
      <c r="CZ49115" s="256"/>
      <c r="DG49115" s="256"/>
    </row>
    <row r="49116" spans="104:111">
      <c r="CZ49116" s="256"/>
      <c r="DG49116" s="256"/>
    </row>
    <row r="49117" spans="104:111">
      <c r="CZ49117" s="256"/>
      <c r="DG49117" s="256"/>
    </row>
    <row r="49118" spans="104:111">
      <c r="CZ49118" s="256"/>
      <c r="DG49118" s="256"/>
    </row>
    <row r="49119" spans="104:111">
      <c r="CZ49119" s="256"/>
      <c r="DG49119" s="256"/>
    </row>
    <row r="49120" spans="104:111">
      <c r="CZ49120" s="256"/>
      <c r="DG49120" s="256"/>
    </row>
    <row r="49121" spans="104:111">
      <c r="CZ49121" s="256"/>
      <c r="DG49121" s="256"/>
    </row>
    <row r="49122" spans="104:111">
      <c r="CZ49122" s="256"/>
      <c r="DG49122" s="256"/>
    </row>
    <row r="49123" spans="104:111">
      <c r="CZ49123" s="256"/>
      <c r="DG49123" s="256"/>
    </row>
    <row r="49124" spans="104:111">
      <c r="CZ49124" s="256"/>
      <c r="DG49124" s="256"/>
    </row>
    <row r="49125" spans="104:111">
      <c r="CZ49125" s="256"/>
      <c r="DG49125" s="256"/>
    </row>
    <row r="49126" spans="104:111">
      <c r="CZ49126" s="256"/>
      <c r="DG49126" s="256"/>
    </row>
    <row r="49127" spans="104:111">
      <c r="CZ49127" s="256"/>
      <c r="DG49127" s="256"/>
    </row>
    <row r="49128" spans="104:111">
      <c r="CZ49128" s="256"/>
      <c r="DG49128" s="256"/>
    </row>
    <row r="49129" spans="104:111">
      <c r="CZ49129" s="256"/>
      <c r="DG49129" s="256"/>
    </row>
    <row r="49130" spans="104:111">
      <c r="CZ49130" s="256"/>
      <c r="DG49130" s="256"/>
    </row>
    <row r="49131" spans="104:111">
      <c r="CZ49131" s="256"/>
      <c r="DG49131" s="256"/>
    </row>
    <row r="49132" spans="104:111">
      <c r="CZ49132" s="256"/>
      <c r="DG49132" s="256"/>
    </row>
    <row r="49133" spans="104:111">
      <c r="CZ49133" s="256"/>
      <c r="DG49133" s="256"/>
    </row>
    <row r="49134" spans="104:111">
      <c r="CZ49134" s="256"/>
      <c r="DG49134" s="256"/>
    </row>
    <row r="49135" spans="104:111">
      <c r="CZ49135" s="256"/>
      <c r="DG49135" s="256"/>
    </row>
    <row r="49136" spans="104:111">
      <c r="CZ49136" s="256"/>
      <c r="DG49136" s="256"/>
    </row>
    <row r="49137" spans="104:111">
      <c r="CZ49137" s="256"/>
      <c r="DG49137" s="256"/>
    </row>
    <row r="49138" spans="104:111">
      <c r="CZ49138" s="256"/>
      <c r="DG49138" s="256"/>
    </row>
    <row r="49139" spans="104:111">
      <c r="CZ49139" s="256"/>
      <c r="DG49139" s="256"/>
    </row>
    <row r="49140" spans="104:111">
      <c r="CZ49140" s="256"/>
      <c r="DG49140" s="256"/>
    </row>
    <row r="49141" spans="104:111">
      <c r="CZ49141" s="256"/>
      <c r="DG49141" s="256"/>
    </row>
    <row r="49142" spans="104:111">
      <c r="CZ49142" s="256"/>
      <c r="DG49142" s="256"/>
    </row>
    <row r="49143" spans="104:111">
      <c r="CZ49143" s="256"/>
      <c r="DG49143" s="256"/>
    </row>
    <row r="49144" spans="104:111">
      <c r="CZ49144" s="256"/>
      <c r="DG49144" s="256"/>
    </row>
    <row r="49145" spans="104:111">
      <c r="CZ49145" s="256"/>
      <c r="DG49145" s="256"/>
    </row>
    <row r="49146" spans="104:111">
      <c r="CZ49146" s="256"/>
      <c r="DG49146" s="256"/>
    </row>
    <row r="49147" spans="104:111">
      <c r="CZ49147" s="256"/>
      <c r="DG49147" s="256"/>
    </row>
    <row r="49148" spans="104:111">
      <c r="CZ49148" s="256"/>
      <c r="DG49148" s="256"/>
    </row>
    <row r="49149" spans="104:111">
      <c r="CZ49149" s="256"/>
      <c r="DG49149" s="256"/>
    </row>
    <row r="49150" spans="104:111">
      <c r="CZ49150" s="256"/>
      <c r="DG49150" s="256"/>
    </row>
    <row r="49151" spans="104:111">
      <c r="CZ49151" s="256"/>
      <c r="DG49151" s="256"/>
    </row>
    <row r="49152" spans="104:111">
      <c r="CZ49152" s="256"/>
      <c r="DG49152" s="256"/>
    </row>
    <row r="49153" spans="104:111">
      <c r="CZ49153" s="256"/>
      <c r="DG49153" s="256"/>
    </row>
    <row r="49154" spans="104:111">
      <c r="CZ49154" s="256"/>
      <c r="DG49154" s="256"/>
    </row>
    <row r="49155" spans="104:111">
      <c r="CZ49155" s="256"/>
      <c r="DG49155" s="256"/>
    </row>
    <row r="49156" spans="104:111">
      <c r="CZ49156" s="256"/>
      <c r="DG49156" s="256"/>
    </row>
    <row r="49157" spans="104:111">
      <c r="CZ49157" s="256"/>
      <c r="DG49157" s="256"/>
    </row>
    <row r="49158" spans="104:111">
      <c r="CZ49158" s="256"/>
      <c r="DG49158" s="256"/>
    </row>
    <row r="49159" spans="104:111">
      <c r="CZ49159" s="256"/>
      <c r="DG49159" s="256"/>
    </row>
    <row r="49160" spans="104:111">
      <c r="CZ49160" s="256"/>
      <c r="DG49160" s="256"/>
    </row>
    <row r="49161" spans="104:111">
      <c r="CZ49161" s="256"/>
      <c r="DG49161" s="256"/>
    </row>
    <row r="49162" spans="104:111">
      <c r="CZ49162" s="256"/>
      <c r="DG49162" s="256"/>
    </row>
    <row r="49163" spans="104:111">
      <c r="CZ49163" s="256"/>
      <c r="DG49163" s="256"/>
    </row>
    <row r="49164" spans="104:111">
      <c r="CZ49164" s="256"/>
      <c r="DG49164" s="256"/>
    </row>
    <row r="49165" spans="104:111">
      <c r="CZ49165" s="256"/>
      <c r="DG49165" s="256"/>
    </row>
    <row r="49166" spans="104:111">
      <c r="CZ49166" s="256"/>
      <c r="DG49166" s="256"/>
    </row>
    <row r="49167" spans="104:111">
      <c r="CZ49167" s="256"/>
      <c r="DG49167" s="256"/>
    </row>
    <row r="49168" spans="104:111">
      <c r="CZ49168" s="256"/>
      <c r="DG49168" s="256"/>
    </row>
    <row r="49169" spans="104:111">
      <c r="CZ49169" s="256"/>
      <c r="DG49169" s="256"/>
    </row>
    <row r="49170" spans="104:111">
      <c r="CZ49170" s="256"/>
      <c r="DG49170" s="256"/>
    </row>
    <row r="49171" spans="104:111">
      <c r="CZ49171" s="256"/>
      <c r="DG49171" s="256"/>
    </row>
    <row r="49172" spans="104:111">
      <c r="CZ49172" s="256"/>
      <c r="DG49172" s="256"/>
    </row>
    <row r="49173" spans="104:111">
      <c r="CZ49173" s="256"/>
      <c r="DG49173" s="256"/>
    </row>
    <row r="49174" spans="104:111">
      <c r="CZ49174" s="256"/>
      <c r="DG49174" s="256"/>
    </row>
    <row r="49175" spans="104:111">
      <c r="CZ49175" s="256"/>
      <c r="DG49175" s="256"/>
    </row>
    <row r="49176" spans="104:111">
      <c r="CZ49176" s="256"/>
      <c r="DG49176" s="256"/>
    </row>
    <row r="49177" spans="104:111">
      <c r="CZ49177" s="256"/>
      <c r="DG49177" s="256"/>
    </row>
    <row r="49178" spans="104:111">
      <c r="CZ49178" s="256"/>
      <c r="DG49178" s="256"/>
    </row>
    <row r="49179" spans="104:111">
      <c r="CZ49179" s="256"/>
      <c r="DG49179" s="256"/>
    </row>
    <row r="49180" spans="104:111">
      <c r="CZ49180" s="256"/>
      <c r="DG49180" s="256"/>
    </row>
    <row r="49181" spans="104:111">
      <c r="CZ49181" s="256"/>
      <c r="DG49181" s="256"/>
    </row>
    <row r="49182" spans="104:111">
      <c r="CZ49182" s="256"/>
      <c r="DG49182" s="256"/>
    </row>
    <row r="49183" spans="104:111">
      <c r="CZ49183" s="256"/>
      <c r="DG49183" s="256"/>
    </row>
    <row r="49184" spans="104:111">
      <c r="CZ49184" s="256"/>
      <c r="DG49184" s="256"/>
    </row>
    <row r="49185" spans="104:111">
      <c r="CZ49185" s="256"/>
      <c r="DG49185" s="256"/>
    </row>
    <row r="49186" spans="104:111">
      <c r="CZ49186" s="256"/>
      <c r="DG49186" s="256"/>
    </row>
    <row r="49187" spans="104:111">
      <c r="CZ49187" s="256"/>
      <c r="DG49187" s="256"/>
    </row>
    <row r="49188" spans="104:111">
      <c r="CZ49188" s="256"/>
      <c r="DG49188" s="256"/>
    </row>
    <row r="49189" spans="104:111">
      <c r="CZ49189" s="256"/>
      <c r="DG49189" s="256"/>
    </row>
    <row r="49190" spans="104:111">
      <c r="CZ49190" s="256"/>
      <c r="DG49190" s="256"/>
    </row>
    <row r="49191" spans="104:111">
      <c r="CZ49191" s="256"/>
      <c r="DG49191" s="256"/>
    </row>
    <row r="49192" spans="104:111">
      <c r="CZ49192" s="256"/>
      <c r="DG49192" s="256"/>
    </row>
    <row r="49193" spans="104:111">
      <c r="CZ49193" s="256"/>
      <c r="DG49193" s="256"/>
    </row>
    <row r="49194" spans="104:111">
      <c r="CZ49194" s="256"/>
      <c r="DG49194" s="256"/>
    </row>
    <row r="49195" spans="104:111">
      <c r="CZ49195" s="256"/>
      <c r="DG49195" s="256"/>
    </row>
    <row r="49196" spans="104:111">
      <c r="CZ49196" s="256"/>
      <c r="DG49196" s="256"/>
    </row>
    <row r="49197" spans="104:111">
      <c r="CZ49197" s="256"/>
      <c r="DG49197" s="256"/>
    </row>
    <row r="49198" spans="104:111">
      <c r="CZ49198" s="256"/>
      <c r="DG49198" s="256"/>
    </row>
    <row r="49199" spans="104:111">
      <c r="CZ49199" s="256"/>
      <c r="DG49199" s="256"/>
    </row>
    <row r="49200" spans="104:111">
      <c r="CZ49200" s="256"/>
      <c r="DG49200" s="256"/>
    </row>
    <row r="49201" spans="104:111">
      <c r="CZ49201" s="256"/>
      <c r="DG49201" s="256"/>
    </row>
    <row r="49202" spans="104:111">
      <c r="CZ49202" s="256"/>
      <c r="DG49202" s="256"/>
    </row>
    <row r="49203" spans="104:111">
      <c r="CZ49203" s="256"/>
      <c r="DG49203" s="256"/>
    </row>
    <row r="49204" spans="104:111">
      <c r="CZ49204" s="256"/>
      <c r="DG49204" s="256"/>
    </row>
    <row r="49205" spans="104:111">
      <c r="CZ49205" s="256"/>
      <c r="DG49205" s="256"/>
    </row>
    <row r="49206" spans="104:111">
      <c r="CZ49206" s="256"/>
      <c r="DG49206" s="256"/>
    </row>
    <row r="49207" spans="104:111">
      <c r="CZ49207" s="256"/>
      <c r="DG49207" s="256"/>
    </row>
    <row r="49208" spans="104:111">
      <c r="CZ49208" s="256"/>
      <c r="DG49208" s="256"/>
    </row>
    <row r="49209" spans="104:111">
      <c r="CZ49209" s="256"/>
      <c r="DG49209" s="256"/>
    </row>
    <row r="49210" spans="104:111">
      <c r="CZ49210" s="256"/>
      <c r="DG49210" s="256"/>
    </row>
    <row r="49211" spans="104:111">
      <c r="CZ49211" s="256"/>
      <c r="DG49211" s="256"/>
    </row>
    <row r="49212" spans="104:111">
      <c r="CZ49212" s="256"/>
      <c r="DG49212" s="256"/>
    </row>
    <row r="49213" spans="104:111">
      <c r="CZ49213" s="256"/>
      <c r="DG49213" s="256"/>
    </row>
    <row r="49214" spans="104:111">
      <c r="CZ49214" s="256"/>
      <c r="DG49214" s="256"/>
    </row>
    <row r="49215" spans="104:111">
      <c r="CZ49215" s="256"/>
      <c r="DG49215" s="256"/>
    </row>
    <row r="49216" spans="104:111">
      <c r="CZ49216" s="256"/>
      <c r="DG49216" s="256"/>
    </row>
    <row r="49217" spans="104:111">
      <c r="CZ49217" s="256"/>
      <c r="DG49217" s="256"/>
    </row>
    <row r="49218" spans="104:111">
      <c r="CZ49218" s="256"/>
      <c r="DG49218" s="256"/>
    </row>
    <row r="49219" spans="104:111">
      <c r="CZ49219" s="256"/>
      <c r="DG49219" s="256"/>
    </row>
    <row r="49220" spans="104:111">
      <c r="CZ49220" s="256"/>
      <c r="DG49220" s="256"/>
    </row>
    <row r="49221" spans="104:111">
      <c r="CZ49221" s="256"/>
      <c r="DG49221" s="256"/>
    </row>
    <row r="49222" spans="104:111">
      <c r="CZ49222" s="256"/>
      <c r="DG49222" s="256"/>
    </row>
    <row r="49223" spans="104:111">
      <c r="CZ49223" s="256"/>
      <c r="DG49223" s="256"/>
    </row>
    <row r="49224" spans="104:111">
      <c r="CZ49224" s="256"/>
      <c r="DG49224" s="256"/>
    </row>
    <row r="49225" spans="104:111">
      <c r="CZ49225" s="256"/>
      <c r="DG49225" s="256"/>
    </row>
    <row r="49226" spans="104:111">
      <c r="CZ49226" s="256"/>
      <c r="DG49226" s="256"/>
    </row>
    <row r="49227" spans="104:111">
      <c r="CZ49227" s="256"/>
      <c r="DG49227" s="256"/>
    </row>
    <row r="49228" spans="104:111">
      <c r="CZ49228" s="256"/>
      <c r="DG49228" s="256"/>
    </row>
    <row r="49229" spans="104:111">
      <c r="CZ49229" s="256"/>
      <c r="DG49229" s="256"/>
    </row>
    <row r="49230" spans="104:111">
      <c r="CZ49230" s="256"/>
      <c r="DG49230" s="256"/>
    </row>
    <row r="49231" spans="104:111">
      <c r="CZ49231" s="256"/>
      <c r="DG49231" s="256"/>
    </row>
    <row r="49232" spans="104:111">
      <c r="CZ49232" s="256"/>
      <c r="DG49232" s="256"/>
    </row>
    <row r="49233" spans="104:111">
      <c r="CZ49233" s="256"/>
      <c r="DG49233" s="256"/>
    </row>
    <row r="49234" spans="104:111">
      <c r="CZ49234" s="256"/>
      <c r="DG49234" s="256"/>
    </row>
    <row r="49235" spans="104:111">
      <c r="CZ49235" s="256"/>
      <c r="DG49235" s="256"/>
    </row>
    <row r="49236" spans="104:111">
      <c r="CZ49236" s="256"/>
      <c r="DG49236" s="256"/>
    </row>
    <row r="49237" spans="104:111">
      <c r="CZ49237" s="256"/>
      <c r="DG49237" s="256"/>
    </row>
    <row r="49238" spans="104:111">
      <c r="CZ49238" s="256"/>
      <c r="DG49238" s="256"/>
    </row>
    <row r="49239" spans="104:111">
      <c r="CZ49239" s="256"/>
      <c r="DG49239" s="256"/>
    </row>
    <row r="49240" spans="104:111">
      <c r="CZ49240" s="256"/>
      <c r="DG49240" s="256"/>
    </row>
    <row r="49241" spans="104:111">
      <c r="CZ49241" s="256"/>
      <c r="DG49241" s="256"/>
    </row>
    <row r="49242" spans="104:111">
      <c r="CZ49242" s="256"/>
      <c r="DG49242" s="256"/>
    </row>
    <row r="49243" spans="104:111">
      <c r="CZ49243" s="256"/>
      <c r="DG49243" s="256"/>
    </row>
    <row r="49244" spans="104:111">
      <c r="CZ49244" s="256"/>
      <c r="DG49244" s="256"/>
    </row>
    <row r="49245" spans="104:111">
      <c r="CZ49245" s="256"/>
      <c r="DG49245" s="256"/>
    </row>
    <row r="49246" spans="104:111">
      <c r="CZ49246" s="256"/>
      <c r="DG49246" s="256"/>
    </row>
    <row r="49247" spans="104:111">
      <c r="CZ49247" s="256"/>
      <c r="DG49247" s="256"/>
    </row>
    <row r="49248" spans="104:111">
      <c r="CZ49248" s="256"/>
      <c r="DG49248" s="256"/>
    </row>
    <row r="49249" spans="104:111">
      <c r="CZ49249" s="256"/>
      <c r="DG49249" s="256"/>
    </row>
    <row r="49250" spans="104:111">
      <c r="CZ49250" s="256"/>
      <c r="DG49250" s="256"/>
    </row>
    <row r="49251" spans="104:111">
      <c r="CZ49251" s="256"/>
      <c r="DG49251" s="256"/>
    </row>
    <row r="49252" spans="104:111">
      <c r="CZ49252" s="256"/>
      <c r="DG49252" s="256"/>
    </row>
    <row r="49253" spans="104:111">
      <c r="CZ49253" s="256"/>
      <c r="DG49253" s="256"/>
    </row>
    <row r="49254" spans="104:111">
      <c r="CZ49254" s="256"/>
      <c r="DG49254" s="256"/>
    </row>
    <row r="49255" spans="104:111">
      <c r="CZ49255" s="256"/>
      <c r="DG49255" s="256"/>
    </row>
    <row r="49256" spans="104:111">
      <c r="CZ49256" s="256"/>
      <c r="DG49256" s="256"/>
    </row>
    <row r="49257" spans="104:111">
      <c r="CZ49257" s="256"/>
      <c r="DG49257" s="256"/>
    </row>
    <row r="49258" spans="104:111">
      <c r="CZ49258" s="256"/>
      <c r="DG49258" s="256"/>
    </row>
    <row r="49259" spans="104:111">
      <c r="CZ49259" s="256"/>
      <c r="DG49259" s="256"/>
    </row>
    <row r="49260" spans="104:111">
      <c r="CZ49260" s="256"/>
      <c r="DG49260" s="256"/>
    </row>
    <row r="49261" spans="104:111">
      <c r="CZ49261" s="256"/>
      <c r="DG49261" s="256"/>
    </row>
    <row r="49262" spans="104:111">
      <c r="CZ49262" s="256"/>
      <c r="DG49262" s="256"/>
    </row>
    <row r="49263" spans="104:111">
      <c r="CZ49263" s="256"/>
      <c r="DG49263" s="256"/>
    </row>
    <row r="49264" spans="104:111">
      <c r="CZ49264" s="256"/>
      <c r="DG49264" s="256"/>
    </row>
    <row r="49265" spans="104:111">
      <c r="CZ49265" s="256"/>
      <c r="DG49265" s="256"/>
    </row>
    <row r="49266" spans="104:111">
      <c r="CZ49266" s="256"/>
      <c r="DG49266" s="256"/>
    </row>
    <row r="49267" spans="104:111">
      <c r="CZ49267" s="256"/>
      <c r="DG49267" s="256"/>
    </row>
    <row r="49268" spans="104:111">
      <c r="CZ49268" s="256"/>
      <c r="DG49268" s="256"/>
    </row>
    <row r="49269" spans="104:111">
      <c r="CZ49269" s="256"/>
      <c r="DG49269" s="256"/>
    </row>
    <row r="49270" spans="104:111">
      <c r="CZ49270" s="256"/>
      <c r="DG49270" s="256"/>
    </row>
    <row r="49271" spans="104:111">
      <c r="CZ49271" s="256"/>
      <c r="DG49271" s="256"/>
    </row>
    <row r="49272" spans="104:111">
      <c r="CZ49272" s="256"/>
      <c r="DG49272" s="256"/>
    </row>
    <row r="49273" spans="104:111">
      <c r="CZ49273" s="256"/>
      <c r="DG49273" s="256"/>
    </row>
    <row r="49274" spans="104:111">
      <c r="CZ49274" s="256"/>
      <c r="DG49274" s="256"/>
    </row>
    <row r="49275" spans="104:111">
      <c r="CZ49275" s="256"/>
      <c r="DG49275" s="256"/>
    </row>
    <row r="49276" spans="104:111">
      <c r="CZ49276" s="256"/>
      <c r="DG49276" s="256"/>
    </row>
    <row r="49277" spans="104:111">
      <c r="CZ49277" s="256"/>
      <c r="DG49277" s="256"/>
    </row>
    <row r="49278" spans="104:111">
      <c r="CZ49278" s="256"/>
      <c r="DG49278" s="256"/>
    </row>
    <row r="49279" spans="104:111">
      <c r="CZ49279" s="256"/>
      <c r="DG49279" s="256"/>
    </row>
    <row r="49280" spans="104:111">
      <c r="CZ49280" s="256"/>
      <c r="DG49280" s="256"/>
    </row>
    <row r="49281" spans="104:111">
      <c r="CZ49281" s="256"/>
      <c r="DG49281" s="256"/>
    </row>
    <row r="49282" spans="104:111">
      <c r="CZ49282" s="256"/>
      <c r="DG49282" s="256"/>
    </row>
    <row r="49283" spans="104:111">
      <c r="CZ49283" s="256"/>
      <c r="DG49283" s="256"/>
    </row>
    <row r="49284" spans="104:111">
      <c r="CZ49284" s="256"/>
      <c r="DG49284" s="256"/>
    </row>
    <row r="49285" spans="104:111">
      <c r="CZ49285" s="256"/>
      <c r="DG49285" s="256"/>
    </row>
    <row r="49286" spans="104:111">
      <c r="CZ49286" s="256"/>
      <c r="DG49286" s="256"/>
    </row>
    <row r="49287" spans="104:111">
      <c r="CZ49287" s="256"/>
      <c r="DG49287" s="256"/>
    </row>
    <row r="49288" spans="104:111">
      <c r="CZ49288" s="256"/>
      <c r="DG49288" s="256"/>
    </row>
    <row r="49289" spans="104:111">
      <c r="CZ49289" s="256"/>
      <c r="DG49289" s="256"/>
    </row>
    <row r="49290" spans="104:111">
      <c r="CZ49290" s="256"/>
      <c r="DG49290" s="256"/>
    </row>
    <row r="49291" spans="104:111">
      <c r="CZ49291" s="256"/>
      <c r="DG49291" s="256"/>
    </row>
    <row r="49292" spans="104:111">
      <c r="CZ49292" s="256"/>
      <c r="DG49292" s="256"/>
    </row>
    <row r="49293" spans="104:111">
      <c r="CZ49293" s="256"/>
      <c r="DG49293" s="256"/>
    </row>
    <row r="49294" spans="104:111">
      <c r="CZ49294" s="256"/>
      <c r="DG49294" s="256"/>
    </row>
    <row r="49295" spans="104:111">
      <c r="CZ49295" s="256"/>
      <c r="DG49295" s="256"/>
    </row>
    <row r="49296" spans="104:111">
      <c r="CZ49296" s="256"/>
      <c r="DG49296" s="256"/>
    </row>
    <row r="49297" spans="104:111">
      <c r="CZ49297" s="256"/>
      <c r="DG49297" s="256"/>
    </row>
    <row r="49298" spans="104:111">
      <c r="CZ49298" s="256"/>
      <c r="DG49298" s="256"/>
    </row>
    <row r="49299" spans="104:111">
      <c r="CZ49299" s="256"/>
      <c r="DG49299" s="256"/>
    </row>
    <row r="49300" spans="104:111">
      <c r="CZ49300" s="256"/>
      <c r="DG49300" s="256"/>
    </row>
    <row r="49301" spans="104:111">
      <c r="CZ49301" s="256"/>
      <c r="DG49301" s="256"/>
    </row>
    <row r="49302" spans="104:111">
      <c r="CZ49302" s="256"/>
      <c r="DG49302" s="256"/>
    </row>
    <row r="49303" spans="104:111">
      <c r="CZ49303" s="256"/>
      <c r="DG49303" s="256"/>
    </row>
    <row r="49304" spans="104:111">
      <c r="CZ49304" s="256"/>
      <c r="DG49304" s="256"/>
    </row>
    <row r="49305" spans="104:111">
      <c r="CZ49305" s="256"/>
      <c r="DG49305" s="256"/>
    </row>
    <row r="49306" spans="104:111">
      <c r="CZ49306" s="256"/>
      <c r="DG49306" s="256"/>
    </row>
    <row r="49307" spans="104:111">
      <c r="CZ49307" s="256"/>
      <c r="DG49307" s="256"/>
    </row>
    <row r="49308" spans="104:111">
      <c r="CZ49308" s="256"/>
      <c r="DG49308" s="256"/>
    </row>
    <row r="49309" spans="104:111">
      <c r="CZ49309" s="256"/>
      <c r="DG49309" s="256"/>
    </row>
    <row r="49310" spans="104:111">
      <c r="CZ49310" s="256"/>
      <c r="DG49310" s="256"/>
    </row>
    <row r="49311" spans="104:111">
      <c r="CZ49311" s="256"/>
      <c r="DG49311" s="256"/>
    </row>
    <row r="49312" spans="104:111">
      <c r="CZ49312" s="256"/>
      <c r="DG49312" s="256"/>
    </row>
    <row r="49313" spans="104:111">
      <c r="CZ49313" s="256"/>
      <c r="DG49313" s="256"/>
    </row>
    <row r="49314" spans="104:111">
      <c r="CZ49314" s="256"/>
      <c r="DG49314" s="256"/>
    </row>
    <row r="49315" spans="104:111">
      <c r="CZ49315" s="256"/>
      <c r="DG49315" s="256"/>
    </row>
    <row r="49316" spans="104:111">
      <c r="CZ49316" s="256"/>
      <c r="DG49316" s="256"/>
    </row>
    <row r="49317" spans="104:111">
      <c r="CZ49317" s="256"/>
      <c r="DG49317" s="256"/>
    </row>
    <row r="49318" spans="104:111">
      <c r="CZ49318" s="256"/>
      <c r="DG49318" s="256"/>
    </row>
    <row r="49319" spans="104:111">
      <c r="CZ49319" s="256"/>
      <c r="DG49319" s="256"/>
    </row>
    <row r="49320" spans="104:111">
      <c r="CZ49320" s="256"/>
      <c r="DG49320" s="256"/>
    </row>
    <row r="49321" spans="104:111">
      <c r="CZ49321" s="256"/>
      <c r="DG49321" s="256"/>
    </row>
    <row r="49322" spans="104:111">
      <c r="CZ49322" s="256"/>
      <c r="DG49322" s="256"/>
    </row>
    <row r="49323" spans="104:111">
      <c r="CZ49323" s="256"/>
      <c r="DG49323" s="256"/>
    </row>
    <row r="49324" spans="104:111">
      <c r="CZ49324" s="256"/>
      <c r="DG49324" s="256"/>
    </row>
    <row r="49325" spans="104:111">
      <c r="CZ49325" s="256"/>
      <c r="DG49325" s="256"/>
    </row>
    <row r="49326" spans="104:111">
      <c r="CZ49326" s="256"/>
      <c r="DG49326" s="256"/>
    </row>
    <row r="49327" spans="104:111">
      <c r="CZ49327" s="256"/>
      <c r="DG49327" s="256"/>
    </row>
    <row r="49328" spans="104:111">
      <c r="CZ49328" s="256"/>
      <c r="DG49328" s="256"/>
    </row>
    <row r="49329" spans="104:111">
      <c r="CZ49329" s="256"/>
      <c r="DG49329" s="256"/>
    </row>
    <row r="49330" spans="104:111">
      <c r="CZ49330" s="256"/>
      <c r="DG49330" s="256"/>
    </row>
    <row r="49331" spans="104:111">
      <c r="CZ49331" s="256"/>
      <c r="DG49331" s="256"/>
    </row>
    <row r="49332" spans="104:111">
      <c r="CZ49332" s="256"/>
      <c r="DG49332" s="256"/>
    </row>
    <row r="49333" spans="104:111">
      <c r="CZ49333" s="256"/>
      <c r="DG49333" s="256"/>
    </row>
    <row r="49334" spans="104:111">
      <c r="CZ49334" s="256"/>
      <c r="DG49334" s="256"/>
    </row>
    <row r="49335" spans="104:111">
      <c r="CZ49335" s="256"/>
      <c r="DG49335" s="256"/>
    </row>
    <row r="49336" spans="104:111">
      <c r="CZ49336" s="256"/>
      <c r="DG49336" s="256"/>
    </row>
    <row r="49337" spans="104:111">
      <c r="CZ49337" s="256"/>
      <c r="DG49337" s="256"/>
    </row>
    <row r="49338" spans="104:111">
      <c r="CZ49338" s="256"/>
      <c r="DG49338" s="256"/>
    </row>
    <row r="49339" spans="104:111">
      <c r="CZ49339" s="256"/>
      <c r="DG49339" s="256"/>
    </row>
    <row r="49340" spans="104:111">
      <c r="CZ49340" s="256"/>
      <c r="DG49340" s="256"/>
    </row>
    <row r="49341" spans="104:111">
      <c r="CZ49341" s="256"/>
      <c r="DG49341" s="256"/>
    </row>
    <row r="49342" spans="104:111">
      <c r="CZ49342" s="256"/>
      <c r="DG49342" s="256"/>
    </row>
    <row r="49343" spans="104:111">
      <c r="CZ49343" s="256"/>
      <c r="DG49343" s="256"/>
    </row>
    <row r="49344" spans="104:111">
      <c r="CZ49344" s="256"/>
      <c r="DG49344" s="256"/>
    </row>
    <row r="49345" spans="104:111">
      <c r="CZ49345" s="256"/>
      <c r="DG49345" s="256"/>
    </row>
    <row r="49346" spans="104:111">
      <c r="CZ49346" s="256"/>
      <c r="DG49346" s="256"/>
    </row>
    <row r="49347" spans="104:111">
      <c r="CZ49347" s="256"/>
      <c r="DG49347" s="256"/>
    </row>
    <row r="49348" spans="104:111">
      <c r="CZ49348" s="256"/>
      <c r="DG49348" s="256"/>
    </row>
    <row r="49349" spans="104:111">
      <c r="CZ49349" s="256"/>
      <c r="DG49349" s="256"/>
    </row>
    <row r="49350" spans="104:111">
      <c r="CZ49350" s="256"/>
      <c r="DG49350" s="256"/>
    </row>
    <row r="49351" spans="104:111">
      <c r="CZ49351" s="256"/>
      <c r="DG49351" s="256"/>
    </row>
    <row r="49352" spans="104:111">
      <c r="CZ49352" s="256"/>
      <c r="DG49352" s="256"/>
    </row>
    <row r="49353" spans="104:111">
      <c r="CZ49353" s="256"/>
      <c r="DG49353" s="256"/>
    </row>
    <row r="49354" spans="104:111">
      <c r="CZ49354" s="256"/>
      <c r="DG49354" s="256"/>
    </row>
    <row r="49355" spans="104:111">
      <c r="CZ49355" s="256"/>
      <c r="DG49355" s="256"/>
    </row>
    <row r="49356" spans="104:111">
      <c r="CZ49356" s="256"/>
      <c r="DG49356" s="256"/>
    </row>
    <row r="49357" spans="104:111">
      <c r="CZ49357" s="256"/>
      <c r="DG49357" s="256"/>
    </row>
    <row r="49358" spans="104:111">
      <c r="CZ49358" s="256"/>
      <c r="DG49358" s="256"/>
    </row>
    <row r="49359" spans="104:111">
      <c r="CZ49359" s="256"/>
      <c r="DG49359" s="256"/>
    </row>
    <row r="49360" spans="104:111">
      <c r="CZ49360" s="256"/>
      <c r="DG49360" s="256"/>
    </row>
    <row r="49361" spans="104:111">
      <c r="CZ49361" s="256"/>
      <c r="DG49361" s="256"/>
    </row>
    <row r="49362" spans="104:111">
      <c r="CZ49362" s="256"/>
      <c r="DG49362" s="256"/>
    </row>
    <row r="49363" spans="104:111">
      <c r="CZ49363" s="256"/>
      <c r="DG49363" s="256"/>
    </row>
    <row r="49364" spans="104:111">
      <c r="CZ49364" s="256"/>
      <c r="DG49364" s="256"/>
    </row>
    <row r="49365" spans="104:111">
      <c r="CZ49365" s="256"/>
      <c r="DG49365" s="256"/>
    </row>
    <row r="49366" spans="104:111">
      <c r="CZ49366" s="256"/>
      <c r="DG49366" s="256"/>
    </row>
    <row r="49367" spans="104:111">
      <c r="CZ49367" s="256"/>
      <c r="DG49367" s="256"/>
    </row>
    <row r="49368" spans="104:111">
      <c r="CZ49368" s="256"/>
      <c r="DG49368" s="256"/>
    </row>
    <row r="49369" spans="104:111">
      <c r="CZ49369" s="256"/>
      <c r="DG49369" s="256"/>
    </row>
    <row r="49370" spans="104:111">
      <c r="CZ49370" s="256"/>
      <c r="DG49370" s="256"/>
    </row>
    <row r="49371" spans="104:111">
      <c r="CZ49371" s="256"/>
      <c r="DG49371" s="256"/>
    </row>
    <row r="49372" spans="104:111">
      <c r="CZ49372" s="256"/>
      <c r="DG49372" s="256"/>
    </row>
    <row r="49373" spans="104:111">
      <c r="CZ49373" s="256"/>
      <c r="DG49373" s="256"/>
    </row>
    <row r="49374" spans="104:111">
      <c r="CZ49374" s="256"/>
      <c r="DG49374" s="256"/>
    </row>
    <row r="49375" spans="104:111">
      <c r="CZ49375" s="256"/>
      <c r="DG49375" s="256"/>
    </row>
    <row r="49376" spans="104:111">
      <c r="CZ49376" s="256"/>
      <c r="DG49376" s="256"/>
    </row>
    <row r="49377" spans="104:111">
      <c r="CZ49377" s="256"/>
      <c r="DG49377" s="256"/>
    </row>
    <row r="49378" spans="104:111">
      <c r="CZ49378" s="256"/>
      <c r="DG49378" s="256"/>
    </row>
    <row r="49379" spans="104:111">
      <c r="CZ49379" s="256"/>
      <c r="DG49379" s="256"/>
    </row>
    <row r="49380" spans="104:111">
      <c r="CZ49380" s="256"/>
      <c r="DG49380" s="256"/>
    </row>
    <row r="49381" spans="104:111">
      <c r="CZ49381" s="256"/>
      <c r="DG49381" s="256"/>
    </row>
    <row r="49382" spans="104:111">
      <c r="CZ49382" s="256"/>
      <c r="DG49382" s="256"/>
    </row>
    <row r="49383" spans="104:111">
      <c r="CZ49383" s="256"/>
      <c r="DG49383" s="256"/>
    </row>
    <row r="49384" spans="104:111">
      <c r="CZ49384" s="256"/>
      <c r="DG49384" s="256"/>
    </row>
    <row r="49385" spans="104:111">
      <c r="CZ49385" s="256"/>
      <c r="DG49385" s="256"/>
    </row>
    <row r="49386" spans="104:111">
      <c r="CZ49386" s="256"/>
      <c r="DG49386" s="256"/>
    </row>
    <row r="49387" spans="104:111">
      <c r="CZ49387" s="256"/>
      <c r="DG49387" s="256"/>
    </row>
    <row r="49388" spans="104:111">
      <c r="CZ49388" s="256"/>
      <c r="DG49388" s="256"/>
    </row>
    <row r="49389" spans="104:111">
      <c r="CZ49389" s="256"/>
      <c r="DG49389" s="256"/>
    </row>
    <row r="49390" spans="104:111">
      <c r="CZ49390" s="256"/>
      <c r="DG49390" s="256"/>
    </row>
    <row r="49391" spans="104:111">
      <c r="CZ49391" s="256"/>
      <c r="DG49391" s="256"/>
    </row>
    <row r="49392" spans="104:111">
      <c r="CZ49392" s="256"/>
      <c r="DG49392" s="256"/>
    </row>
    <row r="49393" spans="104:111">
      <c r="CZ49393" s="256"/>
      <c r="DG49393" s="256"/>
    </row>
    <row r="49394" spans="104:111">
      <c r="CZ49394" s="256"/>
      <c r="DG49394" s="256"/>
    </row>
    <row r="49395" spans="104:111">
      <c r="CZ49395" s="256"/>
      <c r="DG49395" s="256"/>
    </row>
    <row r="49396" spans="104:111">
      <c r="CZ49396" s="256"/>
      <c r="DG49396" s="256"/>
    </row>
    <row r="49397" spans="104:111">
      <c r="CZ49397" s="256"/>
      <c r="DG49397" s="256"/>
    </row>
    <row r="49398" spans="104:111">
      <c r="CZ49398" s="256"/>
      <c r="DG49398" s="256"/>
    </row>
    <row r="49399" spans="104:111">
      <c r="CZ49399" s="256"/>
      <c r="DG49399" s="256"/>
    </row>
    <row r="49400" spans="104:111">
      <c r="CZ49400" s="256"/>
      <c r="DG49400" s="256"/>
    </row>
    <row r="49401" spans="104:111">
      <c r="CZ49401" s="256"/>
      <c r="DG49401" s="256"/>
    </row>
    <row r="49402" spans="104:111">
      <c r="CZ49402" s="256"/>
      <c r="DG49402" s="256"/>
    </row>
    <row r="49403" spans="104:111">
      <c r="CZ49403" s="256"/>
      <c r="DG49403" s="256"/>
    </row>
    <row r="49404" spans="104:111">
      <c r="CZ49404" s="256"/>
      <c r="DG49404" s="256"/>
    </row>
    <row r="49405" spans="104:111">
      <c r="CZ49405" s="256"/>
      <c r="DG49405" s="256"/>
    </row>
    <row r="49406" spans="104:111">
      <c r="CZ49406" s="256"/>
      <c r="DG49406" s="256"/>
    </row>
    <row r="49407" spans="104:111">
      <c r="CZ49407" s="256"/>
      <c r="DG49407" s="256"/>
    </row>
    <row r="49408" spans="104:111">
      <c r="CZ49408" s="256"/>
      <c r="DG49408" s="256"/>
    </row>
    <row r="49409" spans="104:111">
      <c r="CZ49409" s="256"/>
      <c r="DG49409" s="256"/>
    </row>
    <row r="49410" spans="104:111">
      <c r="CZ49410" s="256"/>
      <c r="DG49410" s="256"/>
    </row>
    <row r="49411" spans="104:111">
      <c r="CZ49411" s="256"/>
      <c r="DG49411" s="256"/>
    </row>
    <row r="49412" spans="104:111">
      <c r="CZ49412" s="256"/>
      <c r="DG49412" s="256"/>
    </row>
    <row r="49413" spans="104:111">
      <c r="CZ49413" s="256"/>
      <c r="DG49413" s="256"/>
    </row>
    <row r="49414" spans="104:111">
      <c r="CZ49414" s="256"/>
      <c r="DG49414" s="256"/>
    </row>
    <row r="49415" spans="104:111">
      <c r="CZ49415" s="256"/>
      <c r="DG49415" s="256"/>
    </row>
    <row r="49416" spans="104:111">
      <c r="CZ49416" s="256"/>
      <c r="DG49416" s="256"/>
    </row>
    <row r="49417" spans="104:111">
      <c r="CZ49417" s="256"/>
      <c r="DG49417" s="256"/>
    </row>
    <row r="49418" spans="104:111">
      <c r="CZ49418" s="256"/>
      <c r="DG49418" s="256"/>
    </row>
    <row r="49419" spans="104:111">
      <c r="CZ49419" s="256"/>
      <c r="DG49419" s="256"/>
    </row>
    <row r="49420" spans="104:111">
      <c r="CZ49420" s="256"/>
      <c r="DG49420" s="256"/>
    </row>
    <row r="49421" spans="104:111">
      <c r="CZ49421" s="256"/>
      <c r="DG49421" s="256"/>
    </row>
    <row r="49422" spans="104:111">
      <c r="CZ49422" s="256"/>
      <c r="DG49422" s="256"/>
    </row>
    <row r="49423" spans="104:111">
      <c r="CZ49423" s="256"/>
      <c r="DG49423" s="256"/>
    </row>
    <row r="49424" spans="104:111">
      <c r="CZ49424" s="256"/>
      <c r="DG49424" s="256"/>
    </row>
    <row r="49425" spans="104:111">
      <c r="CZ49425" s="256"/>
      <c r="DG49425" s="256"/>
    </row>
    <row r="49426" spans="104:111">
      <c r="CZ49426" s="256"/>
      <c r="DG49426" s="256"/>
    </row>
    <row r="49427" spans="104:111">
      <c r="CZ49427" s="256"/>
      <c r="DG49427" s="256"/>
    </row>
    <row r="49428" spans="104:111">
      <c r="CZ49428" s="256"/>
      <c r="DG49428" s="256"/>
    </row>
    <row r="49429" spans="104:111">
      <c r="CZ49429" s="256"/>
      <c r="DG49429" s="256"/>
    </row>
    <row r="49430" spans="104:111">
      <c r="CZ49430" s="256"/>
      <c r="DG49430" s="256"/>
    </row>
    <row r="49431" spans="104:111">
      <c r="CZ49431" s="256"/>
      <c r="DG49431" s="256"/>
    </row>
    <row r="49432" spans="104:111">
      <c r="CZ49432" s="256"/>
      <c r="DG49432" s="256"/>
    </row>
    <row r="49433" spans="104:111">
      <c r="CZ49433" s="256"/>
      <c r="DG49433" s="256"/>
    </row>
    <row r="49434" spans="104:111">
      <c r="CZ49434" s="256"/>
      <c r="DG49434" s="256"/>
    </row>
    <row r="49435" spans="104:111">
      <c r="CZ49435" s="256"/>
      <c r="DG49435" s="256"/>
    </row>
    <row r="49436" spans="104:111">
      <c r="CZ49436" s="256"/>
      <c r="DG49436" s="256"/>
    </row>
    <row r="49437" spans="104:111">
      <c r="CZ49437" s="256"/>
      <c r="DG49437" s="256"/>
    </row>
    <row r="49438" spans="104:111">
      <c r="CZ49438" s="256"/>
      <c r="DG49438" s="256"/>
    </row>
    <row r="49439" spans="104:111">
      <c r="CZ49439" s="256"/>
      <c r="DG49439" s="256"/>
    </row>
    <row r="49440" spans="104:111">
      <c r="CZ49440" s="256"/>
      <c r="DG49440" s="256"/>
    </row>
    <row r="49441" spans="104:111">
      <c r="CZ49441" s="256"/>
      <c r="DG49441" s="256"/>
    </row>
    <row r="49442" spans="104:111">
      <c r="CZ49442" s="256"/>
      <c r="DG49442" s="256"/>
    </row>
    <row r="49443" spans="104:111">
      <c r="CZ49443" s="256"/>
      <c r="DG49443" s="256"/>
    </row>
    <row r="49444" spans="104:111">
      <c r="CZ49444" s="256"/>
      <c r="DG49444" s="256"/>
    </row>
    <row r="49445" spans="104:111">
      <c r="CZ49445" s="256"/>
      <c r="DG49445" s="256"/>
    </row>
    <row r="49446" spans="104:111">
      <c r="CZ49446" s="256"/>
      <c r="DG49446" s="256"/>
    </row>
    <row r="49447" spans="104:111">
      <c r="CZ49447" s="256"/>
      <c r="DG49447" s="256"/>
    </row>
    <row r="49448" spans="104:111">
      <c r="CZ49448" s="256"/>
      <c r="DG49448" s="256"/>
    </row>
    <row r="49449" spans="104:111">
      <c r="CZ49449" s="256"/>
      <c r="DG49449" s="256"/>
    </row>
    <row r="49450" spans="104:111">
      <c r="CZ49450" s="256"/>
      <c r="DG49450" s="256"/>
    </row>
    <row r="49451" spans="104:111">
      <c r="CZ49451" s="256"/>
      <c r="DG49451" s="256"/>
    </row>
    <row r="49452" spans="104:111">
      <c r="CZ49452" s="256"/>
      <c r="DG49452" s="256"/>
    </row>
    <row r="49453" spans="104:111">
      <c r="CZ49453" s="256"/>
      <c r="DG49453" s="256"/>
    </row>
    <row r="49454" spans="104:111">
      <c r="CZ49454" s="256"/>
      <c r="DG49454" s="256"/>
    </row>
    <row r="49455" spans="104:111">
      <c r="CZ49455" s="256"/>
      <c r="DG49455" s="256"/>
    </row>
    <row r="49456" spans="104:111">
      <c r="CZ49456" s="256"/>
      <c r="DG49456" s="256"/>
    </row>
    <row r="49457" spans="104:111">
      <c r="CZ49457" s="256"/>
      <c r="DG49457" s="256"/>
    </row>
    <row r="49458" spans="104:111">
      <c r="CZ49458" s="256"/>
      <c r="DG49458" s="256"/>
    </row>
    <row r="49459" spans="104:111">
      <c r="CZ49459" s="256"/>
      <c r="DG49459" s="256"/>
    </row>
    <row r="49460" spans="104:111">
      <c r="CZ49460" s="256"/>
      <c r="DG49460" s="256"/>
    </row>
    <row r="49461" spans="104:111">
      <c r="CZ49461" s="256"/>
      <c r="DG49461" s="256"/>
    </row>
    <row r="49462" spans="104:111">
      <c r="CZ49462" s="256"/>
      <c r="DG49462" s="256"/>
    </row>
    <row r="49463" spans="104:111">
      <c r="CZ49463" s="256"/>
      <c r="DG49463" s="256"/>
    </row>
    <row r="49464" spans="104:111">
      <c r="CZ49464" s="256"/>
      <c r="DG49464" s="256"/>
    </row>
    <row r="49465" spans="104:111">
      <c r="CZ49465" s="256"/>
      <c r="DG49465" s="256"/>
    </row>
    <row r="49466" spans="104:111">
      <c r="CZ49466" s="256"/>
      <c r="DG49466" s="256"/>
    </row>
    <row r="49467" spans="104:111">
      <c r="CZ49467" s="256"/>
      <c r="DG49467" s="256"/>
    </row>
    <row r="49468" spans="104:111">
      <c r="CZ49468" s="256"/>
      <c r="DG49468" s="256"/>
    </row>
    <row r="49469" spans="104:111">
      <c r="CZ49469" s="256"/>
      <c r="DG49469" s="256"/>
    </row>
    <row r="49470" spans="104:111">
      <c r="CZ49470" s="256"/>
      <c r="DG49470" s="256"/>
    </row>
    <row r="49471" spans="104:111">
      <c r="CZ49471" s="256"/>
      <c r="DG49471" s="256"/>
    </row>
    <row r="49472" spans="104:111">
      <c r="CZ49472" s="256"/>
      <c r="DG49472" s="256"/>
    </row>
    <row r="49473" spans="104:111">
      <c r="CZ49473" s="256"/>
      <c r="DG49473" s="256"/>
    </row>
    <row r="49474" spans="104:111">
      <c r="CZ49474" s="256"/>
      <c r="DG49474" s="256"/>
    </row>
    <row r="49475" spans="104:111">
      <c r="CZ49475" s="256"/>
      <c r="DG49475" s="256"/>
    </row>
    <row r="49476" spans="104:111">
      <c r="CZ49476" s="256"/>
      <c r="DG49476" s="256"/>
    </row>
    <row r="49477" spans="104:111">
      <c r="CZ49477" s="256"/>
      <c r="DG49477" s="256"/>
    </row>
    <row r="49478" spans="104:111">
      <c r="CZ49478" s="256"/>
      <c r="DG49478" s="256"/>
    </row>
    <row r="49479" spans="104:111">
      <c r="CZ49479" s="256"/>
      <c r="DG49479" s="256"/>
    </row>
    <row r="49480" spans="104:111">
      <c r="CZ49480" s="256"/>
      <c r="DG49480" s="256"/>
    </row>
    <row r="49481" spans="104:111">
      <c r="CZ49481" s="256"/>
      <c r="DG49481" s="256"/>
    </row>
    <row r="49482" spans="104:111">
      <c r="CZ49482" s="256"/>
      <c r="DG49482" s="256"/>
    </row>
    <row r="49483" spans="104:111">
      <c r="CZ49483" s="256"/>
      <c r="DG49483" s="256"/>
    </row>
    <row r="49484" spans="104:111">
      <c r="CZ49484" s="256"/>
      <c r="DG49484" s="256"/>
    </row>
    <row r="49485" spans="104:111">
      <c r="CZ49485" s="256"/>
      <c r="DG49485" s="256"/>
    </row>
    <row r="49486" spans="104:111">
      <c r="CZ49486" s="256"/>
      <c r="DG49486" s="256"/>
    </row>
    <row r="49487" spans="104:111">
      <c r="CZ49487" s="256"/>
      <c r="DG49487" s="256"/>
    </row>
    <row r="49488" spans="104:111">
      <c r="CZ49488" s="256"/>
      <c r="DG49488" s="256"/>
    </row>
    <row r="49489" spans="104:111">
      <c r="CZ49489" s="256"/>
      <c r="DG49489" s="256"/>
    </row>
    <row r="49490" spans="104:111">
      <c r="CZ49490" s="256"/>
      <c r="DG49490" s="256"/>
    </row>
    <row r="49491" spans="104:111">
      <c r="CZ49491" s="256"/>
      <c r="DG49491" s="256"/>
    </row>
    <row r="49492" spans="104:111">
      <c r="CZ49492" s="256"/>
      <c r="DG49492" s="256"/>
    </row>
    <row r="49493" spans="104:111">
      <c r="CZ49493" s="256"/>
      <c r="DG49493" s="256"/>
    </row>
    <row r="49494" spans="104:111">
      <c r="CZ49494" s="256"/>
      <c r="DG49494" s="256"/>
    </row>
    <row r="49495" spans="104:111">
      <c r="CZ49495" s="256"/>
      <c r="DG49495" s="256"/>
    </row>
    <row r="49496" spans="104:111">
      <c r="CZ49496" s="256"/>
      <c r="DG49496" s="256"/>
    </row>
    <row r="49497" spans="104:111">
      <c r="CZ49497" s="256"/>
      <c r="DG49497" s="256"/>
    </row>
    <row r="49498" spans="104:111">
      <c r="CZ49498" s="256"/>
      <c r="DG49498" s="256"/>
    </row>
    <row r="49499" spans="104:111">
      <c r="CZ49499" s="256"/>
      <c r="DG49499" s="256"/>
    </row>
    <row r="49500" spans="104:111">
      <c r="CZ49500" s="256"/>
      <c r="DG49500" s="256"/>
    </row>
    <row r="49501" spans="104:111">
      <c r="CZ49501" s="256"/>
      <c r="DG49501" s="256"/>
    </row>
    <row r="49502" spans="104:111">
      <c r="CZ49502" s="256"/>
      <c r="DG49502" s="256"/>
    </row>
    <row r="49503" spans="104:111">
      <c r="CZ49503" s="256"/>
      <c r="DG49503" s="256"/>
    </row>
    <row r="49504" spans="104:111">
      <c r="CZ49504" s="256"/>
      <c r="DG49504" s="256"/>
    </row>
    <row r="49505" spans="104:111">
      <c r="CZ49505" s="256"/>
      <c r="DG49505" s="256"/>
    </row>
    <row r="49506" spans="104:111">
      <c r="CZ49506" s="256"/>
      <c r="DG49506" s="256"/>
    </row>
    <row r="49507" spans="104:111">
      <c r="CZ49507" s="256"/>
      <c r="DG49507" s="256"/>
    </row>
    <row r="49508" spans="104:111">
      <c r="CZ49508" s="256"/>
      <c r="DG49508" s="256"/>
    </row>
    <row r="49509" spans="104:111">
      <c r="CZ49509" s="256"/>
      <c r="DG49509" s="256"/>
    </row>
    <row r="49510" spans="104:111">
      <c r="CZ49510" s="256"/>
      <c r="DG49510" s="256"/>
    </row>
    <row r="49511" spans="104:111">
      <c r="CZ49511" s="256"/>
      <c r="DG49511" s="256"/>
    </row>
    <row r="49512" spans="104:111">
      <c r="CZ49512" s="256"/>
      <c r="DG49512" s="256"/>
    </row>
    <row r="49513" spans="104:111">
      <c r="CZ49513" s="256"/>
      <c r="DG49513" s="256"/>
    </row>
    <row r="49514" spans="104:111">
      <c r="CZ49514" s="256"/>
      <c r="DG49514" s="256"/>
    </row>
    <row r="49515" spans="104:111">
      <c r="CZ49515" s="256"/>
      <c r="DG49515" s="256"/>
    </row>
    <row r="49516" spans="104:111">
      <c r="CZ49516" s="256"/>
      <c r="DG49516" s="256"/>
    </row>
    <row r="49517" spans="104:111">
      <c r="CZ49517" s="256"/>
      <c r="DG49517" s="256"/>
    </row>
    <row r="49518" spans="104:111">
      <c r="CZ49518" s="256"/>
      <c r="DG49518" s="256"/>
    </row>
    <row r="49519" spans="104:111">
      <c r="CZ49519" s="256"/>
      <c r="DG49519" s="256"/>
    </row>
    <row r="49520" spans="104:111">
      <c r="CZ49520" s="256"/>
      <c r="DG49520" s="256"/>
    </row>
    <row r="49521" spans="104:111">
      <c r="CZ49521" s="256"/>
      <c r="DG49521" s="256"/>
    </row>
    <row r="49522" spans="104:111">
      <c r="CZ49522" s="256"/>
      <c r="DG49522" s="256"/>
    </row>
    <row r="49523" spans="104:111">
      <c r="CZ49523" s="256"/>
      <c r="DG49523" s="256"/>
    </row>
    <row r="49524" spans="104:111">
      <c r="CZ49524" s="256"/>
      <c r="DG49524" s="256"/>
    </row>
    <row r="49525" spans="104:111">
      <c r="CZ49525" s="256"/>
      <c r="DG49525" s="256"/>
    </row>
    <row r="49526" spans="104:111">
      <c r="CZ49526" s="256"/>
      <c r="DG49526" s="256"/>
    </row>
    <row r="49527" spans="104:111">
      <c r="CZ49527" s="256"/>
      <c r="DG49527" s="256"/>
    </row>
    <row r="49528" spans="104:111">
      <c r="CZ49528" s="256"/>
      <c r="DG49528" s="256"/>
    </row>
    <row r="49529" spans="104:111">
      <c r="CZ49529" s="256"/>
      <c r="DG49529" s="256"/>
    </row>
    <row r="49530" spans="104:111">
      <c r="CZ49530" s="256"/>
      <c r="DG49530" s="256"/>
    </row>
    <row r="49531" spans="104:111">
      <c r="CZ49531" s="256"/>
      <c r="DG49531" s="256"/>
    </row>
    <row r="49532" spans="104:111">
      <c r="CZ49532" s="256"/>
      <c r="DG49532" s="256"/>
    </row>
    <row r="49533" spans="104:111">
      <c r="CZ49533" s="256"/>
      <c r="DG49533" s="256"/>
    </row>
    <row r="49534" spans="104:111">
      <c r="CZ49534" s="256"/>
      <c r="DG49534" s="256"/>
    </row>
    <row r="49535" spans="104:111">
      <c r="CZ49535" s="256"/>
      <c r="DG49535" s="256"/>
    </row>
    <row r="49536" spans="104:111">
      <c r="CZ49536" s="256"/>
      <c r="DG49536" s="256"/>
    </row>
    <row r="49537" spans="104:111">
      <c r="CZ49537" s="256"/>
      <c r="DG49537" s="256"/>
    </row>
    <row r="49538" spans="104:111">
      <c r="CZ49538" s="256"/>
      <c r="DG49538" s="256"/>
    </row>
    <row r="49539" spans="104:111">
      <c r="CZ49539" s="256"/>
      <c r="DG49539" s="256"/>
    </row>
    <row r="49540" spans="104:111">
      <c r="CZ49540" s="256"/>
      <c r="DG49540" s="256"/>
    </row>
    <row r="49541" spans="104:111">
      <c r="CZ49541" s="256"/>
      <c r="DG49541" s="256"/>
    </row>
    <row r="49542" spans="104:111">
      <c r="CZ49542" s="256"/>
      <c r="DG49542" s="256"/>
    </row>
    <row r="49543" spans="104:111">
      <c r="CZ49543" s="256"/>
      <c r="DG49543" s="256"/>
    </row>
    <row r="49544" spans="104:111">
      <c r="CZ49544" s="256"/>
      <c r="DG49544" s="256"/>
    </row>
    <row r="49545" spans="104:111">
      <c r="CZ49545" s="256"/>
      <c r="DG49545" s="256"/>
    </row>
    <row r="49546" spans="104:111">
      <c r="CZ49546" s="256"/>
      <c r="DG49546" s="256"/>
    </row>
    <row r="49547" spans="104:111">
      <c r="CZ49547" s="256"/>
      <c r="DG49547" s="256"/>
    </row>
    <row r="49548" spans="104:111">
      <c r="CZ49548" s="256"/>
      <c r="DG49548" s="256"/>
    </row>
    <row r="49549" spans="104:111">
      <c r="CZ49549" s="256"/>
      <c r="DG49549" s="256"/>
    </row>
    <row r="49550" spans="104:111">
      <c r="CZ49550" s="256"/>
      <c r="DG49550" s="256"/>
    </row>
    <row r="49551" spans="104:111">
      <c r="CZ49551" s="256"/>
      <c r="DG49551" s="256"/>
    </row>
    <row r="49552" spans="104:111">
      <c r="CZ49552" s="256"/>
      <c r="DG49552" s="256"/>
    </row>
    <row r="49553" spans="104:111">
      <c r="CZ49553" s="256"/>
      <c r="DG49553" s="256"/>
    </row>
    <row r="49554" spans="104:111">
      <c r="CZ49554" s="256"/>
      <c r="DG49554" s="256"/>
    </row>
    <row r="49555" spans="104:111">
      <c r="CZ49555" s="256"/>
      <c r="DG49555" s="256"/>
    </row>
    <row r="49556" spans="104:111">
      <c r="CZ49556" s="256"/>
      <c r="DG49556" s="256"/>
    </row>
    <row r="49557" spans="104:111">
      <c r="CZ49557" s="256"/>
      <c r="DG49557" s="256"/>
    </row>
    <row r="49558" spans="104:111">
      <c r="CZ49558" s="256"/>
      <c r="DG49558" s="256"/>
    </row>
    <row r="49559" spans="104:111">
      <c r="CZ49559" s="256"/>
      <c r="DG49559" s="256"/>
    </row>
    <row r="49560" spans="104:111">
      <c r="CZ49560" s="256"/>
      <c r="DG49560" s="256"/>
    </row>
    <row r="49561" spans="104:111">
      <c r="CZ49561" s="256"/>
      <c r="DG49561" s="256"/>
    </row>
    <row r="49562" spans="104:111">
      <c r="CZ49562" s="256"/>
      <c r="DG49562" s="256"/>
    </row>
    <row r="49563" spans="104:111">
      <c r="CZ49563" s="256"/>
      <c r="DG49563" s="256"/>
    </row>
    <row r="49564" spans="104:111">
      <c r="CZ49564" s="256"/>
      <c r="DG49564" s="256"/>
    </row>
    <row r="49565" spans="104:111">
      <c r="CZ49565" s="256"/>
      <c r="DG49565" s="256"/>
    </row>
    <row r="49566" spans="104:111">
      <c r="CZ49566" s="256"/>
      <c r="DG49566" s="256"/>
    </row>
    <row r="49567" spans="104:111">
      <c r="CZ49567" s="256"/>
      <c r="DG49567" s="256"/>
    </row>
    <row r="49568" spans="104:111">
      <c r="CZ49568" s="256"/>
      <c r="DG49568" s="256"/>
    </row>
    <row r="49569" spans="104:111">
      <c r="CZ49569" s="256"/>
      <c r="DG49569" s="256"/>
    </row>
    <row r="49570" spans="104:111">
      <c r="CZ49570" s="256"/>
      <c r="DG49570" s="256"/>
    </row>
    <row r="49571" spans="104:111">
      <c r="CZ49571" s="256"/>
      <c r="DG49571" s="256"/>
    </row>
    <row r="49572" spans="104:111">
      <c r="CZ49572" s="256"/>
      <c r="DG49572" s="256"/>
    </row>
    <row r="49573" spans="104:111">
      <c r="CZ49573" s="256"/>
      <c r="DG49573" s="256"/>
    </row>
    <row r="49574" spans="104:111">
      <c r="CZ49574" s="256"/>
      <c r="DG49574" s="256"/>
    </row>
    <row r="49575" spans="104:111">
      <c r="CZ49575" s="256"/>
      <c r="DG49575" s="256"/>
    </row>
    <row r="49576" spans="104:111">
      <c r="CZ49576" s="256"/>
      <c r="DG49576" s="256"/>
    </row>
    <row r="49577" spans="104:111">
      <c r="CZ49577" s="256"/>
      <c r="DG49577" s="256"/>
    </row>
    <row r="49578" spans="104:111">
      <c r="CZ49578" s="256"/>
      <c r="DG49578" s="256"/>
    </row>
    <row r="49579" spans="104:111">
      <c r="CZ49579" s="256"/>
      <c r="DG49579" s="256"/>
    </row>
    <row r="49580" spans="104:111">
      <c r="CZ49580" s="256"/>
      <c r="DG49580" s="256"/>
    </row>
    <row r="49581" spans="104:111">
      <c r="CZ49581" s="256"/>
      <c r="DG49581" s="256"/>
    </row>
    <row r="49582" spans="104:111">
      <c r="CZ49582" s="256"/>
      <c r="DG49582" s="256"/>
    </row>
    <row r="49583" spans="104:111">
      <c r="CZ49583" s="256"/>
      <c r="DG49583" s="256"/>
    </row>
    <row r="49584" spans="104:111">
      <c r="CZ49584" s="256"/>
      <c r="DG49584" s="256"/>
    </row>
    <row r="49585" spans="104:111">
      <c r="CZ49585" s="256"/>
      <c r="DG49585" s="256"/>
    </row>
    <row r="49586" spans="104:111">
      <c r="CZ49586" s="256"/>
      <c r="DG49586" s="256"/>
    </row>
    <row r="49587" spans="104:111">
      <c r="CZ49587" s="256"/>
      <c r="DG49587" s="256"/>
    </row>
    <row r="49588" spans="104:111">
      <c r="CZ49588" s="256"/>
      <c r="DG49588" s="256"/>
    </row>
    <row r="49589" spans="104:111">
      <c r="CZ49589" s="256"/>
      <c r="DG49589" s="256"/>
    </row>
    <row r="49590" spans="104:111">
      <c r="CZ49590" s="256"/>
      <c r="DG49590" s="256"/>
    </row>
    <row r="49591" spans="104:111">
      <c r="CZ49591" s="256"/>
      <c r="DG49591" s="256"/>
    </row>
    <row r="49592" spans="104:111">
      <c r="CZ49592" s="256"/>
      <c r="DG49592" s="256"/>
    </row>
    <row r="49593" spans="104:111">
      <c r="CZ49593" s="256"/>
      <c r="DG49593" s="256"/>
    </row>
    <row r="49594" spans="104:111">
      <c r="CZ49594" s="256"/>
      <c r="DG49594" s="256"/>
    </row>
    <row r="49595" spans="104:111">
      <c r="CZ49595" s="256"/>
      <c r="DG49595" s="256"/>
    </row>
    <row r="49596" spans="104:111">
      <c r="CZ49596" s="256"/>
      <c r="DG49596" s="256"/>
    </row>
    <row r="49597" spans="104:111">
      <c r="CZ49597" s="256"/>
      <c r="DG49597" s="256"/>
    </row>
    <row r="49598" spans="104:111">
      <c r="CZ49598" s="256"/>
      <c r="DG49598" s="256"/>
    </row>
    <row r="49599" spans="104:111">
      <c r="CZ49599" s="256"/>
      <c r="DG49599" s="256"/>
    </row>
    <row r="49600" spans="104:111">
      <c r="CZ49600" s="256"/>
      <c r="DG49600" s="256"/>
    </row>
    <row r="49601" spans="104:111">
      <c r="CZ49601" s="256"/>
      <c r="DG49601" s="256"/>
    </row>
    <row r="49602" spans="104:111">
      <c r="CZ49602" s="256"/>
      <c r="DG49602" s="256"/>
    </row>
    <row r="49603" spans="104:111">
      <c r="CZ49603" s="256"/>
      <c r="DG49603" s="256"/>
    </row>
    <row r="49604" spans="104:111">
      <c r="CZ49604" s="256"/>
      <c r="DG49604" s="256"/>
    </row>
    <row r="49605" spans="104:111">
      <c r="CZ49605" s="256"/>
      <c r="DG49605" s="256"/>
    </row>
    <row r="49606" spans="104:111">
      <c r="CZ49606" s="256"/>
      <c r="DG49606" s="256"/>
    </row>
    <row r="49607" spans="104:111">
      <c r="CZ49607" s="256"/>
      <c r="DG49607" s="256"/>
    </row>
    <row r="49608" spans="104:111">
      <c r="CZ49608" s="256"/>
      <c r="DG49608" s="256"/>
    </row>
    <row r="49609" spans="104:111">
      <c r="CZ49609" s="256"/>
      <c r="DG49609" s="256"/>
    </row>
    <row r="49610" spans="104:111">
      <c r="CZ49610" s="256"/>
      <c r="DG49610" s="256"/>
    </row>
    <row r="49611" spans="104:111">
      <c r="CZ49611" s="256"/>
      <c r="DG49611" s="256"/>
    </row>
    <row r="49612" spans="104:111">
      <c r="CZ49612" s="256"/>
      <c r="DG49612" s="256"/>
    </row>
    <row r="49613" spans="104:111">
      <c r="CZ49613" s="256"/>
      <c r="DG49613" s="256"/>
    </row>
    <row r="49614" spans="104:111">
      <c r="CZ49614" s="256"/>
      <c r="DG49614" s="256"/>
    </row>
    <row r="49615" spans="104:111">
      <c r="CZ49615" s="256"/>
      <c r="DG49615" s="256"/>
    </row>
    <row r="49616" spans="104:111">
      <c r="CZ49616" s="256"/>
      <c r="DG49616" s="256"/>
    </row>
    <row r="49617" spans="104:111">
      <c r="CZ49617" s="256"/>
      <c r="DG49617" s="256"/>
    </row>
    <row r="49618" spans="104:111">
      <c r="CZ49618" s="256"/>
      <c r="DG49618" s="256"/>
    </row>
    <row r="49619" spans="104:111">
      <c r="CZ49619" s="256"/>
      <c r="DG49619" s="256"/>
    </row>
    <row r="49620" spans="104:111">
      <c r="CZ49620" s="256"/>
      <c r="DG49620" s="256"/>
    </row>
    <row r="49621" spans="104:111">
      <c r="CZ49621" s="256"/>
      <c r="DG49621" s="256"/>
    </row>
    <row r="49622" spans="104:111">
      <c r="CZ49622" s="256"/>
      <c r="DG49622" s="256"/>
    </row>
    <row r="49623" spans="104:111">
      <c r="CZ49623" s="256"/>
      <c r="DG49623" s="256"/>
    </row>
    <row r="49624" spans="104:111">
      <c r="CZ49624" s="256"/>
      <c r="DG49624" s="256"/>
    </row>
    <row r="49625" spans="104:111">
      <c r="CZ49625" s="256"/>
      <c r="DG49625" s="256"/>
    </row>
    <row r="49626" spans="104:111">
      <c r="CZ49626" s="256"/>
      <c r="DG49626" s="256"/>
    </row>
    <row r="49627" spans="104:111">
      <c r="CZ49627" s="256"/>
      <c r="DG49627" s="256"/>
    </row>
    <row r="49628" spans="104:111">
      <c r="CZ49628" s="256"/>
      <c r="DG49628" s="256"/>
    </row>
    <row r="49629" spans="104:111">
      <c r="CZ49629" s="256"/>
      <c r="DG49629" s="256"/>
    </row>
    <row r="49630" spans="104:111">
      <c r="CZ49630" s="256"/>
      <c r="DG49630" s="256"/>
    </row>
    <row r="49631" spans="104:111">
      <c r="CZ49631" s="256"/>
      <c r="DG49631" s="256"/>
    </row>
    <row r="49632" spans="104:111">
      <c r="CZ49632" s="256"/>
      <c r="DG49632" s="256"/>
    </row>
    <row r="49633" spans="104:111">
      <c r="CZ49633" s="256"/>
      <c r="DG49633" s="256"/>
    </row>
    <row r="49634" spans="104:111">
      <c r="CZ49634" s="256"/>
      <c r="DG49634" s="256"/>
    </row>
    <row r="49635" spans="104:111">
      <c r="CZ49635" s="256"/>
      <c r="DG49635" s="256"/>
    </row>
    <row r="49636" spans="104:111">
      <c r="CZ49636" s="256"/>
      <c r="DG49636" s="256"/>
    </row>
    <row r="49637" spans="104:111">
      <c r="CZ49637" s="256"/>
      <c r="DG49637" s="256"/>
    </row>
    <row r="49638" spans="104:111">
      <c r="CZ49638" s="256"/>
      <c r="DG49638" s="256"/>
    </row>
    <row r="49639" spans="104:111">
      <c r="CZ49639" s="256"/>
      <c r="DG49639" s="256"/>
    </row>
    <row r="49640" spans="104:111">
      <c r="CZ49640" s="256"/>
      <c r="DG49640" s="256"/>
    </row>
    <row r="49641" spans="104:111">
      <c r="CZ49641" s="256"/>
      <c r="DG49641" s="256"/>
    </row>
    <row r="49642" spans="104:111">
      <c r="CZ49642" s="256"/>
      <c r="DG49642" s="256"/>
    </row>
    <row r="49643" spans="104:111">
      <c r="CZ49643" s="256"/>
      <c r="DG49643" s="256"/>
    </row>
    <row r="49644" spans="104:111">
      <c r="CZ49644" s="256"/>
      <c r="DG49644" s="256"/>
    </row>
    <row r="49645" spans="104:111">
      <c r="CZ49645" s="256"/>
      <c r="DG49645" s="256"/>
    </row>
    <row r="49646" spans="104:111">
      <c r="CZ49646" s="256"/>
      <c r="DG49646" s="256"/>
    </row>
    <row r="49647" spans="104:111">
      <c r="CZ49647" s="256"/>
      <c r="DG49647" s="256"/>
    </row>
    <row r="49648" spans="104:111">
      <c r="CZ49648" s="256"/>
      <c r="DG49648" s="256"/>
    </row>
    <row r="49649" spans="104:111">
      <c r="CZ49649" s="256"/>
      <c r="DG49649" s="256"/>
    </row>
    <row r="49650" spans="104:111">
      <c r="CZ49650" s="256"/>
      <c r="DG49650" s="256"/>
    </row>
    <row r="49651" spans="104:111">
      <c r="CZ49651" s="256"/>
      <c r="DG49651" s="256"/>
    </row>
    <row r="49652" spans="104:111">
      <c r="CZ49652" s="256"/>
      <c r="DG49652" s="256"/>
    </row>
    <row r="49653" spans="104:111">
      <c r="CZ49653" s="256"/>
      <c r="DG49653" s="256"/>
    </row>
    <row r="49654" spans="104:111">
      <c r="CZ49654" s="256"/>
      <c r="DG49654" s="256"/>
    </row>
    <row r="49655" spans="104:111">
      <c r="CZ49655" s="256"/>
      <c r="DG49655" s="256"/>
    </row>
    <row r="49656" spans="104:111">
      <c r="CZ49656" s="256"/>
      <c r="DG49656" s="256"/>
    </row>
    <row r="49657" spans="104:111">
      <c r="CZ49657" s="256"/>
      <c r="DG49657" s="256"/>
    </row>
    <row r="49658" spans="104:111">
      <c r="CZ49658" s="256"/>
      <c r="DG49658" s="256"/>
    </row>
    <row r="49659" spans="104:111">
      <c r="CZ49659" s="256"/>
      <c r="DG49659" s="256"/>
    </row>
    <row r="49660" spans="104:111">
      <c r="CZ49660" s="256"/>
      <c r="DG49660" s="256"/>
    </row>
    <row r="49661" spans="104:111">
      <c r="CZ49661" s="256"/>
      <c r="DG49661" s="256"/>
    </row>
    <row r="49662" spans="104:111">
      <c r="CZ49662" s="256"/>
      <c r="DG49662" s="256"/>
    </row>
    <row r="49663" spans="104:111">
      <c r="CZ49663" s="256"/>
      <c r="DG49663" s="256"/>
    </row>
    <row r="49664" spans="104:111">
      <c r="CZ49664" s="256"/>
      <c r="DG49664" s="256"/>
    </row>
    <row r="49665" spans="104:111">
      <c r="CZ49665" s="256"/>
      <c r="DG49665" s="256"/>
    </row>
    <row r="49666" spans="104:111">
      <c r="CZ49666" s="256"/>
      <c r="DG49666" s="256"/>
    </row>
    <row r="49667" spans="104:111">
      <c r="CZ49667" s="256"/>
      <c r="DG49667" s="256"/>
    </row>
    <row r="49668" spans="104:111">
      <c r="CZ49668" s="256"/>
      <c r="DG49668" s="256"/>
    </row>
    <row r="49669" spans="104:111">
      <c r="CZ49669" s="256"/>
      <c r="DG49669" s="256"/>
    </row>
    <row r="49670" spans="104:111">
      <c r="CZ49670" s="256"/>
      <c r="DG49670" s="256"/>
    </row>
    <row r="49671" spans="104:111">
      <c r="CZ49671" s="256"/>
      <c r="DG49671" s="256"/>
    </row>
    <row r="49672" spans="104:111">
      <c r="CZ49672" s="256"/>
      <c r="DG49672" s="256"/>
    </row>
    <row r="49673" spans="104:111">
      <c r="CZ49673" s="256"/>
      <c r="DG49673" s="256"/>
    </row>
    <row r="49674" spans="104:111">
      <c r="CZ49674" s="256"/>
      <c r="DG49674" s="256"/>
    </row>
    <row r="49675" spans="104:111">
      <c r="CZ49675" s="256"/>
      <c r="DG49675" s="256"/>
    </row>
    <row r="49676" spans="104:111">
      <c r="CZ49676" s="256"/>
      <c r="DG49676" s="256"/>
    </row>
    <row r="49677" spans="104:111">
      <c r="CZ49677" s="256"/>
      <c r="DG49677" s="256"/>
    </row>
    <row r="49678" spans="104:111">
      <c r="CZ49678" s="256"/>
      <c r="DG49678" s="256"/>
    </row>
    <row r="49679" spans="104:111">
      <c r="CZ49679" s="256"/>
      <c r="DG49679" s="256"/>
    </row>
    <row r="49680" spans="104:111">
      <c r="CZ49680" s="256"/>
      <c r="DG49680" s="256"/>
    </row>
    <row r="49681" spans="104:111">
      <c r="CZ49681" s="256"/>
      <c r="DG49681" s="256"/>
    </row>
    <row r="49682" spans="104:111">
      <c r="CZ49682" s="256"/>
      <c r="DG49682" s="256"/>
    </row>
    <row r="49683" spans="104:111">
      <c r="CZ49683" s="256"/>
      <c r="DG49683" s="256"/>
    </row>
    <row r="49684" spans="104:111">
      <c r="CZ49684" s="256"/>
      <c r="DG49684" s="256"/>
    </row>
    <row r="49685" spans="104:111">
      <c r="CZ49685" s="256"/>
      <c r="DG49685" s="256"/>
    </row>
    <row r="49686" spans="104:111">
      <c r="CZ49686" s="256"/>
      <c r="DG49686" s="256"/>
    </row>
    <row r="49687" spans="104:111">
      <c r="CZ49687" s="256"/>
      <c r="DG49687" s="256"/>
    </row>
    <row r="49688" spans="104:111">
      <c r="CZ49688" s="256"/>
      <c r="DG49688" s="256"/>
    </row>
    <row r="49689" spans="104:111">
      <c r="CZ49689" s="256"/>
      <c r="DG49689" s="256"/>
    </row>
    <row r="49690" spans="104:111">
      <c r="CZ49690" s="256"/>
      <c r="DG49690" s="256"/>
    </row>
    <row r="49691" spans="104:111">
      <c r="CZ49691" s="256"/>
      <c r="DG49691" s="256"/>
    </row>
    <row r="49692" spans="104:111">
      <c r="CZ49692" s="256"/>
      <c r="DG49692" s="256"/>
    </row>
    <row r="49693" spans="104:111">
      <c r="CZ49693" s="256"/>
      <c r="DG49693" s="256"/>
    </row>
    <row r="49694" spans="104:111">
      <c r="CZ49694" s="256"/>
      <c r="DG49694" s="256"/>
    </row>
    <row r="49695" spans="104:111">
      <c r="CZ49695" s="256"/>
      <c r="DG49695" s="256"/>
    </row>
    <row r="49696" spans="104:111">
      <c r="CZ49696" s="256"/>
      <c r="DG49696" s="256"/>
    </row>
    <row r="49697" spans="104:111">
      <c r="CZ49697" s="256"/>
      <c r="DG49697" s="256"/>
    </row>
    <row r="49698" spans="104:111">
      <c r="CZ49698" s="256"/>
      <c r="DG49698" s="256"/>
    </row>
    <row r="49699" spans="104:111">
      <c r="CZ49699" s="256"/>
      <c r="DG49699" s="256"/>
    </row>
    <row r="49700" spans="104:111">
      <c r="CZ49700" s="256"/>
      <c r="DG49700" s="256"/>
    </row>
    <row r="49701" spans="104:111">
      <c r="CZ49701" s="256"/>
      <c r="DG49701" s="256"/>
    </row>
    <row r="49702" spans="104:111">
      <c r="CZ49702" s="256"/>
      <c r="DG49702" s="256"/>
    </row>
    <row r="49703" spans="104:111">
      <c r="CZ49703" s="256"/>
      <c r="DG49703" s="256"/>
    </row>
    <row r="49704" spans="104:111">
      <c r="CZ49704" s="256"/>
      <c r="DG49704" s="256"/>
    </row>
    <row r="49705" spans="104:111">
      <c r="CZ49705" s="256"/>
      <c r="DG49705" s="256"/>
    </row>
    <row r="49706" spans="104:111">
      <c r="CZ49706" s="256"/>
      <c r="DG49706" s="256"/>
    </row>
    <row r="49707" spans="104:111">
      <c r="CZ49707" s="256"/>
      <c r="DG49707" s="256"/>
    </row>
    <row r="49708" spans="104:111">
      <c r="CZ49708" s="256"/>
      <c r="DG49708" s="256"/>
    </row>
    <row r="49709" spans="104:111">
      <c r="CZ49709" s="256"/>
      <c r="DG49709" s="256"/>
    </row>
    <row r="49710" spans="104:111">
      <c r="CZ49710" s="256"/>
      <c r="DG49710" s="256"/>
    </row>
    <row r="49711" spans="104:111">
      <c r="CZ49711" s="256"/>
      <c r="DG49711" s="256"/>
    </row>
    <row r="49712" spans="104:111">
      <c r="CZ49712" s="256"/>
      <c r="DG49712" s="256"/>
    </row>
    <row r="49713" spans="104:111">
      <c r="CZ49713" s="256"/>
      <c r="DG49713" s="256"/>
    </row>
    <row r="49714" spans="104:111">
      <c r="CZ49714" s="256"/>
      <c r="DG49714" s="256"/>
    </row>
    <row r="49715" spans="104:111">
      <c r="CZ49715" s="256"/>
      <c r="DG49715" s="256"/>
    </row>
    <row r="49716" spans="104:111">
      <c r="CZ49716" s="256"/>
      <c r="DG49716" s="256"/>
    </row>
    <row r="49717" spans="104:111">
      <c r="CZ49717" s="256"/>
      <c r="DG49717" s="256"/>
    </row>
    <row r="49718" spans="104:111">
      <c r="CZ49718" s="256"/>
      <c r="DG49718" s="256"/>
    </row>
    <row r="49719" spans="104:111">
      <c r="CZ49719" s="256"/>
      <c r="DG49719" s="256"/>
    </row>
    <row r="49720" spans="104:111">
      <c r="CZ49720" s="256"/>
      <c r="DG49720" s="256"/>
    </row>
    <row r="49721" spans="104:111">
      <c r="CZ49721" s="256"/>
      <c r="DG49721" s="256"/>
    </row>
    <row r="49722" spans="104:111">
      <c r="CZ49722" s="256"/>
      <c r="DG49722" s="256"/>
    </row>
    <row r="49723" spans="104:111">
      <c r="CZ49723" s="256"/>
      <c r="DG49723" s="256"/>
    </row>
    <row r="49724" spans="104:111">
      <c r="CZ49724" s="256"/>
      <c r="DG49724" s="256"/>
    </row>
    <row r="49725" spans="104:111">
      <c r="CZ49725" s="256"/>
      <c r="DG49725" s="256"/>
    </row>
    <row r="49726" spans="104:111">
      <c r="CZ49726" s="256"/>
      <c r="DG49726" s="256"/>
    </row>
    <row r="49727" spans="104:111">
      <c r="CZ49727" s="256"/>
      <c r="DG49727" s="256"/>
    </row>
    <row r="49728" spans="104:111">
      <c r="CZ49728" s="256"/>
      <c r="DG49728" s="256"/>
    </row>
    <row r="49729" spans="104:111">
      <c r="CZ49729" s="256"/>
      <c r="DG49729" s="256"/>
    </row>
    <row r="49730" spans="104:111">
      <c r="CZ49730" s="256"/>
      <c r="DG49730" s="256"/>
    </row>
    <row r="49731" spans="104:111">
      <c r="CZ49731" s="256"/>
      <c r="DG49731" s="256"/>
    </row>
    <row r="49732" spans="104:111">
      <c r="CZ49732" s="256"/>
      <c r="DG49732" s="256"/>
    </row>
    <row r="49733" spans="104:111">
      <c r="CZ49733" s="256"/>
      <c r="DG49733" s="256"/>
    </row>
    <row r="49734" spans="104:111">
      <c r="CZ49734" s="256"/>
      <c r="DG49734" s="256"/>
    </row>
    <row r="49735" spans="104:111">
      <c r="CZ49735" s="256"/>
      <c r="DG49735" s="256"/>
    </row>
    <row r="49736" spans="104:111">
      <c r="CZ49736" s="256"/>
      <c r="DG49736" s="256"/>
    </row>
    <row r="49737" spans="104:111">
      <c r="CZ49737" s="256"/>
      <c r="DG49737" s="256"/>
    </row>
    <row r="49738" spans="104:111">
      <c r="CZ49738" s="256"/>
      <c r="DG49738" s="256"/>
    </row>
    <row r="49739" spans="104:111">
      <c r="CZ49739" s="256"/>
      <c r="DG49739" s="256"/>
    </row>
    <row r="49740" spans="104:111">
      <c r="CZ49740" s="256"/>
      <c r="DG49740" s="256"/>
    </row>
    <row r="49741" spans="104:111">
      <c r="CZ49741" s="256"/>
      <c r="DG49741" s="256"/>
    </row>
    <row r="49742" spans="104:111">
      <c r="CZ49742" s="256"/>
      <c r="DG49742" s="256"/>
    </row>
    <row r="49743" spans="104:111">
      <c r="CZ49743" s="256"/>
      <c r="DG49743" s="256"/>
    </row>
    <row r="49744" spans="104:111">
      <c r="CZ49744" s="256"/>
      <c r="DG49744" s="256"/>
    </row>
    <row r="49745" spans="104:111">
      <c r="CZ49745" s="256"/>
      <c r="DG49745" s="256"/>
    </row>
    <row r="49746" spans="104:111">
      <c r="CZ49746" s="256"/>
      <c r="DG49746" s="256"/>
    </row>
    <row r="49747" spans="104:111">
      <c r="CZ49747" s="256"/>
      <c r="DG49747" s="256"/>
    </row>
    <row r="49748" spans="104:111">
      <c r="CZ49748" s="256"/>
      <c r="DG49748" s="256"/>
    </row>
    <row r="49749" spans="104:111">
      <c r="CZ49749" s="256"/>
      <c r="DG49749" s="256"/>
    </row>
    <row r="49750" spans="104:111">
      <c r="CZ49750" s="256"/>
      <c r="DG49750" s="256"/>
    </row>
    <row r="49751" spans="104:111">
      <c r="CZ49751" s="256"/>
      <c r="DG49751" s="256"/>
    </row>
    <row r="49752" spans="104:111">
      <c r="CZ49752" s="256"/>
      <c r="DG49752" s="256"/>
    </row>
    <row r="49753" spans="104:111">
      <c r="CZ49753" s="256"/>
      <c r="DG49753" s="256"/>
    </row>
    <row r="49754" spans="104:111">
      <c r="CZ49754" s="256"/>
      <c r="DG49754" s="256"/>
    </row>
    <row r="49755" spans="104:111">
      <c r="CZ49755" s="256"/>
      <c r="DG49755" s="256"/>
    </row>
    <row r="49756" spans="104:111">
      <c r="CZ49756" s="256"/>
      <c r="DG49756" s="256"/>
    </row>
    <row r="49757" spans="104:111">
      <c r="CZ49757" s="256"/>
      <c r="DG49757" s="256"/>
    </row>
    <row r="49758" spans="104:111">
      <c r="CZ49758" s="256"/>
      <c r="DG49758" s="256"/>
    </row>
    <row r="49759" spans="104:111">
      <c r="CZ49759" s="256"/>
      <c r="DG49759" s="256"/>
    </row>
    <row r="49760" spans="104:111">
      <c r="CZ49760" s="256"/>
      <c r="DG49760" s="256"/>
    </row>
    <row r="49761" spans="104:111">
      <c r="CZ49761" s="256"/>
      <c r="DG49761" s="256"/>
    </row>
    <row r="49762" spans="104:111">
      <c r="CZ49762" s="256"/>
      <c r="DG49762" s="256"/>
    </row>
    <row r="49763" spans="104:111">
      <c r="CZ49763" s="256"/>
      <c r="DG49763" s="256"/>
    </row>
    <row r="49764" spans="104:111">
      <c r="CZ49764" s="256"/>
      <c r="DG49764" s="256"/>
    </row>
    <row r="49765" spans="104:111">
      <c r="CZ49765" s="256"/>
      <c r="DG49765" s="256"/>
    </row>
    <row r="49766" spans="104:111">
      <c r="CZ49766" s="256"/>
      <c r="DG49766" s="256"/>
    </row>
    <row r="49767" spans="104:111">
      <c r="CZ49767" s="256"/>
      <c r="DG49767" s="256"/>
    </row>
    <row r="49768" spans="104:111">
      <c r="CZ49768" s="256"/>
      <c r="DG49768" s="256"/>
    </row>
    <row r="49769" spans="104:111">
      <c r="CZ49769" s="256"/>
      <c r="DG49769" s="256"/>
    </row>
    <row r="49770" spans="104:111">
      <c r="CZ49770" s="256"/>
      <c r="DG49770" s="256"/>
    </row>
    <row r="49771" spans="104:111">
      <c r="CZ49771" s="256"/>
      <c r="DG49771" s="256"/>
    </row>
    <row r="49772" spans="104:111">
      <c r="CZ49772" s="256"/>
      <c r="DG49772" s="256"/>
    </row>
    <row r="49773" spans="104:111">
      <c r="CZ49773" s="256"/>
      <c r="DG49773" s="256"/>
    </row>
    <row r="49774" spans="104:111">
      <c r="CZ49774" s="256"/>
      <c r="DG49774" s="256"/>
    </row>
    <row r="49775" spans="104:111">
      <c r="CZ49775" s="256"/>
      <c r="DG49775" s="256"/>
    </row>
    <row r="49776" spans="104:111">
      <c r="CZ49776" s="256"/>
      <c r="DG49776" s="256"/>
    </row>
    <row r="49777" spans="104:111">
      <c r="CZ49777" s="256"/>
      <c r="DG49777" s="256"/>
    </row>
    <row r="49778" spans="104:111">
      <c r="CZ49778" s="256"/>
      <c r="DG49778" s="256"/>
    </row>
    <row r="49779" spans="104:111">
      <c r="CZ49779" s="256"/>
      <c r="DG49779" s="256"/>
    </row>
    <row r="49780" spans="104:111">
      <c r="CZ49780" s="256"/>
      <c r="DG49780" s="256"/>
    </row>
    <row r="49781" spans="104:111">
      <c r="CZ49781" s="256"/>
      <c r="DG49781" s="256"/>
    </row>
    <row r="49782" spans="104:111">
      <c r="CZ49782" s="256"/>
      <c r="DG49782" s="256"/>
    </row>
    <row r="49783" spans="104:111">
      <c r="CZ49783" s="256"/>
      <c r="DG49783" s="256"/>
    </row>
    <row r="49784" spans="104:111">
      <c r="CZ49784" s="256"/>
      <c r="DG49784" s="256"/>
    </row>
    <row r="49785" spans="104:111">
      <c r="CZ49785" s="256"/>
      <c r="DG49785" s="256"/>
    </row>
    <row r="49786" spans="104:111">
      <c r="CZ49786" s="256"/>
      <c r="DG49786" s="256"/>
    </row>
    <row r="49787" spans="104:111">
      <c r="CZ49787" s="256"/>
      <c r="DG49787" s="256"/>
    </row>
    <row r="49788" spans="104:111">
      <c r="CZ49788" s="256"/>
      <c r="DG49788" s="256"/>
    </row>
    <row r="49789" spans="104:111">
      <c r="CZ49789" s="256"/>
      <c r="DG49789" s="256"/>
    </row>
    <row r="49790" spans="104:111">
      <c r="CZ49790" s="256"/>
      <c r="DG49790" s="256"/>
    </row>
    <row r="49791" spans="104:111">
      <c r="CZ49791" s="256"/>
      <c r="DG49791" s="256"/>
    </row>
    <row r="49792" spans="104:111">
      <c r="CZ49792" s="256"/>
      <c r="DG49792" s="256"/>
    </row>
    <row r="49793" spans="104:111">
      <c r="CZ49793" s="256"/>
      <c r="DG49793" s="256"/>
    </row>
    <row r="49794" spans="104:111">
      <c r="CZ49794" s="256"/>
      <c r="DG49794" s="256"/>
    </row>
    <row r="49795" spans="104:111">
      <c r="CZ49795" s="256"/>
      <c r="DG49795" s="256"/>
    </row>
    <row r="49796" spans="104:111">
      <c r="CZ49796" s="256"/>
      <c r="DG49796" s="256"/>
    </row>
    <row r="49797" spans="104:111">
      <c r="CZ49797" s="256"/>
      <c r="DG49797" s="256"/>
    </row>
    <row r="49798" spans="104:111">
      <c r="CZ49798" s="256"/>
      <c r="DG49798" s="256"/>
    </row>
    <row r="49799" spans="104:111">
      <c r="CZ49799" s="256"/>
      <c r="DG49799" s="256"/>
    </row>
    <row r="49800" spans="104:111">
      <c r="CZ49800" s="256"/>
      <c r="DG49800" s="256"/>
    </row>
    <row r="49801" spans="104:111">
      <c r="CZ49801" s="256"/>
      <c r="DG49801" s="256"/>
    </row>
    <row r="49802" spans="104:111">
      <c r="CZ49802" s="256"/>
      <c r="DG49802" s="256"/>
    </row>
    <row r="49803" spans="104:111">
      <c r="CZ49803" s="256"/>
      <c r="DG49803" s="256"/>
    </row>
    <row r="49804" spans="104:111">
      <c r="CZ49804" s="256"/>
      <c r="DG49804" s="256"/>
    </row>
    <row r="49805" spans="104:111">
      <c r="CZ49805" s="256"/>
      <c r="DG49805" s="256"/>
    </row>
    <row r="49806" spans="104:111">
      <c r="CZ49806" s="256"/>
      <c r="DG49806" s="256"/>
    </row>
    <row r="49807" spans="104:111">
      <c r="CZ49807" s="256"/>
      <c r="DG49807" s="256"/>
    </row>
    <row r="49808" spans="104:111">
      <c r="CZ49808" s="256"/>
      <c r="DG49808" s="256"/>
    </row>
    <row r="49809" spans="104:111">
      <c r="CZ49809" s="256"/>
      <c r="DG49809" s="256"/>
    </row>
    <row r="49810" spans="104:111">
      <c r="CZ49810" s="256"/>
      <c r="DG49810" s="256"/>
    </row>
    <row r="49811" spans="104:111">
      <c r="CZ49811" s="256"/>
      <c r="DG49811" s="256"/>
    </row>
    <row r="49812" spans="104:111">
      <c r="CZ49812" s="256"/>
      <c r="DG49812" s="256"/>
    </row>
    <row r="49813" spans="104:111">
      <c r="CZ49813" s="256"/>
      <c r="DG49813" s="256"/>
    </row>
    <row r="49814" spans="104:111">
      <c r="CZ49814" s="256"/>
      <c r="DG49814" s="256"/>
    </row>
    <row r="49815" spans="104:111">
      <c r="CZ49815" s="256"/>
      <c r="DG49815" s="256"/>
    </row>
    <row r="49816" spans="104:111">
      <c r="CZ49816" s="256"/>
      <c r="DG49816" s="256"/>
    </row>
    <row r="49817" spans="104:111">
      <c r="CZ49817" s="256"/>
      <c r="DG49817" s="256"/>
    </row>
    <row r="49818" spans="104:111">
      <c r="CZ49818" s="256"/>
      <c r="DG49818" s="256"/>
    </row>
    <row r="49819" spans="104:111">
      <c r="CZ49819" s="256"/>
      <c r="DG49819" s="256"/>
    </row>
    <row r="49820" spans="104:111">
      <c r="CZ49820" s="256"/>
      <c r="DG49820" s="256"/>
    </row>
    <row r="49821" spans="104:111">
      <c r="CZ49821" s="256"/>
      <c r="DG49821" s="256"/>
    </row>
    <row r="49822" spans="104:111">
      <c r="CZ49822" s="256"/>
      <c r="DG49822" s="256"/>
    </row>
    <row r="49823" spans="104:111">
      <c r="CZ49823" s="256"/>
      <c r="DG49823" s="256"/>
    </row>
    <row r="49824" spans="104:111">
      <c r="CZ49824" s="256"/>
      <c r="DG49824" s="256"/>
    </row>
    <row r="49825" spans="104:111">
      <c r="CZ49825" s="256"/>
      <c r="DG49825" s="256"/>
    </row>
    <row r="49826" spans="104:111">
      <c r="CZ49826" s="256"/>
      <c r="DG49826" s="256"/>
    </row>
    <row r="49827" spans="104:111">
      <c r="CZ49827" s="256"/>
      <c r="DG49827" s="256"/>
    </row>
    <row r="49828" spans="104:111">
      <c r="CZ49828" s="256"/>
      <c r="DG49828" s="256"/>
    </row>
    <row r="49829" spans="104:111">
      <c r="CZ49829" s="256"/>
      <c r="DG49829" s="256"/>
    </row>
    <row r="49830" spans="104:111">
      <c r="CZ49830" s="256"/>
      <c r="DG49830" s="256"/>
    </row>
    <row r="49831" spans="104:111">
      <c r="CZ49831" s="256"/>
      <c r="DG49831" s="256"/>
    </row>
    <row r="49832" spans="104:111">
      <c r="CZ49832" s="256"/>
      <c r="DG49832" s="256"/>
    </row>
    <row r="49833" spans="104:111">
      <c r="CZ49833" s="256"/>
      <c r="DG49833" s="256"/>
    </row>
    <row r="49834" spans="104:111">
      <c r="CZ49834" s="256"/>
      <c r="DG49834" s="256"/>
    </row>
    <row r="49835" spans="104:111">
      <c r="CZ49835" s="256"/>
      <c r="DG49835" s="256"/>
    </row>
    <row r="49836" spans="104:111">
      <c r="CZ49836" s="256"/>
      <c r="DG49836" s="256"/>
    </row>
    <row r="49837" spans="104:111">
      <c r="CZ49837" s="256"/>
      <c r="DG49837" s="256"/>
    </row>
    <row r="49838" spans="104:111">
      <c r="CZ49838" s="256"/>
      <c r="DG49838" s="256"/>
    </row>
    <row r="49839" spans="104:111">
      <c r="CZ49839" s="256"/>
      <c r="DG49839" s="256"/>
    </row>
    <row r="49840" spans="104:111">
      <c r="CZ49840" s="256"/>
      <c r="DG49840" s="256"/>
    </row>
    <row r="49841" spans="104:111">
      <c r="CZ49841" s="256"/>
      <c r="DG49841" s="256"/>
    </row>
    <row r="49842" spans="104:111">
      <c r="CZ49842" s="256"/>
      <c r="DG49842" s="256"/>
    </row>
    <row r="49843" spans="104:111">
      <c r="CZ49843" s="256"/>
      <c r="DG49843" s="256"/>
    </row>
    <row r="49844" spans="104:111">
      <c r="CZ49844" s="256"/>
      <c r="DG49844" s="256"/>
    </row>
    <row r="49845" spans="104:111">
      <c r="CZ49845" s="256"/>
      <c r="DG49845" s="256"/>
    </row>
    <row r="49846" spans="104:111">
      <c r="CZ49846" s="256"/>
      <c r="DG49846" s="256"/>
    </row>
    <row r="49847" spans="104:111">
      <c r="CZ49847" s="256"/>
      <c r="DG49847" s="256"/>
    </row>
    <row r="49848" spans="104:111">
      <c r="CZ49848" s="256"/>
      <c r="DG49848" s="256"/>
    </row>
    <row r="49849" spans="104:111">
      <c r="CZ49849" s="256"/>
      <c r="DG49849" s="256"/>
    </row>
    <row r="49850" spans="104:111">
      <c r="CZ49850" s="256"/>
      <c r="DG49850" s="256"/>
    </row>
    <row r="49851" spans="104:111">
      <c r="CZ49851" s="256"/>
      <c r="DG49851" s="256"/>
    </row>
    <row r="49852" spans="104:111">
      <c r="CZ49852" s="256"/>
      <c r="DG49852" s="256"/>
    </row>
    <row r="49853" spans="104:111">
      <c r="CZ49853" s="256"/>
      <c r="DG49853" s="256"/>
    </row>
    <row r="49854" spans="104:111">
      <c r="CZ49854" s="256"/>
      <c r="DG49854" s="256"/>
    </row>
    <row r="49855" spans="104:111">
      <c r="CZ49855" s="256"/>
      <c r="DG49855" s="256"/>
    </row>
    <row r="49856" spans="104:111">
      <c r="CZ49856" s="256"/>
      <c r="DG49856" s="256"/>
    </row>
    <row r="49857" spans="104:111">
      <c r="CZ49857" s="256"/>
      <c r="DG49857" s="256"/>
    </row>
    <row r="49858" spans="104:111">
      <c r="CZ49858" s="256"/>
      <c r="DG49858" s="256"/>
    </row>
    <row r="49859" spans="104:111">
      <c r="CZ49859" s="256"/>
      <c r="DG49859" s="256"/>
    </row>
    <row r="49860" spans="104:111">
      <c r="CZ49860" s="256"/>
      <c r="DG49860" s="256"/>
    </row>
    <row r="49861" spans="104:111">
      <c r="CZ49861" s="256"/>
      <c r="DG49861" s="256"/>
    </row>
    <row r="49862" spans="104:111">
      <c r="CZ49862" s="256"/>
      <c r="DG49862" s="256"/>
    </row>
    <row r="49863" spans="104:111">
      <c r="CZ49863" s="256"/>
      <c r="DG49863" s="256"/>
    </row>
    <row r="49864" spans="104:111">
      <c r="CZ49864" s="256"/>
      <c r="DG49864" s="256"/>
    </row>
    <row r="49865" spans="104:111">
      <c r="CZ49865" s="256"/>
      <c r="DG49865" s="256"/>
    </row>
    <row r="49866" spans="104:111">
      <c r="CZ49866" s="256"/>
      <c r="DG49866" s="256"/>
    </row>
    <row r="49867" spans="104:111">
      <c r="CZ49867" s="256"/>
      <c r="DG49867" s="256"/>
    </row>
    <row r="49868" spans="104:111">
      <c r="CZ49868" s="256"/>
      <c r="DG49868" s="256"/>
    </row>
    <row r="49869" spans="104:111">
      <c r="CZ49869" s="256"/>
      <c r="DG49869" s="256"/>
    </row>
    <row r="49870" spans="104:111">
      <c r="CZ49870" s="256"/>
      <c r="DG49870" s="256"/>
    </row>
    <row r="49871" spans="104:111">
      <c r="CZ49871" s="256"/>
      <c r="DG49871" s="256"/>
    </row>
    <row r="49872" spans="104:111">
      <c r="CZ49872" s="256"/>
      <c r="DG49872" s="256"/>
    </row>
    <row r="49873" spans="104:111">
      <c r="CZ49873" s="256"/>
      <c r="DG49873" s="256"/>
    </row>
    <row r="49874" spans="104:111">
      <c r="CZ49874" s="256"/>
      <c r="DG49874" s="256"/>
    </row>
    <row r="49875" spans="104:111">
      <c r="CZ49875" s="256"/>
      <c r="DG49875" s="256"/>
    </row>
    <row r="49876" spans="104:111">
      <c r="CZ49876" s="256"/>
      <c r="DG49876" s="256"/>
    </row>
    <row r="49877" spans="104:111">
      <c r="CZ49877" s="256"/>
      <c r="DG49877" s="256"/>
    </row>
    <row r="49878" spans="104:111">
      <c r="CZ49878" s="256"/>
      <c r="DG49878" s="256"/>
    </row>
    <row r="49879" spans="104:111">
      <c r="CZ49879" s="256"/>
      <c r="DG49879" s="256"/>
    </row>
    <row r="49880" spans="104:111">
      <c r="CZ49880" s="256"/>
      <c r="DG49880" s="256"/>
    </row>
    <row r="49881" spans="104:111">
      <c r="CZ49881" s="256"/>
      <c r="DG49881" s="256"/>
    </row>
    <row r="49882" spans="104:111">
      <c r="CZ49882" s="256"/>
      <c r="DG49882" s="256"/>
    </row>
    <row r="49883" spans="104:111">
      <c r="CZ49883" s="256"/>
      <c r="DG49883" s="256"/>
    </row>
    <row r="49884" spans="104:111">
      <c r="CZ49884" s="256"/>
      <c r="DG49884" s="256"/>
    </row>
    <row r="49885" spans="104:111">
      <c r="CZ49885" s="256"/>
      <c r="DG49885" s="256"/>
    </row>
    <row r="49886" spans="104:111">
      <c r="CZ49886" s="256"/>
      <c r="DG49886" s="256"/>
    </row>
    <row r="49887" spans="104:111">
      <c r="CZ49887" s="256"/>
      <c r="DG49887" s="256"/>
    </row>
    <row r="49888" spans="104:111">
      <c r="CZ49888" s="256"/>
      <c r="DG49888" s="256"/>
    </row>
    <row r="49889" spans="104:111">
      <c r="CZ49889" s="256"/>
      <c r="DG49889" s="256"/>
    </row>
    <row r="49890" spans="104:111">
      <c r="CZ49890" s="256"/>
      <c r="DG49890" s="256"/>
    </row>
    <row r="49891" spans="104:111">
      <c r="CZ49891" s="256"/>
      <c r="DG49891" s="256"/>
    </row>
    <row r="49892" spans="104:111">
      <c r="CZ49892" s="256"/>
      <c r="DG49892" s="256"/>
    </row>
    <row r="49893" spans="104:111">
      <c r="CZ49893" s="256"/>
      <c r="DG49893" s="256"/>
    </row>
    <row r="49894" spans="104:111">
      <c r="CZ49894" s="256"/>
      <c r="DG49894" s="256"/>
    </row>
    <row r="49895" spans="104:111">
      <c r="CZ49895" s="256"/>
      <c r="DG49895" s="256"/>
    </row>
    <row r="49896" spans="104:111">
      <c r="CZ49896" s="256"/>
      <c r="DG49896" s="256"/>
    </row>
    <row r="49897" spans="104:111">
      <c r="CZ49897" s="256"/>
      <c r="DG49897" s="256"/>
    </row>
    <row r="49898" spans="104:111">
      <c r="CZ49898" s="256"/>
      <c r="DG49898" s="256"/>
    </row>
    <row r="49899" spans="104:111">
      <c r="CZ49899" s="256"/>
      <c r="DG49899" s="256"/>
    </row>
    <row r="49900" spans="104:111">
      <c r="CZ49900" s="256"/>
      <c r="DG49900" s="256"/>
    </row>
    <row r="49901" spans="104:111">
      <c r="CZ49901" s="256"/>
      <c r="DG49901" s="256"/>
    </row>
    <row r="49902" spans="104:111">
      <c r="CZ49902" s="256"/>
      <c r="DG49902" s="256"/>
    </row>
    <row r="49903" spans="104:111">
      <c r="CZ49903" s="256"/>
      <c r="DG49903" s="256"/>
    </row>
    <row r="49904" spans="104:111">
      <c r="CZ49904" s="256"/>
      <c r="DG49904" s="256"/>
    </row>
    <row r="49905" spans="104:111">
      <c r="CZ49905" s="256"/>
      <c r="DG49905" s="256"/>
    </row>
    <row r="49906" spans="104:111">
      <c r="CZ49906" s="256"/>
      <c r="DG49906" s="256"/>
    </row>
    <row r="49907" spans="104:111">
      <c r="CZ49907" s="256"/>
      <c r="DG49907" s="256"/>
    </row>
    <row r="49908" spans="104:111">
      <c r="CZ49908" s="256"/>
      <c r="DG49908" s="256"/>
    </row>
    <row r="49909" spans="104:111">
      <c r="CZ49909" s="256"/>
      <c r="DG49909" s="256"/>
    </row>
    <row r="49910" spans="104:111">
      <c r="CZ49910" s="256"/>
      <c r="DG49910" s="256"/>
    </row>
    <row r="49911" spans="104:111">
      <c r="CZ49911" s="256"/>
      <c r="DG49911" s="256"/>
    </row>
    <row r="49912" spans="104:111">
      <c r="CZ49912" s="256"/>
      <c r="DG49912" s="256"/>
    </row>
    <row r="49913" spans="104:111">
      <c r="CZ49913" s="256"/>
      <c r="DG49913" s="256"/>
    </row>
    <row r="49914" spans="104:111">
      <c r="CZ49914" s="256"/>
      <c r="DG49914" s="256"/>
    </row>
    <row r="49915" spans="104:111">
      <c r="CZ49915" s="256"/>
      <c r="DG49915" s="256"/>
    </row>
    <row r="49916" spans="104:111">
      <c r="CZ49916" s="256"/>
      <c r="DG49916" s="256"/>
    </row>
    <row r="49917" spans="104:111">
      <c r="CZ49917" s="256"/>
      <c r="DG49917" s="256"/>
    </row>
    <row r="49918" spans="104:111">
      <c r="CZ49918" s="256"/>
      <c r="DG49918" s="256"/>
    </row>
    <row r="49919" spans="104:111">
      <c r="CZ49919" s="256"/>
      <c r="DG49919" s="256"/>
    </row>
    <row r="49920" spans="104:111">
      <c r="CZ49920" s="256"/>
      <c r="DG49920" s="256"/>
    </row>
    <row r="49921" spans="104:111">
      <c r="CZ49921" s="256"/>
      <c r="DG49921" s="256"/>
    </row>
    <row r="49922" spans="104:111">
      <c r="CZ49922" s="256"/>
      <c r="DG49922" s="256"/>
    </row>
    <row r="49923" spans="104:111">
      <c r="CZ49923" s="256"/>
      <c r="DG49923" s="256"/>
    </row>
    <row r="49924" spans="104:111">
      <c r="CZ49924" s="256"/>
      <c r="DG49924" s="256"/>
    </row>
    <row r="49925" spans="104:111">
      <c r="CZ49925" s="256"/>
      <c r="DG49925" s="256"/>
    </row>
    <row r="49926" spans="104:111">
      <c r="CZ49926" s="256"/>
      <c r="DG49926" s="256"/>
    </row>
    <row r="49927" spans="104:111">
      <c r="CZ49927" s="256"/>
      <c r="DG49927" s="256"/>
    </row>
    <row r="49928" spans="104:111">
      <c r="CZ49928" s="256"/>
      <c r="DG49928" s="256"/>
    </row>
    <row r="49929" spans="104:111">
      <c r="CZ49929" s="256"/>
      <c r="DG49929" s="256"/>
    </row>
    <row r="49930" spans="104:111">
      <c r="CZ49930" s="256"/>
      <c r="DG49930" s="256"/>
    </row>
    <row r="49931" spans="104:111">
      <c r="CZ49931" s="256"/>
      <c r="DG49931" s="256"/>
    </row>
    <row r="49932" spans="104:111">
      <c r="CZ49932" s="256"/>
      <c r="DG49932" s="256"/>
    </row>
    <row r="49933" spans="104:111">
      <c r="CZ49933" s="256"/>
      <c r="DG49933" s="256"/>
    </row>
    <row r="49934" spans="104:111">
      <c r="CZ49934" s="256"/>
      <c r="DG49934" s="256"/>
    </row>
    <row r="49935" spans="104:111">
      <c r="CZ49935" s="256"/>
      <c r="DG49935" s="256"/>
    </row>
    <row r="49936" spans="104:111">
      <c r="CZ49936" s="256"/>
      <c r="DG49936" s="256"/>
    </row>
    <row r="49937" spans="104:111">
      <c r="CZ49937" s="256"/>
      <c r="DG49937" s="256"/>
    </row>
    <row r="49938" spans="104:111">
      <c r="CZ49938" s="256"/>
      <c r="DG49938" s="256"/>
    </row>
    <row r="49939" spans="104:111">
      <c r="CZ49939" s="256"/>
      <c r="DG49939" s="256"/>
    </row>
    <row r="49940" spans="104:111">
      <c r="CZ49940" s="256"/>
      <c r="DG49940" s="256"/>
    </row>
    <row r="49941" spans="104:111">
      <c r="CZ49941" s="256"/>
      <c r="DG49941" s="256"/>
    </row>
    <row r="49942" spans="104:111">
      <c r="CZ49942" s="256"/>
      <c r="DG49942" s="256"/>
    </row>
    <row r="49943" spans="104:111">
      <c r="CZ49943" s="256"/>
      <c r="DG49943" s="256"/>
    </row>
    <row r="49944" spans="104:111">
      <c r="CZ49944" s="256"/>
      <c r="DG49944" s="256"/>
    </row>
    <row r="49945" spans="104:111">
      <c r="CZ49945" s="256"/>
      <c r="DG49945" s="256"/>
    </row>
    <row r="49946" spans="104:111">
      <c r="CZ49946" s="256"/>
      <c r="DG49946" s="256"/>
    </row>
    <row r="49947" spans="104:111">
      <c r="CZ49947" s="256"/>
      <c r="DG49947" s="256"/>
    </row>
    <row r="49948" spans="104:111">
      <c r="CZ49948" s="256"/>
      <c r="DG49948" s="256"/>
    </row>
    <row r="49949" spans="104:111">
      <c r="CZ49949" s="256"/>
      <c r="DG49949" s="256"/>
    </row>
    <row r="49950" spans="104:111">
      <c r="CZ49950" s="256"/>
      <c r="DG49950" s="256"/>
    </row>
    <row r="49951" spans="104:111">
      <c r="CZ49951" s="256"/>
      <c r="DG49951" s="256"/>
    </row>
    <row r="49952" spans="104:111">
      <c r="CZ49952" s="256"/>
      <c r="DG49952" s="256"/>
    </row>
    <row r="49953" spans="104:111">
      <c r="CZ49953" s="256"/>
      <c r="DG49953" s="256"/>
    </row>
    <row r="49954" spans="104:111">
      <c r="CZ49954" s="256"/>
      <c r="DG49954" s="256"/>
    </row>
    <row r="49955" spans="104:111">
      <c r="CZ49955" s="256"/>
      <c r="DG49955" s="256"/>
    </row>
    <row r="49956" spans="104:111">
      <c r="CZ49956" s="256"/>
      <c r="DG49956" s="256"/>
    </row>
    <row r="49957" spans="104:111">
      <c r="CZ49957" s="256"/>
      <c r="DG49957" s="256"/>
    </row>
    <row r="49958" spans="104:111">
      <c r="CZ49958" s="256"/>
      <c r="DG49958" s="256"/>
    </row>
    <row r="49959" spans="104:111">
      <c r="CZ49959" s="256"/>
      <c r="DG49959" s="256"/>
    </row>
    <row r="49960" spans="104:111">
      <c r="CZ49960" s="256"/>
      <c r="DG49960" s="256"/>
    </row>
    <row r="49961" spans="104:111">
      <c r="CZ49961" s="256"/>
      <c r="DG49961" s="256"/>
    </row>
    <row r="49962" spans="104:111">
      <c r="CZ49962" s="256"/>
      <c r="DG49962" s="256"/>
    </row>
    <row r="49963" spans="104:111">
      <c r="CZ49963" s="256"/>
      <c r="DG49963" s="256"/>
    </row>
    <row r="49964" spans="104:111">
      <c r="CZ49964" s="256"/>
      <c r="DG49964" s="256"/>
    </row>
    <row r="49965" spans="104:111">
      <c r="CZ49965" s="256"/>
      <c r="DG49965" s="256"/>
    </row>
    <row r="49966" spans="104:111">
      <c r="CZ49966" s="256"/>
      <c r="DG49966" s="256"/>
    </row>
    <row r="49967" spans="104:111">
      <c r="CZ49967" s="256"/>
      <c r="DG49967" s="256"/>
    </row>
    <row r="49968" spans="104:111">
      <c r="CZ49968" s="256"/>
      <c r="DG49968" s="256"/>
    </row>
    <row r="49969" spans="104:111">
      <c r="CZ49969" s="256"/>
      <c r="DG49969" s="256"/>
    </row>
    <row r="49970" spans="104:111">
      <c r="CZ49970" s="256"/>
      <c r="DG49970" s="256"/>
    </row>
    <row r="49971" spans="104:111">
      <c r="CZ49971" s="256"/>
      <c r="DG49971" s="256"/>
    </row>
    <row r="49972" spans="104:111">
      <c r="CZ49972" s="256"/>
      <c r="DG49972" s="256"/>
    </row>
    <row r="49973" spans="104:111">
      <c r="CZ49973" s="256"/>
      <c r="DG49973" s="256"/>
    </row>
    <row r="49974" spans="104:111">
      <c r="CZ49974" s="256"/>
      <c r="DG49974" s="256"/>
    </row>
    <row r="49975" spans="104:111">
      <c r="CZ49975" s="256"/>
      <c r="DG49975" s="256"/>
    </row>
    <row r="49976" spans="104:111">
      <c r="CZ49976" s="256"/>
      <c r="DG49976" s="256"/>
    </row>
    <row r="49977" spans="104:111">
      <c r="CZ49977" s="256"/>
      <c r="DG49977" s="256"/>
    </row>
    <row r="49978" spans="104:111">
      <c r="CZ49978" s="256"/>
      <c r="DG49978" s="256"/>
    </row>
    <row r="49979" spans="104:111">
      <c r="CZ49979" s="256"/>
      <c r="DG49979" s="256"/>
    </row>
    <row r="49980" spans="104:111">
      <c r="CZ49980" s="256"/>
      <c r="DG49980" s="256"/>
    </row>
    <row r="49981" spans="104:111">
      <c r="CZ49981" s="256"/>
      <c r="DG49981" s="256"/>
    </row>
    <row r="49982" spans="104:111">
      <c r="CZ49982" s="256"/>
      <c r="DG49982" s="256"/>
    </row>
    <row r="49983" spans="104:111">
      <c r="CZ49983" s="256"/>
      <c r="DG49983" s="256"/>
    </row>
    <row r="49984" spans="104:111">
      <c r="CZ49984" s="256"/>
      <c r="DG49984" s="256"/>
    </row>
    <row r="49985" spans="104:111">
      <c r="CZ49985" s="256"/>
      <c r="DG49985" s="256"/>
    </row>
    <row r="49986" spans="104:111">
      <c r="CZ49986" s="256"/>
      <c r="DG49986" s="256"/>
    </row>
    <row r="49987" spans="104:111">
      <c r="CZ49987" s="256"/>
      <c r="DG49987" s="256"/>
    </row>
    <row r="49988" spans="104:111">
      <c r="CZ49988" s="256"/>
      <c r="DG49988" s="256"/>
    </row>
    <row r="49989" spans="104:111">
      <c r="CZ49989" s="256"/>
      <c r="DG49989" s="256"/>
    </row>
    <row r="49990" spans="104:111">
      <c r="CZ49990" s="256"/>
      <c r="DG49990" s="256"/>
    </row>
    <row r="49991" spans="104:111">
      <c r="CZ49991" s="256"/>
      <c r="DG49991" s="256"/>
    </row>
    <row r="49992" spans="104:111">
      <c r="CZ49992" s="256"/>
      <c r="DG49992" s="256"/>
    </row>
    <row r="49993" spans="104:111">
      <c r="CZ49993" s="256"/>
      <c r="DG49993" s="256"/>
    </row>
    <row r="49994" spans="104:111">
      <c r="CZ49994" s="256"/>
      <c r="DG49994" s="256"/>
    </row>
    <row r="49995" spans="104:111">
      <c r="CZ49995" s="256"/>
      <c r="DG49995" s="256"/>
    </row>
    <row r="49996" spans="104:111">
      <c r="CZ49996" s="256"/>
      <c r="DG49996" s="256"/>
    </row>
    <row r="49997" spans="104:111">
      <c r="CZ49997" s="256"/>
      <c r="DG49997" s="256"/>
    </row>
    <row r="49998" spans="104:111">
      <c r="CZ49998" s="256"/>
      <c r="DG49998" s="256"/>
    </row>
    <row r="49999" spans="104:111">
      <c r="CZ49999" s="256"/>
      <c r="DG49999" s="256"/>
    </row>
    <row r="50000" spans="104:111">
      <c r="CZ50000" s="256"/>
      <c r="DG50000" s="256"/>
    </row>
    <row r="50001" spans="104:111">
      <c r="CZ50001" s="256"/>
      <c r="DG50001" s="256"/>
    </row>
    <row r="50002" spans="104:111">
      <c r="CZ50002" s="256"/>
      <c r="DG50002" s="256"/>
    </row>
    <row r="50003" spans="104:111">
      <c r="CZ50003" s="256"/>
      <c r="DG50003" s="256"/>
    </row>
    <row r="50004" spans="104:111">
      <c r="CZ50004" s="256"/>
      <c r="DG50004" s="256"/>
    </row>
    <row r="50005" spans="104:111">
      <c r="CZ50005" s="256"/>
      <c r="DG50005" s="256"/>
    </row>
    <row r="50006" spans="104:111">
      <c r="CZ50006" s="256"/>
      <c r="DG50006" s="256"/>
    </row>
    <row r="50007" spans="104:111">
      <c r="CZ50007" s="256"/>
      <c r="DG50007" s="256"/>
    </row>
    <row r="50008" spans="104:111">
      <c r="CZ50008" s="256"/>
      <c r="DG50008" s="256"/>
    </row>
    <row r="50009" spans="104:111">
      <c r="CZ50009" s="256"/>
      <c r="DG50009" s="256"/>
    </row>
    <row r="50010" spans="104:111">
      <c r="CZ50010" s="256"/>
      <c r="DG50010" s="256"/>
    </row>
    <row r="50011" spans="104:111">
      <c r="CZ50011" s="256"/>
      <c r="DG50011" s="256"/>
    </row>
    <row r="50012" spans="104:111">
      <c r="CZ50012" s="256"/>
      <c r="DG50012" s="256"/>
    </row>
    <row r="50013" spans="104:111">
      <c r="CZ50013" s="256"/>
      <c r="DG50013" s="256"/>
    </row>
    <row r="50014" spans="104:111">
      <c r="CZ50014" s="256"/>
      <c r="DG50014" s="256"/>
    </row>
    <row r="50015" spans="104:111">
      <c r="CZ50015" s="256"/>
      <c r="DG50015" s="256"/>
    </row>
    <row r="50016" spans="104:111">
      <c r="CZ50016" s="256"/>
      <c r="DG50016" s="256"/>
    </row>
    <row r="50017" spans="104:111">
      <c r="CZ50017" s="256"/>
      <c r="DG50017" s="256"/>
    </row>
    <row r="50018" spans="104:111">
      <c r="CZ50018" s="256"/>
      <c r="DG50018" s="256"/>
    </row>
    <row r="50019" spans="104:111">
      <c r="CZ50019" s="256"/>
      <c r="DG50019" s="256"/>
    </row>
    <row r="50020" spans="104:111">
      <c r="CZ50020" s="256"/>
      <c r="DG50020" s="256"/>
    </row>
    <row r="50021" spans="104:111">
      <c r="CZ50021" s="256"/>
      <c r="DG50021" s="256"/>
    </row>
    <row r="50022" spans="104:111">
      <c r="CZ50022" s="256"/>
      <c r="DG50022" s="256"/>
    </row>
    <row r="50023" spans="104:111">
      <c r="CZ50023" s="256"/>
      <c r="DG50023" s="256"/>
    </row>
    <row r="50024" spans="104:111">
      <c r="CZ50024" s="256"/>
      <c r="DG50024" s="256"/>
    </row>
    <row r="50025" spans="104:111">
      <c r="CZ50025" s="256"/>
      <c r="DG50025" s="256"/>
    </row>
    <row r="50026" spans="104:111">
      <c r="CZ50026" s="256"/>
      <c r="DG50026" s="256"/>
    </row>
    <row r="50027" spans="104:111">
      <c r="CZ50027" s="256"/>
      <c r="DG50027" s="256"/>
    </row>
    <row r="50028" spans="104:111">
      <c r="CZ50028" s="256"/>
      <c r="DG50028" s="256"/>
    </row>
    <row r="50029" spans="104:111">
      <c r="CZ50029" s="256"/>
      <c r="DG50029" s="256"/>
    </row>
    <row r="50030" spans="104:111">
      <c r="CZ50030" s="256"/>
      <c r="DG50030" s="256"/>
    </row>
    <row r="50031" spans="104:111">
      <c r="CZ50031" s="256"/>
      <c r="DG50031" s="256"/>
    </row>
    <row r="50032" spans="104:111">
      <c r="CZ50032" s="256"/>
      <c r="DG50032" s="256"/>
    </row>
    <row r="50033" spans="104:111">
      <c r="CZ50033" s="256"/>
      <c r="DG50033" s="256"/>
    </row>
    <row r="50034" spans="104:111">
      <c r="CZ50034" s="256"/>
      <c r="DG50034" s="256"/>
    </row>
    <row r="50035" spans="104:111">
      <c r="CZ50035" s="256"/>
      <c r="DG50035" s="256"/>
    </row>
    <row r="50036" spans="104:111">
      <c r="CZ50036" s="256"/>
      <c r="DG50036" s="256"/>
    </row>
    <row r="50037" spans="104:111">
      <c r="CZ50037" s="256"/>
      <c r="DG50037" s="256"/>
    </row>
    <row r="50038" spans="104:111">
      <c r="CZ50038" s="256"/>
      <c r="DG50038" s="256"/>
    </row>
    <row r="50039" spans="104:111">
      <c r="CZ50039" s="256"/>
      <c r="DG50039" s="256"/>
    </row>
    <row r="50040" spans="104:111">
      <c r="CZ50040" s="256"/>
      <c r="DG50040" s="256"/>
    </row>
    <row r="50041" spans="104:111">
      <c r="CZ50041" s="256"/>
      <c r="DG50041" s="256"/>
    </row>
    <row r="50042" spans="104:111">
      <c r="CZ50042" s="256"/>
      <c r="DG50042" s="256"/>
    </row>
    <row r="50043" spans="104:111">
      <c r="CZ50043" s="256"/>
      <c r="DG50043" s="256"/>
    </row>
    <row r="50044" spans="104:111">
      <c r="CZ50044" s="256"/>
      <c r="DG50044" s="256"/>
    </row>
    <row r="50045" spans="104:111">
      <c r="CZ50045" s="256"/>
      <c r="DG50045" s="256"/>
    </row>
    <row r="50046" spans="104:111">
      <c r="CZ50046" s="256"/>
      <c r="DG50046" s="256"/>
    </row>
    <row r="50047" spans="104:111">
      <c r="CZ50047" s="256"/>
      <c r="DG50047" s="256"/>
    </row>
    <row r="50048" spans="104:111">
      <c r="CZ50048" s="256"/>
      <c r="DG50048" s="256"/>
    </row>
    <row r="50049" spans="104:111">
      <c r="CZ50049" s="256"/>
      <c r="DG50049" s="256"/>
    </row>
    <row r="50050" spans="104:111">
      <c r="CZ50050" s="256"/>
      <c r="DG50050" s="256"/>
    </row>
    <row r="50051" spans="104:111">
      <c r="CZ50051" s="256"/>
      <c r="DG50051" s="256"/>
    </row>
    <row r="50052" spans="104:111">
      <c r="CZ50052" s="256"/>
      <c r="DG50052" s="256"/>
    </row>
    <row r="50053" spans="104:111">
      <c r="CZ50053" s="256"/>
      <c r="DG50053" s="256"/>
    </row>
    <row r="50054" spans="104:111">
      <c r="CZ50054" s="256"/>
      <c r="DG50054" s="256"/>
    </row>
    <row r="50055" spans="104:111">
      <c r="CZ50055" s="256"/>
      <c r="DG50055" s="256"/>
    </row>
    <row r="50056" spans="104:111">
      <c r="CZ50056" s="256"/>
      <c r="DG50056" s="256"/>
    </row>
    <row r="50057" spans="104:111">
      <c r="CZ50057" s="256"/>
      <c r="DG50057" s="256"/>
    </row>
    <row r="50058" spans="104:111">
      <c r="CZ50058" s="256"/>
      <c r="DG50058" s="256"/>
    </row>
    <row r="50059" spans="104:111">
      <c r="CZ50059" s="256"/>
      <c r="DG50059" s="256"/>
    </row>
    <row r="50060" spans="104:111">
      <c r="CZ50060" s="256"/>
      <c r="DG50060" s="256"/>
    </row>
    <row r="50061" spans="104:111">
      <c r="CZ50061" s="256"/>
      <c r="DG50061" s="256"/>
    </row>
    <row r="50062" spans="104:111">
      <c r="CZ50062" s="256"/>
      <c r="DG50062" s="256"/>
    </row>
    <row r="50063" spans="104:111">
      <c r="CZ50063" s="256"/>
      <c r="DG50063" s="256"/>
    </row>
    <row r="50064" spans="104:111">
      <c r="CZ50064" s="256"/>
      <c r="DG50064" s="256"/>
    </row>
    <row r="50065" spans="104:111">
      <c r="CZ50065" s="256"/>
      <c r="DG50065" s="256"/>
    </row>
    <row r="50066" spans="104:111">
      <c r="CZ50066" s="256"/>
      <c r="DG50066" s="256"/>
    </row>
    <row r="50067" spans="104:111">
      <c r="CZ50067" s="256"/>
      <c r="DG50067" s="256"/>
    </row>
    <row r="50068" spans="104:111">
      <c r="CZ50068" s="256"/>
      <c r="DG50068" s="256"/>
    </row>
    <row r="50069" spans="104:111">
      <c r="CZ50069" s="256"/>
      <c r="DG50069" s="256"/>
    </row>
    <row r="50070" spans="104:111">
      <c r="CZ50070" s="256"/>
      <c r="DG50070" s="256"/>
    </row>
    <row r="50071" spans="104:111">
      <c r="CZ50071" s="256"/>
      <c r="DG50071" s="256"/>
    </row>
    <row r="50072" spans="104:111">
      <c r="CZ50072" s="256"/>
      <c r="DG50072" s="256"/>
    </row>
    <row r="50073" spans="104:111">
      <c r="CZ50073" s="256"/>
      <c r="DG50073" s="256"/>
    </row>
    <row r="50074" spans="104:111">
      <c r="CZ50074" s="256"/>
      <c r="DG50074" s="256"/>
    </row>
    <row r="50075" spans="104:111">
      <c r="CZ50075" s="256"/>
      <c r="DG50075" s="256"/>
    </row>
    <row r="50076" spans="104:111">
      <c r="CZ50076" s="256"/>
      <c r="DG50076" s="256"/>
    </row>
    <row r="50077" spans="104:111">
      <c r="CZ50077" s="256"/>
      <c r="DG50077" s="256"/>
    </row>
    <row r="50078" spans="104:111">
      <c r="CZ50078" s="256"/>
      <c r="DG50078" s="256"/>
    </row>
    <row r="50079" spans="104:111">
      <c r="CZ50079" s="256"/>
      <c r="DG50079" s="256"/>
    </row>
    <row r="50080" spans="104:111">
      <c r="CZ50080" s="256"/>
      <c r="DG50080" s="256"/>
    </row>
    <row r="50081" spans="104:111">
      <c r="CZ50081" s="256"/>
      <c r="DG50081" s="256"/>
    </row>
    <row r="50082" spans="104:111">
      <c r="CZ50082" s="256"/>
      <c r="DG50082" s="256"/>
    </row>
    <row r="50083" spans="104:111">
      <c r="CZ50083" s="256"/>
      <c r="DG50083" s="256"/>
    </row>
    <row r="50084" spans="104:111">
      <c r="CZ50084" s="256"/>
      <c r="DG50084" s="256"/>
    </row>
    <row r="50085" spans="104:111">
      <c r="CZ50085" s="256"/>
      <c r="DG50085" s="256"/>
    </row>
    <row r="50086" spans="104:111">
      <c r="CZ50086" s="256"/>
      <c r="DG50086" s="256"/>
    </row>
    <row r="50087" spans="104:111">
      <c r="CZ50087" s="256"/>
      <c r="DG50087" s="256"/>
    </row>
    <row r="50088" spans="104:111">
      <c r="CZ50088" s="256"/>
      <c r="DG50088" s="256"/>
    </row>
    <row r="50089" spans="104:111">
      <c r="CZ50089" s="256"/>
      <c r="DG50089" s="256"/>
    </row>
    <row r="50090" spans="104:111">
      <c r="CZ50090" s="256"/>
      <c r="DG50090" s="256"/>
    </row>
    <row r="50091" spans="104:111">
      <c r="CZ50091" s="256"/>
      <c r="DG50091" s="256"/>
    </row>
    <row r="50092" spans="104:111">
      <c r="CZ50092" s="256"/>
      <c r="DG50092" s="256"/>
    </row>
    <row r="50093" spans="104:111">
      <c r="CZ50093" s="256"/>
      <c r="DG50093" s="256"/>
    </row>
    <row r="50094" spans="104:111">
      <c r="CZ50094" s="256"/>
      <c r="DG50094" s="256"/>
    </row>
    <row r="50095" spans="104:111">
      <c r="CZ50095" s="256"/>
      <c r="DG50095" s="256"/>
    </row>
    <row r="50096" spans="104:111">
      <c r="CZ50096" s="256"/>
      <c r="DG50096" s="256"/>
    </row>
    <row r="50097" spans="104:111">
      <c r="CZ50097" s="256"/>
      <c r="DG50097" s="256"/>
    </row>
    <row r="50098" spans="104:111">
      <c r="CZ50098" s="256"/>
      <c r="DG50098" s="256"/>
    </row>
    <row r="50099" spans="104:111">
      <c r="CZ50099" s="256"/>
      <c r="DG50099" s="256"/>
    </row>
    <row r="50100" spans="104:111">
      <c r="CZ50100" s="256"/>
      <c r="DG50100" s="256"/>
    </row>
    <row r="50101" spans="104:111">
      <c r="CZ50101" s="256"/>
      <c r="DG50101" s="256"/>
    </row>
    <row r="50102" spans="104:111">
      <c r="CZ50102" s="256"/>
      <c r="DG50102" s="256"/>
    </row>
    <row r="50103" spans="104:111">
      <c r="CZ50103" s="256"/>
      <c r="DG50103" s="256"/>
    </row>
    <row r="50104" spans="104:111">
      <c r="CZ50104" s="256"/>
      <c r="DG50104" s="256"/>
    </row>
    <row r="50105" spans="104:111">
      <c r="CZ50105" s="256"/>
      <c r="DG50105" s="256"/>
    </row>
    <row r="50106" spans="104:111">
      <c r="CZ50106" s="256"/>
      <c r="DG50106" s="256"/>
    </row>
    <row r="50107" spans="104:111">
      <c r="CZ50107" s="256"/>
      <c r="DG50107" s="256"/>
    </row>
    <row r="50108" spans="104:111">
      <c r="CZ50108" s="256"/>
      <c r="DG50108" s="256"/>
    </row>
    <row r="50109" spans="104:111">
      <c r="CZ50109" s="256"/>
      <c r="DG50109" s="256"/>
    </row>
    <row r="50110" spans="104:111">
      <c r="CZ50110" s="256"/>
      <c r="DG50110" s="256"/>
    </row>
    <row r="50111" spans="104:111">
      <c r="CZ50111" s="256"/>
      <c r="DG50111" s="256"/>
    </row>
    <row r="50112" spans="104:111">
      <c r="CZ50112" s="256"/>
      <c r="DG50112" s="256"/>
    </row>
    <row r="50113" spans="104:111">
      <c r="CZ50113" s="256"/>
      <c r="DG50113" s="256"/>
    </row>
    <row r="50114" spans="104:111">
      <c r="CZ50114" s="256"/>
      <c r="DG50114" s="256"/>
    </row>
    <row r="50115" spans="104:111">
      <c r="CZ50115" s="256"/>
      <c r="DG50115" s="256"/>
    </row>
    <row r="50116" spans="104:111">
      <c r="CZ50116" s="256"/>
      <c r="DG50116" s="256"/>
    </row>
    <row r="50117" spans="104:111">
      <c r="CZ50117" s="256"/>
      <c r="DG50117" s="256"/>
    </row>
    <row r="50118" spans="104:111">
      <c r="CZ50118" s="256"/>
      <c r="DG50118" s="256"/>
    </row>
    <row r="50119" spans="104:111">
      <c r="CZ50119" s="256"/>
      <c r="DG50119" s="256"/>
    </row>
    <row r="50120" spans="104:111">
      <c r="CZ50120" s="256"/>
      <c r="DG50120" s="256"/>
    </row>
    <row r="50121" spans="104:111">
      <c r="CZ50121" s="256"/>
      <c r="DG50121" s="256"/>
    </row>
    <row r="50122" spans="104:111">
      <c r="CZ50122" s="256"/>
      <c r="DG50122" s="256"/>
    </row>
    <row r="50123" spans="104:111">
      <c r="CZ50123" s="256"/>
      <c r="DG50123" s="256"/>
    </row>
    <row r="50124" spans="104:111">
      <c r="CZ50124" s="256"/>
      <c r="DG50124" s="256"/>
    </row>
    <row r="50125" spans="104:111">
      <c r="CZ50125" s="256"/>
      <c r="DG50125" s="256"/>
    </row>
    <row r="50126" spans="104:111">
      <c r="CZ50126" s="256"/>
      <c r="DG50126" s="256"/>
    </row>
    <row r="50127" spans="104:111">
      <c r="CZ50127" s="256"/>
      <c r="DG50127" s="256"/>
    </row>
    <row r="50128" spans="104:111">
      <c r="CZ50128" s="256"/>
      <c r="DG50128" s="256"/>
    </row>
    <row r="50129" spans="104:111">
      <c r="CZ50129" s="256"/>
      <c r="DG50129" s="256"/>
    </row>
    <row r="50130" spans="104:111">
      <c r="CZ50130" s="256"/>
      <c r="DG50130" s="256"/>
    </row>
    <row r="50131" spans="104:111">
      <c r="CZ50131" s="256"/>
      <c r="DG50131" s="256"/>
    </row>
    <row r="50132" spans="104:111">
      <c r="CZ50132" s="256"/>
      <c r="DG50132" s="256"/>
    </row>
    <row r="50133" spans="104:111">
      <c r="CZ50133" s="256"/>
      <c r="DG50133" s="256"/>
    </row>
    <row r="50134" spans="104:111">
      <c r="CZ50134" s="256"/>
      <c r="DG50134" s="256"/>
    </row>
    <row r="50135" spans="104:111">
      <c r="CZ50135" s="256"/>
      <c r="DG50135" s="256"/>
    </row>
    <row r="50136" spans="104:111">
      <c r="CZ50136" s="256"/>
      <c r="DG50136" s="256"/>
    </row>
    <row r="50137" spans="104:111">
      <c r="CZ50137" s="256"/>
      <c r="DG50137" s="256"/>
    </row>
    <row r="50138" spans="104:111">
      <c r="CZ50138" s="256"/>
      <c r="DG50138" s="256"/>
    </row>
    <row r="50139" spans="104:111">
      <c r="CZ50139" s="256"/>
      <c r="DG50139" s="256"/>
    </row>
    <row r="50140" spans="104:111">
      <c r="CZ50140" s="256"/>
      <c r="DG50140" s="256"/>
    </row>
    <row r="50141" spans="104:111">
      <c r="CZ50141" s="256"/>
      <c r="DG50141" s="256"/>
    </row>
    <row r="50142" spans="104:111">
      <c r="CZ50142" s="256"/>
      <c r="DG50142" s="256"/>
    </row>
    <row r="50143" spans="104:111">
      <c r="CZ50143" s="256"/>
      <c r="DG50143" s="256"/>
    </row>
    <row r="50144" spans="104:111">
      <c r="CZ50144" s="256"/>
      <c r="DG50144" s="256"/>
    </row>
    <row r="50145" spans="104:111">
      <c r="CZ50145" s="256"/>
      <c r="DG50145" s="256"/>
    </row>
    <row r="50146" spans="104:111">
      <c r="CZ50146" s="256"/>
      <c r="DG50146" s="256"/>
    </row>
    <row r="50147" spans="104:111">
      <c r="CZ50147" s="256"/>
      <c r="DG50147" s="256"/>
    </row>
    <row r="50148" spans="104:111">
      <c r="CZ50148" s="256"/>
      <c r="DG50148" s="256"/>
    </row>
    <row r="50149" spans="104:111">
      <c r="CZ50149" s="256"/>
      <c r="DG50149" s="256"/>
    </row>
    <row r="50150" spans="104:111">
      <c r="CZ50150" s="256"/>
      <c r="DG50150" s="256"/>
    </row>
    <row r="50151" spans="104:111">
      <c r="CZ50151" s="256"/>
      <c r="DG50151" s="256"/>
    </row>
    <row r="50152" spans="104:111">
      <c r="CZ50152" s="256"/>
      <c r="DG50152" s="256"/>
    </row>
    <row r="50153" spans="104:111">
      <c r="CZ50153" s="256"/>
      <c r="DG50153" s="256"/>
    </row>
    <row r="50154" spans="104:111">
      <c r="CZ50154" s="256"/>
      <c r="DG50154" s="256"/>
    </row>
    <row r="50155" spans="104:111">
      <c r="CZ50155" s="256"/>
      <c r="DG50155" s="256"/>
    </row>
    <row r="50156" spans="104:111">
      <c r="CZ50156" s="256"/>
      <c r="DG50156" s="256"/>
    </row>
    <row r="50157" spans="104:111">
      <c r="CZ50157" s="256"/>
      <c r="DG50157" s="256"/>
    </row>
    <row r="50158" spans="104:111">
      <c r="CZ50158" s="256"/>
      <c r="DG50158" s="256"/>
    </row>
    <row r="50159" spans="104:111">
      <c r="CZ50159" s="256"/>
      <c r="DG50159" s="256"/>
    </row>
    <row r="50160" spans="104:111">
      <c r="CZ50160" s="256"/>
      <c r="DG50160" s="256"/>
    </row>
    <row r="50161" spans="104:111">
      <c r="CZ50161" s="256"/>
      <c r="DG50161" s="256"/>
    </row>
    <row r="50162" spans="104:111">
      <c r="CZ50162" s="256"/>
      <c r="DG50162" s="256"/>
    </row>
    <row r="50163" spans="104:111">
      <c r="CZ50163" s="256"/>
      <c r="DG50163" s="256"/>
    </row>
    <row r="50164" spans="104:111">
      <c r="CZ50164" s="256"/>
      <c r="DG50164" s="256"/>
    </row>
    <row r="50165" spans="104:111">
      <c r="CZ50165" s="256"/>
      <c r="DG50165" s="256"/>
    </row>
    <row r="50166" spans="104:111">
      <c r="CZ50166" s="256"/>
      <c r="DG50166" s="256"/>
    </row>
    <row r="50167" spans="104:111">
      <c r="CZ50167" s="256"/>
      <c r="DG50167" s="256"/>
    </row>
    <row r="50168" spans="104:111">
      <c r="CZ50168" s="256"/>
      <c r="DG50168" s="256"/>
    </row>
    <row r="50169" spans="104:111">
      <c r="CZ50169" s="256"/>
      <c r="DG50169" s="256"/>
    </row>
    <row r="50170" spans="104:111">
      <c r="CZ50170" s="256"/>
      <c r="DG50170" s="256"/>
    </row>
    <row r="50171" spans="104:111">
      <c r="CZ50171" s="256"/>
      <c r="DG50171" s="256"/>
    </row>
    <row r="50172" spans="104:111">
      <c r="CZ50172" s="256"/>
      <c r="DG50172" s="256"/>
    </row>
    <row r="50173" spans="104:111">
      <c r="CZ50173" s="256"/>
      <c r="DG50173" s="256"/>
    </row>
    <row r="50174" spans="104:111">
      <c r="CZ50174" s="256"/>
      <c r="DG50174" s="256"/>
    </row>
    <row r="50175" spans="104:111">
      <c r="CZ50175" s="256"/>
      <c r="DG50175" s="256"/>
    </row>
    <row r="50176" spans="104:111">
      <c r="CZ50176" s="256"/>
      <c r="DG50176" s="256"/>
    </row>
    <row r="50177" spans="104:111">
      <c r="CZ50177" s="256"/>
      <c r="DG50177" s="256"/>
    </row>
    <row r="50178" spans="104:111">
      <c r="CZ50178" s="256"/>
      <c r="DG50178" s="256"/>
    </row>
    <row r="50179" spans="104:111">
      <c r="CZ50179" s="256"/>
      <c r="DG50179" s="256"/>
    </row>
    <row r="50180" spans="104:111">
      <c r="CZ50180" s="256"/>
      <c r="DG50180" s="256"/>
    </row>
    <row r="50181" spans="104:111">
      <c r="CZ50181" s="256"/>
      <c r="DG50181" s="256"/>
    </row>
    <row r="50182" spans="104:111">
      <c r="CZ50182" s="256"/>
      <c r="DG50182" s="256"/>
    </row>
    <row r="50183" spans="104:111">
      <c r="CZ50183" s="256"/>
      <c r="DG50183" s="256"/>
    </row>
    <row r="50184" spans="104:111">
      <c r="CZ50184" s="256"/>
      <c r="DG50184" s="256"/>
    </row>
    <row r="50185" spans="104:111">
      <c r="CZ50185" s="256"/>
      <c r="DG50185" s="256"/>
    </row>
    <row r="50186" spans="104:111">
      <c r="CZ50186" s="256"/>
      <c r="DG50186" s="256"/>
    </row>
    <row r="50187" spans="104:111">
      <c r="CZ50187" s="256"/>
      <c r="DG50187" s="256"/>
    </row>
    <row r="50188" spans="104:111">
      <c r="CZ50188" s="256"/>
      <c r="DG50188" s="256"/>
    </row>
    <row r="50189" spans="104:111">
      <c r="CZ50189" s="256"/>
      <c r="DG50189" s="256"/>
    </row>
    <row r="50190" spans="104:111">
      <c r="CZ50190" s="256"/>
      <c r="DG50190" s="256"/>
    </row>
    <row r="50191" spans="104:111">
      <c r="CZ50191" s="256"/>
      <c r="DG50191" s="256"/>
    </row>
    <row r="50192" spans="104:111">
      <c r="CZ50192" s="256"/>
      <c r="DG50192" s="256"/>
    </row>
    <row r="50193" spans="104:111">
      <c r="CZ50193" s="256"/>
      <c r="DG50193" s="256"/>
    </row>
    <row r="50194" spans="104:111">
      <c r="CZ50194" s="256"/>
      <c r="DG50194" s="256"/>
    </row>
    <row r="50195" spans="104:111">
      <c r="CZ50195" s="256"/>
      <c r="DG50195" s="256"/>
    </row>
    <row r="50196" spans="104:111">
      <c r="CZ50196" s="256"/>
      <c r="DG50196" s="256"/>
    </row>
    <row r="50197" spans="104:111">
      <c r="CZ50197" s="256"/>
      <c r="DG50197" s="256"/>
    </row>
    <row r="50198" spans="104:111">
      <c r="CZ50198" s="256"/>
      <c r="DG50198" s="256"/>
    </row>
    <row r="50199" spans="104:111">
      <c r="CZ50199" s="256"/>
      <c r="DG50199" s="256"/>
    </row>
    <row r="50200" spans="104:111">
      <c r="CZ50200" s="256"/>
      <c r="DG50200" s="256"/>
    </row>
    <row r="50201" spans="104:111">
      <c r="CZ50201" s="256"/>
      <c r="DG50201" s="256"/>
    </row>
    <row r="50202" spans="104:111">
      <c r="CZ50202" s="256"/>
      <c r="DG50202" s="256"/>
    </row>
    <row r="50203" spans="104:111">
      <c r="CZ50203" s="256"/>
      <c r="DG50203" s="256"/>
    </row>
    <row r="50204" spans="104:111">
      <c r="CZ50204" s="256"/>
      <c r="DG50204" s="256"/>
    </row>
    <row r="50205" spans="104:111">
      <c r="CZ50205" s="256"/>
      <c r="DG50205" s="256"/>
    </row>
    <row r="50206" spans="104:111">
      <c r="CZ50206" s="256"/>
      <c r="DG50206" s="256"/>
    </row>
    <row r="50207" spans="104:111">
      <c r="CZ50207" s="256"/>
      <c r="DG50207" s="256"/>
    </row>
    <row r="50208" spans="104:111">
      <c r="CZ50208" s="256"/>
      <c r="DG50208" s="256"/>
    </row>
    <row r="50209" spans="104:111">
      <c r="CZ50209" s="256"/>
      <c r="DG50209" s="256"/>
    </row>
    <row r="50210" spans="104:111">
      <c r="CZ50210" s="256"/>
      <c r="DG50210" s="256"/>
    </row>
    <row r="50211" spans="104:111">
      <c r="CZ50211" s="256"/>
      <c r="DG50211" s="256"/>
    </row>
    <row r="50212" spans="104:111">
      <c r="CZ50212" s="256"/>
      <c r="DG50212" s="256"/>
    </row>
    <row r="50213" spans="104:111">
      <c r="CZ50213" s="256"/>
      <c r="DG50213" s="256"/>
    </row>
    <row r="50214" spans="104:111">
      <c r="CZ50214" s="256"/>
      <c r="DG50214" s="256"/>
    </row>
    <row r="50215" spans="104:111">
      <c r="CZ50215" s="256"/>
      <c r="DG50215" s="256"/>
    </row>
    <row r="50216" spans="104:111">
      <c r="CZ50216" s="256"/>
      <c r="DG50216" s="256"/>
    </row>
    <row r="50217" spans="104:111">
      <c r="CZ50217" s="256"/>
      <c r="DG50217" s="256"/>
    </row>
    <row r="50218" spans="104:111">
      <c r="CZ50218" s="256"/>
      <c r="DG50218" s="256"/>
    </row>
    <row r="50219" spans="104:111">
      <c r="CZ50219" s="256"/>
      <c r="DG50219" s="256"/>
    </row>
    <row r="50220" spans="104:111">
      <c r="CZ50220" s="256"/>
      <c r="DG50220" s="256"/>
    </row>
    <row r="50221" spans="104:111">
      <c r="CZ50221" s="256"/>
      <c r="DG50221" s="256"/>
    </row>
    <row r="50222" spans="104:111">
      <c r="CZ50222" s="256"/>
      <c r="DG50222" s="256"/>
    </row>
    <row r="50223" spans="104:111">
      <c r="CZ50223" s="256"/>
      <c r="DG50223" s="256"/>
    </row>
    <row r="50224" spans="104:111">
      <c r="CZ50224" s="256"/>
      <c r="DG50224" s="256"/>
    </row>
    <row r="50225" spans="104:111">
      <c r="CZ50225" s="256"/>
      <c r="DG50225" s="256"/>
    </row>
    <row r="50226" spans="104:111">
      <c r="CZ50226" s="256"/>
      <c r="DG50226" s="256"/>
    </row>
    <row r="50227" spans="104:111">
      <c r="CZ50227" s="256"/>
      <c r="DG50227" s="256"/>
    </row>
    <row r="50228" spans="104:111">
      <c r="CZ50228" s="256"/>
      <c r="DG50228" s="256"/>
    </row>
    <row r="50229" spans="104:111">
      <c r="CZ50229" s="256"/>
      <c r="DG50229" s="256"/>
    </row>
    <row r="50230" spans="104:111">
      <c r="CZ50230" s="256"/>
      <c r="DG50230" s="256"/>
    </row>
    <row r="50231" spans="104:111">
      <c r="CZ50231" s="256"/>
      <c r="DG50231" s="256"/>
    </row>
    <row r="50232" spans="104:111">
      <c r="CZ50232" s="256"/>
      <c r="DG50232" s="256"/>
    </row>
    <row r="50233" spans="104:111">
      <c r="CZ50233" s="256"/>
      <c r="DG50233" s="256"/>
    </row>
    <row r="50234" spans="104:111">
      <c r="CZ50234" s="256"/>
      <c r="DG50234" s="256"/>
    </row>
    <row r="50235" spans="104:111">
      <c r="CZ50235" s="256"/>
      <c r="DG50235" s="256"/>
    </row>
    <row r="50236" spans="104:111">
      <c r="CZ50236" s="256"/>
      <c r="DG50236" s="256"/>
    </row>
    <row r="50237" spans="104:111">
      <c r="CZ50237" s="256"/>
      <c r="DG50237" s="256"/>
    </row>
    <row r="50238" spans="104:111">
      <c r="CZ50238" s="256"/>
      <c r="DG50238" s="256"/>
    </row>
    <row r="50239" spans="104:111">
      <c r="CZ50239" s="256"/>
      <c r="DG50239" s="256"/>
    </row>
    <row r="50240" spans="104:111">
      <c r="CZ50240" s="256"/>
      <c r="DG50240" s="256"/>
    </row>
    <row r="50241" spans="104:111">
      <c r="CZ50241" s="256"/>
      <c r="DG50241" s="256"/>
    </row>
    <row r="50242" spans="104:111">
      <c r="CZ50242" s="256"/>
      <c r="DG50242" s="256"/>
    </row>
    <row r="50243" spans="104:111">
      <c r="CZ50243" s="256"/>
      <c r="DG50243" s="256"/>
    </row>
    <row r="50244" spans="104:111">
      <c r="CZ50244" s="256"/>
      <c r="DG50244" s="256"/>
    </row>
    <row r="50245" spans="104:111">
      <c r="CZ50245" s="256"/>
      <c r="DG50245" s="256"/>
    </row>
    <row r="50246" spans="104:111">
      <c r="CZ50246" s="256"/>
      <c r="DG50246" s="256"/>
    </row>
    <row r="50247" spans="104:111">
      <c r="CZ50247" s="256"/>
      <c r="DG50247" s="256"/>
    </row>
    <row r="50248" spans="104:111">
      <c r="CZ50248" s="256"/>
      <c r="DG50248" s="256"/>
    </row>
    <row r="50249" spans="104:111">
      <c r="CZ50249" s="256"/>
      <c r="DG50249" s="256"/>
    </row>
    <row r="50250" spans="104:111">
      <c r="CZ50250" s="256"/>
      <c r="DG50250" s="256"/>
    </row>
    <row r="50251" spans="104:111">
      <c r="CZ50251" s="256"/>
      <c r="DG50251" s="256"/>
    </row>
    <row r="50252" spans="104:111">
      <c r="CZ50252" s="256"/>
      <c r="DG50252" s="256"/>
    </row>
    <row r="50253" spans="104:111">
      <c r="CZ50253" s="256"/>
      <c r="DG50253" s="256"/>
    </row>
    <row r="50254" spans="104:111">
      <c r="CZ50254" s="256"/>
      <c r="DG50254" s="256"/>
    </row>
    <row r="50255" spans="104:111">
      <c r="CZ50255" s="256"/>
      <c r="DG50255" s="256"/>
    </row>
    <row r="50256" spans="104:111">
      <c r="CZ50256" s="256"/>
      <c r="DG50256" s="256"/>
    </row>
    <row r="50257" spans="104:111">
      <c r="CZ50257" s="256"/>
      <c r="DG50257" s="256"/>
    </row>
    <row r="50258" spans="104:111">
      <c r="CZ50258" s="256"/>
      <c r="DG50258" s="256"/>
    </row>
    <row r="50259" spans="104:111">
      <c r="CZ50259" s="256"/>
      <c r="DG50259" s="256"/>
    </row>
    <row r="50260" spans="104:111">
      <c r="CZ50260" s="256"/>
      <c r="DG50260" s="256"/>
    </row>
    <row r="50261" spans="104:111">
      <c r="CZ50261" s="256"/>
      <c r="DG50261" s="256"/>
    </row>
    <row r="50262" spans="104:111">
      <c r="CZ50262" s="256"/>
      <c r="DG50262" s="256"/>
    </row>
    <row r="50263" spans="104:111">
      <c r="CZ50263" s="256"/>
      <c r="DG50263" s="256"/>
    </row>
    <row r="50264" spans="104:111">
      <c r="CZ50264" s="256"/>
      <c r="DG50264" s="256"/>
    </row>
    <row r="50265" spans="104:111">
      <c r="CZ50265" s="256"/>
      <c r="DG50265" s="256"/>
    </row>
    <row r="50266" spans="104:111">
      <c r="CZ50266" s="256"/>
      <c r="DG50266" s="256"/>
    </row>
    <row r="50267" spans="104:111">
      <c r="CZ50267" s="256"/>
      <c r="DG50267" s="256"/>
    </row>
    <row r="50268" spans="104:111">
      <c r="CZ50268" s="256"/>
      <c r="DG50268" s="256"/>
    </row>
    <row r="50269" spans="104:111">
      <c r="CZ50269" s="256"/>
      <c r="DG50269" s="256"/>
    </row>
    <row r="50270" spans="104:111">
      <c r="CZ50270" s="256"/>
      <c r="DG50270" s="256"/>
    </row>
    <row r="50271" spans="104:111">
      <c r="CZ50271" s="256"/>
      <c r="DG50271" s="256"/>
    </row>
    <row r="50272" spans="104:111">
      <c r="CZ50272" s="256"/>
      <c r="DG50272" s="256"/>
    </row>
    <row r="50273" spans="104:111">
      <c r="CZ50273" s="256"/>
      <c r="DG50273" s="256"/>
    </row>
    <row r="50274" spans="104:111">
      <c r="CZ50274" s="256"/>
      <c r="DG50274" s="256"/>
    </row>
    <row r="50275" spans="104:111">
      <c r="CZ50275" s="256"/>
      <c r="DG50275" s="256"/>
    </row>
    <row r="50276" spans="104:111">
      <c r="CZ50276" s="256"/>
      <c r="DG50276" s="256"/>
    </row>
    <row r="50277" spans="104:111">
      <c r="CZ50277" s="256"/>
      <c r="DG50277" s="256"/>
    </row>
    <row r="50278" spans="104:111">
      <c r="CZ50278" s="256"/>
      <c r="DG50278" s="256"/>
    </row>
    <row r="50279" spans="104:111">
      <c r="CZ50279" s="256"/>
      <c r="DG50279" s="256"/>
    </row>
    <row r="50280" spans="104:111">
      <c r="CZ50280" s="256"/>
      <c r="DG50280" s="256"/>
    </row>
    <row r="50281" spans="104:111">
      <c r="CZ50281" s="256"/>
      <c r="DG50281" s="256"/>
    </row>
    <row r="50282" spans="104:111">
      <c r="CZ50282" s="256"/>
      <c r="DG50282" s="256"/>
    </row>
    <row r="50283" spans="104:111">
      <c r="CZ50283" s="256"/>
      <c r="DG50283" s="256"/>
    </row>
    <row r="50284" spans="104:111">
      <c r="CZ50284" s="256"/>
      <c r="DG50284" s="256"/>
    </row>
    <row r="50285" spans="104:111">
      <c r="CZ50285" s="256"/>
      <c r="DG50285" s="256"/>
    </row>
    <row r="50286" spans="104:111">
      <c r="CZ50286" s="256"/>
      <c r="DG50286" s="256"/>
    </row>
    <row r="50287" spans="104:111">
      <c r="CZ50287" s="256"/>
      <c r="DG50287" s="256"/>
    </row>
    <row r="50288" spans="104:111">
      <c r="CZ50288" s="256"/>
      <c r="DG50288" s="256"/>
    </row>
    <row r="50289" spans="104:111">
      <c r="CZ50289" s="256"/>
      <c r="DG50289" s="256"/>
    </row>
    <row r="50290" spans="104:111">
      <c r="CZ50290" s="256"/>
      <c r="DG50290" s="256"/>
    </row>
    <row r="50291" spans="104:111">
      <c r="CZ50291" s="256"/>
      <c r="DG50291" s="256"/>
    </row>
    <row r="50292" spans="104:111">
      <c r="CZ50292" s="256"/>
      <c r="DG50292" s="256"/>
    </row>
    <row r="50293" spans="104:111">
      <c r="CZ50293" s="256"/>
      <c r="DG50293" s="256"/>
    </row>
    <row r="50294" spans="104:111">
      <c r="CZ50294" s="256"/>
      <c r="DG50294" s="256"/>
    </row>
    <row r="50295" spans="104:111">
      <c r="CZ50295" s="256"/>
      <c r="DG50295" s="256"/>
    </row>
    <row r="50296" spans="104:111">
      <c r="CZ50296" s="256"/>
      <c r="DG50296" s="256"/>
    </row>
    <row r="50297" spans="104:111">
      <c r="CZ50297" s="256"/>
      <c r="DG50297" s="256"/>
    </row>
    <row r="50298" spans="104:111">
      <c r="CZ50298" s="256"/>
      <c r="DG50298" s="256"/>
    </row>
    <row r="50299" spans="104:111">
      <c r="CZ50299" s="256"/>
      <c r="DG50299" s="256"/>
    </row>
    <row r="50300" spans="104:111">
      <c r="CZ50300" s="256"/>
      <c r="DG50300" s="256"/>
    </row>
    <row r="50301" spans="104:111">
      <c r="CZ50301" s="256"/>
      <c r="DG50301" s="256"/>
    </row>
    <row r="50302" spans="104:111">
      <c r="CZ50302" s="256"/>
      <c r="DG50302" s="256"/>
    </row>
    <row r="50303" spans="104:111">
      <c r="CZ50303" s="256"/>
      <c r="DG50303" s="256"/>
    </row>
    <row r="50304" spans="104:111">
      <c r="CZ50304" s="256"/>
      <c r="DG50304" s="256"/>
    </row>
    <row r="50305" spans="104:111">
      <c r="CZ50305" s="256"/>
      <c r="DG50305" s="256"/>
    </row>
    <row r="50306" spans="104:111">
      <c r="CZ50306" s="256"/>
      <c r="DG50306" s="256"/>
    </row>
    <row r="50307" spans="104:111">
      <c r="CZ50307" s="256"/>
      <c r="DG50307" s="256"/>
    </row>
    <row r="50308" spans="104:111">
      <c r="CZ50308" s="256"/>
      <c r="DG50308" s="256"/>
    </row>
    <row r="50309" spans="104:111">
      <c r="CZ50309" s="256"/>
      <c r="DG50309" s="256"/>
    </row>
    <row r="50310" spans="104:111">
      <c r="CZ50310" s="256"/>
      <c r="DG50310" s="256"/>
    </row>
    <row r="50311" spans="104:111">
      <c r="CZ50311" s="256"/>
      <c r="DG50311" s="256"/>
    </row>
    <row r="50312" spans="104:111">
      <c r="CZ50312" s="256"/>
      <c r="DG50312" s="256"/>
    </row>
    <row r="50313" spans="104:111">
      <c r="CZ50313" s="256"/>
      <c r="DG50313" s="256"/>
    </row>
    <row r="50314" spans="104:111">
      <c r="CZ50314" s="256"/>
      <c r="DG50314" s="256"/>
    </row>
    <row r="50315" spans="104:111">
      <c r="CZ50315" s="256"/>
      <c r="DG50315" s="256"/>
    </row>
    <row r="50316" spans="104:111">
      <c r="CZ50316" s="256"/>
      <c r="DG50316" s="256"/>
    </row>
    <row r="50317" spans="104:111">
      <c r="CZ50317" s="256"/>
      <c r="DG50317" s="256"/>
    </row>
    <row r="50318" spans="104:111">
      <c r="CZ50318" s="256"/>
      <c r="DG50318" s="256"/>
    </row>
    <row r="50319" spans="104:111">
      <c r="CZ50319" s="256"/>
      <c r="DG50319" s="256"/>
    </row>
    <row r="50320" spans="104:111">
      <c r="CZ50320" s="256"/>
      <c r="DG50320" s="256"/>
    </row>
    <row r="50321" spans="104:111">
      <c r="CZ50321" s="256"/>
      <c r="DG50321" s="256"/>
    </row>
    <row r="50322" spans="104:111">
      <c r="CZ50322" s="256"/>
      <c r="DG50322" s="256"/>
    </row>
    <row r="50323" spans="104:111">
      <c r="CZ50323" s="256"/>
      <c r="DG50323" s="256"/>
    </row>
    <row r="50324" spans="104:111">
      <c r="CZ50324" s="256"/>
      <c r="DG50324" s="256"/>
    </row>
    <row r="50325" spans="104:111">
      <c r="CZ50325" s="256"/>
      <c r="DG50325" s="256"/>
    </row>
    <row r="50326" spans="104:111">
      <c r="CZ50326" s="256"/>
      <c r="DG50326" s="256"/>
    </row>
    <row r="50327" spans="104:111">
      <c r="CZ50327" s="256"/>
      <c r="DG50327" s="256"/>
    </row>
    <row r="50328" spans="104:111">
      <c r="CZ50328" s="256"/>
      <c r="DG50328" s="256"/>
    </row>
    <row r="50329" spans="104:111">
      <c r="CZ50329" s="256"/>
      <c r="DG50329" s="256"/>
    </row>
    <row r="50330" spans="104:111">
      <c r="CZ50330" s="256"/>
      <c r="DG50330" s="256"/>
    </row>
    <row r="50331" spans="104:111">
      <c r="CZ50331" s="256"/>
      <c r="DG50331" s="256"/>
    </row>
    <row r="50332" spans="104:111">
      <c r="CZ50332" s="256"/>
      <c r="DG50332" s="256"/>
    </row>
    <row r="50333" spans="104:111">
      <c r="CZ50333" s="256"/>
      <c r="DG50333" s="256"/>
    </row>
    <row r="50334" spans="104:111">
      <c r="CZ50334" s="256"/>
      <c r="DG50334" s="256"/>
    </row>
    <row r="50335" spans="104:111">
      <c r="CZ50335" s="256"/>
      <c r="DG50335" s="256"/>
    </row>
    <row r="50336" spans="104:111">
      <c r="CZ50336" s="256"/>
      <c r="DG50336" s="256"/>
    </row>
    <row r="50337" spans="104:111">
      <c r="CZ50337" s="256"/>
      <c r="DG50337" s="256"/>
    </row>
    <row r="50338" spans="104:111">
      <c r="CZ50338" s="256"/>
      <c r="DG50338" s="256"/>
    </row>
    <row r="50339" spans="104:111">
      <c r="CZ50339" s="256"/>
      <c r="DG50339" s="256"/>
    </row>
    <row r="50340" spans="104:111">
      <c r="CZ50340" s="256"/>
      <c r="DG50340" s="256"/>
    </row>
    <row r="50341" spans="104:111">
      <c r="CZ50341" s="256"/>
      <c r="DG50341" s="256"/>
    </row>
    <row r="50342" spans="104:111">
      <c r="CZ50342" s="256"/>
      <c r="DG50342" s="256"/>
    </row>
    <row r="50343" spans="104:111">
      <c r="CZ50343" s="256"/>
      <c r="DG50343" s="256"/>
    </row>
    <row r="50344" spans="104:111">
      <c r="CZ50344" s="256"/>
      <c r="DG50344" s="256"/>
    </row>
    <row r="50345" spans="104:111">
      <c r="CZ50345" s="256"/>
      <c r="DG50345" s="256"/>
    </row>
    <row r="50346" spans="104:111">
      <c r="CZ50346" s="256"/>
      <c r="DG50346" s="256"/>
    </row>
    <row r="50347" spans="104:111">
      <c r="CZ50347" s="256"/>
      <c r="DG50347" s="256"/>
    </row>
    <row r="50348" spans="104:111">
      <c r="CZ50348" s="256"/>
      <c r="DG50348" s="256"/>
    </row>
    <row r="50349" spans="104:111">
      <c r="CZ50349" s="256"/>
      <c r="DG50349" s="256"/>
    </row>
    <row r="50350" spans="104:111">
      <c r="CZ50350" s="256"/>
      <c r="DG50350" s="256"/>
    </row>
    <row r="50351" spans="104:111">
      <c r="CZ50351" s="256"/>
      <c r="DG50351" s="256"/>
    </row>
    <row r="50352" spans="104:111">
      <c r="CZ50352" s="256"/>
      <c r="DG50352" s="256"/>
    </row>
    <row r="50353" spans="104:111">
      <c r="CZ50353" s="256"/>
      <c r="DG50353" s="256"/>
    </row>
    <row r="50354" spans="104:111">
      <c r="CZ50354" s="256"/>
      <c r="DG50354" s="256"/>
    </row>
    <row r="50355" spans="104:111">
      <c r="CZ50355" s="256"/>
      <c r="DG50355" s="256"/>
    </row>
    <row r="50356" spans="104:111">
      <c r="CZ50356" s="256"/>
      <c r="DG50356" s="256"/>
    </row>
    <row r="50357" spans="104:111">
      <c r="CZ50357" s="256"/>
      <c r="DG50357" s="256"/>
    </row>
    <row r="50358" spans="104:111">
      <c r="CZ50358" s="256"/>
      <c r="DG50358" s="256"/>
    </row>
    <row r="50359" spans="104:111">
      <c r="CZ50359" s="256"/>
      <c r="DG50359" s="256"/>
    </row>
    <row r="50360" spans="104:111">
      <c r="CZ50360" s="256"/>
      <c r="DG50360" s="256"/>
    </row>
    <row r="50361" spans="104:111">
      <c r="CZ50361" s="256"/>
      <c r="DG50361" s="256"/>
    </row>
    <row r="50362" spans="104:111">
      <c r="CZ50362" s="256"/>
      <c r="DG50362" s="256"/>
    </row>
    <row r="50363" spans="104:111">
      <c r="CZ50363" s="256"/>
      <c r="DG50363" s="256"/>
    </row>
    <row r="50364" spans="104:111">
      <c r="CZ50364" s="256"/>
      <c r="DG50364" s="256"/>
    </row>
    <row r="50365" spans="104:111">
      <c r="CZ50365" s="256"/>
      <c r="DG50365" s="256"/>
    </row>
    <row r="50366" spans="104:111">
      <c r="CZ50366" s="256"/>
      <c r="DG50366" s="256"/>
    </row>
    <row r="50367" spans="104:111">
      <c r="CZ50367" s="256"/>
      <c r="DG50367" s="256"/>
    </row>
    <row r="50368" spans="104:111">
      <c r="CZ50368" s="256"/>
      <c r="DG50368" s="256"/>
    </row>
    <row r="50369" spans="104:111">
      <c r="CZ50369" s="256"/>
      <c r="DG50369" s="256"/>
    </row>
    <row r="50370" spans="104:111">
      <c r="CZ50370" s="256"/>
      <c r="DG50370" s="256"/>
    </row>
    <row r="50371" spans="104:111">
      <c r="CZ50371" s="256"/>
      <c r="DG50371" s="256"/>
    </row>
    <row r="50372" spans="104:111">
      <c r="CZ50372" s="256"/>
      <c r="DG50372" s="256"/>
    </row>
    <row r="50373" spans="104:111">
      <c r="CZ50373" s="256"/>
      <c r="DG50373" s="256"/>
    </row>
    <row r="50374" spans="104:111">
      <c r="CZ50374" s="256"/>
      <c r="DG50374" s="256"/>
    </row>
    <row r="50375" spans="104:111">
      <c r="CZ50375" s="256"/>
      <c r="DG50375" s="256"/>
    </row>
    <row r="50376" spans="104:111">
      <c r="CZ50376" s="256"/>
      <c r="DG50376" s="256"/>
    </row>
    <row r="50377" spans="104:111">
      <c r="CZ50377" s="256"/>
      <c r="DG50377" s="256"/>
    </row>
    <row r="50378" spans="104:111">
      <c r="CZ50378" s="256"/>
      <c r="DG50378" s="256"/>
    </row>
    <row r="50379" spans="104:111">
      <c r="CZ50379" s="256"/>
      <c r="DG50379" s="256"/>
    </row>
    <row r="50380" spans="104:111">
      <c r="CZ50380" s="256"/>
      <c r="DG50380" s="256"/>
    </row>
    <row r="50381" spans="104:111">
      <c r="CZ50381" s="256"/>
      <c r="DG50381" s="256"/>
    </row>
    <row r="50382" spans="104:111">
      <c r="CZ50382" s="256"/>
      <c r="DG50382" s="256"/>
    </row>
    <row r="50383" spans="104:111">
      <c r="CZ50383" s="256"/>
      <c r="DG50383" s="256"/>
    </row>
    <row r="50384" spans="104:111">
      <c r="CZ50384" s="256"/>
      <c r="DG50384" s="256"/>
    </row>
    <row r="50385" spans="104:111">
      <c r="CZ50385" s="256"/>
      <c r="DG50385" s="256"/>
    </row>
    <row r="50386" spans="104:111">
      <c r="CZ50386" s="256"/>
      <c r="DG50386" s="256"/>
    </row>
    <row r="50387" spans="104:111">
      <c r="CZ50387" s="256"/>
      <c r="DG50387" s="256"/>
    </row>
    <row r="50388" spans="104:111">
      <c r="CZ50388" s="256"/>
      <c r="DG50388" s="256"/>
    </row>
    <row r="50389" spans="104:111">
      <c r="CZ50389" s="256"/>
      <c r="DG50389" s="256"/>
    </row>
    <row r="50390" spans="104:111">
      <c r="CZ50390" s="256"/>
      <c r="DG50390" s="256"/>
    </row>
    <row r="50391" spans="104:111">
      <c r="CZ50391" s="256"/>
      <c r="DG50391" s="256"/>
    </row>
    <row r="50392" spans="104:111">
      <c r="CZ50392" s="256"/>
      <c r="DG50392" s="256"/>
    </row>
    <row r="50393" spans="104:111">
      <c r="CZ50393" s="256"/>
      <c r="DG50393" s="256"/>
    </row>
    <row r="50394" spans="104:111">
      <c r="CZ50394" s="256"/>
      <c r="DG50394" s="256"/>
    </row>
    <row r="50395" spans="104:111">
      <c r="CZ50395" s="256"/>
      <c r="DG50395" s="256"/>
    </row>
    <row r="50396" spans="104:111">
      <c r="CZ50396" s="256"/>
      <c r="DG50396" s="256"/>
    </row>
    <row r="50397" spans="104:111">
      <c r="CZ50397" s="256"/>
      <c r="DG50397" s="256"/>
    </row>
    <row r="50398" spans="104:111">
      <c r="CZ50398" s="256"/>
      <c r="DG50398" s="256"/>
    </row>
    <row r="50399" spans="104:111">
      <c r="CZ50399" s="256"/>
      <c r="DG50399" s="256"/>
    </row>
    <row r="50400" spans="104:111">
      <c r="CZ50400" s="256"/>
      <c r="DG50400" s="256"/>
    </row>
    <row r="50401" spans="104:111">
      <c r="CZ50401" s="256"/>
      <c r="DG50401" s="256"/>
    </row>
    <row r="50402" spans="104:111">
      <c r="CZ50402" s="256"/>
      <c r="DG50402" s="256"/>
    </row>
    <row r="50403" spans="104:111">
      <c r="CZ50403" s="256"/>
      <c r="DG50403" s="256"/>
    </row>
    <row r="50404" spans="104:111">
      <c r="CZ50404" s="256"/>
      <c r="DG50404" s="256"/>
    </row>
    <row r="50405" spans="104:111">
      <c r="CZ50405" s="256"/>
      <c r="DG50405" s="256"/>
    </row>
    <row r="50406" spans="104:111">
      <c r="CZ50406" s="256"/>
      <c r="DG50406" s="256"/>
    </row>
    <row r="50407" spans="104:111">
      <c r="CZ50407" s="256"/>
      <c r="DG50407" s="256"/>
    </row>
    <row r="50408" spans="104:111">
      <c r="CZ50408" s="256"/>
      <c r="DG50408" s="256"/>
    </row>
    <row r="50409" spans="104:111">
      <c r="CZ50409" s="256"/>
      <c r="DG50409" s="256"/>
    </row>
    <row r="50410" spans="104:111">
      <c r="CZ50410" s="256"/>
      <c r="DG50410" s="256"/>
    </row>
    <row r="50411" spans="104:111">
      <c r="CZ50411" s="256"/>
      <c r="DG50411" s="256"/>
    </row>
    <row r="50412" spans="104:111">
      <c r="CZ50412" s="256"/>
      <c r="DG50412" s="256"/>
    </row>
    <row r="50413" spans="104:111">
      <c r="CZ50413" s="256"/>
      <c r="DG50413" s="256"/>
    </row>
    <row r="50414" spans="104:111">
      <c r="CZ50414" s="256"/>
      <c r="DG50414" s="256"/>
    </row>
    <row r="50415" spans="104:111">
      <c r="CZ50415" s="256"/>
      <c r="DG50415" s="256"/>
    </row>
    <row r="50416" spans="104:111">
      <c r="CZ50416" s="256"/>
      <c r="DG50416" s="256"/>
    </row>
    <row r="50417" spans="104:111">
      <c r="CZ50417" s="256"/>
      <c r="DG50417" s="256"/>
    </row>
    <row r="50418" spans="104:111">
      <c r="CZ50418" s="256"/>
      <c r="DG50418" s="256"/>
    </row>
    <row r="50419" spans="104:111">
      <c r="CZ50419" s="256"/>
      <c r="DG50419" s="256"/>
    </row>
    <row r="50420" spans="104:111">
      <c r="CZ50420" s="256"/>
      <c r="DG50420" s="256"/>
    </row>
    <row r="50421" spans="104:111">
      <c r="CZ50421" s="256"/>
      <c r="DG50421" s="256"/>
    </row>
    <row r="50422" spans="104:111">
      <c r="CZ50422" s="256"/>
      <c r="DG50422" s="256"/>
    </row>
    <row r="50423" spans="104:111">
      <c r="CZ50423" s="256"/>
      <c r="DG50423" s="256"/>
    </row>
    <row r="50424" spans="104:111">
      <c r="CZ50424" s="256"/>
      <c r="DG50424" s="256"/>
    </row>
    <row r="50425" spans="104:111">
      <c r="CZ50425" s="256"/>
      <c r="DG50425" s="256"/>
    </row>
    <row r="50426" spans="104:111">
      <c r="CZ50426" s="256"/>
      <c r="DG50426" s="256"/>
    </row>
    <row r="50427" spans="104:111">
      <c r="CZ50427" s="256"/>
      <c r="DG50427" s="256"/>
    </row>
    <row r="50428" spans="104:111">
      <c r="CZ50428" s="256"/>
      <c r="DG50428" s="256"/>
    </row>
    <row r="50429" spans="104:111">
      <c r="CZ50429" s="256"/>
      <c r="DG50429" s="256"/>
    </row>
    <row r="50430" spans="104:111">
      <c r="CZ50430" s="256"/>
      <c r="DG50430" s="256"/>
    </row>
    <row r="50431" spans="104:111">
      <c r="CZ50431" s="256"/>
      <c r="DG50431" s="256"/>
    </row>
    <row r="50432" spans="104:111">
      <c r="CZ50432" s="256"/>
      <c r="DG50432" s="256"/>
    </row>
    <row r="50433" spans="104:111">
      <c r="CZ50433" s="256"/>
      <c r="DG50433" s="256"/>
    </row>
    <row r="50434" spans="104:111">
      <c r="CZ50434" s="256"/>
      <c r="DG50434" s="256"/>
    </row>
    <row r="50435" spans="104:111">
      <c r="CZ50435" s="256"/>
      <c r="DG50435" s="256"/>
    </row>
    <row r="50436" spans="104:111">
      <c r="CZ50436" s="256"/>
      <c r="DG50436" s="256"/>
    </row>
    <row r="50437" spans="104:111">
      <c r="CZ50437" s="256"/>
      <c r="DG50437" s="256"/>
    </row>
    <row r="50438" spans="104:111">
      <c r="CZ50438" s="256"/>
      <c r="DG50438" s="256"/>
    </row>
    <row r="50439" spans="104:111">
      <c r="CZ50439" s="256"/>
      <c r="DG50439" s="256"/>
    </row>
    <row r="50440" spans="104:111">
      <c r="CZ50440" s="256"/>
      <c r="DG50440" s="256"/>
    </row>
    <row r="50441" spans="104:111">
      <c r="CZ50441" s="256"/>
      <c r="DG50441" s="256"/>
    </row>
    <row r="50442" spans="104:111">
      <c r="CZ50442" s="256"/>
      <c r="DG50442" s="256"/>
    </row>
    <row r="50443" spans="104:111">
      <c r="CZ50443" s="256"/>
      <c r="DG50443" s="256"/>
    </row>
    <row r="50444" spans="104:111">
      <c r="CZ50444" s="256"/>
      <c r="DG50444" s="256"/>
    </row>
    <row r="50445" spans="104:111">
      <c r="CZ50445" s="256"/>
      <c r="DG50445" s="256"/>
    </row>
    <row r="50446" spans="104:111">
      <c r="CZ50446" s="256"/>
      <c r="DG50446" s="256"/>
    </row>
    <row r="50447" spans="104:111">
      <c r="CZ50447" s="256"/>
      <c r="DG50447" s="256"/>
    </row>
    <row r="50448" spans="104:111">
      <c r="CZ50448" s="256"/>
      <c r="DG50448" s="256"/>
    </row>
    <row r="50449" spans="104:111">
      <c r="CZ50449" s="256"/>
      <c r="DG50449" s="256"/>
    </row>
    <row r="50450" spans="104:111">
      <c r="CZ50450" s="256"/>
      <c r="DG50450" s="256"/>
    </row>
    <row r="50451" spans="104:111">
      <c r="CZ50451" s="256"/>
      <c r="DG50451" s="256"/>
    </row>
    <row r="50452" spans="104:111">
      <c r="CZ50452" s="256"/>
      <c r="DG50452" s="256"/>
    </row>
    <row r="50453" spans="104:111">
      <c r="CZ50453" s="256"/>
      <c r="DG50453" s="256"/>
    </row>
    <row r="50454" spans="104:111">
      <c r="CZ50454" s="256"/>
      <c r="DG50454" s="256"/>
    </row>
    <row r="50455" spans="104:111">
      <c r="CZ50455" s="256"/>
      <c r="DG50455" s="256"/>
    </row>
    <row r="50456" spans="104:111">
      <c r="CZ50456" s="256"/>
      <c r="DG50456" s="256"/>
    </row>
    <row r="50457" spans="104:111">
      <c r="CZ50457" s="256"/>
      <c r="DG50457" s="256"/>
    </row>
    <row r="50458" spans="104:111">
      <c r="CZ50458" s="256"/>
      <c r="DG50458" s="256"/>
    </row>
    <row r="50459" spans="104:111">
      <c r="CZ50459" s="256"/>
      <c r="DG50459" s="256"/>
    </row>
    <row r="50460" spans="104:111">
      <c r="CZ50460" s="256"/>
      <c r="DG50460" s="256"/>
    </row>
    <row r="50461" spans="104:111">
      <c r="CZ50461" s="256"/>
      <c r="DG50461" s="256"/>
    </row>
    <row r="50462" spans="104:111">
      <c r="CZ50462" s="256"/>
      <c r="DG50462" s="256"/>
    </row>
    <row r="50463" spans="104:111">
      <c r="CZ50463" s="256"/>
      <c r="DG50463" s="256"/>
    </row>
    <row r="50464" spans="104:111">
      <c r="CZ50464" s="256"/>
      <c r="DG50464" s="256"/>
    </row>
    <row r="50465" spans="104:111">
      <c r="CZ50465" s="256"/>
      <c r="DG50465" s="256"/>
    </row>
    <row r="50466" spans="104:111">
      <c r="CZ50466" s="256"/>
      <c r="DG50466" s="256"/>
    </row>
    <row r="50467" spans="104:111">
      <c r="CZ50467" s="256"/>
      <c r="DG50467" s="256"/>
    </row>
    <row r="50468" spans="104:111">
      <c r="CZ50468" s="256"/>
      <c r="DG50468" s="256"/>
    </row>
    <row r="50469" spans="104:111">
      <c r="CZ50469" s="256"/>
      <c r="DG50469" s="256"/>
    </row>
    <row r="50470" spans="104:111">
      <c r="CZ50470" s="256"/>
      <c r="DG50470" s="256"/>
    </row>
    <row r="50471" spans="104:111">
      <c r="CZ50471" s="256"/>
      <c r="DG50471" s="256"/>
    </row>
    <row r="50472" spans="104:111">
      <c r="CZ50472" s="256"/>
      <c r="DG50472" s="256"/>
    </row>
    <row r="50473" spans="104:111">
      <c r="CZ50473" s="256"/>
      <c r="DG50473" s="256"/>
    </row>
    <row r="50474" spans="104:111">
      <c r="CZ50474" s="256"/>
      <c r="DG50474" s="256"/>
    </row>
    <row r="50475" spans="104:111">
      <c r="CZ50475" s="256"/>
      <c r="DG50475" s="256"/>
    </row>
    <row r="50476" spans="104:111">
      <c r="CZ50476" s="256"/>
      <c r="DG50476" s="256"/>
    </row>
    <row r="50477" spans="104:111">
      <c r="CZ50477" s="256"/>
      <c r="DG50477" s="256"/>
    </row>
    <row r="50478" spans="104:111">
      <c r="CZ50478" s="256"/>
      <c r="DG50478" s="256"/>
    </row>
    <row r="50479" spans="104:111">
      <c r="CZ50479" s="256"/>
      <c r="DG50479" s="256"/>
    </row>
    <row r="50480" spans="104:111">
      <c r="CZ50480" s="256"/>
      <c r="DG50480" s="256"/>
    </row>
    <row r="50481" spans="104:111">
      <c r="CZ50481" s="256"/>
      <c r="DG50481" s="256"/>
    </row>
    <row r="50482" spans="104:111">
      <c r="CZ50482" s="256"/>
      <c r="DG50482" s="256"/>
    </row>
    <row r="50483" spans="104:111">
      <c r="CZ50483" s="256"/>
      <c r="DG50483" s="256"/>
    </row>
    <row r="50484" spans="104:111">
      <c r="CZ50484" s="256"/>
      <c r="DG50484" s="256"/>
    </row>
    <row r="50485" spans="104:111">
      <c r="CZ50485" s="256"/>
      <c r="DG50485" s="256"/>
    </row>
    <row r="50486" spans="104:111">
      <c r="CZ50486" s="256"/>
      <c r="DG50486" s="256"/>
    </row>
    <row r="50487" spans="104:111">
      <c r="CZ50487" s="256"/>
      <c r="DG50487" s="256"/>
    </row>
    <row r="50488" spans="104:111">
      <c r="CZ50488" s="256"/>
      <c r="DG50488" s="256"/>
    </row>
    <row r="50489" spans="104:111">
      <c r="CZ50489" s="256"/>
      <c r="DG50489" s="256"/>
    </row>
    <row r="50490" spans="104:111">
      <c r="CZ50490" s="256"/>
      <c r="DG50490" s="256"/>
    </row>
    <row r="50491" spans="104:111">
      <c r="CZ50491" s="256"/>
      <c r="DG50491" s="256"/>
    </row>
    <row r="50492" spans="104:111">
      <c r="CZ50492" s="256"/>
      <c r="DG50492" s="256"/>
    </row>
    <row r="50493" spans="104:111">
      <c r="CZ50493" s="256"/>
      <c r="DG50493" s="256"/>
    </row>
    <row r="50494" spans="104:111">
      <c r="CZ50494" s="256"/>
      <c r="DG50494" s="256"/>
    </row>
    <row r="50495" spans="104:111">
      <c r="CZ50495" s="256"/>
      <c r="DG50495" s="256"/>
    </row>
    <row r="50496" spans="104:111">
      <c r="CZ50496" s="256"/>
      <c r="DG50496" s="256"/>
    </row>
    <row r="50497" spans="104:111">
      <c r="CZ50497" s="256"/>
      <c r="DG50497" s="256"/>
    </row>
    <row r="50498" spans="104:111">
      <c r="CZ50498" s="256"/>
      <c r="DG50498" s="256"/>
    </row>
    <row r="50499" spans="104:111">
      <c r="CZ50499" s="256"/>
      <c r="DG50499" s="256"/>
    </row>
    <row r="50500" spans="104:111">
      <c r="CZ50500" s="256"/>
      <c r="DG50500" s="256"/>
    </row>
    <row r="50501" spans="104:111">
      <c r="CZ50501" s="256"/>
      <c r="DG50501" s="256"/>
    </row>
    <row r="50502" spans="104:111">
      <c r="CZ50502" s="256"/>
      <c r="DG50502" s="256"/>
    </row>
    <row r="50503" spans="104:111">
      <c r="CZ50503" s="256"/>
      <c r="DG50503" s="256"/>
    </row>
    <row r="50504" spans="104:111">
      <c r="CZ50504" s="256"/>
      <c r="DG50504" s="256"/>
    </row>
    <row r="50505" spans="104:111">
      <c r="CZ50505" s="256"/>
      <c r="DG50505" s="256"/>
    </row>
    <row r="50506" spans="104:111">
      <c r="CZ50506" s="256"/>
      <c r="DG50506" s="256"/>
    </row>
    <row r="50507" spans="104:111">
      <c r="CZ50507" s="256"/>
      <c r="DG50507" s="256"/>
    </row>
    <row r="50508" spans="104:111">
      <c r="CZ50508" s="256"/>
      <c r="DG50508" s="256"/>
    </row>
    <row r="50509" spans="104:111">
      <c r="CZ50509" s="256"/>
      <c r="DG50509" s="256"/>
    </row>
    <row r="50510" spans="104:111">
      <c r="CZ50510" s="256"/>
      <c r="DG50510" s="256"/>
    </row>
    <row r="50511" spans="104:111">
      <c r="CZ50511" s="256"/>
      <c r="DG50511" s="256"/>
    </row>
    <row r="50512" spans="104:111">
      <c r="CZ50512" s="256"/>
      <c r="DG50512" s="256"/>
    </row>
    <row r="50513" spans="104:111">
      <c r="CZ50513" s="256"/>
      <c r="DG50513" s="256"/>
    </row>
    <row r="50514" spans="104:111">
      <c r="CZ50514" s="256"/>
      <c r="DG50514" s="256"/>
    </row>
    <row r="50515" spans="104:111">
      <c r="CZ50515" s="256"/>
      <c r="DG50515" s="256"/>
    </row>
    <row r="50516" spans="104:111">
      <c r="CZ50516" s="256"/>
      <c r="DG50516" s="256"/>
    </row>
    <row r="50517" spans="104:111">
      <c r="CZ50517" s="256"/>
      <c r="DG50517" s="256"/>
    </row>
    <row r="50518" spans="104:111">
      <c r="CZ50518" s="256"/>
      <c r="DG50518" s="256"/>
    </row>
    <row r="50519" spans="104:111">
      <c r="CZ50519" s="256"/>
      <c r="DG50519" s="256"/>
    </row>
    <row r="50520" spans="104:111">
      <c r="CZ50520" s="256"/>
      <c r="DG50520" s="256"/>
    </row>
    <row r="50521" spans="104:111">
      <c r="CZ50521" s="256"/>
      <c r="DG50521" s="256"/>
    </row>
    <row r="50522" spans="104:111">
      <c r="CZ50522" s="256"/>
      <c r="DG50522" s="256"/>
    </row>
    <row r="50523" spans="104:111">
      <c r="CZ50523" s="256"/>
      <c r="DG50523" s="256"/>
    </row>
    <row r="50524" spans="104:111">
      <c r="CZ50524" s="256"/>
      <c r="DG50524" s="256"/>
    </row>
    <row r="50525" spans="104:111">
      <c r="CZ50525" s="256"/>
      <c r="DG50525" s="256"/>
    </row>
    <row r="50526" spans="104:111">
      <c r="CZ50526" s="256"/>
      <c r="DG50526" s="256"/>
    </row>
    <row r="50527" spans="104:111">
      <c r="CZ50527" s="256"/>
      <c r="DG50527" s="256"/>
    </row>
    <row r="50528" spans="104:111">
      <c r="CZ50528" s="256"/>
      <c r="DG50528" s="256"/>
    </row>
    <row r="50529" spans="104:111">
      <c r="CZ50529" s="256"/>
      <c r="DG50529" s="256"/>
    </row>
    <row r="50530" spans="104:111">
      <c r="CZ50530" s="256"/>
      <c r="DG50530" s="256"/>
    </row>
    <row r="50531" spans="104:111">
      <c r="CZ50531" s="256"/>
      <c r="DG50531" s="256"/>
    </row>
    <row r="50532" spans="104:111">
      <c r="CZ50532" s="256"/>
      <c r="DG50532" s="256"/>
    </row>
    <row r="50533" spans="104:111">
      <c r="CZ50533" s="256"/>
      <c r="DG50533" s="256"/>
    </row>
    <row r="50534" spans="104:111">
      <c r="CZ50534" s="256"/>
      <c r="DG50534" s="256"/>
    </row>
    <row r="50535" spans="104:111">
      <c r="CZ50535" s="256"/>
      <c r="DG50535" s="256"/>
    </row>
    <row r="50536" spans="104:111">
      <c r="CZ50536" s="256"/>
      <c r="DG50536" s="256"/>
    </row>
    <row r="50537" spans="104:111">
      <c r="CZ50537" s="256"/>
      <c r="DG50537" s="256"/>
    </row>
    <row r="50538" spans="104:111">
      <c r="CZ50538" s="256"/>
      <c r="DG50538" s="256"/>
    </row>
    <row r="50539" spans="104:111">
      <c r="CZ50539" s="256"/>
      <c r="DG50539" s="256"/>
    </row>
    <row r="50540" spans="104:111">
      <c r="CZ50540" s="256"/>
      <c r="DG50540" s="256"/>
    </row>
    <row r="50541" spans="104:111">
      <c r="CZ50541" s="256"/>
      <c r="DG50541" s="256"/>
    </row>
    <row r="50542" spans="104:111">
      <c r="CZ50542" s="256"/>
      <c r="DG50542" s="256"/>
    </row>
    <row r="50543" spans="104:111">
      <c r="CZ50543" s="256"/>
      <c r="DG50543" s="256"/>
    </row>
    <row r="50544" spans="104:111">
      <c r="CZ50544" s="256"/>
      <c r="DG50544" s="256"/>
    </row>
    <row r="50545" spans="104:111">
      <c r="CZ50545" s="256"/>
      <c r="DG50545" s="256"/>
    </row>
    <row r="50546" spans="104:111">
      <c r="CZ50546" s="256"/>
      <c r="DG50546" s="256"/>
    </row>
    <row r="50547" spans="104:111">
      <c r="CZ50547" s="256"/>
      <c r="DG50547" s="256"/>
    </row>
    <row r="50548" spans="104:111">
      <c r="CZ50548" s="256"/>
      <c r="DG50548" s="256"/>
    </row>
    <row r="50549" spans="104:111">
      <c r="CZ50549" s="256"/>
      <c r="DG50549" s="256"/>
    </row>
    <row r="50550" spans="104:111">
      <c r="CZ50550" s="256"/>
      <c r="DG50550" s="256"/>
    </row>
    <row r="50551" spans="104:111">
      <c r="CZ50551" s="256"/>
      <c r="DG50551" s="256"/>
    </row>
    <row r="50552" spans="104:111">
      <c r="CZ50552" s="256"/>
      <c r="DG50552" s="256"/>
    </row>
    <row r="50553" spans="104:111">
      <c r="CZ50553" s="256"/>
      <c r="DG50553" s="256"/>
    </row>
    <row r="50554" spans="104:111">
      <c r="CZ50554" s="256"/>
      <c r="DG50554" s="256"/>
    </row>
    <row r="50555" spans="104:111">
      <c r="CZ50555" s="256"/>
      <c r="DG50555" s="256"/>
    </row>
    <row r="50556" spans="104:111">
      <c r="CZ50556" s="256"/>
      <c r="DG50556" s="256"/>
    </row>
    <row r="50557" spans="104:111">
      <c r="CZ50557" s="256"/>
      <c r="DG50557" s="256"/>
    </row>
    <row r="50558" spans="104:111">
      <c r="CZ50558" s="256"/>
      <c r="DG50558" s="256"/>
    </row>
    <row r="50559" spans="104:111">
      <c r="CZ50559" s="256"/>
      <c r="DG50559" s="256"/>
    </row>
    <row r="50560" spans="104:111">
      <c r="CZ50560" s="256"/>
      <c r="DG50560" s="256"/>
    </row>
    <row r="50561" spans="104:111">
      <c r="CZ50561" s="256"/>
      <c r="DG50561" s="256"/>
    </row>
    <row r="50562" spans="104:111">
      <c r="CZ50562" s="256"/>
      <c r="DG50562" s="256"/>
    </row>
    <row r="50563" spans="104:111">
      <c r="CZ50563" s="256"/>
      <c r="DG50563" s="256"/>
    </row>
    <row r="50564" spans="104:111">
      <c r="CZ50564" s="256"/>
      <c r="DG50564" s="256"/>
    </row>
    <row r="50565" spans="104:111">
      <c r="CZ50565" s="256"/>
      <c r="DG50565" s="256"/>
    </row>
    <row r="50566" spans="104:111">
      <c r="CZ50566" s="256"/>
      <c r="DG50566" s="256"/>
    </row>
    <row r="50567" spans="104:111">
      <c r="CZ50567" s="256"/>
      <c r="DG50567" s="256"/>
    </row>
    <row r="50568" spans="104:111">
      <c r="CZ50568" s="256"/>
      <c r="DG50568" s="256"/>
    </row>
    <row r="50569" spans="104:111">
      <c r="CZ50569" s="256"/>
      <c r="DG50569" s="256"/>
    </row>
    <row r="50570" spans="104:111">
      <c r="CZ50570" s="256"/>
      <c r="DG50570" s="256"/>
    </row>
    <row r="50571" spans="104:111">
      <c r="CZ50571" s="256"/>
      <c r="DG50571" s="256"/>
    </row>
    <row r="50572" spans="104:111">
      <c r="CZ50572" s="256"/>
      <c r="DG50572" s="256"/>
    </row>
    <row r="50573" spans="104:111">
      <c r="CZ50573" s="256"/>
      <c r="DG50573" s="256"/>
    </row>
    <row r="50574" spans="104:111">
      <c r="CZ50574" s="256"/>
      <c r="DG50574" s="256"/>
    </row>
    <row r="50575" spans="104:111">
      <c r="CZ50575" s="256"/>
      <c r="DG50575" s="256"/>
    </row>
    <row r="50576" spans="104:111">
      <c r="CZ50576" s="256"/>
      <c r="DG50576" s="256"/>
    </row>
    <row r="50577" spans="104:111">
      <c r="CZ50577" s="256"/>
      <c r="DG50577" s="256"/>
    </row>
    <row r="50578" spans="104:111">
      <c r="CZ50578" s="256"/>
      <c r="DG50578" s="256"/>
    </row>
    <row r="50579" spans="104:111">
      <c r="CZ50579" s="256"/>
      <c r="DG50579" s="256"/>
    </row>
    <row r="50580" spans="104:111">
      <c r="CZ50580" s="256"/>
      <c r="DG50580" s="256"/>
    </row>
    <row r="50581" spans="104:111">
      <c r="CZ50581" s="256"/>
      <c r="DG50581" s="256"/>
    </row>
    <row r="50582" spans="104:111">
      <c r="CZ50582" s="256"/>
      <c r="DG50582" s="256"/>
    </row>
    <row r="50583" spans="104:111">
      <c r="CZ50583" s="256"/>
      <c r="DG50583" s="256"/>
    </row>
    <row r="50584" spans="104:111">
      <c r="CZ50584" s="256"/>
      <c r="DG50584" s="256"/>
    </row>
    <row r="50585" spans="104:111">
      <c r="CZ50585" s="256"/>
      <c r="DG50585" s="256"/>
    </row>
    <row r="50586" spans="104:111">
      <c r="CZ50586" s="256"/>
      <c r="DG50586" s="256"/>
    </row>
    <row r="50587" spans="104:111">
      <c r="CZ50587" s="256"/>
      <c r="DG50587" s="256"/>
    </row>
    <row r="50588" spans="104:111">
      <c r="CZ50588" s="256"/>
      <c r="DG50588" s="256"/>
    </row>
    <row r="50589" spans="104:111">
      <c r="CZ50589" s="256"/>
      <c r="DG50589" s="256"/>
    </row>
    <row r="50590" spans="104:111">
      <c r="CZ50590" s="256"/>
      <c r="DG50590" s="256"/>
    </row>
    <row r="50591" spans="104:111">
      <c r="CZ50591" s="256"/>
      <c r="DG50591" s="256"/>
    </row>
    <row r="50592" spans="104:111">
      <c r="CZ50592" s="256"/>
      <c r="DG50592" s="256"/>
    </row>
    <row r="50593" spans="104:111">
      <c r="CZ50593" s="256"/>
      <c r="DG50593" s="256"/>
    </row>
    <row r="50594" spans="104:111">
      <c r="CZ50594" s="256"/>
      <c r="DG50594" s="256"/>
    </row>
    <row r="50595" spans="104:111">
      <c r="CZ50595" s="256"/>
      <c r="DG50595" s="256"/>
    </row>
    <row r="50596" spans="104:111">
      <c r="CZ50596" s="256"/>
      <c r="DG50596" s="256"/>
    </row>
    <row r="50597" spans="104:111">
      <c r="CZ50597" s="256"/>
      <c r="DG50597" s="256"/>
    </row>
    <row r="50598" spans="104:111">
      <c r="CZ50598" s="256"/>
      <c r="DG50598" s="256"/>
    </row>
    <row r="50599" spans="104:111">
      <c r="CZ50599" s="256"/>
      <c r="DG50599" s="256"/>
    </row>
    <row r="50600" spans="104:111">
      <c r="CZ50600" s="256"/>
      <c r="DG50600" s="256"/>
    </row>
    <row r="50601" spans="104:111">
      <c r="CZ50601" s="256"/>
      <c r="DG50601" s="256"/>
    </row>
    <row r="50602" spans="104:111">
      <c r="CZ50602" s="256"/>
      <c r="DG50602" s="256"/>
    </row>
    <row r="50603" spans="104:111">
      <c r="CZ50603" s="256"/>
      <c r="DG50603" s="256"/>
    </row>
    <row r="50604" spans="104:111">
      <c r="CZ50604" s="256"/>
      <c r="DG50604" s="256"/>
    </row>
    <row r="50605" spans="104:111">
      <c r="CZ50605" s="256"/>
      <c r="DG50605" s="256"/>
    </row>
    <row r="50606" spans="104:111">
      <c r="CZ50606" s="256"/>
      <c r="DG50606" s="256"/>
    </row>
    <row r="50607" spans="104:111">
      <c r="CZ50607" s="256"/>
      <c r="DG50607" s="256"/>
    </row>
    <row r="50608" spans="104:111">
      <c r="CZ50608" s="256"/>
      <c r="DG50608" s="256"/>
    </row>
    <row r="50609" spans="104:111">
      <c r="CZ50609" s="256"/>
      <c r="DG50609" s="256"/>
    </row>
    <row r="50610" spans="104:111">
      <c r="CZ50610" s="256"/>
      <c r="DG50610" s="256"/>
    </row>
    <row r="50611" spans="104:111">
      <c r="CZ50611" s="256"/>
      <c r="DG50611" s="256"/>
    </row>
    <row r="50612" spans="104:111">
      <c r="CZ50612" s="256"/>
      <c r="DG50612" s="256"/>
    </row>
    <row r="50613" spans="104:111">
      <c r="CZ50613" s="256"/>
      <c r="DG50613" s="256"/>
    </row>
    <row r="50614" spans="104:111">
      <c r="CZ50614" s="256"/>
      <c r="DG50614" s="256"/>
    </row>
    <row r="50615" spans="104:111">
      <c r="CZ50615" s="256"/>
      <c r="DG50615" s="256"/>
    </row>
    <row r="50616" spans="104:111">
      <c r="CZ50616" s="256"/>
      <c r="DG50616" s="256"/>
    </row>
    <row r="50617" spans="104:111">
      <c r="CZ50617" s="256"/>
      <c r="DG50617" s="256"/>
    </row>
    <row r="50618" spans="104:111">
      <c r="CZ50618" s="256"/>
      <c r="DG50618" s="256"/>
    </row>
    <row r="50619" spans="104:111">
      <c r="CZ50619" s="256"/>
      <c r="DG50619" s="256"/>
    </row>
    <row r="50620" spans="104:111">
      <c r="CZ50620" s="256"/>
      <c r="DG50620" s="256"/>
    </row>
    <row r="50621" spans="104:111">
      <c r="CZ50621" s="256"/>
      <c r="DG50621" s="256"/>
    </row>
    <row r="50622" spans="104:111">
      <c r="CZ50622" s="256"/>
      <c r="DG50622" s="256"/>
    </row>
    <row r="50623" spans="104:111">
      <c r="CZ50623" s="256"/>
      <c r="DG50623" s="256"/>
    </row>
    <row r="50624" spans="104:111">
      <c r="CZ50624" s="256"/>
      <c r="DG50624" s="256"/>
    </row>
    <row r="50625" spans="104:111">
      <c r="CZ50625" s="256"/>
      <c r="DG50625" s="256"/>
    </row>
    <row r="50626" spans="104:111">
      <c r="CZ50626" s="256"/>
      <c r="DG50626" s="256"/>
    </row>
    <row r="50627" spans="104:111">
      <c r="CZ50627" s="256"/>
      <c r="DG50627" s="256"/>
    </row>
    <row r="50628" spans="104:111">
      <c r="CZ50628" s="256"/>
      <c r="DG50628" s="256"/>
    </row>
    <row r="50629" spans="104:111">
      <c r="CZ50629" s="256"/>
      <c r="DG50629" s="256"/>
    </row>
    <row r="50630" spans="104:111">
      <c r="CZ50630" s="256"/>
      <c r="DG50630" s="256"/>
    </row>
    <row r="50631" spans="104:111">
      <c r="CZ50631" s="256"/>
      <c r="DG50631" s="256"/>
    </row>
    <row r="50632" spans="104:111">
      <c r="CZ50632" s="256"/>
      <c r="DG50632" s="256"/>
    </row>
    <row r="50633" spans="104:111">
      <c r="CZ50633" s="256"/>
      <c r="DG50633" s="256"/>
    </row>
    <row r="50634" spans="104:111">
      <c r="CZ50634" s="256"/>
      <c r="DG50634" s="256"/>
    </row>
    <row r="50635" spans="104:111">
      <c r="CZ50635" s="256"/>
      <c r="DG50635" s="256"/>
    </row>
    <row r="50636" spans="104:111">
      <c r="CZ50636" s="256"/>
      <c r="DG50636" s="256"/>
    </row>
    <row r="50637" spans="104:111">
      <c r="CZ50637" s="256"/>
      <c r="DG50637" s="256"/>
    </row>
    <row r="50638" spans="104:111">
      <c r="CZ50638" s="256"/>
      <c r="DG50638" s="256"/>
    </row>
    <row r="50639" spans="104:111">
      <c r="CZ50639" s="256"/>
      <c r="DG50639" s="256"/>
    </row>
    <row r="50640" spans="104:111">
      <c r="CZ50640" s="256"/>
      <c r="DG50640" s="256"/>
    </row>
    <row r="50641" spans="104:111">
      <c r="CZ50641" s="256"/>
      <c r="DG50641" s="256"/>
    </row>
    <row r="50642" spans="104:111">
      <c r="CZ50642" s="256"/>
      <c r="DG50642" s="256"/>
    </row>
    <row r="50643" spans="104:111">
      <c r="CZ50643" s="256"/>
      <c r="DG50643" s="256"/>
    </row>
    <row r="50644" spans="104:111">
      <c r="CZ50644" s="256"/>
      <c r="DG50644" s="256"/>
    </row>
    <row r="50645" spans="104:111">
      <c r="CZ50645" s="256"/>
      <c r="DG50645" s="256"/>
    </row>
    <row r="50646" spans="104:111">
      <c r="CZ50646" s="256"/>
      <c r="DG50646" s="256"/>
    </row>
    <row r="50647" spans="104:111">
      <c r="CZ50647" s="256"/>
      <c r="DG50647" s="256"/>
    </row>
    <row r="50648" spans="104:111">
      <c r="CZ50648" s="256"/>
      <c r="DG50648" s="256"/>
    </row>
    <row r="50649" spans="104:111">
      <c r="CZ50649" s="256"/>
      <c r="DG50649" s="256"/>
    </row>
    <row r="50650" spans="104:111">
      <c r="CZ50650" s="256"/>
      <c r="DG50650" s="256"/>
    </row>
    <row r="50651" spans="104:111">
      <c r="CZ50651" s="256"/>
      <c r="DG50651" s="256"/>
    </row>
    <row r="50652" spans="104:111">
      <c r="CZ50652" s="256"/>
      <c r="DG50652" s="256"/>
    </row>
    <row r="50653" spans="104:111">
      <c r="CZ50653" s="256"/>
      <c r="DG50653" s="256"/>
    </row>
    <row r="50654" spans="104:111">
      <c r="CZ50654" s="256"/>
      <c r="DG50654" s="256"/>
    </row>
    <row r="50655" spans="104:111">
      <c r="CZ50655" s="256"/>
      <c r="DG50655" s="256"/>
    </row>
    <row r="50656" spans="104:111">
      <c r="CZ50656" s="256"/>
      <c r="DG50656" s="256"/>
    </row>
    <row r="50657" spans="104:111">
      <c r="CZ50657" s="256"/>
      <c r="DG50657" s="256"/>
    </row>
    <row r="50658" spans="104:111">
      <c r="CZ50658" s="256"/>
      <c r="DG50658" s="256"/>
    </row>
    <row r="50659" spans="104:111">
      <c r="CZ50659" s="256"/>
      <c r="DG50659" s="256"/>
    </row>
    <row r="50660" spans="104:111">
      <c r="CZ50660" s="256"/>
      <c r="DG50660" s="256"/>
    </row>
    <row r="50661" spans="104:111">
      <c r="CZ50661" s="256"/>
      <c r="DG50661" s="256"/>
    </row>
    <row r="50662" spans="104:111">
      <c r="CZ50662" s="256"/>
      <c r="DG50662" s="256"/>
    </row>
    <row r="50663" spans="104:111">
      <c r="CZ50663" s="256"/>
      <c r="DG50663" s="256"/>
    </row>
    <row r="50664" spans="104:111">
      <c r="CZ50664" s="256"/>
      <c r="DG50664" s="256"/>
    </row>
    <row r="50665" spans="104:111">
      <c r="CZ50665" s="256"/>
      <c r="DG50665" s="256"/>
    </row>
    <row r="50666" spans="104:111">
      <c r="CZ50666" s="256"/>
      <c r="DG50666" s="256"/>
    </row>
    <row r="50667" spans="104:111">
      <c r="CZ50667" s="256"/>
      <c r="DG50667" s="256"/>
    </row>
    <row r="50668" spans="104:111">
      <c r="CZ50668" s="256"/>
      <c r="DG50668" s="256"/>
    </row>
    <row r="50669" spans="104:111">
      <c r="CZ50669" s="256"/>
      <c r="DG50669" s="256"/>
    </row>
    <row r="50670" spans="104:111">
      <c r="CZ50670" s="256"/>
      <c r="DG50670" s="256"/>
    </row>
    <row r="50671" spans="104:111">
      <c r="CZ50671" s="256"/>
      <c r="DG50671" s="256"/>
    </row>
    <row r="50672" spans="104:111">
      <c r="CZ50672" s="256"/>
      <c r="DG50672" s="256"/>
    </row>
    <row r="50673" spans="104:111">
      <c r="CZ50673" s="256"/>
      <c r="DG50673" s="256"/>
    </row>
    <row r="50674" spans="104:111">
      <c r="CZ50674" s="256"/>
      <c r="DG50674" s="256"/>
    </row>
    <row r="50675" spans="104:111">
      <c r="CZ50675" s="256"/>
      <c r="DG50675" s="256"/>
    </row>
    <row r="50676" spans="104:111">
      <c r="CZ50676" s="256"/>
      <c r="DG50676" s="256"/>
    </row>
    <row r="50677" spans="104:111">
      <c r="CZ50677" s="256"/>
      <c r="DG50677" s="256"/>
    </row>
    <row r="50678" spans="104:111">
      <c r="CZ50678" s="256"/>
      <c r="DG50678" s="256"/>
    </row>
    <row r="50679" spans="104:111">
      <c r="CZ50679" s="256"/>
      <c r="DG50679" s="256"/>
    </row>
    <row r="50680" spans="104:111">
      <c r="CZ50680" s="256"/>
      <c r="DG50680" s="256"/>
    </row>
    <row r="50681" spans="104:111">
      <c r="CZ50681" s="256"/>
      <c r="DG50681" s="256"/>
    </row>
    <row r="50682" spans="104:111">
      <c r="CZ50682" s="256"/>
      <c r="DG50682" s="256"/>
    </row>
    <row r="50683" spans="104:111">
      <c r="CZ50683" s="256"/>
      <c r="DG50683" s="256"/>
    </row>
    <row r="50684" spans="104:111">
      <c r="CZ50684" s="256"/>
      <c r="DG50684" s="256"/>
    </row>
    <row r="50685" spans="104:111">
      <c r="CZ50685" s="256"/>
      <c r="DG50685" s="256"/>
    </row>
    <row r="50686" spans="104:111">
      <c r="CZ50686" s="256"/>
      <c r="DG50686" s="256"/>
    </row>
    <row r="50687" spans="104:111">
      <c r="CZ50687" s="256"/>
      <c r="DG50687" s="256"/>
    </row>
    <row r="50688" spans="104:111">
      <c r="CZ50688" s="256"/>
      <c r="DG50688" s="256"/>
    </row>
    <row r="50689" spans="104:111">
      <c r="CZ50689" s="256"/>
      <c r="DG50689" s="256"/>
    </row>
    <row r="50690" spans="104:111">
      <c r="CZ50690" s="256"/>
      <c r="DG50690" s="256"/>
    </row>
    <row r="50691" spans="104:111">
      <c r="CZ50691" s="256"/>
      <c r="DG50691" s="256"/>
    </row>
    <row r="50692" spans="104:111">
      <c r="CZ50692" s="256"/>
      <c r="DG50692" s="256"/>
    </row>
    <row r="50693" spans="104:111">
      <c r="CZ50693" s="256"/>
      <c r="DG50693" s="256"/>
    </row>
    <row r="50694" spans="104:111">
      <c r="CZ50694" s="256"/>
      <c r="DG50694" s="256"/>
    </row>
    <row r="50695" spans="104:111">
      <c r="CZ50695" s="256"/>
      <c r="DG50695" s="256"/>
    </row>
    <row r="50696" spans="104:111">
      <c r="CZ50696" s="256"/>
      <c r="DG50696" s="256"/>
    </row>
    <row r="50697" spans="104:111">
      <c r="CZ50697" s="256"/>
      <c r="DG50697" s="256"/>
    </row>
    <row r="50698" spans="104:111">
      <c r="CZ50698" s="256"/>
      <c r="DG50698" s="256"/>
    </row>
    <row r="50699" spans="104:111">
      <c r="CZ50699" s="256"/>
      <c r="DG50699" s="256"/>
    </row>
    <row r="50700" spans="104:111">
      <c r="CZ50700" s="256"/>
      <c r="DG50700" s="256"/>
    </row>
    <row r="50701" spans="104:111">
      <c r="CZ50701" s="256"/>
      <c r="DG50701" s="256"/>
    </row>
    <row r="50702" spans="104:111">
      <c r="CZ50702" s="256"/>
      <c r="DG50702" s="256"/>
    </row>
    <row r="50703" spans="104:111">
      <c r="CZ50703" s="256"/>
      <c r="DG50703" s="256"/>
    </row>
    <row r="50704" spans="104:111">
      <c r="CZ50704" s="256"/>
      <c r="DG50704" s="256"/>
    </row>
    <row r="50705" spans="104:111">
      <c r="CZ50705" s="256"/>
      <c r="DG50705" s="256"/>
    </row>
    <row r="50706" spans="104:111">
      <c r="CZ50706" s="256"/>
      <c r="DG50706" s="256"/>
    </row>
    <row r="50707" spans="104:111">
      <c r="CZ50707" s="256"/>
      <c r="DG50707" s="256"/>
    </row>
    <row r="50708" spans="104:111">
      <c r="CZ50708" s="256"/>
      <c r="DG50708" s="256"/>
    </row>
    <row r="50709" spans="104:111">
      <c r="CZ50709" s="256"/>
      <c r="DG50709" s="256"/>
    </row>
    <row r="50710" spans="104:111">
      <c r="CZ50710" s="256"/>
      <c r="DG50710" s="256"/>
    </row>
    <row r="50711" spans="104:111">
      <c r="CZ50711" s="256"/>
      <c r="DG50711" s="256"/>
    </row>
    <row r="50712" spans="104:111">
      <c r="CZ50712" s="256"/>
      <c r="DG50712" s="256"/>
    </row>
    <row r="50713" spans="104:111">
      <c r="CZ50713" s="256"/>
      <c r="DG50713" s="256"/>
    </row>
    <row r="50714" spans="104:111">
      <c r="CZ50714" s="256"/>
      <c r="DG50714" s="256"/>
    </row>
    <row r="50715" spans="104:111">
      <c r="CZ50715" s="256"/>
      <c r="DG50715" s="256"/>
    </row>
    <row r="50716" spans="104:111">
      <c r="CZ50716" s="256"/>
      <c r="DG50716" s="256"/>
    </row>
    <row r="50717" spans="104:111">
      <c r="CZ50717" s="256"/>
      <c r="DG50717" s="256"/>
    </row>
    <row r="50718" spans="104:111">
      <c r="CZ50718" s="256"/>
      <c r="DG50718" s="256"/>
    </row>
    <row r="50719" spans="104:111">
      <c r="CZ50719" s="256"/>
      <c r="DG50719" s="256"/>
    </row>
    <row r="50720" spans="104:111">
      <c r="CZ50720" s="256"/>
      <c r="DG50720" s="256"/>
    </row>
    <row r="50721" spans="104:111">
      <c r="CZ50721" s="256"/>
      <c r="DG50721" s="256"/>
    </row>
    <row r="50722" spans="104:111">
      <c r="CZ50722" s="256"/>
      <c r="DG50722" s="256"/>
    </row>
    <row r="50723" spans="104:111">
      <c r="CZ50723" s="256"/>
      <c r="DG50723" s="256"/>
    </row>
    <row r="50724" spans="104:111">
      <c r="CZ50724" s="256"/>
      <c r="DG50724" s="256"/>
    </row>
    <row r="50725" spans="104:111">
      <c r="CZ50725" s="256"/>
      <c r="DG50725" s="256"/>
    </row>
    <row r="50726" spans="104:111">
      <c r="CZ50726" s="256"/>
      <c r="DG50726" s="256"/>
    </row>
    <row r="50727" spans="104:111">
      <c r="CZ50727" s="256"/>
      <c r="DG50727" s="256"/>
    </row>
    <row r="50728" spans="104:111">
      <c r="CZ50728" s="256"/>
      <c r="DG50728" s="256"/>
    </row>
    <row r="50729" spans="104:111">
      <c r="CZ50729" s="256"/>
      <c r="DG50729" s="256"/>
    </row>
    <row r="50730" spans="104:111">
      <c r="CZ50730" s="256"/>
      <c r="DG50730" s="256"/>
    </row>
    <row r="50731" spans="104:111">
      <c r="CZ50731" s="256"/>
      <c r="DG50731" s="256"/>
    </row>
    <row r="50732" spans="104:111">
      <c r="CZ50732" s="256"/>
      <c r="DG50732" s="256"/>
    </row>
    <row r="50733" spans="104:111">
      <c r="CZ50733" s="256"/>
      <c r="DG50733" s="256"/>
    </row>
    <row r="50734" spans="104:111">
      <c r="CZ50734" s="256"/>
      <c r="DG50734" s="256"/>
    </row>
    <row r="50735" spans="104:111">
      <c r="CZ50735" s="256"/>
      <c r="DG50735" s="256"/>
    </row>
    <row r="50736" spans="104:111">
      <c r="CZ50736" s="256"/>
      <c r="DG50736" s="256"/>
    </row>
    <row r="50737" spans="104:111">
      <c r="CZ50737" s="256"/>
      <c r="DG50737" s="256"/>
    </row>
    <row r="50738" spans="104:111">
      <c r="CZ50738" s="256"/>
      <c r="DG50738" s="256"/>
    </row>
    <row r="50739" spans="104:111">
      <c r="CZ50739" s="256"/>
      <c r="DG50739" s="256"/>
    </row>
    <row r="50740" spans="104:111">
      <c r="CZ50740" s="256"/>
      <c r="DG50740" s="256"/>
    </row>
    <row r="50741" spans="104:111">
      <c r="CZ50741" s="256"/>
      <c r="DG50741" s="256"/>
    </row>
    <row r="50742" spans="104:111">
      <c r="CZ50742" s="256"/>
      <c r="DG50742" s="256"/>
    </row>
    <row r="50743" spans="104:111">
      <c r="CZ50743" s="256"/>
      <c r="DG50743" s="256"/>
    </row>
    <row r="50744" spans="104:111">
      <c r="CZ50744" s="256"/>
      <c r="DG50744" s="256"/>
    </row>
    <row r="50745" spans="104:111">
      <c r="CZ50745" s="256"/>
      <c r="DG50745" s="256"/>
    </row>
    <row r="50746" spans="104:111">
      <c r="CZ50746" s="256"/>
      <c r="DG50746" s="256"/>
    </row>
    <row r="50747" spans="104:111">
      <c r="CZ50747" s="256"/>
      <c r="DG50747" s="256"/>
    </row>
    <row r="50748" spans="104:111">
      <c r="CZ50748" s="256"/>
      <c r="DG50748" s="256"/>
    </row>
    <row r="50749" spans="104:111">
      <c r="CZ50749" s="256"/>
      <c r="DG50749" s="256"/>
    </row>
    <row r="50750" spans="104:111">
      <c r="CZ50750" s="256"/>
      <c r="DG50750" s="256"/>
    </row>
    <row r="50751" spans="104:111">
      <c r="CZ50751" s="256"/>
      <c r="DG50751" s="256"/>
    </row>
    <row r="50752" spans="104:111">
      <c r="CZ50752" s="256"/>
      <c r="DG50752" s="256"/>
    </row>
    <row r="50753" spans="104:111">
      <c r="CZ50753" s="256"/>
      <c r="DG50753" s="256"/>
    </row>
    <row r="50754" spans="104:111">
      <c r="CZ50754" s="256"/>
      <c r="DG50754" s="256"/>
    </row>
    <row r="50755" spans="104:111">
      <c r="CZ50755" s="256"/>
      <c r="DG50755" s="256"/>
    </row>
    <row r="50756" spans="104:111">
      <c r="CZ50756" s="256"/>
      <c r="DG50756" s="256"/>
    </row>
    <row r="50757" spans="104:111">
      <c r="CZ50757" s="256"/>
      <c r="DG50757" s="256"/>
    </row>
    <row r="50758" spans="104:111">
      <c r="CZ50758" s="256"/>
      <c r="DG50758" s="256"/>
    </row>
    <row r="50759" spans="104:111">
      <c r="CZ50759" s="256"/>
      <c r="DG50759" s="256"/>
    </row>
    <row r="50760" spans="104:111">
      <c r="CZ50760" s="256"/>
      <c r="DG50760" s="256"/>
    </row>
    <row r="50761" spans="104:111">
      <c r="CZ50761" s="256"/>
      <c r="DG50761" s="256"/>
    </row>
    <row r="50762" spans="104:111">
      <c r="CZ50762" s="256"/>
      <c r="DG50762" s="256"/>
    </row>
    <row r="50763" spans="104:111">
      <c r="CZ50763" s="256"/>
      <c r="DG50763" s="256"/>
    </row>
    <row r="50764" spans="104:111">
      <c r="CZ50764" s="256"/>
      <c r="DG50764" s="256"/>
    </row>
    <row r="50765" spans="104:111">
      <c r="CZ50765" s="256"/>
      <c r="DG50765" s="256"/>
    </row>
    <row r="50766" spans="104:111">
      <c r="CZ50766" s="256"/>
      <c r="DG50766" s="256"/>
    </row>
    <row r="50767" spans="104:111">
      <c r="CZ50767" s="256"/>
      <c r="DG50767" s="256"/>
    </row>
    <row r="50768" spans="104:111">
      <c r="CZ50768" s="256"/>
      <c r="DG50768" s="256"/>
    </row>
    <row r="50769" spans="104:111">
      <c r="CZ50769" s="256"/>
      <c r="DG50769" s="256"/>
    </row>
    <row r="50770" spans="104:111">
      <c r="CZ50770" s="256"/>
      <c r="DG50770" s="256"/>
    </row>
    <row r="50771" spans="104:111">
      <c r="CZ50771" s="256"/>
      <c r="DG50771" s="256"/>
    </row>
    <row r="50772" spans="104:111">
      <c r="CZ50772" s="256"/>
      <c r="DG50772" s="256"/>
    </row>
    <row r="50773" spans="104:111">
      <c r="CZ50773" s="256"/>
      <c r="DG50773" s="256"/>
    </row>
    <row r="50774" spans="104:111">
      <c r="CZ50774" s="256"/>
      <c r="DG50774" s="256"/>
    </row>
    <row r="50775" spans="104:111">
      <c r="CZ50775" s="256"/>
      <c r="DG50775" s="256"/>
    </row>
    <row r="50776" spans="104:111">
      <c r="CZ50776" s="256"/>
      <c r="DG50776" s="256"/>
    </row>
    <row r="50777" spans="104:111">
      <c r="CZ50777" s="256"/>
      <c r="DG50777" s="256"/>
    </row>
    <row r="50778" spans="104:111">
      <c r="CZ50778" s="256"/>
      <c r="DG50778" s="256"/>
    </row>
    <row r="50779" spans="104:111">
      <c r="CZ50779" s="256"/>
      <c r="DG50779" s="256"/>
    </row>
    <row r="50780" spans="104:111">
      <c r="CZ50780" s="256"/>
      <c r="DG50780" s="256"/>
    </row>
    <row r="50781" spans="104:111">
      <c r="CZ50781" s="256"/>
      <c r="DG50781" s="256"/>
    </row>
    <row r="50782" spans="104:111">
      <c r="CZ50782" s="256"/>
      <c r="DG50782" s="256"/>
    </row>
    <row r="50783" spans="104:111">
      <c r="CZ50783" s="256"/>
      <c r="DG50783" s="256"/>
    </row>
    <row r="50784" spans="104:111">
      <c r="CZ50784" s="256"/>
      <c r="DG50784" s="256"/>
    </row>
    <row r="50785" spans="104:111">
      <c r="CZ50785" s="256"/>
      <c r="DG50785" s="256"/>
    </row>
    <row r="50786" spans="104:111">
      <c r="CZ50786" s="256"/>
      <c r="DG50786" s="256"/>
    </row>
    <row r="50787" spans="104:111">
      <c r="CZ50787" s="256"/>
      <c r="DG50787" s="256"/>
    </row>
    <row r="50788" spans="104:111">
      <c r="CZ50788" s="256"/>
      <c r="DG50788" s="256"/>
    </row>
    <row r="50789" spans="104:111">
      <c r="CZ50789" s="256"/>
      <c r="DG50789" s="256"/>
    </row>
    <row r="50790" spans="104:111">
      <c r="CZ50790" s="256"/>
      <c r="DG50790" s="256"/>
    </row>
    <row r="50791" spans="104:111">
      <c r="CZ50791" s="256"/>
      <c r="DG50791" s="256"/>
    </row>
    <row r="50792" spans="104:111">
      <c r="CZ50792" s="256"/>
      <c r="DG50792" s="256"/>
    </row>
    <row r="50793" spans="104:111">
      <c r="CZ50793" s="256"/>
      <c r="DG50793" s="256"/>
    </row>
    <row r="50794" spans="104:111">
      <c r="CZ50794" s="256"/>
      <c r="DG50794" s="256"/>
    </row>
    <row r="50795" spans="104:111">
      <c r="CZ50795" s="256"/>
      <c r="DG50795" s="256"/>
    </row>
    <row r="50796" spans="104:111">
      <c r="CZ50796" s="256"/>
      <c r="DG50796" s="256"/>
    </row>
    <row r="50797" spans="104:111">
      <c r="CZ50797" s="256"/>
      <c r="DG50797" s="256"/>
    </row>
    <row r="50798" spans="104:111">
      <c r="CZ50798" s="256"/>
      <c r="DG50798" s="256"/>
    </row>
    <row r="50799" spans="104:111">
      <c r="CZ50799" s="256"/>
      <c r="DG50799" s="256"/>
    </row>
    <row r="50800" spans="104:111">
      <c r="CZ50800" s="256"/>
      <c r="DG50800" s="256"/>
    </row>
    <row r="50801" spans="104:111">
      <c r="CZ50801" s="256"/>
      <c r="DG50801" s="256"/>
    </row>
    <row r="50802" spans="104:111">
      <c r="CZ50802" s="256"/>
      <c r="DG50802" s="256"/>
    </row>
    <row r="50803" spans="104:111">
      <c r="CZ50803" s="256"/>
      <c r="DG50803" s="256"/>
    </row>
    <row r="50804" spans="104:111">
      <c r="CZ50804" s="256"/>
      <c r="DG50804" s="256"/>
    </row>
    <row r="50805" spans="104:111">
      <c r="CZ50805" s="256"/>
      <c r="DG50805" s="256"/>
    </row>
    <row r="50806" spans="104:111">
      <c r="CZ50806" s="256"/>
      <c r="DG50806" s="256"/>
    </row>
    <row r="50807" spans="104:111">
      <c r="CZ50807" s="256"/>
      <c r="DG50807" s="256"/>
    </row>
    <row r="50808" spans="104:111">
      <c r="CZ50808" s="256"/>
      <c r="DG50808" s="256"/>
    </row>
    <row r="50809" spans="104:111">
      <c r="CZ50809" s="256"/>
      <c r="DG50809" s="256"/>
    </row>
    <row r="50810" spans="104:111">
      <c r="CZ50810" s="256"/>
      <c r="DG50810" s="256"/>
    </row>
    <row r="50811" spans="104:111">
      <c r="CZ50811" s="256"/>
      <c r="DG50811" s="256"/>
    </row>
    <row r="50812" spans="104:111">
      <c r="CZ50812" s="256"/>
      <c r="DG50812" s="256"/>
    </row>
    <row r="50813" spans="104:111">
      <c r="CZ50813" s="256"/>
      <c r="DG50813" s="256"/>
    </row>
    <row r="50814" spans="104:111">
      <c r="CZ50814" s="256"/>
      <c r="DG50814" s="256"/>
    </row>
    <row r="50815" spans="104:111">
      <c r="CZ50815" s="256"/>
      <c r="DG50815" s="256"/>
    </row>
    <row r="50816" spans="104:111">
      <c r="CZ50816" s="256"/>
      <c r="DG50816" s="256"/>
    </row>
    <row r="50817" spans="104:111">
      <c r="CZ50817" s="256"/>
      <c r="DG50817" s="256"/>
    </row>
    <row r="50818" spans="104:111">
      <c r="CZ50818" s="256"/>
      <c r="DG50818" s="256"/>
    </row>
    <row r="50819" spans="104:111">
      <c r="CZ50819" s="256"/>
      <c r="DG50819" s="256"/>
    </row>
    <row r="50820" spans="104:111">
      <c r="CZ50820" s="256"/>
      <c r="DG50820" s="256"/>
    </row>
    <row r="50821" spans="104:111">
      <c r="CZ50821" s="256"/>
      <c r="DG50821" s="256"/>
    </row>
    <row r="50822" spans="104:111">
      <c r="CZ50822" s="256"/>
      <c r="DG50822" s="256"/>
    </row>
    <row r="50823" spans="104:111">
      <c r="CZ50823" s="256"/>
      <c r="DG50823" s="256"/>
    </row>
    <row r="50824" spans="104:111">
      <c r="CZ50824" s="256"/>
      <c r="DG50824" s="256"/>
    </row>
    <row r="50825" spans="104:111">
      <c r="CZ50825" s="256"/>
      <c r="DG50825" s="256"/>
    </row>
    <row r="50826" spans="104:111">
      <c r="CZ50826" s="256"/>
      <c r="DG50826" s="256"/>
    </row>
    <row r="50827" spans="104:111">
      <c r="CZ50827" s="256"/>
      <c r="DG50827" s="256"/>
    </row>
    <row r="50828" spans="104:111">
      <c r="CZ50828" s="256"/>
      <c r="DG50828" s="256"/>
    </row>
    <row r="50829" spans="104:111">
      <c r="CZ50829" s="256"/>
      <c r="DG50829" s="256"/>
    </row>
    <row r="50830" spans="104:111">
      <c r="CZ50830" s="256"/>
      <c r="DG50830" s="256"/>
    </row>
    <row r="50831" spans="104:111">
      <c r="CZ50831" s="256"/>
      <c r="DG50831" s="256"/>
    </row>
    <row r="50832" spans="104:111">
      <c r="CZ50832" s="256"/>
      <c r="DG50832" s="256"/>
    </row>
    <row r="50833" spans="104:111">
      <c r="CZ50833" s="256"/>
      <c r="DG50833" s="256"/>
    </row>
    <row r="50834" spans="104:111">
      <c r="CZ50834" s="256"/>
      <c r="DG50834" s="256"/>
    </row>
    <row r="50835" spans="104:111">
      <c r="CZ50835" s="256"/>
      <c r="DG50835" s="256"/>
    </row>
    <row r="50836" spans="104:111">
      <c r="CZ50836" s="256"/>
      <c r="DG50836" s="256"/>
    </row>
    <row r="50837" spans="104:111">
      <c r="CZ50837" s="256"/>
      <c r="DG50837" s="256"/>
    </row>
    <row r="50838" spans="104:111">
      <c r="CZ50838" s="256"/>
      <c r="DG50838" s="256"/>
    </row>
    <row r="50839" spans="104:111">
      <c r="CZ50839" s="256"/>
      <c r="DG50839" s="256"/>
    </row>
    <row r="50840" spans="104:111">
      <c r="CZ50840" s="256"/>
      <c r="DG50840" s="256"/>
    </row>
    <row r="50841" spans="104:111">
      <c r="CZ50841" s="256"/>
      <c r="DG50841" s="256"/>
    </row>
    <row r="50842" spans="104:111">
      <c r="CZ50842" s="256"/>
      <c r="DG50842" s="256"/>
    </row>
    <row r="50843" spans="104:111">
      <c r="CZ50843" s="256"/>
      <c r="DG50843" s="256"/>
    </row>
    <row r="50844" spans="104:111">
      <c r="CZ50844" s="256"/>
      <c r="DG50844" s="256"/>
    </row>
    <row r="50845" spans="104:111">
      <c r="CZ50845" s="256"/>
      <c r="DG50845" s="256"/>
    </row>
    <row r="50846" spans="104:111">
      <c r="CZ50846" s="256"/>
      <c r="DG50846" s="256"/>
    </row>
    <row r="50847" spans="104:111">
      <c r="CZ50847" s="256"/>
      <c r="DG50847" s="256"/>
    </row>
    <row r="50848" spans="104:111">
      <c r="CZ50848" s="256"/>
      <c r="DG50848" s="256"/>
    </row>
    <row r="50849" spans="104:111">
      <c r="CZ50849" s="256"/>
      <c r="DG50849" s="256"/>
    </row>
    <row r="50850" spans="104:111">
      <c r="CZ50850" s="256"/>
      <c r="DG50850" s="256"/>
    </row>
    <row r="50851" spans="104:111">
      <c r="CZ50851" s="256"/>
      <c r="DG50851" s="256"/>
    </row>
    <row r="50852" spans="104:111">
      <c r="CZ50852" s="256"/>
      <c r="DG50852" s="256"/>
    </row>
    <row r="50853" spans="104:111">
      <c r="CZ50853" s="256"/>
      <c r="DG50853" s="256"/>
    </row>
    <row r="50854" spans="104:111">
      <c r="CZ50854" s="256"/>
      <c r="DG50854" s="256"/>
    </row>
    <row r="50855" spans="104:111">
      <c r="CZ50855" s="256"/>
      <c r="DG50855" s="256"/>
    </row>
    <row r="50856" spans="104:111">
      <c r="CZ50856" s="256"/>
      <c r="DG50856" s="256"/>
    </row>
    <row r="50857" spans="104:111">
      <c r="CZ50857" s="256"/>
      <c r="DG50857" s="256"/>
    </row>
    <row r="50858" spans="104:111">
      <c r="CZ50858" s="256"/>
      <c r="DG50858" s="256"/>
    </row>
    <row r="50859" spans="104:111">
      <c r="CZ50859" s="256"/>
      <c r="DG50859" s="256"/>
    </row>
    <row r="50860" spans="104:111">
      <c r="CZ50860" s="256"/>
      <c r="DG50860" s="256"/>
    </row>
    <row r="50861" spans="104:111">
      <c r="CZ50861" s="256"/>
      <c r="DG50861" s="256"/>
    </row>
    <row r="50862" spans="104:111">
      <c r="CZ50862" s="256"/>
      <c r="DG50862" s="256"/>
    </row>
    <row r="50863" spans="104:111">
      <c r="CZ50863" s="256"/>
      <c r="DG50863" s="256"/>
    </row>
    <row r="50864" spans="104:111">
      <c r="CZ50864" s="256"/>
      <c r="DG50864" s="256"/>
    </row>
    <row r="50865" spans="104:111">
      <c r="CZ50865" s="256"/>
      <c r="DG50865" s="256"/>
    </row>
    <row r="50866" spans="104:111">
      <c r="CZ50866" s="256"/>
      <c r="DG50866" s="256"/>
    </row>
    <row r="50867" spans="104:111">
      <c r="CZ50867" s="256"/>
      <c r="DG50867" s="256"/>
    </row>
    <row r="50868" spans="104:111">
      <c r="CZ50868" s="256"/>
      <c r="DG50868" s="256"/>
    </row>
    <row r="50869" spans="104:111">
      <c r="CZ50869" s="256"/>
      <c r="DG50869" s="256"/>
    </row>
    <row r="50870" spans="104:111">
      <c r="CZ50870" s="256"/>
      <c r="DG50870" s="256"/>
    </row>
    <row r="50871" spans="104:111">
      <c r="CZ50871" s="256"/>
      <c r="DG50871" s="256"/>
    </row>
    <row r="50872" spans="104:111">
      <c r="CZ50872" s="256"/>
      <c r="DG50872" s="256"/>
    </row>
    <row r="50873" spans="104:111">
      <c r="CZ50873" s="256"/>
      <c r="DG50873" s="256"/>
    </row>
    <row r="50874" spans="104:111">
      <c r="CZ50874" s="256"/>
      <c r="DG50874" s="256"/>
    </row>
    <row r="50875" spans="104:111">
      <c r="CZ50875" s="256"/>
      <c r="DG50875" s="256"/>
    </row>
    <row r="50876" spans="104:111">
      <c r="CZ50876" s="256"/>
      <c r="DG50876" s="256"/>
    </row>
    <row r="50877" spans="104:111">
      <c r="CZ50877" s="256"/>
      <c r="DG50877" s="256"/>
    </row>
    <row r="50878" spans="104:111">
      <c r="CZ50878" s="256"/>
      <c r="DG50878" s="256"/>
    </row>
    <row r="50879" spans="104:111">
      <c r="CZ50879" s="256"/>
      <c r="DG50879" s="256"/>
    </row>
    <row r="50880" spans="104:111">
      <c r="CZ50880" s="256"/>
      <c r="DG50880" s="256"/>
    </row>
    <row r="50881" spans="104:111">
      <c r="CZ50881" s="256"/>
      <c r="DG50881" s="256"/>
    </row>
    <row r="50882" spans="104:111">
      <c r="CZ50882" s="256"/>
      <c r="DG50882" s="256"/>
    </row>
    <row r="50883" spans="104:111">
      <c r="CZ50883" s="256"/>
      <c r="DG50883" s="256"/>
    </row>
    <row r="50884" spans="104:111">
      <c r="CZ50884" s="256"/>
      <c r="DG50884" s="256"/>
    </row>
    <row r="50885" spans="104:111">
      <c r="CZ50885" s="256"/>
      <c r="DG50885" s="256"/>
    </row>
    <row r="50886" spans="104:111">
      <c r="CZ50886" s="256"/>
      <c r="DG50886" s="256"/>
    </row>
    <row r="50887" spans="104:111">
      <c r="CZ50887" s="256"/>
      <c r="DG50887" s="256"/>
    </row>
    <row r="50888" spans="104:111">
      <c r="CZ50888" s="256"/>
      <c r="DG50888" s="256"/>
    </row>
    <row r="50889" spans="104:111">
      <c r="CZ50889" s="256"/>
      <c r="DG50889" s="256"/>
    </row>
    <row r="50890" spans="104:111">
      <c r="CZ50890" s="256"/>
      <c r="DG50890" s="256"/>
    </row>
    <row r="50891" spans="104:111">
      <c r="CZ50891" s="256"/>
      <c r="DG50891" s="256"/>
    </row>
    <row r="50892" spans="104:111">
      <c r="CZ50892" s="256"/>
      <c r="DG50892" s="256"/>
    </row>
    <row r="50893" spans="104:111">
      <c r="CZ50893" s="256"/>
      <c r="DG50893" s="256"/>
    </row>
    <row r="50894" spans="104:111">
      <c r="CZ50894" s="256"/>
      <c r="DG50894" s="256"/>
    </row>
    <row r="50895" spans="104:111">
      <c r="CZ50895" s="256"/>
      <c r="DG50895" s="256"/>
    </row>
    <row r="50896" spans="104:111">
      <c r="CZ50896" s="256"/>
      <c r="DG50896" s="256"/>
    </row>
    <row r="50897" spans="104:111">
      <c r="CZ50897" s="256"/>
      <c r="DG50897" s="256"/>
    </row>
    <row r="50898" spans="104:111">
      <c r="CZ50898" s="256"/>
      <c r="DG50898" s="256"/>
    </row>
    <row r="50899" spans="104:111">
      <c r="CZ50899" s="256"/>
      <c r="DG50899" s="256"/>
    </row>
    <row r="50900" spans="104:111">
      <c r="CZ50900" s="256"/>
      <c r="DG50900" s="256"/>
    </row>
    <row r="50901" spans="104:111">
      <c r="CZ50901" s="256"/>
      <c r="DG50901" s="256"/>
    </row>
    <row r="50902" spans="104:111">
      <c r="CZ50902" s="256"/>
      <c r="DG50902" s="256"/>
    </row>
    <row r="50903" spans="104:111">
      <c r="CZ50903" s="256"/>
      <c r="DG50903" s="256"/>
    </row>
    <row r="50904" spans="104:111">
      <c r="CZ50904" s="256"/>
      <c r="DG50904" s="256"/>
    </row>
    <row r="50905" spans="104:111">
      <c r="CZ50905" s="256"/>
      <c r="DG50905" s="256"/>
    </row>
    <row r="50906" spans="104:111">
      <c r="CZ50906" s="256"/>
      <c r="DG50906" s="256"/>
    </row>
    <row r="50907" spans="104:111">
      <c r="CZ50907" s="256"/>
      <c r="DG50907" s="256"/>
    </row>
    <row r="50908" spans="104:111">
      <c r="CZ50908" s="256"/>
      <c r="DG50908" s="256"/>
    </row>
    <row r="50909" spans="104:111">
      <c r="CZ50909" s="256"/>
      <c r="DG50909" s="256"/>
    </row>
    <row r="50910" spans="104:111">
      <c r="CZ50910" s="256"/>
      <c r="DG50910" s="256"/>
    </row>
    <row r="50911" spans="104:111">
      <c r="CZ50911" s="256"/>
      <c r="DG50911" s="256"/>
    </row>
    <row r="50912" spans="104:111">
      <c r="CZ50912" s="256"/>
      <c r="DG50912" s="256"/>
    </row>
    <row r="50913" spans="104:111">
      <c r="CZ50913" s="256"/>
      <c r="DG50913" s="256"/>
    </row>
    <row r="50914" spans="104:111">
      <c r="CZ50914" s="256"/>
      <c r="DG50914" s="256"/>
    </row>
    <row r="50915" spans="104:111">
      <c r="CZ50915" s="256"/>
      <c r="DG50915" s="256"/>
    </row>
    <row r="50916" spans="104:111">
      <c r="CZ50916" s="256"/>
      <c r="DG50916" s="256"/>
    </row>
    <row r="50917" spans="104:111">
      <c r="CZ50917" s="256"/>
      <c r="DG50917" s="256"/>
    </row>
    <row r="50918" spans="104:111">
      <c r="CZ50918" s="256"/>
      <c r="DG50918" s="256"/>
    </row>
    <row r="50919" spans="104:111">
      <c r="CZ50919" s="256"/>
      <c r="DG50919" s="256"/>
    </row>
    <row r="50920" spans="104:111">
      <c r="CZ50920" s="256"/>
      <c r="DG50920" s="256"/>
    </row>
    <row r="50921" spans="104:111">
      <c r="CZ50921" s="256"/>
      <c r="DG50921" s="256"/>
    </row>
    <row r="50922" spans="104:111">
      <c r="CZ50922" s="256"/>
      <c r="DG50922" s="256"/>
    </row>
    <row r="50923" spans="104:111">
      <c r="CZ50923" s="256"/>
      <c r="DG50923" s="256"/>
    </row>
    <row r="50924" spans="104:111">
      <c r="CZ50924" s="256"/>
      <c r="DG50924" s="256"/>
    </row>
    <row r="50925" spans="104:111">
      <c r="CZ50925" s="256"/>
      <c r="DG50925" s="256"/>
    </row>
    <row r="50926" spans="104:111">
      <c r="CZ50926" s="256"/>
      <c r="DG50926" s="256"/>
    </row>
    <row r="50927" spans="104:111">
      <c r="CZ50927" s="256"/>
      <c r="DG50927" s="256"/>
    </row>
    <row r="50928" spans="104:111">
      <c r="CZ50928" s="256"/>
      <c r="DG50928" s="256"/>
    </row>
    <row r="50929" spans="104:111">
      <c r="CZ50929" s="256"/>
      <c r="DG50929" s="256"/>
    </row>
    <row r="50930" spans="104:111">
      <c r="CZ50930" s="256"/>
      <c r="DG50930" s="256"/>
    </row>
    <row r="50931" spans="104:111">
      <c r="CZ50931" s="256"/>
      <c r="DG50931" s="256"/>
    </row>
    <row r="50932" spans="104:111">
      <c r="CZ50932" s="256"/>
      <c r="DG50932" s="256"/>
    </row>
    <row r="50933" spans="104:111">
      <c r="CZ50933" s="256"/>
      <c r="DG50933" s="256"/>
    </row>
    <row r="50934" spans="104:111">
      <c r="CZ50934" s="256"/>
      <c r="DG50934" s="256"/>
    </row>
    <row r="50935" spans="104:111">
      <c r="CZ50935" s="256"/>
      <c r="DG50935" s="256"/>
    </row>
    <row r="50936" spans="104:111">
      <c r="CZ50936" s="256"/>
      <c r="DG50936" s="256"/>
    </row>
    <row r="50937" spans="104:111">
      <c r="CZ50937" s="256"/>
      <c r="DG50937" s="256"/>
    </row>
    <row r="50938" spans="104:111">
      <c r="CZ50938" s="256"/>
      <c r="DG50938" s="256"/>
    </row>
    <row r="50939" spans="104:111">
      <c r="CZ50939" s="256"/>
      <c r="DG50939" s="256"/>
    </row>
    <row r="50940" spans="104:111">
      <c r="CZ50940" s="256"/>
      <c r="DG50940" s="256"/>
    </row>
    <row r="50941" spans="104:111">
      <c r="CZ50941" s="256"/>
      <c r="DG50941" s="256"/>
    </row>
    <row r="50942" spans="104:111">
      <c r="CZ50942" s="256"/>
      <c r="DG50942" s="256"/>
    </row>
    <row r="50943" spans="104:111">
      <c r="CZ50943" s="256"/>
      <c r="DG50943" s="256"/>
    </row>
    <row r="50944" spans="104:111">
      <c r="CZ50944" s="256"/>
      <c r="DG50944" s="256"/>
    </row>
    <row r="50945" spans="104:111">
      <c r="CZ50945" s="256"/>
      <c r="DG50945" s="256"/>
    </row>
    <row r="50946" spans="104:111">
      <c r="CZ50946" s="256"/>
      <c r="DG50946" s="256"/>
    </row>
    <row r="50947" spans="104:111">
      <c r="CZ50947" s="256"/>
      <c r="DG50947" s="256"/>
    </row>
    <row r="50948" spans="104:111">
      <c r="CZ50948" s="256"/>
      <c r="DG50948" s="256"/>
    </row>
    <row r="50949" spans="104:111">
      <c r="CZ50949" s="256"/>
      <c r="DG50949" s="256"/>
    </row>
    <row r="50950" spans="104:111">
      <c r="CZ50950" s="256"/>
      <c r="DG50950" s="256"/>
    </row>
    <row r="50951" spans="104:111">
      <c r="CZ50951" s="256"/>
      <c r="DG50951" s="256"/>
    </row>
    <row r="50952" spans="104:111">
      <c r="CZ50952" s="256"/>
      <c r="DG50952" s="256"/>
    </row>
    <row r="50953" spans="104:111">
      <c r="CZ50953" s="256"/>
      <c r="DG50953" s="256"/>
    </row>
    <row r="50954" spans="104:111">
      <c r="CZ50954" s="256"/>
      <c r="DG50954" s="256"/>
    </row>
    <row r="50955" spans="104:111">
      <c r="CZ50955" s="256"/>
      <c r="DG50955" s="256"/>
    </row>
    <row r="50956" spans="104:111">
      <c r="CZ50956" s="256"/>
      <c r="DG50956" s="256"/>
    </row>
    <row r="50957" spans="104:111">
      <c r="CZ50957" s="256"/>
      <c r="DG50957" s="256"/>
    </row>
    <row r="50958" spans="104:111">
      <c r="CZ50958" s="256"/>
      <c r="DG50958" s="256"/>
    </row>
    <row r="50959" spans="104:111">
      <c r="CZ50959" s="256"/>
      <c r="DG50959" s="256"/>
    </row>
    <row r="50960" spans="104:111">
      <c r="CZ50960" s="256"/>
      <c r="DG50960" s="256"/>
    </row>
    <row r="50961" spans="104:111">
      <c r="CZ50961" s="256"/>
      <c r="DG50961" s="256"/>
    </row>
    <row r="50962" spans="104:111">
      <c r="CZ50962" s="256"/>
      <c r="DG50962" s="256"/>
    </row>
    <row r="50963" spans="104:111">
      <c r="CZ50963" s="256"/>
      <c r="DG50963" s="256"/>
    </row>
    <row r="50964" spans="104:111">
      <c r="CZ50964" s="256"/>
      <c r="DG50964" s="256"/>
    </row>
    <row r="50965" spans="104:111">
      <c r="CZ50965" s="256"/>
      <c r="DG50965" s="256"/>
    </row>
    <row r="50966" spans="104:111">
      <c r="CZ50966" s="256"/>
      <c r="DG50966" s="256"/>
    </row>
    <row r="50967" spans="104:111">
      <c r="CZ50967" s="256"/>
      <c r="DG50967" s="256"/>
    </row>
    <row r="50968" spans="104:111">
      <c r="CZ50968" s="256"/>
      <c r="DG50968" s="256"/>
    </row>
    <row r="50969" spans="104:111">
      <c r="CZ50969" s="256"/>
      <c r="DG50969" s="256"/>
    </row>
    <row r="50970" spans="104:111">
      <c r="CZ50970" s="256"/>
      <c r="DG50970" s="256"/>
    </row>
    <row r="50971" spans="104:111">
      <c r="CZ50971" s="256"/>
      <c r="DG50971" s="256"/>
    </row>
    <row r="50972" spans="104:111">
      <c r="CZ50972" s="256"/>
      <c r="DG50972" s="256"/>
    </row>
    <row r="50973" spans="104:111">
      <c r="CZ50973" s="256"/>
      <c r="DG50973" s="256"/>
    </row>
    <row r="50974" spans="104:111">
      <c r="CZ50974" s="256"/>
      <c r="DG50974" s="256"/>
    </row>
    <row r="50975" spans="104:111">
      <c r="CZ50975" s="256"/>
      <c r="DG50975" s="256"/>
    </row>
    <row r="50976" spans="104:111">
      <c r="CZ50976" s="256"/>
      <c r="DG50976" s="256"/>
    </row>
    <row r="50977" spans="104:111">
      <c r="CZ50977" s="256"/>
      <c r="DG50977" s="256"/>
    </row>
    <row r="50978" spans="104:111">
      <c r="CZ50978" s="256"/>
      <c r="DG50978" s="256"/>
    </row>
    <row r="50979" spans="104:111">
      <c r="CZ50979" s="256"/>
      <c r="DG50979" s="256"/>
    </row>
    <row r="50980" spans="104:111">
      <c r="CZ50980" s="256"/>
      <c r="DG50980" s="256"/>
    </row>
    <row r="50981" spans="104:111">
      <c r="CZ50981" s="256"/>
      <c r="DG50981" s="256"/>
    </row>
    <row r="50982" spans="104:111">
      <c r="CZ50982" s="256"/>
      <c r="DG50982" s="256"/>
    </row>
    <row r="50983" spans="104:111">
      <c r="CZ50983" s="256"/>
      <c r="DG50983" s="256"/>
    </row>
    <row r="50984" spans="104:111">
      <c r="CZ50984" s="256"/>
      <c r="DG50984" s="256"/>
    </row>
    <row r="50985" spans="104:111">
      <c r="CZ50985" s="256"/>
      <c r="DG50985" s="256"/>
    </row>
    <row r="50986" spans="104:111">
      <c r="CZ50986" s="256"/>
      <c r="DG50986" s="256"/>
    </row>
    <row r="50987" spans="104:111">
      <c r="CZ50987" s="256"/>
      <c r="DG50987" s="256"/>
    </row>
    <row r="50988" spans="104:111">
      <c r="CZ50988" s="256"/>
      <c r="DG50988" s="256"/>
    </row>
    <row r="50989" spans="104:111">
      <c r="CZ50989" s="256"/>
      <c r="DG50989" s="256"/>
    </row>
    <row r="50990" spans="104:111">
      <c r="CZ50990" s="256"/>
      <c r="DG50990" s="256"/>
    </row>
    <row r="50991" spans="104:111">
      <c r="CZ50991" s="256"/>
      <c r="DG50991" s="256"/>
    </row>
    <row r="50992" spans="104:111">
      <c r="CZ50992" s="256"/>
      <c r="DG50992" s="256"/>
    </row>
    <row r="50993" spans="104:111">
      <c r="CZ50993" s="256"/>
      <c r="DG50993" s="256"/>
    </row>
    <row r="50994" spans="104:111">
      <c r="CZ50994" s="256"/>
      <c r="DG50994" s="256"/>
    </row>
    <row r="50995" spans="104:111">
      <c r="CZ50995" s="256"/>
      <c r="DG50995" s="256"/>
    </row>
    <row r="50996" spans="104:111">
      <c r="CZ50996" s="256"/>
      <c r="DG50996" s="256"/>
    </row>
    <row r="50997" spans="104:111">
      <c r="CZ50997" s="256"/>
      <c r="DG50997" s="256"/>
    </row>
    <row r="50998" spans="104:111">
      <c r="CZ50998" s="256"/>
      <c r="DG50998" s="256"/>
    </row>
    <row r="50999" spans="104:111">
      <c r="CZ50999" s="256"/>
      <c r="DG50999" s="256"/>
    </row>
    <row r="51000" spans="104:111">
      <c r="CZ51000" s="256"/>
      <c r="DG51000" s="256"/>
    </row>
    <row r="51001" spans="104:111">
      <c r="CZ51001" s="256"/>
      <c r="DG51001" s="256"/>
    </row>
    <row r="51002" spans="104:111">
      <c r="CZ51002" s="256"/>
      <c r="DG51002" s="256"/>
    </row>
    <row r="51003" spans="104:111">
      <c r="CZ51003" s="256"/>
      <c r="DG51003" s="256"/>
    </row>
    <row r="51004" spans="104:111">
      <c r="CZ51004" s="256"/>
      <c r="DG51004" s="256"/>
    </row>
    <row r="51005" spans="104:111">
      <c r="CZ51005" s="256"/>
      <c r="DG51005" s="256"/>
    </row>
    <row r="51006" spans="104:111">
      <c r="CZ51006" s="256"/>
      <c r="DG51006" s="256"/>
    </row>
    <row r="51007" spans="104:111">
      <c r="CZ51007" s="256"/>
      <c r="DG51007" s="256"/>
    </row>
    <row r="51008" spans="104:111">
      <c r="CZ51008" s="256"/>
      <c r="DG51008" s="256"/>
    </row>
    <row r="51009" spans="104:111">
      <c r="CZ51009" s="256"/>
      <c r="DG51009" s="256"/>
    </row>
    <row r="51010" spans="104:111">
      <c r="CZ51010" s="256"/>
      <c r="DG51010" s="256"/>
    </row>
    <row r="51011" spans="104:111">
      <c r="CZ51011" s="256"/>
      <c r="DG51011" s="256"/>
    </row>
    <row r="51012" spans="104:111">
      <c r="CZ51012" s="256"/>
      <c r="DG51012" s="256"/>
    </row>
    <row r="51013" spans="104:111">
      <c r="CZ51013" s="256"/>
      <c r="DG51013" s="256"/>
    </row>
    <row r="51014" spans="104:111">
      <c r="CZ51014" s="256"/>
      <c r="DG51014" s="256"/>
    </row>
    <row r="51015" spans="104:111">
      <c r="CZ51015" s="256"/>
      <c r="DG51015" s="256"/>
    </row>
    <row r="51016" spans="104:111">
      <c r="CZ51016" s="256"/>
      <c r="DG51016" s="256"/>
    </row>
    <row r="51017" spans="104:111">
      <c r="CZ51017" s="256"/>
      <c r="DG51017" s="256"/>
    </row>
    <row r="51018" spans="104:111">
      <c r="CZ51018" s="256"/>
      <c r="DG51018" s="256"/>
    </row>
    <row r="51019" spans="104:111">
      <c r="CZ51019" s="256"/>
      <c r="DG51019" s="256"/>
    </row>
    <row r="51020" spans="104:111">
      <c r="CZ51020" s="256"/>
      <c r="DG51020" s="256"/>
    </row>
    <row r="51021" spans="104:111">
      <c r="CZ51021" s="256"/>
      <c r="DG51021" s="256"/>
    </row>
    <row r="51022" spans="104:111">
      <c r="CZ51022" s="256"/>
      <c r="DG51022" s="256"/>
    </row>
    <row r="51023" spans="104:111">
      <c r="CZ51023" s="256"/>
      <c r="DG51023" s="256"/>
    </row>
    <row r="51024" spans="104:111">
      <c r="CZ51024" s="256"/>
      <c r="DG51024" s="256"/>
    </row>
    <row r="51025" spans="104:111">
      <c r="CZ51025" s="256"/>
      <c r="DG51025" s="256"/>
    </row>
    <row r="51026" spans="104:111">
      <c r="CZ51026" s="256"/>
      <c r="DG51026" s="256"/>
    </row>
    <row r="51027" spans="104:111">
      <c r="CZ51027" s="256"/>
      <c r="DG51027" s="256"/>
    </row>
    <row r="51028" spans="104:111">
      <c r="CZ51028" s="256"/>
      <c r="DG51028" s="256"/>
    </row>
    <row r="51029" spans="104:111">
      <c r="CZ51029" s="256"/>
      <c r="DG51029" s="256"/>
    </row>
    <row r="51030" spans="104:111">
      <c r="CZ51030" s="256"/>
      <c r="DG51030" s="256"/>
    </row>
    <row r="51031" spans="104:111">
      <c r="CZ51031" s="256"/>
      <c r="DG51031" s="256"/>
    </row>
    <row r="51032" spans="104:111">
      <c r="CZ51032" s="256"/>
      <c r="DG51032" s="256"/>
    </row>
    <row r="51033" spans="104:111">
      <c r="CZ51033" s="256"/>
      <c r="DG51033" s="256"/>
    </row>
    <row r="51034" spans="104:111">
      <c r="CZ51034" s="256"/>
      <c r="DG51034" s="256"/>
    </row>
    <row r="51035" spans="104:111">
      <c r="CZ51035" s="256"/>
      <c r="DG51035" s="256"/>
    </row>
    <row r="51036" spans="104:111">
      <c r="CZ51036" s="256"/>
      <c r="DG51036" s="256"/>
    </row>
    <row r="51037" spans="104:111">
      <c r="CZ51037" s="256"/>
      <c r="DG51037" s="256"/>
    </row>
    <row r="51038" spans="104:111">
      <c r="CZ51038" s="256"/>
      <c r="DG51038" s="256"/>
    </row>
    <row r="51039" spans="104:111">
      <c r="CZ51039" s="256"/>
      <c r="DG51039" s="256"/>
    </row>
    <row r="51040" spans="104:111">
      <c r="CZ51040" s="256"/>
      <c r="DG51040" s="256"/>
    </row>
    <row r="51041" spans="104:111">
      <c r="CZ51041" s="256"/>
      <c r="DG51041" s="256"/>
    </row>
    <row r="51042" spans="104:111">
      <c r="CZ51042" s="256"/>
      <c r="DG51042" s="256"/>
    </row>
    <row r="51043" spans="104:111">
      <c r="CZ51043" s="256"/>
      <c r="DG51043" s="256"/>
    </row>
    <row r="51044" spans="104:111">
      <c r="CZ51044" s="256"/>
      <c r="DG51044" s="256"/>
    </row>
    <row r="51045" spans="104:111">
      <c r="CZ51045" s="256"/>
      <c r="DG51045" s="256"/>
    </row>
    <row r="51046" spans="104:111">
      <c r="CZ51046" s="256"/>
      <c r="DG51046" s="256"/>
    </row>
    <row r="51047" spans="104:111">
      <c r="CZ51047" s="256"/>
      <c r="DG51047" s="256"/>
    </row>
    <row r="51048" spans="104:111">
      <c r="CZ51048" s="256"/>
      <c r="DG51048" s="256"/>
    </row>
    <row r="51049" spans="104:111">
      <c r="CZ51049" s="256"/>
      <c r="DG51049" s="256"/>
    </row>
    <row r="51050" spans="104:111">
      <c r="CZ51050" s="256"/>
      <c r="DG51050" s="256"/>
    </row>
    <row r="51051" spans="104:111">
      <c r="CZ51051" s="256"/>
      <c r="DG51051" s="256"/>
    </row>
    <row r="51052" spans="104:111">
      <c r="CZ51052" s="256"/>
      <c r="DG51052" s="256"/>
    </row>
    <row r="51053" spans="104:111">
      <c r="CZ51053" s="256"/>
      <c r="DG51053" s="256"/>
    </row>
    <row r="51054" spans="104:111">
      <c r="CZ51054" s="256"/>
      <c r="DG51054" s="256"/>
    </row>
    <row r="51055" spans="104:111">
      <c r="CZ51055" s="256"/>
      <c r="DG51055" s="256"/>
    </row>
    <row r="51056" spans="104:111">
      <c r="CZ51056" s="256"/>
      <c r="DG51056" s="256"/>
    </row>
    <row r="51057" spans="104:111">
      <c r="CZ51057" s="256"/>
      <c r="DG51057" s="256"/>
    </row>
    <row r="51058" spans="104:111">
      <c r="CZ51058" s="256"/>
      <c r="DG51058" s="256"/>
    </row>
    <row r="51059" spans="104:111">
      <c r="CZ51059" s="256"/>
      <c r="DG51059" s="256"/>
    </row>
    <row r="51060" spans="104:111">
      <c r="CZ51060" s="256"/>
      <c r="DG51060" s="256"/>
    </row>
    <row r="51061" spans="104:111">
      <c r="CZ51061" s="256"/>
      <c r="DG51061" s="256"/>
    </row>
    <row r="51062" spans="104:111">
      <c r="CZ51062" s="256"/>
      <c r="DG51062" s="256"/>
    </row>
    <row r="51063" spans="104:111">
      <c r="CZ51063" s="256"/>
      <c r="DG51063" s="256"/>
    </row>
    <row r="51064" spans="104:111">
      <c r="CZ51064" s="256"/>
      <c r="DG51064" s="256"/>
    </row>
    <row r="51065" spans="104:111">
      <c r="CZ51065" s="256"/>
      <c r="DG51065" s="256"/>
    </row>
    <row r="51066" spans="104:111">
      <c r="CZ51066" s="256"/>
      <c r="DG51066" s="256"/>
    </row>
    <row r="51067" spans="104:111">
      <c r="CZ51067" s="256"/>
      <c r="DG51067" s="256"/>
    </row>
    <row r="51068" spans="104:111">
      <c r="CZ51068" s="256"/>
      <c r="DG51068" s="256"/>
    </row>
    <row r="51069" spans="104:111">
      <c r="CZ51069" s="256"/>
      <c r="DG51069" s="256"/>
    </row>
    <row r="51070" spans="104:111">
      <c r="CZ51070" s="256"/>
      <c r="DG51070" s="256"/>
    </row>
    <row r="51071" spans="104:111">
      <c r="CZ51071" s="256"/>
      <c r="DG51071" s="256"/>
    </row>
    <row r="51072" spans="104:111">
      <c r="CZ51072" s="256"/>
      <c r="DG51072" s="256"/>
    </row>
    <row r="51073" spans="104:111">
      <c r="CZ51073" s="256"/>
      <c r="DG51073" s="256"/>
    </row>
    <row r="51074" spans="104:111">
      <c r="CZ51074" s="256"/>
      <c r="DG51074" s="256"/>
    </row>
    <row r="51075" spans="104:111">
      <c r="CZ51075" s="256"/>
      <c r="DG51075" s="256"/>
    </row>
    <row r="51076" spans="104:111">
      <c r="CZ51076" s="256"/>
      <c r="DG51076" s="256"/>
    </row>
    <row r="51077" spans="104:111">
      <c r="CZ51077" s="256"/>
      <c r="DG51077" s="256"/>
    </row>
    <row r="51078" spans="104:111">
      <c r="CZ51078" s="256"/>
      <c r="DG51078" s="256"/>
    </row>
    <row r="51079" spans="104:111">
      <c r="CZ51079" s="256"/>
      <c r="DG51079" s="256"/>
    </row>
    <row r="51080" spans="104:111">
      <c r="CZ51080" s="256"/>
      <c r="DG51080" s="256"/>
    </row>
    <row r="51081" spans="104:111">
      <c r="CZ51081" s="256"/>
      <c r="DG51081" s="256"/>
    </row>
    <row r="51082" spans="104:111">
      <c r="CZ51082" s="256"/>
      <c r="DG51082" s="256"/>
    </row>
    <row r="51083" spans="104:111">
      <c r="CZ51083" s="256"/>
      <c r="DG51083" s="256"/>
    </row>
    <row r="51084" spans="104:111">
      <c r="CZ51084" s="256"/>
      <c r="DG51084" s="256"/>
    </row>
    <row r="51085" spans="104:111">
      <c r="CZ51085" s="256"/>
      <c r="DG51085" s="256"/>
    </row>
    <row r="51086" spans="104:111">
      <c r="CZ51086" s="256"/>
      <c r="DG51086" s="256"/>
    </row>
    <row r="51087" spans="104:111">
      <c r="CZ51087" s="256"/>
      <c r="DG51087" s="256"/>
    </row>
    <row r="51088" spans="104:111">
      <c r="CZ51088" s="256"/>
      <c r="DG51088" s="256"/>
    </row>
    <row r="51089" spans="104:111">
      <c r="CZ51089" s="256"/>
      <c r="DG51089" s="256"/>
    </row>
    <row r="51090" spans="104:111">
      <c r="CZ51090" s="256"/>
      <c r="DG51090" s="256"/>
    </row>
    <row r="51091" spans="104:111">
      <c r="CZ51091" s="256"/>
      <c r="DG51091" s="256"/>
    </row>
    <row r="51092" spans="104:111">
      <c r="CZ51092" s="256"/>
      <c r="DG51092" s="256"/>
    </row>
    <row r="51093" spans="104:111">
      <c r="CZ51093" s="256"/>
      <c r="DG51093" s="256"/>
    </row>
    <row r="51094" spans="104:111">
      <c r="CZ51094" s="256"/>
      <c r="DG51094" s="256"/>
    </row>
    <row r="51095" spans="104:111">
      <c r="CZ51095" s="256"/>
      <c r="DG51095" s="256"/>
    </row>
    <row r="51096" spans="104:111">
      <c r="CZ51096" s="256"/>
      <c r="DG51096" s="256"/>
    </row>
    <row r="51097" spans="104:111">
      <c r="CZ51097" s="256"/>
      <c r="DG51097" s="256"/>
    </row>
    <row r="51098" spans="104:111">
      <c r="CZ51098" s="256"/>
      <c r="DG51098" s="256"/>
    </row>
    <row r="51099" spans="104:111">
      <c r="CZ51099" s="256"/>
      <c r="DG51099" s="256"/>
    </row>
    <row r="51100" spans="104:111">
      <c r="CZ51100" s="256"/>
      <c r="DG51100" s="256"/>
    </row>
    <row r="51101" spans="104:111">
      <c r="CZ51101" s="256"/>
      <c r="DG51101" s="256"/>
    </row>
    <row r="51102" spans="104:111">
      <c r="CZ51102" s="256"/>
      <c r="DG51102" s="256"/>
    </row>
    <row r="51103" spans="104:111">
      <c r="CZ51103" s="256"/>
      <c r="DG51103" s="256"/>
    </row>
    <row r="51104" spans="104:111">
      <c r="CZ51104" s="256"/>
      <c r="DG51104" s="256"/>
    </row>
    <row r="51105" spans="104:111">
      <c r="CZ51105" s="256"/>
      <c r="DG51105" s="256"/>
    </row>
    <row r="51106" spans="104:111">
      <c r="CZ51106" s="256"/>
      <c r="DG51106" s="256"/>
    </row>
    <row r="51107" spans="104:111">
      <c r="CZ51107" s="256"/>
      <c r="DG51107" s="256"/>
    </row>
    <row r="51108" spans="104:111">
      <c r="CZ51108" s="256"/>
      <c r="DG51108" s="256"/>
    </row>
    <row r="51109" spans="104:111">
      <c r="CZ51109" s="256"/>
      <c r="DG51109" s="256"/>
    </row>
    <row r="51110" spans="104:111">
      <c r="CZ51110" s="256"/>
      <c r="DG51110" s="256"/>
    </row>
    <row r="51111" spans="104:111">
      <c r="CZ51111" s="256"/>
      <c r="DG51111" s="256"/>
    </row>
    <row r="51112" spans="104:111">
      <c r="CZ51112" s="256"/>
      <c r="DG51112" s="256"/>
    </row>
    <row r="51113" spans="104:111">
      <c r="CZ51113" s="256"/>
      <c r="DG51113" s="256"/>
    </row>
    <row r="51114" spans="104:111">
      <c r="CZ51114" s="256"/>
      <c r="DG51114" s="256"/>
    </row>
    <row r="51115" spans="104:111">
      <c r="CZ51115" s="256"/>
      <c r="DG51115" s="256"/>
    </row>
    <row r="51116" spans="104:111">
      <c r="CZ51116" s="256"/>
      <c r="DG51116" s="256"/>
    </row>
    <row r="51117" spans="104:111">
      <c r="CZ51117" s="256"/>
      <c r="DG51117" s="256"/>
    </row>
    <row r="51118" spans="104:111">
      <c r="CZ51118" s="256"/>
      <c r="DG51118" s="256"/>
    </row>
    <row r="51119" spans="104:111">
      <c r="CZ51119" s="256"/>
      <c r="DG51119" s="256"/>
    </row>
    <row r="51120" spans="104:111">
      <c r="CZ51120" s="256"/>
      <c r="DG51120" s="256"/>
    </row>
    <row r="51121" spans="104:111">
      <c r="CZ51121" s="256"/>
      <c r="DG51121" s="256"/>
    </row>
    <row r="51122" spans="104:111">
      <c r="CZ51122" s="256"/>
      <c r="DG51122" s="256"/>
    </row>
    <row r="51123" spans="104:111">
      <c r="CZ51123" s="256"/>
      <c r="DG51123" s="256"/>
    </row>
    <row r="51124" spans="104:111">
      <c r="CZ51124" s="256"/>
      <c r="DG51124" s="256"/>
    </row>
    <row r="51125" spans="104:111">
      <c r="CZ51125" s="256"/>
      <c r="DG51125" s="256"/>
    </row>
    <row r="51126" spans="104:111">
      <c r="CZ51126" s="256"/>
      <c r="DG51126" s="256"/>
    </row>
    <row r="51127" spans="104:111">
      <c r="CZ51127" s="256"/>
      <c r="DG51127" s="256"/>
    </row>
    <row r="51128" spans="104:111">
      <c r="CZ51128" s="256"/>
      <c r="DG51128" s="256"/>
    </row>
    <row r="51129" spans="104:111">
      <c r="CZ51129" s="256"/>
      <c r="DG51129" s="256"/>
    </row>
    <row r="51130" spans="104:111">
      <c r="CZ51130" s="256"/>
      <c r="DG51130" s="256"/>
    </row>
    <row r="51131" spans="104:111">
      <c r="CZ51131" s="256"/>
      <c r="DG51131" s="256"/>
    </row>
    <row r="51132" spans="104:111">
      <c r="CZ51132" s="256"/>
      <c r="DG51132" s="256"/>
    </row>
    <row r="51133" spans="104:111">
      <c r="CZ51133" s="256"/>
      <c r="DG51133" s="256"/>
    </row>
    <row r="51134" spans="104:111">
      <c r="CZ51134" s="256"/>
      <c r="DG51134" s="256"/>
    </row>
    <row r="51135" spans="104:111">
      <c r="CZ51135" s="256"/>
      <c r="DG51135" s="256"/>
    </row>
    <row r="51136" spans="104:111">
      <c r="CZ51136" s="256"/>
      <c r="DG51136" s="256"/>
    </row>
    <row r="51137" spans="104:111">
      <c r="CZ51137" s="256"/>
      <c r="DG51137" s="256"/>
    </row>
    <row r="51138" spans="104:111">
      <c r="CZ51138" s="256"/>
      <c r="DG51138" s="256"/>
    </row>
    <row r="51139" spans="104:111">
      <c r="CZ51139" s="256"/>
      <c r="DG51139" s="256"/>
    </row>
    <row r="51140" spans="104:111">
      <c r="CZ51140" s="256"/>
      <c r="DG51140" s="256"/>
    </row>
    <row r="51141" spans="104:111">
      <c r="CZ51141" s="256"/>
      <c r="DG51141" s="256"/>
    </row>
    <row r="51142" spans="104:111">
      <c r="CZ51142" s="256"/>
      <c r="DG51142" s="256"/>
    </row>
    <row r="51143" spans="104:111">
      <c r="CZ51143" s="256"/>
      <c r="DG51143" s="256"/>
    </row>
    <row r="51144" spans="104:111">
      <c r="CZ51144" s="256"/>
      <c r="DG51144" s="256"/>
    </row>
    <row r="51145" spans="104:111">
      <c r="CZ51145" s="256"/>
      <c r="DG51145" s="256"/>
    </row>
    <row r="51146" spans="104:111">
      <c r="CZ51146" s="256"/>
      <c r="DG51146" s="256"/>
    </row>
    <row r="51147" spans="104:111">
      <c r="CZ51147" s="256"/>
      <c r="DG51147" s="256"/>
    </row>
    <row r="51148" spans="104:111">
      <c r="CZ51148" s="256"/>
      <c r="DG51148" s="256"/>
    </row>
    <row r="51149" spans="104:111">
      <c r="CZ51149" s="256"/>
      <c r="DG51149" s="256"/>
    </row>
    <row r="51150" spans="104:111">
      <c r="CZ51150" s="256"/>
      <c r="DG51150" s="256"/>
    </row>
    <row r="51151" spans="104:111">
      <c r="CZ51151" s="256"/>
      <c r="DG51151" s="256"/>
    </row>
    <row r="51152" spans="104:111">
      <c r="CZ51152" s="256"/>
      <c r="DG51152" s="256"/>
    </row>
    <row r="51153" spans="104:111">
      <c r="CZ51153" s="256"/>
      <c r="DG51153" s="256"/>
    </row>
    <row r="51154" spans="104:111">
      <c r="CZ51154" s="256"/>
      <c r="DG51154" s="256"/>
    </row>
    <row r="51155" spans="104:111">
      <c r="CZ51155" s="256"/>
      <c r="DG51155" s="256"/>
    </row>
    <row r="51156" spans="104:111">
      <c r="CZ51156" s="256"/>
      <c r="DG51156" s="256"/>
    </row>
    <row r="51157" spans="104:111">
      <c r="CZ51157" s="256"/>
      <c r="DG51157" s="256"/>
    </row>
    <row r="51158" spans="104:111">
      <c r="CZ51158" s="256"/>
      <c r="DG51158" s="256"/>
    </row>
    <row r="51159" spans="104:111">
      <c r="CZ51159" s="256"/>
      <c r="DG51159" s="256"/>
    </row>
    <row r="51160" spans="104:111">
      <c r="CZ51160" s="256"/>
      <c r="DG51160" s="256"/>
    </row>
    <row r="51161" spans="104:111">
      <c r="CZ51161" s="256"/>
      <c r="DG51161" s="256"/>
    </row>
    <row r="51162" spans="104:111">
      <c r="CZ51162" s="256"/>
      <c r="DG51162" s="256"/>
    </row>
    <row r="51163" spans="104:111">
      <c r="CZ51163" s="256"/>
      <c r="DG51163" s="256"/>
    </row>
    <row r="51164" spans="104:111">
      <c r="CZ51164" s="256"/>
      <c r="DG51164" s="256"/>
    </row>
    <row r="51165" spans="104:111">
      <c r="CZ51165" s="256"/>
      <c r="DG51165" s="256"/>
    </row>
    <row r="51166" spans="104:111">
      <c r="CZ51166" s="256"/>
      <c r="DG51166" s="256"/>
    </row>
    <row r="51167" spans="104:111">
      <c r="CZ51167" s="256"/>
      <c r="DG51167" s="256"/>
    </row>
    <row r="51168" spans="104:111">
      <c r="CZ51168" s="256"/>
      <c r="DG51168" s="256"/>
    </row>
    <row r="51169" spans="104:111">
      <c r="CZ51169" s="256"/>
      <c r="DG51169" s="256"/>
    </row>
    <row r="51170" spans="104:111">
      <c r="CZ51170" s="256"/>
      <c r="DG51170" s="256"/>
    </row>
    <row r="51171" spans="104:111">
      <c r="CZ51171" s="256"/>
      <c r="DG51171" s="256"/>
    </row>
    <row r="51172" spans="104:111">
      <c r="CZ51172" s="256"/>
      <c r="DG51172" s="256"/>
    </row>
    <row r="51173" spans="104:111">
      <c r="CZ51173" s="256"/>
      <c r="DG51173" s="256"/>
    </row>
    <row r="51174" spans="104:111">
      <c r="CZ51174" s="256"/>
      <c r="DG51174" s="256"/>
    </row>
    <row r="51175" spans="104:111">
      <c r="CZ51175" s="256"/>
      <c r="DG51175" s="256"/>
    </row>
    <row r="51176" spans="104:111">
      <c r="CZ51176" s="256"/>
      <c r="DG51176" s="256"/>
    </row>
    <row r="51177" spans="104:111">
      <c r="CZ51177" s="256"/>
      <c r="DG51177" s="256"/>
    </row>
    <row r="51178" spans="104:111">
      <c r="CZ51178" s="256"/>
      <c r="DG51178" s="256"/>
    </row>
    <row r="51179" spans="104:111">
      <c r="CZ51179" s="256"/>
      <c r="DG51179" s="256"/>
    </row>
    <row r="51180" spans="104:111">
      <c r="CZ51180" s="256"/>
      <c r="DG51180" s="256"/>
    </row>
    <row r="51181" spans="104:111">
      <c r="CZ51181" s="256"/>
      <c r="DG51181" s="256"/>
    </row>
    <row r="51182" spans="104:111">
      <c r="CZ51182" s="256"/>
      <c r="DG51182" s="256"/>
    </row>
    <row r="51183" spans="104:111">
      <c r="CZ51183" s="256"/>
      <c r="DG51183" s="256"/>
    </row>
    <row r="51184" spans="104:111">
      <c r="CZ51184" s="256"/>
      <c r="DG51184" s="256"/>
    </row>
    <row r="51185" spans="104:111">
      <c r="CZ51185" s="256"/>
      <c r="DG51185" s="256"/>
    </row>
    <row r="51186" spans="104:111">
      <c r="CZ51186" s="256"/>
      <c r="DG51186" s="256"/>
    </row>
    <row r="51187" spans="104:111">
      <c r="CZ51187" s="256"/>
      <c r="DG51187" s="256"/>
    </row>
    <row r="51188" spans="104:111">
      <c r="CZ51188" s="256"/>
      <c r="DG51188" s="256"/>
    </row>
    <row r="51189" spans="104:111">
      <c r="CZ51189" s="256"/>
      <c r="DG51189" s="256"/>
    </row>
    <row r="51190" spans="104:111">
      <c r="CZ51190" s="256"/>
      <c r="DG51190" s="256"/>
    </row>
    <row r="51191" spans="104:111">
      <c r="CZ51191" s="256"/>
      <c r="DG51191" s="256"/>
    </row>
    <row r="51192" spans="104:111">
      <c r="CZ51192" s="256"/>
      <c r="DG51192" s="256"/>
    </row>
    <row r="51193" spans="104:111">
      <c r="CZ51193" s="256"/>
      <c r="DG51193" s="256"/>
    </row>
    <row r="51194" spans="104:111">
      <c r="CZ51194" s="256"/>
      <c r="DG51194" s="256"/>
    </row>
    <row r="51195" spans="104:111">
      <c r="CZ51195" s="256"/>
      <c r="DG51195" s="256"/>
    </row>
    <row r="51196" spans="104:111">
      <c r="CZ51196" s="256"/>
      <c r="DG51196" s="256"/>
    </row>
    <row r="51197" spans="104:111">
      <c r="CZ51197" s="256"/>
      <c r="DG51197" s="256"/>
    </row>
    <row r="51198" spans="104:111">
      <c r="CZ51198" s="256"/>
      <c r="DG51198" s="256"/>
    </row>
    <row r="51199" spans="104:111">
      <c r="CZ51199" s="256"/>
      <c r="DG51199" s="256"/>
    </row>
    <row r="51200" spans="104:111">
      <c r="CZ51200" s="256"/>
      <c r="DG51200" s="256"/>
    </row>
    <row r="51201" spans="104:111">
      <c r="CZ51201" s="256"/>
      <c r="DG51201" s="256"/>
    </row>
    <row r="51202" spans="104:111">
      <c r="CZ51202" s="256"/>
      <c r="DG51202" s="256"/>
    </row>
    <row r="51203" spans="104:111">
      <c r="CZ51203" s="256"/>
      <c r="DG51203" s="256"/>
    </row>
    <row r="51204" spans="104:111">
      <c r="CZ51204" s="256"/>
      <c r="DG51204" s="256"/>
    </row>
    <row r="51205" spans="104:111">
      <c r="CZ51205" s="256"/>
      <c r="DG51205" s="256"/>
    </row>
    <row r="51206" spans="104:111">
      <c r="CZ51206" s="256"/>
      <c r="DG51206" s="256"/>
    </row>
    <row r="51207" spans="104:111">
      <c r="CZ51207" s="256"/>
      <c r="DG51207" s="256"/>
    </row>
    <row r="51208" spans="104:111">
      <c r="CZ51208" s="256"/>
      <c r="DG51208" s="256"/>
    </row>
    <row r="51209" spans="104:111">
      <c r="CZ51209" s="256"/>
      <c r="DG51209" s="256"/>
    </row>
    <row r="51210" spans="104:111">
      <c r="CZ51210" s="256"/>
      <c r="DG51210" s="256"/>
    </row>
    <row r="51211" spans="104:111">
      <c r="CZ51211" s="256"/>
      <c r="DG51211" s="256"/>
    </row>
    <row r="51212" spans="104:111">
      <c r="CZ51212" s="256"/>
      <c r="DG51212" s="256"/>
    </row>
    <row r="51213" spans="104:111">
      <c r="CZ51213" s="256"/>
      <c r="DG51213" s="256"/>
    </row>
    <row r="51214" spans="104:111">
      <c r="CZ51214" s="256"/>
      <c r="DG51214" s="256"/>
    </row>
    <row r="51215" spans="104:111">
      <c r="CZ51215" s="256"/>
      <c r="DG51215" s="256"/>
    </row>
    <row r="51216" spans="104:111">
      <c r="CZ51216" s="256"/>
      <c r="DG51216" s="256"/>
    </row>
    <row r="51217" spans="104:111">
      <c r="CZ51217" s="256"/>
      <c r="DG51217" s="256"/>
    </row>
    <row r="51218" spans="104:111">
      <c r="CZ51218" s="256"/>
      <c r="DG51218" s="256"/>
    </row>
    <row r="51219" spans="104:111">
      <c r="CZ51219" s="256"/>
      <c r="DG51219" s="256"/>
    </row>
    <row r="51220" spans="104:111">
      <c r="CZ51220" s="256"/>
      <c r="DG51220" s="256"/>
    </row>
    <row r="51221" spans="104:111">
      <c r="CZ51221" s="256"/>
      <c r="DG51221" s="256"/>
    </row>
    <row r="51222" spans="104:111">
      <c r="CZ51222" s="256"/>
      <c r="DG51222" s="256"/>
    </row>
    <row r="51223" spans="104:111">
      <c r="CZ51223" s="256"/>
      <c r="DG51223" s="256"/>
    </row>
    <row r="51224" spans="104:111">
      <c r="CZ51224" s="256"/>
      <c r="DG51224" s="256"/>
    </row>
    <row r="51225" spans="104:111">
      <c r="CZ51225" s="256"/>
      <c r="DG51225" s="256"/>
    </row>
    <row r="51226" spans="104:111">
      <c r="CZ51226" s="256"/>
      <c r="DG51226" s="256"/>
    </row>
    <row r="51227" spans="104:111">
      <c r="CZ51227" s="256"/>
      <c r="DG51227" s="256"/>
    </row>
    <row r="51228" spans="104:111">
      <c r="CZ51228" s="256"/>
      <c r="DG51228" s="256"/>
    </row>
    <row r="51229" spans="104:111">
      <c r="CZ51229" s="256"/>
      <c r="DG51229" s="256"/>
    </row>
    <row r="51230" spans="104:111">
      <c r="CZ51230" s="256"/>
      <c r="DG51230" s="256"/>
    </row>
    <row r="51231" spans="104:111">
      <c r="CZ51231" s="256"/>
      <c r="DG51231" s="256"/>
    </row>
    <row r="51232" spans="104:111">
      <c r="CZ51232" s="256"/>
      <c r="DG51232" s="256"/>
    </row>
    <row r="51233" spans="104:111">
      <c r="CZ51233" s="256"/>
      <c r="DG51233" s="256"/>
    </row>
    <row r="51234" spans="104:111">
      <c r="CZ51234" s="256"/>
      <c r="DG51234" s="256"/>
    </row>
    <row r="51235" spans="104:111">
      <c r="CZ51235" s="256"/>
      <c r="DG51235" s="256"/>
    </row>
    <row r="51236" spans="104:111">
      <c r="CZ51236" s="256"/>
      <c r="DG51236" s="256"/>
    </row>
    <row r="51237" spans="104:111">
      <c r="CZ51237" s="256"/>
      <c r="DG51237" s="256"/>
    </row>
    <row r="51238" spans="104:111">
      <c r="CZ51238" s="256"/>
      <c r="DG51238" s="256"/>
    </row>
    <row r="51239" spans="104:111">
      <c r="CZ51239" s="256"/>
      <c r="DG51239" s="256"/>
    </row>
    <row r="51240" spans="104:111">
      <c r="CZ51240" s="256"/>
      <c r="DG51240" s="256"/>
    </row>
    <row r="51241" spans="104:111">
      <c r="CZ51241" s="256"/>
      <c r="DG51241" s="256"/>
    </row>
    <row r="51242" spans="104:111">
      <c r="CZ51242" s="256"/>
      <c r="DG51242" s="256"/>
    </row>
    <row r="51243" spans="104:111">
      <c r="CZ51243" s="256"/>
      <c r="DG51243" s="256"/>
    </row>
    <row r="51244" spans="104:111">
      <c r="CZ51244" s="256"/>
      <c r="DG51244" s="256"/>
    </row>
    <row r="51245" spans="104:111">
      <c r="CZ51245" s="256"/>
      <c r="DG51245" s="256"/>
    </row>
    <row r="51246" spans="104:111">
      <c r="CZ51246" s="256"/>
      <c r="DG51246" s="256"/>
    </row>
    <row r="51247" spans="104:111">
      <c r="CZ51247" s="256"/>
      <c r="DG51247" s="256"/>
    </row>
    <row r="51248" spans="104:111">
      <c r="CZ51248" s="256"/>
      <c r="DG51248" s="256"/>
    </row>
    <row r="51249" spans="104:111">
      <c r="CZ51249" s="256"/>
      <c r="DG51249" s="256"/>
    </row>
    <row r="51250" spans="104:111">
      <c r="CZ51250" s="256"/>
      <c r="DG51250" s="256"/>
    </row>
    <row r="51251" spans="104:111">
      <c r="CZ51251" s="256"/>
      <c r="DG51251" s="256"/>
    </row>
    <row r="51252" spans="104:111">
      <c r="CZ51252" s="256"/>
      <c r="DG51252" s="256"/>
    </row>
    <row r="51253" spans="104:111">
      <c r="CZ51253" s="256"/>
      <c r="DG51253" s="256"/>
    </row>
    <row r="51254" spans="104:111">
      <c r="CZ51254" s="256"/>
      <c r="DG51254" s="256"/>
    </row>
    <row r="51255" spans="104:111">
      <c r="CZ51255" s="256"/>
      <c r="DG51255" s="256"/>
    </row>
    <row r="51256" spans="104:111">
      <c r="CZ51256" s="256"/>
      <c r="DG51256" s="256"/>
    </row>
    <row r="51257" spans="104:111">
      <c r="CZ51257" s="256"/>
      <c r="DG51257" s="256"/>
    </row>
    <row r="51258" spans="104:111">
      <c r="CZ51258" s="256"/>
      <c r="DG51258" s="256"/>
    </row>
    <row r="51259" spans="104:111">
      <c r="CZ51259" s="256"/>
      <c r="DG51259" s="256"/>
    </row>
    <row r="51260" spans="104:111">
      <c r="CZ51260" s="256"/>
      <c r="DG51260" s="256"/>
    </row>
    <row r="51261" spans="104:111">
      <c r="CZ51261" s="256"/>
      <c r="DG51261" s="256"/>
    </row>
    <row r="51262" spans="104:111">
      <c r="CZ51262" s="256"/>
      <c r="DG51262" s="256"/>
    </row>
    <row r="51263" spans="104:111">
      <c r="CZ51263" s="256"/>
      <c r="DG51263" s="256"/>
    </row>
    <row r="51264" spans="104:111">
      <c r="CZ51264" s="256"/>
      <c r="DG51264" s="256"/>
    </row>
    <row r="51265" spans="104:111">
      <c r="CZ51265" s="256"/>
      <c r="DG51265" s="256"/>
    </row>
    <row r="51266" spans="104:111">
      <c r="CZ51266" s="256"/>
      <c r="DG51266" s="256"/>
    </row>
    <row r="51267" spans="104:111">
      <c r="CZ51267" s="256"/>
      <c r="DG51267" s="256"/>
    </row>
    <row r="51268" spans="104:111">
      <c r="CZ51268" s="256"/>
      <c r="DG51268" s="256"/>
    </row>
    <row r="51269" spans="104:111">
      <c r="CZ51269" s="256"/>
      <c r="DG51269" s="256"/>
    </row>
    <row r="51270" spans="104:111">
      <c r="CZ51270" s="256"/>
      <c r="DG51270" s="256"/>
    </row>
    <row r="51271" spans="104:111">
      <c r="CZ51271" s="256"/>
      <c r="DG51271" s="256"/>
    </row>
    <row r="51272" spans="104:111">
      <c r="CZ51272" s="256"/>
      <c r="DG51272" s="256"/>
    </row>
    <row r="51273" spans="104:111">
      <c r="CZ51273" s="256"/>
      <c r="DG51273" s="256"/>
    </row>
    <row r="51274" spans="104:111">
      <c r="CZ51274" s="256"/>
      <c r="DG51274" s="256"/>
    </row>
    <row r="51275" spans="104:111">
      <c r="CZ51275" s="256"/>
      <c r="DG51275" s="256"/>
    </row>
    <row r="51276" spans="104:111">
      <c r="CZ51276" s="256"/>
      <c r="DG51276" s="256"/>
    </row>
    <row r="51277" spans="104:111">
      <c r="CZ51277" s="256"/>
      <c r="DG51277" s="256"/>
    </row>
    <row r="51278" spans="104:111">
      <c r="CZ51278" s="256"/>
      <c r="DG51278" s="256"/>
    </row>
    <row r="51279" spans="104:111">
      <c r="CZ51279" s="256"/>
      <c r="DG51279" s="256"/>
    </row>
    <row r="51280" spans="104:111">
      <c r="CZ51280" s="256"/>
      <c r="DG51280" s="256"/>
    </row>
    <row r="51281" spans="104:111">
      <c r="CZ51281" s="256"/>
      <c r="DG51281" s="256"/>
    </row>
    <row r="51282" spans="104:111">
      <c r="CZ51282" s="256"/>
      <c r="DG51282" s="256"/>
    </row>
    <row r="51283" spans="104:111">
      <c r="CZ51283" s="256"/>
      <c r="DG51283" s="256"/>
    </row>
    <row r="51284" spans="104:111">
      <c r="CZ51284" s="256"/>
      <c r="DG51284" s="256"/>
    </row>
    <row r="51285" spans="104:111">
      <c r="CZ51285" s="256"/>
      <c r="DG51285" s="256"/>
    </row>
    <row r="51286" spans="104:111">
      <c r="CZ51286" s="256"/>
      <c r="DG51286" s="256"/>
    </row>
    <row r="51287" spans="104:111">
      <c r="CZ51287" s="256"/>
      <c r="DG51287" s="256"/>
    </row>
    <row r="51288" spans="104:111">
      <c r="CZ51288" s="256"/>
      <c r="DG51288" s="256"/>
    </row>
    <row r="51289" spans="104:111">
      <c r="CZ51289" s="256"/>
      <c r="DG51289" s="256"/>
    </row>
    <row r="51290" spans="104:111">
      <c r="CZ51290" s="256"/>
      <c r="DG51290" s="256"/>
    </row>
    <row r="51291" spans="104:111">
      <c r="CZ51291" s="256"/>
      <c r="DG51291" s="256"/>
    </row>
    <row r="51292" spans="104:111">
      <c r="CZ51292" s="256"/>
      <c r="DG51292" s="256"/>
    </row>
    <row r="51293" spans="104:111">
      <c r="CZ51293" s="256"/>
      <c r="DG51293" s="256"/>
    </row>
    <row r="51294" spans="104:111">
      <c r="CZ51294" s="256"/>
      <c r="DG51294" s="256"/>
    </row>
    <row r="51295" spans="104:111">
      <c r="CZ51295" s="256"/>
      <c r="DG51295" s="256"/>
    </row>
    <row r="51296" spans="104:111">
      <c r="CZ51296" s="256"/>
      <c r="DG51296" s="256"/>
    </row>
    <row r="51297" spans="104:111">
      <c r="CZ51297" s="256"/>
      <c r="DG51297" s="256"/>
    </row>
    <row r="51298" spans="104:111">
      <c r="CZ51298" s="256"/>
      <c r="DG51298" s="256"/>
    </row>
    <row r="51299" spans="104:111">
      <c r="CZ51299" s="256"/>
      <c r="DG51299" s="256"/>
    </row>
    <row r="51300" spans="104:111">
      <c r="CZ51300" s="256"/>
      <c r="DG51300" s="256"/>
    </row>
    <row r="51301" spans="104:111">
      <c r="CZ51301" s="256"/>
      <c r="DG51301" s="256"/>
    </row>
    <row r="51302" spans="104:111">
      <c r="CZ51302" s="256"/>
      <c r="DG51302" s="256"/>
    </row>
    <row r="51303" spans="104:111">
      <c r="CZ51303" s="256"/>
      <c r="DG51303" s="256"/>
    </row>
    <row r="51304" spans="104:111">
      <c r="CZ51304" s="256"/>
      <c r="DG51304" s="256"/>
    </row>
    <row r="51305" spans="104:111">
      <c r="CZ51305" s="256"/>
      <c r="DG51305" s="256"/>
    </row>
    <row r="51306" spans="104:111">
      <c r="CZ51306" s="256"/>
      <c r="DG51306" s="256"/>
    </row>
    <row r="51307" spans="104:111">
      <c r="CZ51307" s="256"/>
      <c r="DG51307" s="256"/>
    </row>
    <row r="51308" spans="104:111">
      <c r="CZ51308" s="256"/>
      <c r="DG51308" s="256"/>
    </row>
    <row r="51309" spans="104:111">
      <c r="CZ51309" s="256"/>
      <c r="DG51309" s="256"/>
    </row>
    <row r="51310" spans="104:111">
      <c r="CZ51310" s="256"/>
      <c r="DG51310" s="256"/>
    </row>
    <row r="51311" spans="104:111">
      <c r="CZ51311" s="256"/>
      <c r="DG51311" s="256"/>
    </row>
    <row r="51312" spans="104:111">
      <c r="CZ51312" s="256"/>
      <c r="DG51312" s="256"/>
    </row>
    <row r="51313" spans="104:111">
      <c r="CZ51313" s="256"/>
      <c r="DG51313" s="256"/>
    </row>
    <row r="51314" spans="104:111">
      <c r="CZ51314" s="256"/>
      <c r="DG51314" s="256"/>
    </row>
    <row r="51315" spans="104:111">
      <c r="CZ51315" s="256"/>
      <c r="DG51315" s="256"/>
    </row>
    <row r="51316" spans="104:111">
      <c r="CZ51316" s="256"/>
      <c r="DG51316" s="256"/>
    </row>
    <row r="51317" spans="104:111">
      <c r="CZ51317" s="256"/>
      <c r="DG51317" s="256"/>
    </row>
    <row r="51318" spans="104:111">
      <c r="CZ51318" s="256"/>
      <c r="DG51318" s="256"/>
    </row>
    <row r="51319" spans="104:111">
      <c r="CZ51319" s="256"/>
      <c r="DG51319" s="256"/>
    </row>
    <row r="51320" spans="104:111">
      <c r="CZ51320" s="256"/>
      <c r="DG51320" s="256"/>
    </row>
    <row r="51321" spans="104:111">
      <c r="CZ51321" s="256"/>
      <c r="DG51321" s="256"/>
    </row>
    <row r="51322" spans="104:111">
      <c r="CZ51322" s="256"/>
      <c r="DG51322" s="256"/>
    </row>
    <row r="51323" spans="104:111">
      <c r="CZ51323" s="256"/>
      <c r="DG51323" s="256"/>
    </row>
    <row r="51324" spans="104:111">
      <c r="CZ51324" s="256"/>
      <c r="DG51324" s="256"/>
    </row>
    <row r="51325" spans="104:111">
      <c r="CZ51325" s="256"/>
      <c r="DG51325" s="256"/>
    </row>
    <row r="51326" spans="104:111">
      <c r="CZ51326" s="256"/>
      <c r="DG51326" s="256"/>
    </row>
    <row r="51327" spans="104:111">
      <c r="CZ51327" s="256"/>
      <c r="DG51327" s="256"/>
    </row>
    <row r="51328" spans="104:111">
      <c r="CZ51328" s="256"/>
      <c r="DG51328" s="256"/>
    </row>
    <row r="51329" spans="104:111">
      <c r="CZ51329" s="256"/>
      <c r="DG51329" s="256"/>
    </row>
    <row r="51330" spans="104:111">
      <c r="CZ51330" s="256"/>
      <c r="DG51330" s="256"/>
    </row>
    <row r="51331" spans="104:111">
      <c r="CZ51331" s="256"/>
      <c r="DG51331" s="256"/>
    </row>
    <row r="51332" spans="104:111">
      <c r="CZ51332" s="256"/>
      <c r="DG51332" s="256"/>
    </row>
    <row r="51333" spans="104:111">
      <c r="CZ51333" s="256"/>
      <c r="DG51333" s="256"/>
    </row>
    <row r="51334" spans="104:111">
      <c r="CZ51334" s="256"/>
      <c r="DG51334" s="256"/>
    </row>
    <row r="51335" spans="104:111">
      <c r="CZ51335" s="256"/>
      <c r="DG51335" s="256"/>
    </row>
    <row r="51336" spans="104:111">
      <c r="CZ51336" s="256"/>
      <c r="DG51336" s="256"/>
    </row>
    <row r="51337" spans="104:111">
      <c r="CZ51337" s="256"/>
      <c r="DG51337" s="256"/>
    </row>
    <row r="51338" spans="104:111">
      <c r="CZ51338" s="256"/>
      <c r="DG51338" s="256"/>
    </row>
    <row r="51339" spans="104:111">
      <c r="CZ51339" s="256"/>
      <c r="DG51339" s="256"/>
    </row>
    <row r="51340" spans="104:111">
      <c r="CZ51340" s="256"/>
      <c r="DG51340" s="256"/>
    </row>
    <row r="51341" spans="104:111">
      <c r="CZ51341" s="256"/>
      <c r="DG51341" s="256"/>
    </row>
    <row r="51342" spans="104:111">
      <c r="CZ51342" s="256"/>
      <c r="DG51342" s="256"/>
    </row>
    <row r="51343" spans="104:111">
      <c r="CZ51343" s="256"/>
      <c r="DG51343" s="256"/>
    </row>
    <row r="51344" spans="104:111">
      <c r="CZ51344" s="256"/>
      <c r="DG51344" s="256"/>
    </row>
    <row r="51345" spans="104:111">
      <c r="CZ51345" s="256"/>
      <c r="DG51345" s="256"/>
    </row>
    <row r="51346" spans="104:111">
      <c r="CZ51346" s="256"/>
      <c r="DG51346" s="256"/>
    </row>
    <row r="51347" spans="104:111">
      <c r="CZ51347" s="256"/>
      <c r="DG51347" s="256"/>
    </row>
    <row r="51348" spans="104:111">
      <c r="CZ51348" s="256"/>
      <c r="DG51348" s="256"/>
    </row>
    <row r="51349" spans="104:111">
      <c r="CZ51349" s="256"/>
      <c r="DG51349" s="256"/>
    </row>
    <row r="51350" spans="104:111">
      <c r="CZ51350" s="256"/>
      <c r="DG51350" s="256"/>
    </row>
    <row r="51351" spans="104:111">
      <c r="CZ51351" s="256"/>
      <c r="DG51351" s="256"/>
    </row>
    <row r="51352" spans="104:111">
      <c r="CZ51352" s="256"/>
      <c r="DG51352" s="256"/>
    </row>
    <row r="51353" spans="104:111">
      <c r="CZ51353" s="256"/>
      <c r="DG51353" s="256"/>
    </row>
    <row r="51354" spans="104:111">
      <c r="CZ51354" s="256"/>
      <c r="DG51354" s="256"/>
    </row>
    <row r="51355" spans="104:111">
      <c r="CZ51355" s="256"/>
      <c r="DG51355" s="256"/>
    </row>
    <row r="51356" spans="104:111">
      <c r="CZ51356" s="256"/>
      <c r="DG51356" s="256"/>
    </row>
    <row r="51357" spans="104:111">
      <c r="CZ51357" s="256"/>
      <c r="DG51357" s="256"/>
    </row>
    <row r="51358" spans="104:111">
      <c r="CZ51358" s="256"/>
      <c r="DG51358" s="256"/>
    </row>
    <row r="51359" spans="104:111">
      <c r="CZ51359" s="256"/>
      <c r="DG51359" s="256"/>
    </row>
    <row r="51360" spans="104:111">
      <c r="CZ51360" s="256"/>
      <c r="DG51360" s="256"/>
    </row>
    <row r="51361" spans="104:111">
      <c r="CZ51361" s="256"/>
      <c r="DG51361" s="256"/>
    </row>
    <row r="51362" spans="104:111">
      <c r="CZ51362" s="256"/>
      <c r="DG51362" s="256"/>
    </row>
    <row r="51363" spans="104:111">
      <c r="CZ51363" s="256"/>
      <c r="DG51363" s="256"/>
    </row>
    <row r="51364" spans="104:111">
      <c r="CZ51364" s="256"/>
      <c r="DG51364" s="256"/>
    </row>
    <row r="51365" spans="104:111">
      <c r="CZ51365" s="256"/>
      <c r="DG51365" s="256"/>
    </row>
    <row r="51366" spans="104:111">
      <c r="CZ51366" s="256"/>
      <c r="DG51366" s="256"/>
    </row>
    <row r="51367" spans="104:111">
      <c r="CZ51367" s="256"/>
      <c r="DG51367" s="256"/>
    </row>
    <row r="51368" spans="104:111">
      <c r="CZ51368" s="256"/>
      <c r="DG51368" s="256"/>
    </row>
    <row r="51369" spans="104:111">
      <c r="CZ51369" s="256"/>
      <c r="DG51369" s="256"/>
    </row>
    <row r="51370" spans="104:111">
      <c r="CZ51370" s="256"/>
      <c r="DG51370" s="256"/>
    </row>
    <row r="51371" spans="104:111">
      <c r="CZ51371" s="256"/>
      <c r="DG51371" s="256"/>
    </row>
    <row r="51372" spans="104:111">
      <c r="CZ51372" s="256"/>
      <c r="DG51372" s="256"/>
    </row>
    <row r="51373" spans="104:111">
      <c r="CZ51373" s="256"/>
      <c r="DG51373" s="256"/>
    </row>
    <row r="51374" spans="104:111">
      <c r="CZ51374" s="256"/>
      <c r="DG51374" s="256"/>
    </row>
    <row r="51375" spans="104:111">
      <c r="CZ51375" s="256"/>
      <c r="DG51375" s="256"/>
    </row>
    <row r="51376" spans="104:111">
      <c r="CZ51376" s="256"/>
      <c r="DG51376" s="256"/>
    </row>
    <row r="51377" spans="104:111">
      <c r="CZ51377" s="256"/>
      <c r="DG51377" s="256"/>
    </row>
    <row r="51378" spans="104:111">
      <c r="CZ51378" s="256"/>
      <c r="DG51378" s="256"/>
    </row>
    <row r="51379" spans="104:111">
      <c r="CZ51379" s="256"/>
      <c r="DG51379" s="256"/>
    </row>
    <row r="51380" spans="104:111">
      <c r="CZ51380" s="256"/>
      <c r="DG51380" s="256"/>
    </row>
    <row r="51381" spans="104:111">
      <c r="CZ51381" s="256"/>
      <c r="DG51381" s="256"/>
    </row>
    <row r="51382" spans="104:111">
      <c r="CZ51382" s="256"/>
      <c r="DG51382" s="256"/>
    </row>
    <row r="51383" spans="104:111">
      <c r="CZ51383" s="256"/>
      <c r="DG51383" s="256"/>
    </row>
    <row r="51384" spans="104:111">
      <c r="CZ51384" s="256"/>
      <c r="DG51384" s="256"/>
    </row>
    <row r="51385" spans="104:111">
      <c r="CZ51385" s="256"/>
      <c r="DG51385" s="256"/>
    </row>
    <row r="51386" spans="104:111">
      <c r="CZ51386" s="256"/>
      <c r="DG51386" s="256"/>
    </row>
    <row r="51387" spans="104:111">
      <c r="CZ51387" s="256"/>
      <c r="DG51387" s="256"/>
    </row>
    <row r="51388" spans="104:111">
      <c r="CZ51388" s="256"/>
      <c r="DG51388" s="256"/>
    </row>
    <row r="51389" spans="104:111">
      <c r="CZ51389" s="256"/>
      <c r="DG51389" s="256"/>
    </row>
    <row r="51390" spans="104:111">
      <c r="CZ51390" s="256"/>
      <c r="DG51390" s="256"/>
    </row>
    <row r="51391" spans="104:111">
      <c r="CZ51391" s="256"/>
      <c r="DG51391" s="256"/>
    </row>
    <row r="51392" spans="104:111">
      <c r="CZ51392" s="256"/>
      <c r="DG51392" s="256"/>
    </row>
    <row r="51393" spans="104:111">
      <c r="CZ51393" s="256"/>
      <c r="DG51393" s="256"/>
    </row>
    <row r="51394" spans="104:111">
      <c r="CZ51394" s="256"/>
      <c r="DG51394" s="256"/>
    </row>
    <row r="51395" spans="104:111">
      <c r="CZ51395" s="256"/>
      <c r="DG51395" s="256"/>
    </row>
    <row r="51396" spans="104:111">
      <c r="CZ51396" s="256"/>
      <c r="DG51396" s="256"/>
    </row>
    <row r="51397" spans="104:111">
      <c r="CZ51397" s="256"/>
      <c r="DG51397" s="256"/>
    </row>
    <row r="51398" spans="104:111">
      <c r="CZ51398" s="256"/>
      <c r="DG51398" s="256"/>
    </row>
    <row r="51399" spans="104:111">
      <c r="CZ51399" s="256"/>
      <c r="DG51399" s="256"/>
    </row>
    <row r="51400" spans="104:111">
      <c r="CZ51400" s="256"/>
      <c r="DG51400" s="256"/>
    </row>
    <row r="51401" spans="104:111">
      <c r="CZ51401" s="256"/>
      <c r="DG51401" s="256"/>
    </row>
    <row r="51402" spans="104:111">
      <c r="CZ51402" s="256"/>
      <c r="DG51402" s="256"/>
    </row>
    <row r="51403" spans="104:111">
      <c r="CZ51403" s="256"/>
      <c r="DG51403" s="256"/>
    </row>
    <row r="51404" spans="104:111">
      <c r="CZ51404" s="256"/>
      <c r="DG51404" s="256"/>
    </row>
    <row r="51405" spans="104:111">
      <c r="CZ51405" s="256"/>
      <c r="DG51405" s="256"/>
    </row>
    <row r="51406" spans="104:111">
      <c r="CZ51406" s="256"/>
      <c r="DG51406" s="256"/>
    </row>
    <row r="51407" spans="104:111">
      <c r="CZ51407" s="256"/>
      <c r="DG51407" s="256"/>
    </row>
    <row r="51408" spans="104:111">
      <c r="CZ51408" s="256"/>
      <c r="DG51408" s="256"/>
    </row>
    <row r="51409" spans="104:111">
      <c r="CZ51409" s="256"/>
      <c r="DG51409" s="256"/>
    </row>
    <row r="51410" spans="104:111">
      <c r="CZ51410" s="256"/>
      <c r="DG51410" s="256"/>
    </row>
    <row r="51411" spans="104:111">
      <c r="CZ51411" s="256"/>
      <c r="DG51411" s="256"/>
    </row>
    <row r="51412" spans="104:111">
      <c r="CZ51412" s="256"/>
      <c r="DG51412" s="256"/>
    </row>
    <row r="51413" spans="104:111">
      <c r="CZ51413" s="256"/>
      <c r="DG51413" s="256"/>
    </row>
    <row r="51414" spans="104:111">
      <c r="CZ51414" s="256"/>
      <c r="DG51414" s="256"/>
    </row>
    <row r="51415" spans="104:111">
      <c r="CZ51415" s="256"/>
      <c r="DG51415" s="256"/>
    </row>
    <row r="51416" spans="104:111">
      <c r="CZ51416" s="256"/>
      <c r="DG51416" s="256"/>
    </row>
    <row r="51417" spans="104:111">
      <c r="CZ51417" s="256"/>
      <c r="DG51417" s="256"/>
    </row>
    <row r="51418" spans="104:111">
      <c r="CZ51418" s="256"/>
      <c r="DG51418" s="256"/>
    </row>
    <row r="51419" spans="104:111">
      <c r="CZ51419" s="256"/>
      <c r="DG51419" s="256"/>
    </row>
    <row r="51420" spans="104:111">
      <c r="CZ51420" s="256"/>
      <c r="DG51420" s="256"/>
    </row>
    <row r="51421" spans="104:111">
      <c r="CZ51421" s="256"/>
      <c r="DG51421" s="256"/>
    </row>
    <row r="51422" spans="104:111">
      <c r="CZ51422" s="256"/>
      <c r="DG51422" s="256"/>
    </row>
    <row r="51423" spans="104:111">
      <c r="CZ51423" s="256"/>
      <c r="DG51423" s="256"/>
    </row>
    <row r="51424" spans="104:111">
      <c r="CZ51424" s="256"/>
      <c r="DG51424" s="256"/>
    </row>
    <row r="51425" spans="104:111">
      <c r="CZ51425" s="256"/>
      <c r="DG51425" s="256"/>
    </row>
    <row r="51426" spans="104:111">
      <c r="CZ51426" s="256"/>
      <c r="DG51426" s="256"/>
    </row>
    <row r="51427" spans="104:111">
      <c r="CZ51427" s="256"/>
      <c r="DG51427" s="256"/>
    </row>
    <row r="51428" spans="104:111">
      <c r="CZ51428" s="256"/>
      <c r="DG51428" s="256"/>
    </row>
    <row r="51429" spans="104:111">
      <c r="CZ51429" s="256"/>
      <c r="DG51429" s="256"/>
    </row>
    <row r="51430" spans="104:111">
      <c r="CZ51430" s="256"/>
      <c r="DG51430" s="256"/>
    </row>
    <row r="51431" spans="104:111">
      <c r="CZ51431" s="256"/>
      <c r="DG51431" s="256"/>
    </row>
    <row r="51432" spans="104:111">
      <c r="CZ51432" s="256"/>
      <c r="DG51432" s="256"/>
    </row>
    <row r="51433" spans="104:111">
      <c r="CZ51433" s="256"/>
      <c r="DG51433" s="256"/>
    </row>
    <row r="51434" spans="104:111">
      <c r="CZ51434" s="256"/>
      <c r="DG51434" s="256"/>
    </row>
    <row r="51435" spans="104:111">
      <c r="CZ51435" s="256"/>
      <c r="DG51435" s="256"/>
    </row>
    <row r="51436" spans="104:111">
      <c r="CZ51436" s="256"/>
      <c r="DG51436" s="256"/>
    </row>
    <row r="51437" spans="104:111">
      <c r="CZ51437" s="256"/>
      <c r="DG51437" s="256"/>
    </row>
    <row r="51438" spans="104:111">
      <c r="CZ51438" s="256"/>
      <c r="DG51438" s="256"/>
    </row>
    <row r="51439" spans="104:111">
      <c r="CZ51439" s="256"/>
      <c r="DG51439" s="256"/>
    </row>
    <row r="51440" spans="104:111">
      <c r="CZ51440" s="256"/>
      <c r="DG51440" s="256"/>
    </row>
    <row r="51441" spans="104:111">
      <c r="CZ51441" s="256"/>
      <c r="DG51441" s="256"/>
    </row>
    <row r="51442" spans="104:111">
      <c r="CZ51442" s="256"/>
      <c r="DG51442" s="256"/>
    </row>
    <row r="51443" spans="104:111">
      <c r="CZ51443" s="256"/>
      <c r="DG51443" s="256"/>
    </row>
    <row r="51444" spans="104:111">
      <c r="CZ51444" s="256"/>
      <c r="DG51444" s="256"/>
    </row>
    <row r="51445" spans="104:111">
      <c r="CZ51445" s="256"/>
      <c r="DG51445" s="256"/>
    </row>
    <row r="51446" spans="104:111">
      <c r="CZ51446" s="256"/>
      <c r="DG51446" s="256"/>
    </row>
    <row r="51447" spans="104:111">
      <c r="CZ51447" s="256"/>
      <c r="DG51447" s="256"/>
    </row>
    <row r="51448" spans="104:111">
      <c r="CZ51448" s="256"/>
      <c r="DG51448" s="256"/>
    </row>
    <row r="51449" spans="104:111">
      <c r="CZ51449" s="256"/>
      <c r="DG51449" s="256"/>
    </row>
    <row r="51450" spans="104:111">
      <c r="CZ51450" s="256"/>
      <c r="DG51450" s="256"/>
    </row>
    <row r="51451" spans="104:111">
      <c r="CZ51451" s="256"/>
      <c r="DG51451" s="256"/>
    </row>
    <row r="51452" spans="104:111">
      <c r="CZ51452" s="256"/>
      <c r="DG51452" s="256"/>
    </row>
    <row r="51453" spans="104:111">
      <c r="CZ51453" s="256"/>
      <c r="DG51453" s="256"/>
    </row>
    <row r="51454" spans="104:111">
      <c r="CZ51454" s="256"/>
      <c r="DG51454" s="256"/>
    </row>
    <row r="51455" spans="104:111">
      <c r="CZ51455" s="256"/>
      <c r="DG51455" s="256"/>
    </row>
    <row r="51456" spans="104:111">
      <c r="CZ51456" s="256"/>
      <c r="DG51456" s="256"/>
    </row>
    <row r="51457" spans="104:111">
      <c r="CZ51457" s="256"/>
      <c r="DG51457" s="256"/>
    </row>
    <row r="51458" spans="104:111">
      <c r="CZ51458" s="256"/>
      <c r="DG51458" s="256"/>
    </row>
    <row r="51459" spans="104:111">
      <c r="CZ51459" s="256"/>
      <c r="DG51459" s="256"/>
    </row>
    <row r="51460" spans="104:111">
      <c r="CZ51460" s="256"/>
      <c r="DG51460" s="256"/>
    </row>
    <row r="51461" spans="104:111">
      <c r="CZ51461" s="256"/>
      <c r="DG51461" s="256"/>
    </row>
    <row r="51462" spans="104:111">
      <c r="CZ51462" s="256"/>
      <c r="DG51462" s="256"/>
    </row>
    <row r="51463" spans="104:111">
      <c r="CZ51463" s="256"/>
      <c r="DG51463" s="256"/>
    </row>
    <row r="51464" spans="104:111">
      <c r="CZ51464" s="256"/>
      <c r="DG51464" s="256"/>
    </row>
    <row r="51465" spans="104:111">
      <c r="CZ51465" s="256"/>
      <c r="DG51465" s="256"/>
    </row>
    <row r="51466" spans="104:111">
      <c r="CZ51466" s="256"/>
      <c r="DG51466" s="256"/>
    </row>
    <row r="51467" spans="104:111">
      <c r="CZ51467" s="256"/>
      <c r="DG51467" s="256"/>
    </row>
    <row r="51468" spans="104:111">
      <c r="CZ51468" s="256"/>
      <c r="DG51468" s="256"/>
    </row>
    <row r="51469" spans="104:111">
      <c r="CZ51469" s="256"/>
      <c r="DG51469" s="256"/>
    </row>
    <row r="51470" spans="104:111">
      <c r="CZ51470" s="256"/>
      <c r="DG51470" s="256"/>
    </row>
    <row r="51471" spans="104:111">
      <c r="CZ51471" s="256"/>
      <c r="DG51471" s="256"/>
    </row>
    <row r="51472" spans="104:111">
      <c r="CZ51472" s="256"/>
      <c r="DG51472" s="256"/>
    </row>
    <row r="51473" spans="104:111">
      <c r="CZ51473" s="256"/>
      <c r="DG51473" s="256"/>
    </row>
    <row r="51474" spans="104:111">
      <c r="CZ51474" s="256"/>
      <c r="DG51474" s="256"/>
    </row>
    <row r="51475" spans="104:111">
      <c r="CZ51475" s="256"/>
      <c r="DG51475" s="256"/>
    </row>
    <row r="51476" spans="104:111">
      <c r="CZ51476" s="256"/>
      <c r="DG51476" s="256"/>
    </row>
    <row r="51477" spans="104:111">
      <c r="CZ51477" s="256"/>
      <c r="DG51477" s="256"/>
    </row>
    <row r="51478" spans="104:111">
      <c r="CZ51478" s="256"/>
      <c r="DG51478" s="256"/>
    </row>
    <row r="51479" spans="104:111">
      <c r="CZ51479" s="256"/>
      <c r="DG51479" s="256"/>
    </row>
    <row r="51480" spans="104:111">
      <c r="CZ51480" s="256"/>
      <c r="DG51480" s="256"/>
    </row>
    <row r="51481" spans="104:111">
      <c r="CZ51481" s="256"/>
      <c r="DG51481" s="256"/>
    </row>
    <row r="51482" spans="104:111">
      <c r="CZ51482" s="256"/>
      <c r="DG51482" s="256"/>
    </row>
    <row r="51483" spans="104:111">
      <c r="CZ51483" s="256"/>
      <c r="DG51483" s="256"/>
    </row>
    <row r="51484" spans="104:111">
      <c r="CZ51484" s="256"/>
      <c r="DG51484" s="256"/>
    </row>
    <row r="51485" spans="104:111">
      <c r="CZ51485" s="256"/>
      <c r="DG51485" s="256"/>
    </row>
    <row r="51486" spans="104:111">
      <c r="CZ51486" s="256"/>
      <c r="DG51486" s="256"/>
    </row>
    <row r="51487" spans="104:111">
      <c r="CZ51487" s="256"/>
      <c r="DG51487" s="256"/>
    </row>
    <row r="51488" spans="104:111">
      <c r="CZ51488" s="256"/>
      <c r="DG51488" s="256"/>
    </row>
    <row r="51489" spans="104:111">
      <c r="CZ51489" s="256"/>
      <c r="DG51489" s="256"/>
    </row>
    <row r="51490" spans="104:111">
      <c r="CZ51490" s="256"/>
      <c r="DG51490" s="256"/>
    </row>
    <row r="51491" spans="104:111">
      <c r="CZ51491" s="256"/>
      <c r="DG51491" s="256"/>
    </row>
    <row r="51492" spans="104:111">
      <c r="CZ51492" s="256"/>
      <c r="DG51492" s="256"/>
    </row>
    <row r="51493" spans="104:111">
      <c r="CZ51493" s="256"/>
      <c r="DG51493" s="256"/>
    </row>
    <row r="51494" spans="104:111">
      <c r="CZ51494" s="256"/>
      <c r="DG51494" s="256"/>
    </row>
    <row r="51495" spans="104:111">
      <c r="CZ51495" s="256"/>
      <c r="DG51495" s="256"/>
    </row>
    <row r="51496" spans="104:111">
      <c r="CZ51496" s="256"/>
      <c r="DG51496" s="256"/>
    </row>
    <row r="51497" spans="104:111">
      <c r="CZ51497" s="256"/>
      <c r="DG51497" s="256"/>
    </row>
    <row r="51498" spans="104:111">
      <c r="CZ51498" s="256"/>
      <c r="DG51498" s="256"/>
    </row>
    <row r="51499" spans="104:111">
      <c r="CZ51499" s="256"/>
      <c r="DG51499" s="256"/>
    </row>
    <row r="51500" spans="104:111">
      <c r="CZ51500" s="256"/>
      <c r="DG51500" s="256"/>
    </row>
    <row r="51501" spans="104:111">
      <c r="CZ51501" s="256"/>
      <c r="DG51501" s="256"/>
    </row>
    <row r="51502" spans="104:111">
      <c r="CZ51502" s="256"/>
      <c r="DG51502" s="256"/>
    </row>
    <row r="51503" spans="104:111">
      <c r="CZ51503" s="256"/>
      <c r="DG51503" s="256"/>
    </row>
    <row r="51504" spans="104:111">
      <c r="CZ51504" s="256"/>
      <c r="DG51504" s="256"/>
    </row>
    <row r="51505" spans="104:111">
      <c r="CZ51505" s="256"/>
      <c r="DG51505" s="256"/>
    </row>
    <row r="51506" spans="104:111">
      <c r="CZ51506" s="256"/>
      <c r="DG51506" s="256"/>
    </row>
    <row r="51507" spans="104:111">
      <c r="CZ51507" s="256"/>
      <c r="DG51507" s="256"/>
    </row>
    <row r="51508" spans="104:111">
      <c r="CZ51508" s="256"/>
      <c r="DG51508" s="256"/>
    </row>
    <row r="51509" spans="104:111">
      <c r="CZ51509" s="256"/>
      <c r="DG51509" s="256"/>
    </row>
    <row r="51510" spans="104:111">
      <c r="CZ51510" s="256"/>
      <c r="DG51510" s="256"/>
    </row>
    <row r="51511" spans="104:111">
      <c r="CZ51511" s="256"/>
      <c r="DG51511" s="256"/>
    </row>
    <row r="51512" spans="104:111">
      <c r="CZ51512" s="256"/>
      <c r="DG51512" s="256"/>
    </row>
    <row r="51513" spans="104:111">
      <c r="CZ51513" s="256"/>
      <c r="DG51513" s="256"/>
    </row>
    <row r="51514" spans="104:111">
      <c r="CZ51514" s="256"/>
      <c r="DG51514" s="256"/>
    </row>
    <row r="51515" spans="104:111">
      <c r="CZ51515" s="256"/>
      <c r="DG51515" s="256"/>
    </row>
    <row r="51516" spans="104:111">
      <c r="CZ51516" s="256"/>
      <c r="DG51516" s="256"/>
    </row>
    <row r="51517" spans="104:111">
      <c r="CZ51517" s="256"/>
      <c r="DG51517" s="256"/>
    </row>
    <row r="51518" spans="104:111">
      <c r="CZ51518" s="256"/>
      <c r="DG51518" s="256"/>
    </row>
    <row r="51519" spans="104:111">
      <c r="CZ51519" s="256"/>
      <c r="DG51519" s="256"/>
    </row>
    <row r="51520" spans="104:111">
      <c r="CZ51520" s="256"/>
      <c r="DG51520" s="256"/>
    </row>
    <row r="51521" spans="104:111">
      <c r="CZ51521" s="256"/>
      <c r="DG51521" s="256"/>
    </row>
    <row r="51522" spans="104:111">
      <c r="CZ51522" s="256"/>
      <c r="DG51522" s="256"/>
    </row>
    <row r="51523" spans="104:111">
      <c r="CZ51523" s="256"/>
      <c r="DG51523" s="256"/>
    </row>
    <row r="51524" spans="104:111">
      <c r="CZ51524" s="256"/>
      <c r="DG51524" s="256"/>
    </row>
    <row r="51525" spans="104:111">
      <c r="CZ51525" s="256"/>
      <c r="DG51525" s="256"/>
    </row>
    <row r="51526" spans="104:111">
      <c r="CZ51526" s="256"/>
      <c r="DG51526" s="256"/>
    </row>
    <row r="51527" spans="104:111">
      <c r="CZ51527" s="256"/>
      <c r="DG51527" s="256"/>
    </row>
    <row r="51528" spans="104:111">
      <c r="CZ51528" s="256"/>
      <c r="DG51528" s="256"/>
    </row>
    <row r="51529" spans="104:111">
      <c r="CZ51529" s="256"/>
      <c r="DG51529" s="256"/>
    </row>
    <row r="51530" spans="104:111">
      <c r="CZ51530" s="256"/>
      <c r="DG51530" s="256"/>
    </row>
    <row r="51531" spans="104:111">
      <c r="CZ51531" s="256"/>
      <c r="DG51531" s="256"/>
    </row>
    <row r="51532" spans="104:111">
      <c r="CZ51532" s="256"/>
      <c r="DG51532" s="256"/>
    </row>
    <row r="51533" spans="104:111">
      <c r="CZ51533" s="256"/>
      <c r="DG51533" s="256"/>
    </row>
    <row r="51534" spans="104:111">
      <c r="CZ51534" s="256"/>
      <c r="DG51534" s="256"/>
    </row>
    <row r="51535" spans="104:111">
      <c r="CZ51535" s="256"/>
      <c r="DG51535" s="256"/>
    </row>
    <row r="51536" spans="104:111">
      <c r="CZ51536" s="256"/>
      <c r="DG51536" s="256"/>
    </row>
    <row r="51537" spans="104:111">
      <c r="CZ51537" s="256"/>
      <c r="DG51537" s="256"/>
    </row>
    <row r="51538" spans="104:111">
      <c r="CZ51538" s="256"/>
      <c r="DG51538" s="256"/>
    </row>
    <row r="51539" spans="104:111">
      <c r="CZ51539" s="256"/>
      <c r="DG51539" s="256"/>
    </row>
    <row r="51540" spans="104:111">
      <c r="CZ51540" s="256"/>
      <c r="DG51540" s="256"/>
    </row>
    <row r="51541" spans="104:111">
      <c r="CZ51541" s="256"/>
      <c r="DG51541" s="256"/>
    </row>
    <row r="51542" spans="104:111">
      <c r="CZ51542" s="256"/>
      <c r="DG51542" s="256"/>
    </row>
    <row r="51543" spans="104:111">
      <c r="CZ51543" s="256"/>
      <c r="DG51543" s="256"/>
    </row>
    <row r="51544" spans="104:111">
      <c r="CZ51544" s="256"/>
      <c r="DG51544" s="256"/>
    </row>
    <row r="51545" spans="104:111">
      <c r="CZ51545" s="256"/>
      <c r="DG51545" s="256"/>
    </row>
    <row r="51546" spans="104:111">
      <c r="CZ51546" s="256"/>
      <c r="DG51546" s="256"/>
    </row>
    <row r="51547" spans="104:111">
      <c r="CZ51547" s="256"/>
      <c r="DG51547" s="256"/>
    </row>
    <row r="51548" spans="104:111">
      <c r="CZ51548" s="256"/>
      <c r="DG51548" s="256"/>
    </row>
    <row r="51549" spans="104:111">
      <c r="CZ51549" s="256"/>
      <c r="DG51549" s="256"/>
    </row>
    <row r="51550" spans="104:111">
      <c r="CZ51550" s="256"/>
      <c r="DG51550" s="256"/>
    </row>
    <row r="51551" spans="104:111">
      <c r="CZ51551" s="256"/>
      <c r="DG51551" s="256"/>
    </row>
    <row r="51552" spans="104:111">
      <c r="CZ51552" s="256"/>
      <c r="DG51552" s="256"/>
    </row>
    <row r="51553" spans="104:111">
      <c r="CZ51553" s="256"/>
      <c r="DG51553" s="256"/>
    </row>
    <row r="51554" spans="104:111">
      <c r="CZ51554" s="256"/>
      <c r="DG51554" s="256"/>
    </row>
    <row r="51555" spans="104:111">
      <c r="CZ51555" s="256"/>
      <c r="DG51555" s="256"/>
    </row>
    <row r="51556" spans="104:111">
      <c r="CZ51556" s="256"/>
      <c r="DG51556" s="256"/>
    </row>
    <row r="51557" spans="104:111">
      <c r="CZ51557" s="256"/>
      <c r="DG51557" s="256"/>
    </row>
    <row r="51558" spans="104:111">
      <c r="CZ51558" s="256"/>
      <c r="DG51558" s="256"/>
    </row>
    <row r="51559" spans="104:111">
      <c r="CZ51559" s="256"/>
      <c r="DG51559" s="256"/>
    </row>
    <row r="51560" spans="104:111">
      <c r="CZ51560" s="256"/>
      <c r="DG51560" s="256"/>
    </row>
    <row r="51561" spans="104:111">
      <c r="CZ51561" s="256"/>
      <c r="DG51561" s="256"/>
    </row>
    <row r="51562" spans="104:111">
      <c r="CZ51562" s="256"/>
      <c r="DG51562" s="256"/>
    </row>
    <row r="51563" spans="104:111">
      <c r="CZ51563" s="256"/>
      <c r="DG51563" s="256"/>
    </row>
    <row r="51564" spans="104:111">
      <c r="CZ51564" s="256"/>
      <c r="DG51564" s="256"/>
    </row>
    <row r="51565" spans="104:111">
      <c r="CZ51565" s="256"/>
      <c r="DG51565" s="256"/>
    </row>
    <row r="51566" spans="104:111">
      <c r="CZ51566" s="256"/>
      <c r="DG51566" s="256"/>
    </row>
    <row r="51567" spans="104:111">
      <c r="CZ51567" s="256"/>
      <c r="DG51567" s="256"/>
    </row>
    <row r="51568" spans="104:111">
      <c r="CZ51568" s="256"/>
      <c r="DG51568" s="256"/>
    </row>
    <row r="51569" spans="104:111">
      <c r="CZ51569" s="256"/>
      <c r="DG51569" s="256"/>
    </row>
    <row r="51570" spans="104:111">
      <c r="CZ51570" s="256"/>
      <c r="DG51570" s="256"/>
    </row>
    <row r="51571" spans="104:111">
      <c r="CZ51571" s="256"/>
      <c r="DG51571" s="256"/>
    </row>
    <row r="51572" spans="104:111">
      <c r="CZ51572" s="256"/>
      <c r="DG51572" s="256"/>
    </row>
    <row r="51573" spans="104:111">
      <c r="CZ51573" s="256"/>
      <c r="DG51573" s="256"/>
    </row>
    <row r="51574" spans="104:111">
      <c r="CZ51574" s="256"/>
      <c r="DG51574" s="256"/>
    </row>
    <row r="51575" spans="104:111">
      <c r="CZ51575" s="256"/>
      <c r="DG51575" s="256"/>
    </row>
    <row r="51576" spans="104:111">
      <c r="CZ51576" s="256"/>
      <c r="DG51576" s="256"/>
    </row>
    <row r="51577" spans="104:111">
      <c r="CZ51577" s="256"/>
      <c r="DG51577" s="256"/>
    </row>
    <row r="51578" spans="104:111">
      <c r="CZ51578" s="256"/>
      <c r="DG51578" s="256"/>
    </row>
    <row r="51579" spans="104:111">
      <c r="CZ51579" s="256"/>
      <c r="DG51579" s="256"/>
    </row>
    <row r="51580" spans="104:111">
      <c r="CZ51580" s="256"/>
      <c r="DG51580" s="256"/>
    </row>
    <row r="51581" spans="104:111">
      <c r="CZ51581" s="256"/>
      <c r="DG51581" s="256"/>
    </row>
    <row r="51582" spans="104:111">
      <c r="CZ51582" s="256"/>
      <c r="DG51582" s="256"/>
    </row>
    <row r="51583" spans="104:111">
      <c r="CZ51583" s="256"/>
      <c r="DG51583" s="256"/>
    </row>
    <row r="51584" spans="104:111">
      <c r="CZ51584" s="256"/>
      <c r="DG51584" s="256"/>
    </row>
    <row r="51585" spans="104:111">
      <c r="CZ51585" s="256"/>
      <c r="DG51585" s="256"/>
    </row>
    <row r="51586" spans="104:111">
      <c r="CZ51586" s="256"/>
      <c r="DG51586" s="256"/>
    </row>
    <row r="51587" spans="104:111">
      <c r="CZ51587" s="256"/>
      <c r="DG51587" s="256"/>
    </row>
    <row r="51588" spans="104:111">
      <c r="CZ51588" s="256"/>
      <c r="DG51588" s="256"/>
    </row>
    <row r="51589" spans="104:111">
      <c r="CZ51589" s="256"/>
      <c r="DG51589" s="256"/>
    </row>
    <row r="51590" spans="104:111">
      <c r="CZ51590" s="256"/>
      <c r="DG51590" s="256"/>
    </row>
    <row r="51591" spans="104:111">
      <c r="CZ51591" s="256"/>
      <c r="DG51591" s="256"/>
    </row>
    <row r="51592" spans="104:111">
      <c r="CZ51592" s="256"/>
      <c r="DG51592" s="256"/>
    </row>
    <row r="51593" spans="104:111">
      <c r="CZ51593" s="256"/>
      <c r="DG51593" s="256"/>
    </row>
    <row r="51594" spans="104:111">
      <c r="CZ51594" s="256"/>
      <c r="DG51594" s="256"/>
    </row>
    <row r="51595" spans="104:111">
      <c r="CZ51595" s="256"/>
      <c r="DG51595" s="256"/>
    </row>
    <row r="51596" spans="104:111">
      <c r="CZ51596" s="256"/>
      <c r="DG51596" s="256"/>
    </row>
    <row r="51597" spans="104:111">
      <c r="CZ51597" s="256"/>
      <c r="DG51597" s="256"/>
    </row>
    <row r="51598" spans="104:111">
      <c r="CZ51598" s="256"/>
      <c r="DG51598" s="256"/>
    </row>
    <row r="51599" spans="104:111">
      <c r="CZ51599" s="256"/>
      <c r="DG51599" s="256"/>
    </row>
    <row r="51600" spans="104:111">
      <c r="CZ51600" s="256"/>
      <c r="DG51600" s="256"/>
    </row>
    <row r="51601" spans="104:111">
      <c r="CZ51601" s="256"/>
      <c r="DG51601" s="256"/>
    </row>
    <row r="51602" spans="104:111">
      <c r="CZ51602" s="256"/>
      <c r="DG51602" s="256"/>
    </row>
    <row r="51603" spans="104:111">
      <c r="CZ51603" s="256"/>
      <c r="DG51603" s="256"/>
    </row>
    <row r="51604" spans="104:111">
      <c r="CZ51604" s="256"/>
      <c r="DG51604" s="256"/>
    </row>
    <row r="51605" spans="104:111">
      <c r="CZ51605" s="256"/>
      <c r="DG51605" s="256"/>
    </row>
    <row r="51606" spans="104:111">
      <c r="CZ51606" s="256"/>
      <c r="DG51606" s="256"/>
    </row>
    <row r="51607" spans="104:111">
      <c r="CZ51607" s="256"/>
      <c r="DG51607" s="256"/>
    </row>
    <row r="51608" spans="104:111">
      <c r="CZ51608" s="256"/>
      <c r="DG51608" s="256"/>
    </row>
    <row r="51609" spans="104:111">
      <c r="CZ51609" s="256"/>
      <c r="DG51609" s="256"/>
    </row>
    <row r="51610" spans="104:111">
      <c r="CZ51610" s="256"/>
      <c r="DG51610" s="256"/>
    </row>
    <row r="51611" spans="104:111">
      <c r="CZ51611" s="256"/>
      <c r="DG51611" s="256"/>
    </row>
    <row r="51612" spans="104:111">
      <c r="CZ51612" s="256"/>
      <c r="DG51612" s="256"/>
    </row>
    <row r="51613" spans="104:111">
      <c r="CZ51613" s="256"/>
      <c r="DG51613" s="256"/>
    </row>
    <row r="51614" spans="104:111">
      <c r="CZ51614" s="256"/>
      <c r="DG51614" s="256"/>
    </row>
    <row r="51615" spans="104:111">
      <c r="CZ51615" s="256"/>
      <c r="DG51615" s="256"/>
    </row>
    <row r="51616" spans="104:111">
      <c r="CZ51616" s="256"/>
      <c r="DG51616" s="256"/>
    </row>
    <row r="51617" spans="104:111">
      <c r="CZ51617" s="256"/>
      <c r="DG51617" s="256"/>
    </row>
    <row r="51618" spans="104:111">
      <c r="CZ51618" s="256"/>
      <c r="DG51618" s="256"/>
    </row>
    <row r="51619" spans="104:111">
      <c r="CZ51619" s="256"/>
      <c r="DG51619" s="256"/>
    </row>
    <row r="51620" spans="104:111">
      <c r="CZ51620" s="256"/>
      <c r="DG51620" s="256"/>
    </row>
    <row r="51621" spans="104:111">
      <c r="CZ51621" s="256"/>
      <c r="DG51621" s="256"/>
    </row>
    <row r="51622" spans="104:111">
      <c r="CZ51622" s="256"/>
      <c r="DG51622" s="256"/>
    </row>
    <row r="51623" spans="104:111">
      <c r="CZ51623" s="256"/>
      <c r="DG51623" s="256"/>
    </row>
    <row r="51624" spans="104:111">
      <c r="CZ51624" s="256"/>
      <c r="DG51624" s="256"/>
    </row>
    <row r="51625" spans="104:111">
      <c r="CZ51625" s="256"/>
      <c r="DG51625" s="256"/>
    </row>
    <row r="51626" spans="104:111">
      <c r="CZ51626" s="256"/>
      <c r="DG51626" s="256"/>
    </row>
    <row r="51627" spans="104:111">
      <c r="CZ51627" s="256"/>
      <c r="DG51627" s="256"/>
    </row>
    <row r="51628" spans="104:111">
      <c r="CZ51628" s="256"/>
      <c r="DG51628" s="256"/>
    </row>
    <row r="51629" spans="104:111">
      <c r="CZ51629" s="256"/>
      <c r="DG51629" s="256"/>
    </row>
    <row r="51630" spans="104:111">
      <c r="CZ51630" s="256"/>
      <c r="DG51630" s="256"/>
    </row>
    <row r="51631" spans="104:111">
      <c r="CZ51631" s="256"/>
      <c r="DG51631" s="256"/>
    </row>
    <row r="51632" spans="104:111">
      <c r="CZ51632" s="256"/>
      <c r="DG51632" s="256"/>
    </row>
    <row r="51633" spans="104:111">
      <c r="CZ51633" s="256"/>
      <c r="DG51633" s="256"/>
    </row>
    <row r="51634" spans="104:111">
      <c r="CZ51634" s="256"/>
      <c r="DG51634" s="256"/>
    </row>
    <row r="51635" spans="104:111">
      <c r="CZ51635" s="256"/>
      <c r="DG51635" s="256"/>
    </row>
    <row r="51636" spans="104:111">
      <c r="CZ51636" s="256"/>
      <c r="DG51636" s="256"/>
    </row>
    <row r="51637" spans="104:111">
      <c r="CZ51637" s="256"/>
      <c r="DG51637" s="256"/>
    </row>
    <row r="51638" spans="104:111">
      <c r="CZ51638" s="256"/>
      <c r="DG51638" s="256"/>
    </row>
    <row r="51639" spans="104:111">
      <c r="CZ51639" s="256"/>
      <c r="DG51639" s="256"/>
    </row>
    <row r="51640" spans="104:111">
      <c r="CZ51640" s="256"/>
      <c r="DG51640" s="256"/>
    </row>
    <row r="51641" spans="104:111">
      <c r="CZ51641" s="256"/>
      <c r="DG51641" s="256"/>
    </row>
    <row r="51642" spans="104:111">
      <c r="CZ51642" s="256"/>
      <c r="DG51642" s="256"/>
    </row>
    <row r="51643" spans="104:111">
      <c r="CZ51643" s="256"/>
      <c r="DG51643" s="256"/>
    </row>
    <row r="51644" spans="104:111">
      <c r="CZ51644" s="256"/>
      <c r="DG51644" s="256"/>
    </row>
    <row r="51645" spans="104:111">
      <c r="CZ51645" s="256"/>
      <c r="DG51645" s="256"/>
    </row>
    <row r="51646" spans="104:111">
      <c r="CZ51646" s="256"/>
      <c r="DG51646" s="256"/>
    </row>
    <row r="51647" spans="104:111">
      <c r="CZ51647" s="256"/>
      <c r="DG51647" s="256"/>
    </row>
    <row r="51648" spans="104:111">
      <c r="CZ51648" s="256"/>
      <c r="DG51648" s="256"/>
    </row>
    <row r="51649" spans="104:111">
      <c r="CZ51649" s="256"/>
      <c r="DG51649" s="256"/>
    </row>
    <row r="51650" spans="104:111">
      <c r="CZ51650" s="256"/>
      <c r="DG51650" s="256"/>
    </row>
    <row r="51651" spans="104:111">
      <c r="CZ51651" s="256"/>
      <c r="DG51651" s="256"/>
    </row>
    <row r="51652" spans="104:111">
      <c r="CZ51652" s="256"/>
      <c r="DG51652" s="256"/>
    </row>
    <row r="51653" spans="104:111">
      <c r="CZ51653" s="256"/>
      <c r="DG51653" s="256"/>
    </row>
    <row r="51654" spans="104:111">
      <c r="CZ51654" s="256"/>
      <c r="DG51654" s="256"/>
    </row>
    <row r="51655" spans="104:111">
      <c r="CZ51655" s="256"/>
      <c r="DG51655" s="256"/>
    </row>
    <row r="51656" spans="104:111">
      <c r="CZ51656" s="256"/>
      <c r="DG51656" s="256"/>
    </row>
    <row r="51657" spans="104:111">
      <c r="CZ51657" s="256"/>
      <c r="DG51657" s="256"/>
    </row>
    <row r="51658" spans="104:111">
      <c r="CZ51658" s="256"/>
      <c r="DG51658" s="256"/>
    </row>
    <row r="51659" spans="104:111">
      <c r="CZ51659" s="256"/>
      <c r="DG51659" s="256"/>
    </row>
    <row r="51660" spans="104:111">
      <c r="CZ51660" s="256"/>
      <c r="DG51660" s="256"/>
    </row>
    <row r="51661" spans="104:111">
      <c r="CZ51661" s="256"/>
      <c r="DG51661" s="256"/>
    </row>
    <row r="51662" spans="104:111">
      <c r="CZ51662" s="256"/>
      <c r="DG51662" s="256"/>
    </row>
    <row r="51663" spans="104:111">
      <c r="CZ51663" s="256"/>
      <c r="DG51663" s="256"/>
    </row>
    <row r="51664" spans="104:111">
      <c r="CZ51664" s="256"/>
      <c r="DG51664" s="256"/>
    </row>
    <row r="51665" spans="104:111">
      <c r="CZ51665" s="256"/>
      <c r="DG51665" s="256"/>
    </row>
    <row r="51666" spans="104:111">
      <c r="CZ51666" s="256"/>
      <c r="DG51666" s="256"/>
    </row>
    <row r="51667" spans="104:111">
      <c r="CZ51667" s="256"/>
      <c r="DG51667" s="256"/>
    </row>
    <row r="51668" spans="104:111">
      <c r="CZ51668" s="256"/>
      <c r="DG51668" s="256"/>
    </row>
    <row r="51669" spans="104:111">
      <c r="CZ51669" s="256"/>
      <c r="DG51669" s="256"/>
    </row>
    <row r="51670" spans="104:111">
      <c r="CZ51670" s="256"/>
      <c r="DG51670" s="256"/>
    </row>
    <row r="51671" spans="104:111">
      <c r="CZ51671" s="256"/>
      <c r="DG51671" s="256"/>
    </row>
    <row r="51672" spans="104:111">
      <c r="CZ51672" s="256"/>
      <c r="DG51672" s="256"/>
    </row>
    <row r="51673" spans="104:111">
      <c r="CZ51673" s="256"/>
      <c r="DG51673" s="256"/>
    </row>
    <row r="51674" spans="104:111">
      <c r="CZ51674" s="256"/>
      <c r="DG51674" s="256"/>
    </row>
    <row r="51675" spans="104:111">
      <c r="CZ51675" s="256"/>
      <c r="DG51675" s="256"/>
    </row>
    <row r="51676" spans="104:111">
      <c r="CZ51676" s="256"/>
      <c r="DG51676" s="256"/>
    </row>
    <row r="51677" spans="104:111">
      <c r="CZ51677" s="256"/>
      <c r="DG51677" s="256"/>
    </row>
    <row r="51678" spans="104:111">
      <c r="CZ51678" s="256"/>
      <c r="DG51678" s="256"/>
    </row>
    <row r="51679" spans="104:111">
      <c r="CZ51679" s="256"/>
      <c r="DG51679" s="256"/>
    </row>
    <row r="51680" spans="104:111">
      <c r="CZ51680" s="256"/>
      <c r="DG51680" s="256"/>
    </row>
    <row r="51681" spans="104:111">
      <c r="CZ51681" s="256"/>
      <c r="DG51681" s="256"/>
    </row>
    <row r="51682" spans="104:111">
      <c r="CZ51682" s="256"/>
      <c r="DG51682" s="256"/>
    </row>
    <row r="51683" spans="104:111">
      <c r="CZ51683" s="256"/>
      <c r="DG51683" s="256"/>
    </row>
    <row r="51684" spans="104:111">
      <c r="CZ51684" s="256"/>
      <c r="DG51684" s="256"/>
    </row>
    <row r="51685" spans="104:111">
      <c r="CZ51685" s="256"/>
      <c r="DG51685" s="256"/>
    </row>
    <row r="51686" spans="104:111">
      <c r="CZ51686" s="256"/>
      <c r="DG51686" s="256"/>
    </row>
    <row r="51687" spans="104:111">
      <c r="CZ51687" s="256"/>
      <c r="DG51687" s="256"/>
    </row>
    <row r="51688" spans="104:111">
      <c r="CZ51688" s="256"/>
      <c r="DG51688" s="256"/>
    </row>
    <row r="51689" spans="104:111">
      <c r="CZ51689" s="256"/>
      <c r="DG51689" s="256"/>
    </row>
    <row r="51690" spans="104:111">
      <c r="CZ51690" s="256"/>
      <c r="DG51690" s="256"/>
    </row>
    <row r="51691" spans="104:111">
      <c r="CZ51691" s="256"/>
      <c r="DG51691" s="256"/>
    </row>
    <row r="51692" spans="104:111">
      <c r="CZ51692" s="256"/>
      <c r="DG51692" s="256"/>
    </row>
    <row r="51693" spans="104:111">
      <c r="CZ51693" s="256"/>
      <c r="DG51693" s="256"/>
    </row>
    <row r="51694" spans="104:111">
      <c r="CZ51694" s="256"/>
      <c r="DG51694" s="256"/>
    </row>
    <row r="51695" spans="104:111">
      <c r="CZ51695" s="256"/>
      <c r="DG51695" s="256"/>
    </row>
    <row r="51696" spans="104:111">
      <c r="CZ51696" s="256"/>
      <c r="DG51696" s="256"/>
    </row>
    <row r="51697" spans="104:111">
      <c r="CZ51697" s="256"/>
      <c r="DG51697" s="256"/>
    </row>
    <row r="51698" spans="104:111">
      <c r="CZ51698" s="256"/>
      <c r="DG51698" s="256"/>
    </row>
    <row r="51699" spans="104:111">
      <c r="CZ51699" s="256"/>
      <c r="DG51699" s="256"/>
    </row>
    <row r="51700" spans="104:111">
      <c r="CZ51700" s="256"/>
      <c r="DG51700" s="256"/>
    </row>
    <row r="51701" spans="104:111">
      <c r="CZ51701" s="256"/>
      <c r="DG51701" s="256"/>
    </row>
    <row r="51702" spans="104:111">
      <c r="CZ51702" s="256"/>
      <c r="DG51702" s="256"/>
    </row>
    <row r="51703" spans="104:111">
      <c r="CZ51703" s="256"/>
      <c r="DG51703" s="256"/>
    </row>
    <row r="51704" spans="104:111">
      <c r="CZ51704" s="256"/>
      <c r="DG51704" s="256"/>
    </row>
    <row r="51705" spans="104:111">
      <c r="CZ51705" s="256"/>
      <c r="DG51705" s="256"/>
    </row>
    <row r="51706" spans="104:111">
      <c r="CZ51706" s="256"/>
      <c r="DG51706" s="256"/>
    </row>
    <row r="51707" spans="104:111">
      <c r="CZ51707" s="256"/>
      <c r="DG51707" s="256"/>
    </row>
    <row r="51708" spans="104:111">
      <c r="CZ51708" s="256"/>
      <c r="DG51708" s="256"/>
    </row>
    <row r="51709" spans="104:111">
      <c r="CZ51709" s="256"/>
      <c r="DG51709" s="256"/>
    </row>
    <row r="51710" spans="104:111">
      <c r="CZ51710" s="256"/>
      <c r="DG51710" s="256"/>
    </row>
    <row r="51711" spans="104:111">
      <c r="CZ51711" s="256"/>
      <c r="DG51711" s="256"/>
    </row>
    <row r="51712" spans="104:111">
      <c r="CZ51712" s="256"/>
      <c r="DG51712" s="256"/>
    </row>
    <row r="51713" spans="104:111">
      <c r="CZ51713" s="256"/>
      <c r="DG51713" s="256"/>
    </row>
    <row r="51714" spans="104:111">
      <c r="CZ51714" s="256"/>
      <c r="DG51714" s="256"/>
    </row>
    <row r="51715" spans="104:111">
      <c r="CZ51715" s="256"/>
      <c r="DG51715" s="256"/>
    </row>
    <row r="51716" spans="104:111">
      <c r="CZ51716" s="256"/>
      <c r="DG51716" s="256"/>
    </row>
    <row r="51717" spans="104:111">
      <c r="CZ51717" s="256"/>
      <c r="DG51717" s="256"/>
    </row>
    <row r="51718" spans="104:111">
      <c r="CZ51718" s="256"/>
      <c r="DG51718" s="256"/>
    </row>
    <row r="51719" spans="104:111">
      <c r="CZ51719" s="256"/>
      <c r="DG51719" s="256"/>
    </row>
    <row r="51720" spans="104:111">
      <c r="CZ51720" s="256"/>
      <c r="DG51720" s="256"/>
    </row>
    <row r="51721" spans="104:111">
      <c r="CZ51721" s="256"/>
      <c r="DG51721" s="256"/>
    </row>
    <row r="51722" spans="104:111">
      <c r="CZ51722" s="256"/>
      <c r="DG51722" s="256"/>
    </row>
    <row r="51723" spans="104:111">
      <c r="CZ51723" s="256"/>
      <c r="DG51723" s="256"/>
    </row>
    <row r="51724" spans="104:111">
      <c r="CZ51724" s="256"/>
      <c r="DG51724" s="256"/>
    </row>
    <row r="51725" spans="104:111">
      <c r="CZ51725" s="256"/>
      <c r="DG51725" s="256"/>
    </row>
    <row r="51726" spans="104:111">
      <c r="CZ51726" s="256"/>
      <c r="DG51726" s="256"/>
    </row>
    <row r="51727" spans="104:111">
      <c r="CZ51727" s="256"/>
      <c r="DG51727" s="256"/>
    </row>
    <row r="51728" spans="104:111">
      <c r="CZ51728" s="256"/>
      <c r="DG51728" s="256"/>
    </row>
    <row r="51729" spans="104:111">
      <c r="CZ51729" s="256"/>
      <c r="DG51729" s="256"/>
    </row>
    <row r="51730" spans="104:111">
      <c r="CZ51730" s="256"/>
      <c r="DG51730" s="256"/>
    </row>
    <row r="51731" spans="104:111">
      <c r="CZ51731" s="256"/>
      <c r="DG51731" s="256"/>
    </row>
    <row r="51732" spans="104:111">
      <c r="CZ51732" s="256"/>
      <c r="DG51732" s="256"/>
    </row>
    <row r="51733" spans="104:111">
      <c r="CZ51733" s="256"/>
      <c r="DG51733" s="256"/>
    </row>
    <row r="51734" spans="104:111">
      <c r="CZ51734" s="256"/>
      <c r="DG51734" s="256"/>
    </row>
    <row r="51735" spans="104:111">
      <c r="CZ51735" s="256"/>
      <c r="DG51735" s="256"/>
    </row>
    <row r="51736" spans="104:111">
      <c r="CZ51736" s="256"/>
      <c r="DG51736" s="256"/>
    </row>
    <row r="51737" spans="104:111">
      <c r="CZ51737" s="256"/>
      <c r="DG51737" s="256"/>
    </row>
    <row r="51738" spans="104:111">
      <c r="CZ51738" s="256"/>
      <c r="DG51738" s="256"/>
    </row>
    <row r="51739" spans="104:111">
      <c r="CZ51739" s="256"/>
      <c r="DG51739" s="256"/>
    </row>
    <row r="51740" spans="104:111">
      <c r="CZ51740" s="256"/>
      <c r="DG51740" s="256"/>
    </row>
    <row r="51741" spans="104:111">
      <c r="CZ51741" s="256"/>
      <c r="DG51741" s="256"/>
    </row>
    <row r="51742" spans="104:111">
      <c r="CZ51742" s="256"/>
      <c r="DG51742" s="256"/>
    </row>
    <row r="51743" spans="104:111">
      <c r="CZ51743" s="256"/>
      <c r="DG51743" s="256"/>
    </row>
    <row r="51744" spans="104:111">
      <c r="CZ51744" s="256"/>
      <c r="DG51744" s="256"/>
    </row>
    <row r="51745" spans="104:111">
      <c r="CZ51745" s="256"/>
      <c r="DG51745" s="256"/>
    </row>
    <row r="51746" spans="104:111">
      <c r="CZ51746" s="256"/>
      <c r="DG51746" s="256"/>
    </row>
    <row r="51747" spans="104:111">
      <c r="CZ51747" s="256"/>
      <c r="DG51747" s="256"/>
    </row>
    <row r="51748" spans="104:111">
      <c r="CZ51748" s="256"/>
      <c r="DG51748" s="256"/>
    </row>
    <row r="51749" spans="104:111">
      <c r="CZ51749" s="256"/>
      <c r="DG51749" s="256"/>
    </row>
    <row r="51750" spans="104:111">
      <c r="CZ51750" s="256"/>
      <c r="DG51750" s="256"/>
    </row>
    <row r="51751" spans="104:111">
      <c r="CZ51751" s="256"/>
      <c r="DG51751" s="256"/>
    </row>
    <row r="51752" spans="104:111">
      <c r="CZ51752" s="256"/>
      <c r="DG51752" s="256"/>
    </row>
    <row r="51753" spans="104:111">
      <c r="CZ51753" s="256"/>
      <c r="DG51753" s="256"/>
    </row>
    <row r="51754" spans="104:111">
      <c r="CZ51754" s="256"/>
      <c r="DG51754" s="256"/>
    </row>
    <row r="51755" spans="104:111">
      <c r="CZ51755" s="256"/>
      <c r="DG51755" s="256"/>
    </row>
    <row r="51756" spans="104:111">
      <c r="CZ51756" s="256"/>
      <c r="DG51756" s="256"/>
    </row>
    <row r="51757" spans="104:111">
      <c r="CZ51757" s="256"/>
      <c r="DG51757" s="256"/>
    </row>
    <row r="51758" spans="104:111">
      <c r="CZ51758" s="256"/>
      <c r="DG51758" s="256"/>
    </row>
    <row r="51759" spans="104:111">
      <c r="CZ51759" s="256"/>
      <c r="DG51759" s="256"/>
    </row>
    <row r="51760" spans="104:111">
      <c r="CZ51760" s="256"/>
      <c r="DG51760" s="256"/>
    </row>
    <row r="51761" spans="104:111">
      <c r="CZ51761" s="256"/>
      <c r="DG51761" s="256"/>
    </row>
    <row r="51762" spans="104:111">
      <c r="CZ51762" s="256"/>
      <c r="DG51762" s="256"/>
    </row>
    <row r="51763" spans="104:111">
      <c r="CZ51763" s="256"/>
      <c r="DG51763" s="256"/>
    </row>
    <row r="51764" spans="104:111">
      <c r="CZ51764" s="256"/>
      <c r="DG51764" s="256"/>
    </row>
    <row r="51765" spans="104:111">
      <c r="CZ51765" s="256"/>
      <c r="DG51765" s="256"/>
    </row>
    <row r="51766" spans="104:111">
      <c r="CZ51766" s="256"/>
      <c r="DG51766" s="256"/>
    </row>
    <row r="51767" spans="104:111">
      <c r="CZ51767" s="256"/>
      <c r="DG51767" s="256"/>
    </row>
    <row r="51768" spans="104:111">
      <c r="CZ51768" s="256"/>
      <c r="DG51768" s="256"/>
    </row>
    <row r="51769" spans="104:111">
      <c r="CZ51769" s="256"/>
      <c r="DG51769" s="256"/>
    </row>
    <row r="51770" spans="104:111">
      <c r="CZ51770" s="256"/>
      <c r="DG51770" s="256"/>
    </row>
    <row r="51771" spans="104:111">
      <c r="CZ51771" s="256"/>
      <c r="DG51771" s="256"/>
    </row>
    <row r="51772" spans="104:111">
      <c r="CZ51772" s="256"/>
      <c r="DG51772" s="256"/>
    </row>
    <row r="51773" spans="104:111">
      <c r="CZ51773" s="256"/>
      <c r="DG51773" s="256"/>
    </row>
    <row r="51774" spans="104:111">
      <c r="CZ51774" s="256"/>
      <c r="DG51774" s="256"/>
    </row>
    <row r="51775" spans="104:111">
      <c r="CZ51775" s="256"/>
      <c r="DG51775" s="256"/>
    </row>
    <row r="51776" spans="104:111">
      <c r="CZ51776" s="256"/>
      <c r="DG51776" s="256"/>
    </row>
    <row r="51777" spans="104:111">
      <c r="CZ51777" s="256"/>
      <c r="DG51777" s="256"/>
    </row>
    <row r="51778" spans="104:111">
      <c r="CZ51778" s="256"/>
      <c r="DG51778" s="256"/>
    </row>
    <row r="51779" spans="104:111">
      <c r="CZ51779" s="256"/>
      <c r="DG51779" s="256"/>
    </row>
    <row r="51780" spans="104:111">
      <c r="CZ51780" s="256"/>
      <c r="DG51780" s="256"/>
    </row>
    <row r="51781" spans="104:111">
      <c r="CZ51781" s="256"/>
      <c r="DG51781" s="256"/>
    </row>
    <row r="51782" spans="104:111">
      <c r="CZ51782" s="256"/>
      <c r="DG51782" s="256"/>
    </row>
    <row r="51783" spans="104:111">
      <c r="CZ51783" s="256"/>
      <c r="DG51783" s="256"/>
    </row>
    <row r="51784" spans="104:111">
      <c r="CZ51784" s="256"/>
      <c r="DG51784" s="256"/>
    </row>
    <row r="51785" spans="104:111">
      <c r="CZ51785" s="256"/>
      <c r="DG51785" s="256"/>
    </row>
    <row r="51786" spans="104:111">
      <c r="CZ51786" s="256"/>
      <c r="DG51786" s="256"/>
    </row>
    <row r="51787" spans="104:111">
      <c r="CZ51787" s="256"/>
      <c r="DG51787" s="256"/>
    </row>
    <row r="51788" spans="104:111">
      <c r="CZ51788" s="256"/>
      <c r="DG51788" s="256"/>
    </row>
    <row r="51789" spans="104:111">
      <c r="CZ51789" s="256"/>
      <c r="DG51789" s="256"/>
    </row>
    <row r="51790" spans="104:111">
      <c r="CZ51790" s="256"/>
      <c r="DG51790" s="256"/>
    </row>
    <row r="51791" spans="104:111">
      <c r="CZ51791" s="256"/>
      <c r="DG51791" s="256"/>
    </row>
    <row r="51792" spans="104:111">
      <c r="CZ51792" s="256"/>
      <c r="DG51792" s="256"/>
    </row>
    <row r="51793" spans="104:111">
      <c r="CZ51793" s="256"/>
      <c r="DG51793" s="256"/>
    </row>
    <row r="51794" spans="104:111">
      <c r="CZ51794" s="256"/>
      <c r="DG51794" s="256"/>
    </row>
    <row r="51795" spans="104:111">
      <c r="CZ51795" s="256"/>
      <c r="DG51795" s="256"/>
    </row>
    <row r="51796" spans="104:111">
      <c r="CZ51796" s="256"/>
      <c r="DG51796" s="256"/>
    </row>
    <row r="51797" spans="104:111">
      <c r="CZ51797" s="256"/>
      <c r="DG51797" s="256"/>
    </row>
    <row r="51798" spans="104:111">
      <c r="CZ51798" s="256"/>
      <c r="DG51798" s="256"/>
    </row>
    <row r="51799" spans="104:111">
      <c r="CZ51799" s="256"/>
      <c r="DG51799" s="256"/>
    </row>
    <row r="51800" spans="104:111">
      <c r="CZ51800" s="256"/>
      <c r="DG51800" s="256"/>
    </row>
    <row r="51801" spans="104:111">
      <c r="CZ51801" s="256"/>
      <c r="DG51801" s="256"/>
    </row>
    <row r="51802" spans="104:111">
      <c r="CZ51802" s="256"/>
      <c r="DG51802" s="256"/>
    </row>
    <row r="51803" spans="104:111">
      <c r="CZ51803" s="256"/>
      <c r="DG51803" s="256"/>
    </row>
    <row r="51804" spans="104:111">
      <c r="CZ51804" s="256"/>
      <c r="DG51804" s="256"/>
    </row>
    <row r="51805" spans="104:111">
      <c r="CZ51805" s="256"/>
      <c r="DG51805" s="256"/>
    </row>
    <row r="51806" spans="104:111">
      <c r="CZ51806" s="256"/>
      <c r="DG51806" s="256"/>
    </row>
    <row r="51807" spans="104:111">
      <c r="CZ51807" s="256"/>
      <c r="DG51807" s="256"/>
    </row>
    <row r="51808" spans="104:111">
      <c r="CZ51808" s="256"/>
      <c r="DG51808" s="256"/>
    </row>
    <row r="51809" spans="104:111">
      <c r="CZ51809" s="256"/>
      <c r="DG51809" s="256"/>
    </row>
    <row r="51810" spans="104:111">
      <c r="CZ51810" s="256"/>
      <c r="DG51810" s="256"/>
    </row>
    <row r="51811" spans="104:111">
      <c r="CZ51811" s="256"/>
      <c r="DG51811" s="256"/>
    </row>
    <row r="51812" spans="104:111">
      <c r="CZ51812" s="256"/>
      <c r="DG51812" s="256"/>
    </row>
    <row r="51813" spans="104:111">
      <c r="CZ51813" s="256"/>
      <c r="DG51813" s="256"/>
    </row>
    <row r="51814" spans="104:111">
      <c r="CZ51814" s="256"/>
      <c r="DG51814" s="256"/>
    </row>
    <row r="51815" spans="104:111">
      <c r="CZ51815" s="256"/>
      <c r="DG51815" s="256"/>
    </row>
    <row r="51816" spans="104:111">
      <c r="CZ51816" s="256"/>
      <c r="DG51816" s="256"/>
    </row>
    <row r="51817" spans="104:111">
      <c r="CZ51817" s="256"/>
      <c r="DG51817" s="256"/>
    </row>
    <row r="51818" spans="104:111">
      <c r="CZ51818" s="256"/>
      <c r="DG51818" s="256"/>
    </row>
    <row r="51819" spans="104:111">
      <c r="CZ51819" s="256"/>
      <c r="DG51819" s="256"/>
    </row>
    <row r="51820" spans="104:111">
      <c r="CZ51820" s="256"/>
      <c r="DG51820" s="256"/>
    </row>
    <row r="51821" spans="104:111">
      <c r="CZ51821" s="256"/>
      <c r="DG51821" s="256"/>
    </row>
    <row r="51822" spans="104:111">
      <c r="CZ51822" s="256"/>
      <c r="DG51822" s="256"/>
    </row>
    <row r="51823" spans="104:111">
      <c r="CZ51823" s="256"/>
      <c r="DG51823" s="256"/>
    </row>
    <row r="51824" spans="104:111">
      <c r="CZ51824" s="256"/>
      <c r="DG51824" s="256"/>
    </row>
    <row r="51825" spans="104:111">
      <c r="CZ51825" s="256"/>
      <c r="DG51825" s="256"/>
    </row>
    <row r="51826" spans="104:111">
      <c r="CZ51826" s="256"/>
      <c r="DG51826" s="256"/>
    </row>
    <row r="51827" spans="104:111">
      <c r="CZ51827" s="256"/>
      <c r="DG51827" s="256"/>
    </row>
    <row r="51828" spans="104:111">
      <c r="CZ51828" s="256"/>
      <c r="DG51828" s="256"/>
    </row>
    <row r="51829" spans="104:111">
      <c r="CZ51829" s="256"/>
      <c r="DG51829" s="256"/>
    </row>
    <row r="51830" spans="104:111">
      <c r="CZ51830" s="256"/>
      <c r="DG51830" s="256"/>
    </row>
    <row r="51831" spans="104:111">
      <c r="CZ51831" s="256"/>
      <c r="DG51831" s="256"/>
    </row>
    <row r="51832" spans="104:111">
      <c r="CZ51832" s="256"/>
      <c r="DG51832" s="256"/>
    </row>
    <row r="51833" spans="104:111">
      <c r="CZ51833" s="256"/>
      <c r="DG51833" s="256"/>
    </row>
    <row r="51834" spans="104:111">
      <c r="CZ51834" s="256"/>
      <c r="DG51834" s="256"/>
    </row>
    <row r="51835" spans="104:111">
      <c r="CZ51835" s="256"/>
      <c r="DG51835" s="256"/>
    </row>
    <row r="51836" spans="104:111">
      <c r="CZ51836" s="256"/>
      <c r="DG51836" s="256"/>
    </row>
    <row r="51837" spans="104:111">
      <c r="CZ51837" s="256"/>
      <c r="DG51837" s="256"/>
    </row>
    <row r="51838" spans="104:111">
      <c r="CZ51838" s="256"/>
      <c r="DG51838" s="256"/>
    </row>
    <row r="51839" spans="104:111">
      <c r="CZ51839" s="256"/>
      <c r="DG51839" s="256"/>
    </row>
    <row r="51840" spans="104:111">
      <c r="CZ51840" s="256"/>
      <c r="DG51840" s="256"/>
    </row>
    <row r="51841" spans="104:111">
      <c r="CZ51841" s="256"/>
      <c r="DG51841" s="256"/>
    </row>
    <row r="51842" spans="104:111">
      <c r="CZ51842" s="256"/>
      <c r="DG51842" s="256"/>
    </row>
    <row r="51843" spans="104:111">
      <c r="CZ51843" s="256"/>
      <c r="DG51843" s="256"/>
    </row>
    <row r="51844" spans="104:111">
      <c r="CZ51844" s="256"/>
      <c r="DG51844" s="256"/>
    </row>
    <row r="51845" spans="104:111">
      <c r="CZ51845" s="256"/>
      <c r="DG51845" s="256"/>
    </row>
    <row r="51846" spans="104:111">
      <c r="CZ51846" s="256"/>
      <c r="DG51846" s="256"/>
    </row>
    <row r="51847" spans="104:111">
      <c r="CZ51847" s="256"/>
      <c r="DG51847" s="256"/>
    </row>
    <row r="51848" spans="104:111">
      <c r="CZ51848" s="256"/>
      <c r="DG51848" s="256"/>
    </row>
    <row r="51849" spans="104:111">
      <c r="CZ51849" s="256"/>
      <c r="DG51849" s="256"/>
    </row>
    <row r="51850" spans="104:111">
      <c r="CZ51850" s="256"/>
      <c r="DG51850" s="256"/>
    </row>
    <row r="51851" spans="104:111">
      <c r="CZ51851" s="256"/>
      <c r="DG51851" s="256"/>
    </row>
    <row r="51852" spans="104:111">
      <c r="CZ51852" s="256"/>
      <c r="DG51852" s="256"/>
    </row>
    <row r="51853" spans="104:111">
      <c r="CZ51853" s="256"/>
      <c r="DG51853" s="256"/>
    </row>
    <row r="51854" spans="104:111">
      <c r="CZ51854" s="256"/>
      <c r="DG51854" s="256"/>
    </row>
    <row r="51855" spans="104:111">
      <c r="CZ51855" s="256"/>
      <c r="DG51855" s="256"/>
    </row>
    <row r="51856" spans="104:111">
      <c r="CZ51856" s="256"/>
      <c r="DG51856" s="256"/>
    </row>
    <row r="51857" spans="104:111">
      <c r="CZ51857" s="256"/>
      <c r="DG51857" s="256"/>
    </row>
    <row r="51858" spans="104:111">
      <c r="CZ51858" s="256"/>
      <c r="DG51858" s="256"/>
    </row>
    <row r="51859" spans="104:111">
      <c r="CZ51859" s="256"/>
      <c r="DG51859" s="256"/>
    </row>
    <row r="51860" spans="104:111">
      <c r="CZ51860" s="256"/>
      <c r="DG51860" s="256"/>
    </row>
    <row r="51861" spans="104:111">
      <c r="CZ51861" s="256"/>
      <c r="DG51861" s="256"/>
    </row>
    <row r="51862" spans="104:111">
      <c r="CZ51862" s="256"/>
      <c r="DG51862" s="256"/>
    </row>
    <row r="51863" spans="104:111">
      <c r="CZ51863" s="256"/>
      <c r="DG51863" s="256"/>
    </row>
    <row r="51864" spans="104:111">
      <c r="CZ51864" s="256"/>
      <c r="DG51864" s="256"/>
    </row>
    <row r="51865" spans="104:111">
      <c r="CZ51865" s="256"/>
      <c r="DG51865" s="256"/>
    </row>
    <row r="51866" spans="104:111">
      <c r="CZ51866" s="256"/>
      <c r="DG51866" s="256"/>
    </row>
    <row r="51867" spans="104:111">
      <c r="CZ51867" s="256"/>
      <c r="DG51867" s="256"/>
    </row>
    <row r="51868" spans="104:111">
      <c r="CZ51868" s="256"/>
      <c r="DG51868" s="256"/>
    </row>
    <row r="51869" spans="104:111">
      <c r="CZ51869" s="256"/>
      <c r="DG51869" s="256"/>
    </row>
    <row r="51870" spans="104:111">
      <c r="CZ51870" s="256"/>
      <c r="DG51870" s="256"/>
    </row>
    <row r="51871" spans="104:111">
      <c r="CZ51871" s="256"/>
      <c r="DG51871" s="256"/>
    </row>
    <row r="51872" spans="104:111">
      <c r="CZ51872" s="256"/>
      <c r="DG51872" s="256"/>
    </row>
    <row r="51873" spans="104:111">
      <c r="CZ51873" s="256"/>
      <c r="DG51873" s="256"/>
    </row>
    <row r="51874" spans="104:111">
      <c r="CZ51874" s="256"/>
      <c r="DG51874" s="256"/>
    </row>
    <row r="51875" spans="104:111">
      <c r="CZ51875" s="256"/>
      <c r="DG51875" s="256"/>
    </row>
    <row r="51876" spans="104:111">
      <c r="CZ51876" s="256"/>
      <c r="DG51876" s="256"/>
    </row>
    <row r="51877" spans="104:111">
      <c r="CZ51877" s="256"/>
      <c r="DG51877" s="256"/>
    </row>
    <row r="51878" spans="104:111">
      <c r="CZ51878" s="256"/>
      <c r="DG51878" s="256"/>
    </row>
    <row r="51879" spans="104:111">
      <c r="CZ51879" s="256"/>
      <c r="DG51879" s="256"/>
    </row>
    <row r="51880" spans="104:111">
      <c r="CZ51880" s="256"/>
      <c r="DG51880" s="256"/>
    </row>
    <row r="51881" spans="104:111">
      <c r="CZ51881" s="256"/>
      <c r="DG51881" s="256"/>
    </row>
    <row r="51882" spans="104:111">
      <c r="CZ51882" s="256"/>
      <c r="DG51882" s="256"/>
    </row>
    <row r="51883" spans="104:111">
      <c r="CZ51883" s="256"/>
      <c r="DG51883" s="256"/>
    </row>
    <row r="51884" spans="104:111">
      <c r="CZ51884" s="256"/>
      <c r="DG51884" s="256"/>
    </row>
    <row r="51885" spans="104:111">
      <c r="CZ51885" s="256"/>
      <c r="DG51885" s="256"/>
    </row>
    <row r="51886" spans="104:111">
      <c r="CZ51886" s="256"/>
      <c r="DG51886" s="256"/>
    </row>
    <row r="51887" spans="104:111">
      <c r="CZ51887" s="256"/>
      <c r="DG51887" s="256"/>
    </row>
    <row r="51888" spans="104:111">
      <c r="CZ51888" s="256"/>
      <c r="DG51888" s="256"/>
    </row>
    <row r="51889" spans="104:111">
      <c r="CZ51889" s="256"/>
      <c r="DG51889" s="256"/>
    </row>
    <row r="51890" spans="104:111">
      <c r="CZ51890" s="256"/>
      <c r="DG51890" s="256"/>
    </row>
    <row r="51891" spans="104:111">
      <c r="CZ51891" s="256"/>
      <c r="DG51891" s="256"/>
    </row>
    <row r="51892" spans="104:111">
      <c r="CZ51892" s="256"/>
      <c r="DG51892" s="256"/>
    </row>
    <row r="51893" spans="104:111">
      <c r="CZ51893" s="256"/>
      <c r="DG51893" s="256"/>
    </row>
    <row r="51894" spans="104:111">
      <c r="CZ51894" s="256"/>
      <c r="DG51894" s="256"/>
    </row>
    <row r="51895" spans="104:111">
      <c r="CZ51895" s="256"/>
      <c r="DG51895" s="256"/>
    </row>
    <row r="51896" spans="104:111">
      <c r="CZ51896" s="256"/>
      <c r="DG51896" s="256"/>
    </row>
    <row r="51897" spans="104:111">
      <c r="CZ51897" s="256"/>
      <c r="DG51897" s="256"/>
    </row>
    <row r="51898" spans="104:111">
      <c r="CZ51898" s="256"/>
      <c r="DG51898" s="256"/>
    </row>
    <row r="51899" spans="104:111">
      <c r="CZ51899" s="256"/>
      <c r="DG51899" s="256"/>
    </row>
    <row r="51900" spans="104:111">
      <c r="CZ51900" s="256"/>
      <c r="DG51900" s="256"/>
    </row>
    <row r="51901" spans="104:111">
      <c r="CZ51901" s="256"/>
      <c r="DG51901" s="256"/>
    </row>
    <row r="51902" spans="104:111">
      <c r="CZ51902" s="256"/>
      <c r="DG51902" s="256"/>
    </row>
    <row r="51903" spans="104:111">
      <c r="CZ51903" s="256"/>
      <c r="DG51903" s="256"/>
    </row>
    <row r="51904" spans="104:111">
      <c r="CZ51904" s="256"/>
      <c r="DG51904" s="256"/>
    </row>
    <row r="51905" spans="104:111">
      <c r="CZ51905" s="256"/>
      <c r="DG51905" s="256"/>
    </row>
    <row r="51906" spans="104:111">
      <c r="CZ51906" s="256"/>
      <c r="DG51906" s="256"/>
    </row>
    <row r="51907" spans="104:111">
      <c r="CZ51907" s="256"/>
      <c r="DG51907" s="256"/>
    </row>
    <row r="51908" spans="104:111">
      <c r="CZ51908" s="256"/>
      <c r="DG51908" s="256"/>
    </row>
    <row r="51909" spans="104:111">
      <c r="CZ51909" s="256"/>
      <c r="DG51909" s="256"/>
    </row>
    <row r="51910" spans="104:111">
      <c r="CZ51910" s="256"/>
      <c r="DG51910" s="256"/>
    </row>
    <row r="51911" spans="104:111">
      <c r="CZ51911" s="256"/>
      <c r="DG51911" s="256"/>
    </row>
    <row r="51912" spans="104:111">
      <c r="CZ51912" s="256"/>
      <c r="DG51912" s="256"/>
    </row>
    <row r="51913" spans="104:111">
      <c r="CZ51913" s="256"/>
      <c r="DG51913" s="256"/>
    </row>
    <row r="51914" spans="104:111">
      <c r="CZ51914" s="256"/>
      <c r="DG51914" s="256"/>
    </row>
    <row r="51915" spans="104:111">
      <c r="CZ51915" s="256"/>
      <c r="DG51915" s="256"/>
    </row>
    <row r="51916" spans="104:111">
      <c r="CZ51916" s="256"/>
      <c r="DG51916" s="256"/>
    </row>
    <row r="51917" spans="104:111">
      <c r="CZ51917" s="256"/>
      <c r="DG51917" s="256"/>
    </row>
    <row r="51918" spans="104:111">
      <c r="CZ51918" s="256"/>
      <c r="DG51918" s="256"/>
    </row>
    <row r="51919" spans="104:111">
      <c r="CZ51919" s="256"/>
      <c r="DG51919" s="256"/>
    </row>
    <row r="51920" spans="104:111">
      <c r="CZ51920" s="256"/>
      <c r="DG51920" s="256"/>
    </row>
    <row r="51921" spans="104:111">
      <c r="CZ51921" s="256"/>
      <c r="DG51921" s="256"/>
    </row>
    <row r="51922" spans="104:111">
      <c r="CZ51922" s="256"/>
      <c r="DG51922" s="256"/>
    </row>
    <row r="51923" spans="104:111">
      <c r="CZ51923" s="256"/>
      <c r="DG51923" s="256"/>
    </row>
    <row r="51924" spans="104:111">
      <c r="CZ51924" s="256"/>
      <c r="DG51924" s="256"/>
    </row>
    <row r="51925" spans="104:111">
      <c r="CZ51925" s="256"/>
      <c r="DG51925" s="256"/>
    </row>
    <row r="51926" spans="104:111">
      <c r="CZ51926" s="256"/>
      <c r="DG51926" s="256"/>
    </row>
    <row r="51927" spans="104:111">
      <c r="CZ51927" s="256"/>
      <c r="DG51927" s="256"/>
    </row>
    <row r="51928" spans="104:111">
      <c r="CZ51928" s="256"/>
      <c r="DG51928" s="256"/>
    </row>
    <row r="51929" spans="104:111">
      <c r="CZ51929" s="256"/>
      <c r="DG51929" s="256"/>
    </row>
    <row r="51930" spans="104:111">
      <c r="CZ51930" s="256"/>
      <c r="DG51930" s="256"/>
    </row>
    <row r="51931" spans="104:111">
      <c r="CZ51931" s="256"/>
      <c r="DG51931" s="256"/>
    </row>
    <row r="51932" spans="104:111">
      <c r="CZ51932" s="256"/>
      <c r="DG51932" s="256"/>
    </row>
    <row r="51933" spans="104:111">
      <c r="CZ51933" s="256"/>
      <c r="DG51933" s="256"/>
    </row>
    <row r="51934" spans="104:111">
      <c r="CZ51934" s="256"/>
      <c r="DG51934" s="256"/>
    </row>
    <row r="51935" spans="104:111">
      <c r="CZ51935" s="256"/>
      <c r="DG51935" s="256"/>
    </row>
    <row r="51936" spans="104:111">
      <c r="CZ51936" s="256"/>
      <c r="DG51936" s="256"/>
    </row>
    <row r="51937" spans="104:111">
      <c r="CZ51937" s="256"/>
      <c r="DG51937" s="256"/>
    </row>
    <row r="51938" spans="104:111">
      <c r="CZ51938" s="256"/>
      <c r="DG51938" s="256"/>
    </row>
    <row r="51939" spans="104:111">
      <c r="CZ51939" s="256"/>
      <c r="DG51939" s="256"/>
    </row>
    <row r="51940" spans="104:111">
      <c r="CZ51940" s="256"/>
      <c r="DG51940" s="256"/>
    </row>
    <row r="51941" spans="104:111">
      <c r="CZ51941" s="256"/>
      <c r="DG51941" s="256"/>
    </row>
    <row r="51942" spans="104:111">
      <c r="CZ51942" s="256"/>
      <c r="DG51942" s="256"/>
    </row>
    <row r="51943" spans="104:111">
      <c r="CZ51943" s="256"/>
      <c r="DG51943" s="256"/>
    </row>
    <row r="51944" spans="104:111">
      <c r="CZ51944" s="256"/>
      <c r="DG51944" s="256"/>
    </row>
    <row r="51945" spans="104:111">
      <c r="CZ51945" s="256"/>
      <c r="DG51945" s="256"/>
    </row>
    <row r="51946" spans="104:111">
      <c r="CZ51946" s="256"/>
      <c r="DG51946" s="256"/>
    </row>
    <row r="51947" spans="104:111">
      <c r="CZ51947" s="256"/>
      <c r="DG51947" s="256"/>
    </row>
    <row r="51948" spans="104:111">
      <c r="CZ51948" s="256"/>
      <c r="DG51948" s="256"/>
    </row>
    <row r="51949" spans="104:111">
      <c r="CZ51949" s="256"/>
      <c r="DG51949" s="256"/>
    </row>
    <row r="51950" spans="104:111">
      <c r="CZ51950" s="256"/>
      <c r="DG51950" s="256"/>
    </row>
    <row r="51951" spans="104:111">
      <c r="CZ51951" s="256"/>
      <c r="DG51951" s="256"/>
    </row>
    <row r="51952" spans="104:111">
      <c r="CZ51952" s="256"/>
      <c r="DG51952" s="256"/>
    </row>
    <row r="51953" spans="104:111">
      <c r="CZ51953" s="256"/>
      <c r="DG51953" s="256"/>
    </row>
    <row r="51954" spans="104:111">
      <c r="CZ51954" s="256"/>
      <c r="DG51954" s="256"/>
    </row>
    <row r="51955" spans="104:111">
      <c r="CZ51955" s="256"/>
      <c r="DG51955" s="256"/>
    </row>
    <row r="51956" spans="104:111">
      <c r="CZ51956" s="256"/>
      <c r="DG51956" s="256"/>
    </row>
    <row r="51957" spans="104:111">
      <c r="CZ51957" s="256"/>
      <c r="DG51957" s="256"/>
    </row>
    <row r="51958" spans="104:111">
      <c r="CZ51958" s="256"/>
      <c r="DG51958" s="256"/>
    </row>
    <row r="51959" spans="104:111">
      <c r="CZ51959" s="256"/>
      <c r="DG51959" s="256"/>
    </row>
    <row r="51960" spans="104:111">
      <c r="CZ51960" s="256"/>
      <c r="DG51960" s="256"/>
    </row>
    <row r="51961" spans="104:111">
      <c r="CZ51961" s="256"/>
      <c r="DG51961" s="256"/>
    </row>
    <row r="51962" spans="104:111">
      <c r="CZ51962" s="256"/>
      <c r="DG51962" s="256"/>
    </row>
    <row r="51963" spans="104:111">
      <c r="CZ51963" s="256"/>
      <c r="DG51963" s="256"/>
    </row>
    <row r="51964" spans="104:111">
      <c r="CZ51964" s="256"/>
      <c r="DG51964" s="256"/>
    </row>
    <row r="51965" spans="104:111">
      <c r="CZ51965" s="256"/>
      <c r="DG51965" s="256"/>
    </row>
    <row r="51966" spans="104:111">
      <c r="CZ51966" s="256"/>
      <c r="DG51966" s="256"/>
    </row>
    <row r="51967" spans="104:111">
      <c r="CZ51967" s="256"/>
      <c r="DG51967" s="256"/>
    </row>
    <row r="51968" spans="104:111">
      <c r="CZ51968" s="256"/>
      <c r="DG51968" s="256"/>
    </row>
    <row r="51969" spans="104:111">
      <c r="CZ51969" s="256"/>
      <c r="DG51969" s="256"/>
    </row>
    <row r="51970" spans="104:111">
      <c r="CZ51970" s="256"/>
      <c r="DG51970" s="256"/>
    </row>
    <row r="51971" spans="104:111">
      <c r="CZ51971" s="256"/>
      <c r="DG51971" s="256"/>
    </row>
    <row r="51972" spans="104:111">
      <c r="CZ51972" s="256"/>
      <c r="DG51972" s="256"/>
    </row>
    <row r="51973" spans="104:111">
      <c r="CZ51973" s="256"/>
      <c r="DG51973" s="256"/>
    </row>
    <row r="51974" spans="104:111">
      <c r="CZ51974" s="256"/>
      <c r="DG51974" s="256"/>
    </row>
    <row r="51975" spans="104:111">
      <c r="CZ51975" s="256"/>
      <c r="DG51975" s="256"/>
    </row>
    <row r="51976" spans="104:111">
      <c r="CZ51976" s="256"/>
      <c r="DG51976" s="256"/>
    </row>
    <row r="51977" spans="104:111">
      <c r="CZ51977" s="256"/>
      <c r="DG51977" s="256"/>
    </row>
    <row r="51978" spans="104:111">
      <c r="CZ51978" s="256"/>
      <c r="DG51978" s="256"/>
    </row>
    <row r="51979" spans="104:111">
      <c r="CZ51979" s="256"/>
      <c r="DG51979" s="256"/>
    </row>
    <row r="51980" spans="104:111">
      <c r="CZ51980" s="256"/>
      <c r="DG51980" s="256"/>
    </row>
    <row r="51981" spans="104:111">
      <c r="CZ51981" s="256"/>
      <c r="DG51981" s="256"/>
    </row>
    <row r="51982" spans="104:111">
      <c r="CZ51982" s="256"/>
      <c r="DG51982" s="256"/>
    </row>
    <row r="51983" spans="104:111">
      <c r="CZ51983" s="256"/>
      <c r="DG51983" s="256"/>
    </row>
    <row r="51984" spans="104:111">
      <c r="CZ51984" s="256"/>
      <c r="DG51984" s="256"/>
    </row>
    <row r="51985" spans="104:111">
      <c r="CZ51985" s="256"/>
      <c r="DG51985" s="256"/>
    </row>
    <row r="51986" spans="104:111">
      <c r="CZ51986" s="256"/>
      <c r="DG51986" s="256"/>
    </row>
    <row r="51987" spans="104:111">
      <c r="CZ51987" s="256"/>
      <c r="DG51987" s="256"/>
    </row>
    <row r="51988" spans="104:111">
      <c r="CZ51988" s="256"/>
      <c r="DG51988" s="256"/>
    </row>
    <row r="51989" spans="104:111">
      <c r="CZ51989" s="256"/>
      <c r="DG51989" s="256"/>
    </row>
    <row r="51990" spans="104:111">
      <c r="CZ51990" s="256"/>
      <c r="DG51990" s="256"/>
    </row>
    <row r="51991" spans="104:111">
      <c r="CZ51991" s="256"/>
      <c r="DG51991" s="256"/>
    </row>
    <row r="51992" spans="104:111">
      <c r="CZ51992" s="256"/>
      <c r="DG51992" s="256"/>
    </row>
    <row r="51993" spans="104:111">
      <c r="CZ51993" s="256"/>
      <c r="DG51993" s="256"/>
    </row>
    <row r="51994" spans="104:111">
      <c r="CZ51994" s="256"/>
      <c r="DG51994" s="256"/>
    </row>
    <row r="51995" spans="104:111">
      <c r="CZ51995" s="256"/>
      <c r="DG51995" s="256"/>
    </row>
    <row r="51996" spans="104:111">
      <c r="CZ51996" s="256"/>
      <c r="DG51996" s="256"/>
    </row>
    <row r="51997" spans="104:111">
      <c r="CZ51997" s="256"/>
      <c r="DG51997" s="256"/>
    </row>
    <row r="51998" spans="104:111">
      <c r="CZ51998" s="256"/>
      <c r="DG51998" s="256"/>
    </row>
    <row r="51999" spans="104:111">
      <c r="CZ51999" s="256"/>
      <c r="DG51999" s="256"/>
    </row>
    <row r="52000" spans="104:111">
      <c r="CZ52000" s="256"/>
      <c r="DG52000" s="256"/>
    </row>
    <row r="52001" spans="104:111">
      <c r="CZ52001" s="256"/>
      <c r="DG52001" s="256"/>
    </row>
    <row r="52002" spans="104:111">
      <c r="CZ52002" s="256"/>
      <c r="DG52002" s="256"/>
    </row>
    <row r="52003" spans="104:111">
      <c r="CZ52003" s="256"/>
      <c r="DG52003" s="256"/>
    </row>
    <row r="52004" spans="104:111">
      <c r="CZ52004" s="256"/>
      <c r="DG52004" s="256"/>
    </row>
    <row r="52005" spans="104:111">
      <c r="CZ52005" s="256"/>
      <c r="DG52005" s="256"/>
    </row>
    <row r="52006" spans="104:111">
      <c r="CZ52006" s="256"/>
      <c r="DG52006" s="256"/>
    </row>
    <row r="52007" spans="104:111">
      <c r="CZ52007" s="256"/>
      <c r="DG52007" s="256"/>
    </row>
    <row r="52008" spans="104:111">
      <c r="CZ52008" s="256"/>
      <c r="DG52008" s="256"/>
    </row>
    <row r="52009" spans="104:111">
      <c r="CZ52009" s="256"/>
      <c r="DG52009" s="256"/>
    </row>
    <row r="52010" spans="104:111">
      <c r="CZ52010" s="256"/>
      <c r="DG52010" s="256"/>
    </row>
    <row r="52011" spans="104:111">
      <c r="CZ52011" s="256"/>
      <c r="DG52011" s="256"/>
    </row>
    <row r="52012" spans="104:111">
      <c r="CZ52012" s="256"/>
      <c r="DG52012" s="256"/>
    </row>
    <row r="52013" spans="104:111">
      <c r="CZ52013" s="256"/>
      <c r="DG52013" s="256"/>
    </row>
    <row r="52014" spans="104:111">
      <c r="CZ52014" s="256"/>
      <c r="DG52014" s="256"/>
    </row>
    <row r="52015" spans="104:111">
      <c r="CZ52015" s="256"/>
      <c r="DG52015" s="256"/>
    </row>
    <row r="52016" spans="104:111">
      <c r="CZ52016" s="256"/>
      <c r="DG52016" s="256"/>
    </row>
    <row r="52017" spans="104:111">
      <c r="CZ52017" s="256"/>
      <c r="DG52017" s="256"/>
    </row>
    <row r="52018" spans="104:111">
      <c r="CZ52018" s="256"/>
      <c r="DG52018" s="256"/>
    </row>
    <row r="52019" spans="104:111">
      <c r="CZ52019" s="256"/>
      <c r="DG52019" s="256"/>
    </row>
    <row r="52020" spans="104:111">
      <c r="CZ52020" s="256"/>
      <c r="DG52020" s="256"/>
    </row>
    <row r="52021" spans="104:111">
      <c r="CZ52021" s="256"/>
      <c r="DG52021" s="256"/>
    </row>
    <row r="52022" spans="104:111">
      <c r="CZ52022" s="256"/>
      <c r="DG52022" s="256"/>
    </row>
    <row r="52023" spans="104:111">
      <c r="CZ52023" s="256"/>
      <c r="DG52023" s="256"/>
    </row>
    <row r="52024" spans="104:111">
      <c r="CZ52024" s="256"/>
      <c r="DG52024" s="256"/>
    </row>
    <row r="52025" spans="104:111">
      <c r="CZ52025" s="256"/>
      <c r="DG52025" s="256"/>
    </row>
    <row r="52026" spans="104:111">
      <c r="CZ52026" s="256"/>
      <c r="DG52026" s="256"/>
    </row>
    <row r="52027" spans="104:111">
      <c r="CZ52027" s="256"/>
      <c r="DG52027" s="256"/>
    </row>
    <row r="52028" spans="104:111">
      <c r="CZ52028" s="256"/>
      <c r="DG52028" s="256"/>
    </row>
    <row r="52029" spans="104:111">
      <c r="CZ52029" s="256"/>
      <c r="DG52029" s="256"/>
    </row>
    <row r="52030" spans="104:111">
      <c r="CZ52030" s="256"/>
      <c r="DG52030" s="256"/>
    </row>
    <row r="52031" spans="104:111">
      <c r="CZ52031" s="256"/>
      <c r="DG52031" s="256"/>
    </row>
    <row r="52032" spans="104:111">
      <c r="CZ52032" s="256"/>
      <c r="DG52032" s="256"/>
    </row>
    <row r="52033" spans="104:111">
      <c r="CZ52033" s="256"/>
      <c r="DG52033" s="256"/>
    </row>
    <row r="52034" spans="104:111">
      <c r="CZ52034" s="256"/>
      <c r="DG52034" s="256"/>
    </row>
    <row r="52035" spans="104:111">
      <c r="CZ52035" s="256"/>
      <c r="DG52035" s="256"/>
    </row>
    <row r="52036" spans="104:111">
      <c r="CZ52036" s="256"/>
      <c r="DG52036" s="256"/>
    </row>
    <row r="52037" spans="104:111">
      <c r="CZ52037" s="256"/>
      <c r="DG52037" s="256"/>
    </row>
    <row r="52038" spans="104:111">
      <c r="CZ52038" s="256"/>
      <c r="DG52038" s="256"/>
    </row>
    <row r="52039" spans="104:111">
      <c r="CZ52039" s="256"/>
      <c r="DG52039" s="256"/>
    </row>
    <row r="52040" spans="104:111">
      <c r="CZ52040" s="256"/>
      <c r="DG52040" s="256"/>
    </row>
    <row r="52041" spans="104:111">
      <c r="CZ52041" s="256"/>
      <c r="DG52041" s="256"/>
    </row>
    <row r="52042" spans="104:111">
      <c r="CZ52042" s="256"/>
      <c r="DG52042" s="256"/>
    </row>
    <row r="52043" spans="104:111">
      <c r="CZ52043" s="256"/>
      <c r="DG52043" s="256"/>
    </row>
    <row r="52044" spans="104:111">
      <c r="CZ52044" s="256"/>
      <c r="DG52044" s="256"/>
    </row>
    <row r="52045" spans="104:111">
      <c r="CZ52045" s="256"/>
      <c r="DG52045" s="256"/>
    </row>
    <row r="52046" spans="104:111">
      <c r="CZ52046" s="256"/>
      <c r="DG52046" s="256"/>
    </row>
    <row r="52047" spans="104:111">
      <c r="CZ52047" s="256"/>
      <c r="DG52047" s="256"/>
    </row>
    <row r="52048" spans="104:111">
      <c r="CZ52048" s="256"/>
      <c r="DG52048" s="256"/>
    </row>
    <row r="52049" spans="104:111">
      <c r="CZ52049" s="256"/>
      <c r="DG52049" s="256"/>
    </row>
    <row r="52050" spans="104:111">
      <c r="CZ52050" s="256"/>
      <c r="DG52050" s="256"/>
    </row>
    <row r="52051" spans="104:111">
      <c r="CZ52051" s="256"/>
      <c r="DG52051" s="256"/>
    </row>
    <row r="52052" spans="104:111">
      <c r="CZ52052" s="256"/>
      <c r="DG52052" s="256"/>
    </row>
    <row r="52053" spans="104:111">
      <c r="CZ52053" s="256"/>
      <c r="DG52053" s="256"/>
    </row>
    <row r="52054" spans="104:111">
      <c r="CZ52054" s="256"/>
      <c r="DG52054" s="256"/>
    </row>
    <row r="52055" spans="104:111">
      <c r="CZ52055" s="256"/>
      <c r="DG52055" s="256"/>
    </row>
    <row r="52056" spans="104:111">
      <c r="CZ52056" s="256"/>
      <c r="DG52056" s="256"/>
    </row>
    <row r="52057" spans="104:111">
      <c r="CZ52057" s="256"/>
      <c r="DG52057" s="256"/>
    </row>
    <row r="52058" spans="104:111">
      <c r="CZ52058" s="256"/>
      <c r="DG52058" s="256"/>
    </row>
    <row r="52059" spans="104:111">
      <c r="CZ52059" s="256"/>
      <c r="DG52059" s="256"/>
    </row>
    <row r="52060" spans="104:111">
      <c r="CZ52060" s="256"/>
      <c r="DG52060" s="256"/>
    </row>
    <row r="52061" spans="104:111">
      <c r="CZ52061" s="256"/>
      <c r="DG52061" s="256"/>
    </row>
    <row r="52062" spans="104:111">
      <c r="CZ52062" s="256"/>
      <c r="DG52062" s="256"/>
    </row>
    <row r="52063" spans="104:111">
      <c r="CZ52063" s="256"/>
      <c r="DG52063" s="256"/>
    </row>
    <row r="52064" spans="104:111">
      <c r="CZ52064" s="256"/>
      <c r="DG52064" s="256"/>
    </row>
    <row r="52065" spans="104:111">
      <c r="CZ52065" s="256"/>
      <c r="DG52065" s="256"/>
    </row>
    <row r="52066" spans="104:111">
      <c r="CZ52066" s="256"/>
      <c r="DG52066" s="256"/>
    </row>
    <row r="52067" spans="104:111">
      <c r="CZ52067" s="256"/>
      <c r="DG52067" s="256"/>
    </row>
    <row r="52068" spans="104:111">
      <c r="CZ52068" s="256"/>
      <c r="DG52068" s="256"/>
    </row>
    <row r="52069" spans="104:111">
      <c r="CZ52069" s="256"/>
      <c r="DG52069" s="256"/>
    </row>
    <row r="52070" spans="104:111">
      <c r="CZ52070" s="256"/>
      <c r="DG52070" s="256"/>
    </row>
    <row r="52071" spans="104:111">
      <c r="CZ52071" s="256"/>
      <c r="DG52071" s="256"/>
    </row>
    <row r="52072" spans="104:111">
      <c r="CZ52072" s="256"/>
      <c r="DG52072" s="256"/>
    </row>
    <row r="52073" spans="104:111">
      <c r="CZ52073" s="256"/>
      <c r="DG52073" s="256"/>
    </row>
    <row r="52074" spans="104:111">
      <c r="CZ52074" s="256"/>
      <c r="DG52074" s="256"/>
    </row>
    <row r="52075" spans="104:111">
      <c r="CZ52075" s="256"/>
      <c r="DG52075" s="256"/>
    </row>
    <row r="52076" spans="104:111">
      <c r="CZ52076" s="256"/>
      <c r="DG52076" s="256"/>
    </row>
    <row r="52077" spans="104:111">
      <c r="CZ52077" s="256"/>
      <c r="DG52077" s="256"/>
    </row>
    <row r="52078" spans="104:111">
      <c r="CZ52078" s="256"/>
      <c r="DG52078" s="256"/>
    </row>
    <row r="52079" spans="104:111">
      <c r="CZ52079" s="256"/>
      <c r="DG52079" s="256"/>
    </row>
    <row r="52080" spans="104:111">
      <c r="CZ52080" s="256"/>
      <c r="DG52080" s="256"/>
    </row>
    <row r="52081" spans="104:111">
      <c r="CZ52081" s="256"/>
      <c r="DG52081" s="256"/>
    </row>
    <row r="52082" spans="104:111">
      <c r="CZ52082" s="256"/>
      <c r="DG52082" s="256"/>
    </row>
    <row r="52083" spans="104:111">
      <c r="CZ52083" s="256"/>
      <c r="DG52083" s="256"/>
    </row>
    <row r="52084" spans="104:111">
      <c r="CZ52084" s="256"/>
      <c r="DG52084" s="256"/>
    </row>
    <row r="52085" spans="104:111">
      <c r="CZ52085" s="256"/>
      <c r="DG52085" s="256"/>
    </row>
    <row r="52086" spans="104:111">
      <c r="CZ52086" s="256"/>
      <c r="DG52086" s="256"/>
    </row>
    <row r="52087" spans="104:111">
      <c r="CZ52087" s="256"/>
      <c r="DG52087" s="256"/>
    </row>
    <row r="52088" spans="104:111">
      <c r="CZ52088" s="256"/>
      <c r="DG52088" s="256"/>
    </row>
    <row r="52089" spans="104:111">
      <c r="CZ52089" s="256"/>
      <c r="DG52089" s="256"/>
    </row>
    <row r="52090" spans="104:111">
      <c r="CZ52090" s="256"/>
      <c r="DG52090" s="256"/>
    </row>
    <row r="52091" spans="104:111">
      <c r="CZ52091" s="256"/>
      <c r="DG52091" s="256"/>
    </row>
    <row r="52092" spans="104:111">
      <c r="CZ52092" s="256"/>
      <c r="DG52092" s="256"/>
    </row>
    <row r="52093" spans="104:111">
      <c r="CZ52093" s="256"/>
      <c r="DG52093" s="256"/>
    </row>
    <row r="52094" spans="104:111">
      <c r="CZ52094" s="256"/>
      <c r="DG52094" s="256"/>
    </row>
    <row r="52095" spans="104:111">
      <c r="CZ52095" s="256"/>
      <c r="DG52095" s="256"/>
    </row>
    <row r="52096" spans="104:111">
      <c r="CZ52096" s="256"/>
      <c r="DG52096" s="256"/>
    </row>
    <row r="52097" spans="104:111">
      <c r="CZ52097" s="256"/>
      <c r="DG52097" s="256"/>
    </row>
    <row r="52098" spans="104:111">
      <c r="CZ52098" s="256"/>
      <c r="DG52098" s="256"/>
    </row>
    <row r="52099" spans="104:111">
      <c r="CZ52099" s="256"/>
      <c r="DG52099" s="256"/>
    </row>
    <row r="52100" spans="104:111">
      <c r="CZ52100" s="256"/>
      <c r="DG52100" s="256"/>
    </row>
    <row r="52101" spans="104:111">
      <c r="CZ52101" s="256"/>
      <c r="DG52101" s="256"/>
    </row>
    <row r="52102" spans="104:111">
      <c r="CZ52102" s="256"/>
      <c r="DG52102" s="256"/>
    </row>
    <row r="52103" spans="104:111">
      <c r="CZ52103" s="256"/>
      <c r="DG52103" s="256"/>
    </row>
    <row r="52104" spans="104:111">
      <c r="CZ52104" s="256"/>
      <c r="DG52104" s="256"/>
    </row>
    <row r="52105" spans="104:111">
      <c r="CZ52105" s="256"/>
      <c r="DG52105" s="256"/>
    </row>
    <row r="52106" spans="104:111">
      <c r="CZ52106" s="256"/>
      <c r="DG52106" s="256"/>
    </row>
    <row r="52107" spans="104:111">
      <c r="CZ52107" s="256"/>
      <c r="DG52107" s="256"/>
    </row>
    <row r="52108" spans="104:111">
      <c r="CZ52108" s="256"/>
      <c r="DG52108" s="256"/>
    </row>
    <row r="52109" spans="104:111">
      <c r="CZ52109" s="256"/>
      <c r="DG52109" s="256"/>
    </row>
    <row r="52110" spans="104:111">
      <c r="CZ52110" s="256"/>
      <c r="DG52110" s="256"/>
    </row>
    <row r="52111" spans="104:111">
      <c r="CZ52111" s="256"/>
      <c r="DG52111" s="256"/>
    </row>
    <row r="52112" spans="104:111">
      <c r="CZ52112" s="256"/>
      <c r="DG52112" s="256"/>
    </row>
    <row r="52113" spans="104:111">
      <c r="CZ52113" s="256"/>
      <c r="DG52113" s="256"/>
    </row>
    <row r="52114" spans="104:111">
      <c r="CZ52114" s="256"/>
      <c r="DG52114" s="256"/>
    </row>
    <row r="52115" spans="104:111">
      <c r="CZ52115" s="256"/>
      <c r="DG52115" s="256"/>
    </row>
    <row r="52116" spans="104:111">
      <c r="CZ52116" s="256"/>
      <c r="DG52116" s="256"/>
    </row>
    <row r="52117" spans="104:111">
      <c r="CZ52117" s="256"/>
      <c r="DG52117" s="256"/>
    </row>
    <row r="52118" spans="104:111">
      <c r="CZ52118" s="256"/>
      <c r="DG52118" s="256"/>
    </row>
    <row r="52119" spans="104:111">
      <c r="CZ52119" s="256"/>
      <c r="DG52119" s="256"/>
    </row>
    <row r="52120" spans="104:111">
      <c r="CZ52120" s="256"/>
      <c r="DG52120" s="256"/>
    </row>
    <row r="52121" spans="104:111">
      <c r="CZ52121" s="256"/>
      <c r="DG52121" s="256"/>
    </row>
    <row r="52122" spans="104:111">
      <c r="CZ52122" s="256"/>
      <c r="DG52122" s="256"/>
    </row>
    <row r="52123" spans="104:111">
      <c r="CZ52123" s="256"/>
      <c r="DG52123" s="256"/>
    </row>
    <row r="52124" spans="104:111">
      <c r="CZ52124" s="256"/>
      <c r="DG52124" s="256"/>
    </row>
    <row r="52125" spans="104:111">
      <c r="CZ52125" s="256"/>
      <c r="DG52125" s="256"/>
    </row>
    <row r="52126" spans="104:111">
      <c r="CZ52126" s="256"/>
      <c r="DG52126" s="256"/>
    </row>
    <row r="52127" spans="104:111">
      <c r="CZ52127" s="256"/>
      <c r="DG52127" s="256"/>
    </row>
    <row r="52128" spans="104:111">
      <c r="CZ52128" s="256"/>
      <c r="DG52128" s="256"/>
    </row>
    <row r="52129" spans="104:111">
      <c r="CZ52129" s="256"/>
      <c r="DG52129" s="256"/>
    </row>
    <row r="52130" spans="104:111">
      <c r="CZ52130" s="256"/>
      <c r="DG52130" s="256"/>
    </row>
    <row r="52131" spans="104:111">
      <c r="CZ52131" s="256"/>
      <c r="DG52131" s="256"/>
    </row>
    <row r="52132" spans="104:111">
      <c r="CZ52132" s="256"/>
      <c r="DG52132" s="256"/>
    </row>
    <row r="52133" spans="104:111">
      <c r="CZ52133" s="256"/>
      <c r="DG52133" s="256"/>
    </row>
    <row r="52134" spans="104:111">
      <c r="CZ52134" s="256"/>
      <c r="DG52134" s="256"/>
    </row>
    <row r="52135" spans="104:111">
      <c r="CZ52135" s="256"/>
      <c r="DG52135" s="256"/>
    </row>
    <row r="52136" spans="104:111">
      <c r="CZ52136" s="256"/>
      <c r="DG52136" s="256"/>
    </row>
    <row r="52137" spans="104:111">
      <c r="CZ52137" s="256"/>
      <c r="DG52137" s="256"/>
    </row>
    <row r="52138" spans="104:111">
      <c r="CZ52138" s="256"/>
      <c r="DG52138" s="256"/>
    </row>
    <row r="52139" spans="104:111">
      <c r="CZ52139" s="256"/>
      <c r="DG52139" s="256"/>
    </row>
    <row r="52140" spans="104:111">
      <c r="CZ52140" s="256"/>
      <c r="DG52140" s="256"/>
    </row>
    <row r="52141" spans="104:111">
      <c r="CZ52141" s="256"/>
      <c r="DG52141" s="256"/>
    </row>
    <row r="52142" spans="104:111">
      <c r="CZ52142" s="256"/>
      <c r="DG52142" s="256"/>
    </row>
    <row r="52143" spans="104:111">
      <c r="CZ52143" s="256"/>
      <c r="DG52143" s="256"/>
    </row>
    <row r="52144" spans="104:111">
      <c r="CZ52144" s="256"/>
      <c r="DG52144" s="256"/>
    </row>
    <row r="52145" spans="104:111">
      <c r="CZ52145" s="256"/>
      <c r="DG52145" s="256"/>
    </row>
    <row r="52146" spans="104:111">
      <c r="CZ52146" s="256"/>
      <c r="DG52146" s="256"/>
    </row>
    <row r="52147" spans="104:111">
      <c r="CZ52147" s="256"/>
      <c r="DG52147" s="256"/>
    </row>
    <row r="52148" spans="104:111">
      <c r="CZ52148" s="256"/>
      <c r="DG52148" s="256"/>
    </row>
    <row r="52149" spans="104:111">
      <c r="CZ52149" s="256"/>
      <c r="DG52149" s="256"/>
    </row>
    <row r="52150" spans="104:111">
      <c r="CZ52150" s="256"/>
      <c r="DG52150" s="256"/>
    </row>
    <row r="52151" spans="104:111">
      <c r="CZ52151" s="256"/>
      <c r="DG52151" s="256"/>
    </row>
    <row r="52152" spans="104:111">
      <c r="CZ52152" s="256"/>
      <c r="DG52152" s="256"/>
    </row>
    <row r="52153" spans="104:111">
      <c r="CZ52153" s="256"/>
      <c r="DG52153" s="256"/>
    </row>
    <row r="52154" spans="104:111">
      <c r="CZ52154" s="256"/>
      <c r="DG52154" s="256"/>
    </row>
    <row r="52155" spans="104:111">
      <c r="CZ52155" s="256"/>
      <c r="DG52155" s="256"/>
    </row>
    <row r="52156" spans="104:111">
      <c r="CZ52156" s="256"/>
      <c r="DG52156" s="256"/>
    </row>
    <row r="52157" spans="104:111">
      <c r="CZ52157" s="256"/>
      <c r="DG52157" s="256"/>
    </row>
    <row r="52158" spans="104:111">
      <c r="CZ52158" s="256"/>
      <c r="DG52158" s="256"/>
    </row>
    <row r="52159" spans="104:111">
      <c r="CZ52159" s="256"/>
      <c r="DG52159" s="256"/>
    </row>
    <row r="52160" spans="104:111">
      <c r="CZ52160" s="256"/>
      <c r="DG52160" s="256"/>
    </row>
    <row r="52161" spans="104:111">
      <c r="CZ52161" s="256"/>
      <c r="DG52161" s="256"/>
    </row>
    <row r="52162" spans="104:111">
      <c r="CZ52162" s="256"/>
      <c r="DG52162" s="256"/>
    </row>
    <row r="52163" spans="104:111">
      <c r="CZ52163" s="256"/>
      <c r="DG52163" s="256"/>
    </row>
    <row r="52164" spans="104:111">
      <c r="CZ52164" s="256"/>
      <c r="DG52164" s="256"/>
    </row>
    <row r="52165" spans="104:111">
      <c r="CZ52165" s="256"/>
      <c r="DG52165" s="256"/>
    </row>
    <row r="52166" spans="104:111">
      <c r="CZ52166" s="256"/>
      <c r="DG52166" s="256"/>
    </row>
    <row r="52167" spans="104:111">
      <c r="CZ52167" s="256"/>
      <c r="DG52167" s="256"/>
    </row>
    <row r="52168" spans="104:111">
      <c r="CZ52168" s="256"/>
      <c r="DG52168" s="256"/>
    </row>
    <row r="52169" spans="104:111">
      <c r="CZ52169" s="256"/>
      <c r="DG52169" s="256"/>
    </row>
    <row r="52170" spans="104:111">
      <c r="CZ52170" s="256"/>
      <c r="DG52170" s="256"/>
    </row>
    <row r="52171" spans="104:111">
      <c r="CZ52171" s="256"/>
      <c r="DG52171" s="256"/>
    </row>
    <row r="52172" spans="104:111">
      <c r="CZ52172" s="256"/>
      <c r="DG52172" s="256"/>
    </row>
    <row r="52173" spans="104:111">
      <c r="CZ52173" s="256"/>
      <c r="DG52173" s="256"/>
    </row>
    <row r="52174" spans="104:111">
      <c r="CZ52174" s="256"/>
      <c r="DG52174" s="256"/>
    </row>
    <row r="52175" spans="104:111">
      <c r="CZ52175" s="256"/>
      <c r="DG52175" s="256"/>
    </row>
    <row r="52176" spans="104:111">
      <c r="CZ52176" s="256"/>
      <c r="DG52176" s="256"/>
    </row>
    <row r="52177" spans="104:111">
      <c r="CZ52177" s="256"/>
      <c r="DG52177" s="256"/>
    </row>
    <row r="52178" spans="104:111">
      <c r="CZ52178" s="256"/>
      <c r="DG52178" s="256"/>
    </row>
    <row r="52179" spans="104:111">
      <c r="CZ52179" s="256"/>
      <c r="DG52179" s="256"/>
    </row>
    <row r="52180" spans="104:111">
      <c r="CZ52180" s="256"/>
      <c r="DG52180" s="256"/>
    </row>
    <row r="52181" spans="104:111">
      <c r="CZ52181" s="256"/>
      <c r="DG52181" s="256"/>
    </row>
    <row r="52182" spans="104:111">
      <c r="CZ52182" s="256"/>
      <c r="DG52182" s="256"/>
    </row>
    <row r="52183" spans="104:111">
      <c r="CZ52183" s="256"/>
      <c r="DG52183" s="256"/>
    </row>
    <row r="52184" spans="104:111">
      <c r="CZ52184" s="256"/>
      <c r="DG52184" s="256"/>
    </row>
    <row r="52185" spans="104:111">
      <c r="CZ52185" s="256"/>
      <c r="DG52185" s="256"/>
    </row>
    <row r="52186" spans="104:111">
      <c r="CZ52186" s="256"/>
      <c r="DG52186" s="256"/>
    </row>
    <row r="52187" spans="104:111">
      <c r="CZ52187" s="256"/>
      <c r="DG52187" s="256"/>
    </row>
    <row r="52188" spans="104:111">
      <c r="CZ52188" s="256"/>
      <c r="DG52188" s="256"/>
    </row>
    <row r="52189" spans="104:111">
      <c r="CZ52189" s="256"/>
      <c r="DG52189" s="256"/>
    </row>
    <row r="52190" spans="104:111">
      <c r="CZ52190" s="256"/>
      <c r="DG52190" s="256"/>
    </row>
    <row r="52191" spans="104:111">
      <c r="CZ52191" s="256"/>
      <c r="DG52191" s="256"/>
    </row>
    <row r="52192" spans="104:111">
      <c r="CZ52192" s="256"/>
      <c r="DG52192" s="256"/>
    </row>
    <row r="52193" spans="104:111">
      <c r="CZ52193" s="256"/>
      <c r="DG52193" s="256"/>
    </row>
    <row r="52194" spans="104:111">
      <c r="CZ52194" s="256"/>
      <c r="DG52194" s="256"/>
    </row>
    <row r="52195" spans="104:111">
      <c r="CZ52195" s="256"/>
      <c r="DG52195" s="256"/>
    </row>
    <row r="52196" spans="104:111">
      <c r="CZ52196" s="256"/>
      <c r="DG52196" s="256"/>
    </row>
    <row r="52197" spans="104:111">
      <c r="CZ52197" s="256"/>
      <c r="DG52197" s="256"/>
    </row>
    <row r="52198" spans="104:111">
      <c r="CZ52198" s="256"/>
      <c r="DG52198" s="256"/>
    </row>
    <row r="52199" spans="104:111">
      <c r="CZ52199" s="256"/>
      <c r="DG52199" s="256"/>
    </row>
    <row r="52200" spans="104:111">
      <c r="CZ52200" s="256"/>
      <c r="DG52200" s="256"/>
    </row>
    <row r="52201" spans="104:111">
      <c r="CZ52201" s="256"/>
      <c r="DG52201" s="256"/>
    </row>
    <row r="52202" spans="104:111">
      <c r="CZ52202" s="256"/>
      <c r="DG52202" s="256"/>
    </row>
    <row r="52203" spans="104:111">
      <c r="CZ52203" s="256"/>
      <c r="DG52203" s="256"/>
    </row>
    <row r="52204" spans="104:111">
      <c r="CZ52204" s="256"/>
      <c r="DG52204" s="256"/>
    </row>
    <row r="52205" spans="104:111">
      <c r="CZ52205" s="256"/>
      <c r="DG52205" s="256"/>
    </row>
    <row r="52206" spans="104:111">
      <c r="CZ52206" s="256"/>
      <c r="DG52206" s="256"/>
    </row>
    <row r="52207" spans="104:111">
      <c r="CZ52207" s="256"/>
      <c r="DG52207" s="256"/>
    </row>
    <row r="52208" spans="104:111">
      <c r="CZ52208" s="256"/>
      <c r="DG52208" s="256"/>
    </row>
    <row r="52209" spans="104:111">
      <c r="CZ52209" s="256"/>
      <c r="DG52209" s="256"/>
    </row>
    <row r="52210" spans="104:111">
      <c r="CZ52210" s="256"/>
      <c r="DG52210" s="256"/>
    </row>
    <row r="52211" spans="104:111">
      <c r="CZ52211" s="256"/>
      <c r="DG52211" s="256"/>
    </row>
    <row r="52212" spans="104:111">
      <c r="CZ52212" s="256"/>
      <c r="DG52212" s="256"/>
    </row>
    <row r="52213" spans="104:111">
      <c r="CZ52213" s="256"/>
      <c r="DG52213" s="256"/>
    </row>
    <row r="52214" spans="104:111">
      <c r="CZ52214" s="256"/>
      <c r="DG52214" s="256"/>
    </row>
    <row r="52215" spans="104:111">
      <c r="CZ52215" s="256"/>
      <c r="DG52215" s="256"/>
    </row>
    <row r="52216" spans="104:111">
      <c r="CZ52216" s="256"/>
      <c r="DG52216" s="256"/>
    </row>
    <row r="52217" spans="104:111">
      <c r="CZ52217" s="256"/>
      <c r="DG52217" s="256"/>
    </row>
    <row r="52218" spans="104:111">
      <c r="CZ52218" s="256"/>
      <c r="DG52218" s="256"/>
    </row>
    <row r="52219" spans="104:111">
      <c r="CZ52219" s="256"/>
      <c r="DG52219" s="256"/>
    </row>
    <row r="52220" spans="104:111">
      <c r="CZ52220" s="256"/>
      <c r="DG52220" s="256"/>
    </row>
    <row r="52221" spans="104:111">
      <c r="CZ52221" s="256"/>
      <c r="DG52221" s="256"/>
    </row>
    <row r="52222" spans="104:111">
      <c r="CZ52222" s="256"/>
      <c r="DG52222" s="256"/>
    </row>
    <row r="52223" spans="104:111">
      <c r="CZ52223" s="256"/>
      <c r="DG52223" s="256"/>
    </row>
    <row r="52224" spans="104:111">
      <c r="CZ52224" s="256"/>
      <c r="DG52224" s="256"/>
    </row>
    <row r="52225" spans="104:111">
      <c r="CZ52225" s="256"/>
      <c r="DG52225" s="256"/>
    </row>
    <row r="52226" spans="104:111">
      <c r="CZ52226" s="256"/>
      <c r="DG52226" s="256"/>
    </row>
    <row r="52227" spans="104:111">
      <c r="CZ52227" s="256"/>
      <c r="DG52227" s="256"/>
    </row>
    <row r="52228" spans="104:111">
      <c r="CZ52228" s="256"/>
      <c r="DG52228" s="256"/>
    </row>
    <row r="52229" spans="104:111">
      <c r="CZ52229" s="256"/>
      <c r="DG52229" s="256"/>
    </row>
    <row r="52230" spans="104:111">
      <c r="CZ52230" s="256"/>
      <c r="DG52230" s="256"/>
    </row>
    <row r="52231" spans="104:111">
      <c r="CZ52231" s="256"/>
      <c r="DG52231" s="256"/>
    </row>
    <row r="52232" spans="104:111">
      <c r="CZ52232" s="256"/>
      <c r="DG52232" s="256"/>
    </row>
    <row r="52233" spans="104:111">
      <c r="CZ52233" s="256"/>
      <c r="DG52233" s="256"/>
    </row>
    <row r="52234" spans="104:111">
      <c r="CZ52234" s="256"/>
      <c r="DG52234" s="256"/>
    </row>
    <row r="52235" spans="104:111">
      <c r="CZ52235" s="256"/>
      <c r="DG52235" s="256"/>
    </row>
    <row r="52236" spans="104:111">
      <c r="CZ52236" s="256"/>
      <c r="DG52236" s="256"/>
    </row>
    <row r="52237" spans="104:111">
      <c r="CZ52237" s="256"/>
      <c r="DG52237" s="256"/>
    </row>
    <row r="52238" spans="104:111">
      <c r="CZ52238" s="256"/>
      <c r="DG52238" s="256"/>
    </row>
    <row r="52239" spans="104:111">
      <c r="CZ52239" s="256"/>
      <c r="DG52239" s="256"/>
    </row>
    <row r="52240" spans="104:111">
      <c r="CZ52240" s="256"/>
      <c r="DG52240" s="256"/>
    </row>
    <row r="52241" spans="104:111">
      <c r="CZ52241" s="256"/>
      <c r="DG52241" s="256"/>
    </row>
    <row r="52242" spans="104:111">
      <c r="CZ52242" s="256"/>
      <c r="DG52242" s="256"/>
    </row>
    <row r="52243" spans="104:111">
      <c r="CZ52243" s="256"/>
      <c r="DG52243" s="256"/>
    </row>
    <row r="52244" spans="104:111">
      <c r="CZ52244" s="256"/>
      <c r="DG52244" s="256"/>
    </row>
    <row r="52245" spans="104:111">
      <c r="CZ52245" s="256"/>
      <c r="DG52245" s="256"/>
    </row>
    <row r="52246" spans="104:111">
      <c r="CZ52246" s="256"/>
      <c r="DG52246" s="256"/>
    </row>
    <row r="52247" spans="104:111">
      <c r="CZ52247" s="256"/>
      <c r="DG52247" s="256"/>
    </row>
    <row r="52248" spans="104:111">
      <c r="CZ52248" s="256"/>
      <c r="DG52248" s="256"/>
    </row>
    <row r="52249" spans="104:111">
      <c r="CZ52249" s="256"/>
      <c r="DG52249" s="256"/>
    </row>
    <row r="52250" spans="104:111">
      <c r="CZ52250" s="256"/>
      <c r="DG52250" s="256"/>
    </row>
    <row r="52251" spans="104:111">
      <c r="CZ52251" s="256"/>
      <c r="DG52251" s="256"/>
    </row>
    <row r="52252" spans="104:111">
      <c r="CZ52252" s="256"/>
      <c r="DG52252" s="256"/>
    </row>
    <row r="52253" spans="104:111">
      <c r="CZ52253" s="256"/>
      <c r="DG52253" s="256"/>
    </row>
    <row r="52254" spans="104:111">
      <c r="CZ52254" s="256"/>
      <c r="DG52254" s="256"/>
    </row>
    <row r="52255" spans="104:111">
      <c r="CZ52255" s="256"/>
      <c r="DG52255" s="256"/>
    </row>
    <row r="52256" spans="104:111">
      <c r="CZ52256" s="256"/>
      <c r="DG52256" s="256"/>
    </row>
    <row r="52257" spans="104:111">
      <c r="CZ52257" s="256"/>
      <c r="DG52257" s="256"/>
    </row>
    <row r="52258" spans="104:111">
      <c r="CZ52258" s="256"/>
      <c r="DG52258" s="256"/>
    </row>
    <row r="52259" spans="104:111">
      <c r="CZ52259" s="256"/>
      <c r="DG52259" s="256"/>
    </row>
    <row r="52260" spans="104:111">
      <c r="CZ52260" s="256"/>
      <c r="DG52260" s="256"/>
    </row>
    <row r="52261" spans="104:111">
      <c r="CZ52261" s="256"/>
      <c r="DG52261" s="256"/>
    </row>
    <row r="52262" spans="104:111">
      <c r="CZ52262" s="256"/>
      <c r="DG52262" s="256"/>
    </row>
    <row r="52263" spans="104:111">
      <c r="CZ52263" s="256"/>
      <c r="DG52263" s="256"/>
    </row>
    <row r="52264" spans="104:111">
      <c r="CZ52264" s="256"/>
      <c r="DG52264" s="256"/>
    </row>
    <row r="52265" spans="104:111">
      <c r="CZ52265" s="256"/>
      <c r="DG52265" s="256"/>
    </row>
    <row r="52266" spans="104:111">
      <c r="CZ52266" s="256"/>
      <c r="DG52266" s="256"/>
    </row>
    <row r="52267" spans="104:111">
      <c r="CZ52267" s="256"/>
      <c r="DG52267" s="256"/>
    </row>
    <row r="52268" spans="104:111">
      <c r="CZ52268" s="256"/>
      <c r="DG52268" s="256"/>
    </row>
    <row r="52269" spans="104:111">
      <c r="CZ52269" s="256"/>
      <c r="DG52269" s="256"/>
    </row>
    <row r="52270" spans="104:111">
      <c r="CZ52270" s="256"/>
      <c r="DG52270" s="256"/>
    </row>
    <row r="52271" spans="104:111">
      <c r="CZ52271" s="256"/>
      <c r="DG52271" s="256"/>
    </row>
    <row r="52272" spans="104:111">
      <c r="CZ52272" s="256"/>
      <c r="DG52272" s="256"/>
    </row>
    <row r="52273" spans="104:111">
      <c r="CZ52273" s="256"/>
      <c r="DG52273" s="256"/>
    </row>
    <row r="52274" spans="104:111">
      <c r="CZ52274" s="256"/>
      <c r="DG52274" s="256"/>
    </row>
    <row r="52275" spans="104:111">
      <c r="CZ52275" s="256"/>
      <c r="DG52275" s="256"/>
    </row>
    <row r="52276" spans="104:111">
      <c r="CZ52276" s="256"/>
      <c r="DG52276" s="256"/>
    </row>
    <row r="52277" spans="104:111">
      <c r="CZ52277" s="256"/>
      <c r="DG52277" s="256"/>
    </row>
    <row r="52278" spans="104:111">
      <c r="CZ52278" s="256"/>
      <c r="DG52278" s="256"/>
    </row>
    <row r="52279" spans="104:111">
      <c r="CZ52279" s="256"/>
      <c r="DG52279" s="256"/>
    </row>
    <row r="52280" spans="104:111">
      <c r="CZ52280" s="256"/>
      <c r="DG52280" s="256"/>
    </row>
    <row r="52281" spans="104:111">
      <c r="CZ52281" s="256"/>
      <c r="DG52281" s="256"/>
    </row>
    <row r="52282" spans="104:111">
      <c r="CZ52282" s="256"/>
      <c r="DG52282" s="256"/>
    </row>
    <row r="52283" spans="104:111">
      <c r="CZ52283" s="256"/>
      <c r="DG52283" s="256"/>
    </row>
    <row r="52284" spans="104:111">
      <c r="CZ52284" s="256"/>
      <c r="DG52284" s="256"/>
    </row>
    <row r="52285" spans="104:111">
      <c r="CZ52285" s="256"/>
      <c r="DG52285" s="256"/>
    </row>
    <row r="52286" spans="104:111">
      <c r="CZ52286" s="256"/>
      <c r="DG52286" s="256"/>
    </row>
    <row r="52287" spans="104:111">
      <c r="CZ52287" s="256"/>
      <c r="DG52287" s="256"/>
    </row>
    <row r="52288" spans="104:111">
      <c r="CZ52288" s="256"/>
      <c r="DG52288" s="256"/>
    </row>
    <row r="52289" spans="104:111">
      <c r="CZ52289" s="256"/>
      <c r="DG52289" s="256"/>
    </row>
    <row r="52290" spans="104:111">
      <c r="CZ52290" s="256"/>
      <c r="DG52290" s="256"/>
    </row>
    <row r="52291" spans="104:111">
      <c r="CZ52291" s="256"/>
      <c r="DG52291" s="256"/>
    </row>
    <row r="52292" spans="104:111">
      <c r="CZ52292" s="256"/>
      <c r="DG52292" s="256"/>
    </row>
    <row r="52293" spans="104:111">
      <c r="CZ52293" s="256"/>
      <c r="DG52293" s="256"/>
    </row>
    <row r="52294" spans="104:111">
      <c r="CZ52294" s="256"/>
      <c r="DG52294" s="256"/>
    </row>
    <row r="52295" spans="104:111">
      <c r="CZ52295" s="256"/>
      <c r="DG52295" s="256"/>
    </row>
    <row r="52296" spans="104:111">
      <c r="CZ52296" s="256"/>
      <c r="DG52296" s="256"/>
    </row>
    <row r="52297" spans="104:111">
      <c r="CZ52297" s="256"/>
      <c r="DG52297" s="256"/>
    </row>
    <row r="52298" spans="104:111">
      <c r="CZ52298" s="256"/>
      <c r="DG52298" s="256"/>
    </row>
    <row r="52299" spans="104:111">
      <c r="CZ52299" s="256"/>
      <c r="DG52299" s="256"/>
    </row>
    <row r="52300" spans="104:111">
      <c r="CZ52300" s="256"/>
      <c r="DG52300" s="256"/>
    </row>
    <row r="52301" spans="104:111">
      <c r="CZ52301" s="256"/>
      <c r="DG52301" s="256"/>
    </row>
    <row r="52302" spans="104:111">
      <c r="CZ52302" s="256"/>
      <c r="DG52302" s="256"/>
    </row>
    <row r="52303" spans="104:111">
      <c r="CZ52303" s="256"/>
      <c r="DG52303" s="256"/>
    </row>
    <row r="52304" spans="104:111">
      <c r="CZ52304" s="256"/>
      <c r="DG52304" s="256"/>
    </row>
    <row r="52305" spans="104:111">
      <c r="CZ52305" s="256"/>
      <c r="DG52305" s="256"/>
    </row>
    <row r="52306" spans="104:111">
      <c r="CZ52306" s="256"/>
      <c r="DG52306" s="256"/>
    </row>
    <row r="52307" spans="104:111">
      <c r="CZ52307" s="256"/>
      <c r="DG52307" s="256"/>
    </row>
    <row r="52308" spans="104:111">
      <c r="CZ52308" s="256"/>
      <c r="DG52308" s="256"/>
    </row>
    <row r="52309" spans="104:111">
      <c r="CZ52309" s="256"/>
      <c r="DG52309" s="256"/>
    </row>
    <row r="52310" spans="104:111">
      <c r="CZ52310" s="256"/>
      <c r="DG52310" s="256"/>
    </row>
    <row r="52311" spans="104:111">
      <c r="CZ52311" s="256"/>
      <c r="DG52311" s="256"/>
    </row>
    <row r="52312" spans="104:111">
      <c r="CZ52312" s="256"/>
      <c r="DG52312" s="256"/>
    </row>
    <row r="52313" spans="104:111">
      <c r="CZ52313" s="256"/>
      <c r="DG52313" s="256"/>
    </row>
    <row r="52314" spans="104:111">
      <c r="CZ52314" s="256"/>
      <c r="DG52314" s="256"/>
    </row>
    <row r="52315" spans="104:111">
      <c r="CZ52315" s="256"/>
      <c r="DG52315" s="256"/>
    </row>
    <row r="52316" spans="104:111">
      <c r="CZ52316" s="256"/>
      <c r="DG52316" s="256"/>
    </row>
    <row r="52317" spans="104:111">
      <c r="CZ52317" s="256"/>
      <c r="DG52317" s="256"/>
    </row>
    <row r="52318" spans="104:111">
      <c r="CZ52318" s="256"/>
      <c r="DG52318" s="256"/>
    </row>
    <row r="52319" spans="104:111">
      <c r="CZ52319" s="256"/>
      <c r="DG52319" s="256"/>
    </row>
    <row r="52320" spans="104:111">
      <c r="CZ52320" s="256"/>
      <c r="DG52320" s="256"/>
    </row>
    <row r="52321" spans="104:111">
      <c r="CZ52321" s="256"/>
      <c r="DG52321" s="256"/>
    </row>
    <row r="52322" spans="104:111">
      <c r="CZ52322" s="256"/>
      <c r="DG52322" s="256"/>
    </row>
    <row r="52323" spans="104:111">
      <c r="CZ52323" s="256"/>
      <c r="DG52323" s="256"/>
    </row>
    <row r="52324" spans="104:111">
      <c r="CZ52324" s="256"/>
      <c r="DG52324" s="256"/>
    </row>
    <row r="52325" spans="104:111">
      <c r="CZ52325" s="256"/>
      <c r="DG52325" s="256"/>
    </row>
    <row r="52326" spans="104:111">
      <c r="CZ52326" s="256"/>
      <c r="DG52326" s="256"/>
    </row>
    <row r="52327" spans="104:111">
      <c r="CZ52327" s="256"/>
      <c r="DG52327" s="256"/>
    </row>
    <row r="52328" spans="104:111">
      <c r="CZ52328" s="256"/>
      <c r="DG52328" s="256"/>
    </row>
    <row r="52329" spans="104:111">
      <c r="CZ52329" s="256"/>
      <c r="DG52329" s="256"/>
    </row>
    <row r="52330" spans="104:111">
      <c r="CZ52330" s="256"/>
      <c r="DG52330" s="256"/>
    </row>
    <row r="52331" spans="104:111">
      <c r="CZ52331" s="256"/>
      <c r="DG52331" s="256"/>
    </row>
    <row r="52332" spans="104:111">
      <c r="CZ52332" s="256"/>
      <c r="DG52332" s="256"/>
    </row>
    <row r="52333" spans="104:111">
      <c r="CZ52333" s="256"/>
      <c r="DG52333" s="256"/>
    </row>
    <row r="52334" spans="104:111">
      <c r="CZ52334" s="256"/>
      <c r="DG52334" s="256"/>
    </row>
    <row r="52335" spans="104:111">
      <c r="CZ52335" s="256"/>
      <c r="DG52335" s="256"/>
    </row>
    <row r="52336" spans="104:111">
      <c r="CZ52336" s="256"/>
      <c r="DG52336" s="256"/>
    </row>
    <row r="52337" spans="104:111">
      <c r="CZ52337" s="256"/>
      <c r="DG52337" s="256"/>
    </row>
    <row r="52338" spans="104:111">
      <c r="CZ52338" s="256"/>
      <c r="DG52338" s="256"/>
    </row>
    <row r="52339" spans="104:111">
      <c r="CZ52339" s="256"/>
      <c r="DG52339" s="256"/>
    </row>
    <row r="52340" spans="104:111">
      <c r="CZ52340" s="256"/>
      <c r="DG52340" s="256"/>
    </row>
    <row r="52341" spans="104:111">
      <c r="CZ52341" s="256"/>
      <c r="DG52341" s="256"/>
    </row>
    <row r="52342" spans="104:111">
      <c r="CZ52342" s="256"/>
      <c r="DG52342" s="256"/>
    </row>
    <row r="52343" spans="104:111">
      <c r="CZ52343" s="256"/>
      <c r="DG52343" s="256"/>
    </row>
    <row r="52344" spans="104:111">
      <c r="CZ52344" s="256"/>
      <c r="DG52344" s="256"/>
    </row>
    <row r="52345" spans="104:111">
      <c r="CZ52345" s="256"/>
      <c r="DG52345" s="256"/>
    </row>
    <row r="52346" spans="104:111">
      <c r="CZ52346" s="256"/>
      <c r="DG52346" s="256"/>
    </row>
    <row r="52347" spans="104:111">
      <c r="CZ52347" s="256"/>
      <c r="DG52347" s="256"/>
    </row>
    <row r="52348" spans="104:111">
      <c r="CZ52348" s="256"/>
      <c r="DG52348" s="256"/>
    </row>
    <row r="52349" spans="104:111">
      <c r="CZ52349" s="256"/>
      <c r="DG52349" s="256"/>
    </row>
    <row r="52350" spans="104:111">
      <c r="CZ52350" s="256"/>
      <c r="DG52350" s="256"/>
    </row>
    <row r="52351" spans="104:111">
      <c r="CZ52351" s="256"/>
      <c r="DG52351" s="256"/>
    </row>
    <row r="52352" spans="104:111">
      <c r="CZ52352" s="256"/>
      <c r="DG52352" s="256"/>
    </row>
    <row r="52353" spans="104:111">
      <c r="CZ52353" s="256"/>
      <c r="DG52353" s="256"/>
    </row>
    <row r="52354" spans="104:111">
      <c r="CZ52354" s="256"/>
      <c r="DG52354" s="256"/>
    </row>
    <row r="52355" spans="104:111">
      <c r="CZ52355" s="256"/>
      <c r="DG52355" s="256"/>
    </row>
    <row r="52356" spans="104:111">
      <c r="CZ52356" s="256"/>
      <c r="DG52356" s="256"/>
    </row>
    <row r="52357" spans="104:111">
      <c r="CZ52357" s="256"/>
      <c r="DG52357" s="256"/>
    </row>
    <row r="52358" spans="104:111">
      <c r="CZ52358" s="256"/>
      <c r="DG52358" s="256"/>
    </row>
    <row r="52359" spans="104:111">
      <c r="CZ52359" s="256"/>
      <c r="DG52359" s="256"/>
    </row>
    <row r="52360" spans="104:111">
      <c r="CZ52360" s="256"/>
      <c r="DG52360" s="256"/>
    </row>
    <row r="52361" spans="104:111">
      <c r="CZ52361" s="256"/>
      <c r="DG52361" s="256"/>
    </row>
    <row r="52362" spans="104:111">
      <c r="CZ52362" s="256"/>
      <c r="DG52362" s="256"/>
    </row>
    <row r="52363" spans="104:111">
      <c r="CZ52363" s="256"/>
      <c r="DG52363" s="256"/>
    </row>
    <row r="52364" spans="104:111">
      <c r="CZ52364" s="256"/>
      <c r="DG52364" s="256"/>
    </row>
    <row r="52365" spans="104:111">
      <c r="CZ52365" s="256"/>
      <c r="DG52365" s="256"/>
    </row>
    <row r="52366" spans="104:111">
      <c r="CZ52366" s="256"/>
      <c r="DG52366" s="256"/>
    </row>
    <row r="52367" spans="104:111">
      <c r="CZ52367" s="256"/>
      <c r="DG52367" s="256"/>
    </row>
    <row r="52368" spans="104:111">
      <c r="CZ52368" s="256"/>
      <c r="DG52368" s="256"/>
    </row>
    <row r="52369" spans="104:111">
      <c r="CZ52369" s="256"/>
      <c r="DG52369" s="256"/>
    </row>
    <row r="52370" spans="104:111">
      <c r="CZ52370" s="256"/>
      <c r="DG52370" s="256"/>
    </row>
    <row r="52371" spans="104:111">
      <c r="CZ52371" s="256"/>
      <c r="DG52371" s="256"/>
    </row>
    <row r="52372" spans="104:111">
      <c r="CZ52372" s="256"/>
      <c r="DG52372" s="256"/>
    </row>
    <row r="52373" spans="104:111">
      <c r="CZ52373" s="256"/>
      <c r="DG52373" s="256"/>
    </row>
    <row r="52374" spans="104:111">
      <c r="CZ52374" s="256"/>
      <c r="DG52374" s="256"/>
    </row>
    <row r="52375" spans="104:111">
      <c r="CZ52375" s="256"/>
      <c r="DG52375" s="256"/>
    </row>
    <row r="52376" spans="104:111">
      <c r="CZ52376" s="256"/>
      <c r="DG52376" s="256"/>
    </row>
    <row r="52377" spans="104:111">
      <c r="CZ52377" s="256"/>
      <c r="DG52377" s="256"/>
    </row>
    <row r="52378" spans="104:111">
      <c r="CZ52378" s="256"/>
      <c r="DG52378" s="256"/>
    </row>
    <row r="52379" spans="104:111">
      <c r="CZ52379" s="256"/>
      <c r="DG52379" s="256"/>
    </row>
    <row r="52380" spans="104:111">
      <c r="CZ52380" s="256"/>
      <c r="DG52380" s="256"/>
    </row>
    <row r="52381" spans="104:111">
      <c r="CZ52381" s="256"/>
      <c r="DG52381" s="256"/>
    </row>
    <row r="52382" spans="104:111">
      <c r="CZ52382" s="256"/>
      <c r="DG52382" s="256"/>
    </row>
    <row r="52383" spans="104:111">
      <c r="CZ52383" s="256"/>
      <c r="DG52383" s="256"/>
    </row>
    <row r="52384" spans="104:111">
      <c r="CZ52384" s="256"/>
      <c r="DG52384" s="256"/>
    </row>
    <row r="52385" spans="104:111">
      <c r="CZ52385" s="256"/>
      <c r="DG52385" s="256"/>
    </row>
    <row r="52386" spans="104:111">
      <c r="CZ52386" s="256"/>
      <c r="DG52386" s="256"/>
    </row>
    <row r="52387" spans="104:111">
      <c r="CZ52387" s="256"/>
      <c r="DG52387" s="256"/>
    </row>
    <row r="52388" spans="104:111">
      <c r="CZ52388" s="256"/>
      <c r="DG52388" s="256"/>
    </row>
    <row r="52389" spans="104:111">
      <c r="CZ52389" s="256"/>
      <c r="DG52389" s="256"/>
    </row>
    <row r="52390" spans="104:111">
      <c r="CZ52390" s="256"/>
      <c r="DG52390" s="256"/>
    </row>
    <row r="52391" spans="104:111">
      <c r="CZ52391" s="256"/>
      <c r="DG52391" s="256"/>
    </row>
    <row r="52392" spans="104:111">
      <c r="CZ52392" s="256"/>
      <c r="DG52392" s="256"/>
    </row>
    <row r="52393" spans="104:111">
      <c r="CZ52393" s="256"/>
      <c r="DG52393" s="256"/>
    </row>
    <row r="52394" spans="104:111">
      <c r="CZ52394" s="256"/>
      <c r="DG52394" s="256"/>
    </row>
    <row r="52395" spans="104:111">
      <c r="CZ52395" s="256"/>
      <c r="DG52395" s="256"/>
    </row>
    <row r="52396" spans="104:111">
      <c r="CZ52396" s="256"/>
      <c r="DG52396" s="256"/>
    </row>
    <row r="52397" spans="104:111">
      <c r="CZ52397" s="256"/>
      <c r="DG52397" s="256"/>
    </row>
    <row r="52398" spans="104:111">
      <c r="CZ52398" s="256"/>
      <c r="DG52398" s="256"/>
    </row>
    <row r="52399" spans="104:111">
      <c r="CZ52399" s="256"/>
      <c r="DG52399" s="256"/>
    </row>
    <row r="52400" spans="104:111">
      <c r="CZ52400" s="256"/>
      <c r="DG52400" s="256"/>
    </row>
    <row r="52401" spans="104:111">
      <c r="CZ52401" s="256"/>
      <c r="DG52401" s="256"/>
    </row>
    <row r="52402" spans="104:111">
      <c r="CZ52402" s="256"/>
      <c r="DG52402" s="256"/>
    </row>
    <row r="52403" spans="104:111">
      <c r="CZ52403" s="256"/>
      <c r="DG52403" s="256"/>
    </row>
    <row r="52404" spans="104:111">
      <c r="CZ52404" s="256"/>
      <c r="DG52404" s="256"/>
    </row>
    <row r="52405" spans="104:111">
      <c r="CZ52405" s="256"/>
      <c r="DG52405" s="256"/>
    </row>
    <row r="52406" spans="104:111">
      <c r="CZ52406" s="256"/>
      <c r="DG52406" s="256"/>
    </row>
    <row r="52407" spans="104:111">
      <c r="CZ52407" s="256"/>
      <c r="DG52407" s="256"/>
    </row>
    <row r="52408" spans="104:111">
      <c r="CZ52408" s="256"/>
      <c r="DG52408" s="256"/>
    </row>
    <row r="52409" spans="104:111">
      <c r="CZ52409" s="256"/>
      <c r="DG52409" s="256"/>
    </row>
    <row r="52410" spans="104:111">
      <c r="CZ52410" s="256"/>
      <c r="DG52410" s="256"/>
    </row>
    <row r="52411" spans="104:111">
      <c r="CZ52411" s="256"/>
      <c r="DG52411" s="256"/>
    </row>
    <row r="52412" spans="104:111">
      <c r="CZ52412" s="256"/>
      <c r="DG52412" s="256"/>
    </row>
    <row r="52413" spans="104:111">
      <c r="CZ52413" s="256"/>
      <c r="DG52413" s="256"/>
    </row>
    <row r="52414" spans="104:111">
      <c r="CZ52414" s="256"/>
      <c r="DG52414" s="256"/>
    </row>
    <row r="52415" spans="104:111">
      <c r="CZ52415" s="256"/>
      <c r="DG52415" s="256"/>
    </row>
    <row r="52416" spans="104:111">
      <c r="CZ52416" s="256"/>
      <c r="DG52416" s="256"/>
    </row>
    <row r="52417" spans="104:111">
      <c r="CZ52417" s="256"/>
      <c r="DG52417" s="256"/>
    </row>
    <row r="52418" spans="104:111">
      <c r="CZ52418" s="256"/>
      <c r="DG52418" s="256"/>
    </row>
    <row r="52419" spans="104:111">
      <c r="CZ52419" s="256"/>
      <c r="DG52419" s="256"/>
    </row>
    <row r="52420" spans="104:111">
      <c r="CZ52420" s="256"/>
      <c r="DG52420" s="256"/>
    </row>
    <row r="52421" spans="104:111">
      <c r="CZ52421" s="256"/>
      <c r="DG52421" s="256"/>
    </row>
    <row r="52422" spans="104:111">
      <c r="CZ52422" s="256"/>
      <c r="DG52422" s="256"/>
    </row>
    <row r="52423" spans="104:111">
      <c r="CZ52423" s="256"/>
      <c r="DG52423" s="256"/>
    </row>
    <row r="52424" spans="104:111">
      <c r="CZ52424" s="256"/>
      <c r="DG52424" s="256"/>
    </row>
    <row r="52425" spans="104:111">
      <c r="CZ52425" s="256"/>
      <c r="DG52425" s="256"/>
    </row>
    <row r="52426" spans="104:111">
      <c r="CZ52426" s="256"/>
      <c r="DG52426" s="256"/>
    </row>
    <row r="52427" spans="104:111">
      <c r="CZ52427" s="256"/>
      <c r="DG52427" s="256"/>
    </row>
    <row r="52428" spans="104:111">
      <c r="CZ52428" s="256"/>
      <c r="DG52428" s="256"/>
    </row>
    <row r="52429" spans="104:111">
      <c r="CZ52429" s="256"/>
      <c r="DG52429" s="256"/>
    </row>
    <row r="52430" spans="104:111">
      <c r="CZ52430" s="256"/>
      <c r="DG52430" s="256"/>
    </row>
    <row r="52431" spans="104:111">
      <c r="CZ52431" s="256"/>
      <c r="DG52431" s="256"/>
    </row>
    <row r="52432" spans="104:111">
      <c r="CZ52432" s="256"/>
      <c r="DG52432" s="256"/>
    </row>
    <row r="52433" spans="104:111">
      <c r="CZ52433" s="256"/>
      <c r="DG52433" s="256"/>
    </row>
    <row r="52434" spans="104:111">
      <c r="CZ52434" s="256"/>
      <c r="DG52434" s="256"/>
    </row>
    <row r="52435" spans="104:111">
      <c r="CZ52435" s="256"/>
      <c r="DG52435" s="256"/>
    </row>
    <row r="52436" spans="104:111">
      <c r="CZ52436" s="256"/>
      <c r="DG52436" s="256"/>
    </row>
    <row r="52437" spans="104:111">
      <c r="CZ52437" s="256"/>
      <c r="DG52437" s="256"/>
    </row>
    <row r="52438" spans="104:111">
      <c r="CZ52438" s="256"/>
      <c r="DG52438" s="256"/>
    </row>
    <row r="52439" spans="104:111">
      <c r="CZ52439" s="256"/>
      <c r="DG52439" s="256"/>
    </row>
    <row r="52440" spans="104:111">
      <c r="CZ52440" s="256"/>
      <c r="DG52440" s="256"/>
    </row>
    <row r="52441" spans="104:111">
      <c r="CZ52441" s="256"/>
      <c r="DG52441" s="256"/>
    </row>
    <row r="52442" spans="104:111">
      <c r="CZ52442" s="256"/>
      <c r="DG52442" s="256"/>
    </row>
    <row r="52443" spans="104:111">
      <c r="CZ52443" s="256"/>
      <c r="DG52443" s="256"/>
    </row>
    <row r="52444" spans="104:111">
      <c r="CZ52444" s="256"/>
      <c r="DG52444" s="256"/>
    </row>
    <row r="52445" spans="104:111">
      <c r="CZ52445" s="256"/>
      <c r="DG52445" s="256"/>
    </row>
    <row r="52446" spans="104:111">
      <c r="CZ52446" s="256"/>
      <c r="DG52446" s="256"/>
    </row>
    <row r="52447" spans="104:111">
      <c r="CZ52447" s="256"/>
      <c r="DG52447" s="256"/>
    </row>
    <row r="52448" spans="104:111">
      <c r="CZ52448" s="256"/>
      <c r="DG52448" s="256"/>
    </row>
    <row r="52449" spans="104:111">
      <c r="CZ52449" s="256"/>
      <c r="DG52449" s="256"/>
    </row>
    <row r="52450" spans="104:111">
      <c r="CZ52450" s="256"/>
      <c r="DG52450" s="256"/>
    </row>
    <row r="52451" spans="104:111">
      <c r="CZ52451" s="256"/>
      <c r="DG52451" s="256"/>
    </row>
    <row r="52452" spans="104:111">
      <c r="CZ52452" s="256"/>
      <c r="DG52452" s="256"/>
    </row>
    <row r="52453" spans="104:111">
      <c r="CZ52453" s="256"/>
      <c r="DG52453" s="256"/>
    </row>
    <row r="52454" spans="104:111">
      <c r="CZ52454" s="256"/>
      <c r="DG52454" s="256"/>
    </row>
    <row r="52455" spans="104:111">
      <c r="CZ52455" s="256"/>
      <c r="DG52455" s="256"/>
    </row>
    <row r="52456" spans="104:111">
      <c r="CZ52456" s="256"/>
      <c r="DG52456" s="256"/>
    </row>
    <row r="52457" spans="104:111">
      <c r="CZ52457" s="256"/>
      <c r="DG52457" s="256"/>
    </row>
    <row r="52458" spans="104:111">
      <c r="CZ52458" s="256"/>
      <c r="DG52458" s="256"/>
    </row>
    <row r="52459" spans="104:111">
      <c r="CZ52459" s="256"/>
      <c r="DG52459" s="256"/>
    </row>
    <row r="52460" spans="104:111">
      <c r="CZ52460" s="256"/>
      <c r="DG52460" s="256"/>
    </row>
    <row r="52461" spans="104:111">
      <c r="CZ52461" s="256"/>
      <c r="DG52461" s="256"/>
    </row>
    <row r="52462" spans="104:111">
      <c r="CZ52462" s="256"/>
      <c r="DG52462" s="256"/>
    </row>
    <row r="52463" spans="104:111">
      <c r="CZ52463" s="256"/>
      <c r="DG52463" s="256"/>
    </row>
    <row r="52464" spans="104:111">
      <c r="CZ52464" s="256"/>
      <c r="DG52464" s="256"/>
    </row>
    <row r="52465" spans="104:111">
      <c r="CZ52465" s="256"/>
      <c r="DG52465" s="256"/>
    </row>
    <row r="52466" spans="104:111">
      <c r="CZ52466" s="256"/>
      <c r="DG52466" s="256"/>
    </row>
    <row r="52467" spans="104:111">
      <c r="CZ52467" s="256"/>
      <c r="DG52467" s="256"/>
    </row>
    <row r="52468" spans="104:111">
      <c r="CZ52468" s="256"/>
      <c r="DG52468" s="256"/>
    </row>
    <row r="52469" spans="104:111">
      <c r="CZ52469" s="256"/>
      <c r="DG52469" s="256"/>
    </row>
    <row r="52470" spans="104:111">
      <c r="CZ52470" s="256"/>
      <c r="DG52470" s="256"/>
    </row>
    <row r="52471" spans="104:111">
      <c r="CZ52471" s="256"/>
      <c r="DG52471" s="256"/>
    </row>
    <row r="52472" spans="104:111">
      <c r="CZ52472" s="256"/>
      <c r="DG52472" s="256"/>
    </row>
    <row r="52473" spans="104:111">
      <c r="CZ52473" s="256"/>
      <c r="DG52473" s="256"/>
    </row>
    <row r="52474" spans="104:111">
      <c r="CZ52474" s="256"/>
      <c r="DG52474" s="256"/>
    </row>
    <row r="52475" spans="104:111">
      <c r="CZ52475" s="256"/>
      <c r="DG52475" s="256"/>
    </row>
    <row r="52476" spans="104:111">
      <c r="CZ52476" s="256"/>
      <c r="DG52476" s="256"/>
    </row>
    <row r="52477" spans="104:111">
      <c r="CZ52477" s="256"/>
      <c r="DG52477" s="256"/>
    </row>
    <row r="52478" spans="104:111">
      <c r="CZ52478" s="256"/>
      <c r="DG52478" s="256"/>
    </row>
    <row r="52479" spans="104:111">
      <c r="CZ52479" s="256"/>
      <c r="DG52479" s="256"/>
    </row>
    <row r="52480" spans="104:111">
      <c r="CZ52480" s="256"/>
      <c r="DG52480" s="256"/>
    </row>
    <row r="52481" spans="104:111">
      <c r="CZ52481" s="256"/>
      <c r="DG52481" s="256"/>
    </row>
    <row r="52482" spans="104:111">
      <c r="CZ52482" s="256"/>
      <c r="DG52482" s="256"/>
    </row>
    <row r="52483" spans="104:111">
      <c r="CZ52483" s="256"/>
      <c r="DG52483" s="256"/>
    </row>
    <row r="52484" spans="104:111">
      <c r="CZ52484" s="256"/>
      <c r="DG52484" s="256"/>
    </row>
    <row r="52485" spans="104:111">
      <c r="CZ52485" s="256"/>
      <c r="DG52485" s="256"/>
    </row>
    <row r="52486" spans="104:111">
      <c r="CZ52486" s="256"/>
      <c r="DG52486" s="256"/>
    </row>
    <row r="52487" spans="104:111">
      <c r="CZ52487" s="256"/>
      <c r="DG52487" s="256"/>
    </row>
    <row r="52488" spans="104:111">
      <c r="CZ52488" s="256"/>
      <c r="DG52488" s="256"/>
    </row>
    <row r="52489" spans="104:111">
      <c r="CZ52489" s="256"/>
      <c r="DG52489" s="256"/>
    </row>
    <row r="52490" spans="104:111">
      <c r="CZ52490" s="256"/>
      <c r="DG52490" s="256"/>
    </row>
    <row r="52491" spans="104:111">
      <c r="CZ52491" s="256"/>
      <c r="DG52491" s="256"/>
    </row>
    <row r="52492" spans="104:111">
      <c r="CZ52492" s="256"/>
      <c r="DG52492" s="256"/>
    </row>
    <row r="52493" spans="104:111">
      <c r="CZ52493" s="256"/>
      <c r="DG52493" s="256"/>
    </row>
    <row r="52494" spans="104:111">
      <c r="CZ52494" s="256"/>
      <c r="DG52494" s="256"/>
    </row>
    <row r="52495" spans="104:111">
      <c r="CZ52495" s="256"/>
      <c r="DG52495" s="256"/>
    </row>
    <row r="52496" spans="104:111">
      <c r="CZ52496" s="256"/>
      <c r="DG52496" s="256"/>
    </row>
    <row r="52497" spans="104:111">
      <c r="CZ52497" s="256"/>
      <c r="DG52497" s="256"/>
    </row>
    <row r="52498" spans="104:111">
      <c r="CZ52498" s="256"/>
      <c r="DG52498" s="256"/>
    </row>
    <row r="52499" spans="104:111">
      <c r="CZ52499" s="256"/>
      <c r="DG52499" s="256"/>
    </row>
    <row r="52500" spans="104:111">
      <c r="CZ52500" s="256"/>
      <c r="DG52500" s="256"/>
    </row>
    <row r="52501" spans="104:111">
      <c r="CZ52501" s="256"/>
      <c r="DG52501" s="256"/>
    </row>
    <row r="52502" spans="104:111">
      <c r="CZ52502" s="256"/>
      <c r="DG52502" s="256"/>
    </row>
    <row r="52503" spans="104:111">
      <c r="CZ52503" s="256"/>
      <c r="DG52503" s="256"/>
    </row>
    <row r="52504" spans="104:111">
      <c r="CZ52504" s="256"/>
      <c r="DG52504" s="256"/>
    </row>
    <row r="52505" spans="104:111">
      <c r="CZ52505" s="256"/>
      <c r="DG52505" s="256"/>
    </row>
    <row r="52506" spans="104:111">
      <c r="CZ52506" s="256"/>
      <c r="DG52506" s="256"/>
    </row>
    <row r="52507" spans="104:111">
      <c r="CZ52507" s="256"/>
      <c r="DG52507" s="256"/>
    </row>
    <row r="52508" spans="104:111">
      <c r="CZ52508" s="256"/>
      <c r="DG52508" s="256"/>
    </row>
    <row r="52509" spans="104:111">
      <c r="CZ52509" s="256"/>
      <c r="DG52509" s="256"/>
    </row>
    <row r="52510" spans="104:111">
      <c r="CZ52510" s="256"/>
      <c r="DG52510" s="256"/>
    </row>
    <row r="52511" spans="104:111">
      <c r="CZ52511" s="256"/>
      <c r="DG52511" s="256"/>
    </row>
    <row r="52512" spans="104:111">
      <c r="CZ52512" s="256"/>
      <c r="DG52512" s="256"/>
    </row>
    <row r="52513" spans="104:111">
      <c r="CZ52513" s="256"/>
      <c r="DG52513" s="256"/>
    </row>
    <row r="52514" spans="104:111">
      <c r="CZ52514" s="256"/>
      <c r="DG52514" s="256"/>
    </row>
    <row r="52515" spans="104:111">
      <c r="CZ52515" s="256"/>
      <c r="DG52515" s="256"/>
    </row>
    <row r="52516" spans="104:111">
      <c r="CZ52516" s="256"/>
      <c r="DG52516" s="256"/>
    </row>
    <row r="52517" spans="104:111">
      <c r="CZ52517" s="256"/>
      <c r="DG52517" s="256"/>
    </row>
    <row r="52518" spans="104:111">
      <c r="CZ52518" s="256"/>
      <c r="DG52518" s="256"/>
    </row>
    <row r="52519" spans="104:111">
      <c r="CZ52519" s="256"/>
      <c r="DG52519" s="256"/>
    </row>
    <row r="52520" spans="104:111">
      <c r="CZ52520" s="256"/>
      <c r="DG52520" s="256"/>
    </row>
    <row r="52521" spans="104:111">
      <c r="CZ52521" s="256"/>
      <c r="DG52521" s="256"/>
    </row>
    <row r="52522" spans="104:111">
      <c r="CZ52522" s="256"/>
      <c r="DG52522" s="256"/>
    </row>
    <row r="52523" spans="104:111">
      <c r="CZ52523" s="256"/>
      <c r="DG52523" s="256"/>
    </row>
    <row r="52524" spans="104:111">
      <c r="CZ52524" s="256"/>
      <c r="DG52524" s="256"/>
    </row>
    <row r="52525" spans="104:111">
      <c r="CZ52525" s="256"/>
      <c r="DG52525" s="256"/>
    </row>
    <row r="52526" spans="104:111">
      <c r="CZ52526" s="256"/>
      <c r="DG52526" s="256"/>
    </row>
    <row r="52527" spans="104:111">
      <c r="CZ52527" s="256"/>
      <c r="DG52527" s="256"/>
    </row>
    <row r="52528" spans="104:111">
      <c r="CZ52528" s="256"/>
      <c r="DG52528" s="256"/>
    </row>
    <row r="52529" spans="104:111">
      <c r="CZ52529" s="256"/>
      <c r="DG52529" s="256"/>
    </row>
    <row r="52530" spans="104:111">
      <c r="CZ52530" s="256"/>
      <c r="DG52530" s="256"/>
    </row>
    <row r="52531" spans="104:111">
      <c r="CZ52531" s="256"/>
      <c r="DG52531" s="256"/>
    </row>
    <row r="52532" spans="104:111">
      <c r="CZ52532" s="256"/>
      <c r="DG52532" s="256"/>
    </row>
    <row r="52533" spans="104:111">
      <c r="CZ52533" s="256"/>
      <c r="DG52533" s="256"/>
    </row>
    <row r="52534" spans="104:111">
      <c r="CZ52534" s="256"/>
      <c r="DG52534" s="256"/>
    </row>
    <row r="52535" spans="104:111">
      <c r="CZ52535" s="256"/>
      <c r="DG52535" s="256"/>
    </row>
    <row r="52536" spans="104:111">
      <c r="CZ52536" s="256"/>
      <c r="DG52536" s="256"/>
    </row>
    <row r="52537" spans="104:111">
      <c r="CZ52537" s="256"/>
      <c r="DG52537" s="256"/>
    </row>
    <row r="52538" spans="104:111">
      <c r="CZ52538" s="256"/>
      <c r="DG52538" s="256"/>
    </row>
    <row r="52539" spans="104:111">
      <c r="CZ52539" s="256"/>
      <c r="DG52539" s="256"/>
    </row>
    <row r="52540" spans="104:111">
      <c r="CZ52540" s="256"/>
      <c r="DG52540" s="256"/>
    </row>
    <row r="52541" spans="104:111">
      <c r="CZ52541" s="256"/>
      <c r="DG52541" s="256"/>
    </row>
    <row r="52542" spans="104:111">
      <c r="CZ52542" s="256"/>
      <c r="DG52542" s="256"/>
    </row>
    <row r="52543" spans="104:111">
      <c r="CZ52543" s="256"/>
      <c r="DG52543" s="256"/>
    </row>
    <row r="52544" spans="104:111">
      <c r="CZ52544" s="256"/>
      <c r="DG52544" s="256"/>
    </row>
    <row r="52545" spans="104:111">
      <c r="CZ52545" s="256"/>
      <c r="DG52545" s="256"/>
    </row>
    <row r="52546" spans="104:111">
      <c r="CZ52546" s="256"/>
      <c r="DG52546" s="256"/>
    </row>
    <row r="52547" spans="104:111">
      <c r="CZ52547" s="256"/>
      <c r="DG52547" s="256"/>
    </row>
    <row r="52548" spans="104:111">
      <c r="CZ52548" s="256"/>
      <c r="DG52548" s="256"/>
    </row>
    <row r="52549" spans="104:111">
      <c r="CZ52549" s="256"/>
      <c r="DG52549" s="256"/>
    </row>
    <row r="52550" spans="104:111">
      <c r="CZ52550" s="256"/>
      <c r="DG52550" s="256"/>
    </row>
    <row r="52551" spans="104:111">
      <c r="CZ52551" s="256"/>
      <c r="DG52551" s="256"/>
    </row>
    <row r="52552" spans="104:111">
      <c r="CZ52552" s="256"/>
      <c r="DG52552" s="256"/>
    </row>
    <row r="52553" spans="104:111">
      <c r="CZ52553" s="256"/>
      <c r="DG52553" s="256"/>
    </row>
    <row r="52554" spans="104:111">
      <c r="CZ52554" s="256"/>
      <c r="DG52554" s="256"/>
    </row>
    <row r="52555" spans="104:111">
      <c r="CZ52555" s="256"/>
      <c r="DG52555" s="256"/>
    </row>
    <row r="52556" spans="104:111">
      <c r="CZ52556" s="256"/>
      <c r="DG52556" s="256"/>
    </row>
    <row r="52557" spans="104:111">
      <c r="CZ52557" s="256"/>
      <c r="DG52557" s="256"/>
    </row>
    <row r="52558" spans="104:111">
      <c r="CZ52558" s="256"/>
      <c r="DG52558" s="256"/>
    </row>
    <row r="52559" spans="104:111">
      <c r="CZ52559" s="256"/>
      <c r="DG52559" s="256"/>
    </row>
    <row r="52560" spans="104:111">
      <c r="CZ52560" s="256"/>
      <c r="DG52560" s="256"/>
    </row>
    <row r="52561" spans="104:111">
      <c r="CZ52561" s="256"/>
      <c r="DG52561" s="256"/>
    </row>
    <row r="52562" spans="104:111">
      <c r="CZ52562" s="256"/>
      <c r="DG52562" s="256"/>
    </row>
    <row r="52563" spans="104:111">
      <c r="CZ52563" s="256"/>
      <c r="DG52563" s="256"/>
    </row>
    <row r="52564" spans="104:111">
      <c r="CZ52564" s="256"/>
      <c r="DG52564" s="256"/>
    </row>
    <row r="52565" spans="104:111">
      <c r="CZ52565" s="256"/>
      <c r="DG52565" s="256"/>
    </row>
    <row r="52566" spans="104:111">
      <c r="CZ52566" s="256"/>
      <c r="DG52566" s="256"/>
    </row>
    <row r="52567" spans="104:111">
      <c r="CZ52567" s="256"/>
      <c r="DG52567" s="256"/>
    </row>
    <row r="52568" spans="104:111">
      <c r="CZ52568" s="256"/>
      <c r="DG52568" s="256"/>
    </row>
    <row r="52569" spans="104:111">
      <c r="CZ52569" s="256"/>
      <c r="DG52569" s="256"/>
    </row>
    <row r="52570" spans="104:111">
      <c r="CZ52570" s="256"/>
      <c r="DG52570" s="256"/>
    </row>
    <row r="52571" spans="104:111">
      <c r="CZ52571" s="256"/>
      <c r="DG52571" s="256"/>
    </row>
    <row r="52572" spans="104:111">
      <c r="CZ52572" s="256"/>
      <c r="DG52572" s="256"/>
    </row>
    <row r="52573" spans="104:111">
      <c r="CZ52573" s="256"/>
      <c r="DG52573" s="256"/>
    </row>
    <row r="52574" spans="104:111">
      <c r="CZ52574" s="256"/>
      <c r="DG52574" s="256"/>
    </row>
    <row r="52575" spans="104:111">
      <c r="CZ52575" s="256"/>
      <c r="DG52575" s="256"/>
    </row>
    <row r="52576" spans="104:111">
      <c r="CZ52576" s="256"/>
      <c r="DG52576" s="256"/>
    </row>
    <row r="52577" spans="104:111">
      <c r="CZ52577" s="256"/>
      <c r="DG52577" s="256"/>
    </row>
    <row r="52578" spans="104:111">
      <c r="CZ52578" s="256"/>
      <c r="DG52578" s="256"/>
    </row>
    <row r="52579" spans="104:111">
      <c r="CZ52579" s="256"/>
      <c r="DG52579" s="256"/>
    </row>
    <row r="52580" spans="104:111">
      <c r="CZ52580" s="256"/>
      <c r="DG52580" s="256"/>
    </row>
    <row r="52581" spans="104:111">
      <c r="CZ52581" s="256"/>
      <c r="DG52581" s="256"/>
    </row>
    <row r="52582" spans="104:111">
      <c r="CZ52582" s="256"/>
      <c r="DG52582" s="256"/>
    </row>
    <row r="52583" spans="104:111">
      <c r="CZ52583" s="256"/>
      <c r="DG52583" s="256"/>
    </row>
    <row r="52584" spans="104:111">
      <c r="CZ52584" s="256"/>
      <c r="DG52584" s="256"/>
    </row>
    <row r="52585" spans="104:111">
      <c r="CZ52585" s="256"/>
      <c r="DG52585" s="256"/>
    </row>
    <row r="52586" spans="104:111">
      <c r="CZ52586" s="256"/>
      <c r="DG52586" s="256"/>
    </row>
    <row r="52587" spans="104:111">
      <c r="CZ52587" s="256"/>
      <c r="DG52587" s="256"/>
    </row>
    <row r="52588" spans="104:111">
      <c r="CZ52588" s="256"/>
      <c r="DG52588" s="256"/>
    </row>
    <row r="52589" spans="104:111">
      <c r="CZ52589" s="256"/>
      <c r="DG52589" s="256"/>
    </row>
    <row r="52590" spans="104:111">
      <c r="CZ52590" s="256"/>
      <c r="DG52590" s="256"/>
    </row>
    <row r="52591" spans="104:111">
      <c r="CZ52591" s="256"/>
      <c r="DG52591" s="256"/>
    </row>
    <row r="52592" spans="104:111">
      <c r="CZ52592" s="256"/>
      <c r="DG52592" s="256"/>
    </row>
    <row r="52593" spans="104:111">
      <c r="CZ52593" s="256"/>
      <c r="DG52593" s="256"/>
    </row>
    <row r="52594" spans="104:111">
      <c r="CZ52594" s="256"/>
      <c r="DG52594" s="256"/>
    </row>
    <row r="52595" spans="104:111">
      <c r="CZ52595" s="256"/>
      <c r="DG52595" s="256"/>
    </row>
    <row r="52596" spans="104:111">
      <c r="CZ52596" s="256"/>
      <c r="DG52596" s="256"/>
    </row>
    <row r="52597" spans="104:111">
      <c r="CZ52597" s="256"/>
      <c r="DG52597" s="256"/>
    </row>
    <row r="52598" spans="104:111">
      <c r="CZ52598" s="256"/>
      <c r="DG52598" s="256"/>
    </row>
    <row r="52599" spans="104:111">
      <c r="CZ52599" s="256"/>
      <c r="DG52599" s="256"/>
    </row>
    <row r="52600" spans="104:111">
      <c r="CZ52600" s="256"/>
      <c r="DG52600" s="256"/>
    </row>
    <row r="52601" spans="104:111">
      <c r="CZ52601" s="256"/>
      <c r="DG52601" s="256"/>
    </row>
    <row r="52602" spans="104:111">
      <c r="CZ52602" s="256"/>
      <c r="DG52602" s="256"/>
    </row>
    <row r="52603" spans="104:111">
      <c r="CZ52603" s="256"/>
      <c r="DG52603" s="256"/>
    </row>
    <row r="52604" spans="104:111">
      <c r="CZ52604" s="256"/>
      <c r="DG52604" s="256"/>
    </row>
    <row r="52605" spans="104:111">
      <c r="CZ52605" s="256"/>
      <c r="DG52605" s="256"/>
    </row>
    <row r="52606" spans="104:111">
      <c r="CZ52606" s="256"/>
      <c r="DG52606" s="256"/>
    </row>
    <row r="52607" spans="104:111">
      <c r="CZ52607" s="256"/>
      <c r="DG52607" s="256"/>
    </row>
    <row r="52608" spans="104:111">
      <c r="CZ52608" s="256"/>
      <c r="DG52608" s="256"/>
    </row>
    <row r="52609" spans="104:111">
      <c r="CZ52609" s="256"/>
      <c r="DG52609" s="256"/>
    </row>
    <row r="52610" spans="104:111">
      <c r="CZ52610" s="256"/>
      <c r="DG52610" s="256"/>
    </row>
    <row r="52611" spans="104:111">
      <c r="CZ52611" s="256"/>
      <c r="DG52611" s="256"/>
    </row>
    <row r="52612" spans="104:111">
      <c r="CZ52612" s="256"/>
      <c r="DG52612" s="256"/>
    </row>
    <row r="52613" spans="104:111">
      <c r="CZ52613" s="256"/>
      <c r="DG52613" s="256"/>
    </row>
    <row r="52614" spans="104:111">
      <c r="CZ52614" s="256"/>
      <c r="DG52614" s="256"/>
    </row>
    <row r="52615" spans="104:111">
      <c r="CZ52615" s="256"/>
      <c r="DG52615" s="256"/>
    </row>
    <row r="52616" spans="104:111">
      <c r="CZ52616" s="256"/>
      <c r="DG52616" s="256"/>
    </row>
    <row r="52617" spans="104:111">
      <c r="CZ52617" s="256"/>
      <c r="DG52617" s="256"/>
    </row>
    <row r="52618" spans="104:111">
      <c r="CZ52618" s="256"/>
      <c r="DG52618" s="256"/>
    </row>
    <row r="52619" spans="104:111">
      <c r="CZ52619" s="256"/>
      <c r="DG52619" s="256"/>
    </row>
    <row r="52620" spans="104:111">
      <c r="CZ52620" s="256"/>
      <c r="DG52620" s="256"/>
    </row>
    <row r="52621" spans="104:111">
      <c r="CZ52621" s="256"/>
      <c r="DG52621" s="256"/>
    </row>
    <row r="52622" spans="104:111">
      <c r="CZ52622" s="256"/>
      <c r="DG52622" s="256"/>
    </row>
    <row r="52623" spans="104:111">
      <c r="CZ52623" s="256"/>
      <c r="DG52623" s="256"/>
    </row>
    <row r="52624" spans="104:111">
      <c r="CZ52624" s="256"/>
      <c r="DG52624" s="256"/>
    </row>
    <row r="52625" spans="104:111">
      <c r="CZ52625" s="256"/>
      <c r="DG52625" s="256"/>
    </row>
    <row r="52626" spans="104:111">
      <c r="CZ52626" s="256"/>
      <c r="DG52626" s="256"/>
    </row>
    <row r="52627" spans="104:111">
      <c r="CZ52627" s="256"/>
      <c r="DG52627" s="256"/>
    </row>
    <row r="52628" spans="104:111">
      <c r="CZ52628" s="256"/>
      <c r="DG52628" s="256"/>
    </row>
    <row r="52629" spans="104:111">
      <c r="CZ52629" s="256"/>
      <c r="DG52629" s="256"/>
    </row>
    <row r="52630" spans="104:111">
      <c r="CZ52630" s="256"/>
      <c r="DG52630" s="256"/>
    </row>
    <row r="52631" spans="104:111">
      <c r="CZ52631" s="256"/>
      <c r="DG52631" s="256"/>
    </row>
    <row r="52632" spans="104:111">
      <c r="CZ52632" s="256"/>
      <c r="DG52632" s="256"/>
    </row>
    <row r="52633" spans="104:111">
      <c r="CZ52633" s="256"/>
      <c r="DG52633" s="256"/>
    </row>
    <row r="52634" spans="104:111">
      <c r="CZ52634" s="256"/>
      <c r="DG52634" s="256"/>
    </row>
    <row r="52635" spans="104:111">
      <c r="CZ52635" s="256"/>
      <c r="DG52635" s="256"/>
    </row>
    <row r="52636" spans="104:111">
      <c r="CZ52636" s="256"/>
      <c r="DG52636" s="256"/>
    </row>
    <row r="52637" spans="104:111">
      <c r="CZ52637" s="256"/>
      <c r="DG52637" s="256"/>
    </row>
    <row r="52638" spans="104:111">
      <c r="CZ52638" s="256"/>
      <c r="DG52638" s="256"/>
    </row>
    <row r="52639" spans="104:111">
      <c r="CZ52639" s="256"/>
      <c r="DG52639" s="256"/>
    </row>
    <row r="52640" spans="104:111">
      <c r="CZ52640" s="256"/>
      <c r="DG52640" s="256"/>
    </row>
    <row r="52641" spans="104:111">
      <c r="CZ52641" s="256"/>
      <c r="DG52641" s="256"/>
    </row>
    <row r="52642" spans="104:111">
      <c r="CZ52642" s="256"/>
      <c r="DG52642" s="256"/>
    </row>
    <row r="52643" spans="104:111">
      <c r="CZ52643" s="256"/>
      <c r="DG52643" s="256"/>
    </row>
    <row r="52644" spans="104:111">
      <c r="CZ52644" s="256"/>
      <c r="DG52644" s="256"/>
    </row>
    <row r="52645" spans="104:111">
      <c r="CZ52645" s="256"/>
      <c r="DG52645" s="256"/>
    </row>
    <row r="52646" spans="104:111">
      <c r="CZ52646" s="256"/>
      <c r="DG52646" s="256"/>
    </row>
    <row r="52647" spans="104:111">
      <c r="CZ52647" s="256"/>
      <c r="DG52647" s="256"/>
    </row>
    <row r="52648" spans="104:111">
      <c r="CZ52648" s="256"/>
      <c r="DG52648" s="256"/>
    </row>
    <row r="52649" spans="104:111">
      <c r="CZ52649" s="256"/>
      <c r="DG52649" s="256"/>
    </row>
    <row r="52650" spans="104:111">
      <c r="CZ52650" s="256"/>
      <c r="DG52650" s="256"/>
    </row>
    <row r="52651" spans="104:111">
      <c r="CZ52651" s="256"/>
      <c r="DG52651" s="256"/>
    </row>
    <row r="52652" spans="104:111">
      <c r="CZ52652" s="256"/>
      <c r="DG52652" s="256"/>
    </row>
    <row r="52653" spans="104:111">
      <c r="CZ52653" s="256"/>
      <c r="DG52653" s="256"/>
    </row>
    <row r="52654" spans="104:111">
      <c r="CZ52654" s="256"/>
      <c r="DG52654" s="256"/>
    </row>
    <row r="52655" spans="104:111">
      <c r="CZ52655" s="256"/>
      <c r="DG52655" s="256"/>
    </row>
    <row r="52656" spans="104:111">
      <c r="CZ52656" s="256"/>
      <c r="DG52656" s="256"/>
    </row>
    <row r="52657" spans="104:111">
      <c r="CZ52657" s="256"/>
      <c r="DG52657" s="256"/>
    </row>
    <row r="52658" spans="104:111">
      <c r="CZ52658" s="256"/>
      <c r="DG52658" s="256"/>
    </row>
    <row r="52659" spans="104:111">
      <c r="CZ52659" s="256"/>
      <c r="DG52659" s="256"/>
    </row>
    <row r="52660" spans="104:111">
      <c r="CZ52660" s="256"/>
      <c r="DG52660" s="256"/>
    </row>
    <row r="52661" spans="104:111">
      <c r="CZ52661" s="256"/>
      <c r="DG52661" s="256"/>
    </row>
    <row r="52662" spans="104:111">
      <c r="CZ52662" s="256"/>
      <c r="DG52662" s="256"/>
    </row>
    <row r="52663" spans="104:111">
      <c r="CZ52663" s="256"/>
      <c r="DG52663" s="256"/>
    </row>
    <row r="52664" spans="104:111">
      <c r="CZ52664" s="256"/>
      <c r="DG52664" s="256"/>
    </row>
    <row r="52665" spans="104:111">
      <c r="CZ52665" s="256"/>
      <c r="DG52665" s="256"/>
    </row>
    <row r="52666" spans="104:111">
      <c r="CZ52666" s="256"/>
      <c r="DG52666" s="256"/>
    </row>
    <row r="52667" spans="104:111">
      <c r="CZ52667" s="256"/>
      <c r="DG52667" s="256"/>
    </row>
    <row r="52668" spans="104:111">
      <c r="CZ52668" s="256"/>
      <c r="DG52668" s="256"/>
    </row>
    <row r="52669" spans="104:111">
      <c r="CZ52669" s="256"/>
      <c r="DG52669" s="256"/>
    </row>
    <row r="52670" spans="104:111">
      <c r="CZ52670" s="256"/>
      <c r="DG52670" s="256"/>
    </row>
    <row r="52671" spans="104:111">
      <c r="CZ52671" s="256"/>
      <c r="DG52671" s="256"/>
    </row>
    <row r="52672" spans="104:111">
      <c r="CZ52672" s="256"/>
      <c r="DG52672" s="256"/>
    </row>
    <row r="52673" spans="104:111">
      <c r="CZ52673" s="256"/>
      <c r="DG52673" s="256"/>
    </row>
    <row r="52674" spans="104:111">
      <c r="CZ52674" s="256"/>
      <c r="DG52674" s="256"/>
    </row>
    <row r="52675" spans="104:111">
      <c r="CZ52675" s="256"/>
      <c r="DG52675" s="256"/>
    </row>
    <row r="52676" spans="104:111">
      <c r="CZ52676" s="256"/>
      <c r="DG52676" s="256"/>
    </row>
    <row r="52677" spans="104:111">
      <c r="CZ52677" s="256"/>
      <c r="DG52677" s="256"/>
    </row>
    <row r="52678" spans="104:111">
      <c r="CZ52678" s="256"/>
      <c r="DG52678" s="256"/>
    </row>
    <row r="52679" spans="104:111">
      <c r="CZ52679" s="256"/>
      <c r="DG52679" s="256"/>
    </row>
    <row r="52680" spans="104:111">
      <c r="CZ52680" s="256"/>
      <c r="DG52680" s="256"/>
    </row>
    <row r="52681" spans="104:111">
      <c r="CZ52681" s="256"/>
      <c r="DG52681" s="256"/>
    </row>
    <row r="52682" spans="104:111">
      <c r="CZ52682" s="256"/>
      <c r="DG52682" s="256"/>
    </row>
    <row r="52683" spans="104:111">
      <c r="CZ52683" s="256"/>
      <c r="DG52683" s="256"/>
    </row>
    <row r="52684" spans="104:111">
      <c r="CZ52684" s="256"/>
      <c r="DG52684" s="256"/>
    </row>
    <row r="52685" spans="104:111">
      <c r="CZ52685" s="256"/>
      <c r="DG52685" s="256"/>
    </row>
    <row r="52686" spans="104:111">
      <c r="CZ52686" s="256"/>
      <c r="DG52686" s="256"/>
    </row>
    <row r="52687" spans="104:111">
      <c r="CZ52687" s="256"/>
      <c r="DG52687" s="256"/>
    </row>
    <row r="52688" spans="104:111">
      <c r="CZ52688" s="256"/>
      <c r="DG52688" s="256"/>
    </row>
    <row r="52689" spans="104:111">
      <c r="CZ52689" s="256"/>
      <c r="DG52689" s="256"/>
    </row>
    <row r="52690" spans="104:111">
      <c r="CZ52690" s="256"/>
      <c r="DG52690" s="256"/>
    </row>
    <row r="52691" spans="104:111">
      <c r="CZ52691" s="256"/>
      <c r="DG52691" s="256"/>
    </row>
    <row r="52692" spans="104:111">
      <c r="CZ52692" s="256"/>
      <c r="DG52692" s="256"/>
    </row>
    <row r="52693" spans="104:111">
      <c r="CZ52693" s="256"/>
      <c r="DG52693" s="256"/>
    </row>
    <row r="52694" spans="104:111">
      <c r="CZ52694" s="256"/>
      <c r="DG52694" s="256"/>
    </row>
    <row r="52695" spans="104:111">
      <c r="CZ52695" s="256"/>
      <c r="DG52695" s="256"/>
    </row>
    <row r="52696" spans="104:111">
      <c r="CZ52696" s="256"/>
      <c r="DG52696" s="256"/>
    </row>
    <row r="52697" spans="104:111">
      <c r="CZ52697" s="256"/>
      <c r="DG52697" s="256"/>
    </row>
    <row r="52698" spans="104:111">
      <c r="CZ52698" s="256"/>
      <c r="DG52698" s="256"/>
    </row>
    <row r="52699" spans="104:111">
      <c r="CZ52699" s="256"/>
      <c r="DG52699" s="256"/>
    </row>
    <row r="52700" spans="104:111">
      <c r="CZ52700" s="256"/>
      <c r="DG52700" s="256"/>
    </row>
    <row r="52701" spans="104:111">
      <c r="CZ52701" s="256"/>
      <c r="DG52701" s="256"/>
    </row>
    <row r="52702" spans="104:111">
      <c r="CZ52702" s="256"/>
      <c r="DG52702" s="256"/>
    </row>
    <row r="52703" spans="104:111">
      <c r="CZ52703" s="256"/>
      <c r="DG52703" s="256"/>
    </row>
    <row r="52704" spans="104:111">
      <c r="CZ52704" s="256"/>
      <c r="DG52704" s="256"/>
    </row>
    <row r="52705" spans="104:111">
      <c r="CZ52705" s="256"/>
      <c r="DG52705" s="256"/>
    </row>
    <row r="52706" spans="104:111">
      <c r="CZ52706" s="256"/>
      <c r="DG52706" s="256"/>
    </row>
    <row r="52707" spans="104:111">
      <c r="CZ52707" s="256"/>
      <c r="DG52707" s="256"/>
    </row>
    <row r="52708" spans="104:111">
      <c r="CZ52708" s="256"/>
      <c r="DG52708" s="256"/>
    </row>
    <row r="52709" spans="104:111">
      <c r="CZ52709" s="256"/>
      <c r="DG52709" s="256"/>
    </row>
    <row r="52710" spans="104:111">
      <c r="CZ52710" s="256"/>
      <c r="DG52710" s="256"/>
    </row>
    <row r="52711" spans="104:111">
      <c r="CZ52711" s="256"/>
      <c r="DG52711" s="256"/>
    </row>
    <row r="52712" spans="104:111">
      <c r="CZ52712" s="256"/>
      <c r="DG52712" s="256"/>
    </row>
    <row r="52713" spans="104:111">
      <c r="CZ52713" s="256"/>
      <c r="DG52713" s="256"/>
    </row>
    <row r="52714" spans="104:111">
      <c r="CZ52714" s="256"/>
      <c r="DG52714" s="256"/>
    </row>
    <row r="52715" spans="104:111">
      <c r="CZ52715" s="256"/>
      <c r="DG52715" s="256"/>
    </row>
    <row r="52716" spans="104:111">
      <c r="CZ52716" s="256"/>
      <c r="DG52716" s="256"/>
    </row>
    <row r="52717" spans="104:111">
      <c r="CZ52717" s="256"/>
      <c r="DG52717" s="256"/>
    </row>
    <row r="52718" spans="104:111">
      <c r="CZ52718" s="256"/>
      <c r="DG52718" s="256"/>
    </row>
    <row r="52719" spans="104:111">
      <c r="CZ52719" s="256"/>
      <c r="DG52719" s="256"/>
    </row>
    <row r="52720" spans="104:111">
      <c r="CZ52720" s="256"/>
      <c r="DG52720" s="256"/>
    </row>
    <row r="52721" spans="104:111">
      <c r="CZ52721" s="256"/>
      <c r="DG52721" s="256"/>
    </row>
    <row r="52722" spans="104:111">
      <c r="CZ52722" s="256"/>
      <c r="DG52722" s="256"/>
    </row>
    <row r="52723" spans="104:111">
      <c r="CZ52723" s="256"/>
      <c r="DG52723" s="256"/>
    </row>
    <row r="52724" spans="104:111">
      <c r="CZ52724" s="256"/>
      <c r="DG52724" s="256"/>
    </row>
    <row r="52725" spans="104:111">
      <c r="CZ52725" s="256"/>
      <c r="DG52725" s="256"/>
    </row>
    <row r="52726" spans="104:111">
      <c r="CZ52726" s="256"/>
      <c r="DG52726" s="256"/>
    </row>
    <row r="52727" spans="104:111">
      <c r="CZ52727" s="256"/>
      <c r="DG52727" s="256"/>
    </row>
    <row r="52728" spans="104:111">
      <c r="CZ52728" s="256"/>
      <c r="DG52728" s="256"/>
    </row>
    <row r="52729" spans="104:111">
      <c r="CZ52729" s="256"/>
      <c r="DG52729" s="256"/>
    </row>
    <row r="52730" spans="104:111">
      <c r="CZ52730" s="256"/>
      <c r="DG52730" s="256"/>
    </row>
    <row r="52731" spans="104:111">
      <c r="CZ52731" s="256"/>
      <c r="DG52731" s="256"/>
    </row>
    <row r="52732" spans="104:111">
      <c r="CZ52732" s="256"/>
      <c r="DG52732" s="256"/>
    </row>
    <row r="52733" spans="104:111">
      <c r="CZ52733" s="256"/>
      <c r="DG52733" s="256"/>
    </row>
    <row r="52734" spans="104:111">
      <c r="CZ52734" s="256"/>
      <c r="DG52734" s="256"/>
    </row>
    <row r="52735" spans="104:111">
      <c r="CZ52735" s="256"/>
      <c r="DG52735" s="256"/>
    </row>
    <row r="52736" spans="104:111">
      <c r="CZ52736" s="256"/>
      <c r="DG52736" s="256"/>
    </row>
    <row r="52737" spans="104:111">
      <c r="CZ52737" s="256"/>
      <c r="DG52737" s="256"/>
    </row>
    <row r="52738" spans="104:111">
      <c r="CZ52738" s="256"/>
      <c r="DG52738" s="256"/>
    </row>
    <row r="52739" spans="104:111">
      <c r="CZ52739" s="256"/>
      <c r="DG52739" s="256"/>
    </row>
    <row r="52740" spans="104:111">
      <c r="CZ52740" s="256"/>
      <c r="DG52740" s="256"/>
    </row>
    <row r="52741" spans="104:111">
      <c r="CZ52741" s="256"/>
      <c r="DG52741" s="256"/>
    </row>
    <row r="52742" spans="104:111">
      <c r="CZ52742" s="256"/>
      <c r="DG52742" s="256"/>
    </row>
    <row r="52743" spans="104:111">
      <c r="CZ52743" s="256"/>
      <c r="DG52743" s="256"/>
    </row>
    <row r="52744" spans="104:111">
      <c r="CZ52744" s="256"/>
      <c r="DG52744" s="256"/>
    </row>
    <row r="52745" spans="104:111">
      <c r="CZ52745" s="256"/>
      <c r="DG52745" s="256"/>
    </row>
    <row r="52746" spans="104:111">
      <c r="CZ52746" s="256"/>
      <c r="DG52746" s="256"/>
    </row>
    <row r="52747" spans="104:111">
      <c r="CZ52747" s="256"/>
      <c r="DG52747" s="256"/>
    </row>
    <row r="52748" spans="104:111">
      <c r="CZ52748" s="256"/>
      <c r="DG52748" s="256"/>
    </row>
    <row r="52749" spans="104:111">
      <c r="CZ52749" s="256"/>
      <c r="DG52749" s="256"/>
    </row>
    <row r="52750" spans="104:111">
      <c r="CZ52750" s="256"/>
      <c r="DG52750" s="256"/>
    </row>
    <row r="52751" spans="104:111">
      <c r="CZ52751" s="256"/>
      <c r="DG52751" s="256"/>
    </row>
    <row r="52752" spans="104:111">
      <c r="CZ52752" s="256"/>
      <c r="DG52752" s="256"/>
    </row>
    <row r="52753" spans="104:111">
      <c r="CZ52753" s="256"/>
      <c r="DG52753" s="256"/>
    </row>
    <row r="52754" spans="104:111">
      <c r="CZ52754" s="256"/>
      <c r="DG52754" s="256"/>
    </row>
    <row r="52755" spans="104:111">
      <c r="CZ52755" s="256"/>
      <c r="DG52755" s="256"/>
    </row>
    <row r="52756" spans="104:111">
      <c r="CZ52756" s="256"/>
      <c r="DG52756" s="256"/>
    </row>
    <row r="52757" spans="104:111">
      <c r="CZ52757" s="256"/>
      <c r="DG52757" s="256"/>
    </row>
    <row r="52758" spans="104:111">
      <c r="CZ52758" s="256"/>
      <c r="DG52758" s="256"/>
    </row>
    <row r="52759" spans="104:111">
      <c r="CZ52759" s="256"/>
      <c r="DG52759" s="256"/>
    </row>
    <row r="52760" spans="104:111">
      <c r="CZ52760" s="256"/>
      <c r="DG52760" s="256"/>
    </row>
    <row r="52761" spans="104:111">
      <c r="CZ52761" s="256"/>
      <c r="DG52761" s="256"/>
    </row>
    <row r="52762" spans="104:111">
      <c r="CZ52762" s="256"/>
      <c r="DG52762" s="256"/>
    </row>
    <row r="52763" spans="104:111">
      <c r="CZ52763" s="256"/>
      <c r="DG52763" s="256"/>
    </row>
    <row r="52764" spans="104:111">
      <c r="CZ52764" s="256"/>
      <c r="DG52764" s="256"/>
    </row>
    <row r="52765" spans="104:111">
      <c r="CZ52765" s="256"/>
      <c r="DG52765" s="256"/>
    </row>
    <row r="52766" spans="104:111">
      <c r="CZ52766" s="256"/>
      <c r="DG52766" s="256"/>
    </row>
    <row r="52767" spans="104:111">
      <c r="CZ52767" s="256"/>
      <c r="DG52767" s="256"/>
    </row>
    <row r="52768" spans="104:111">
      <c r="CZ52768" s="256"/>
      <c r="DG52768" s="256"/>
    </row>
    <row r="52769" spans="104:111">
      <c r="CZ52769" s="256"/>
      <c r="DG52769" s="256"/>
    </row>
    <row r="52770" spans="104:111">
      <c r="CZ52770" s="256"/>
      <c r="DG52770" s="256"/>
    </row>
    <row r="52771" spans="104:111">
      <c r="CZ52771" s="256"/>
      <c r="DG52771" s="256"/>
    </row>
    <row r="52772" spans="104:111">
      <c r="CZ52772" s="256"/>
      <c r="DG52772" s="256"/>
    </row>
    <row r="52773" spans="104:111">
      <c r="CZ52773" s="256"/>
      <c r="DG52773" s="256"/>
    </row>
    <row r="52774" spans="104:111">
      <c r="CZ52774" s="256"/>
      <c r="DG52774" s="256"/>
    </row>
    <row r="52775" spans="104:111">
      <c r="CZ52775" s="256"/>
      <c r="DG52775" s="256"/>
    </row>
    <row r="52776" spans="104:111">
      <c r="CZ52776" s="256"/>
      <c r="DG52776" s="256"/>
    </row>
    <row r="52777" spans="104:111">
      <c r="CZ52777" s="256"/>
      <c r="DG52777" s="256"/>
    </row>
    <row r="52778" spans="104:111">
      <c r="CZ52778" s="256"/>
      <c r="DG52778" s="256"/>
    </row>
    <row r="52779" spans="104:111">
      <c r="CZ52779" s="256"/>
      <c r="DG52779" s="256"/>
    </row>
    <row r="52780" spans="104:111">
      <c r="CZ52780" s="256"/>
      <c r="DG52780" s="256"/>
    </row>
    <row r="52781" spans="104:111">
      <c r="CZ52781" s="256"/>
      <c r="DG52781" s="256"/>
    </row>
    <row r="52782" spans="104:111">
      <c r="CZ52782" s="256"/>
      <c r="DG52782" s="256"/>
    </row>
    <row r="52783" spans="104:111">
      <c r="CZ52783" s="256"/>
      <c r="DG52783" s="256"/>
    </row>
    <row r="52784" spans="104:111">
      <c r="CZ52784" s="256"/>
      <c r="DG52784" s="256"/>
    </row>
    <row r="52785" spans="104:111">
      <c r="CZ52785" s="256"/>
      <c r="DG52785" s="256"/>
    </row>
    <row r="52786" spans="104:111">
      <c r="CZ52786" s="256"/>
      <c r="DG52786" s="256"/>
    </row>
    <row r="52787" spans="104:111">
      <c r="CZ52787" s="256"/>
      <c r="DG52787" s="256"/>
    </row>
    <row r="52788" spans="104:111">
      <c r="CZ52788" s="256"/>
      <c r="DG52788" s="256"/>
    </row>
    <row r="52789" spans="104:111">
      <c r="CZ52789" s="256"/>
      <c r="DG52789" s="256"/>
    </row>
    <row r="52790" spans="104:111">
      <c r="CZ52790" s="256"/>
      <c r="DG52790" s="256"/>
    </row>
    <row r="52791" spans="104:111">
      <c r="CZ52791" s="256"/>
      <c r="DG52791" s="256"/>
    </row>
    <row r="52792" spans="104:111">
      <c r="CZ52792" s="256"/>
      <c r="DG52792" s="256"/>
    </row>
    <row r="52793" spans="104:111">
      <c r="CZ52793" s="256"/>
      <c r="DG52793" s="256"/>
    </row>
    <row r="52794" spans="104:111">
      <c r="CZ52794" s="256"/>
      <c r="DG52794" s="256"/>
    </row>
    <row r="52795" spans="104:111">
      <c r="CZ52795" s="256"/>
      <c r="DG52795" s="256"/>
    </row>
    <row r="52796" spans="104:111">
      <c r="CZ52796" s="256"/>
      <c r="DG52796" s="256"/>
    </row>
    <row r="52797" spans="104:111">
      <c r="CZ52797" s="256"/>
      <c r="DG52797" s="256"/>
    </row>
    <row r="52798" spans="104:111">
      <c r="CZ52798" s="256"/>
      <c r="DG52798" s="256"/>
    </row>
    <row r="52799" spans="104:111">
      <c r="CZ52799" s="256"/>
      <c r="DG52799" s="256"/>
    </row>
    <row r="52800" spans="104:111">
      <c r="CZ52800" s="256"/>
      <c r="DG52800" s="256"/>
    </row>
    <row r="52801" spans="104:111">
      <c r="CZ52801" s="256"/>
      <c r="DG52801" s="256"/>
    </row>
    <row r="52802" spans="104:111">
      <c r="CZ52802" s="256"/>
      <c r="DG52802" s="256"/>
    </row>
    <row r="52803" spans="104:111">
      <c r="CZ52803" s="256"/>
      <c r="DG52803" s="256"/>
    </row>
    <row r="52804" spans="104:111">
      <c r="CZ52804" s="256"/>
      <c r="DG52804" s="256"/>
    </row>
    <row r="52805" spans="104:111">
      <c r="CZ52805" s="256"/>
      <c r="DG52805" s="256"/>
    </row>
    <row r="52806" spans="104:111">
      <c r="CZ52806" s="256"/>
      <c r="DG52806" s="256"/>
    </row>
    <row r="52807" spans="104:111">
      <c r="CZ52807" s="256"/>
      <c r="DG52807" s="256"/>
    </row>
    <row r="52808" spans="104:111">
      <c r="CZ52808" s="256"/>
      <c r="DG52808" s="256"/>
    </row>
    <row r="52809" spans="104:111">
      <c r="CZ52809" s="256"/>
      <c r="DG52809" s="256"/>
    </row>
    <row r="52810" spans="104:111">
      <c r="CZ52810" s="256"/>
      <c r="DG52810" s="256"/>
    </row>
    <row r="52811" spans="104:111">
      <c r="CZ52811" s="256"/>
      <c r="DG52811" s="256"/>
    </row>
    <row r="52812" spans="104:111">
      <c r="CZ52812" s="256"/>
      <c r="DG52812" s="256"/>
    </row>
    <row r="52813" spans="104:111">
      <c r="CZ52813" s="256"/>
      <c r="DG52813" s="256"/>
    </row>
    <row r="52814" spans="104:111">
      <c r="CZ52814" s="256"/>
      <c r="DG52814" s="256"/>
    </row>
    <row r="52815" spans="104:111">
      <c r="CZ52815" s="256"/>
      <c r="DG52815" s="256"/>
    </row>
    <row r="52816" spans="104:111">
      <c r="CZ52816" s="256"/>
      <c r="DG52816" s="256"/>
    </row>
    <row r="52817" spans="104:111">
      <c r="CZ52817" s="256"/>
      <c r="DG52817" s="256"/>
    </row>
    <row r="52818" spans="104:111">
      <c r="CZ52818" s="256"/>
      <c r="DG52818" s="256"/>
    </row>
    <row r="52819" spans="104:111">
      <c r="CZ52819" s="256"/>
      <c r="DG52819" s="256"/>
    </row>
    <row r="52820" spans="104:111">
      <c r="CZ52820" s="256"/>
      <c r="DG52820" s="256"/>
    </row>
    <row r="52821" spans="104:111">
      <c r="CZ52821" s="256"/>
      <c r="DG52821" s="256"/>
    </row>
    <row r="52822" spans="104:111">
      <c r="CZ52822" s="256"/>
      <c r="DG52822" s="256"/>
    </row>
    <row r="52823" spans="104:111">
      <c r="CZ52823" s="256"/>
      <c r="DG52823" s="256"/>
    </row>
    <row r="52824" spans="104:111">
      <c r="CZ52824" s="256"/>
      <c r="DG52824" s="256"/>
    </row>
    <row r="52825" spans="104:111">
      <c r="CZ52825" s="256"/>
      <c r="DG52825" s="256"/>
    </row>
    <row r="52826" spans="104:111">
      <c r="CZ52826" s="256"/>
      <c r="DG52826" s="256"/>
    </row>
    <row r="52827" spans="104:111">
      <c r="CZ52827" s="256"/>
      <c r="DG52827" s="256"/>
    </row>
    <row r="52828" spans="104:111">
      <c r="CZ52828" s="256"/>
      <c r="DG52828" s="256"/>
    </row>
    <row r="52829" spans="104:111">
      <c r="CZ52829" s="256"/>
      <c r="DG52829" s="256"/>
    </row>
    <row r="52830" spans="104:111">
      <c r="CZ52830" s="256"/>
      <c r="DG52830" s="256"/>
    </row>
    <row r="52831" spans="104:111">
      <c r="CZ52831" s="256"/>
      <c r="DG52831" s="256"/>
    </row>
    <row r="52832" spans="104:111">
      <c r="CZ52832" s="256"/>
      <c r="DG52832" s="256"/>
    </row>
    <row r="52833" spans="104:111">
      <c r="CZ52833" s="256"/>
      <c r="DG52833" s="256"/>
    </row>
    <row r="52834" spans="104:111">
      <c r="CZ52834" s="256"/>
      <c r="DG52834" s="256"/>
    </row>
    <row r="52835" spans="104:111">
      <c r="CZ52835" s="256"/>
      <c r="DG52835" s="256"/>
    </row>
    <row r="52836" spans="104:111">
      <c r="CZ52836" s="256"/>
      <c r="DG52836" s="256"/>
    </row>
    <row r="52837" spans="104:111">
      <c r="CZ52837" s="256"/>
      <c r="DG52837" s="256"/>
    </row>
    <row r="52838" spans="104:111">
      <c r="CZ52838" s="256"/>
      <c r="DG52838" s="256"/>
    </row>
    <row r="52839" spans="104:111">
      <c r="CZ52839" s="256"/>
      <c r="DG52839" s="256"/>
    </row>
    <row r="52840" spans="104:111">
      <c r="CZ52840" s="256"/>
      <c r="DG52840" s="256"/>
    </row>
    <row r="52841" spans="104:111">
      <c r="CZ52841" s="256"/>
      <c r="DG52841" s="256"/>
    </row>
    <row r="52842" spans="104:111">
      <c r="CZ52842" s="256"/>
      <c r="DG52842" s="256"/>
    </row>
    <row r="52843" spans="104:111">
      <c r="CZ52843" s="256"/>
      <c r="DG52843" s="256"/>
    </row>
    <row r="52844" spans="104:111">
      <c r="CZ52844" s="256"/>
      <c r="DG52844" s="256"/>
    </row>
    <row r="52845" spans="104:111">
      <c r="CZ52845" s="256"/>
      <c r="DG52845" s="256"/>
    </row>
    <row r="52846" spans="104:111">
      <c r="CZ52846" s="256"/>
      <c r="DG52846" s="256"/>
    </row>
    <row r="52847" spans="104:111">
      <c r="CZ52847" s="256"/>
      <c r="DG52847" s="256"/>
    </row>
    <row r="52848" spans="104:111">
      <c r="CZ52848" s="256"/>
      <c r="DG52848" s="256"/>
    </row>
    <row r="52849" spans="104:111">
      <c r="CZ52849" s="256"/>
      <c r="DG52849" s="256"/>
    </row>
    <row r="52850" spans="104:111">
      <c r="CZ52850" s="256"/>
      <c r="DG52850" s="256"/>
    </row>
    <row r="52851" spans="104:111">
      <c r="CZ52851" s="256"/>
      <c r="DG52851" s="256"/>
    </row>
    <row r="52852" spans="104:111">
      <c r="CZ52852" s="256"/>
      <c r="DG52852" s="256"/>
    </row>
    <row r="52853" spans="104:111">
      <c r="CZ52853" s="256"/>
      <c r="DG52853" s="256"/>
    </row>
    <row r="52854" spans="104:111">
      <c r="CZ52854" s="256"/>
      <c r="DG52854" s="256"/>
    </row>
    <row r="52855" spans="104:111">
      <c r="CZ52855" s="256"/>
      <c r="DG52855" s="256"/>
    </row>
    <row r="52856" spans="104:111">
      <c r="CZ52856" s="256"/>
      <c r="DG52856" s="256"/>
    </row>
    <row r="52857" spans="104:111">
      <c r="CZ52857" s="256"/>
      <c r="DG52857" s="256"/>
    </row>
    <row r="52858" spans="104:111">
      <c r="CZ52858" s="256"/>
      <c r="DG52858" s="256"/>
    </row>
    <row r="52859" spans="104:111">
      <c r="CZ52859" s="256"/>
      <c r="DG52859" s="256"/>
    </row>
    <row r="52860" spans="104:111">
      <c r="CZ52860" s="256"/>
      <c r="DG52860" s="256"/>
    </row>
    <row r="52861" spans="104:111">
      <c r="CZ52861" s="256"/>
      <c r="DG52861" s="256"/>
    </row>
    <row r="52862" spans="104:111">
      <c r="CZ52862" s="256"/>
      <c r="DG52862" s="256"/>
    </row>
    <row r="52863" spans="104:111">
      <c r="CZ52863" s="256"/>
      <c r="DG52863" s="256"/>
    </row>
    <row r="52864" spans="104:111">
      <c r="CZ52864" s="256"/>
      <c r="DG52864" s="256"/>
    </row>
    <row r="52865" spans="104:111">
      <c r="CZ52865" s="256"/>
      <c r="DG52865" s="256"/>
    </row>
    <row r="52866" spans="104:111">
      <c r="CZ52866" s="256"/>
      <c r="DG52866" s="256"/>
    </row>
    <row r="52867" spans="104:111">
      <c r="CZ52867" s="256"/>
      <c r="DG52867" s="256"/>
    </row>
    <row r="52868" spans="104:111">
      <c r="CZ52868" s="256"/>
      <c r="DG52868" s="256"/>
    </row>
    <row r="52869" spans="104:111">
      <c r="CZ52869" s="256"/>
      <c r="DG52869" s="256"/>
    </row>
    <row r="52870" spans="104:111">
      <c r="CZ52870" s="256"/>
      <c r="DG52870" s="256"/>
    </row>
    <row r="52871" spans="104:111">
      <c r="CZ52871" s="256"/>
      <c r="DG52871" s="256"/>
    </row>
    <row r="52872" spans="104:111">
      <c r="CZ52872" s="256"/>
      <c r="DG52872" s="256"/>
    </row>
    <row r="52873" spans="104:111">
      <c r="CZ52873" s="256"/>
      <c r="DG52873" s="256"/>
    </row>
    <row r="52874" spans="104:111">
      <c r="CZ52874" s="256"/>
      <c r="DG52874" s="256"/>
    </row>
    <row r="52875" spans="104:111">
      <c r="CZ52875" s="256"/>
      <c r="DG52875" s="256"/>
    </row>
    <row r="52876" spans="104:111">
      <c r="CZ52876" s="256"/>
      <c r="DG52876" s="256"/>
    </row>
    <row r="52877" spans="104:111">
      <c r="CZ52877" s="256"/>
      <c r="DG52877" s="256"/>
    </row>
    <row r="52878" spans="104:111">
      <c r="CZ52878" s="256"/>
      <c r="DG52878" s="256"/>
    </row>
    <row r="52879" spans="104:111">
      <c r="CZ52879" s="256"/>
      <c r="DG52879" s="256"/>
    </row>
    <row r="52880" spans="104:111">
      <c r="CZ52880" s="256"/>
      <c r="DG52880" s="256"/>
    </row>
    <row r="52881" spans="104:111">
      <c r="CZ52881" s="256"/>
      <c r="DG52881" s="256"/>
    </row>
    <row r="52882" spans="104:111">
      <c r="CZ52882" s="256"/>
      <c r="DG52882" s="256"/>
    </row>
    <row r="52883" spans="104:111">
      <c r="CZ52883" s="256"/>
      <c r="DG52883" s="256"/>
    </row>
    <row r="52884" spans="104:111">
      <c r="CZ52884" s="256"/>
      <c r="DG52884" s="256"/>
    </row>
    <row r="52885" spans="104:111">
      <c r="CZ52885" s="256"/>
      <c r="DG52885" s="256"/>
    </row>
    <row r="52886" spans="104:111">
      <c r="CZ52886" s="256"/>
      <c r="DG52886" s="256"/>
    </row>
    <row r="52887" spans="104:111">
      <c r="CZ52887" s="256"/>
      <c r="DG52887" s="256"/>
    </row>
    <row r="52888" spans="104:111">
      <c r="CZ52888" s="256"/>
      <c r="DG52888" s="256"/>
    </row>
    <row r="52889" spans="104:111">
      <c r="CZ52889" s="256"/>
      <c r="DG52889" s="256"/>
    </row>
    <row r="52890" spans="104:111">
      <c r="CZ52890" s="256"/>
      <c r="DG52890" s="256"/>
    </row>
    <row r="52891" spans="104:111">
      <c r="CZ52891" s="256"/>
      <c r="DG52891" s="256"/>
    </row>
    <row r="52892" spans="104:111">
      <c r="CZ52892" s="256"/>
      <c r="DG52892" s="256"/>
    </row>
    <row r="52893" spans="104:111">
      <c r="CZ52893" s="256"/>
      <c r="DG52893" s="256"/>
    </row>
    <row r="52894" spans="104:111">
      <c r="CZ52894" s="256"/>
      <c r="DG52894" s="256"/>
    </row>
    <row r="52895" spans="104:111">
      <c r="CZ52895" s="256"/>
      <c r="DG52895" s="256"/>
    </row>
    <row r="52896" spans="104:111">
      <c r="CZ52896" s="256"/>
      <c r="DG52896" s="256"/>
    </row>
    <row r="52897" spans="104:111">
      <c r="CZ52897" s="256"/>
      <c r="DG52897" s="256"/>
    </row>
    <row r="52898" spans="104:111">
      <c r="CZ52898" s="256"/>
      <c r="DG52898" s="256"/>
    </row>
    <row r="52899" spans="104:111">
      <c r="CZ52899" s="256"/>
      <c r="DG52899" s="256"/>
    </row>
    <row r="52900" spans="104:111">
      <c r="CZ52900" s="256"/>
      <c r="DG52900" s="256"/>
    </row>
    <row r="52901" spans="104:111">
      <c r="CZ52901" s="256"/>
      <c r="DG52901" s="256"/>
    </row>
    <row r="52902" spans="104:111">
      <c r="CZ52902" s="256"/>
      <c r="DG52902" s="256"/>
    </row>
    <row r="52903" spans="104:111">
      <c r="CZ52903" s="256"/>
      <c r="DG52903" s="256"/>
    </row>
    <row r="52904" spans="104:111">
      <c r="CZ52904" s="256"/>
      <c r="DG52904" s="256"/>
    </row>
    <row r="52905" spans="104:111">
      <c r="CZ52905" s="256"/>
      <c r="DG52905" s="256"/>
    </row>
    <row r="52906" spans="104:111">
      <c r="CZ52906" s="256"/>
      <c r="DG52906" s="256"/>
    </row>
    <row r="52907" spans="104:111">
      <c r="CZ52907" s="256"/>
      <c r="DG52907" s="256"/>
    </row>
    <row r="52908" spans="104:111">
      <c r="CZ52908" s="256"/>
      <c r="DG52908" s="256"/>
    </row>
    <row r="52909" spans="104:111">
      <c r="CZ52909" s="256"/>
      <c r="DG52909" s="256"/>
    </row>
    <row r="52910" spans="104:111">
      <c r="CZ52910" s="256"/>
      <c r="DG52910" s="256"/>
    </row>
    <row r="52911" spans="104:111">
      <c r="CZ52911" s="256"/>
      <c r="DG52911" s="256"/>
    </row>
    <row r="52912" spans="104:111">
      <c r="CZ52912" s="256"/>
      <c r="DG52912" s="256"/>
    </row>
    <row r="52913" spans="104:111">
      <c r="CZ52913" s="256"/>
      <c r="DG52913" s="256"/>
    </row>
    <row r="52914" spans="104:111">
      <c r="CZ52914" s="256"/>
      <c r="DG52914" s="256"/>
    </row>
    <row r="52915" spans="104:111">
      <c r="CZ52915" s="256"/>
      <c r="DG52915" s="256"/>
    </row>
    <row r="52916" spans="104:111">
      <c r="CZ52916" s="256"/>
      <c r="DG52916" s="256"/>
    </row>
    <row r="52917" spans="104:111">
      <c r="CZ52917" s="256"/>
      <c r="DG52917" s="256"/>
    </row>
    <row r="52918" spans="104:111">
      <c r="CZ52918" s="256"/>
      <c r="DG52918" s="256"/>
    </row>
    <row r="52919" spans="104:111">
      <c r="CZ52919" s="256"/>
      <c r="DG52919" s="256"/>
    </row>
    <row r="52920" spans="104:111">
      <c r="CZ52920" s="256"/>
      <c r="DG52920" s="256"/>
    </row>
    <row r="52921" spans="104:111">
      <c r="CZ52921" s="256"/>
      <c r="DG52921" s="256"/>
    </row>
    <row r="52922" spans="104:111">
      <c r="CZ52922" s="256"/>
      <c r="DG52922" s="256"/>
    </row>
    <row r="52923" spans="104:111">
      <c r="CZ52923" s="256"/>
      <c r="DG52923" s="256"/>
    </row>
    <row r="52924" spans="104:111">
      <c r="CZ52924" s="256"/>
      <c r="DG52924" s="256"/>
    </row>
    <row r="52925" spans="104:111">
      <c r="CZ52925" s="256"/>
      <c r="DG52925" s="256"/>
    </row>
    <row r="52926" spans="104:111">
      <c r="CZ52926" s="256"/>
      <c r="DG52926" s="256"/>
    </row>
    <row r="52927" spans="104:111">
      <c r="CZ52927" s="256"/>
      <c r="DG52927" s="256"/>
    </row>
    <row r="52928" spans="104:111">
      <c r="CZ52928" s="256"/>
      <c r="DG52928" s="256"/>
    </row>
    <row r="52929" spans="104:111">
      <c r="CZ52929" s="256"/>
      <c r="DG52929" s="256"/>
    </row>
    <row r="52930" spans="104:111">
      <c r="CZ52930" s="256"/>
      <c r="DG52930" s="256"/>
    </row>
    <row r="52931" spans="104:111">
      <c r="CZ52931" s="256"/>
      <c r="DG52931" s="256"/>
    </row>
    <row r="52932" spans="104:111">
      <c r="CZ52932" s="256"/>
      <c r="DG52932" s="256"/>
    </row>
    <row r="52933" spans="104:111">
      <c r="CZ52933" s="256"/>
      <c r="DG52933" s="256"/>
    </row>
    <row r="52934" spans="104:111">
      <c r="CZ52934" s="256"/>
      <c r="DG52934" s="256"/>
    </row>
    <row r="52935" spans="104:111">
      <c r="CZ52935" s="256"/>
      <c r="DG52935" s="256"/>
    </row>
    <row r="52936" spans="104:111">
      <c r="CZ52936" s="256"/>
      <c r="DG52936" s="256"/>
    </row>
    <row r="52937" spans="104:111">
      <c r="CZ52937" s="256"/>
      <c r="DG52937" s="256"/>
    </row>
    <row r="52938" spans="104:111">
      <c r="CZ52938" s="256"/>
      <c r="DG52938" s="256"/>
    </row>
    <row r="52939" spans="104:111">
      <c r="CZ52939" s="256"/>
      <c r="DG52939" s="256"/>
    </row>
    <row r="52940" spans="104:111">
      <c r="CZ52940" s="256"/>
      <c r="DG52940" s="256"/>
    </row>
    <row r="52941" spans="104:111">
      <c r="CZ52941" s="256"/>
      <c r="DG52941" s="256"/>
    </row>
    <row r="52942" spans="104:111">
      <c r="CZ52942" s="256"/>
      <c r="DG52942" s="256"/>
    </row>
    <row r="52943" spans="104:111">
      <c r="CZ52943" s="256"/>
      <c r="DG52943" s="256"/>
    </row>
    <row r="52944" spans="104:111">
      <c r="CZ52944" s="256"/>
      <c r="DG52944" s="256"/>
    </row>
    <row r="52945" spans="104:111">
      <c r="CZ52945" s="256"/>
      <c r="DG52945" s="256"/>
    </row>
    <row r="52946" spans="104:111">
      <c r="CZ52946" s="256"/>
      <c r="DG52946" s="256"/>
    </row>
    <row r="52947" spans="104:111">
      <c r="CZ52947" s="256"/>
      <c r="DG52947" s="256"/>
    </row>
    <row r="52948" spans="104:111">
      <c r="CZ52948" s="256"/>
      <c r="DG52948" s="256"/>
    </row>
    <row r="52949" spans="104:111">
      <c r="CZ52949" s="256"/>
      <c r="DG52949" s="256"/>
    </row>
    <row r="52950" spans="104:111">
      <c r="CZ52950" s="256"/>
      <c r="DG52950" s="256"/>
    </row>
    <row r="52951" spans="104:111">
      <c r="CZ52951" s="256"/>
      <c r="DG52951" s="256"/>
    </row>
    <row r="52952" spans="104:111">
      <c r="CZ52952" s="256"/>
      <c r="DG52952" s="256"/>
    </row>
    <row r="52953" spans="104:111">
      <c r="CZ52953" s="256"/>
      <c r="DG52953" s="256"/>
    </row>
    <row r="52954" spans="104:111">
      <c r="CZ52954" s="256"/>
      <c r="DG52954" s="256"/>
    </row>
    <row r="52955" spans="104:111">
      <c r="CZ52955" s="256"/>
      <c r="DG52955" s="256"/>
    </row>
    <row r="52956" spans="104:111">
      <c r="CZ52956" s="256"/>
      <c r="DG52956" s="256"/>
    </row>
    <row r="52957" spans="104:111">
      <c r="CZ52957" s="256"/>
      <c r="DG52957" s="256"/>
    </row>
    <row r="52958" spans="104:111">
      <c r="CZ52958" s="256"/>
      <c r="DG52958" s="256"/>
    </row>
    <row r="52959" spans="104:111">
      <c r="CZ52959" s="256"/>
      <c r="DG52959" s="256"/>
    </row>
    <row r="52960" spans="104:111">
      <c r="CZ52960" s="256"/>
      <c r="DG52960" s="256"/>
    </row>
    <row r="52961" spans="104:111">
      <c r="CZ52961" s="256"/>
      <c r="DG52961" s="256"/>
    </row>
    <row r="52962" spans="104:111">
      <c r="CZ52962" s="256"/>
      <c r="DG52962" s="256"/>
    </row>
    <row r="52963" spans="104:111">
      <c r="CZ52963" s="256"/>
      <c r="DG52963" s="256"/>
    </row>
    <row r="52964" spans="104:111">
      <c r="CZ52964" s="256"/>
      <c r="DG52964" s="256"/>
    </row>
    <row r="52965" spans="104:111">
      <c r="CZ52965" s="256"/>
      <c r="DG52965" s="256"/>
    </row>
    <row r="52966" spans="104:111">
      <c r="CZ52966" s="256"/>
      <c r="DG52966" s="256"/>
    </row>
    <row r="52967" spans="104:111">
      <c r="CZ52967" s="256"/>
      <c r="DG52967" s="256"/>
    </row>
    <row r="52968" spans="104:111">
      <c r="CZ52968" s="256"/>
      <c r="DG52968" s="256"/>
    </row>
    <row r="52969" spans="104:111">
      <c r="CZ52969" s="256"/>
      <c r="DG52969" s="256"/>
    </row>
    <row r="52970" spans="104:111">
      <c r="CZ52970" s="256"/>
      <c r="DG52970" s="256"/>
    </row>
    <row r="52971" spans="104:111">
      <c r="CZ52971" s="256"/>
      <c r="DG52971" s="256"/>
    </row>
    <row r="52972" spans="104:111">
      <c r="CZ52972" s="256"/>
      <c r="DG52972" s="256"/>
    </row>
    <row r="52973" spans="104:111">
      <c r="CZ52973" s="256"/>
      <c r="DG52973" s="256"/>
    </row>
    <row r="52974" spans="104:111">
      <c r="CZ52974" s="256"/>
      <c r="DG52974" s="256"/>
    </row>
    <row r="52975" spans="104:111">
      <c r="CZ52975" s="256"/>
      <c r="DG52975" s="256"/>
    </row>
    <row r="52976" spans="104:111">
      <c r="CZ52976" s="256"/>
      <c r="DG52976" s="256"/>
    </row>
    <row r="52977" spans="104:111">
      <c r="CZ52977" s="256"/>
      <c r="DG52977" s="256"/>
    </row>
    <row r="52978" spans="104:111">
      <c r="CZ52978" s="256"/>
      <c r="DG52978" s="256"/>
    </row>
    <row r="52979" spans="104:111">
      <c r="CZ52979" s="256"/>
      <c r="DG52979" s="256"/>
    </row>
    <row r="52980" spans="104:111">
      <c r="CZ52980" s="256"/>
      <c r="DG52980" s="256"/>
    </row>
    <row r="52981" spans="104:111">
      <c r="CZ52981" s="256"/>
      <c r="DG52981" s="256"/>
    </row>
    <row r="52982" spans="104:111">
      <c r="CZ52982" s="256"/>
      <c r="DG52982" s="256"/>
    </row>
    <row r="52983" spans="104:111">
      <c r="CZ52983" s="256"/>
      <c r="DG52983" s="256"/>
    </row>
    <row r="52984" spans="104:111">
      <c r="CZ52984" s="256"/>
      <c r="DG52984" s="256"/>
    </row>
    <row r="52985" spans="104:111">
      <c r="CZ52985" s="256"/>
      <c r="DG52985" s="256"/>
    </row>
    <row r="52986" spans="104:111">
      <c r="CZ52986" s="256"/>
      <c r="DG52986" s="256"/>
    </row>
    <row r="52987" spans="104:111">
      <c r="CZ52987" s="256"/>
      <c r="DG52987" s="256"/>
    </row>
    <row r="52988" spans="104:111">
      <c r="CZ52988" s="256"/>
      <c r="DG52988" s="256"/>
    </row>
    <row r="52989" spans="104:111">
      <c r="CZ52989" s="256"/>
      <c r="DG52989" s="256"/>
    </row>
    <row r="52990" spans="104:111">
      <c r="CZ52990" s="256"/>
      <c r="DG52990" s="256"/>
    </row>
    <row r="52991" spans="104:111">
      <c r="CZ52991" s="256"/>
      <c r="DG52991" s="256"/>
    </row>
    <row r="52992" spans="104:111">
      <c r="CZ52992" s="256"/>
      <c r="DG52992" s="256"/>
    </row>
    <row r="52993" spans="104:111">
      <c r="CZ52993" s="256"/>
      <c r="DG52993" s="256"/>
    </row>
    <row r="52994" spans="104:111">
      <c r="CZ52994" s="256"/>
      <c r="DG52994" s="256"/>
    </row>
    <row r="52995" spans="104:111">
      <c r="CZ52995" s="256"/>
      <c r="DG52995" s="256"/>
    </row>
    <row r="52996" spans="104:111">
      <c r="CZ52996" s="256"/>
      <c r="DG52996" s="256"/>
    </row>
    <row r="52997" spans="104:111">
      <c r="CZ52997" s="256"/>
      <c r="DG52997" s="256"/>
    </row>
    <row r="52998" spans="104:111">
      <c r="CZ52998" s="256"/>
      <c r="DG52998" s="256"/>
    </row>
    <row r="52999" spans="104:111">
      <c r="CZ52999" s="256"/>
      <c r="DG52999" s="256"/>
    </row>
    <row r="53000" spans="104:111">
      <c r="CZ53000" s="256"/>
      <c r="DG53000" s="256"/>
    </row>
    <row r="53001" spans="104:111">
      <c r="CZ53001" s="256"/>
      <c r="DG53001" s="256"/>
    </row>
    <row r="53002" spans="104:111">
      <c r="CZ53002" s="256"/>
      <c r="DG53002" s="256"/>
    </row>
    <row r="53003" spans="104:111">
      <c r="CZ53003" s="256"/>
      <c r="DG53003" s="256"/>
    </row>
    <row r="53004" spans="104:111">
      <c r="CZ53004" s="256"/>
      <c r="DG53004" s="256"/>
    </row>
    <row r="53005" spans="104:111">
      <c r="CZ53005" s="256"/>
      <c r="DG53005" s="256"/>
    </row>
    <row r="53006" spans="104:111">
      <c r="CZ53006" s="256"/>
      <c r="DG53006" s="256"/>
    </row>
    <row r="53007" spans="104:111">
      <c r="CZ53007" s="256"/>
      <c r="DG53007" s="256"/>
    </row>
    <row r="53008" spans="104:111">
      <c r="CZ53008" s="256"/>
      <c r="DG53008" s="256"/>
    </row>
    <row r="53009" spans="104:111">
      <c r="CZ53009" s="256"/>
      <c r="DG53009" s="256"/>
    </row>
    <row r="53010" spans="104:111">
      <c r="CZ53010" s="256"/>
      <c r="DG53010" s="256"/>
    </row>
    <row r="53011" spans="104:111">
      <c r="CZ53011" s="256"/>
      <c r="DG53011" s="256"/>
    </row>
    <row r="53012" spans="104:111">
      <c r="CZ53012" s="256"/>
      <c r="DG53012" s="256"/>
    </row>
    <row r="53013" spans="104:111">
      <c r="CZ53013" s="256"/>
      <c r="DG53013" s="256"/>
    </row>
    <row r="53014" spans="104:111">
      <c r="CZ53014" s="256"/>
      <c r="DG53014" s="256"/>
    </row>
    <row r="53015" spans="104:111">
      <c r="CZ53015" s="256"/>
      <c r="DG53015" s="256"/>
    </row>
    <row r="53016" spans="104:111">
      <c r="CZ53016" s="256"/>
      <c r="DG53016" s="256"/>
    </row>
    <row r="53017" spans="104:111">
      <c r="CZ53017" s="256"/>
      <c r="DG53017" s="256"/>
    </row>
    <row r="53018" spans="104:111">
      <c r="CZ53018" s="256"/>
      <c r="DG53018" s="256"/>
    </row>
    <row r="53019" spans="104:111">
      <c r="CZ53019" s="256"/>
      <c r="DG53019" s="256"/>
    </row>
    <row r="53020" spans="104:111">
      <c r="CZ53020" s="256"/>
      <c r="DG53020" s="256"/>
    </row>
    <row r="53021" spans="104:111">
      <c r="CZ53021" s="256"/>
      <c r="DG53021" s="256"/>
    </row>
    <row r="53022" spans="104:111">
      <c r="CZ53022" s="256"/>
      <c r="DG53022" s="256"/>
    </row>
    <row r="53023" spans="104:111">
      <c r="CZ53023" s="256"/>
      <c r="DG53023" s="256"/>
    </row>
    <row r="53024" spans="104:111">
      <c r="CZ53024" s="256"/>
      <c r="DG53024" s="256"/>
    </row>
    <row r="53025" spans="104:111">
      <c r="CZ53025" s="256"/>
      <c r="DG53025" s="256"/>
    </row>
    <row r="53026" spans="104:111">
      <c r="CZ53026" s="256"/>
      <c r="DG53026" s="256"/>
    </row>
    <row r="53027" spans="104:111">
      <c r="CZ53027" s="256"/>
      <c r="DG53027" s="256"/>
    </row>
    <row r="53028" spans="104:111">
      <c r="CZ53028" s="256"/>
      <c r="DG53028" s="256"/>
    </row>
    <row r="53029" spans="104:111">
      <c r="CZ53029" s="256"/>
      <c r="DG53029" s="256"/>
    </row>
    <row r="53030" spans="104:111">
      <c r="CZ53030" s="256"/>
      <c r="DG53030" s="256"/>
    </row>
    <row r="53031" spans="104:111">
      <c r="CZ53031" s="256"/>
      <c r="DG53031" s="256"/>
    </row>
    <row r="53032" spans="104:111">
      <c r="CZ53032" s="256"/>
      <c r="DG53032" s="256"/>
    </row>
    <row r="53033" spans="104:111">
      <c r="CZ53033" s="256"/>
      <c r="DG53033" s="256"/>
    </row>
    <row r="53034" spans="104:111">
      <c r="CZ53034" s="256"/>
      <c r="DG53034" s="256"/>
    </row>
    <row r="53035" spans="104:111">
      <c r="CZ53035" s="256"/>
      <c r="DG53035" s="256"/>
    </row>
    <row r="53036" spans="104:111">
      <c r="CZ53036" s="256"/>
      <c r="DG53036" s="256"/>
    </row>
    <row r="53037" spans="104:111">
      <c r="CZ53037" s="256"/>
      <c r="DG53037" s="256"/>
    </row>
    <row r="53038" spans="104:111">
      <c r="CZ53038" s="256"/>
      <c r="DG53038" s="256"/>
    </row>
    <row r="53039" spans="104:111">
      <c r="CZ53039" s="256"/>
      <c r="DG53039" s="256"/>
    </row>
    <row r="53040" spans="104:111">
      <c r="CZ53040" s="256"/>
      <c r="DG53040" s="256"/>
    </row>
    <row r="53041" spans="104:111">
      <c r="CZ53041" s="256"/>
      <c r="DG53041" s="256"/>
    </row>
    <row r="53042" spans="104:111">
      <c r="CZ53042" s="256"/>
      <c r="DG53042" s="256"/>
    </row>
    <row r="53043" spans="104:111">
      <c r="CZ53043" s="256"/>
      <c r="DG53043" s="256"/>
    </row>
    <row r="53044" spans="104:111">
      <c r="CZ53044" s="256"/>
      <c r="DG53044" s="256"/>
    </row>
    <row r="53045" spans="104:111">
      <c r="CZ53045" s="256"/>
      <c r="DG53045" s="256"/>
    </row>
    <row r="53046" spans="104:111">
      <c r="CZ53046" s="256"/>
      <c r="DG53046" s="256"/>
    </row>
    <row r="53047" spans="104:111">
      <c r="CZ53047" s="256"/>
      <c r="DG53047" s="256"/>
    </row>
    <row r="53048" spans="104:111">
      <c r="CZ53048" s="256"/>
      <c r="DG53048" s="256"/>
    </row>
    <row r="53049" spans="104:111">
      <c r="CZ53049" s="256"/>
      <c r="DG53049" s="256"/>
    </row>
    <row r="53050" spans="104:111">
      <c r="CZ53050" s="256"/>
      <c r="DG53050" s="256"/>
    </row>
    <row r="53051" spans="104:111">
      <c r="CZ53051" s="256"/>
      <c r="DG53051" s="256"/>
    </row>
    <row r="53052" spans="104:111">
      <c r="CZ53052" s="256"/>
      <c r="DG53052" s="256"/>
    </row>
    <row r="53053" spans="104:111">
      <c r="CZ53053" s="256"/>
      <c r="DG53053" s="256"/>
    </row>
    <row r="53054" spans="104:111">
      <c r="CZ53054" s="256"/>
      <c r="DG53054" s="256"/>
    </row>
    <row r="53055" spans="104:111">
      <c r="CZ53055" s="256"/>
      <c r="DG53055" s="256"/>
    </row>
    <row r="53056" spans="104:111">
      <c r="CZ53056" s="256"/>
      <c r="DG53056" s="256"/>
    </row>
    <row r="53057" spans="104:111">
      <c r="CZ53057" s="256"/>
      <c r="DG53057" s="256"/>
    </row>
    <row r="53058" spans="104:111">
      <c r="CZ53058" s="256"/>
      <c r="DG53058" s="256"/>
    </row>
    <row r="53059" spans="104:111">
      <c r="CZ53059" s="256"/>
      <c r="DG53059" s="256"/>
    </row>
    <row r="53060" spans="104:111">
      <c r="CZ53060" s="256"/>
      <c r="DG53060" s="256"/>
    </row>
    <row r="53061" spans="104:111">
      <c r="CZ53061" s="256"/>
      <c r="DG53061" s="256"/>
    </row>
    <row r="53062" spans="104:111">
      <c r="CZ53062" s="256"/>
      <c r="DG53062" s="256"/>
    </row>
    <row r="53063" spans="104:111">
      <c r="CZ53063" s="256"/>
      <c r="DG53063" s="256"/>
    </row>
    <row r="53064" spans="104:111">
      <c r="CZ53064" s="256"/>
      <c r="DG53064" s="256"/>
    </row>
    <row r="53065" spans="104:111">
      <c r="CZ53065" s="256"/>
      <c r="DG53065" s="256"/>
    </row>
    <row r="53066" spans="104:111">
      <c r="CZ53066" s="256"/>
      <c r="DG53066" s="256"/>
    </row>
    <row r="53067" spans="104:111">
      <c r="CZ53067" s="256"/>
      <c r="DG53067" s="256"/>
    </row>
    <row r="53068" spans="104:111">
      <c r="CZ53068" s="256"/>
      <c r="DG53068" s="256"/>
    </row>
    <row r="53069" spans="104:111">
      <c r="CZ53069" s="256"/>
      <c r="DG53069" s="256"/>
    </row>
    <row r="53070" spans="104:111">
      <c r="CZ53070" s="256"/>
      <c r="DG53070" s="256"/>
    </row>
    <row r="53071" spans="104:111">
      <c r="CZ53071" s="256"/>
      <c r="DG53071" s="256"/>
    </row>
    <row r="53072" spans="104:111">
      <c r="CZ53072" s="256"/>
      <c r="DG53072" s="256"/>
    </row>
    <row r="53073" spans="104:111">
      <c r="CZ53073" s="256"/>
      <c r="DG53073" s="256"/>
    </row>
    <row r="53074" spans="104:111">
      <c r="CZ53074" s="256"/>
      <c r="DG53074" s="256"/>
    </row>
    <row r="53075" spans="104:111">
      <c r="CZ53075" s="256"/>
      <c r="DG53075" s="256"/>
    </row>
    <row r="53076" spans="104:111">
      <c r="CZ53076" s="256"/>
      <c r="DG53076" s="256"/>
    </row>
    <row r="53077" spans="104:111">
      <c r="CZ53077" s="256"/>
      <c r="DG53077" s="256"/>
    </row>
    <row r="53078" spans="104:111">
      <c r="CZ53078" s="256"/>
      <c r="DG53078" s="256"/>
    </row>
    <row r="53079" spans="104:111">
      <c r="CZ53079" s="256"/>
      <c r="DG53079" s="256"/>
    </row>
    <row r="53080" spans="104:111">
      <c r="CZ53080" s="256"/>
      <c r="DG53080" s="256"/>
    </row>
    <row r="53081" spans="104:111">
      <c r="CZ53081" s="256"/>
      <c r="DG53081" s="256"/>
    </row>
    <row r="53082" spans="104:111">
      <c r="CZ53082" s="256"/>
      <c r="DG53082" s="256"/>
    </row>
    <row r="53083" spans="104:111">
      <c r="CZ53083" s="256"/>
      <c r="DG53083" s="256"/>
    </row>
    <row r="53084" spans="104:111">
      <c r="CZ53084" s="256"/>
      <c r="DG53084" s="256"/>
    </row>
    <row r="53085" spans="104:111">
      <c r="CZ53085" s="256"/>
      <c r="DG53085" s="256"/>
    </row>
    <row r="53086" spans="104:111">
      <c r="CZ53086" s="256"/>
      <c r="DG53086" s="256"/>
    </row>
    <row r="53087" spans="104:111">
      <c r="CZ53087" s="256"/>
      <c r="DG53087" s="256"/>
    </row>
    <row r="53088" spans="104:111">
      <c r="CZ53088" s="256"/>
      <c r="DG53088" s="256"/>
    </row>
    <row r="53089" spans="104:111">
      <c r="CZ53089" s="256"/>
      <c r="DG53089" s="256"/>
    </row>
    <row r="53090" spans="104:111">
      <c r="CZ53090" s="256"/>
      <c r="DG53090" s="256"/>
    </row>
    <row r="53091" spans="104:111">
      <c r="CZ53091" s="256"/>
      <c r="DG53091" s="256"/>
    </row>
    <row r="53092" spans="104:111">
      <c r="CZ53092" s="256"/>
      <c r="DG53092" s="256"/>
    </row>
    <row r="53093" spans="104:111">
      <c r="CZ53093" s="256"/>
      <c r="DG53093" s="256"/>
    </row>
    <row r="53094" spans="104:111">
      <c r="CZ53094" s="256"/>
      <c r="DG53094" s="256"/>
    </row>
    <row r="53095" spans="104:111">
      <c r="CZ53095" s="256"/>
      <c r="DG53095" s="256"/>
    </row>
    <row r="53096" spans="104:111">
      <c r="CZ53096" s="256"/>
      <c r="DG53096" s="256"/>
    </row>
    <row r="53097" spans="104:111">
      <c r="CZ53097" s="256"/>
      <c r="DG53097" s="256"/>
    </row>
    <row r="53098" spans="104:111">
      <c r="CZ53098" s="256"/>
      <c r="DG53098" s="256"/>
    </row>
    <row r="53099" spans="104:111">
      <c r="CZ53099" s="256"/>
      <c r="DG53099" s="256"/>
    </row>
    <row r="53100" spans="104:111">
      <c r="CZ53100" s="256"/>
      <c r="DG53100" s="256"/>
    </row>
    <row r="53101" spans="104:111">
      <c r="CZ53101" s="256"/>
      <c r="DG53101" s="256"/>
    </row>
    <row r="53102" spans="104:111">
      <c r="CZ53102" s="256"/>
      <c r="DG53102" s="256"/>
    </row>
    <row r="53103" spans="104:111">
      <c r="CZ53103" s="256"/>
      <c r="DG53103" s="256"/>
    </row>
    <row r="53104" spans="104:111">
      <c r="CZ53104" s="256"/>
      <c r="DG53104" s="256"/>
    </row>
    <row r="53105" spans="104:111">
      <c r="CZ53105" s="256"/>
      <c r="DG53105" s="256"/>
    </row>
    <row r="53106" spans="104:111">
      <c r="CZ53106" s="256"/>
      <c r="DG53106" s="256"/>
    </row>
    <row r="53107" spans="104:111">
      <c r="CZ53107" s="256"/>
      <c r="DG53107" s="256"/>
    </row>
    <row r="53108" spans="104:111">
      <c r="CZ53108" s="256"/>
      <c r="DG53108" s="256"/>
    </row>
    <row r="53109" spans="104:111">
      <c r="CZ53109" s="256"/>
      <c r="DG53109" s="256"/>
    </row>
    <row r="53110" spans="104:111">
      <c r="CZ53110" s="256"/>
      <c r="DG53110" s="256"/>
    </row>
    <row r="53111" spans="104:111">
      <c r="CZ53111" s="256"/>
      <c r="DG53111" s="256"/>
    </row>
    <row r="53112" spans="104:111">
      <c r="CZ53112" s="256"/>
      <c r="DG53112" s="256"/>
    </row>
    <row r="53113" spans="104:111">
      <c r="CZ53113" s="256"/>
      <c r="DG53113" s="256"/>
    </row>
    <row r="53114" spans="104:111">
      <c r="CZ53114" s="256"/>
      <c r="DG53114" s="256"/>
    </row>
    <row r="53115" spans="104:111">
      <c r="CZ53115" s="256"/>
      <c r="DG53115" s="256"/>
    </row>
    <row r="53116" spans="104:111">
      <c r="CZ53116" s="256"/>
      <c r="DG53116" s="256"/>
    </row>
    <row r="53117" spans="104:111">
      <c r="CZ53117" s="256"/>
      <c r="DG53117" s="256"/>
    </row>
    <row r="53118" spans="104:111">
      <c r="CZ53118" s="256"/>
      <c r="DG53118" s="256"/>
    </row>
    <row r="53119" spans="104:111">
      <c r="CZ53119" s="256"/>
      <c r="DG53119" s="256"/>
    </row>
    <row r="53120" spans="104:111">
      <c r="CZ53120" s="256"/>
      <c r="DG53120" s="256"/>
    </row>
    <row r="53121" spans="104:111">
      <c r="CZ53121" s="256"/>
      <c r="DG53121" s="256"/>
    </row>
    <row r="53122" spans="104:111">
      <c r="CZ53122" s="256"/>
      <c r="DG53122" s="256"/>
    </row>
    <row r="53123" spans="104:111">
      <c r="CZ53123" s="256"/>
      <c r="DG53123" s="256"/>
    </row>
    <row r="53124" spans="104:111">
      <c r="CZ53124" s="256"/>
      <c r="DG53124" s="256"/>
    </row>
    <row r="53125" spans="104:111">
      <c r="CZ53125" s="256"/>
      <c r="DG53125" s="256"/>
    </row>
    <row r="53126" spans="104:111">
      <c r="CZ53126" s="256"/>
      <c r="DG53126" s="256"/>
    </row>
    <row r="53127" spans="104:111">
      <c r="CZ53127" s="256"/>
      <c r="DG53127" s="256"/>
    </row>
    <row r="53128" spans="104:111">
      <c r="CZ53128" s="256"/>
      <c r="DG53128" s="256"/>
    </row>
    <row r="53129" spans="104:111">
      <c r="CZ53129" s="256"/>
      <c r="DG53129" s="256"/>
    </row>
    <row r="53130" spans="104:111">
      <c r="CZ53130" s="256"/>
      <c r="DG53130" s="256"/>
    </row>
    <row r="53131" spans="104:111">
      <c r="CZ53131" s="256"/>
      <c r="DG53131" s="256"/>
    </row>
    <row r="53132" spans="104:111">
      <c r="CZ53132" s="256"/>
      <c r="DG53132" s="256"/>
    </row>
    <row r="53133" spans="104:111">
      <c r="CZ53133" s="256"/>
      <c r="DG53133" s="256"/>
    </row>
    <row r="53134" spans="104:111">
      <c r="CZ53134" s="256"/>
      <c r="DG53134" s="256"/>
    </row>
    <row r="53135" spans="104:111">
      <c r="CZ53135" s="256"/>
      <c r="DG53135" s="256"/>
    </row>
    <row r="53136" spans="104:111">
      <c r="CZ53136" s="256"/>
      <c r="DG53136" s="256"/>
    </row>
    <row r="53137" spans="104:111">
      <c r="CZ53137" s="256"/>
      <c r="DG53137" s="256"/>
    </row>
    <row r="53138" spans="104:111">
      <c r="CZ53138" s="256"/>
      <c r="DG53138" s="256"/>
    </row>
    <row r="53139" spans="104:111">
      <c r="CZ53139" s="256"/>
      <c r="DG53139" s="256"/>
    </row>
    <row r="53140" spans="104:111">
      <c r="CZ53140" s="256"/>
      <c r="DG53140" s="256"/>
    </row>
    <row r="53141" spans="104:111">
      <c r="CZ53141" s="256"/>
      <c r="DG53141" s="256"/>
    </row>
    <row r="53142" spans="104:111">
      <c r="CZ53142" s="256"/>
      <c r="DG53142" s="256"/>
    </row>
    <row r="53143" spans="104:111">
      <c r="CZ53143" s="256"/>
      <c r="DG53143" s="256"/>
    </row>
    <row r="53144" spans="104:111">
      <c r="CZ53144" s="256"/>
      <c r="DG53144" s="256"/>
    </row>
    <row r="53145" spans="104:111">
      <c r="CZ53145" s="256"/>
      <c r="DG53145" s="256"/>
    </row>
    <row r="53146" spans="104:111">
      <c r="CZ53146" s="256"/>
      <c r="DG53146" s="256"/>
    </row>
    <row r="53147" spans="104:111">
      <c r="CZ53147" s="256"/>
      <c r="DG53147" s="256"/>
    </row>
    <row r="53148" spans="104:111">
      <c r="CZ53148" s="256"/>
      <c r="DG53148" s="256"/>
    </row>
    <row r="53149" spans="104:111">
      <c r="CZ53149" s="256"/>
      <c r="DG53149" s="256"/>
    </row>
    <row r="53150" spans="104:111">
      <c r="CZ53150" s="256"/>
      <c r="DG53150" s="256"/>
    </row>
    <row r="53151" spans="104:111">
      <c r="CZ53151" s="256"/>
      <c r="DG53151" s="256"/>
    </row>
    <row r="53152" spans="104:111">
      <c r="CZ53152" s="256"/>
      <c r="DG53152" s="256"/>
    </row>
    <row r="53153" spans="104:111">
      <c r="CZ53153" s="256"/>
      <c r="DG53153" s="256"/>
    </row>
    <row r="53154" spans="104:111">
      <c r="CZ53154" s="256"/>
      <c r="DG53154" s="256"/>
    </row>
    <row r="53155" spans="104:111">
      <c r="CZ53155" s="256"/>
      <c r="DG53155" s="256"/>
    </row>
    <row r="53156" spans="104:111">
      <c r="CZ53156" s="256"/>
      <c r="DG53156" s="256"/>
    </row>
    <row r="53157" spans="104:111">
      <c r="CZ53157" s="256"/>
      <c r="DG53157" s="256"/>
    </row>
    <row r="53158" spans="104:111">
      <c r="CZ53158" s="256"/>
      <c r="DG53158" s="256"/>
    </row>
    <row r="53159" spans="104:111">
      <c r="CZ53159" s="256"/>
      <c r="DG53159" s="256"/>
    </row>
    <row r="53160" spans="104:111">
      <c r="CZ53160" s="256"/>
      <c r="DG53160" s="256"/>
    </row>
    <row r="53161" spans="104:111">
      <c r="CZ53161" s="256"/>
      <c r="DG53161" s="256"/>
    </row>
    <row r="53162" spans="104:111">
      <c r="CZ53162" s="256"/>
      <c r="DG53162" s="256"/>
    </row>
    <row r="53163" spans="104:111">
      <c r="CZ53163" s="256"/>
      <c r="DG53163" s="256"/>
    </row>
    <row r="53164" spans="104:111">
      <c r="CZ53164" s="256"/>
      <c r="DG53164" s="256"/>
    </row>
    <row r="53165" spans="104:111">
      <c r="CZ53165" s="256"/>
      <c r="DG53165" s="256"/>
    </row>
    <row r="53166" spans="104:111">
      <c r="CZ53166" s="256"/>
      <c r="DG53166" s="256"/>
    </row>
    <row r="53167" spans="104:111">
      <c r="CZ53167" s="256"/>
      <c r="DG53167" s="256"/>
    </row>
    <row r="53168" spans="104:111">
      <c r="CZ53168" s="256"/>
      <c r="DG53168" s="256"/>
    </row>
    <row r="53169" spans="104:111">
      <c r="CZ53169" s="256"/>
      <c r="DG53169" s="256"/>
    </row>
    <row r="53170" spans="104:111">
      <c r="CZ53170" s="256"/>
      <c r="DG53170" s="256"/>
    </row>
    <row r="53171" spans="104:111">
      <c r="CZ53171" s="256"/>
      <c r="DG53171" s="256"/>
    </row>
    <row r="53172" spans="104:111">
      <c r="CZ53172" s="256"/>
      <c r="DG53172" s="256"/>
    </row>
    <row r="53173" spans="104:111">
      <c r="CZ53173" s="256"/>
      <c r="DG53173" s="256"/>
    </row>
    <row r="53174" spans="104:111">
      <c r="CZ53174" s="256"/>
      <c r="DG53174" s="256"/>
    </row>
    <row r="53175" spans="104:111">
      <c r="CZ53175" s="256"/>
      <c r="DG53175" s="256"/>
    </row>
    <row r="53176" spans="104:111">
      <c r="CZ53176" s="256"/>
      <c r="DG53176" s="256"/>
    </row>
    <row r="53177" spans="104:111">
      <c r="CZ53177" s="256"/>
      <c r="DG53177" s="256"/>
    </row>
    <row r="53178" spans="104:111">
      <c r="CZ53178" s="256"/>
      <c r="DG53178" s="256"/>
    </row>
    <row r="53179" spans="104:111">
      <c r="CZ53179" s="256"/>
      <c r="DG53179" s="256"/>
    </row>
    <row r="53180" spans="104:111">
      <c r="CZ53180" s="256"/>
      <c r="DG53180" s="256"/>
    </row>
    <row r="53181" spans="104:111">
      <c r="CZ53181" s="256"/>
      <c r="DG53181" s="256"/>
    </row>
    <row r="53182" spans="104:111">
      <c r="CZ53182" s="256"/>
      <c r="DG53182" s="256"/>
    </row>
    <row r="53183" spans="104:111">
      <c r="CZ53183" s="256"/>
      <c r="DG53183" s="256"/>
    </row>
    <row r="53184" spans="104:111">
      <c r="CZ53184" s="256"/>
      <c r="DG53184" s="256"/>
    </row>
    <row r="53185" spans="104:111">
      <c r="CZ53185" s="256"/>
      <c r="DG53185" s="256"/>
    </row>
    <row r="53186" spans="104:111">
      <c r="CZ53186" s="256"/>
      <c r="DG53186" s="256"/>
    </row>
    <row r="53187" spans="104:111">
      <c r="CZ53187" s="256"/>
      <c r="DG53187" s="256"/>
    </row>
    <row r="53188" spans="104:111">
      <c r="CZ53188" s="256"/>
      <c r="DG53188" s="256"/>
    </row>
    <row r="53189" spans="104:111">
      <c r="CZ53189" s="256"/>
      <c r="DG53189" s="256"/>
    </row>
    <row r="53190" spans="104:111">
      <c r="CZ53190" s="256"/>
      <c r="DG53190" s="256"/>
    </row>
    <row r="53191" spans="104:111">
      <c r="CZ53191" s="256"/>
      <c r="DG53191" s="256"/>
    </row>
    <row r="53192" spans="104:111">
      <c r="CZ53192" s="256"/>
      <c r="DG53192" s="256"/>
    </row>
    <row r="53193" spans="104:111">
      <c r="CZ53193" s="256"/>
      <c r="DG53193" s="256"/>
    </row>
    <row r="53194" spans="104:111">
      <c r="CZ53194" s="256"/>
      <c r="DG53194" s="256"/>
    </row>
    <row r="53195" spans="104:111">
      <c r="CZ53195" s="256"/>
      <c r="DG53195" s="256"/>
    </row>
    <row r="53196" spans="104:111">
      <c r="CZ53196" s="256"/>
      <c r="DG53196" s="256"/>
    </row>
    <row r="53197" spans="104:111">
      <c r="CZ53197" s="256"/>
      <c r="DG53197" s="256"/>
    </row>
    <row r="53198" spans="104:111">
      <c r="CZ53198" s="256"/>
      <c r="DG53198" s="256"/>
    </row>
    <row r="53199" spans="104:111">
      <c r="CZ53199" s="256"/>
      <c r="DG53199" s="256"/>
    </row>
    <row r="53200" spans="104:111">
      <c r="CZ53200" s="256"/>
      <c r="DG53200" s="256"/>
    </row>
    <row r="53201" spans="104:111">
      <c r="CZ53201" s="256"/>
      <c r="DG53201" s="256"/>
    </row>
    <row r="53202" spans="104:111">
      <c r="CZ53202" s="256"/>
      <c r="DG53202" s="256"/>
    </row>
    <row r="53203" spans="104:111">
      <c r="CZ53203" s="256"/>
      <c r="DG53203" s="256"/>
    </row>
    <row r="53204" spans="104:111">
      <c r="CZ53204" s="256"/>
      <c r="DG53204" s="256"/>
    </row>
    <row r="53205" spans="104:111">
      <c r="CZ53205" s="256"/>
      <c r="DG53205" s="256"/>
    </row>
    <row r="53206" spans="104:111">
      <c r="CZ53206" s="256"/>
      <c r="DG53206" s="256"/>
    </row>
    <row r="53207" spans="104:111">
      <c r="CZ53207" s="256"/>
      <c r="DG53207" s="256"/>
    </row>
    <row r="53208" spans="104:111">
      <c r="CZ53208" s="256"/>
      <c r="DG53208" s="256"/>
    </row>
    <row r="53209" spans="104:111">
      <c r="CZ53209" s="256"/>
      <c r="DG53209" s="256"/>
    </row>
    <row r="53210" spans="104:111">
      <c r="CZ53210" s="256"/>
      <c r="DG53210" s="256"/>
    </row>
    <row r="53211" spans="104:111">
      <c r="CZ53211" s="256"/>
      <c r="DG53211" s="256"/>
    </row>
    <row r="53212" spans="104:111">
      <c r="CZ53212" s="256"/>
      <c r="DG53212" s="256"/>
    </row>
    <row r="53213" spans="104:111">
      <c r="CZ53213" s="256"/>
      <c r="DG53213" s="256"/>
    </row>
    <row r="53214" spans="104:111">
      <c r="CZ53214" s="256"/>
      <c r="DG53214" s="256"/>
    </row>
    <row r="53215" spans="104:111">
      <c r="CZ53215" s="256"/>
      <c r="DG53215" s="256"/>
    </row>
    <row r="53216" spans="104:111">
      <c r="CZ53216" s="256"/>
      <c r="DG53216" s="256"/>
    </row>
    <row r="53217" spans="104:111">
      <c r="CZ53217" s="256"/>
      <c r="DG53217" s="256"/>
    </row>
    <row r="53218" spans="104:111">
      <c r="CZ53218" s="256"/>
      <c r="DG53218" s="256"/>
    </row>
    <row r="53219" spans="104:111">
      <c r="CZ53219" s="256"/>
      <c r="DG53219" s="256"/>
    </row>
    <row r="53220" spans="104:111">
      <c r="CZ53220" s="256"/>
      <c r="DG53220" s="256"/>
    </row>
    <row r="53221" spans="104:111">
      <c r="CZ53221" s="256"/>
      <c r="DG53221" s="256"/>
    </row>
    <row r="53222" spans="104:111">
      <c r="CZ53222" s="256"/>
      <c r="DG53222" s="256"/>
    </row>
    <row r="53223" spans="104:111">
      <c r="CZ53223" s="256"/>
      <c r="DG53223" s="256"/>
    </row>
    <row r="53224" spans="104:111">
      <c r="CZ53224" s="256"/>
      <c r="DG53224" s="256"/>
    </row>
    <row r="53225" spans="104:111">
      <c r="CZ53225" s="256"/>
      <c r="DG53225" s="256"/>
    </row>
    <row r="53226" spans="104:111">
      <c r="CZ53226" s="256"/>
      <c r="DG53226" s="256"/>
    </row>
    <row r="53227" spans="104:111">
      <c r="CZ53227" s="256"/>
      <c r="DG53227" s="256"/>
    </row>
    <row r="53228" spans="104:111">
      <c r="CZ53228" s="256"/>
      <c r="DG53228" s="256"/>
    </row>
    <row r="53229" spans="104:111">
      <c r="CZ53229" s="256"/>
      <c r="DG53229" s="256"/>
    </row>
    <row r="53230" spans="104:111">
      <c r="CZ53230" s="256"/>
      <c r="DG53230" s="256"/>
    </row>
    <row r="53231" spans="104:111">
      <c r="CZ53231" s="256"/>
      <c r="DG53231" s="256"/>
    </row>
    <row r="53232" spans="104:111">
      <c r="CZ53232" s="256"/>
      <c r="DG53232" s="256"/>
    </row>
    <row r="53233" spans="104:111">
      <c r="CZ53233" s="256"/>
      <c r="DG53233" s="256"/>
    </row>
    <row r="53234" spans="104:111">
      <c r="CZ53234" s="256"/>
      <c r="DG53234" s="256"/>
    </row>
    <row r="53235" spans="104:111">
      <c r="CZ53235" s="256"/>
      <c r="DG53235" s="256"/>
    </row>
    <row r="53236" spans="104:111">
      <c r="CZ53236" s="256"/>
      <c r="DG53236" s="256"/>
    </row>
    <row r="53237" spans="104:111">
      <c r="CZ53237" s="256"/>
      <c r="DG53237" s="256"/>
    </row>
    <row r="53238" spans="104:111">
      <c r="CZ53238" s="256"/>
      <c r="DG53238" s="256"/>
    </row>
    <row r="53239" spans="104:111">
      <c r="CZ53239" s="256"/>
      <c r="DG53239" s="256"/>
    </row>
    <row r="53240" spans="104:111">
      <c r="CZ53240" s="256"/>
      <c r="DG53240" s="256"/>
    </row>
    <row r="53241" spans="104:111">
      <c r="CZ53241" s="256"/>
      <c r="DG53241" s="256"/>
    </row>
    <row r="53242" spans="104:111">
      <c r="CZ53242" s="256"/>
      <c r="DG53242" s="256"/>
    </row>
    <row r="53243" spans="104:111">
      <c r="CZ53243" s="256"/>
      <c r="DG53243" s="256"/>
    </row>
    <row r="53244" spans="104:111">
      <c r="CZ53244" s="256"/>
      <c r="DG53244" s="256"/>
    </row>
    <row r="53245" spans="104:111">
      <c r="CZ53245" s="256"/>
      <c r="DG53245" s="256"/>
    </row>
    <row r="53246" spans="104:111">
      <c r="CZ53246" s="256"/>
      <c r="DG53246" s="256"/>
    </row>
    <row r="53247" spans="104:111">
      <c r="CZ53247" s="256"/>
      <c r="DG53247" s="256"/>
    </row>
    <row r="53248" spans="104:111">
      <c r="CZ53248" s="256"/>
      <c r="DG53248" s="256"/>
    </row>
    <row r="53249" spans="104:111">
      <c r="CZ53249" s="256"/>
      <c r="DG53249" s="256"/>
    </row>
    <row r="53250" spans="104:111">
      <c r="CZ53250" s="256"/>
      <c r="DG53250" s="256"/>
    </row>
    <row r="53251" spans="104:111">
      <c r="CZ53251" s="256"/>
      <c r="DG53251" s="256"/>
    </row>
    <row r="53252" spans="104:111">
      <c r="CZ53252" s="256"/>
      <c r="DG53252" s="256"/>
    </row>
    <row r="53253" spans="104:111">
      <c r="CZ53253" s="256"/>
      <c r="DG53253" s="256"/>
    </row>
    <row r="53254" spans="104:111">
      <c r="CZ53254" s="256"/>
      <c r="DG53254" s="256"/>
    </row>
    <row r="53255" spans="104:111">
      <c r="CZ53255" s="256"/>
      <c r="DG53255" s="256"/>
    </row>
    <row r="53256" spans="104:111">
      <c r="CZ53256" s="256"/>
      <c r="DG53256" s="256"/>
    </row>
    <row r="53257" spans="104:111">
      <c r="CZ53257" s="256"/>
      <c r="DG53257" s="256"/>
    </row>
    <row r="53258" spans="104:111">
      <c r="CZ53258" s="256"/>
      <c r="DG53258" s="256"/>
    </row>
    <row r="53259" spans="104:111">
      <c r="CZ53259" s="256"/>
      <c r="DG53259" s="256"/>
    </row>
    <row r="53260" spans="104:111">
      <c r="CZ53260" s="256"/>
      <c r="DG53260" s="256"/>
    </row>
    <row r="53261" spans="104:111">
      <c r="CZ53261" s="256"/>
      <c r="DG53261" s="256"/>
    </row>
    <row r="53262" spans="104:111">
      <c r="CZ53262" s="256"/>
      <c r="DG53262" s="256"/>
    </row>
    <row r="53263" spans="104:111">
      <c r="CZ53263" s="256"/>
      <c r="DG53263" s="256"/>
    </row>
    <row r="53264" spans="104:111">
      <c r="CZ53264" s="256"/>
      <c r="DG53264" s="256"/>
    </row>
    <row r="53265" spans="104:111">
      <c r="CZ53265" s="256"/>
      <c r="DG53265" s="256"/>
    </row>
    <row r="53266" spans="104:111">
      <c r="CZ53266" s="256"/>
      <c r="DG53266" s="256"/>
    </row>
    <row r="53267" spans="104:111">
      <c r="CZ53267" s="256"/>
      <c r="DG53267" s="256"/>
    </row>
    <row r="53268" spans="104:111">
      <c r="CZ53268" s="256"/>
      <c r="DG53268" s="256"/>
    </row>
    <row r="53269" spans="104:111">
      <c r="CZ53269" s="256"/>
      <c r="DG53269" s="256"/>
    </row>
    <row r="53270" spans="104:111">
      <c r="CZ53270" s="256"/>
      <c r="DG53270" s="256"/>
    </row>
    <row r="53271" spans="104:111">
      <c r="CZ53271" s="256"/>
      <c r="DG53271" s="256"/>
    </row>
    <row r="53272" spans="104:111">
      <c r="CZ53272" s="256"/>
      <c r="DG53272" s="256"/>
    </row>
    <row r="53273" spans="104:111">
      <c r="CZ53273" s="256"/>
      <c r="DG53273" s="256"/>
    </row>
    <row r="53274" spans="104:111">
      <c r="CZ53274" s="256"/>
      <c r="DG53274" s="256"/>
    </row>
    <row r="53275" spans="104:111">
      <c r="CZ53275" s="256"/>
      <c r="DG53275" s="256"/>
    </row>
    <row r="53276" spans="104:111">
      <c r="CZ53276" s="256"/>
      <c r="DG53276" s="256"/>
    </row>
    <row r="53277" spans="104:111">
      <c r="CZ53277" s="256"/>
      <c r="DG53277" s="256"/>
    </row>
    <row r="53278" spans="104:111">
      <c r="CZ53278" s="256"/>
      <c r="DG53278" s="256"/>
    </row>
    <row r="53279" spans="104:111">
      <c r="CZ53279" s="256"/>
      <c r="DG53279" s="256"/>
    </row>
    <row r="53280" spans="104:111">
      <c r="CZ53280" s="256"/>
      <c r="DG53280" s="256"/>
    </row>
    <row r="53281" spans="104:111">
      <c r="CZ53281" s="256"/>
      <c r="DG53281" s="256"/>
    </row>
    <row r="53282" spans="104:111">
      <c r="CZ53282" s="256"/>
      <c r="DG53282" s="256"/>
    </row>
    <row r="53283" spans="104:111">
      <c r="CZ53283" s="256"/>
      <c r="DG53283" s="256"/>
    </row>
    <row r="53284" spans="104:111">
      <c r="CZ53284" s="256"/>
      <c r="DG53284" s="256"/>
    </row>
    <row r="53285" spans="104:111">
      <c r="CZ53285" s="256"/>
      <c r="DG53285" s="256"/>
    </row>
    <row r="53286" spans="104:111">
      <c r="CZ53286" s="256"/>
      <c r="DG53286" s="256"/>
    </row>
    <row r="53287" spans="104:111">
      <c r="CZ53287" s="256"/>
      <c r="DG53287" s="256"/>
    </row>
    <row r="53288" spans="104:111">
      <c r="CZ53288" s="256"/>
      <c r="DG53288" s="256"/>
    </row>
    <row r="53289" spans="104:111">
      <c r="CZ53289" s="256"/>
      <c r="DG53289" s="256"/>
    </row>
    <row r="53290" spans="104:111">
      <c r="CZ53290" s="256"/>
      <c r="DG53290" s="256"/>
    </row>
    <row r="53291" spans="104:111">
      <c r="CZ53291" s="256"/>
      <c r="DG53291" s="256"/>
    </row>
    <row r="53292" spans="104:111">
      <c r="CZ53292" s="256"/>
      <c r="DG53292" s="256"/>
    </row>
    <row r="53293" spans="104:111">
      <c r="CZ53293" s="256"/>
      <c r="DG53293" s="256"/>
    </row>
    <row r="53294" spans="104:111">
      <c r="CZ53294" s="256"/>
      <c r="DG53294" s="256"/>
    </row>
    <row r="53295" spans="104:111">
      <c r="CZ53295" s="256"/>
      <c r="DG53295" s="256"/>
    </row>
    <row r="53296" spans="104:111">
      <c r="CZ53296" s="256"/>
      <c r="DG53296" s="256"/>
    </row>
    <row r="53297" spans="104:111">
      <c r="CZ53297" s="256"/>
      <c r="DG53297" s="256"/>
    </row>
    <row r="53298" spans="104:111">
      <c r="CZ53298" s="256"/>
      <c r="DG53298" s="256"/>
    </row>
    <row r="53299" spans="104:111">
      <c r="CZ53299" s="256"/>
      <c r="DG53299" s="256"/>
    </row>
    <row r="53300" spans="104:111">
      <c r="CZ53300" s="256"/>
      <c r="DG53300" s="256"/>
    </row>
    <row r="53301" spans="104:111">
      <c r="CZ53301" s="256"/>
      <c r="DG53301" s="256"/>
    </row>
    <row r="53302" spans="104:111">
      <c r="CZ53302" s="256"/>
      <c r="DG53302" s="256"/>
    </row>
    <row r="53303" spans="104:111">
      <c r="CZ53303" s="256"/>
      <c r="DG53303" s="256"/>
    </row>
    <row r="53304" spans="104:111">
      <c r="CZ53304" s="256"/>
      <c r="DG53304" s="256"/>
    </row>
    <row r="53305" spans="104:111">
      <c r="CZ53305" s="256"/>
      <c r="DG53305" s="256"/>
    </row>
    <row r="53306" spans="104:111">
      <c r="CZ53306" s="256"/>
      <c r="DG53306" s="256"/>
    </row>
    <row r="53307" spans="104:111">
      <c r="CZ53307" s="256"/>
      <c r="DG53307" s="256"/>
    </row>
    <row r="53308" spans="104:111">
      <c r="CZ53308" s="256"/>
      <c r="DG53308" s="256"/>
    </row>
    <row r="53309" spans="104:111">
      <c r="CZ53309" s="256"/>
      <c r="DG53309" s="256"/>
    </row>
    <row r="53310" spans="104:111">
      <c r="CZ53310" s="256"/>
      <c r="DG53310" s="256"/>
    </row>
    <row r="53311" spans="104:111">
      <c r="CZ53311" s="256"/>
      <c r="DG53311" s="256"/>
    </row>
    <row r="53312" spans="104:111">
      <c r="CZ53312" s="256"/>
      <c r="DG53312" s="256"/>
    </row>
    <row r="53313" spans="104:111">
      <c r="CZ53313" s="256"/>
      <c r="DG53313" s="256"/>
    </row>
    <row r="53314" spans="104:111">
      <c r="CZ53314" s="256"/>
      <c r="DG53314" s="256"/>
    </row>
    <row r="53315" spans="104:111">
      <c r="CZ53315" s="256"/>
      <c r="DG53315" s="256"/>
    </row>
    <row r="53316" spans="104:111">
      <c r="CZ53316" s="256"/>
      <c r="DG53316" s="256"/>
    </row>
    <row r="53317" spans="104:111">
      <c r="CZ53317" s="256"/>
      <c r="DG53317" s="256"/>
    </row>
    <row r="53318" spans="104:111">
      <c r="CZ53318" s="256"/>
      <c r="DG53318" s="256"/>
    </row>
    <row r="53319" spans="104:111">
      <c r="CZ53319" s="256"/>
      <c r="DG53319" s="256"/>
    </row>
    <row r="53320" spans="104:111">
      <c r="CZ53320" s="256"/>
      <c r="DG53320" s="256"/>
    </row>
    <row r="53321" spans="104:111">
      <c r="CZ53321" s="256"/>
      <c r="DG53321" s="256"/>
    </row>
    <row r="53322" spans="104:111">
      <c r="CZ53322" s="256"/>
      <c r="DG53322" s="256"/>
    </row>
    <row r="53323" spans="104:111">
      <c r="CZ53323" s="256"/>
      <c r="DG53323" s="256"/>
    </row>
    <row r="53324" spans="104:111">
      <c r="CZ53324" s="256"/>
      <c r="DG53324" s="256"/>
    </row>
    <row r="53325" spans="104:111">
      <c r="CZ53325" s="256"/>
      <c r="DG53325" s="256"/>
    </row>
    <row r="53326" spans="104:111">
      <c r="CZ53326" s="256"/>
      <c r="DG53326" s="256"/>
    </row>
    <row r="53327" spans="104:111">
      <c r="CZ53327" s="256"/>
      <c r="DG53327" s="256"/>
    </row>
    <row r="53328" spans="104:111">
      <c r="CZ53328" s="256"/>
      <c r="DG53328" s="256"/>
    </row>
    <row r="53329" spans="104:111">
      <c r="CZ53329" s="256"/>
      <c r="DG53329" s="256"/>
    </row>
    <row r="53330" spans="104:111">
      <c r="CZ53330" s="256"/>
      <c r="DG53330" s="256"/>
    </row>
    <row r="53331" spans="104:111">
      <c r="CZ53331" s="256"/>
      <c r="DG53331" s="256"/>
    </row>
    <row r="53332" spans="104:111">
      <c r="CZ53332" s="256"/>
      <c r="DG53332" s="256"/>
    </row>
    <row r="53333" spans="104:111">
      <c r="CZ53333" s="256"/>
      <c r="DG53333" s="256"/>
    </row>
    <row r="53334" spans="104:111">
      <c r="CZ53334" s="256"/>
      <c r="DG53334" s="256"/>
    </row>
    <row r="53335" spans="104:111">
      <c r="CZ53335" s="256"/>
      <c r="DG53335" s="256"/>
    </row>
    <row r="53336" spans="104:111">
      <c r="CZ53336" s="256"/>
      <c r="DG53336" s="256"/>
    </row>
    <row r="53337" spans="104:111">
      <c r="CZ53337" s="256"/>
      <c r="DG53337" s="256"/>
    </row>
    <row r="53338" spans="104:111">
      <c r="CZ53338" s="256"/>
      <c r="DG53338" s="256"/>
    </row>
    <row r="53339" spans="104:111">
      <c r="CZ53339" s="256"/>
      <c r="DG53339" s="256"/>
    </row>
    <row r="53340" spans="104:111">
      <c r="CZ53340" s="256"/>
      <c r="DG53340" s="256"/>
    </row>
    <row r="53341" spans="104:111">
      <c r="CZ53341" s="256"/>
      <c r="DG53341" s="256"/>
    </row>
    <row r="53342" spans="104:111">
      <c r="CZ53342" s="256"/>
      <c r="DG53342" s="256"/>
    </row>
    <row r="53343" spans="104:111">
      <c r="CZ53343" s="256"/>
      <c r="DG53343" s="256"/>
    </row>
    <row r="53344" spans="104:111">
      <c r="CZ53344" s="256"/>
      <c r="DG53344" s="256"/>
    </row>
    <row r="53345" spans="104:111">
      <c r="CZ53345" s="256"/>
      <c r="DG53345" s="256"/>
    </row>
    <row r="53346" spans="104:111">
      <c r="CZ53346" s="256"/>
      <c r="DG53346" s="256"/>
    </row>
    <row r="53347" spans="104:111">
      <c r="CZ53347" s="256"/>
      <c r="DG53347" s="256"/>
    </row>
    <row r="53348" spans="104:111">
      <c r="CZ53348" s="256"/>
      <c r="DG53348" s="256"/>
    </row>
    <row r="53349" spans="104:111">
      <c r="CZ53349" s="256"/>
      <c r="DG53349" s="256"/>
    </row>
    <row r="53350" spans="104:111">
      <c r="CZ53350" s="256"/>
      <c r="DG53350" s="256"/>
    </row>
    <row r="53351" spans="104:111">
      <c r="CZ53351" s="256"/>
      <c r="DG53351" s="256"/>
    </row>
    <row r="53352" spans="104:111">
      <c r="CZ53352" s="256"/>
      <c r="DG53352" s="256"/>
    </row>
    <row r="53353" spans="104:111">
      <c r="CZ53353" s="256"/>
      <c r="DG53353" s="256"/>
    </row>
    <row r="53354" spans="104:111">
      <c r="CZ53354" s="256"/>
      <c r="DG53354" s="256"/>
    </row>
    <row r="53355" spans="104:111">
      <c r="CZ53355" s="256"/>
      <c r="DG53355" s="256"/>
    </row>
    <row r="53356" spans="104:111">
      <c r="CZ53356" s="256"/>
      <c r="DG53356" s="256"/>
    </row>
    <row r="53357" spans="104:111">
      <c r="CZ53357" s="256"/>
      <c r="DG53357" s="256"/>
    </row>
    <row r="53358" spans="104:111">
      <c r="CZ53358" s="256"/>
      <c r="DG53358" s="256"/>
    </row>
    <row r="53359" spans="104:111">
      <c r="CZ53359" s="256"/>
      <c r="DG53359" s="256"/>
    </row>
    <row r="53360" spans="104:111">
      <c r="CZ53360" s="256"/>
      <c r="DG53360" s="256"/>
    </row>
    <row r="53361" spans="104:111">
      <c r="CZ53361" s="256"/>
      <c r="DG53361" s="256"/>
    </row>
    <row r="53362" spans="104:111">
      <c r="CZ53362" s="256"/>
      <c r="DG53362" s="256"/>
    </row>
    <row r="53363" spans="104:111">
      <c r="CZ53363" s="256"/>
      <c r="DG53363" s="256"/>
    </row>
    <row r="53364" spans="104:111">
      <c r="CZ53364" s="256"/>
      <c r="DG53364" s="256"/>
    </row>
    <row r="53365" spans="104:111">
      <c r="CZ53365" s="256"/>
      <c r="DG53365" s="256"/>
    </row>
    <row r="53366" spans="104:111">
      <c r="CZ53366" s="256"/>
      <c r="DG53366" s="256"/>
    </row>
    <row r="53367" spans="104:111">
      <c r="CZ53367" s="256"/>
      <c r="DG53367" s="256"/>
    </row>
    <row r="53368" spans="104:111">
      <c r="CZ53368" s="256"/>
      <c r="DG53368" s="256"/>
    </row>
    <row r="53369" spans="104:111">
      <c r="CZ53369" s="256"/>
      <c r="DG53369" s="256"/>
    </row>
    <row r="53370" spans="104:111">
      <c r="CZ53370" s="256"/>
      <c r="DG53370" s="256"/>
    </row>
    <row r="53371" spans="104:111">
      <c r="CZ53371" s="256"/>
      <c r="DG53371" s="256"/>
    </row>
    <row r="53372" spans="104:111">
      <c r="CZ53372" s="256"/>
      <c r="DG53372" s="256"/>
    </row>
    <row r="53373" spans="104:111">
      <c r="CZ53373" s="256"/>
      <c r="DG53373" s="256"/>
    </row>
    <row r="53374" spans="104:111">
      <c r="CZ53374" s="256"/>
      <c r="DG53374" s="256"/>
    </row>
    <row r="53375" spans="104:111">
      <c r="CZ53375" s="256"/>
      <c r="DG53375" s="256"/>
    </row>
    <row r="53376" spans="104:111">
      <c r="CZ53376" s="256"/>
      <c r="DG53376" s="256"/>
    </row>
    <row r="53377" spans="104:111">
      <c r="CZ53377" s="256"/>
      <c r="DG53377" s="256"/>
    </row>
    <row r="53378" spans="104:111">
      <c r="CZ53378" s="256"/>
      <c r="DG53378" s="256"/>
    </row>
    <row r="53379" spans="104:111">
      <c r="CZ53379" s="256"/>
      <c r="DG53379" s="256"/>
    </row>
    <row r="53380" spans="104:111">
      <c r="CZ53380" s="256"/>
      <c r="DG53380" s="256"/>
    </row>
    <row r="53381" spans="104:111">
      <c r="CZ53381" s="256"/>
      <c r="DG53381" s="256"/>
    </row>
    <row r="53382" spans="104:111">
      <c r="CZ53382" s="256"/>
      <c r="DG53382" s="256"/>
    </row>
    <row r="53383" spans="104:111">
      <c r="CZ53383" s="256"/>
      <c r="DG53383" s="256"/>
    </row>
    <row r="53384" spans="104:111">
      <c r="CZ53384" s="256"/>
      <c r="DG53384" s="256"/>
    </row>
    <row r="53385" spans="104:111">
      <c r="CZ53385" s="256"/>
      <c r="DG53385" s="256"/>
    </row>
    <row r="53386" spans="104:111">
      <c r="CZ53386" s="256"/>
      <c r="DG53386" s="256"/>
    </row>
    <row r="53387" spans="104:111">
      <c r="CZ53387" s="256"/>
      <c r="DG53387" s="256"/>
    </row>
    <row r="53388" spans="104:111">
      <c r="CZ53388" s="256"/>
      <c r="DG53388" s="256"/>
    </row>
    <row r="53389" spans="104:111">
      <c r="CZ53389" s="256"/>
      <c r="DG53389" s="256"/>
    </row>
    <row r="53390" spans="104:111">
      <c r="CZ53390" s="256"/>
      <c r="DG53390" s="256"/>
    </row>
    <row r="53391" spans="104:111">
      <c r="CZ53391" s="256"/>
      <c r="DG53391" s="256"/>
    </row>
    <row r="53392" spans="104:111">
      <c r="CZ53392" s="256"/>
      <c r="DG53392" s="256"/>
    </row>
    <row r="53393" spans="104:111">
      <c r="CZ53393" s="256"/>
      <c r="DG53393" s="256"/>
    </row>
    <row r="53394" spans="104:111">
      <c r="CZ53394" s="256"/>
      <c r="DG53394" s="256"/>
    </row>
    <row r="53395" spans="104:111">
      <c r="CZ53395" s="256"/>
      <c r="DG53395" s="256"/>
    </row>
    <row r="53396" spans="104:111">
      <c r="CZ53396" s="256"/>
      <c r="DG53396" s="256"/>
    </row>
    <row r="53397" spans="104:111">
      <c r="CZ53397" s="256"/>
      <c r="DG53397" s="256"/>
    </row>
    <row r="53398" spans="104:111">
      <c r="CZ53398" s="256"/>
      <c r="DG53398" s="256"/>
    </row>
    <row r="53399" spans="104:111">
      <c r="CZ53399" s="256"/>
      <c r="DG53399" s="256"/>
    </row>
    <row r="53400" spans="104:111">
      <c r="CZ53400" s="256"/>
      <c r="DG53400" s="256"/>
    </row>
    <row r="53401" spans="104:111">
      <c r="CZ53401" s="256"/>
      <c r="DG53401" s="256"/>
    </row>
    <row r="53402" spans="104:111">
      <c r="CZ53402" s="256"/>
      <c r="DG53402" s="256"/>
    </row>
    <row r="53403" spans="104:111">
      <c r="CZ53403" s="256"/>
      <c r="DG53403" s="256"/>
    </row>
    <row r="53404" spans="104:111">
      <c r="CZ53404" s="256"/>
      <c r="DG53404" s="256"/>
    </row>
    <row r="53405" spans="104:111">
      <c r="CZ53405" s="256"/>
      <c r="DG53405" s="256"/>
    </row>
    <row r="53406" spans="104:111">
      <c r="CZ53406" s="256"/>
      <c r="DG53406" s="256"/>
    </row>
    <row r="53407" spans="104:111">
      <c r="CZ53407" s="256"/>
      <c r="DG53407" s="256"/>
    </row>
    <row r="53408" spans="104:111">
      <c r="CZ53408" s="256"/>
      <c r="DG53408" s="256"/>
    </row>
    <row r="53409" spans="104:111">
      <c r="CZ53409" s="256"/>
      <c r="DG53409" s="256"/>
    </row>
    <row r="53410" spans="104:111">
      <c r="CZ53410" s="256"/>
      <c r="DG53410" s="256"/>
    </row>
    <row r="53411" spans="104:111">
      <c r="CZ53411" s="256"/>
      <c r="DG53411" s="256"/>
    </row>
    <row r="53412" spans="104:111">
      <c r="CZ53412" s="256"/>
      <c r="DG53412" s="256"/>
    </row>
    <row r="53413" spans="104:111">
      <c r="CZ53413" s="256"/>
      <c r="DG53413" s="256"/>
    </row>
    <row r="53414" spans="104:111">
      <c r="CZ53414" s="256"/>
      <c r="DG53414" s="256"/>
    </row>
    <row r="53415" spans="104:111">
      <c r="CZ53415" s="256"/>
      <c r="DG53415" s="256"/>
    </row>
    <row r="53416" spans="104:111">
      <c r="CZ53416" s="256"/>
      <c r="DG53416" s="256"/>
    </row>
    <row r="53417" spans="104:111">
      <c r="CZ53417" s="256"/>
      <c r="DG53417" s="256"/>
    </row>
    <row r="53418" spans="104:111">
      <c r="CZ53418" s="256"/>
      <c r="DG53418" s="256"/>
    </row>
    <row r="53419" spans="104:111">
      <c r="CZ53419" s="256"/>
      <c r="DG53419" s="256"/>
    </row>
    <row r="53420" spans="104:111">
      <c r="CZ53420" s="256"/>
      <c r="DG53420" s="256"/>
    </row>
    <row r="53421" spans="104:111">
      <c r="CZ53421" s="256"/>
      <c r="DG53421" s="256"/>
    </row>
    <row r="53422" spans="104:111">
      <c r="CZ53422" s="256"/>
      <c r="DG53422" s="256"/>
    </row>
    <row r="53423" spans="104:111">
      <c r="CZ53423" s="256"/>
      <c r="DG53423" s="256"/>
    </row>
    <row r="53424" spans="104:111">
      <c r="CZ53424" s="256"/>
      <c r="DG53424" s="256"/>
    </row>
    <row r="53425" spans="104:111">
      <c r="CZ53425" s="256"/>
      <c r="DG53425" s="256"/>
    </row>
    <row r="53426" spans="104:111">
      <c r="CZ53426" s="256"/>
      <c r="DG53426" s="256"/>
    </row>
    <row r="53427" spans="104:111">
      <c r="CZ53427" s="256"/>
      <c r="DG53427" s="256"/>
    </row>
    <row r="53428" spans="104:111">
      <c r="CZ53428" s="256"/>
      <c r="DG53428" s="256"/>
    </row>
    <row r="53429" spans="104:111">
      <c r="CZ53429" s="256"/>
      <c r="DG53429" s="256"/>
    </row>
    <row r="53430" spans="104:111">
      <c r="CZ53430" s="256"/>
      <c r="DG53430" s="256"/>
    </row>
    <row r="53431" spans="104:111">
      <c r="CZ53431" s="256"/>
      <c r="DG53431" s="256"/>
    </row>
    <row r="53432" spans="104:111">
      <c r="CZ53432" s="256"/>
      <c r="DG53432" s="256"/>
    </row>
    <row r="53433" spans="104:111">
      <c r="CZ53433" s="256"/>
      <c r="DG53433" s="256"/>
    </row>
    <row r="53434" spans="104:111">
      <c r="CZ53434" s="256"/>
      <c r="DG53434" s="256"/>
    </row>
    <row r="53435" spans="104:111">
      <c r="CZ53435" s="256"/>
      <c r="DG53435" s="256"/>
    </row>
    <row r="53436" spans="104:111">
      <c r="CZ53436" s="256"/>
      <c r="DG53436" s="256"/>
    </row>
    <row r="53437" spans="104:111">
      <c r="CZ53437" s="256"/>
      <c r="DG53437" s="256"/>
    </row>
    <row r="53438" spans="104:111">
      <c r="CZ53438" s="256"/>
      <c r="DG53438" s="256"/>
    </row>
    <row r="53439" spans="104:111">
      <c r="CZ53439" s="256"/>
      <c r="DG53439" s="256"/>
    </row>
    <row r="53440" spans="104:111">
      <c r="CZ53440" s="256"/>
      <c r="DG53440" s="256"/>
    </row>
    <row r="53441" spans="104:111">
      <c r="CZ53441" s="256"/>
      <c r="DG53441" s="256"/>
    </row>
    <row r="53442" spans="104:111">
      <c r="CZ53442" s="256"/>
      <c r="DG53442" s="256"/>
    </row>
    <row r="53443" spans="104:111">
      <c r="CZ53443" s="256"/>
      <c r="DG53443" s="256"/>
    </row>
    <row r="53444" spans="104:111">
      <c r="CZ53444" s="256"/>
      <c r="DG53444" s="256"/>
    </row>
    <row r="53445" spans="104:111">
      <c r="CZ53445" s="256"/>
      <c r="DG53445" s="256"/>
    </row>
    <row r="53446" spans="104:111">
      <c r="CZ53446" s="256"/>
      <c r="DG53446" s="256"/>
    </row>
    <row r="53447" spans="104:111">
      <c r="CZ53447" s="256"/>
      <c r="DG53447" s="256"/>
    </row>
    <row r="53448" spans="104:111">
      <c r="CZ53448" s="256"/>
      <c r="DG53448" s="256"/>
    </row>
    <row r="53449" spans="104:111">
      <c r="CZ53449" s="256"/>
      <c r="DG53449" s="256"/>
    </row>
    <row r="53450" spans="104:111">
      <c r="CZ53450" s="256"/>
      <c r="DG53450" s="256"/>
    </row>
    <row r="53451" spans="104:111">
      <c r="CZ53451" s="256"/>
      <c r="DG53451" s="256"/>
    </row>
    <row r="53452" spans="104:111">
      <c r="CZ53452" s="256"/>
      <c r="DG53452" s="256"/>
    </row>
    <row r="53453" spans="104:111">
      <c r="CZ53453" s="256"/>
      <c r="DG53453" s="256"/>
    </row>
    <row r="53454" spans="104:111">
      <c r="CZ53454" s="256"/>
      <c r="DG53454" s="256"/>
    </row>
    <row r="53455" spans="104:111">
      <c r="CZ53455" s="256"/>
      <c r="DG53455" s="256"/>
    </row>
    <row r="53456" spans="104:111">
      <c r="CZ53456" s="256"/>
      <c r="DG53456" s="256"/>
    </row>
    <row r="53457" spans="104:111">
      <c r="CZ53457" s="256"/>
      <c r="DG53457" s="256"/>
    </row>
    <row r="53458" spans="104:111">
      <c r="CZ53458" s="256"/>
      <c r="DG53458" s="256"/>
    </row>
    <row r="53459" spans="104:111">
      <c r="CZ53459" s="256"/>
      <c r="DG53459" s="256"/>
    </row>
    <row r="53460" spans="104:111">
      <c r="CZ53460" s="256"/>
      <c r="DG53460" s="256"/>
    </row>
    <row r="53461" spans="104:111">
      <c r="CZ53461" s="256"/>
      <c r="DG53461" s="256"/>
    </row>
    <row r="53462" spans="104:111">
      <c r="CZ53462" s="256"/>
      <c r="DG53462" s="256"/>
    </row>
    <row r="53463" spans="104:111">
      <c r="CZ53463" s="256"/>
      <c r="DG53463" s="256"/>
    </row>
    <row r="53464" spans="104:111">
      <c r="CZ53464" s="256"/>
      <c r="DG53464" s="256"/>
    </row>
    <row r="53465" spans="104:111">
      <c r="CZ53465" s="256"/>
      <c r="DG53465" s="256"/>
    </row>
    <row r="53466" spans="104:111">
      <c r="CZ53466" s="256"/>
      <c r="DG53466" s="256"/>
    </row>
    <row r="53467" spans="104:111">
      <c r="CZ53467" s="256"/>
      <c r="DG53467" s="256"/>
    </row>
    <row r="53468" spans="104:111">
      <c r="CZ53468" s="256"/>
      <c r="DG53468" s="256"/>
    </row>
    <row r="53469" spans="104:111">
      <c r="CZ53469" s="256"/>
      <c r="DG53469" s="256"/>
    </row>
    <row r="53470" spans="104:111">
      <c r="CZ53470" s="256"/>
      <c r="DG53470" s="256"/>
    </row>
    <row r="53471" spans="104:111">
      <c r="CZ53471" s="256"/>
      <c r="DG53471" s="256"/>
    </row>
    <row r="53472" spans="104:111">
      <c r="CZ53472" s="256"/>
      <c r="DG53472" s="256"/>
    </row>
    <row r="53473" spans="104:111">
      <c r="CZ53473" s="256"/>
      <c r="DG53473" s="256"/>
    </row>
    <row r="53474" spans="104:111">
      <c r="CZ53474" s="256"/>
      <c r="DG53474" s="256"/>
    </row>
    <row r="53475" spans="104:111">
      <c r="CZ53475" s="256"/>
      <c r="DG53475" s="256"/>
    </row>
    <row r="53476" spans="104:111">
      <c r="CZ53476" s="256"/>
      <c r="DG53476" s="256"/>
    </row>
    <row r="53477" spans="104:111">
      <c r="CZ53477" s="256"/>
      <c r="DG53477" s="256"/>
    </row>
    <row r="53478" spans="104:111">
      <c r="CZ53478" s="256"/>
      <c r="DG53478" s="256"/>
    </row>
    <row r="53479" spans="104:111">
      <c r="CZ53479" s="256"/>
      <c r="DG53479" s="256"/>
    </row>
    <row r="53480" spans="104:111">
      <c r="CZ53480" s="256"/>
      <c r="DG53480" s="256"/>
    </row>
    <row r="53481" spans="104:111">
      <c r="CZ53481" s="256"/>
      <c r="DG53481" s="256"/>
    </row>
    <row r="53482" spans="104:111">
      <c r="CZ53482" s="256"/>
      <c r="DG53482" s="256"/>
    </row>
    <row r="53483" spans="104:111">
      <c r="CZ53483" s="256"/>
      <c r="DG53483" s="256"/>
    </row>
    <row r="53484" spans="104:111">
      <c r="CZ53484" s="256"/>
      <c r="DG53484" s="256"/>
    </row>
    <row r="53485" spans="104:111">
      <c r="CZ53485" s="256"/>
      <c r="DG53485" s="256"/>
    </row>
    <row r="53486" spans="104:111">
      <c r="CZ53486" s="256"/>
      <c r="DG53486" s="256"/>
    </row>
    <row r="53487" spans="104:111">
      <c r="CZ53487" s="256"/>
      <c r="DG53487" s="256"/>
    </row>
    <row r="53488" spans="104:111">
      <c r="CZ53488" s="256"/>
      <c r="DG53488" s="256"/>
    </row>
    <row r="53489" spans="104:111">
      <c r="CZ53489" s="256"/>
      <c r="DG53489" s="256"/>
    </row>
    <row r="53490" spans="104:111">
      <c r="CZ53490" s="256"/>
      <c r="DG53490" s="256"/>
    </row>
    <row r="53491" spans="104:111">
      <c r="CZ53491" s="256"/>
      <c r="DG53491" s="256"/>
    </row>
    <row r="53492" spans="104:111">
      <c r="CZ53492" s="256"/>
      <c r="DG53492" s="256"/>
    </row>
    <row r="53493" spans="104:111">
      <c r="CZ53493" s="256"/>
      <c r="DG53493" s="256"/>
    </row>
    <row r="53494" spans="104:111">
      <c r="CZ53494" s="256"/>
      <c r="DG53494" s="256"/>
    </row>
    <row r="53495" spans="104:111">
      <c r="CZ53495" s="256"/>
      <c r="DG53495" s="256"/>
    </row>
    <row r="53496" spans="104:111">
      <c r="CZ53496" s="256"/>
      <c r="DG53496" s="256"/>
    </row>
    <row r="53497" spans="104:111">
      <c r="CZ53497" s="256"/>
      <c r="DG53497" s="256"/>
    </row>
    <row r="53498" spans="104:111">
      <c r="CZ53498" s="256"/>
      <c r="DG53498" s="256"/>
    </row>
    <row r="53499" spans="104:111">
      <c r="CZ53499" s="256"/>
      <c r="DG53499" s="256"/>
    </row>
    <row r="53500" spans="104:111">
      <c r="CZ53500" s="256"/>
      <c r="DG53500" s="256"/>
    </row>
    <row r="53501" spans="104:111">
      <c r="CZ53501" s="256"/>
      <c r="DG53501" s="256"/>
    </row>
    <row r="53502" spans="104:111">
      <c r="CZ53502" s="256"/>
      <c r="DG53502" s="256"/>
    </row>
    <row r="53503" spans="104:111">
      <c r="CZ53503" s="256"/>
      <c r="DG53503" s="256"/>
    </row>
    <row r="53504" spans="104:111">
      <c r="CZ53504" s="256"/>
      <c r="DG53504" s="256"/>
    </row>
    <row r="53505" spans="104:111">
      <c r="CZ53505" s="256"/>
      <c r="DG53505" s="256"/>
    </row>
    <row r="53506" spans="104:111">
      <c r="CZ53506" s="256"/>
      <c r="DG53506" s="256"/>
    </row>
    <row r="53507" spans="104:111">
      <c r="CZ53507" s="256"/>
      <c r="DG53507" s="256"/>
    </row>
    <row r="53508" spans="104:111">
      <c r="CZ53508" s="256"/>
      <c r="DG53508" s="256"/>
    </row>
    <row r="53509" spans="104:111">
      <c r="CZ53509" s="256"/>
      <c r="DG53509" s="256"/>
    </row>
    <row r="53510" spans="104:111">
      <c r="CZ53510" s="256"/>
      <c r="DG53510" s="256"/>
    </row>
    <row r="53511" spans="104:111">
      <c r="CZ53511" s="256"/>
      <c r="DG53511" s="256"/>
    </row>
    <row r="53512" spans="104:111">
      <c r="CZ53512" s="256"/>
      <c r="DG53512" s="256"/>
    </row>
    <row r="53513" spans="104:111">
      <c r="CZ53513" s="256"/>
      <c r="DG53513" s="256"/>
    </row>
    <row r="53514" spans="104:111">
      <c r="CZ53514" s="256"/>
      <c r="DG53514" s="256"/>
    </row>
    <row r="53515" spans="104:111">
      <c r="CZ53515" s="256"/>
      <c r="DG53515" s="256"/>
    </row>
    <row r="53516" spans="104:111">
      <c r="CZ53516" s="256"/>
      <c r="DG53516" s="256"/>
    </row>
    <row r="53517" spans="104:111">
      <c r="CZ53517" s="256"/>
      <c r="DG53517" s="256"/>
    </row>
    <row r="53518" spans="104:111">
      <c r="CZ53518" s="256"/>
      <c r="DG53518" s="256"/>
    </row>
    <row r="53519" spans="104:111">
      <c r="CZ53519" s="256"/>
      <c r="DG53519" s="256"/>
    </row>
    <row r="53520" spans="104:111">
      <c r="CZ53520" s="256"/>
      <c r="DG53520" s="256"/>
    </row>
    <row r="53521" spans="104:111">
      <c r="CZ53521" s="256"/>
      <c r="DG53521" s="256"/>
    </row>
    <row r="53522" spans="104:111">
      <c r="CZ53522" s="256"/>
      <c r="DG53522" s="256"/>
    </row>
    <row r="53523" spans="104:111">
      <c r="CZ53523" s="256"/>
      <c r="DG53523" s="256"/>
    </row>
    <row r="53524" spans="104:111">
      <c r="CZ53524" s="256"/>
      <c r="DG53524" s="256"/>
    </row>
    <row r="53525" spans="104:111">
      <c r="CZ53525" s="256"/>
      <c r="DG53525" s="256"/>
    </row>
    <row r="53526" spans="104:111">
      <c r="CZ53526" s="256"/>
      <c r="DG53526" s="256"/>
    </row>
    <row r="53527" spans="104:111">
      <c r="CZ53527" s="256"/>
      <c r="DG53527" s="256"/>
    </row>
    <row r="53528" spans="104:111">
      <c r="CZ53528" s="256"/>
      <c r="DG53528" s="256"/>
    </row>
    <row r="53529" spans="104:111">
      <c r="CZ53529" s="256"/>
      <c r="DG53529" s="256"/>
    </row>
    <row r="53530" spans="104:111">
      <c r="CZ53530" s="256"/>
      <c r="DG53530" s="256"/>
    </row>
    <row r="53531" spans="104:111">
      <c r="CZ53531" s="256"/>
      <c r="DG53531" s="256"/>
    </row>
    <row r="53532" spans="104:111">
      <c r="CZ53532" s="256"/>
      <c r="DG53532" s="256"/>
    </row>
    <row r="53533" spans="104:111">
      <c r="CZ53533" s="256"/>
      <c r="DG53533" s="256"/>
    </row>
    <row r="53534" spans="104:111">
      <c r="CZ53534" s="256"/>
      <c r="DG53534" s="256"/>
    </row>
    <row r="53535" spans="104:111">
      <c r="CZ53535" s="256"/>
      <c r="DG53535" s="256"/>
    </row>
    <row r="53536" spans="104:111">
      <c r="CZ53536" s="256"/>
      <c r="DG53536" s="256"/>
    </row>
    <row r="53537" spans="104:111">
      <c r="CZ53537" s="256"/>
      <c r="DG53537" s="256"/>
    </row>
    <row r="53538" spans="104:111">
      <c r="CZ53538" s="256"/>
      <c r="DG53538" s="256"/>
    </row>
    <row r="53539" spans="104:111">
      <c r="CZ53539" s="256"/>
      <c r="DG53539" s="256"/>
    </row>
    <row r="53540" spans="104:111">
      <c r="CZ53540" s="256"/>
      <c r="DG53540" s="256"/>
    </row>
    <row r="53541" spans="104:111">
      <c r="CZ53541" s="256"/>
      <c r="DG53541" s="256"/>
    </row>
    <row r="53542" spans="104:111">
      <c r="CZ53542" s="256"/>
      <c r="DG53542" s="256"/>
    </row>
    <row r="53543" spans="104:111">
      <c r="CZ53543" s="256"/>
      <c r="DG53543" s="256"/>
    </row>
    <row r="53544" spans="104:111">
      <c r="CZ53544" s="256"/>
      <c r="DG53544" s="256"/>
    </row>
    <row r="53545" spans="104:111">
      <c r="CZ53545" s="256"/>
      <c r="DG53545" s="256"/>
    </row>
    <row r="53546" spans="104:111">
      <c r="CZ53546" s="256"/>
      <c r="DG53546" s="256"/>
    </row>
    <row r="53547" spans="104:111">
      <c r="CZ53547" s="256"/>
      <c r="DG53547" s="256"/>
    </row>
    <row r="53548" spans="104:111">
      <c r="CZ53548" s="256"/>
      <c r="DG53548" s="256"/>
    </row>
    <row r="53549" spans="104:111">
      <c r="CZ53549" s="256"/>
      <c r="DG53549" s="256"/>
    </row>
    <row r="53550" spans="104:111">
      <c r="CZ53550" s="256"/>
      <c r="DG53550" s="256"/>
    </row>
    <row r="53551" spans="104:111">
      <c r="CZ53551" s="256"/>
      <c r="DG53551" s="256"/>
    </row>
    <row r="53552" spans="104:111">
      <c r="CZ53552" s="256"/>
      <c r="DG53552" s="256"/>
    </row>
    <row r="53553" spans="104:111">
      <c r="CZ53553" s="256"/>
      <c r="DG53553" s="256"/>
    </row>
    <row r="53554" spans="104:111">
      <c r="CZ53554" s="256"/>
      <c r="DG53554" s="256"/>
    </row>
    <row r="53555" spans="104:111">
      <c r="CZ53555" s="256"/>
      <c r="DG53555" s="256"/>
    </row>
    <row r="53556" spans="104:111">
      <c r="CZ53556" s="256"/>
      <c r="DG53556" s="256"/>
    </row>
    <row r="53557" spans="104:111">
      <c r="CZ53557" s="256"/>
      <c r="DG53557" s="256"/>
    </row>
    <row r="53558" spans="104:111">
      <c r="CZ53558" s="256"/>
      <c r="DG53558" s="256"/>
    </row>
    <row r="53559" spans="104:111">
      <c r="CZ53559" s="256"/>
      <c r="DG53559" s="256"/>
    </row>
    <row r="53560" spans="104:111">
      <c r="CZ53560" s="256"/>
      <c r="DG53560" s="256"/>
    </row>
    <row r="53561" spans="104:111">
      <c r="CZ53561" s="256"/>
      <c r="DG53561" s="256"/>
    </row>
    <row r="53562" spans="104:111">
      <c r="CZ53562" s="256"/>
      <c r="DG53562" s="256"/>
    </row>
    <row r="53563" spans="104:111">
      <c r="CZ53563" s="256"/>
      <c r="DG53563" s="256"/>
    </row>
    <row r="53564" spans="104:111">
      <c r="CZ53564" s="256"/>
      <c r="DG53564" s="256"/>
    </row>
    <row r="53565" spans="104:111">
      <c r="CZ53565" s="256"/>
      <c r="DG53565" s="256"/>
    </row>
    <row r="53566" spans="104:111">
      <c r="CZ53566" s="256"/>
      <c r="DG53566" s="256"/>
    </row>
    <row r="53567" spans="104:111">
      <c r="CZ53567" s="256"/>
      <c r="DG53567" s="256"/>
    </row>
    <row r="53568" spans="104:111">
      <c r="CZ53568" s="256"/>
      <c r="DG53568" s="256"/>
    </row>
    <row r="53569" spans="104:111">
      <c r="CZ53569" s="256"/>
      <c r="DG53569" s="256"/>
    </row>
    <row r="53570" spans="104:111">
      <c r="CZ53570" s="256"/>
      <c r="DG53570" s="256"/>
    </row>
    <row r="53571" spans="104:111">
      <c r="CZ53571" s="256"/>
      <c r="DG53571" s="256"/>
    </row>
    <row r="53572" spans="104:111">
      <c r="CZ53572" s="256"/>
      <c r="DG53572" s="256"/>
    </row>
    <row r="53573" spans="104:111">
      <c r="CZ53573" s="256"/>
      <c r="DG53573" s="256"/>
    </row>
    <row r="53574" spans="104:111">
      <c r="CZ53574" s="256"/>
      <c r="DG53574" s="256"/>
    </row>
    <row r="53575" spans="104:111">
      <c r="CZ53575" s="256"/>
      <c r="DG53575" s="256"/>
    </row>
    <row r="53576" spans="104:111">
      <c r="CZ53576" s="256"/>
      <c r="DG53576" s="256"/>
    </row>
    <row r="53577" spans="104:111">
      <c r="CZ53577" s="256"/>
      <c r="DG53577" s="256"/>
    </row>
    <row r="53578" spans="104:111">
      <c r="CZ53578" s="256"/>
      <c r="DG53578" s="256"/>
    </row>
    <row r="53579" spans="104:111">
      <c r="CZ53579" s="256"/>
      <c r="DG53579" s="256"/>
    </row>
    <row r="53580" spans="104:111">
      <c r="CZ53580" s="256"/>
      <c r="DG53580" s="256"/>
    </row>
    <row r="53581" spans="104:111">
      <c r="CZ53581" s="256"/>
      <c r="DG53581" s="256"/>
    </row>
    <row r="53582" spans="104:111">
      <c r="CZ53582" s="256"/>
      <c r="DG53582" s="256"/>
    </row>
    <row r="53583" spans="104:111">
      <c r="CZ53583" s="256"/>
      <c r="DG53583" s="256"/>
    </row>
    <row r="53584" spans="104:111">
      <c r="CZ53584" s="256"/>
      <c r="DG53584" s="256"/>
    </row>
    <row r="53585" spans="104:111">
      <c r="CZ53585" s="256"/>
      <c r="DG53585" s="256"/>
    </row>
    <row r="53586" spans="104:111">
      <c r="CZ53586" s="256"/>
      <c r="DG53586" s="256"/>
    </row>
    <row r="53587" spans="104:111">
      <c r="CZ53587" s="256"/>
      <c r="DG53587" s="256"/>
    </row>
    <row r="53588" spans="104:111">
      <c r="CZ53588" s="256"/>
      <c r="DG53588" s="256"/>
    </row>
    <row r="53589" spans="104:111">
      <c r="CZ53589" s="256"/>
      <c r="DG53589" s="256"/>
    </row>
    <row r="53590" spans="104:111">
      <c r="CZ53590" s="256"/>
      <c r="DG53590" s="256"/>
    </row>
    <row r="53591" spans="104:111">
      <c r="CZ53591" s="256"/>
      <c r="DG53591" s="256"/>
    </row>
    <row r="53592" spans="104:111">
      <c r="CZ53592" s="256"/>
      <c r="DG53592" s="256"/>
    </row>
    <row r="53593" spans="104:111">
      <c r="CZ53593" s="256"/>
      <c r="DG53593" s="256"/>
    </row>
    <row r="53594" spans="104:111">
      <c r="CZ53594" s="256"/>
      <c r="DG53594" s="256"/>
    </row>
    <row r="53595" spans="104:111">
      <c r="CZ53595" s="256"/>
      <c r="DG53595" s="256"/>
    </row>
    <row r="53596" spans="104:111">
      <c r="CZ53596" s="256"/>
      <c r="DG53596" s="256"/>
    </row>
    <row r="53597" spans="104:111">
      <c r="CZ53597" s="256"/>
      <c r="DG53597" s="256"/>
    </row>
    <row r="53598" spans="104:111">
      <c r="CZ53598" s="256"/>
      <c r="DG53598" s="256"/>
    </row>
    <row r="53599" spans="104:111">
      <c r="CZ53599" s="256"/>
      <c r="DG53599" s="256"/>
    </row>
    <row r="53600" spans="104:111">
      <c r="CZ53600" s="256"/>
      <c r="DG53600" s="256"/>
    </row>
    <row r="53601" spans="104:111">
      <c r="CZ53601" s="256"/>
      <c r="DG53601" s="256"/>
    </row>
    <row r="53602" spans="104:111">
      <c r="CZ53602" s="256"/>
      <c r="DG53602" s="256"/>
    </row>
    <row r="53603" spans="104:111">
      <c r="CZ53603" s="256"/>
      <c r="DG53603" s="256"/>
    </row>
    <row r="53604" spans="104:111">
      <c r="CZ53604" s="256"/>
      <c r="DG53604" s="256"/>
    </row>
    <row r="53605" spans="104:111">
      <c r="CZ53605" s="256"/>
      <c r="DG53605" s="256"/>
    </row>
    <row r="53606" spans="104:111">
      <c r="CZ53606" s="256"/>
      <c r="DG53606" s="256"/>
    </row>
    <row r="53607" spans="104:111">
      <c r="CZ53607" s="256"/>
      <c r="DG53607" s="256"/>
    </row>
    <row r="53608" spans="104:111">
      <c r="CZ53608" s="256"/>
      <c r="DG53608" s="256"/>
    </row>
    <row r="53609" spans="104:111">
      <c r="CZ53609" s="256"/>
      <c r="DG53609" s="256"/>
    </row>
    <row r="53610" spans="104:111">
      <c r="CZ53610" s="256"/>
      <c r="DG53610" s="256"/>
    </row>
    <row r="53611" spans="104:111">
      <c r="CZ53611" s="256"/>
      <c r="DG53611" s="256"/>
    </row>
    <row r="53612" spans="104:111">
      <c r="CZ53612" s="256"/>
      <c r="DG53612" s="256"/>
    </row>
    <row r="53613" spans="104:111">
      <c r="CZ53613" s="256"/>
      <c r="DG53613" s="256"/>
    </row>
    <row r="53614" spans="104:111">
      <c r="CZ53614" s="256"/>
      <c r="DG53614" s="256"/>
    </row>
    <row r="53615" spans="104:111">
      <c r="CZ53615" s="256"/>
      <c r="DG53615" s="256"/>
    </row>
    <row r="53616" spans="104:111">
      <c r="CZ53616" s="256"/>
      <c r="DG53616" s="256"/>
    </row>
    <row r="53617" spans="104:111">
      <c r="CZ53617" s="256"/>
      <c r="DG53617" s="256"/>
    </row>
    <row r="53618" spans="104:111">
      <c r="CZ53618" s="256"/>
      <c r="DG53618" s="256"/>
    </row>
    <row r="53619" spans="104:111">
      <c r="CZ53619" s="256"/>
      <c r="DG53619" s="256"/>
    </row>
    <row r="53620" spans="104:111">
      <c r="CZ53620" s="256"/>
      <c r="DG53620" s="256"/>
    </row>
    <row r="53621" spans="104:111">
      <c r="CZ53621" s="256"/>
      <c r="DG53621" s="256"/>
    </row>
    <row r="53622" spans="104:111">
      <c r="CZ53622" s="256"/>
      <c r="DG53622" s="256"/>
    </row>
    <row r="53623" spans="104:111">
      <c r="CZ53623" s="256"/>
      <c r="DG53623" s="256"/>
    </row>
    <row r="53624" spans="104:111">
      <c r="CZ53624" s="256"/>
      <c r="DG53624" s="256"/>
    </row>
    <row r="53625" spans="104:111">
      <c r="CZ53625" s="256"/>
      <c r="DG53625" s="256"/>
    </row>
    <row r="53626" spans="104:111">
      <c r="CZ53626" s="256"/>
      <c r="DG53626" s="256"/>
    </row>
    <row r="53627" spans="104:111">
      <c r="CZ53627" s="256"/>
      <c r="DG53627" s="256"/>
    </row>
    <row r="53628" spans="104:111">
      <c r="CZ53628" s="256"/>
      <c r="DG53628" s="256"/>
    </row>
    <row r="53629" spans="104:111">
      <c r="CZ53629" s="256"/>
      <c r="DG53629" s="256"/>
    </row>
    <row r="53630" spans="104:111">
      <c r="CZ53630" s="256"/>
      <c r="DG53630" s="256"/>
    </row>
    <row r="53631" spans="104:111">
      <c r="CZ53631" s="256"/>
      <c r="DG53631" s="256"/>
    </row>
    <row r="53632" spans="104:111">
      <c r="CZ53632" s="256"/>
      <c r="DG53632" s="256"/>
    </row>
    <row r="53633" spans="104:111">
      <c r="CZ53633" s="256"/>
      <c r="DG53633" s="256"/>
    </row>
    <row r="53634" spans="104:111">
      <c r="CZ53634" s="256"/>
      <c r="DG53634" s="256"/>
    </row>
    <row r="53635" spans="104:111">
      <c r="CZ53635" s="256"/>
      <c r="DG53635" s="256"/>
    </row>
    <row r="53636" spans="104:111">
      <c r="CZ53636" s="256"/>
      <c r="DG53636" s="256"/>
    </row>
    <row r="53637" spans="104:111">
      <c r="CZ53637" s="256"/>
      <c r="DG53637" s="256"/>
    </row>
    <row r="53638" spans="104:111">
      <c r="CZ53638" s="256"/>
      <c r="DG53638" s="256"/>
    </row>
    <row r="53639" spans="104:111">
      <c r="CZ53639" s="256"/>
      <c r="DG53639" s="256"/>
    </row>
    <row r="53640" spans="104:111">
      <c r="CZ53640" s="256"/>
      <c r="DG53640" s="256"/>
    </row>
    <row r="53641" spans="104:111">
      <c r="CZ53641" s="256"/>
      <c r="DG53641" s="256"/>
    </row>
    <row r="53642" spans="104:111">
      <c r="CZ53642" s="256"/>
      <c r="DG53642" s="256"/>
    </row>
    <row r="53643" spans="104:111">
      <c r="CZ53643" s="256"/>
      <c r="DG53643" s="256"/>
    </row>
    <row r="53644" spans="104:111">
      <c r="CZ53644" s="256"/>
      <c r="DG53644" s="256"/>
    </row>
    <row r="53645" spans="104:111">
      <c r="CZ53645" s="256"/>
      <c r="DG53645" s="256"/>
    </row>
    <row r="53646" spans="104:111">
      <c r="CZ53646" s="256"/>
      <c r="DG53646" s="256"/>
    </row>
    <row r="53647" spans="104:111">
      <c r="CZ53647" s="256"/>
      <c r="DG53647" s="256"/>
    </row>
    <row r="53648" spans="104:111">
      <c r="CZ53648" s="256"/>
      <c r="DG53648" s="256"/>
    </row>
    <row r="53649" spans="104:111">
      <c r="CZ53649" s="256"/>
      <c r="DG53649" s="256"/>
    </row>
    <row r="53650" spans="104:111">
      <c r="CZ53650" s="256"/>
      <c r="DG53650" s="256"/>
    </row>
    <row r="53651" spans="104:111">
      <c r="CZ53651" s="256"/>
      <c r="DG53651" s="256"/>
    </row>
    <row r="53652" spans="104:111">
      <c r="CZ53652" s="256"/>
      <c r="DG53652" s="256"/>
    </row>
    <row r="53653" spans="104:111">
      <c r="CZ53653" s="256"/>
      <c r="DG53653" s="256"/>
    </row>
    <row r="53654" spans="104:111">
      <c r="CZ53654" s="256"/>
      <c r="DG53654" s="256"/>
    </row>
    <row r="53655" spans="104:111">
      <c r="CZ53655" s="256"/>
      <c r="DG53655" s="256"/>
    </row>
    <row r="53656" spans="104:111">
      <c r="CZ53656" s="256"/>
      <c r="DG53656" s="256"/>
    </row>
    <row r="53657" spans="104:111">
      <c r="CZ53657" s="256"/>
      <c r="DG53657" s="256"/>
    </row>
    <row r="53658" spans="104:111">
      <c r="CZ53658" s="256"/>
      <c r="DG53658" s="256"/>
    </row>
    <row r="53659" spans="104:111">
      <c r="CZ53659" s="256"/>
      <c r="DG53659" s="256"/>
    </row>
    <row r="53660" spans="104:111">
      <c r="CZ53660" s="256"/>
      <c r="DG53660" s="256"/>
    </row>
    <row r="53661" spans="104:111">
      <c r="CZ53661" s="256"/>
      <c r="DG53661" s="256"/>
    </row>
    <row r="53662" spans="104:111">
      <c r="CZ53662" s="256"/>
      <c r="DG53662" s="256"/>
    </row>
    <row r="53663" spans="104:111">
      <c r="CZ53663" s="256"/>
      <c r="DG53663" s="256"/>
    </row>
    <row r="53664" spans="104:111">
      <c r="CZ53664" s="256"/>
      <c r="DG53664" s="256"/>
    </row>
    <row r="53665" spans="104:111">
      <c r="CZ53665" s="256"/>
      <c r="DG53665" s="256"/>
    </row>
    <row r="53666" spans="104:111">
      <c r="CZ53666" s="256"/>
      <c r="DG53666" s="256"/>
    </row>
    <row r="53667" spans="104:111">
      <c r="CZ53667" s="256"/>
      <c r="DG53667" s="256"/>
    </row>
    <row r="53668" spans="104:111">
      <c r="CZ53668" s="256"/>
      <c r="DG53668" s="256"/>
    </row>
    <row r="53669" spans="104:111">
      <c r="CZ53669" s="256"/>
      <c r="DG53669" s="256"/>
    </row>
    <row r="53670" spans="104:111">
      <c r="CZ53670" s="256"/>
      <c r="DG53670" s="256"/>
    </row>
    <row r="53671" spans="104:111">
      <c r="CZ53671" s="256"/>
      <c r="DG53671" s="256"/>
    </row>
    <row r="53672" spans="104:111">
      <c r="CZ53672" s="256"/>
      <c r="DG53672" s="256"/>
    </row>
    <row r="53673" spans="104:111">
      <c r="CZ53673" s="256"/>
      <c r="DG53673" s="256"/>
    </row>
    <row r="53674" spans="104:111">
      <c r="CZ53674" s="256"/>
      <c r="DG53674" s="256"/>
    </row>
    <row r="53675" spans="104:111">
      <c r="CZ53675" s="256"/>
      <c r="DG53675" s="256"/>
    </row>
    <row r="53676" spans="104:111">
      <c r="CZ53676" s="256"/>
      <c r="DG53676" s="256"/>
    </row>
    <row r="53677" spans="104:111">
      <c r="CZ53677" s="256"/>
      <c r="DG53677" s="256"/>
    </row>
    <row r="53678" spans="104:111">
      <c r="CZ53678" s="256"/>
      <c r="DG53678" s="256"/>
    </row>
    <row r="53679" spans="104:111">
      <c r="CZ53679" s="256"/>
      <c r="DG53679" s="256"/>
    </row>
    <row r="53680" spans="104:111">
      <c r="CZ53680" s="256"/>
      <c r="DG53680" s="256"/>
    </row>
    <row r="53681" spans="104:111">
      <c r="CZ53681" s="256"/>
      <c r="DG53681" s="256"/>
    </row>
    <row r="53682" spans="104:111">
      <c r="CZ53682" s="256"/>
      <c r="DG53682" s="256"/>
    </row>
    <row r="53683" spans="104:111">
      <c r="CZ53683" s="256"/>
      <c r="DG53683" s="256"/>
    </row>
    <row r="53684" spans="104:111">
      <c r="CZ53684" s="256"/>
      <c r="DG53684" s="256"/>
    </row>
    <row r="53685" spans="104:111">
      <c r="CZ53685" s="256"/>
      <c r="DG53685" s="256"/>
    </row>
    <row r="53686" spans="104:111">
      <c r="CZ53686" s="256"/>
      <c r="DG53686" s="256"/>
    </row>
    <row r="53687" spans="104:111">
      <c r="CZ53687" s="256"/>
      <c r="DG53687" s="256"/>
    </row>
    <row r="53688" spans="104:111">
      <c r="CZ53688" s="256"/>
      <c r="DG53688" s="256"/>
    </row>
    <row r="53689" spans="104:111">
      <c r="CZ53689" s="256"/>
      <c r="DG53689" s="256"/>
    </row>
    <row r="53690" spans="104:111">
      <c r="CZ53690" s="256"/>
      <c r="DG53690" s="256"/>
    </row>
    <row r="53691" spans="104:111">
      <c r="CZ53691" s="256"/>
      <c r="DG53691" s="256"/>
    </row>
    <row r="53692" spans="104:111">
      <c r="CZ53692" s="256"/>
      <c r="DG53692" s="256"/>
    </row>
    <row r="53693" spans="104:111">
      <c r="CZ53693" s="256"/>
      <c r="DG53693" s="256"/>
    </row>
    <row r="53694" spans="104:111">
      <c r="CZ53694" s="256"/>
      <c r="DG53694" s="256"/>
    </row>
    <row r="53695" spans="104:111">
      <c r="CZ53695" s="256"/>
      <c r="DG53695" s="256"/>
    </row>
    <row r="53696" spans="104:111">
      <c r="CZ53696" s="256"/>
      <c r="DG53696" s="256"/>
    </row>
    <row r="53697" spans="104:111">
      <c r="CZ53697" s="256"/>
      <c r="DG53697" s="256"/>
    </row>
    <row r="53698" spans="104:111">
      <c r="CZ53698" s="256"/>
      <c r="DG53698" s="256"/>
    </row>
    <row r="53699" spans="104:111">
      <c r="CZ53699" s="256"/>
      <c r="DG53699" s="256"/>
    </row>
    <row r="53700" spans="104:111">
      <c r="CZ53700" s="256"/>
      <c r="DG53700" s="256"/>
    </row>
    <row r="53701" spans="104:111">
      <c r="CZ53701" s="256"/>
      <c r="DG53701" s="256"/>
    </row>
    <row r="53702" spans="104:111">
      <c r="CZ53702" s="256"/>
      <c r="DG53702" s="256"/>
    </row>
    <row r="53703" spans="104:111">
      <c r="CZ53703" s="256"/>
      <c r="DG53703" s="256"/>
    </row>
    <row r="53704" spans="104:111">
      <c r="CZ53704" s="256"/>
      <c r="DG53704" s="256"/>
    </row>
    <row r="53705" spans="104:111">
      <c r="CZ53705" s="256"/>
      <c r="DG53705" s="256"/>
    </row>
    <row r="53706" spans="104:111">
      <c r="CZ53706" s="256"/>
      <c r="DG53706" s="256"/>
    </row>
    <row r="53707" spans="104:111">
      <c r="CZ53707" s="256"/>
      <c r="DG53707" s="256"/>
    </row>
    <row r="53708" spans="104:111">
      <c r="CZ53708" s="256"/>
      <c r="DG53708" s="256"/>
    </row>
    <row r="53709" spans="104:111">
      <c r="CZ53709" s="256"/>
      <c r="DG53709" s="256"/>
    </row>
    <row r="53710" spans="104:111">
      <c r="CZ53710" s="256"/>
      <c r="DG53710" s="256"/>
    </row>
    <row r="53711" spans="104:111">
      <c r="CZ53711" s="256"/>
      <c r="DG53711" s="256"/>
    </row>
    <row r="53712" spans="104:111">
      <c r="CZ53712" s="256"/>
      <c r="DG53712" s="256"/>
    </row>
    <row r="53713" spans="104:111">
      <c r="CZ53713" s="256"/>
      <c r="DG53713" s="256"/>
    </row>
    <row r="53714" spans="104:111">
      <c r="CZ53714" s="256"/>
      <c r="DG53714" s="256"/>
    </row>
    <row r="53715" spans="104:111">
      <c r="CZ53715" s="256"/>
      <c r="DG53715" s="256"/>
    </row>
    <row r="53716" spans="104:111">
      <c r="CZ53716" s="256"/>
      <c r="DG53716" s="256"/>
    </row>
    <row r="53717" spans="104:111">
      <c r="CZ53717" s="256"/>
      <c r="DG53717" s="256"/>
    </row>
    <row r="53718" spans="104:111">
      <c r="CZ53718" s="256"/>
      <c r="DG53718" s="256"/>
    </row>
    <row r="53719" spans="104:111">
      <c r="CZ53719" s="256"/>
      <c r="DG53719" s="256"/>
    </row>
    <row r="53720" spans="104:111">
      <c r="CZ53720" s="256"/>
      <c r="DG53720" s="256"/>
    </row>
    <row r="53721" spans="104:111">
      <c r="CZ53721" s="256"/>
      <c r="DG53721" s="256"/>
    </row>
    <row r="53722" spans="104:111">
      <c r="CZ53722" s="256"/>
      <c r="DG53722" s="256"/>
    </row>
    <row r="53723" spans="104:111">
      <c r="CZ53723" s="256"/>
      <c r="DG53723" s="256"/>
    </row>
    <row r="53724" spans="104:111">
      <c r="CZ53724" s="256"/>
      <c r="DG53724" s="256"/>
    </row>
    <row r="53725" spans="104:111">
      <c r="CZ53725" s="256"/>
      <c r="DG53725" s="256"/>
    </row>
    <row r="53726" spans="104:111">
      <c r="CZ53726" s="256"/>
      <c r="DG53726" s="256"/>
    </row>
    <row r="53727" spans="104:111">
      <c r="CZ53727" s="256"/>
      <c r="DG53727" s="256"/>
    </row>
    <row r="53728" spans="104:111">
      <c r="CZ53728" s="256"/>
      <c r="DG53728" s="256"/>
    </row>
    <row r="53729" spans="104:111">
      <c r="CZ53729" s="256"/>
      <c r="DG53729" s="256"/>
    </row>
    <row r="53730" spans="104:111">
      <c r="CZ53730" s="256"/>
      <c r="DG53730" s="256"/>
    </row>
    <row r="53731" spans="104:111">
      <c r="CZ53731" s="256"/>
      <c r="DG53731" s="256"/>
    </row>
    <row r="53732" spans="104:111">
      <c r="CZ53732" s="256"/>
      <c r="DG53732" s="256"/>
    </row>
    <row r="53733" spans="104:111">
      <c r="CZ53733" s="256"/>
      <c r="DG53733" s="256"/>
    </row>
    <row r="53734" spans="104:111">
      <c r="CZ53734" s="256"/>
      <c r="DG53734" s="256"/>
    </row>
    <row r="53735" spans="104:111">
      <c r="CZ53735" s="256"/>
      <c r="DG53735" s="256"/>
    </row>
    <row r="53736" spans="104:111">
      <c r="CZ53736" s="256"/>
      <c r="DG53736" s="256"/>
    </row>
    <row r="53737" spans="104:111">
      <c r="CZ53737" s="256"/>
      <c r="DG53737" s="256"/>
    </row>
    <row r="53738" spans="104:111">
      <c r="CZ53738" s="256"/>
      <c r="DG53738" s="256"/>
    </row>
    <row r="53739" spans="104:111">
      <c r="CZ53739" s="256"/>
      <c r="DG53739" s="256"/>
    </row>
    <row r="53740" spans="104:111">
      <c r="CZ53740" s="256"/>
      <c r="DG53740" s="256"/>
    </row>
    <row r="53741" spans="104:111">
      <c r="CZ53741" s="256"/>
      <c r="DG53741" s="256"/>
    </row>
    <row r="53742" spans="104:111">
      <c r="CZ53742" s="256"/>
      <c r="DG53742" s="256"/>
    </row>
    <row r="53743" spans="104:111">
      <c r="CZ53743" s="256"/>
      <c r="DG53743" s="256"/>
    </row>
    <row r="53744" spans="104:111">
      <c r="CZ53744" s="256"/>
      <c r="DG53744" s="256"/>
    </row>
    <row r="53745" spans="104:111">
      <c r="CZ53745" s="256"/>
      <c r="DG53745" s="256"/>
    </row>
    <row r="53746" spans="104:111">
      <c r="CZ53746" s="256"/>
      <c r="DG53746" s="256"/>
    </row>
    <row r="53747" spans="104:111">
      <c r="CZ53747" s="256"/>
      <c r="DG53747" s="256"/>
    </row>
    <row r="53748" spans="104:111">
      <c r="CZ53748" s="256"/>
      <c r="DG53748" s="256"/>
    </row>
    <row r="53749" spans="104:111">
      <c r="CZ53749" s="256"/>
      <c r="DG53749" s="256"/>
    </row>
    <row r="53750" spans="104:111">
      <c r="CZ53750" s="256"/>
      <c r="DG53750" s="256"/>
    </row>
    <row r="53751" spans="104:111">
      <c r="CZ53751" s="256"/>
      <c r="DG53751" s="256"/>
    </row>
    <row r="53752" spans="104:111">
      <c r="CZ53752" s="256"/>
      <c r="DG53752" s="256"/>
    </row>
    <row r="53753" spans="104:111">
      <c r="CZ53753" s="256"/>
      <c r="DG53753" s="256"/>
    </row>
    <row r="53754" spans="104:111">
      <c r="CZ53754" s="256"/>
      <c r="DG53754" s="256"/>
    </row>
    <row r="53755" spans="104:111">
      <c r="CZ53755" s="256"/>
      <c r="DG53755" s="256"/>
    </row>
    <row r="53756" spans="104:111">
      <c r="CZ53756" s="256"/>
      <c r="DG53756" s="256"/>
    </row>
    <row r="53757" spans="104:111">
      <c r="CZ53757" s="256"/>
      <c r="DG53757" s="256"/>
    </row>
    <row r="53758" spans="104:111">
      <c r="CZ53758" s="256"/>
      <c r="DG53758" s="256"/>
    </row>
    <row r="53759" spans="104:111">
      <c r="CZ53759" s="256"/>
      <c r="DG53759" s="256"/>
    </row>
    <row r="53760" spans="104:111">
      <c r="CZ53760" s="256"/>
      <c r="DG53760" s="256"/>
    </row>
    <row r="53761" spans="104:111">
      <c r="CZ53761" s="256"/>
      <c r="DG53761" s="256"/>
    </row>
    <row r="53762" spans="104:111">
      <c r="CZ53762" s="256"/>
      <c r="DG53762" s="256"/>
    </row>
    <row r="53763" spans="104:111">
      <c r="CZ53763" s="256"/>
      <c r="DG53763" s="256"/>
    </row>
    <row r="53764" spans="104:111">
      <c r="CZ53764" s="256"/>
      <c r="DG53764" s="256"/>
    </row>
    <row r="53765" spans="104:111">
      <c r="CZ53765" s="256"/>
      <c r="DG53765" s="256"/>
    </row>
    <row r="53766" spans="104:111">
      <c r="CZ53766" s="256"/>
      <c r="DG53766" s="256"/>
    </row>
    <row r="53767" spans="104:111">
      <c r="CZ53767" s="256"/>
      <c r="DG53767" s="256"/>
    </row>
    <row r="53768" spans="104:111">
      <c r="CZ53768" s="256"/>
      <c r="DG53768" s="256"/>
    </row>
    <row r="53769" spans="104:111">
      <c r="CZ53769" s="256"/>
      <c r="DG53769" s="256"/>
    </row>
    <row r="53770" spans="104:111">
      <c r="CZ53770" s="256"/>
      <c r="DG53770" s="256"/>
    </row>
    <row r="53771" spans="104:111">
      <c r="CZ53771" s="256"/>
      <c r="DG53771" s="256"/>
    </row>
    <row r="53772" spans="104:111">
      <c r="CZ53772" s="256"/>
      <c r="DG53772" s="256"/>
    </row>
    <row r="53773" spans="104:111">
      <c r="CZ53773" s="256"/>
      <c r="DG53773" s="256"/>
    </row>
    <row r="53774" spans="104:111">
      <c r="CZ53774" s="256"/>
      <c r="DG53774" s="256"/>
    </row>
    <row r="53775" spans="104:111">
      <c r="CZ53775" s="256"/>
      <c r="DG53775" s="256"/>
    </row>
    <row r="53776" spans="104:111">
      <c r="CZ53776" s="256"/>
      <c r="DG53776" s="256"/>
    </row>
    <row r="53777" spans="104:111">
      <c r="CZ53777" s="256"/>
      <c r="DG53777" s="256"/>
    </row>
    <row r="53778" spans="104:111">
      <c r="CZ53778" s="256"/>
      <c r="DG53778" s="256"/>
    </row>
    <row r="53779" spans="104:111">
      <c r="CZ53779" s="256"/>
      <c r="DG53779" s="256"/>
    </row>
    <row r="53780" spans="104:111">
      <c r="CZ53780" s="256"/>
      <c r="DG53780" s="256"/>
    </row>
    <row r="53781" spans="104:111">
      <c r="CZ53781" s="256"/>
      <c r="DG53781" s="256"/>
    </row>
    <row r="53782" spans="104:111">
      <c r="CZ53782" s="256"/>
      <c r="DG53782" s="256"/>
    </row>
    <row r="53783" spans="104:111">
      <c r="CZ53783" s="256"/>
      <c r="DG53783" s="256"/>
    </row>
    <row r="53784" spans="104:111">
      <c r="CZ53784" s="256"/>
      <c r="DG53784" s="256"/>
    </row>
    <row r="53785" spans="104:111">
      <c r="CZ53785" s="256"/>
      <c r="DG53785" s="256"/>
    </row>
    <row r="53786" spans="104:111">
      <c r="CZ53786" s="256"/>
      <c r="DG53786" s="256"/>
    </row>
    <row r="53787" spans="104:111">
      <c r="CZ53787" s="256"/>
      <c r="DG53787" s="256"/>
    </row>
    <row r="53788" spans="104:111">
      <c r="CZ53788" s="256"/>
      <c r="DG53788" s="256"/>
    </row>
    <row r="53789" spans="104:111">
      <c r="CZ53789" s="256"/>
      <c r="DG53789" s="256"/>
    </row>
    <row r="53790" spans="104:111">
      <c r="CZ53790" s="256"/>
      <c r="DG53790" s="256"/>
    </row>
    <row r="53791" spans="104:111">
      <c r="CZ53791" s="256"/>
      <c r="DG53791" s="256"/>
    </row>
    <row r="53792" spans="104:111">
      <c r="CZ53792" s="256"/>
      <c r="DG53792" s="256"/>
    </row>
    <row r="53793" spans="104:111">
      <c r="CZ53793" s="256"/>
      <c r="DG53793" s="256"/>
    </row>
    <row r="53794" spans="104:111">
      <c r="CZ53794" s="256"/>
      <c r="DG53794" s="256"/>
    </row>
    <row r="53795" spans="104:111">
      <c r="CZ53795" s="256"/>
      <c r="DG53795" s="256"/>
    </row>
    <row r="53796" spans="104:111">
      <c r="CZ53796" s="256"/>
      <c r="DG53796" s="256"/>
    </row>
    <row r="53797" spans="104:111">
      <c r="CZ53797" s="256"/>
      <c r="DG53797" s="256"/>
    </row>
    <row r="53798" spans="104:111">
      <c r="CZ53798" s="256"/>
      <c r="DG53798" s="256"/>
    </row>
    <row r="53799" spans="104:111">
      <c r="CZ53799" s="256"/>
      <c r="DG53799" s="256"/>
    </row>
    <row r="53800" spans="104:111">
      <c r="CZ53800" s="256"/>
      <c r="DG53800" s="256"/>
    </row>
    <row r="53801" spans="104:111">
      <c r="CZ53801" s="256"/>
      <c r="DG53801" s="256"/>
    </row>
    <row r="53802" spans="104:111">
      <c r="CZ53802" s="256"/>
      <c r="DG53802" s="256"/>
    </row>
    <row r="53803" spans="104:111">
      <c r="CZ53803" s="256"/>
      <c r="DG53803" s="256"/>
    </row>
    <row r="53804" spans="104:111">
      <c r="CZ53804" s="256"/>
      <c r="DG53804" s="256"/>
    </row>
    <row r="53805" spans="104:111">
      <c r="CZ53805" s="256"/>
      <c r="DG53805" s="256"/>
    </row>
    <row r="53806" spans="104:111">
      <c r="CZ53806" s="256"/>
      <c r="DG53806" s="256"/>
    </row>
    <row r="53807" spans="104:111">
      <c r="CZ53807" s="256"/>
      <c r="DG53807" s="256"/>
    </row>
    <row r="53808" spans="104:111">
      <c r="CZ53808" s="256"/>
      <c r="DG53808" s="256"/>
    </row>
    <row r="53809" spans="104:111">
      <c r="CZ53809" s="256"/>
      <c r="DG53809" s="256"/>
    </row>
    <row r="53810" spans="104:111">
      <c r="CZ53810" s="256"/>
      <c r="DG53810" s="256"/>
    </row>
    <row r="53811" spans="104:111">
      <c r="CZ53811" s="256"/>
      <c r="DG53811" s="256"/>
    </row>
    <row r="53812" spans="104:111">
      <c r="CZ53812" s="256"/>
      <c r="DG53812" s="256"/>
    </row>
    <row r="53813" spans="104:111">
      <c r="CZ53813" s="256"/>
      <c r="DG53813" s="256"/>
    </row>
    <row r="53814" spans="104:111">
      <c r="CZ53814" s="256"/>
      <c r="DG53814" s="256"/>
    </row>
    <row r="53815" spans="104:111">
      <c r="CZ53815" s="256"/>
      <c r="DG53815" s="256"/>
    </row>
    <row r="53816" spans="104:111">
      <c r="CZ53816" s="256"/>
      <c r="DG53816" s="256"/>
    </row>
    <row r="53817" spans="104:111">
      <c r="CZ53817" s="256"/>
      <c r="DG53817" s="256"/>
    </row>
    <row r="53818" spans="104:111">
      <c r="CZ53818" s="256"/>
      <c r="DG53818" s="256"/>
    </row>
    <row r="53819" spans="104:111">
      <c r="CZ53819" s="256"/>
      <c r="DG53819" s="256"/>
    </row>
    <row r="53820" spans="104:111">
      <c r="CZ53820" s="256"/>
      <c r="DG53820" s="256"/>
    </row>
    <row r="53821" spans="104:111">
      <c r="CZ53821" s="256"/>
      <c r="DG53821" s="256"/>
    </row>
    <row r="53822" spans="104:111">
      <c r="CZ53822" s="256"/>
      <c r="DG53822" s="256"/>
    </row>
    <row r="53823" spans="104:111">
      <c r="CZ53823" s="256"/>
      <c r="DG53823" s="256"/>
    </row>
    <row r="53824" spans="104:111">
      <c r="CZ53824" s="256"/>
      <c r="DG53824" s="256"/>
    </row>
    <row r="53825" spans="104:111">
      <c r="CZ53825" s="256"/>
      <c r="DG53825" s="256"/>
    </row>
    <row r="53826" spans="104:111">
      <c r="CZ53826" s="256"/>
      <c r="DG53826" s="256"/>
    </row>
    <row r="53827" spans="104:111">
      <c r="CZ53827" s="256"/>
      <c r="DG53827" s="256"/>
    </row>
    <row r="53828" spans="104:111">
      <c r="CZ53828" s="256"/>
      <c r="DG53828" s="256"/>
    </row>
    <row r="53829" spans="104:111">
      <c r="CZ53829" s="256"/>
      <c r="DG53829" s="256"/>
    </row>
    <row r="53830" spans="104:111">
      <c r="CZ53830" s="256"/>
      <c r="DG53830" s="256"/>
    </row>
    <row r="53831" spans="104:111">
      <c r="CZ53831" s="256"/>
      <c r="DG53831" s="256"/>
    </row>
    <row r="53832" spans="104:111">
      <c r="CZ53832" s="256"/>
      <c r="DG53832" s="256"/>
    </row>
    <row r="53833" spans="104:111">
      <c r="CZ53833" s="256"/>
      <c r="DG53833" s="256"/>
    </row>
    <row r="53834" spans="104:111">
      <c r="CZ53834" s="256"/>
      <c r="DG53834" s="256"/>
    </row>
    <row r="53835" spans="104:111">
      <c r="CZ53835" s="256"/>
      <c r="DG53835" s="256"/>
    </row>
    <row r="53836" spans="104:111">
      <c r="CZ53836" s="256"/>
      <c r="DG53836" s="256"/>
    </row>
    <row r="53837" spans="104:111">
      <c r="CZ53837" s="256"/>
      <c r="DG53837" s="256"/>
    </row>
    <row r="53838" spans="104:111">
      <c r="CZ53838" s="256"/>
      <c r="DG53838" s="256"/>
    </row>
    <row r="53839" spans="104:111">
      <c r="CZ53839" s="256"/>
      <c r="DG53839" s="256"/>
    </row>
    <row r="53840" spans="104:111">
      <c r="CZ53840" s="256"/>
      <c r="DG53840" s="256"/>
    </row>
    <row r="53841" spans="104:111">
      <c r="CZ53841" s="256"/>
      <c r="DG53841" s="256"/>
    </row>
    <row r="53842" spans="104:111">
      <c r="CZ53842" s="256"/>
      <c r="DG53842" s="256"/>
    </row>
    <row r="53843" spans="104:111">
      <c r="CZ53843" s="256"/>
      <c r="DG53843" s="256"/>
    </row>
    <row r="53844" spans="104:111">
      <c r="CZ53844" s="256"/>
      <c r="DG53844" s="256"/>
    </row>
    <row r="53845" spans="104:111">
      <c r="CZ53845" s="256"/>
      <c r="DG53845" s="256"/>
    </row>
    <row r="53846" spans="104:111">
      <c r="CZ53846" s="256"/>
      <c r="DG53846" s="256"/>
    </row>
    <row r="53847" spans="104:111">
      <c r="CZ53847" s="256"/>
      <c r="DG53847" s="256"/>
    </row>
    <row r="53848" spans="104:111">
      <c r="CZ53848" s="256"/>
      <c r="DG53848" s="256"/>
    </row>
    <row r="53849" spans="104:111">
      <c r="CZ53849" s="256"/>
      <c r="DG53849" s="256"/>
    </row>
    <row r="53850" spans="104:111">
      <c r="CZ53850" s="256"/>
      <c r="DG53850" s="256"/>
    </row>
    <row r="53851" spans="104:111">
      <c r="CZ53851" s="256"/>
      <c r="DG53851" s="256"/>
    </row>
    <row r="53852" spans="104:111">
      <c r="CZ53852" s="256"/>
      <c r="DG53852" s="256"/>
    </row>
    <row r="53853" spans="104:111">
      <c r="CZ53853" s="256"/>
      <c r="DG53853" s="256"/>
    </row>
    <row r="53854" spans="104:111">
      <c r="CZ53854" s="256"/>
      <c r="DG53854" s="256"/>
    </row>
    <row r="53855" spans="104:111">
      <c r="CZ53855" s="256"/>
      <c r="DG53855" s="256"/>
    </row>
    <row r="53856" spans="104:111">
      <c r="CZ53856" s="256"/>
      <c r="DG53856" s="256"/>
    </row>
    <row r="53857" spans="104:111">
      <c r="CZ53857" s="256"/>
      <c r="DG53857" s="256"/>
    </row>
    <row r="53858" spans="104:111">
      <c r="CZ53858" s="256"/>
      <c r="DG53858" s="256"/>
    </row>
    <row r="53859" spans="104:111">
      <c r="CZ53859" s="256"/>
      <c r="DG53859" s="256"/>
    </row>
    <row r="53860" spans="104:111">
      <c r="CZ53860" s="256"/>
      <c r="DG53860" s="256"/>
    </row>
    <row r="53861" spans="104:111">
      <c r="CZ53861" s="256"/>
      <c r="DG53861" s="256"/>
    </row>
    <row r="53862" spans="104:111">
      <c r="CZ53862" s="256"/>
      <c r="DG53862" s="256"/>
    </row>
    <row r="53863" spans="104:111">
      <c r="CZ53863" s="256"/>
      <c r="DG53863" s="256"/>
    </row>
    <row r="53864" spans="104:111">
      <c r="CZ53864" s="256"/>
      <c r="DG53864" s="256"/>
    </row>
    <row r="53865" spans="104:111">
      <c r="CZ53865" s="256"/>
      <c r="DG53865" s="256"/>
    </row>
    <row r="53866" spans="104:111">
      <c r="CZ53866" s="256"/>
      <c r="DG53866" s="256"/>
    </row>
    <row r="53867" spans="104:111">
      <c r="CZ53867" s="256"/>
      <c r="DG53867" s="256"/>
    </row>
    <row r="53868" spans="104:111">
      <c r="CZ53868" s="256"/>
      <c r="DG53868" s="256"/>
    </row>
    <row r="53869" spans="104:111">
      <c r="CZ53869" s="256"/>
      <c r="DG53869" s="256"/>
    </row>
    <row r="53870" spans="104:111">
      <c r="CZ53870" s="256"/>
      <c r="DG53870" s="256"/>
    </row>
    <row r="53871" spans="104:111">
      <c r="CZ53871" s="256"/>
      <c r="DG53871" s="256"/>
    </row>
    <row r="53872" spans="104:111">
      <c r="CZ53872" s="256"/>
      <c r="DG53872" s="256"/>
    </row>
    <row r="53873" spans="104:111">
      <c r="CZ53873" s="256"/>
      <c r="DG53873" s="256"/>
    </row>
    <row r="53874" spans="104:111">
      <c r="CZ53874" s="256"/>
      <c r="DG53874" s="256"/>
    </row>
    <row r="53875" spans="104:111">
      <c r="CZ53875" s="256"/>
      <c r="DG53875" s="256"/>
    </row>
    <row r="53876" spans="104:111">
      <c r="CZ53876" s="256"/>
      <c r="DG53876" s="256"/>
    </row>
    <row r="53877" spans="104:111">
      <c r="CZ53877" s="256"/>
      <c r="DG53877" s="256"/>
    </row>
    <row r="53878" spans="104:111">
      <c r="CZ53878" s="256"/>
      <c r="DG53878" s="256"/>
    </row>
    <row r="53879" spans="104:111">
      <c r="CZ53879" s="256"/>
      <c r="DG53879" s="256"/>
    </row>
    <row r="53880" spans="104:111">
      <c r="CZ53880" s="256"/>
      <c r="DG53880" s="256"/>
    </row>
    <row r="53881" spans="104:111">
      <c r="CZ53881" s="256"/>
      <c r="DG53881" s="256"/>
    </row>
    <row r="53882" spans="104:111">
      <c r="CZ53882" s="256"/>
      <c r="DG53882" s="256"/>
    </row>
    <row r="53883" spans="104:111">
      <c r="CZ53883" s="256"/>
      <c r="DG53883" s="256"/>
    </row>
    <row r="53884" spans="104:111">
      <c r="CZ53884" s="256"/>
      <c r="DG53884" s="256"/>
    </row>
    <row r="53885" spans="104:111">
      <c r="CZ53885" s="256"/>
      <c r="DG53885" s="256"/>
    </row>
    <row r="53886" spans="104:111">
      <c r="CZ53886" s="256"/>
      <c r="DG53886" s="256"/>
    </row>
    <row r="53887" spans="104:111">
      <c r="CZ53887" s="256"/>
      <c r="DG53887" s="256"/>
    </row>
    <row r="53888" spans="104:111">
      <c r="CZ53888" s="256"/>
      <c r="DG53888" s="256"/>
    </row>
    <row r="53889" spans="104:111">
      <c r="CZ53889" s="256"/>
      <c r="DG53889" s="256"/>
    </row>
    <row r="53890" spans="104:111">
      <c r="CZ53890" s="256"/>
      <c r="DG53890" s="256"/>
    </row>
    <row r="53891" spans="104:111">
      <c r="CZ53891" s="256"/>
      <c r="DG53891" s="256"/>
    </row>
    <row r="53892" spans="104:111">
      <c r="CZ53892" s="256"/>
      <c r="DG53892" s="256"/>
    </row>
    <row r="53893" spans="104:111">
      <c r="CZ53893" s="256"/>
      <c r="DG53893" s="256"/>
    </row>
    <row r="53894" spans="104:111">
      <c r="CZ53894" s="256"/>
      <c r="DG53894" s="256"/>
    </row>
    <row r="53895" spans="104:111">
      <c r="CZ53895" s="256"/>
      <c r="DG53895" s="256"/>
    </row>
    <row r="53896" spans="104:111">
      <c r="CZ53896" s="256"/>
      <c r="DG53896" s="256"/>
    </row>
    <row r="53897" spans="104:111">
      <c r="CZ53897" s="256"/>
      <c r="DG53897" s="256"/>
    </row>
    <row r="53898" spans="104:111">
      <c r="CZ53898" s="256"/>
      <c r="DG53898" s="256"/>
    </row>
    <row r="53899" spans="104:111">
      <c r="CZ53899" s="256"/>
      <c r="DG53899" s="256"/>
    </row>
    <row r="53900" spans="104:111">
      <c r="CZ53900" s="256"/>
      <c r="DG53900" s="256"/>
    </row>
    <row r="53901" spans="104:111">
      <c r="CZ53901" s="256"/>
      <c r="DG53901" s="256"/>
    </row>
    <row r="53902" spans="104:111">
      <c r="CZ53902" s="256"/>
      <c r="DG53902" s="256"/>
    </row>
    <row r="53903" spans="104:111">
      <c r="CZ53903" s="256"/>
      <c r="DG53903" s="256"/>
    </row>
    <row r="53904" spans="104:111">
      <c r="CZ53904" s="256"/>
      <c r="DG53904" s="256"/>
    </row>
    <row r="53905" spans="104:111">
      <c r="CZ53905" s="256"/>
      <c r="DG53905" s="256"/>
    </row>
    <row r="53906" spans="104:111">
      <c r="CZ53906" s="256"/>
      <c r="DG53906" s="256"/>
    </row>
    <row r="53907" spans="104:111">
      <c r="CZ53907" s="256"/>
      <c r="DG53907" s="256"/>
    </row>
    <row r="53908" spans="104:111">
      <c r="CZ53908" s="256"/>
      <c r="DG53908" s="256"/>
    </row>
    <row r="53909" spans="104:111">
      <c r="CZ53909" s="256"/>
      <c r="DG53909" s="256"/>
    </row>
    <row r="53910" spans="104:111">
      <c r="CZ53910" s="256"/>
      <c r="DG53910" s="256"/>
    </row>
    <row r="53911" spans="104:111">
      <c r="CZ53911" s="256"/>
      <c r="DG53911" s="256"/>
    </row>
    <row r="53912" spans="104:111">
      <c r="CZ53912" s="256"/>
      <c r="DG53912" s="256"/>
    </row>
    <row r="53913" spans="104:111">
      <c r="CZ53913" s="256"/>
      <c r="DG53913" s="256"/>
    </row>
    <row r="53914" spans="104:111">
      <c r="CZ53914" s="256"/>
      <c r="DG53914" s="256"/>
    </row>
    <row r="53915" spans="104:111">
      <c r="CZ53915" s="256"/>
      <c r="DG53915" s="256"/>
    </row>
    <row r="53916" spans="104:111">
      <c r="CZ53916" s="256"/>
      <c r="DG53916" s="256"/>
    </row>
    <row r="53917" spans="104:111">
      <c r="CZ53917" s="256"/>
      <c r="DG53917" s="256"/>
    </row>
    <row r="53918" spans="104:111">
      <c r="CZ53918" s="256"/>
      <c r="DG53918" s="256"/>
    </row>
    <row r="53919" spans="104:111">
      <c r="CZ53919" s="256"/>
      <c r="DG53919" s="256"/>
    </row>
    <row r="53920" spans="104:111">
      <c r="CZ53920" s="256"/>
      <c r="DG53920" s="256"/>
    </row>
    <row r="53921" spans="104:111">
      <c r="CZ53921" s="256"/>
      <c r="DG53921" s="256"/>
    </row>
    <row r="53922" spans="104:111">
      <c r="CZ53922" s="256"/>
      <c r="DG53922" s="256"/>
    </row>
    <row r="53923" spans="104:111">
      <c r="CZ53923" s="256"/>
      <c r="DG53923" s="256"/>
    </row>
    <row r="53924" spans="104:111">
      <c r="CZ53924" s="256"/>
      <c r="DG53924" s="256"/>
    </row>
    <row r="53925" spans="104:111">
      <c r="CZ53925" s="256"/>
      <c r="DG53925" s="256"/>
    </row>
    <row r="53926" spans="104:111">
      <c r="CZ53926" s="256"/>
      <c r="DG53926" s="256"/>
    </row>
    <row r="53927" spans="104:111">
      <c r="CZ53927" s="256"/>
      <c r="DG53927" s="256"/>
    </row>
    <row r="53928" spans="104:111">
      <c r="CZ53928" s="256"/>
      <c r="DG53928" s="256"/>
    </row>
    <row r="53929" spans="104:111">
      <c r="CZ53929" s="256"/>
      <c r="DG53929" s="256"/>
    </row>
    <row r="53930" spans="104:111">
      <c r="CZ53930" s="256"/>
      <c r="DG53930" s="256"/>
    </row>
    <row r="53931" spans="104:111">
      <c r="CZ53931" s="256"/>
      <c r="DG53931" s="256"/>
    </row>
    <row r="53932" spans="104:111">
      <c r="CZ53932" s="256"/>
      <c r="DG53932" s="256"/>
    </row>
    <row r="53933" spans="104:111">
      <c r="CZ53933" s="256"/>
      <c r="DG53933" s="256"/>
    </row>
    <row r="53934" spans="104:111">
      <c r="CZ53934" s="256"/>
      <c r="DG53934" s="256"/>
    </row>
    <row r="53935" spans="104:111">
      <c r="CZ53935" s="256"/>
      <c r="DG53935" s="256"/>
    </row>
    <row r="53936" spans="104:111">
      <c r="CZ53936" s="256"/>
      <c r="DG53936" s="256"/>
    </row>
    <row r="53937" spans="104:111">
      <c r="CZ53937" s="256"/>
      <c r="DG53937" s="256"/>
    </row>
    <row r="53938" spans="104:111">
      <c r="CZ53938" s="256"/>
      <c r="DG53938" s="256"/>
    </row>
    <row r="53939" spans="104:111">
      <c r="CZ53939" s="256"/>
      <c r="DG53939" s="256"/>
    </row>
    <row r="53940" spans="104:111">
      <c r="CZ53940" s="256"/>
      <c r="DG53940" s="256"/>
    </row>
    <row r="53941" spans="104:111">
      <c r="CZ53941" s="256"/>
      <c r="DG53941" s="256"/>
    </row>
    <row r="53942" spans="104:111">
      <c r="CZ53942" s="256"/>
      <c r="DG53942" s="256"/>
    </row>
    <row r="53943" spans="104:111">
      <c r="CZ53943" s="256"/>
      <c r="DG53943" s="256"/>
    </row>
    <row r="53944" spans="104:111">
      <c r="CZ53944" s="256"/>
      <c r="DG53944" s="256"/>
    </row>
    <row r="53945" spans="104:111">
      <c r="CZ53945" s="256"/>
      <c r="DG53945" s="256"/>
    </row>
    <row r="53946" spans="104:111">
      <c r="CZ53946" s="256"/>
      <c r="DG53946" s="256"/>
    </row>
    <row r="53947" spans="104:111">
      <c r="CZ53947" s="256"/>
      <c r="DG53947" s="256"/>
    </row>
    <row r="53948" spans="104:111">
      <c r="CZ53948" s="256"/>
      <c r="DG53948" s="256"/>
    </row>
    <row r="53949" spans="104:111">
      <c r="CZ53949" s="256"/>
      <c r="DG53949" s="256"/>
    </row>
    <row r="53950" spans="104:111">
      <c r="CZ53950" s="256"/>
      <c r="DG53950" s="256"/>
    </row>
    <row r="53951" spans="104:111">
      <c r="CZ53951" s="256"/>
      <c r="DG53951" s="256"/>
    </row>
    <row r="53952" spans="104:111">
      <c r="CZ53952" s="256"/>
      <c r="DG53952" s="256"/>
    </row>
    <row r="53953" spans="104:111">
      <c r="CZ53953" s="256"/>
      <c r="DG53953" s="256"/>
    </row>
    <row r="53954" spans="104:111">
      <c r="CZ53954" s="256"/>
      <c r="DG53954" s="256"/>
    </row>
    <row r="53955" spans="104:111">
      <c r="CZ53955" s="256"/>
      <c r="DG53955" s="256"/>
    </row>
    <row r="53956" spans="104:111">
      <c r="CZ53956" s="256"/>
      <c r="DG53956" s="256"/>
    </row>
    <row r="53957" spans="104:111">
      <c r="CZ53957" s="256"/>
      <c r="DG53957" s="256"/>
    </row>
    <row r="53958" spans="104:111">
      <c r="CZ53958" s="256"/>
      <c r="DG53958" s="256"/>
    </row>
    <row r="53959" spans="104:111">
      <c r="CZ53959" s="256"/>
      <c r="DG53959" s="256"/>
    </row>
    <row r="53960" spans="104:111">
      <c r="CZ53960" s="256"/>
      <c r="DG53960" s="256"/>
    </row>
    <row r="53961" spans="104:111">
      <c r="CZ53961" s="256"/>
      <c r="DG53961" s="256"/>
    </row>
    <row r="53962" spans="104:111">
      <c r="CZ53962" s="256"/>
      <c r="DG53962" s="256"/>
    </row>
    <row r="53963" spans="104:111">
      <c r="CZ53963" s="256"/>
      <c r="DG53963" s="256"/>
    </row>
    <row r="53964" spans="104:111">
      <c r="CZ53964" s="256"/>
      <c r="DG53964" s="256"/>
    </row>
    <row r="53965" spans="104:111">
      <c r="CZ53965" s="256"/>
      <c r="DG53965" s="256"/>
    </row>
    <row r="53966" spans="104:111">
      <c r="CZ53966" s="256"/>
      <c r="DG53966" s="256"/>
    </row>
    <row r="53967" spans="104:111">
      <c r="CZ53967" s="256"/>
      <c r="DG53967" s="256"/>
    </row>
    <row r="53968" spans="104:111">
      <c r="CZ53968" s="256"/>
      <c r="DG53968" s="256"/>
    </row>
    <row r="53969" spans="104:111">
      <c r="CZ53969" s="256"/>
      <c r="DG53969" s="256"/>
    </row>
    <row r="53970" spans="104:111">
      <c r="CZ53970" s="256"/>
      <c r="DG53970" s="256"/>
    </row>
    <row r="53971" spans="104:111">
      <c r="CZ53971" s="256"/>
      <c r="DG53971" s="256"/>
    </row>
    <row r="53972" spans="104:111">
      <c r="CZ53972" s="256"/>
      <c r="DG53972" s="256"/>
    </row>
    <row r="53973" spans="104:111">
      <c r="CZ53973" s="256"/>
      <c r="DG53973" s="256"/>
    </row>
    <row r="53974" spans="104:111">
      <c r="CZ53974" s="256"/>
      <c r="DG53974" s="256"/>
    </row>
    <row r="53975" spans="104:111">
      <c r="CZ53975" s="256"/>
      <c r="DG53975" s="256"/>
    </row>
    <row r="53976" spans="104:111">
      <c r="CZ53976" s="256"/>
      <c r="DG53976" s="256"/>
    </row>
    <row r="53977" spans="104:111">
      <c r="CZ53977" s="256"/>
      <c r="DG53977" s="256"/>
    </row>
    <row r="53978" spans="104:111">
      <c r="CZ53978" s="256"/>
      <c r="DG53978" s="256"/>
    </row>
    <row r="53979" spans="104:111">
      <c r="CZ53979" s="256"/>
      <c r="DG53979" s="256"/>
    </row>
    <row r="53980" spans="104:111">
      <c r="CZ53980" s="256"/>
      <c r="DG53980" s="256"/>
    </row>
    <row r="53981" spans="104:111">
      <c r="CZ53981" s="256"/>
      <c r="DG53981" s="256"/>
    </row>
    <row r="53982" spans="104:111">
      <c r="CZ53982" s="256"/>
      <c r="DG53982" s="256"/>
    </row>
    <row r="53983" spans="104:111">
      <c r="CZ53983" s="256"/>
      <c r="DG53983" s="256"/>
    </row>
    <row r="53984" spans="104:111">
      <c r="CZ53984" s="256"/>
      <c r="DG53984" s="256"/>
    </row>
    <row r="53985" spans="104:111">
      <c r="CZ53985" s="256"/>
      <c r="DG53985" s="256"/>
    </row>
    <row r="53986" spans="104:111">
      <c r="CZ53986" s="256"/>
      <c r="DG53986" s="256"/>
    </row>
    <row r="53987" spans="104:111">
      <c r="CZ53987" s="256"/>
      <c r="DG53987" s="256"/>
    </row>
    <row r="53988" spans="104:111">
      <c r="CZ53988" s="256"/>
      <c r="DG53988" s="256"/>
    </row>
    <row r="53989" spans="104:111">
      <c r="CZ53989" s="256"/>
      <c r="DG53989" s="256"/>
    </row>
    <row r="53990" spans="104:111">
      <c r="CZ53990" s="256"/>
      <c r="DG53990" s="256"/>
    </row>
    <row r="53991" spans="104:111">
      <c r="CZ53991" s="256"/>
      <c r="DG53991" s="256"/>
    </row>
    <row r="53992" spans="104:111">
      <c r="CZ53992" s="256"/>
      <c r="DG53992" s="256"/>
    </row>
    <row r="53993" spans="104:111">
      <c r="CZ53993" s="256"/>
      <c r="DG53993" s="256"/>
    </row>
    <row r="53994" spans="104:111">
      <c r="CZ53994" s="256"/>
      <c r="DG53994" s="256"/>
    </row>
    <row r="53995" spans="104:111">
      <c r="CZ53995" s="256"/>
      <c r="DG53995" s="256"/>
    </row>
    <row r="53996" spans="104:111">
      <c r="CZ53996" s="256"/>
      <c r="DG53996" s="256"/>
    </row>
    <row r="53997" spans="104:111">
      <c r="CZ53997" s="256"/>
      <c r="DG53997" s="256"/>
    </row>
    <row r="53998" spans="104:111">
      <c r="CZ53998" s="256"/>
      <c r="DG53998" s="256"/>
    </row>
    <row r="53999" spans="104:111">
      <c r="CZ53999" s="256"/>
      <c r="DG53999" s="256"/>
    </row>
    <row r="54000" spans="104:111">
      <c r="CZ54000" s="256"/>
      <c r="DG54000" s="256"/>
    </row>
    <row r="54001" spans="104:111">
      <c r="CZ54001" s="256"/>
      <c r="DG54001" s="256"/>
    </row>
    <row r="54002" spans="104:111">
      <c r="CZ54002" s="256"/>
      <c r="DG54002" s="256"/>
    </row>
    <row r="54003" spans="104:111">
      <c r="CZ54003" s="256"/>
      <c r="DG54003" s="256"/>
    </row>
    <row r="54004" spans="104:111">
      <c r="CZ54004" s="256"/>
      <c r="DG54004" s="256"/>
    </row>
    <row r="54005" spans="104:111">
      <c r="CZ54005" s="256"/>
      <c r="DG54005" s="256"/>
    </row>
    <row r="54006" spans="104:111">
      <c r="CZ54006" s="256"/>
      <c r="DG54006" s="256"/>
    </row>
    <row r="54007" spans="104:111">
      <c r="CZ54007" s="256"/>
      <c r="DG54007" s="256"/>
    </row>
    <row r="54008" spans="104:111">
      <c r="CZ54008" s="256"/>
      <c r="DG54008" s="256"/>
    </row>
    <row r="54009" spans="104:111">
      <c r="CZ54009" s="256"/>
      <c r="DG54009" s="256"/>
    </row>
    <row r="54010" spans="104:111">
      <c r="CZ54010" s="256"/>
      <c r="DG54010" s="256"/>
    </row>
    <row r="54011" spans="104:111">
      <c r="CZ54011" s="256"/>
      <c r="DG54011" s="256"/>
    </row>
    <row r="54012" spans="104:111">
      <c r="CZ54012" s="256"/>
      <c r="DG54012" s="256"/>
    </row>
    <row r="54013" spans="104:111">
      <c r="CZ54013" s="256"/>
      <c r="DG54013" s="256"/>
    </row>
    <row r="54014" spans="104:111">
      <c r="CZ54014" s="256"/>
      <c r="DG54014" s="256"/>
    </row>
    <row r="54015" spans="104:111">
      <c r="CZ54015" s="256"/>
      <c r="DG54015" s="256"/>
    </row>
    <row r="54016" spans="104:111">
      <c r="CZ54016" s="256"/>
      <c r="DG54016" s="256"/>
    </row>
    <row r="54017" spans="104:111">
      <c r="CZ54017" s="256"/>
      <c r="DG54017" s="256"/>
    </row>
    <row r="54018" spans="104:111">
      <c r="CZ54018" s="256"/>
      <c r="DG54018" s="256"/>
    </row>
    <row r="54019" spans="104:111">
      <c r="CZ54019" s="256"/>
      <c r="DG54019" s="256"/>
    </row>
    <row r="54020" spans="104:111">
      <c r="CZ54020" s="256"/>
      <c r="DG54020" s="256"/>
    </row>
    <row r="54021" spans="104:111">
      <c r="CZ54021" s="256"/>
      <c r="DG54021" s="256"/>
    </row>
    <row r="54022" spans="104:111">
      <c r="CZ54022" s="256"/>
      <c r="DG54022" s="256"/>
    </row>
    <row r="54023" spans="104:111">
      <c r="CZ54023" s="256"/>
      <c r="DG54023" s="256"/>
    </row>
    <row r="54024" spans="104:111">
      <c r="CZ54024" s="256"/>
      <c r="DG54024" s="256"/>
    </row>
    <row r="54025" spans="104:111">
      <c r="CZ54025" s="256"/>
      <c r="DG54025" s="256"/>
    </row>
    <row r="54026" spans="104:111">
      <c r="CZ54026" s="256"/>
      <c r="DG54026" s="256"/>
    </row>
    <row r="54027" spans="104:111">
      <c r="CZ54027" s="256"/>
      <c r="DG54027" s="256"/>
    </row>
    <row r="54028" spans="104:111">
      <c r="CZ54028" s="256"/>
      <c r="DG54028" s="256"/>
    </row>
    <row r="54029" spans="104:111">
      <c r="CZ54029" s="256"/>
      <c r="DG54029" s="256"/>
    </row>
    <row r="54030" spans="104:111">
      <c r="CZ54030" s="256"/>
      <c r="DG54030" s="256"/>
    </row>
    <row r="54031" spans="104:111">
      <c r="CZ54031" s="256"/>
      <c r="DG54031" s="256"/>
    </row>
    <row r="54032" spans="104:111">
      <c r="CZ54032" s="256"/>
      <c r="DG54032" s="256"/>
    </row>
    <row r="54033" spans="104:111">
      <c r="CZ54033" s="256"/>
      <c r="DG54033" s="256"/>
    </row>
    <row r="54034" spans="104:111">
      <c r="CZ54034" s="256"/>
      <c r="DG54034" s="256"/>
    </row>
    <row r="54035" spans="104:111">
      <c r="CZ54035" s="256"/>
      <c r="DG54035" s="256"/>
    </row>
    <row r="54036" spans="104:111">
      <c r="CZ54036" s="256"/>
      <c r="DG54036" s="256"/>
    </row>
    <row r="54037" spans="104:111">
      <c r="CZ54037" s="256"/>
      <c r="DG54037" s="256"/>
    </row>
    <row r="54038" spans="104:111">
      <c r="CZ54038" s="256"/>
      <c r="DG54038" s="256"/>
    </row>
    <row r="54039" spans="104:111">
      <c r="CZ54039" s="256"/>
      <c r="DG54039" s="256"/>
    </row>
    <row r="54040" spans="104:111">
      <c r="CZ54040" s="256"/>
      <c r="DG54040" s="256"/>
    </row>
    <row r="54041" spans="104:111">
      <c r="CZ54041" s="256"/>
      <c r="DG54041" s="256"/>
    </row>
    <row r="54042" spans="104:111">
      <c r="CZ54042" s="256"/>
      <c r="DG54042" s="256"/>
    </row>
    <row r="54043" spans="104:111">
      <c r="CZ54043" s="256"/>
      <c r="DG54043" s="256"/>
    </row>
    <row r="54044" spans="104:111">
      <c r="CZ54044" s="256"/>
      <c r="DG54044" s="256"/>
    </row>
    <row r="54045" spans="104:111">
      <c r="CZ54045" s="256"/>
      <c r="DG54045" s="256"/>
    </row>
    <row r="54046" spans="104:111">
      <c r="CZ54046" s="256"/>
      <c r="DG54046" s="256"/>
    </row>
    <row r="54047" spans="104:111">
      <c r="CZ54047" s="256"/>
      <c r="DG54047" s="256"/>
    </row>
    <row r="54048" spans="104:111">
      <c r="CZ54048" s="256"/>
      <c r="DG54048" s="256"/>
    </row>
    <row r="54049" spans="104:111">
      <c r="CZ54049" s="256"/>
      <c r="DG54049" s="256"/>
    </row>
    <row r="54050" spans="104:111">
      <c r="CZ54050" s="256"/>
      <c r="DG54050" s="256"/>
    </row>
    <row r="54051" spans="104:111">
      <c r="CZ54051" s="256"/>
      <c r="DG54051" s="256"/>
    </row>
    <row r="54052" spans="104:111">
      <c r="CZ54052" s="256"/>
      <c r="DG54052" s="256"/>
    </row>
    <row r="54053" spans="104:111">
      <c r="CZ54053" s="256"/>
      <c r="DG54053" s="256"/>
    </row>
    <row r="54054" spans="104:111">
      <c r="CZ54054" s="256"/>
      <c r="DG54054" s="256"/>
    </row>
    <row r="54055" spans="104:111">
      <c r="CZ54055" s="256"/>
      <c r="DG54055" s="256"/>
    </row>
    <row r="54056" spans="104:111">
      <c r="CZ54056" s="256"/>
      <c r="DG54056" s="256"/>
    </row>
    <row r="54057" spans="104:111">
      <c r="CZ54057" s="256"/>
      <c r="DG54057" s="256"/>
    </row>
    <row r="54058" spans="104:111">
      <c r="CZ54058" s="256"/>
      <c r="DG54058" s="256"/>
    </row>
    <row r="54059" spans="104:111">
      <c r="CZ54059" s="256"/>
      <c r="DG54059" s="256"/>
    </row>
    <row r="54060" spans="104:111">
      <c r="CZ54060" s="256"/>
      <c r="DG54060" s="256"/>
    </row>
    <row r="54061" spans="104:111">
      <c r="CZ54061" s="256"/>
      <c r="DG54061" s="256"/>
    </row>
    <row r="54062" spans="104:111">
      <c r="CZ54062" s="256"/>
      <c r="DG54062" s="256"/>
    </row>
    <row r="54063" spans="104:111">
      <c r="CZ54063" s="256"/>
      <c r="DG54063" s="256"/>
    </row>
    <row r="54064" spans="104:111">
      <c r="CZ54064" s="256"/>
      <c r="DG54064" s="256"/>
    </row>
    <row r="54065" spans="104:111">
      <c r="CZ54065" s="256"/>
      <c r="DG54065" s="256"/>
    </row>
    <row r="54066" spans="104:111">
      <c r="CZ54066" s="256"/>
      <c r="DG54066" s="256"/>
    </row>
    <row r="54067" spans="104:111">
      <c r="CZ54067" s="256"/>
      <c r="DG54067" s="256"/>
    </row>
    <row r="54068" spans="104:111">
      <c r="CZ54068" s="256"/>
      <c r="DG54068" s="256"/>
    </row>
    <row r="54069" spans="104:111">
      <c r="CZ54069" s="256"/>
      <c r="DG54069" s="256"/>
    </row>
    <row r="54070" spans="104:111">
      <c r="CZ54070" s="256"/>
      <c r="DG54070" s="256"/>
    </row>
    <row r="54071" spans="104:111">
      <c r="CZ54071" s="256"/>
      <c r="DG54071" s="256"/>
    </row>
    <row r="54072" spans="104:111">
      <c r="CZ54072" s="256"/>
      <c r="DG54072" s="256"/>
    </row>
    <row r="54073" spans="104:111">
      <c r="CZ54073" s="256"/>
      <c r="DG54073" s="256"/>
    </row>
    <row r="54074" spans="104:111">
      <c r="CZ54074" s="256"/>
      <c r="DG54074" s="256"/>
    </row>
    <row r="54075" spans="104:111">
      <c r="CZ54075" s="256"/>
      <c r="DG54075" s="256"/>
    </row>
    <row r="54076" spans="104:111">
      <c r="CZ54076" s="256"/>
      <c r="DG54076" s="256"/>
    </row>
    <row r="54077" spans="104:111">
      <c r="CZ54077" s="256"/>
      <c r="DG54077" s="256"/>
    </row>
    <row r="54078" spans="104:111">
      <c r="CZ54078" s="256"/>
      <c r="DG54078" s="256"/>
    </row>
    <row r="54079" spans="104:111">
      <c r="CZ54079" s="256"/>
      <c r="DG54079" s="256"/>
    </row>
    <row r="54080" spans="104:111">
      <c r="CZ54080" s="256"/>
      <c r="DG54080" s="256"/>
    </row>
    <row r="54081" spans="104:111">
      <c r="CZ54081" s="256"/>
      <c r="DG54081" s="256"/>
    </row>
    <row r="54082" spans="104:111">
      <c r="CZ54082" s="256"/>
      <c r="DG54082" s="256"/>
    </row>
    <row r="54083" spans="104:111">
      <c r="CZ54083" s="256"/>
      <c r="DG54083" s="256"/>
    </row>
    <row r="54084" spans="104:111">
      <c r="CZ54084" s="256"/>
      <c r="DG54084" s="256"/>
    </row>
    <row r="54085" spans="104:111">
      <c r="CZ54085" s="256"/>
      <c r="DG54085" s="256"/>
    </row>
    <row r="54086" spans="104:111">
      <c r="CZ54086" s="256"/>
      <c r="DG54086" s="256"/>
    </row>
    <row r="54087" spans="104:111">
      <c r="CZ54087" s="256"/>
      <c r="DG54087" s="256"/>
    </row>
    <row r="54088" spans="104:111">
      <c r="CZ54088" s="256"/>
      <c r="DG54088" s="256"/>
    </row>
    <row r="54089" spans="104:111">
      <c r="CZ54089" s="256"/>
      <c r="DG54089" s="256"/>
    </row>
    <row r="54090" spans="104:111">
      <c r="CZ54090" s="256"/>
      <c r="DG54090" s="256"/>
    </row>
    <row r="54091" spans="104:111">
      <c r="CZ54091" s="256"/>
      <c r="DG54091" s="256"/>
    </row>
    <row r="54092" spans="104:111">
      <c r="CZ54092" s="256"/>
      <c r="DG54092" s="256"/>
    </row>
    <row r="54093" spans="104:111">
      <c r="CZ54093" s="256"/>
      <c r="DG54093" s="256"/>
    </row>
    <row r="54094" spans="104:111">
      <c r="CZ54094" s="256"/>
      <c r="DG54094" s="256"/>
    </row>
    <row r="54095" spans="104:111">
      <c r="CZ54095" s="256"/>
      <c r="DG54095" s="256"/>
    </row>
    <row r="54096" spans="104:111">
      <c r="CZ54096" s="256"/>
      <c r="DG54096" s="256"/>
    </row>
    <row r="54097" spans="104:111">
      <c r="CZ54097" s="256"/>
      <c r="DG54097" s="256"/>
    </row>
    <row r="54098" spans="104:111">
      <c r="CZ54098" s="256"/>
      <c r="DG54098" s="256"/>
    </row>
    <row r="54099" spans="104:111">
      <c r="CZ54099" s="256"/>
      <c r="DG54099" s="256"/>
    </row>
    <row r="54100" spans="104:111">
      <c r="CZ54100" s="256"/>
      <c r="DG54100" s="256"/>
    </row>
    <row r="54101" spans="104:111">
      <c r="CZ54101" s="256"/>
      <c r="DG54101" s="256"/>
    </row>
    <row r="54102" spans="104:111">
      <c r="CZ54102" s="256"/>
      <c r="DG54102" s="256"/>
    </row>
    <row r="54103" spans="104:111">
      <c r="CZ54103" s="256"/>
      <c r="DG54103" s="256"/>
    </row>
    <row r="54104" spans="104:111">
      <c r="CZ54104" s="256"/>
      <c r="DG54104" s="256"/>
    </row>
    <row r="54105" spans="104:111">
      <c r="CZ54105" s="256"/>
      <c r="DG54105" s="256"/>
    </row>
    <row r="54106" spans="104:111">
      <c r="CZ54106" s="256"/>
      <c r="DG54106" s="256"/>
    </row>
    <row r="54107" spans="104:111">
      <c r="CZ54107" s="256"/>
      <c r="DG54107" s="256"/>
    </row>
    <row r="54108" spans="104:111">
      <c r="CZ54108" s="256"/>
      <c r="DG54108" s="256"/>
    </row>
    <row r="54109" spans="104:111">
      <c r="CZ54109" s="256"/>
      <c r="DG54109" s="256"/>
    </row>
    <row r="54110" spans="104:111">
      <c r="CZ54110" s="256"/>
      <c r="DG54110" s="256"/>
    </row>
    <row r="54111" spans="104:111">
      <c r="CZ54111" s="256"/>
      <c r="DG54111" s="256"/>
    </row>
    <row r="54112" spans="104:111">
      <c r="CZ54112" s="256"/>
      <c r="DG54112" s="256"/>
    </row>
    <row r="54113" spans="104:111">
      <c r="CZ54113" s="256"/>
      <c r="DG54113" s="256"/>
    </row>
    <row r="54114" spans="104:111">
      <c r="CZ54114" s="256"/>
      <c r="DG54114" s="256"/>
    </row>
    <row r="54115" spans="104:111">
      <c r="CZ54115" s="256"/>
      <c r="DG54115" s="256"/>
    </row>
    <row r="54116" spans="104:111">
      <c r="CZ54116" s="256"/>
      <c r="DG54116" s="256"/>
    </row>
    <row r="54117" spans="104:111">
      <c r="CZ54117" s="256"/>
      <c r="DG54117" s="256"/>
    </row>
    <row r="54118" spans="104:111">
      <c r="CZ54118" s="256"/>
      <c r="DG54118" s="256"/>
    </row>
    <row r="54119" spans="104:111">
      <c r="CZ54119" s="256"/>
      <c r="DG54119" s="256"/>
    </row>
    <row r="54120" spans="104:111">
      <c r="CZ54120" s="256"/>
      <c r="DG54120" s="256"/>
    </row>
    <row r="54121" spans="104:111">
      <c r="CZ54121" s="256"/>
      <c r="DG54121" s="256"/>
    </row>
    <row r="54122" spans="104:111">
      <c r="CZ54122" s="256"/>
      <c r="DG54122" s="256"/>
    </row>
    <row r="54123" spans="104:111">
      <c r="CZ54123" s="256"/>
      <c r="DG54123" s="256"/>
    </row>
    <row r="54124" spans="104:111">
      <c r="CZ54124" s="256"/>
      <c r="DG54124" s="256"/>
    </row>
    <row r="54125" spans="104:111">
      <c r="CZ54125" s="256"/>
      <c r="DG54125" s="256"/>
    </row>
    <row r="54126" spans="104:111">
      <c r="CZ54126" s="256"/>
      <c r="DG54126" s="256"/>
    </row>
    <row r="54127" spans="104:111">
      <c r="CZ54127" s="256"/>
      <c r="DG54127" s="256"/>
    </row>
    <row r="54128" spans="104:111">
      <c r="CZ54128" s="256"/>
      <c r="DG54128" s="256"/>
    </row>
    <row r="54129" spans="104:111">
      <c r="CZ54129" s="256"/>
      <c r="DG54129" s="256"/>
    </row>
    <row r="54130" spans="104:111">
      <c r="CZ54130" s="256"/>
      <c r="DG54130" s="256"/>
    </row>
    <row r="54131" spans="104:111">
      <c r="CZ54131" s="256"/>
      <c r="DG54131" s="256"/>
    </row>
    <row r="54132" spans="104:111">
      <c r="CZ54132" s="256"/>
      <c r="DG54132" s="256"/>
    </row>
    <row r="54133" spans="104:111">
      <c r="CZ54133" s="256"/>
      <c r="DG54133" s="256"/>
    </row>
    <row r="54134" spans="104:111">
      <c r="CZ54134" s="256"/>
      <c r="DG54134" s="256"/>
    </row>
    <row r="54135" spans="104:111">
      <c r="CZ54135" s="256"/>
      <c r="DG54135" s="256"/>
    </row>
    <row r="54136" spans="104:111">
      <c r="CZ54136" s="256"/>
      <c r="DG54136" s="256"/>
    </row>
    <row r="54137" spans="104:111">
      <c r="CZ54137" s="256"/>
      <c r="DG54137" s="256"/>
    </row>
    <row r="54138" spans="104:111">
      <c r="CZ54138" s="256"/>
      <c r="DG54138" s="256"/>
    </row>
    <row r="54139" spans="104:111">
      <c r="CZ54139" s="256"/>
      <c r="DG54139" s="256"/>
    </row>
    <row r="54140" spans="104:111">
      <c r="CZ54140" s="256"/>
      <c r="DG54140" s="256"/>
    </row>
    <row r="54141" spans="104:111">
      <c r="CZ54141" s="256"/>
      <c r="DG54141" s="256"/>
    </row>
    <row r="54142" spans="104:111">
      <c r="CZ54142" s="256"/>
      <c r="DG54142" s="256"/>
    </row>
    <row r="54143" spans="104:111">
      <c r="CZ54143" s="256"/>
      <c r="DG54143" s="256"/>
    </row>
    <row r="54144" spans="104:111">
      <c r="CZ54144" s="256"/>
      <c r="DG54144" s="256"/>
    </row>
    <row r="54145" spans="104:111">
      <c r="CZ54145" s="256"/>
      <c r="DG54145" s="256"/>
    </row>
    <row r="54146" spans="104:111">
      <c r="CZ54146" s="256"/>
      <c r="DG54146" s="256"/>
    </row>
    <row r="54147" spans="104:111">
      <c r="CZ54147" s="256"/>
      <c r="DG54147" s="256"/>
    </row>
    <row r="54148" spans="104:111">
      <c r="CZ54148" s="256"/>
      <c r="DG54148" s="256"/>
    </row>
    <row r="54149" spans="104:111">
      <c r="CZ54149" s="256"/>
      <c r="DG54149" s="256"/>
    </row>
    <row r="54150" spans="104:111">
      <c r="CZ54150" s="256"/>
      <c r="DG54150" s="256"/>
    </row>
    <row r="54151" spans="104:111">
      <c r="CZ54151" s="256"/>
      <c r="DG54151" s="256"/>
    </row>
    <row r="54152" spans="104:111">
      <c r="CZ54152" s="256"/>
      <c r="DG54152" s="256"/>
    </row>
    <row r="54153" spans="104:111">
      <c r="CZ54153" s="256"/>
      <c r="DG54153" s="256"/>
    </row>
    <row r="54154" spans="104:111">
      <c r="CZ54154" s="256"/>
      <c r="DG54154" s="256"/>
    </row>
    <row r="54155" spans="104:111">
      <c r="CZ54155" s="256"/>
      <c r="DG54155" s="256"/>
    </row>
    <row r="54156" spans="104:111">
      <c r="CZ54156" s="256"/>
      <c r="DG54156" s="256"/>
    </row>
    <row r="54157" spans="104:111">
      <c r="CZ54157" s="256"/>
      <c r="DG54157" s="256"/>
    </row>
    <row r="54158" spans="104:111">
      <c r="CZ54158" s="256"/>
      <c r="DG54158" s="256"/>
    </row>
    <row r="54159" spans="104:111">
      <c r="CZ54159" s="256"/>
      <c r="DG54159" s="256"/>
    </row>
    <row r="54160" spans="104:111">
      <c r="CZ54160" s="256"/>
      <c r="DG54160" s="256"/>
    </row>
    <row r="54161" spans="104:111">
      <c r="CZ54161" s="256"/>
      <c r="DG54161" s="256"/>
    </row>
    <row r="54162" spans="104:111">
      <c r="CZ54162" s="256"/>
      <c r="DG54162" s="256"/>
    </row>
    <row r="54163" spans="104:111">
      <c r="CZ54163" s="256"/>
      <c r="DG54163" s="256"/>
    </row>
    <row r="54164" spans="104:111">
      <c r="CZ54164" s="256"/>
      <c r="DG54164" s="256"/>
    </row>
    <row r="54165" spans="104:111">
      <c r="CZ54165" s="256"/>
      <c r="DG54165" s="256"/>
    </row>
    <row r="54166" spans="104:111">
      <c r="CZ54166" s="256"/>
      <c r="DG54166" s="256"/>
    </row>
    <row r="54167" spans="104:111">
      <c r="CZ54167" s="256"/>
      <c r="DG54167" s="256"/>
    </row>
    <row r="54168" spans="104:111">
      <c r="CZ54168" s="256"/>
      <c r="DG54168" s="256"/>
    </row>
    <row r="54169" spans="104:111">
      <c r="CZ54169" s="256"/>
      <c r="DG54169" s="256"/>
    </row>
    <row r="54170" spans="104:111">
      <c r="CZ54170" s="256"/>
      <c r="DG54170" s="256"/>
    </row>
    <row r="54171" spans="104:111">
      <c r="CZ54171" s="256"/>
      <c r="DG54171" s="256"/>
    </row>
    <row r="54172" spans="104:111">
      <c r="CZ54172" s="256"/>
      <c r="DG54172" s="256"/>
    </row>
    <row r="54173" spans="104:111">
      <c r="CZ54173" s="256"/>
      <c r="DG54173" s="256"/>
    </row>
    <row r="54174" spans="104:111">
      <c r="CZ54174" s="256"/>
      <c r="DG54174" s="256"/>
    </row>
    <row r="54175" spans="104:111">
      <c r="CZ54175" s="256"/>
      <c r="DG54175" s="256"/>
    </row>
    <row r="54176" spans="104:111">
      <c r="CZ54176" s="256"/>
      <c r="DG54176" s="256"/>
    </row>
    <row r="54177" spans="104:111">
      <c r="CZ54177" s="256"/>
      <c r="DG54177" s="256"/>
    </row>
    <row r="54178" spans="104:111">
      <c r="CZ54178" s="256"/>
      <c r="DG54178" s="256"/>
    </row>
    <row r="54179" spans="104:111">
      <c r="CZ54179" s="256"/>
      <c r="DG54179" s="256"/>
    </row>
    <row r="54180" spans="104:111">
      <c r="CZ54180" s="256"/>
      <c r="DG54180" s="256"/>
    </row>
    <row r="54181" spans="104:111">
      <c r="CZ54181" s="256"/>
      <c r="DG54181" s="256"/>
    </row>
    <row r="54182" spans="104:111">
      <c r="CZ54182" s="256"/>
      <c r="DG54182" s="256"/>
    </row>
    <row r="54183" spans="104:111">
      <c r="CZ54183" s="256"/>
      <c r="DG54183" s="256"/>
    </row>
    <row r="54184" spans="104:111">
      <c r="CZ54184" s="256"/>
      <c r="DG54184" s="256"/>
    </row>
    <row r="54185" spans="104:111">
      <c r="CZ54185" s="256"/>
      <c r="DG54185" s="256"/>
    </row>
    <row r="54186" spans="104:111">
      <c r="CZ54186" s="256"/>
      <c r="DG54186" s="256"/>
    </row>
    <row r="54187" spans="104:111">
      <c r="CZ54187" s="256"/>
      <c r="DG54187" s="256"/>
    </row>
    <row r="54188" spans="104:111">
      <c r="CZ54188" s="256"/>
      <c r="DG54188" s="256"/>
    </row>
    <row r="54189" spans="104:111">
      <c r="CZ54189" s="256"/>
      <c r="DG54189" s="256"/>
    </row>
    <row r="54190" spans="104:111">
      <c r="CZ54190" s="256"/>
      <c r="DG54190" s="256"/>
    </row>
    <row r="54191" spans="104:111">
      <c r="CZ54191" s="256"/>
      <c r="DG54191" s="256"/>
    </row>
    <row r="54192" spans="104:111">
      <c r="CZ54192" s="256"/>
      <c r="DG54192" s="256"/>
    </row>
    <row r="54193" spans="104:111">
      <c r="CZ54193" s="256"/>
      <c r="DG54193" s="256"/>
    </row>
    <row r="54194" spans="104:111">
      <c r="CZ54194" s="256"/>
      <c r="DG54194" s="256"/>
    </row>
    <row r="54195" spans="104:111">
      <c r="CZ54195" s="256"/>
      <c r="DG54195" s="256"/>
    </row>
    <row r="54196" spans="104:111">
      <c r="CZ54196" s="256"/>
      <c r="DG54196" s="256"/>
    </row>
    <row r="54197" spans="104:111">
      <c r="CZ54197" s="256"/>
      <c r="DG54197" s="256"/>
    </row>
    <row r="54198" spans="104:111">
      <c r="CZ54198" s="256"/>
      <c r="DG54198" s="256"/>
    </row>
    <row r="54199" spans="104:111">
      <c r="CZ54199" s="256"/>
      <c r="DG54199" s="256"/>
    </row>
    <row r="54200" spans="104:111">
      <c r="CZ54200" s="256"/>
      <c r="DG54200" s="256"/>
    </row>
    <row r="54201" spans="104:111">
      <c r="CZ54201" s="256"/>
      <c r="DG54201" s="256"/>
    </row>
    <row r="54202" spans="104:111">
      <c r="CZ54202" s="256"/>
      <c r="DG54202" s="256"/>
    </row>
    <row r="54203" spans="104:111">
      <c r="CZ54203" s="256"/>
      <c r="DG54203" s="256"/>
    </row>
    <row r="54204" spans="104:111">
      <c r="CZ54204" s="256"/>
      <c r="DG54204" s="256"/>
    </row>
    <row r="54205" spans="104:111">
      <c r="CZ54205" s="256"/>
      <c r="DG54205" s="256"/>
    </row>
    <row r="54206" spans="104:111">
      <c r="CZ54206" s="256"/>
      <c r="DG54206" s="256"/>
    </row>
    <row r="54207" spans="104:111">
      <c r="CZ54207" s="256"/>
      <c r="DG54207" s="256"/>
    </row>
    <row r="54208" spans="104:111">
      <c r="CZ54208" s="256"/>
      <c r="DG54208" s="256"/>
    </row>
    <row r="54209" spans="104:111">
      <c r="CZ54209" s="256"/>
      <c r="DG54209" s="256"/>
    </row>
    <row r="54210" spans="104:111">
      <c r="CZ54210" s="256"/>
      <c r="DG54210" s="256"/>
    </row>
    <row r="54211" spans="104:111">
      <c r="CZ54211" s="256"/>
      <c r="DG54211" s="256"/>
    </row>
    <row r="54212" spans="104:111">
      <c r="CZ54212" s="256"/>
      <c r="DG54212" s="256"/>
    </row>
    <row r="54213" spans="104:111">
      <c r="CZ54213" s="256"/>
      <c r="DG54213" s="256"/>
    </row>
    <row r="54214" spans="104:111">
      <c r="CZ54214" s="256"/>
      <c r="DG54214" s="256"/>
    </row>
    <row r="54215" spans="104:111">
      <c r="CZ54215" s="256"/>
      <c r="DG54215" s="256"/>
    </row>
    <row r="54216" spans="104:111">
      <c r="CZ54216" s="256"/>
      <c r="DG54216" s="256"/>
    </row>
    <row r="54217" spans="104:111">
      <c r="CZ54217" s="256"/>
      <c r="DG54217" s="256"/>
    </row>
    <row r="54218" spans="104:111">
      <c r="CZ54218" s="256"/>
      <c r="DG54218" s="256"/>
    </row>
    <row r="54219" spans="104:111">
      <c r="CZ54219" s="256"/>
      <c r="DG54219" s="256"/>
    </row>
    <row r="54220" spans="104:111">
      <c r="CZ54220" s="256"/>
      <c r="DG54220" s="256"/>
    </row>
    <row r="54221" spans="104:111">
      <c r="CZ54221" s="256"/>
      <c r="DG54221" s="256"/>
    </row>
    <row r="54222" spans="104:111">
      <c r="CZ54222" s="256"/>
      <c r="DG54222" s="256"/>
    </row>
    <row r="54223" spans="104:111">
      <c r="CZ54223" s="256"/>
      <c r="DG54223" s="256"/>
    </row>
    <row r="54224" spans="104:111">
      <c r="CZ54224" s="256"/>
      <c r="DG54224" s="256"/>
    </row>
    <row r="54225" spans="104:111">
      <c r="CZ54225" s="256"/>
      <c r="DG54225" s="256"/>
    </row>
    <row r="54226" spans="104:111">
      <c r="CZ54226" s="256"/>
      <c r="DG54226" s="256"/>
    </row>
    <row r="54227" spans="104:111">
      <c r="CZ54227" s="256"/>
      <c r="DG54227" s="256"/>
    </row>
    <row r="54228" spans="104:111">
      <c r="CZ54228" s="256"/>
      <c r="DG54228" s="256"/>
    </row>
    <row r="54229" spans="104:111">
      <c r="CZ54229" s="256"/>
      <c r="DG54229" s="256"/>
    </row>
    <row r="54230" spans="104:111">
      <c r="CZ54230" s="256"/>
      <c r="DG54230" s="256"/>
    </row>
    <row r="54231" spans="104:111">
      <c r="CZ54231" s="256"/>
      <c r="DG54231" s="256"/>
    </row>
    <row r="54232" spans="104:111">
      <c r="CZ54232" s="256"/>
      <c r="DG54232" s="256"/>
    </row>
    <row r="54233" spans="104:111">
      <c r="CZ54233" s="256"/>
      <c r="DG54233" s="256"/>
    </row>
    <row r="54234" spans="104:111">
      <c r="CZ54234" s="256"/>
      <c r="DG54234" s="256"/>
    </row>
    <row r="54235" spans="104:111">
      <c r="CZ54235" s="256"/>
      <c r="DG54235" s="256"/>
    </row>
    <row r="54236" spans="104:111">
      <c r="CZ54236" s="256"/>
      <c r="DG54236" s="256"/>
    </row>
    <row r="54237" spans="104:111">
      <c r="CZ54237" s="256"/>
      <c r="DG54237" s="256"/>
    </row>
    <row r="54238" spans="104:111">
      <c r="CZ54238" s="256"/>
      <c r="DG54238" s="256"/>
    </row>
    <row r="54239" spans="104:111">
      <c r="CZ54239" s="256"/>
      <c r="DG54239" s="256"/>
    </row>
    <row r="54240" spans="104:111">
      <c r="CZ54240" s="256"/>
      <c r="DG54240" s="256"/>
    </row>
    <row r="54241" spans="104:111">
      <c r="CZ54241" s="256"/>
      <c r="DG54241" s="256"/>
    </row>
    <row r="54242" spans="104:111">
      <c r="CZ54242" s="256"/>
      <c r="DG54242" s="256"/>
    </row>
    <row r="54243" spans="104:111">
      <c r="CZ54243" s="256"/>
      <c r="DG54243" s="256"/>
    </row>
    <row r="54244" spans="104:111">
      <c r="CZ54244" s="256"/>
      <c r="DG54244" s="256"/>
    </row>
    <row r="54245" spans="104:111">
      <c r="CZ54245" s="256"/>
      <c r="DG54245" s="256"/>
    </row>
    <row r="54246" spans="104:111">
      <c r="CZ54246" s="256"/>
      <c r="DG54246" s="256"/>
    </row>
    <row r="54247" spans="104:111">
      <c r="CZ54247" s="256"/>
      <c r="DG54247" s="256"/>
    </row>
    <row r="54248" spans="104:111">
      <c r="CZ54248" s="256"/>
      <c r="DG54248" s="256"/>
    </row>
    <row r="54249" spans="104:111">
      <c r="CZ54249" s="256"/>
      <c r="DG54249" s="256"/>
    </row>
    <row r="54250" spans="104:111">
      <c r="CZ54250" s="256"/>
      <c r="DG54250" s="256"/>
    </row>
    <row r="54251" spans="104:111">
      <c r="CZ54251" s="256"/>
      <c r="DG54251" s="256"/>
    </row>
    <row r="54252" spans="104:111">
      <c r="CZ54252" s="256"/>
      <c r="DG54252" s="256"/>
    </row>
    <row r="54253" spans="104:111">
      <c r="CZ54253" s="256"/>
      <c r="DG54253" s="256"/>
    </row>
    <row r="54254" spans="104:111">
      <c r="CZ54254" s="256"/>
      <c r="DG54254" s="256"/>
    </row>
    <row r="54255" spans="104:111">
      <c r="CZ54255" s="256"/>
      <c r="DG54255" s="256"/>
    </row>
    <row r="54256" spans="104:111">
      <c r="CZ54256" s="256"/>
      <c r="DG54256" s="256"/>
    </row>
    <row r="54257" spans="104:111">
      <c r="CZ54257" s="256"/>
      <c r="DG54257" s="256"/>
    </row>
    <row r="54258" spans="104:111">
      <c r="CZ54258" s="256"/>
      <c r="DG54258" s="256"/>
    </row>
    <row r="54259" spans="104:111">
      <c r="CZ54259" s="256"/>
      <c r="DG54259" s="256"/>
    </row>
    <row r="54260" spans="104:111">
      <c r="CZ54260" s="256"/>
      <c r="DG54260" s="256"/>
    </row>
    <row r="54261" spans="104:111">
      <c r="CZ54261" s="256"/>
      <c r="DG54261" s="256"/>
    </row>
    <row r="54262" spans="104:111">
      <c r="CZ54262" s="256"/>
      <c r="DG54262" s="256"/>
    </row>
    <row r="54263" spans="104:111">
      <c r="CZ54263" s="256"/>
      <c r="DG54263" s="256"/>
    </row>
    <row r="54264" spans="104:111">
      <c r="CZ54264" s="256"/>
      <c r="DG54264" s="256"/>
    </row>
    <row r="54265" spans="104:111">
      <c r="CZ54265" s="256"/>
      <c r="DG54265" s="256"/>
    </row>
    <row r="54266" spans="104:111">
      <c r="CZ54266" s="256"/>
      <c r="DG54266" s="256"/>
    </row>
    <row r="54267" spans="104:111">
      <c r="CZ54267" s="256"/>
      <c r="DG54267" s="256"/>
    </row>
    <row r="54268" spans="104:111">
      <c r="CZ54268" s="256"/>
      <c r="DG54268" s="256"/>
    </row>
    <row r="54269" spans="104:111">
      <c r="CZ54269" s="256"/>
      <c r="DG54269" s="256"/>
    </row>
    <row r="54270" spans="104:111">
      <c r="CZ54270" s="256"/>
      <c r="DG54270" s="256"/>
    </row>
    <row r="54271" spans="104:111">
      <c r="CZ54271" s="256"/>
      <c r="DG54271" s="256"/>
    </row>
    <row r="54272" spans="104:111">
      <c r="CZ54272" s="256"/>
      <c r="DG54272" s="256"/>
    </row>
    <row r="54273" spans="104:111">
      <c r="CZ54273" s="256"/>
      <c r="DG54273" s="256"/>
    </row>
    <row r="54274" spans="104:111">
      <c r="CZ54274" s="256"/>
      <c r="DG54274" s="256"/>
    </row>
    <row r="54275" spans="104:111">
      <c r="CZ54275" s="256"/>
      <c r="DG54275" s="256"/>
    </row>
    <row r="54276" spans="104:111">
      <c r="CZ54276" s="256"/>
      <c r="DG54276" s="256"/>
    </row>
    <row r="54277" spans="104:111">
      <c r="CZ54277" s="256"/>
      <c r="DG54277" s="256"/>
    </row>
    <row r="54278" spans="104:111">
      <c r="CZ54278" s="256"/>
      <c r="DG54278" s="256"/>
    </row>
    <row r="54279" spans="104:111">
      <c r="CZ54279" s="256"/>
      <c r="DG54279" s="256"/>
    </row>
    <row r="54280" spans="104:111">
      <c r="CZ54280" s="256"/>
      <c r="DG54280" s="256"/>
    </row>
    <row r="54281" spans="104:111">
      <c r="CZ54281" s="256"/>
      <c r="DG54281" s="256"/>
    </row>
    <row r="54282" spans="104:111">
      <c r="CZ54282" s="256"/>
      <c r="DG54282" s="256"/>
    </row>
    <row r="54283" spans="104:111">
      <c r="CZ54283" s="256"/>
      <c r="DG54283" s="256"/>
    </row>
    <row r="54284" spans="104:111">
      <c r="CZ54284" s="256"/>
      <c r="DG54284" s="256"/>
    </row>
    <row r="54285" spans="104:111">
      <c r="CZ54285" s="256"/>
      <c r="DG54285" s="256"/>
    </row>
    <row r="54286" spans="104:111">
      <c r="CZ54286" s="256"/>
      <c r="DG54286" s="256"/>
    </row>
    <row r="54287" spans="104:111">
      <c r="CZ54287" s="256"/>
      <c r="DG54287" s="256"/>
    </row>
    <row r="54288" spans="104:111">
      <c r="CZ54288" s="256"/>
      <c r="DG54288" s="256"/>
    </row>
    <row r="54289" spans="104:111">
      <c r="CZ54289" s="256"/>
      <c r="DG54289" s="256"/>
    </row>
    <row r="54290" spans="104:111">
      <c r="CZ54290" s="256"/>
      <c r="DG54290" s="256"/>
    </row>
    <row r="54291" spans="104:111">
      <c r="CZ54291" s="256"/>
      <c r="DG54291" s="256"/>
    </row>
    <row r="54292" spans="104:111">
      <c r="CZ54292" s="256"/>
      <c r="DG54292" s="256"/>
    </row>
    <row r="54293" spans="104:111">
      <c r="CZ54293" s="256"/>
      <c r="DG54293" s="256"/>
    </row>
    <row r="54294" spans="104:111">
      <c r="CZ54294" s="256"/>
      <c r="DG54294" s="256"/>
    </row>
    <row r="54295" spans="104:111">
      <c r="CZ54295" s="256"/>
      <c r="DG54295" s="256"/>
    </row>
    <row r="54296" spans="104:111">
      <c r="CZ54296" s="256"/>
      <c r="DG54296" s="256"/>
    </row>
    <row r="54297" spans="104:111">
      <c r="CZ54297" s="256"/>
      <c r="DG54297" s="256"/>
    </row>
    <row r="54298" spans="104:111">
      <c r="CZ54298" s="256"/>
      <c r="DG54298" s="256"/>
    </row>
    <row r="54299" spans="104:111">
      <c r="CZ54299" s="256"/>
      <c r="DG54299" s="256"/>
    </row>
    <row r="54300" spans="104:111">
      <c r="CZ54300" s="256"/>
      <c r="DG54300" s="256"/>
    </row>
    <row r="54301" spans="104:111">
      <c r="CZ54301" s="256"/>
      <c r="DG54301" s="256"/>
    </row>
    <row r="54302" spans="104:111">
      <c r="CZ54302" s="256"/>
      <c r="DG54302" s="256"/>
    </row>
    <row r="54303" spans="104:111">
      <c r="CZ54303" s="256"/>
      <c r="DG54303" s="256"/>
    </row>
    <row r="54304" spans="104:111">
      <c r="CZ54304" s="256"/>
      <c r="DG54304" s="256"/>
    </row>
    <row r="54305" spans="104:111">
      <c r="CZ54305" s="256"/>
      <c r="DG54305" s="256"/>
    </row>
    <row r="54306" spans="104:111">
      <c r="CZ54306" s="256"/>
      <c r="DG54306" s="256"/>
    </row>
    <row r="54307" spans="104:111">
      <c r="CZ54307" s="256"/>
      <c r="DG54307" s="256"/>
    </row>
    <row r="54308" spans="104:111">
      <c r="CZ54308" s="256"/>
      <c r="DG54308" s="256"/>
    </row>
    <row r="54309" spans="104:111">
      <c r="CZ54309" s="256"/>
      <c r="DG54309" s="256"/>
    </row>
    <row r="54310" spans="104:111">
      <c r="CZ54310" s="256"/>
      <c r="DG54310" s="256"/>
    </row>
    <row r="54311" spans="104:111">
      <c r="CZ54311" s="256"/>
      <c r="DG54311" s="256"/>
    </row>
    <row r="54312" spans="104:111">
      <c r="CZ54312" s="256"/>
      <c r="DG54312" s="256"/>
    </row>
    <row r="54313" spans="104:111">
      <c r="CZ54313" s="256"/>
      <c r="DG54313" s="256"/>
    </row>
    <row r="54314" spans="104:111">
      <c r="CZ54314" s="256"/>
      <c r="DG54314" s="256"/>
    </row>
    <row r="54315" spans="104:111">
      <c r="CZ54315" s="256"/>
      <c r="DG54315" s="256"/>
    </row>
    <row r="54316" spans="104:111">
      <c r="CZ54316" s="256"/>
      <c r="DG54316" s="256"/>
    </row>
    <row r="54317" spans="104:111">
      <c r="CZ54317" s="256"/>
      <c r="DG54317" s="256"/>
    </row>
    <row r="54318" spans="104:111">
      <c r="CZ54318" s="256"/>
      <c r="DG54318" s="256"/>
    </row>
    <row r="54319" spans="104:111">
      <c r="CZ54319" s="256"/>
      <c r="DG54319" s="256"/>
    </row>
    <row r="54320" spans="104:111">
      <c r="CZ54320" s="256"/>
      <c r="DG54320" s="256"/>
    </row>
    <row r="54321" spans="104:111">
      <c r="CZ54321" s="256"/>
      <c r="DG54321" s="256"/>
    </row>
    <row r="54322" spans="104:111">
      <c r="CZ54322" s="256"/>
      <c r="DG54322" s="256"/>
    </row>
    <row r="54323" spans="104:111">
      <c r="CZ54323" s="256"/>
      <c r="DG54323" s="256"/>
    </row>
    <row r="54324" spans="104:111">
      <c r="CZ54324" s="256"/>
      <c r="DG54324" s="256"/>
    </row>
    <row r="54325" spans="104:111">
      <c r="CZ54325" s="256"/>
      <c r="DG54325" s="256"/>
    </row>
    <row r="54326" spans="104:111">
      <c r="CZ54326" s="256"/>
      <c r="DG54326" s="256"/>
    </row>
    <row r="54327" spans="104:111">
      <c r="CZ54327" s="256"/>
      <c r="DG54327" s="256"/>
    </row>
    <row r="54328" spans="104:111">
      <c r="CZ54328" s="256"/>
      <c r="DG54328" s="256"/>
    </row>
    <row r="54329" spans="104:111">
      <c r="CZ54329" s="256"/>
      <c r="DG54329" s="256"/>
    </row>
    <row r="54330" spans="104:111">
      <c r="CZ54330" s="256"/>
      <c r="DG54330" s="256"/>
    </row>
    <row r="54331" spans="104:111">
      <c r="CZ54331" s="256"/>
      <c r="DG54331" s="256"/>
    </row>
    <row r="54332" spans="104:111">
      <c r="CZ54332" s="256"/>
      <c r="DG54332" s="256"/>
    </row>
    <row r="54333" spans="104:111">
      <c r="CZ54333" s="256"/>
      <c r="DG54333" s="256"/>
    </row>
    <row r="54334" spans="104:111">
      <c r="CZ54334" s="256"/>
      <c r="DG54334" s="256"/>
    </row>
    <row r="54335" spans="104:111">
      <c r="CZ54335" s="256"/>
      <c r="DG54335" s="256"/>
    </row>
    <row r="54336" spans="104:111">
      <c r="CZ54336" s="256"/>
      <c r="DG54336" s="256"/>
    </row>
    <row r="54337" spans="104:111">
      <c r="CZ54337" s="256"/>
      <c r="DG54337" s="256"/>
    </row>
    <row r="54338" spans="104:111">
      <c r="CZ54338" s="256"/>
      <c r="DG54338" s="256"/>
    </row>
    <row r="54339" spans="104:111">
      <c r="CZ54339" s="256"/>
      <c r="DG54339" s="256"/>
    </row>
    <row r="54340" spans="104:111">
      <c r="CZ54340" s="256"/>
      <c r="DG54340" s="256"/>
    </row>
    <row r="54341" spans="104:111">
      <c r="CZ54341" s="256"/>
      <c r="DG54341" s="256"/>
    </row>
    <row r="54342" spans="104:111">
      <c r="CZ54342" s="256"/>
      <c r="DG54342" s="256"/>
    </row>
    <row r="54343" spans="104:111">
      <c r="CZ54343" s="256"/>
      <c r="DG54343" s="256"/>
    </row>
    <row r="54344" spans="104:111">
      <c r="CZ54344" s="256"/>
      <c r="DG54344" s="256"/>
    </row>
    <row r="54345" spans="104:111">
      <c r="CZ54345" s="256"/>
      <c r="DG54345" s="256"/>
    </row>
    <row r="54346" spans="104:111">
      <c r="CZ54346" s="256"/>
      <c r="DG54346" s="256"/>
    </row>
    <row r="54347" spans="104:111">
      <c r="CZ54347" s="256"/>
      <c r="DG54347" s="256"/>
    </row>
    <row r="54348" spans="104:111">
      <c r="CZ54348" s="256"/>
      <c r="DG54348" s="256"/>
    </row>
    <row r="54349" spans="104:111">
      <c r="CZ54349" s="256"/>
      <c r="DG54349" s="256"/>
    </row>
    <row r="54350" spans="104:111">
      <c r="CZ54350" s="256"/>
      <c r="DG54350" s="256"/>
    </row>
    <row r="54351" spans="104:111">
      <c r="CZ54351" s="256"/>
      <c r="DG54351" s="256"/>
    </row>
    <row r="54352" spans="104:111">
      <c r="CZ54352" s="256"/>
      <c r="DG54352" s="256"/>
    </row>
    <row r="54353" spans="104:111">
      <c r="CZ54353" s="256"/>
      <c r="DG54353" s="256"/>
    </row>
    <row r="54354" spans="104:111">
      <c r="CZ54354" s="256"/>
      <c r="DG54354" s="256"/>
    </row>
    <row r="54355" spans="104:111">
      <c r="CZ54355" s="256"/>
      <c r="DG54355" s="256"/>
    </row>
    <row r="54356" spans="104:111">
      <c r="CZ54356" s="256"/>
      <c r="DG54356" s="256"/>
    </row>
    <row r="54357" spans="104:111">
      <c r="CZ54357" s="256"/>
      <c r="DG54357" s="256"/>
    </row>
    <row r="54358" spans="104:111">
      <c r="CZ54358" s="256"/>
      <c r="DG54358" s="256"/>
    </row>
    <row r="54359" spans="104:111">
      <c r="CZ54359" s="256"/>
      <c r="DG54359" s="256"/>
    </row>
    <row r="54360" spans="104:111">
      <c r="CZ54360" s="256"/>
      <c r="DG54360" s="256"/>
    </row>
    <row r="54361" spans="104:111">
      <c r="CZ54361" s="256"/>
      <c r="DG54361" s="256"/>
    </row>
    <row r="54362" spans="104:111">
      <c r="CZ54362" s="256"/>
      <c r="DG54362" s="256"/>
    </row>
    <row r="54363" spans="104:111">
      <c r="CZ54363" s="256"/>
      <c r="DG54363" s="256"/>
    </row>
    <row r="54364" spans="104:111">
      <c r="CZ54364" s="256"/>
      <c r="DG54364" s="256"/>
    </row>
    <row r="54365" spans="104:111">
      <c r="CZ54365" s="256"/>
      <c r="DG54365" s="256"/>
    </row>
    <row r="54366" spans="104:111">
      <c r="CZ54366" s="256"/>
      <c r="DG54366" s="256"/>
    </row>
    <row r="54367" spans="104:111">
      <c r="CZ54367" s="256"/>
      <c r="DG54367" s="256"/>
    </row>
    <row r="54368" spans="104:111">
      <c r="CZ54368" s="256"/>
      <c r="DG54368" s="256"/>
    </row>
    <row r="54369" spans="104:111">
      <c r="CZ54369" s="256"/>
      <c r="DG54369" s="256"/>
    </row>
    <row r="54370" spans="104:111">
      <c r="CZ54370" s="256"/>
      <c r="DG54370" s="256"/>
    </row>
    <row r="54371" spans="104:111">
      <c r="CZ54371" s="256"/>
      <c r="DG54371" s="256"/>
    </row>
    <row r="54372" spans="104:111">
      <c r="CZ54372" s="256"/>
      <c r="DG54372" s="256"/>
    </row>
    <row r="54373" spans="104:111">
      <c r="CZ54373" s="256"/>
      <c r="DG54373" s="256"/>
    </row>
    <row r="54374" spans="104:111">
      <c r="CZ54374" s="256"/>
      <c r="DG54374" s="256"/>
    </row>
    <row r="54375" spans="104:111">
      <c r="CZ54375" s="256"/>
      <c r="DG54375" s="256"/>
    </row>
    <row r="54376" spans="104:111">
      <c r="CZ54376" s="256"/>
      <c r="DG54376" s="256"/>
    </row>
    <row r="54377" spans="104:111">
      <c r="CZ54377" s="256"/>
      <c r="DG54377" s="256"/>
    </row>
    <row r="54378" spans="104:111">
      <c r="CZ54378" s="256"/>
      <c r="DG54378" s="256"/>
    </row>
    <row r="54379" spans="104:111">
      <c r="CZ54379" s="256"/>
      <c r="DG54379" s="256"/>
    </row>
    <row r="54380" spans="104:111">
      <c r="CZ54380" s="256"/>
      <c r="DG54380" s="256"/>
    </row>
    <row r="54381" spans="104:111">
      <c r="CZ54381" s="256"/>
      <c r="DG54381" s="256"/>
    </row>
    <row r="54382" spans="104:111">
      <c r="CZ54382" s="256"/>
      <c r="DG54382" s="256"/>
    </row>
    <row r="54383" spans="104:111">
      <c r="CZ54383" s="256"/>
      <c r="DG54383" s="256"/>
    </row>
    <row r="54384" spans="104:111">
      <c r="CZ54384" s="256"/>
      <c r="DG54384" s="256"/>
    </row>
    <row r="54385" spans="104:111">
      <c r="CZ54385" s="256"/>
      <c r="DG54385" s="256"/>
    </row>
    <row r="54386" spans="104:111">
      <c r="CZ54386" s="256"/>
      <c r="DG54386" s="256"/>
    </row>
    <row r="54387" spans="104:111">
      <c r="CZ54387" s="256"/>
      <c r="DG54387" s="256"/>
    </row>
    <row r="54388" spans="104:111">
      <c r="CZ54388" s="256"/>
      <c r="DG54388" s="256"/>
    </row>
    <row r="54389" spans="104:111">
      <c r="CZ54389" s="256"/>
      <c r="DG54389" s="256"/>
    </row>
    <row r="54390" spans="104:111">
      <c r="CZ54390" s="256"/>
      <c r="DG54390" s="256"/>
    </row>
    <row r="54391" spans="104:111">
      <c r="CZ54391" s="256"/>
      <c r="DG54391" s="256"/>
    </row>
    <row r="54392" spans="104:111">
      <c r="CZ54392" s="256"/>
      <c r="DG54392" s="256"/>
    </row>
    <row r="54393" spans="104:111">
      <c r="CZ54393" s="256"/>
      <c r="DG54393" s="256"/>
    </row>
    <row r="54394" spans="104:111">
      <c r="CZ54394" s="256"/>
      <c r="DG54394" s="256"/>
    </row>
    <row r="54395" spans="104:111">
      <c r="CZ54395" s="256"/>
      <c r="DG54395" s="256"/>
    </row>
    <row r="54396" spans="104:111">
      <c r="CZ54396" s="256"/>
      <c r="DG54396" s="256"/>
    </row>
    <row r="54397" spans="104:111">
      <c r="CZ54397" s="256"/>
      <c r="DG54397" s="256"/>
    </row>
    <row r="54398" spans="104:111">
      <c r="CZ54398" s="256"/>
      <c r="DG54398" s="256"/>
    </row>
    <row r="54399" spans="104:111">
      <c r="CZ54399" s="256"/>
      <c r="DG54399" s="256"/>
    </row>
    <row r="54400" spans="104:111">
      <c r="CZ54400" s="256"/>
      <c r="DG54400" s="256"/>
    </row>
    <row r="54401" spans="104:111">
      <c r="CZ54401" s="256"/>
      <c r="DG54401" s="256"/>
    </row>
    <row r="54402" spans="104:111">
      <c r="CZ54402" s="256"/>
      <c r="DG54402" s="256"/>
    </row>
    <row r="54403" spans="104:111">
      <c r="CZ54403" s="256"/>
      <c r="DG54403" s="256"/>
    </row>
    <row r="54404" spans="104:111">
      <c r="CZ54404" s="256"/>
      <c r="DG54404" s="256"/>
    </row>
    <row r="54405" spans="104:111">
      <c r="CZ54405" s="256"/>
      <c r="DG54405" s="256"/>
    </row>
    <row r="54406" spans="104:111">
      <c r="CZ54406" s="256"/>
      <c r="DG54406" s="256"/>
    </row>
    <row r="54407" spans="104:111">
      <c r="CZ54407" s="256"/>
      <c r="DG54407" s="256"/>
    </row>
    <row r="54408" spans="104:111">
      <c r="CZ54408" s="256"/>
      <c r="DG54408" s="256"/>
    </row>
    <row r="54409" spans="104:111">
      <c r="CZ54409" s="256"/>
      <c r="DG54409" s="256"/>
    </row>
    <row r="54410" spans="104:111">
      <c r="CZ54410" s="256"/>
      <c r="DG54410" s="256"/>
    </row>
    <row r="54411" spans="104:111">
      <c r="CZ54411" s="256"/>
      <c r="DG54411" s="256"/>
    </row>
    <row r="54412" spans="104:111">
      <c r="CZ54412" s="256"/>
      <c r="DG54412" s="256"/>
    </row>
    <row r="54413" spans="104:111">
      <c r="CZ54413" s="256"/>
      <c r="DG54413" s="256"/>
    </row>
    <row r="54414" spans="104:111">
      <c r="CZ54414" s="256"/>
      <c r="DG54414" s="256"/>
    </row>
    <row r="54415" spans="104:111">
      <c r="CZ54415" s="256"/>
      <c r="DG54415" s="256"/>
    </row>
    <row r="54416" spans="104:111">
      <c r="CZ54416" s="256"/>
      <c r="DG54416" s="256"/>
    </row>
    <row r="54417" spans="104:111">
      <c r="CZ54417" s="256"/>
      <c r="DG54417" s="256"/>
    </row>
    <row r="54418" spans="104:111">
      <c r="CZ54418" s="256"/>
      <c r="DG54418" s="256"/>
    </row>
    <row r="54419" spans="104:111">
      <c r="CZ54419" s="256"/>
      <c r="DG54419" s="256"/>
    </row>
    <row r="54420" spans="104:111">
      <c r="CZ54420" s="256"/>
      <c r="DG54420" s="256"/>
    </row>
    <row r="54421" spans="104:111">
      <c r="CZ54421" s="256"/>
      <c r="DG54421" s="256"/>
    </row>
    <row r="54422" spans="104:111">
      <c r="CZ54422" s="256"/>
      <c r="DG54422" s="256"/>
    </row>
    <row r="54423" spans="104:111">
      <c r="CZ54423" s="256"/>
      <c r="DG54423" s="256"/>
    </row>
    <row r="54424" spans="104:111">
      <c r="CZ54424" s="256"/>
      <c r="DG54424" s="256"/>
    </row>
    <row r="54425" spans="104:111">
      <c r="CZ54425" s="256"/>
      <c r="DG54425" s="256"/>
    </row>
    <row r="54426" spans="104:111">
      <c r="CZ54426" s="256"/>
      <c r="DG54426" s="256"/>
    </row>
    <row r="54427" spans="104:111">
      <c r="CZ54427" s="256"/>
      <c r="DG54427" s="256"/>
    </row>
    <row r="54428" spans="104:111">
      <c r="CZ54428" s="256"/>
      <c r="DG54428" s="256"/>
    </row>
    <row r="54429" spans="104:111">
      <c r="CZ54429" s="256"/>
      <c r="DG54429" s="256"/>
    </row>
    <row r="54430" spans="104:111">
      <c r="CZ54430" s="256"/>
      <c r="DG54430" s="256"/>
    </row>
    <row r="54431" spans="104:111">
      <c r="CZ54431" s="256"/>
      <c r="DG54431" s="256"/>
    </row>
    <row r="54432" spans="104:111">
      <c r="CZ54432" s="256"/>
      <c r="DG54432" s="256"/>
    </row>
    <row r="54433" spans="104:111">
      <c r="CZ54433" s="256"/>
      <c r="DG54433" s="256"/>
    </row>
    <row r="54434" spans="104:111">
      <c r="CZ54434" s="256"/>
      <c r="DG54434" s="256"/>
    </row>
    <row r="54435" spans="104:111">
      <c r="CZ54435" s="256"/>
      <c r="DG54435" s="256"/>
    </row>
    <row r="54436" spans="104:111">
      <c r="CZ54436" s="256"/>
      <c r="DG54436" s="256"/>
    </row>
    <row r="54437" spans="104:111">
      <c r="CZ54437" s="256"/>
      <c r="DG54437" s="256"/>
    </row>
    <row r="54438" spans="104:111">
      <c r="CZ54438" s="256"/>
      <c r="DG54438" s="256"/>
    </row>
    <row r="54439" spans="104:111">
      <c r="CZ54439" s="256"/>
      <c r="DG54439" s="256"/>
    </row>
    <row r="54440" spans="104:111">
      <c r="CZ54440" s="256"/>
      <c r="DG54440" s="256"/>
    </row>
    <row r="54441" spans="104:111">
      <c r="CZ54441" s="256"/>
      <c r="DG54441" s="256"/>
    </row>
    <row r="54442" spans="104:111">
      <c r="CZ54442" s="256"/>
      <c r="DG54442" s="256"/>
    </row>
    <row r="54443" spans="104:111">
      <c r="CZ54443" s="256"/>
      <c r="DG54443" s="256"/>
    </row>
    <row r="54444" spans="104:111">
      <c r="CZ54444" s="256"/>
      <c r="DG54444" s="256"/>
    </row>
    <row r="54445" spans="104:111">
      <c r="CZ54445" s="256"/>
      <c r="DG54445" s="256"/>
    </row>
    <row r="54446" spans="104:111">
      <c r="CZ54446" s="256"/>
      <c r="DG54446" s="256"/>
    </row>
    <row r="54447" spans="104:111">
      <c r="CZ54447" s="256"/>
      <c r="DG54447" s="256"/>
    </row>
    <row r="54448" spans="104:111">
      <c r="CZ54448" s="256"/>
      <c r="DG54448" s="256"/>
    </row>
    <row r="54449" spans="104:111">
      <c r="CZ54449" s="256"/>
      <c r="DG54449" s="256"/>
    </row>
    <row r="54450" spans="104:111">
      <c r="CZ54450" s="256"/>
      <c r="DG54450" s="256"/>
    </row>
    <row r="54451" spans="104:111">
      <c r="CZ54451" s="256"/>
      <c r="DG54451" s="256"/>
    </row>
    <row r="54452" spans="104:111">
      <c r="CZ54452" s="256"/>
      <c r="DG54452" s="256"/>
    </row>
    <row r="54453" spans="104:111">
      <c r="CZ54453" s="256"/>
      <c r="DG54453" s="256"/>
    </row>
    <row r="54454" spans="104:111">
      <c r="CZ54454" s="256"/>
      <c r="DG54454" s="256"/>
    </row>
    <row r="54455" spans="104:111">
      <c r="CZ54455" s="256"/>
      <c r="DG54455" s="256"/>
    </row>
    <row r="54456" spans="104:111">
      <c r="CZ54456" s="256"/>
      <c r="DG54456" s="256"/>
    </row>
    <row r="54457" spans="104:111">
      <c r="CZ54457" s="256"/>
      <c r="DG54457" s="256"/>
    </row>
    <row r="54458" spans="104:111">
      <c r="CZ54458" s="256"/>
      <c r="DG54458" s="256"/>
    </row>
    <row r="54459" spans="104:111">
      <c r="CZ54459" s="256"/>
      <c r="DG54459" s="256"/>
    </row>
    <row r="54460" spans="104:111">
      <c r="CZ54460" s="256"/>
      <c r="DG54460" s="256"/>
    </row>
    <row r="54461" spans="104:111">
      <c r="CZ54461" s="256"/>
      <c r="DG54461" s="256"/>
    </row>
    <row r="54462" spans="104:111">
      <c r="CZ54462" s="256"/>
      <c r="DG54462" s="256"/>
    </row>
    <row r="54463" spans="104:111">
      <c r="CZ54463" s="256"/>
      <c r="DG54463" s="256"/>
    </row>
    <row r="54464" spans="104:111">
      <c r="CZ54464" s="256"/>
      <c r="DG54464" s="256"/>
    </row>
    <row r="54465" spans="104:111">
      <c r="CZ54465" s="256"/>
      <c r="DG54465" s="256"/>
    </row>
    <row r="54466" spans="104:111">
      <c r="CZ54466" s="256"/>
      <c r="DG54466" s="256"/>
    </row>
    <row r="54467" spans="104:111">
      <c r="CZ54467" s="256"/>
      <c r="DG54467" s="256"/>
    </row>
    <row r="54468" spans="104:111">
      <c r="CZ54468" s="256"/>
      <c r="DG54468" s="256"/>
    </row>
    <row r="54469" spans="104:111">
      <c r="CZ54469" s="256"/>
      <c r="DG54469" s="256"/>
    </row>
    <row r="54470" spans="104:111">
      <c r="CZ54470" s="256"/>
      <c r="DG54470" s="256"/>
    </row>
    <row r="54471" spans="104:111">
      <c r="CZ54471" s="256"/>
      <c r="DG54471" s="256"/>
    </row>
    <row r="54472" spans="104:111">
      <c r="CZ54472" s="256"/>
      <c r="DG54472" s="256"/>
    </row>
    <row r="54473" spans="104:111">
      <c r="CZ54473" s="256"/>
      <c r="DG54473" s="256"/>
    </row>
    <row r="54474" spans="104:111">
      <c r="CZ54474" s="256"/>
      <c r="DG54474" s="256"/>
    </row>
    <row r="54475" spans="104:111">
      <c r="CZ54475" s="256"/>
      <c r="DG54475" s="256"/>
    </row>
    <row r="54476" spans="104:111">
      <c r="CZ54476" s="256"/>
      <c r="DG54476" s="256"/>
    </row>
    <row r="54477" spans="104:111">
      <c r="CZ54477" s="256"/>
      <c r="DG54477" s="256"/>
    </row>
    <row r="54478" spans="104:111">
      <c r="CZ54478" s="256"/>
      <c r="DG54478" s="256"/>
    </row>
    <row r="54479" spans="104:111">
      <c r="CZ54479" s="256"/>
      <c r="DG54479" s="256"/>
    </row>
    <row r="54480" spans="104:111">
      <c r="CZ54480" s="256"/>
      <c r="DG54480" s="256"/>
    </row>
    <row r="54481" spans="104:111">
      <c r="CZ54481" s="256"/>
      <c r="DG54481" s="256"/>
    </row>
    <row r="54482" spans="104:111">
      <c r="CZ54482" s="256"/>
      <c r="DG54482" s="256"/>
    </row>
    <row r="54483" spans="104:111">
      <c r="CZ54483" s="256"/>
      <c r="DG54483" s="256"/>
    </row>
    <row r="54484" spans="104:111">
      <c r="CZ54484" s="256"/>
      <c r="DG54484" s="256"/>
    </row>
    <row r="54485" spans="104:111">
      <c r="CZ54485" s="256"/>
      <c r="DG54485" s="256"/>
    </row>
    <row r="54486" spans="104:111">
      <c r="CZ54486" s="256"/>
      <c r="DG54486" s="256"/>
    </row>
    <row r="54487" spans="104:111">
      <c r="CZ54487" s="256"/>
      <c r="DG54487" s="256"/>
    </row>
    <row r="54488" spans="104:111">
      <c r="CZ54488" s="256"/>
      <c r="DG54488" s="256"/>
    </row>
    <row r="54489" spans="104:111">
      <c r="CZ54489" s="256"/>
      <c r="DG54489" s="256"/>
    </row>
    <row r="54490" spans="104:111">
      <c r="CZ54490" s="256"/>
      <c r="DG54490" s="256"/>
    </row>
    <row r="54491" spans="104:111">
      <c r="CZ54491" s="256"/>
      <c r="DG54491" s="256"/>
    </row>
    <row r="54492" spans="104:111">
      <c r="CZ54492" s="256"/>
      <c r="DG54492" s="256"/>
    </row>
    <row r="54493" spans="104:111">
      <c r="CZ54493" s="256"/>
      <c r="DG54493" s="256"/>
    </row>
    <row r="54494" spans="104:111">
      <c r="CZ54494" s="256"/>
      <c r="DG54494" s="256"/>
    </row>
    <row r="54495" spans="104:111">
      <c r="CZ54495" s="256"/>
      <c r="DG54495" s="256"/>
    </row>
    <row r="54496" spans="104:111">
      <c r="CZ54496" s="256"/>
      <c r="DG54496" s="256"/>
    </row>
    <row r="54497" spans="104:111">
      <c r="CZ54497" s="256"/>
      <c r="DG54497" s="256"/>
    </row>
    <row r="54498" spans="104:111">
      <c r="CZ54498" s="256"/>
      <c r="DG54498" s="256"/>
    </row>
    <row r="54499" spans="104:111">
      <c r="CZ54499" s="256"/>
      <c r="DG54499" s="256"/>
    </row>
    <row r="54500" spans="104:111">
      <c r="CZ54500" s="256"/>
      <c r="DG54500" s="256"/>
    </row>
    <row r="54501" spans="104:111">
      <c r="CZ54501" s="256"/>
      <c r="DG54501" s="256"/>
    </row>
    <row r="54502" spans="104:111">
      <c r="CZ54502" s="256"/>
      <c r="DG54502" s="256"/>
    </row>
    <row r="54503" spans="104:111">
      <c r="CZ54503" s="256"/>
      <c r="DG54503" s="256"/>
    </row>
    <row r="54504" spans="104:111">
      <c r="CZ54504" s="256"/>
      <c r="DG54504" s="256"/>
    </row>
    <row r="54505" spans="104:111">
      <c r="CZ54505" s="256"/>
      <c r="DG54505" s="256"/>
    </row>
    <row r="54506" spans="104:111">
      <c r="CZ54506" s="256"/>
      <c r="DG54506" s="256"/>
    </row>
    <row r="54507" spans="104:111">
      <c r="CZ54507" s="256"/>
      <c r="DG54507" s="256"/>
    </row>
    <row r="54508" spans="104:111">
      <c r="CZ54508" s="256"/>
      <c r="DG54508" s="256"/>
    </row>
    <row r="54509" spans="104:111">
      <c r="CZ54509" s="256"/>
      <c r="DG54509" s="256"/>
    </row>
    <row r="54510" spans="104:111">
      <c r="CZ54510" s="256"/>
      <c r="DG54510" s="256"/>
    </row>
    <row r="54511" spans="104:111">
      <c r="CZ54511" s="256"/>
      <c r="DG54511" s="256"/>
    </row>
    <row r="54512" spans="104:111">
      <c r="CZ54512" s="256"/>
      <c r="DG54512" s="256"/>
    </row>
    <row r="54513" spans="104:111">
      <c r="CZ54513" s="256"/>
      <c r="DG54513" s="256"/>
    </row>
    <row r="54514" spans="104:111">
      <c r="CZ54514" s="256"/>
      <c r="DG54514" s="256"/>
    </row>
    <row r="54515" spans="104:111">
      <c r="CZ54515" s="256"/>
      <c r="DG54515" s="256"/>
    </row>
    <row r="54516" spans="104:111">
      <c r="CZ54516" s="256"/>
      <c r="DG54516" s="256"/>
    </row>
    <row r="54517" spans="104:111">
      <c r="CZ54517" s="256"/>
      <c r="DG54517" s="256"/>
    </row>
    <row r="54518" spans="104:111">
      <c r="CZ54518" s="256"/>
      <c r="DG54518" s="256"/>
    </row>
    <row r="54519" spans="104:111">
      <c r="CZ54519" s="256"/>
      <c r="DG54519" s="256"/>
    </row>
    <row r="54520" spans="104:111">
      <c r="CZ54520" s="256"/>
      <c r="DG54520" s="256"/>
    </row>
    <row r="54521" spans="104:111">
      <c r="CZ54521" s="256"/>
      <c r="DG54521" s="256"/>
    </row>
    <row r="54522" spans="104:111">
      <c r="CZ54522" s="256"/>
      <c r="DG54522" s="256"/>
    </row>
    <row r="54523" spans="104:111">
      <c r="CZ54523" s="256"/>
      <c r="DG54523" s="256"/>
    </row>
    <row r="54524" spans="104:111">
      <c r="CZ54524" s="256"/>
      <c r="DG54524" s="256"/>
    </row>
    <row r="54525" spans="104:111">
      <c r="CZ54525" s="256"/>
      <c r="DG54525" s="256"/>
    </row>
    <row r="54526" spans="104:111">
      <c r="CZ54526" s="256"/>
      <c r="DG54526" s="256"/>
    </row>
    <row r="54527" spans="104:111">
      <c r="CZ54527" s="256"/>
      <c r="DG54527" s="256"/>
    </row>
    <row r="54528" spans="104:111">
      <c r="CZ54528" s="256"/>
      <c r="DG54528" s="256"/>
    </row>
    <row r="54529" spans="104:111">
      <c r="CZ54529" s="256"/>
      <c r="DG54529" s="256"/>
    </row>
    <row r="54530" spans="104:111">
      <c r="CZ54530" s="256"/>
      <c r="DG54530" s="256"/>
    </row>
    <row r="54531" spans="104:111">
      <c r="CZ54531" s="256"/>
      <c r="DG54531" s="256"/>
    </row>
    <row r="54532" spans="104:111">
      <c r="CZ54532" s="256"/>
      <c r="DG54532" s="256"/>
    </row>
    <row r="54533" spans="104:111">
      <c r="CZ54533" s="256"/>
      <c r="DG54533" s="256"/>
    </row>
    <row r="54534" spans="104:111">
      <c r="CZ54534" s="256"/>
      <c r="DG54534" s="256"/>
    </row>
    <row r="54535" spans="104:111">
      <c r="CZ54535" s="256"/>
      <c r="DG54535" s="256"/>
    </row>
    <row r="54536" spans="104:111">
      <c r="CZ54536" s="256"/>
      <c r="DG54536" s="256"/>
    </row>
    <row r="54537" spans="104:111">
      <c r="CZ54537" s="256"/>
      <c r="DG54537" s="256"/>
    </row>
    <row r="54538" spans="104:111">
      <c r="CZ54538" s="256"/>
      <c r="DG54538" s="256"/>
    </row>
    <row r="54539" spans="104:111">
      <c r="CZ54539" s="256"/>
      <c r="DG54539" s="256"/>
    </row>
    <row r="54540" spans="104:111">
      <c r="CZ54540" s="256"/>
      <c r="DG54540" s="256"/>
    </row>
    <row r="54541" spans="104:111">
      <c r="CZ54541" s="256"/>
      <c r="DG54541" s="256"/>
    </row>
    <row r="54542" spans="104:111">
      <c r="CZ54542" s="256"/>
      <c r="DG54542" s="256"/>
    </row>
    <row r="54543" spans="104:111">
      <c r="CZ54543" s="256"/>
      <c r="DG54543" s="256"/>
    </row>
    <row r="54544" spans="104:111">
      <c r="CZ54544" s="256"/>
      <c r="DG54544" s="256"/>
    </row>
    <row r="54545" spans="104:111">
      <c r="CZ54545" s="256"/>
      <c r="DG54545" s="256"/>
    </row>
    <row r="54546" spans="104:111">
      <c r="CZ54546" s="256"/>
      <c r="DG54546" s="256"/>
    </row>
    <row r="54547" spans="104:111">
      <c r="CZ54547" s="256"/>
      <c r="DG54547" s="256"/>
    </row>
    <row r="54548" spans="104:111">
      <c r="CZ54548" s="256"/>
      <c r="DG54548" s="256"/>
    </row>
    <row r="54549" spans="104:111">
      <c r="CZ54549" s="256"/>
      <c r="DG54549" s="256"/>
    </row>
    <row r="54550" spans="104:111">
      <c r="CZ54550" s="256"/>
      <c r="DG54550" s="256"/>
    </row>
    <row r="54551" spans="104:111">
      <c r="CZ54551" s="256"/>
      <c r="DG54551" s="256"/>
    </row>
    <row r="54552" spans="104:111">
      <c r="CZ54552" s="256"/>
      <c r="DG54552" s="256"/>
    </row>
    <row r="54553" spans="104:111">
      <c r="CZ54553" s="256"/>
      <c r="DG54553" s="256"/>
    </row>
    <row r="54554" spans="104:111">
      <c r="CZ54554" s="256"/>
      <c r="DG54554" s="256"/>
    </row>
    <row r="54555" spans="104:111">
      <c r="CZ54555" s="256"/>
      <c r="DG54555" s="256"/>
    </row>
    <row r="54556" spans="104:111">
      <c r="CZ54556" s="256"/>
      <c r="DG54556" s="256"/>
    </row>
    <row r="54557" spans="104:111">
      <c r="CZ54557" s="256"/>
      <c r="DG54557" s="256"/>
    </row>
    <row r="54558" spans="104:111">
      <c r="CZ54558" s="256"/>
      <c r="DG54558" s="256"/>
    </row>
    <row r="54559" spans="104:111">
      <c r="CZ54559" s="256"/>
      <c r="DG54559" s="256"/>
    </row>
    <row r="54560" spans="104:111">
      <c r="CZ54560" s="256"/>
      <c r="DG54560" s="256"/>
    </row>
    <row r="54561" spans="104:111">
      <c r="CZ54561" s="256"/>
      <c r="DG54561" s="256"/>
    </row>
    <row r="54562" spans="104:111">
      <c r="CZ54562" s="256"/>
      <c r="DG54562" s="256"/>
    </row>
    <row r="54563" spans="104:111">
      <c r="CZ54563" s="256"/>
      <c r="DG54563" s="256"/>
    </row>
    <row r="54564" spans="104:111">
      <c r="CZ54564" s="256"/>
      <c r="DG54564" s="256"/>
    </row>
    <row r="54565" spans="104:111">
      <c r="CZ54565" s="256"/>
      <c r="DG54565" s="256"/>
    </row>
    <row r="54566" spans="104:111">
      <c r="CZ54566" s="256"/>
      <c r="DG54566" s="256"/>
    </row>
    <row r="54567" spans="104:111">
      <c r="CZ54567" s="256"/>
      <c r="DG54567" s="256"/>
    </row>
    <row r="54568" spans="104:111">
      <c r="CZ54568" s="256"/>
      <c r="DG54568" s="256"/>
    </row>
    <row r="54569" spans="104:111">
      <c r="CZ54569" s="256"/>
      <c r="DG54569" s="256"/>
    </row>
    <row r="54570" spans="104:111">
      <c r="CZ54570" s="256"/>
      <c r="DG54570" s="256"/>
    </row>
    <row r="54571" spans="104:111">
      <c r="CZ54571" s="256"/>
      <c r="DG54571" s="256"/>
    </row>
    <row r="54572" spans="104:111">
      <c r="CZ54572" s="256"/>
      <c r="DG54572" s="256"/>
    </row>
    <row r="54573" spans="104:111">
      <c r="CZ54573" s="256"/>
      <c r="DG54573" s="256"/>
    </row>
    <row r="54574" spans="104:111">
      <c r="CZ54574" s="256"/>
      <c r="DG54574" s="256"/>
    </row>
    <row r="54575" spans="104:111">
      <c r="CZ54575" s="256"/>
      <c r="DG54575" s="256"/>
    </row>
    <row r="54576" spans="104:111">
      <c r="CZ54576" s="256"/>
      <c r="DG54576" s="256"/>
    </row>
    <row r="54577" spans="104:111">
      <c r="CZ54577" s="256"/>
      <c r="DG54577" s="256"/>
    </row>
    <row r="54578" spans="104:111">
      <c r="CZ54578" s="256"/>
      <c r="DG54578" s="256"/>
    </row>
    <row r="54579" spans="104:111">
      <c r="CZ54579" s="256"/>
      <c r="DG54579" s="256"/>
    </row>
    <row r="54580" spans="104:111">
      <c r="CZ54580" s="256"/>
      <c r="DG54580" s="256"/>
    </row>
    <row r="54581" spans="104:111">
      <c r="CZ54581" s="256"/>
      <c r="DG54581" s="256"/>
    </row>
    <row r="54582" spans="104:111">
      <c r="CZ54582" s="256"/>
      <c r="DG54582" s="256"/>
    </row>
    <row r="54583" spans="104:111">
      <c r="CZ54583" s="256"/>
      <c r="DG54583" s="256"/>
    </row>
    <row r="54584" spans="104:111">
      <c r="CZ54584" s="256"/>
      <c r="DG54584" s="256"/>
    </row>
    <row r="54585" spans="104:111">
      <c r="CZ54585" s="256"/>
      <c r="DG54585" s="256"/>
    </row>
    <row r="54586" spans="104:111">
      <c r="CZ54586" s="256"/>
      <c r="DG54586" s="256"/>
    </row>
    <row r="54587" spans="104:111">
      <c r="CZ54587" s="256"/>
      <c r="DG54587" s="256"/>
    </row>
    <row r="54588" spans="104:111">
      <c r="CZ54588" s="256"/>
      <c r="DG54588" s="256"/>
    </row>
    <row r="54589" spans="104:111">
      <c r="CZ54589" s="256"/>
      <c r="DG54589" s="256"/>
    </row>
    <row r="54590" spans="104:111">
      <c r="CZ54590" s="256"/>
      <c r="DG54590" s="256"/>
    </row>
    <row r="54591" spans="104:111">
      <c r="CZ54591" s="256"/>
      <c r="DG54591" s="256"/>
    </row>
    <row r="54592" spans="104:111">
      <c r="CZ54592" s="256"/>
      <c r="DG54592" s="256"/>
    </row>
    <row r="54593" spans="104:111">
      <c r="CZ54593" s="256"/>
      <c r="DG54593" s="256"/>
    </row>
    <row r="54594" spans="104:111">
      <c r="CZ54594" s="256"/>
      <c r="DG54594" s="256"/>
    </row>
    <row r="54595" spans="104:111">
      <c r="CZ54595" s="256"/>
      <c r="DG54595" s="256"/>
    </row>
    <row r="54596" spans="104:111">
      <c r="CZ54596" s="256"/>
      <c r="DG54596" s="256"/>
    </row>
    <row r="54597" spans="104:111">
      <c r="CZ54597" s="256"/>
      <c r="DG54597" s="256"/>
    </row>
    <row r="54598" spans="104:111">
      <c r="CZ54598" s="256"/>
      <c r="DG54598" s="256"/>
    </row>
    <row r="54599" spans="104:111">
      <c r="CZ54599" s="256"/>
      <c r="DG54599" s="256"/>
    </row>
    <row r="54600" spans="104:111">
      <c r="CZ54600" s="256"/>
      <c r="DG54600" s="256"/>
    </row>
    <row r="54601" spans="104:111">
      <c r="CZ54601" s="256"/>
      <c r="DG54601" s="256"/>
    </row>
    <row r="54602" spans="104:111">
      <c r="CZ54602" s="256"/>
      <c r="DG54602" s="256"/>
    </row>
    <row r="54603" spans="104:111">
      <c r="CZ54603" s="256"/>
      <c r="DG54603" s="256"/>
    </row>
    <row r="54604" spans="104:111">
      <c r="CZ54604" s="256"/>
      <c r="DG54604" s="256"/>
    </row>
    <row r="54605" spans="104:111">
      <c r="CZ54605" s="256"/>
      <c r="DG54605" s="256"/>
    </row>
    <row r="54606" spans="104:111">
      <c r="CZ54606" s="256"/>
      <c r="DG54606" s="256"/>
    </row>
    <row r="54607" spans="104:111">
      <c r="CZ54607" s="256"/>
      <c r="DG54607" s="256"/>
    </row>
    <row r="54608" spans="104:111">
      <c r="CZ54608" s="256"/>
      <c r="DG54608" s="256"/>
    </row>
    <row r="54609" spans="104:111">
      <c r="CZ54609" s="256"/>
      <c r="DG54609" s="256"/>
    </row>
    <row r="54610" spans="104:111">
      <c r="CZ54610" s="256"/>
      <c r="DG54610" s="256"/>
    </row>
    <row r="54611" spans="104:111">
      <c r="CZ54611" s="256"/>
      <c r="DG54611" s="256"/>
    </row>
    <row r="54612" spans="104:111">
      <c r="CZ54612" s="256"/>
      <c r="DG54612" s="256"/>
    </row>
    <row r="54613" spans="104:111">
      <c r="CZ54613" s="256"/>
      <c r="DG54613" s="256"/>
    </row>
    <row r="54614" spans="104:111">
      <c r="CZ54614" s="256"/>
      <c r="DG54614" s="256"/>
    </row>
    <row r="54615" spans="104:111">
      <c r="CZ54615" s="256"/>
      <c r="DG54615" s="256"/>
    </row>
    <row r="54616" spans="104:111">
      <c r="CZ54616" s="256"/>
      <c r="DG54616" s="256"/>
    </row>
    <row r="54617" spans="104:111">
      <c r="CZ54617" s="256"/>
      <c r="DG54617" s="256"/>
    </row>
    <row r="54618" spans="104:111">
      <c r="CZ54618" s="256"/>
      <c r="DG54618" s="256"/>
    </row>
    <row r="54619" spans="104:111">
      <c r="CZ54619" s="256"/>
      <c r="DG54619" s="256"/>
    </row>
    <row r="54620" spans="104:111">
      <c r="CZ54620" s="256"/>
      <c r="DG54620" s="256"/>
    </row>
    <row r="54621" spans="104:111">
      <c r="CZ54621" s="256"/>
      <c r="DG54621" s="256"/>
    </row>
    <row r="54622" spans="104:111">
      <c r="CZ54622" s="256"/>
      <c r="DG54622" s="256"/>
    </row>
    <row r="54623" spans="104:111">
      <c r="CZ54623" s="256"/>
      <c r="DG54623" s="256"/>
    </row>
    <row r="54624" spans="104:111">
      <c r="CZ54624" s="256"/>
      <c r="DG54624" s="256"/>
    </row>
    <row r="54625" spans="104:111">
      <c r="CZ54625" s="256"/>
      <c r="DG54625" s="256"/>
    </row>
    <row r="54626" spans="104:111">
      <c r="CZ54626" s="256"/>
      <c r="DG54626" s="256"/>
    </row>
    <row r="54627" spans="104:111">
      <c r="CZ54627" s="256"/>
      <c r="DG54627" s="256"/>
    </row>
    <row r="54628" spans="104:111">
      <c r="CZ54628" s="256"/>
      <c r="DG54628" s="256"/>
    </row>
    <row r="54629" spans="104:111">
      <c r="CZ54629" s="256"/>
      <c r="DG54629" s="256"/>
    </row>
    <row r="54630" spans="104:111">
      <c r="CZ54630" s="256"/>
      <c r="DG54630" s="256"/>
    </row>
    <row r="54631" spans="104:111">
      <c r="CZ54631" s="256"/>
      <c r="DG54631" s="256"/>
    </row>
    <row r="54632" spans="104:111">
      <c r="CZ54632" s="256"/>
      <c r="DG54632" s="256"/>
    </row>
    <row r="54633" spans="104:111">
      <c r="CZ54633" s="256"/>
      <c r="DG54633" s="256"/>
    </row>
    <row r="54634" spans="104:111">
      <c r="CZ54634" s="256"/>
      <c r="DG54634" s="256"/>
    </row>
    <row r="54635" spans="104:111">
      <c r="CZ54635" s="256"/>
      <c r="DG54635" s="256"/>
    </row>
    <row r="54636" spans="104:111">
      <c r="CZ54636" s="256"/>
      <c r="DG54636" s="256"/>
    </row>
    <row r="54637" spans="104:111">
      <c r="CZ54637" s="256"/>
      <c r="DG54637" s="256"/>
    </row>
    <row r="54638" spans="104:111">
      <c r="CZ54638" s="256"/>
      <c r="DG54638" s="256"/>
    </row>
    <row r="54639" spans="104:111">
      <c r="CZ54639" s="256"/>
      <c r="DG54639" s="256"/>
    </row>
    <row r="54640" spans="104:111">
      <c r="CZ54640" s="256"/>
      <c r="DG54640" s="256"/>
    </row>
    <row r="54641" spans="104:111">
      <c r="CZ54641" s="256"/>
      <c r="DG54641" s="256"/>
    </row>
    <row r="54642" spans="104:111">
      <c r="CZ54642" s="256"/>
      <c r="DG54642" s="256"/>
    </row>
    <row r="54643" spans="104:111">
      <c r="CZ54643" s="256"/>
      <c r="DG54643" s="256"/>
    </row>
    <row r="54644" spans="104:111">
      <c r="CZ54644" s="256"/>
      <c r="DG54644" s="256"/>
    </row>
    <row r="54645" spans="104:111">
      <c r="CZ54645" s="256"/>
      <c r="DG54645" s="256"/>
    </row>
    <row r="54646" spans="104:111">
      <c r="CZ54646" s="256"/>
      <c r="DG54646" s="256"/>
    </row>
    <row r="54647" spans="104:111">
      <c r="CZ54647" s="256"/>
      <c r="DG54647" s="256"/>
    </row>
    <row r="54648" spans="104:111">
      <c r="CZ54648" s="256"/>
      <c r="DG54648" s="256"/>
    </row>
    <row r="54649" spans="104:111">
      <c r="CZ54649" s="256"/>
      <c r="DG54649" s="256"/>
    </row>
    <row r="54650" spans="104:111">
      <c r="CZ54650" s="256"/>
      <c r="DG54650" s="256"/>
    </row>
    <row r="54651" spans="104:111">
      <c r="CZ54651" s="256"/>
      <c r="DG54651" s="256"/>
    </row>
    <row r="54652" spans="104:111">
      <c r="CZ54652" s="256"/>
      <c r="DG54652" s="256"/>
    </row>
    <row r="54653" spans="104:111">
      <c r="CZ54653" s="256"/>
      <c r="DG54653" s="256"/>
    </row>
    <row r="54654" spans="104:111">
      <c r="CZ54654" s="256"/>
      <c r="DG54654" s="256"/>
    </row>
    <row r="54655" spans="104:111">
      <c r="CZ54655" s="256"/>
      <c r="DG54655" s="256"/>
    </row>
    <row r="54656" spans="104:111">
      <c r="CZ54656" s="256"/>
      <c r="DG54656" s="256"/>
    </row>
    <row r="54657" spans="104:111">
      <c r="CZ54657" s="256"/>
      <c r="DG54657" s="256"/>
    </row>
    <row r="54658" spans="104:111">
      <c r="CZ54658" s="256"/>
      <c r="DG54658" s="256"/>
    </row>
    <row r="54659" spans="104:111">
      <c r="CZ54659" s="256"/>
      <c r="DG54659" s="256"/>
    </row>
    <row r="54660" spans="104:111">
      <c r="CZ54660" s="256"/>
      <c r="DG54660" s="256"/>
    </row>
    <row r="54661" spans="104:111">
      <c r="CZ54661" s="256"/>
      <c r="DG54661" s="256"/>
    </row>
    <row r="54662" spans="104:111">
      <c r="CZ54662" s="256"/>
      <c r="DG54662" s="256"/>
    </row>
    <row r="54663" spans="104:111">
      <c r="CZ54663" s="256"/>
      <c r="DG54663" s="256"/>
    </row>
    <row r="54664" spans="104:111">
      <c r="CZ54664" s="256"/>
      <c r="DG54664" s="256"/>
    </row>
    <row r="54665" spans="104:111">
      <c r="CZ54665" s="256"/>
      <c r="DG54665" s="256"/>
    </row>
    <row r="54666" spans="104:111">
      <c r="CZ54666" s="256"/>
      <c r="DG54666" s="256"/>
    </row>
    <row r="54667" spans="104:111">
      <c r="CZ54667" s="256"/>
      <c r="DG54667" s="256"/>
    </row>
    <row r="54668" spans="104:111">
      <c r="CZ54668" s="256"/>
      <c r="DG54668" s="256"/>
    </row>
    <row r="54669" spans="104:111">
      <c r="CZ54669" s="256"/>
      <c r="DG54669" s="256"/>
    </row>
    <row r="54670" spans="104:111">
      <c r="CZ54670" s="256"/>
      <c r="DG54670" s="256"/>
    </row>
    <row r="54671" spans="104:111">
      <c r="CZ54671" s="256"/>
      <c r="DG54671" s="256"/>
    </row>
    <row r="54672" spans="104:111">
      <c r="CZ54672" s="256"/>
      <c r="DG54672" s="256"/>
    </row>
    <row r="54673" spans="104:111">
      <c r="CZ54673" s="256"/>
      <c r="DG54673" s="256"/>
    </row>
    <row r="54674" spans="104:111">
      <c r="CZ54674" s="256"/>
      <c r="DG54674" s="256"/>
    </row>
    <row r="54675" spans="104:111">
      <c r="CZ54675" s="256"/>
      <c r="DG54675" s="256"/>
    </row>
    <row r="54676" spans="104:111">
      <c r="CZ54676" s="256"/>
      <c r="DG54676" s="256"/>
    </row>
    <row r="54677" spans="104:111">
      <c r="CZ54677" s="256"/>
      <c r="DG54677" s="256"/>
    </row>
    <row r="54678" spans="104:111">
      <c r="CZ54678" s="256"/>
      <c r="DG54678" s="256"/>
    </row>
    <row r="54679" spans="104:111">
      <c r="CZ54679" s="256"/>
      <c r="DG54679" s="256"/>
    </row>
    <row r="54680" spans="104:111">
      <c r="CZ54680" s="256"/>
      <c r="DG54680" s="256"/>
    </row>
    <row r="54681" spans="104:111">
      <c r="CZ54681" s="256"/>
      <c r="DG54681" s="256"/>
    </row>
    <row r="54682" spans="104:111">
      <c r="CZ54682" s="256"/>
      <c r="DG54682" s="256"/>
    </row>
    <row r="54683" spans="104:111">
      <c r="CZ54683" s="256"/>
      <c r="DG54683" s="256"/>
    </row>
    <row r="54684" spans="104:111">
      <c r="CZ54684" s="256"/>
      <c r="DG54684" s="256"/>
    </row>
    <row r="54685" spans="104:111">
      <c r="CZ54685" s="256"/>
      <c r="DG54685" s="256"/>
    </row>
    <row r="54686" spans="104:111">
      <c r="CZ54686" s="256"/>
      <c r="DG54686" s="256"/>
    </row>
    <row r="54687" spans="104:111">
      <c r="CZ54687" s="256"/>
      <c r="DG54687" s="256"/>
    </row>
    <row r="54688" spans="104:111">
      <c r="CZ54688" s="256"/>
      <c r="DG54688" s="256"/>
    </row>
    <row r="54689" spans="104:111">
      <c r="CZ54689" s="256"/>
      <c r="DG54689" s="256"/>
    </row>
    <row r="54690" spans="104:111">
      <c r="CZ54690" s="256"/>
      <c r="DG54690" s="256"/>
    </row>
    <row r="54691" spans="104:111">
      <c r="CZ54691" s="256"/>
      <c r="DG54691" s="256"/>
    </row>
    <row r="54692" spans="104:111">
      <c r="CZ54692" s="256"/>
      <c r="DG54692" s="256"/>
    </row>
    <row r="54693" spans="104:111">
      <c r="CZ54693" s="256"/>
      <c r="DG54693" s="256"/>
    </row>
    <row r="54694" spans="104:111">
      <c r="CZ54694" s="256"/>
      <c r="DG54694" s="256"/>
    </row>
    <row r="54695" spans="104:111">
      <c r="CZ54695" s="256"/>
      <c r="DG54695" s="256"/>
    </row>
    <row r="54696" spans="104:111">
      <c r="CZ54696" s="256"/>
      <c r="DG54696" s="256"/>
    </row>
    <row r="54697" spans="104:111">
      <c r="CZ54697" s="256"/>
      <c r="DG54697" s="256"/>
    </row>
    <row r="54698" spans="104:111">
      <c r="CZ54698" s="256"/>
      <c r="DG54698" s="256"/>
    </row>
    <row r="54699" spans="104:111">
      <c r="CZ54699" s="256"/>
      <c r="DG54699" s="256"/>
    </row>
    <row r="54700" spans="104:111">
      <c r="CZ54700" s="256"/>
      <c r="DG54700" s="256"/>
    </row>
    <row r="54701" spans="104:111">
      <c r="CZ54701" s="256"/>
      <c r="DG54701" s="256"/>
    </row>
    <row r="54702" spans="104:111">
      <c r="CZ54702" s="256"/>
      <c r="DG54702" s="256"/>
    </row>
    <row r="54703" spans="104:111">
      <c r="CZ54703" s="256"/>
      <c r="DG54703" s="256"/>
    </row>
    <row r="54704" spans="104:111">
      <c r="CZ54704" s="256"/>
      <c r="DG54704" s="256"/>
    </row>
    <row r="54705" spans="104:111">
      <c r="CZ54705" s="256"/>
      <c r="DG54705" s="256"/>
    </row>
    <row r="54706" spans="104:111">
      <c r="CZ54706" s="256"/>
      <c r="DG54706" s="256"/>
    </row>
    <row r="54707" spans="104:111">
      <c r="CZ54707" s="256"/>
      <c r="DG54707" s="256"/>
    </row>
    <row r="54708" spans="104:111">
      <c r="CZ54708" s="256"/>
      <c r="DG54708" s="256"/>
    </row>
    <row r="54709" spans="104:111">
      <c r="CZ54709" s="256"/>
      <c r="DG54709" s="256"/>
    </row>
    <row r="54710" spans="104:111">
      <c r="CZ54710" s="256"/>
      <c r="DG54710" s="256"/>
    </row>
    <row r="54711" spans="104:111">
      <c r="CZ54711" s="256"/>
      <c r="DG54711" s="256"/>
    </row>
    <row r="54712" spans="104:111">
      <c r="CZ54712" s="256"/>
      <c r="DG54712" s="256"/>
    </row>
    <row r="54713" spans="104:111">
      <c r="CZ54713" s="256"/>
      <c r="DG54713" s="256"/>
    </row>
    <row r="54714" spans="104:111">
      <c r="CZ54714" s="256"/>
      <c r="DG54714" s="256"/>
    </row>
    <row r="54715" spans="104:111">
      <c r="CZ54715" s="256"/>
      <c r="DG54715" s="256"/>
    </row>
    <row r="54716" spans="104:111">
      <c r="CZ54716" s="256"/>
      <c r="DG54716" s="256"/>
    </row>
    <row r="54717" spans="104:111">
      <c r="CZ54717" s="256"/>
      <c r="DG54717" s="256"/>
    </row>
    <row r="54718" spans="104:111">
      <c r="CZ54718" s="256"/>
      <c r="DG54718" s="256"/>
    </row>
    <row r="54719" spans="104:111">
      <c r="CZ54719" s="256"/>
      <c r="DG54719" s="256"/>
    </row>
    <row r="54720" spans="104:111">
      <c r="CZ54720" s="256"/>
      <c r="DG54720" s="256"/>
    </row>
    <row r="54721" spans="104:111">
      <c r="CZ54721" s="256"/>
      <c r="DG54721" s="256"/>
    </row>
    <row r="54722" spans="104:111">
      <c r="CZ54722" s="256"/>
      <c r="DG54722" s="256"/>
    </row>
    <row r="54723" spans="104:111">
      <c r="CZ54723" s="256"/>
      <c r="DG54723" s="256"/>
    </row>
    <row r="54724" spans="104:111">
      <c r="CZ54724" s="256"/>
      <c r="DG54724" s="256"/>
    </row>
    <row r="54725" spans="104:111">
      <c r="CZ54725" s="256"/>
      <c r="DG54725" s="256"/>
    </row>
    <row r="54726" spans="104:111">
      <c r="CZ54726" s="256"/>
      <c r="DG54726" s="256"/>
    </row>
    <row r="54727" spans="104:111">
      <c r="CZ54727" s="256"/>
      <c r="DG54727" s="256"/>
    </row>
    <row r="54728" spans="104:111">
      <c r="CZ54728" s="256"/>
      <c r="DG54728" s="256"/>
    </row>
    <row r="54729" spans="104:111">
      <c r="CZ54729" s="256"/>
      <c r="DG54729" s="256"/>
    </row>
    <row r="54730" spans="104:111">
      <c r="CZ54730" s="256"/>
      <c r="DG54730" s="256"/>
    </row>
    <row r="54731" spans="104:111">
      <c r="CZ54731" s="256"/>
      <c r="DG54731" s="256"/>
    </row>
    <row r="54732" spans="104:111">
      <c r="CZ54732" s="256"/>
      <c r="DG54732" s="256"/>
    </row>
    <row r="54733" spans="104:111">
      <c r="CZ54733" s="256"/>
      <c r="DG54733" s="256"/>
    </row>
    <row r="54734" spans="104:111">
      <c r="CZ54734" s="256"/>
      <c r="DG54734" s="256"/>
    </row>
    <row r="54735" spans="104:111">
      <c r="CZ54735" s="256"/>
      <c r="DG54735" s="256"/>
    </row>
    <row r="54736" spans="104:111">
      <c r="CZ54736" s="256"/>
      <c r="DG54736" s="256"/>
    </row>
    <row r="54737" spans="104:111">
      <c r="CZ54737" s="256"/>
      <c r="DG54737" s="256"/>
    </row>
    <row r="54738" spans="104:111">
      <c r="CZ54738" s="256"/>
      <c r="DG54738" s="256"/>
    </row>
    <row r="54739" spans="104:111">
      <c r="CZ54739" s="256"/>
      <c r="DG54739" s="256"/>
    </row>
    <row r="54740" spans="104:111">
      <c r="CZ54740" s="256"/>
      <c r="DG54740" s="256"/>
    </row>
    <row r="54741" spans="104:111">
      <c r="CZ54741" s="256"/>
      <c r="DG54741" s="256"/>
    </row>
    <row r="54742" spans="104:111">
      <c r="CZ54742" s="256"/>
      <c r="DG54742" s="256"/>
    </row>
    <row r="54743" spans="104:111">
      <c r="CZ54743" s="256"/>
      <c r="DG54743" s="256"/>
    </row>
    <row r="54744" spans="104:111">
      <c r="CZ54744" s="256"/>
      <c r="DG54744" s="256"/>
    </row>
    <row r="54745" spans="104:111">
      <c r="CZ54745" s="256"/>
      <c r="DG54745" s="256"/>
    </row>
    <row r="54746" spans="104:111">
      <c r="CZ54746" s="256"/>
      <c r="DG54746" s="256"/>
    </row>
    <row r="54747" spans="104:111">
      <c r="CZ54747" s="256"/>
      <c r="DG54747" s="256"/>
    </row>
    <row r="54748" spans="104:111">
      <c r="CZ54748" s="256"/>
      <c r="DG54748" s="256"/>
    </row>
    <row r="54749" spans="104:111">
      <c r="CZ54749" s="256"/>
      <c r="DG54749" s="256"/>
    </row>
    <row r="54750" spans="104:111">
      <c r="CZ54750" s="256"/>
      <c r="DG54750" s="256"/>
    </row>
    <row r="54751" spans="104:111">
      <c r="CZ54751" s="256"/>
      <c r="DG54751" s="256"/>
    </row>
    <row r="54752" spans="104:111">
      <c r="CZ54752" s="256"/>
      <c r="DG54752" s="256"/>
    </row>
    <row r="54753" spans="104:111">
      <c r="CZ54753" s="256"/>
      <c r="DG54753" s="256"/>
    </row>
    <row r="54754" spans="104:111">
      <c r="CZ54754" s="256"/>
      <c r="DG54754" s="256"/>
    </row>
    <row r="54755" spans="104:111">
      <c r="CZ54755" s="256"/>
      <c r="DG54755" s="256"/>
    </row>
    <row r="54756" spans="104:111">
      <c r="CZ54756" s="256"/>
      <c r="DG54756" s="256"/>
    </row>
    <row r="54757" spans="104:111">
      <c r="CZ54757" s="256"/>
      <c r="DG54757" s="256"/>
    </row>
    <row r="54758" spans="104:111">
      <c r="CZ54758" s="256"/>
      <c r="DG54758" s="256"/>
    </row>
    <row r="54759" spans="104:111">
      <c r="CZ54759" s="256"/>
      <c r="DG54759" s="256"/>
    </row>
    <row r="54760" spans="104:111">
      <c r="CZ54760" s="256"/>
      <c r="DG54760" s="256"/>
    </row>
    <row r="54761" spans="104:111">
      <c r="CZ54761" s="256"/>
      <c r="DG54761" s="256"/>
    </row>
    <row r="54762" spans="104:111">
      <c r="CZ54762" s="256"/>
      <c r="DG54762" s="256"/>
    </row>
    <row r="54763" spans="104:111">
      <c r="CZ54763" s="256"/>
      <c r="DG54763" s="256"/>
    </row>
    <row r="54764" spans="104:111">
      <c r="CZ54764" s="256"/>
      <c r="DG54764" s="256"/>
    </row>
    <row r="54765" spans="104:111">
      <c r="CZ54765" s="256"/>
      <c r="DG54765" s="256"/>
    </row>
    <row r="54766" spans="104:111">
      <c r="CZ54766" s="256"/>
      <c r="DG54766" s="256"/>
    </row>
    <row r="54767" spans="104:111">
      <c r="CZ54767" s="256"/>
      <c r="DG54767" s="256"/>
    </row>
    <row r="54768" spans="104:111">
      <c r="CZ54768" s="256"/>
      <c r="DG54768" s="256"/>
    </row>
    <row r="54769" spans="104:111">
      <c r="CZ54769" s="256"/>
      <c r="DG54769" s="256"/>
    </row>
    <row r="54770" spans="104:111">
      <c r="CZ54770" s="256"/>
      <c r="DG54770" s="256"/>
    </row>
    <row r="54771" spans="104:111">
      <c r="CZ54771" s="256"/>
      <c r="DG54771" s="256"/>
    </row>
    <row r="54772" spans="104:111">
      <c r="CZ54772" s="256"/>
      <c r="DG54772" s="256"/>
    </row>
    <row r="54773" spans="104:111">
      <c r="CZ54773" s="256"/>
      <c r="DG54773" s="256"/>
    </row>
    <row r="54774" spans="104:111">
      <c r="CZ54774" s="256"/>
      <c r="DG54774" s="256"/>
    </row>
    <row r="54775" spans="104:111">
      <c r="CZ54775" s="256"/>
      <c r="DG54775" s="256"/>
    </row>
    <row r="54776" spans="104:111">
      <c r="CZ54776" s="256"/>
      <c r="DG54776" s="256"/>
    </row>
    <row r="54777" spans="104:111">
      <c r="CZ54777" s="256"/>
      <c r="DG54777" s="256"/>
    </row>
    <row r="54778" spans="104:111">
      <c r="CZ54778" s="256"/>
      <c r="DG54778" s="256"/>
    </row>
    <row r="54779" spans="104:111">
      <c r="CZ54779" s="256"/>
      <c r="DG54779" s="256"/>
    </row>
    <row r="54780" spans="104:111">
      <c r="CZ54780" s="256"/>
      <c r="DG54780" s="256"/>
    </row>
    <row r="54781" spans="104:111">
      <c r="CZ54781" s="256"/>
      <c r="DG54781" s="256"/>
    </row>
    <row r="54782" spans="104:111">
      <c r="CZ54782" s="256"/>
      <c r="DG54782" s="256"/>
    </row>
    <row r="54783" spans="104:111">
      <c r="CZ54783" s="256"/>
      <c r="DG54783" s="256"/>
    </row>
    <row r="54784" spans="104:111">
      <c r="CZ54784" s="256"/>
      <c r="DG54784" s="256"/>
    </row>
    <row r="54785" spans="104:111">
      <c r="CZ54785" s="256"/>
      <c r="DG54785" s="256"/>
    </row>
    <row r="54786" spans="104:111">
      <c r="CZ54786" s="256"/>
      <c r="DG54786" s="256"/>
    </row>
    <row r="54787" spans="104:111">
      <c r="CZ54787" s="256"/>
      <c r="DG54787" s="256"/>
    </row>
    <row r="54788" spans="104:111">
      <c r="CZ54788" s="256"/>
      <c r="DG54788" s="256"/>
    </row>
    <row r="54789" spans="104:111">
      <c r="CZ54789" s="256"/>
      <c r="DG54789" s="256"/>
    </row>
    <row r="54790" spans="104:111">
      <c r="CZ54790" s="256"/>
      <c r="DG54790" s="256"/>
    </row>
    <row r="54791" spans="104:111">
      <c r="CZ54791" s="256"/>
      <c r="DG54791" s="256"/>
    </row>
    <row r="54792" spans="104:111">
      <c r="CZ54792" s="256"/>
      <c r="DG54792" s="256"/>
    </row>
    <row r="54793" spans="104:111">
      <c r="CZ54793" s="256"/>
      <c r="DG54793" s="256"/>
    </row>
    <row r="54794" spans="104:111">
      <c r="CZ54794" s="256"/>
      <c r="DG54794" s="256"/>
    </row>
    <row r="54795" spans="104:111">
      <c r="CZ54795" s="256"/>
      <c r="DG54795" s="256"/>
    </row>
    <row r="54796" spans="104:111">
      <c r="CZ54796" s="256"/>
      <c r="DG54796" s="256"/>
    </row>
    <row r="54797" spans="104:111">
      <c r="CZ54797" s="256"/>
      <c r="DG54797" s="256"/>
    </row>
    <row r="54798" spans="104:111">
      <c r="CZ54798" s="256"/>
      <c r="DG54798" s="256"/>
    </row>
    <row r="54799" spans="104:111">
      <c r="CZ54799" s="256"/>
      <c r="DG54799" s="256"/>
    </row>
    <row r="54800" spans="104:111">
      <c r="CZ54800" s="256"/>
      <c r="DG54800" s="256"/>
    </row>
    <row r="54801" spans="104:111">
      <c r="CZ54801" s="256"/>
      <c r="DG54801" s="256"/>
    </row>
    <row r="54802" spans="104:111">
      <c r="CZ54802" s="256"/>
      <c r="DG54802" s="256"/>
    </row>
    <row r="54803" spans="104:111">
      <c r="CZ54803" s="256"/>
      <c r="DG54803" s="256"/>
    </row>
    <row r="54804" spans="104:111">
      <c r="CZ54804" s="256"/>
      <c r="DG54804" s="256"/>
    </row>
    <row r="54805" spans="104:111">
      <c r="CZ54805" s="256"/>
      <c r="DG54805" s="256"/>
    </row>
    <row r="54806" spans="104:111">
      <c r="CZ54806" s="256"/>
      <c r="DG54806" s="256"/>
    </row>
    <row r="54807" spans="104:111">
      <c r="CZ54807" s="256"/>
      <c r="DG54807" s="256"/>
    </row>
    <row r="54808" spans="104:111">
      <c r="CZ54808" s="256"/>
      <c r="DG54808" s="256"/>
    </row>
    <row r="54809" spans="104:111">
      <c r="CZ54809" s="256"/>
      <c r="DG54809" s="256"/>
    </row>
    <row r="54810" spans="104:111">
      <c r="CZ54810" s="256"/>
      <c r="DG54810" s="256"/>
    </row>
    <row r="54811" spans="104:111">
      <c r="CZ54811" s="256"/>
      <c r="DG54811" s="256"/>
    </row>
    <row r="54812" spans="104:111">
      <c r="CZ54812" s="256"/>
      <c r="DG54812" s="256"/>
    </row>
    <row r="54813" spans="104:111">
      <c r="CZ54813" s="256"/>
      <c r="DG54813" s="256"/>
    </row>
    <row r="54814" spans="104:111">
      <c r="CZ54814" s="256"/>
      <c r="DG54814" s="256"/>
    </row>
    <row r="54815" spans="104:111">
      <c r="CZ54815" s="256"/>
      <c r="DG54815" s="256"/>
    </row>
    <row r="54816" spans="104:111">
      <c r="CZ54816" s="256"/>
      <c r="DG54816" s="256"/>
    </row>
    <row r="54817" spans="104:111">
      <c r="CZ54817" s="256"/>
      <c r="DG54817" s="256"/>
    </row>
    <row r="54818" spans="104:111">
      <c r="CZ54818" s="256"/>
      <c r="DG54818" s="256"/>
    </row>
    <row r="54819" spans="104:111">
      <c r="CZ54819" s="256"/>
      <c r="DG54819" s="256"/>
    </row>
    <row r="54820" spans="104:111">
      <c r="CZ54820" s="256"/>
      <c r="DG54820" s="256"/>
    </row>
    <row r="54821" spans="104:111">
      <c r="CZ54821" s="256"/>
      <c r="DG54821" s="256"/>
    </row>
    <row r="54822" spans="104:111">
      <c r="CZ54822" s="256"/>
      <c r="DG54822" s="256"/>
    </row>
    <row r="54823" spans="104:111">
      <c r="CZ54823" s="256"/>
      <c r="DG54823" s="256"/>
    </row>
    <row r="54824" spans="104:111">
      <c r="CZ54824" s="256"/>
      <c r="DG54824" s="256"/>
    </row>
    <row r="54825" spans="104:111">
      <c r="CZ54825" s="256"/>
      <c r="DG54825" s="256"/>
    </row>
    <row r="54826" spans="104:111">
      <c r="CZ54826" s="256"/>
      <c r="DG54826" s="256"/>
    </row>
    <row r="54827" spans="104:111">
      <c r="CZ54827" s="256"/>
      <c r="DG54827" s="256"/>
    </row>
    <row r="54828" spans="104:111">
      <c r="CZ54828" s="256"/>
      <c r="DG54828" s="256"/>
    </row>
    <row r="54829" spans="104:111">
      <c r="CZ54829" s="256"/>
      <c r="DG54829" s="256"/>
    </row>
    <row r="54830" spans="104:111">
      <c r="CZ54830" s="256"/>
      <c r="DG54830" s="256"/>
    </row>
    <row r="54831" spans="104:111">
      <c r="CZ54831" s="256"/>
      <c r="DG54831" s="256"/>
    </row>
    <row r="54832" spans="104:111">
      <c r="CZ54832" s="256"/>
      <c r="DG54832" s="256"/>
    </row>
    <row r="54833" spans="104:111">
      <c r="CZ54833" s="256"/>
      <c r="DG54833" s="256"/>
    </row>
    <row r="54834" spans="104:111">
      <c r="CZ54834" s="256"/>
      <c r="DG54834" s="256"/>
    </row>
    <row r="54835" spans="104:111">
      <c r="CZ54835" s="256"/>
      <c r="DG54835" s="256"/>
    </row>
    <row r="54836" spans="104:111">
      <c r="CZ54836" s="256"/>
      <c r="DG54836" s="256"/>
    </row>
    <row r="54837" spans="104:111">
      <c r="CZ54837" s="256"/>
      <c r="DG54837" s="256"/>
    </row>
    <row r="54838" spans="104:111">
      <c r="CZ54838" s="256"/>
      <c r="DG54838" s="256"/>
    </row>
    <row r="54839" spans="104:111">
      <c r="CZ54839" s="256"/>
      <c r="DG54839" s="256"/>
    </row>
    <row r="54840" spans="104:111">
      <c r="CZ54840" s="256"/>
      <c r="DG54840" s="256"/>
    </row>
    <row r="54841" spans="104:111">
      <c r="CZ54841" s="256"/>
      <c r="DG54841" s="256"/>
    </row>
    <row r="54842" spans="104:111">
      <c r="CZ54842" s="256"/>
      <c r="DG54842" s="256"/>
    </row>
    <row r="54843" spans="104:111">
      <c r="CZ54843" s="256"/>
      <c r="DG54843" s="256"/>
    </row>
    <row r="54844" spans="104:111">
      <c r="CZ54844" s="256"/>
      <c r="DG54844" s="256"/>
    </row>
    <row r="54845" spans="104:111">
      <c r="CZ54845" s="256"/>
      <c r="DG54845" s="256"/>
    </row>
    <row r="54846" spans="104:111">
      <c r="CZ54846" s="256"/>
      <c r="DG54846" s="256"/>
    </row>
    <row r="54847" spans="104:111">
      <c r="CZ54847" s="256"/>
      <c r="DG54847" s="256"/>
    </row>
    <row r="54848" spans="104:111">
      <c r="CZ54848" s="256"/>
      <c r="DG54848" s="256"/>
    </row>
    <row r="54849" spans="104:111">
      <c r="CZ54849" s="256"/>
      <c r="DG54849" s="256"/>
    </row>
    <row r="54850" spans="104:111">
      <c r="CZ54850" s="256"/>
      <c r="DG54850" s="256"/>
    </row>
    <row r="54851" spans="104:111">
      <c r="CZ54851" s="256"/>
      <c r="DG54851" s="256"/>
    </row>
    <row r="54852" spans="104:111">
      <c r="CZ54852" s="256"/>
      <c r="DG54852" s="256"/>
    </row>
    <row r="54853" spans="104:111">
      <c r="CZ54853" s="256"/>
      <c r="DG54853" s="256"/>
    </row>
    <row r="54854" spans="104:111">
      <c r="CZ54854" s="256"/>
      <c r="DG54854" s="256"/>
    </row>
    <row r="54855" spans="104:111">
      <c r="CZ54855" s="256"/>
      <c r="DG54855" s="256"/>
    </row>
    <row r="54856" spans="104:111">
      <c r="CZ54856" s="256"/>
      <c r="DG54856" s="256"/>
    </row>
    <row r="54857" spans="104:111">
      <c r="CZ54857" s="256"/>
      <c r="DG54857" s="256"/>
    </row>
    <row r="54858" spans="104:111">
      <c r="CZ54858" s="256"/>
      <c r="DG54858" s="256"/>
    </row>
    <row r="54859" spans="104:111">
      <c r="CZ54859" s="256"/>
      <c r="DG54859" s="256"/>
    </row>
    <row r="54860" spans="104:111">
      <c r="CZ54860" s="256"/>
      <c r="DG54860" s="256"/>
    </row>
    <row r="54861" spans="104:111">
      <c r="CZ54861" s="256"/>
      <c r="DG54861" s="256"/>
    </row>
    <row r="54862" spans="104:111">
      <c r="CZ54862" s="256"/>
      <c r="DG54862" s="256"/>
    </row>
    <row r="54863" spans="104:111">
      <c r="CZ54863" s="256"/>
      <c r="DG54863" s="256"/>
    </row>
    <row r="54864" spans="104:111">
      <c r="CZ54864" s="256"/>
      <c r="DG54864" s="256"/>
    </row>
    <row r="54865" spans="104:111">
      <c r="CZ54865" s="256"/>
      <c r="DG54865" s="256"/>
    </row>
    <row r="54866" spans="104:111">
      <c r="CZ54866" s="256"/>
      <c r="DG54866" s="256"/>
    </row>
    <row r="54867" spans="104:111">
      <c r="CZ54867" s="256"/>
      <c r="DG54867" s="256"/>
    </row>
    <row r="54868" spans="104:111">
      <c r="CZ54868" s="256"/>
      <c r="DG54868" s="256"/>
    </row>
    <row r="54869" spans="104:111">
      <c r="CZ54869" s="256"/>
      <c r="DG54869" s="256"/>
    </row>
    <row r="54870" spans="104:111">
      <c r="CZ54870" s="256"/>
      <c r="DG54870" s="256"/>
    </row>
    <row r="54871" spans="104:111">
      <c r="CZ54871" s="256"/>
      <c r="DG54871" s="256"/>
    </row>
    <row r="54872" spans="104:111">
      <c r="CZ54872" s="256"/>
      <c r="DG54872" s="256"/>
    </row>
    <row r="54873" spans="104:111">
      <c r="CZ54873" s="256"/>
      <c r="DG54873" s="256"/>
    </row>
    <row r="54874" spans="104:111">
      <c r="CZ54874" s="256"/>
      <c r="DG54874" s="256"/>
    </row>
    <row r="54875" spans="104:111">
      <c r="CZ54875" s="256"/>
      <c r="DG54875" s="256"/>
    </row>
    <row r="54876" spans="104:111">
      <c r="CZ54876" s="256"/>
      <c r="DG54876" s="256"/>
    </row>
    <row r="54877" spans="104:111">
      <c r="CZ54877" s="256"/>
      <c r="DG54877" s="256"/>
    </row>
    <row r="54878" spans="104:111">
      <c r="CZ54878" s="256"/>
      <c r="DG54878" s="256"/>
    </row>
    <row r="54879" spans="104:111">
      <c r="CZ54879" s="256"/>
      <c r="DG54879" s="256"/>
    </row>
    <row r="54880" spans="104:111">
      <c r="CZ54880" s="256"/>
      <c r="DG54880" s="256"/>
    </row>
    <row r="54881" spans="104:111">
      <c r="CZ54881" s="256"/>
      <c r="DG54881" s="256"/>
    </row>
    <row r="54882" spans="104:111">
      <c r="CZ54882" s="256"/>
      <c r="DG54882" s="256"/>
    </row>
    <row r="54883" spans="104:111">
      <c r="CZ54883" s="256"/>
      <c r="DG54883" s="256"/>
    </row>
    <row r="54884" spans="104:111">
      <c r="CZ54884" s="256"/>
      <c r="DG54884" s="256"/>
    </row>
    <row r="54885" spans="104:111">
      <c r="CZ54885" s="256"/>
      <c r="DG54885" s="256"/>
    </row>
    <row r="54886" spans="104:111">
      <c r="CZ54886" s="256"/>
      <c r="DG54886" s="256"/>
    </row>
    <row r="54887" spans="104:111">
      <c r="CZ54887" s="256"/>
      <c r="DG54887" s="256"/>
    </row>
    <row r="54888" spans="104:111">
      <c r="CZ54888" s="256"/>
      <c r="DG54888" s="256"/>
    </row>
    <row r="54889" spans="104:111">
      <c r="CZ54889" s="256"/>
      <c r="DG54889" s="256"/>
    </row>
    <row r="54890" spans="104:111">
      <c r="CZ54890" s="256"/>
      <c r="DG54890" s="256"/>
    </row>
    <row r="54891" spans="104:111">
      <c r="CZ54891" s="256"/>
      <c r="DG54891" s="256"/>
    </row>
    <row r="54892" spans="104:111">
      <c r="CZ54892" s="256"/>
      <c r="DG54892" s="256"/>
    </row>
    <row r="54893" spans="104:111">
      <c r="CZ54893" s="256"/>
      <c r="DG54893" s="256"/>
    </row>
    <row r="54894" spans="104:111">
      <c r="CZ54894" s="256"/>
      <c r="DG54894" s="256"/>
    </row>
    <row r="54895" spans="104:111">
      <c r="CZ54895" s="256"/>
      <c r="DG54895" s="256"/>
    </row>
    <row r="54896" spans="104:111">
      <c r="CZ54896" s="256"/>
      <c r="DG54896" s="256"/>
    </row>
    <row r="54897" spans="104:111">
      <c r="CZ54897" s="256"/>
      <c r="DG54897" s="256"/>
    </row>
    <row r="54898" spans="104:111">
      <c r="CZ54898" s="256"/>
      <c r="DG54898" s="256"/>
    </row>
    <row r="54899" spans="104:111">
      <c r="CZ54899" s="256"/>
      <c r="DG54899" s="256"/>
    </row>
    <row r="54900" spans="104:111">
      <c r="CZ54900" s="256"/>
      <c r="DG54900" s="256"/>
    </row>
    <row r="54901" spans="104:111">
      <c r="CZ54901" s="256"/>
      <c r="DG54901" s="256"/>
    </row>
    <row r="54902" spans="104:111">
      <c r="CZ54902" s="256"/>
      <c r="DG54902" s="256"/>
    </row>
    <row r="54903" spans="104:111">
      <c r="CZ54903" s="256"/>
      <c r="DG54903" s="256"/>
    </row>
    <row r="54904" spans="104:111">
      <c r="CZ54904" s="256"/>
      <c r="DG54904" s="256"/>
    </row>
    <row r="54905" spans="104:111">
      <c r="CZ54905" s="256"/>
      <c r="DG54905" s="256"/>
    </row>
    <row r="54906" spans="104:111">
      <c r="CZ54906" s="256"/>
      <c r="DG54906" s="256"/>
    </row>
    <row r="54907" spans="104:111">
      <c r="CZ54907" s="256"/>
      <c r="DG54907" s="256"/>
    </row>
    <row r="54908" spans="104:111">
      <c r="CZ54908" s="256"/>
      <c r="DG54908" s="256"/>
    </row>
    <row r="54909" spans="104:111">
      <c r="CZ54909" s="256"/>
      <c r="DG54909" s="256"/>
    </row>
    <row r="54910" spans="104:111">
      <c r="CZ54910" s="256"/>
      <c r="DG54910" s="256"/>
    </row>
    <row r="54911" spans="104:111">
      <c r="CZ54911" s="256"/>
      <c r="DG54911" s="256"/>
    </row>
    <row r="54912" spans="104:111">
      <c r="CZ54912" s="256"/>
      <c r="DG54912" s="256"/>
    </row>
    <row r="54913" spans="104:111">
      <c r="CZ54913" s="256"/>
      <c r="DG54913" s="256"/>
    </row>
    <row r="54914" spans="104:111">
      <c r="CZ54914" s="256"/>
      <c r="DG54914" s="256"/>
    </row>
    <row r="54915" spans="104:111">
      <c r="CZ54915" s="256"/>
      <c r="DG54915" s="256"/>
    </row>
    <row r="54916" spans="104:111">
      <c r="CZ54916" s="256"/>
      <c r="DG54916" s="256"/>
    </row>
    <row r="54917" spans="104:111">
      <c r="CZ54917" s="256"/>
      <c r="DG54917" s="256"/>
    </row>
    <row r="54918" spans="104:111">
      <c r="CZ54918" s="256"/>
      <c r="DG54918" s="256"/>
    </row>
    <row r="54919" spans="104:111">
      <c r="CZ54919" s="256"/>
      <c r="DG54919" s="256"/>
    </row>
    <row r="54920" spans="104:111">
      <c r="CZ54920" s="256"/>
      <c r="DG54920" s="256"/>
    </row>
    <row r="54921" spans="104:111">
      <c r="CZ54921" s="256"/>
      <c r="DG54921" s="256"/>
    </row>
    <row r="54922" spans="104:111">
      <c r="CZ54922" s="256"/>
      <c r="DG54922" s="256"/>
    </row>
    <row r="54923" spans="104:111">
      <c r="CZ54923" s="256"/>
      <c r="DG54923" s="256"/>
    </row>
    <row r="54924" spans="104:111">
      <c r="CZ54924" s="256"/>
      <c r="DG54924" s="256"/>
    </row>
    <row r="54925" spans="104:111">
      <c r="CZ54925" s="256"/>
      <c r="DG54925" s="256"/>
    </row>
    <row r="54926" spans="104:111">
      <c r="CZ54926" s="256"/>
      <c r="DG54926" s="256"/>
    </row>
    <row r="54927" spans="104:111">
      <c r="CZ54927" s="256"/>
      <c r="DG54927" s="256"/>
    </row>
    <row r="54928" spans="104:111">
      <c r="CZ54928" s="256"/>
      <c r="DG54928" s="256"/>
    </row>
    <row r="54929" spans="104:111">
      <c r="CZ54929" s="256"/>
      <c r="DG54929" s="256"/>
    </row>
    <row r="54930" spans="104:111">
      <c r="CZ54930" s="256"/>
      <c r="DG54930" s="256"/>
    </row>
    <row r="54931" spans="104:111">
      <c r="CZ54931" s="256"/>
      <c r="DG54931" s="256"/>
    </row>
    <row r="54932" spans="104:111">
      <c r="CZ54932" s="256"/>
      <c r="DG54932" s="256"/>
    </row>
    <row r="54933" spans="104:111">
      <c r="CZ54933" s="256"/>
      <c r="DG54933" s="256"/>
    </row>
    <row r="54934" spans="104:111">
      <c r="CZ54934" s="256"/>
      <c r="DG54934" s="256"/>
    </row>
    <row r="54935" spans="104:111">
      <c r="CZ54935" s="256"/>
      <c r="DG54935" s="256"/>
    </row>
    <row r="54936" spans="104:111">
      <c r="CZ54936" s="256"/>
      <c r="DG54936" s="256"/>
    </row>
    <row r="54937" spans="104:111">
      <c r="CZ54937" s="256"/>
      <c r="DG54937" s="256"/>
    </row>
    <row r="54938" spans="104:111">
      <c r="CZ54938" s="256"/>
      <c r="DG54938" s="256"/>
    </row>
    <row r="54939" spans="104:111">
      <c r="CZ54939" s="256"/>
      <c r="DG54939" s="256"/>
    </row>
    <row r="54940" spans="104:111">
      <c r="CZ54940" s="256"/>
      <c r="DG54940" s="256"/>
    </row>
    <row r="54941" spans="104:111">
      <c r="CZ54941" s="256"/>
      <c r="DG54941" s="256"/>
    </row>
    <row r="54942" spans="104:111">
      <c r="CZ54942" s="256"/>
      <c r="DG54942" s="256"/>
    </row>
    <row r="54943" spans="104:111">
      <c r="CZ54943" s="256"/>
      <c r="DG54943" s="256"/>
    </row>
    <row r="54944" spans="104:111">
      <c r="CZ54944" s="256"/>
      <c r="DG54944" s="256"/>
    </row>
    <row r="54945" spans="104:111">
      <c r="CZ54945" s="256"/>
      <c r="DG54945" s="256"/>
    </row>
    <row r="54946" spans="104:111">
      <c r="CZ54946" s="256"/>
      <c r="DG54946" s="256"/>
    </row>
    <row r="54947" spans="104:111">
      <c r="CZ54947" s="256"/>
      <c r="DG54947" s="256"/>
    </row>
    <row r="54948" spans="104:111">
      <c r="CZ54948" s="256"/>
      <c r="DG54948" s="256"/>
    </row>
    <row r="54949" spans="104:111">
      <c r="CZ54949" s="256"/>
      <c r="DG54949" s="256"/>
    </row>
    <row r="54950" spans="104:111">
      <c r="CZ54950" s="256"/>
      <c r="DG54950" s="256"/>
    </row>
    <row r="54951" spans="104:111">
      <c r="CZ54951" s="256"/>
      <c r="DG54951" s="256"/>
    </row>
    <row r="54952" spans="104:111">
      <c r="CZ54952" s="256"/>
      <c r="DG54952" s="256"/>
    </row>
    <row r="54953" spans="104:111">
      <c r="CZ54953" s="256"/>
      <c r="DG54953" s="256"/>
    </row>
    <row r="54954" spans="104:111">
      <c r="CZ54954" s="256"/>
      <c r="DG54954" s="256"/>
    </row>
    <row r="54955" spans="104:111">
      <c r="CZ54955" s="256"/>
      <c r="DG54955" s="256"/>
    </row>
    <row r="54956" spans="104:111">
      <c r="CZ54956" s="256"/>
      <c r="DG54956" s="256"/>
    </row>
    <row r="54957" spans="104:111">
      <c r="CZ54957" s="256"/>
      <c r="DG54957" s="256"/>
    </row>
    <row r="54958" spans="104:111">
      <c r="CZ54958" s="256"/>
      <c r="DG54958" s="256"/>
    </row>
    <row r="54959" spans="104:111">
      <c r="CZ54959" s="256"/>
      <c r="DG54959" s="256"/>
    </row>
    <row r="54960" spans="104:111">
      <c r="CZ54960" s="256"/>
      <c r="DG54960" s="256"/>
    </row>
    <row r="54961" spans="104:111">
      <c r="CZ54961" s="256"/>
      <c r="DG54961" s="256"/>
    </row>
    <row r="54962" spans="104:111">
      <c r="CZ54962" s="256"/>
      <c r="DG54962" s="256"/>
    </row>
    <row r="54963" spans="104:111">
      <c r="CZ54963" s="256"/>
      <c r="DG54963" s="256"/>
    </row>
    <row r="54964" spans="104:111">
      <c r="CZ54964" s="256"/>
      <c r="DG54964" s="256"/>
    </row>
    <row r="54965" spans="104:111">
      <c r="CZ54965" s="256"/>
      <c r="DG54965" s="256"/>
    </row>
    <row r="54966" spans="104:111">
      <c r="CZ54966" s="256"/>
      <c r="DG54966" s="256"/>
    </row>
    <row r="54967" spans="104:111">
      <c r="CZ54967" s="256"/>
      <c r="DG54967" s="256"/>
    </row>
    <row r="54968" spans="104:111">
      <c r="CZ54968" s="256"/>
      <c r="DG54968" s="256"/>
    </row>
    <row r="54969" spans="104:111">
      <c r="CZ54969" s="256"/>
      <c r="DG54969" s="256"/>
    </row>
    <row r="54970" spans="104:111">
      <c r="CZ54970" s="256"/>
      <c r="DG54970" s="256"/>
    </row>
    <row r="54971" spans="104:111">
      <c r="CZ54971" s="256"/>
      <c r="DG54971" s="256"/>
    </row>
    <row r="54972" spans="104:111">
      <c r="CZ54972" s="256"/>
      <c r="DG54972" s="256"/>
    </row>
    <row r="54973" spans="104:111">
      <c r="CZ54973" s="256"/>
      <c r="DG54973" s="256"/>
    </row>
    <row r="54974" spans="104:111">
      <c r="CZ54974" s="256"/>
      <c r="DG54974" s="256"/>
    </row>
    <row r="54975" spans="104:111">
      <c r="CZ54975" s="256"/>
      <c r="DG54975" s="256"/>
    </row>
    <row r="54976" spans="104:111">
      <c r="CZ54976" s="256"/>
      <c r="DG54976" s="256"/>
    </row>
    <row r="54977" spans="104:111">
      <c r="CZ54977" s="256"/>
      <c r="DG54977" s="256"/>
    </row>
    <row r="54978" spans="104:111">
      <c r="CZ54978" s="256"/>
      <c r="DG54978" s="256"/>
    </row>
    <row r="54979" spans="104:111">
      <c r="CZ54979" s="256"/>
      <c r="DG54979" s="256"/>
    </row>
    <row r="54980" spans="104:111">
      <c r="CZ54980" s="256"/>
      <c r="DG54980" s="256"/>
    </row>
    <row r="54981" spans="104:111">
      <c r="CZ54981" s="256"/>
      <c r="DG54981" s="256"/>
    </row>
    <row r="54982" spans="104:111">
      <c r="CZ54982" s="256"/>
      <c r="DG54982" s="256"/>
    </row>
    <row r="54983" spans="104:111">
      <c r="CZ54983" s="256"/>
      <c r="DG54983" s="256"/>
    </row>
    <row r="54984" spans="104:111">
      <c r="CZ54984" s="256"/>
      <c r="DG54984" s="256"/>
    </row>
    <row r="54985" spans="104:111">
      <c r="CZ54985" s="256"/>
      <c r="DG54985" s="256"/>
    </row>
    <row r="54986" spans="104:111">
      <c r="CZ54986" s="256"/>
      <c r="DG54986" s="256"/>
    </row>
    <row r="54987" spans="104:111">
      <c r="CZ54987" s="256"/>
      <c r="DG54987" s="256"/>
    </row>
    <row r="54988" spans="104:111">
      <c r="CZ54988" s="256"/>
      <c r="DG54988" s="256"/>
    </row>
    <row r="54989" spans="104:111">
      <c r="CZ54989" s="256"/>
      <c r="DG54989" s="256"/>
    </row>
    <row r="54990" spans="104:111">
      <c r="CZ54990" s="256"/>
      <c r="DG54990" s="256"/>
    </row>
    <row r="54991" spans="104:111">
      <c r="CZ54991" s="256"/>
      <c r="DG54991" s="256"/>
    </row>
    <row r="54992" spans="104:111">
      <c r="CZ54992" s="256"/>
      <c r="DG54992" s="256"/>
    </row>
    <row r="54993" spans="104:111">
      <c r="CZ54993" s="256"/>
      <c r="DG54993" s="256"/>
    </row>
    <row r="54994" spans="104:111">
      <c r="CZ54994" s="256"/>
      <c r="DG54994" s="256"/>
    </row>
    <row r="54995" spans="104:111">
      <c r="CZ54995" s="256"/>
      <c r="DG54995" s="256"/>
    </row>
    <row r="54996" spans="104:111">
      <c r="CZ54996" s="256"/>
      <c r="DG54996" s="256"/>
    </row>
    <row r="54997" spans="104:111">
      <c r="CZ54997" s="256"/>
      <c r="DG54997" s="256"/>
    </row>
    <row r="54998" spans="104:111">
      <c r="CZ54998" s="256"/>
      <c r="DG54998" s="256"/>
    </row>
    <row r="54999" spans="104:111">
      <c r="CZ54999" s="256"/>
      <c r="DG54999" s="256"/>
    </row>
    <row r="55000" spans="104:111">
      <c r="CZ55000" s="256"/>
      <c r="DG55000" s="256"/>
    </row>
    <row r="55001" spans="104:111">
      <c r="CZ55001" s="256"/>
      <c r="DG55001" s="256"/>
    </row>
    <row r="55002" spans="104:111">
      <c r="CZ55002" s="256"/>
      <c r="DG55002" s="256"/>
    </row>
    <row r="55003" spans="104:111">
      <c r="CZ55003" s="256"/>
      <c r="DG55003" s="256"/>
    </row>
    <row r="55004" spans="104:111">
      <c r="CZ55004" s="256"/>
      <c r="DG55004" s="256"/>
    </row>
    <row r="55005" spans="104:111">
      <c r="CZ55005" s="256"/>
      <c r="DG55005" s="256"/>
    </row>
    <row r="55006" spans="104:111">
      <c r="CZ55006" s="256"/>
      <c r="DG55006" s="256"/>
    </row>
    <row r="55007" spans="104:111">
      <c r="CZ55007" s="256"/>
      <c r="DG55007" s="256"/>
    </row>
    <row r="55008" spans="104:111">
      <c r="CZ55008" s="256"/>
      <c r="DG55008" s="256"/>
    </row>
    <row r="55009" spans="104:111">
      <c r="CZ55009" s="256"/>
      <c r="DG55009" s="256"/>
    </row>
    <row r="55010" spans="104:111">
      <c r="CZ55010" s="256"/>
      <c r="DG55010" s="256"/>
    </row>
    <row r="55011" spans="104:111">
      <c r="CZ55011" s="256"/>
      <c r="DG55011" s="256"/>
    </row>
    <row r="55012" spans="104:111">
      <c r="CZ55012" s="256"/>
      <c r="DG55012" s="256"/>
    </row>
    <row r="55013" spans="104:111">
      <c r="CZ55013" s="256"/>
      <c r="DG55013" s="256"/>
    </row>
    <row r="55014" spans="104:111">
      <c r="CZ55014" s="256"/>
      <c r="DG55014" s="256"/>
    </row>
    <row r="55015" spans="104:111">
      <c r="CZ55015" s="256"/>
      <c r="DG55015" s="256"/>
    </row>
    <row r="55016" spans="104:111">
      <c r="CZ55016" s="256"/>
      <c r="DG55016" s="256"/>
    </row>
    <row r="55017" spans="104:111">
      <c r="CZ55017" s="256"/>
      <c r="DG55017" s="256"/>
    </row>
    <row r="55018" spans="104:111">
      <c r="CZ55018" s="256"/>
      <c r="DG55018" s="256"/>
    </row>
    <row r="55019" spans="104:111">
      <c r="CZ55019" s="256"/>
      <c r="DG55019" s="256"/>
    </row>
    <row r="55020" spans="104:111">
      <c r="CZ55020" s="256"/>
      <c r="DG55020" s="256"/>
    </row>
    <row r="55021" spans="104:111">
      <c r="CZ55021" s="256"/>
      <c r="DG55021" s="256"/>
    </row>
    <row r="55022" spans="104:111">
      <c r="CZ55022" s="256"/>
      <c r="DG55022" s="256"/>
    </row>
    <row r="55023" spans="104:111">
      <c r="CZ55023" s="256"/>
      <c r="DG55023" s="256"/>
    </row>
    <row r="55024" spans="104:111">
      <c r="CZ55024" s="256"/>
      <c r="DG55024" s="256"/>
    </row>
    <row r="55025" spans="104:111">
      <c r="CZ55025" s="256"/>
      <c r="DG55025" s="256"/>
    </row>
    <row r="55026" spans="104:111">
      <c r="CZ55026" s="256"/>
      <c r="DG55026" s="256"/>
    </row>
    <row r="55027" spans="104:111">
      <c r="CZ55027" s="256"/>
      <c r="DG55027" s="256"/>
    </row>
    <row r="55028" spans="104:111">
      <c r="CZ55028" s="256"/>
      <c r="DG55028" s="256"/>
    </row>
    <row r="55029" spans="104:111">
      <c r="CZ55029" s="256"/>
      <c r="DG55029" s="256"/>
    </row>
    <row r="55030" spans="104:111">
      <c r="CZ55030" s="256"/>
      <c r="DG55030" s="256"/>
    </row>
    <row r="55031" spans="104:111">
      <c r="CZ55031" s="256"/>
      <c r="DG55031" s="256"/>
    </row>
    <row r="55032" spans="104:111">
      <c r="CZ55032" s="256"/>
      <c r="DG55032" s="256"/>
    </row>
    <row r="55033" spans="104:111">
      <c r="CZ55033" s="256"/>
      <c r="DG55033" s="256"/>
    </row>
    <row r="55034" spans="104:111">
      <c r="CZ55034" s="256"/>
      <c r="DG55034" s="256"/>
    </row>
    <row r="55035" spans="104:111">
      <c r="CZ55035" s="256"/>
      <c r="DG55035" s="256"/>
    </row>
    <row r="55036" spans="104:111">
      <c r="CZ55036" s="256"/>
      <c r="DG55036" s="256"/>
    </row>
    <row r="55037" spans="104:111">
      <c r="CZ55037" s="256"/>
      <c r="DG55037" s="256"/>
    </row>
    <row r="55038" spans="104:111">
      <c r="CZ55038" s="256"/>
      <c r="DG55038" s="256"/>
    </row>
    <row r="55039" spans="104:111">
      <c r="CZ55039" s="256"/>
      <c r="DG55039" s="256"/>
    </row>
    <row r="55040" spans="104:111">
      <c r="CZ55040" s="256"/>
      <c r="DG55040" s="256"/>
    </row>
    <row r="55041" spans="104:111">
      <c r="CZ55041" s="256"/>
      <c r="DG55041" s="256"/>
    </row>
    <row r="55042" spans="104:111">
      <c r="CZ55042" s="256"/>
      <c r="DG55042" s="256"/>
    </row>
    <row r="55043" spans="104:111">
      <c r="CZ55043" s="256"/>
      <c r="DG55043" s="256"/>
    </row>
    <row r="55044" spans="104:111">
      <c r="CZ55044" s="256"/>
      <c r="DG55044" s="256"/>
    </row>
    <row r="55045" spans="104:111">
      <c r="CZ55045" s="256"/>
      <c r="DG55045" s="256"/>
    </row>
    <row r="55046" spans="104:111">
      <c r="CZ55046" s="256"/>
      <c r="DG55046" s="256"/>
    </row>
    <row r="55047" spans="104:111">
      <c r="CZ55047" s="256"/>
      <c r="DG55047" s="256"/>
    </row>
    <row r="55048" spans="104:111">
      <c r="CZ55048" s="256"/>
      <c r="DG55048" s="256"/>
    </row>
    <row r="55049" spans="104:111">
      <c r="CZ55049" s="256"/>
      <c r="DG55049" s="256"/>
    </row>
    <row r="55050" spans="104:111">
      <c r="CZ55050" s="256"/>
      <c r="DG55050" s="256"/>
    </row>
    <row r="55051" spans="104:111">
      <c r="CZ55051" s="256"/>
      <c r="DG55051" s="256"/>
    </row>
    <row r="55052" spans="104:111">
      <c r="CZ55052" s="256"/>
      <c r="DG55052" s="256"/>
    </row>
    <row r="55053" spans="104:111">
      <c r="CZ55053" s="256"/>
      <c r="DG55053" s="256"/>
    </row>
    <row r="55054" spans="104:111">
      <c r="CZ55054" s="256"/>
      <c r="DG55054" s="256"/>
    </row>
    <row r="55055" spans="104:111">
      <c r="CZ55055" s="256"/>
      <c r="DG55055" s="256"/>
    </row>
    <row r="55056" spans="104:111">
      <c r="CZ55056" s="256"/>
      <c r="DG55056" s="256"/>
    </row>
    <row r="55057" spans="104:111">
      <c r="CZ55057" s="256"/>
      <c r="DG55057" s="256"/>
    </row>
    <row r="55058" spans="104:111">
      <c r="CZ55058" s="256"/>
      <c r="DG55058" s="256"/>
    </row>
    <row r="55059" spans="104:111">
      <c r="CZ55059" s="256"/>
      <c r="DG55059" s="256"/>
    </row>
    <row r="55060" spans="104:111">
      <c r="CZ55060" s="256"/>
      <c r="DG55060" s="256"/>
    </row>
    <row r="55061" spans="104:111">
      <c r="CZ55061" s="256"/>
      <c r="DG55061" s="256"/>
    </row>
    <row r="55062" spans="104:111">
      <c r="CZ55062" s="256"/>
      <c r="DG55062" s="256"/>
    </row>
    <row r="55063" spans="104:111">
      <c r="CZ55063" s="256"/>
      <c r="DG55063" s="256"/>
    </row>
    <row r="55064" spans="104:111">
      <c r="CZ55064" s="256"/>
      <c r="DG55064" s="256"/>
    </row>
    <row r="55065" spans="104:111">
      <c r="CZ55065" s="256"/>
      <c r="DG55065" s="256"/>
    </row>
    <row r="55066" spans="104:111">
      <c r="CZ55066" s="256"/>
      <c r="DG55066" s="256"/>
    </row>
    <row r="55067" spans="104:111">
      <c r="CZ55067" s="256"/>
      <c r="DG55067" s="256"/>
    </row>
    <row r="55068" spans="104:111">
      <c r="CZ55068" s="256"/>
      <c r="DG55068" s="256"/>
    </row>
    <row r="55069" spans="104:111">
      <c r="CZ55069" s="256"/>
      <c r="DG55069" s="256"/>
    </row>
    <row r="55070" spans="104:111">
      <c r="CZ55070" s="256"/>
      <c r="DG55070" s="256"/>
    </row>
    <row r="55071" spans="104:111">
      <c r="CZ55071" s="256"/>
      <c r="DG55071" s="256"/>
    </row>
    <row r="55072" spans="104:111">
      <c r="CZ55072" s="256"/>
      <c r="DG55072" s="256"/>
    </row>
    <row r="55073" spans="104:111">
      <c r="CZ55073" s="256"/>
      <c r="DG55073" s="256"/>
    </row>
    <row r="55074" spans="104:111">
      <c r="CZ55074" s="256"/>
      <c r="DG55074" s="256"/>
    </row>
    <row r="55075" spans="104:111">
      <c r="CZ55075" s="256"/>
      <c r="DG55075" s="256"/>
    </row>
    <row r="55076" spans="104:111">
      <c r="CZ55076" s="256"/>
      <c r="DG55076" s="256"/>
    </row>
    <row r="55077" spans="104:111">
      <c r="CZ55077" s="256"/>
      <c r="DG55077" s="256"/>
    </row>
    <row r="55078" spans="104:111">
      <c r="CZ55078" s="256"/>
      <c r="DG55078" s="256"/>
    </row>
    <row r="55079" spans="104:111">
      <c r="CZ55079" s="256"/>
      <c r="DG55079" s="256"/>
    </row>
    <row r="55080" spans="104:111">
      <c r="CZ55080" s="256"/>
      <c r="DG55080" s="256"/>
    </row>
    <row r="55081" spans="104:111">
      <c r="CZ55081" s="256"/>
      <c r="DG55081" s="256"/>
    </row>
    <row r="55082" spans="104:111">
      <c r="CZ55082" s="256"/>
      <c r="DG55082" s="256"/>
    </row>
    <row r="55083" spans="104:111">
      <c r="CZ55083" s="256"/>
      <c r="DG55083" s="256"/>
    </row>
    <row r="55084" spans="104:111">
      <c r="CZ55084" s="256"/>
      <c r="DG55084" s="256"/>
    </row>
    <row r="55085" spans="104:111">
      <c r="CZ55085" s="256"/>
      <c r="DG55085" s="256"/>
    </row>
    <row r="55086" spans="104:111">
      <c r="CZ55086" s="256"/>
      <c r="DG55086" s="256"/>
    </row>
    <row r="55087" spans="104:111">
      <c r="CZ55087" s="256"/>
      <c r="DG55087" s="256"/>
    </row>
    <row r="55088" spans="104:111">
      <c r="CZ55088" s="256"/>
      <c r="DG55088" s="256"/>
    </row>
    <row r="55089" spans="104:111">
      <c r="CZ55089" s="256"/>
      <c r="DG55089" s="256"/>
    </row>
    <row r="55090" spans="104:111">
      <c r="CZ55090" s="256"/>
      <c r="DG55090" s="256"/>
    </row>
    <row r="55091" spans="104:111">
      <c r="CZ55091" s="256"/>
      <c r="DG55091" s="256"/>
    </row>
    <row r="55092" spans="104:111">
      <c r="CZ55092" s="256"/>
      <c r="DG55092" s="256"/>
    </row>
    <row r="55093" spans="104:111">
      <c r="CZ55093" s="256"/>
      <c r="DG55093" s="256"/>
    </row>
    <row r="55094" spans="104:111">
      <c r="CZ55094" s="256"/>
      <c r="DG55094" s="256"/>
    </row>
    <row r="55095" spans="104:111">
      <c r="CZ55095" s="256"/>
      <c r="DG55095" s="256"/>
    </row>
    <row r="55096" spans="104:111">
      <c r="CZ55096" s="256"/>
      <c r="DG55096" s="256"/>
    </row>
    <row r="55097" spans="104:111">
      <c r="CZ55097" s="256"/>
      <c r="DG55097" s="256"/>
    </row>
    <row r="55098" spans="104:111">
      <c r="CZ55098" s="256"/>
      <c r="DG55098" s="256"/>
    </row>
    <row r="55099" spans="104:111">
      <c r="CZ55099" s="256"/>
      <c r="DG55099" s="256"/>
    </row>
    <row r="55100" spans="104:111">
      <c r="CZ55100" s="256"/>
      <c r="DG55100" s="256"/>
    </row>
    <row r="55101" spans="104:111">
      <c r="CZ55101" s="256"/>
      <c r="DG55101" s="256"/>
    </row>
    <row r="55102" spans="104:111">
      <c r="CZ55102" s="256"/>
      <c r="DG55102" s="256"/>
    </row>
    <row r="55103" spans="104:111">
      <c r="CZ55103" s="256"/>
      <c r="DG55103" s="256"/>
    </row>
    <row r="55104" spans="104:111">
      <c r="CZ55104" s="256"/>
      <c r="DG55104" s="256"/>
    </row>
    <row r="55105" spans="104:111">
      <c r="CZ55105" s="256"/>
      <c r="DG55105" s="256"/>
    </row>
    <row r="55106" spans="104:111">
      <c r="CZ55106" s="256"/>
      <c r="DG55106" s="256"/>
    </row>
    <row r="55107" spans="104:111">
      <c r="CZ55107" s="256"/>
      <c r="DG55107" s="256"/>
    </row>
    <row r="55108" spans="104:111">
      <c r="CZ55108" s="256"/>
      <c r="DG55108" s="256"/>
    </row>
    <row r="55109" spans="104:111">
      <c r="CZ55109" s="256"/>
      <c r="DG55109" s="256"/>
    </row>
    <row r="55110" spans="104:111">
      <c r="CZ55110" s="256"/>
      <c r="DG55110" s="256"/>
    </row>
    <row r="55111" spans="104:111">
      <c r="CZ55111" s="256"/>
      <c r="DG55111" s="256"/>
    </row>
    <row r="55112" spans="104:111">
      <c r="CZ55112" s="256"/>
      <c r="DG55112" s="256"/>
    </row>
    <row r="55113" spans="104:111">
      <c r="CZ55113" s="256"/>
      <c r="DG55113" s="256"/>
    </row>
    <row r="55114" spans="104:111">
      <c r="CZ55114" s="256"/>
      <c r="DG55114" s="256"/>
    </row>
    <row r="55115" spans="104:111">
      <c r="CZ55115" s="256"/>
      <c r="DG55115" s="256"/>
    </row>
    <row r="55116" spans="104:111">
      <c r="CZ55116" s="256"/>
      <c r="DG55116" s="256"/>
    </row>
    <row r="55117" spans="104:111">
      <c r="CZ55117" s="256"/>
      <c r="DG55117" s="256"/>
    </row>
    <row r="55118" spans="104:111">
      <c r="CZ55118" s="256"/>
      <c r="DG55118" s="256"/>
    </row>
    <row r="55119" spans="104:111">
      <c r="CZ55119" s="256"/>
      <c r="DG55119" s="256"/>
    </row>
    <row r="55120" spans="104:111">
      <c r="CZ55120" s="256"/>
      <c r="DG55120" s="256"/>
    </row>
    <row r="55121" spans="104:111">
      <c r="CZ55121" s="256"/>
      <c r="DG55121" s="256"/>
    </row>
    <row r="55122" spans="104:111">
      <c r="CZ55122" s="256"/>
      <c r="DG55122" s="256"/>
    </row>
    <row r="55123" spans="104:111">
      <c r="CZ55123" s="256"/>
      <c r="DG55123" s="256"/>
    </row>
    <row r="55124" spans="104:111">
      <c r="CZ55124" s="256"/>
      <c r="DG55124" s="256"/>
    </row>
    <row r="55125" spans="104:111">
      <c r="CZ55125" s="256"/>
      <c r="DG55125" s="256"/>
    </row>
    <row r="55126" spans="104:111">
      <c r="CZ55126" s="256"/>
      <c r="DG55126" s="256"/>
    </row>
    <row r="55127" spans="104:111">
      <c r="CZ55127" s="256"/>
      <c r="DG55127" s="256"/>
    </row>
    <row r="55128" spans="104:111">
      <c r="CZ55128" s="256"/>
      <c r="DG55128" s="256"/>
    </row>
    <row r="55129" spans="104:111">
      <c r="CZ55129" s="256"/>
      <c r="DG55129" s="256"/>
    </row>
    <row r="55130" spans="104:111">
      <c r="CZ55130" s="256"/>
      <c r="DG55130" s="256"/>
    </row>
    <row r="55131" spans="104:111">
      <c r="CZ55131" s="256"/>
      <c r="DG55131" s="256"/>
    </row>
    <row r="55132" spans="104:111">
      <c r="CZ55132" s="256"/>
      <c r="DG55132" s="256"/>
    </row>
    <row r="55133" spans="104:111">
      <c r="CZ55133" s="256"/>
      <c r="DG55133" s="256"/>
    </row>
    <row r="55134" spans="104:111">
      <c r="CZ55134" s="256"/>
      <c r="DG55134" s="256"/>
    </row>
    <row r="55135" spans="104:111">
      <c r="CZ55135" s="256"/>
      <c r="DG55135" s="256"/>
    </row>
    <row r="55136" spans="104:111">
      <c r="CZ55136" s="256"/>
      <c r="DG55136" s="256"/>
    </row>
    <row r="55137" spans="104:111">
      <c r="CZ55137" s="256"/>
      <c r="DG55137" s="256"/>
    </row>
    <row r="55138" spans="104:111">
      <c r="CZ55138" s="256"/>
      <c r="DG55138" s="256"/>
    </row>
    <row r="55139" spans="104:111">
      <c r="CZ55139" s="256"/>
      <c r="DG55139" s="256"/>
    </row>
    <row r="55140" spans="104:111">
      <c r="CZ55140" s="256"/>
      <c r="DG55140" s="256"/>
    </row>
    <row r="55141" spans="104:111">
      <c r="CZ55141" s="256"/>
      <c r="DG55141" s="256"/>
    </row>
    <row r="55142" spans="104:111">
      <c r="CZ55142" s="256"/>
      <c r="DG55142" s="256"/>
    </row>
    <row r="55143" spans="104:111">
      <c r="CZ55143" s="256"/>
      <c r="DG55143" s="256"/>
    </row>
    <row r="55144" spans="104:111">
      <c r="CZ55144" s="256"/>
      <c r="DG55144" s="256"/>
    </row>
    <row r="55145" spans="104:111">
      <c r="CZ55145" s="256"/>
      <c r="DG55145" s="256"/>
    </row>
    <row r="55146" spans="104:111">
      <c r="CZ55146" s="256"/>
      <c r="DG55146" s="256"/>
    </row>
    <row r="55147" spans="104:111">
      <c r="CZ55147" s="256"/>
      <c r="DG55147" s="256"/>
    </row>
    <row r="55148" spans="104:111">
      <c r="CZ55148" s="256"/>
      <c r="DG55148" s="256"/>
    </row>
    <row r="55149" spans="104:111">
      <c r="CZ55149" s="256"/>
      <c r="DG55149" s="256"/>
    </row>
    <row r="55150" spans="104:111">
      <c r="CZ55150" s="256"/>
      <c r="DG55150" s="256"/>
    </row>
    <row r="55151" spans="104:111">
      <c r="CZ55151" s="256"/>
      <c r="DG55151" s="256"/>
    </row>
    <row r="55152" spans="104:111">
      <c r="CZ55152" s="256"/>
      <c r="DG55152" s="256"/>
    </row>
    <row r="55153" spans="104:111">
      <c r="CZ55153" s="256"/>
      <c r="DG55153" s="256"/>
    </row>
    <row r="55154" spans="104:111">
      <c r="CZ55154" s="256"/>
      <c r="DG55154" s="256"/>
    </row>
    <row r="55155" spans="104:111">
      <c r="CZ55155" s="256"/>
      <c r="DG55155" s="256"/>
    </row>
    <row r="55156" spans="104:111">
      <c r="CZ55156" s="256"/>
      <c r="DG55156" s="256"/>
    </row>
    <row r="55157" spans="104:111">
      <c r="CZ55157" s="256"/>
      <c r="DG55157" s="256"/>
    </row>
    <row r="55158" spans="104:111">
      <c r="CZ55158" s="256"/>
      <c r="DG55158" s="256"/>
    </row>
    <row r="55159" spans="104:111">
      <c r="CZ55159" s="256"/>
      <c r="DG55159" s="256"/>
    </row>
    <row r="55160" spans="104:111">
      <c r="CZ55160" s="256"/>
      <c r="DG55160" s="256"/>
    </row>
    <row r="55161" spans="104:111">
      <c r="CZ55161" s="256"/>
      <c r="DG55161" s="256"/>
    </row>
    <row r="55162" spans="104:111">
      <c r="CZ55162" s="256"/>
      <c r="DG55162" s="256"/>
    </row>
    <row r="55163" spans="104:111">
      <c r="CZ55163" s="256"/>
      <c r="DG55163" s="256"/>
    </row>
    <row r="55164" spans="104:111">
      <c r="CZ55164" s="256"/>
      <c r="DG55164" s="256"/>
    </row>
    <row r="55165" spans="104:111">
      <c r="CZ55165" s="256"/>
      <c r="DG55165" s="256"/>
    </row>
    <row r="55166" spans="104:111">
      <c r="CZ55166" s="256"/>
      <c r="DG55166" s="256"/>
    </row>
    <row r="55167" spans="104:111">
      <c r="CZ55167" s="256"/>
      <c r="DG55167" s="256"/>
    </row>
    <row r="55168" spans="104:111">
      <c r="CZ55168" s="256"/>
      <c r="DG55168" s="256"/>
    </row>
    <row r="55169" spans="104:111">
      <c r="CZ55169" s="256"/>
      <c r="DG55169" s="256"/>
    </row>
    <row r="55170" spans="104:111">
      <c r="CZ55170" s="256"/>
      <c r="DG55170" s="256"/>
    </row>
    <row r="55171" spans="104:111">
      <c r="CZ55171" s="256"/>
      <c r="DG55171" s="256"/>
    </row>
    <row r="55172" spans="104:111">
      <c r="CZ55172" s="256"/>
      <c r="DG55172" s="256"/>
    </row>
    <row r="55173" spans="104:111">
      <c r="CZ55173" s="256"/>
      <c r="DG55173" s="256"/>
    </row>
    <row r="55174" spans="104:111">
      <c r="CZ55174" s="256"/>
      <c r="DG55174" s="256"/>
    </row>
    <row r="55175" spans="104:111">
      <c r="CZ55175" s="256"/>
      <c r="DG55175" s="256"/>
    </row>
    <row r="55176" spans="104:111">
      <c r="CZ55176" s="256"/>
      <c r="DG55176" s="256"/>
    </row>
    <row r="55177" spans="104:111">
      <c r="CZ55177" s="256"/>
      <c r="DG55177" s="256"/>
    </row>
    <row r="55178" spans="104:111">
      <c r="CZ55178" s="256"/>
      <c r="DG55178" s="256"/>
    </row>
    <row r="55179" spans="104:111">
      <c r="CZ55179" s="256"/>
      <c r="DG55179" s="256"/>
    </row>
    <row r="55180" spans="104:111">
      <c r="CZ55180" s="256"/>
      <c r="DG55180" s="256"/>
    </row>
    <row r="55181" spans="104:111">
      <c r="CZ55181" s="256"/>
      <c r="DG55181" s="256"/>
    </row>
    <row r="55182" spans="104:111">
      <c r="CZ55182" s="256"/>
      <c r="DG55182" s="256"/>
    </row>
    <row r="55183" spans="104:111">
      <c r="CZ55183" s="256"/>
      <c r="DG55183" s="256"/>
    </row>
    <row r="55184" spans="104:111">
      <c r="CZ55184" s="256"/>
      <c r="DG55184" s="256"/>
    </row>
    <row r="55185" spans="104:111">
      <c r="CZ55185" s="256"/>
      <c r="DG55185" s="256"/>
    </row>
    <row r="55186" spans="104:111">
      <c r="CZ55186" s="256"/>
      <c r="DG55186" s="256"/>
    </row>
    <row r="55187" spans="104:111">
      <c r="CZ55187" s="256"/>
      <c r="DG55187" s="256"/>
    </row>
    <row r="55188" spans="104:111">
      <c r="CZ55188" s="256"/>
      <c r="DG55188" s="256"/>
    </row>
    <row r="55189" spans="104:111">
      <c r="CZ55189" s="256"/>
      <c r="DG55189" s="256"/>
    </row>
    <row r="55190" spans="104:111">
      <c r="CZ55190" s="256"/>
      <c r="DG55190" s="256"/>
    </row>
    <row r="55191" spans="104:111">
      <c r="CZ55191" s="256"/>
      <c r="DG55191" s="256"/>
    </row>
    <row r="55192" spans="104:111">
      <c r="CZ55192" s="256"/>
      <c r="DG55192" s="256"/>
    </row>
    <row r="55193" spans="104:111">
      <c r="CZ55193" s="256"/>
      <c r="DG55193" s="256"/>
    </row>
    <row r="55194" spans="104:111">
      <c r="CZ55194" s="256"/>
      <c r="DG55194" s="256"/>
    </row>
    <row r="55195" spans="104:111">
      <c r="CZ55195" s="256"/>
      <c r="DG55195" s="256"/>
    </row>
    <row r="55196" spans="104:111">
      <c r="CZ55196" s="256"/>
      <c r="DG55196" s="256"/>
    </row>
    <row r="55197" spans="104:111">
      <c r="CZ55197" s="256"/>
      <c r="DG55197" s="256"/>
    </row>
    <row r="55198" spans="104:111">
      <c r="CZ55198" s="256"/>
      <c r="DG55198" s="256"/>
    </row>
    <row r="55199" spans="104:111">
      <c r="CZ55199" s="256"/>
      <c r="DG55199" s="256"/>
    </row>
    <row r="55200" spans="104:111">
      <c r="CZ55200" s="256"/>
      <c r="DG55200" s="256"/>
    </row>
    <row r="55201" spans="104:111">
      <c r="CZ55201" s="256"/>
      <c r="DG55201" s="256"/>
    </row>
    <row r="55202" spans="104:111">
      <c r="CZ55202" s="256"/>
      <c r="DG55202" s="256"/>
    </row>
    <row r="55203" spans="104:111">
      <c r="CZ55203" s="256"/>
      <c r="DG55203" s="256"/>
    </row>
    <row r="55204" spans="104:111">
      <c r="CZ55204" s="256"/>
      <c r="DG55204" s="256"/>
    </row>
    <row r="55205" spans="104:111">
      <c r="CZ55205" s="256"/>
      <c r="DG55205" s="256"/>
    </row>
    <row r="55206" spans="104:111">
      <c r="CZ55206" s="256"/>
      <c r="DG55206" s="256"/>
    </row>
    <row r="55207" spans="104:111">
      <c r="CZ55207" s="256"/>
      <c r="DG55207" s="256"/>
    </row>
    <row r="55208" spans="104:111">
      <c r="CZ55208" s="256"/>
      <c r="DG55208" s="256"/>
    </row>
    <row r="55209" spans="104:111">
      <c r="CZ55209" s="256"/>
      <c r="DG55209" s="256"/>
    </row>
    <row r="55210" spans="104:111">
      <c r="CZ55210" s="256"/>
      <c r="DG55210" s="256"/>
    </row>
    <row r="55211" spans="104:111">
      <c r="CZ55211" s="256"/>
      <c r="DG55211" s="256"/>
    </row>
    <row r="55212" spans="104:111">
      <c r="CZ55212" s="256"/>
      <c r="DG55212" s="256"/>
    </row>
    <row r="55213" spans="104:111">
      <c r="CZ55213" s="256"/>
      <c r="DG55213" s="256"/>
    </row>
    <row r="55214" spans="104:111">
      <c r="CZ55214" s="256"/>
      <c r="DG55214" s="256"/>
    </row>
    <row r="55215" spans="104:111">
      <c r="CZ55215" s="256"/>
      <c r="DG55215" s="256"/>
    </row>
    <row r="55216" spans="104:111">
      <c r="CZ55216" s="256"/>
      <c r="DG55216" s="256"/>
    </row>
    <row r="55217" spans="104:111">
      <c r="CZ55217" s="256"/>
      <c r="DG55217" s="256"/>
    </row>
    <row r="55218" spans="104:111">
      <c r="CZ55218" s="256"/>
      <c r="DG55218" s="256"/>
    </row>
    <row r="55219" spans="104:111">
      <c r="CZ55219" s="256"/>
      <c r="DG55219" s="256"/>
    </row>
    <row r="55220" spans="104:111">
      <c r="CZ55220" s="256"/>
      <c r="DG55220" s="256"/>
    </row>
    <row r="55221" spans="104:111">
      <c r="CZ55221" s="256"/>
      <c r="DG55221" s="256"/>
    </row>
    <row r="55222" spans="104:111">
      <c r="CZ55222" s="256"/>
      <c r="DG55222" s="256"/>
    </row>
    <row r="55223" spans="104:111">
      <c r="CZ55223" s="256"/>
      <c r="DG55223" s="256"/>
    </row>
    <row r="55224" spans="104:111">
      <c r="CZ55224" s="256"/>
      <c r="DG55224" s="256"/>
    </row>
    <row r="55225" spans="104:111">
      <c r="CZ55225" s="256"/>
      <c r="DG55225" s="256"/>
    </row>
    <row r="55226" spans="104:111">
      <c r="CZ55226" s="256"/>
      <c r="DG55226" s="256"/>
    </row>
    <row r="55227" spans="104:111">
      <c r="CZ55227" s="256"/>
      <c r="DG55227" s="256"/>
    </row>
    <row r="55228" spans="104:111">
      <c r="CZ55228" s="256"/>
      <c r="DG55228" s="256"/>
    </row>
    <row r="55229" spans="104:111">
      <c r="CZ55229" s="256"/>
      <c r="DG55229" s="256"/>
    </row>
    <row r="55230" spans="104:111">
      <c r="CZ55230" s="256"/>
      <c r="DG55230" s="256"/>
    </row>
    <row r="55231" spans="104:111">
      <c r="CZ55231" s="256"/>
      <c r="DG55231" s="256"/>
    </row>
    <row r="55232" spans="104:111">
      <c r="CZ55232" s="256"/>
      <c r="DG55232" s="256"/>
    </row>
    <row r="55233" spans="104:111">
      <c r="CZ55233" s="256"/>
      <c r="DG55233" s="256"/>
    </row>
    <row r="55234" spans="104:111">
      <c r="CZ55234" s="256"/>
      <c r="DG55234" s="256"/>
    </row>
    <row r="55235" spans="104:111">
      <c r="CZ55235" s="256"/>
      <c r="DG55235" s="256"/>
    </row>
    <row r="55236" spans="104:111">
      <c r="CZ55236" s="256"/>
      <c r="DG55236" s="256"/>
    </row>
    <row r="55237" spans="104:111">
      <c r="CZ55237" s="256"/>
      <c r="DG55237" s="256"/>
    </row>
    <row r="55238" spans="104:111">
      <c r="CZ55238" s="256"/>
      <c r="DG55238" s="256"/>
    </row>
    <row r="55239" spans="104:111">
      <c r="CZ55239" s="256"/>
      <c r="DG55239" s="256"/>
    </row>
    <row r="55240" spans="104:111">
      <c r="CZ55240" s="256"/>
      <c r="DG55240" s="256"/>
    </row>
    <row r="55241" spans="104:111">
      <c r="CZ55241" s="256"/>
      <c r="DG55241" s="256"/>
    </row>
    <row r="55242" spans="104:111">
      <c r="CZ55242" s="256"/>
      <c r="DG55242" s="256"/>
    </row>
    <row r="55243" spans="104:111">
      <c r="CZ55243" s="256"/>
      <c r="DG55243" s="256"/>
    </row>
    <row r="55244" spans="104:111">
      <c r="CZ55244" s="256"/>
      <c r="DG55244" s="256"/>
    </row>
    <row r="55245" spans="104:111">
      <c r="CZ55245" s="256"/>
      <c r="DG55245" s="256"/>
    </row>
    <row r="55246" spans="104:111">
      <c r="CZ55246" s="256"/>
      <c r="DG55246" s="256"/>
    </row>
    <row r="55247" spans="104:111">
      <c r="CZ55247" s="256"/>
      <c r="DG55247" s="256"/>
    </row>
    <row r="55248" spans="104:111">
      <c r="CZ55248" s="256"/>
      <c r="DG55248" s="256"/>
    </row>
    <row r="55249" spans="104:111">
      <c r="CZ55249" s="256"/>
      <c r="DG55249" s="256"/>
    </row>
    <row r="55250" spans="104:111">
      <c r="CZ55250" s="256"/>
      <c r="DG55250" s="256"/>
    </row>
    <row r="55251" spans="104:111">
      <c r="CZ55251" s="256"/>
      <c r="DG55251" s="256"/>
    </row>
    <row r="55252" spans="104:111">
      <c r="CZ55252" s="256"/>
      <c r="DG55252" s="256"/>
    </row>
    <row r="55253" spans="104:111">
      <c r="CZ55253" s="256"/>
      <c r="DG55253" s="256"/>
    </row>
    <row r="55254" spans="104:111">
      <c r="CZ55254" s="256"/>
      <c r="DG55254" s="256"/>
    </row>
    <row r="55255" spans="104:111">
      <c r="CZ55255" s="256"/>
      <c r="DG55255" s="256"/>
    </row>
    <row r="55256" spans="104:111">
      <c r="CZ55256" s="256"/>
      <c r="DG55256" s="256"/>
    </row>
    <row r="55257" spans="104:111">
      <c r="CZ55257" s="256"/>
      <c r="DG55257" s="256"/>
    </row>
    <row r="55258" spans="104:111">
      <c r="CZ55258" s="256"/>
      <c r="DG55258" s="256"/>
    </row>
    <row r="55259" spans="104:111">
      <c r="CZ55259" s="256"/>
      <c r="DG55259" s="256"/>
    </row>
    <row r="55260" spans="104:111">
      <c r="CZ55260" s="256"/>
      <c r="DG55260" s="256"/>
    </row>
    <row r="55261" spans="104:111">
      <c r="CZ55261" s="256"/>
      <c r="DG55261" s="256"/>
    </row>
    <row r="55262" spans="104:111">
      <c r="CZ55262" s="256"/>
      <c r="DG55262" s="256"/>
    </row>
    <row r="55263" spans="104:111">
      <c r="CZ55263" s="256"/>
      <c r="DG55263" s="256"/>
    </row>
    <row r="55264" spans="104:111">
      <c r="CZ55264" s="256"/>
      <c r="DG55264" s="256"/>
    </row>
    <row r="55265" spans="104:111">
      <c r="CZ55265" s="256"/>
      <c r="DG55265" s="256"/>
    </row>
    <row r="55266" spans="104:111">
      <c r="CZ55266" s="256"/>
      <c r="DG55266" s="256"/>
    </row>
    <row r="55267" spans="104:111">
      <c r="CZ55267" s="256"/>
      <c r="DG55267" s="256"/>
    </row>
    <row r="55268" spans="104:111">
      <c r="CZ55268" s="256"/>
      <c r="DG55268" s="256"/>
    </row>
    <row r="55269" spans="104:111">
      <c r="CZ55269" s="256"/>
      <c r="DG55269" s="256"/>
    </row>
    <row r="55270" spans="104:111">
      <c r="CZ55270" s="256"/>
      <c r="DG55270" s="256"/>
    </row>
    <row r="55271" spans="104:111">
      <c r="CZ55271" s="256"/>
      <c r="DG55271" s="256"/>
    </row>
    <row r="55272" spans="104:111">
      <c r="CZ55272" s="256"/>
      <c r="DG55272" s="256"/>
    </row>
    <row r="55273" spans="104:111">
      <c r="CZ55273" s="256"/>
      <c r="DG55273" s="256"/>
    </row>
    <row r="55274" spans="104:111">
      <c r="CZ55274" s="256"/>
      <c r="DG55274" s="256"/>
    </row>
    <row r="55275" spans="104:111">
      <c r="CZ55275" s="256"/>
      <c r="DG55275" s="256"/>
    </row>
    <row r="55276" spans="104:111">
      <c r="CZ55276" s="256"/>
      <c r="DG55276" s="256"/>
    </row>
    <row r="55277" spans="104:111">
      <c r="CZ55277" s="256"/>
      <c r="DG55277" s="256"/>
    </row>
    <row r="55278" spans="104:111">
      <c r="CZ55278" s="256"/>
      <c r="DG55278" s="256"/>
    </row>
    <row r="55279" spans="104:111">
      <c r="CZ55279" s="256"/>
      <c r="DG55279" s="256"/>
    </row>
    <row r="55280" spans="104:111">
      <c r="CZ55280" s="256"/>
      <c r="DG55280" s="256"/>
    </row>
    <row r="55281" spans="104:111">
      <c r="CZ55281" s="256"/>
      <c r="DG55281" s="256"/>
    </row>
    <row r="55282" spans="104:111">
      <c r="CZ55282" s="256"/>
      <c r="DG55282" s="256"/>
    </row>
    <row r="55283" spans="104:111">
      <c r="CZ55283" s="256"/>
      <c r="DG55283" s="256"/>
    </row>
    <row r="55284" spans="104:111">
      <c r="CZ55284" s="256"/>
      <c r="DG55284" s="256"/>
    </row>
    <row r="55285" spans="104:111">
      <c r="CZ55285" s="256"/>
      <c r="DG55285" s="256"/>
    </row>
    <row r="55286" spans="104:111">
      <c r="CZ55286" s="256"/>
      <c r="DG55286" s="256"/>
    </row>
    <row r="55287" spans="104:111">
      <c r="CZ55287" s="256"/>
      <c r="DG55287" s="256"/>
    </row>
    <row r="55288" spans="104:111">
      <c r="CZ55288" s="256"/>
      <c r="DG55288" s="256"/>
    </row>
    <row r="55289" spans="104:111">
      <c r="CZ55289" s="256"/>
      <c r="DG55289" s="256"/>
    </row>
    <row r="55290" spans="104:111">
      <c r="CZ55290" s="256"/>
      <c r="DG55290" s="256"/>
    </row>
    <row r="55291" spans="104:111">
      <c r="CZ55291" s="256"/>
      <c r="DG55291" s="256"/>
    </row>
    <row r="55292" spans="104:111">
      <c r="CZ55292" s="256"/>
      <c r="DG55292" s="256"/>
    </row>
    <row r="55293" spans="104:111">
      <c r="CZ55293" s="256"/>
      <c r="DG55293" s="256"/>
    </row>
    <row r="55294" spans="104:111">
      <c r="CZ55294" s="256"/>
      <c r="DG55294" s="256"/>
    </row>
    <row r="55295" spans="104:111">
      <c r="CZ55295" s="256"/>
      <c r="DG55295" s="256"/>
    </row>
    <row r="55296" spans="104:111">
      <c r="CZ55296" s="256"/>
      <c r="DG55296" s="256"/>
    </row>
    <row r="55297" spans="104:111">
      <c r="CZ55297" s="256"/>
      <c r="DG55297" s="256"/>
    </row>
    <row r="55298" spans="104:111">
      <c r="CZ55298" s="256"/>
      <c r="DG55298" s="256"/>
    </row>
    <row r="55299" spans="104:111">
      <c r="CZ55299" s="256"/>
      <c r="DG55299" s="256"/>
    </row>
    <row r="55300" spans="104:111">
      <c r="CZ55300" s="256"/>
      <c r="DG55300" s="256"/>
    </row>
    <row r="55301" spans="104:111">
      <c r="CZ55301" s="256"/>
      <c r="DG55301" s="256"/>
    </row>
    <row r="55302" spans="104:111">
      <c r="CZ55302" s="256"/>
      <c r="DG55302" s="256"/>
    </row>
    <row r="55303" spans="104:111">
      <c r="CZ55303" s="256"/>
      <c r="DG55303" s="256"/>
    </row>
    <row r="55304" spans="104:111">
      <c r="CZ55304" s="256"/>
      <c r="DG55304" s="256"/>
    </row>
    <row r="55305" spans="104:111">
      <c r="CZ55305" s="256"/>
      <c r="DG55305" s="256"/>
    </row>
    <row r="55306" spans="104:111">
      <c r="CZ55306" s="256"/>
      <c r="DG55306" s="256"/>
    </row>
    <row r="55307" spans="104:111">
      <c r="CZ55307" s="256"/>
      <c r="DG55307" s="256"/>
    </row>
    <row r="55308" spans="104:111">
      <c r="CZ55308" s="256"/>
      <c r="DG55308" s="256"/>
    </row>
    <row r="55309" spans="104:111">
      <c r="CZ55309" s="256"/>
      <c r="DG55309" s="256"/>
    </row>
    <row r="55310" spans="104:111">
      <c r="CZ55310" s="256"/>
      <c r="DG55310" s="256"/>
    </row>
    <row r="55311" spans="104:111">
      <c r="CZ55311" s="256"/>
      <c r="DG55311" s="256"/>
    </row>
    <row r="55312" spans="104:111">
      <c r="CZ55312" s="256"/>
      <c r="DG55312" s="256"/>
    </row>
    <row r="55313" spans="104:111">
      <c r="CZ55313" s="256"/>
      <c r="DG55313" s="256"/>
    </row>
    <row r="55314" spans="104:111">
      <c r="CZ55314" s="256"/>
      <c r="DG55314" s="256"/>
    </row>
    <row r="55315" spans="104:111">
      <c r="CZ55315" s="256"/>
      <c r="DG55315" s="256"/>
    </row>
    <row r="55316" spans="104:111">
      <c r="CZ55316" s="256"/>
      <c r="DG55316" s="256"/>
    </row>
    <row r="55317" spans="104:111">
      <c r="CZ55317" s="256"/>
      <c r="DG55317" s="256"/>
    </row>
    <row r="55318" spans="104:111">
      <c r="CZ55318" s="256"/>
      <c r="DG55318" s="256"/>
    </row>
    <row r="55319" spans="104:111">
      <c r="CZ55319" s="256"/>
      <c r="DG55319" s="256"/>
    </row>
    <row r="55320" spans="104:111">
      <c r="CZ55320" s="256"/>
      <c r="DG55320" s="256"/>
    </row>
    <row r="55321" spans="104:111">
      <c r="CZ55321" s="256"/>
      <c r="DG55321" s="256"/>
    </row>
    <row r="55322" spans="104:111">
      <c r="CZ55322" s="256"/>
      <c r="DG55322" s="256"/>
    </row>
    <row r="55323" spans="104:111">
      <c r="CZ55323" s="256"/>
      <c r="DG55323" s="256"/>
    </row>
    <row r="55324" spans="104:111">
      <c r="CZ55324" s="256"/>
      <c r="DG55324" s="256"/>
    </row>
    <row r="55325" spans="104:111">
      <c r="CZ55325" s="256"/>
      <c r="DG55325" s="256"/>
    </row>
    <row r="55326" spans="104:111">
      <c r="CZ55326" s="256"/>
      <c r="DG55326" s="256"/>
    </row>
    <row r="55327" spans="104:111">
      <c r="CZ55327" s="256"/>
      <c r="DG55327" s="256"/>
    </row>
    <row r="55328" spans="104:111">
      <c r="CZ55328" s="256"/>
      <c r="DG55328" s="256"/>
    </row>
    <row r="55329" spans="104:111">
      <c r="CZ55329" s="256"/>
      <c r="DG55329" s="256"/>
    </row>
    <row r="55330" spans="104:111">
      <c r="CZ55330" s="256"/>
      <c r="DG55330" s="256"/>
    </row>
    <row r="55331" spans="104:111">
      <c r="CZ55331" s="256"/>
      <c r="DG55331" s="256"/>
    </row>
    <row r="55332" spans="104:111">
      <c r="CZ55332" s="256"/>
      <c r="DG55332" s="256"/>
    </row>
    <row r="55333" spans="104:111">
      <c r="CZ55333" s="256"/>
      <c r="DG55333" s="256"/>
    </row>
    <row r="55334" spans="104:111">
      <c r="CZ55334" s="256"/>
      <c r="DG55334" s="256"/>
    </row>
    <row r="55335" spans="104:111">
      <c r="CZ55335" s="256"/>
      <c r="DG55335" s="256"/>
    </row>
    <row r="55336" spans="104:111">
      <c r="CZ55336" s="256"/>
      <c r="DG55336" s="256"/>
    </row>
    <row r="55337" spans="104:111">
      <c r="CZ55337" s="256"/>
      <c r="DG55337" s="256"/>
    </row>
    <row r="55338" spans="104:111">
      <c r="CZ55338" s="256"/>
      <c r="DG55338" s="256"/>
    </row>
    <row r="55339" spans="104:111">
      <c r="CZ55339" s="256"/>
      <c r="DG55339" s="256"/>
    </row>
    <row r="55340" spans="104:111">
      <c r="CZ55340" s="256"/>
      <c r="DG55340" s="256"/>
    </row>
    <row r="55341" spans="104:111">
      <c r="CZ55341" s="256"/>
      <c r="DG55341" s="256"/>
    </row>
    <row r="55342" spans="104:111">
      <c r="CZ55342" s="256"/>
      <c r="DG55342" s="256"/>
    </row>
    <row r="55343" spans="104:111">
      <c r="CZ55343" s="256"/>
      <c r="DG55343" s="256"/>
    </row>
    <row r="55344" spans="104:111">
      <c r="CZ55344" s="256"/>
      <c r="DG55344" s="256"/>
    </row>
    <row r="55345" spans="104:111">
      <c r="CZ55345" s="256"/>
      <c r="DG55345" s="256"/>
    </row>
    <row r="55346" spans="104:111">
      <c r="CZ55346" s="256"/>
      <c r="DG55346" s="256"/>
    </row>
    <row r="55347" spans="104:111">
      <c r="CZ55347" s="256"/>
      <c r="DG55347" s="256"/>
    </row>
    <row r="55348" spans="104:111">
      <c r="CZ55348" s="256"/>
      <c r="DG55348" s="256"/>
    </row>
    <row r="55349" spans="104:111">
      <c r="CZ55349" s="256"/>
      <c r="DG55349" s="256"/>
    </row>
    <row r="55350" spans="104:111">
      <c r="CZ55350" s="256"/>
      <c r="DG55350" s="256"/>
    </row>
    <row r="55351" spans="104:111">
      <c r="CZ55351" s="256"/>
      <c r="DG55351" s="256"/>
    </row>
    <row r="55352" spans="104:111">
      <c r="CZ55352" s="256"/>
      <c r="DG55352" s="256"/>
    </row>
    <row r="55353" spans="104:111">
      <c r="CZ55353" s="256"/>
      <c r="DG55353" s="256"/>
    </row>
    <row r="55354" spans="104:111">
      <c r="CZ55354" s="256"/>
      <c r="DG55354" s="256"/>
    </row>
    <row r="55355" spans="104:111">
      <c r="CZ55355" s="256"/>
      <c r="DG55355" s="256"/>
    </row>
    <row r="55356" spans="104:111">
      <c r="CZ55356" s="256"/>
      <c r="DG55356" s="256"/>
    </row>
    <row r="55357" spans="104:111">
      <c r="CZ55357" s="256"/>
      <c r="DG55357" s="256"/>
    </row>
    <row r="55358" spans="104:111">
      <c r="CZ55358" s="256"/>
      <c r="DG55358" s="256"/>
    </row>
    <row r="55359" spans="104:111">
      <c r="CZ55359" s="256"/>
      <c r="DG55359" s="256"/>
    </row>
    <row r="55360" spans="104:111">
      <c r="CZ55360" s="256"/>
      <c r="DG55360" s="256"/>
    </row>
    <row r="55361" spans="104:111">
      <c r="CZ55361" s="256"/>
      <c r="DG55361" s="256"/>
    </row>
    <row r="55362" spans="104:111">
      <c r="CZ55362" s="256"/>
      <c r="DG55362" s="256"/>
    </row>
    <row r="55363" spans="104:111">
      <c r="CZ55363" s="256"/>
      <c r="DG55363" s="256"/>
    </row>
    <row r="55364" spans="104:111">
      <c r="CZ55364" s="256"/>
      <c r="DG55364" s="256"/>
    </row>
    <row r="55365" spans="104:111">
      <c r="CZ55365" s="256"/>
      <c r="DG55365" s="256"/>
    </row>
    <row r="55366" spans="104:111">
      <c r="CZ55366" s="256"/>
      <c r="DG55366" s="256"/>
    </row>
    <row r="55367" spans="104:111">
      <c r="CZ55367" s="256"/>
      <c r="DG55367" s="256"/>
    </row>
    <row r="55368" spans="104:111">
      <c r="CZ55368" s="256"/>
      <c r="DG55368" s="256"/>
    </row>
    <row r="55369" spans="104:111">
      <c r="CZ55369" s="256"/>
      <c r="DG55369" s="256"/>
    </row>
    <row r="55370" spans="104:111">
      <c r="CZ55370" s="256"/>
      <c r="DG55370" s="256"/>
    </row>
    <row r="55371" spans="104:111">
      <c r="CZ55371" s="256"/>
      <c r="DG55371" s="256"/>
    </row>
    <row r="55372" spans="104:111">
      <c r="CZ55372" s="256"/>
      <c r="DG55372" s="256"/>
    </row>
    <row r="55373" spans="104:111">
      <c r="CZ55373" s="256"/>
      <c r="DG55373" s="256"/>
    </row>
    <row r="55374" spans="104:111">
      <c r="CZ55374" s="256"/>
      <c r="DG55374" s="256"/>
    </row>
    <row r="55375" spans="104:111">
      <c r="CZ55375" s="256"/>
      <c r="DG55375" s="256"/>
    </row>
    <row r="55376" spans="104:111">
      <c r="CZ55376" s="256"/>
      <c r="DG55376" s="256"/>
    </row>
    <row r="55377" spans="104:111">
      <c r="CZ55377" s="256"/>
      <c r="DG55377" s="256"/>
    </row>
    <row r="55378" spans="104:111">
      <c r="CZ55378" s="256"/>
      <c r="DG55378" s="256"/>
    </row>
    <row r="55379" spans="104:111">
      <c r="CZ55379" s="256"/>
      <c r="DG55379" s="256"/>
    </row>
    <row r="55380" spans="104:111">
      <c r="CZ55380" s="256"/>
      <c r="DG55380" s="256"/>
    </row>
    <row r="55381" spans="104:111">
      <c r="CZ55381" s="256"/>
      <c r="DG55381" s="256"/>
    </row>
    <row r="55382" spans="104:111">
      <c r="CZ55382" s="256"/>
      <c r="DG55382" s="256"/>
    </row>
    <row r="55383" spans="104:111">
      <c r="CZ55383" s="256"/>
      <c r="DG55383" s="256"/>
    </row>
    <row r="55384" spans="104:111">
      <c r="CZ55384" s="256"/>
      <c r="DG55384" s="256"/>
    </row>
    <row r="55385" spans="104:111">
      <c r="CZ55385" s="256"/>
      <c r="DG55385" s="256"/>
    </row>
    <row r="55386" spans="104:111">
      <c r="CZ55386" s="256"/>
      <c r="DG55386" s="256"/>
    </row>
    <row r="55387" spans="104:111">
      <c r="CZ55387" s="256"/>
      <c r="DG55387" s="256"/>
    </row>
    <row r="55388" spans="104:111">
      <c r="CZ55388" s="256"/>
      <c r="DG55388" s="256"/>
    </row>
    <row r="55389" spans="104:111">
      <c r="CZ55389" s="256"/>
      <c r="DG55389" s="256"/>
    </row>
    <row r="55390" spans="104:111">
      <c r="CZ55390" s="256"/>
      <c r="DG55390" s="256"/>
    </row>
    <row r="55391" spans="104:111">
      <c r="CZ55391" s="256"/>
      <c r="DG55391" s="256"/>
    </row>
    <row r="55392" spans="104:111">
      <c r="CZ55392" s="256"/>
      <c r="DG55392" s="256"/>
    </row>
    <row r="55393" spans="104:111">
      <c r="CZ55393" s="256"/>
      <c r="DG55393" s="256"/>
    </row>
    <row r="55394" spans="104:111">
      <c r="CZ55394" s="256"/>
      <c r="DG55394" s="256"/>
    </row>
    <row r="55395" spans="104:111">
      <c r="CZ55395" s="256"/>
      <c r="DG55395" s="256"/>
    </row>
    <row r="55396" spans="104:111">
      <c r="CZ55396" s="256"/>
      <c r="DG55396" s="256"/>
    </row>
    <row r="55397" spans="104:111">
      <c r="CZ55397" s="256"/>
      <c r="DG55397" s="256"/>
    </row>
    <row r="55398" spans="104:111">
      <c r="CZ55398" s="256"/>
      <c r="DG55398" s="256"/>
    </row>
    <row r="55399" spans="104:111">
      <c r="CZ55399" s="256"/>
      <c r="DG55399" s="256"/>
    </row>
    <row r="55400" spans="104:111">
      <c r="CZ55400" s="256"/>
      <c r="DG55400" s="256"/>
    </row>
    <row r="55401" spans="104:111">
      <c r="CZ55401" s="256"/>
      <c r="DG55401" s="256"/>
    </row>
    <row r="55402" spans="104:111">
      <c r="CZ55402" s="256"/>
      <c r="DG55402" s="256"/>
    </row>
    <row r="55403" spans="104:111">
      <c r="CZ55403" s="256"/>
      <c r="DG55403" s="256"/>
    </row>
    <row r="55404" spans="104:111">
      <c r="CZ55404" s="256"/>
      <c r="DG55404" s="256"/>
    </row>
    <row r="55405" spans="104:111">
      <c r="CZ55405" s="256"/>
      <c r="DG55405" s="256"/>
    </row>
    <row r="55406" spans="104:111">
      <c r="CZ55406" s="256"/>
      <c r="DG55406" s="256"/>
    </row>
    <row r="55407" spans="104:111">
      <c r="CZ55407" s="256"/>
      <c r="DG55407" s="256"/>
    </row>
    <row r="55408" spans="104:111">
      <c r="CZ55408" s="256"/>
      <c r="DG55408" s="256"/>
    </row>
    <row r="55409" spans="104:111">
      <c r="CZ55409" s="256"/>
      <c r="DG55409" s="256"/>
    </row>
    <row r="55410" spans="104:111">
      <c r="CZ55410" s="256"/>
      <c r="DG55410" s="256"/>
    </row>
    <row r="55411" spans="104:111">
      <c r="CZ55411" s="256"/>
      <c r="DG55411" s="256"/>
    </row>
    <row r="55412" spans="104:111">
      <c r="CZ55412" s="256"/>
      <c r="DG55412" s="256"/>
    </row>
    <row r="55413" spans="104:111">
      <c r="CZ55413" s="256"/>
      <c r="DG55413" s="256"/>
    </row>
    <row r="55414" spans="104:111">
      <c r="CZ55414" s="256"/>
      <c r="DG55414" s="256"/>
    </row>
    <row r="55415" spans="104:111">
      <c r="CZ55415" s="256"/>
      <c r="DG55415" s="256"/>
    </row>
    <row r="55416" spans="104:111">
      <c r="CZ55416" s="256"/>
      <c r="DG55416" s="256"/>
    </row>
    <row r="55417" spans="104:111">
      <c r="CZ55417" s="256"/>
      <c r="DG55417" s="256"/>
    </row>
    <row r="55418" spans="104:111">
      <c r="CZ55418" s="256"/>
      <c r="DG55418" s="256"/>
    </row>
    <row r="55419" spans="104:111">
      <c r="CZ55419" s="256"/>
      <c r="DG55419" s="256"/>
    </row>
    <row r="55420" spans="104:111">
      <c r="CZ55420" s="256"/>
      <c r="DG55420" s="256"/>
    </row>
    <row r="55421" spans="104:111">
      <c r="CZ55421" s="256"/>
      <c r="DG55421" s="256"/>
    </row>
    <row r="55422" spans="104:111">
      <c r="CZ55422" s="256"/>
      <c r="DG55422" s="256"/>
    </row>
    <row r="55423" spans="104:111">
      <c r="CZ55423" s="256"/>
      <c r="DG55423" s="256"/>
    </row>
    <row r="55424" spans="104:111">
      <c r="CZ55424" s="256"/>
      <c r="DG55424" s="256"/>
    </row>
    <row r="55425" spans="104:111">
      <c r="CZ55425" s="256"/>
      <c r="DG55425" s="256"/>
    </row>
    <row r="55426" spans="104:111">
      <c r="CZ55426" s="256"/>
      <c r="DG55426" s="256"/>
    </row>
    <row r="55427" spans="104:111">
      <c r="CZ55427" s="256"/>
      <c r="DG55427" s="256"/>
    </row>
    <row r="55428" spans="104:111">
      <c r="CZ55428" s="256"/>
      <c r="DG55428" s="256"/>
    </row>
    <row r="55429" spans="104:111">
      <c r="CZ55429" s="256"/>
      <c r="DG55429" s="256"/>
    </row>
    <row r="55430" spans="104:111">
      <c r="CZ55430" s="256"/>
      <c r="DG55430" s="256"/>
    </row>
    <row r="55431" spans="104:111">
      <c r="CZ55431" s="256"/>
      <c r="DG55431" s="256"/>
    </row>
    <row r="55432" spans="104:111">
      <c r="CZ55432" s="256"/>
      <c r="DG55432" s="256"/>
    </row>
    <row r="55433" spans="104:111">
      <c r="CZ55433" s="256"/>
      <c r="DG55433" s="256"/>
    </row>
    <row r="55434" spans="104:111">
      <c r="CZ55434" s="256"/>
      <c r="DG55434" s="256"/>
    </row>
    <row r="55435" spans="104:111">
      <c r="CZ55435" s="256"/>
      <c r="DG55435" s="256"/>
    </row>
    <row r="55436" spans="104:111">
      <c r="CZ55436" s="256"/>
      <c r="DG55436" s="256"/>
    </row>
    <row r="55437" spans="104:111">
      <c r="CZ55437" s="256"/>
      <c r="DG55437" s="256"/>
    </row>
    <row r="55438" spans="104:111">
      <c r="CZ55438" s="256"/>
      <c r="DG55438" s="256"/>
    </row>
    <row r="55439" spans="104:111">
      <c r="CZ55439" s="256"/>
      <c r="DG55439" s="256"/>
    </row>
    <row r="55440" spans="104:111">
      <c r="CZ55440" s="256"/>
      <c r="DG55440" s="256"/>
    </row>
    <row r="55441" spans="104:111">
      <c r="CZ55441" s="256"/>
      <c r="DG55441" s="256"/>
    </row>
    <row r="55442" spans="104:111">
      <c r="CZ55442" s="256"/>
      <c r="DG55442" s="256"/>
    </row>
    <row r="55443" spans="104:111">
      <c r="CZ55443" s="256"/>
      <c r="DG55443" s="256"/>
    </row>
    <row r="55444" spans="104:111">
      <c r="CZ55444" s="256"/>
      <c r="DG55444" s="256"/>
    </row>
    <row r="55445" spans="104:111">
      <c r="CZ55445" s="256"/>
      <c r="DG55445" s="256"/>
    </row>
    <row r="55446" spans="104:111">
      <c r="CZ55446" s="256"/>
      <c r="DG55446" s="256"/>
    </row>
    <row r="55447" spans="104:111">
      <c r="CZ55447" s="256"/>
      <c r="DG55447" s="256"/>
    </row>
    <row r="55448" spans="104:111">
      <c r="CZ55448" s="256"/>
      <c r="DG55448" s="256"/>
    </row>
    <row r="55449" spans="104:111">
      <c r="CZ55449" s="256"/>
      <c r="DG55449" s="256"/>
    </row>
    <row r="55450" spans="104:111">
      <c r="CZ55450" s="256"/>
      <c r="DG55450" s="256"/>
    </row>
    <row r="55451" spans="104:111">
      <c r="CZ55451" s="256"/>
      <c r="DG55451" s="256"/>
    </row>
    <row r="55452" spans="104:111">
      <c r="CZ55452" s="256"/>
      <c r="DG55452" s="256"/>
    </row>
    <row r="55453" spans="104:111">
      <c r="CZ55453" s="256"/>
      <c r="DG55453" s="256"/>
    </row>
    <row r="55454" spans="104:111">
      <c r="CZ55454" s="256"/>
      <c r="DG55454" s="256"/>
    </row>
    <row r="55455" spans="104:111">
      <c r="CZ55455" s="256"/>
      <c r="DG55455" s="256"/>
    </row>
    <row r="55456" spans="104:111">
      <c r="CZ55456" s="256"/>
      <c r="DG55456" s="256"/>
    </row>
    <row r="55457" spans="104:111">
      <c r="CZ55457" s="256"/>
      <c r="DG55457" s="256"/>
    </row>
    <row r="55458" spans="104:111">
      <c r="CZ55458" s="256"/>
      <c r="DG55458" s="256"/>
    </row>
    <row r="55459" spans="104:111">
      <c r="CZ55459" s="256"/>
      <c r="DG55459" s="256"/>
    </row>
    <row r="55460" spans="104:111">
      <c r="CZ55460" s="256"/>
      <c r="DG55460" s="256"/>
    </row>
    <row r="55461" spans="104:111">
      <c r="CZ55461" s="256"/>
      <c r="DG55461" s="256"/>
    </row>
    <row r="55462" spans="104:111">
      <c r="CZ55462" s="256"/>
      <c r="DG55462" s="256"/>
    </row>
    <row r="55463" spans="104:111">
      <c r="CZ55463" s="256"/>
      <c r="DG55463" s="256"/>
    </row>
    <row r="55464" spans="104:111">
      <c r="CZ55464" s="256"/>
      <c r="DG55464" s="256"/>
    </row>
    <row r="55465" spans="104:111">
      <c r="CZ55465" s="256"/>
      <c r="DG55465" s="256"/>
    </row>
    <row r="55466" spans="104:111">
      <c r="CZ55466" s="256"/>
      <c r="DG55466" s="256"/>
    </row>
    <row r="55467" spans="104:111">
      <c r="CZ55467" s="256"/>
      <c r="DG55467" s="256"/>
    </row>
    <row r="55468" spans="104:111">
      <c r="CZ55468" s="256"/>
      <c r="DG55468" s="256"/>
    </row>
    <row r="55469" spans="104:111">
      <c r="CZ55469" s="256"/>
      <c r="DG55469" s="256"/>
    </row>
    <row r="55470" spans="104:111">
      <c r="CZ55470" s="256"/>
      <c r="DG55470" s="256"/>
    </row>
    <row r="55471" spans="104:111">
      <c r="CZ55471" s="256"/>
      <c r="DG55471" s="256"/>
    </row>
    <row r="55472" spans="104:111">
      <c r="CZ55472" s="256"/>
      <c r="DG55472" s="256"/>
    </row>
    <row r="55473" spans="104:111">
      <c r="CZ55473" s="256"/>
      <c r="DG55473" s="256"/>
    </row>
    <row r="55474" spans="104:111">
      <c r="CZ55474" s="256"/>
      <c r="DG55474" s="256"/>
    </row>
    <row r="55475" spans="104:111">
      <c r="CZ55475" s="256"/>
      <c r="DG55475" s="256"/>
    </row>
    <row r="55476" spans="104:111">
      <c r="CZ55476" s="256"/>
      <c r="DG55476" s="256"/>
    </row>
    <row r="55477" spans="104:111">
      <c r="CZ55477" s="256"/>
      <c r="DG55477" s="256"/>
    </row>
    <row r="55478" spans="104:111">
      <c r="CZ55478" s="256"/>
      <c r="DG55478" s="256"/>
    </row>
    <row r="55479" spans="104:111">
      <c r="CZ55479" s="256"/>
      <c r="DG55479" s="256"/>
    </row>
    <row r="55480" spans="104:111">
      <c r="CZ55480" s="256"/>
      <c r="DG55480" s="256"/>
    </row>
    <row r="55481" spans="104:111">
      <c r="CZ55481" s="256"/>
      <c r="DG55481" s="256"/>
    </row>
    <row r="55482" spans="104:111">
      <c r="CZ55482" s="256"/>
      <c r="DG55482" s="256"/>
    </row>
    <row r="55483" spans="104:111">
      <c r="CZ55483" s="256"/>
      <c r="DG55483" s="256"/>
    </row>
    <row r="55484" spans="104:111">
      <c r="CZ55484" s="256"/>
      <c r="DG55484" s="256"/>
    </row>
    <row r="55485" spans="104:111">
      <c r="CZ55485" s="256"/>
      <c r="DG55485" s="256"/>
    </row>
    <row r="55486" spans="104:111">
      <c r="CZ55486" s="256"/>
      <c r="DG55486" s="256"/>
    </row>
    <row r="55487" spans="104:111">
      <c r="CZ55487" s="256"/>
      <c r="DG55487" s="256"/>
    </row>
    <row r="55488" spans="104:111">
      <c r="CZ55488" s="256"/>
      <c r="DG55488" s="256"/>
    </row>
    <row r="55489" spans="104:111">
      <c r="CZ55489" s="256"/>
      <c r="DG55489" s="256"/>
    </row>
    <row r="55490" spans="104:111">
      <c r="CZ55490" s="256"/>
      <c r="DG55490" s="256"/>
    </row>
    <row r="55491" spans="104:111">
      <c r="CZ55491" s="256"/>
      <c r="DG55491" s="256"/>
    </row>
    <row r="55492" spans="104:111">
      <c r="CZ55492" s="256"/>
      <c r="DG55492" s="256"/>
    </row>
    <row r="55493" spans="104:111">
      <c r="CZ55493" s="256"/>
      <c r="DG55493" s="256"/>
    </row>
    <row r="55494" spans="104:111">
      <c r="CZ55494" s="256"/>
      <c r="DG55494" s="256"/>
    </row>
    <row r="55495" spans="104:111">
      <c r="CZ55495" s="256"/>
      <c r="DG55495" s="256"/>
    </row>
    <row r="55496" spans="104:111">
      <c r="CZ55496" s="256"/>
      <c r="DG55496" s="256"/>
    </row>
    <row r="55497" spans="104:111">
      <c r="CZ55497" s="256"/>
      <c r="DG55497" s="256"/>
    </row>
    <row r="55498" spans="104:111">
      <c r="CZ55498" s="256"/>
      <c r="DG55498" s="256"/>
    </row>
    <row r="55499" spans="104:111">
      <c r="CZ55499" s="256"/>
      <c r="DG55499" s="256"/>
    </row>
    <row r="55500" spans="104:111">
      <c r="CZ55500" s="256"/>
      <c r="DG55500" s="256"/>
    </row>
    <row r="55501" spans="104:111">
      <c r="CZ55501" s="256"/>
      <c r="DG55501" s="256"/>
    </row>
    <row r="55502" spans="104:111">
      <c r="CZ55502" s="256"/>
      <c r="DG55502" s="256"/>
    </row>
    <row r="55503" spans="104:111">
      <c r="CZ55503" s="256"/>
      <c r="DG55503" s="256"/>
    </row>
    <row r="55504" spans="104:111">
      <c r="CZ55504" s="256"/>
      <c r="DG55504" s="256"/>
    </row>
    <row r="55505" spans="104:111">
      <c r="CZ55505" s="256"/>
      <c r="DG55505" s="256"/>
    </row>
    <row r="55506" spans="104:111">
      <c r="CZ55506" s="256"/>
      <c r="DG55506" s="256"/>
    </row>
    <row r="55507" spans="104:111">
      <c r="CZ55507" s="256"/>
      <c r="DG55507" s="256"/>
    </row>
    <row r="55508" spans="104:111">
      <c r="CZ55508" s="256"/>
      <c r="DG55508" s="256"/>
    </row>
    <row r="55509" spans="104:111">
      <c r="CZ55509" s="256"/>
      <c r="DG55509" s="256"/>
    </row>
    <row r="55510" spans="104:111">
      <c r="CZ55510" s="256"/>
      <c r="DG55510" s="256"/>
    </row>
    <row r="55511" spans="104:111">
      <c r="CZ55511" s="256"/>
      <c r="DG55511" s="256"/>
    </row>
    <row r="55512" spans="104:111">
      <c r="CZ55512" s="256"/>
      <c r="DG55512" s="256"/>
    </row>
    <row r="55513" spans="104:111">
      <c r="CZ55513" s="256"/>
      <c r="DG55513" s="256"/>
    </row>
    <row r="55514" spans="104:111">
      <c r="CZ55514" s="256"/>
      <c r="DG55514" s="256"/>
    </row>
    <row r="55515" spans="104:111">
      <c r="CZ55515" s="256"/>
      <c r="DG55515" s="256"/>
    </row>
    <row r="55516" spans="104:111">
      <c r="CZ55516" s="256"/>
      <c r="DG55516" s="256"/>
    </row>
    <row r="55517" spans="104:111">
      <c r="CZ55517" s="256"/>
      <c r="DG55517" s="256"/>
    </row>
    <row r="55518" spans="104:111">
      <c r="CZ55518" s="256"/>
      <c r="DG55518" s="256"/>
    </row>
    <row r="55519" spans="104:111">
      <c r="CZ55519" s="256"/>
      <c r="DG55519" s="256"/>
    </row>
    <row r="55520" spans="104:111">
      <c r="CZ55520" s="256"/>
      <c r="DG55520" s="256"/>
    </row>
    <row r="55521" spans="104:111">
      <c r="CZ55521" s="256"/>
      <c r="DG55521" s="256"/>
    </row>
    <row r="55522" spans="104:111">
      <c r="CZ55522" s="256"/>
      <c r="DG55522" s="256"/>
    </row>
    <row r="55523" spans="104:111">
      <c r="CZ55523" s="256"/>
      <c r="DG55523" s="256"/>
    </row>
    <row r="55524" spans="104:111">
      <c r="CZ55524" s="256"/>
      <c r="DG55524" s="256"/>
    </row>
    <row r="55525" spans="104:111">
      <c r="CZ55525" s="256"/>
      <c r="DG55525" s="256"/>
    </row>
    <row r="55526" spans="104:111">
      <c r="CZ55526" s="256"/>
      <c r="DG55526" s="256"/>
    </row>
    <row r="55527" spans="104:111">
      <c r="CZ55527" s="256"/>
      <c r="DG55527" s="256"/>
    </row>
    <row r="55528" spans="104:111">
      <c r="CZ55528" s="256"/>
      <c r="DG55528" s="256"/>
    </row>
    <row r="55529" spans="104:111">
      <c r="CZ55529" s="256"/>
      <c r="DG55529" s="256"/>
    </row>
    <row r="55530" spans="104:111">
      <c r="CZ55530" s="256"/>
      <c r="DG55530" s="256"/>
    </row>
    <row r="55531" spans="104:111">
      <c r="CZ55531" s="256"/>
      <c r="DG55531" s="256"/>
    </row>
    <row r="55532" spans="104:111">
      <c r="CZ55532" s="256"/>
      <c r="DG55532" s="256"/>
    </row>
    <row r="55533" spans="104:111">
      <c r="CZ55533" s="256"/>
      <c r="DG55533" s="256"/>
    </row>
    <row r="55534" spans="104:111">
      <c r="CZ55534" s="256"/>
      <c r="DG55534" s="256"/>
    </row>
    <row r="55535" spans="104:111">
      <c r="CZ55535" s="256"/>
      <c r="DG55535" s="256"/>
    </row>
    <row r="55536" spans="104:111">
      <c r="CZ55536" s="256"/>
      <c r="DG55536" s="256"/>
    </row>
    <row r="55537" spans="104:111">
      <c r="CZ55537" s="256"/>
      <c r="DG55537" s="256"/>
    </row>
    <row r="55538" spans="104:111">
      <c r="CZ55538" s="256"/>
      <c r="DG55538" s="256"/>
    </row>
    <row r="55539" spans="104:111">
      <c r="CZ55539" s="256"/>
      <c r="DG55539" s="256"/>
    </row>
    <row r="55540" spans="104:111">
      <c r="CZ55540" s="256"/>
      <c r="DG55540" s="256"/>
    </row>
    <row r="55541" spans="104:111">
      <c r="CZ55541" s="256"/>
      <c r="DG55541" s="256"/>
    </row>
    <row r="55542" spans="104:111">
      <c r="CZ55542" s="256"/>
      <c r="DG55542" s="256"/>
    </row>
    <row r="55543" spans="104:111">
      <c r="CZ55543" s="256"/>
      <c r="DG55543" s="256"/>
    </row>
    <row r="55544" spans="104:111">
      <c r="CZ55544" s="256"/>
      <c r="DG55544" s="256"/>
    </row>
    <row r="55545" spans="104:111">
      <c r="CZ55545" s="256"/>
      <c r="DG55545" s="256"/>
    </row>
    <row r="55546" spans="104:111">
      <c r="CZ55546" s="256"/>
      <c r="DG55546" s="256"/>
    </row>
    <row r="55547" spans="104:111">
      <c r="CZ55547" s="256"/>
      <c r="DG55547" s="256"/>
    </row>
    <row r="55548" spans="104:111">
      <c r="CZ55548" s="256"/>
      <c r="DG55548" s="256"/>
    </row>
    <row r="55549" spans="104:111">
      <c r="CZ55549" s="256"/>
      <c r="DG55549" s="256"/>
    </row>
    <row r="55550" spans="104:111">
      <c r="CZ55550" s="256"/>
      <c r="DG55550" s="256"/>
    </row>
    <row r="55551" spans="104:111">
      <c r="CZ55551" s="256"/>
      <c r="DG55551" s="256"/>
    </row>
    <row r="55552" spans="104:111">
      <c r="CZ55552" s="256"/>
      <c r="DG55552" s="256"/>
    </row>
    <row r="55553" spans="104:111">
      <c r="CZ55553" s="256"/>
      <c r="DG55553" s="256"/>
    </row>
    <row r="55554" spans="104:111">
      <c r="CZ55554" s="256"/>
      <c r="DG55554" s="256"/>
    </row>
    <row r="55555" spans="104:111">
      <c r="CZ55555" s="256"/>
      <c r="DG55555" s="256"/>
    </row>
    <row r="55556" spans="104:111">
      <c r="CZ55556" s="256"/>
      <c r="DG55556" s="256"/>
    </row>
    <row r="55557" spans="104:111">
      <c r="CZ55557" s="256"/>
      <c r="DG55557" s="256"/>
    </row>
    <row r="55558" spans="104:111">
      <c r="CZ55558" s="256"/>
      <c r="DG55558" s="256"/>
    </row>
    <row r="55559" spans="104:111">
      <c r="CZ55559" s="256"/>
      <c r="DG55559" s="256"/>
    </row>
    <row r="55560" spans="104:111">
      <c r="CZ55560" s="256"/>
      <c r="DG55560" s="256"/>
    </row>
    <row r="55561" spans="104:111">
      <c r="CZ55561" s="256"/>
      <c r="DG55561" s="256"/>
    </row>
    <row r="55562" spans="104:111">
      <c r="CZ55562" s="256"/>
      <c r="DG55562" s="256"/>
    </row>
    <row r="55563" spans="104:111">
      <c r="CZ55563" s="256"/>
      <c r="DG55563" s="256"/>
    </row>
    <row r="55564" spans="104:111">
      <c r="CZ55564" s="256"/>
      <c r="DG55564" s="256"/>
    </row>
    <row r="55565" spans="104:111">
      <c r="CZ55565" s="256"/>
      <c r="DG55565" s="256"/>
    </row>
    <row r="55566" spans="104:111">
      <c r="CZ55566" s="256"/>
      <c r="DG55566" s="256"/>
    </row>
    <row r="55567" spans="104:111">
      <c r="CZ55567" s="256"/>
      <c r="DG55567" s="256"/>
    </row>
    <row r="55568" spans="104:111">
      <c r="CZ55568" s="256"/>
      <c r="DG55568" s="256"/>
    </row>
    <row r="55569" spans="104:111">
      <c r="CZ55569" s="256"/>
      <c r="DG55569" s="256"/>
    </row>
    <row r="55570" spans="104:111">
      <c r="CZ55570" s="256"/>
      <c r="DG55570" s="256"/>
    </row>
    <row r="55571" spans="104:111">
      <c r="CZ55571" s="256"/>
      <c r="DG55571" s="256"/>
    </row>
    <row r="55572" spans="104:111">
      <c r="CZ55572" s="256"/>
      <c r="DG55572" s="256"/>
    </row>
    <row r="55573" spans="104:111">
      <c r="CZ55573" s="256"/>
      <c r="DG55573" s="256"/>
    </row>
    <row r="55574" spans="104:111">
      <c r="CZ55574" s="256"/>
      <c r="DG55574" s="256"/>
    </row>
    <row r="55575" spans="104:111">
      <c r="CZ55575" s="256"/>
      <c r="DG55575" s="256"/>
    </row>
    <row r="55576" spans="104:111">
      <c r="CZ55576" s="256"/>
      <c r="DG55576" s="256"/>
    </row>
    <row r="55577" spans="104:111">
      <c r="CZ55577" s="256"/>
      <c r="DG55577" s="256"/>
    </row>
    <row r="55578" spans="104:111">
      <c r="CZ55578" s="256"/>
      <c r="DG55578" s="256"/>
    </row>
    <row r="55579" spans="104:111">
      <c r="CZ55579" s="256"/>
      <c r="DG55579" s="256"/>
    </row>
    <row r="55580" spans="104:111">
      <c r="CZ55580" s="256"/>
      <c r="DG55580" s="256"/>
    </row>
    <row r="55581" spans="104:111">
      <c r="CZ55581" s="256"/>
      <c r="DG55581" s="256"/>
    </row>
    <row r="55582" spans="104:111">
      <c r="CZ55582" s="256"/>
      <c r="DG55582" s="256"/>
    </row>
    <row r="55583" spans="104:111">
      <c r="CZ55583" s="256"/>
      <c r="DG55583" s="256"/>
    </row>
    <row r="55584" spans="104:111">
      <c r="CZ55584" s="256"/>
      <c r="DG55584" s="256"/>
    </row>
    <row r="55585" spans="104:111">
      <c r="CZ55585" s="256"/>
      <c r="DG55585" s="256"/>
    </row>
    <row r="55586" spans="104:111">
      <c r="CZ55586" s="256"/>
      <c r="DG55586" s="256"/>
    </row>
    <row r="55587" spans="104:111">
      <c r="CZ55587" s="256"/>
      <c r="DG55587" s="256"/>
    </row>
    <row r="55588" spans="104:111">
      <c r="CZ55588" s="256"/>
      <c r="DG55588" s="256"/>
    </row>
    <row r="55589" spans="104:111">
      <c r="CZ55589" s="256"/>
      <c r="DG55589" s="256"/>
    </row>
    <row r="55590" spans="104:111">
      <c r="CZ55590" s="256"/>
      <c r="DG55590" s="256"/>
    </row>
    <row r="55591" spans="104:111">
      <c r="CZ55591" s="256"/>
      <c r="DG55591" s="256"/>
    </row>
    <row r="55592" spans="104:111">
      <c r="CZ55592" s="256"/>
      <c r="DG55592" s="256"/>
    </row>
    <row r="55593" spans="104:111">
      <c r="CZ55593" s="256"/>
      <c r="DG55593" s="256"/>
    </row>
    <row r="55594" spans="104:111">
      <c r="CZ55594" s="256"/>
      <c r="DG55594" s="256"/>
    </row>
    <row r="55595" spans="104:111">
      <c r="CZ55595" s="256"/>
      <c r="DG55595" s="256"/>
    </row>
    <row r="55596" spans="104:111">
      <c r="CZ55596" s="256"/>
      <c r="DG55596" s="256"/>
    </row>
    <row r="55597" spans="104:111">
      <c r="CZ55597" s="256"/>
      <c r="DG55597" s="256"/>
    </row>
    <row r="55598" spans="104:111">
      <c r="CZ55598" s="256"/>
      <c r="DG55598" s="256"/>
    </row>
    <row r="55599" spans="104:111">
      <c r="CZ55599" s="256"/>
      <c r="DG55599" s="256"/>
    </row>
    <row r="55600" spans="104:111">
      <c r="CZ55600" s="256"/>
      <c r="DG55600" s="256"/>
    </row>
    <row r="55601" spans="104:111">
      <c r="CZ55601" s="256"/>
      <c r="DG55601" s="256"/>
    </row>
    <row r="55602" spans="104:111">
      <c r="CZ55602" s="256"/>
      <c r="DG55602" s="256"/>
    </row>
    <row r="55603" spans="104:111">
      <c r="CZ55603" s="256"/>
      <c r="DG55603" s="256"/>
    </row>
    <row r="55604" spans="104:111">
      <c r="CZ55604" s="256"/>
      <c r="DG55604" s="256"/>
    </row>
    <row r="55605" spans="104:111">
      <c r="CZ55605" s="256"/>
      <c r="DG55605" s="256"/>
    </row>
    <row r="55606" spans="104:111">
      <c r="CZ55606" s="256"/>
      <c r="DG55606" s="256"/>
    </row>
    <row r="55607" spans="104:111">
      <c r="CZ55607" s="256"/>
      <c r="DG55607" s="256"/>
    </row>
    <row r="55608" spans="104:111">
      <c r="CZ55608" s="256"/>
      <c r="DG55608" s="256"/>
    </row>
    <row r="55609" spans="104:111">
      <c r="CZ55609" s="256"/>
      <c r="DG55609" s="256"/>
    </row>
    <row r="55610" spans="104:111">
      <c r="CZ55610" s="256"/>
      <c r="DG55610" s="256"/>
    </row>
    <row r="55611" spans="104:111">
      <c r="CZ55611" s="256"/>
      <c r="DG55611" s="256"/>
    </row>
    <row r="55612" spans="104:111">
      <c r="CZ55612" s="256"/>
      <c r="DG55612" s="256"/>
    </row>
    <row r="55613" spans="104:111">
      <c r="CZ55613" s="256"/>
      <c r="DG55613" s="256"/>
    </row>
    <row r="55614" spans="104:111">
      <c r="CZ55614" s="256"/>
      <c r="DG55614" s="256"/>
    </row>
    <row r="55615" spans="104:111">
      <c r="CZ55615" s="256"/>
      <c r="DG55615" s="256"/>
    </row>
    <row r="55616" spans="104:111">
      <c r="CZ55616" s="256"/>
      <c r="DG55616" s="256"/>
    </row>
    <row r="55617" spans="104:111">
      <c r="CZ55617" s="256"/>
      <c r="DG55617" s="256"/>
    </row>
    <row r="55618" spans="104:111">
      <c r="CZ55618" s="256"/>
      <c r="DG55618" s="256"/>
    </row>
    <row r="55619" spans="104:111">
      <c r="CZ55619" s="256"/>
      <c r="DG55619" s="256"/>
    </row>
    <row r="55620" spans="104:111">
      <c r="CZ55620" s="256"/>
      <c r="DG55620" s="256"/>
    </row>
    <row r="55621" spans="104:111">
      <c r="CZ55621" s="256"/>
      <c r="DG55621" s="256"/>
    </row>
    <row r="55622" spans="104:111">
      <c r="CZ55622" s="256"/>
      <c r="DG55622" s="256"/>
    </row>
    <row r="55623" spans="104:111">
      <c r="CZ55623" s="256"/>
      <c r="DG55623" s="256"/>
    </row>
    <row r="55624" spans="104:111">
      <c r="CZ55624" s="256"/>
      <c r="DG55624" s="256"/>
    </row>
    <row r="55625" spans="104:111">
      <c r="CZ55625" s="256"/>
      <c r="DG55625" s="256"/>
    </row>
    <row r="55626" spans="104:111">
      <c r="CZ55626" s="256"/>
      <c r="DG55626" s="256"/>
    </row>
    <row r="55627" spans="104:111">
      <c r="CZ55627" s="256"/>
      <c r="DG55627" s="256"/>
    </row>
    <row r="55628" spans="104:111">
      <c r="CZ55628" s="256"/>
      <c r="DG55628" s="256"/>
    </row>
    <row r="55629" spans="104:111">
      <c r="CZ55629" s="256"/>
      <c r="DG55629" s="256"/>
    </row>
    <row r="55630" spans="104:111">
      <c r="CZ55630" s="256"/>
      <c r="DG55630" s="256"/>
    </row>
    <row r="55631" spans="104:111">
      <c r="CZ55631" s="256"/>
      <c r="DG55631" s="256"/>
    </row>
    <row r="55632" spans="104:111">
      <c r="CZ55632" s="256"/>
      <c r="DG55632" s="256"/>
    </row>
    <row r="55633" spans="104:111">
      <c r="CZ55633" s="256"/>
      <c r="DG55633" s="256"/>
    </row>
    <row r="55634" spans="104:111">
      <c r="CZ55634" s="256"/>
      <c r="DG55634" s="256"/>
    </row>
    <row r="55635" spans="104:111">
      <c r="CZ55635" s="256"/>
      <c r="DG55635" s="256"/>
    </row>
    <row r="55636" spans="104:111">
      <c r="CZ55636" s="256"/>
      <c r="DG55636" s="256"/>
    </row>
    <row r="55637" spans="104:111">
      <c r="CZ55637" s="256"/>
      <c r="DG55637" s="256"/>
    </row>
    <row r="55638" spans="104:111">
      <c r="CZ55638" s="256"/>
      <c r="DG55638" s="256"/>
    </row>
    <row r="55639" spans="104:111">
      <c r="CZ55639" s="256"/>
      <c r="DG55639" s="256"/>
    </row>
    <row r="55640" spans="104:111">
      <c r="CZ55640" s="256"/>
      <c r="DG55640" s="256"/>
    </row>
    <row r="55641" spans="104:111">
      <c r="CZ55641" s="256"/>
      <c r="DG55641" s="256"/>
    </row>
    <row r="55642" spans="104:111">
      <c r="CZ55642" s="256"/>
      <c r="DG55642" s="256"/>
    </row>
    <row r="55643" spans="104:111">
      <c r="CZ55643" s="256"/>
      <c r="DG55643" s="256"/>
    </row>
    <row r="55644" spans="104:111">
      <c r="CZ55644" s="256"/>
      <c r="DG55644" s="256"/>
    </row>
    <row r="55645" spans="104:111">
      <c r="CZ55645" s="256"/>
      <c r="DG55645" s="256"/>
    </row>
    <row r="55646" spans="104:111">
      <c r="CZ55646" s="256"/>
      <c r="DG55646" s="256"/>
    </row>
    <row r="55647" spans="104:111">
      <c r="CZ55647" s="256"/>
      <c r="DG55647" s="256"/>
    </row>
    <row r="55648" spans="104:111">
      <c r="CZ55648" s="256"/>
      <c r="DG55648" s="256"/>
    </row>
    <row r="55649" spans="104:111">
      <c r="CZ55649" s="256"/>
      <c r="DG55649" s="256"/>
    </row>
    <row r="55650" spans="104:111">
      <c r="CZ55650" s="256"/>
      <c r="DG55650" s="256"/>
    </row>
    <row r="55651" spans="104:111">
      <c r="CZ55651" s="256"/>
      <c r="DG55651" s="256"/>
    </row>
    <row r="55652" spans="104:111">
      <c r="CZ55652" s="256"/>
      <c r="DG55652" s="256"/>
    </row>
    <row r="55653" spans="104:111">
      <c r="CZ55653" s="256"/>
      <c r="DG55653" s="256"/>
    </row>
    <row r="55654" spans="104:111">
      <c r="CZ55654" s="256"/>
      <c r="DG55654" s="256"/>
    </row>
    <row r="55655" spans="104:111">
      <c r="CZ55655" s="256"/>
      <c r="DG55655" s="256"/>
    </row>
    <row r="55656" spans="104:111">
      <c r="CZ55656" s="256"/>
      <c r="DG55656" s="256"/>
    </row>
    <row r="55657" spans="104:111">
      <c r="CZ55657" s="256"/>
      <c r="DG55657" s="256"/>
    </row>
    <row r="55658" spans="104:111">
      <c r="CZ55658" s="256"/>
      <c r="DG55658" s="256"/>
    </row>
    <row r="55659" spans="104:111">
      <c r="CZ55659" s="256"/>
      <c r="DG55659" s="256"/>
    </row>
    <row r="55660" spans="104:111">
      <c r="CZ55660" s="256"/>
      <c r="DG55660" s="256"/>
    </row>
    <row r="55661" spans="104:111">
      <c r="CZ55661" s="256"/>
      <c r="DG55661" s="256"/>
    </row>
    <row r="55662" spans="104:111">
      <c r="CZ55662" s="256"/>
      <c r="DG55662" s="256"/>
    </row>
    <row r="55663" spans="104:111">
      <c r="CZ55663" s="256"/>
      <c r="DG55663" s="256"/>
    </row>
    <row r="55664" spans="104:111">
      <c r="CZ55664" s="256"/>
      <c r="DG55664" s="256"/>
    </row>
    <row r="55665" spans="104:111">
      <c r="CZ55665" s="256"/>
      <c r="DG55665" s="256"/>
    </row>
    <row r="55666" spans="104:111">
      <c r="CZ55666" s="256"/>
      <c r="DG55666" s="256"/>
    </row>
    <row r="55667" spans="104:111">
      <c r="CZ55667" s="256"/>
      <c r="DG55667" s="256"/>
    </row>
    <row r="55668" spans="104:111">
      <c r="CZ55668" s="256"/>
      <c r="DG55668" s="256"/>
    </row>
    <row r="55669" spans="104:111">
      <c r="CZ55669" s="256"/>
      <c r="DG55669" s="256"/>
    </row>
    <row r="55670" spans="104:111">
      <c r="CZ55670" s="256"/>
      <c r="DG55670" s="256"/>
    </row>
    <row r="55671" spans="104:111">
      <c r="CZ55671" s="256"/>
      <c r="DG55671" s="256"/>
    </row>
    <row r="55672" spans="104:111">
      <c r="CZ55672" s="256"/>
      <c r="DG55672" s="256"/>
    </row>
    <row r="55673" spans="104:111">
      <c r="CZ55673" s="256"/>
      <c r="DG55673" s="256"/>
    </row>
    <row r="55674" spans="104:111">
      <c r="CZ55674" s="256"/>
      <c r="DG55674" s="256"/>
    </row>
    <row r="55675" spans="104:111">
      <c r="CZ55675" s="256"/>
      <c r="DG55675" s="256"/>
    </row>
    <row r="55676" spans="104:111">
      <c r="CZ55676" s="256"/>
      <c r="DG55676" s="256"/>
    </row>
    <row r="55677" spans="104:111">
      <c r="CZ55677" s="256"/>
      <c r="DG55677" s="256"/>
    </row>
    <row r="55678" spans="104:111">
      <c r="CZ55678" s="256"/>
      <c r="DG55678" s="256"/>
    </row>
    <row r="55679" spans="104:111">
      <c r="CZ55679" s="256"/>
      <c r="DG55679" s="256"/>
    </row>
    <row r="55680" spans="104:111">
      <c r="CZ55680" s="256"/>
      <c r="DG55680" s="256"/>
    </row>
    <row r="55681" spans="104:111">
      <c r="CZ55681" s="256"/>
      <c r="DG55681" s="256"/>
    </row>
    <row r="55682" spans="104:111">
      <c r="CZ55682" s="256"/>
      <c r="DG55682" s="256"/>
    </row>
    <row r="55683" spans="104:111">
      <c r="CZ55683" s="256"/>
      <c r="DG55683" s="256"/>
    </row>
    <row r="55684" spans="104:111">
      <c r="CZ55684" s="256"/>
      <c r="DG55684" s="256"/>
    </row>
    <row r="55685" spans="104:111">
      <c r="CZ55685" s="256"/>
      <c r="DG55685" s="256"/>
    </row>
    <row r="55686" spans="104:111">
      <c r="CZ55686" s="256"/>
      <c r="DG55686" s="256"/>
    </row>
    <row r="55687" spans="104:111">
      <c r="CZ55687" s="256"/>
      <c r="DG55687" s="256"/>
    </row>
    <row r="55688" spans="104:111">
      <c r="CZ55688" s="256"/>
      <c r="DG55688" s="256"/>
    </row>
    <row r="55689" spans="104:111">
      <c r="CZ55689" s="256"/>
      <c r="DG55689" s="256"/>
    </row>
    <row r="55690" spans="104:111">
      <c r="CZ55690" s="256"/>
      <c r="DG55690" s="256"/>
    </row>
    <row r="55691" spans="104:111">
      <c r="CZ55691" s="256"/>
      <c r="DG55691" s="256"/>
    </row>
    <row r="55692" spans="104:111">
      <c r="CZ55692" s="256"/>
      <c r="DG55692" s="256"/>
    </row>
    <row r="55693" spans="104:111">
      <c r="CZ55693" s="256"/>
      <c r="DG55693" s="256"/>
    </row>
    <row r="55694" spans="104:111">
      <c r="CZ55694" s="256"/>
      <c r="DG55694" s="256"/>
    </row>
    <row r="55695" spans="104:111">
      <c r="CZ55695" s="256"/>
      <c r="DG55695" s="256"/>
    </row>
    <row r="55696" spans="104:111">
      <c r="CZ55696" s="256"/>
      <c r="DG55696" s="256"/>
    </row>
    <row r="55697" spans="104:111">
      <c r="CZ55697" s="256"/>
      <c r="DG55697" s="256"/>
    </row>
    <row r="55698" spans="104:111">
      <c r="CZ55698" s="256"/>
      <c r="DG55698" s="256"/>
    </row>
    <row r="55699" spans="104:111">
      <c r="CZ55699" s="256"/>
      <c r="DG55699" s="256"/>
    </row>
    <row r="55700" spans="104:111">
      <c r="CZ55700" s="256"/>
      <c r="DG55700" s="256"/>
    </row>
    <row r="55701" spans="104:111">
      <c r="CZ55701" s="256"/>
      <c r="DG55701" s="256"/>
    </row>
    <row r="55702" spans="104:111">
      <c r="CZ55702" s="256"/>
      <c r="DG55702" s="256"/>
    </row>
    <row r="55703" spans="104:111">
      <c r="CZ55703" s="256"/>
      <c r="DG55703" s="256"/>
    </row>
    <row r="55704" spans="104:111">
      <c r="CZ55704" s="256"/>
      <c r="DG55704" s="256"/>
    </row>
    <row r="55705" spans="104:111">
      <c r="CZ55705" s="256"/>
      <c r="DG55705" s="256"/>
    </row>
    <row r="55706" spans="104:111">
      <c r="CZ55706" s="256"/>
      <c r="DG55706" s="256"/>
    </row>
    <row r="55707" spans="104:111">
      <c r="CZ55707" s="256"/>
      <c r="DG55707" s="256"/>
    </row>
    <row r="55708" spans="104:111">
      <c r="CZ55708" s="256"/>
      <c r="DG55708" s="256"/>
    </row>
    <row r="55709" spans="104:111">
      <c r="CZ55709" s="256"/>
      <c r="DG55709" s="256"/>
    </row>
    <row r="55710" spans="104:111">
      <c r="CZ55710" s="256"/>
      <c r="DG55710" s="256"/>
    </row>
    <row r="55711" spans="104:111">
      <c r="CZ55711" s="256"/>
      <c r="DG55711" s="256"/>
    </row>
    <row r="55712" spans="104:111">
      <c r="CZ55712" s="256"/>
      <c r="DG55712" s="256"/>
    </row>
    <row r="55713" spans="104:111">
      <c r="CZ55713" s="256"/>
      <c r="DG55713" s="256"/>
    </row>
    <row r="55714" spans="104:111">
      <c r="CZ55714" s="256"/>
      <c r="DG55714" s="256"/>
    </row>
    <row r="55715" spans="104:111">
      <c r="CZ55715" s="256"/>
      <c r="DG55715" s="256"/>
    </row>
    <row r="55716" spans="104:111">
      <c r="CZ55716" s="256"/>
      <c r="DG55716" s="256"/>
    </row>
    <row r="55717" spans="104:111">
      <c r="CZ55717" s="256"/>
      <c r="DG55717" s="256"/>
    </row>
    <row r="55718" spans="104:111">
      <c r="CZ55718" s="256"/>
      <c r="DG55718" s="256"/>
    </row>
    <row r="55719" spans="104:111">
      <c r="CZ55719" s="256"/>
      <c r="DG55719" s="256"/>
    </row>
    <row r="55720" spans="104:111">
      <c r="CZ55720" s="256"/>
      <c r="DG55720" s="256"/>
    </row>
    <row r="55721" spans="104:111">
      <c r="CZ55721" s="256"/>
      <c r="DG55721" s="256"/>
    </row>
    <row r="55722" spans="104:111">
      <c r="CZ55722" s="256"/>
      <c r="DG55722" s="256"/>
    </row>
    <row r="55723" spans="104:111">
      <c r="CZ55723" s="256"/>
      <c r="DG55723" s="256"/>
    </row>
    <row r="55724" spans="104:111">
      <c r="CZ55724" s="256"/>
      <c r="DG55724" s="256"/>
    </row>
    <row r="55725" spans="104:111">
      <c r="CZ55725" s="256"/>
      <c r="DG55725" s="256"/>
    </row>
    <row r="55726" spans="104:111">
      <c r="CZ55726" s="256"/>
      <c r="DG55726" s="256"/>
    </row>
    <row r="55727" spans="104:111">
      <c r="CZ55727" s="256"/>
      <c r="DG55727" s="256"/>
    </row>
    <row r="55728" spans="104:111">
      <c r="CZ55728" s="256"/>
      <c r="DG55728" s="256"/>
    </row>
    <row r="55729" spans="104:111">
      <c r="CZ55729" s="256"/>
      <c r="DG55729" s="256"/>
    </row>
    <row r="55730" spans="104:111">
      <c r="CZ55730" s="256"/>
      <c r="DG55730" s="256"/>
    </row>
    <row r="55731" spans="104:111">
      <c r="CZ55731" s="256"/>
      <c r="DG55731" s="256"/>
    </row>
    <row r="55732" spans="104:111">
      <c r="CZ55732" s="256"/>
      <c r="DG55732" s="256"/>
    </row>
    <row r="55733" spans="104:111">
      <c r="CZ55733" s="256"/>
      <c r="DG55733" s="256"/>
    </row>
    <row r="55734" spans="104:111">
      <c r="CZ55734" s="256"/>
      <c r="DG55734" s="256"/>
    </row>
    <row r="55735" spans="104:111">
      <c r="CZ55735" s="256"/>
      <c r="DG55735" s="256"/>
    </row>
    <row r="55736" spans="104:111">
      <c r="CZ55736" s="256"/>
      <c r="DG55736" s="256"/>
    </row>
    <row r="55737" spans="104:111">
      <c r="CZ55737" s="256"/>
      <c r="DG55737" s="256"/>
    </row>
    <row r="55738" spans="104:111">
      <c r="CZ55738" s="256"/>
      <c r="DG55738" s="256"/>
    </row>
    <row r="55739" spans="104:111">
      <c r="CZ55739" s="256"/>
      <c r="DG55739" s="256"/>
    </row>
    <row r="55740" spans="104:111">
      <c r="CZ55740" s="256"/>
      <c r="DG55740" s="256"/>
    </row>
    <row r="55741" spans="104:111">
      <c r="CZ55741" s="256"/>
      <c r="DG55741" s="256"/>
    </row>
    <row r="55742" spans="104:111">
      <c r="CZ55742" s="256"/>
      <c r="DG55742" s="256"/>
    </row>
    <row r="55743" spans="104:111">
      <c r="CZ55743" s="256"/>
      <c r="DG55743" s="256"/>
    </row>
    <row r="55744" spans="104:111">
      <c r="CZ55744" s="256"/>
      <c r="DG55744" s="256"/>
    </row>
    <row r="55745" spans="104:111">
      <c r="CZ55745" s="256"/>
      <c r="DG55745" s="256"/>
    </row>
    <row r="55746" spans="104:111">
      <c r="CZ55746" s="256"/>
      <c r="DG55746" s="256"/>
    </row>
    <row r="55747" spans="104:111">
      <c r="CZ55747" s="256"/>
      <c r="DG55747" s="256"/>
    </row>
    <row r="55748" spans="104:111">
      <c r="CZ55748" s="256"/>
      <c r="DG55748" s="256"/>
    </row>
    <row r="55749" spans="104:111">
      <c r="CZ55749" s="256"/>
      <c r="DG55749" s="256"/>
    </row>
    <row r="55750" spans="104:111">
      <c r="CZ55750" s="256"/>
      <c r="DG55750" s="256"/>
    </row>
    <row r="55751" spans="104:111">
      <c r="CZ55751" s="256"/>
      <c r="DG55751" s="256"/>
    </row>
    <row r="55752" spans="104:111">
      <c r="CZ55752" s="256"/>
      <c r="DG55752" s="256"/>
    </row>
    <row r="55753" spans="104:111">
      <c r="CZ55753" s="256"/>
      <c r="DG55753" s="256"/>
    </row>
    <row r="55754" spans="104:111">
      <c r="CZ55754" s="256"/>
      <c r="DG55754" s="256"/>
    </row>
    <row r="55755" spans="104:111">
      <c r="CZ55755" s="256"/>
      <c r="DG55755" s="256"/>
    </row>
    <row r="55756" spans="104:111">
      <c r="CZ55756" s="256"/>
      <c r="DG55756" s="256"/>
    </row>
    <row r="55757" spans="104:111">
      <c r="CZ55757" s="256"/>
      <c r="DG55757" s="256"/>
    </row>
    <row r="55758" spans="104:111">
      <c r="CZ55758" s="256"/>
      <c r="DG55758" s="256"/>
    </row>
    <row r="55759" spans="104:111">
      <c r="CZ55759" s="256"/>
      <c r="DG55759" s="256"/>
    </row>
    <row r="55760" spans="104:111">
      <c r="CZ55760" s="256"/>
      <c r="DG55760" s="256"/>
    </row>
    <row r="55761" spans="104:111">
      <c r="CZ55761" s="256"/>
      <c r="DG55761" s="256"/>
    </row>
    <row r="55762" spans="104:111">
      <c r="CZ55762" s="256"/>
      <c r="DG55762" s="256"/>
    </row>
    <row r="55763" spans="104:111">
      <c r="CZ55763" s="256"/>
      <c r="DG55763" s="256"/>
    </row>
    <row r="55764" spans="104:111">
      <c r="CZ55764" s="256"/>
      <c r="DG55764" s="256"/>
    </row>
    <row r="55765" spans="104:111">
      <c r="CZ55765" s="256"/>
      <c r="DG55765" s="256"/>
    </row>
    <row r="55766" spans="104:111">
      <c r="CZ55766" s="256"/>
      <c r="DG55766" s="256"/>
    </row>
    <row r="55767" spans="104:111">
      <c r="CZ55767" s="256"/>
      <c r="DG55767" s="256"/>
    </row>
    <row r="55768" spans="104:111">
      <c r="CZ55768" s="256"/>
      <c r="DG55768" s="256"/>
    </row>
    <row r="55769" spans="104:111">
      <c r="CZ55769" s="256"/>
      <c r="DG55769" s="256"/>
    </row>
    <row r="55770" spans="104:111">
      <c r="CZ55770" s="256"/>
      <c r="DG55770" s="256"/>
    </row>
    <row r="55771" spans="104:111">
      <c r="CZ55771" s="256"/>
      <c r="DG55771" s="256"/>
    </row>
    <row r="55772" spans="104:111">
      <c r="CZ55772" s="256"/>
      <c r="DG55772" s="256"/>
    </row>
    <row r="55773" spans="104:111">
      <c r="CZ55773" s="256"/>
      <c r="DG55773" s="256"/>
    </row>
    <row r="55774" spans="104:111">
      <c r="CZ55774" s="256"/>
      <c r="DG55774" s="256"/>
    </row>
    <row r="55775" spans="104:111">
      <c r="CZ55775" s="256"/>
      <c r="DG55775" s="256"/>
    </row>
    <row r="55776" spans="104:111">
      <c r="CZ55776" s="256"/>
      <c r="DG55776" s="256"/>
    </row>
    <row r="55777" spans="104:111">
      <c r="CZ55777" s="256"/>
      <c r="DG55777" s="256"/>
    </row>
    <row r="55778" spans="104:111">
      <c r="CZ55778" s="256"/>
      <c r="DG55778" s="256"/>
    </row>
    <row r="55779" spans="104:111">
      <c r="CZ55779" s="256"/>
      <c r="DG55779" s="256"/>
    </row>
    <row r="55780" spans="104:111">
      <c r="CZ55780" s="256"/>
      <c r="DG55780" s="256"/>
    </row>
    <row r="55781" spans="104:111">
      <c r="CZ55781" s="256"/>
      <c r="DG55781" s="256"/>
    </row>
    <row r="55782" spans="104:111">
      <c r="CZ55782" s="256"/>
      <c r="DG55782" s="256"/>
    </row>
    <row r="55783" spans="104:111">
      <c r="CZ55783" s="256"/>
      <c r="DG55783" s="256"/>
    </row>
    <row r="55784" spans="104:111">
      <c r="CZ55784" s="256"/>
      <c r="DG55784" s="256"/>
    </row>
    <row r="55785" spans="104:111">
      <c r="CZ55785" s="256"/>
      <c r="DG55785" s="256"/>
    </row>
    <row r="55786" spans="104:111">
      <c r="CZ55786" s="256"/>
      <c r="DG55786" s="256"/>
    </row>
    <row r="55787" spans="104:111">
      <c r="CZ55787" s="256"/>
      <c r="DG55787" s="256"/>
    </row>
    <row r="55788" spans="104:111">
      <c r="CZ55788" s="256"/>
      <c r="DG55788" s="256"/>
    </row>
    <row r="55789" spans="104:111">
      <c r="CZ55789" s="256"/>
      <c r="DG55789" s="256"/>
    </row>
    <row r="55790" spans="104:111">
      <c r="CZ55790" s="256"/>
      <c r="DG55790" s="256"/>
    </row>
    <row r="55791" spans="104:111">
      <c r="CZ55791" s="256"/>
      <c r="DG55791" s="256"/>
    </row>
    <row r="55792" spans="104:111">
      <c r="CZ55792" s="256"/>
      <c r="DG55792" s="256"/>
    </row>
    <row r="55793" spans="104:111">
      <c r="CZ55793" s="256"/>
      <c r="DG55793" s="256"/>
    </row>
    <row r="55794" spans="104:111">
      <c r="CZ55794" s="256"/>
      <c r="DG55794" s="256"/>
    </row>
    <row r="55795" spans="104:111">
      <c r="CZ55795" s="256"/>
      <c r="DG55795" s="256"/>
    </row>
    <row r="55796" spans="104:111">
      <c r="CZ55796" s="256"/>
      <c r="DG55796" s="256"/>
    </row>
    <row r="55797" spans="104:111">
      <c r="CZ55797" s="256"/>
      <c r="DG55797" s="256"/>
    </row>
    <row r="55798" spans="104:111">
      <c r="CZ55798" s="256"/>
      <c r="DG55798" s="256"/>
    </row>
    <row r="55799" spans="104:111">
      <c r="CZ55799" s="256"/>
      <c r="DG55799" s="256"/>
    </row>
    <row r="55800" spans="104:111">
      <c r="CZ55800" s="256"/>
      <c r="DG55800" s="256"/>
    </row>
    <row r="55801" spans="104:111">
      <c r="CZ55801" s="256"/>
      <c r="DG55801" s="256"/>
    </row>
    <row r="55802" spans="104:111">
      <c r="CZ55802" s="256"/>
      <c r="DG55802" s="256"/>
    </row>
    <row r="55803" spans="104:111">
      <c r="CZ55803" s="256"/>
      <c r="DG55803" s="256"/>
    </row>
    <row r="55804" spans="104:111">
      <c r="CZ55804" s="256"/>
      <c r="DG55804" s="256"/>
    </row>
    <row r="55805" spans="104:111">
      <c r="CZ55805" s="256"/>
      <c r="DG55805" s="256"/>
    </row>
    <row r="55806" spans="104:111">
      <c r="CZ55806" s="256"/>
      <c r="DG55806" s="256"/>
    </row>
    <row r="55807" spans="104:111">
      <c r="CZ55807" s="256"/>
      <c r="DG55807" s="256"/>
    </row>
    <row r="55808" spans="104:111">
      <c r="CZ55808" s="256"/>
      <c r="DG55808" s="256"/>
    </row>
    <row r="55809" spans="104:111">
      <c r="CZ55809" s="256"/>
      <c r="DG55809" s="256"/>
    </row>
    <row r="55810" spans="104:111">
      <c r="CZ55810" s="256"/>
      <c r="DG55810" s="256"/>
    </row>
    <row r="55811" spans="104:111">
      <c r="CZ55811" s="256"/>
      <c r="DG55811" s="256"/>
    </row>
    <row r="55812" spans="104:111">
      <c r="CZ55812" s="256"/>
      <c r="DG55812" s="256"/>
    </row>
    <row r="55813" spans="104:111">
      <c r="CZ55813" s="256"/>
      <c r="DG55813" s="256"/>
    </row>
    <row r="55814" spans="104:111">
      <c r="CZ55814" s="256"/>
      <c r="DG55814" s="256"/>
    </row>
    <row r="55815" spans="104:111">
      <c r="CZ55815" s="256"/>
      <c r="DG55815" s="256"/>
    </row>
    <row r="55816" spans="104:111">
      <c r="CZ55816" s="256"/>
      <c r="DG55816" s="256"/>
    </row>
    <row r="55817" spans="104:111">
      <c r="CZ55817" s="256"/>
      <c r="DG55817" s="256"/>
    </row>
    <row r="55818" spans="104:111">
      <c r="CZ55818" s="256"/>
      <c r="DG55818" s="256"/>
    </row>
    <row r="55819" spans="104:111">
      <c r="CZ55819" s="256"/>
      <c r="DG55819" s="256"/>
    </row>
    <row r="55820" spans="104:111">
      <c r="CZ55820" s="256"/>
      <c r="DG55820" s="256"/>
    </row>
    <row r="55821" spans="104:111">
      <c r="CZ55821" s="256"/>
      <c r="DG55821" s="256"/>
    </row>
    <row r="55822" spans="104:111">
      <c r="CZ55822" s="256"/>
      <c r="DG55822" s="256"/>
    </row>
    <row r="55823" spans="104:111">
      <c r="CZ55823" s="256"/>
      <c r="DG55823" s="256"/>
    </row>
    <row r="55824" spans="104:111">
      <c r="CZ55824" s="256"/>
      <c r="DG55824" s="256"/>
    </row>
    <row r="55825" spans="104:111">
      <c r="CZ55825" s="256"/>
      <c r="DG55825" s="256"/>
    </row>
    <row r="55826" spans="104:111">
      <c r="CZ55826" s="256"/>
      <c r="DG55826" s="256"/>
    </row>
    <row r="55827" spans="104:111">
      <c r="CZ55827" s="256"/>
      <c r="DG55827" s="256"/>
    </row>
    <row r="55828" spans="104:111">
      <c r="CZ55828" s="256"/>
      <c r="DG55828" s="256"/>
    </row>
    <row r="55829" spans="104:111">
      <c r="CZ55829" s="256"/>
      <c r="DG55829" s="256"/>
    </row>
    <row r="55830" spans="104:111">
      <c r="CZ55830" s="256"/>
      <c r="DG55830" s="256"/>
    </row>
    <row r="55831" spans="104:111">
      <c r="CZ55831" s="256"/>
      <c r="DG55831" s="256"/>
    </row>
    <row r="55832" spans="104:111">
      <c r="CZ55832" s="256"/>
      <c r="DG55832" s="256"/>
    </row>
    <row r="55833" spans="104:111">
      <c r="CZ55833" s="256"/>
      <c r="DG55833" s="256"/>
    </row>
    <row r="55834" spans="104:111">
      <c r="CZ55834" s="256"/>
      <c r="DG55834" s="256"/>
    </row>
    <row r="55835" spans="104:111">
      <c r="CZ55835" s="256"/>
      <c r="DG55835" s="256"/>
    </row>
    <row r="55836" spans="104:111">
      <c r="CZ55836" s="256"/>
      <c r="DG55836" s="256"/>
    </row>
    <row r="55837" spans="104:111">
      <c r="CZ55837" s="256"/>
      <c r="DG55837" s="256"/>
    </row>
    <row r="55838" spans="104:111">
      <c r="CZ55838" s="256"/>
      <c r="DG55838" s="256"/>
    </row>
    <row r="55839" spans="104:111">
      <c r="CZ55839" s="256"/>
      <c r="DG55839" s="256"/>
    </row>
    <row r="55840" spans="104:111">
      <c r="CZ55840" s="256"/>
      <c r="DG55840" s="256"/>
    </row>
    <row r="55841" spans="104:111">
      <c r="CZ55841" s="256"/>
      <c r="DG55841" s="256"/>
    </row>
    <row r="55842" spans="104:111">
      <c r="CZ55842" s="256"/>
      <c r="DG55842" s="256"/>
    </row>
    <row r="55843" spans="104:111">
      <c r="CZ55843" s="256"/>
      <c r="DG55843" s="256"/>
    </row>
    <row r="55844" spans="104:111">
      <c r="CZ55844" s="256"/>
      <c r="DG55844" s="256"/>
    </row>
    <row r="55845" spans="104:111">
      <c r="CZ55845" s="256"/>
      <c r="DG55845" s="256"/>
    </row>
    <row r="55846" spans="104:111">
      <c r="CZ55846" s="256"/>
      <c r="DG55846" s="256"/>
    </row>
    <row r="55847" spans="104:111">
      <c r="CZ55847" s="256"/>
      <c r="DG55847" s="256"/>
    </row>
    <row r="55848" spans="104:111">
      <c r="CZ55848" s="256"/>
      <c r="DG55848" s="256"/>
    </row>
    <row r="55849" spans="104:111">
      <c r="CZ55849" s="256"/>
      <c r="DG55849" s="256"/>
    </row>
    <row r="55850" spans="104:111">
      <c r="CZ55850" s="256"/>
      <c r="DG55850" s="256"/>
    </row>
    <row r="55851" spans="104:111">
      <c r="CZ55851" s="256"/>
      <c r="DG55851" s="256"/>
    </row>
    <row r="55852" spans="104:111">
      <c r="CZ55852" s="256"/>
      <c r="DG55852" s="256"/>
    </row>
    <row r="55853" spans="104:111">
      <c r="CZ55853" s="256"/>
      <c r="DG55853" s="256"/>
    </row>
    <row r="55854" spans="104:111">
      <c r="CZ55854" s="256"/>
      <c r="DG55854" s="256"/>
    </row>
    <row r="55855" spans="104:111">
      <c r="CZ55855" s="256"/>
      <c r="DG55855" s="256"/>
    </row>
    <row r="55856" spans="104:111">
      <c r="CZ55856" s="256"/>
      <c r="DG55856" s="256"/>
    </row>
    <row r="55857" spans="104:111">
      <c r="CZ55857" s="256"/>
      <c r="DG55857" s="256"/>
    </row>
    <row r="55858" spans="104:111">
      <c r="CZ55858" s="256"/>
      <c r="DG55858" s="256"/>
    </row>
    <row r="55859" spans="104:111">
      <c r="CZ55859" s="256"/>
      <c r="DG55859" s="256"/>
    </row>
    <row r="55860" spans="104:111">
      <c r="CZ55860" s="256"/>
      <c r="DG55860" s="256"/>
    </row>
    <row r="55861" spans="104:111">
      <c r="CZ55861" s="256"/>
      <c r="DG55861" s="256"/>
    </row>
    <row r="55862" spans="104:111">
      <c r="CZ55862" s="256"/>
      <c r="DG55862" s="256"/>
    </row>
    <row r="55863" spans="104:111">
      <c r="CZ55863" s="256"/>
      <c r="DG55863" s="256"/>
    </row>
    <row r="55864" spans="104:111">
      <c r="CZ55864" s="256"/>
      <c r="DG55864" s="256"/>
    </row>
    <row r="55865" spans="104:111">
      <c r="CZ55865" s="256"/>
      <c r="DG55865" s="256"/>
    </row>
    <row r="55866" spans="104:111">
      <c r="CZ55866" s="256"/>
      <c r="DG55866" s="256"/>
    </row>
    <row r="55867" spans="104:111">
      <c r="CZ55867" s="256"/>
      <c r="DG55867" s="256"/>
    </row>
    <row r="55868" spans="104:111">
      <c r="CZ55868" s="256"/>
      <c r="DG55868" s="256"/>
    </row>
    <row r="55869" spans="104:111">
      <c r="CZ55869" s="256"/>
      <c r="DG55869" s="256"/>
    </row>
    <row r="55870" spans="104:111">
      <c r="CZ55870" s="256"/>
      <c r="DG55870" s="256"/>
    </row>
    <row r="55871" spans="104:111">
      <c r="CZ55871" s="256"/>
      <c r="DG55871" s="256"/>
    </row>
    <row r="55872" spans="104:111">
      <c r="CZ55872" s="256"/>
      <c r="DG55872" s="256"/>
    </row>
    <row r="55873" spans="104:111">
      <c r="CZ55873" s="256"/>
      <c r="DG55873" s="256"/>
    </row>
    <row r="55874" spans="104:111">
      <c r="CZ55874" s="256"/>
      <c r="DG55874" s="256"/>
    </row>
    <row r="55875" spans="104:111">
      <c r="CZ55875" s="256"/>
      <c r="DG55875" s="256"/>
    </row>
    <row r="55876" spans="104:111">
      <c r="CZ55876" s="256"/>
      <c r="DG55876" s="256"/>
    </row>
    <row r="55877" spans="104:111">
      <c r="CZ55877" s="256"/>
      <c r="DG55877" s="256"/>
    </row>
    <row r="55878" spans="104:111">
      <c r="CZ55878" s="256"/>
      <c r="DG55878" s="256"/>
    </row>
    <row r="55879" spans="104:111">
      <c r="CZ55879" s="256"/>
      <c r="DG55879" s="256"/>
    </row>
    <row r="55880" spans="104:111">
      <c r="CZ55880" s="256"/>
      <c r="DG55880" s="256"/>
    </row>
    <row r="55881" spans="104:111">
      <c r="CZ55881" s="256"/>
      <c r="DG55881" s="256"/>
    </row>
    <row r="55882" spans="104:111">
      <c r="CZ55882" s="256"/>
      <c r="DG55882" s="256"/>
    </row>
    <row r="55883" spans="104:111">
      <c r="CZ55883" s="256"/>
      <c r="DG55883" s="256"/>
    </row>
    <row r="55884" spans="104:111">
      <c r="CZ55884" s="256"/>
      <c r="DG55884" s="256"/>
    </row>
    <row r="55885" spans="104:111">
      <c r="CZ55885" s="256"/>
      <c r="DG55885" s="256"/>
    </row>
    <row r="55886" spans="104:111">
      <c r="CZ55886" s="256"/>
      <c r="DG55886" s="256"/>
    </row>
    <row r="55887" spans="104:111">
      <c r="CZ55887" s="256"/>
      <c r="DG55887" s="256"/>
    </row>
    <row r="55888" spans="104:111">
      <c r="CZ55888" s="256"/>
      <c r="DG55888" s="256"/>
    </row>
    <row r="55889" spans="104:111">
      <c r="CZ55889" s="256"/>
      <c r="DG55889" s="256"/>
    </row>
    <row r="55890" spans="104:111">
      <c r="CZ55890" s="256"/>
      <c r="DG55890" s="256"/>
    </row>
    <row r="55891" spans="104:111">
      <c r="CZ55891" s="256"/>
      <c r="DG55891" s="256"/>
    </row>
    <row r="55892" spans="104:111">
      <c r="CZ55892" s="256"/>
      <c r="DG55892" s="256"/>
    </row>
    <row r="55893" spans="104:111">
      <c r="CZ55893" s="256"/>
      <c r="DG55893" s="256"/>
    </row>
    <row r="55894" spans="104:111">
      <c r="CZ55894" s="256"/>
      <c r="DG55894" s="256"/>
    </row>
    <row r="55895" spans="104:111">
      <c r="CZ55895" s="256"/>
      <c r="DG55895" s="256"/>
    </row>
    <row r="55896" spans="104:111">
      <c r="CZ55896" s="256"/>
      <c r="DG55896" s="256"/>
    </row>
    <row r="55897" spans="104:111">
      <c r="CZ55897" s="256"/>
      <c r="DG55897" s="256"/>
    </row>
    <row r="55898" spans="104:111">
      <c r="CZ55898" s="256"/>
      <c r="DG55898" s="256"/>
    </row>
    <row r="55899" spans="104:111">
      <c r="CZ55899" s="256"/>
      <c r="DG55899" s="256"/>
    </row>
    <row r="55900" spans="104:111">
      <c r="CZ55900" s="256"/>
      <c r="DG55900" s="256"/>
    </row>
    <row r="55901" spans="104:111">
      <c r="CZ55901" s="256"/>
      <c r="DG55901" s="256"/>
    </row>
    <row r="55902" spans="104:111">
      <c r="CZ55902" s="256"/>
      <c r="DG55902" s="256"/>
    </row>
    <row r="55903" spans="104:111">
      <c r="CZ55903" s="256"/>
      <c r="DG55903" s="256"/>
    </row>
    <row r="55904" spans="104:111">
      <c r="CZ55904" s="256"/>
      <c r="DG55904" s="256"/>
    </row>
    <row r="55905" spans="104:111">
      <c r="CZ55905" s="256"/>
      <c r="DG55905" s="256"/>
    </row>
    <row r="55906" spans="104:111">
      <c r="CZ55906" s="256"/>
      <c r="DG55906" s="256"/>
    </row>
    <row r="55907" spans="104:111">
      <c r="CZ55907" s="256"/>
      <c r="DG55907" s="256"/>
    </row>
    <row r="55908" spans="104:111">
      <c r="CZ55908" s="256"/>
      <c r="DG55908" s="256"/>
    </row>
    <row r="55909" spans="104:111">
      <c r="CZ55909" s="256"/>
      <c r="DG55909" s="256"/>
    </row>
    <row r="55910" spans="104:111">
      <c r="CZ55910" s="256"/>
      <c r="DG55910" s="256"/>
    </row>
    <row r="55911" spans="104:111">
      <c r="CZ55911" s="256"/>
      <c r="DG55911" s="256"/>
    </row>
    <row r="55912" spans="104:111">
      <c r="CZ55912" s="256"/>
      <c r="DG55912" s="256"/>
    </row>
    <row r="55913" spans="104:111">
      <c r="CZ55913" s="256"/>
      <c r="DG55913" s="256"/>
    </row>
    <row r="55914" spans="104:111">
      <c r="CZ55914" s="256"/>
      <c r="DG55914" s="256"/>
    </row>
    <row r="55915" spans="104:111">
      <c r="CZ55915" s="256"/>
      <c r="DG55915" s="256"/>
    </row>
    <row r="55916" spans="104:111">
      <c r="CZ55916" s="256"/>
      <c r="DG55916" s="256"/>
    </row>
    <row r="55917" spans="104:111">
      <c r="CZ55917" s="256"/>
      <c r="DG55917" s="256"/>
    </row>
    <row r="55918" spans="104:111">
      <c r="CZ55918" s="256"/>
      <c r="DG55918" s="256"/>
    </row>
    <row r="55919" spans="104:111">
      <c r="CZ55919" s="256"/>
      <c r="DG55919" s="256"/>
    </row>
    <row r="55920" spans="104:111">
      <c r="CZ55920" s="256"/>
      <c r="DG55920" s="256"/>
    </row>
    <row r="55921" spans="104:111">
      <c r="CZ55921" s="256"/>
      <c r="DG55921" s="256"/>
    </row>
    <row r="55922" spans="104:111">
      <c r="CZ55922" s="256"/>
      <c r="DG55922" s="256"/>
    </row>
    <row r="55923" spans="104:111">
      <c r="CZ55923" s="256"/>
      <c r="DG55923" s="256"/>
    </row>
    <row r="55924" spans="104:111">
      <c r="CZ55924" s="256"/>
      <c r="DG55924" s="256"/>
    </row>
    <row r="55925" spans="104:111">
      <c r="CZ55925" s="256"/>
      <c r="DG55925" s="256"/>
    </row>
    <row r="55926" spans="104:111">
      <c r="CZ55926" s="256"/>
      <c r="DG55926" s="256"/>
    </row>
    <row r="55927" spans="104:111">
      <c r="CZ55927" s="256"/>
      <c r="DG55927" s="256"/>
    </row>
    <row r="55928" spans="104:111">
      <c r="CZ55928" s="256"/>
      <c r="DG55928" s="256"/>
    </row>
    <row r="55929" spans="104:111">
      <c r="CZ55929" s="256"/>
      <c r="DG55929" s="256"/>
    </row>
    <row r="55930" spans="104:111">
      <c r="CZ55930" s="256"/>
      <c r="DG55930" s="256"/>
    </row>
    <row r="55931" spans="104:111">
      <c r="CZ55931" s="256"/>
      <c r="DG55931" s="256"/>
    </row>
    <row r="55932" spans="104:111">
      <c r="CZ55932" s="256"/>
      <c r="DG55932" s="256"/>
    </row>
    <row r="55933" spans="104:111">
      <c r="CZ55933" s="256"/>
      <c r="DG55933" s="256"/>
    </row>
    <row r="55934" spans="104:111">
      <c r="CZ55934" s="256"/>
      <c r="DG55934" s="256"/>
    </row>
    <row r="55935" spans="104:111">
      <c r="CZ55935" s="256"/>
      <c r="DG55935" s="256"/>
    </row>
    <row r="55936" spans="104:111">
      <c r="CZ55936" s="256"/>
      <c r="DG55936" s="256"/>
    </row>
    <row r="55937" spans="104:111">
      <c r="CZ55937" s="256"/>
      <c r="DG55937" s="256"/>
    </row>
    <row r="55938" spans="104:111">
      <c r="CZ55938" s="256"/>
      <c r="DG55938" s="256"/>
    </row>
    <row r="55939" spans="104:111">
      <c r="CZ55939" s="256"/>
      <c r="DG55939" s="256"/>
    </row>
    <row r="55940" spans="104:111">
      <c r="CZ55940" s="256"/>
      <c r="DG55940" s="256"/>
    </row>
    <row r="55941" spans="104:111">
      <c r="CZ55941" s="256"/>
      <c r="DG55941" s="256"/>
    </row>
    <row r="55942" spans="104:111">
      <c r="CZ55942" s="256"/>
      <c r="DG55942" s="256"/>
    </row>
    <row r="55943" spans="104:111">
      <c r="CZ55943" s="256"/>
      <c r="DG55943" s="256"/>
    </row>
    <row r="55944" spans="104:111">
      <c r="CZ55944" s="256"/>
      <c r="DG55944" s="256"/>
    </row>
    <row r="55945" spans="104:111">
      <c r="CZ55945" s="256"/>
      <c r="DG55945" s="256"/>
    </row>
    <row r="55946" spans="104:111">
      <c r="CZ55946" s="256"/>
      <c r="DG55946" s="256"/>
    </row>
    <row r="55947" spans="104:111">
      <c r="CZ55947" s="256"/>
      <c r="DG55947" s="256"/>
    </row>
    <row r="55948" spans="104:111">
      <c r="CZ55948" s="256"/>
      <c r="DG55948" s="256"/>
    </row>
    <row r="55949" spans="104:111">
      <c r="CZ55949" s="256"/>
      <c r="DG55949" s="256"/>
    </row>
    <row r="55950" spans="104:111">
      <c r="CZ55950" s="256"/>
      <c r="DG55950" s="256"/>
    </row>
    <row r="55951" spans="104:111">
      <c r="CZ55951" s="256"/>
      <c r="DG55951" s="256"/>
    </row>
    <row r="55952" spans="104:111">
      <c r="CZ55952" s="256"/>
      <c r="DG55952" s="256"/>
    </row>
    <row r="55953" spans="104:111">
      <c r="CZ55953" s="256"/>
      <c r="DG55953" s="256"/>
    </row>
    <row r="55954" spans="104:111">
      <c r="CZ55954" s="256"/>
      <c r="DG55954" s="256"/>
    </row>
    <row r="55955" spans="104:111">
      <c r="CZ55955" s="256"/>
      <c r="DG55955" s="256"/>
    </row>
    <row r="55956" spans="104:111">
      <c r="CZ55956" s="256"/>
      <c r="DG55956" s="256"/>
    </row>
    <row r="55957" spans="104:111">
      <c r="CZ55957" s="256"/>
      <c r="DG55957" s="256"/>
    </row>
    <row r="55958" spans="104:111">
      <c r="CZ55958" s="256"/>
      <c r="DG55958" s="256"/>
    </row>
    <row r="55959" spans="104:111">
      <c r="CZ55959" s="256"/>
      <c r="DG55959" s="256"/>
    </row>
    <row r="55960" spans="104:111">
      <c r="CZ55960" s="256"/>
      <c r="DG55960" s="256"/>
    </row>
    <row r="55961" spans="104:111">
      <c r="CZ55961" s="256"/>
      <c r="DG55961" s="256"/>
    </row>
    <row r="55962" spans="104:111">
      <c r="CZ55962" s="256"/>
      <c r="DG55962" s="256"/>
    </row>
    <row r="55963" spans="104:111">
      <c r="CZ55963" s="256"/>
      <c r="DG55963" s="256"/>
    </row>
    <row r="55964" spans="104:111">
      <c r="CZ55964" s="256"/>
      <c r="DG55964" s="256"/>
    </row>
    <row r="55965" spans="104:111">
      <c r="CZ55965" s="256"/>
      <c r="DG55965" s="256"/>
    </row>
    <row r="55966" spans="104:111">
      <c r="CZ55966" s="256"/>
      <c r="DG55966" s="256"/>
    </row>
    <row r="55967" spans="104:111">
      <c r="CZ55967" s="256"/>
      <c r="DG55967" s="256"/>
    </row>
    <row r="55968" spans="104:111">
      <c r="CZ55968" s="256"/>
      <c r="DG55968" s="256"/>
    </row>
    <row r="55969" spans="104:111">
      <c r="CZ55969" s="256"/>
      <c r="DG55969" s="256"/>
    </row>
    <row r="55970" spans="104:111">
      <c r="CZ55970" s="256"/>
      <c r="DG55970" s="256"/>
    </row>
    <row r="55971" spans="104:111">
      <c r="CZ55971" s="256"/>
      <c r="DG55971" s="256"/>
    </row>
    <row r="55972" spans="104:111">
      <c r="CZ55972" s="256"/>
      <c r="DG55972" s="256"/>
    </row>
    <row r="55973" spans="104:111">
      <c r="CZ55973" s="256"/>
      <c r="DG55973" s="256"/>
    </row>
    <row r="55974" spans="104:111">
      <c r="CZ55974" s="256"/>
      <c r="DG55974" s="256"/>
    </row>
    <row r="55975" spans="104:111">
      <c r="CZ55975" s="256"/>
      <c r="DG55975" s="256"/>
    </row>
    <row r="55976" spans="104:111">
      <c r="CZ55976" s="256"/>
      <c r="DG55976" s="256"/>
    </row>
    <row r="55977" spans="104:111">
      <c r="CZ55977" s="256"/>
      <c r="DG55977" s="256"/>
    </row>
    <row r="55978" spans="104:111">
      <c r="CZ55978" s="256"/>
      <c r="DG55978" s="256"/>
    </row>
    <row r="55979" spans="104:111">
      <c r="CZ55979" s="256"/>
      <c r="DG55979" s="256"/>
    </row>
    <row r="55980" spans="104:111">
      <c r="CZ55980" s="256"/>
      <c r="DG55980" s="256"/>
    </row>
    <row r="55981" spans="104:111">
      <c r="CZ55981" s="256"/>
      <c r="DG55981" s="256"/>
    </row>
    <row r="55982" spans="104:111">
      <c r="CZ55982" s="256"/>
      <c r="DG55982" s="256"/>
    </row>
    <row r="55983" spans="104:111">
      <c r="CZ55983" s="256"/>
      <c r="DG55983" s="256"/>
    </row>
    <row r="55984" spans="104:111">
      <c r="CZ55984" s="256"/>
      <c r="DG55984" s="256"/>
    </row>
    <row r="55985" spans="104:111">
      <c r="CZ55985" s="256"/>
      <c r="DG55985" s="256"/>
    </row>
    <row r="55986" spans="104:111">
      <c r="CZ55986" s="256"/>
      <c r="DG55986" s="256"/>
    </row>
    <row r="55987" spans="104:111">
      <c r="CZ55987" s="256"/>
      <c r="DG55987" s="256"/>
    </row>
    <row r="55988" spans="104:111">
      <c r="CZ55988" s="256"/>
      <c r="DG55988" s="256"/>
    </row>
    <row r="55989" spans="104:111">
      <c r="CZ55989" s="256"/>
      <c r="DG55989" s="256"/>
    </row>
    <row r="55990" spans="104:111">
      <c r="CZ55990" s="256"/>
      <c r="DG55990" s="256"/>
    </row>
    <row r="55991" spans="104:111">
      <c r="CZ55991" s="256"/>
      <c r="DG55991" s="256"/>
    </row>
    <row r="55992" spans="104:111">
      <c r="CZ55992" s="256"/>
      <c r="DG55992" s="256"/>
    </row>
    <row r="55993" spans="104:111">
      <c r="CZ55993" s="256"/>
      <c r="DG55993" s="256"/>
    </row>
    <row r="55994" spans="104:111">
      <c r="CZ55994" s="256"/>
      <c r="DG55994" s="256"/>
    </row>
    <row r="55995" spans="104:111">
      <c r="CZ55995" s="256"/>
      <c r="DG55995" s="256"/>
    </row>
    <row r="55996" spans="104:111">
      <c r="CZ55996" s="256"/>
      <c r="DG55996" s="256"/>
    </row>
    <row r="55997" spans="104:111">
      <c r="CZ55997" s="256"/>
      <c r="DG55997" s="256"/>
    </row>
    <row r="55998" spans="104:111">
      <c r="CZ55998" s="256"/>
      <c r="DG55998" s="256"/>
    </row>
    <row r="55999" spans="104:111">
      <c r="CZ55999" s="256"/>
      <c r="DG55999" s="256"/>
    </row>
    <row r="56000" spans="104:111">
      <c r="CZ56000" s="256"/>
      <c r="DG56000" s="256"/>
    </row>
    <row r="56001" spans="104:111">
      <c r="CZ56001" s="256"/>
      <c r="DG56001" s="256"/>
    </row>
    <row r="56002" spans="104:111">
      <c r="CZ56002" s="256"/>
      <c r="DG56002" s="256"/>
    </row>
    <row r="56003" spans="104:111">
      <c r="CZ56003" s="256"/>
      <c r="DG56003" s="256"/>
    </row>
    <row r="56004" spans="104:111">
      <c r="CZ56004" s="256"/>
      <c r="DG56004" s="256"/>
    </row>
    <row r="56005" spans="104:111">
      <c r="CZ56005" s="256"/>
      <c r="DG56005" s="256"/>
    </row>
    <row r="56006" spans="104:111">
      <c r="CZ56006" s="256"/>
      <c r="DG56006" s="256"/>
    </row>
    <row r="56007" spans="104:111">
      <c r="CZ56007" s="256"/>
      <c r="DG56007" s="256"/>
    </row>
    <row r="56008" spans="104:111">
      <c r="CZ56008" s="256"/>
      <c r="DG56008" s="256"/>
    </row>
    <row r="56009" spans="104:111">
      <c r="CZ56009" s="256"/>
      <c r="DG56009" s="256"/>
    </row>
    <row r="56010" spans="104:111">
      <c r="CZ56010" s="256"/>
      <c r="DG56010" s="256"/>
    </row>
    <row r="56011" spans="104:111">
      <c r="CZ56011" s="256"/>
      <c r="DG56011" s="256"/>
    </row>
    <row r="56012" spans="104:111">
      <c r="CZ56012" s="256"/>
      <c r="DG56012" s="256"/>
    </row>
    <row r="56013" spans="104:111">
      <c r="CZ56013" s="256"/>
      <c r="DG56013" s="256"/>
    </row>
    <row r="56014" spans="104:111">
      <c r="CZ56014" s="256"/>
      <c r="DG56014" s="256"/>
    </row>
    <row r="56015" spans="104:111">
      <c r="CZ56015" s="256"/>
      <c r="DG56015" s="256"/>
    </row>
    <row r="56016" spans="104:111">
      <c r="CZ56016" s="256"/>
      <c r="DG56016" s="256"/>
    </row>
    <row r="56017" spans="104:111">
      <c r="CZ56017" s="256"/>
      <c r="DG56017" s="256"/>
    </row>
    <row r="56018" spans="104:111">
      <c r="CZ56018" s="256"/>
      <c r="DG56018" s="256"/>
    </row>
    <row r="56019" spans="104:111">
      <c r="CZ56019" s="256"/>
      <c r="DG56019" s="256"/>
    </row>
    <row r="56020" spans="104:111">
      <c r="CZ56020" s="256"/>
      <c r="DG56020" s="256"/>
    </row>
    <row r="56021" spans="104:111">
      <c r="CZ56021" s="256"/>
      <c r="DG56021" s="256"/>
    </row>
    <row r="56022" spans="104:111">
      <c r="CZ56022" s="256"/>
      <c r="DG56022" s="256"/>
    </row>
    <row r="56023" spans="104:111">
      <c r="CZ56023" s="256"/>
      <c r="DG56023" s="256"/>
    </row>
    <row r="56024" spans="104:111">
      <c r="CZ56024" s="256"/>
      <c r="DG56024" s="256"/>
    </row>
    <row r="56025" spans="104:111">
      <c r="CZ56025" s="256"/>
      <c r="DG56025" s="256"/>
    </row>
    <row r="56026" spans="104:111">
      <c r="CZ56026" s="256"/>
      <c r="DG56026" s="256"/>
    </row>
    <row r="56027" spans="104:111">
      <c r="CZ56027" s="256"/>
      <c r="DG56027" s="256"/>
    </row>
    <row r="56028" spans="104:111">
      <c r="CZ56028" s="256"/>
      <c r="DG56028" s="256"/>
    </row>
    <row r="56029" spans="104:111">
      <c r="CZ56029" s="256"/>
      <c r="DG56029" s="256"/>
    </row>
    <row r="56030" spans="104:111">
      <c r="CZ56030" s="256"/>
      <c r="DG56030" s="256"/>
    </row>
    <row r="56031" spans="104:111">
      <c r="CZ56031" s="256"/>
      <c r="DG56031" s="256"/>
    </row>
    <row r="56032" spans="104:111">
      <c r="CZ56032" s="256"/>
      <c r="DG56032" s="256"/>
    </row>
    <row r="56033" spans="104:111">
      <c r="CZ56033" s="256"/>
      <c r="DG56033" s="256"/>
    </row>
    <row r="56034" spans="104:111">
      <c r="CZ56034" s="256"/>
      <c r="DG56034" s="256"/>
    </row>
    <row r="56035" spans="104:111">
      <c r="CZ56035" s="256"/>
      <c r="DG56035" s="256"/>
    </row>
    <row r="56036" spans="104:111">
      <c r="CZ56036" s="256"/>
      <c r="DG56036" s="256"/>
    </row>
    <row r="56037" spans="104:111">
      <c r="CZ56037" s="256"/>
      <c r="DG56037" s="256"/>
    </row>
    <row r="56038" spans="104:111">
      <c r="CZ56038" s="256"/>
      <c r="DG56038" s="256"/>
    </row>
    <row r="56039" spans="104:111">
      <c r="CZ56039" s="256"/>
      <c r="DG56039" s="256"/>
    </row>
    <row r="56040" spans="104:111">
      <c r="CZ56040" s="256"/>
      <c r="DG56040" s="256"/>
    </row>
    <row r="56041" spans="104:111">
      <c r="CZ56041" s="256"/>
      <c r="DG56041" s="256"/>
    </row>
    <row r="56042" spans="104:111">
      <c r="CZ56042" s="256"/>
      <c r="DG56042" s="256"/>
    </row>
    <row r="56043" spans="104:111">
      <c r="CZ56043" s="256"/>
      <c r="DG56043" s="256"/>
    </row>
    <row r="56044" spans="104:111">
      <c r="CZ56044" s="256"/>
      <c r="DG56044" s="256"/>
    </row>
    <row r="56045" spans="104:111">
      <c r="CZ56045" s="256"/>
      <c r="DG56045" s="256"/>
    </row>
    <row r="56046" spans="104:111">
      <c r="CZ56046" s="256"/>
      <c r="DG56046" s="256"/>
    </row>
    <row r="56047" spans="104:111">
      <c r="CZ56047" s="256"/>
      <c r="DG56047" s="256"/>
    </row>
    <row r="56048" spans="104:111">
      <c r="CZ56048" s="256"/>
      <c r="DG56048" s="256"/>
    </row>
    <row r="56049" spans="104:111">
      <c r="CZ56049" s="256"/>
      <c r="DG56049" s="256"/>
    </row>
    <row r="56050" spans="104:111">
      <c r="CZ56050" s="256"/>
      <c r="DG56050" s="256"/>
    </row>
    <row r="56051" spans="104:111">
      <c r="CZ56051" s="256"/>
      <c r="DG56051" s="256"/>
    </row>
    <row r="56052" spans="104:111">
      <c r="CZ56052" s="256"/>
      <c r="DG56052" s="256"/>
    </row>
    <row r="56053" spans="104:111">
      <c r="CZ56053" s="256"/>
      <c r="DG56053" s="256"/>
    </row>
    <row r="56054" spans="104:111">
      <c r="CZ56054" s="256"/>
      <c r="DG56054" s="256"/>
    </row>
    <row r="56055" spans="104:111">
      <c r="CZ56055" s="256"/>
      <c r="DG56055" s="256"/>
    </row>
    <row r="56056" spans="104:111">
      <c r="CZ56056" s="256"/>
      <c r="DG56056" s="256"/>
    </row>
    <row r="56057" spans="104:111">
      <c r="CZ56057" s="256"/>
      <c r="DG56057" s="256"/>
    </row>
    <row r="56058" spans="104:111">
      <c r="CZ56058" s="256"/>
      <c r="DG56058" s="256"/>
    </row>
    <row r="56059" spans="104:111">
      <c r="CZ56059" s="256"/>
      <c r="DG56059" s="256"/>
    </row>
    <row r="56060" spans="104:111">
      <c r="CZ56060" s="256"/>
      <c r="DG56060" s="256"/>
    </row>
    <row r="56061" spans="104:111">
      <c r="CZ56061" s="256"/>
      <c r="DG56061" s="256"/>
    </row>
    <row r="56062" spans="104:111">
      <c r="CZ56062" s="256"/>
      <c r="DG56062" s="256"/>
    </row>
    <row r="56063" spans="104:111">
      <c r="CZ56063" s="256"/>
      <c r="DG56063" s="256"/>
    </row>
    <row r="56064" spans="104:111">
      <c r="CZ56064" s="256"/>
      <c r="DG56064" s="256"/>
    </row>
    <row r="56065" spans="104:111">
      <c r="CZ56065" s="256"/>
      <c r="DG56065" s="256"/>
    </row>
    <row r="56066" spans="104:111">
      <c r="CZ56066" s="256"/>
      <c r="DG56066" s="256"/>
    </row>
    <row r="56067" spans="104:111">
      <c r="CZ56067" s="256"/>
      <c r="DG56067" s="256"/>
    </row>
    <row r="56068" spans="104:111">
      <c r="CZ56068" s="256"/>
      <c r="DG56068" s="256"/>
    </row>
    <row r="56069" spans="104:111">
      <c r="CZ56069" s="256"/>
      <c r="DG56069" s="256"/>
    </row>
    <row r="56070" spans="104:111">
      <c r="CZ56070" s="256"/>
      <c r="DG56070" s="256"/>
    </row>
    <row r="56071" spans="104:111">
      <c r="CZ56071" s="256"/>
      <c r="DG56071" s="256"/>
    </row>
    <row r="56072" spans="104:111">
      <c r="CZ56072" s="256"/>
      <c r="DG56072" s="256"/>
    </row>
    <row r="56073" spans="104:111">
      <c r="CZ56073" s="256"/>
      <c r="DG56073" s="256"/>
    </row>
    <row r="56074" spans="104:111">
      <c r="CZ56074" s="256"/>
      <c r="DG56074" s="256"/>
    </row>
    <row r="56075" spans="104:111">
      <c r="CZ56075" s="256"/>
      <c r="DG56075" s="256"/>
    </row>
    <row r="56076" spans="104:111">
      <c r="CZ56076" s="256"/>
      <c r="DG56076" s="256"/>
    </row>
    <row r="56077" spans="104:111">
      <c r="CZ56077" s="256"/>
      <c r="DG56077" s="256"/>
    </row>
    <row r="56078" spans="104:111">
      <c r="CZ56078" s="256"/>
      <c r="DG56078" s="256"/>
    </row>
    <row r="56079" spans="104:111">
      <c r="CZ56079" s="256"/>
      <c r="DG56079" s="256"/>
    </row>
    <row r="56080" spans="104:111">
      <c r="CZ56080" s="256"/>
      <c r="DG56080" s="256"/>
    </row>
    <row r="56081" spans="104:111">
      <c r="CZ56081" s="256"/>
      <c r="DG56081" s="256"/>
    </row>
    <row r="56082" spans="104:111">
      <c r="CZ56082" s="256"/>
      <c r="DG56082" s="256"/>
    </row>
    <row r="56083" spans="104:111">
      <c r="CZ56083" s="256"/>
      <c r="DG56083" s="256"/>
    </row>
    <row r="56084" spans="104:111">
      <c r="CZ56084" s="256"/>
      <c r="DG56084" s="256"/>
    </row>
    <row r="56085" spans="104:111">
      <c r="CZ56085" s="256"/>
      <c r="DG56085" s="256"/>
    </row>
    <row r="56086" spans="104:111">
      <c r="CZ56086" s="256"/>
      <c r="DG56086" s="256"/>
    </row>
    <row r="56087" spans="104:111">
      <c r="CZ56087" s="256"/>
      <c r="DG56087" s="256"/>
    </row>
    <row r="56088" spans="104:111">
      <c r="CZ56088" s="256"/>
      <c r="DG56088" s="256"/>
    </row>
    <row r="56089" spans="104:111">
      <c r="CZ56089" s="256"/>
      <c r="DG56089" s="256"/>
    </row>
    <row r="56090" spans="104:111">
      <c r="CZ56090" s="256"/>
      <c r="DG56090" s="256"/>
    </row>
    <row r="56091" spans="104:111">
      <c r="CZ56091" s="256"/>
      <c r="DG56091" s="256"/>
    </row>
    <row r="56092" spans="104:111">
      <c r="CZ56092" s="256"/>
      <c r="DG56092" s="256"/>
    </row>
    <row r="56093" spans="104:111">
      <c r="CZ56093" s="256"/>
      <c r="DG56093" s="256"/>
    </row>
    <row r="56094" spans="104:111">
      <c r="CZ56094" s="256"/>
      <c r="DG56094" s="256"/>
    </row>
    <row r="56095" spans="104:111">
      <c r="CZ56095" s="256"/>
      <c r="DG56095" s="256"/>
    </row>
    <row r="56096" spans="104:111">
      <c r="CZ56096" s="256"/>
      <c r="DG56096" s="256"/>
    </row>
    <row r="56097" spans="104:111">
      <c r="CZ56097" s="256"/>
      <c r="DG56097" s="256"/>
    </row>
    <row r="56098" spans="104:111">
      <c r="CZ56098" s="256"/>
      <c r="DG56098" s="256"/>
    </row>
    <row r="56099" spans="104:111">
      <c r="CZ56099" s="256"/>
      <c r="DG56099" s="256"/>
    </row>
    <row r="56100" spans="104:111">
      <c r="CZ56100" s="256"/>
      <c r="DG56100" s="256"/>
    </row>
    <row r="56101" spans="104:111">
      <c r="CZ56101" s="256"/>
      <c r="DG56101" s="256"/>
    </row>
    <row r="56102" spans="104:111">
      <c r="CZ56102" s="256"/>
      <c r="DG56102" s="256"/>
    </row>
    <row r="56103" spans="104:111">
      <c r="CZ56103" s="256"/>
      <c r="DG56103" s="256"/>
    </row>
    <row r="56104" spans="104:111">
      <c r="CZ56104" s="256"/>
      <c r="DG56104" s="256"/>
    </row>
    <row r="56105" spans="104:111">
      <c r="CZ56105" s="256"/>
      <c r="DG56105" s="256"/>
    </row>
    <row r="56106" spans="104:111">
      <c r="CZ56106" s="256"/>
      <c r="DG56106" s="256"/>
    </row>
    <row r="56107" spans="104:111">
      <c r="CZ56107" s="256"/>
      <c r="DG56107" s="256"/>
    </row>
    <row r="56108" spans="104:111">
      <c r="CZ56108" s="256"/>
      <c r="DG56108" s="256"/>
    </row>
    <row r="56109" spans="104:111">
      <c r="CZ56109" s="256"/>
      <c r="DG56109" s="256"/>
    </row>
    <row r="56110" spans="104:111">
      <c r="CZ56110" s="256"/>
      <c r="DG56110" s="256"/>
    </row>
    <row r="56111" spans="104:111">
      <c r="CZ56111" s="256"/>
      <c r="DG56111" s="256"/>
    </row>
    <row r="56112" spans="104:111">
      <c r="CZ56112" s="256"/>
      <c r="DG56112" s="256"/>
    </row>
    <row r="56113" spans="104:111">
      <c r="CZ56113" s="256"/>
      <c r="DG56113" s="256"/>
    </row>
    <row r="56114" spans="104:111">
      <c r="CZ56114" s="256"/>
      <c r="DG56114" s="256"/>
    </row>
    <row r="56115" spans="104:111">
      <c r="CZ56115" s="256"/>
      <c r="DG56115" s="256"/>
    </row>
    <row r="56116" spans="104:111">
      <c r="CZ56116" s="256"/>
      <c r="DG56116" s="256"/>
    </row>
    <row r="56117" spans="104:111">
      <c r="CZ56117" s="256"/>
      <c r="DG56117" s="256"/>
    </row>
    <row r="56118" spans="104:111">
      <c r="CZ56118" s="256"/>
      <c r="DG56118" s="256"/>
    </row>
    <row r="56119" spans="104:111">
      <c r="CZ56119" s="256"/>
      <c r="DG56119" s="256"/>
    </row>
    <row r="56120" spans="104:111">
      <c r="CZ56120" s="256"/>
      <c r="DG56120" s="256"/>
    </row>
    <row r="56121" spans="104:111">
      <c r="CZ56121" s="256"/>
      <c r="DG56121" s="256"/>
    </row>
    <row r="56122" spans="104:111">
      <c r="CZ56122" s="256"/>
      <c r="DG56122" s="256"/>
    </row>
    <row r="56123" spans="104:111">
      <c r="CZ56123" s="256"/>
      <c r="DG56123" s="256"/>
    </row>
    <row r="56124" spans="104:111">
      <c r="CZ56124" s="256"/>
      <c r="DG56124" s="256"/>
    </row>
    <row r="56125" spans="104:111">
      <c r="CZ56125" s="256"/>
      <c r="DG56125" s="256"/>
    </row>
    <row r="56126" spans="104:111">
      <c r="CZ56126" s="256"/>
      <c r="DG56126" s="256"/>
    </row>
    <row r="56127" spans="104:111">
      <c r="CZ56127" s="256"/>
      <c r="DG56127" s="256"/>
    </row>
    <row r="56128" spans="104:111">
      <c r="CZ56128" s="256"/>
      <c r="DG56128" s="256"/>
    </row>
    <row r="56129" spans="104:111">
      <c r="CZ56129" s="256"/>
      <c r="DG56129" s="256"/>
    </row>
    <row r="56130" spans="104:111">
      <c r="CZ56130" s="256"/>
      <c r="DG56130" s="256"/>
    </row>
    <row r="56131" spans="104:111">
      <c r="CZ56131" s="256"/>
      <c r="DG56131" s="256"/>
    </row>
    <row r="56132" spans="104:111">
      <c r="CZ56132" s="256"/>
      <c r="DG56132" s="256"/>
    </row>
    <row r="56133" spans="104:111">
      <c r="CZ56133" s="256"/>
      <c r="DG56133" s="256"/>
    </row>
    <row r="56134" spans="104:111">
      <c r="CZ56134" s="256"/>
      <c r="DG56134" s="256"/>
    </row>
    <row r="56135" spans="104:111">
      <c r="CZ56135" s="256"/>
      <c r="DG56135" s="256"/>
    </row>
    <row r="56136" spans="104:111">
      <c r="CZ56136" s="256"/>
      <c r="DG56136" s="256"/>
    </row>
    <row r="56137" spans="104:111">
      <c r="CZ56137" s="256"/>
      <c r="DG56137" s="256"/>
    </row>
    <row r="56138" spans="104:111">
      <c r="CZ56138" s="256"/>
      <c r="DG56138" s="256"/>
    </row>
    <row r="56139" spans="104:111">
      <c r="CZ56139" s="256"/>
      <c r="DG56139" s="256"/>
    </row>
    <row r="56140" spans="104:111">
      <c r="CZ56140" s="256"/>
      <c r="DG56140" s="256"/>
    </row>
    <row r="56141" spans="104:111">
      <c r="CZ56141" s="256"/>
      <c r="DG56141" s="256"/>
    </row>
    <row r="56142" spans="104:111">
      <c r="CZ56142" s="256"/>
      <c r="DG56142" s="256"/>
    </row>
    <row r="56143" spans="104:111">
      <c r="CZ56143" s="256"/>
      <c r="DG56143" s="256"/>
    </row>
    <row r="56144" spans="104:111">
      <c r="CZ56144" s="256"/>
      <c r="DG56144" s="256"/>
    </row>
    <row r="56145" spans="104:111">
      <c r="CZ56145" s="256"/>
      <c r="DG56145" s="256"/>
    </row>
    <row r="56146" spans="104:111">
      <c r="CZ56146" s="256"/>
      <c r="DG56146" s="256"/>
    </row>
    <row r="56147" spans="104:111">
      <c r="CZ56147" s="256"/>
      <c r="DG56147" s="256"/>
    </row>
    <row r="56148" spans="104:111">
      <c r="CZ56148" s="256"/>
      <c r="DG56148" s="256"/>
    </row>
    <row r="56149" spans="104:111">
      <c r="CZ56149" s="256"/>
      <c r="DG56149" s="256"/>
    </row>
    <row r="56150" spans="104:111">
      <c r="CZ56150" s="256"/>
      <c r="DG56150" s="256"/>
    </row>
    <row r="56151" spans="104:111">
      <c r="CZ56151" s="256"/>
      <c r="DG56151" s="256"/>
    </row>
    <row r="56152" spans="104:111">
      <c r="CZ56152" s="256"/>
      <c r="DG56152" s="256"/>
    </row>
    <row r="56153" spans="104:111">
      <c r="CZ56153" s="256"/>
      <c r="DG56153" s="256"/>
    </row>
    <row r="56154" spans="104:111">
      <c r="CZ56154" s="256"/>
      <c r="DG56154" s="256"/>
    </row>
    <row r="56155" spans="104:111">
      <c r="CZ56155" s="256"/>
      <c r="DG56155" s="256"/>
    </row>
    <row r="56156" spans="104:111">
      <c r="CZ56156" s="256"/>
      <c r="DG56156" s="256"/>
    </row>
    <row r="56157" spans="104:111">
      <c r="CZ56157" s="256"/>
      <c r="DG56157" s="256"/>
    </row>
    <row r="56158" spans="104:111">
      <c r="CZ56158" s="256"/>
      <c r="DG56158" s="256"/>
    </row>
    <row r="56159" spans="104:111">
      <c r="CZ56159" s="256"/>
      <c r="DG56159" s="256"/>
    </row>
    <row r="56160" spans="104:111">
      <c r="CZ56160" s="256"/>
      <c r="DG56160" s="256"/>
    </row>
    <row r="56161" spans="104:111">
      <c r="CZ56161" s="256"/>
      <c r="DG56161" s="256"/>
    </row>
    <row r="56162" spans="104:111">
      <c r="CZ56162" s="256"/>
      <c r="DG56162" s="256"/>
    </row>
    <row r="56163" spans="104:111">
      <c r="CZ56163" s="256"/>
      <c r="DG56163" s="256"/>
    </row>
    <row r="56164" spans="104:111">
      <c r="CZ56164" s="256"/>
      <c r="DG56164" s="256"/>
    </row>
    <row r="56165" spans="104:111">
      <c r="CZ56165" s="256"/>
      <c r="DG56165" s="256"/>
    </row>
    <row r="56166" spans="104:111">
      <c r="CZ56166" s="256"/>
      <c r="DG56166" s="256"/>
    </row>
    <row r="56167" spans="104:111">
      <c r="CZ56167" s="256"/>
      <c r="DG56167" s="256"/>
    </row>
    <row r="56168" spans="104:111">
      <c r="CZ56168" s="256"/>
      <c r="DG56168" s="256"/>
    </row>
    <row r="56169" spans="104:111">
      <c r="CZ56169" s="256"/>
      <c r="DG56169" s="256"/>
    </row>
    <row r="56170" spans="104:111">
      <c r="CZ56170" s="256"/>
      <c r="DG56170" s="256"/>
    </row>
    <row r="56171" spans="104:111">
      <c r="CZ56171" s="256"/>
      <c r="DG56171" s="256"/>
    </row>
    <row r="56172" spans="104:111">
      <c r="CZ56172" s="256"/>
      <c r="DG56172" s="256"/>
    </row>
    <row r="56173" spans="104:111">
      <c r="CZ56173" s="256"/>
      <c r="DG56173" s="256"/>
    </row>
    <row r="56174" spans="104:111">
      <c r="CZ56174" s="256"/>
      <c r="DG56174" s="256"/>
    </row>
    <row r="56175" spans="104:111">
      <c r="CZ56175" s="256"/>
      <c r="DG56175" s="256"/>
    </row>
    <row r="56176" spans="104:111">
      <c r="CZ56176" s="256"/>
      <c r="DG56176" s="256"/>
    </row>
    <row r="56177" spans="104:111">
      <c r="CZ56177" s="256"/>
      <c r="DG56177" s="256"/>
    </row>
    <row r="56178" spans="104:111">
      <c r="CZ56178" s="256"/>
      <c r="DG56178" s="256"/>
    </row>
    <row r="56179" spans="104:111">
      <c r="CZ56179" s="256"/>
      <c r="DG56179" s="256"/>
    </row>
    <row r="56180" spans="104:111">
      <c r="CZ56180" s="256"/>
      <c r="DG56180" s="256"/>
    </row>
    <row r="56181" spans="104:111">
      <c r="CZ56181" s="256"/>
      <c r="DG56181" s="256"/>
    </row>
    <row r="56182" spans="104:111">
      <c r="CZ56182" s="256"/>
      <c r="DG56182" s="256"/>
    </row>
    <row r="56183" spans="104:111">
      <c r="CZ56183" s="256"/>
      <c r="DG56183" s="256"/>
    </row>
    <row r="56184" spans="104:111">
      <c r="CZ56184" s="256"/>
      <c r="DG56184" s="256"/>
    </row>
    <row r="56185" spans="104:111">
      <c r="CZ56185" s="256"/>
      <c r="DG56185" s="256"/>
    </row>
    <row r="56186" spans="104:111">
      <c r="CZ56186" s="256"/>
      <c r="DG56186" s="256"/>
    </row>
    <row r="56187" spans="104:111">
      <c r="CZ56187" s="256"/>
      <c r="DG56187" s="256"/>
    </row>
    <row r="56188" spans="104:111">
      <c r="CZ56188" s="256"/>
      <c r="DG56188" s="256"/>
    </row>
    <row r="56189" spans="104:111">
      <c r="CZ56189" s="256"/>
      <c r="DG56189" s="256"/>
    </row>
    <row r="56190" spans="104:111">
      <c r="CZ56190" s="256"/>
      <c r="DG56190" s="256"/>
    </row>
    <row r="56191" spans="104:111">
      <c r="CZ56191" s="256"/>
      <c r="DG56191" s="256"/>
    </row>
    <row r="56192" spans="104:111">
      <c r="CZ56192" s="256"/>
      <c r="DG56192" s="256"/>
    </row>
    <row r="56193" spans="104:111">
      <c r="CZ56193" s="256"/>
      <c r="DG56193" s="256"/>
    </row>
    <row r="56194" spans="104:111">
      <c r="CZ56194" s="256"/>
      <c r="DG56194" s="256"/>
    </row>
    <row r="56195" spans="104:111">
      <c r="CZ56195" s="256"/>
      <c r="DG56195" s="256"/>
    </row>
    <row r="56196" spans="104:111">
      <c r="CZ56196" s="256"/>
      <c r="DG56196" s="256"/>
    </row>
    <row r="56197" spans="104:111">
      <c r="CZ56197" s="256"/>
      <c r="DG56197" s="256"/>
    </row>
    <row r="56198" spans="104:111">
      <c r="CZ56198" s="256"/>
      <c r="DG56198" s="256"/>
    </row>
    <row r="56199" spans="104:111">
      <c r="CZ56199" s="256"/>
      <c r="DG56199" s="256"/>
    </row>
    <row r="56200" spans="104:111">
      <c r="CZ56200" s="256"/>
      <c r="DG56200" s="256"/>
    </row>
    <row r="56201" spans="104:111">
      <c r="CZ56201" s="256"/>
      <c r="DG56201" s="256"/>
    </row>
    <row r="56202" spans="104:111">
      <c r="CZ56202" s="256"/>
      <c r="DG56202" s="256"/>
    </row>
    <row r="56203" spans="104:111">
      <c r="CZ56203" s="256"/>
      <c r="DG56203" s="256"/>
    </row>
    <row r="56204" spans="104:111">
      <c r="CZ56204" s="256"/>
      <c r="DG56204" s="256"/>
    </row>
    <row r="56205" spans="104:111">
      <c r="CZ56205" s="256"/>
      <c r="DG56205" s="256"/>
    </row>
    <row r="56206" spans="104:111">
      <c r="CZ56206" s="256"/>
      <c r="DG56206" s="256"/>
    </row>
    <row r="56207" spans="104:111">
      <c r="CZ56207" s="256"/>
      <c r="DG56207" s="256"/>
    </row>
    <row r="56208" spans="104:111">
      <c r="CZ56208" s="256"/>
      <c r="DG56208" s="256"/>
    </row>
    <row r="56209" spans="104:111">
      <c r="CZ56209" s="256"/>
      <c r="DG56209" s="256"/>
    </row>
    <row r="56210" spans="104:111">
      <c r="CZ56210" s="256"/>
      <c r="DG56210" s="256"/>
    </row>
    <row r="56211" spans="104:111">
      <c r="CZ56211" s="256"/>
      <c r="DG56211" s="256"/>
    </row>
    <row r="56212" spans="104:111">
      <c r="CZ56212" s="256"/>
      <c r="DG56212" s="256"/>
    </row>
    <row r="56213" spans="104:111">
      <c r="CZ56213" s="256"/>
      <c r="DG56213" s="256"/>
    </row>
    <row r="56214" spans="104:111">
      <c r="CZ56214" s="256"/>
      <c r="DG56214" s="256"/>
    </row>
    <row r="56215" spans="104:111">
      <c r="CZ56215" s="256"/>
      <c r="DG56215" s="256"/>
    </row>
    <row r="56216" spans="104:111">
      <c r="CZ56216" s="256"/>
      <c r="DG56216" s="256"/>
    </row>
    <row r="56217" spans="104:111">
      <c r="CZ56217" s="256"/>
      <c r="DG56217" s="256"/>
    </row>
    <row r="56218" spans="104:111">
      <c r="CZ56218" s="256"/>
      <c r="DG56218" s="256"/>
    </row>
    <row r="56219" spans="104:111">
      <c r="CZ56219" s="256"/>
      <c r="DG56219" s="256"/>
    </row>
    <row r="56220" spans="104:111">
      <c r="CZ56220" s="256"/>
      <c r="DG56220" s="256"/>
    </row>
    <row r="56221" spans="104:111">
      <c r="CZ56221" s="256"/>
      <c r="DG56221" s="256"/>
    </row>
    <row r="56222" spans="104:111">
      <c r="CZ56222" s="256"/>
      <c r="DG56222" s="256"/>
    </row>
    <row r="56223" spans="104:111">
      <c r="CZ56223" s="256"/>
      <c r="DG56223" s="256"/>
    </row>
    <row r="56224" spans="104:111">
      <c r="CZ56224" s="256"/>
      <c r="DG56224" s="256"/>
    </row>
    <row r="56225" spans="104:111">
      <c r="CZ56225" s="256"/>
      <c r="DG56225" s="256"/>
    </row>
    <row r="56226" spans="104:111">
      <c r="CZ56226" s="256"/>
      <c r="DG56226" s="256"/>
    </row>
    <row r="56227" spans="104:111">
      <c r="CZ56227" s="256"/>
      <c r="DG56227" s="256"/>
    </row>
    <row r="56228" spans="104:111">
      <c r="CZ56228" s="256"/>
      <c r="DG56228" s="256"/>
    </row>
    <row r="56229" spans="104:111">
      <c r="CZ56229" s="256"/>
      <c r="DG56229" s="256"/>
    </row>
    <row r="56230" spans="104:111">
      <c r="CZ56230" s="256"/>
      <c r="DG56230" s="256"/>
    </row>
    <row r="56231" spans="104:111">
      <c r="CZ56231" s="256"/>
      <c r="DG56231" s="256"/>
    </row>
    <row r="56232" spans="104:111">
      <c r="CZ56232" s="256"/>
      <c r="DG56232" s="256"/>
    </row>
    <row r="56233" spans="104:111">
      <c r="CZ56233" s="256"/>
      <c r="DG56233" s="256"/>
    </row>
    <row r="56234" spans="104:111">
      <c r="CZ56234" s="256"/>
      <c r="DG56234" s="256"/>
    </row>
    <row r="56235" spans="104:111">
      <c r="CZ56235" s="256"/>
      <c r="DG56235" s="256"/>
    </row>
    <row r="56236" spans="104:111">
      <c r="CZ56236" s="256"/>
      <c r="DG56236" s="256"/>
    </row>
    <row r="56237" spans="104:111">
      <c r="CZ56237" s="256"/>
      <c r="DG56237" s="256"/>
    </row>
    <row r="56238" spans="104:111">
      <c r="CZ56238" s="256"/>
      <c r="DG56238" s="256"/>
    </row>
    <row r="56239" spans="104:111">
      <c r="CZ56239" s="256"/>
      <c r="DG56239" s="256"/>
    </row>
    <row r="56240" spans="104:111">
      <c r="CZ56240" s="256"/>
      <c r="DG56240" s="256"/>
    </row>
    <row r="56241" spans="104:111">
      <c r="CZ56241" s="256"/>
      <c r="DG56241" s="256"/>
    </row>
    <row r="56242" spans="104:111">
      <c r="CZ56242" s="256"/>
      <c r="DG56242" s="256"/>
    </row>
    <row r="56243" spans="104:111">
      <c r="CZ56243" s="256"/>
      <c r="DG56243" s="256"/>
    </row>
    <row r="56244" spans="104:111">
      <c r="CZ56244" s="256"/>
      <c r="DG56244" s="256"/>
    </row>
    <row r="56245" spans="104:111">
      <c r="CZ56245" s="256"/>
      <c r="DG56245" s="256"/>
    </row>
    <row r="56246" spans="104:111">
      <c r="CZ56246" s="256"/>
      <c r="DG56246" s="256"/>
    </row>
    <row r="56247" spans="104:111">
      <c r="CZ56247" s="256"/>
      <c r="DG56247" s="256"/>
    </row>
    <row r="56248" spans="104:111">
      <c r="CZ56248" s="256"/>
      <c r="DG56248" s="256"/>
    </row>
    <row r="56249" spans="104:111">
      <c r="CZ56249" s="256"/>
      <c r="DG56249" s="256"/>
    </row>
    <row r="56250" spans="104:111">
      <c r="CZ56250" s="256"/>
      <c r="DG56250" s="256"/>
    </row>
    <row r="56251" spans="104:111">
      <c r="CZ56251" s="256"/>
      <c r="DG56251" s="256"/>
    </row>
    <row r="56252" spans="104:111">
      <c r="CZ56252" s="256"/>
      <c r="DG56252" s="256"/>
    </row>
    <row r="56253" spans="104:111">
      <c r="CZ56253" s="256"/>
      <c r="DG56253" s="256"/>
    </row>
    <row r="56254" spans="104:111">
      <c r="CZ56254" s="256"/>
      <c r="DG56254" s="256"/>
    </row>
    <row r="56255" spans="104:111">
      <c r="CZ56255" s="256"/>
      <c r="DG56255" s="256"/>
    </row>
    <row r="56256" spans="104:111">
      <c r="CZ56256" s="256"/>
      <c r="DG56256" s="256"/>
    </row>
    <row r="56257" spans="104:111">
      <c r="CZ56257" s="256"/>
      <c r="DG56257" s="256"/>
    </row>
    <row r="56258" spans="104:111">
      <c r="CZ56258" s="256"/>
      <c r="DG56258" s="256"/>
    </row>
    <row r="56259" spans="104:111">
      <c r="CZ56259" s="256"/>
      <c r="DG56259" s="256"/>
    </row>
    <row r="56260" spans="104:111">
      <c r="CZ56260" s="256"/>
      <c r="DG56260" s="256"/>
    </row>
    <row r="56261" spans="104:111">
      <c r="CZ56261" s="256"/>
      <c r="DG56261" s="256"/>
    </row>
    <row r="56262" spans="104:111">
      <c r="CZ56262" s="256"/>
      <c r="DG56262" s="256"/>
    </row>
    <row r="56263" spans="104:111">
      <c r="CZ56263" s="256"/>
      <c r="DG56263" s="256"/>
    </row>
    <row r="56264" spans="104:111">
      <c r="CZ56264" s="256"/>
      <c r="DG56264" s="256"/>
    </row>
    <row r="56265" spans="104:111">
      <c r="CZ56265" s="256"/>
      <c r="DG56265" s="256"/>
    </row>
    <row r="56266" spans="104:111">
      <c r="CZ56266" s="256"/>
      <c r="DG56266" s="256"/>
    </row>
    <row r="56267" spans="104:111">
      <c r="CZ56267" s="256"/>
      <c r="DG56267" s="256"/>
    </row>
    <row r="56268" spans="104:111">
      <c r="CZ56268" s="256"/>
      <c r="DG56268" s="256"/>
    </row>
    <row r="56269" spans="104:111">
      <c r="CZ56269" s="256"/>
      <c r="DG56269" s="256"/>
    </row>
    <row r="56270" spans="104:111">
      <c r="CZ56270" s="256"/>
      <c r="DG56270" s="256"/>
    </row>
    <row r="56271" spans="104:111">
      <c r="CZ56271" s="256"/>
      <c r="DG56271" s="256"/>
    </row>
    <row r="56272" spans="104:111">
      <c r="CZ56272" s="256"/>
      <c r="DG56272" s="256"/>
    </row>
    <row r="56273" spans="104:111">
      <c r="CZ56273" s="256"/>
      <c r="DG56273" s="256"/>
    </row>
    <row r="56274" spans="104:111">
      <c r="CZ56274" s="256"/>
      <c r="DG56274" s="256"/>
    </row>
    <row r="56275" spans="104:111">
      <c r="CZ56275" s="256"/>
      <c r="DG56275" s="256"/>
    </row>
    <row r="56276" spans="104:111">
      <c r="CZ56276" s="256"/>
      <c r="DG56276" s="256"/>
    </row>
    <row r="56277" spans="104:111">
      <c r="CZ56277" s="256"/>
      <c r="DG56277" s="256"/>
    </row>
    <row r="56278" spans="104:111">
      <c r="CZ56278" s="256"/>
      <c r="DG56278" s="256"/>
    </row>
    <row r="56279" spans="104:111">
      <c r="CZ56279" s="256"/>
      <c r="DG56279" s="256"/>
    </row>
    <row r="56280" spans="104:111">
      <c r="CZ56280" s="256"/>
      <c r="DG56280" s="256"/>
    </row>
    <row r="56281" spans="104:111">
      <c r="CZ56281" s="256"/>
      <c r="DG56281" s="256"/>
    </row>
    <row r="56282" spans="104:111">
      <c r="CZ56282" s="256"/>
      <c r="DG56282" s="256"/>
    </row>
    <row r="56283" spans="104:111">
      <c r="CZ56283" s="256"/>
      <c r="DG56283" s="256"/>
    </row>
    <row r="56284" spans="104:111">
      <c r="CZ56284" s="256"/>
      <c r="DG56284" s="256"/>
    </row>
    <row r="56285" spans="104:111">
      <c r="CZ56285" s="256"/>
      <c r="DG56285" s="256"/>
    </row>
    <row r="56286" spans="104:111">
      <c r="CZ56286" s="256"/>
      <c r="DG56286" s="256"/>
    </row>
    <row r="56287" spans="104:111">
      <c r="CZ56287" s="256"/>
      <c r="DG56287" s="256"/>
    </row>
    <row r="56288" spans="104:111">
      <c r="CZ56288" s="256"/>
      <c r="DG56288" s="256"/>
    </row>
    <row r="56289" spans="104:111">
      <c r="CZ56289" s="256"/>
      <c r="DG56289" s="256"/>
    </row>
    <row r="56290" spans="104:111">
      <c r="CZ56290" s="256"/>
      <c r="DG56290" s="256"/>
    </row>
    <row r="56291" spans="104:111">
      <c r="CZ56291" s="256"/>
      <c r="DG56291" s="256"/>
    </row>
    <row r="56292" spans="104:111">
      <c r="CZ56292" s="256"/>
      <c r="DG56292" s="256"/>
    </row>
    <row r="56293" spans="104:111">
      <c r="CZ56293" s="256"/>
      <c r="DG56293" s="256"/>
    </row>
    <row r="56294" spans="104:111">
      <c r="CZ56294" s="256"/>
      <c r="DG56294" s="256"/>
    </row>
    <row r="56295" spans="104:111">
      <c r="CZ56295" s="256"/>
      <c r="DG56295" s="256"/>
    </row>
    <row r="56296" spans="104:111">
      <c r="CZ56296" s="256"/>
      <c r="DG56296" s="256"/>
    </row>
    <row r="56297" spans="104:111">
      <c r="CZ56297" s="256"/>
      <c r="DG56297" s="256"/>
    </row>
    <row r="56298" spans="104:111">
      <c r="CZ56298" s="256"/>
      <c r="DG56298" s="256"/>
    </row>
    <row r="56299" spans="104:111">
      <c r="CZ56299" s="256"/>
      <c r="DG56299" s="256"/>
    </row>
    <row r="56300" spans="104:111">
      <c r="CZ56300" s="256"/>
      <c r="DG56300" s="256"/>
    </row>
    <row r="56301" spans="104:111">
      <c r="CZ56301" s="256"/>
      <c r="DG56301" s="256"/>
    </row>
    <row r="56302" spans="104:111">
      <c r="CZ56302" s="256"/>
      <c r="DG56302" s="256"/>
    </row>
    <row r="56303" spans="104:111">
      <c r="CZ56303" s="256"/>
      <c r="DG56303" s="256"/>
    </row>
    <row r="56304" spans="104:111">
      <c r="CZ56304" s="256"/>
      <c r="DG56304" s="256"/>
    </row>
    <row r="56305" spans="104:111">
      <c r="CZ56305" s="256"/>
      <c r="DG56305" s="256"/>
    </row>
    <row r="56306" spans="104:111">
      <c r="CZ56306" s="256"/>
      <c r="DG56306" s="256"/>
    </row>
    <row r="56307" spans="104:111">
      <c r="CZ56307" s="256"/>
      <c r="DG56307" s="256"/>
    </row>
    <row r="56308" spans="104:111">
      <c r="CZ56308" s="256"/>
      <c r="DG56308" s="256"/>
    </row>
    <row r="56309" spans="104:111">
      <c r="CZ56309" s="256"/>
      <c r="DG56309" s="256"/>
    </row>
    <row r="56310" spans="104:111">
      <c r="CZ56310" s="256"/>
      <c r="DG56310" s="256"/>
    </row>
    <row r="56311" spans="104:111">
      <c r="CZ56311" s="256"/>
      <c r="DG56311" s="256"/>
    </row>
    <row r="56312" spans="104:111">
      <c r="CZ56312" s="256"/>
      <c r="DG56312" s="256"/>
    </row>
    <row r="56313" spans="104:111">
      <c r="CZ56313" s="256"/>
      <c r="DG56313" s="256"/>
    </row>
    <row r="56314" spans="104:111">
      <c r="CZ56314" s="256"/>
      <c r="DG56314" s="256"/>
    </row>
    <row r="56315" spans="104:111">
      <c r="CZ56315" s="256"/>
      <c r="DG56315" s="256"/>
    </row>
    <row r="56316" spans="104:111">
      <c r="CZ56316" s="256"/>
      <c r="DG56316" s="256"/>
    </row>
    <row r="56317" spans="104:111">
      <c r="CZ56317" s="256"/>
      <c r="DG56317" s="256"/>
    </row>
    <row r="56318" spans="104:111">
      <c r="CZ56318" s="256"/>
      <c r="DG56318" s="256"/>
    </row>
    <row r="56319" spans="104:111">
      <c r="CZ56319" s="256"/>
      <c r="DG56319" s="256"/>
    </row>
    <row r="56320" spans="104:111">
      <c r="CZ56320" s="256"/>
      <c r="DG56320" s="256"/>
    </row>
    <row r="56321" spans="104:111">
      <c r="CZ56321" s="256"/>
      <c r="DG56321" s="256"/>
    </row>
    <row r="56322" spans="104:111">
      <c r="CZ56322" s="256"/>
      <c r="DG56322" s="256"/>
    </row>
    <row r="56323" spans="104:111">
      <c r="CZ56323" s="256"/>
      <c r="DG56323" s="256"/>
    </row>
    <row r="56324" spans="104:111">
      <c r="CZ56324" s="256"/>
      <c r="DG56324" s="256"/>
    </row>
    <row r="56325" spans="104:111">
      <c r="CZ56325" s="256"/>
      <c r="DG56325" s="256"/>
    </row>
    <row r="56326" spans="104:111">
      <c r="CZ56326" s="256"/>
      <c r="DG56326" s="256"/>
    </row>
    <row r="56327" spans="104:111">
      <c r="CZ56327" s="256"/>
      <c r="DG56327" s="256"/>
    </row>
    <row r="56328" spans="104:111">
      <c r="CZ56328" s="256"/>
      <c r="DG56328" s="256"/>
    </row>
    <row r="56329" spans="104:111">
      <c r="CZ56329" s="256"/>
      <c r="DG56329" s="256"/>
    </row>
    <row r="56330" spans="104:111">
      <c r="CZ56330" s="256"/>
      <c r="DG56330" s="256"/>
    </row>
    <row r="56331" spans="104:111">
      <c r="CZ56331" s="256"/>
      <c r="DG56331" s="256"/>
    </row>
    <row r="56332" spans="104:111">
      <c r="CZ56332" s="256"/>
      <c r="DG56332" s="256"/>
    </row>
    <row r="56333" spans="104:111">
      <c r="CZ56333" s="256"/>
      <c r="DG56333" s="256"/>
    </row>
    <row r="56334" spans="104:111">
      <c r="CZ56334" s="256"/>
      <c r="DG56334" s="256"/>
    </row>
    <row r="56335" spans="104:111">
      <c r="CZ56335" s="256"/>
      <c r="DG56335" s="256"/>
    </row>
    <row r="56336" spans="104:111">
      <c r="CZ56336" s="256"/>
      <c r="DG56336" s="256"/>
    </row>
    <row r="56337" spans="104:111">
      <c r="CZ56337" s="256"/>
      <c r="DG56337" s="256"/>
    </row>
    <row r="56338" spans="104:111">
      <c r="CZ56338" s="256"/>
      <c r="DG56338" s="256"/>
    </row>
    <row r="56339" spans="104:111">
      <c r="CZ56339" s="256"/>
      <c r="DG56339" s="256"/>
    </row>
    <row r="56340" spans="104:111">
      <c r="CZ56340" s="256"/>
      <c r="DG56340" s="256"/>
    </row>
    <row r="56341" spans="104:111">
      <c r="CZ56341" s="256"/>
      <c r="DG56341" s="256"/>
    </row>
    <row r="56342" spans="104:111">
      <c r="CZ56342" s="256"/>
      <c r="DG56342" s="256"/>
    </row>
    <row r="56343" spans="104:111">
      <c r="CZ56343" s="256"/>
      <c r="DG56343" s="256"/>
    </row>
    <row r="56344" spans="104:111">
      <c r="CZ56344" s="256"/>
      <c r="DG56344" s="256"/>
    </row>
    <row r="56345" spans="104:111">
      <c r="CZ56345" s="256"/>
      <c r="DG56345" s="256"/>
    </row>
    <row r="56346" spans="104:111">
      <c r="CZ56346" s="256"/>
      <c r="DG56346" s="256"/>
    </row>
    <row r="56347" spans="104:111">
      <c r="CZ56347" s="256"/>
      <c r="DG56347" s="256"/>
    </row>
    <row r="56348" spans="104:111">
      <c r="CZ56348" s="256"/>
      <c r="DG56348" s="256"/>
    </row>
    <row r="56349" spans="104:111">
      <c r="CZ56349" s="256"/>
      <c r="DG56349" s="256"/>
    </row>
    <row r="56350" spans="104:111">
      <c r="CZ56350" s="256"/>
      <c r="DG56350" s="256"/>
    </row>
    <row r="56351" spans="104:111">
      <c r="CZ56351" s="256"/>
      <c r="DG56351" s="256"/>
    </row>
    <row r="56352" spans="104:111">
      <c r="CZ56352" s="256"/>
      <c r="DG56352" s="256"/>
    </row>
    <row r="56353" spans="104:111">
      <c r="CZ56353" s="256"/>
      <c r="DG56353" s="256"/>
    </row>
    <row r="56354" spans="104:111">
      <c r="CZ56354" s="256"/>
      <c r="DG56354" s="256"/>
    </row>
    <row r="56355" spans="104:111">
      <c r="CZ56355" s="256"/>
      <c r="DG56355" s="256"/>
    </row>
    <row r="56356" spans="104:111">
      <c r="CZ56356" s="256"/>
      <c r="DG56356" s="256"/>
    </row>
    <row r="56357" spans="104:111">
      <c r="CZ56357" s="256"/>
      <c r="DG56357" s="256"/>
    </row>
    <row r="56358" spans="104:111">
      <c r="CZ56358" s="256"/>
      <c r="DG56358" s="256"/>
    </row>
    <row r="56359" spans="104:111">
      <c r="CZ56359" s="256"/>
      <c r="DG56359" s="256"/>
    </row>
    <row r="56360" spans="104:111">
      <c r="CZ56360" s="256"/>
      <c r="DG56360" s="256"/>
    </row>
    <row r="56361" spans="104:111">
      <c r="CZ56361" s="256"/>
      <c r="DG56361" s="256"/>
    </row>
    <row r="56362" spans="104:111">
      <c r="CZ56362" s="256"/>
      <c r="DG56362" s="256"/>
    </row>
    <row r="56363" spans="104:111">
      <c r="CZ56363" s="256"/>
      <c r="DG56363" s="256"/>
    </row>
    <row r="56364" spans="104:111">
      <c r="CZ56364" s="256"/>
      <c r="DG56364" s="256"/>
    </row>
    <row r="56365" spans="104:111">
      <c r="CZ56365" s="256"/>
      <c r="DG56365" s="256"/>
    </row>
    <row r="56366" spans="104:111">
      <c r="CZ56366" s="256"/>
      <c r="DG56366" s="256"/>
    </row>
    <row r="56367" spans="104:111">
      <c r="CZ56367" s="256"/>
      <c r="DG56367" s="256"/>
    </row>
    <row r="56368" spans="104:111">
      <c r="CZ56368" s="256"/>
      <c r="DG56368" s="256"/>
    </row>
    <row r="56369" spans="104:111">
      <c r="CZ56369" s="256"/>
      <c r="DG56369" s="256"/>
    </row>
    <row r="56370" spans="104:111">
      <c r="CZ56370" s="256"/>
      <c r="DG56370" s="256"/>
    </row>
    <row r="56371" spans="104:111">
      <c r="CZ56371" s="256"/>
      <c r="DG56371" s="256"/>
    </row>
    <row r="56372" spans="104:111">
      <c r="CZ56372" s="256"/>
      <c r="DG56372" s="256"/>
    </row>
    <row r="56373" spans="104:111">
      <c r="CZ56373" s="256"/>
      <c r="DG56373" s="256"/>
    </row>
    <row r="56374" spans="104:111">
      <c r="CZ56374" s="256"/>
      <c r="DG56374" s="256"/>
    </row>
    <row r="56375" spans="104:111">
      <c r="CZ56375" s="256"/>
      <c r="DG56375" s="256"/>
    </row>
    <row r="56376" spans="104:111">
      <c r="CZ56376" s="256"/>
      <c r="DG56376" s="256"/>
    </row>
    <row r="56377" spans="104:111">
      <c r="CZ56377" s="256"/>
      <c r="DG56377" s="256"/>
    </row>
    <row r="56378" spans="104:111">
      <c r="CZ56378" s="256"/>
      <c r="DG56378" s="256"/>
    </row>
    <row r="56379" spans="104:111">
      <c r="CZ56379" s="256"/>
      <c r="DG56379" s="256"/>
    </row>
    <row r="56380" spans="104:111">
      <c r="CZ56380" s="256"/>
      <c r="DG56380" s="256"/>
    </row>
    <row r="56381" spans="104:111">
      <c r="CZ56381" s="256"/>
      <c r="DG56381" s="256"/>
    </row>
    <row r="56382" spans="104:111">
      <c r="CZ56382" s="256"/>
      <c r="DG56382" s="256"/>
    </row>
    <row r="56383" spans="104:111">
      <c r="CZ56383" s="256"/>
      <c r="DG56383" s="256"/>
    </row>
    <row r="56384" spans="104:111">
      <c r="CZ56384" s="256"/>
      <c r="DG56384" s="256"/>
    </row>
    <row r="56385" spans="104:111">
      <c r="CZ56385" s="256"/>
      <c r="DG56385" s="256"/>
    </row>
    <row r="56386" spans="104:111">
      <c r="CZ56386" s="256"/>
      <c r="DG56386" s="256"/>
    </row>
    <row r="56387" spans="104:111">
      <c r="CZ56387" s="256"/>
      <c r="DG56387" s="256"/>
    </row>
    <row r="56388" spans="104:111">
      <c r="CZ56388" s="256"/>
      <c r="DG56388" s="256"/>
    </row>
    <row r="56389" spans="104:111">
      <c r="CZ56389" s="256"/>
      <c r="DG56389" s="256"/>
    </row>
    <row r="56390" spans="104:111">
      <c r="CZ56390" s="256"/>
      <c r="DG56390" s="256"/>
    </row>
    <row r="56391" spans="104:111">
      <c r="CZ56391" s="256"/>
      <c r="DG56391" s="256"/>
    </row>
    <row r="56392" spans="104:111">
      <c r="CZ56392" s="256"/>
      <c r="DG56392" s="256"/>
    </row>
    <row r="56393" spans="104:111">
      <c r="CZ56393" s="256"/>
      <c r="DG56393" s="256"/>
    </row>
    <row r="56394" spans="104:111">
      <c r="CZ56394" s="256"/>
      <c r="DG56394" s="256"/>
    </row>
    <row r="56395" spans="104:111">
      <c r="CZ56395" s="256"/>
      <c r="DG56395" s="256"/>
    </row>
    <row r="56396" spans="104:111">
      <c r="CZ56396" s="256"/>
      <c r="DG56396" s="256"/>
    </row>
    <row r="56397" spans="104:111">
      <c r="CZ56397" s="256"/>
      <c r="DG56397" s="256"/>
    </row>
    <row r="56398" spans="104:111">
      <c r="CZ56398" s="256"/>
      <c r="DG56398" s="256"/>
    </row>
    <row r="56399" spans="104:111">
      <c r="CZ56399" s="256"/>
      <c r="DG56399" s="256"/>
    </row>
    <row r="56400" spans="104:111">
      <c r="CZ56400" s="256"/>
      <c r="DG56400" s="256"/>
    </row>
    <row r="56401" spans="104:111">
      <c r="CZ56401" s="256"/>
      <c r="DG56401" s="256"/>
    </row>
    <row r="56402" spans="104:111">
      <c r="CZ56402" s="256"/>
      <c r="DG56402" s="256"/>
    </row>
    <row r="56403" spans="104:111">
      <c r="CZ56403" s="256"/>
      <c r="DG56403" s="256"/>
    </row>
    <row r="56404" spans="104:111">
      <c r="CZ56404" s="256"/>
      <c r="DG56404" s="256"/>
    </row>
    <row r="56405" spans="104:111">
      <c r="CZ56405" s="256"/>
      <c r="DG56405" s="256"/>
    </row>
    <row r="56406" spans="104:111">
      <c r="CZ56406" s="256"/>
      <c r="DG56406" s="256"/>
    </row>
    <row r="56407" spans="104:111">
      <c r="CZ56407" s="256"/>
      <c r="DG56407" s="256"/>
    </row>
    <row r="56408" spans="104:111">
      <c r="CZ56408" s="256"/>
      <c r="DG56408" s="256"/>
    </row>
    <row r="56409" spans="104:111">
      <c r="CZ56409" s="256"/>
      <c r="DG56409" s="256"/>
    </row>
    <row r="56410" spans="104:111">
      <c r="CZ56410" s="256"/>
      <c r="DG56410" s="256"/>
    </row>
    <row r="56411" spans="104:111">
      <c r="CZ56411" s="256"/>
      <c r="DG56411" s="256"/>
    </row>
    <row r="56412" spans="104:111">
      <c r="CZ56412" s="256"/>
      <c r="DG56412" s="256"/>
    </row>
    <row r="56413" spans="104:111">
      <c r="CZ56413" s="256"/>
      <c r="DG56413" s="256"/>
    </row>
    <row r="56414" spans="104:111">
      <c r="CZ56414" s="256"/>
      <c r="DG56414" s="256"/>
    </row>
    <row r="56415" spans="104:111">
      <c r="CZ56415" s="256"/>
      <c r="DG56415" s="256"/>
    </row>
    <row r="56416" spans="104:111">
      <c r="CZ56416" s="256"/>
      <c r="DG56416" s="256"/>
    </row>
    <row r="56417" spans="104:111">
      <c r="CZ56417" s="256"/>
      <c r="DG56417" s="256"/>
    </row>
    <row r="56418" spans="104:111">
      <c r="CZ56418" s="256"/>
      <c r="DG56418" s="256"/>
    </row>
    <row r="56419" spans="104:111">
      <c r="CZ56419" s="256"/>
      <c r="DG56419" s="256"/>
    </row>
    <row r="56420" spans="104:111">
      <c r="CZ56420" s="256"/>
      <c r="DG56420" s="256"/>
    </row>
    <row r="56421" spans="104:111">
      <c r="CZ56421" s="256"/>
      <c r="DG56421" s="256"/>
    </row>
    <row r="56422" spans="104:111">
      <c r="CZ56422" s="256"/>
      <c r="DG56422" s="256"/>
    </row>
    <row r="56423" spans="104:111">
      <c r="CZ56423" s="256"/>
      <c r="DG56423" s="256"/>
    </row>
    <row r="56424" spans="104:111">
      <c r="CZ56424" s="256"/>
      <c r="DG56424" s="256"/>
    </row>
    <row r="56425" spans="104:111">
      <c r="CZ56425" s="256"/>
      <c r="DG56425" s="256"/>
    </row>
    <row r="56426" spans="104:111">
      <c r="CZ56426" s="256"/>
      <c r="DG56426" s="256"/>
    </row>
    <row r="56427" spans="104:111">
      <c r="CZ56427" s="256"/>
      <c r="DG56427" s="256"/>
    </row>
    <row r="56428" spans="104:111">
      <c r="CZ56428" s="256"/>
      <c r="DG56428" s="256"/>
    </row>
    <row r="56429" spans="104:111">
      <c r="CZ56429" s="256"/>
      <c r="DG56429" s="256"/>
    </row>
    <row r="56430" spans="104:111">
      <c r="CZ56430" s="256"/>
      <c r="DG56430" s="256"/>
    </row>
    <row r="56431" spans="104:111">
      <c r="CZ56431" s="256"/>
      <c r="DG56431" s="256"/>
    </row>
    <row r="56432" spans="104:111">
      <c r="CZ56432" s="256"/>
      <c r="DG56432" s="256"/>
    </row>
    <row r="56433" spans="104:111">
      <c r="CZ56433" s="256"/>
      <c r="DG56433" s="256"/>
    </row>
    <row r="56434" spans="104:111">
      <c r="CZ56434" s="256"/>
      <c r="DG56434" s="256"/>
    </row>
    <row r="56435" spans="104:111">
      <c r="CZ56435" s="256"/>
      <c r="DG56435" s="256"/>
    </row>
    <row r="56436" spans="104:111">
      <c r="CZ56436" s="256"/>
      <c r="DG56436" s="256"/>
    </row>
    <row r="56437" spans="104:111">
      <c r="CZ56437" s="256"/>
      <c r="DG56437" s="256"/>
    </row>
    <row r="56438" spans="104:111">
      <c r="CZ56438" s="256"/>
      <c r="DG56438" s="256"/>
    </row>
    <row r="56439" spans="104:111">
      <c r="CZ56439" s="256"/>
      <c r="DG56439" s="256"/>
    </row>
    <row r="56440" spans="104:111">
      <c r="CZ56440" s="256"/>
      <c r="DG56440" s="256"/>
    </row>
    <row r="56441" spans="104:111">
      <c r="CZ56441" s="256"/>
      <c r="DG56441" s="256"/>
    </row>
    <row r="56442" spans="104:111">
      <c r="CZ56442" s="256"/>
      <c r="DG56442" s="256"/>
    </row>
    <row r="56443" spans="104:111">
      <c r="CZ56443" s="256"/>
      <c r="DG56443" s="256"/>
    </row>
    <row r="56444" spans="104:111">
      <c r="CZ56444" s="256"/>
      <c r="DG56444" s="256"/>
    </row>
    <row r="56445" spans="104:111">
      <c r="CZ56445" s="256"/>
      <c r="DG56445" s="256"/>
    </row>
    <row r="56446" spans="104:111">
      <c r="CZ56446" s="256"/>
      <c r="DG56446" s="256"/>
    </row>
    <row r="56447" spans="104:111">
      <c r="CZ56447" s="256"/>
      <c r="DG56447" s="256"/>
    </row>
    <row r="56448" spans="104:111">
      <c r="CZ56448" s="256"/>
      <c r="DG56448" s="256"/>
    </row>
    <row r="56449" spans="104:111">
      <c r="CZ56449" s="256"/>
      <c r="DG56449" s="256"/>
    </row>
    <row r="56450" spans="104:111">
      <c r="CZ56450" s="256"/>
      <c r="DG56450" s="256"/>
    </row>
    <row r="56451" spans="104:111">
      <c r="CZ56451" s="256"/>
      <c r="DG56451" s="256"/>
    </row>
    <row r="56452" spans="104:111">
      <c r="CZ56452" s="256"/>
      <c r="DG56452" s="256"/>
    </row>
    <row r="56453" spans="104:111">
      <c r="CZ56453" s="256"/>
      <c r="DG56453" s="256"/>
    </row>
    <row r="56454" spans="104:111">
      <c r="CZ56454" s="256"/>
      <c r="DG56454" s="256"/>
    </row>
    <row r="56455" spans="104:111">
      <c r="CZ56455" s="256"/>
      <c r="DG56455" s="256"/>
    </row>
    <row r="56456" spans="104:111">
      <c r="CZ56456" s="256"/>
      <c r="DG56456" s="256"/>
    </row>
    <row r="56457" spans="104:111">
      <c r="CZ56457" s="256"/>
      <c r="DG56457" s="256"/>
    </row>
    <row r="56458" spans="104:111">
      <c r="CZ56458" s="256"/>
      <c r="DG56458" s="256"/>
    </row>
    <row r="56459" spans="104:111">
      <c r="CZ56459" s="256"/>
      <c r="DG56459" s="256"/>
    </row>
    <row r="56460" spans="104:111">
      <c r="CZ56460" s="256"/>
      <c r="DG56460" s="256"/>
    </row>
    <row r="56461" spans="104:111">
      <c r="CZ56461" s="256"/>
      <c r="DG56461" s="256"/>
    </row>
    <row r="56462" spans="104:111">
      <c r="CZ56462" s="256"/>
      <c r="DG56462" s="256"/>
    </row>
    <row r="56463" spans="104:111">
      <c r="CZ56463" s="256"/>
      <c r="DG56463" s="256"/>
    </row>
    <row r="56464" spans="104:111">
      <c r="CZ56464" s="256"/>
      <c r="DG56464" s="256"/>
    </row>
    <row r="56465" spans="104:111">
      <c r="CZ56465" s="256"/>
      <c r="DG56465" s="256"/>
    </row>
    <row r="56466" spans="104:111">
      <c r="CZ56466" s="256"/>
      <c r="DG56466" s="256"/>
    </row>
    <row r="56467" spans="104:111">
      <c r="CZ56467" s="256"/>
      <c r="DG56467" s="256"/>
    </row>
    <row r="56468" spans="104:111">
      <c r="CZ56468" s="256"/>
      <c r="DG56468" s="256"/>
    </row>
    <row r="56469" spans="104:111">
      <c r="CZ56469" s="256"/>
      <c r="DG56469" s="256"/>
    </row>
    <row r="56470" spans="104:111">
      <c r="CZ56470" s="256"/>
      <c r="DG56470" s="256"/>
    </row>
    <row r="56471" spans="104:111">
      <c r="CZ56471" s="256"/>
      <c r="DG56471" s="256"/>
    </row>
    <row r="56472" spans="104:111">
      <c r="CZ56472" s="256"/>
      <c r="DG56472" s="256"/>
    </row>
    <row r="56473" spans="104:111">
      <c r="CZ56473" s="256"/>
      <c r="DG56473" s="256"/>
    </row>
    <row r="56474" spans="104:111">
      <c r="CZ56474" s="256"/>
      <c r="DG56474" s="256"/>
    </row>
    <row r="56475" spans="104:111">
      <c r="CZ56475" s="256"/>
      <c r="DG56475" s="256"/>
    </row>
    <row r="56476" spans="104:111">
      <c r="CZ56476" s="256"/>
      <c r="DG56476" s="256"/>
    </row>
    <row r="56477" spans="104:111">
      <c r="CZ56477" s="256"/>
      <c r="DG56477" s="256"/>
    </row>
    <row r="56478" spans="104:111">
      <c r="CZ56478" s="256"/>
      <c r="DG56478" s="256"/>
    </row>
    <row r="56479" spans="104:111">
      <c r="CZ56479" s="256"/>
      <c r="DG56479" s="256"/>
    </row>
    <row r="56480" spans="104:111">
      <c r="CZ56480" s="256"/>
      <c r="DG56480" s="256"/>
    </row>
    <row r="56481" spans="104:111">
      <c r="CZ56481" s="256"/>
      <c r="DG56481" s="256"/>
    </row>
    <row r="56482" spans="104:111">
      <c r="CZ56482" s="256"/>
      <c r="DG56482" s="256"/>
    </row>
    <row r="56483" spans="104:111">
      <c r="CZ56483" s="256"/>
      <c r="DG56483" s="256"/>
    </row>
    <row r="56484" spans="104:111">
      <c r="CZ56484" s="256"/>
      <c r="DG56484" s="256"/>
    </row>
    <row r="56485" spans="104:111">
      <c r="CZ56485" s="256"/>
      <c r="DG56485" s="256"/>
    </row>
    <row r="56486" spans="104:111">
      <c r="CZ56486" s="256"/>
      <c r="DG56486" s="256"/>
    </row>
    <row r="56487" spans="104:111">
      <c r="CZ56487" s="256"/>
      <c r="DG56487" s="256"/>
    </row>
    <row r="56488" spans="104:111">
      <c r="CZ56488" s="256"/>
      <c r="DG56488" s="256"/>
    </row>
    <row r="56489" spans="104:111">
      <c r="CZ56489" s="256"/>
      <c r="DG56489" s="256"/>
    </row>
    <row r="56490" spans="104:111">
      <c r="CZ56490" s="256"/>
      <c r="DG56490" s="256"/>
    </row>
    <row r="56491" spans="104:111">
      <c r="CZ56491" s="256"/>
      <c r="DG56491" s="256"/>
    </row>
    <row r="56492" spans="104:111">
      <c r="CZ56492" s="256"/>
      <c r="DG56492" s="256"/>
    </row>
    <row r="56493" spans="104:111">
      <c r="CZ56493" s="256"/>
      <c r="DG56493" s="256"/>
    </row>
    <row r="56494" spans="104:111">
      <c r="CZ56494" s="256"/>
      <c r="DG56494" s="256"/>
    </row>
    <row r="56495" spans="104:111">
      <c r="CZ56495" s="256"/>
      <c r="DG56495" s="256"/>
    </row>
    <row r="56496" spans="104:111">
      <c r="CZ56496" s="256"/>
      <c r="DG56496" s="256"/>
    </row>
    <row r="56497" spans="104:111">
      <c r="CZ56497" s="256"/>
      <c r="DG56497" s="256"/>
    </row>
    <row r="56498" spans="104:111">
      <c r="CZ56498" s="256"/>
      <c r="DG56498" s="256"/>
    </row>
    <row r="56499" spans="104:111">
      <c r="CZ56499" s="256"/>
      <c r="DG56499" s="256"/>
    </row>
    <row r="56500" spans="104:111">
      <c r="CZ56500" s="256"/>
      <c r="DG56500" s="256"/>
    </row>
    <row r="56501" spans="104:111">
      <c r="CZ56501" s="256"/>
      <c r="DG56501" s="256"/>
    </row>
    <row r="56502" spans="104:111">
      <c r="CZ56502" s="256"/>
      <c r="DG56502" s="256"/>
    </row>
    <row r="56503" spans="104:111">
      <c r="CZ56503" s="256"/>
      <c r="DG56503" s="256"/>
    </row>
    <row r="56504" spans="104:111">
      <c r="CZ56504" s="256"/>
      <c r="DG56504" s="256"/>
    </row>
    <row r="56505" spans="104:111">
      <c r="CZ56505" s="256"/>
      <c r="DG56505" s="256"/>
    </row>
    <row r="56506" spans="104:111">
      <c r="CZ56506" s="256"/>
      <c r="DG56506" s="256"/>
    </row>
    <row r="56507" spans="104:111">
      <c r="CZ56507" s="256"/>
      <c r="DG56507" s="256"/>
    </row>
    <row r="56508" spans="104:111">
      <c r="CZ56508" s="256"/>
      <c r="DG56508" s="256"/>
    </row>
    <row r="56509" spans="104:111">
      <c r="CZ56509" s="256"/>
      <c r="DG56509" s="256"/>
    </row>
    <row r="56510" spans="104:111">
      <c r="CZ56510" s="256"/>
      <c r="DG56510" s="256"/>
    </row>
    <row r="56511" spans="104:111">
      <c r="CZ56511" s="256"/>
      <c r="DG56511" s="256"/>
    </row>
    <row r="56512" spans="104:111">
      <c r="CZ56512" s="256"/>
      <c r="DG56512" s="256"/>
    </row>
    <row r="56513" spans="104:111">
      <c r="CZ56513" s="256"/>
      <c r="DG56513" s="256"/>
    </row>
    <row r="56514" spans="104:111">
      <c r="CZ56514" s="256"/>
      <c r="DG56514" s="256"/>
    </row>
    <row r="56515" spans="104:111">
      <c r="CZ56515" s="256"/>
      <c r="DG56515" s="256"/>
    </row>
    <row r="56516" spans="104:111">
      <c r="CZ56516" s="256"/>
      <c r="DG56516" s="256"/>
    </row>
    <row r="56517" spans="104:111">
      <c r="CZ56517" s="256"/>
      <c r="DG56517" s="256"/>
    </row>
    <row r="56518" spans="104:111">
      <c r="CZ56518" s="256"/>
      <c r="DG56518" s="256"/>
    </row>
    <row r="56519" spans="104:111">
      <c r="CZ56519" s="256"/>
      <c r="DG56519" s="256"/>
    </row>
    <row r="56520" spans="104:111">
      <c r="CZ56520" s="256"/>
      <c r="DG56520" s="256"/>
    </row>
    <row r="56521" spans="104:111">
      <c r="CZ56521" s="256"/>
      <c r="DG56521" s="256"/>
    </row>
    <row r="56522" spans="104:111">
      <c r="CZ56522" s="256"/>
      <c r="DG56522" s="256"/>
    </row>
    <row r="56523" spans="104:111">
      <c r="CZ56523" s="256"/>
      <c r="DG56523" s="256"/>
    </row>
    <row r="56524" spans="104:111">
      <c r="CZ56524" s="256"/>
      <c r="DG56524" s="256"/>
    </row>
    <row r="56525" spans="104:111">
      <c r="CZ56525" s="256"/>
      <c r="DG56525" s="256"/>
    </row>
    <row r="56526" spans="104:111">
      <c r="CZ56526" s="256"/>
      <c r="DG56526" s="256"/>
    </row>
    <row r="56527" spans="104:111">
      <c r="CZ56527" s="256"/>
      <c r="DG56527" s="256"/>
    </row>
    <row r="56528" spans="104:111">
      <c r="CZ56528" s="256"/>
      <c r="DG56528" s="256"/>
    </row>
    <row r="56529" spans="104:111">
      <c r="CZ56529" s="256"/>
      <c r="DG56529" s="256"/>
    </row>
    <row r="56530" spans="104:111">
      <c r="CZ56530" s="256"/>
      <c r="DG56530" s="256"/>
    </row>
    <row r="56531" spans="104:111">
      <c r="CZ56531" s="256"/>
      <c r="DG56531" s="256"/>
    </row>
    <row r="56532" spans="104:111">
      <c r="CZ56532" s="256"/>
      <c r="DG56532" s="256"/>
    </row>
    <row r="56533" spans="104:111">
      <c r="CZ56533" s="256"/>
      <c r="DG56533" s="256"/>
    </row>
    <row r="56534" spans="104:111">
      <c r="CZ56534" s="256"/>
      <c r="DG56534" s="256"/>
    </row>
    <row r="56535" spans="104:111">
      <c r="CZ56535" s="256"/>
      <c r="DG56535" s="256"/>
    </row>
    <row r="56536" spans="104:111">
      <c r="CZ56536" s="256"/>
      <c r="DG56536" s="256"/>
    </row>
    <row r="56537" spans="104:111">
      <c r="CZ56537" s="256"/>
      <c r="DG56537" s="256"/>
    </row>
    <row r="56538" spans="104:111">
      <c r="CZ56538" s="256"/>
      <c r="DG56538" s="256"/>
    </row>
    <row r="56539" spans="104:111">
      <c r="CZ56539" s="256"/>
      <c r="DG56539" s="256"/>
    </row>
    <row r="56540" spans="104:111">
      <c r="CZ56540" s="256"/>
      <c r="DG56540" s="256"/>
    </row>
    <row r="56541" spans="104:111">
      <c r="CZ56541" s="256"/>
      <c r="DG56541" s="256"/>
    </row>
    <row r="56542" spans="104:111">
      <c r="CZ56542" s="256"/>
      <c r="DG56542" s="256"/>
    </row>
    <row r="56543" spans="104:111">
      <c r="CZ56543" s="256"/>
      <c r="DG56543" s="256"/>
    </row>
    <row r="56544" spans="104:111">
      <c r="CZ56544" s="256"/>
      <c r="DG56544" s="256"/>
    </row>
    <row r="56545" spans="104:111">
      <c r="CZ56545" s="256"/>
      <c r="DG56545" s="256"/>
    </row>
    <row r="56546" spans="104:111">
      <c r="CZ56546" s="256"/>
      <c r="DG56546" s="256"/>
    </row>
    <row r="56547" spans="104:111">
      <c r="CZ56547" s="256"/>
      <c r="DG56547" s="256"/>
    </row>
    <row r="56548" spans="104:111">
      <c r="CZ56548" s="256"/>
      <c r="DG56548" s="256"/>
    </row>
    <row r="56549" spans="104:111">
      <c r="CZ56549" s="256"/>
      <c r="DG56549" s="256"/>
    </row>
    <row r="56550" spans="104:111">
      <c r="CZ56550" s="256"/>
      <c r="DG56550" s="256"/>
    </row>
    <row r="56551" spans="104:111">
      <c r="CZ56551" s="256"/>
      <c r="DG56551" s="256"/>
    </row>
    <row r="56552" spans="104:111">
      <c r="CZ56552" s="256"/>
      <c r="DG56552" s="256"/>
    </row>
    <row r="56553" spans="104:111">
      <c r="CZ56553" s="256"/>
      <c r="DG56553" s="256"/>
    </row>
    <row r="56554" spans="104:111">
      <c r="CZ56554" s="256"/>
      <c r="DG56554" s="256"/>
    </row>
    <row r="56555" spans="104:111">
      <c r="CZ56555" s="256"/>
      <c r="DG56555" s="256"/>
    </row>
    <row r="56556" spans="104:111">
      <c r="CZ56556" s="256"/>
      <c r="DG56556" s="256"/>
    </row>
    <row r="56557" spans="104:111">
      <c r="CZ56557" s="256"/>
      <c r="DG56557" s="256"/>
    </row>
    <row r="56558" spans="104:111">
      <c r="CZ56558" s="256"/>
      <c r="DG56558" s="256"/>
    </row>
    <row r="56559" spans="104:111">
      <c r="CZ56559" s="256"/>
      <c r="DG56559" s="256"/>
    </row>
    <row r="56560" spans="104:111">
      <c r="CZ56560" s="256"/>
      <c r="DG56560" s="256"/>
    </row>
    <row r="56561" spans="104:111">
      <c r="CZ56561" s="256"/>
      <c r="DG56561" s="256"/>
    </row>
    <row r="56562" spans="104:111">
      <c r="CZ56562" s="256"/>
      <c r="DG56562" s="256"/>
    </row>
    <row r="56563" spans="104:111">
      <c r="CZ56563" s="256"/>
      <c r="DG56563" s="256"/>
    </row>
    <row r="56564" spans="104:111">
      <c r="CZ56564" s="256"/>
      <c r="DG56564" s="256"/>
    </row>
    <row r="56565" spans="104:111">
      <c r="CZ56565" s="256"/>
      <c r="DG56565" s="256"/>
    </row>
    <row r="56566" spans="104:111">
      <c r="CZ56566" s="256"/>
      <c r="DG56566" s="256"/>
    </row>
    <row r="56567" spans="104:111">
      <c r="CZ56567" s="256"/>
      <c r="DG56567" s="256"/>
    </row>
    <row r="56568" spans="104:111">
      <c r="CZ56568" s="256"/>
      <c r="DG56568" s="256"/>
    </row>
    <row r="56569" spans="104:111">
      <c r="CZ56569" s="256"/>
      <c r="DG56569" s="256"/>
    </row>
    <row r="56570" spans="104:111">
      <c r="CZ56570" s="256"/>
      <c r="DG56570" s="256"/>
    </row>
    <row r="56571" spans="104:111">
      <c r="CZ56571" s="256"/>
      <c r="DG56571" s="256"/>
    </row>
    <row r="56572" spans="104:111">
      <c r="CZ56572" s="256"/>
      <c r="DG56572" s="256"/>
    </row>
    <row r="56573" spans="104:111">
      <c r="CZ56573" s="256"/>
      <c r="DG56573" s="256"/>
    </row>
    <row r="56574" spans="104:111">
      <c r="CZ56574" s="256"/>
      <c r="DG56574" s="256"/>
    </row>
    <row r="56575" spans="104:111">
      <c r="CZ56575" s="256"/>
      <c r="DG56575" s="256"/>
    </row>
    <row r="56576" spans="104:111">
      <c r="CZ56576" s="256"/>
      <c r="DG56576" s="256"/>
    </row>
    <row r="56577" spans="104:111">
      <c r="CZ56577" s="256"/>
      <c r="DG56577" s="256"/>
    </row>
    <row r="56578" spans="104:111">
      <c r="CZ56578" s="256"/>
      <c r="DG56578" s="256"/>
    </row>
    <row r="56579" spans="104:111">
      <c r="CZ56579" s="256"/>
      <c r="DG56579" s="256"/>
    </row>
    <row r="56580" spans="104:111">
      <c r="CZ56580" s="256"/>
      <c r="DG56580" s="256"/>
    </row>
    <row r="56581" spans="104:111">
      <c r="CZ56581" s="256"/>
      <c r="DG56581" s="256"/>
    </row>
    <row r="56582" spans="104:111">
      <c r="CZ56582" s="256"/>
      <c r="DG56582" s="256"/>
    </row>
    <row r="56583" spans="104:111">
      <c r="CZ56583" s="256"/>
      <c r="DG56583" s="256"/>
    </row>
    <row r="56584" spans="104:111">
      <c r="CZ56584" s="256"/>
      <c r="DG56584" s="256"/>
    </row>
    <row r="56585" spans="104:111">
      <c r="CZ56585" s="256"/>
      <c r="DG56585" s="256"/>
    </row>
    <row r="56586" spans="104:111">
      <c r="CZ56586" s="256"/>
      <c r="DG56586" s="256"/>
    </row>
    <row r="56587" spans="104:111">
      <c r="CZ56587" s="256"/>
      <c r="DG56587" s="256"/>
    </row>
    <row r="56588" spans="104:111">
      <c r="CZ56588" s="256"/>
      <c r="DG56588" s="256"/>
    </row>
    <row r="56589" spans="104:111">
      <c r="CZ56589" s="256"/>
      <c r="DG56589" s="256"/>
    </row>
    <row r="56590" spans="104:111">
      <c r="CZ56590" s="256"/>
      <c r="DG56590" s="256"/>
    </row>
    <row r="56591" spans="104:111">
      <c r="CZ56591" s="256"/>
      <c r="DG56591" s="256"/>
    </row>
    <row r="56592" spans="104:111">
      <c r="CZ56592" s="256"/>
      <c r="DG56592" s="256"/>
    </row>
    <row r="56593" spans="104:111">
      <c r="CZ56593" s="256"/>
      <c r="DG56593" s="256"/>
    </row>
    <row r="56594" spans="104:111">
      <c r="CZ56594" s="256"/>
      <c r="DG56594" s="256"/>
    </row>
    <row r="56595" spans="104:111">
      <c r="CZ56595" s="256"/>
      <c r="DG56595" s="256"/>
    </row>
    <row r="56596" spans="104:111">
      <c r="CZ56596" s="256"/>
      <c r="DG56596" s="256"/>
    </row>
    <row r="56597" spans="104:111">
      <c r="CZ56597" s="256"/>
      <c r="DG56597" s="256"/>
    </row>
    <row r="56598" spans="104:111">
      <c r="CZ56598" s="256"/>
      <c r="DG56598" s="256"/>
    </row>
    <row r="56599" spans="104:111">
      <c r="CZ56599" s="256"/>
      <c r="DG56599" s="256"/>
    </row>
    <row r="56600" spans="104:111">
      <c r="CZ56600" s="256"/>
      <c r="DG56600" s="256"/>
    </row>
    <row r="56601" spans="104:111">
      <c r="CZ56601" s="256"/>
      <c r="DG56601" s="256"/>
    </row>
    <row r="56602" spans="104:111">
      <c r="CZ56602" s="256"/>
      <c r="DG56602" s="256"/>
    </row>
    <row r="56603" spans="104:111">
      <c r="CZ56603" s="256"/>
      <c r="DG56603" s="256"/>
    </row>
    <row r="56604" spans="104:111">
      <c r="CZ56604" s="256"/>
      <c r="DG56604" s="256"/>
    </row>
    <row r="56605" spans="104:111">
      <c r="CZ56605" s="256"/>
      <c r="DG56605" s="256"/>
    </row>
    <row r="56606" spans="104:111">
      <c r="CZ56606" s="256"/>
      <c r="DG56606" s="256"/>
    </row>
    <row r="56607" spans="104:111">
      <c r="CZ56607" s="256"/>
      <c r="DG56607" s="256"/>
    </row>
    <row r="56608" spans="104:111">
      <c r="CZ56608" s="256"/>
      <c r="DG56608" s="256"/>
    </row>
    <row r="56609" spans="104:111">
      <c r="CZ56609" s="256"/>
      <c r="DG56609" s="256"/>
    </row>
    <row r="56610" spans="104:111">
      <c r="CZ56610" s="256"/>
      <c r="DG56610" s="256"/>
    </row>
    <row r="56611" spans="104:111">
      <c r="CZ56611" s="256"/>
      <c r="DG56611" s="256"/>
    </row>
    <row r="56612" spans="104:111">
      <c r="CZ56612" s="256"/>
      <c r="DG56612" s="256"/>
    </row>
    <row r="56613" spans="104:111">
      <c r="CZ56613" s="256"/>
      <c r="DG56613" s="256"/>
    </row>
    <row r="56614" spans="104:111">
      <c r="CZ56614" s="256"/>
      <c r="DG56614" s="256"/>
    </row>
    <row r="56615" spans="104:111">
      <c r="CZ56615" s="256"/>
      <c r="DG56615" s="256"/>
    </row>
    <row r="56616" spans="104:111">
      <c r="CZ56616" s="256"/>
      <c r="DG56616" s="256"/>
    </row>
    <row r="56617" spans="104:111">
      <c r="CZ56617" s="256"/>
      <c r="DG56617" s="256"/>
    </row>
    <row r="56618" spans="104:111">
      <c r="CZ56618" s="256"/>
      <c r="DG56618" s="256"/>
    </row>
    <row r="56619" spans="104:111">
      <c r="CZ56619" s="256"/>
      <c r="DG56619" s="256"/>
    </row>
    <row r="56620" spans="104:111">
      <c r="CZ56620" s="256"/>
      <c r="DG56620" s="256"/>
    </row>
    <row r="56621" spans="104:111">
      <c r="CZ56621" s="256"/>
      <c r="DG56621" s="256"/>
    </row>
    <row r="56622" spans="104:111">
      <c r="CZ56622" s="256"/>
      <c r="DG56622" s="256"/>
    </row>
    <row r="56623" spans="104:111">
      <c r="CZ56623" s="256"/>
      <c r="DG56623" s="256"/>
    </row>
    <row r="56624" spans="104:111">
      <c r="CZ56624" s="256"/>
      <c r="DG56624" s="256"/>
    </row>
    <row r="56625" spans="104:111">
      <c r="CZ56625" s="256"/>
      <c r="DG56625" s="256"/>
    </row>
    <row r="56626" spans="104:111">
      <c r="CZ56626" s="256"/>
      <c r="DG56626" s="256"/>
    </row>
    <row r="56627" spans="104:111">
      <c r="CZ56627" s="256"/>
      <c r="DG56627" s="256"/>
    </row>
    <row r="56628" spans="104:111">
      <c r="CZ56628" s="256"/>
      <c r="DG56628" s="256"/>
    </row>
    <row r="56629" spans="104:111">
      <c r="CZ56629" s="256"/>
      <c r="DG56629" s="256"/>
    </row>
    <row r="56630" spans="104:111">
      <c r="CZ56630" s="256"/>
      <c r="DG56630" s="256"/>
    </row>
    <row r="56631" spans="104:111">
      <c r="CZ56631" s="256"/>
      <c r="DG56631" s="256"/>
    </row>
    <row r="56632" spans="104:111">
      <c r="CZ56632" s="256"/>
      <c r="DG56632" s="256"/>
    </row>
    <row r="56633" spans="104:111">
      <c r="CZ56633" s="256"/>
      <c r="DG56633" s="256"/>
    </row>
    <row r="56634" spans="104:111">
      <c r="CZ56634" s="256"/>
      <c r="DG56634" s="256"/>
    </row>
    <row r="56635" spans="104:111">
      <c r="CZ56635" s="256"/>
      <c r="DG56635" s="256"/>
    </row>
    <row r="56636" spans="104:111">
      <c r="CZ56636" s="256"/>
      <c r="DG56636" s="256"/>
    </row>
    <row r="56637" spans="104:111">
      <c r="CZ56637" s="256"/>
      <c r="DG56637" s="256"/>
    </row>
    <row r="56638" spans="104:111">
      <c r="CZ56638" s="256"/>
      <c r="DG56638" s="256"/>
    </row>
    <row r="56639" spans="104:111">
      <c r="CZ56639" s="256"/>
      <c r="DG56639" s="256"/>
    </row>
    <row r="56640" spans="104:111">
      <c r="CZ56640" s="256"/>
      <c r="DG56640" s="256"/>
    </row>
    <row r="56641" spans="104:111">
      <c r="CZ56641" s="256"/>
      <c r="DG56641" s="256"/>
    </row>
    <row r="56642" spans="104:111">
      <c r="CZ56642" s="256"/>
      <c r="DG56642" s="256"/>
    </row>
    <row r="56643" spans="104:111">
      <c r="CZ56643" s="256"/>
      <c r="DG56643" s="256"/>
    </row>
    <row r="56644" spans="104:111">
      <c r="CZ56644" s="256"/>
      <c r="DG56644" s="256"/>
    </row>
    <row r="56645" spans="104:111">
      <c r="CZ56645" s="256"/>
      <c r="DG56645" s="256"/>
    </row>
    <row r="56646" spans="104:111">
      <c r="CZ56646" s="256"/>
      <c r="DG56646" s="256"/>
    </row>
    <row r="56647" spans="104:111">
      <c r="CZ56647" s="256"/>
      <c r="DG56647" s="256"/>
    </row>
    <row r="56648" spans="104:111">
      <c r="CZ56648" s="256"/>
      <c r="DG56648" s="256"/>
    </row>
    <row r="56649" spans="104:111">
      <c r="CZ56649" s="256"/>
      <c r="DG56649" s="256"/>
    </row>
    <row r="56650" spans="104:111">
      <c r="CZ56650" s="256"/>
      <c r="DG56650" s="256"/>
    </row>
    <row r="56651" spans="104:111">
      <c r="CZ56651" s="256"/>
      <c r="DG56651" s="256"/>
    </row>
    <row r="56652" spans="104:111">
      <c r="CZ56652" s="256"/>
      <c r="DG56652" s="256"/>
    </row>
    <row r="56653" spans="104:111">
      <c r="CZ56653" s="256"/>
      <c r="DG56653" s="256"/>
    </row>
    <row r="56654" spans="104:111">
      <c r="CZ56654" s="256"/>
      <c r="DG56654" s="256"/>
    </row>
    <row r="56655" spans="104:111">
      <c r="CZ56655" s="256"/>
      <c r="DG56655" s="256"/>
    </row>
    <row r="56656" spans="104:111">
      <c r="CZ56656" s="256"/>
      <c r="DG56656" s="256"/>
    </row>
    <row r="56657" spans="104:111">
      <c r="CZ56657" s="256"/>
      <c r="DG56657" s="256"/>
    </row>
    <row r="56658" spans="104:111">
      <c r="CZ56658" s="256"/>
      <c r="DG56658" s="256"/>
    </row>
    <row r="56659" spans="104:111">
      <c r="CZ56659" s="256"/>
      <c r="DG56659" s="256"/>
    </row>
    <row r="56660" spans="104:111">
      <c r="CZ56660" s="256"/>
      <c r="DG56660" s="256"/>
    </row>
    <row r="56661" spans="104:111">
      <c r="CZ56661" s="256"/>
      <c r="DG56661" s="256"/>
    </row>
    <row r="56662" spans="104:111">
      <c r="CZ56662" s="256"/>
      <c r="DG56662" s="256"/>
    </row>
    <row r="56663" spans="104:111">
      <c r="CZ56663" s="256"/>
      <c r="DG56663" s="256"/>
    </row>
    <row r="56664" spans="104:111">
      <c r="CZ56664" s="256"/>
      <c r="DG56664" s="256"/>
    </row>
    <row r="56665" spans="104:111">
      <c r="CZ56665" s="256"/>
      <c r="DG56665" s="256"/>
    </row>
    <row r="56666" spans="104:111">
      <c r="CZ56666" s="256"/>
      <c r="DG56666" s="256"/>
    </row>
    <row r="56667" spans="104:111">
      <c r="CZ56667" s="256"/>
      <c r="DG56667" s="256"/>
    </row>
    <row r="56668" spans="104:111">
      <c r="CZ56668" s="256"/>
      <c r="DG56668" s="256"/>
    </row>
    <row r="56669" spans="104:111">
      <c r="CZ56669" s="256"/>
      <c r="DG56669" s="256"/>
    </row>
    <row r="56670" spans="104:111">
      <c r="CZ56670" s="256"/>
      <c r="DG56670" s="256"/>
    </row>
    <row r="56671" spans="104:111">
      <c r="CZ56671" s="256"/>
      <c r="DG56671" s="256"/>
    </row>
    <row r="56672" spans="104:111">
      <c r="CZ56672" s="256"/>
      <c r="DG56672" s="256"/>
    </row>
    <row r="56673" spans="104:111">
      <c r="CZ56673" s="256"/>
      <c r="DG56673" s="256"/>
    </row>
    <row r="56674" spans="104:111">
      <c r="CZ56674" s="256"/>
      <c r="DG56674" s="256"/>
    </row>
    <row r="56675" spans="104:111">
      <c r="CZ56675" s="256"/>
      <c r="DG56675" s="256"/>
    </row>
    <row r="56676" spans="104:111">
      <c r="CZ56676" s="256"/>
      <c r="DG56676" s="256"/>
    </row>
    <row r="56677" spans="104:111">
      <c r="CZ56677" s="256"/>
      <c r="DG56677" s="256"/>
    </row>
    <row r="56678" spans="104:111">
      <c r="CZ56678" s="256"/>
      <c r="DG56678" s="256"/>
    </row>
    <row r="56679" spans="104:111">
      <c r="CZ56679" s="256"/>
      <c r="DG56679" s="256"/>
    </row>
    <row r="56680" spans="104:111">
      <c r="CZ56680" s="256"/>
      <c r="DG56680" s="256"/>
    </row>
    <row r="56681" spans="104:111">
      <c r="CZ56681" s="256"/>
      <c r="DG56681" s="256"/>
    </row>
    <row r="56682" spans="104:111">
      <c r="CZ56682" s="256"/>
      <c r="DG56682" s="256"/>
    </row>
    <row r="56683" spans="104:111">
      <c r="CZ56683" s="256"/>
      <c r="DG56683" s="256"/>
    </row>
    <row r="56684" spans="104:111">
      <c r="CZ56684" s="256"/>
      <c r="DG56684" s="256"/>
    </row>
    <row r="56685" spans="104:111">
      <c r="CZ56685" s="256"/>
      <c r="DG56685" s="256"/>
    </row>
    <row r="56686" spans="104:111">
      <c r="CZ56686" s="256"/>
      <c r="DG56686" s="256"/>
    </row>
    <row r="56687" spans="104:111">
      <c r="CZ56687" s="256"/>
      <c r="DG56687" s="256"/>
    </row>
    <row r="56688" spans="104:111">
      <c r="CZ56688" s="256"/>
      <c r="DG56688" s="256"/>
    </row>
    <row r="56689" spans="104:111">
      <c r="CZ56689" s="256"/>
      <c r="DG56689" s="256"/>
    </row>
    <row r="56690" spans="104:111">
      <c r="CZ56690" s="256"/>
      <c r="DG56690" s="256"/>
    </row>
    <row r="56691" spans="104:111">
      <c r="CZ56691" s="256"/>
      <c r="DG56691" s="256"/>
    </row>
    <row r="56692" spans="104:111">
      <c r="CZ56692" s="256"/>
      <c r="DG56692" s="256"/>
    </row>
    <row r="56693" spans="104:111">
      <c r="CZ56693" s="256"/>
      <c r="DG56693" s="256"/>
    </row>
    <row r="56694" spans="104:111">
      <c r="CZ56694" s="256"/>
      <c r="DG56694" s="256"/>
    </row>
    <row r="56695" spans="104:111">
      <c r="CZ56695" s="256"/>
      <c r="DG56695" s="256"/>
    </row>
    <row r="56696" spans="104:111">
      <c r="CZ56696" s="256"/>
      <c r="DG56696" s="256"/>
    </row>
    <row r="56697" spans="104:111">
      <c r="CZ56697" s="256"/>
      <c r="DG56697" s="256"/>
    </row>
    <row r="56698" spans="104:111">
      <c r="CZ56698" s="256"/>
      <c r="DG56698" s="256"/>
    </row>
    <row r="56699" spans="104:111">
      <c r="CZ56699" s="256"/>
      <c r="DG56699" s="256"/>
    </row>
    <row r="56700" spans="104:111">
      <c r="CZ56700" s="256"/>
      <c r="DG56700" s="256"/>
    </row>
    <row r="56701" spans="104:111">
      <c r="CZ56701" s="256"/>
      <c r="DG56701" s="256"/>
    </row>
    <row r="56702" spans="104:111">
      <c r="CZ56702" s="256"/>
      <c r="DG56702" s="256"/>
    </row>
    <row r="56703" spans="104:111">
      <c r="CZ56703" s="256"/>
      <c r="DG56703" s="256"/>
    </row>
    <row r="56704" spans="104:111">
      <c r="CZ56704" s="256"/>
      <c r="DG56704" s="256"/>
    </row>
    <row r="56705" spans="104:111">
      <c r="CZ56705" s="256"/>
      <c r="DG56705" s="256"/>
    </row>
    <row r="56706" spans="104:111">
      <c r="CZ56706" s="256"/>
      <c r="DG56706" s="256"/>
    </row>
    <row r="56707" spans="104:111">
      <c r="CZ56707" s="256"/>
      <c r="DG56707" s="256"/>
    </row>
    <row r="56708" spans="104:111">
      <c r="CZ56708" s="256"/>
      <c r="DG56708" s="256"/>
    </row>
    <row r="56709" spans="104:111">
      <c r="CZ56709" s="256"/>
      <c r="DG56709" s="256"/>
    </row>
    <row r="56710" spans="104:111">
      <c r="CZ56710" s="256"/>
      <c r="DG56710" s="256"/>
    </row>
    <row r="56711" spans="104:111">
      <c r="CZ56711" s="256"/>
      <c r="DG56711" s="256"/>
    </row>
    <row r="56712" spans="104:111">
      <c r="CZ56712" s="256"/>
      <c r="DG56712" s="256"/>
    </row>
    <row r="56713" spans="104:111">
      <c r="CZ56713" s="256"/>
      <c r="DG56713" s="256"/>
    </row>
    <row r="56714" spans="104:111">
      <c r="CZ56714" s="256"/>
      <c r="DG56714" s="256"/>
    </row>
    <row r="56715" spans="104:111">
      <c r="CZ56715" s="256"/>
      <c r="DG56715" s="256"/>
    </row>
    <row r="56716" spans="104:111">
      <c r="CZ56716" s="256"/>
      <c r="DG56716" s="256"/>
    </row>
    <row r="56717" spans="104:111">
      <c r="CZ56717" s="256"/>
      <c r="DG56717" s="256"/>
    </row>
    <row r="56718" spans="104:111">
      <c r="CZ56718" s="256"/>
      <c r="DG56718" s="256"/>
    </row>
    <row r="56719" spans="104:111">
      <c r="CZ56719" s="256"/>
      <c r="DG56719" s="256"/>
    </row>
    <row r="56720" spans="104:111">
      <c r="CZ56720" s="256"/>
      <c r="DG56720" s="256"/>
    </row>
    <row r="56721" spans="104:111">
      <c r="CZ56721" s="256"/>
      <c r="DG56721" s="256"/>
    </row>
    <row r="56722" spans="104:111">
      <c r="CZ56722" s="256"/>
      <c r="DG56722" s="256"/>
    </row>
    <row r="56723" spans="104:111">
      <c r="CZ56723" s="256"/>
      <c r="DG56723" s="256"/>
    </row>
    <row r="56724" spans="104:111">
      <c r="CZ56724" s="256"/>
      <c r="DG56724" s="256"/>
    </row>
    <row r="56725" spans="104:111">
      <c r="CZ56725" s="256"/>
      <c r="DG56725" s="256"/>
    </row>
    <row r="56726" spans="104:111">
      <c r="CZ56726" s="256"/>
      <c r="DG56726" s="256"/>
    </row>
    <row r="56727" spans="104:111">
      <c r="CZ56727" s="256"/>
      <c r="DG56727" s="256"/>
    </row>
    <row r="56728" spans="104:111">
      <c r="CZ56728" s="256"/>
      <c r="DG56728" s="256"/>
    </row>
    <row r="56729" spans="104:111">
      <c r="CZ56729" s="256"/>
      <c r="DG56729" s="256"/>
    </row>
    <row r="56730" spans="104:111">
      <c r="CZ56730" s="256"/>
      <c r="DG56730" s="256"/>
    </row>
    <row r="56731" spans="104:111">
      <c r="CZ56731" s="256"/>
      <c r="DG56731" s="256"/>
    </row>
    <row r="56732" spans="104:111">
      <c r="CZ56732" s="256"/>
      <c r="DG56732" s="256"/>
    </row>
    <row r="56733" spans="104:111">
      <c r="CZ56733" s="256"/>
      <c r="DG56733" s="256"/>
    </row>
    <row r="56734" spans="104:111">
      <c r="CZ56734" s="256"/>
      <c r="DG56734" s="256"/>
    </row>
    <row r="56735" spans="104:111">
      <c r="CZ56735" s="256"/>
      <c r="DG56735" s="256"/>
    </row>
    <row r="56736" spans="104:111">
      <c r="CZ56736" s="256"/>
      <c r="DG56736" s="256"/>
    </row>
    <row r="56737" spans="104:111">
      <c r="CZ56737" s="256"/>
      <c r="DG56737" s="256"/>
    </row>
    <row r="56738" spans="104:111">
      <c r="CZ56738" s="256"/>
      <c r="DG56738" s="256"/>
    </row>
    <row r="56739" spans="104:111">
      <c r="CZ56739" s="256"/>
      <c r="DG56739" s="256"/>
    </row>
    <row r="56740" spans="104:111">
      <c r="CZ56740" s="256"/>
      <c r="DG56740" s="256"/>
    </row>
    <row r="56741" spans="104:111">
      <c r="CZ56741" s="256"/>
      <c r="DG56741" s="256"/>
    </row>
    <row r="56742" spans="104:111">
      <c r="CZ56742" s="256"/>
      <c r="DG56742" s="256"/>
    </row>
    <row r="56743" spans="104:111">
      <c r="CZ56743" s="256"/>
      <c r="DG56743" s="256"/>
    </row>
    <row r="56744" spans="104:111">
      <c r="CZ56744" s="256"/>
      <c r="DG56744" s="256"/>
    </row>
    <row r="56745" spans="104:111">
      <c r="CZ56745" s="256"/>
      <c r="DG56745" s="256"/>
    </row>
    <row r="56746" spans="104:111">
      <c r="CZ56746" s="256"/>
      <c r="DG56746" s="256"/>
    </row>
    <row r="56747" spans="104:111">
      <c r="CZ56747" s="256"/>
      <c r="DG56747" s="256"/>
    </row>
    <row r="56748" spans="104:111">
      <c r="CZ56748" s="256"/>
      <c r="DG56748" s="256"/>
    </row>
    <row r="56749" spans="104:111">
      <c r="CZ56749" s="256"/>
      <c r="DG56749" s="256"/>
    </row>
    <row r="56750" spans="104:111">
      <c r="CZ56750" s="256"/>
      <c r="DG56750" s="256"/>
    </row>
    <row r="56751" spans="104:111">
      <c r="CZ56751" s="256"/>
      <c r="DG56751" s="256"/>
    </row>
    <row r="56752" spans="104:111">
      <c r="CZ56752" s="256"/>
      <c r="DG56752" s="256"/>
    </row>
    <row r="56753" spans="104:111">
      <c r="CZ56753" s="256"/>
      <c r="DG56753" s="256"/>
    </row>
    <row r="56754" spans="104:111">
      <c r="CZ56754" s="256"/>
      <c r="DG56754" s="256"/>
    </row>
    <row r="56755" spans="104:111">
      <c r="CZ56755" s="256"/>
      <c r="DG56755" s="256"/>
    </row>
    <row r="56756" spans="104:111">
      <c r="CZ56756" s="256"/>
      <c r="DG56756" s="256"/>
    </row>
    <row r="56757" spans="104:111">
      <c r="CZ56757" s="256"/>
      <c r="DG56757" s="256"/>
    </row>
    <row r="56758" spans="104:111">
      <c r="CZ56758" s="256"/>
      <c r="DG56758" s="256"/>
    </row>
    <row r="56759" spans="104:111">
      <c r="CZ56759" s="256"/>
      <c r="DG56759" s="256"/>
    </row>
    <row r="56760" spans="104:111">
      <c r="CZ56760" s="256"/>
      <c r="DG56760" s="256"/>
    </row>
    <row r="56761" spans="104:111">
      <c r="CZ56761" s="256"/>
      <c r="DG56761" s="256"/>
    </row>
    <row r="56762" spans="104:111">
      <c r="CZ56762" s="256"/>
      <c r="DG56762" s="256"/>
    </row>
    <row r="56763" spans="104:111">
      <c r="CZ56763" s="256"/>
      <c r="DG56763" s="256"/>
    </row>
    <row r="56764" spans="104:111">
      <c r="CZ56764" s="256"/>
      <c r="DG56764" s="256"/>
    </row>
    <row r="56765" spans="104:111">
      <c r="CZ56765" s="256"/>
      <c r="DG56765" s="256"/>
    </row>
    <row r="56766" spans="104:111">
      <c r="CZ56766" s="256"/>
      <c r="DG56766" s="256"/>
    </row>
    <row r="56767" spans="104:111">
      <c r="CZ56767" s="256"/>
      <c r="DG56767" s="256"/>
    </row>
    <row r="56768" spans="104:111">
      <c r="CZ56768" s="256"/>
      <c r="DG56768" s="256"/>
    </row>
    <row r="56769" spans="104:111">
      <c r="CZ56769" s="256"/>
      <c r="DG56769" s="256"/>
    </row>
    <row r="56770" spans="104:111">
      <c r="CZ56770" s="256"/>
      <c r="DG56770" s="256"/>
    </row>
    <row r="56771" spans="104:111">
      <c r="CZ56771" s="256"/>
      <c r="DG56771" s="256"/>
    </row>
    <row r="56772" spans="104:111">
      <c r="CZ56772" s="256"/>
      <c r="DG56772" s="256"/>
    </row>
    <row r="56773" spans="104:111">
      <c r="CZ56773" s="256"/>
      <c r="DG56773" s="256"/>
    </row>
    <row r="56774" spans="104:111">
      <c r="CZ56774" s="256"/>
      <c r="DG56774" s="256"/>
    </row>
    <row r="56775" spans="104:111">
      <c r="CZ56775" s="256"/>
      <c r="DG56775" s="256"/>
    </row>
    <row r="56776" spans="104:111">
      <c r="CZ56776" s="256"/>
      <c r="DG56776" s="256"/>
    </row>
    <row r="56777" spans="104:111">
      <c r="CZ56777" s="256"/>
      <c r="DG56777" s="256"/>
    </row>
    <row r="56778" spans="104:111">
      <c r="CZ56778" s="256"/>
      <c r="DG56778" s="256"/>
    </row>
    <row r="56779" spans="104:111">
      <c r="CZ56779" s="256"/>
      <c r="DG56779" s="256"/>
    </row>
    <row r="56780" spans="104:111">
      <c r="CZ56780" s="256"/>
      <c r="DG56780" s="256"/>
    </row>
    <row r="56781" spans="104:111">
      <c r="CZ56781" s="256"/>
      <c r="DG56781" s="256"/>
    </row>
    <row r="56782" spans="104:111">
      <c r="CZ56782" s="256"/>
      <c r="DG56782" s="256"/>
    </row>
    <row r="56783" spans="104:111">
      <c r="CZ56783" s="256"/>
      <c r="DG56783" s="256"/>
    </row>
    <row r="56784" spans="104:111">
      <c r="CZ56784" s="256"/>
      <c r="DG56784" s="256"/>
    </row>
    <row r="56785" spans="104:111">
      <c r="CZ56785" s="256"/>
      <c r="DG56785" s="256"/>
    </row>
    <row r="56786" spans="104:111">
      <c r="CZ56786" s="256"/>
      <c r="DG56786" s="256"/>
    </row>
    <row r="56787" spans="104:111">
      <c r="CZ56787" s="256"/>
      <c r="DG56787" s="256"/>
    </row>
    <row r="56788" spans="104:111">
      <c r="CZ56788" s="256"/>
      <c r="DG56788" s="256"/>
    </row>
    <row r="56789" spans="104:111">
      <c r="CZ56789" s="256"/>
      <c r="DG56789" s="256"/>
    </row>
    <row r="56790" spans="104:111">
      <c r="CZ56790" s="256"/>
      <c r="DG56790" s="256"/>
    </row>
    <row r="56791" spans="104:111">
      <c r="CZ56791" s="256"/>
      <c r="DG56791" s="256"/>
    </row>
    <row r="56792" spans="104:111">
      <c r="CZ56792" s="256"/>
      <c r="DG56792" s="256"/>
    </row>
    <row r="56793" spans="104:111">
      <c r="CZ56793" s="256"/>
      <c r="DG56793" s="256"/>
    </row>
    <row r="56794" spans="104:111">
      <c r="CZ56794" s="256"/>
      <c r="DG56794" s="256"/>
    </row>
    <row r="56795" spans="104:111">
      <c r="CZ56795" s="256"/>
      <c r="DG56795" s="256"/>
    </row>
    <row r="56796" spans="104:111">
      <c r="CZ56796" s="256"/>
      <c r="DG56796" s="256"/>
    </row>
    <row r="56797" spans="104:111">
      <c r="CZ56797" s="256"/>
      <c r="DG56797" s="256"/>
    </row>
    <row r="56798" spans="104:111">
      <c r="CZ56798" s="256"/>
      <c r="DG56798" s="256"/>
    </row>
    <row r="56799" spans="104:111">
      <c r="CZ56799" s="256"/>
      <c r="DG56799" s="256"/>
    </row>
    <row r="56800" spans="104:111">
      <c r="CZ56800" s="256"/>
      <c r="DG56800" s="256"/>
    </row>
    <row r="56801" spans="104:111">
      <c r="CZ56801" s="256"/>
      <c r="DG56801" s="256"/>
    </row>
    <row r="56802" spans="104:111">
      <c r="CZ56802" s="256"/>
      <c r="DG56802" s="256"/>
    </row>
    <row r="56803" spans="104:111">
      <c r="CZ56803" s="256"/>
      <c r="DG56803" s="256"/>
    </row>
    <row r="56804" spans="104:111">
      <c r="CZ56804" s="256"/>
      <c r="DG56804" s="256"/>
    </row>
    <row r="56805" spans="104:111">
      <c r="CZ56805" s="256"/>
      <c r="DG56805" s="256"/>
    </row>
    <row r="56806" spans="104:111">
      <c r="CZ56806" s="256"/>
      <c r="DG56806" s="256"/>
    </row>
    <row r="56807" spans="104:111">
      <c r="CZ56807" s="256"/>
      <c r="DG56807" s="256"/>
    </row>
    <row r="56808" spans="104:111">
      <c r="CZ56808" s="256"/>
      <c r="DG56808" s="256"/>
    </row>
    <row r="56809" spans="104:111">
      <c r="CZ56809" s="256"/>
      <c r="DG56809" s="256"/>
    </row>
    <row r="56810" spans="104:111">
      <c r="CZ56810" s="256"/>
      <c r="DG56810" s="256"/>
    </row>
    <row r="56811" spans="104:111">
      <c r="CZ56811" s="256"/>
      <c r="DG56811" s="256"/>
    </row>
    <row r="56812" spans="104:111">
      <c r="CZ56812" s="256"/>
      <c r="DG56812" s="256"/>
    </row>
    <row r="56813" spans="104:111">
      <c r="CZ56813" s="256"/>
      <c r="DG56813" s="256"/>
    </row>
    <row r="56814" spans="104:111">
      <c r="CZ56814" s="256"/>
      <c r="DG56814" s="256"/>
    </row>
    <row r="56815" spans="104:111">
      <c r="CZ56815" s="256"/>
      <c r="DG56815" s="256"/>
    </row>
    <row r="56816" spans="104:111">
      <c r="CZ56816" s="256"/>
      <c r="DG56816" s="256"/>
    </row>
    <row r="56817" spans="104:111">
      <c r="CZ56817" s="256"/>
      <c r="DG56817" s="256"/>
    </row>
    <row r="56818" spans="104:111">
      <c r="CZ56818" s="256"/>
      <c r="DG56818" s="256"/>
    </row>
    <row r="56819" spans="104:111">
      <c r="CZ56819" s="256"/>
      <c r="DG56819" s="256"/>
    </row>
    <row r="56820" spans="104:111">
      <c r="CZ56820" s="256"/>
      <c r="DG56820" s="256"/>
    </row>
    <row r="56821" spans="104:111">
      <c r="CZ56821" s="256"/>
      <c r="DG56821" s="256"/>
    </row>
    <row r="56822" spans="104:111">
      <c r="CZ56822" s="256"/>
      <c r="DG56822" s="256"/>
    </row>
    <row r="56823" spans="104:111">
      <c r="CZ56823" s="256"/>
      <c r="DG56823" s="256"/>
    </row>
    <row r="56824" spans="104:111">
      <c r="CZ56824" s="256"/>
      <c r="DG56824" s="256"/>
    </row>
    <row r="56825" spans="104:111">
      <c r="CZ56825" s="256"/>
      <c r="DG56825" s="256"/>
    </row>
    <row r="56826" spans="104:111">
      <c r="CZ56826" s="256"/>
      <c r="DG56826" s="256"/>
    </row>
    <row r="56827" spans="104:111">
      <c r="CZ56827" s="256"/>
      <c r="DG56827" s="256"/>
    </row>
    <row r="56828" spans="104:111">
      <c r="CZ56828" s="256"/>
      <c r="DG56828" s="256"/>
    </row>
    <row r="56829" spans="104:111">
      <c r="CZ56829" s="256"/>
      <c r="DG56829" s="256"/>
    </row>
    <row r="56830" spans="104:111">
      <c r="CZ56830" s="256"/>
      <c r="DG56830" s="256"/>
    </row>
    <row r="56831" spans="104:111">
      <c r="CZ56831" s="256"/>
      <c r="DG56831" s="256"/>
    </row>
    <row r="56832" spans="104:111">
      <c r="CZ56832" s="256"/>
      <c r="DG56832" s="256"/>
    </row>
    <row r="56833" spans="104:111">
      <c r="CZ56833" s="256"/>
      <c r="DG56833" s="256"/>
    </row>
    <row r="56834" spans="104:111">
      <c r="CZ56834" s="256"/>
      <c r="DG56834" s="256"/>
    </row>
    <row r="56835" spans="104:111">
      <c r="CZ56835" s="256"/>
      <c r="DG56835" s="256"/>
    </row>
    <row r="56836" spans="104:111">
      <c r="CZ56836" s="256"/>
      <c r="DG56836" s="256"/>
    </row>
    <row r="56837" spans="104:111">
      <c r="CZ56837" s="256"/>
      <c r="DG56837" s="256"/>
    </row>
    <row r="56838" spans="104:111">
      <c r="CZ56838" s="256"/>
      <c r="DG56838" s="256"/>
    </row>
    <row r="56839" spans="104:111">
      <c r="CZ56839" s="256"/>
      <c r="DG56839" s="256"/>
    </row>
    <row r="56840" spans="104:111">
      <c r="CZ56840" s="256"/>
      <c r="DG56840" s="256"/>
    </row>
    <row r="56841" spans="104:111">
      <c r="CZ56841" s="256"/>
      <c r="DG56841" s="256"/>
    </row>
    <row r="56842" spans="104:111">
      <c r="CZ56842" s="256"/>
      <c r="DG56842" s="256"/>
    </row>
    <row r="56843" spans="104:111">
      <c r="CZ56843" s="256"/>
      <c r="DG56843" s="256"/>
    </row>
    <row r="56844" spans="104:111">
      <c r="CZ56844" s="256"/>
      <c r="DG56844" s="256"/>
    </row>
    <row r="56845" spans="104:111">
      <c r="CZ56845" s="256"/>
      <c r="DG56845" s="256"/>
    </row>
    <row r="56846" spans="104:111">
      <c r="CZ56846" s="256"/>
      <c r="DG56846" s="256"/>
    </row>
    <row r="56847" spans="104:111">
      <c r="CZ56847" s="256"/>
      <c r="DG56847" s="256"/>
    </row>
    <row r="56848" spans="104:111">
      <c r="CZ56848" s="256"/>
      <c r="DG56848" s="256"/>
    </row>
    <row r="56849" spans="104:111">
      <c r="CZ56849" s="256"/>
      <c r="DG56849" s="256"/>
    </row>
    <row r="56850" spans="104:111">
      <c r="CZ56850" s="256"/>
      <c r="DG56850" s="256"/>
    </row>
    <row r="56851" spans="104:111">
      <c r="CZ56851" s="256"/>
      <c r="DG56851" s="256"/>
    </row>
    <row r="56852" spans="104:111">
      <c r="CZ56852" s="256"/>
      <c r="DG56852" s="256"/>
    </row>
    <row r="56853" spans="104:111">
      <c r="CZ56853" s="256"/>
      <c r="DG56853" s="256"/>
    </row>
    <row r="56854" spans="104:111">
      <c r="CZ56854" s="256"/>
      <c r="DG56854" s="256"/>
    </row>
    <row r="56855" spans="104:111">
      <c r="CZ56855" s="256"/>
      <c r="DG56855" s="256"/>
    </row>
    <row r="56856" spans="104:111">
      <c r="CZ56856" s="256"/>
      <c r="DG56856" s="256"/>
    </row>
    <row r="56857" spans="104:111">
      <c r="CZ56857" s="256"/>
      <c r="DG56857" s="256"/>
    </row>
    <row r="56858" spans="104:111">
      <c r="CZ56858" s="256"/>
      <c r="DG56858" s="256"/>
    </row>
    <row r="56859" spans="104:111">
      <c r="CZ56859" s="256"/>
      <c r="DG56859" s="256"/>
    </row>
    <row r="56860" spans="104:111">
      <c r="CZ56860" s="256"/>
      <c r="DG56860" s="256"/>
    </row>
    <row r="56861" spans="104:111">
      <c r="CZ56861" s="256"/>
      <c r="DG56861" s="256"/>
    </row>
    <row r="56862" spans="104:111">
      <c r="CZ56862" s="256"/>
      <c r="DG56862" s="256"/>
    </row>
    <row r="56863" spans="104:111">
      <c r="CZ56863" s="256"/>
      <c r="DG56863" s="256"/>
    </row>
    <row r="56864" spans="104:111">
      <c r="CZ56864" s="256"/>
      <c r="DG56864" s="256"/>
    </row>
    <row r="56865" spans="104:111">
      <c r="CZ56865" s="256"/>
      <c r="DG56865" s="256"/>
    </row>
    <row r="56866" spans="104:111">
      <c r="CZ56866" s="256"/>
      <c r="DG56866" s="256"/>
    </row>
    <row r="56867" spans="104:111">
      <c r="CZ56867" s="256"/>
      <c r="DG56867" s="256"/>
    </row>
    <row r="56868" spans="104:111">
      <c r="CZ56868" s="256"/>
      <c r="DG56868" s="256"/>
    </row>
    <row r="56869" spans="104:111">
      <c r="CZ56869" s="256"/>
      <c r="DG56869" s="256"/>
    </row>
    <row r="56870" spans="104:111">
      <c r="CZ56870" s="256"/>
      <c r="DG56870" s="256"/>
    </row>
    <row r="56871" spans="104:111">
      <c r="CZ56871" s="256"/>
      <c r="DG56871" s="256"/>
    </row>
    <row r="56872" spans="104:111">
      <c r="CZ56872" s="256"/>
      <c r="DG56872" s="256"/>
    </row>
    <row r="56873" spans="104:111">
      <c r="CZ56873" s="256"/>
      <c r="DG56873" s="256"/>
    </row>
    <row r="56874" spans="104:111">
      <c r="CZ56874" s="256"/>
      <c r="DG56874" s="256"/>
    </row>
    <row r="56875" spans="104:111">
      <c r="CZ56875" s="256"/>
      <c r="DG56875" s="256"/>
    </row>
    <row r="56876" spans="104:111">
      <c r="CZ56876" s="256"/>
      <c r="DG56876" s="256"/>
    </row>
    <row r="56877" spans="104:111">
      <c r="CZ56877" s="256"/>
      <c r="DG56877" s="256"/>
    </row>
    <row r="56878" spans="104:111">
      <c r="CZ56878" s="256"/>
      <c r="DG56878" s="256"/>
    </row>
    <row r="56879" spans="104:111">
      <c r="CZ56879" s="256"/>
      <c r="DG56879" s="256"/>
    </row>
    <row r="56880" spans="104:111">
      <c r="CZ56880" s="256"/>
      <c r="DG56880" s="256"/>
    </row>
    <row r="56881" spans="104:111">
      <c r="CZ56881" s="256"/>
      <c r="DG56881" s="256"/>
    </row>
    <row r="56882" spans="104:111">
      <c r="CZ56882" s="256"/>
      <c r="DG56882" s="256"/>
    </row>
    <row r="56883" spans="104:111">
      <c r="CZ56883" s="256"/>
      <c r="DG56883" s="256"/>
    </row>
    <row r="56884" spans="104:111">
      <c r="CZ56884" s="256"/>
      <c r="DG56884" s="256"/>
    </row>
    <row r="56885" spans="104:111">
      <c r="CZ56885" s="256"/>
      <c r="DG56885" s="256"/>
    </row>
    <row r="56886" spans="104:111">
      <c r="CZ56886" s="256"/>
      <c r="DG56886" s="256"/>
    </row>
    <row r="56887" spans="104:111">
      <c r="CZ56887" s="256"/>
      <c r="DG56887" s="256"/>
    </row>
    <row r="56888" spans="104:111">
      <c r="CZ56888" s="256"/>
      <c r="DG56888" s="256"/>
    </row>
    <row r="56889" spans="104:111">
      <c r="CZ56889" s="256"/>
      <c r="DG56889" s="256"/>
    </row>
    <row r="56890" spans="104:111">
      <c r="CZ56890" s="256"/>
      <c r="DG56890" s="256"/>
    </row>
    <row r="56891" spans="104:111">
      <c r="CZ56891" s="256"/>
      <c r="DG56891" s="256"/>
    </row>
    <row r="56892" spans="104:111">
      <c r="CZ56892" s="256"/>
      <c r="DG56892" s="256"/>
    </row>
    <row r="56893" spans="104:111">
      <c r="CZ56893" s="256"/>
      <c r="DG56893" s="256"/>
    </row>
    <row r="56894" spans="104:111">
      <c r="CZ56894" s="256"/>
      <c r="DG56894" s="256"/>
    </row>
    <row r="56895" spans="104:111">
      <c r="CZ56895" s="256"/>
      <c r="DG56895" s="256"/>
    </row>
    <row r="56896" spans="104:111">
      <c r="CZ56896" s="256"/>
      <c r="DG56896" s="256"/>
    </row>
    <row r="56897" spans="104:111">
      <c r="CZ56897" s="256"/>
      <c r="DG56897" s="256"/>
    </row>
    <row r="56898" spans="104:111">
      <c r="CZ56898" s="256"/>
      <c r="DG56898" s="256"/>
    </row>
    <row r="56899" spans="104:111">
      <c r="CZ56899" s="256"/>
      <c r="DG56899" s="256"/>
    </row>
    <row r="56900" spans="104:111">
      <c r="CZ56900" s="256"/>
      <c r="DG56900" s="256"/>
    </row>
    <row r="56901" spans="104:111">
      <c r="CZ56901" s="256"/>
      <c r="DG56901" s="256"/>
    </row>
    <row r="56902" spans="104:111">
      <c r="CZ56902" s="256"/>
      <c r="DG56902" s="256"/>
    </row>
    <row r="56903" spans="104:111">
      <c r="CZ56903" s="256"/>
      <c r="DG56903" s="256"/>
    </row>
    <row r="56904" spans="104:111">
      <c r="CZ56904" s="256"/>
      <c r="DG56904" s="256"/>
    </row>
    <row r="56905" spans="104:111">
      <c r="CZ56905" s="256"/>
      <c r="DG56905" s="256"/>
    </row>
    <row r="56906" spans="104:111">
      <c r="CZ56906" s="256"/>
      <c r="DG56906" s="256"/>
    </row>
    <row r="56907" spans="104:111">
      <c r="CZ56907" s="256"/>
      <c r="DG56907" s="256"/>
    </row>
    <row r="56908" spans="104:111">
      <c r="CZ56908" s="256"/>
      <c r="DG56908" s="256"/>
    </row>
    <row r="56909" spans="104:111">
      <c r="CZ56909" s="256"/>
      <c r="DG56909" s="256"/>
    </row>
    <row r="56910" spans="104:111">
      <c r="CZ56910" s="256"/>
      <c r="DG56910" s="256"/>
    </row>
    <row r="56911" spans="104:111">
      <c r="CZ56911" s="256"/>
      <c r="DG56911" s="256"/>
    </row>
    <row r="56912" spans="104:111">
      <c r="CZ56912" s="256"/>
      <c r="DG56912" s="256"/>
    </row>
    <row r="56913" spans="104:111">
      <c r="CZ56913" s="256"/>
      <c r="DG56913" s="256"/>
    </row>
    <row r="56914" spans="104:111">
      <c r="CZ56914" s="256"/>
      <c r="DG56914" s="256"/>
    </row>
    <row r="56915" spans="104:111">
      <c r="CZ56915" s="256"/>
      <c r="DG56915" s="256"/>
    </row>
    <row r="56916" spans="104:111">
      <c r="CZ56916" s="256"/>
      <c r="DG56916" s="256"/>
    </row>
    <row r="56917" spans="104:111">
      <c r="CZ56917" s="256"/>
      <c r="DG56917" s="256"/>
    </row>
    <row r="56918" spans="104:111">
      <c r="CZ56918" s="256"/>
      <c r="DG56918" s="256"/>
    </row>
    <row r="56919" spans="104:111">
      <c r="CZ56919" s="256"/>
      <c r="DG56919" s="256"/>
    </row>
    <row r="56920" spans="104:111">
      <c r="CZ56920" s="256"/>
      <c r="DG56920" s="256"/>
    </row>
    <row r="56921" spans="104:111">
      <c r="CZ56921" s="256"/>
      <c r="DG56921" s="256"/>
    </row>
    <row r="56922" spans="104:111">
      <c r="CZ56922" s="256"/>
      <c r="DG56922" s="256"/>
    </row>
    <row r="56923" spans="104:111">
      <c r="CZ56923" s="256"/>
      <c r="DG56923" s="256"/>
    </row>
    <row r="56924" spans="104:111">
      <c r="CZ56924" s="256"/>
      <c r="DG56924" s="256"/>
    </row>
    <row r="56925" spans="104:111">
      <c r="CZ56925" s="256"/>
      <c r="DG56925" s="256"/>
    </row>
    <row r="56926" spans="104:111">
      <c r="CZ56926" s="256"/>
      <c r="DG56926" s="256"/>
    </row>
    <row r="56927" spans="104:111">
      <c r="CZ56927" s="256"/>
      <c r="DG56927" s="256"/>
    </row>
    <row r="56928" spans="104:111">
      <c r="CZ56928" s="256"/>
      <c r="DG56928" s="256"/>
    </row>
    <row r="56929" spans="104:111">
      <c r="CZ56929" s="256"/>
      <c r="DG56929" s="256"/>
    </row>
    <row r="56930" spans="104:111">
      <c r="CZ56930" s="256"/>
      <c r="DG56930" s="256"/>
    </row>
    <row r="56931" spans="104:111">
      <c r="CZ56931" s="256"/>
      <c r="DG56931" s="256"/>
    </row>
    <row r="56932" spans="104:111">
      <c r="CZ56932" s="256"/>
      <c r="DG56932" s="256"/>
    </row>
    <row r="56933" spans="104:111">
      <c r="CZ56933" s="256"/>
      <c r="DG56933" s="256"/>
    </row>
    <row r="56934" spans="104:111">
      <c r="CZ56934" s="256"/>
      <c r="DG56934" s="256"/>
    </row>
    <row r="56935" spans="104:111">
      <c r="CZ56935" s="256"/>
      <c r="DG56935" s="256"/>
    </row>
    <row r="56936" spans="104:111">
      <c r="CZ56936" s="256"/>
      <c r="DG56936" s="256"/>
    </row>
    <row r="56937" spans="104:111">
      <c r="CZ56937" s="256"/>
      <c r="DG56937" s="256"/>
    </row>
    <row r="56938" spans="104:111">
      <c r="CZ56938" s="256"/>
      <c r="DG56938" s="256"/>
    </row>
    <row r="56939" spans="104:111">
      <c r="CZ56939" s="256"/>
      <c r="DG56939" s="256"/>
    </row>
    <row r="56940" spans="104:111">
      <c r="CZ56940" s="256"/>
      <c r="DG56940" s="256"/>
    </row>
    <row r="56941" spans="104:111">
      <c r="CZ56941" s="256"/>
      <c r="DG56941" s="256"/>
    </row>
    <row r="56942" spans="104:111">
      <c r="CZ56942" s="256"/>
      <c r="DG56942" s="256"/>
    </row>
    <row r="56943" spans="104:111">
      <c r="CZ56943" s="256"/>
      <c r="DG56943" s="256"/>
    </row>
    <row r="56944" spans="104:111">
      <c r="CZ56944" s="256"/>
      <c r="DG56944" s="256"/>
    </row>
    <row r="56945" spans="104:111">
      <c r="CZ56945" s="256"/>
      <c r="DG56945" s="256"/>
    </row>
    <row r="56946" spans="104:111">
      <c r="CZ56946" s="256"/>
      <c r="DG56946" s="256"/>
    </row>
    <row r="56947" spans="104:111">
      <c r="CZ56947" s="256"/>
      <c r="DG56947" s="256"/>
    </row>
    <row r="56948" spans="104:111">
      <c r="CZ56948" s="256"/>
      <c r="DG56948" s="256"/>
    </row>
    <row r="56949" spans="104:111">
      <c r="CZ56949" s="256"/>
      <c r="DG56949" s="256"/>
    </row>
    <row r="56950" spans="104:111">
      <c r="CZ56950" s="256"/>
      <c r="DG56950" s="256"/>
    </row>
    <row r="56951" spans="104:111">
      <c r="CZ56951" s="256"/>
      <c r="DG56951" s="256"/>
    </row>
    <row r="56952" spans="104:111">
      <c r="CZ56952" s="256"/>
      <c r="DG56952" s="256"/>
    </row>
    <row r="56953" spans="104:111">
      <c r="CZ56953" s="256"/>
      <c r="DG56953" s="256"/>
    </row>
    <row r="56954" spans="104:111">
      <c r="CZ56954" s="256"/>
      <c r="DG56954" s="256"/>
    </row>
    <row r="56955" spans="104:111">
      <c r="CZ56955" s="256"/>
      <c r="DG56955" s="256"/>
    </row>
    <row r="56956" spans="104:111">
      <c r="CZ56956" s="256"/>
      <c r="DG56956" s="256"/>
    </row>
    <row r="56957" spans="104:111">
      <c r="CZ56957" s="256"/>
      <c r="DG56957" s="256"/>
    </row>
    <row r="56958" spans="104:111">
      <c r="CZ56958" s="256"/>
      <c r="DG56958" s="256"/>
    </row>
    <row r="56959" spans="104:111">
      <c r="CZ56959" s="256"/>
      <c r="DG56959" s="256"/>
    </row>
    <row r="56960" spans="104:111">
      <c r="CZ56960" s="256"/>
      <c r="DG56960" s="256"/>
    </row>
    <row r="56961" spans="104:111">
      <c r="CZ56961" s="256"/>
      <c r="DG56961" s="256"/>
    </row>
    <row r="56962" spans="104:111">
      <c r="CZ56962" s="256"/>
      <c r="DG56962" s="256"/>
    </row>
    <row r="56963" spans="104:111">
      <c r="CZ56963" s="256"/>
      <c r="DG56963" s="256"/>
    </row>
    <row r="56964" spans="104:111">
      <c r="CZ56964" s="256"/>
      <c r="DG56964" s="256"/>
    </row>
    <row r="56965" spans="104:111">
      <c r="CZ56965" s="256"/>
      <c r="DG56965" s="256"/>
    </row>
    <row r="56966" spans="104:111">
      <c r="CZ56966" s="256"/>
      <c r="DG56966" s="256"/>
    </row>
    <row r="56967" spans="104:111">
      <c r="CZ56967" s="256"/>
      <c r="DG56967" s="256"/>
    </row>
    <row r="56968" spans="104:111">
      <c r="CZ56968" s="256"/>
      <c r="DG56968" s="256"/>
    </row>
    <row r="56969" spans="104:111">
      <c r="CZ56969" s="256"/>
      <c r="DG56969" s="256"/>
    </row>
    <row r="56970" spans="104:111">
      <c r="CZ56970" s="256"/>
      <c r="DG56970" s="256"/>
    </row>
    <row r="56971" spans="104:111">
      <c r="CZ56971" s="256"/>
      <c r="DG56971" s="256"/>
    </row>
    <row r="56972" spans="104:111">
      <c r="CZ56972" s="256"/>
      <c r="DG56972" s="256"/>
    </row>
    <row r="56973" spans="104:111">
      <c r="CZ56973" s="256"/>
      <c r="DG56973" s="256"/>
    </row>
    <row r="56974" spans="104:111">
      <c r="CZ56974" s="256"/>
      <c r="DG56974" s="256"/>
    </row>
    <row r="56975" spans="104:111">
      <c r="CZ56975" s="256"/>
      <c r="DG56975" s="256"/>
    </row>
    <row r="56976" spans="104:111">
      <c r="CZ56976" s="256"/>
      <c r="DG56976" s="256"/>
    </row>
    <row r="56977" spans="104:111">
      <c r="CZ56977" s="256"/>
      <c r="DG56977" s="256"/>
    </row>
    <row r="56978" spans="104:111">
      <c r="CZ56978" s="256"/>
      <c r="DG56978" s="256"/>
    </row>
    <row r="56979" spans="104:111">
      <c r="CZ56979" s="256"/>
      <c r="DG56979" s="256"/>
    </row>
    <row r="56980" spans="104:111">
      <c r="CZ56980" s="256"/>
      <c r="DG56980" s="256"/>
    </row>
    <row r="56981" spans="104:111">
      <c r="CZ56981" s="256"/>
      <c r="DG56981" s="256"/>
    </row>
    <row r="56982" spans="104:111">
      <c r="CZ56982" s="256"/>
      <c r="DG56982" s="256"/>
    </row>
    <row r="56983" spans="104:111">
      <c r="CZ56983" s="256"/>
      <c r="DG56983" s="256"/>
    </row>
    <row r="56984" spans="104:111">
      <c r="CZ56984" s="256"/>
      <c r="DG56984" s="256"/>
    </row>
    <row r="56985" spans="104:111">
      <c r="CZ56985" s="256"/>
      <c r="DG56985" s="256"/>
    </row>
    <row r="56986" spans="104:111">
      <c r="CZ56986" s="256"/>
      <c r="DG56986" s="256"/>
    </row>
    <row r="56987" spans="104:111">
      <c r="CZ56987" s="256"/>
      <c r="DG56987" s="256"/>
    </row>
    <row r="56988" spans="104:111">
      <c r="CZ56988" s="256"/>
      <c r="DG56988" s="256"/>
    </row>
    <row r="56989" spans="104:111">
      <c r="CZ56989" s="256"/>
      <c r="DG56989" s="256"/>
    </row>
    <row r="56990" spans="104:111">
      <c r="CZ56990" s="256"/>
      <c r="DG56990" s="256"/>
    </row>
    <row r="56991" spans="104:111">
      <c r="CZ56991" s="256"/>
      <c r="DG56991" s="256"/>
    </row>
    <row r="56992" spans="104:111">
      <c r="CZ56992" s="256"/>
      <c r="DG56992" s="256"/>
    </row>
    <row r="56993" spans="104:111">
      <c r="CZ56993" s="256"/>
      <c r="DG56993" s="256"/>
    </row>
    <row r="56994" spans="104:111">
      <c r="CZ56994" s="256"/>
      <c r="DG56994" s="256"/>
    </row>
    <row r="56995" spans="104:111">
      <c r="CZ56995" s="256"/>
      <c r="DG56995" s="256"/>
    </row>
    <row r="56996" spans="104:111">
      <c r="CZ56996" s="256"/>
      <c r="DG56996" s="256"/>
    </row>
    <row r="56997" spans="104:111">
      <c r="CZ56997" s="256"/>
      <c r="DG56997" s="256"/>
    </row>
    <row r="56998" spans="104:111">
      <c r="CZ56998" s="256"/>
      <c r="DG56998" s="256"/>
    </row>
    <row r="56999" spans="104:111">
      <c r="CZ56999" s="256"/>
      <c r="DG56999" s="256"/>
    </row>
    <row r="57000" spans="104:111">
      <c r="CZ57000" s="256"/>
      <c r="DG57000" s="256"/>
    </row>
    <row r="57001" spans="104:111">
      <c r="CZ57001" s="256"/>
      <c r="DG57001" s="256"/>
    </row>
    <row r="57002" spans="104:111">
      <c r="CZ57002" s="256"/>
      <c r="DG57002" s="256"/>
    </row>
    <row r="57003" spans="104:111">
      <c r="CZ57003" s="256"/>
      <c r="DG57003" s="256"/>
    </row>
    <row r="57004" spans="104:111">
      <c r="CZ57004" s="256"/>
      <c r="DG57004" s="256"/>
    </row>
    <row r="57005" spans="104:111">
      <c r="CZ57005" s="256"/>
      <c r="DG57005" s="256"/>
    </row>
    <row r="57006" spans="104:111">
      <c r="CZ57006" s="256"/>
      <c r="DG57006" s="256"/>
    </row>
    <row r="57007" spans="104:111">
      <c r="CZ57007" s="256"/>
      <c r="DG57007" s="256"/>
    </row>
    <row r="57008" spans="104:111">
      <c r="CZ57008" s="256"/>
      <c r="DG57008" s="256"/>
    </row>
    <row r="57009" spans="104:111">
      <c r="CZ57009" s="256"/>
      <c r="DG57009" s="256"/>
    </row>
    <row r="57010" spans="104:111">
      <c r="CZ57010" s="256"/>
      <c r="DG57010" s="256"/>
    </row>
    <row r="57011" spans="104:111">
      <c r="CZ57011" s="256"/>
      <c r="DG57011" s="256"/>
    </row>
    <row r="57012" spans="104:111">
      <c r="CZ57012" s="256"/>
      <c r="DG57012" s="256"/>
    </row>
    <row r="57013" spans="104:111">
      <c r="CZ57013" s="256"/>
      <c r="DG57013" s="256"/>
    </row>
    <row r="57014" spans="104:111">
      <c r="CZ57014" s="256"/>
      <c r="DG57014" s="256"/>
    </row>
    <row r="57015" spans="104:111">
      <c r="CZ57015" s="256"/>
      <c r="DG57015" s="256"/>
    </row>
    <row r="57016" spans="104:111">
      <c r="CZ57016" s="256"/>
      <c r="DG57016" s="256"/>
    </row>
    <row r="57017" spans="104:111">
      <c r="CZ57017" s="256"/>
      <c r="DG57017" s="256"/>
    </row>
    <row r="57018" spans="104:111">
      <c r="CZ57018" s="256"/>
      <c r="DG57018" s="256"/>
    </row>
    <row r="57019" spans="104:111">
      <c r="CZ57019" s="256"/>
      <c r="DG57019" s="256"/>
    </row>
    <row r="57020" spans="104:111">
      <c r="CZ57020" s="256"/>
      <c r="DG57020" s="256"/>
    </row>
    <row r="57021" spans="104:111">
      <c r="CZ57021" s="256"/>
      <c r="DG57021" s="256"/>
    </row>
    <row r="57022" spans="104:111">
      <c r="CZ57022" s="256"/>
      <c r="DG57022" s="256"/>
    </row>
    <row r="57023" spans="104:111">
      <c r="CZ57023" s="256"/>
      <c r="DG57023" s="256"/>
    </row>
    <row r="57024" spans="104:111">
      <c r="CZ57024" s="256"/>
      <c r="DG57024" s="256"/>
    </row>
    <row r="57025" spans="104:111">
      <c r="CZ57025" s="256"/>
      <c r="DG57025" s="256"/>
    </row>
    <row r="57026" spans="104:111">
      <c r="CZ57026" s="256"/>
      <c r="DG57026" s="256"/>
    </row>
    <row r="57027" spans="104:111">
      <c r="CZ57027" s="256"/>
      <c r="DG57027" s="256"/>
    </row>
    <row r="57028" spans="104:111">
      <c r="CZ57028" s="256"/>
      <c r="DG57028" s="256"/>
    </row>
    <row r="57029" spans="104:111">
      <c r="CZ57029" s="256"/>
      <c r="DG57029" s="256"/>
    </row>
    <row r="57030" spans="104:111">
      <c r="CZ57030" s="256"/>
      <c r="DG57030" s="256"/>
    </row>
    <row r="57031" spans="104:111">
      <c r="CZ57031" s="256"/>
      <c r="DG57031" s="256"/>
    </row>
    <row r="57032" spans="104:111">
      <c r="CZ57032" s="256"/>
      <c r="DG57032" s="256"/>
    </row>
    <row r="57033" spans="104:111">
      <c r="CZ57033" s="256"/>
      <c r="DG57033" s="256"/>
    </row>
    <row r="57034" spans="104:111">
      <c r="CZ57034" s="256"/>
      <c r="DG57034" s="256"/>
    </row>
    <row r="57035" spans="104:111">
      <c r="CZ57035" s="256"/>
      <c r="DG57035" s="256"/>
    </row>
    <row r="57036" spans="104:111">
      <c r="CZ57036" s="256"/>
      <c r="DG57036" s="256"/>
    </row>
    <row r="57037" spans="104:111">
      <c r="CZ57037" s="256"/>
      <c r="DG57037" s="256"/>
    </row>
    <row r="57038" spans="104:111">
      <c r="CZ57038" s="256"/>
      <c r="DG57038" s="256"/>
    </row>
    <row r="57039" spans="104:111">
      <c r="CZ57039" s="256"/>
      <c r="DG57039" s="256"/>
    </row>
    <row r="57040" spans="104:111">
      <c r="CZ57040" s="256"/>
      <c r="DG57040" s="256"/>
    </row>
    <row r="57041" spans="104:111">
      <c r="CZ57041" s="256"/>
      <c r="DG57041" s="256"/>
    </row>
    <row r="57042" spans="104:111">
      <c r="CZ57042" s="256"/>
      <c r="DG57042" s="256"/>
    </row>
    <row r="57043" spans="104:111">
      <c r="CZ57043" s="256"/>
      <c r="DG57043" s="256"/>
    </row>
    <row r="57044" spans="104:111">
      <c r="CZ57044" s="256"/>
      <c r="DG57044" s="256"/>
    </row>
    <row r="57045" spans="104:111">
      <c r="CZ57045" s="256"/>
      <c r="DG57045" s="256"/>
    </row>
    <row r="57046" spans="104:111">
      <c r="CZ57046" s="256"/>
      <c r="DG57046" s="256"/>
    </row>
    <row r="57047" spans="104:111">
      <c r="CZ57047" s="256"/>
      <c r="DG57047" s="256"/>
    </row>
    <row r="57048" spans="104:111">
      <c r="CZ57048" s="256"/>
      <c r="DG57048" s="256"/>
    </row>
    <row r="57049" spans="104:111">
      <c r="CZ57049" s="256"/>
      <c r="DG57049" s="256"/>
    </row>
    <row r="57050" spans="104:111">
      <c r="CZ57050" s="256"/>
      <c r="DG57050" s="256"/>
    </row>
    <row r="57051" spans="104:111">
      <c r="CZ57051" s="256"/>
      <c r="DG57051" s="256"/>
    </row>
    <row r="57052" spans="104:111">
      <c r="CZ57052" s="256"/>
      <c r="DG57052" s="256"/>
    </row>
    <row r="57053" spans="104:111">
      <c r="CZ57053" s="256"/>
      <c r="DG57053" s="256"/>
    </row>
    <row r="57054" spans="104:111">
      <c r="CZ57054" s="256"/>
      <c r="DG57054" s="256"/>
    </row>
    <row r="57055" spans="104:111">
      <c r="CZ57055" s="256"/>
      <c r="DG57055" s="256"/>
    </row>
    <row r="57056" spans="104:111">
      <c r="CZ57056" s="256"/>
      <c r="DG57056" s="256"/>
    </row>
    <row r="57057" spans="104:111">
      <c r="CZ57057" s="256"/>
      <c r="DG57057" s="256"/>
    </row>
    <row r="57058" spans="104:111">
      <c r="CZ57058" s="256"/>
      <c r="DG57058" s="256"/>
    </row>
    <row r="57059" spans="104:111">
      <c r="CZ57059" s="256"/>
      <c r="DG57059" s="256"/>
    </row>
    <row r="57060" spans="104:111">
      <c r="CZ57060" s="256"/>
      <c r="DG57060" s="256"/>
    </row>
    <row r="57061" spans="104:111">
      <c r="CZ57061" s="256"/>
      <c r="DG57061" s="256"/>
    </row>
    <row r="57062" spans="104:111">
      <c r="CZ57062" s="256"/>
      <c r="DG57062" s="256"/>
    </row>
    <row r="57063" spans="104:111">
      <c r="CZ57063" s="256"/>
      <c r="DG57063" s="256"/>
    </row>
    <row r="57064" spans="104:111">
      <c r="CZ57064" s="256"/>
      <c r="DG57064" s="256"/>
    </row>
    <row r="57065" spans="104:111">
      <c r="CZ57065" s="256"/>
      <c r="DG57065" s="256"/>
    </row>
    <row r="57066" spans="104:111">
      <c r="CZ57066" s="256"/>
      <c r="DG57066" s="256"/>
    </row>
    <row r="57067" spans="104:111">
      <c r="CZ57067" s="256"/>
      <c r="DG57067" s="256"/>
    </row>
    <row r="57068" spans="104:111">
      <c r="CZ57068" s="256"/>
      <c r="DG57068" s="256"/>
    </row>
    <row r="57069" spans="104:111">
      <c r="CZ57069" s="256"/>
      <c r="DG57069" s="256"/>
    </row>
    <row r="57070" spans="104:111">
      <c r="CZ57070" s="256"/>
      <c r="DG57070" s="256"/>
    </row>
    <row r="57071" spans="104:111">
      <c r="CZ57071" s="256"/>
      <c r="DG57071" s="256"/>
    </row>
    <row r="57072" spans="104:111">
      <c r="CZ57072" s="256"/>
      <c r="DG57072" s="256"/>
    </row>
    <row r="57073" spans="104:111">
      <c r="CZ57073" s="256"/>
      <c r="DG57073" s="256"/>
    </row>
    <row r="57074" spans="104:111">
      <c r="CZ57074" s="256"/>
      <c r="DG57074" s="256"/>
    </row>
    <row r="57075" spans="104:111">
      <c r="CZ57075" s="256"/>
      <c r="DG57075" s="256"/>
    </row>
    <row r="57076" spans="104:111">
      <c r="CZ57076" s="256"/>
      <c r="DG57076" s="256"/>
    </row>
    <row r="57077" spans="104:111">
      <c r="CZ57077" s="256"/>
      <c r="DG57077" s="256"/>
    </row>
    <row r="57078" spans="104:111">
      <c r="CZ57078" s="256"/>
      <c r="DG57078" s="256"/>
    </row>
    <row r="57079" spans="104:111">
      <c r="CZ57079" s="256"/>
      <c r="DG57079" s="256"/>
    </row>
    <row r="57080" spans="104:111">
      <c r="CZ57080" s="256"/>
      <c r="DG57080" s="256"/>
    </row>
    <row r="57081" spans="104:111">
      <c r="CZ57081" s="256"/>
      <c r="DG57081" s="256"/>
    </row>
    <row r="57082" spans="104:111">
      <c r="CZ57082" s="256"/>
      <c r="DG57082" s="256"/>
    </row>
    <row r="57083" spans="104:111">
      <c r="CZ57083" s="256"/>
      <c r="DG57083" s="256"/>
    </row>
    <row r="57084" spans="104:111">
      <c r="CZ57084" s="256"/>
      <c r="DG57084" s="256"/>
    </row>
    <row r="57085" spans="104:111">
      <c r="CZ57085" s="256"/>
      <c r="DG57085" s="256"/>
    </row>
    <row r="57086" spans="104:111">
      <c r="CZ57086" s="256"/>
      <c r="DG57086" s="256"/>
    </row>
    <row r="57087" spans="104:111">
      <c r="CZ57087" s="256"/>
      <c r="DG57087" s="256"/>
    </row>
    <row r="57088" spans="104:111">
      <c r="CZ57088" s="256"/>
      <c r="DG57088" s="256"/>
    </row>
    <row r="57089" spans="104:111">
      <c r="CZ57089" s="256"/>
      <c r="DG57089" s="256"/>
    </row>
    <row r="57090" spans="104:111">
      <c r="CZ57090" s="256"/>
      <c r="DG57090" s="256"/>
    </row>
    <row r="57091" spans="104:111">
      <c r="CZ57091" s="256"/>
      <c r="DG57091" s="256"/>
    </row>
    <row r="57092" spans="104:111">
      <c r="CZ57092" s="256"/>
      <c r="DG57092" s="256"/>
    </row>
    <row r="57093" spans="104:111">
      <c r="CZ57093" s="256"/>
      <c r="DG57093" s="256"/>
    </row>
    <row r="57094" spans="104:111">
      <c r="CZ57094" s="256"/>
      <c r="DG57094" s="256"/>
    </row>
    <row r="57095" spans="104:111">
      <c r="CZ57095" s="256"/>
      <c r="DG57095" s="256"/>
    </row>
    <row r="57096" spans="104:111">
      <c r="CZ57096" s="256"/>
      <c r="DG57096" s="256"/>
    </row>
    <row r="57097" spans="104:111">
      <c r="CZ57097" s="256"/>
      <c r="DG57097" s="256"/>
    </row>
    <row r="57098" spans="104:111">
      <c r="CZ57098" s="256"/>
      <c r="DG57098" s="256"/>
    </row>
    <row r="57099" spans="104:111">
      <c r="CZ57099" s="256"/>
      <c r="DG57099" s="256"/>
    </row>
    <row r="57100" spans="104:111">
      <c r="CZ57100" s="256"/>
      <c r="DG57100" s="256"/>
    </row>
    <row r="57101" spans="104:111">
      <c r="CZ57101" s="256"/>
      <c r="DG57101" s="256"/>
    </row>
    <row r="57102" spans="104:111">
      <c r="CZ57102" s="256"/>
      <c r="DG57102" s="256"/>
    </row>
    <row r="57103" spans="104:111">
      <c r="CZ57103" s="256"/>
      <c r="DG57103" s="256"/>
    </row>
    <row r="57104" spans="104:111">
      <c r="CZ57104" s="256"/>
      <c r="DG57104" s="256"/>
    </row>
    <row r="57105" spans="104:111">
      <c r="CZ57105" s="256"/>
      <c r="DG57105" s="256"/>
    </row>
    <row r="57106" spans="104:111">
      <c r="CZ57106" s="256"/>
      <c r="DG57106" s="256"/>
    </row>
    <row r="57107" spans="104:111">
      <c r="CZ57107" s="256"/>
      <c r="DG57107" s="256"/>
    </row>
    <row r="57108" spans="104:111">
      <c r="CZ57108" s="256"/>
      <c r="DG57108" s="256"/>
    </row>
    <row r="57109" spans="104:111">
      <c r="CZ57109" s="256"/>
      <c r="DG57109" s="256"/>
    </row>
    <row r="57110" spans="104:111">
      <c r="CZ57110" s="256"/>
      <c r="DG57110" s="256"/>
    </row>
    <row r="57111" spans="104:111">
      <c r="CZ57111" s="256"/>
      <c r="DG57111" s="256"/>
    </row>
    <row r="57112" spans="104:111">
      <c r="CZ57112" s="256"/>
      <c r="DG57112" s="256"/>
    </row>
    <row r="57113" spans="104:111">
      <c r="CZ57113" s="256"/>
      <c r="DG57113" s="256"/>
    </row>
    <row r="57114" spans="104:111">
      <c r="CZ57114" s="256"/>
      <c r="DG57114" s="256"/>
    </row>
    <row r="57115" spans="104:111">
      <c r="CZ57115" s="256"/>
      <c r="DG57115" s="256"/>
    </row>
    <row r="57116" spans="104:111">
      <c r="CZ57116" s="256"/>
      <c r="DG57116" s="256"/>
    </row>
    <row r="57117" spans="104:111">
      <c r="CZ57117" s="256"/>
      <c r="DG57117" s="256"/>
    </row>
    <row r="57118" spans="104:111">
      <c r="CZ57118" s="256"/>
      <c r="DG57118" s="256"/>
    </row>
    <row r="57119" spans="104:111">
      <c r="CZ57119" s="256"/>
      <c r="DG57119" s="256"/>
    </row>
    <row r="57120" spans="104:111">
      <c r="CZ57120" s="256"/>
      <c r="DG57120" s="256"/>
    </row>
    <row r="57121" spans="104:111">
      <c r="CZ57121" s="256"/>
      <c r="DG57121" s="256"/>
    </row>
    <row r="57122" spans="104:111">
      <c r="CZ57122" s="256"/>
      <c r="DG57122" s="256"/>
    </row>
    <row r="57123" spans="104:111">
      <c r="CZ57123" s="256"/>
      <c r="DG57123" s="256"/>
    </row>
    <row r="57124" spans="104:111">
      <c r="CZ57124" s="256"/>
      <c r="DG57124" s="256"/>
    </row>
    <row r="57125" spans="104:111">
      <c r="CZ57125" s="256"/>
      <c r="DG57125" s="256"/>
    </row>
    <row r="57126" spans="104:111">
      <c r="CZ57126" s="256"/>
      <c r="DG57126" s="256"/>
    </row>
    <row r="57127" spans="104:111">
      <c r="CZ57127" s="256"/>
      <c r="DG57127" s="256"/>
    </row>
    <row r="57128" spans="104:111">
      <c r="CZ57128" s="256"/>
      <c r="DG57128" s="256"/>
    </row>
    <row r="57129" spans="104:111">
      <c r="CZ57129" s="256"/>
      <c r="DG57129" s="256"/>
    </row>
    <row r="57130" spans="104:111">
      <c r="CZ57130" s="256"/>
      <c r="DG57130" s="256"/>
    </row>
    <row r="57131" spans="104:111">
      <c r="CZ57131" s="256"/>
      <c r="DG57131" s="256"/>
    </row>
    <row r="57132" spans="104:111">
      <c r="CZ57132" s="256"/>
      <c r="DG57132" s="256"/>
    </row>
    <row r="57133" spans="104:111">
      <c r="CZ57133" s="256"/>
      <c r="DG57133" s="256"/>
    </row>
    <row r="57134" spans="104:111">
      <c r="CZ57134" s="256"/>
      <c r="DG57134" s="256"/>
    </row>
    <row r="57135" spans="104:111">
      <c r="CZ57135" s="256"/>
      <c r="DG57135" s="256"/>
    </row>
    <row r="57136" spans="104:111">
      <c r="CZ57136" s="256"/>
      <c r="DG57136" s="256"/>
    </row>
    <row r="57137" spans="104:111">
      <c r="CZ57137" s="256"/>
      <c r="DG57137" s="256"/>
    </row>
    <row r="57138" spans="104:111">
      <c r="CZ57138" s="256"/>
      <c r="DG57138" s="256"/>
    </row>
    <row r="57139" spans="104:111">
      <c r="CZ57139" s="256"/>
      <c r="DG57139" s="256"/>
    </row>
    <row r="57140" spans="104:111">
      <c r="CZ57140" s="256"/>
      <c r="DG57140" s="256"/>
    </row>
    <row r="57141" spans="104:111">
      <c r="CZ57141" s="256"/>
      <c r="DG57141" s="256"/>
    </row>
    <row r="57142" spans="104:111">
      <c r="CZ57142" s="256"/>
      <c r="DG57142" s="256"/>
    </row>
    <row r="57143" spans="104:111">
      <c r="CZ57143" s="256"/>
      <c r="DG57143" s="256"/>
    </row>
    <row r="57144" spans="104:111">
      <c r="CZ57144" s="256"/>
      <c r="DG57144" s="256"/>
    </row>
    <row r="57145" spans="104:111">
      <c r="CZ57145" s="256"/>
      <c r="DG57145" s="256"/>
    </row>
    <row r="57146" spans="104:111">
      <c r="CZ57146" s="256"/>
      <c r="DG57146" s="256"/>
    </row>
    <row r="57147" spans="104:111">
      <c r="CZ57147" s="256"/>
      <c r="DG57147" s="256"/>
    </row>
    <row r="57148" spans="104:111">
      <c r="CZ57148" s="256"/>
      <c r="DG57148" s="256"/>
    </row>
    <row r="57149" spans="104:111">
      <c r="CZ57149" s="256"/>
      <c r="DG57149" s="256"/>
    </row>
    <row r="57150" spans="104:111">
      <c r="CZ57150" s="256"/>
      <c r="DG57150" s="256"/>
    </row>
    <row r="57151" spans="104:111">
      <c r="CZ57151" s="256"/>
      <c r="DG57151" s="256"/>
    </row>
    <row r="57152" spans="104:111">
      <c r="CZ57152" s="256"/>
      <c r="DG57152" s="256"/>
    </row>
    <row r="57153" spans="104:111">
      <c r="CZ57153" s="256"/>
      <c r="DG57153" s="256"/>
    </row>
    <row r="57154" spans="104:111">
      <c r="CZ57154" s="256"/>
      <c r="DG57154" s="256"/>
    </row>
    <row r="57155" spans="104:111">
      <c r="CZ57155" s="256"/>
      <c r="DG57155" s="256"/>
    </row>
    <row r="57156" spans="104:111">
      <c r="CZ57156" s="256"/>
      <c r="DG57156" s="256"/>
    </row>
    <row r="57157" spans="104:111">
      <c r="CZ57157" s="256"/>
      <c r="DG57157" s="256"/>
    </row>
    <row r="57158" spans="104:111">
      <c r="CZ57158" s="256"/>
      <c r="DG57158" s="256"/>
    </row>
    <row r="57159" spans="104:111">
      <c r="CZ57159" s="256"/>
      <c r="DG57159" s="256"/>
    </row>
    <row r="57160" spans="104:111">
      <c r="CZ57160" s="256"/>
      <c r="DG57160" s="256"/>
    </row>
    <row r="57161" spans="104:111">
      <c r="CZ57161" s="256"/>
      <c r="DG57161" s="256"/>
    </row>
    <row r="57162" spans="104:111">
      <c r="CZ57162" s="256"/>
      <c r="DG57162" s="256"/>
    </row>
    <row r="57163" spans="104:111">
      <c r="CZ57163" s="256"/>
      <c r="DG57163" s="256"/>
    </row>
    <row r="57164" spans="104:111">
      <c r="CZ57164" s="256"/>
      <c r="DG57164" s="256"/>
    </row>
    <row r="57165" spans="104:111">
      <c r="CZ57165" s="256"/>
      <c r="DG57165" s="256"/>
    </row>
    <row r="57166" spans="104:111">
      <c r="CZ57166" s="256"/>
      <c r="DG57166" s="256"/>
    </row>
    <row r="57167" spans="104:111">
      <c r="CZ57167" s="256"/>
      <c r="DG57167" s="256"/>
    </row>
    <row r="57168" spans="104:111">
      <c r="CZ57168" s="256"/>
      <c r="DG57168" s="256"/>
    </row>
    <row r="57169" spans="104:111">
      <c r="CZ57169" s="256"/>
      <c r="DG57169" s="256"/>
    </row>
    <row r="57170" spans="104:111">
      <c r="CZ57170" s="256"/>
      <c r="DG57170" s="256"/>
    </row>
    <row r="57171" spans="104:111">
      <c r="CZ57171" s="256"/>
      <c r="DG57171" s="256"/>
    </row>
    <row r="57172" spans="104:111">
      <c r="CZ57172" s="256"/>
      <c r="DG57172" s="256"/>
    </row>
    <row r="57173" spans="104:111">
      <c r="CZ57173" s="256"/>
      <c r="DG57173" s="256"/>
    </row>
    <row r="57174" spans="104:111">
      <c r="CZ57174" s="256"/>
      <c r="DG57174" s="256"/>
    </row>
    <row r="57175" spans="104:111">
      <c r="CZ57175" s="256"/>
      <c r="DG57175" s="256"/>
    </row>
    <row r="57176" spans="104:111">
      <c r="CZ57176" s="256"/>
      <c r="DG57176" s="256"/>
    </row>
    <row r="57177" spans="104:111">
      <c r="CZ57177" s="256"/>
      <c r="DG57177" s="256"/>
    </row>
    <row r="57178" spans="104:111">
      <c r="CZ57178" s="256"/>
      <c r="DG57178" s="256"/>
    </row>
    <row r="57179" spans="104:111">
      <c r="CZ57179" s="256"/>
      <c r="DG57179" s="256"/>
    </row>
    <row r="57180" spans="104:111">
      <c r="CZ57180" s="256"/>
      <c r="DG57180" s="256"/>
    </row>
    <row r="57181" spans="104:111">
      <c r="CZ57181" s="256"/>
      <c r="DG57181" s="256"/>
    </row>
    <row r="57182" spans="104:111">
      <c r="CZ57182" s="256"/>
      <c r="DG57182" s="256"/>
    </row>
    <row r="57183" spans="104:111">
      <c r="CZ57183" s="256"/>
      <c r="DG57183" s="256"/>
    </row>
    <row r="57184" spans="104:111">
      <c r="CZ57184" s="256"/>
      <c r="DG57184" s="256"/>
    </row>
    <row r="57185" spans="104:111">
      <c r="CZ57185" s="256"/>
      <c r="DG57185" s="256"/>
    </row>
    <row r="57186" spans="104:111">
      <c r="CZ57186" s="256"/>
      <c r="DG57186" s="256"/>
    </row>
    <row r="57187" spans="104:111">
      <c r="CZ57187" s="256"/>
      <c r="DG57187" s="256"/>
    </row>
    <row r="57188" spans="104:111">
      <c r="CZ57188" s="256"/>
      <c r="DG57188" s="256"/>
    </row>
    <row r="57189" spans="104:111">
      <c r="CZ57189" s="256"/>
      <c r="DG57189" s="256"/>
    </row>
    <row r="57190" spans="104:111">
      <c r="CZ57190" s="256"/>
      <c r="DG57190" s="256"/>
    </row>
    <row r="57191" spans="104:111">
      <c r="CZ57191" s="256"/>
      <c r="DG57191" s="256"/>
    </row>
    <row r="57192" spans="104:111">
      <c r="CZ57192" s="256"/>
      <c r="DG57192" s="256"/>
    </row>
    <row r="57193" spans="104:111">
      <c r="CZ57193" s="256"/>
      <c r="DG57193" s="256"/>
    </row>
    <row r="57194" spans="104:111">
      <c r="CZ57194" s="256"/>
      <c r="DG57194" s="256"/>
    </row>
    <row r="57195" spans="104:111">
      <c r="CZ57195" s="256"/>
      <c r="DG57195" s="256"/>
    </row>
    <row r="57196" spans="104:111">
      <c r="CZ57196" s="256"/>
      <c r="DG57196" s="256"/>
    </row>
    <row r="57197" spans="104:111">
      <c r="CZ57197" s="256"/>
      <c r="DG57197" s="256"/>
    </row>
    <row r="57198" spans="104:111">
      <c r="CZ57198" s="256"/>
      <c r="DG57198" s="256"/>
    </row>
    <row r="57199" spans="104:111">
      <c r="CZ57199" s="256"/>
      <c r="DG57199" s="256"/>
    </row>
    <row r="57200" spans="104:111">
      <c r="CZ57200" s="256"/>
      <c r="DG57200" s="256"/>
    </row>
    <row r="57201" spans="104:111">
      <c r="CZ57201" s="256"/>
      <c r="DG57201" s="256"/>
    </row>
    <row r="57202" spans="104:111">
      <c r="CZ57202" s="256"/>
      <c r="DG57202" s="256"/>
    </row>
    <row r="57203" spans="104:111">
      <c r="CZ57203" s="256"/>
      <c r="DG57203" s="256"/>
    </row>
    <row r="57204" spans="104:111">
      <c r="CZ57204" s="256"/>
      <c r="DG57204" s="256"/>
    </row>
    <row r="57205" spans="104:111">
      <c r="CZ57205" s="256"/>
      <c r="DG57205" s="256"/>
    </row>
    <row r="57206" spans="104:111">
      <c r="CZ57206" s="256"/>
      <c r="DG57206" s="256"/>
    </row>
    <row r="57207" spans="104:111">
      <c r="CZ57207" s="256"/>
      <c r="DG57207" s="256"/>
    </row>
    <row r="57208" spans="104:111">
      <c r="CZ57208" s="256"/>
      <c r="DG57208" s="256"/>
    </row>
    <row r="57209" spans="104:111">
      <c r="CZ57209" s="256"/>
      <c r="DG57209" s="256"/>
    </row>
    <row r="57210" spans="104:111">
      <c r="CZ57210" s="256"/>
      <c r="DG57210" s="256"/>
    </row>
    <row r="57211" spans="104:111">
      <c r="CZ57211" s="256"/>
      <c r="DG57211" s="256"/>
    </row>
    <row r="57212" spans="104:111">
      <c r="CZ57212" s="256"/>
      <c r="DG57212" s="256"/>
    </row>
    <row r="57213" spans="104:111">
      <c r="CZ57213" s="256"/>
      <c r="DG57213" s="256"/>
    </row>
    <row r="57214" spans="104:111">
      <c r="CZ57214" s="256"/>
      <c r="DG57214" s="256"/>
    </row>
    <row r="57215" spans="104:111">
      <c r="CZ57215" s="256"/>
      <c r="DG57215" s="256"/>
    </row>
    <row r="57216" spans="104:111">
      <c r="CZ57216" s="256"/>
      <c r="DG57216" s="256"/>
    </row>
    <row r="57217" spans="104:111">
      <c r="CZ57217" s="256"/>
      <c r="DG57217" s="256"/>
    </row>
    <row r="57218" spans="104:111">
      <c r="CZ57218" s="256"/>
      <c r="DG57218" s="256"/>
    </row>
    <row r="57219" spans="104:111">
      <c r="CZ57219" s="256"/>
      <c r="DG57219" s="256"/>
    </row>
    <row r="57220" spans="104:111">
      <c r="CZ57220" s="256"/>
      <c r="DG57220" s="256"/>
    </row>
    <row r="57221" spans="104:111">
      <c r="CZ57221" s="256"/>
      <c r="DG57221" s="256"/>
    </row>
    <row r="57222" spans="104:111">
      <c r="CZ57222" s="256"/>
      <c r="DG57222" s="256"/>
    </row>
    <row r="57223" spans="104:111">
      <c r="CZ57223" s="256"/>
      <c r="DG57223" s="256"/>
    </row>
    <row r="57224" spans="104:111">
      <c r="CZ57224" s="256"/>
      <c r="DG57224" s="256"/>
    </row>
    <row r="57225" spans="104:111">
      <c r="CZ57225" s="256"/>
      <c r="DG57225" s="256"/>
    </row>
    <row r="57226" spans="104:111">
      <c r="CZ57226" s="256"/>
      <c r="DG57226" s="256"/>
    </row>
    <row r="57227" spans="104:111">
      <c r="CZ57227" s="256"/>
      <c r="DG57227" s="256"/>
    </row>
    <row r="57228" spans="104:111">
      <c r="CZ57228" s="256"/>
      <c r="DG57228" s="256"/>
    </row>
    <row r="57229" spans="104:111">
      <c r="CZ57229" s="256"/>
      <c r="DG57229" s="256"/>
    </row>
    <row r="57230" spans="104:111">
      <c r="CZ57230" s="256"/>
      <c r="DG57230" s="256"/>
    </row>
    <row r="57231" spans="104:111">
      <c r="CZ57231" s="256"/>
      <c r="DG57231" s="256"/>
    </row>
    <row r="57232" spans="104:111">
      <c r="CZ57232" s="256"/>
      <c r="DG57232" s="256"/>
    </row>
    <row r="57233" spans="104:111">
      <c r="CZ57233" s="256"/>
      <c r="DG57233" s="256"/>
    </row>
    <row r="57234" spans="104:111">
      <c r="CZ57234" s="256"/>
      <c r="DG57234" s="256"/>
    </row>
    <row r="57235" spans="104:111">
      <c r="CZ57235" s="256"/>
      <c r="DG57235" s="256"/>
    </row>
    <row r="57236" spans="104:111">
      <c r="CZ57236" s="256"/>
      <c r="DG57236" s="256"/>
    </row>
    <row r="57237" spans="104:111">
      <c r="CZ57237" s="256"/>
      <c r="DG57237" s="256"/>
    </row>
    <row r="57238" spans="104:111">
      <c r="CZ57238" s="256"/>
      <c r="DG57238" s="256"/>
    </row>
    <row r="57239" spans="104:111">
      <c r="CZ57239" s="256"/>
      <c r="DG57239" s="256"/>
    </row>
    <row r="57240" spans="104:111">
      <c r="CZ57240" s="256"/>
      <c r="DG57240" s="256"/>
    </row>
    <row r="57241" spans="104:111">
      <c r="CZ57241" s="256"/>
      <c r="DG57241" s="256"/>
    </row>
    <row r="57242" spans="104:111">
      <c r="CZ57242" s="256"/>
      <c r="DG57242" s="256"/>
    </row>
    <row r="57243" spans="104:111">
      <c r="CZ57243" s="256"/>
      <c r="DG57243" s="256"/>
    </row>
    <row r="57244" spans="104:111">
      <c r="CZ57244" s="256"/>
      <c r="DG57244" s="256"/>
    </row>
    <row r="57245" spans="104:111">
      <c r="CZ57245" s="256"/>
      <c r="DG57245" s="256"/>
    </row>
    <row r="57246" spans="104:111">
      <c r="CZ57246" s="256"/>
      <c r="DG57246" s="256"/>
    </row>
    <row r="57247" spans="104:111">
      <c r="CZ57247" s="256"/>
      <c r="DG57247" s="256"/>
    </row>
    <row r="57248" spans="104:111">
      <c r="CZ57248" s="256"/>
      <c r="DG57248" s="256"/>
    </row>
    <row r="57249" spans="104:111">
      <c r="CZ57249" s="256"/>
      <c r="DG57249" s="256"/>
    </row>
    <row r="57250" spans="104:111">
      <c r="CZ57250" s="256"/>
      <c r="DG57250" s="256"/>
    </row>
    <row r="57251" spans="104:111">
      <c r="CZ57251" s="256"/>
      <c r="DG57251" s="256"/>
    </row>
    <row r="57252" spans="104:111">
      <c r="CZ57252" s="256"/>
      <c r="DG57252" s="256"/>
    </row>
    <row r="57253" spans="104:111">
      <c r="CZ57253" s="256"/>
      <c r="DG57253" s="256"/>
    </row>
    <row r="57254" spans="104:111">
      <c r="CZ57254" s="256"/>
      <c r="DG57254" s="256"/>
    </row>
    <row r="57255" spans="104:111">
      <c r="CZ57255" s="256"/>
      <c r="DG57255" s="256"/>
    </row>
    <row r="57256" spans="104:111">
      <c r="CZ57256" s="256"/>
      <c r="DG57256" s="256"/>
    </row>
    <row r="57257" spans="104:111">
      <c r="CZ57257" s="256"/>
      <c r="DG57257" s="256"/>
    </row>
    <row r="57258" spans="104:111">
      <c r="CZ57258" s="256"/>
      <c r="DG57258" s="256"/>
    </row>
    <row r="57259" spans="104:111">
      <c r="CZ57259" s="256"/>
      <c r="DG57259" s="256"/>
    </row>
    <row r="57260" spans="104:111">
      <c r="CZ57260" s="256"/>
      <c r="DG57260" s="256"/>
    </row>
    <row r="57261" spans="104:111">
      <c r="CZ57261" s="256"/>
      <c r="DG57261" s="256"/>
    </row>
    <row r="57262" spans="104:111">
      <c r="CZ57262" s="256"/>
      <c r="DG57262" s="256"/>
    </row>
    <row r="57263" spans="104:111">
      <c r="CZ57263" s="256"/>
      <c r="DG57263" s="256"/>
    </row>
    <row r="57264" spans="104:111">
      <c r="CZ57264" s="256"/>
      <c r="DG57264" s="256"/>
    </row>
    <row r="57265" spans="104:111">
      <c r="CZ57265" s="256"/>
      <c r="DG57265" s="256"/>
    </row>
    <row r="57266" spans="104:111">
      <c r="CZ57266" s="256"/>
      <c r="DG57266" s="256"/>
    </row>
    <row r="57267" spans="104:111">
      <c r="CZ57267" s="256"/>
      <c r="DG57267" s="256"/>
    </row>
    <row r="57268" spans="104:111">
      <c r="CZ57268" s="256"/>
      <c r="DG57268" s="256"/>
    </row>
    <row r="57269" spans="104:111">
      <c r="CZ57269" s="256"/>
      <c r="DG57269" s="256"/>
    </row>
    <row r="57270" spans="104:111">
      <c r="CZ57270" s="256"/>
      <c r="DG57270" s="256"/>
    </row>
    <row r="57271" spans="104:111">
      <c r="CZ57271" s="256"/>
      <c r="DG57271" s="256"/>
    </row>
    <row r="57272" spans="104:111">
      <c r="CZ57272" s="256"/>
      <c r="DG57272" s="256"/>
    </row>
    <row r="57273" spans="104:111">
      <c r="CZ57273" s="256"/>
      <c r="DG57273" s="256"/>
    </row>
    <row r="57274" spans="104:111">
      <c r="CZ57274" s="256"/>
      <c r="DG57274" s="256"/>
    </row>
    <row r="57275" spans="104:111">
      <c r="CZ57275" s="256"/>
      <c r="DG57275" s="256"/>
    </row>
    <row r="57276" spans="104:111">
      <c r="CZ57276" s="256"/>
      <c r="DG57276" s="256"/>
    </row>
    <row r="57277" spans="104:111">
      <c r="CZ57277" s="256"/>
      <c r="DG57277" s="256"/>
    </row>
    <row r="57278" spans="104:111">
      <c r="CZ57278" s="256"/>
      <c r="DG57278" s="256"/>
    </row>
    <row r="57279" spans="104:111">
      <c r="CZ57279" s="256"/>
      <c r="DG57279" s="256"/>
    </row>
    <row r="57280" spans="104:111">
      <c r="CZ57280" s="256"/>
      <c r="DG57280" s="256"/>
    </row>
    <row r="57281" spans="104:111">
      <c r="CZ57281" s="256"/>
      <c r="DG57281" s="256"/>
    </row>
    <row r="57282" spans="104:111">
      <c r="CZ57282" s="256"/>
      <c r="DG57282" s="256"/>
    </row>
    <row r="57283" spans="104:111">
      <c r="CZ57283" s="256"/>
      <c r="DG57283" s="256"/>
    </row>
    <row r="57284" spans="104:111">
      <c r="CZ57284" s="256"/>
      <c r="DG57284" s="256"/>
    </row>
    <row r="57285" spans="104:111">
      <c r="CZ57285" s="256"/>
      <c r="DG57285" s="256"/>
    </row>
    <row r="57286" spans="104:111">
      <c r="CZ57286" s="256"/>
      <c r="DG57286" s="256"/>
    </row>
    <row r="57287" spans="104:111">
      <c r="CZ57287" s="256"/>
      <c r="DG57287" s="256"/>
    </row>
    <row r="57288" spans="104:111">
      <c r="CZ57288" s="256"/>
      <c r="DG57288" s="256"/>
    </row>
    <row r="57289" spans="104:111">
      <c r="CZ57289" s="256"/>
      <c r="DG57289" s="256"/>
    </row>
    <row r="57290" spans="104:111">
      <c r="CZ57290" s="256"/>
      <c r="DG57290" s="256"/>
    </row>
    <row r="57291" spans="104:111">
      <c r="CZ57291" s="256"/>
      <c r="DG57291" s="256"/>
    </row>
    <row r="57292" spans="104:111">
      <c r="CZ57292" s="256"/>
      <c r="DG57292" s="256"/>
    </row>
    <row r="57293" spans="104:111">
      <c r="CZ57293" s="256"/>
      <c r="DG57293" s="256"/>
    </row>
    <row r="57294" spans="104:111">
      <c r="CZ57294" s="256"/>
      <c r="DG57294" s="256"/>
    </row>
    <row r="57295" spans="104:111">
      <c r="CZ57295" s="256"/>
      <c r="DG57295" s="256"/>
    </row>
    <row r="57296" spans="104:111">
      <c r="CZ57296" s="256"/>
      <c r="DG57296" s="256"/>
    </row>
    <row r="57297" spans="104:111">
      <c r="CZ57297" s="256"/>
      <c r="DG57297" s="256"/>
    </row>
    <row r="57298" spans="104:111">
      <c r="CZ57298" s="256"/>
      <c r="DG57298" s="256"/>
    </row>
    <row r="57299" spans="104:111">
      <c r="CZ57299" s="256"/>
      <c r="DG57299" s="256"/>
    </row>
    <row r="57300" spans="104:111">
      <c r="CZ57300" s="256"/>
      <c r="DG57300" s="256"/>
    </row>
    <row r="57301" spans="104:111">
      <c r="CZ57301" s="256"/>
      <c r="DG57301" s="256"/>
    </row>
    <row r="57302" spans="104:111">
      <c r="CZ57302" s="256"/>
      <c r="DG57302" s="256"/>
    </row>
    <row r="57303" spans="104:111">
      <c r="CZ57303" s="256"/>
      <c r="DG57303" s="256"/>
    </row>
    <row r="57304" spans="104:111">
      <c r="CZ57304" s="256"/>
      <c r="DG57304" s="256"/>
    </row>
    <row r="57305" spans="104:111">
      <c r="CZ57305" s="256"/>
      <c r="DG57305" s="256"/>
    </row>
    <row r="57306" spans="104:111">
      <c r="CZ57306" s="256"/>
      <c r="DG57306" s="256"/>
    </row>
    <row r="57307" spans="104:111">
      <c r="CZ57307" s="256"/>
      <c r="DG57307" s="256"/>
    </row>
    <row r="57308" spans="104:111">
      <c r="CZ57308" s="256"/>
      <c r="DG57308" s="256"/>
    </row>
    <row r="57309" spans="104:111">
      <c r="CZ57309" s="256"/>
      <c r="DG57309" s="256"/>
    </row>
    <row r="57310" spans="104:111">
      <c r="CZ57310" s="256"/>
      <c r="DG57310" s="256"/>
    </row>
    <row r="57311" spans="104:111">
      <c r="CZ57311" s="256"/>
      <c r="DG57311" s="256"/>
    </row>
    <row r="57312" spans="104:111">
      <c r="CZ57312" s="256"/>
      <c r="DG57312" s="256"/>
    </row>
    <row r="57313" spans="104:111">
      <c r="CZ57313" s="256"/>
      <c r="DG57313" s="256"/>
    </row>
    <row r="57314" spans="104:111">
      <c r="CZ57314" s="256"/>
      <c r="DG57314" s="256"/>
    </row>
    <row r="57315" spans="104:111">
      <c r="CZ57315" s="256"/>
      <c r="DG57315" s="256"/>
    </row>
    <row r="57316" spans="104:111">
      <c r="CZ57316" s="256"/>
      <c r="DG57316" s="256"/>
    </row>
    <row r="57317" spans="104:111">
      <c r="CZ57317" s="256"/>
      <c r="DG57317" s="256"/>
    </row>
    <row r="57318" spans="104:111">
      <c r="CZ57318" s="256"/>
      <c r="DG57318" s="256"/>
    </row>
    <row r="57319" spans="104:111">
      <c r="CZ57319" s="256"/>
      <c r="DG57319" s="256"/>
    </row>
    <row r="57320" spans="104:111">
      <c r="CZ57320" s="256"/>
      <c r="DG57320" s="256"/>
    </row>
    <row r="57321" spans="104:111">
      <c r="CZ57321" s="256"/>
      <c r="DG57321" s="256"/>
    </row>
    <row r="57322" spans="104:111">
      <c r="CZ57322" s="256"/>
      <c r="DG57322" s="256"/>
    </row>
    <row r="57323" spans="104:111">
      <c r="CZ57323" s="256"/>
      <c r="DG57323" s="256"/>
    </row>
    <row r="57324" spans="104:111">
      <c r="CZ57324" s="256"/>
      <c r="DG57324" s="256"/>
    </row>
    <row r="57325" spans="104:111">
      <c r="CZ57325" s="256"/>
      <c r="DG57325" s="256"/>
    </row>
    <row r="57326" spans="104:111">
      <c r="CZ57326" s="256"/>
      <c r="DG57326" s="256"/>
    </row>
    <row r="57327" spans="104:111">
      <c r="CZ57327" s="256"/>
      <c r="DG57327" s="256"/>
    </row>
    <row r="57328" spans="104:111">
      <c r="CZ57328" s="256"/>
      <c r="DG57328" s="256"/>
    </row>
    <row r="57329" spans="104:111">
      <c r="CZ57329" s="256"/>
      <c r="DG57329" s="256"/>
    </row>
    <row r="57330" spans="104:111">
      <c r="CZ57330" s="256"/>
      <c r="DG57330" s="256"/>
    </row>
    <row r="57331" spans="104:111">
      <c r="CZ57331" s="256"/>
      <c r="DG57331" s="256"/>
    </row>
    <row r="57332" spans="104:111">
      <c r="CZ57332" s="256"/>
      <c r="DG57332" s="256"/>
    </row>
    <row r="57333" spans="104:111">
      <c r="CZ57333" s="256"/>
      <c r="DG57333" s="256"/>
    </row>
    <row r="57334" spans="104:111">
      <c r="CZ57334" s="256"/>
      <c r="DG57334" s="256"/>
    </row>
    <row r="57335" spans="104:111">
      <c r="CZ57335" s="256"/>
      <c r="DG57335" s="256"/>
    </row>
    <row r="57336" spans="104:111">
      <c r="CZ57336" s="256"/>
      <c r="DG57336" s="256"/>
    </row>
    <row r="57337" spans="104:111">
      <c r="CZ57337" s="256"/>
      <c r="DG57337" s="256"/>
    </row>
    <row r="57338" spans="104:111">
      <c r="CZ57338" s="256"/>
      <c r="DG57338" s="256"/>
    </row>
    <row r="57339" spans="104:111">
      <c r="CZ57339" s="256"/>
      <c r="DG57339" s="256"/>
    </row>
    <row r="57340" spans="104:111">
      <c r="CZ57340" s="256"/>
      <c r="DG57340" s="256"/>
    </row>
    <row r="57341" spans="104:111">
      <c r="CZ57341" s="256"/>
      <c r="DG57341" s="256"/>
    </row>
    <row r="57342" spans="104:111">
      <c r="CZ57342" s="256"/>
      <c r="DG57342" s="256"/>
    </row>
    <row r="57343" spans="104:111">
      <c r="CZ57343" s="256"/>
      <c r="DG57343" s="256"/>
    </row>
    <row r="57344" spans="104:111">
      <c r="CZ57344" s="256"/>
      <c r="DG57344" s="256"/>
    </row>
    <row r="57345" spans="104:111">
      <c r="CZ57345" s="256"/>
      <c r="DG57345" s="256"/>
    </row>
    <row r="57346" spans="104:111">
      <c r="CZ57346" s="256"/>
      <c r="DG57346" s="256"/>
    </row>
    <row r="57347" spans="104:111">
      <c r="CZ57347" s="256"/>
      <c r="DG57347" s="256"/>
    </row>
    <row r="57348" spans="104:111">
      <c r="CZ57348" s="256"/>
      <c r="DG57348" s="256"/>
    </row>
    <row r="57349" spans="104:111">
      <c r="CZ57349" s="256"/>
      <c r="DG57349" s="256"/>
    </row>
    <row r="57350" spans="104:111">
      <c r="CZ57350" s="256"/>
      <c r="DG57350" s="256"/>
    </row>
    <row r="57351" spans="104:111">
      <c r="CZ57351" s="256"/>
      <c r="DG57351" s="256"/>
    </row>
    <row r="57352" spans="104:111">
      <c r="CZ57352" s="256"/>
      <c r="DG57352" s="256"/>
    </row>
    <row r="57353" spans="104:111">
      <c r="CZ57353" s="256"/>
      <c r="DG57353" s="256"/>
    </row>
    <row r="57354" spans="104:111">
      <c r="CZ57354" s="256"/>
      <c r="DG57354" s="256"/>
    </row>
    <row r="57355" spans="104:111">
      <c r="CZ57355" s="256"/>
      <c r="DG57355" s="256"/>
    </row>
    <row r="57356" spans="104:111">
      <c r="CZ57356" s="256"/>
      <c r="DG57356" s="256"/>
    </row>
    <row r="57357" spans="104:111">
      <c r="CZ57357" s="256"/>
      <c r="DG57357" s="256"/>
    </row>
    <row r="57358" spans="104:111">
      <c r="CZ57358" s="256"/>
      <c r="DG57358" s="256"/>
    </row>
    <row r="57359" spans="104:111">
      <c r="CZ57359" s="256"/>
      <c r="DG57359" s="256"/>
    </row>
    <row r="57360" spans="104:111">
      <c r="CZ57360" s="256"/>
      <c r="DG57360" s="256"/>
    </row>
    <row r="57361" spans="104:111">
      <c r="CZ57361" s="256"/>
      <c r="DG57361" s="256"/>
    </row>
    <row r="57362" spans="104:111">
      <c r="CZ57362" s="256"/>
      <c r="DG57362" s="256"/>
    </row>
    <row r="57363" spans="104:111">
      <c r="CZ57363" s="256"/>
      <c r="DG57363" s="256"/>
    </row>
    <row r="57364" spans="104:111">
      <c r="CZ57364" s="256"/>
      <c r="DG57364" s="256"/>
    </row>
    <row r="57365" spans="104:111">
      <c r="CZ57365" s="256"/>
      <c r="DG57365" s="256"/>
    </row>
    <row r="57366" spans="104:111">
      <c r="CZ57366" s="256"/>
      <c r="DG57366" s="256"/>
    </row>
    <row r="57367" spans="104:111">
      <c r="CZ57367" s="256"/>
      <c r="DG57367" s="256"/>
    </row>
    <row r="57368" spans="104:111">
      <c r="CZ57368" s="256"/>
      <c r="DG57368" s="256"/>
    </row>
    <row r="57369" spans="104:111">
      <c r="CZ57369" s="256"/>
      <c r="DG57369" s="256"/>
    </row>
    <row r="57370" spans="104:111">
      <c r="CZ57370" s="256"/>
      <c r="DG57370" s="256"/>
    </row>
    <row r="57371" spans="104:111">
      <c r="CZ57371" s="256"/>
      <c r="DG57371" s="256"/>
    </row>
    <row r="57372" spans="104:111">
      <c r="CZ57372" s="256"/>
      <c r="DG57372" s="256"/>
    </row>
    <row r="57373" spans="104:111">
      <c r="CZ57373" s="256"/>
      <c r="DG57373" s="256"/>
    </row>
    <row r="57374" spans="104:111">
      <c r="CZ57374" s="256"/>
      <c r="DG57374" s="256"/>
    </row>
    <row r="57375" spans="104:111">
      <c r="CZ57375" s="256"/>
      <c r="DG57375" s="256"/>
    </row>
    <row r="57376" spans="104:111">
      <c r="CZ57376" s="256"/>
      <c r="DG57376" s="256"/>
    </row>
    <row r="57377" spans="104:111">
      <c r="CZ57377" s="256"/>
      <c r="DG57377" s="256"/>
    </row>
    <row r="57378" spans="104:111">
      <c r="CZ57378" s="256"/>
      <c r="DG57378" s="256"/>
    </row>
    <row r="57379" spans="104:111">
      <c r="CZ57379" s="256"/>
      <c r="DG57379" s="256"/>
    </row>
    <row r="57380" spans="104:111">
      <c r="CZ57380" s="256"/>
      <c r="DG57380" s="256"/>
    </row>
    <row r="57381" spans="104:111">
      <c r="CZ57381" s="256"/>
      <c r="DG57381" s="256"/>
    </row>
    <row r="57382" spans="104:111">
      <c r="CZ57382" s="256"/>
      <c r="DG57382" s="256"/>
    </row>
    <row r="57383" spans="104:111">
      <c r="CZ57383" s="256"/>
      <c r="DG57383" s="256"/>
    </row>
    <row r="57384" spans="104:111">
      <c r="CZ57384" s="256"/>
      <c r="DG57384" s="256"/>
    </row>
    <row r="57385" spans="104:111">
      <c r="CZ57385" s="256"/>
      <c r="DG57385" s="256"/>
    </row>
    <row r="57386" spans="104:111">
      <c r="CZ57386" s="256"/>
      <c r="DG57386" s="256"/>
    </row>
    <row r="57387" spans="104:111">
      <c r="CZ57387" s="256"/>
      <c r="DG57387" s="256"/>
    </row>
    <row r="57388" spans="104:111">
      <c r="CZ57388" s="256"/>
      <c r="DG57388" s="256"/>
    </row>
    <row r="57389" spans="104:111">
      <c r="CZ57389" s="256"/>
      <c r="DG57389" s="256"/>
    </row>
    <row r="57390" spans="104:111">
      <c r="CZ57390" s="256"/>
      <c r="DG57390" s="256"/>
    </row>
    <row r="57391" spans="104:111">
      <c r="CZ57391" s="256"/>
      <c r="DG57391" s="256"/>
    </row>
    <row r="57392" spans="104:111">
      <c r="CZ57392" s="256"/>
      <c r="DG57392" s="256"/>
    </row>
    <row r="57393" spans="104:111">
      <c r="CZ57393" s="256"/>
      <c r="DG57393" s="256"/>
    </row>
    <row r="57394" spans="104:111">
      <c r="CZ57394" s="256"/>
      <c r="DG57394" s="256"/>
    </row>
    <row r="57395" spans="104:111">
      <c r="CZ57395" s="256"/>
      <c r="DG57395" s="256"/>
    </row>
    <row r="57396" spans="104:111">
      <c r="CZ57396" s="256"/>
      <c r="DG57396" s="256"/>
    </row>
    <row r="57397" spans="104:111">
      <c r="CZ57397" s="256"/>
      <c r="DG57397" s="256"/>
    </row>
    <row r="57398" spans="104:111">
      <c r="CZ57398" s="256"/>
      <c r="DG57398" s="256"/>
    </row>
    <row r="57399" spans="104:111">
      <c r="CZ57399" s="256"/>
      <c r="DG57399" s="256"/>
    </row>
    <row r="57400" spans="104:111">
      <c r="CZ57400" s="256"/>
      <c r="DG57400" s="256"/>
    </row>
    <row r="57401" spans="104:111">
      <c r="CZ57401" s="256"/>
      <c r="DG57401" s="256"/>
    </row>
    <row r="57402" spans="104:111">
      <c r="CZ57402" s="256"/>
      <c r="DG57402" s="256"/>
    </row>
    <row r="57403" spans="104:111">
      <c r="CZ57403" s="256"/>
      <c r="DG57403" s="256"/>
    </row>
    <row r="57404" spans="104:111">
      <c r="CZ57404" s="256"/>
      <c r="DG57404" s="256"/>
    </row>
    <row r="57405" spans="104:111">
      <c r="CZ57405" s="256"/>
      <c r="DG57405" s="256"/>
    </row>
    <row r="57406" spans="104:111">
      <c r="CZ57406" s="256"/>
      <c r="DG57406" s="256"/>
    </row>
    <row r="57407" spans="104:111">
      <c r="CZ57407" s="256"/>
      <c r="DG57407" s="256"/>
    </row>
    <row r="57408" spans="104:111">
      <c r="CZ57408" s="256"/>
      <c r="DG57408" s="256"/>
    </row>
    <row r="57409" spans="104:111">
      <c r="CZ57409" s="256"/>
      <c r="DG57409" s="256"/>
    </row>
    <row r="57410" spans="104:111">
      <c r="CZ57410" s="256"/>
      <c r="DG57410" s="256"/>
    </row>
    <row r="57411" spans="104:111">
      <c r="CZ57411" s="256"/>
      <c r="DG57411" s="256"/>
    </row>
    <row r="57412" spans="104:111">
      <c r="CZ57412" s="256"/>
      <c r="DG57412" s="256"/>
    </row>
    <row r="57413" spans="104:111">
      <c r="CZ57413" s="256"/>
      <c r="DG57413" s="256"/>
    </row>
    <row r="57414" spans="104:111">
      <c r="CZ57414" s="256"/>
      <c r="DG57414" s="256"/>
    </row>
    <row r="57415" spans="104:111">
      <c r="CZ57415" s="256"/>
      <c r="DG57415" s="256"/>
    </row>
    <row r="57416" spans="104:111">
      <c r="CZ57416" s="256"/>
      <c r="DG57416" s="256"/>
    </row>
    <row r="57417" spans="104:111">
      <c r="CZ57417" s="256"/>
      <c r="DG57417" s="256"/>
    </row>
    <row r="57418" spans="104:111">
      <c r="CZ57418" s="256"/>
      <c r="DG57418" s="256"/>
    </row>
    <row r="57419" spans="104:111">
      <c r="CZ57419" s="256"/>
      <c r="DG57419" s="256"/>
    </row>
    <row r="57420" spans="104:111">
      <c r="CZ57420" s="256"/>
      <c r="DG57420" s="256"/>
    </row>
    <row r="57421" spans="104:111">
      <c r="CZ57421" s="256"/>
      <c r="DG57421" s="256"/>
    </row>
    <row r="57422" spans="104:111">
      <c r="CZ57422" s="256"/>
      <c r="DG57422" s="256"/>
    </row>
    <row r="57423" spans="104:111">
      <c r="CZ57423" s="256"/>
      <c r="DG57423" s="256"/>
    </row>
    <row r="57424" spans="104:111">
      <c r="CZ57424" s="256"/>
      <c r="DG57424" s="256"/>
    </row>
    <row r="57425" spans="104:111">
      <c r="CZ57425" s="256"/>
      <c r="DG57425" s="256"/>
    </row>
    <row r="57426" spans="104:111">
      <c r="CZ57426" s="256"/>
      <c r="DG57426" s="256"/>
    </row>
    <row r="57427" spans="104:111">
      <c r="CZ57427" s="256"/>
      <c r="DG57427" s="256"/>
    </row>
    <row r="57428" spans="104:111">
      <c r="CZ57428" s="256"/>
      <c r="DG57428" s="256"/>
    </row>
    <row r="57429" spans="104:111">
      <c r="CZ57429" s="256"/>
      <c r="DG57429" s="256"/>
    </row>
    <row r="57430" spans="104:111">
      <c r="CZ57430" s="256"/>
      <c r="DG57430" s="256"/>
    </row>
    <row r="57431" spans="104:111">
      <c r="CZ57431" s="256"/>
      <c r="DG57431" s="256"/>
    </row>
    <row r="57432" spans="104:111">
      <c r="CZ57432" s="256"/>
      <c r="DG57432" s="256"/>
    </row>
    <row r="57433" spans="104:111">
      <c r="CZ57433" s="256"/>
      <c r="DG57433" s="256"/>
    </row>
    <row r="57434" spans="104:111">
      <c r="CZ57434" s="256"/>
      <c r="DG57434" s="256"/>
    </row>
    <row r="57435" spans="104:111">
      <c r="CZ57435" s="256"/>
      <c r="DG57435" s="256"/>
    </row>
    <row r="57436" spans="104:111">
      <c r="CZ57436" s="256"/>
      <c r="DG57436" s="256"/>
    </row>
    <row r="57437" spans="104:111">
      <c r="CZ57437" s="256"/>
      <c r="DG57437" s="256"/>
    </row>
    <row r="57438" spans="104:111">
      <c r="CZ57438" s="256"/>
      <c r="DG57438" s="256"/>
    </row>
    <row r="57439" spans="104:111">
      <c r="CZ57439" s="256"/>
      <c r="DG57439" s="256"/>
    </row>
    <row r="57440" spans="104:111">
      <c r="CZ57440" s="256"/>
      <c r="DG57440" s="256"/>
    </row>
    <row r="57441" spans="104:111">
      <c r="CZ57441" s="256"/>
      <c r="DG57441" s="256"/>
    </row>
    <row r="57442" spans="104:111">
      <c r="CZ57442" s="256"/>
      <c r="DG57442" s="256"/>
    </row>
    <row r="57443" spans="104:111">
      <c r="CZ57443" s="256"/>
      <c r="DG57443" s="256"/>
    </row>
    <row r="57444" spans="104:111">
      <c r="CZ57444" s="256"/>
      <c r="DG57444" s="256"/>
    </row>
    <row r="57445" spans="104:111">
      <c r="CZ57445" s="256"/>
      <c r="DG57445" s="256"/>
    </row>
    <row r="57446" spans="104:111">
      <c r="CZ57446" s="256"/>
      <c r="DG57446" s="256"/>
    </row>
    <row r="57447" spans="104:111">
      <c r="CZ57447" s="256"/>
      <c r="DG57447" s="256"/>
    </row>
    <row r="57448" spans="104:111">
      <c r="CZ57448" s="256"/>
      <c r="DG57448" s="256"/>
    </row>
    <row r="57449" spans="104:111">
      <c r="CZ57449" s="256"/>
      <c r="DG57449" s="256"/>
    </row>
    <row r="57450" spans="104:111">
      <c r="CZ57450" s="256"/>
      <c r="DG57450" s="256"/>
    </row>
    <row r="57451" spans="104:111">
      <c r="CZ57451" s="256"/>
      <c r="DG57451" s="256"/>
    </row>
    <row r="57452" spans="104:111">
      <c r="CZ57452" s="256"/>
      <c r="DG57452" s="256"/>
    </row>
    <row r="57453" spans="104:111">
      <c r="CZ57453" s="256"/>
      <c r="DG57453" s="256"/>
    </row>
    <row r="57454" spans="104:111">
      <c r="CZ57454" s="256"/>
      <c r="DG57454" s="256"/>
    </row>
    <row r="57455" spans="104:111">
      <c r="CZ57455" s="256"/>
      <c r="DG57455" s="256"/>
    </row>
    <row r="57456" spans="104:111">
      <c r="CZ57456" s="256"/>
      <c r="DG57456" s="256"/>
    </row>
    <row r="57457" spans="104:111">
      <c r="CZ57457" s="256"/>
      <c r="DG57457" s="256"/>
    </row>
    <row r="57458" spans="104:111">
      <c r="CZ57458" s="256"/>
      <c r="DG57458" s="256"/>
    </row>
    <row r="57459" spans="104:111">
      <c r="CZ57459" s="256"/>
      <c r="DG57459" s="256"/>
    </row>
    <row r="57460" spans="104:111">
      <c r="CZ57460" s="256"/>
      <c r="DG57460" s="256"/>
    </row>
    <row r="57461" spans="104:111">
      <c r="CZ57461" s="256"/>
      <c r="DG57461" s="256"/>
    </row>
    <row r="57462" spans="104:111">
      <c r="CZ57462" s="256"/>
      <c r="DG57462" s="256"/>
    </row>
    <row r="57463" spans="104:111">
      <c r="CZ57463" s="256"/>
      <c r="DG57463" s="256"/>
    </row>
    <row r="57464" spans="104:111">
      <c r="CZ57464" s="256"/>
      <c r="DG57464" s="256"/>
    </row>
    <row r="57465" spans="104:111">
      <c r="CZ57465" s="256"/>
      <c r="DG57465" s="256"/>
    </row>
    <row r="57466" spans="104:111">
      <c r="CZ57466" s="256"/>
      <c r="DG57466" s="256"/>
    </row>
    <row r="57467" spans="104:111">
      <c r="CZ57467" s="256"/>
      <c r="DG57467" s="256"/>
    </row>
    <row r="57468" spans="104:111">
      <c r="CZ57468" s="256"/>
      <c r="DG57468" s="256"/>
    </row>
    <row r="57469" spans="104:111">
      <c r="CZ57469" s="256"/>
      <c r="DG57469" s="256"/>
    </row>
    <row r="57470" spans="104:111">
      <c r="CZ57470" s="256"/>
      <c r="DG57470" s="256"/>
    </row>
    <row r="57471" spans="104:111">
      <c r="CZ57471" s="256"/>
      <c r="DG57471" s="256"/>
    </row>
    <row r="57472" spans="104:111">
      <c r="CZ57472" s="256"/>
      <c r="DG57472" s="256"/>
    </row>
    <row r="57473" spans="104:111">
      <c r="CZ57473" s="256"/>
      <c r="DG57473" s="256"/>
    </row>
    <row r="57474" spans="104:111">
      <c r="CZ57474" s="256"/>
      <c r="DG57474" s="256"/>
    </row>
    <row r="57475" spans="104:111">
      <c r="CZ57475" s="256"/>
      <c r="DG57475" s="256"/>
    </row>
    <row r="57476" spans="104:111">
      <c r="CZ57476" s="256"/>
      <c r="DG57476" s="256"/>
    </row>
    <row r="57477" spans="104:111">
      <c r="CZ57477" s="256"/>
      <c r="DG57477" s="256"/>
    </row>
    <row r="57478" spans="104:111">
      <c r="CZ57478" s="256"/>
      <c r="DG57478" s="256"/>
    </row>
    <row r="57479" spans="104:111">
      <c r="CZ57479" s="256"/>
      <c r="DG57479" s="256"/>
    </row>
    <row r="57480" spans="104:111">
      <c r="CZ57480" s="256"/>
      <c r="DG57480" s="256"/>
    </row>
    <row r="57481" spans="104:111">
      <c r="CZ57481" s="256"/>
      <c r="DG57481" s="256"/>
    </row>
    <row r="57482" spans="104:111">
      <c r="CZ57482" s="256"/>
      <c r="DG57482" s="256"/>
    </row>
    <row r="57483" spans="104:111">
      <c r="CZ57483" s="256"/>
      <c r="DG57483" s="256"/>
    </row>
    <row r="57484" spans="104:111">
      <c r="CZ57484" s="256"/>
      <c r="DG57484" s="256"/>
    </row>
    <row r="57485" spans="104:111">
      <c r="CZ57485" s="256"/>
      <c r="DG57485" s="256"/>
    </row>
    <row r="57486" spans="104:111">
      <c r="CZ57486" s="256"/>
      <c r="DG57486" s="256"/>
    </row>
    <row r="57487" spans="104:111">
      <c r="CZ57487" s="256"/>
      <c r="DG57487" s="256"/>
    </row>
    <row r="57488" spans="104:111">
      <c r="CZ57488" s="256"/>
      <c r="DG57488" s="256"/>
    </row>
    <row r="57489" spans="104:111">
      <c r="CZ57489" s="256"/>
      <c r="DG57489" s="256"/>
    </row>
    <row r="57490" spans="104:111">
      <c r="CZ57490" s="256"/>
      <c r="DG57490" s="256"/>
    </row>
    <row r="57491" spans="104:111">
      <c r="CZ57491" s="256"/>
      <c r="DG57491" s="256"/>
    </row>
    <row r="57492" spans="104:111">
      <c r="CZ57492" s="256"/>
      <c r="DG57492" s="256"/>
    </row>
    <row r="57493" spans="104:111">
      <c r="CZ57493" s="256"/>
      <c r="DG57493" s="256"/>
    </row>
    <row r="57494" spans="104:111">
      <c r="CZ57494" s="256"/>
      <c r="DG57494" s="256"/>
    </row>
    <row r="57495" spans="104:111">
      <c r="CZ57495" s="256"/>
      <c r="DG57495" s="256"/>
    </row>
    <row r="57496" spans="104:111">
      <c r="CZ57496" s="256"/>
      <c r="DG57496" s="256"/>
    </row>
    <row r="57497" spans="104:111">
      <c r="CZ57497" s="256"/>
      <c r="DG57497" s="256"/>
    </row>
    <row r="57498" spans="104:111">
      <c r="CZ57498" s="256"/>
      <c r="DG57498" s="256"/>
    </row>
    <row r="57499" spans="104:111">
      <c r="CZ57499" s="256"/>
      <c r="DG57499" s="256"/>
    </row>
    <row r="57500" spans="104:111">
      <c r="CZ57500" s="256"/>
      <c r="DG57500" s="256"/>
    </row>
    <row r="57501" spans="104:111">
      <c r="CZ57501" s="256"/>
      <c r="DG57501" s="256"/>
    </row>
    <row r="57502" spans="104:111">
      <c r="CZ57502" s="256"/>
      <c r="DG57502" s="256"/>
    </row>
    <row r="57503" spans="104:111">
      <c r="CZ57503" s="256"/>
      <c r="DG57503" s="256"/>
    </row>
    <row r="57504" spans="104:111">
      <c r="CZ57504" s="256"/>
      <c r="DG57504" s="256"/>
    </row>
    <row r="57505" spans="104:111">
      <c r="CZ57505" s="256"/>
      <c r="DG57505" s="256"/>
    </row>
    <row r="57506" spans="104:111">
      <c r="CZ57506" s="256"/>
      <c r="DG57506" s="256"/>
    </row>
    <row r="57507" spans="104:111">
      <c r="CZ57507" s="256"/>
      <c r="DG57507" s="256"/>
    </row>
    <row r="57508" spans="104:111">
      <c r="CZ57508" s="256"/>
      <c r="DG57508" s="256"/>
    </row>
    <row r="57509" spans="104:111">
      <c r="CZ57509" s="256"/>
      <c r="DG57509" s="256"/>
    </row>
    <row r="57510" spans="104:111">
      <c r="CZ57510" s="256"/>
      <c r="DG57510" s="256"/>
    </row>
    <row r="57511" spans="104:111">
      <c r="CZ57511" s="256"/>
      <c r="DG57511" s="256"/>
    </row>
    <row r="57512" spans="104:111">
      <c r="CZ57512" s="256"/>
      <c r="DG57512" s="256"/>
    </row>
    <row r="57513" spans="104:111">
      <c r="CZ57513" s="256"/>
      <c r="DG57513" s="256"/>
    </row>
    <row r="57514" spans="104:111">
      <c r="CZ57514" s="256"/>
      <c r="DG57514" s="256"/>
    </row>
    <row r="57515" spans="104:111">
      <c r="CZ57515" s="256"/>
      <c r="DG57515" s="256"/>
    </row>
    <row r="57516" spans="104:111">
      <c r="CZ57516" s="256"/>
      <c r="DG57516" s="256"/>
    </row>
    <row r="57517" spans="104:111">
      <c r="CZ57517" s="256"/>
      <c r="DG57517" s="256"/>
    </row>
    <row r="57518" spans="104:111">
      <c r="CZ57518" s="256"/>
      <c r="DG57518" s="256"/>
    </row>
    <row r="57519" spans="104:111">
      <c r="CZ57519" s="256"/>
      <c r="DG57519" s="256"/>
    </row>
    <row r="57520" spans="104:111">
      <c r="CZ57520" s="256"/>
      <c r="DG57520" s="256"/>
    </row>
    <row r="57521" spans="104:111">
      <c r="CZ57521" s="256"/>
      <c r="DG57521" s="256"/>
    </row>
    <row r="57522" spans="104:111">
      <c r="CZ57522" s="256"/>
      <c r="DG57522" s="256"/>
    </row>
    <row r="57523" spans="104:111">
      <c r="CZ57523" s="256"/>
      <c r="DG57523" s="256"/>
    </row>
    <row r="57524" spans="104:111">
      <c r="CZ57524" s="256"/>
      <c r="DG57524" s="256"/>
    </row>
    <row r="57525" spans="104:111">
      <c r="CZ57525" s="256"/>
      <c r="DG57525" s="256"/>
    </row>
    <row r="57526" spans="104:111">
      <c r="CZ57526" s="256"/>
      <c r="DG57526" s="256"/>
    </row>
    <row r="57527" spans="104:111">
      <c r="CZ57527" s="256"/>
      <c r="DG57527" s="256"/>
    </row>
    <row r="57528" spans="104:111">
      <c r="CZ57528" s="256"/>
      <c r="DG57528" s="256"/>
    </row>
    <row r="57529" spans="104:111">
      <c r="CZ57529" s="256"/>
      <c r="DG57529" s="256"/>
    </row>
    <row r="57530" spans="104:111">
      <c r="CZ57530" s="256"/>
      <c r="DG57530" s="256"/>
    </row>
    <row r="57531" spans="104:111">
      <c r="CZ57531" s="256"/>
      <c r="DG57531" s="256"/>
    </row>
    <row r="57532" spans="104:111">
      <c r="CZ57532" s="256"/>
      <c r="DG57532" s="256"/>
    </row>
    <row r="57533" spans="104:111">
      <c r="CZ57533" s="256"/>
      <c r="DG57533" s="256"/>
    </row>
    <row r="57534" spans="104:111">
      <c r="CZ57534" s="256"/>
      <c r="DG57534" s="256"/>
    </row>
    <row r="57535" spans="104:111">
      <c r="CZ57535" s="256"/>
      <c r="DG57535" s="256"/>
    </row>
    <row r="57536" spans="104:111">
      <c r="CZ57536" s="256"/>
      <c r="DG57536" s="256"/>
    </row>
    <row r="57537" spans="104:111">
      <c r="CZ57537" s="256"/>
      <c r="DG57537" s="256"/>
    </row>
    <row r="57538" spans="104:111">
      <c r="CZ57538" s="256"/>
      <c r="DG57538" s="256"/>
    </row>
    <row r="57539" spans="104:111">
      <c r="CZ57539" s="256"/>
      <c r="DG57539" s="256"/>
    </row>
    <row r="57540" spans="104:111">
      <c r="CZ57540" s="256"/>
      <c r="DG57540" s="256"/>
    </row>
    <row r="57541" spans="104:111">
      <c r="CZ57541" s="256"/>
      <c r="DG57541" s="256"/>
    </row>
    <row r="57542" spans="104:111">
      <c r="CZ57542" s="256"/>
      <c r="DG57542" s="256"/>
    </row>
    <row r="57543" spans="104:111">
      <c r="CZ57543" s="256"/>
      <c r="DG57543" s="256"/>
    </row>
    <row r="57544" spans="104:111">
      <c r="CZ57544" s="256"/>
      <c r="DG57544" s="256"/>
    </row>
    <row r="57545" spans="104:111">
      <c r="CZ57545" s="256"/>
      <c r="DG57545" s="256"/>
    </row>
    <row r="57546" spans="104:111">
      <c r="CZ57546" s="256"/>
      <c r="DG57546" s="256"/>
    </row>
    <row r="57547" spans="104:111">
      <c r="CZ57547" s="256"/>
      <c r="DG57547" s="256"/>
    </row>
    <row r="57548" spans="104:111">
      <c r="CZ57548" s="256"/>
      <c r="DG57548" s="256"/>
    </row>
    <row r="57549" spans="104:111">
      <c r="CZ57549" s="256"/>
      <c r="DG57549" s="256"/>
    </row>
    <row r="57550" spans="104:111">
      <c r="CZ57550" s="256"/>
      <c r="DG57550" s="256"/>
    </row>
    <row r="57551" spans="104:111">
      <c r="CZ57551" s="256"/>
      <c r="DG57551" s="256"/>
    </row>
    <row r="57552" spans="104:111">
      <c r="CZ57552" s="256"/>
      <c r="DG57552" s="256"/>
    </row>
    <row r="57553" spans="104:111">
      <c r="CZ57553" s="256"/>
      <c r="DG57553" s="256"/>
    </row>
    <row r="57554" spans="104:111">
      <c r="CZ57554" s="256"/>
      <c r="DG57554" s="256"/>
    </row>
    <row r="57555" spans="104:111">
      <c r="CZ57555" s="256"/>
      <c r="DG57555" s="256"/>
    </row>
    <row r="57556" spans="104:111">
      <c r="CZ57556" s="256"/>
      <c r="DG57556" s="256"/>
    </row>
    <row r="57557" spans="104:111">
      <c r="CZ57557" s="256"/>
      <c r="DG57557" s="256"/>
    </row>
    <row r="57558" spans="104:111">
      <c r="CZ57558" s="256"/>
      <c r="DG57558" s="256"/>
    </row>
    <row r="57559" spans="104:111">
      <c r="CZ57559" s="256"/>
      <c r="DG57559" s="256"/>
    </row>
    <row r="57560" spans="104:111">
      <c r="CZ57560" s="256"/>
      <c r="DG57560" s="256"/>
    </row>
    <row r="57561" spans="104:111">
      <c r="CZ57561" s="256"/>
      <c r="DG57561" s="256"/>
    </row>
    <row r="57562" spans="104:111">
      <c r="CZ57562" s="256"/>
      <c r="DG57562" s="256"/>
    </row>
    <row r="57563" spans="104:111">
      <c r="CZ57563" s="256"/>
      <c r="DG57563" s="256"/>
    </row>
    <row r="57564" spans="104:111">
      <c r="CZ57564" s="256"/>
      <c r="DG57564" s="256"/>
    </row>
    <row r="57565" spans="104:111">
      <c r="CZ57565" s="256"/>
      <c r="DG57565" s="256"/>
    </row>
    <row r="57566" spans="104:111">
      <c r="CZ57566" s="256"/>
      <c r="DG57566" s="256"/>
    </row>
    <row r="57567" spans="104:111">
      <c r="CZ57567" s="256"/>
      <c r="DG57567" s="256"/>
    </row>
    <row r="57568" spans="104:111">
      <c r="CZ57568" s="256"/>
      <c r="DG57568" s="256"/>
    </row>
    <row r="57569" spans="104:111">
      <c r="CZ57569" s="256"/>
      <c r="DG57569" s="256"/>
    </row>
    <row r="57570" spans="104:111">
      <c r="CZ57570" s="256"/>
      <c r="DG57570" s="256"/>
    </row>
    <row r="57571" spans="104:111">
      <c r="CZ57571" s="256"/>
      <c r="DG57571" s="256"/>
    </row>
    <row r="57572" spans="104:111">
      <c r="CZ57572" s="256"/>
      <c r="DG57572" s="256"/>
    </row>
    <row r="57573" spans="104:111">
      <c r="CZ57573" s="256"/>
      <c r="DG57573" s="256"/>
    </row>
    <row r="57574" spans="104:111">
      <c r="CZ57574" s="256"/>
      <c r="DG57574" s="256"/>
    </row>
    <row r="57575" spans="104:111">
      <c r="CZ57575" s="256"/>
      <c r="DG57575" s="256"/>
    </row>
    <row r="57576" spans="104:111">
      <c r="CZ57576" s="256"/>
      <c r="DG57576" s="256"/>
    </row>
    <row r="57577" spans="104:111">
      <c r="CZ57577" s="256"/>
      <c r="DG57577" s="256"/>
    </row>
    <row r="57578" spans="104:111">
      <c r="CZ57578" s="256"/>
      <c r="DG57578" s="256"/>
    </row>
    <row r="57579" spans="104:111">
      <c r="CZ57579" s="256"/>
      <c r="DG57579" s="256"/>
    </row>
    <row r="57580" spans="104:111">
      <c r="CZ57580" s="256"/>
      <c r="DG57580" s="256"/>
    </row>
    <row r="57581" spans="104:111">
      <c r="CZ57581" s="256"/>
      <c r="DG57581" s="256"/>
    </row>
    <row r="57582" spans="104:111">
      <c r="CZ57582" s="256"/>
      <c r="DG57582" s="256"/>
    </row>
    <row r="57583" spans="104:111">
      <c r="CZ57583" s="256"/>
      <c r="DG57583" s="256"/>
    </row>
    <row r="57584" spans="104:111">
      <c r="CZ57584" s="256"/>
      <c r="DG57584" s="256"/>
    </row>
    <row r="57585" spans="104:111">
      <c r="CZ57585" s="256"/>
      <c r="DG57585" s="256"/>
    </row>
    <row r="57586" spans="104:111">
      <c r="CZ57586" s="256"/>
      <c r="DG57586" s="256"/>
    </row>
    <row r="57587" spans="104:111">
      <c r="CZ57587" s="256"/>
      <c r="DG57587" s="256"/>
    </row>
    <row r="57588" spans="104:111">
      <c r="CZ57588" s="256"/>
      <c r="DG57588" s="256"/>
    </row>
    <row r="57589" spans="104:111">
      <c r="CZ57589" s="256"/>
      <c r="DG57589" s="256"/>
    </row>
    <row r="57590" spans="104:111">
      <c r="CZ57590" s="256"/>
      <c r="DG57590" s="256"/>
    </row>
    <row r="57591" spans="104:111">
      <c r="CZ57591" s="256"/>
      <c r="DG57591" s="256"/>
    </row>
    <row r="57592" spans="104:111">
      <c r="CZ57592" s="256"/>
      <c r="DG57592" s="256"/>
    </row>
    <row r="57593" spans="104:111">
      <c r="CZ57593" s="256"/>
      <c r="DG57593" s="256"/>
    </row>
    <row r="57594" spans="104:111">
      <c r="CZ57594" s="256"/>
      <c r="DG57594" s="256"/>
    </row>
    <row r="57595" spans="104:111">
      <c r="CZ57595" s="256"/>
      <c r="DG57595" s="256"/>
    </row>
    <row r="57596" spans="104:111">
      <c r="CZ57596" s="256"/>
      <c r="DG57596" s="256"/>
    </row>
    <row r="57597" spans="104:111">
      <c r="CZ57597" s="256"/>
      <c r="DG57597" s="256"/>
    </row>
    <row r="57598" spans="104:111">
      <c r="CZ57598" s="256"/>
      <c r="DG57598" s="256"/>
    </row>
    <row r="57599" spans="104:111">
      <c r="CZ57599" s="256"/>
      <c r="DG57599" s="256"/>
    </row>
    <row r="57600" spans="104:111">
      <c r="CZ57600" s="256"/>
      <c r="DG57600" s="256"/>
    </row>
    <row r="57601" spans="104:111">
      <c r="CZ57601" s="256"/>
      <c r="DG57601" s="256"/>
    </row>
    <row r="57602" spans="104:111">
      <c r="CZ57602" s="256"/>
      <c r="DG57602" s="256"/>
    </row>
    <row r="57603" spans="104:111">
      <c r="CZ57603" s="256"/>
      <c r="DG57603" s="256"/>
    </row>
    <row r="57604" spans="104:111">
      <c r="CZ57604" s="256"/>
      <c r="DG57604" s="256"/>
    </row>
    <row r="57605" spans="104:111">
      <c r="CZ57605" s="256"/>
      <c r="DG57605" s="256"/>
    </row>
    <row r="57606" spans="104:111">
      <c r="CZ57606" s="256"/>
      <c r="DG57606" s="256"/>
    </row>
    <row r="57607" spans="104:111">
      <c r="CZ57607" s="256"/>
      <c r="DG57607" s="256"/>
    </row>
    <row r="57608" spans="104:111">
      <c r="CZ57608" s="256"/>
      <c r="DG57608" s="256"/>
    </row>
    <row r="57609" spans="104:111">
      <c r="CZ57609" s="256"/>
      <c r="DG57609" s="256"/>
    </row>
    <row r="57610" spans="104:111">
      <c r="CZ57610" s="256"/>
      <c r="DG57610" s="256"/>
    </row>
    <row r="57611" spans="104:111">
      <c r="CZ57611" s="256"/>
      <c r="DG57611" s="256"/>
    </row>
    <row r="57612" spans="104:111">
      <c r="CZ57612" s="256"/>
      <c r="DG57612" s="256"/>
    </row>
    <row r="57613" spans="104:111">
      <c r="CZ57613" s="256"/>
      <c r="DG57613" s="256"/>
    </row>
    <row r="57614" spans="104:111">
      <c r="CZ57614" s="256"/>
      <c r="DG57614" s="256"/>
    </row>
    <row r="57615" spans="104:111">
      <c r="CZ57615" s="256"/>
      <c r="DG57615" s="256"/>
    </row>
    <row r="57616" spans="104:111">
      <c r="CZ57616" s="256"/>
      <c r="DG57616" s="256"/>
    </row>
    <row r="57617" spans="104:111">
      <c r="CZ57617" s="256"/>
      <c r="DG57617" s="256"/>
    </row>
    <row r="57618" spans="104:111">
      <c r="CZ57618" s="256"/>
      <c r="DG57618" s="256"/>
    </row>
    <row r="57619" spans="104:111">
      <c r="CZ57619" s="256"/>
      <c r="DG57619" s="256"/>
    </row>
    <row r="57620" spans="104:111">
      <c r="CZ57620" s="256"/>
      <c r="DG57620" s="256"/>
    </row>
    <row r="57621" spans="104:111">
      <c r="CZ57621" s="256"/>
      <c r="DG57621" s="256"/>
    </row>
    <row r="57622" spans="104:111">
      <c r="CZ57622" s="256"/>
      <c r="DG57622" s="256"/>
    </row>
    <row r="57623" spans="104:111">
      <c r="CZ57623" s="256"/>
      <c r="DG57623" s="256"/>
    </row>
    <row r="57624" spans="104:111">
      <c r="CZ57624" s="256"/>
      <c r="DG57624" s="256"/>
    </row>
    <row r="57625" spans="104:111">
      <c r="CZ57625" s="256"/>
      <c r="DG57625" s="256"/>
    </row>
    <row r="57626" spans="104:111">
      <c r="CZ57626" s="256"/>
      <c r="DG57626" s="256"/>
    </row>
    <row r="57627" spans="104:111">
      <c r="CZ57627" s="256"/>
      <c r="DG57627" s="256"/>
    </row>
    <row r="57628" spans="104:111">
      <c r="CZ57628" s="256"/>
      <c r="DG57628" s="256"/>
    </row>
    <row r="57629" spans="104:111">
      <c r="CZ57629" s="256"/>
      <c r="DG57629" s="256"/>
    </row>
    <row r="57630" spans="104:111">
      <c r="CZ57630" s="256"/>
      <c r="DG57630" s="256"/>
    </row>
    <row r="57631" spans="104:111">
      <c r="CZ57631" s="256"/>
      <c r="DG57631" s="256"/>
    </row>
    <row r="57632" spans="104:111">
      <c r="CZ57632" s="256"/>
      <c r="DG57632" s="256"/>
    </row>
    <row r="57633" spans="104:111">
      <c r="CZ57633" s="256"/>
      <c r="DG57633" s="256"/>
    </row>
    <row r="57634" spans="104:111">
      <c r="CZ57634" s="256"/>
      <c r="DG57634" s="256"/>
    </row>
    <row r="57635" spans="104:111">
      <c r="CZ57635" s="256"/>
      <c r="DG57635" s="256"/>
    </row>
    <row r="57636" spans="104:111">
      <c r="CZ57636" s="256"/>
      <c r="DG57636" s="256"/>
    </row>
    <row r="57637" spans="104:111">
      <c r="CZ57637" s="256"/>
      <c r="DG57637" s="256"/>
    </row>
    <row r="57638" spans="104:111">
      <c r="CZ57638" s="256"/>
      <c r="DG57638" s="256"/>
    </row>
    <row r="57639" spans="104:111">
      <c r="CZ57639" s="256"/>
      <c r="DG57639" s="256"/>
    </row>
    <row r="57640" spans="104:111">
      <c r="CZ57640" s="256"/>
      <c r="DG57640" s="256"/>
    </row>
    <row r="57641" spans="104:111">
      <c r="CZ57641" s="256"/>
      <c r="DG57641" s="256"/>
    </row>
    <row r="57642" spans="104:111">
      <c r="CZ57642" s="256"/>
      <c r="DG57642" s="256"/>
    </row>
    <row r="57643" spans="104:111">
      <c r="CZ57643" s="256"/>
      <c r="DG57643" s="256"/>
    </row>
    <row r="57644" spans="104:111">
      <c r="CZ57644" s="256"/>
      <c r="DG57644" s="256"/>
    </row>
    <row r="57645" spans="104:111">
      <c r="CZ57645" s="256"/>
      <c r="DG57645" s="256"/>
    </row>
    <row r="57646" spans="104:111">
      <c r="CZ57646" s="256"/>
      <c r="DG57646" s="256"/>
    </row>
    <row r="57647" spans="104:111">
      <c r="CZ57647" s="256"/>
      <c r="DG57647" s="256"/>
    </row>
    <row r="57648" spans="104:111">
      <c r="CZ57648" s="256"/>
      <c r="DG57648" s="256"/>
    </row>
    <row r="57649" spans="104:111">
      <c r="CZ57649" s="256"/>
      <c r="DG57649" s="256"/>
    </row>
    <row r="57650" spans="104:111">
      <c r="CZ57650" s="256"/>
      <c r="DG57650" s="256"/>
    </row>
    <row r="57651" spans="104:111">
      <c r="CZ57651" s="256"/>
      <c r="DG57651" s="256"/>
    </row>
    <row r="57652" spans="104:111">
      <c r="CZ57652" s="256"/>
      <c r="DG57652" s="256"/>
    </row>
    <row r="57653" spans="104:111">
      <c r="CZ57653" s="256"/>
      <c r="DG57653" s="256"/>
    </row>
    <row r="57654" spans="104:111">
      <c r="CZ57654" s="256"/>
      <c r="DG57654" s="256"/>
    </row>
    <row r="57655" spans="104:111">
      <c r="CZ57655" s="256"/>
      <c r="DG57655" s="256"/>
    </row>
    <row r="57656" spans="104:111">
      <c r="CZ57656" s="256"/>
      <c r="DG57656" s="256"/>
    </row>
    <row r="57657" spans="104:111">
      <c r="CZ57657" s="256"/>
      <c r="DG57657" s="256"/>
    </row>
    <row r="57658" spans="104:111">
      <c r="CZ57658" s="256"/>
      <c r="DG57658" s="256"/>
    </row>
    <row r="57659" spans="104:111">
      <c r="CZ57659" s="256"/>
      <c r="DG57659" s="256"/>
    </row>
    <row r="57660" spans="104:111">
      <c r="CZ57660" s="256"/>
      <c r="DG57660" s="256"/>
    </row>
    <row r="57661" spans="104:111">
      <c r="CZ57661" s="256"/>
      <c r="DG57661" s="256"/>
    </row>
    <row r="57662" spans="104:111">
      <c r="CZ57662" s="256"/>
      <c r="DG57662" s="256"/>
    </row>
    <row r="57663" spans="104:111">
      <c r="CZ57663" s="256"/>
      <c r="DG57663" s="256"/>
    </row>
    <row r="57664" spans="104:111">
      <c r="CZ57664" s="256"/>
      <c r="DG57664" s="256"/>
    </row>
    <row r="57665" spans="104:111">
      <c r="CZ57665" s="256"/>
      <c r="DG57665" s="256"/>
    </row>
    <row r="57666" spans="104:111">
      <c r="CZ57666" s="256"/>
      <c r="DG57666" s="256"/>
    </row>
    <row r="57667" spans="104:111">
      <c r="CZ57667" s="256"/>
      <c r="DG57667" s="256"/>
    </row>
    <row r="57668" spans="104:111">
      <c r="CZ57668" s="256"/>
      <c r="DG57668" s="256"/>
    </row>
    <row r="57669" spans="104:111">
      <c r="CZ57669" s="256"/>
      <c r="DG57669" s="256"/>
    </row>
    <row r="57670" spans="104:111">
      <c r="CZ57670" s="256"/>
      <c r="DG57670" s="256"/>
    </row>
    <row r="57671" spans="104:111">
      <c r="CZ57671" s="256"/>
      <c r="DG57671" s="256"/>
    </row>
    <row r="57672" spans="104:111">
      <c r="CZ57672" s="256"/>
      <c r="DG57672" s="256"/>
    </row>
    <row r="57673" spans="104:111">
      <c r="CZ57673" s="256"/>
      <c r="DG57673" s="256"/>
    </row>
    <row r="57674" spans="104:111">
      <c r="CZ57674" s="256"/>
      <c r="DG57674" s="256"/>
    </row>
    <row r="57675" spans="104:111">
      <c r="CZ57675" s="256"/>
      <c r="DG57675" s="256"/>
    </row>
    <row r="57676" spans="104:111">
      <c r="CZ57676" s="256"/>
      <c r="DG57676" s="256"/>
    </row>
    <row r="57677" spans="104:111">
      <c r="CZ57677" s="256"/>
      <c r="DG57677" s="256"/>
    </row>
    <row r="57678" spans="104:111">
      <c r="CZ57678" s="256"/>
      <c r="DG57678" s="256"/>
    </row>
    <row r="57679" spans="104:111">
      <c r="CZ57679" s="256"/>
      <c r="DG57679" s="256"/>
    </row>
    <row r="57680" spans="104:111">
      <c r="CZ57680" s="256"/>
      <c r="DG57680" s="256"/>
    </row>
    <row r="57681" spans="104:111">
      <c r="CZ57681" s="256"/>
      <c r="DG57681" s="256"/>
    </row>
    <row r="57682" spans="104:111">
      <c r="CZ57682" s="256"/>
      <c r="DG57682" s="256"/>
    </row>
    <row r="57683" spans="104:111">
      <c r="CZ57683" s="256"/>
      <c r="DG57683" s="256"/>
    </row>
    <row r="57684" spans="104:111">
      <c r="CZ57684" s="256"/>
      <c r="DG57684" s="256"/>
    </row>
    <row r="57685" spans="104:111">
      <c r="CZ57685" s="256"/>
      <c r="DG57685" s="256"/>
    </row>
    <row r="57686" spans="104:111">
      <c r="CZ57686" s="256"/>
      <c r="DG57686" s="256"/>
    </row>
    <row r="57687" spans="104:111">
      <c r="CZ57687" s="256"/>
      <c r="DG57687" s="256"/>
    </row>
    <row r="57688" spans="104:111">
      <c r="CZ57688" s="256"/>
      <c r="DG57688" s="256"/>
    </row>
    <row r="57689" spans="104:111">
      <c r="CZ57689" s="256"/>
      <c r="DG57689" s="256"/>
    </row>
    <row r="57690" spans="104:111">
      <c r="CZ57690" s="256"/>
      <c r="DG57690" s="256"/>
    </row>
    <row r="57691" spans="104:111">
      <c r="CZ57691" s="256"/>
      <c r="DG57691" s="256"/>
    </row>
    <row r="57692" spans="104:111">
      <c r="CZ57692" s="256"/>
      <c r="DG57692" s="256"/>
    </row>
    <row r="57693" spans="104:111">
      <c r="CZ57693" s="256"/>
      <c r="DG57693" s="256"/>
    </row>
    <row r="57694" spans="104:111">
      <c r="CZ57694" s="256"/>
      <c r="DG57694" s="256"/>
    </row>
    <row r="57695" spans="104:111">
      <c r="CZ57695" s="256"/>
      <c r="DG57695" s="256"/>
    </row>
    <row r="57696" spans="104:111">
      <c r="CZ57696" s="256"/>
      <c r="DG57696" s="256"/>
    </row>
    <row r="57697" spans="104:111">
      <c r="CZ57697" s="256"/>
      <c r="DG57697" s="256"/>
    </row>
    <row r="57698" spans="104:111">
      <c r="CZ57698" s="256"/>
      <c r="DG57698" s="256"/>
    </row>
    <row r="57699" spans="104:111">
      <c r="CZ57699" s="256"/>
      <c r="DG57699" s="256"/>
    </row>
    <row r="57700" spans="104:111">
      <c r="CZ57700" s="256"/>
      <c r="DG57700" s="256"/>
    </row>
    <row r="57701" spans="104:111">
      <c r="CZ57701" s="256"/>
      <c r="DG57701" s="256"/>
    </row>
    <row r="57702" spans="104:111">
      <c r="CZ57702" s="256"/>
      <c r="DG57702" s="256"/>
    </row>
    <row r="57703" spans="104:111">
      <c r="CZ57703" s="256"/>
      <c r="DG57703" s="256"/>
    </row>
    <row r="57704" spans="104:111">
      <c r="CZ57704" s="256"/>
      <c r="DG57704" s="256"/>
    </row>
    <row r="57705" spans="104:111">
      <c r="CZ57705" s="256"/>
      <c r="DG57705" s="256"/>
    </row>
    <row r="57706" spans="104:111">
      <c r="CZ57706" s="256"/>
      <c r="DG57706" s="256"/>
    </row>
    <row r="57707" spans="104:111">
      <c r="CZ57707" s="256"/>
      <c r="DG57707" s="256"/>
    </row>
    <row r="57708" spans="104:111">
      <c r="CZ57708" s="256"/>
      <c r="DG57708" s="256"/>
    </row>
    <row r="57709" spans="104:111">
      <c r="CZ57709" s="256"/>
      <c r="DG57709" s="256"/>
    </row>
    <row r="57710" spans="104:111">
      <c r="CZ57710" s="256"/>
      <c r="DG57710" s="256"/>
    </row>
    <row r="57711" spans="104:111">
      <c r="CZ57711" s="256"/>
      <c r="DG57711" s="256"/>
    </row>
    <row r="57712" spans="104:111">
      <c r="CZ57712" s="256"/>
      <c r="DG57712" s="256"/>
    </row>
    <row r="57713" spans="104:111">
      <c r="CZ57713" s="256"/>
      <c r="DG57713" s="256"/>
    </row>
    <row r="57714" spans="104:111">
      <c r="CZ57714" s="256"/>
      <c r="DG57714" s="256"/>
    </row>
    <row r="57715" spans="104:111">
      <c r="CZ57715" s="256"/>
      <c r="DG57715" s="256"/>
    </row>
    <row r="57716" spans="104:111">
      <c r="CZ57716" s="256"/>
      <c r="DG57716" s="256"/>
    </row>
    <row r="57717" spans="104:111">
      <c r="CZ57717" s="256"/>
      <c r="DG57717" s="256"/>
    </row>
    <row r="57718" spans="104:111">
      <c r="CZ57718" s="256"/>
      <c r="DG57718" s="256"/>
    </row>
    <row r="57719" spans="104:111">
      <c r="CZ57719" s="256"/>
      <c r="DG57719" s="256"/>
    </row>
    <row r="57720" spans="104:111">
      <c r="CZ57720" s="256"/>
      <c r="DG57720" s="256"/>
    </row>
    <row r="57721" spans="104:111">
      <c r="CZ57721" s="256"/>
      <c r="DG57721" s="256"/>
    </row>
    <row r="57722" spans="104:111">
      <c r="CZ57722" s="256"/>
      <c r="DG57722" s="256"/>
    </row>
    <row r="57723" spans="104:111">
      <c r="CZ57723" s="256"/>
      <c r="DG57723" s="256"/>
    </row>
    <row r="57724" spans="104:111">
      <c r="CZ57724" s="256"/>
      <c r="DG57724" s="256"/>
    </row>
    <row r="57725" spans="104:111">
      <c r="CZ57725" s="256"/>
      <c r="DG57725" s="256"/>
    </row>
    <row r="57726" spans="104:111">
      <c r="CZ57726" s="256"/>
      <c r="DG57726" s="256"/>
    </row>
    <row r="57727" spans="104:111">
      <c r="CZ57727" s="256"/>
      <c r="DG57727" s="256"/>
    </row>
    <row r="57728" spans="104:111">
      <c r="CZ57728" s="256"/>
      <c r="DG57728" s="256"/>
    </row>
    <row r="57729" spans="104:111">
      <c r="CZ57729" s="256"/>
      <c r="DG57729" s="256"/>
    </row>
    <row r="57730" spans="104:111">
      <c r="CZ57730" s="256"/>
      <c r="DG57730" s="256"/>
    </row>
    <row r="57731" spans="104:111">
      <c r="CZ57731" s="256"/>
      <c r="DG57731" s="256"/>
    </row>
    <row r="57732" spans="104:111">
      <c r="CZ57732" s="256"/>
      <c r="DG57732" s="256"/>
    </row>
    <row r="57733" spans="104:111">
      <c r="CZ57733" s="256"/>
      <c r="DG57733" s="256"/>
    </row>
    <row r="57734" spans="104:111">
      <c r="CZ57734" s="256"/>
      <c r="DG57734" s="256"/>
    </row>
    <row r="57735" spans="104:111">
      <c r="CZ57735" s="256"/>
      <c r="DG57735" s="256"/>
    </row>
    <row r="57736" spans="104:111">
      <c r="CZ57736" s="256"/>
      <c r="DG57736" s="256"/>
    </row>
    <row r="57737" spans="104:111">
      <c r="CZ57737" s="256"/>
      <c r="DG57737" s="256"/>
    </row>
    <row r="57738" spans="104:111">
      <c r="CZ57738" s="256"/>
      <c r="DG57738" s="256"/>
    </row>
    <row r="57739" spans="104:111">
      <c r="CZ57739" s="256"/>
      <c r="DG57739" s="256"/>
    </row>
    <row r="57740" spans="104:111">
      <c r="CZ57740" s="256"/>
      <c r="DG57740" s="256"/>
    </row>
    <row r="57741" spans="104:111">
      <c r="CZ57741" s="256"/>
      <c r="DG57741" s="256"/>
    </row>
    <row r="57742" spans="104:111">
      <c r="CZ57742" s="256"/>
      <c r="DG57742" s="256"/>
    </row>
    <row r="57743" spans="104:111">
      <c r="CZ57743" s="256"/>
      <c r="DG57743" s="256"/>
    </row>
    <row r="57744" spans="104:111">
      <c r="CZ57744" s="256"/>
      <c r="DG57744" s="256"/>
    </row>
    <row r="57745" spans="104:111">
      <c r="CZ57745" s="256"/>
      <c r="DG57745" s="256"/>
    </row>
    <row r="57746" spans="104:111">
      <c r="CZ57746" s="256"/>
      <c r="DG57746" s="256"/>
    </row>
    <row r="57747" spans="104:111">
      <c r="CZ57747" s="256"/>
      <c r="DG57747" s="256"/>
    </row>
    <row r="57748" spans="104:111">
      <c r="CZ57748" s="256"/>
      <c r="DG57748" s="256"/>
    </row>
    <row r="57749" spans="104:111">
      <c r="CZ57749" s="256"/>
      <c r="DG57749" s="256"/>
    </row>
    <row r="57750" spans="104:111">
      <c r="CZ57750" s="256"/>
      <c r="DG57750" s="256"/>
    </row>
    <row r="57751" spans="104:111">
      <c r="CZ57751" s="256"/>
      <c r="DG57751" s="256"/>
    </row>
    <row r="57752" spans="104:111">
      <c r="CZ57752" s="256"/>
      <c r="DG57752" s="256"/>
    </row>
    <row r="57753" spans="104:111">
      <c r="CZ57753" s="256"/>
      <c r="DG57753" s="256"/>
    </row>
    <row r="57754" spans="104:111">
      <c r="CZ57754" s="256"/>
      <c r="DG57754" s="256"/>
    </row>
    <row r="57755" spans="104:111">
      <c r="CZ57755" s="256"/>
      <c r="DG57755" s="256"/>
    </row>
    <row r="57756" spans="104:111">
      <c r="CZ57756" s="256"/>
      <c r="DG57756" s="256"/>
    </row>
    <row r="57757" spans="104:111">
      <c r="CZ57757" s="256"/>
      <c r="DG57757" s="256"/>
    </row>
    <row r="57758" spans="104:111">
      <c r="CZ57758" s="256"/>
      <c r="DG57758" s="256"/>
    </row>
    <row r="57759" spans="104:111">
      <c r="CZ57759" s="256"/>
      <c r="DG57759" s="256"/>
    </row>
    <row r="57760" spans="104:111">
      <c r="CZ57760" s="256"/>
      <c r="DG57760" s="256"/>
    </row>
    <row r="57761" spans="104:111">
      <c r="CZ57761" s="256"/>
      <c r="DG57761" s="256"/>
    </row>
    <row r="57762" spans="104:111">
      <c r="CZ57762" s="256"/>
      <c r="DG57762" s="256"/>
    </row>
    <row r="57763" spans="104:111">
      <c r="CZ57763" s="256"/>
      <c r="DG57763" s="256"/>
    </row>
    <row r="57764" spans="104:111">
      <c r="CZ57764" s="256"/>
      <c r="DG57764" s="256"/>
    </row>
    <row r="57765" spans="104:111">
      <c r="CZ57765" s="256"/>
      <c r="DG57765" s="256"/>
    </row>
    <row r="57766" spans="104:111">
      <c r="CZ57766" s="256"/>
      <c r="DG57766" s="256"/>
    </row>
    <row r="57767" spans="104:111">
      <c r="CZ57767" s="256"/>
      <c r="DG57767" s="256"/>
    </row>
    <row r="57768" spans="104:111">
      <c r="CZ57768" s="256"/>
      <c r="DG57768" s="256"/>
    </row>
    <row r="57769" spans="104:111">
      <c r="CZ57769" s="256"/>
      <c r="DG57769" s="256"/>
    </row>
    <row r="57770" spans="104:111">
      <c r="CZ57770" s="256"/>
      <c r="DG57770" s="256"/>
    </row>
    <row r="57771" spans="104:111">
      <c r="CZ57771" s="256"/>
      <c r="DG57771" s="256"/>
    </row>
    <row r="57772" spans="104:111">
      <c r="CZ57772" s="256"/>
      <c r="DG57772" s="256"/>
    </row>
    <row r="57773" spans="104:111">
      <c r="CZ57773" s="256"/>
      <c r="DG57773" s="256"/>
    </row>
    <row r="57774" spans="104:111">
      <c r="CZ57774" s="256"/>
      <c r="DG57774" s="256"/>
    </row>
    <row r="57775" spans="104:111">
      <c r="CZ57775" s="256"/>
      <c r="DG57775" s="256"/>
    </row>
    <row r="57776" spans="104:111">
      <c r="CZ57776" s="256"/>
      <c r="DG57776" s="256"/>
    </row>
    <row r="57777" spans="104:111">
      <c r="CZ57777" s="256"/>
      <c r="DG57777" s="256"/>
    </row>
    <row r="57778" spans="104:111">
      <c r="CZ57778" s="256"/>
      <c r="DG57778" s="256"/>
    </row>
    <row r="57779" spans="104:111">
      <c r="CZ57779" s="256"/>
      <c r="DG57779" s="256"/>
    </row>
    <row r="57780" spans="104:111">
      <c r="CZ57780" s="256"/>
      <c r="DG57780" s="256"/>
    </row>
    <row r="57781" spans="104:111">
      <c r="CZ57781" s="256"/>
      <c r="DG57781" s="256"/>
    </row>
    <row r="57782" spans="104:111">
      <c r="CZ57782" s="256"/>
      <c r="DG57782" s="256"/>
    </row>
    <row r="57783" spans="104:111">
      <c r="CZ57783" s="256"/>
      <c r="DG57783" s="256"/>
    </row>
    <row r="57784" spans="104:111">
      <c r="CZ57784" s="256"/>
      <c r="DG57784" s="256"/>
    </row>
    <row r="57785" spans="104:111">
      <c r="CZ57785" s="256"/>
      <c r="DG57785" s="256"/>
    </row>
    <row r="57786" spans="104:111">
      <c r="CZ57786" s="256"/>
      <c r="DG57786" s="256"/>
    </row>
    <row r="57787" spans="104:111">
      <c r="CZ57787" s="256"/>
      <c r="DG57787" s="256"/>
    </row>
    <row r="57788" spans="104:111">
      <c r="CZ57788" s="256"/>
      <c r="DG57788" s="256"/>
    </row>
    <row r="57789" spans="104:111">
      <c r="CZ57789" s="256"/>
      <c r="DG57789" s="256"/>
    </row>
    <row r="57790" spans="104:111">
      <c r="CZ57790" s="256"/>
      <c r="DG57790" s="256"/>
    </row>
    <row r="57791" spans="104:111">
      <c r="CZ57791" s="256"/>
      <c r="DG57791" s="256"/>
    </row>
    <row r="57792" spans="104:111">
      <c r="CZ57792" s="256"/>
      <c r="DG57792" s="256"/>
    </row>
    <row r="57793" spans="104:111">
      <c r="CZ57793" s="256"/>
      <c r="DG57793" s="256"/>
    </row>
    <row r="57794" spans="104:111">
      <c r="CZ57794" s="256"/>
      <c r="DG57794" s="256"/>
    </row>
    <row r="57795" spans="104:111">
      <c r="CZ57795" s="256"/>
      <c r="DG57795" s="256"/>
    </row>
    <row r="57796" spans="104:111">
      <c r="CZ57796" s="256"/>
      <c r="DG57796" s="256"/>
    </row>
    <row r="57797" spans="104:111">
      <c r="CZ57797" s="256"/>
      <c r="DG57797" s="256"/>
    </row>
    <row r="57798" spans="104:111">
      <c r="CZ57798" s="256"/>
      <c r="DG57798" s="256"/>
    </row>
    <row r="57799" spans="104:111">
      <c r="CZ57799" s="256"/>
      <c r="DG57799" s="256"/>
    </row>
    <row r="57800" spans="104:111">
      <c r="CZ57800" s="256"/>
      <c r="DG57800" s="256"/>
    </row>
    <row r="57801" spans="104:111">
      <c r="CZ57801" s="256"/>
      <c r="DG57801" s="256"/>
    </row>
    <row r="57802" spans="104:111">
      <c r="CZ57802" s="256"/>
      <c r="DG57802" s="256"/>
    </row>
    <row r="57803" spans="104:111">
      <c r="CZ57803" s="256"/>
      <c r="DG57803" s="256"/>
    </row>
    <row r="57804" spans="104:111">
      <c r="CZ57804" s="256"/>
      <c r="DG57804" s="256"/>
    </row>
    <row r="57805" spans="104:111">
      <c r="CZ57805" s="256"/>
      <c r="DG57805" s="256"/>
    </row>
    <row r="57806" spans="104:111">
      <c r="CZ57806" s="256"/>
      <c r="DG57806" s="256"/>
    </row>
    <row r="57807" spans="104:111">
      <c r="CZ57807" s="256"/>
      <c r="DG57807" s="256"/>
    </row>
    <row r="57808" spans="104:111">
      <c r="CZ57808" s="256"/>
      <c r="DG57808" s="256"/>
    </row>
    <row r="57809" spans="104:111">
      <c r="CZ57809" s="256"/>
      <c r="DG57809" s="256"/>
    </row>
    <row r="57810" spans="104:111">
      <c r="CZ57810" s="256"/>
      <c r="DG57810" s="256"/>
    </row>
    <row r="57811" spans="104:111">
      <c r="CZ57811" s="256"/>
      <c r="DG57811" s="256"/>
    </row>
    <row r="57812" spans="104:111">
      <c r="CZ57812" s="256"/>
      <c r="DG57812" s="256"/>
    </row>
    <row r="57813" spans="104:111">
      <c r="CZ57813" s="256"/>
      <c r="DG57813" s="256"/>
    </row>
    <row r="57814" spans="104:111">
      <c r="CZ57814" s="256"/>
      <c r="DG57814" s="256"/>
    </row>
    <row r="57815" spans="104:111">
      <c r="CZ57815" s="256"/>
      <c r="DG57815" s="256"/>
    </row>
    <row r="57816" spans="104:111">
      <c r="CZ57816" s="256"/>
      <c r="DG57816" s="256"/>
    </row>
    <row r="57817" spans="104:111">
      <c r="CZ57817" s="256"/>
      <c r="DG57817" s="256"/>
    </row>
    <row r="57818" spans="104:111">
      <c r="CZ57818" s="256"/>
      <c r="DG57818" s="256"/>
    </row>
    <row r="57819" spans="104:111">
      <c r="CZ57819" s="256"/>
      <c r="DG57819" s="256"/>
    </row>
    <row r="57820" spans="104:111">
      <c r="CZ57820" s="256"/>
      <c r="DG57820" s="256"/>
    </row>
    <row r="57821" spans="104:111">
      <c r="CZ57821" s="256"/>
      <c r="DG57821" s="256"/>
    </row>
    <row r="57822" spans="104:111">
      <c r="CZ57822" s="256"/>
      <c r="DG57822" s="256"/>
    </row>
    <row r="57823" spans="104:111">
      <c r="CZ57823" s="256"/>
      <c r="DG57823" s="256"/>
    </row>
    <row r="57824" spans="104:111">
      <c r="CZ57824" s="256"/>
      <c r="DG57824" s="256"/>
    </row>
    <row r="57825" spans="104:111">
      <c r="CZ57825" s="256"/>
      <c r="DG57825" s="256"/>
    </row>
    <row r="57826" spans="104:111">
      <c r="CZ57826" s="256"/>
      <c r="DG57826" s="256"/>
    </row>
    <row r="57827" spans="104:111">
      <c r="CZ57827" s="256"/>
      <c r="DG57827" s="256"/>
    </row>
    <row r="57828" spans="104:111">
      <c r="CZ57828" s="256"/>
      <c r="DG57828" s="256"/>
    </row>
    <row r="57829" spans="104:111">
      <c r="CZ57829" s="256"/>
      <c r="DG57829" s="256"/>
    </row>
    <row r="57830" spans="104:111">
      <c r="CZ57830" s="256"/>
      <c r="DG57830" s="256"/>
    </row>
    <row r="57831" spans="104:111">
      <c r="CZ57831" s="256"/>
      <c r="DG57831" s="256"/>
    </row>
    <row r="57832" spans="104:111">
      <c r="CZ57832" s="256"/>
      <c r="DG57832" s="256"/>
    </row>
    <row r="57833" spans="104:111">
      <c r="CZ57833" s="256"/>
      <c r="DG57833" s="256"/>
    </row>
    <row r="57834" spans="104:111">
      <c r="CZ57834" s="256"/>
      <c r="DG57834" s="256"/>
    </row>
    <row r="57835" spans="104:111">
      <c r="CZ57835" s="256"/>
      <c r="DG57835" s="256"/>
    </row>
    <row r="57836" spans="104:111">
      <c r="CZ57836" s="256"/>
      <c r="DG57836" s="256"/>
    </row>
    <row r="57837" spans="104:111">
      <c r="CZ57837" s="256"/>
      <c r="DG57837" s="256"/>
    </row>
    <row r="57838" spans="104:111">
      <c r="CZ57838" s="256"/>
      <c r="DG57838" s="256"/>
    </row>
    <row r="57839" spans="104:111">
      <c r="CZ57839" s="256"/>
      <c r="DG57839" s="256"/>
    </row>
    <row r="57840" spans="104:111">
      <c r="CZ57840" s="256"/>
      <c r="DG57840" s="256"/>
    </row>
    <row r="57841" spans="104:111">
      <c r="CZ57841" s="256"/>
      <c r="DG57841" s="256"/>
    </row>
    <row r="57842" spans="104:111">
      <c r="CZ57842" s="256"/>
      <c r="DG57842" s="256"/>
    </row>
    <row r="57843" spans="104:111">
      <c r="CZ57843" s="256"/>
      <c r="DG57843" s="256"/>
    </row>
    <row r="57844" spans="104:111">
      <c r="CZ57844" s="256"/>
      <c r="DG57844" s="256"/>
    </row>
    <row r="57845" spans="104:111">
      <c r="CZ57845" s="256"/>
      <c r="DG57845" s="256"/>
    </row>
    <row r="57846" spans="104:111">
      <c r="CZ57846" s="256"/>
      <c r="DG57846" s="256"/>
    </row>
    <row r="57847" spans="104:111">
      <c r="CZ57847" s="256"/>
      <c r="DG57847" s="256"/>
    </row>
    <row r="57848" spans="104:111">
      <c r="CZ57848" s="256"/>
      <c r="DG57848" s="256"/>
    </row>
    <row r="57849" spans="104:111">
      <c r="CZ57849" s="256"/>
      <c r="DG57849" s="256"/>
    </row>
    <row r="57850" spans="104:111">
      <c r="CZ57850" s="256"/>
      <c r="DG57850" s="256"/>
    </row>
    <row r="57851" spans="104:111">
      <c r="CZ57851" s="256"/>
      <c r="DG57851" s="256"/>
    </row>
    <row r="57852" spans="104:111">
      <c r="CZ57852" s="256"/>
      <c r="DG57852" s="256"/>
    </row>
    <row r="57853" spans="104:111">
      <c r="CZ57853" s="256"/>
      <c r="DG57853" s="256"/>
    </row>
    <row r="57854" spans="104:111">
      <c r="CZ57854" s="256"/>
      <c r="DG57854" s="256"/>
    </row>
    <row r="57855" spans="104:111">
      <c r="CZ57855" s="256"/>
      <c r="DG57855" s="256"/>
    </row>
    <row r="57856" spans="104:111">
      <c r="CZ57856" s="256"/>
      <c r="DG57856" s="256"/>
    </row>
    <row r="57857" spans="104:111">
      <c r="CZ57857" s="256"/>
      <c r="DG57857" s="256"/>
    </row>
    <row r="57858" spans="104:111">
      <c r="CZ57858" s="256"/>
      <c r="DG57858" s="256"/>
    </row>
    <row r="57859" spans="104:111">
      <c r="CZ57859" s="256"/>
      <c r="DG57859" s="256"/>
    </row>
    <row r="57860" spans="104:111">
      <c r="CZ57860" s="256"/>
      <c r="DG57860" s="256"/>
    </row>
    <row r="57861" spans="104:111">
      <c r="CZ57861" s="256"/>
      <c r="DG57861" s="256"/>
    </row>
    <row r="57862" spans="104:111">
      <c r="CZ57862" s="256"/>
      <c r="DG57862" s="256"/>
    </row>
    <row r="57863" spans="104:111">
      <c r="CZ57863" s="256"/>
      <c r="DG57863" s="256"/>
    </row>
    <row r="57864" spans="104:111">
      <c r="CZ57864" s="256"/>
      <c r="DG57864" s="256"/>
    </row>
    <row r="57865" spans="104:111">
      <c r="CZ57865" s="256"/>
      <c r="DG57865" s="256"/>
    </row>
    <row r="57866" spans="104:111">
      <c r="CZ57866" s="256"/>
      <c r="DG57866" s="256"/>
    </row>
    <row r="57867" spans="104:111">
      <c r="CZ57867" s="256"/>
      <c r="DG57867" s="256"/>
    </row>
    <row r="57868" spans="104:111">
      <c r="CZ57868" s="256"/>
      <c r="DG57868" s="256"/>
    </row>
    <row r="57869" spans="104:111">
      <c r="CZ57869" s="256"/>
      <c r="DG57869" s="256"/>
    </row>
    <row r="57870" spans="104:111">
      <c r="CZ57870" s="256"/>
      <c r="DG57870" s="256"/>
    </row>
    <row r="57871" spans="104:111">
      <c r="CZ57871" s="256"/>
      <c r="DG57871" s="256"/>
    </row>
    <row r="57872" spans="104:111">
      <c r="CZ57872" s="256"/>
      <c r="DG57872" s="256"/>
    </row>
    <row r="57873" spans="104:111">
      <c r="CZ57873" s="256"/>
      <c r="DG57873" s="256"/>
    </row>
    <row r="57874" spans="104:111">
      <c r="CZ57874" s="256"/>
      <c r="DG57874" s="256"/>
    </row>
    <row r="57875" spans="104:111">
      <c r="CZ57875" s="256"/>
      <c r="DG57875" s="256"/>
    </row>
    <row r="57876" spans="104:111">
      <c r="CZ57876" s="256"/>
      <c r="DG57876" s="256"/>
    </row>
    <row r="57877" spans="104:111">
      <c r="CZ57877" s="256"/>
      <c r="DG57877" s="256"/>
    </row>
    <row r="57878" spans="104:111">
      <c r="CZ57878" s="256"/>
      <c r="DG57878" s="256"/>
    </row>
    <row r="57879" spans="104:111">
      <c r="CZ57879" s="256"/>
      <c r="DG57879" s="256"/>
    </row>
    <row r="57880" spans="104:111">
      <c r="CZ57880" s="256"/>
      <c r="DG57880" s="256"/>
    </row>
    <row r="57881" spans="104:111">
      <c r="CZ57881" s="256"/>
      <c r="DG57881" s="256"/>
    </row>
    <row r="57882" spans="104:111">
      <c r="CZ57882" s="256"/>
      <c r="DG57882" s="256"/>
    </row>
    <row r="57883" spans="104:111">
      <c r="CZ57883" s="256"/>
      <c r="DG57883" s="256"/>
    </row>
    <row r="57884" spans="104:111">
      <c r="CZ57884" s="256"/>
      <c r="DG57884" s="256"/>
    </row>
    <row r="57885" spans="104:111">
      <c r="CZ57885" s="256"/>
      <c r="DG57885" s="256"/>
    </row>
    <row r="57886" spans="104:111">
      <c r="CZ57886" s="256"/>
      <c r="DG57886" s="256"/>
    </row>
    <row r="57887" spans="104:111">
      <c r="CZ57887" s="256"/>
      <c r="DG57887" s="256"/>
    </row>
    <row r="57888" spans="104:111">
      <c r="CZ57888" s="256"/>
      <c r="DG57888" s="256"/>
    </row>
    <row r="57889" spans="104:111">
      <c r="CZ57889" s="256"/>
      <c r="DG57889" s="256"/>
    </row>
    <row r="57890" spans="104:111">
      <c r="CZ57890" s="256"/>
      <c r="DG57890" s="256"/>
    </row>
    <row r="57891" spans="104:111">
      <c r="CZ57891" s="256"/>
      <c r="DG57891" s="256"/>
    </row>
    <row r="57892" spans="104:111">
      <c r="CZ57892" s="256"/>
      <c r="DG57892" s="256"/>
    </row>
    <row r="57893" spans="104:111">
      <c r="CZ57893" s="256"/>
      <c r="DG57893" s="256"/>
    </row>
    <row r="57894" spans="104:111">
      <c r="CZ57894" s="256"/>
      <c r="DG57894" s="256"/>
    </row>
    <row r="57895" spans="104:111">
      <c r="CZ57895" s="256"/>
      <c r="DG57895" s="256"/>
    </row>
    <row r="57896" spans="104:111">
      <c r="CZ57896" s="256"/>
      <c r="DG57896" s="256"/>
    </row>
    <row r="57897" spans="104:111">
      <c r="CZ57897" s="256"/>
      <c r="DG57897" s="256"/>
    </row>
    <row r="57898" spans="104:111">
      <c r="CZ57898" s="256"/>
      <c r="DG57898" s="256"/>
    </row>
    <row r="57899" spans="104:111">
      <c r="CZ57899" s="256"/>
      <c r="DG57899" s="256"/>
    </row>
    <row r="57900" spans="104:111">
      <c r="CZ57900" s="256"/>
      <c r="DG57900" s="256"/>
    </row>
    <row r="57901" spans="104:111">
      <c r="CZ57901" s="256"/>
      <c r="DG57901" s="256"/>
    </row>
    <row r="57902" spans="104:111">
      <c r="CZ57902" s="256"/>
      <c r="DG57902" s="256"/>
    </row>
    <row r="57903" spans="104:111">
      <c r="CZ57903" s="256"/>
      <c r="DG57903" s="256"/>
    </row>
    <row r="57904" spans="104:111">
      <c r="CZ57904" s="256"/>
      <c r="DG57904" s="256"/>
    </row>
    <row r="57905" spans="104:111">
      <c r="CZ57905" s="256"/>
      <c r="DG57905" s="256"/>
    </row>
    <row r="57906" spans="104:111">
      <c r="CZ57906" s="256"/>
      <c r="DG57906" s="256"/>
    </row>
    <row r="57907" spans="104:111">
      <c r="CZ57907" s="256"/>
      <c r="DG57907" s="256"/>
    </row>
    <row r="57908" spans="104:111">
      <c r="CZ57908" s="256"/>
      <c r="DG57908" s="256"/>
    </row>
    <row r="57909" spans="104:111">
      <c r="CZ57909" s="256"/>
      <c r="DG57909" s="256"/>
    </row>
    <row r="57910" spans="104:111">
      <c r="CZ57910" s="256"/>
      <c r="DG57910" s="256"/>
    </row>
    <row r="57911" spans="104:111">
      <c r="CZ57911" s="256"/>
      <c r="DG57911" s="256"/>
    </row>
    <row r="57912" spans="104:111">
      <c r="CZ57912" s="256"/>
      <c r="DG57912" s="256"/>
    </row>
    <row r="57913" spans="104:111">
      <c r="CZ57913" s="256"/>
      <c r="DG57913" s="256"/>
    </row>
    <row r="57914" spans="104:111">
      <c r="CZ57914" s="256"/>
      <c r="DG57914" s="256"/>
    </row>
    <row r="57915" spans="104:111">
      <c r="CZ57915" s="256"/>
      <c r="DG57915" s="256"/>
    </row>
    <row r="57916" spans="104:111">
      <c r="CZ57916" s="256"/>
      <c r="DG57916" s="256"/>
    </row>
    <row r="57917" spans="104:111">
      <c r="CZ57917" s="256"/>
      <c r="DG57917" s="256"/>
    </row>
    <row r="57918" spans="104:111">
      <c r="CZ57918" s="256"/>
      <c r="DG57918" s="256"/>
    </row>
    <row r="57919" spans="104:111">
      <c r="CZ57919" s="256"/>
      <c r="DG57919" s="256"/>
    </row>
    <row r="57920" spans="104:111">
      <c r="CZ57920" s="256"/>
      <c r="DG57920" s="256"/>
    </row>
    <row r="57921" spans="104:111">
      <c r="CZ57921" s="256"/>
      <c r="DG57921" s="256"/>
    </row>
    <row r="57922" spans="104:111">
      <c r="CZ57922" s="256"/>
      <c r="DG57922" s="256"/>
    </row>
    <row r="57923" spans="104:111">
      <c r="CZ57923" s="256"/>
      <c r="DG57923" s="256"/>
    </row>
    <row r="57924" spans="104:111">
      <c r="CZ57924" s="256"/>
      <c r="DG57924" s="256"/>
    </row>
    <row r="57925" spans="104:111">
      <c r="CZ57925" s="256"/>
      <c r="DG57925" s="256"/>
    </row>
    <row r="57926" spans="104:111">
      <c r="CZ57926" s="256"/>
      <c r="DG57926" s="256"/>
    </row>
    <row r="57927" spans="104:111">
      <c r="CZ57927" s="256"/>
      <c r="DG57927" s="256"/>
    </row>
    <row r="57928" spans="104:111">
      <c r="CZ57928" s="256"/>
      <c r="DG57928" s="256"/>
    </row>
    <row r="57929" spans="104:111">
      <c r="CZ57929" s="256"/>
      <c r="DG57929" s="256"/>
    </row>
    <row r="57930" spans="104:111">
      <c r="CZ57930" s="256"/>
      <c r="DG57930" s="256"/>
    </row>
    <row r="57931" spans="104:111">
      <c r="CZ57931" s="256"/>
      <c r="DG57931" s="256"/>
    </row>
    <row r="57932" spans="104:111">
      <c r="CZ57932" s="256"/>
      <c r="DG57932" s="256"/>
    </row>
    <row r="57933" spans="104:111">
      <c r="CZ57933" s="256"/>
      <c r="DG57933" s="256"/>
    </row>
    <row r="57934" spans="104:111">
      <c r="CZ57934" s="256"/>
      <c r="DG57934" s="256"/>
    </row>
    <row r="57935" spans="104:111">
      <c r="CZ57935" s="256"/>
      <c r="DG57935" s="256"/>
    </row>
    <row r="57936" spans="104:111">
      <c r="CZ57936" s="256"/>
      <c r="DG57936" s="256"/>
    </row>
    <row r="57937" spans="104:111">
      <c r="CZ57937" s="256"/>
      <c r="DG57937" s="256"/>
    </row>
    <row r="57938" spans="104:111">
      <c r="CZ57938" s="256"/>
      <c r="DG57938" s="256"/>
    </row>
    <row r="57939" spans="104:111">
      <c r="CZ57939" s="256"/>
      <c r="DG57939" s="256"/>
    </row>
    <row r="57940" spans="104:111">
      <c r="CZ57940" s="256"/>
      <c r="DG57940" s="256"/>
    </row>
    <row r="57941" spans="104:111">
      <c r="CZ57941" s="256"/>
      <c r="DG57941" s="256"/>
    </row>
    <row r="57942" spans="104:111">
      <c r="CZ57942" s="256"/>
      <c r="DG57942" s="256"/>
    </row>
    <row r="57943" spans="104:111">
      <c r="CZ57943" s="256"/>
      <c r="DG57943" s="256"/>
    </row>
    <row r="57944" spans="104:111">
      <c r="CZ57944" s="256"/>
      <c r="DG57944" s="256"/>
    </row>
    <row r="57945" spans="104:111">
      <c r="CZ57945" s="256"/>
      <c r="DG57945" s="256"/>
    </row>
    <row r="57946" spans="104:111">
      <c r="CZ57946" s="256"/>
      <c r="DG57946" s="256"/>
    </row>
    <row r="57947" spans="104:111">
      <c r="CZ57947" s="256"/>
      <c r="DG57947" s="256"/>
    </row>
    <row r="57948" spans="104:111">
      <c r="CZ57948" s="256"/>
      <c r="DG57948" s="256"/>
    </row>
    <row r="57949" spans="104:111">
      <c r="CZ57949" s="256"/>
      <c r="DG57949" s="256"/>
    </row>
    <row r="57950" spans="104:111">
      <c r="CZ57950" s="256"/>
      <c r="DG57950" s="256"/>
    </row>
    <row r="57951" spans="104:111">
      <c r="CZ57951" s="256"/>
      <c r="DG57951" s="256"/>
    </row>
    <row r="57952" spans="104:111">
      <c r="CZ57952" s="256"/>
      <c r="DG57952" s="256"/>
    </row>
    <row r="57953" spans="104:111">
      <c r="CZ57953" s="256"/>
      <c r="DG57953" s="256"/>
    </row>
    <row r="57954" spans="104:111">
      <c r="CZ57954" s="256"/>
      <c r="DG57954" s="256"/>
    </row>
    <row r="57955" spans="104:111">
      <c r="CZ57955" s="256"/>
      <c r="DG57955" s="256"/>
    </row>
    <row r="57956" spans="104:111">
      <c r="CZ57956" s="256"/>
      <c r="DG57956" s="256"/>
    </row>
    <row r="57957" spans="104:111">
      <c r="CZ57957" s="256"/>
      <c r="DG57957" s="256"/>
    </row>
    <row r="57958" spans="104:111">
      <c r="CZ57958" s="256"/>
      <c r="DG57958" s="256"/>
    </row>
    <row r="57959" spans="104:111">
      <c r="CZ57959" s="256"/>
      <c r="DG57959" s="256"/>
    </row>
    <row r="57960" spans="104:111">
      <c r="CZ57960" s="256"/>
      <c r="DG57960" s="256"/>
    </row>
    <row r="57961" spans="104:111">
      <c r="CZ57961" s="256"/>
      <c r="DG57961" s="256"/>
    </row>
    <row r="57962" spans="104:111">
      <c r="CZ57962" s="256"/>
      <c r="DG57962" s="256"/>
    </row>
    <row r="57963" spans="104:111">
      <c r="CZ57963" s="256"/>
      <c r="DG57963" s="256"/>
    </row>
    <row r="57964" spans="104:111">
      <c r="CZ57964" s="256"/>
      <c r="DG57964" s="256"/>
    </row>
    <row r="57965" spans="104:111">
      <c r="CZ57965" s="256"/>
      <c r="DG57965" s="256"/>
    </row>
    <row r="57966" spans="104:111">
      <c r="CZ57966" s="256"/>
      <c r="DG57966" s="256"/>
    </row>
    <row r="57967" spans="104:111">
      <c r="CZ57967" s="256"/>
      <c r="DG57967" s="256"/>
    </row>
    <row r="57968" spans="104:111">
      <c r="CZ57968" s="256"/>
      <c r="DG57968" s="256"/>
    </row>
    <row r="57969" spans="104:111">
      <c r="CZ57969" s="256"/>
      <c r="DG57969" s="256"/>
    </row>
    <row r="57970" spans="104:111">
      <c r="CZ57970" s="256"/>
      <c r="DG57970" s="256"/>
    </row>
    <row r="57971" spans="104:111">
      <c r="CZ57971" s="256"/>
      <c r="DG57971" s="256"/>
    </row>
    <row r="57972" spans="104:111">
      <c r="CZ57972" s="256"/>
      <c r="DG57972" s="256"/>
    </row>
    <row r="57973" spans="104:111">
      <c r="CZ57973" s="256"/>
      <c r="DG57973" s="256"/>
    </row>
    <row r="57974" spans="104:111">
      <c r="CZ57974" s="256"/>
      <c r="DG57974" s="256"/>
    </row>
    <row r="57975" spans="104:111">
      <c r="CZ57975" s="256"/>
      <c r="DG57975" s="256"/>
    </row>
    <row r="57976" spans="104:111">
      <c r="CZ57976" s="256"/>
      <c r="DG57976" s="256"/>
    </row>
    <row r="57977" spans="104:111">
      <c r="CZ57977" s="256"/>
      <c r="DG57977" s="256"/>
    </row>
    <row r="57978" spans="104:111">
      <c r="CZ57978" s="256"/>
      <c r="DG57978" s="256"/>
    </row>
    <row r="57979" spans="104:111">
      <c r="CZ57979" s="256"/>
      <c r="DG57979" s="256"/>
    </row>
    <row r="57980" spans="104:111">
      <c r="CZ57980" s="256"/>
      <c r="DG57980" s="256"/>
    </row>
    <row r="57981" spans="104:111">
      <c r="CZ57981" s="256"/>
      <c r="DG57981" s="256"/>
    </row>
    <row r="57982" spans="104:111">
      <c r="CZ57982" s="256"/>
      <c r="DG57982" s="256"/>
    </row>
    <row r="57983" spans="104:111">
      <c r="CZ57983" s="256"/>
      <c r="DG57983" s="256"/>
    </row>
    <row r="57984" spans="104:111">
      <c r="CZ57984" s="256"/>
      <c r="DG57984" s="256"/>
    </row>
    <row r="57985" spans="104:111">
      <c r="CZ57985" s="256"/>
      <c r="DG57985" s="256"/>
    </row>
    <row r="57986" spans="104:111">
      <c r="CZ57986" s="256"/>
      <c r="DG57986" s="256"/>
    </row>
    <row r="57987" spans="104:111">
      <c r="CZ57987" s="256"/>
      <c r="DG57987" s="256"/>
    </row>
    <row r="57988" spans="104:111">
      <c r="CZ57988" s="256"/>
      <c r="DG57988" s="256"/>
    </row>
    <row r="57989" spans="104:111">
      <c r="CZ57989" s="256"/>
      <c r="DG57989" s="256"/>
    </row>
    <row r="57990" spans="104:111">
      <c r="CZ57990" s="256"/>
      <c r="DG57990" s="256"/>
    </row>
    <row r="57991" spans="104:111">
      <c r="CZ57991" s="256"/>
      <c r="DG57991" s="256"/>
    </row>
    <row r="57992" spans="104:111">
      <c r="CZ57992" s="256"/>
      <c r="DG57992" s="256"/>
    </row>
    <row r="57993" spans="104:111">
      <c r="CZ57993" s="256"/>
      <c r="DG57993" s="256"/>
    </row>
    <row r="57994" spans="104:111">
      <c r="CZ57994" s="256"/>
      <c r="DG57994" s="256"/>
    </row>
    <row r="57995" spans="104:111">
      <c r="CZ57995" s="256"/>
      <c r="DG57995" s="256"/>
    </row>
    <row r="57996" spans="104:111">
      <c r="CZ57996" s="256"/>
      <c r="DG57996" s="256"/>
    </row>
    <row r="57997" spans="104:111">
      <c r="CZ57997" s="256"/>
      <c r="DG57997" s="256"/>
    </row>
    <row r="57998" spans="104:111">
      <c r="CZ57998" s="256"/>
      <c r="DG57998" s="256"/>
    </row>
    <row r="57999" spans="104:111">
      <c r="CZ57999" s="256"/>
      <c r="DG57999" s="256"/>
    </row>
    <row r="58000" spans="104:111">
      <c r="CZ58000" s="256"/>
      <c r="DG58000" s="256"/>
    </row>
    <row r="58001" spans="104:111">
      <c r="CZ58001" s="256"/>
      <c r="DG58001" s="256"/>
    </row>
    <row r="58002" spans="104:111">
      <c r="CZ58002" s="256"/>
      <c r="DG58002" s="256"/>
    </row>
    <row r="58003" spans="104:111">
      <c r="CZ58003" s="256"/>
      <c r="DG58003" s="256"/>
    </row>
    <row r="58004" spans="104:111">
      <c r="CZ58004" s="256"/>
      <c r="DG58004" s="256"/>
    </row>
    <row r="58005" spans="104:111">
      <c r="CZ58005" s="256"/>
      <c r="DG58005" s="256"/>
    </row>
    <row r="58006" spans="104:111">
      <c r="CZ58006" s="256"/>
      <c r="DG58006" s="256"/>
    </row>
    <row r="58007" spans="104:111">
      <c r="CZ58007" s="256"/>
      <c r="DG58007" s="256"/>
    </row>
    <row r="58008" spans="104:111">
      <c r="CZ58008" s="256"/>
      <c r="DG58008" s="256"/>
    </row>
    <row r="58009" spans="104:111">
      <c r="CZ58009" s="256"/>
      <c r="DG58009" s="256"/>
    </row>
    <row r="58010" spans="104:111">
      <c r="CZ58010" s="256"/>
      <c r="DG58010" s="256"/>
    </row>
    <row r="58011" spans="104:111">
      <c r="CZ58011" s="256"/>
      <c r="DG58011" s="256"/>
    </row>
    <row r="58012" spans="104:111">
      <c r="CZ58012" s="256"/>
      <c r="DG58012" s="256"/>
    </row>
    <row r="58013" spans="104:111">
      <c r="CZ58013" s="256"/>
      <c r="DG58013" s="256"/>
    </row>
    <row r="58014" spans="104:111">
      <c r="CZ58014" s="256"/>
      <c r="DG58014" s="256"/>
    </row>
    <row r="58015" spans="104:111">
      <c r="CZ58015" s="256"/>
      <c r="DG58015" s="256"/>
    </row>
    <row r="58016" spans="104:111">
      <c r="CZ58016" s="256"/>
      <c r="DG58016" s="256"/>
    </row>
    <row r="58017" spans="104:111">
      <c r="CZ58017" s="256"/>
      <c r="DG58017" s="256"/>
    </row>
    <row r="58018" spans="104:111">
      <c r="CZ58018" s="256"/>
      <c r="DG58018" s="256"/>
    </row>
    <row r="58019" spans="104:111">
      <c r="CZ58019" s="256"/>
      <c r="DG58019" s="256"/>
    </row>
    <row r="58020" spans="104:111">
      <c r="CZ58020" s="256"/>
      <c r="DG58020" s="256"/>
    </row>
    <row r="58021" spans="104:111">
      <c r="CZ58021" s="256"/>
      <c r="DG58021" s="256"/>
    </row>
    <row r="58022" spans="104:111">
      <c r="CZ58022" s="256"/>
      <c r="DG58022" s="256"/>
    </row>
    <row r="58023" spans="104:111">
      <c r="CZ58023" s="256"/>
      <c r="DG58023" s="256"/>
    </row>
    <row r="58024" spans="104:111">
      <c r="CZ58024" s="256"/>
      <c r="DG58024" s="256"/>
    </row>
    <row r="58025" spans="104:111">
      <c r="CZ58025" s="256"/>
      <c r="DG58025" s="256"/>
    </row>
    <row r="58026" spans="104:111">
      <c r="CZ58026" s="256"/>
      <c r="DG58026" s="256"/>
    </row>
    <row r="58027" spans="104:111">
      <c r="CZ58027" s="256"/>
      <c r="DG58027" s="256"/>
    </row>
    <row r="58028" spans="104:111">
      <c r="CZ58028" s="256"/>
      <c r="DG58028" s="256"/>
    </row>
    <row r="58029" spans="104:111">
      <c r="CZ58029" s="256"/>
      <c r="DG58029" s="256"/>
    </row>
    <row r="58030" spans="104:111">
      <c r="CZ58030" s="256"/>
      <c r="DG58030" s="256"/>
    </row>
    <row r="58031" spans="104:111">
      <c r="CZ58031" s="256"/>
      <c r="DG58031" s="256"/>
    </row>
    <row r="58032" spans="104:111">
      <c r="CZ58032" s="256"/>
      <c r="DG58032" s="256"/>
    </row>
    <row r="58033" spans="104:111">
      <c r="CZ58033" s="256"/>
      <c r="DG58033" s="256"/>
    </row>
    <row r="58034" spans="104:111">
      <c r="CZ58034" s="256"/>
      <c r="DG58034" s="256"/>
    </row>
    <row r="58035" spans="104:111">
      <c r="CZ58035" s="256"/>
      <c r="DG58035" s="256"/>
    </row>
    <row r="58036" spans="104:111">
      <c r="CZ58036" s="256"/>
      <c r="DG58036" s="256"/>
    </row>
    <row r="58037" spans="104:111">
      <c r="CZ58037" s="256"/>
      <c r="DG58037" s="256"/>
    </row>
    <row r="58038" spans="104:111">
      <c r="CZ58038" s="256"/>
      <c r="DG58038" s="256"/>
    </row>
    <row r="58039" spans="104:111">
      <c r="CZ58039" s="256"/>
      <c r="DG58039" s="256"/>
    </row>
    <row r="58040" spans="104:111">
      <c r="CZ58040" s="256"/>
      <c r="DG58040" s="256"/>
    </row>
    <row r="58041" spans="104:111">
      <c r="CZ58041" s="256"/>
      <c r="DG58041" s="256"/>
    </row>
    <row r="58042" spans="104:111">
      <c r="CZ58042" s="256"/>
      <c r="DG58042" s="256"/>
    </row>
    <row r="58043" spans="104:111">
      <c r="CZ58043" s="256"/>
      <c r="DG58043" s="256"/>
    </row>
    <row r="58044" spans="104:111">
      <c r="CZ58044" s="256"/>
      <c r="DG58044" s="256"/>
    </row>
    <row r="58045" spans="104:111">
      <c r="CZ58045" s="256"/>
      <c r="DG58045" s="256"/>
    </row>
    <row r="58046" spans="104:111">
      <c r="CZ58046" s="256"/>
      <c r="DG58046" s="256"/>
    </row>
    <row r="58047" spans="104:111">
      <c r="CZ58047" s="256"/>
      <c r="DG58047" s="256"/>
    </row>
    <row r="58048" spans="104:111">
      <c r="CZ58048" s="256"/>
      <c r="DG58048" s="256"/>
    </row>
    <row r="58049" spans="104:111">
      <c r="CZ58049" s="256"/>
      <c r="DG58049" s="256"/>
    </row>
    <row r="58050" spans="104:111">
      <c r="CZ58050" s="256"/>
      <c r="DG58050" s="256"/>
    </row>
    <row r="58051" spans="104:111">
      <c r="CZ58051" s="256"/>
      <c r="DG58051" s="256"/>
    </row>
    <row r="58052" spans="104:111">
      <c r="CZ58052" s="256"/>
      <c r="DG58052" s="256"/>
    </row>
    <row r="58053" spans="104:111">
      <c r="CZ58053" s="256"/>
      <c r="DG58053" s="256"/>
    </row>
    <row r="58054" spans="104:111">
      <c r="CZ58054" s="256"/>
      <c r="DG58054" s="256"/>
    </row>
    <row r="58055" spans="104:111">
      <c r="CZ58055" s="256"/>
      <c r="DG58055" s="256"/>
    </row>
    <row r="58056" spans="104:111">
      <c r="CZ58056" s="256"/>
      <c r="DG58056" s="256"/>
    </row>
    <row r="58057" spans="104:111">
      <c r="CZ58057" s="256"/>
      <c r="DG58057" s="256"/>
    </row>
    <row r="58058" spans="104:111">
      <c r="CZ58058" s="256"/>
      <c r="DG58058" s="256"/>
    </row>
    <row r="58059" spans="104:111">
      <c r="CZ58059" s="256"/>
      <c r="DG58059" s="256"/>
    </row>
    <row r="58060" spans="104:111">
      <c r="CZ58060" s="256"/>
      <c r="DG58060" s="256"/>
    </row>
    <row r="58061" spans="104:111">
      <c r="CZ58061" s="256"/>
      <c r="DG58061" s="256"/>
    </row>
    <row r="58062" spans="104:111">
      <c r="CZ58062" s="256"/>
      <c r="DG58062" s="256"/>
    </row>
    <row r="58063" spans="104:111">
      <c r="CZ58063" s="256"/>
      <c r="DG58063" s="256"/>
    </row>
    <row r="58064" spans="104:111">
      <c r="CZ58064" s="256"/>
      <c r="DG58064" s="256"/>
    </row>
    <row r="58065" spans="104:111">
      <c r="CZ58065" s="256"/>
      <c r="DG58065" s="256"/>
    </row>
    <row r="58066" spans="104:111">
      <c r="CZ58066" s="256"/>
      <c r="DG58066" s="256"/>
    </row>
    <row r="58067" spans="104:111">
      <c r="CZ58067" s="256"/>
      <c r="DG58067" s="256"/>
    </row>
    <row r="58068" spans="104:111">
      <c r="CZ58068" s="256"/>
      <c r="DG58068" s="256"/>
    </row>
    <row r="58069" spans="104:111">
      <c r="CZ58069" s="256"/>
      <c r="DG58069" s="256"/>
    </row>
    <row r="58070" spans="104:111">
      <c r="CZ58070" s="256"/>
      <c r="DG58070" s="256"/>
    </row>
    <row r="58071" spans="104:111">
      <c r="CZ58071" s="256"/>
      <c r="DG58071" s="256"/>
    </row>
    <row r="58072" spans="104:111">
      <c r="CZ58072" s="256"/>
      <c r="DG58072" s="256"/>
    </row>
    <row r="58073" spans="104:111">
      <c r="CZ58073" s="256"/>
      <c r="DG58073" s="256"/>
    </row>
    <row r="58074" spans="104:111">
      <c r="CZ58074" s="256"/>
      <c r="DG58074" s="256"/>
    </row>
    <row r="58075" spans="104:111">
      <c r="CZ58075" s="256"/>
      <c r="DG58075" s="256"/>
    </row>
    <row r="58076" spans="104:111">
      <c r="CZ58076" s="256"/>
      <c r="DG58076" s="256"/>
    </row>
    <row r="58077" spans="104:111">
      <c r="CZ58077" s="256"/>
      <c r="DG58077" s="256"/>
    </row>
    <row r="58078" spans="104:111">
      <c r="CZ58078" s="256"/>
      <c r="DG58078" s="256"/>
    </row>
    <row r="58079" spans="104:111">
      <c r="CZ58079" s="256"/>
      <c r="DG58079" s="256"/>
    </row>
    <row r="58080" spans="104:111">
      <c r="CZ58080" s="256"/>
      <c r="DG58080" s="256"/>
    </row>
    <row r="58081" spans="104:111">
      <c r="CZ58081" s="256"/>
      <c r="DG58081" s="256"/>
    </row>
    <row r="58082" spans="104:111">
      <c r="CZ58082" s="256"/>
      <c r="DG58082" s="256"/>
    </row>
    <row r="58083" spans="104:111">
      <c r="CZ58083" s="256"/>
      <c r="DG58083" s="256"/>
    </row>
    <row r="58084" spans="104:111">
      <c r="CZ58084" s="256"/>
      <c r="DG58084" s="256"/>
    </row>
    <row r="58085" spans="104:111">
      <c r="CZ58085" s="256"/>
      <c r="DG58085" s="256"/>
    </row>
    <row r="58086" spans="104:111">
      <c r="CZ58086" s="256"/>
      <c r="DG58086" s="256"/>
    </row>
    <row r="58087" spans="104:111">
      <c r="CZ58087" s="256"/>
      <c r="DG58087" s="256"/>
    </row>
    <row r="58088" spans="104:111">
      <c r="CZ58088" s="256"/>
      <c r="DG58088" s="256"/>
    </row>
    <row r="58089" spans="104:111">
      <c r="CZ58089" s="256"/>
      <c r="DG58089" s="256"/>
    </row>
    <row r="58090" spans="104:111">
      <c r="CZ58090" s="256"/>
      <c r="DG58090" s="256"/>
    </row>
    <row r="58091" spans="104:111">
      <c r="CZ58091" s="256"/>
      <c r="DG58091" s="256"/>
    </row>
    <row r="58092" spans="104:111">
      <c r="CZ58092" s="256"/>
      <c r="DG58092" s="256"/>
    </row>
    <row r="58093" spans="104:111">
      <c r="CZ58093" s="256"/>
      <c r="DG58093" s="256"/>
    </row>
    <row r="58094" spans="104:111">
      <c r="CZ58094" s="256"/>
      <c r="DG58094" s="256"/>
    </row>
    <row r="58095" spans="104:111">
      <c r="CZ58095" s="256"/>
      <c r="DG58095" s="256"/>
    </row>
    <row r="58096" spans="104:111">
      <c r="CZ58096" s="256"/>
      <c r="DG58096" s="256"/>
    </row>
    <row r="58097" spans="104:111">
      <c r="CZ58097" s="256"/>
      <c r="DG58097" s="256"/>
    </row>
    <row r="58098" spans="104:111">
      <c r="CZ58098" s="256"/>
      <c r="DG58098" s="256"/>
    </row>
    <row r="58099" spans="104:111">
      <c r="CZ58099" s="256"/>
      <c r="DG58099" s="256"/>
    </row>
    <row r="58100" spans="104:111">
      <c r="CZ58100" s="256"/>
      <c r="DG58100" s="256"/>
    </row>
    <row r="58101" spans="104:111">
      <c r="CZ58101" s="256"/>
      <c r="DG58101" s="256"/>
    </row>
    <row r="58102" spans="104:111">
      <c r="CZ58102" s="256"/>
      <c r="DG58102" s="256"/>
    </row>
    <row r="58103" spans="104:111">
      <c r="CZ58103" s="256"/>
      <c r="DG58103" s="256"/>
    </row>
    <row r="58104" spans="104:111">
      <c r="CZ58104" s="256"/>
      <c r="DG58104" s="256"/>
    </row>
    <row r="58105" spans="104:111">
      <c r="CZ58105" s="256"/>
      <c r="DG58105" s="256"/>
    </row>
    <row r="58106" spans="104:111">
      <c r="CZ58106" s="256"/>
      <c r="DG58106" s="256"/>
    </row>
    <row r="58107" spans="104:111">
      <c r="CZ58107" s="256"/>
      <c r="DG58107" s="256"/>
    </row>
    <row r="58108" spans="104:111">
      <c r="CZ58108" s="256"/>
      <c r="DG58108" s="256"/>
    </row>
    <row r="58109" spans="104:111">
      <c r="CZ58109" s="256"/>
      <c r="DG58109" s="256"/>
    </row>
    <row r="58110" spans="104:111">
      <c r="CZ58110" s="256"/>
      <c r="DG58110" s="256"/>
    </row>
    <row r="58111" spans="104:111">
      <c r="CZ58111" s="256"/>
      <c r="DG58111" s="256"/>
    </row>
    <row r="58112" spans="104:111">
      <c r="CZ58112" s="256"/>
      <c r="DG58112" s="256"/>
    </row>
    <row r="58113" spans="104:111">
      <c r="CZ58113" s="256"/>
      <c r="DG58113" s="256"/>
    </row>
    <row r="58114" spans="104:111">
      <c r="CZ58114" s="256"/>
      <c r="DG58114" s="256"/>
    </row>
    <row r="58115" spans="104:111">
      <c r="CZ58115" s="256"/>
      <c r="DG58115" s="256"/>
    </row>
    <row r="58116" spans="104:111">
      <c r="CZ58116" s="256"/>
      <c r="DG58116" s="256"/>
    </row>
    <row r="58117" spans="104:111">
      <c r="CZ58117" s="256"/>
      <c r="DG58117" s="256"/>
    </row>
    <row r="58118" spans="104:111">
      <c r="CZ58118" s="256"/>
      <c r="DG58118" s="256"/>
    </row>
    <row r="58119" spans="104:111">
      <c r="CZ58119" s="256"/>
      <c r="DG58119" s="256"/>
    </row>
    <row r="58120" spans="104:111">
      <c r="CZ58120" s="256"/>
      <c r="DG58120" s="256"/>
    </row>
    <row r="58121" spans="104:111">
      <c r="CZ58121" s="256"/>
      <c r="DG58121" s="256"/>
    </row>
    <row r="58122" spans="104:111">
      <c r="CZ58122" s="256"/>
      <c r="DG58122" s="256"/>
    </row>
    <row r="58123" spans="104:111">
      <c r="CZ58123" s="256"/>
      <c r="DG58123" s="256"/>
    </row>
    <row r="58124" spans="104:111">
      <c r="CZ58124" s="256"/>
      <c r="DG58124" s="256"/>
    </row>
    <row r="58125" spans="104:111">
      <c r="CZ58125" s="256"/>
      <c r="DG58125" s="256"/>
    </row>
    <row r="58126" spans="104:111">
      <c r="CZ58126" s="256"/>
      <c r="DG58126" s="256"/>
    </row>
    <row r="58127" spans="104:111">
      <c r="CZ58127" s="256"/>
      <c r="DG58127" s="256"/>
    </row>
    <row r="58128" spans="104:111">
      <c r="CZ58128" s="256"/>
      <c r="DG58128" s="256"/>
    </row>
    <row r="58129" spans="104:111">
      <c r="CZ58129" s="256"/>
      <c r="DG58129" s="256"/>
    </row>
    <row r="58130" spans="104:111">
      <c r="CZ58130" s="256"/>
      <c r="DG58130" s="256"/>
    </row>
    <row r="58131" spans="104:111">
      <c r="CZ58131" s="256"/>
      <c r="DG58131" s="256"/>
    </row>
    <row r="58132" spans="104:111">
      <c r="CZ58132" s="256"/>
      <c r="DG58132" s="256"/>
    </row>
    <row r="58133" spans="104:111">
      <c r="CZ58133" s="256"/>
      <c r="DG58133" s="256"/>
    </row>
    <row r="58134" spans="104:111">
      <c r="CZ58134" s="256"/>
      <c r="DG58134" s="256"/>
    </row>
    <row r="58135" spans="104:111">
      <c r="CZ58135" s="256"/>
      <c r="DG58135" s="256"/>
    </row>
    <row r="58136" spans="104:111">
      <c r="CZ58136" s="256"/>
      <c r="DG58136" s="256"/>
    </row>
    <row r="58137" spans="104:111">
      <c r="CZ58137" s="256"/>
      <c r="DG58137" s="256"/>
    </row>
    <row r="58138" spans="104:111">
      <c r="CZ58138" s="256"/>
      <c r="DG58138" s="256"/>
    </row>
    <row r="58139" spans="104:111">
      <c r="CZ58139" s="256"/>
      <c r="DG58139" s="256"/>
    </row>
    <row r="58140" spans="104:111">
      <c r="CZ58140" s="256"/>
      <c r="DG58140" s="256"/>
    </row>
    <row r="58141" spans="104:111">
      <c r="CZ58141" s="256"/>
      <c r="DG58141" s="256"/>
    </row>
    <row r="58142" spans="104:111">
      <c r="CZ58142" s="256"/>
      <c r="DG58142" s="256"/>
    </row>
    <row r="58143" spans="104:111">
      <c r="CZ58143" s="256"/>
      <c r="DG58143" s="256"/>
    </row>
    <row r="58144" spans="104:111">
      <c r="CZ58144" s="256"/>
      <c r="DG58144" s="256"/>
    </row>
    <row r="58145" spans="104:111">
      <c r="CZ58145" s="256"/>
      <c r="DG58145" s="256"/>
    </row>
    <row r="58146" spans="104:111">
      <c r="CZ58146" s="256"/>
      <c r="DG58146" s="256"/>
    </row>
    <row r="58147" spans="104:111">
      <c r="CZ58147" s="256"/>
      <c r="DG58147" s="256"/>
    </row>
    <row r="58148" spans="104:111">
      <c r="CZ58148" s="256"/>
      <c r="DG58148" s="256"/>
    </row>
    <row r="58149" spans="104:111">
      <c r="CZ58149" s="256"/>
      <c r="DG58149" s="256"/>
    </row>
    <row r="58150" spans="104:111">
      <c r="CZ58150" s="256"/>
      <c r="DG58150" s="256"/>
    </row>
    <row r="58151" spans="104:111">
      <c r="CZ58151" s="256"/>
      <c r="DG58151" s="256"/>
    </row>
    <row r="58152" spans="104:111">
      <c r="CZ58152" s="256"/>
      <c r="DG58152" s="256"/>
    </row>
    <row r="58153" spans="104:111">
      <c r="CZ58153" s="256"/>
      <c r="DG58153" s="256"/>
    </row>
    <row r="58154" spans="104:111">
      <c r="CZ58154" s="256"/>
      <c r="DG58154" s="256"/>
    </row>
    <row r="58155" spans="104:111">
      <c r="CZ58155" s="256"/>
      <c r="DG58155" s="256"/>
    </row>
    <row r="58156" spans="104:111">
      <c r="CZ58156" s="256"/>
      <c r="DG58156" s="256"/>
    </row>
    <row r="58157" spans="104:111">
      <c r="CZ58157" s="256"/>
      <c r="DG58157" s="256"/>
    </row>
    <row r="58158" spans="104:111">
      <c r="CZ58158" s="256"/>
      <c r="DG58158" s="256"/>
    </row>
    <row r="58159" spans="104:111">
      <c r="CZ58159" s="256"/>
      <c r="DG58159" s="256"/>
    </row>
    <row r="58160" spans="104:111">
      <c r="CZ58160" s="256"/>
      <c r="DG58160" s="256"/>
    </row>
    <row r="58161" spans="104:111">
      <c r="CZ58161" s="256"/>
      <c r="DG58161" s="256"/>
    </row>
    <row r="58162" spans="104:111">
      <c r="CZ58162" s="256"/>
      <c r="DG58162" s="256"/>
    </row>
    <row r="58163" spans="104:111">
      <c r="CZ58163" s="256"/>
      <c r="DG58163" s="256"/>
    </row>
    <row r="58164" spans="104:111">
      <c r="CZ58164" s="256"/>
      <c r="DG58164" s="256"/>
    </row>
    <row r="58165" spans="104:111">
      <c r="CZ58165" s="256"/>
      <c r="DG58165" s="256"/>
    </row>
    <row r="58166" spans="104:111">
      <c r="CZ58166" s="256"/>
      <c r="DG58166" s="256"/>
    </row>
    <row r="58167" spans="104:111">
      <c r="CZ58167" s="256"/>
      <c r="DG58167" s="256"/>
    </row>
    <row r="58168" spans="104:111">
      <c r="CZ58168" s="256"/>
      <c r="DG58168" s="256"/>
    </row>
    <row r="58169" spans="104:111">
      <c r="CZ58169" s="256"/>
      <c r="DG58169" s="256"/>
    </row>
    <row r="58170" spans="104:111">
      <c r="CZ58170" s="256"/>
      <c r="DG58170" s="256"/>
    </row>
    <row r="58171" spans="104:111">
      <c r="CZ58171" s="256"/>
      <c r="DG58171" s="256"/>
    </row>
    <row r="58172" spans="104:111">
      <c r="CZ58172" s="256"/>
      <c r="DG58172" s="256"/>
    </row>
    <row r="58173" spans="104:111">
      <c r="CZ58173" s="256"/>
      <c r="DG58173" s="256"/>
    </row>
    <row r="58174" spans="104:111">
      <c r="CZ58174" s="256"/>
      <c r="DG58174" s="256"/>
    </row>
    <row r="58175" spans="104:111">
      <c r="CZ58175" s="256"/>
      <c r="DG58175" s="256"/>
    </row>
    <row r="58176" spans="104:111">
      <c r="CZ58176" s="256"/>
      <c r="DG58176" s="256"/>
    </row>
    <row r="58177" spans="104:111">
      <c r="CZ58177" s="256"/>
      <c r="DG58177" s="256"/>
    </row>
    <row r="58178" spans="104:111">
      <c r="CZ58178" s="256"/>
      <c r="DG58178" s="256"/>
    </row>
    <row r="58179" spans="104:111">
      <c r="CZ58179" s="256"/>
      <c r="DG58179" s="256"/>
    </row>
    <row r="58180" spans="104:111">
      <c r="CZ58180" s="256"/>
      <c r="DG58180" s="256"/>
    </row>
    <row r="58181" spans="104:111">
      <c r="CZ58181" s="256"/>
      <c r="DG58181" s="256"/>
    </row>
    <row r="58182" spans="104:111">
      <c r="CZ58182" s="256"/>
      <c r="DG58182" s="256"/>
    </row>
    <row r="58183" spans="104:111">
      <c r="CZ58183" s="256"/>
      <c r="DG58183" s="256"/>
    </row>
    <row r="58184" spans="104:111">
      <c r="CZ58184" s="256"/>
      <c r="DG58184" s="256"/>
    </row>
    <row r="58185" spans="104:111">
      <c r="CZ58185" s="256"/>
      <c r="DG58185" s="256"/>
    </row>
    <row r="58186" spans="104:111">
      <c r="CZ58186" s="256"/>
      <c r="DG58186" s="256"/>
    </row>
    <row r="58187" spans="104:111">
      <c r="CZ58187" s="256"/>
      <c r="DG58187" s="256"/>
    </row>
    <row r="58188" spans="104:111">
      <c r="CZ58188" s="256"/>
      <c r="DG58188" s="256"/>
    </row>
    <row r="58189" spans="104:111">
      <c r="CZ58189" s="256"/>
      <c r="DG58189" s="256"/>
    </row>
    <row r="58190" spans="104:111">
      <c r="CZ58190" s="256"/>
      <c r="DG58190" s="256"/>
    </row>
    <row r="58191" spans="104:111">
      <c r="CZ58191" s="256"/>
      <c r="DG58191" s="256"/>
    </row>
    <row r="58192" spans="104:111">
      <c r="CZ58192" s="256"/>
      <c r="DG58192" s="256"/>
    </row>
    <row r="58193" spans="104:111">
      <c r="CZ58193" s="256"/>
      <c r="DG58193" s="256"/>
    </row>
    <row r="58194" spans="104:111">
      <c r="CZ58194" s="256"/>
      <c r="DG58194" s="256"/>
    </row>
    <row r="58195" spans="104:111">
      <c r="CZ58195" s="256"/>
      <c r="DG58195" s="256"/>
    </row>
    <row r="58196" spans="104:111">
      <c r="CZ58196" s="256"/>
      <c r="DG58196" s="256"/>
    </row>
    <row r="58197" spans="104:111">
      <c r="CZ58197" s="256"/>
      <c r="DG58197" s="256"/>
    </row>
    <row r="58198" spans="104:111">
      <c r="CZ58198" s="256"/>
      <c r="DG58198" s="256"/>
    </row>
    <row r="58199" spans="104:111">
      <c r="CZ58199" s="256"/>
      <c r="DG58199" s="256"/>
    </row>
    <row r="58200" spans="104:111">
      <c r="CZ58200" s="256"/>
      <c r="DG58200" s="256"/>
    </row>
    <row r="58201" spans="104:111">
      <c r="CZ58201" s="256"/>
      <c r="DG58201" s="256"/>
    </row>
    <row r="58202" spans="104:111">
      <c r="CZ58202" s="256"/>
      <c r="DG58202" s="256"/>
    </row>
    <row r="58203" spans="104:111">
      <c r="CZ58203" s="256"/>
      <c r="DG58203" s="256"/>
    </row>
    <row r="58204" spans="104:111">
      <c r="CZ58204" s="256"/>
      <c r="DG58204" s="256"/>
    </row>
    <row r="58205" spans="104:111">
      <c r="CZ58205" s="256"/>
      <c r="DG58205" s="256"/>
    </row>
    <row r="58206" spans="104:111">
      <c r="CZ58206" s="256"/>
      <c r="DG58206" s="256"/>
    </row>
    <row r="58207" spans="104:111">
      <c r="CZ58207" s="256"/>
      <c r="DG58207" s="256"/>
    </row>
    <row r="58208" spans="104:111">
      <c r="CZ58208" s="256"/>
      <c r="DG58208" s="256"/>
    </row>
    <row r="58209" spans="104:111">
      <c r="CZ58209" s="256"/>
      <c r="DG58209" s="256"/>
    </row>
    <row r="58210" spans="104:111">
      <c r="CZ58210" s="256"/>
      <c r="DG58210" s="256"/>
    </row>
    <row r="58211" spans="104:111">
      <c r="CZ58211" s="256"/>
      <c r="DG58211" s="256"/>
    </row>
    <row r="58212" spans="104:111">
      <c r="CZ58212" s="256"/>
      <c r="DG58212" s="256"/>
    </row>
    <row r="58213" spans="104:111">
      <c r="CZ58213" s="256"/>
      <c r="DG58213" s="256"/>
    </row>
    <row r="58214" spans="104:111">
      <c r="CZ58214" s="256"/>
      <c r="DG58214" s="256"/>
    </row>
    <row r="58215" spans="104:111">
      <c r="CZ58215" s="256"/>
      <c r="DG58215" s="256"/>
    </row>
    <row r="58216" spans="104:111">
      <c r="CZ58216" s="256"/>
      <c r="DG58216" s="256"/>
    </row>
    <row r="58217" spans="104:111">
      <c r="CZ58217" s="256"/>
      <c r="DG58217" s="256"/>
    </row>
    <row r="58218" spans="104:111">
      <c r="CZ58218" s="256"/>
      <c r="DG58218" s="256"/>
    </row>
    <row r="58219" spans="104:111">
      <c r="CZ58219" s="256"/>
      <c r="DG58219" s="256"/>
    </row>
    <row r="58220" spans="104:111">
      <c r="CZ58220" s="256"/>
      <c r="DG58220" s="256"/>
    </row>
    <row r="58221" spans="104:111">
      <c r="CZ58221" s="256"/>
      <c r="DG58221" s="256"/>
    </row>
    <row r="58222" spans="104:111">
      <c r="CZ58222" s="256"/>
      <c r="DG58222" s="256"/>
    </row>
    <row r="58223" spans="104:111">
      <c r="CZ58223" s="256"/>
      <c r="DG58223" s="256"/>
    </row>
    <row r="58224" spans="104:111">
      <c r="CZ58224" s="256"/>
      <c r="DG58224" s="256"/>
    </row>
    <row r="58225" spans="104:111">
      <c r="CZ58225" s="256"/>
      <c r="DG58225" s="256"/>
    </row>
    <row r="58226" spans="104:111">
      <c r="CZ58226" s="256"/>
      <c r="DG58226" s="256"/>
    </row>
    <row r="58227" spans="104:111">
      <c r="CZ58227" s="256"/>
      <c r="DG58227" s="256"/>
    </row>
    <row r="58228" spans="104:111">
      <c r="CZ58228" s="256"/>
      <c r="DG58228" s="256"/>
    </row>
    <row r="58229" spans="104:111">
      <c r="CZ58229" s="256"/>
      <c r="DG58229" s="256"/>
    </row>
    <row r="58230" spans="104:111">
      <c r="CZ58230" s="256"/>
      <c r="DG58230" s="256"/>
    </row>
    <row r="58231" spans="104:111">
      <c r="CZ58231" s="256"/>
      <c r="DG58231" s="256"/>
    </row>
    <row r="58232" spans="104:111">
      <c r="CZ58232" s="256"/>
      <c r="DG58232" s="256"/>
    </row>
    <row r="58233" spans="104:111">
      <c r="CZ58233" s="256"/>
      <c r="DG58233" s="256"/>
    </row>
    <row r="58234" spans="104:111">
      <c r="CZ58234" s="256"/>
      <c r="DG58234" s="256"/>
    </row>
    <row r="58235" spans="104:111">
      <c r="CZ58235" s="256"/>
      <c r="DG58235" s="256"/>
    </row>
    <row r="58236" spans="104:111">
      <c r="CZ58236" s="256"/>
      <c r="DG58236" s="256"/>
    </row>
    <row r="58237" spans="104:111">
      <c r="CZ58237" s="256"/>
      <c r="DG58237" s="256"/>
    </row>
    <row r="58238" spans="104:111">
      <c r="CZ58238" s="256"/>
      <c r="DG58238" s="256"/>
    </row>
    <row r="58239" spans="104:111">
      <c r="CZ58239" s="256"/>
      <c r="DG58239" s="256"/>
    </row>
    <row r="58240" spans="104:111">
      <c r="CZ58240" s="256"/>
      <c r="DG58240" s="256"/>
    </row>
    <row r="58241" spans="104:111">
      <c r="CZ58241" s="256"/>
      <c r="DG58241" s="256"/>
    </row>
    <row r="58242" spans="104:111">
      <c r="CZ58242" s="256"/>
      <c r="DG58242" s="256"/>
    </row>
    <row r="58243" spans="104:111">
      <c r="CZ58243" s="256"/>
      <c r="DG58243" s="256"/>
    </row>
    <row r="58244" spans="104:111">
      <c r="CZ58244" s="256"/>
      <c r="DG58244" s="256"/>
    </row>
    <row r="58245" spans="104:111">
      <c r="CZ58245" s="256"/>
      <c r="DG58245" s="256"/>
    </row>
    <row r="58246" spans="104:111">
      <c r="CZ58246" s="256"/>
      <c r="DG58246" s="256"/>
    </row>
    <row r="58247" spans="104:111">
      <c r="CZ58247" s="256"/>
      <c r="DG58247" s="256"/>
    </row>
    <row r="58248" spans="104:111">
      <c r="CZ58248" s="256"/>
      <c r="DG58248" s="256"/>
    </row>
    <row r="58249" spans="104:111">
      <c r="CZ58249" s="256"/>
      <c r="DG58249" s="256"/>
    </row>
    <row r="58250" spans="104:111">
      <c r="CZ58250" s="256"/>
      <c r="DG58250" s="256"/>
    </row>
    <row r="58251" spans="104:111">
      <c r="CZ58251" s="256"/>
      <c r="DG58251" s="256"/>
    </row>
    <row r="58252" spans="104:111">
      <c r="CZ58252" s="256"/>
      <c r="DG58252" s="256"/>
    </row>
    <row r="58253" spans="104:111">
      <c r="CZ58253" s="256"/>
      <c r="DG58253" s="256"/>
    </row>
    <row r="58254" spans="104:111">
      <c r="CZ58254" s="256"/>
      <c r="DG58254" s="256"/>
    </row>
    <row r="58255" spans="104:111">
      <c r="CZ58255" s="256"/>
      <c r="DG58255" s="256"/>
    </row>
    <row r="58256" spans="104:111">
      <c r="CZ58256" s="256"/>
      <c r="DG58256" s="256"/>
    </row>
    <row r="58257" spans="104:111">
      <c r="CZ58257" s="256"/>
      <c r="DG58257" s="256"/>
    </row>
    <row r="58258" spans="104:111">
      <c r="CZ58258" s="256"/>
      <c r="DG58258" s="256"/>
    </row>
    <row r="58259" spans="104:111">
      <c r="CZ58259" s="256"/>
      <c r="DG58259" s="256"/>
    </row>
    <row r="58260" spans="104:111">
      <c r="CZ58260" s="256"/>
      <c r="DG58260" s="256"/>
    </row>
    <row r="58261" spans="104:111">
      <c r="CZ58261" s="256"/>
      <c r="DG58261" s="256"/>
    </row>
    <row r="58262" spans="104:111">
      <c r="CZ58262" s="256"/>
      <c r="DG58262" s="256"/>
    </row>
    <row r="58263" spans="104:111">
      <c r="CZ58263" s="256"/>
      <c r="DG58263" s="256"/>
    </row>
    <row r="58264" spans="104:111">
      <c r="CZ58264" s="256"/>
      <c r="DG58264" s="256"/>
    </row>
    <row r="58265" spans="104:111">
      <c r="CZ58265" s="256"/>
      <c r="DG58265" s="256"/>
    </row>
    <row r="58266" spans="104:111">
      <c r="CZ58266" s="256"/>
      <c r="DG58266" s="256"/>
    </row>
    <row r="58267" spans="104:111">
      <c r="CZ58267" s="256"/>
      <c r="DG58267" s="256"/>
    </row>
    <row r="58268" spans="104:111">
      <c r="CZ58268" s="256"/>
      <c r="DG58268" s="256"/>
    </row>
    <row r="58269" spans="104:111">
      <c r="CZ58269" s="256"/>
      <c r="DG58269" s="256"/>
    </row>
    <row r="58270" spans="104:111">
      <c r="CZ58270" s="256"/>
      <c r="DG58270" s="256"/>
    </row>
    <row r="58271" spans="104:111">
      <c r="CZ58271" s="256"/>
      <c r="DG58271" s="256"/>
    </row>
    <row r="58272" spans="104:111">
      <c r="CZ58272" s="256"/>
      <c r="DG58272" s="256"/>
    </row>
    <row r="58273" spans="104:111">
      <c r="CZ58273" s="256"/>
      <c r="DG58273" s="256"/>
    </row>
    <row r="58274" spans="104:111">
      <c r="CZ58274" s="256"/>
      <c r="DG58274" s="256"/>
    </row>
    <row r="58275" spans="104:111">
      <c r="CZ58275" s="256"/>
      <c r="DG58275" s="256"/>
    </row>
    <row r="58276" spans="104:111">
      <c r="CZ58276" s="256"/>
      <c r="DG58276" s="256"/>
    </row>
    <row r="58277" spans="104:111">
      <c r="CZ58277" s="256"/>
      <c r="DG58277" s="256"/>
    </row>
    <row r="58278" spans="104:111">
      <c r="CZ58278" s="256"/>
      <c r="DG58278" s="256"/>
    </row>
    <row r="58279" spans="104:111">
      <c r="CZ58279" s="256"/>
      <c r="DG58279" s="256"/>
    </row>
    <row r="58280" spans="104:111">
      <c r="CZ58280" s="256"/>
      <c r="DG58280" s="256"/>
    </row>
    <row r="58281" spans="104:111">
      <c r="CZ58281" s="256"/>
      <c r="DG58281" s="256"/>
    </row>
    <row r="58282" spans="104:111">
      <c r="CZ58282" s="256"/>
      <c r="DG58282" s="256"/>
    </row>
    <row r="58283" spans="104:111">
      <c r="CZ58283" s="256"/>
      <c r="DG58283" s="256"/>
    </row>
    <row r="58284" spans="104:111">
      <c r="CZ58284" s="256"/>
      <c r="DG58284" s="256"/>
    </row>
    <row r="58285" spans="104:111">
      <c r="CZ58285" s="256"/>
      <c r="DG58285" s="256"/>
    </row>
    <row r="58286" spans="104:111">
      <c r="CZ58286" s="256"/>
      <c r="DG58286" s="256"/>
    </row>
    <row r="58287" spans="104:111">
      <c r="CZ58287" s="256"/>
      <c r="DG58287" s="256"/>
    </row>
    <row r="58288" spans="104:111">
      <c r="CZ58288" s="256"/>
      <c r="DG58288" s="256"/>
    </row>
    <row r="58289" spans="104:111">
      <c r="CZ58289" s="256"/>
      <c r="DG58289" s="256"/>
    </row>
    <row r="58290" spans="104:111">
      <c r="CZ58290" s="256"/>
      <c r="DG58290" s="256"/>
    </row>
    <row r="58291" spans="104:111">
      <c r="CZ58291" s="256"/>
      <c r="DG58291" s="256"/>
    </row>
    <row r="58292" spans="104:111">
      <c r="CZ58292" s="256"/>
      <c r="DG58292" s="256"/>
    </row>
    <row r="58293" spans="104:111">
      <c r="CZ58293" s="256"/>
      <c r="DG58293" s="256"/>
    </row>
    <row r="58294" spans="104:111">
      <c r="CZ58294" s="256"/>
      <c r="DG58294" s="256"/>
    </row>
    <row r="58295" spans="104:111">
      <c r="CZ58295" s="256"/>
      <c r="DG58295" s="256"/>
    </row>
    <row r="58296" spans="104:111">
      <c r="CZ58296" s="256"/>
      <c r="DG58296" s="256"/>
    </row>
    <row r="58297" spans="104:111">
      <c r="CZ58297" s="256"/>
      <c r="DG58297" s="256"/>
    </row>
    <row r="58298" spans="104:111">
      <c r="CZ58298" s="256"/>
      <c r="DG58298" s="256"/>
    </row>
    <row r="58299" spans="104:111">
      <c r="CZ58299" s="256"/>
      <c r="DG58299" s="256"/>
    </row>
    <row r="58300" spans="104:111">
      <c r="CZ58300" s="256"/>
      <c r="DG58300" s="256"/>
    </row>
    <row r="58301" spans="104:111">
      <c r="CZ58301" s="256"/>
      <c r="DG58301" s="256"/>
    </row>
    <row r="58302" spans="104:111">
      <c r="CZ58302" s="256"/>
      <c r="DG58302" s="256"/>
    </row>
    <row r="58303" spans="104:111">
      <c r="CZ58303" s="256"/>
      <c r="DG58303" s="256"/>
    </row>
    <row r="58304" spans="104:111">
      <c r="CZ58304" s="256"/>
      <c r="DG58304" s="256"/>
    </row>
    <row r="58305" spans="104:111">
      <c r="CZ58305" s="256"/>
      <c r="DG58305" s="256"/>
    </row>
    <row r="58306" spans="104:111">
      <c r="CZ58306" s="256"/>
      <c r="DG58306" s="256"/>
    </row>
    <row r="58307" spans="104:111">
      <c r="CZ58307" s="256"/>
      <c r="DG58307" s="256"/>
    </row>
    <row r="58308" spans="104:111">
      <c r="CZ58308" s="256"/>
      <c r="DG58308" s="256"/>
    </row>
    <row r="58309" spans="104:111">
      <c r="CZ58309" s="256"/>
      <c r="DG58309" s="256"/>
    </row>
    <row r="58310" spans="104:111">
      <c r="CZ58310" s="256"/>
      <c r="DG58310" s="256"/>
    </row>
    <row r="58311" spans="104:111">
      <c r="CZ58311" s="256"/>
      <c r="DG58311" s="256"/>
    </row>
    <row r="58312" spans="104:111">
      <c r="CZ58312" s="256"/>
      <c r="DG58312" s="256"/>
    </row>
    <row r="58313" spans="104:111">
      <c r="CZ58313" s="256"/>
      <c r="DG58313" s="256"/>
    </row>
    <row r="58314" spans="104:111">
      <c r="CZ58314" s="256"/>
      <c r="DG58314" s="256"/>
    </row>
    <row r="58315" spans="104:111">
      <c r="CZ58315" s="256"/>
      <c r="DG58315" s="256"/>
    </row>
    <row r="58316" spans="104:111">
      <c r="CZ58316" s="256"/>
      <c r="DG58316" s="256"/>
    </row>
    <row r="58317" spans="104:111">
      <c r="CZ58317" s="256"/>
      <c r="DG58317" s="256"/>
    </row>
    <row r="58318" spans="104:111">
      <c r="CZ58318" s="256"/>
      <c r="DG58318" s="256"/>
    </row>
    <row r="58319" spans="104:111">
      <c r="CZ58319" s="256"/>
      <c r="DG58319" s="256"/>
    </row>
    <row r="58320" spans="104:111">
      <c r="CZ58320" s="256"/>
      <c r="DG58320" s="256"/>
    </row>
    <row r="58321" spans="104:111">
      <c r="CZ58321" s="256"/>
      <c r="DG58321" s="256"/>
    </row>
    <row r="58322" spans="104:111">
      <c r="CZ58322" s="256"/>
      <c r="DG58322" s="256"/>
    </row>
    <row r="58323" spans="104:111">
      <c r="CZ58323" s="256"/>
      <c r="DG58323" s="256"/>
    </row>
    <row r="58324" spans="104:111">
      <c r="CZ58324" s="256"/>
      <c r="DG58324" s="256"/>
    </row>
    <row r="58325" spans="104:111">
      <c r="CZ58325" s="256"/>
      <c r="DG58325" s="256"/>
    </row>
    <row r="58326" spans="104:111">
      <c r="CZ58326" s="256"/>
      <c r="DG58326" s="256"/>
    </row>
    <row r="58327" spans="104:111">
      <c r="CZ58327" s="256"/>
      <c r="DG58327" s="256"/>
    </row>
    <row r="58328" spans="104:111">
      <c r="CZ58328" s="256"/>
      <c r="DG58328" s="256"/>
    </row>
    <row r="58329" spans="104:111">
      <c r="CZ58329" s="256"/>
      <c r="DG58329" s="256"/>
    </row>
    <row r="58330" spans="104:111">
      <c r="CZ58330" s="256"/>
      <c r="DG58330" s="256"/>
    </row>
    <row r="58331" spans="104:111">
      <c r="CZ58331" s="256"/>
      <c r="DG58331" s="256"/>
    </row>
    <row r="58332" spans="104:111">
      <c r="CZ58332" s="256"/>
      <c r="DG58332" s="256"/>
    </row>
    <row r="58333" spans="104:111">
      <c r="CZ58333" s="256"/>
      <c r="DG58333" s="256"/>
    </row>
    <row r="58334" spans="104:111">
      <c r="CZ58334" s="256"/>
      <c r="DG58334" s="256"/>
    </row>
    <row r="58335" spans="104:111">
      <c r="CZ58335" s="256"/>
      <c r="DG58335" s="256"/>
    </row>
    <row r="58336" spans="104:111">
      <c r="CZ58336" s="256"/>
      <c r="DG58336" s="256"/>
    </row>
    <row r="58337" spans="104:111">
      <c r="CZ58337" s="256"/>
      <c r="DG58337" s="256"/>
    </row>
    <row r="58338" spans="104:111">
      <c r="CZ58338" s="256"/>
      <c r="DG58338" s="256"/>
    </row>
    <row r="58339" spans="104:111">
      <c r="CZ58339" s="256"/>
      <c r="DG58339" s="256"/>
    </row>
    <row r="58340" spans="104:111">
      <c r="CZ58340" s="256"/>
      <c r="DG58340" s="256"/>
    </row>
    <row r="58341" spans="104:111">
      <c r="CZ58341" s="256"/>
      <c r="DG58341" s="256"/>
    </row>
    <row r="58342" spans="104:111">
      <c r="CZ58342" s="256"/>
      <c r="DG58342" s="256"/>
    </row>
    <row r="58343" spans="104:111">
      <c r="CZ58343" s="256"/>
      <c r="DG58343" s="256"/>
    </row>
    <row r="58344" spans="104:111">
      <c r="CZ58344" s="256"/>
      <c r="DG58344" s="256"/>
    </row>
    <row r="58345" spans="104:111">
      <c r="CZ58345" s="256"/>
      <c r="DG58345" s="256"/>
    </row>
    <row r="58346" spans="104:111">
      <c r="CZ58346" s="256"/>
      <c r="DG58346" s="256"/>
    </row>
    <row r="58347" spans="104:111">
      <c r="CZ58347" s="256"/>
      <c r="DG58347" s="256"/>
    </row>
    <row r="58348" spans="104:111">
      <c r="CZ58348" s="256"/>
      <c r="DG58348" s="256"/>
    </row>
    <row r="58349" spans="104:111">
      <c r="CZ58349" s="256"/>
      <c r="DG58349" s="256"/>
    </row>
    <row r="58350" spans="104:111">
      <c r="CZ58350" s="256"/>
      <c r="DG58350" s="256"/>
    </row>
    <row r="58351" spans="104:111">
      <c r="CZ58351" s="256"/>
      <c r="DG58351" s="256"/>
    </row>
    <row r="58352" spans="104:111">
      <c r="CZ58352" s="256"/>
      <c r="DG58352" s="256"/>
    </row>
    <row r="58353" spans="104:111">
      <c r="CZ58353" s="256"/>
      <c r="DG58353" s="256"/>
    </row>
    <row r="58354" spans="104:111">
      <c r="CZ58354" s="256"/>
      <c r="DG58354" s="256"/>
    </row>
    <row r="58355" spans="104:111">
      <c r="CZ58355" s="256"/>
      <c r="DG58355" s="256"/>
    </row>
    <row r="58356" spans="104:111">
      <c r="CZ58356" s="256"/>
      <c r="DG58356" s="256"/>
    </row>
    <row r="58357" spans="104:111">
      <c r="CZ58357" s="256"/>
      <c r="DG58357" s="256"/>
    </row>
    <row r="58358" spans="104:111">
      <c r="CZ58358" s="256"/>
      <c r="DG58358" s="256"/>
    </row>
    <row r="58359" spans="104:111">
      <c r="CZ58359" s="256"/>
      <c r="DG58359" s="256"/>
    </row>
    <row r="58360" spans="104:111">
      <c r="CZ58360" s="256"/>
      <c r="DG58360" s="256"/>
    </row>
    <row r="58361" spans="104:111">
      <c r="CZ58361" s="256"/>
      <c r="DG58361" s="256"/>
    </row>
    <row r="58362" spans="104:111">
      <c r="CZ58362" s="256"/>
      <c r="DG58362" s="256"/>
    </row>
    <row r="58363" spans="104:111">
      <c r="CZ58363" s="256"/>
      <c r="DG58363" s="256"/>
    </row>
    <row r="58364" spans="104:111">
      <c r="CZ58364" s="256"/>
      <c r="DG58364" s="256"/>
    </row>
    <row r="58365" spans="104:111">
      <c r="CZ58365" s="256"/>
      <c r="DG58365" s="256"/>
    </row>
    <row r="58366" spans="104:111">
      <c r="CZ58366" s="256"/>
      <c r="DG58366" s="256"/>
    </row>
    <row r="58367" spans="104:111">
      <c r="CZ58367" s="256"/>
      <c r="DG58367" s="256"/>
    </row>
    <row r="58368" spans="104:111">
      <c r="CZ58368" s="256"/>
      <c r="DG58368" s="256"/>
    </row>
    <row r="58369" spans="104:111">
      <c r="CZ58369" s="256"/>
      <c r="DG58369" s="256"/>
    </row>
    <row r="58370" spans="104:111">
      <c r="CZ58370" s="256"/>
      <c r="DG58370" s="256"/>
    </row>
    <row r="58371" spans="104:111">
      <c r="CZ58371" s="256"/>
      <c r="DG58371" s="256"/>
    </row>
    <row r="58372" spans="104:111">
      <c r="CZ58372" s="256"/>
      <c r="DG58372" s="256"/>
    </row>
    <row r="58373" spans="104:111">
      <c r="CZ58373" s="256"/>
      <c r="DG58373" s="256"/>
    </row>
    <row r="58374" spans="104:111">
      <c r="CZ58374" s="256"/>
      <c r="DG58374" s="256"/>
    </row>
    <row r="58375" spans="104:111">
      <c r="CZ58375" s="256"/>
      <c r="DG58375" s="256"/>
    </row>
    <row r="58376" spans="104:111">
      <c r="CZ58376" s="256"/>
      <c r="DG58376" s="256"/>
    </row>
    <row r="58377" spans="104:111">
      <c r="CZ58377" s="256"/>
      <c r="DG58377" s="256"/>
    </row>
    <row r="58378" spans="104:111">
      <c r="CZ58378" s="256"/>
      <c r="DG58378" s="256"/>
    </row>
    <row r="58379" spans="104:111">
      <c r="CZ58379" s="256"/>
      <c r="DG58379" s="256"/>
    </row>
    <row r="58380" spans="104:111">
      <c r="CZ58380" s="256"/>
      <c r="DG58380" s="256"/>
    </row>
    <row r="58381" spans="104:111">
      <c r="CZ58381" s="256"/>
      <c r="DG58381" s="256"/>
    </row>
    <row r="58382" spans="104:111">
      <c r="CZ58382" s="256"/>
      <c r="DG58382" s="256"/>
    </row>
    <row r="58383" spans="104:111">
      <c r="CZ58383" s="256"/>
      <c r="DG58383" s="256"/>
    </row>
    <row r="58384" spans="104:111">
      <c r="CZ58384" s="256"/>
      <c r="DG58384" s="256"/>
    </row>
    <row r="58385" spans="104:111">
      <c r="CZ58385" s="256"/>
      <c r="DG58385" s="256"/>
    </row>
    <row r="58386" spans="104:111">
      <c r="CZ58386" s="256"/>
      <c r="DG58386" s="256"/>
    </row>
    <row r="58387" spans="104:111">
      <c r="CZ58387" s="256"/>
      <c r="DG58387" s="256"/>
    </row>
    <row r="58388" spans="104:111">
      <c r="CZ58388" s="256"/>
      <c r="DG58388" s="256"/>
    </row>
    <row r="58389" spans="104:111">
      <c r="CZ58389" s="256"/>
      <c r="DG58389" s="256"/>
    </row>
    <row r="58390" spans="104:111">
      <c r="CZ58390" s="256"/>
      <c r="DG58390" s="256"/>
    </row>
    <row r="58391" spans="104:111">
      <c r="CZ58391" s="256"/>
      <c r="DG58391" s="256"/>
    </row>
    <row r="58392" spans="104:111">
      <c r="CZ58392" s="256"/>
      <c r="DG58392" s="256"/>
    </row>
    <row r="58393" spans="104:111">
      <c r="CZ58393" s="256"/>
      <c r="DG58393" s="256"/>
    </row>
    <row r="58394" spans="104:111">
      <c r="CZ58394" s="256"/>
      <c r="DG58394" s="256"/>
    </row>
    <row r="58395" spans="104:111">
      <c r="CZ58395" s="256"/>
      <c r="DG58395" s="256"/>
    </row>
    <row r="58396" spans="104:111">
      <c r="CZ58396" s="256"/>
      <c r="DG58396" s="256"/>
    </row>
    <row r="58397" spans="104:111">
      <c r="CZ58397" s="256"/>
      <c r="DG58397" s="256"/>
    </row>
    <row r="58398" spans="104:111">
      <c r="CZ58398" s="256"/>
      <c r="DG58398" s="256"/>
    </row>
    <row r="58399" spans="104:111">
      <c r="CZ58399" s="256"/>
      <c r="DG58399" s="256"/>
    </row>
    <row r="58400" spans="104:111">
      <c r="CZ58400" s="256"/>
      <c r="DG58400" s="256"/>
    </row>
    <row r="58401" spans="104:111">
      <c r="CZ58401" s="256"/>
      <c r="DG58401" s="256"/>
    </row>
    <row r="58402" spans="104:111">
      <c r="CZ58402" s="256"/>
      <c r="DG58402" s="256"/>
    </row>
    <row r="58403" spans="104:111">
      <c r="CZ58403" s="256"/>
      <c r="DG58403" s="256"/>
    </row>
    <row r="58404" spans="104:111">
      <c r="CZ58404" s="256"/>
      <c r="DG58404" s="256"/>
    </row>
    <row r="58405" spans="104:111">
      <c r="CZ58405" s="256"/>
      <c r="DG58405" s="256"/>
    </row>
    <row r="58406" spans="104:111">
      <c r="CZ58406" s="256"/>
      <c r="DG58406" s="256"/>
    </row>
    <row r="58407" spans="104:111">
      <c r="CZ58407" s="256"/>
      <c r="DG58407" s="256"/>
    </row>
    <row r="58408" spans="104:111">
      <c r="CZ58408" s="256"/>
      <c r="DG58408" s="256"/>
    </row>
    <row r="58409" spans="104:111">
      <c r="CZ58409" s="256"/>
      <c r="DG58409" s="256"/>
    </row>
    <row r="58410" spans="104:111">
      <c r="CZ58410" s="256"/>
      <c r="DG58410" s="256"/>
    </row>
    <row r="58411" spans="104:111">
      <c r="CZ58411" s="256"/>
      <c r="DG58411" s="256"/>
    </row>
    <row r="58412" spans="104:111">
      <c r="CZ58412" s="256"/>
      <c r="DG58412" s="256"/>
    </row>
    <row r="58413" spans="104:111">
      <c r="CZ58413" s="256"/>
      <c r="DG58413" s="256"/>
    </row>
    <row r="58414" spans="104:111">
      <c r="CZ58414" s="256"/>
      <c r="DG58414" s="256"/>
    </row>
    <row r="58415" spans="104:111">
      <c r="CZ58415" s="256"/>
      <c r="DG58415" s="256"/>
    </row>
    <row r="58416" spans="104:111">
      <c r="CZ58416" s="256"/>
      <c r="DG58416" s="256"/>
    </row>
    <row r="58417" spans="104:111">
      <c r="CZ58417" s="256"/>
      <c r="DG58417" s="256"/>
    </row>
    <row r="58418" spans="104:111">
      <c r="CZ58418" s="256"/>
      <c r="DG58418" s="256"/>
    </row>
    <row r="58419" spans="104:111">
      <c r="CZ58419" s="256"/>
      <c r="DG58419" s="256"/>
    </row>
    <row r="58420" spans="104:111">
      <c r="CZ58420" s="256"/>
      <c r="DG58420" s="256"/>
    </row>
    <row r="58421" spans="104:111">
      <c r="CZ58421" s="256"/>
      <c r="DG58421" s="256"/>
    </row>
    <row r="58422" spans="104:111">
      <c r="CZ58422" s="256"/>
      <c r="DG58422" s="256"/>
    </row>
    <row r="58423" spans="104:111">
      <c r="CZ58423" s="256"/>
      <c r="DG58423" s="256"/>
    </row>
    <row r="58424" spans="104:111">
      <c r="CZ58424" s="256"/>
      <c r="DG58424" s="256"/>
    </row>
    <row r="58425" spans="104:111">
      <c r="CZ58425" s="256"/>
      <c r="DG58425" s="256"/>
    </row>
    <row r="58426" spans="104:111">
      <c r="CZ58426" s="256"/>
      <c r="DG58426" s="256"/>
    </row>
    <row r="58427" spans="104:111">
      <c r="CZ58427" s="256"/>
      <c r="DG58427" s="256"/>
    </row>
    <row r="58428" spans="104:111">
      <c r="CZ58428" s="256"/>
      <c r="DG58428" s="256"/>
    </row>
    <row r="58429" spans="104:111">
      <c r="CZ58429" s="256"/>
      <c r="DG58429" s="256"/>
    </row>
    <row r="58430" spans="104:111">
      <c r="CZ58430" s="256"/>
      <c r="DG58430" s="256"/>
    </row>
    <row r="58431" spans="104:111">
      <c r="CZ58431" s="256"/>
      <c r="DG58431" s="256"/>
    </row>
    <row r="58432" spans="104:111">
      <c r="CZ58432" s="256"/>
      <c r="DG58432" s="256"/>
    </row>
    <row r="58433" spans="104:111">
      <c r="CZ58433" s="256"/>
      <c r="DG58433" s="256"/>
    </row>
    <row r="58434" spans="104:111">
      <c r="CZ58434" s="256"/>
      <c r="DG58434" s="256"/>
    </row>
    <row r="58435" spans="104:111">
      <c r="CZ58435" s="256"/>
      <c r="DG58435" s="256"/>
    </row>
    <row r="58436" spans="104:111">
      <c r="CZ58436" s="256"/>
      <c r="DG58436" s="256"/>
    </row>
    <row r="58437" spans="104:111">
      <c r="CZ58437" s="256"/>
      <c r="DG58437" s="256"/>
    </row>
    <row r="58438" spans="104:111">
      <c r="CZ58438" s="256"/>
      <c r="DG58438" s="256"/>
    </row>
    <row r="58439" spans="104:111">
      <c r="CZ58439" s="256"/>
      <c r="DG58439" s="256"/>
    </row>
    <row r="58440" spans="104:111">
      <c r="CZ58440" s="256"/>
      <c r="DG58440" s="256"/>
    </row>
    <row r="58441" spans="104:111">
      <c r="CZ58441" s="256"/>
      <c r="DG58441" s="256"/>
    </row>
    <row r="58442" spans="104:111">
      <c r="CZ58442" s="256"/>
      <c r="DG58442" s="256"/>
    </row>
    <row r="58443" spans="104:111">
      <c r="CZ58443" s="256"/>
      <c r="DG58443" s="256"/>
    </row>
    <row r="58444" spans="104:111">
      <c r="CZ58444" s="256"/>
      <c r="DG58444" s="256"/>
    </row>
    <row r="58445" spans="104:111">
      <c r="CZ58445" s="256"/>
      <c r="DG58445" s="256"/>
    </row>
    <row r="58446" spans="104:111">
      <c r="CZ58446" s="256"/>
      <c r="DG58446" s="256"/>
    </row>
    <row r="58447" spans="104:111">
      <c r="CZ58447" s="256"/>
      <c r="DG58447" s="256"/>
    </row>
    <row r="58448" spans="104:111">
      <c r="CZ58448" s="256"/>
      <c r="DG58448" s="256"/>
    </row>
    <row r="58449" spans="104:111">
      <c r="CZ58449" s="256"/>
      <c r="DG58449" s="256"/>
    </row>
    <row r="58450" spans="104:111">
      <c r="CZ58450" s="256"/>
      <c r="DG58450" s="256"/>
    </row>
    <row r="58451" spans="104:111">
      <c r="CZ58451" s="256"/>
      <c r="DG58451" s="256"/>
    </row>
    <row r="58452" spans="104:111">
      <c r="CZ58452" s="256"/>
      <c r="DG58452" s="256"/>
    </row>
    <row r="58453" spans="104:111">
      <c r="CZ58453" s="256"/>
      <c r="DG58453" s="256"/>
    </row>
    <row r="58454" spans="104:111">
      <c r="CZ58454" s="256"/>
      <c r="DG58454" s="256"/>
    </row>
    <row r="58455" spans="104:111">
      <c r="CZ58455" s="256"/>
      <c r="DG58455" s="256"/>
    </row>
    <row r="58456" spans="104:111">
      <c r="CZ58456" s="256"/>
      <c r="DG58456" s="256"/>
    </row>
    <row r="58457" spans="104:111">
      <c r="CZ58457" s="256"/>
      <c r="DG58457" s="256"/>
    </row>
    <row r="58458" spans="104:111">
      <c r="CZ58458" s="256"/>
      <c r="DG58458" s="256"/>
    </row>
    <row r="58459" spans="104:111">
      <c r="CZ58459" s="256"/>
      <c r="DG58459" s="256"/>
    </row>
    <row r="58460" spans="104:111">
      <c r="CZ58460" s="256"/>
      <c r="DG58460" s="256"/>
    </row>
    <row r="58461" spans="104:111">
      <c r="CZ58461" s="256"/>
      <c r="DG58461" s="256"/>
    </row>
    <row r="58462" spans="104:111">
      <c r="CZ58462" s="256"/>
      <c r="DG58462" s="256"/>
    </row>
    <row r="58463" spans="104:111">
      <c r="CZ58463" s="256"/>
      <c r="DG58463" s="256"/>
    </row>
    <row r="58464" spans="104:111">
      <c r="CZ58464" s="256"/>
      <c r="DG58464" s="256"/>
    </row>
    <row r="58465" spans="104:111">
      <c r="CZ58465" s="256"/>
      <c r="DG58465" s="256"/>
    </row>
    <row r="58466" spans="104:111">
      <c r="CZ58466" s="256"/>
      <c r="DG58466" s="256"/>
    </row>
    <row r="58467" spans="104:111">
      <c r="CZ58467" s="256"/>
      <c r="DG58467" s="256"/>
    </row>
    <row r="58468" spans="104:111">
      <c r="CZ58468" s="256"/>
      <c r="DG58468" s="256"/>
    </row>
    <row r="58469" spans="104:111">
      <c r="CZ58469" s="256"/>
      <c r="DG58469" s="256"/>
    </row>
    <row r="58470" spans="104:111">
      <c r="CZ58470" s="256"/>
      <c r="DG58470" s="256"/>
    </row>
    <row r="58471" spans="104:111">
      <c r="CZ58471" s="256"/>
      <c r="DG58471" s="256"/>
    </row>
    <row r="58472" spans="104:111">
      <c r="CZ58472" s="256"/>
      <c r="DG58472" s="256"/>
    </row>
    <row r="58473" spans="104:111">
      <c r="CZ58473" s="256"/>
      <c r="DG58473" s="256"/>
    </row>
    <row r="58474" spans="104:111">
      <c r="CZ58474" s="256"/>
      <c r="DG58474" s="256"/>
    </row>
    <row r="58475" spans="104:111">
      <c r="CZ58475" s="256"/>
      <c r="DG58475" s="256"/>
    </row>
    <row r="58476" spans="104:111">
      <c r="CZ58476" s="256"/>
      <c r="DG58476" s="256"/>
    </row>
    <row r="58477" spans="104:111">
      <c r="CZ58477" s="256"/>
      <c r="DG58477" s="256"/>
    </row>
    <row r="58478" spans="104:111">
      <c r="CZ58478" s="256"/>
      <c r="DG58478" s="256"/>
    </row>
    <row r="58479" spans="104:111">
      <c r="CZ58479" s="256"/>
      <c r="DG58479" s="256"/>
    </row>
    <row r="58480" spans="104:111">
      <c r="CZ58480" s="256"/>
      <c r="DG58480" s="256"/>
    </row>
    <row r="58481" spans="104:111">
      <c r="CZ58481" s="256"/>
      <c r="DG58481" s="256"/>
    </row>
    <row r="58482" spans="104:111">
      <c r="CZ58482" s="256"/>
      <c r="DG58482" s="256"/>
    </row>
    <row r="58483" spans="104:111">
      <c r="CZ58483" s="256"/>
      <c r="DG58483" s="256"/>
    </row>
    <row r="58484" spans="104:111">
      <c r="CZ58484" s="256"/>
      <c r="DG58484" s="256"/>
    </row>
    <row r="58485" spans="104:111">
      <c r="CZ58485" s="256"/>
      <c r="DG58485" s="256"/>
    </row>
    <row r="58486" spans="104:111">
      <c r="CZ58486" s="256"/>
      <c r="DG58486" s="256"/>
    </row>
    <row r="58487" spans="104:111">
      <c r="CZ58487" s="256"/>
      <c r="DG58487" s="256"/>
    </row>
    <row r="58488" spans="104:111">
      <c r="CZ58488" s="256"/>
      <c r="DG58488" s="256"/>
    </row>
    <row r="58489" spans="104:111">
      <c r="CZ58489" s="256"/>
      <c r="DG58489" s="256"/>
    </row>
    <row r="58490" spans="104:111">
      <c r="CZ58490" s="256"/>
      <c r="DG58490" s="256"/>
    </row>
    <row r="58491" spans="104:111">
      <c r="CZ58491" s="256"/>
      <c r="DG58491" s="256"/>
    </row>
    <row r="58492" spans="104:111">
      <c r="CZ58492" s="256"/>
      <c r="DG58492" s="256"/>
    </row>
    <row r="58493" spans="104:111">
      <c r="CZ58493" s="256"/>
      <c r="DG58493" s="256"/>
    </row>
    <row r="58494" spans="104:111">
      <c r="CZ58494" s="256"/>
      <c r="DG58494" s="256"/>
    </row>
    <row r="58495" spans="104:111">
      <c r="CZ58495" s="256"/>
      <c r="DG58495" s="256"/>
    </row>
    <row r="58496" spans="104:111">
      <c r="CZ58496" s="256"/>
      <c r="DG58496" s="256"/>
    </row>
    <row r="58497" spans="104:111">
      <c r="CZ58497" s="256"/>
      <c r="DG58497" s="256"/>
    </row>
    <row r="58498" spans="104:111">
      <c r="CZ58498" s="256"/>
      <c r="DG58498" s="256"/>
    </row>
    <row r="58499" spans="104:111">
      <c r="CZ58499" s="256"/>
      <c r="DG58499" s="256"/>
    </row>
    <row r="58500" spans="104:111">
      <c r="CZ58500" s="256"/>
      <c r="DG58500" s="256"/>
    </row>
    <row r="58501" spans="104:111">
      <c r="CZ58501" s="256"/>
      <c r="DG58501" s="256"/>
    </row>
    <row r="58502" spans="104:111">
      <c r="CZ58502" s="256"/>
      <c r="DG58502" s="256"/>
    </row>
    <row r="58503" spans="104:111">
      <c r="CZ58503" s="256"/>
      <c r="DG58503" s="256"/>
    </row>
    <row r="58504" spans="104:111">
      <c r="CZ58504" s="256"/>
      <c r="DG58504" s="256"/>
    </row>
    <row r="58505" spans="104:111">
      <c r="CZ58505" s="256"/>
      <c r="DG58505" s="256"/>
    </row>
    <row r="58506" spans="104:111">
      <c r="CZ58506" s="256"/>
      <c r="DG58506" s="256"/>
    </row>
    <row r="58507" spans="104:111">
      <c r="CZ58507" s="256"/>
      <c r="DG58507" s="256"/>
    </row>
    <row r="58508" spans="104:111">
      <c r="CZ58508" s="256"/>
      <c r="DG58508" s="256"/>
    </row>
    <row r="58509" spans="104:111">
      <c r="CZ58509" s="256"/>
      <c r="DG58509" s="256"/>
    </row>
    <row r="58510" spans="104:111">
      <c r="CZ58510" s="256"/>
      <c r="DG58510" s="256"/>
    </row>
    <row r="58511" spans="104:111">
      <c r="CZ58511" s="256"/>
      <c r="DG58511" s="256"/>
    </row>
    <row r="58512" spans="104:111">
      <c r="CZ58512" s="256"/>
      <c r="DG58512" s="256"/>
    </row>
    <row r="58513" spans="104:111">
      <c r="CZ58513" s="256"/>
      <c r="DG58513" s="256"/>
    </row>
    <row r="58514" spans="104:111">
      <c r="CZ58514" s="256"/>
      <c r="DG58514" s="256"/>
    </row>
    <row r="58515" spans="104:111">
      <c r="CZ58515" s="256"/>
      <c r="DG58515" s="256"/>
    </row>
    <row r="58516" spans="104:111">
      <c r="CZ58516" s="256"/>
      <c r="DG58516" s="256"/>
    </row>
    <row r="58517" spans="104:111">
      <c r="CZ58517" s="256"/>
      <c r="DG58517" s="256"/>
    </row>
    <row r="58518" spans="104:111">
      <c r="CZ58518" s="256"/>
      <c r="DG58518" s="256"/>
    </row>
    <row r="58519" spans="104:111">
      <c r="CZ58519" s="256"/>
      <c r="DG58519" s="256"/>
    </row>
    <row r="58520" spans="104:111">
      <c r="CZ58520" s="256"/>
      <c r="DG58520" s="256"/>
    </row>
    <row r="58521" spans="104:111">
      <c r="CZ58521" s="256"/>
      <c r="DG58521" s="256"/>
    </row>
    <row r="58522" spans="104:111">
      <c r="CZ58522" s="256"/>
      <c r="DG58522" s="256"/>
    </row>
    <row r="58523" spans="104:111">
      <c r="CZ58523" s="256"/>
      <c r="DG58523" s="256"/>
    </row>
    <row r="58524" spans="104:111">
      <c r="CZ58524" s="256"/>
      <c r="DG58524" s="256"/>
    </row>
    <row r="58525" spans="104:111">
      <c r="CZ58525" s="256"/>
      <c r="DG58525" s="256"/>
    </row>
    <row r="58526" spans="104:111">
      <c r="CZ58526" s="256"/>
      <c r="DG58526" s="256"/>
    </row>
    <row r="58527" spans="104:111">
      <c r="CZ58527" s="256"/>
      <c r="DG58527" s="256"/>
    </row>
    <row r="58528" spans="104:111">
      <c r="CZ58528" s="256"/>
      <c r="DG58528" s="256"/>
    </row>
    <row r="58529" spans="104:111">
      <c r="CZ58529" s="256"/>
      <c r="DG58529" s="256"/>
    </row>
    <row r="58530" spans="104:111">
      <c r="CZ58530" s="256"/>
      <c r="DG58530" s="256"/>
    </row>
    <row r="58531" spans="104:111">
      <c r="CZ58531" s="256"/>
      <c r="DG58531" s="256"/>
    </row>
    <row r="58532" spans="104:111">
      <c r="CZ58532" s="256"/>
      <c r="DG58532" s="256"/>
    </row>
    <row r="58533" spans="104:111">
      <c r="CZ58533" s="256"/>
      <c r="DG58533" s="256"/>
    </row>
    <row r="58534" spans="104:111">
      <c r="CZ58534" s="256"/>
      <c r="DG58534" s="256"/>
    </row>
    <row r="58535" spans="104:111">
      <c r="CZ58535" s="256"/>
      <c r="DG58535" s="256"/>
    </row>
    <row r="58536" spans="104:111">
      <c r="CZ58536" s="256"/>
      <c r="DG58536" s="256"/>
    </row>
    <row r="58537" spans="104:111">
      <c r="CZ58537" s="256"/>
      <c r="DG58537" s="256"/>
    </row>
    <row r="58538" spans="104:111">
      <c r="CZ58538" s="256"/>
      <c r="DG58538" s="256"/>
    </row>
    <row r="58539" spans="104:111">
      <c r="CZ58539" s="256"/>
      <c r="DG58539" s="256"/>
    </row>
    <row r="58540" spans="104:111">
      <c r="CZ58540" s="256"/>
      <c r="DG58540" s="256"/>
    </row>
    <row r="58541" spans="104:111">
      <c r="CZ58541" s="256"/>
      <c r="DG58541" s="256"/>
    </row>
    <row r="58542" spans="104:111">
      <c r="CZ58542" s="256"/>
      <c r="DG58542" s="256"/>
    </row>
    <row r="58543" spans="104:111">
      <c r="CZ58543" s="256"/>
      <c r="DG58543" s="256"/>
    </row>
    <row r="58544" spans="104:111">
      <c r="CZ58544" s="256"/>
      <c r="DG58544" s="256"/>
    </row>
    <row r="58545" spans="104:111">
      <c r="CZ58545" s="256"/>
      <c r="DG58545" s="256"/>
    </row>
    <row r="58546" spans="104:111">
      <c r="CZ58546" s="256"/>
      <c r="DG58546" s="256"/>
    </row>
    <row r="58547" spans="104:111">
      <c r="CZ58547" s="256"/>
      <c r="DG58547" s="256"/>
    </row>
    <row r="58548" spans="104:111">
      <c r="CZ58548" s="256"/>
      <c r="DG58548" s="256"/>
    </row>
    <row r="58549" spans="104:111">
      <c r="CZ58549" s="256"/>
      <c r="DG58549" s="256"/>
    </row>
    <row r="58550" spans="104:111">
      <c r="CZ58550" s="256"/>
      <c r="DG58550" s="256"/>
    </row>
    <row r="58551" spans="104:111">
      <c r="CZ58551" s="256"/>
      <c r="DG58551" s="256"/>
    </row>
    <row r="58552" spans="104:111">
      <c r="CZ58552" s="256"/>
      <c r="DG58552" s="256"/>
    </row>
    <row r="58553" spans="104:111">
      <c r="CZ58553" s="256"/>
      <c r="DG58553" s="256"/>
    </row>
    <row r="58554" spans="104:111">
      <c r="CZ58554" s="256"/>
      <c r="DG58554" s="256"/>
    </row>
    <row r="58555" spans="104:111">
      <c r="CZ58555" s="256"/>
      <c r="DG58555" s="256"/>
    </row>
    <row r="58556" spans="104:111">
      <c r="CZ58556" s="256"/>
      <c r="DG58556" s="256"/>
    </row>
    <row r="58557" spans="104:111">
      <c r="CZ58557" s="256"/>
      <c r="DG58557" s="256"/>
    </row>
    <row r="58558" spans="104:111">
      <c r="CZ58558" s="256"/>
      <c r="DG58558" s="256"/>
    </row>
    <row r="58559" spans="104:111">
      <c r="CZ58559" s="256"/>
      <c r="DG58559" s="256"/>
    </row>
    <row r="58560" spans="104:111">
      <c r="CZ58560" s="256"/>
      <c r="DG58560" s="256"/>
    </row>
    <row r="58561" spans="104:111">
      <c r="CZ58561" s="256"/>
      <c r="DG58561" s="256"/>
    </row>
    <row r="58562" spans="104:111">
      <c r="CZ58562" s="256"/>
      <c r="DG58562" s="256"/>
    </row>
    <row r="58563" spans="104:111">
      <c r="CZ58563" s="256"/>
      <c r="DG58563" s="256"/>
    </row>
    <row r="58564" spans="104:111">
      <c r="CZ58564" s="256"/>
      <c r="DG58564" s="256"/>
    </row>
    <row r="58565" spans="104:111">
      <c r="CZ58565" s="256"/>
      <c r="DG58565" s="256"/>
    </row>
    <row r="58566" spans="104:111">
      <c r="CZ58566" s="256"/>
      <c r="DG58566" s="256"/>
    </row>
    <row r="58567" spans="104:111">
      <c r="CZ58567" s="256"/>
      <c r="DG58567" s="256"/>
    </row>
    <row r="58568" spans="104:111">
      <c r="CZ58568" s="256"/>
      <c r="DG58568" s="256"/>
    </row>
    <row r="58569" spans="104:111">
      <c r="CZ58569" s="256"/>
      <c r="DG58569" s="256"/>
    </row>
    <row r="58570" spans="104:111">
      <c r="CZ58570" s="256"/>
      <c r="DG58570" s="256"/>
    </row>
    <row r="58571" spans="104:111">
      <c r="CZ58571" s="256"/>
      <c r="DG58571" s="256"/>
    </row>
    <row r="58572" spans="104:111">
      <c r="CZ58572" s="256"/>
      <c r="DG58572" s="256"/>
    </row>
    <row r="58573" spans="104:111">
      <c r="CZ58573" s="256"/>
      <c r="DG58573" s="256"/>
    </row>
    <row r="58574" spans="104:111">
      <c r="CZ58574" s="256"/>
      <c r="DG58574" s="256"/>
    </row>
    <row r="58575" spans="104:111">
      <c r="CZ58575" s="256"/>
      <c r="DG58575" s="256"/>
    </row>
    <row r="58576" spans="104:111">
      <c r="CZ58576" s="256"/>
      <c r="DG58576" s="256"/>
    </row>
    <row r="58577" spans="104:111">
      <c r="CZ58577" s="256"/>
      <c r="DG58577" s="256"/>
    </row>
    <row r="58578" spans="104:111">
      <c r="CZ58578" s="256"/>
      <c r="DG58578" s="256"/>
    </row>
    <row r="58579" spans="104:111">
      <c r="CZ58579" s="256"/>
      <c r="DG58579" s="256"/>
    </row>
    <row r="58580" spans="104:111">
      <c r="CZ58580" s="256"/>
      <c r="DG58580" s="256"/>
    </row>
    <row r="58581" spans="104:111">
      <c r="CZ58581" s="256"/>
      <c r="DG58581" s="256"/>
    </row>
    <row r="58582" spans="104:111">
      <c r="CZ58582" s="256"/>
      <c r="DG58582" s="256"/>
    </row>
    <row r="58583" spans="104:111">
      <c r="CZ58583" s="256"/>
      <c r="DG58583" s="256"/>
    </row>
    <row r="58584" spans="104:111">
      <c r="CZ58584" s="256"/>
      <c r="DG58584" s="256"/>
    </row>
    <row r="58585" spans="104:111">
      <c r="CZ58585" s="256"/>
      <c r="DG58585" s="256"/>
    </row>
    <row r="58586" spans="104:111">
      <c r="CZ58586" s="256"/>
      <c r="DG58586" s="256"/>
    </row>
    <row r="58587" spans="104:111">
      <c r="CZ58587" s="256"/>
      <c r="DG58587" s="256"/>
    </row>
    <row r="58588" spans="104:111">
      <c r="CZ58588" s="256"/>
      <c r="DG58588" s="256"/>
    </row>
    <row r="58589" spans="104:111">
      <c r="CZ58589" s="256"/>
      <c r="DG58589" s="256"/>
    </row>
    <row r="58590" spans="104:111">
      <c r="CZ58590" s="256"/>
      <c r="DG58590" s="256"/>
    </row>
    <row r="58591" spans="104:111">
      <c r="CZ58591" s="256"/>
      <c r="DG58591" s="256"/>
    </row>
    <row r="58592" spans="104:111">
      <c r="CZ58592" s="256"/>
      <c r="DG58592" s="256"/>
    </row>
    <row r="58593" spans="104:111">
      <c r="CZ58593" s="256"/>
      <c r="DG58593" s="256"/>
    </row>
    <row r="58594" spans="104:111">
      <c r="CZ58594" s="256"/>
      <c r="DG58594" s="256"/>
    </row>
    <row r="58595" spans="104:111">
      <c r="CZ58595" s="256"/>
      <c r="DG58595" s="256"/>
    </row>
    <row r="58596" spans="104:111">
      <c r="CZ58596" s="256"/>
      <c r="DG58596" s="256"/>
    </row>
    <row r="58597" spans="104:111">
      <c r="CZ58597" s="256"/>
      <c r="DG58597" s="256"/>
    </row>
    <row r="58598" spans="104:111">
      <c r="CZ58598" s="256"/>
      <c r="DG58598" s="256"/>
    </row>
    <row r="58599" spans="104:111">
      <c r="CZ58599" s="256"/>
      <c r="DG58599" s="256"/>
    </row>
    <row r="58600" spans="104:111">
      <c r="CZ58600" s="256"/>
      <c r="DG58600" s="256"/>
    </row>
    <row r="58601" spans="104:111">
      <c r="CZ58601" s="256"/>
      <c r="DG58601" s="256"/>
    </row>
    <row r="58602" spans="104:111">
      <c r="CZ58602" s="256"/>
      <c r="DG58602" s="256"/>
    </row>
    <row r="58603" spans="104:111">
      <c r="CZ58603" s="256"/>
      <c r="DG58603" s="256"/>
    </row>
    <row r="58604" spans="104:111">
      <c r="CZ58604" s="256"/>
      <c r="DG58604" s="256"/>
    </row>
    <row r="58605" spans="104:111">
      <c r="CZ58605" s="256"/>
      <c r="DG58605" s="256"/>
    </row>
    <row r="58606" spans="104:111">
      <c r="CZ58606" s="256"/>
      <c r="DG58606" s="256"/>
    </row>
    <row r="58607" spans="104:111">
      <c r="CZ58607" s="256"/>
      <c r="DG58607" s="256"/>
    </row>
    <row r="58608" spans="104:111">
      <c r="CZ58608" s="256"/>
      <c r="DG58608" s="256"/>
    </row>
    <row r="58609" spans="104:111">
      <c r="CZ58609" s="256"/>
      <c r="DG58609" s="256"/>
    </row>
    <row r="58610" spans="104:111">
      <c r="CZ58610" s="256"/>
      <c r="DG58610" s="256"/>
    </row>
    <row r="58611" spans="104:111">
      <c r="CZ58611" s="256"/>
      <c r="DG58611" s="256"/>
    </row>
    <row r="58612" spans="104:111">
      <c r="CZ58612" s="256"/>
      <c r="DG58612" s="256"/>
    </row>
    <row r="58613" spans="104:111">
      <c r="CZ58613" s="256"/>
      <c r="DG58613" s="256"/>
    </row>
    <row r="58614" spans="104:111">
      <c r="CZ58614" s="256"/>
      <c r="DG58614" s="256"/>
    </row>
    <row r="58615" spans="104:111">
      <c r="CZ58615" s="256"/>
      <c r="DG58615" s="256"/>
    </row>
    <row r="58616" spans="104:111">
      <c r="CZ58616" s="256"/>
      <c r="DG58616" s="256"/>
    </row>
    <row r="58617" spans="104:111">
      <c r="CZ58617" s="256"/>
      <c r="DG58617" s="256"/>
    </row>
    <row r="58618" spans="104:111">
      <c r="CZ58618" s="256"/>
      <c r="DG58618" s="256"/>
    </row>
    <row r="58619" spans="104:111">
      <c r="CZ58619" s="256"/>
      <c r="DG58619" s="256"/>
    </row>
    <row r="58620" spans="104:111">
      <c r="CZ58620" s="256"/>
      <c r="DG58620" s="256"/>
    </row>
    <row r="58621" spans="104:111">
      <c r="CZ58621" s="256"/>
      <c r="DG58621" s="256"/>
    </row>
    <row r="58622" spans="104:111">
      <c r="CZ58622" s="256"/>
      <c r="DG58622" s="256"/>
    </row>
    <row r="58623" spans="104:111">
      <c r="CZ58623" s="256"/>
      <c r="DG58623" s="256"/>
    </row>
    <row r="58624" spans="104:111">
      <c r="CZ58624" s="256"/>
      <c r="DG58624" s="256"/>
    </row>
    <row r="58625" spans="104:111">
      <c r="CZ58625" s="256"/>
      <c r="DG58625" s="256"/>
    </row>
    <row r="58626" spans="104:111">
      <c r="CZ58626" s="256"/>
      <c r="DG58626" s="256"/>
    </row>
    <row r="58627" spans="104:111">
      <c r="CZ58627" s="256"/>
      <c r="DG58627" s="256"/>
    </row>
    <row r="58628" spans="104:111">
      <c r="CZ58628" s="256"/>
      <c r="DG58628" s="256"/>
    </row>
    <row r="58629" spans="104:111">
      <c r="CZ58629" s="256"/>
      <c r="DG58629" s="256"/>
    </row>
    <row r="58630" spans="104:111">
      <c r="CZ58630" s="256"/>
      <c r="DG58630" s="256"/>
    </row>
    <row r="58631" spans="104:111">
      <c r="CZ58631" s="256"/>
      <c r="DG58631" s="256"/>
    </row>
    <row r="58632" spans="104:111">
      <c r="CZ58632" s="256"/>
      <c r="DG58632" s="256"/>
    </row>
    <row r="58633" spans="104:111">
      <c r="CZ58633" s="256"/>
      <c r="DG58633" s="256"/>
    </row>
    <row r="58634" spans="104:111">
      <c r="CZ58634" s="256"/>
      <c r="DG58634" s="256"/>
    </row>
    <row r="58635" spans="104:111">
      <c r="CZ58635" s="256"/>
      <c r="DG58635" s="256"/>
    </row>
    <row r="58636" spans="104:111">
      <c r="CZ58636" s="256"/>
      <c r="DG58636" s="256"/>
    </row>
    <row r="58637" spans="104:111">
      <c r="CZ58637" s="256"/>
      <c r="DG58637" s="256"/>
    </row>
    <row r="58638" spans="104:111">
      <c r="CZ58638" s="256"/>
      <c r="DG58638" s="256"/>
    </row>
    <row r="58639" spans="104:111">
      <c r="CZ58639" s="256"/>
      <c r="DG58639" s="256"/>
    </row>
    <row r="58640" spans="104:111">
      <c r="CZ58640" s="256"/>
      <c r="DG58640" s="256"/>
    </row>
    <row r="58641" spans="104:111">
      <c r="CZ58641" s="256"/>
      <c r="DG58641" s="256"/>
    </row>
    <row r="58642" spans="104:111">
      <c r="CZ58642" s="256"/>
      <c r="DG58642" s="256"/>
    </row>
    <row r="58643" spans="104:111">
      <c r="CZ58643" s="256"/>
      <c r="DG58643" s="256"/>
    </row>
    <row r="58644" spans="104:111">
      <c r="CZ58644" s="256"/>
      <c r="DG58644" s="256"/>
    </row>
    <row r="58645" spans="104:111">
      <c r="CZ58645" s="256"/>
      <c r="DG58645" s="256"/>
    </row>
    <row r="58646" spans="104:111">
      <c r="CZ58646" s="256"/>
      <c r="DG58646" s="256"/>
    </row>
    <row r="58647" spans="104:111">
      <c r="CZ58647" s="256"/>
      <c r="DG58647" s="256"/>
    </row>
    <row r="58648" spans="104:111">
      <c r="CZ58648" s="256"/>
      <c r="DG58648" s="256"/>
    </row>
    <row r="58649" spans="104:111">
      <c r="CZ58649" s="256"/>
      <c r="DG58649" s="256"/>
    </row>
    <row r="58650" spans="104:111">
      <c r="CZ58650" s="256"/>
      <c r="DG58650" s="256"/>
    </row>
    <row r="58651" spans="104:111">
      <c r="CZ58651" s="256"/>
      <c r="DG58651" s="256"/>
    </row>
    <row r="58652" spans="104:111">
      <c r="CZ58652" s="256"/>
      <c r="DG58652" s="256"/>
    </row>
    <row r="58653" spans="104:111">
      <c r="CZ58653" s="256"/>
      <c r="DG58653" s="256"/>
    </row>
    <row r="58654" spans="104:111">
      <c r="CZ58654" s="256"/>
      <c r="DG58654" s="256"/>
    </row>
    <row r="58655" spans="104:111">
      <c r="CZ58655" s="256"/>
      <c r="DG58655" s="256"/>
    </row>
    <row r="58656" spans="104:111">
      <c r="CZ58656" s="256"/>
      <c r="DG58656" s="256"/>
    </row>
    <row r="58657" spans="104:111">
      <c r="CZ58657" s="256"/>
      <c r="DG58657" s="256"/>
    </row>
    <row r="58658" spans="104:111">
      <c r="CZ58658" s="256"/>
      <c r="DG58658" s="256"/>
    </row>
    <row r="58659" spans="104:111">
      <c r="CZ58659" s="256"/>
      <c r="DG58659" s="256"/>
    </row>
    <row r="58660" spans="104:111">
      <c r="CZ58660" s="256"/>
      <c r="DG58660" s="256"/>
    </row>
    <row r="58661" spans="104:111">
      <c r="CZ58661" s="256"/>
      <c r="DG58661" s="256"/>
    </row>
    <row r="58662" spans="104:111">
      <c r="CZ58662" s="256"/>
      <c r="DG58662" s="256"/>
    </row>
    <row r="58663" spans="104:111">
      <c r="CZ58663" s="256"/>
      <c r="DG58663" s="256"/>
    </row>
    <row r="58664" spans="104:111">
      <c r="CZ58664" s="256"/>
      <c r="DG58664" s="256"/>
    </row>
    <row r="58665" spans="104:111">
      <c r="CZ58665" s="256"/>
      <c r="DG58665" s="256"/>
    </row>
    <row r="58666" spans="104:111">
      <c r="CZ58666" s="256"/>
      <c r="DG58666" s="256"/>
    </row>
    <row r="58667" spans="104:111">
      <c r="CZ58667" s="256"/>
      <c r="DG58667" s="256"/>
    </row>
    <row r="58668" spans="104:111">
      <c r="CZ58668" s="256"/>
      <c r="DG58668" s="256"/>
    </row>
    <row r="58669" spans="104:111">
      <c r="CZ58669" s="256"/>
      <c r="DG58669" s="256"/>
    </row>
    <row r="58670" spans="104:111">
      <c r="CZ58670" s="256"/>
      <c r="DG58670" s="256"/>
    </row>
    <row r="58671" spans="104:111">
      <c r="CZ58671" s="256"/>
      <c r="DG58671" s="256"/>
    </row>
    <row r="58672" spans="104:111">
      <c r="CZ58672" s="256"/>
      <c r="DG58672" s="256"/>
    </row>
    <row r="58673" spans="104:111">
      <c r="CZ58673" s="256"/>
      <c r="DG58673" s="256"/>
    </row>
    <row r="58674" spans="104:111">
      <c r="CZ58674" s="256"/>
      <c r="DG58674" s="256"/>
    </row>
    <row r="58675" spans="104:111">
      <c r="CZ58675" s="256"/>
      <c r="DG58675" s="256"/>
    </row>
    <row r="58676" spans="104:111">
      <c r="CZ58676" s="256"/>
      <c r="DG58676" s="256"/>
    </row>
    <row r="58677" spans="104:111">
      <c r="CZ58677" s="256"/>
      <c r="DG58677" s="256"/>
    </row>
    <row r="58678" spans="104:111">
      <c r="CZ58678" s="256"/>
      <c r="DG58678" s="256"/>
    </row>
    <row r="58679" spans="104:111">
      <c r="CZ58679" s="256"/>
      <c r="DG58679" s="256"/>
    </row>
    <row r="58680" spans="104:111">
      <c r="CZ58680" s="256"/>
      <c r="DG58680" s="256"/>
    </row>
    <row r="58681" spans="104:111">
      <c r="CZ58681" s="256"/>
      <c r="DG58681" s="256"/>
    </row>
    <row r="58682" spans="104:111">
      <c r="CZ58682" s="256"/>
      <c r="DG58682" s="256"/>
    </row>
    <row r="58683" spans="104:111">
      <c r="CZ58683" s="256"/>
      <c r="DG58683" s="256"/>
    </row>
    <row r="58684" spans="104:111">
      <c r="CZ58684" s="256"/>
      <c r="DG58684" s="256"/>
    </row>
    <row r="58685" spans="104:111">
      <c r="CZ58685" s="256"/>
      <c r="DG58685" s="256"/>
    </row>
    <row r="58686" spans="104:111">
      <c r="CZ58686" s="256"/>
      <c r="DG58686" s="256"/>
    </row>
    <row r="58687" spans="104:111">
      <c r="CZ58687" s="256"/>
      <c r="DG58687" s="256"/>
    </row>
    <row r="58688" spans="104:111">
      <c r="CZ58688" s="256"/>
      <c r="DG58688" s="256"/>
    </row>
    <row r="58689" spans="104:111">
      <c r="CZ58689" s="256"/>
      <c r="DG58689" s="256"/>
    </row>
    <row r="58690" spans="104:111">
      <c r="CZ58690" s="256"/>
      <c r="DG58690" s="256"/>
    </row>
    <row r="58691" spans="104:111">
      <c r="CZ58691" s="256"/>
      <c r="DG58691" s="256"/>
    </row>
    <row r="58692" spans="104:111">
      <c r="CZ58692" s="256"/>
      <c r="DG58692" s="256"/>
    </row>
    <row r="58693" spans="104:111">
      <c r="CZ58693" s="256"/>
      <c r="DG58693" s="256"/>
    </row>
    <row r="58694" spans="104:111">
      <c r="CZ58694" s="256"/>
      <c r="DG58694" s="256"/>
    </row>
    <row r="58695" spans="104:111">
      <c r="CZ58695" s="256"/>
      <c r="DG58695" s="256"/>
    </row>
    <row r="58696" spans="104:111">
      <c r="CZ58696" s="256"/>
      <c r="DG58696" s="256"/>
    </row>
    <row r="58697" spans="104:111">
      <c r="CZ58697" s="256"/>
      <c r="DG58697" s="256"/>
    </row>
    <row r="58698" spans="104:111">
      <c r="CZ58698" s="256"/>
      <c r="DG58698" s="256"/>
    </row>
    <row r="58699" spans="104:111">
      <c r="CZ58699" s="256"/>
      <c r="DG58699" s="256"/>
    </row>
    <row r="58700" spans="104:111">
      <c r="CZ58700" s="256"/>
      <c r="DG58700" s="256"/>
    </row>
    <row r="58701" spans="104:111">
      <c r="CZ58701" s="256"/>
      <c r="DG58701" s="256"/>
    </row>
    <row r="58702" spans="104:111">
      <c r="CZ58702" s="256"/>
      <c r="DG58702" s="256"/>
    </row>
    <row r="58703" spans="104:111">
      <c r="CZ58703" s="256"/>
      <c r="DG58703" s="256"/>
    </row>
    <row r="58704" spans="104:111">
      <c r="CZ58704" s="256"/>
      <c r="DG58704" s="256"/>
    </row>
    <row r="58705" spans="104:111">
      <c r="CZ58705" s="256"/>
      <c r="DG58705" s="256"/>
    </row>
    <row r="58706" spans="104:111">
      <c r="CZ58706" s="256"/>
      <c r="DG58706" s="256"/>
    </row>
    <row r="58707" spans="104:111">
      <c r="CZ58707" s="256"/>
      <c r="DG58707" s="256"/>
    </row>
    <row r="58708" spans="104:111">
      <c r="CZ58708" s="256"/>
      <c r="DG58708" s="256"/>
    </row>
    <row r="58709" spans="104:111">
      <c r="CZ58709" s="256"/>
      <c r="DG58709" s="256"/>
    </row>
    <row r="58710" spans="104:111">
      <c r="CZ58710" s="256"/>
      <c r="DG58710" s="256"/>
    </row>
    <row r="58711" spans="104:111">
      <c r="CZ58711" s="256"/>
      <c r="DG58711" s="256"/>
    </row>
    <row r="58712" spans="104:111">
      <c r="CZ58712" s="256"/>
      <c r="DG58712" s="256"/>
    </row>
    <row r="58713" spans="104:111">
      <c r="CZ58713" s="256"/>
      <c r="DG58713" s="256"/>
    </row>
    <row r="58714" spans="104:111">
      <c r="CZ58714" s="256"/>
      <c r="DG58714" s="256"/>
    </row>
    <row r="58715" spans="104:111">
      <c r="CZ58715" s="256"/>
      <c r="DG58715" s="256"/>
    </row>
    <row r="58716" spans="104:111">
      <c r="CZ58716" s="256"/>
      <c r="DG58716" s="256"/>
    </row>
    <row r="58717" spans="104:111">
      <c r="CZ58717" s="256"/>
      <c r="DG58717" s="256"/>
    </row>
    <row r="58718" spans="104:111">
      <c r="CZ58718" s="256"/>
      <c r="DG58718" s="256"/>
    </row>
    <row r="58719" spans="104:111">
      <c r="CZ58719" s="256"/>
      <c r="DG58719" s="256"/>
    </row>
    <row r="58720" spans="104:111">
      <c r="CZ58720" s="256"/>
      <c r="DG58720" s="256"/>
    </row>
    <row r="58721" spans="104:111">
      <c r="CZ58721" s="256"/>
      <c r="DG58721" s="256"/>
    </row>
    <row r="58722" spans="104:111">
      <c r="CZ58722" s="256"/>
      <c r="DG58722" s="256"/>
    </row>
    <row r="58723" spans="104:111">
      <c r="CZ58723" s="256"/>
      <c r="DG58723" s="256"/>
    </row>
    <row r="58724" spans="104:111">
      <c r="CZ58724" s="256"/>
      <c r="DG58724" s="256"/>
    </row>
    <row r="58725" spans="104:111">
      <c r="CZ58725" s="256"/>
      <c r="DG58725" s="256"/>
    </row>
    <row r="58726" spans="104:111">
      <c r="CZ58726" s="256"/>
      <c r="DG58726" s="256"/>
    </row>
    <row r="58727" spans="104:111">
      <c r="CZ58727" s="256"/>
      <c r="DG58727" s="256"/>
    </row>
    <row r="58728" spans="104:111">
      <c r="CZ58728" s="256"/>
      <c r="DG58728" s="256"/>
    </row>
    <row r="58729" spans="104:111">
      <c r="CZ58729" s="256"/>
      <c r="DG58729" s="256"/>
    </row>
    <row r="58730" spans="104:111">
      <c r="CZ58730" s="256"/>
      <c r="DG58730" s="256"/>
    </row>
    <row r="58731" spans="104:111">
      <c r="CZ58731" s="256"/>
      <c r="DG58731" s="256"/>
    </row>
    <row r="58732" spans="104:111">
      <c r="CZ58732" s="256"/>
      <c r="DG58732" s="256"/>
    </row>
    <row r="58733" spans="104:111">
      <c r="CZ58733" s="256"/>
      <c r="DG58733" s="256"/>
    </row>
    <row r="58734" spans="104:111">
      <c r="CZ58734" s="256"/>
      <c r="DG58734" s="256"/>
    </row>
    <row r="58735" spans="104:111">
      <c r="CZ58735" s="256"/>
      <c r="DG58735" s="256"/>
    </row>
    <row r="58736" spans="104:111">
      <c r="CZ58736" s="256"/>
      <c r="DG58736" s="256"/>
    </row>
    <row r="58737" spans="104:111">
      <c r="CZ58737" s="256"/>
      <c r="DG58737" s="256"/>
    </row>
    <row r="58738" spans="104:111">
      <c r="CZ58738" s="256"/>
      <c r="DG58738" s="256"/>
    </row>
    <row r="58739" spans="104:111">
      <c r="CZ58739" s="256"/>
      <c r="DG58739" s="256"/>
    </row>
    <row r="58740" spans="104:111">
      <c r="CZ58740" s="256"/>
      <c r="DG58740" s="256"/>
    </row>
    <row r="58741" spans="104:111">
      <c r="CZ58741" s="256"/>
      <c r="DG58741" s="256"/>
    </row>
    <row r="58742" spans="104:111">
      <c r="CZ58742" s="256"/>
      <c r="DG58742" s="256"/>
    </row>
    <row r="58743" spans="104:111">
      <c r="CZ58743" s="256"/>
      <c r="DG58743" s="256"/>
    </row>
    <row r="58744" spans="104:111">
      <c r="CZ58744" s="256"/>
      <c r="DG58744" s="256"/>
    </row>
    <row r="58745" spans="104:111">
      <c r="CZ58745" s="256"/>
      <c r="DG58745" s="256"/>
    </row>
    <row r="58746" spans="104:111">
      <c r="CZ58746" s="256"/>
      <c r="DG58746" s="256"/>
    </row>
    <row r="58747" spans="104:111">
      <c r="CZ58747" s="256"/>
      <c r="DG58747" s="256"/>
    </row>
    <row r="58748" spans="104:111">
      <c r="CZ58748" s="256"/>
      <c r="DG58748" s="256"/>
    </row>
    <row r="58749" spans="104:111">
      <c r="CZ58749" s="256"/>
      <c r="DG58749" s="256"/>
    </row>
    <row r="58750" spans="104:111">
      <c r="CZ58750" s="256"/>
      <c r="DG58750" s="256"/>
    </row>
    <row r="58751" spans="104:111">
      <c r="CZ58751" s="256"/>
      <c r="DG58751" s="256"/>
    </row>
    <row r="58752" spans="104:111">
      <c r="CZ58752" s="256"/>
      <c r="DG58752" s="256"/>
    </row>
    <row r="58753" spans="104:111">
      <c r="CZ58753" s="256"/>
      <c r="DG58753" s="256"/>
    </row>
    <row r="58754" spans="104:111">
      <c r="CZ58754" s="256"/>
      <c r="DG58754" s="256"/>
    </row>
    <row r="58755" spans="104:111">
      <c r="CZ58755" s="256"/>
      <c r="DG58755" s="256"/>
    </row>
    <row r="58756" spans="104:111">
      <c r="CZ58756" s="256"/>
      <c r="DG58756" s="256"/>
    </row>
    <row r="58757" spans="104:111">
      <c r="CZ58757" s="256"/>
      <c r="DG58757" s="256"/>
    </row>
    <row r="58758" spans="104:111">
      <c r="CZ58758" s="256"/>
      <c r="DG58758" s="256"/>
    </row>
    <row r="58759" spans="104:111">
      <c r="CZ58759" s="256"/>
      <c r="DG58759" s="256"/>
    </row>
    <row r="58760" spans="104:111">
      <c r="CZ58760" s="256"/>
      <c r="DG58760" s="256"/>
    </row>
    <row r="58761" spans="104:111">
      <c r="CZ58761" s="256"/>
      <c r="DG58761" s="256"/>
    </row>
    <row r="58762" spans="104:111">
      <c r="CZ58762" s="256"/>
      <c r="DG58762" s="256"/>
    </row>
    <row r="58763" spans="104:111">
      <c r="CZ58763" s="256"/>
      <c r="DG58763" s="256"/>
    </row>
    <row r="58764" spans="104:111">
      <c r="CZ58764" s="256"/>
      <c r="DG58764" s="256"/>
    </row>
    <row r="58765" spans="104:111">
      <c r="CZ58765" s="256"/>
      <c r="DG58765" s="256"/>
    </row>
    <row r="58766" spans="104:111">
      <c r="CZ58766" s="256"/>
      <c r="DG58766" s="256"/>
    </row>
    <row r="58767" spans="104:111">
      <c r="CZ58767" s="256"/>
      <c r="DG58767" s="256"/>
    </row>
    <row r="58768" spans="104:111">
      <c r="CZ58768" s="256"/>
      <c r="DG58768" s="256"/>
    </row>
    <row r="58769" spans="104:111">
      <c r="CZ58769" s="256"/>
      <c r="DG58769" s="256"/>
    </row>
    <row r="58770" spans="104:111">
      <c r="CZ58770" s="256"/>
      <c r="DG58770" s="256"/>
    </row>
    <row r="58771" spans="104:111">
      <c r="CZ58771" s="256"/>
      <c r="DG58771" s="256"/>
    </row>
    <row r="58772" spans="104:111">
      <c r="CZ58772" s="256"/>
      <c r="DG58772" s="256"/>
    </row>
    <row r="58773" spans="104:111">
      <c r="CZ58773" s="256"/>
      <c r="DG58773" s="256"/>
    </row>
    <row r="58774" spans="104:111">
      <c r="CZ58774" s="256"/>
      <c r="DG58774" s="256"/>
    </row>
    <row r="58775" spans="104:111">
      <c r="CZ58775" s="256"/>
      <c r="DG58775" s="256"/>
    </row>
    <row r="58776" spans="104:111">
      <c r="CZ58776" s="256"/>
      <c r="DG58776" s="256"/>
    </row>
    <row r="58777" spans="104:111">
      <c r="CZ58777" s="256"/>
      <c r="DG58777" s="256"/>
    </row>
    <row r="58778" spans="104:111">
      <c r="CZ58778" s="256"/>
      <c r="DG58778" s="256"/>
    </row>
    <row r="58779" spans="104:111">
      <c r="CZ58779" s="256"/>
      <c r="DG58779" s="256"/>
    </row>
    <row r="58780" spans="104:111">
      <c r="CZ58780" s="256"/>
      <c r="DG58780" s="256"/>
    </row>
    <row r="58781" spans="104:111">
      <c r="CZ58781" s="256"/>
      <c r="DG58781" s="256"/>
    </row>
    <row r="58782" spans="104:111">
      <c r="CZ58782" s="256"/>
      <c r="DG58782" s="256"/>
    </row>
    <row r="58783" spans="104:111">
      <c r="CZ58783" s="256"/>
      <c r="DG58783" s="256"/>
    </row>
    <row r="58784" spans="104:111">
      <c r="CZ58784" s="256"/>
      <c r="DG58784" s="256"/>
    </row>
    <row r="58785" spans="104:111">
      <c r="CZ58785" s="256"/>
      <c r="DG58785" s="256"/>
    </row>
    <row r="58786" spans="104:111">
      <c r="CZ58786" s="256"/>
      <c r="DG58786" s="256"/>
    </row>
    <row r="58787" spans="104:111">
      <c r="CZ58787" s="256"/>
      <c r="DG58787" s="256"/>
    </row>
    <row r="58788" spans="104:111">
      <c r="CZ58788" s="256"/>
      <c r="DG58788" s="256"/>
    </row>
    <row r="58789" spans="104:111">
      <c r="CZ58789" s="256"/>
      <c r="DG58789" s="256"/>
    </row>
    <row r="58790" spans="104:111">
      <c r="CZ58790" s="256"/>
      <c r="DG58790" s="256"/>
    </row>
    <row r="58791" spans="104:111">
      <c r="CZ58791" s="256"/>
      <c r="DG58791" s="256"/>
    </row>
    <row r="58792" spans="104:111">
      <c r="CZ58792" s="256"/>
      <c r="DG58792" s="256"/>
    </row>
    <row r="58793" spans="104:111">
      <c r="CZ58793" s="256"/>
      <c r="DG58793" s="256"/>
    </row>
    <row r="58794" spans="104:111">
      <c r="CZ58794" s="256"/>
      <c r="DG58794" s="256"/>
    </row>
    <row r="58795" spans="104:111">
      <c r="CZ58795" s="256"/>
      <c r="DG58795" s="256"/>
    </row>
    <row r="58796" spans="104:111">
      <c r="CZ58796" s="256"/>
      <c r="DG58796" s="256"/>
    </row>
    <row r="58797" spans="104:111">
      <c r="CZ58797" s="256"/>
      <c r="DG58797" s="256"/>
    </row>
    <row r="58798" spans="104:111">
      <c r="CZ58798" s="256"/>
      <c r="DG58798" s="256"/>
    </row>
    <row r="58799" spans="104:111">
      <c r="CZ58799" s="256"/>
      <c r="DG58799" s="256"/>
    </row>
    <row r="58800" spans="104:111">
      <c r="CZ58800" s="256"/>
      <c r="DG58800" s="256"/>
    </row>
    <row r="58801" spans="104:111">
      <c r="CZ58801" s="256"/>
      <c r="DG58801" s="256"/>
    </row>
    <row r="58802" spans="104:111">
      <c r="CZ58802" s="256"/>
      <c r="DG58802" s="256"/>
    </row>
    <row r="58803" spans="104:111">
      <c r="CZ58803" s="256"/>
      <c r="DG58803" s="256"/>
    </row>
    <row r="58804" spans="104:111">
      <c r="CZ58804" s="256"/>
      <c r="DG58804" s="256"/>
    </row>
    <row r="58805" spans="104:111">
      <c r="CZ58805" s="256"/>
      <c r="DG58805" s="256"/>
    </row>
    <row r="58806" spans="104:111">
      <c r="CZ58806" s="256"/>
      <c r="DG58806" s="256"/>
    </row>
    <row r="58807" spans="104:111">
      <c r="CZ58807" s="256"/>
      <c r="DG58807" s="256"/>
    </row>
    <row r="58808" spans="104:111">
      <c r="CZ58808" s="256"/>
      <c r="DG58808" s="256"/>
    </row>
    <row r="58809" spans="104:111">
      <c r="CZ58809" s="256"/>
      <c r="DG58809" s="256"/>
    </row>
    <row r="58810" spans="104:111">
      <c r="CZ58810" s="256"/>
      <c r="DG58810" s="256"/>
    </row>
    <row r="58811" spans="104:111">
      <c r="CZ58811" s="256"/>
      <c r="DG58811" s="256"/>
    </row>
    <row r="58812" spans="104:111">
      <c r="CZ58812" s="256"/>
      <c r="DG58812" s="256"/>
    </row>
    <row r="58813" spans="104:111">
      <c r="CZ58813" s="256"/>
      <c r="DG58813" s="256"/>
    </row>
    <row r="58814" spans="104:111">
      <c r="CZ58814" s="256"/>
      <c r="DG58814" s="256"/>
    </row>
    <row r="58815" spans="104:111">
      <c r="CZ58815" s="256"/>
      <c r="DG58815" s="256"/>
    </row>
    <row r="58816" spans="104:111">
      <c r="CZ58816" s="256"/>
      <c r="DG58816" s="256"/>
    </row>
    <row r="58817" spans="104:111">
      <c r="CZ58817" s="256"/>
      <c r="DG58817" s="256"/>
    </row>
    <row r="58818" spans="104:111">
      <c r="CZ58818" s="256"/>
      <c r="DG58818" s="256"/>
    </row>
    <row r="58819" spans="104:111">
      <c r="CZ58819" s="256"/>
      <c r="DG58819" s="256"/>
    </row>
    <row r="58820" spans="104:111">
      <c r="CZ58820" s="256"/>
      <c r="DG58820" s="256"/>
    </row>
    <row r="58821" spans="104:111">
      <c r="CZ58821" s="256"/>
      <c r="DG58821" s="256"/>
    </row>
    <row r="58822" spans="104:111">
      <c r="CZ58822" s="256"/>
      <c r="DG58822" s="256"/>
    </row>
    <row r="58823" spans="104:111">
      <c r="CZ58823" s="256"/>
      <c r="DG58823" s="256"/>
    </row>
    <row r="58824" spans="104:111">
      <c r="CZ58824" s="256"/>
      <c r="DG58824" s="256"/>
    </row>
    <row r="58825" spans="104:111">
      <c r="CZ58825" s="256"/>
      <c r="DG58825" s="256"/>
    </row>
    <row r="58826" spans="104:111">
      <c r="CZ58826" s="256"/>
      <c r="DG58826" s="256"/>
    </row>
    <row r="58827" spans="104:111">
      <c r="CZ58827" s="256"/>
      <c r="DG58827" s="256"/>
    </row>
    <row r="58828" spans="104:111">
      <c r="CZ58828" s="256"/>
      <c r="DG58828" s="256"/>
    </row>
    <row r="58829" spans="104:111">
      <c r="CZ58829" s="256"/>
      <c r="DG58829" s="256"/>
    </row>
    <row r="58830" spans="104:111">
      <c r="CZ58830" s="256"/>
      <c r="DG58830" s="256"/>
    </row>
    <row r="58831" spans="104:111">
      <c r="CZ58831" s="256"/>
      <c r="DG58831" s="256"/>
    </row>
    <row r="58832" spans="104:111">
      <c r="CZ58832" s="256"/>
      <c r="DG58832" s="256"/>
    </row>
    <row r="58833" spans="104:111">
      <c r="CZ58833" s="256"/>
      <c r="DG58833" s="256"/>
    </row>
    <row r="58834" spans="104:111">
      <c r="CZ58834" s="256"/>
      <c r="DG58834" s="256"/>
    </row>
    <row r="58835" spans="104:111">
      <c r="CZ58835" s="256"/>
      <c r="DG58835" s="256"/>
    </row>
    <row r="58836" spans="104:111">
      <c r="CZ58836" s="256"/>
      <c r="DG58836" s="256"/>
    </row>
    <row r="58837" spans="104:111">
      <c r="CZ58837" s="256"/>
      <c r="DG58837" s="256"/>
    </row>
    <row r="58838" spans="104:111">
      <c r="CZ58838" s="256"/>
      <c r="DG58838" s="256"/>
    </row>
    <row r="58839" spans="104:111">
      <c r="CZ58839" s="256"/>
      <c r="DG58839" s="256"/>
    </row>
    <row r="58840" spans="104:111">
      <c r="CZ58840" s="256"/>
      <c r="DG58840" s="256"/>
    </row>
    <row r="58841" spans="104:111">
      <c r="CZ58841" s="256"/>
      <c r="DG58841" s="256"/>
    </row>
    <row r="58842" spans="104:111">
      <c r="CZ58842" s="256"/>
      <c r="DG58842" s="256"/>
    </row>
    <row r="58843" spans="104:111">
      <c r="CZ58843" s="256"/>
      <c r="DG58843" s="256"/>
    </row>
    <row r="58844" spans="104:111">
      <c r="CZ58844" s="256"/>
      <c r="DG58844" s="256"/>
    </row>
    <row r="58845" spans="104:111">
      <c r="CZ58845" s="256"/>
      <c r="DG58845" s="256"/>
    </row>
    <row r="58846" spans="104:111">
      <c r="CZ58846" s="256"/>
      <c r="DG58846" s="256"/>
    </row>
    <row r="58847" spans="104:111">
      <c r="CZ58847" s="256"/>
      <c r="DG58847" s="256"/>
    </row>
    <row r="58848" spans="104:111">
      <c r="CZ58848" s="256"/>
      <c r="DG58848" s="256"/>
    </row>
    <row r="58849" spans="104:111">
      <c r="CZ58849" s="256"/>
      <c r="DG58849" s="256"/>
    </row>
    <row r="58850" spans="104:111">
      <c r="CZ58850" s="256"/>
      <c r="DG58850" s="256"/>
    </row>
    <row r="58851" spans="104:111">
      <c r="CZ58851" s="256"/>
      <c r="DG58851" s="256"/>
    </row>
    <row r="58852" spans="104:111">
      <c r="CZ58852" s="256"/>
      <c r="DG58852" s="256"/>
    </row>
    <row r="58853" spans="104:111">
      <c r="CZ58853" s="256"/>
      <c r="DG58853" s="256"/>
    </row>
    <row r="58854" spans="104:111">
      <c r="CZ58854" s="256"/>
      <c r="DG58854" s="256"/>
    </row>
    <row r="58855" spans="104:111">
      <c r="CZ58855" s="256"/>
      <c r="DG58855" s="256"/>
    </row>
    <row r="58856" spans="104:111">
      <c r="CZ58856" s="256"/>
      <c r="DG58856" s="256"/>
    </row>
    <row r="58857" spans="104:111">
      <c r="CZ58857" s="256"/>
      <c r="DG58857" s="256"/>
    </row>
    <row r="58858" spans="104:111">
      <c r="CZ58858" s="256"/>
      <c r="DG58858" s="256"/>
    </row>
    <row r="58859" spans="104:111">
      <c r="CZ58859" s="256"/>
      <c r="DG58859" s="256"/>
    </row>
    <row r="58860" spans="104:111">
      <c r="CZ58860" s="256"/>
      <c r="DG58860" s="256"/>
    </row>
    <row r="58861" spans="104:111">
      <c r="CZ58861" s="256"/>
      <c r="DG58861" s="256"/>
    </row>
    <row r="58862" spans="104:111">
      <c r="CZ58862" s="256"/>
      <c r="DG58862" s="256"/>
    </row>
    <row r="58863" spans="104:111">
      <c r="CZ58863" s="256"/>
      <c r="DG58863" s="256"/>
    </row>
    <row r="58864" spans="104:111">
      <c r="CZ58864" s="256"/>
      <c r="DG58864" s="256"/>
    </row>
    <row r="58865" spans="104:111">
      <c r="CZ58865" s="256"/>
      <c r="DG58865" s="256"/>
    </row>
    <row r="58866" spans="104:111">
      <c r="CZ58866" s="256"/>
      <c r="DG58866" s="256"/>
    </row>
    <row r="58867" spans="104:111">
      <c r="CZ58867" s="256"/>
      <c r="DG58867" s="256"/>
    </row>
    <row r="58868" spans="104:111">
      <c r="CZ58868" s="256"/>
      <c r="DG58868" s="256"/>
    </row>
    <row r="58869" spans="104:111">
      <c r="CZ58869" s="256"/>
      <c r="DG58869" s="256"/>
    </row>
    <row r="58870" spans="104:111">
      <c r="CZ58870" s="256"/>
      <c r="DG58870" s="256"/>
    </row>
    <row r="58871" spans="104:111">
      <c r="CZ58871" s="256"/>
      <c r="DG58871" s="256"/>
    </row>
    <row r="58872" spans="104:111">
      <c r="CZ58872" s="256"/>
      <c r="DG58872" s="256"/>
    </row>
    <row r="58873" spans="104:111">
      <c r="CZ58873" s="256"/>
      <c r="DG58873" s="256"/>
    </row>
    <row r="58874" spans="104:111">
      <c r="CZ58874" s="256"/>
      <c r="DG58874" s="256"/>
    </row>
    <row r="58875" spans="104:111">
      <c r="CZ58875" s="256"/>
      <c r="DG58875" s="256"/>
    </row>
    <row r="58876" spans="104:111">
      <c r="CZ58876" s="256"/>
      <c r="DG58876" s="256"/>
    </row>
    <row r="58877" spans="104:111">
      <c r="CZ58877" s="256"/>
      <c r="DG58877" s="256"/>
    </row>
    <row r="58878" spans="104:111">
      <c r="CZ58878" s="256"/>
      <c r="DG58878" s="256"/>
    </row>
    <row r="58879" spans="104:111">
      <c r="CZ58879" s="256"/>
      <c r="DG58879" s="256"/>
    </row>
    <row r="58880" spans="104:111">
      <c r="CZ58880" s="256"/>
      <c r="DG58880" s="256"/>
    </row>
    <row r="58881" spans="104:111">
      <c r="CZ58881" s="256"/>
      <c r="DG58881" s="256"/>
    </row>
    <row r="58882" spans="104:111">
      <c r="CZ58882" s="256"/>
      <c r="DG58882" s="256"/>
    </row>
    <row r="58883" spans="104:111">
      <c r="CZ58883" s="256"/>
      <c r="DG58883" s="256"/>
    </row>
    <row r="58884" spans="104:111">
      <c r="CZ58884" s="256"/>
      <c r="DG58884" s="256"/>
    </row>
    <row r="58885" spans="104:111">
      <c r="CZ58885" s="256"/>
      <c r="DG58885" s="256"/>
    </row>
    <row r="58886" spans="104:111">
      <c r="CZ58886" s="256"/>
      <c r="DG58886" s="256"/>
    </row>
    <row r="58887" spans="104:111">
      <c r="CZ58887" s="256"/>
      <c r="DG58887" s="256"/>
    </row>
    <row r="58888" spans="104:111">
      <c r="CZ58888" s="256"/>
      <c r="DG58888" s="256"/>
    </row>
    <row r="58889" spans="104:111">
      <c r="CZ58889" s="256"/>
      <c r="DG58889" s="256"/>
    </row>
    <row r="58890" spans="104:111">
      <c r="CZ58890" s="256"/>
      <c r="DG58890" s="256"/>
    </row>
    <row r="58891" spans="104:111">
      <c r="CZ58891" s="256"/>
      <c r="DG58891" s="256"/>
    </row>
    <row r="58892" spans="104:111">
      <c r="CZ58892" s="256"/>
      <c r="DG58892" s="256"/>
    </row>
    <row r="58893" spans="104:111">
      <c r="CZ58893" s="256"/>
      <c r="DG58893" s="256"/>
    </row>
    <row r="58894" spans="104:111">
      <c r="CZ58894" s="256"/>
      <c r="DG58894" s="256"/>
    </row>
    <row r="58895" spans="104:111">
      <c r="CZ58895" s="256"/>
      <c r="DG58895" s="256"/>
    </row>
    <row r="58896" spans="104:111">
      <c r="CZ58896" s="256"/>
      <c r="DG58896" s="256"/>
    </row>
    <row r="58897" spans="104:111">
      <c r="CZ58897" s="256"/>
      <c r="DG58897" s="256"/>
    </row>
    <row r="58898" spans="104:111">
      <c r="CZ58898" s="256"/>
      <c r="DG58898" s="256"/>
    </row>
    <row r="58899" spans="104:111">
      <c r="CZ58899" s="256"/>
      <c r="DG58899" s="256"/>
    </row>
    <row r="58900" spans="104:111">
      <c r="CZ58900" s="256"/>
      <c r="DG58900" s="256"/>
    </row>
    <row r="58901" spans="104:111">
      <c r="CZ58901" s="256"/>
      <c r="DG58901" s="256"/>
    </row>
    <row r="58902" spans="104:111">
      <c r="CZ58902" s="256"/>
      <c r="DG58902" s="256"/>
    </row>
    <row r="58903" spans="104:111">
      <c r="CZ58903" s="256"/>
      <c r="DG58903" s="256"/>
    </row>
    <row r="58904" spans="104:111">
      <c r="CZ58904" s="256"/>
      <c r="DG58904" s="256"/>
    </row>
    <row r="58905" spans="104:111">
      <c r="CZ58905" s="256"/>
      <c r="DG58905" s="256"/>
    </row>
    <row r="58906" spans="104:111">
      <c r="CZ58906" s="256"/>
      <c r="DG58906" s="256"/>
    </row>
    <row r="58907" spans="104:111">
      <c r="CZ58907" s="256"/>
      <c r="DG58907" s="256"/>
    </row>
    <row r="58908" spans="104:111">
      <c r="CZ58908" s="256"/>
      <c r="DG58908" s="256"/>
    </row>
    <row r="58909" spans="104:111">
      <c r="CZ58909" s="256"/>
      <c r="DG58909" s="256"/>
    </row>
    <row r="58910" spans="104:111">
      <c r="CZ58910" s="256"/>
      <c r="DG58910" s="256"/>
    </row>
    <row r="58911" spans="104:111">
      <c r="CZ58911" s="256"/>
      <c r="DG58911" s="256"/>
    </row>
    <row r="58912" spans="104:111">
      <c r="CZ58912" s="256"/>
      <c r="DG58912" s="256"/>
    </row>
    <row r="58913" spans="104:111">
      <c r="CZ58913" s="256"/>
      <c r="DG58913" s="256"/>
    </row>
    <row r="58914" spans="104:111">
      <c r="CZ58914" s="256"/>
      <c r="DG58914" s="256"/>
    </row>
    <row r="58915" spans="104:111">
      <c r="CZ58915" s="256"/>
      <c r="DG58915" s="256"/>
    </row>
    <row r="58916" spans="104:111">
      <c r="CZ58916" s="256"/>
      <c r="DG58916" s="256"/>
    </row>
    <row r="58917" spans="104:111">
      <c r="CZ58917" s="256"/>
      <c r="DG58917" s="256"/>
    </row>
    <row r="58918" spans="104:111">
      <c r="CZ58918" s="256"/>
      <c r="DG58918" s="256"/>
    </row>
    <row r="58919" spans="104:111">
      <c r="CZ58919" s="256"/>
      <c r="DG58919" s="256"/>
    </row>
    <row r="58920" spans="104:111">
      <c r="CZ58920" s="256"/>
      <c r="DG58920" s="256"/>
    </row>
    <row r="58921" spans="104:111">
      <c r="CZ58921" s="256"/>
      <c r="DG58921" s="256"/>
    </row>
    <row r="58922" spans="104:111">
      <c r="CZ58922" s="256"/>
      <c r="DG58922" s="256"/>
    </row>
    <row r="58923" spans="104:111">
      <c r="CZ58923" s="256"/>
      <c r="DG58923" s="256"/>
    </row>
    <row r="58924" spans="104:111">
      <c r="CZ58924" s="256"/>
      <c r="DG58924" s="256"/>
    </row>
    <row r="58925" spans="104:111">
      <c r="CZ58925" s="256"/>
      <c r="DG58925" s="256"/>
    </row>
    <row r="58926" spans="104:111">
      <c r="CZ58926" s="256"/>
      <c r="DG58926" s="256"/>
    </row>
    <row r="58927" spans="104:111">
      <c r="CZ58927" s="256"/>
      <c r="DG58927" s="256"/>
    </row>
    <row r="58928" spans="104:111">
      <c r="CZ58928" s="256"/>
      <c r="DG58928" s="256"/>
    </row>
    <row r="58929" spans="104:111">
      <c r="CZ58929" s="256"/>
      <c r="DG58929" s="256"/>
    </row>
    <row r="58930" spans="104:111">
      <c r="CZ58930" s="256"/>
      <c r="DG58930" s="256"/>
    </row>
    <row r="58931" spans="104:111">
      <c r="CZ58931" s="256"/>
      <c r="DG58931" s="256"/>
    </row>
    <row r="58932" spans="104:111">
      <c r="CZ58932" s="256"/>
      <c r="DG58932" s="256"/>
    </row>
    <row r="58933" spans="104:111">
      <c r="CZ58933" s="256"/>
      <c r="DG58933" s="256"/>
    </row>
    <row r="58934" spans="104:111">
      <c r="CZ58934" s="256"/>
      <c r="DG58934" s="256"/>
    </row>
    <row r="58935" spans="104:111">
      <c r="CZ58935" s="256"/>
      <c r="DG58935" s="256"/>
    </row>
    <row r="58936" spans="104:111">
      <c r="CZ58936" s="256"/>
      <c r="DG58936" s="256"/>
    </row>
    <row r="58937" spans="104:111">
      <c r="CZ58937" s="256"/>
      <c r="DG58937" s="256"/>
    </row>
    <row r="58938" spans="104:111">
      <c r="CZ58938" s="256"/>
      <c r="DG58938" s="256"/>
    </row>
    <row r="58939" spans="104:111">
      <c r="CZ58939" s="256"/>
      <c r="DG58939" s="256"/>
    </row>
    <row r="58940" spans="104:111">
      <c r="CZ58940" s="256"/>
      <c r="DG58940" s="256"/>
    </row>
    <row r="58941" spans="104:111">
      <c r="CZ58941" s="256"/>
      <c r="DG58941" s="256"/>
    </row>
    <row r="58942" spans="104:111">
      <c r="CZ58942" s="256"/>
      <c r="DG58942" s="256"/>
    </row>
    <row r="58943" spans="104:111">
      <c r="CZ58943" s="256"/>
      <c r="DG58943" s="256"/>
    </row>
    <row r="58944" spans="104:111">
      <c r="CZ58944" s="256"/>
      <c r="DG58944" s="256"/>
    </row>
    <row r="58945" spans="104:111">
      <c r="CZ58945" s="256"/>
      <c r="DG58945" s="256"/>
    </row>
    <row r="58946" spans="104:111">
      <c r="CZ58946" s="256"/>
      <c r="DG58946" s="256"/>
    </row>
    <row r="58947" spans="104:111">
      <c r="CZ58947" s="256"/>
      <c r="DG58947" s="256"/>
    </row>
    <row r="58948" spans="104:111">
      <c r="CZ58948" s="256"/>
      <c r="DG58948" s="256"/>
    </row>
    <row r="58949" spans="104:111">
      <c r="CZ58949" s="256"/>
      <c r="DG58949" s="256"/>
    </row>
    <row r="58950" spans="104:111">
      <c r="CZ58950" s="256"/>
      <c r="DG58950" s="256"/>
    </row>
    <row r="58951" spans="104:111">
      <c r="CZ58951" s="256"/>
      <c r="DG58951" s="256"/>
    </row>
    <row r="58952" spans="104:111">
      <c r="CZ58952" s="256"/>
      <c r="DG58952" s="256"/>
    </row>
    <row r="58953" spans="104:111">
      <c r="CZ58953" s="256"/>
      <c r="DG58953" s="256"/>
    </row>
    <row r="58954" spans="104:111">
      <c r="CZ58954" s="256"/>
      <c r="DG58954" s="256"/>
    </row>
    <row r="58955" spans="104:111">
      <c r="CZ58955" s="256"/>
      <c r="DG58955" s="256"/>
    </row>
    <row r="58956" spans="104:111">
      <c r="CZ58956" s="256"/>
      <c r="DG58956" s="256"/>
    </row>
    <row r="58957" spans="104:111">
      <c r="CZ58957" s="256"/>
      <c r="DG58957" s="256"/>
    </row>
    <row r="58958" spans="104:111">
      <c r="CZ58958" s="256"/>
      <c r="DG58958" s="256"/>
    </row>
    <row r="58959" spans="104:111">
      <c r="CZ58959" s="256"/>
      <c r="DG58959" s="256"/>
    </row>
    <row r="58960" spans="104:111">
      <c r="CZ58960" s="256"/>
      <c r="DG58960" s="256"/>
    </row>
    <row r="58961" spans="104:111">
      <c r="CZ58961" s="256"/>
      <c r="DG58961" s="256"/>
    </row>
    <row r="58962" spans="104:111">
      <c r="CZ58962" s="256"/>
      <c r="DG58962" s="256"/>
    </row>
    <row r="58963" spans="104:111">
      <c r="CZ58963" s="256"/>
      <c r="DG58963" s="256"/>
    </row>
    <row r="58964" spans="104:111">
      <c r="CZ58964" s="256"/>
      <c r="DG58964" s="256"/>
    </row>
    <row r="58965" spans="104:111">
      <c r="CZ58965" s="256"/>
      <c r="DG58965" s="256"/>
    </row>
    <row r="58966" spans="104:111">
      <c r="CZ58966" s="256"/>
      <c r="DG58966" s="256"/>
    </row>
    <row r="58967" spans="104:111">
      <c r="CZ58967" s="256"/>
      <c r="DG58967" s="256"/>
    </row>
    <row r="58968" spans="104:111">
      <c r="CZ58968" s="256"/>
      <c r="DG58968" s="256"/>
    </row>
    <row r="58969" spans="104:111">
      <c r="CZ58969" s="256"/>
      <c r="DG58969" s="256"/>
    </row>
    <row r="58970" spans="104:111">
      <c r="CZ58970" s="256"/>
      <c r="DG58970" s="256"/>
    </row>
    <row r="58971" spans="104:111">
      <c r="CZ58971" s="256"/>
      <c r="DG58971" s="256"/>
    </row>
    <row r="58972" spans="104:111">
      <c r="CZ58972" s="256"/>
      <c r="DG58972" s="256"/>
    </row>
    <row r="58973" spans="104:111">
      <c r="CZ58973" s="256"/>
      <c r="DG58973" s="256"/>
    </row>
    <row r="58974" spans="104:111">
      <c r="CZ58974" s="256"/>
      <c r="DG58974" s="256"/>
    </row>
    <row r="58975" spans="104:111">
      <c r="CZ58975" s="256"/>
      <c r="DG58975" s="256"/>
    </row>
    <row r="58976" spans="104:111">
      <c r="CZ58976" s="256"/>
      <c r="DG58976" s="256"/>
    </row>
    <row r="58977" spans="104:111">
      <c r="CZ58977" s="256"/>
      <c r="DG58977" s="256"/>
    </row>
    <row r="58978" spans="104:111">
      <c r="CZ58978" s="256"/>
      <c r="DG58978" s="256"/>
    </row>
    <row r="58979" spans="104:111">
      <c r="CZ58979" s="256"/>
      <c r="DG58979" s="256"/>
    </row>
    <row r="58980" spans="104:111">
      <c r="CZ58980" s="256"/>
      <c r="DG58980" s="256"/>
    </row>
    <row r="58981" spans="104:111">
      <c r="CZ58981" s="256"/>
      <c r="DG58981" s="256"/>
    </row>
    <row r="58982" spans="104:111">
      <c r="CZ58982" s="256"/>
      <c r="DG58982" s="256"/>
    </row>
    <row r="58983" spans="104:111">
      <c r="CZ58983" s="256"/>
      <c r="DG58983" s="256"/>
    </row>
    <row r="58984" spans="104:111">
      <c r="CZ58984" s="256"/>
      <c r="DG58984" s="256"/>
    </row>
    <row r="58985" spans="104:111">
      <c r="CZ58985" s="256"/>
      <c r="DG58985" s="256"/>
    </row>
    <row r="58986" spans="104:111">
      <c r="CZ58986" s="256"/>
      <c r="DG58986" s="256"/>
    </row>
    <row r="58987" spans="104:111">
      <c r="CZ58987" s="256"/>
      <c r="DG58987" s="256"/>
    </row>
    <row r="58988" spans="104:111">
      <c r="CZ58988" s="256"/>
      <c r="DG58988" s="256"/>
    </row>
    <row r="58989" spans="104:111">
      <c r="CZ58989" s="256"/>
      <c r="DG58989" s="256"/>
    </row>
    <row r="58990" spans="104:111">
      <c r="CZ58990" s="256"/>
      <c r="DG58990" s="256"/>
    </row>
    <row r="58991" spans="104:111">
      <c r="CZ58991" s="256"/>
      <c r="DG58991" s="256"/>
    </row>
    <row r="58992" spans="104:111">
      <c r="CZ58992" s="256"/>
      <c r="DG58992" s="256"/>
    </row>
    <row r="58993" spans="104:111">
      <c r="CZ58993" s="256"/>
      <c r="DG58993" s="256"/>
    </row>
    <row r="58994" spans="104:111">
      <c r="CZ58994" s="256"/>
      <c r="DG58994" s="256"/>
    </row>
    <row r="58995" spans="104:111">
      <c r="CZ58995" s="256"/>
      <c r="DG58995" s="256"/>
    </row>
    <row r="58996" spans="104:111">
      <c r="CZ58996" s="256"/>
      <c r="DG58996" s="256"/>
    </row>
    <row r="58997" spans="104:111">
      <c r="CZ58997" s="256"/>
      <c r="DG58997" s="256"/>
    </row>
    <row r="58998" spans="104:111">
      <c r="CZ58998" s="256"/>
      <c r="DG58998" s="256"/>
    </row>
    <row r="58999" spans="104:111">
      <c r="CZ58999" s="256"/>
      <c r="DG58999" s="256"/>
    </row>
    <row r="59000" spans="104:111">
      <c r="CZ59000" s="256"/>
      <c r="DG59000" s="256"/>
    </row>
    <row r="59001" spans="104:111">
      <c r="CZ59001" s="256"/>
      <c r="DG59001" s="256"/>
    </row>
    <row r="59002" spans="104:111">
      <c r="CZ59002" s="256"/>
      <c r="DG59002" s="256"/>
    </row>
    <row r="59003" spans="104:111">
      <c r="CZ59003" s="256"/>
      <c r="DG59003" s="256"/>
    </row>
    <row r="59004" spans="104:111">
      <c r="CZ59004" s="256"/>
      <c r="DG59004" s="256"/>
    </row>
    <row r="59005" spans="104:111">
      <c r="CZ59005" s="256"/>
      <c r="DG59005" s="256"/>
    </row>
    <row r="59006" spans="104:111">
      <c r="CZ59006" s="256"/>
      <c r="DG59006" s="256"/>
    </row>
    <row r="59007" spans="104:111">
      <c r="CZ59007" s="256"/>
      <c r="DG59007" s="256"/>
    </row>
    <row r="59008" spans="104:111">
      <c r="CZ59008" s="256"/>
      <c r="DG59008" s="256"/>
    </row>
    <row r="59009" spans="104:111">
      <c r="CZ59009" s="256"/>
      <c r="DG59009" s="256"/>
    </row>
    <row r="59010" spans="104:111">
      <c r="CZ59010" s="256"/>
      <c r="DG59010" s="256"/>
    </row>
    <row r="59011" spans="104:111">
      <c r="CZ59011" s="256"/>
      <c r="DG59011" s="256"/>
    </row>
    <row r="59012" spans="104:111">
      <c r="CZ59012" s="256"/>
      <c r="DG59012" s="256"/>
    </row>
    <row r="59013" spans="104:111">
      <c r="CZ59013" s="256"/>
      <c r="DG59013" s="256"/>
    </row>
    <row r="59014" spans="104:111">
      <c r="CZ59014" s="256"/>
      <c r="DG59014" s="256"/>
    </row>
    <row r="59015" spans="104:111">
      <c r="CZ59015" s="256"/>
      <c r="DG59015" s="256"/>
    </row>
    <row r="59016" spans="104:111">
      <c r="CZ59016" s="256"/>
      <c r="DG59016" s="256"/>
    </row>
    <row r="59017" spans="104:111">
      <c r="CZ59017" s="256"/>
      <c r="DG59017" s="256"/>
    </row>
    <row r="59018" spans="104:111">
      <c r="CZ59018" s="256"/>
      <c r="DG59018" s="256"/>
    </row>
    <row r="59019" spans="104:111">
      <c r="CZ59019" s="256"/>
      <c r="DG59019" s="256"/>
    </row>
    <row r="59020" spans="104:111">
      <c r="CZ59020" s="256"/>
      <c r="DG59020" s="256"/>
    </row>
    <row r="59021" spans="104:111">
      <c r="CZ59021" s="256"/>
      <c r="DG59021" s="256"/>
    </row>
    <row r="59022" spans="104:111">
      <c r="CZ59022" s="256"/>
      <c r="DG59022" s="256"/>
    </row>
    <row r="59023" spans="104:111">
      <c r="CZ59023" s="256"/>
      <c r="DG59023" s="256"/>
    </row>
    <row r="59024" spans="104:111">
      <c r="CZ59024" s="256"/>
      <c r="DG59024" s="256"/>
    </row>
    <row r="59025" spans="104:111">
      <c r="CZ59025" s="256"/>
      <c r="DG59025" s="256"/>
    </row>
    <row r="59026" spans="104:111">
      <c r="CZ59026" s="256"/>
      <c r="DG59026" s="256"/>
    </row>
    <row r="59027" spans="104:111">
      <c r="CZ59027" s="256"/>
      <c r="DG59027" s="256"/>
    </row>
    <row r="59028" spans="104:111">
      <c r="CZ59028" s="256"/>
      <c r="DG59028" s="256"/>
    </row>
    <row r="59029" spans="104:111">
      <c r="CZ59029" s="256"/>
      <c r="DG59029" s="256"/>
    </row>
    <row r="59030" spans="104:111">
      <c r="CZ59030" s="256"/>
      <c r="DG59030" s="256"/>
    </row>
    <row r="59031" spans="104:111">
      <c r="CZ59031" s="256"/>
      <c r="DG59031" s="256"/>
    </row>
    <row r="59032" spans="104:111">
      <c r="CZ59032" s="256"/>
      <c r="DG59032" s="256"/>
    </row>
    <row r="59033" spans="104:111">
      <c r="CZ59033" s="256"/>
      <c r="DG59033" s="256"/>
    </row>
    <row r="59034" spans="104:111">
      <c r="CZ59034" s="256"/>
      <c r="DG59034" s="256"/>
    </row>
    <row r="59035" spans="104:111">
      <c r="CZ59035" s="256"/>
      <c r="DG59035" s="256"/>
    </row>
    <row r="59036" spans="104:111">
      <c r="CZ59036" s="256"/>
      <c r="DG59036" s="256"/>
    </row>
    <row r="59037" spans="104:111">
      <c r="CZ59037" s="256"/>
      <c r="DG59037" s="256"/>
    </row>
    <row r="59038" spans="104:111">
      <c r="CZ59038" s="256"/>
      <c r="DG59038" s="256"/>
    </row>
    <row r="59039" spans="104:111">
      <c r="CZ59039" s="256"/>
      <c r="DG59039" s="256"/>
    </row>
    <row r="59040" spans="104:111">
      <c r="CZ59040" s="256"/>
      <c r="DG59040" s="256"/>
    </row>
    <row r="59041" spans="104:111">
      <c r="CZ59041" s="256"/>
      <c r="DG59041" s="256"/>
    </row>
    <row r="59042" spans="104:111">
      <c r="CZ59042" s="256"/>
      <c r="DG59042" s="256"/>
    </row>
    <row r="59043" spans="104:111">
      <c r="CZ59043" s="256"/>
      <c r="DG59043" s="256"/>
    </row>
    <row r="59044" spans="104:111">
      <c r="CZ59044" s="256"/>
      <c r="DG59044" s="256"/>
    </row>
    <row r="59045" spans="104:111">
      <c r="CZ59045" s="256"/>
      <c r="DG59045" s="256"/>
    </row>
    <row r="59046" spans="104:111">
      <c r="CZ59046" s="256"/>
      <c r="DG59046" s="256"/>
    </row>
    <row r="59047" spans="104:111">
      <c r="CZ59047" s="256"/>
      <c r="DG59047" s="256"/>
    </row>
    <row r="59048" spans="104:111">
      <c r="CZ59048" s="256"/>
      <c r="DG59048" s="256"/>
    </row>
    <row r="59049" spans="104:111">
      <c r="CZ59049" s="256"/>
      <c r="DG59049" s="256"/>
    </row>
    <row r="59050" spans="104:111">
      <c r="CZ59050" s="256"/>
      <c r="DG59050" s="256"/>
    </row>
    <row r="59051" spans="104:111">
      <c r="CZ59051" s="256"/>
      <c r="DG59051" s="256"/>
    </row>
    <row r="59052" spans="104:111">
      <c r="CZ59052" s="256"/>
      <c r="DG59052" s="256"/>
    </row>
    <row r="59053" spans="104:111">
      <c r="CZ59053" s="256"/>
      <c r="DG59053" s="256"/>
    </row>
    <row r="59054" spans="104:111">
      <c r="CZ59054" s="256"/>
      <c r="DG59054" s="256"/>
    </row>
    <row r="59055" spans="104:111">
      <c r="CZ59055" s="256"/>
      <c r="DG59055" s="256"/>
    </row>
    <row r="59056" spans="104:111">
      <c r="CZ59056" s="256"/>
      <c r="DG59056" s="256"/>
    </row>
    <row r="59057" spans="104:111">
      <c r="CZ59057" s="256"/>
      <c r="DG59057" s="256"/>
    </row>
    <row r="59058" spans="104:111">
      <c r="CZ59058" s="256"/>
      <c r="DG59058" s="256"/>
    </row>
    <row r="59059" spans="104:111">
      <c r="CZ59059" s="256"/>
      <c r="DG59059" s="256"/>
    </row>
    <row r="59060" spans="104:111">
      <c r="CZ59060" s="256"/>
      <c r="DG59060" s="256"/>
    </row>
    <row r="59061" spans="104:111">
      <c r="CZ59061" s="256"/>
      <c r="DG59061" s="256"/>
    </row>
    <row r="59062" spans="104:111">
      <c r="CZ59062" s="256"/>
      <c r="DG59062" s="256"/>
    </row>
    <row r="59063" spans="104:111">
      <c r="CZ59063" s="256"/>
      <c r="DG59063" s="256"/>
    </row>
    <row r="59064" spans="104:111">
      <c r="CZ59064" s="256"/>
      <c r="DG59064" s="256"/>
    </row>
    <row r="59065" spans="104:111">
      <c r="CZ59065" s="256"/>
      <c r="DG59065" s="256"/>
    </row>
    <row r="59066" spans="104:111">
      <c r="CZ59066" s="256"/>
      <c r="DG59066" s="256"/>
    </row>
    <row r="59067" spans="104:111">
      <c r="CZ59067" s="256"/>
      <c r="DG59067" s="256"/>
    </row>
    <row r="59068" spans="104:111">
      <c r="CZ59068" s="256"/>
      <c r="DG59068" s="256"/>
    </row>
    <row r="59069" spans="104:111">
      <c r="CZ59069" s="256"/>
      <c r="DG59069" s="256"/>
    </row>
    <row r="59070" spans="104:111">
      <c r="CZ59070" s="256"/>
      <c r="DG59070" s="256"/>
    </row>
    <row r="59071" spans="104:111">
      <c r="CZ59071" s="256"/>
      <c r="DG59071" s="256"/>
    </row>
    <row r="59072" spans="104:111">
      <c r="CZ59072" s="256"/>
      <c r="DG59072" s="256"/>
    </row>
    <row r="59073" spans="104:111">
      <c r="CZ59073" s="256"/>
      <c r="DG59073" s="256"/>
    </row>
    <row r="59074" spans="104:111">
      <c r="CZ59074" s="256"/>
      <c r="DG59074" s="256"/>
    </row>
    <row r="59075" spans="104:111">
      <c r="CZ59075" s="256"/>
      <c r="DG59075" s="256"/>
    </row>
    <row r="59076" spans="104:111">
      <c r="CZ59076" s="256"/>
      <c r="DG59076" s="256"/>
    </row>
    <row r="59077" spans="104:111">
      <c r="CZ59077" s="256"/>
      <c r="DG59077" s="256"/>
    </row>
    <row r="59078" spans="104:111">
      <c r="CZ59078" s="256"/>
      <c r="DG59078" s="256"/>
    </row>
    <row r="59079" spans="104:111">
      <c r="CZ59079" s="256"/>
      <c r="DG59079" s="256"/>
    </row>
    <row r="59080" spans="104:111">
      <c r="CZ59080" s="256"/>
      <c r="DG59080" s="256"/>
    </row>
    <row r="59081" spans="104:111">
      <c r="CZ59081" s="256"/>
      <c r="DG59081" s="256"/>
    </row>
    <row r="59082" spans="104:111">
      <c r="CZ59082" s="256"/>
      <c r="DG59082" s="256"/>
    </row>
    <row r="59083" spans="104:111">
      <c r="CZ59083" s="256"/>
      <c r="DG59083" s="256"/>
    </row>
    <row r="59084" spans="104:111">
      <c r="CZ59084" s="256"/>
      <c r="DG59084" s="256"/>
    </row>
    <row r="59085" spans="104:111">
      <c r="CZ59085" s="256"/>
      <c r="DG59085" s="256"/>
    </row>
    <row r="59086" spans="104:111">
      <c r="CZ59086" s="256"/>
      <c r="DG59086" s="256"/>
    </row>
    <row r="59087" spans="104:111">
      <c r="CZ59087" s="256"/>
      <c r="DG59087" s="256"/>
    </row>
    <row r="59088" spans="104:111">
      <c r="CZ59088" s="256"/>
      <c r="DG59088" s="256"/>
    </row>
    <row r="59089" spans="104:111">
      <c r="CZ59089" s="256"/>
      <c r="DG59089" s="256"/>
    </row>
    <row r="59090" spans="104:111">
      <c r="CZ59090" s="256"/>
      <c r="DG59090" s="256"/>
    </row>
    <row r="59091" spans="104:111">
      <c r="CZ59091" s="256"/>
      <c r="DG59091" s="256"/>
    </row>
    <row r="59092" spans="104:111">
      <c r="CZ59092" s="256"/>
      <c r="DG59092" s="256"/>
    </row>
    <row r="59093" spans="104:111">
      <c r="CZ59093" s="256"/>
      <c r="DG59093" s="256"/>
    </row>
    <row r="59094" spans="104:111">
      <c r="CZ59094" s="256"/>
      <c r="DG59094" s="256"/>
    </row>
    <row r="59095" spans="104:111">
      <c r="CZ59095" s="256"/>
      <c r="DG59095" s="256"/>
    </row>
    <row r="59096" spans="104:111">
      <c r="CZ59096" s="256"/>
      <c r="DG59096" s="256"/>
    </row>
    <row r="59097" spans="104:111">
      <c r="CZ59097" s="256"/>
      <c r="DG59097" s="256"/>
    </row>
    <row r="59098" spans="104:111">
      <c r="CZ59098" s="256"/>
      <c r="DG59098" s="256"/>
    </row>
    <row r="59099" spans="104:111">
      <c r="CZ59099" s="256"/>
      <c r="DG59099" s="256"/>
    </row>
    <row r="59100" spans="104:111">
      <c r="CZ59100" s="256"/>
      <c r="DG59100" s="256"/>
    </row>
    <row r="59101" spans="104:111">
      <c r="CZ59101" s="256"/>
      <c r="DG59101" s="256"/>
    </row>
    <row r="59102" spans="104:111">
      <c r="CZ59102" s="256"/>
      <c r="DG59102" s="256"/>
    </row>
    <row r="59103" spans="104:111">
      <c r="CZ59103" s="256"/>
      <c r="DG59103" s="256"/>
    </row>
    <row r="59104" spans="104:111">
      <c r="CZ59104" s="256"/>
      <c r="DG59104" s="256"/>
    </row>
    <row r="59105" spans="104:111">
      <c r="CZ59105" s="256"/>
      <c r="DG59105" s="256"/>
    </row>
    <row r="59106" spans="104:111">
      <c r="CZ59106" s="256"/>
      <c r="DG59106" s="256"/>
    </row>
    <row r="59107" spans="104:111">
      <c r="CZ59107" s="256"/>
      <c r="DG59107" s="256"/>
    </row>
    <row r="59108" spans="104:111">
      <c r="CZ59108" s="256"/>
      <c r="DG59108" s="256"/>
    </row>
    <row r="59109" spans="104:111">
      <c r="CZ59109" s="256"/>
      <c r="DG59109" s="256"/>
    </row>
    <row r="59110" spans="104:111">
      <c r="CZ59110" s="256"/>
      <c r="DG59110" s="256"/>
    </row>
    <row r="59111" spans="104:111">
      <c r="CZ59111" s="256"/>
      <c r="DG59111" s="256"/>
    </row>
    <row r="59112" spans="104:111">
      <c r="CZ59112" s="256"/>
      <c r="DG59112" s="256"/>
    </row>
    <row r="59113" spans="104:111">
      <c r="CZ59113" s="256"/>
      <c r="DG59113" s="256"/>
    </row>
    <row r="59114" spans="104:111">
      <c r="CZ59114" s="256"/>
      <c r="DG59114" s="256"/>
    </row>
    <row r="59115" spans="104:111">
      <c r="CZ59115" s="256"/>
      <c r="DG59115" s="256"/>
    </row>
    <row r="59116" spans="104:111">
      <c r="CZ59116" s="256"/>
      <c r="DG59116" s="256"/>
    </row>
    <row r="59117" spans="104:111">
      <c r="CZ59117" s="256"/>
      <c r="DG59117" s="256"/>
    </row>
    <row r="59118" spans="104:111">
      <c r="CZ59118" s="256"/>
      <c r="DG59118" s="256"/>
    </row>
    <row r="59119" spans="104:111">
      <c r="CZ59119" s="256"/>
      <c r="DG59119" s="256"/>
    </row>
    <row r="59120" spans="104:111">
      <c r="CZ59120" s="256"/>
      <c r="DG59120" s="256"/>
    </row>
    <row r="59121" spans="104:111">
      <c r="CZ59121" s="256"/>
      <c r="DG59121" s="256"/>
    </row>
    <row r="59122" spans="104:111">
      <c r="CZ59122" s="256"/>
      <c r="DG59122" s="256"/>
    </row>
    <row r="59123" spans="104:111">
      <c r="CZ59123" s="256"/>
      <c r="DG59123" s="256"/>
    </row>
    <row r="59124" spans="104:111">
      <c r="CZ59124" s="256"/>
      <c r="DG59124" s="256"/>
    </row>
    <row r="59125" spans="104:111">
      <c r="CZ59125" s="256"/>
      <c r="DG59125" s="256"/>
    </row>
    <row r="59126" spans="104:111">
      <c r="CZ59126" s="256"/>
      <c r="DG59126" s="256"/>
    </row>
    <row r="59127" spans="104:111">
      <c r="CZ59127" s="256"/>
      <c r="DG59127" s="256"/>
    </row>
    <row r="59128" spans="104:111">
      <c r="CZ59128" s="256"/>
      <c r="DG59128" s="256"/>
    </row>
    <row r="59129" spans="104:111">
      <c r="CZ59129" s="256"/>
      <c r="DG59129" s="256"/>
    </row>
    <row r="59130" spans="104:111">
      <c r="CZ59130" s="256"/>
      <c r="DG59130" s="256"/>
    </row>
    <row r="59131" spans="104:111">
      <c r="CZ59131" s="256"/>
      <c r="DG59131" s="256"/>
    </row>
    <row r="59132" spans="104:111">
      <c r="CZ59132" s="256"/>
      <c r="DG59132" s="256"/>
    </row>
    <row r="59133" spans="104:111">
      <c r="CZ59133" s="256"/>
      <c r="DG59133" s="256"/>
    </row>
    <row r="59134" spans="104:111">
      <c r="CZ59134" s="256"/>
      <c r="DG59134" s="256"/>
    </row>
    <row r="59135" spans="104:111">
      <c r="CZ59135" s="256"/>
      <c r="DG59135" s="256"/>
    </row>
    <row r="59136" spans="104:111">
      <c r="CZ59136" s="256"/>
      <c r="DG59136" s="256"/>
    </row>
    <row r="59137" spans="104:111">
      <c r="CZ59137" s="256"/>
      <c r="DG59137" s="256"/>
    </row>
    <row r="59138" spans="104:111">
      <c r="CZ59138" s="256"/>
      <c r="DG59138" s="256"/>
    </row>
    <row r="59139" spans="104:111">
      <c r="CZ59139" s="256"/>
      <c r="DG59139" s="256"/>
    </row>
    <row r="59140" spans="104:111">
      <c r="CZ59140" s="256"/>
      <c r="DG59140" s="256"/>
    </row>
    <row r="59141" spans="104:111">
      <c r="CZ59141" s="256"/>
      <c r="DG59141" s="256"/>
    </row>
    <row r="59142" spans="104:111">
      <c r="CZ59142" s="256"/>
      <c r="DG59142" s="256"/>
    </row>
    <row r="59143" spans="104:111">
      <c r="CZ59143" s="256"/>
      <c r="DG59143" s="256"/>
    </row>
    <row r="59144" spans="104:111">
      <c r="CZ59144" s="256"/>
      <c r="DG59144" s="256"/>
    </row>
    <row r="59145" spans="104:111">
      <c r="CZ59145" s="256"/>
      <c r="DG59145" s="256"/>
    </row>
    <row r="59146" spans="104:111">
      <c r="CZ59146" s="256"/>
      <c r="DG59146" s="256"/>
    </row>
    <row r="59147" spans="104:111">
      <c r="CZ59147" s="256"/>
      <c r="DG59147" s="256"/>
    </row>
    <row r="59148" spans="104:111">
      <c r="CZ59148" s="256"/>
      <c r="DG59148" s="256"/>
    </row>
    <row r="59149" spans="104:111">
      <c r="CZ59149" s="256"/>
      <c r="DG59149" s="256"/>
    </row>
    <row r="59150" spans="104:111">
      <c r="CZ59150" s="256"/>
      <c r="DG59150" s="256"/>
    </row>
    <row r="59151" spans="104:111">
      <c r="CZ59151" s="256"/>
      <c r="DG59151" s="256"/>
    </row>
    <row r="59152" spans="104:111">
      <c r="CZ59152" s="256"/>
      <c r="DG59152" s="256"/>
    </row>
    <row r="59153" spans="104:111">
      <c r="CZ59153" s="256"/>
      <c r="DG59153" s="256"/>
    </row>
    <row r="59154" spans="104:111">
      <c r="CZ59154" s="256"/>
      <c r="DG59154" s="256"/>
    </row>
    <row r="59155" spans="104:111">
      <c r="CZ59155" s="256"/>
      <c r="DG59155" s="256"/>
    </row>
    <row r="59156" spans="104:111">
      <c r="CZ59156" s="256"/>
      <c r="DG59156" s="256"/>
    </row>
    <row r="59157" spans="104:111">
      <c r="CZ59157" s="256"/>
      <c r="DG59157" s="256"/>
    </row>
    <row r="59158" spans="104:111">
      <c r="CZ59158" s="256"/>
      <c r="DG59158" s="256"/>
    </row>
    <row r="59159" spans="104:111">
      <c r="CZ59159" s="256"/>
      <c r="DG59159" s="256"/>
    </row>
    <row r="59160" spans="104:111">
      <c r="CZ59160" s="256"/>
      <c r="DG59160" s="256"/>
    </row>
    <row r="59161" spans="104:111">
      <c r="CZ59161" s="256"/>
      <c r="DG59161" s="256"/>
    </row>
    <row r="59162" spans="104:111">
      <c r="CZ59162" s="256"/>
      <c r="DG59162" s="256"/>
    </row>
    <row r="59163" spans="104:111">
      <c r="CZ59163" s="256"/>
      <c r="DG59163" s="256"/>
    </row>
    <row r="59164" spans="104:111">
      <c r="CZ59164" s="256"/>
      <c r="DG59164" s="256"/>
    </row>
    <row r="59165" spans="104:111">
      <c r="CZ59165" s="256"/>
      <c r="DG59165" s="256"/>
    </row>
    <row r="59166" spans="104:111">
      <c r="CZ59166" s="256"/>
      <c r="DG59166" s="256"/>
    </row>
    <row r="59167" spans="104:111">
      <c r="CZ59167" s="256"/>
      <c r="DG59167" s="256"/>
    </row>
    <row r="59168" spans="104:111">
      <c r="CZ59168" s="256"/>
      <c r="DG59168" s="256"/>
    </row>
    <row r="59169" spans="104:111">
      <c r="CZ59169" s="256"/>
      <c r="DG59169" s="256"/>
    </row>
    <row r="59170" spans="104:111">
      <c r="CZ59170" s="256"/>
      <c r="DG59170" s="256"/>
    </row>
    <row r="59171" spans="104:111">
      <c r="CZ59171" s="256"/>
      <c r="DG59171" s="256"/>
    </row>
    <row r="59172" spans="104:111">
      <c r="CZ59172" s="256"/>
      <c r="DG59172" s="256"/>
    </row>
    <row r="59173" spans="104:111">
      <c r="CZ59173" s="256"/>
      <c r="DG59173" s="256"/>
    </row>
    <row r="59174" spans="104:111">
      <c r="CZ59174" s="256"/>
      <c r="DG59174" s="256"/>
    </row>
    <row r="59175" spans="104:111">
      <c r="CZ59175" s="256"/>
      <c r="DG59175" s="256"/>
    </row>
    <row r="59176" spans="104:111">
      <c r="CZ59176" s="256"/>
      <c r="DG59176" s="256"/>
    </row>
    <row r="59177" spans="104:111">
      <c r="CZ59177" s="256"/>
      <c r="DG59177" s="256"/>
    </row>
    <row r="59178" spans="104:111">
      <c r="CZ59178" s="256"/>
      <c r="DG59178" s="256"/>
    </row>
    <row r="59179" spans="104:111">
      <c r="CZ59179" s="256"/>
      <c r="DG59179" s="256"/>
    </row>
    <row r="59180" spans="104:111">
      <c r="CZ59180" s="256"/>
      <c r="DG59180" s="256"/>
    </row>
    <row r="59181" spans="104:111">
      <c r="CZ59181" s="256"/>
      <c r="DG59181" s="256"/>
    </row>
    <row r="59182" spans="104:111">
      <c r="CZ59182" s="256"/>
      <c r="DG59182" s="256"/>
    </row>
    <row r="59183" spans="104:111">
      <c r="CZ59183" s="256"/>
      <c r="DG59183" s="256"/>
    </row>
    <row r="59184" spans="104:111">
      <c r="CZ59184" s="256"/>
      <c r="DG59184" s="256"/>
    </row>
    <row r="59185" spans="104:111">
      <c r="CZ59185" s="256"/>
      <c r="DG59185" s="256"/>
    </row>
    <row r="59186" spans="104:111">
      <c r="CZ59186" s="256"/>
      <c r="DG59186" s="256"/>
    </row>
    <row r="59187" spans="104:111">
      <c r="CZ59187" s="256"/>
      <c r="DG59187" s="256"/>
    </row>
    <row r="59188" spans="104:111">
      <c r="CZ59188" s="256"/>
      <c r="DG59188" s="256"/>
    </row>
    <row r="59189" spans="104:111">
      <c r="CZ59189" s="256"/>
      <c r="DG59189" s="256"/>
    </row>
    <row r="59190" spans="104:111">
      <c r="CZ59190" s="256"/>
      <c r="DG59190" s="256"/>
    </row>
    <row r="59191" spans="104:111">
      <c r="CZ59191" s="256"/>
      <c r="DG59191" s="256"/>
    </row>
    <row r="59192" spans="104:111">
      <c r="CZ59192" s="256"/>
      <c r="DG59192" s="256"/>
    </row>
    <row r="59193" spans="104:111">
      <c r="CZ59193" s="256"/>
      <c r="DG59193" s="256"/>
    </row>
    <row r="59194" spans="104:111">
      <c r="CZ59194" s="256"/>
      <c r="DG59194" s="256"/>
    </row>
    <row r="59195" spans="104:111">
      <c r="CZ59195" s="256"/>
      <c r="DG59195" s="256"/>
    </row>
    <row r="59196" spans="104:111">
      <c r="CZ59196" s="256"/>
      <c r="DG59196" s="256"/>
    </row>
    <row r="59197" spans="104:111">
      <c r="CZ59197" s="256"/>
      <c r="DG59197" s="256"/>
    </row>
    <row r="59198" spans="104:111">
      <c r="CZ59198" s="256"/>
      <c r="DG59198" s="256"/>
    </row>
    <row r="59199" spans="104:111">
      <c r="CZ59199" s="256"/>
      <c r="DG59199" s="256"/>
    </row>
    <row r="59200" spans="104:111">
      <c r="CZ59200" s="256"/>
      <c r="DG59200" s="256"/>
    </row>
    <row r="59201" spans="104:111">
      <c r="CZ59201" s="256"/>
      <c r="DG59201" s="256"/>
    </row>
    <row r="59202" spans="104:111">
      <c r="CZ59202" s="256"/>
      <c r="DG59202" s="256"/>
    </row>
    <row r="59203" spans="104:111">
      <c r="CZ59203" s="256"/>
      <c r="DG59203" s="256"/>
    </row>
    <row r="59204" spans="104:111">
      <c r="CZ59204" s="256"/>
      <c r="DG59204" s="256"/>
    </row>
    <row r="59205" spans="104:111">
      <c r="CZ59205" s="256"/>
      <c r="DG59205" s="256"/>
    </row>
    <row r="59206" spans="104:111">
      <c r="CZ59206" s="256"/>
      <c r="DG59206" s="256"/>
    </row>
    <row r="59207" spans="104:111">
      <c r="CZ59207" s="256"/>
      <c r="DG59207" s="256"/>
    </row>
    <row r="59208" spans="104:111">
      <c r="CZ59208" s="256"/>
      <c r="DG59208" s="256"/>
    </row>
    <row r="59209" spans="104:111">
      <c r="CZ59209" s="256"/>
      <c r="DG59209" s="256"/>
    </row>
    <row r="59210" spans="104:111">
      <c r="CZ59210" s="256"/>
      <c r="DG59210" s="256"/>
    </row>
    <row r="59211" spans="104:111">
      <c r="CZ59211" s="256"/>
      <c r="DG59211" s="256"/>
    </row>
    <row r="59212" spans="104:111">
      <c r="CZ59212" s="256"/>
      <c r="DG59212" s="256"/>
    </row>
    <row r="59213" spans="104:111">
      <c r="CZ59213" s="256"/>
      <c r="DG59213" s="256"/>
    </row>
    <row r="59214" spans="104:111">
      <c r="CZ59214" s="256"/>
      <c r="DG59214" s="256"/>
    </row>
    <row r="59215" spans="104:111">
      <c r="CZ59215" s="256"/>
      <c r="DG59215" s="256"/>
    </row>
    <row r="59216" spans="104:111">
      <c r="CZ59216" s="256"/>
      <c r="DG59216" s="256"/>
    </row>
    <row r="59217" spans="104:111">
      <c r="CZ59217" s="256"/>
      <c r="DG59217" s="256"/>
    </row>
    <row r="59218" spans="104:111">
      <c r="CZ59218" s="256"/>
      <c r="DG59218" s="256"/>
    </row>
    <row r="59219" spans="104:111">
      <c r="CZ59219" s="256"/>
      <c r="DG59219" s="256"/>
    </row>
    <row r="59220" spans="104:111">
      <c r="CZ59220" s="256"/>
      <c r="DG59220" s="256"/>
    </row>
    <row r="59221" spans="104:111">
      <c r="CZ59221" s="256"/>
      <c r="DG59221" s="256"/>
    </row>
    <row r="59222" spans="104:111">
      <c r="CZ59222" s="256"/>
      <c r="DG59222" s="256"/>
    </row>
    <row r="59223" spans="104:111">
      <c r="CZ59223" s="256"/>
      <c r="DG59223" s="256"/>
    </row>
    <row r="59224" spans="104:111">
      <c r="CZ59224" s="256"/>
      <c r="DG59224" s="256"/>
    </row>
    <row r="59225" spans="104:111">
      <c r="CZ59225" s="256"/>
      <c r="DG59225" s="256"/>
    </row>
    <row r="59226" spans="104:111">
      <c r="CZ59226" s="256"/>
      <c r="DG59226" s="256"/>
    </row>
    <row r="59227" spans="104:111">
      <c r="CZ59227" s="256"/>
      <c r="DG59227" s="256"/>
    </row>
    <row r="59228" spans="104:111">
      <c r="CZ59228" s="256"/>
      <c r="DG59228" s="256"/>
    </row>
    <row r="59229" spans="104:111">
      <c r="CZ59229" s="256"/>
      <c r="DG59229" s="256"/>
    </row>
    <row r="59230" spans="104:111">
      <c r="CZ59230" s="256"/>
      <c r="DG59230" s="256"/>
    </row>
    <row r="59231" spans="104:111">
      <c r="CZ59231" s="256"/>
      <c r="DG59231" s="256"/>
    </row>
    <row r="59232" spans="104:111">
      <c r="CZ59232" s="256"/>
      <c r="DG59232" s="256"/>
    </row>
    <row r="59233" spans="104:111">
      <c r="CZ59233" s="256"/>
      <c r="DG59233" s="256"/>
    </row>
    <row r="59234" spans="104:111">
      <c r="CZ59234" s="256"/>
      <c r="DG59234" s="256"/>
    </row>
    <row r="59235" spans="104:111">
      <c r="CZ59235" s="256"/>
      <c r="DG59235" s="256"/>
    </row>
    <row r="59236" spans="104:111">
      <c r="CZ59236" s="256"/>
      <c r="DG59236" s="256"/>
    </row>
    <row r="59237" spans="104:111">
      <c r="CZ59237" s="256"/>
      <c r="DG59237" s="256"/>
    </row>
    <row r="59238" spans="104:111">
      <c r="CZ59238" s="256"/>
      <c r="DG59238" s="256"/>
    </row>
    <row r="59239" spans="104:111">
      <c r="CZ59239" s="256"/>
      <c r="DG59239" s="256"/>
    </row>
    <row r="59240" spans="104:111">
      <c r="CZ59240" s="256"/>
      <c r="DG59240" s="256"/>
    </row>
    <row r="59241" spans="104:111">
      <c r="CZ59241" s="256"/>
      <c r="DG59241" s="256"/>
    </row>
    <row r="59242" spans="104:111">
      <c r="CZ59242" s="256"/>
      <c r="DG59242" s="256"/>
    </row>
    <row r="59243" spans="104:111">
      <c r="CZ59243" s="256"/>
      <c r="DG59243" s="256"/>
    </row>
    <row r="59244" spans="104:111">
      <c r="CZ59244" s="256"/>
      <c r="DG59244" s="256"/>
    </row>
    <row r="59245" spans="104:111">
      <c r="CZ59245" s="256"/>
      <c r="DG59245" s="256"/>
    </row>
    <row r="59246" spans="104:111">
      <c r="CZ59246" s="256"/>
      <c r="DG59246" s="256"/>
    </row>
    <row r="59247" spans="104:111">
      <c r="CZ59247" s="256"/>
      <c r="DG59247" s="256"/>
    </row>
    <row r="59248" spans="104:111">
      <c r="CZ59248" s="256"/>
      <c r="DG59248" s="256"/>
    </row>
    <row r="59249" spans="104:111">
      <c r="CZ59249" s="256"/>
      <c r="DG59249" s="256"/>
    </row>
    <row r="59250" spans="104:111">
      <c r="CZ59250" s="256"/>
      <c r="DG59250" s="256"/>
    </row>
    <row r="59251" spans="104:111">
      <c r="CZ59251" s="256"/>
      <c r="DG59251" s="256"/>
    </row>
    <row r="59252" spans="104:111">
      <c r="CZ59252" s="256"/>
      <c r="DG59252" s="256"/>
    </row>
    <row r="59253" spans="104:111">
      <c r="CZ59253" s="256"/>
      <c r="DG59253" s="256"/>
    </row>
    <row r="59254" spans="104:111">
      <c r="CZ59254" s="256"/>
      <c r="DG59254" s="256"/>
    </row>
    <row r="59255" spans="104:111">
      <c r="CZ59255" s="256"/>
      <c r="DG59255" s="256"/>
    </row>
    <row r="59256" spans="104:111">
      <c r="CZ59256" s="256"/>
      <c r="DG59256" s="256"/>
    </row>
    <row r="59257" spans="104:111">
      <c r="CZ59257" s="256"/>
      <c r="DG59257" s="256"/>
    </row>
    <row r="59258" spans="104:111">
      <c r="CZ59258" s="256"/>
      <c r="DG59258" s="256"/>
    </row>
    <row r="59259" spans="104:111">
      <c r="CZ59259" s="256"/>
      <c r="DG59259" s="256"/>
    </row>
    <row r="59260" spans="104:111">
      <c r="CZ59260" s="256"/>
      <c r="DG59260" s="256"/>
    </row>
    <row r="59261" spans="104:111">
      <c r="CZ59261" s="256"/>
      <c r="DG59261" s="256"/>
    </row>
    <row r="59262" spans="104:111">
      <c r="CZ59262" s="256"/>
      <c r="DG59262" s="256"/>
    </row>
    <row r="59263" spans="104:111">
      <c r="CZ59263" s="256"/>
      <c r="DG59263" s="256"/>
    </row>
    <row r="59264" spans="104:111">
      <c r="CZ59264" s="256"/>
      <c r="DG59264" s="256"/>
    </row>
    <row r="59265" spans="104:111">
      <c r="CZ59265" s="256"/>
      <c r="DG59265" s="256"/>
    </row>
    <row r="59266" spans="104:111">
      <c r="CZ59266" s="256"/>
      <c r="DG59266" s="256"/>
    </row>
    <row r="59267" spans="104:111">
      <c r="CZ59267" s="256"/>
      <c r="DG59267" s="256"/>
    </row>
    <row r="59268" spans="104:111">
      <c r="CZ59268" s="256"/>
      <c r="DG59268" s="256"/>
    </row>
    <row r="59269" spans="104:111">
      <c r="CZ59269" s="256"/>
      <c r="DG59269" s="256"/>
    </row>
    <row r="59270" spans="104:111">
      <c r="CZ59270" s="256"/>
      <c r="DG59270" s="256"/>
    </row>
    <row r="59271" spans="104:111">
      <c r="CZ59271" s="256"/>
      <c r="DG59271" s="256"/>
    </row>
    <row r="59272" spans="104:111">
      <c r="CZ59272" s="256"/>
      <c r="DG59272" s="256"/>
    </row>
    <row r="59273" spans="104:111">
      <c r="CZ59273" s="256"/>
      <c r="DG59273" s="256"/>
    </row>
    <row r="59274" spans="104:111">
      <c r="CZ59274" s="256"/>
      <c r="DG59274" s="256"/>
    </row>
    <row r="59275" spans="104:111">
      <c r="CZ59275" s="256"/>
      <c r="DG59275" s="256"/>
    </row>
    <row r="59276" spans="104:111">
      <c r="CZ59276" s="256"/>
      <c r="DG59276" s="256"/>
    </row>
    <row r="59277" spans="104:111">
      <c r="CZ59277" s="256"/>
      <c r="DG59277" s="256"/>
    </row>
    <row r="59278" spans="104:111">
      <c r="CZ59278" s="256"/>
      <c r="DG59278" s="256"/>
    </row>
    <row r="59279" spans="104:111">
      <c r="CZ59279" s="256"/>
      <c r="DG59279" s="256"/>
    </row>
    <row r="59280" spans="104:111">
      <c r="CZ59280" s="256"/>
      <c r="DG59280" s="256"/>
    </row>
    <row r="59281" spans="104:111">
      <c r="CZ59281" s="256"/>
      <c r="DG59281" s="256"/>
    </row>
    <row r="59282" spans="104:111">
      <c r="CZ59282" s="256"/>
      <c r="DG59282" s="256"/>
    </row>
    <row r="59283" spans="104:111">
      <c r="CZ59283" s="256"/>
      <c r="DG59283" s="256"/>
    </row>
    <row r="59284" spans="104:111">
      <c r="CZ59284" s="256"/>
      <c r="DG59284" s="256"/>
    </row>
    <row r="59285" spans="104:111">
      <c r="CZ59285" s="256"/>
      <c r="DG59285" s="256"/>
    </row>
    <row r="59286" spans="104:111">
      <c r="CZ59286" s="256"/>
      <c r="DG59286" s="256"/>
    </row>
    <row r="59287" spans="104:111">
      <c r="CZ59287" s="256"/>
      <c r="DG59287" s="256"/>
    </row>
    <row r="59288" spans="104:111">
      <c r="CZ59288" s="256"/>
      <c r="DG59288" s="256"/>
    </row>
    <row r="59289" spans="104:111">
      <c r="CZ59289" s="256"/>
      <c r="DG59289" s="256"/>
    </row>
    <row r="59290" spans="104:111">
      <c r="CZ59290" s="256"/>
      <c r="DG59290" s="256"/>
    </row>
    <row r="59291" spans="104:111">
      <c r="CZ59291" s="256"/>
      <c r="DG59291" s="256"/>
    </row>
    <row r="59292" spans="104:111">
      <c r="CZ59292" s="256"/>
      <c r="DG59292" s="256"/>
    </row>
    <row r="59293" spans="104:111">
      <c r="CZ59293" s="256"/>
      <c r="DG59293" s="256"/>
    </row>
    <row r="59294" spans="104:111">
      <c r="CZ59294" s="256"/>
      <c r="DG59294" s="256"/>
    </row>
    <row r="59295" spans="104:111">
      <c r="CZ59295" s="256"/>
      <c r="DG59295" s="256"/>
    </row>
    <row r="59296" spans="104:111">
      <c r="CZ59296" s="256"/>
      <c r="DG59296" s="256"/>
    </row>
    <row r="59297" spans="104:111">
      <c r="CZ59297" s="256"/>
      <c r="DG59297" s="256"/>
    </row>
    <row r="59298" spans="104:111">
      <c r="CZ59298" s="256"/>
      <c r="DG59298" s="256"/>
    </row>
    <row r="59299" spans="104:111">
      <c r="CZ59299" s="256"/>
      <c r="DG59299" s="256"/>
    </row>
    <row r="59300" spans="104:111">
      <c r="CZ59300" s="256"/>
      <c r="DG59300" s="256"/>
    </row>
    <row r="59301" spans="104:111">
      <c r="CZ59301" s="256"/>
      <c r="DG59301" s="256"/>
    </row>
    <row r="59302" spans="104:111">
      <c r="CZ59302" s="256"/>
      <c r="DG59302" s="256"/>
    </row>
    <row r="59303" spans="104:111">
      <c r="CZ59303" s="256"/>
      <c r="DG59303" s="256"/>
    </row>
    <row r="59304" spans="104:111">
      <c r="CZ59304" s="256"/>
      <c r="DG59304" s="256"/>
    </row>
    <row r="59305" spans="104:111">
      <c r="CZ59305" s="256"/>
      <c r="DG59305" s="256"/>
    </row>
    <row r="59306" spans="104:111">
      <c r="CZ59306" s="256"/>
      <c r="DG59306" s="256"/>
    </row>
    <row r="59307" spans="104:111">
      <c r="CZ59307" s="256"/>
      <c r="DG59307" s="256"/>
    </row>
    <row r="59308" spans="104:111">
      <c r="CZ59308" s="256"/>
      <c r="DG59308" s="256"/>
    </row>
    <row r="59309" spans="104:111">
      <c r="CZ59309" s="256"/>
      <c r="DG59309" s="256"/>
    </row>
    <row r="59310" spans="104:111">
      <c r="CZ59310" s="256"/>
      <c r="DG59310" s="256"/>
    </row>
    <row r="59311" spans="104:111">
      <c r="CZ59311" s="256"/>
      <c r="DG59311" s="256"/>
    </row>
    <row r="59312" spans="104:111">
      <c r="CZ59312" s="256"/>
      <c r="DG59312" s="256"/>
    </row>
    <row r="59313" spans="104:111">
      <c r="CZ59313" s="256"/>
      <c r="DG59313" s="256"/>
    </row>
    <row r="59314" spans="104:111">
      <c r="CZ59314" s="256"/>
      <c r="DG59314" s="256"/>
    </row>
    <row r="59315" spans="104:111">
      <c r="CZ59315" s="256"/>
      <c r="DG59315" s="256"/>
    </row>
    <row r="59316" spans="104:111">
      <c r="CZ59316" s="256"/>
      <c r="DG59316" s="256"/>
    </row>
    <row r="59317" spans="104:111">
      <c r="CZ59317" s="256"/>
      <c r="DG59317" s="256"/>
    </row>
    <row r="59318" spans="104:111">
      <c r="CZ59318" s="256"/>
      <c r="DG59318" s="256"/>
    </row>
    <row r="59319" spans="104:111">
      <c r="CZ59319" s="256"/>
      <c r="DG59319" s="256"/>
    </row>
    <row r="59320" spans="104:111">
      <c r="CZ59320" s="256"/>
      <c r="DG59320" s="256"/>
    </row>
    <row r="59321" spans="104:111">
      <c r="CZ59321" s="256"/>
      <c r="DG59321" s="256"/>
    </row>
    <row r="59322" spans="104:111">
      <c r="CZ59322" s="256"/>
      <c r="DG59322" s="256"/>
    </row>
    <row r="59323" spans="104:111">
      <c r="CZ59323" s="256"/>
      <c r="DG59323" s="256"/>
    </row>
    <row r="59324" spans="104:111">
      <c r="CZ59324" s="256"/>
      <c r="DG59324" s="256"/>
    </row>
    <row r="59325" spans="104:111">
      <c r="CZ59325" s="256"/>
      <c r="DG59325" s="256"/>
    </row>
    <row r="59326" spans="104:111">
      <c r="CZ59326" s="256"/>
      <c r="DG59326" s="256"/>
    </row>
    <row r="59327" spans="104:111">
      <c r="CZ59327" s="256"/>
      <c r="DG59327" s="256"/>
    </row>
    <row r="59328" spans="104:111">
      <c r="CZ59328" s="256"/>
      <c r="DG59328" s="256"/>
    </row>
    <row r="59329" spans="104:111">
      <c r="CZ59329" s="256"/>
      <c r="DG59329" s="256"/>
    </row>
    <row r="59330" spans="104:111">
      <c r="CZ59330" s="256"/>
      <c r="DG59330" s="256"/>
    </row>
    <row r="59331" spans="104:111">
      <c r="CZ59331" s="256"/>
      <c r="DG59331" s="256"/>
    </row>
    <row r="59332" spans="104:111">
      <c r="CZ59332" s="256"/>
      <c r="DG59332" s="256"/>
    </row>
    <row r="59333" spans="104:111">
      <c r="CZ59333" s="256"/>
      <c r="DG59333" s="256"/>
    </row>
    <row r="59334" spans="104:111">
      <c r="CZ59334" s="256"/>
      <c r="DG59334" s="256"/>
    </row>
    <row r="59335" spans="104:111">
      <c r="CZ59335" s="256"/>
      <c r="DG59335" s="256"/>
    </row>
    <row r="59336" spans="104:111">
      <c r="CZ59336" s="256"/>
      <c r="DG59336" s="256"/>
    </row>
    <row r="59337" spans="104:111">
      <c r="CZ59337" s="256"/>
      <c r="DG59337" s="256"/>
    </row>
    <row r="59338" spans="104:111">
      <c r="CZ59338" s="256"/>
      <c r="DG59338" s="256"/>
    </row>
    <row r="59339" spans="104:111">
      <c r="CZ59339" s="256"/>
      <c r="DG59339" s="256"/>
    </row>
    <row r="59340" spans="104:111">
      <c r="CZ59340" s="256"/>
      <c r="DG59340" s="256"/>
    </row>
    <row r="59341" spans="104:111">
      <c r="CZ59341" s="256"/>
      <c r="DG59341" s="256"/>
    </row>
    <row r="59342" spans="104:111">
      <c r="CZ59342" s="256"/>
      <c r="DG59342" s="256"/>
    </row>
    <row r="59343" spans="104:111">
      <c r="CZ59343" s="256"/>
      <c r="DG59343" s="256"/>
    </row>
    <row r="59344" spans="104:111">
      <c r="CZ59344" s="256"/>
      <c r="DG59344" s="256"/>
    </row>
    <row r="59345" spans="104:111">
      <c r="CZ59345" s="256"/>
      <c r="DG59345" s="256"/>
    </row>
    <row r="59346" spans="104:111">
      <c r="CZ59346" s="256"/>
      <c r="DG59346" s="256"/>
    </row>
    <row r="59347" spans="104:111">
      <c r="CZ59347" s="256"/>
      <c r="DG59347" s="256"/>
    </row>
    <row r="59348" spans="104:111">
      <c r="CZ59348" s="256"/>
      <c r="DG59348" s="256"/>
    </row>
    <row r="59349" spans="104:111">
      <c r="CZ59349" s="256"/>
      <c r="DG59349" s="256"/>
    </row>
    <row r="59350" spans="104:111">
      <c r="CZ59350" s="256"/>
      <c r="DG59350" s="256"/>
    </row>
    <row r="59351" spans="104:111">
      <c r="CZ59351" s="256"/>
      <c r="DG59351" s="256"/>
    </row>
    <row r="59352" spans="104:111">
      <c r="CZ59352" s="256"/>
      <c r="DG59352" s="256"/>
    </row>
    <row r="59353" spans="104:111">
      <c r="CZ59353" s="256"/>
      <c r="DG59353" s="256"/>
    </row>
    <row r="59354" spans="104:111">
      <c r="CZ59354" s="256"/>
      <c r="DG59354" s="256"/>
    </row>
    <row r="59355" spans="104:111">
      <c r="CZ59355" s="256"/>
      <c r="DG59355" s="256"/>
    </row>
    <row r="59356" spans="104:111">
      <c r="CZ59356" s="256"/>
      <c r="DG59356" s="256"/>
    </row>
    <row r="59357" spans="104:111">
      <c r="CZ59357" s="256"/>
      <c r="DG59357" s="256"/>
    </row>
    <row r="59358" spans="104:111">
      <c r="CZ59358" s="256"/>
      <c r="DG59358" s="256"/>
    </row>
    <row r="59359" spans="104:111">
      <c r="CZ59359" s="256"/>
      <c r="DG59359" s="256"/>
    </row>
    <row r="59360" spans="104:111">
      <c r="CZ59360" s="256"/>
      <c r="DG59360" s="256"/>
    </row>
    <row r="59361" spans="104:111">
      <c r="CZ59361" s="256"/>
      <c r="DG59361" s="256"/>
    </row>
    <row r="59362" spans="104:111">
      <c r="CZ59362" s="256"/>
      <c r="DG59362" s="256"/>
    </row>
    <row r="59363" spans="104:111">
      <c r="CZ59363" s="256"/>
      <c r="DG59363" s="256"/>
    </row>
    <row r="59364" spans="104:111">
      <c r="CZ59364" s="256"/>
      <c r="DG59364" s="256"/>
    </row>
    <row r="59365" spans="104:111">
      <c r="CZ59365" s="256"/>
      <c r="DG59365" s="256"/>
    </row>
    <row r="59366" spans="104:111">
      <c r="CZ59366" s="256"/>
      <c r="DG59366" s="256"/>
    </row>
    <row r="59367" spans="104:111">
      <c r="CZ59367" s="256"/>
      <c r="DG59367" s="256"/>
    </row>
    <row r="59368" spans="104:111">
      <c r="CZ59368" s="256"/>
      <c r="DG59368" s="256"/>
    </row>
    <row r="59369" spans="104:111">
      <c r="CZ59369" s="256"/>
      <c r="DG59369" s="256"/>
    </row>
    <row r="59370" spans="104:111">
      <c r="CZ59370" s="256"/>
      <c r="DG59370" s="256"/>
    </row>
    <row r="59371" spans="104:111">
      <c r="CZ59371" s="256"/>
      <c r="DG59371" s="256"/>
    </row>
    <row r="59372" spans="104:111">
      <c r="CZ59372" s="256"/>
      <c r="DG59372" s="256"/>
    </row>
    <row r="59373" spans="104:111">
      <c r="CZ59373" s="256"/>
      <c r="DG59373" s="256"/>
    </row>
    <row r="59374" spans="104:111">
      <c r="CZ59374" s="256"/>
      <c r="DG59374" s="256"/>
    </row>
    <row r="59375" spans="104:111">
      <c r="CZ59375" s="256"/>
      <c r="DG59375" s="256"/>
    </row>
    <row r="59376" spans="104:111">
      <c r="CZ59376" s="256"/>
      <c r="DG59376" s="256"/>
    </row>
    <row r="59377" spans="104:111">
      <c r="CZ59377" s="256"/>
      <c r="DG59377" s="256"/>
    </row>
    <row r="59378" spans="104:111">
      <c r="CZ59378" s="256"/>
      <c r="DG59378" s="256"/>
    </row>
    <row r="59379" spans="104:111">
      <c r="CZ59379" s="256"/>
      <c r="DG59379" s="256"/>
    </row>
    <row r="59380" spans="104:111">
      <c r="CZ59380" s="256"/>
      <c r="DG59380" s="256"/>
    </row>
    <row r="59381" spans="104:111">
      <c r="CZ59381" s="256"/>
      <c r="DG59381" s="256"/>
    </row>
    <row r="59382" spans="104:111">
      <c r="CZ59382" s="256"/>
      <c r="DG59382" s="256"/>
    </row>
    <row r="59383" spans="104:111">
      <c r="CZ59383" s="256"/>
      <c r="DG59383" s="256"/>
    </row>
    <row r="59384" spans="104:111">
      <c r="CZ59384" s="256"/>
      <c r="DG59384" s="256"/>
    </row>
    <row r="59385" spans="104:111">
      <c r="CZ59385" s="256"/>
      <c r="DG59385" s="256"/>
    </row>
    <row r="59386" spans="104:111">
      <c r="CZ59386" s="256"/>
      <c r="DG59386" s="256"/>
    </row>
    <row r="59387" spans="104:111">
      <c r="CZ59387" s="256"/>
      <c r="DG59387" s="256"/>
    </row>
    <row r="59388" spans="104:111">
      <c r="CZ59388" s="256"/>
      <c r="DG59388" s="256"/>
    </row>
    <row r="59389" spans="104:111">
      <c r="CZ59389" s="256"/>
      <c r="DG59389" s="256"/>
    </row>
    <row r="59390" spans="104:111">
      <c r="CZ59390" s="256"/>
      <c r="DG59390" s="256"/>
    </row>
    <row r="59391" spans="104:111">
      <c r="CZ59391" s="256"/>
      <c r="DG59391" s="256"/>
    </row>
    <row r="59392" spans="104:111">
      <c r="CZ59392" s="256"/>
      <c r="DG59392" s="256"/>
    </row>
    <row r="59393" spans="104:111">
      <c r="CZ59393" s="256"/>
      <c r="DG59393" s="256"/>
    </row>
    <row r="59394" spans="104:111">
      <c r="CZ59394" s="256"/>
      <c r="DG59394" s="256"/>
    </row>
    <row r="59395" spans="104:111">
      <c r="CZ59395" s="256"/>
      <c r="DG59395" s="256"/>
    </row>
    <row r="59396" spans="104:111">
      <c r="CZ59396" s="256"/>
      <c r="DG59396" s="256"/>
    </row>
    <row r="59397" spans="104:111">
      <c r="CZ59397" s="256"/>
      <c r="DG59397" s="256"/>
    </row>
    <row r="59398" spans="104:111">
      <c r="CZ59398" s="256"/>
      <c r="DG59398" s="256"/>
    </row>
    <row r="59399" spans="104:111">
      <c r="CZ59399" s="256"/>
      <c r="DG59399" s="256"/>
    </row>
    <row r="59400" spans="104:111">
      <c r="CZ59400" s="256"/>
      <c r="DG59400" s="256"/>
    </row>
    <row r="59401" spans="104:111">
      <c r="CZ59401" s="256"/>
      <c r="DG59401" s="256"/>
    </row>
    <row r="59402" spans="104:111">
      <c r="CZ59402" s="256"/>
      <c r="DG59402" s="256"/>
    </row>
    <row r="59403" spans="104:111">
      <c r="CZ59403" s="256"/>
      <c r="DG59403" s="256"/>
    </row>
    <row r="59404" spans="104:111">
      <c r="CZ59404" s="256"/>
      <c r="DG59404" s="256"/>
    </row>
    <row r="59405" spans="104:111">
      <c r="CZ59405" s="256"/>
      <c r="DG59405" s="256"/>
    </row>
    <row r="59406" spans="104:111">
      <c r="CZ59406" s="256"/>
      <c r="DG59406" s="256"/>
    </row>
    <row r="59407" spans="104:111">
      <c r="CZ59407" s="256"/>
      <c r="DG59407" s="256"/>
    </row>
    <row r="59408" spans="104:111">
      <c r="CZ59408" s="256"/>
      <c r="DG59408" s="256"/>
    </row>
    <row r="59409" spans="104:111">
      <c r="CZ59409" s="256"/>
      <c r="DG59409" s="256"/>
    </row>
    <row r="59410" spans="104:111">
      <c r="CZ59410" s="256"/>
      <c r="DG59410" s="256"/>
    </row>
    <row r="59411" spans="104:111">
      <c r="CZ59411" s="256"/>
      <c r="DG59411" s="256"/>
    </row>
    <row r="59412" spans="104:111">
      <c r="CZ59412" s="256"/>
      <c r="DG59412" s="256"/>
    </row>
    <row r="59413" spans="104:111">
      <c r="CZ59413" s="256"/>
      <c r="DG59413" s="256"/>
    </row>
    <row r="59414" spans="104:111">
      <c r="CZ59414" s="256"/>
      <c r="DG59414" s="256"/>
    </row>
    <row r="59415" spans="104:111">
      <c r="CZ59415" s="256"/>
      <c r="DG59415" s="256"/>
    </row>
    <row r="59416" spans="104:111">
      <c r="CZ59416" s="256"/>
      <c r="DG59416" s="256"/>
    </row>
    <row r="59417" spans="104:111">
      <c r="CZ59417" s="256"/>
      <c r="DG59417" s="256"/>
    </row>
    <row r="59418" spans="104:111">
      <c r="CZ59418" s="256"/>
      <c r="DG59418" s="256"/>
    </row>
    <row r="59419" spans="104:111">
      <c r="CZ59419" s="256"/>
      <c r="DG59419" s="256"/>
    </row>
    <row r="59420" spans="104:111">
      <c r="CZ59420" s="256"/>
      <c r="DG59420" s="256"/>
    </row>
    <row r="59421" spans="104:111">
      <c r="CZ59421" s="256"/>
      <c r="DG59421" s="256"/>
    </row>
    <row r="59422" spans="104:111">
      <c r="CZ59422" s="256"/>
      <c r="DG59422" s="256"/>
    </row>
    <row r="59423" spans="104:111">
      <c r="CZ59423" s="256"/>
      <c r="DG59423" s="256"/>
    </row>
    <row r="59424" spans="104:111">
      <c r="CZ59424" s="256"/>
      <c r="DG59424" s="256"/>
    </row>
    <row r="59425" spans="104:111">
      <c r="CZ59425" s="256"/>
      <c r="DG59425" s="256"/>
    </row>
    <row r="59426" spans="104:111">
      <c r="CZ59426" s="256"/>
      <c r="DG59426" s="256"/>
    </row>
    <row r="59427" spans="104:111">
      <c r="CZ59427" s="256"/>
      <c r="DG59427" s="256"/>
    </row>
    <row r="59428" spans="104:111">
      <c r="CZ59428" s="256"/>
      <c r="DG59428" s="256"/>
    </row>
    <row r="59429" spans="104:111">
      <c r="CZ59429" s="256"/>
      <c r="DG59429" s="256"/>
    </row>
    <row r="59430" spans="104:111">
      <c r="CZ59430" s="256"/>
      <c r="DG59430" s="256"/>
    </row>
    <row r="59431" spans="104:111">
      <c r="CZ59431" s="256"/>
      <c r="DG59431" s="256"/>
    </row>
    <row r="59432" spans="104:111">
      <c r="CZ59432" s="256"/>
      <c r="DG59432" s="256"/>
    </row>
    <row r="59433" spans="104:111">
      <c r="CZ59433" s="256"/>
      <c r="DG59433" s="256"/>
    </row>
    <row r="59434" spans="104:111">
      <c r="CZ59434" s="256"/>
      <c r="DG59434" s="256"/>
    </row>
    <row r="59435" spans="104:111">
      <c r="CZ59435" s="256"/>
      <c r="DG59435" s="256"/>
    </row>
    <row r="59436" spans="104:111">
      <c r="CZ59436" s="256"/>
      <c r="DG59436" s="256"/>
    </row>
    <row r="59437" spans="104:111">
      <c r="CZ59437" s="256"/>
      <c r="DG59437" s="256"/>
    </row>
    <row r="59438" spans="104:111">
      <c r="CZ59438" s="256"/>
      <c r="DG59438" s="256"/>
    </row>
    <row r="59439" spans="104:111">
      <c r="CZ59439" s="256"/>
      <c r="DG59439" s="256"/>
    </row>
    <row r="59440" spans="104:111">
      <c r="CZ59440" s="256"/>
      <c r="DG59440" s="256"/>
    </row>
    <row r="59441" spans="104:111">
      <c r="CZ59441" s="256"/>
      <c r="DG59441" s="256"/>
    </row>
    <row r="59442" spans="104:111">
      <c r="CZ59442" s="256"/>
      <c r="DG59442" s="256"/>
    </row>
    <row r="59443" spans="104:111">
      <c r="CZ59443" s="256"/>
      <c r="DG59443" s="256"/>
    </row>
    <row r="59444" spans="104:111">
      <c r="CZ59444" s="256"/>
      <c r="DG59444" s="256"/>
    </row>
    <row r="59445" spans="104:111">
      <c r="CZ59445" s="256"/>
      <c r="DG59445" s="256"/>
    </row>
    <row r="59446" spans="104:111">
      <c r="CZ59446" s="256"/>
      <c r="DG59446" s="256"/>
    </row>
    <row r="59447" spans="104:111">
      <c r="CZ59447" s="256"/>
      <c r="DG59447" s="256"/>
    </row>
    <row r="59448" spans="104:111">
      <c r="CZ59448" s="256"/>
      <c r="DG59448" s="256"/>
    </row>
    <row r="59449" spans="104:111">
      <c r="CZ59449" s="256"/>
      <c r="DG59449" s="256"/>
    </row>
    <row r="59450" spans="104:111">
      <c r="CZ59450" s="256"/>
      <c r="DG59450" s="256"/>
    </row>
    <row r="59451" spans="104:111">
      <c r="CZ59451" s="256"/>
      <c r="DG59451" s="256"/>
    </row>
    <row r="59452" spans="104:111">
      <c r="CZ59452" s="256"/>
      <c r="DG59452" s="256"/>
    </row>
    <row r="59453" spans="104:111">
      <c r="CZ59453" s="256"/>
      <c r="DG59453" s="256"/>
    </row>
    <row r="59454" spans="104:111">
      <c r="CZ59454" s="256"/>
      <c r="DG59454" s="256"/>
    </row>
    <row r="59455" spans="104:111">
      <c r="CZ59455" s="256"/>
      <c r="DG59455" s="256"/>
    </row>
    <row r="59456" spans="104:111">
      <c r="CZ59456" s="256"/>
      <c r="DG59456" s="256"/>
    </row>
    <row r="59457" spans="104:111">
      <c r="CZ59457" s="256"/>
      <c r="DG59457" s="256"/>
    </row>
    <row r="59458" spans="104:111">
      <c r="CZ59458" s="256"/>
      <c r="DG59458" s="256"/>
    </row>
    <row r="59459" spans="104:111">
      <c r="CZ59459" s="256"/>
      <c r="DG59459" s="256"/>
    </row>
    <row r="59460" spans="104:111">
      <c r="CZ59460" s="256"/>
      <c r="DG59460" s="256"/>
    </row>
    <row r="59461" spans="104:111">
      <c r="CZ59461" s="256"/>
      <c r="DG59461" s="256"/>
    </row>
    <row r="59462" spans="104:111">
      <c r="CZ59462" s="256"/>
      <c r="DG59462" s="256"/>
    </row>
    <row r="59463" spans="104:111">
      <c r="CZ59463" s="256"/>
      <c r="DG59463" s="256"/>
    </row>
    <row r="59464" spans="104:111">
      <c r="CZ59464" s="256"/>
      <c r="DG59464" s="256"/>
    </row>
    <row r="59465" spans="104:111">
      <c r="CZ59465" s="256"/>
      <c r="DG59465" s="256"/>
    </row>
    <row r="59466" spans="104:111">
      <c r="CZ59466" s="256"/>
      <c r="DG59466" s="256"/>
    </row>
    <row r="59467" spans="104:111">
      <c r="CZ59467" s="256"/>
      <c r="DG59467" s="256"/>
    </row>
    <row r="59468" spans="104:111">
      <c r="CZ59468" s="256"/>
      <c r="DG59468" s="256"/>
    </row>
    <row r="59469" spans="104:111">
      <c r="CZ59469" s="256"/>
      <c r="DG59469" s="256"/>
    </row>
    <row r="59470" spans="104:111">
      <c r="CZ59470" s="256"/>
      <c r="DG59470" s="256"/>
    </row>
    <row r="59471" spans="104:111">
      <c r="CZ59471" s="256"/>
      <c r="DG59471" s="256"/>
    </row>
    <row r="59472" spans="104:111">
      <c r="CZ59472" s="256"/>
      <c r="DG59472" s="256"/>
    </row>
    <row r="59473" spans="104:111">
      <c r="CZ59473" s="256"/>
      <c r="DG59473" s="256"/>
    </row>
    <row r="59474" spans="104:111">
      <c r="CZ59474" s="256"/>
      <c r="DG59474" s="256"/>
    </row>
    <row r="59475" spans="104:111">
      <c r="CZ59475" s="256"/>
      <c r="DG59475" s="256"/>
    </row>
    <row r="59476" spans="104:111">
      <c r="CZ59476" s="256"/>
      <c r="DG59476" s="256"/>
    </row>
    <row r="59477" spans="104:111">
      <c r="CZ59477" s="256"/>
      <c r="DG59477" s="256"/>
    </row>
    <row r="59478" spans="104:111">
      <c r="CZ59478" s="256"/>
      <c r="DG59478" s="256"/>
    </row>
    <row r="59479" spans="104:111">
      <c r="CZ59479" s="256"/>
      <c r="DG59479" s="256"/>
    </row>
    <row r="59480" spans="104:111">
      <c r="CZ59480" s="256"/>
      <c r="DG59480" s="256"/>
    </row>
    <row r="59481" spans="104:111">
      <c r="CZ59481" s="256"/>
      <c r="DG59481" s="256"/>
    </row>
    <row r="59482" spans="104:111">
      <c r="CZ59482" s="256"/>
      <c r="DG59482" s="256"/>
    </row>
    <row r="59483" spans="104:111">
      <c r="CZ59483" s="256"/>
      <c r="DG59483" s="256"/>
    </row>
    <row r="59484" spans="104:111">
      <c r="CZ59484" s="256"/>
      <c r="DG59484" s="256"/>
    </row>
    <row r="59485" spans="104:111">
      <c r="CZ59485" s="256"/>
      <c r="DG59485" s="256"/>
    </row>
    <row r="59486" spans="104:111">
      <c r="CZ59486" s="256"/>
      <c r="DG59486" s="256"/>
    </row>
    <row r="59487" spans="104:111">
      <c r="CZ59487" s="256"/>
      <c r="DG59487" s="256"/>
    </row>
    <row r="59488" spans="104:111">
      <c r="CZ59488" s="256"/>
      <c r="DG59488" s="256"/>
    </row>
    <row r="59489" spans="104:111">
      <c r="CZ59489" s="256"/>
      <c r="DG59489" s="256"/>
    </row>
    <row r="59490" spans="104:111">
      <c r="CZ59490" s="256"/>
      <c r="DG59490" s="256"/>
    </row>
    <row r="59491" spans="104:111">
      <c r="CZ59491" s="256"/>
      <c r="DG59491" s="256"/>
    </row>
    <row r="59492" spans="104:111">
      <c r="CZ59492" s="256"/>
      <c r="DG59492" s="256"/>
    </row>
    <row r="59493" spans="104:111">
      <c r="CZ59493" s="256"/>
      <c r="DG59493" s="256"/>
    </row>
    <row r="59494" spans="104:111">
      <c r="CZ59494" s="256"/>
      <c r="DG59494" s="256"/>
    </row>
    <row r="59495" spans="104:111">
      <c r="CZ59495" s="256"/>
      <c r="DG59495" s="256"/>
    </row>
    <row r="59496" spans="104:111">
      <c r="CZ59496" s="256"/>
      <c r="DG59496" s="256"/>
    </row>
    <row r="59497" spans="104:111">
      <c r="CZ59497" s="256"/>
      <c r="DG59497" s="256"/>
    </row>
    <row r="59498" spans="104:111">
      <c r="CZ59498" s="256"/>
      <c r="DG59498" s="256"/>
    </row>
    <row r="59499" spans="104:111">
      <c r="CZ59499" s="256"/>
      <c r="DG59499" s="256"/>
    </row>
    <row r="59500" spans="104:111">
      <c r="CZ59500" s="256"/>
      <c r="DG59500" s="256"/>
    </row>
    <row r="59501" spans="104:111">
      <c r="CZ59501" s="256"/>
      <c r="DG59501" s="256"/>
    </row>
    <row r="59502" spans="104:111">
      <c r="CZ59502" s="256"/>
      <c r="DG59502" s="256"/>
    </row>
    <row r="59503" spans="104:111">
      <c r="CZ59503" s="256"/>
      <c r="DG59503" s="256"/>
    </row>
    <row r="59504" spans="104:111">
      <c r="CZ59504" s="256"/>
      <c r="DG59504" s="256"/>
    </row>
    <row r="59505" spans="104:111">
      <c r="CZ59505" s="256"/>
      <c r="DG59505" s="256"/>
    </row>
    <row r="59506" spans="104:111">
      <c r="CZ59506" s="256"/>
      <c r="DG59506" s="256"/>
    </row>
    <row r="59507" spans="104:111">
      <c r="CZ59507" s="256"/>
      <c r="DG59507" s="256"/>
    </row>
    <row r="59508" spans="104:111">
      <c r="CZ59508" s="256"/>
      <c r="DG59508" s="256"/>
    </row>
    <row r="59509" spans="104:111">
      <c r="CZ59509" s="256"/>
      <c r="DG59509" s="256"/>
    </row>
    <row r="59510" spans="104:111">
      <c r="CZ59510" s="256"/>
      <c r="DG59510" s="256"/>
    </row>
    <row r="59511" spans="104:111">
      <c r="CZ59511" s="256"/>
      <c r="DG59511" s="256"/>
    </row>
    <row r="59512" spans="104:111">
      <c r="CZ59512" s="256"/>
      <c r="DG59512" s="256"/>
    </row>
    <row r="59513" spans="104:111">
      <c r="CZ59513" s="256"/>
      <c r="DG59513" s="256"/>
    </row>
    <row r="59514" spans="104:111">
      <c r="CZ59514" s="256"/>
      <c r="DG59514" s="256"/>
    </row>
    <row r="59515" spans="104:111">
      <c r="CZ59515" s="256"/>
      <c r="DG59515" s="256"/>
    </row>
    <row r="59516" spans="104:111">
      <c r="CZ59516" s="256"/>
      <c r="DG59516" s="256"/>
    </row>
    <row r="59517" spans="104:111">
      <c r="CZ59517" s="256"/>
      <c r="DG59517" s="256"/>
    </row>
    <row r="59518" spans="104:111">
      <c r="CZ59518" s="256"/>
      <c r="DG59518" s="256"/>
    </row>
    <row r="59519" spans="104:111">
      <c r="CZ59519" s="256"/>
      <c r="DG59519" s="256"/>
    </row>
    <row r="59520" spans="104:111">
      <c r="CZ59520" s="256"/>
      <c r="DG59520" s="256"/>
    </row>
    <row r="59521" spans="104:111">
      <c r="CZ59521" s="256"/>
      <c r="DG59521" s="256"/>
    </row>
    <row r="59522" spans="104:111">
      <c r="CZ59522" s="256"/>
      <c r="DG59522" s="256"/>
    </row>
    <row r="59523" spans="104:111">
      <c r="CZ59523" s="256"/>
      <c r="DG59523" s="256"/>
    </row>
    <row r="59524" spans="104:111">
      <c r="CZ59524" s="256"/>
      <c r="DG59524" s="256"/>
    </row>
    <row r="59525" spans="104:111">
      <c r="CZ59525" s="256"/>
      <c r="DG59525" s="256"/>
    </row>
    <row r="59526" spans="104:111">
      <c r="CZ59526" s="256"/>
      <c r="DG59526" s="256"/>
    </row>
    <row r="59527" spans="104:111">
      <c r="CZ59527" s="256"/>
      <c r="DG59527" s="256"/>
    </row>
    <row r="59528" spans="104:111">
      <c r="CZ59528" s="256"/>
      <c r="DG59528" s="256"/>
    </row>
    <row r="59529" spans="104:111">
      <c r="CZ59529" s="256"/>
      <c r="DG59529" s="256"/>
    </row>
    <row r="59530" spans="104:111">
      <c r="CZ59530" s="256"/>
      <c r="DG59530" s="256"/>
    </row>
    <row r="59531" spans="104:111">
      <c r="CZ59531" s="256"/>
      <c r="DG59531" s="256"/>
    </row>
    <row r="59532" spans="104:111">
      <c r="CZ59532" s="256"/>
      <c r="DG59532" s="256"/>
    </row>
    <row r="59533" spans="104:111">
      <c r="CZ59533" s="256"/>
      <c r="DG59533" s="256"/>
    </row>
    <row r="59534" spans="104:111">
      <c r="CZ59534" s="256"/>
      <c r="DG59534" s="256"/>
    </row>
    <row r="59535" spans="104:111">
      <c r="CZ59535" s="256"/>
      <c r="DG59535" s="256"/>
    </row>
    <row r="59536" spans="104:111">
      <c r="CZ59536" s="256"/>
      <c r="DG59536" s="256"/>
    </row>
    <row r="59537" spans="104:111">
      <c r="CZ59537" s="256"/>
      <c r="DG59537" s="256"/>
    </row>
    <row r="59538" spans="104:111">
      <c r="CZ59538" s="256"/>
      <c r="DG59538" s="256"/>
    </row>
    <row r="59539" spans="104:111">
      <c r="CZ59539" s="256"/>
      <c r="DG59539" s="256"/>
    </row>
    <row r="59540" spans="104:111">
      <c r="CZ59540" s="256"/>
      <c r="DG59540" s="256"/>
    </row>
    <row r="59541" spans="104:111">
      <c r="CZ59541" s="256"/>
      <c r="DG59541" s="256"/>
    </row>
    <row r="59542" spans="104:111">
      <c r="CZ59542" s="256"/>
      <c r="DG59542" s="256"/>
    </row>
    <row r="59543" spans="104:111">
      <c r="CZ59543" s="256"/>
      <c r="DG59543" s="256"/>
    </row>
    <row r="59544" spans="104:111">
      <c r="CZ59544" s="256"/>
      <c r="DG59544" s="256"/>
    </row>
    <row r="59545" spans="104:111">
      <c r="CZ59545" s="256"/>
      <c r="DG59545" s="256"/>
    </row>
    <row r="59546" spans="104:111">
      <c r="CZ59546" s="256"/>
      <c r="DG59546" s="256"/>
    </row>
    <row r="59547" spans="104:111">
      <c r="CZ59547" s="256"/>
      <c r="DG59547" s="256"/>
    </row>
    <row r="59548" spans="104:111">
      <c r="CZ59548" s="256"/>
      <c r="DG59548" s="256"/>
    </row>
    <row r="59549" spans="104:111">
      <c r="CZ59549" s="256"/>
      <c r="DG59549" s="256"/>
    </row>
    <row r="59550" spans="104:111">
      <c r="CZ59550" s="256"/>
      <c r="DG59550" s="256"/>
    </row>
    <row r="59551" spans="104:111">
      <c r="CZ59551" s="256"/>
      <c r="DG59551" s="256"/>
    </row>
    <row r="59552" spans="104:111">
      <c r="CZ59552" s="256"/>
      <c r="DG59552" s="256"/>
    </row>
    <row r="59553" spans="104:111">
      <c r="CZ59553" s="256"/>
      <c r="DG59553" s="256"/>
    </row>
    <row r="59554" spans="104:111">
      <c r="CZ59554" s="256"/>
      <c r="DG59554" s="256"/>
    </row>
    <row r="59555" spans="104:111">
      <c r="CZ59555" s="256"/>
      <c r="DG59555" s="256"/>
    </row>
    <row r="59556" spans="104:111">
      <c r="CZ59556" s="256"/>
      <c r="DG59556" s="256"/>
    </row>
    <row r="59557" spans="104:111">
      <c r="CZ59557" s="256"/>
      <c r="DG59557" s="256"/>
    </row>
    <row r="59558" spans="104:111">
      <c r="CZ59558" s="256"/>
      <c r="DG59558" s="256"/>
    </row>
    <row r="59559" spans="104:111">
      <c r="CZ59559" s="256"/>
      <c r="DG59559" s="256"/>
    </row>
    <row r="59560" spans="104:111">
      <c r="CZ59560" s="256"/>
      <c r="DG59560" s="256"/>
    </row>
    <row r="59561" spans="104:111">
      <c r="CZ59561" s="256"/>
      <c r="DG59561" s="256"/>
    </row>
    <row r="59562" spans="104:111">
      <c r="CZ59562" s="256"/>
      <c r="DG59562" s="256"/>
    </row>
    <row r="59563" spans="104:111">
      <c r="CZ59563" s="256"/>
      <c r="DG59563" s="256"/>
    </row>
    <row r="59564" spans="104:111">
      <c r="CZ59564" s="256"/>
      <c r="DG59564" s="256"/>
    </row>
    <row r="59565" spans="104:111">
      <c r="CZ59565" s="256"/>
      <c r="DG59565" s="256"/>
    </row>
    <row r="59566" spans="104:111">
      <c r="CZ59566" s="256"/>
      <c r="DG59566" s="256"/>
    </row>
    <row r="59567" spans="104:111">
      <c r="CZ59567" s="256"/>
      <c r="DG59567" s="256"/>
    </row>
    <row r="59568" spans="104:111">
      <c r="CZ59568" s="256"/>
      <c r="DG59568" s="256"/>
    </row>
    <row r="59569" spans="104:111">
      <c r="CZ59569" s="256"/>
      <c r="DG59569" s="256"/>
    </row>
    <row r="59570" spans="104:111">
      <c r="CZ59570" s="256"/>
      <c r="DG59570" s="256"/>
    </row>
    <row r="59571" spans="104:111">
      <c r="CZ59571" s="256"/>
      <c r="DG59571" s="256"/>
    </row>
    <row r="59572" spans="104:111">
      <c r="CZ59572" s="256"/>
      <c r="DG59572" s="256"/>
    </row>
    <row r="59573" spans="104:111">
      <c r="CZ59573" s="256"/>
      <c r="DG59573" s="256"/>
    </row>
    <row r="59574" spans="104:111">
      <c r="CZ59574" s="256"/>
      <c r="DG59574" s="256"/>
    </row>
    <row r="59575" spans="104:111">
      <c r="CZ59575" s="256"/>
      <c r="DG59575" s="256"/>
    </row>
    <row r="59576" spans="104:111">
      <c r="CZ59576" s="256"/>
      <c r="DG59576" s="256"/>
    </row>
    <row r="59577" spans="104:111">
      <c r="CZ59577" s="256"/>
      <c r="DG59577" s="256"/>
    </row>
    <row r="59578" spans="104:111">
      <c r="CZ59578" s="256"/>
      <c r="DG59578" s="256"/>
    </row>
    <row r="59579" spans="104:111">
      <c r="CZ59579" s="256"/>
      <c r="DG59579" s="256"/>
    </row>
    <row r="59580" spans="104:111">
      <c r="CZ59580" s="256"/>
      <c r="DG59580" s="256"/>
    </row>
    <row r="59581" spans="104:111">
      <c r="CZ59581" s="256"/>
      <c r="DG59581" s="256"/>
    </row>
    <row r="59582" spans="104:111">
      <c r="CZ59582" s="256"/>
      <c r="DG59582" s="256"/>
    </row>
    <row r="59583" spans="104:111">
      <c r="CZ59583" s="256"/>
      <c r="DG59583" s="256"/>
    </row>
    <row r="59584" spans="104:111">
      <c r="CZ59584" s="256"/>
      <c r="DG59584" s="256"/>
    </row>
    <row r="59585" spans="104:111">
      <c r="CZ59585" s="256"/>
      <c r="DG59585" s="256"/>
    </row>
    <row r="59586" spans="104:111">
      <c r="CZ59586" s="256"/>
      <c r="DG59586" s="256"/>
    </row>
    <row r="59587" spans="104:111">
      <c r="CZ59587" s="256"/>
      <c r="DG59587" s="256"/>
    </row>
    <row r="59588" spans="104:111">
      <c r="CZ59588" s="256"/>
      <c r="DG59588" s="256"/>
    </row>
    <row r="59589" spans="104:111">
      <c r="CZ59589" s="256"/>
      <c r="DG59589" s="256"/>
    </row>
    <row r="59590" spans="104:111">
      <c r="CZ59590" s="256"/>
      <c r="DG59590" s="256"/>
    </row>
    <row r="59591" spans="104:111">
      <c r="CZ59591" s="256"/>
      <c r="DG59591" s="256"/>
    </row>
    <row r="59592" spans="104:111">
      <c r="CZ59592" s="256"/>
      <c r="DG59592" s="256"/>
    </row>
    <row r="59593" spans="104:111">
      <c r="CZ59593" s="256"/>
      <c r="DG59593" s="256"/>
    </row>
    <row r="59594" spans="104:111">
      <c r="CZ59594" s="256"/>
      <c r="DG59594" s="256"/>
    </row>
    <row r="59595" spans="104:111">
      <c r="CZ59595" s="256"/>
      <c r="DG59595" s="256"/>
    </row>
    <row r="59596" spans="104:111">
      <c r="CZ59596" s="256"/>
      <c r="DG59596" s="256"/>
    </row>
    <row r="59597" spans="104:111">
      <c r="CZ59597" s="256"/>
      <c r="DG59597" s="256"/>
    </row>
    <row r="59598" spans="104:111">
      <c r="CZ59598" s="256"/>
      <c r="DG59598" s="256"/>
    </row>
    <row r="59599" spans="104:111">
      <c r="CZ59599" s="256"/>
      <c r="DG59599" s="256"/>
    </row>
    <row r="59600" spans="104:111">
      <c r="CZ59600" s="256"/>
      <c r="DG59600" s="256"/>
    </row>
    <row r="59601" spans="104:111">
      <c r="CZ59601" s="256"/>
      <c r="DG59601" s="256"/>
    </row>
    <row r="59602" spans="104:111">
      <c r="CZ59602" s="256"/>
      <c r="DG59602" s="256"/>
    </row>
    <row r="59603" spans="104:111">
      <c r="CZ59603" s="256"/>
      <c r="DG59603" s="256"/>
    </row>
    <row r="59604" spans="104:111">
      <c r="CZ59604" s="256"/>
      <c r="DG59604" s="256"/>
    </row>
    <row r="59605" spans="104:111">
      <c r="CZ59605" s="256"/>
      <c r="DG59605" s="256"/>
    </row>
    <row r="59606" spans="104:111">
      <c r="CZ59606" s="256"/>
      <c r="DG59606" s="256"/>
    </row>
    <row r="59607" spans="104:111">
      <c r="CZ59607" s="256"/>
      <c r="DG59607" s="256"/>
    </row>
    <row r="59608" spans="104:111">
      <c r="CZ59608" s="256"/>
      <c r="DG59608" s="256"/>
    </row>
    <row r="59609" spans="104:111">
      <c r="CZ59609" s="256"/>
      <c r="DG59609" s="256"/>
    </row>
    <row r="59610" spans="104:111">
      <c r="CZ59610" s="256"/>
      <c r="DG59610" s="256"/>
    </row>
    <row r="59611" spans="104:111">
      <c r="CZ59611" s="256"/>
      <c r="DG59611" s="256"/>
    </row>
    <row r="59612" spans="104:111">
      <c r="CZ59612" s="256"/>
      <c r="DG59612" s="256"/>
    </row>
    <row r="59613" spans="104:111">
      <c r="CZ59613" s="256"/>
      <c r="DG59613" s="256"/>
    </row>
    <row r="59614" spans="104:111">
      <c r="CZ59614" s="256"/>
      <c r="DG59614" s="256"/>
    </row>
    <row r="59615" spans="104:111">
      <c r="CZ59615" s="256"/>
      <c r="DG59615" s="256"/>
    </row>
    <row r="59616" spans="104:111">
      <c r="CZ59616" s="256"/>
      <c r="DG59616" s="256"/>
    </row>
    <row r="59617" spans="104:111">
      <c r="CZ59617" s="256"/>
      <c r="DG59617" s="256"/>
    </row>
    <row r="59618" spans="104:111">
      <c r="CZ59618" s="256"/>
      <c r="DG59618" s="256"/>
    </row>
    <row r="59619" spans="104:111">
      <c r="CZ59619" s="256"/>
      <c r="DG59619" s="256"/>
    </row>
    <row r="59620" spans="104:111">
      <c r="CZ59620" s="256"/>
      <c r="DG59620" s="256"/>
    </row>
    <row r="59621" spans="104:111">
      <c r="CZ59621" s="256"/>
      <c r="DG59621" s="256"/>
    </row>
    <row r="59622" spans="104:111">
      <c r="CZ59622" s="256"/>
      <c r="DG59622" s="256"/>
    </row>
    <row r="59623" spans="104:111">
      <c r="CZ59623" s="256"/>
      <c r="DG59623" s="256"/>
    </row>
    <row r="59624" spans="104:111">
      <c r="CZ59624" s="256"/>
      <c r="DG59624" s="256"/>
    </row>
    <row r="59625" spans="104:111">
      <c r="CZ59625" s="256"/>
      <c r="DG59625" s="256"/>
    </row>
    <row r="59626" spans="104:111">
      <c r="CZ59626" s="256"/>
      <c r="DG59626" s="256"/>
    </row>
    <row r="59627" spans="104:111">
      <c r="CZ59627" s="256"/>
      <c r="DG59627" s="256"/>
    </row>
    <row r="59628" spans="104:111">
      <c r="CZ59628" s="256"/>
      <c r="DG59628" s="256"/>
    </row>
    <row r="59629" spans="104:111">
      <c r="CZ59629" s="256"/>
      <c r="DG59629" s="256"/>
    </row>
    <row r="59630" spans="104:111">
      <c r="CZ59630" s="256"/>
      <c r="DG59630" s="256"/>
    </row>
    <row r="59631" spans="104:111">
      <c r="CZ59631" s="256"/>
      <c r="DG59631" s="256"/>
    </row>
    <row r="59632" spans="104:111">
      <c r="CZ59632" s="256"/>
      <c r="DG59632" s="256"/>
    </row>
    <row r="59633" spans="104:111">
      <c r="CZ59633" s="256"/>
      <c r="DG59633" s="256"/>
    </row>
    <row r="59634" spans="104:111">
      <c r="CZ59634" s="256"/>
      <c r="DG59634" s="256"/>
    </row>
    <row r="59635" spans="104:111">
      <c r="CZ59635" s="256"/>
      <c r="DG59635" s="256"/>
    </row>
    <row r="59636" spans="104:111">
      <c r="CZ59636" s="256"/>
      <c r="DG59636" s="256"/>
    </row>
    <row r="59637" spans="104:111">
      <c r="CZ59637" s="256"/>
      <c r="DG59637" s="256"/>
    </row>
    <row r="59638" spans="104:111">
      <c r="CZ59638" s="256"/>
      <c r="DG59638" s="256"/>
    </row>
    <row r="59639" spans="104:111">
      <c r="CZ59639" s="256"/>
      <c r="DG59639" s="256"/>
    </row>
    <row r="59640" spans="104:111">
      <c r="CZ59640" s="256"/>
      <c r="DG59640" s="256"/>
    </row>
    <row r="59641" spans="104:111">
      <c r="CZ59641" s="256"/>
      <c r="DG59641" s="256"/>
    </row>
    <row r="59642" spans="104:111">
      <c r="CZ59642" s="256"/>
      <c r="DG59642" s="256"/>
    </row>
    <row r="59643" spans="104:111">
      <c r="CZ59643" s="256"/>
      <c r="DG59643" s="256"/>
    </row>
    <row r="59644" spans="104:111">
      <c r="CZ59644" s="256"/>
      <c r="DG59644" s="256"/>
    </row>
    <row r="59645" spans="104:111">
      <c r="CZ59645" s="256"/>
      <c r="DG59645" s="256"/>
    </row>
    <row r="59646" spans="104:111">
      <c r="CZ59646" s="256"/>
      <c r="DG59646" s="256"/>
    </row>
    <row r="59647" spans="104:111">
      <c r="CZ59647" s="256"/>
      <c r="DG59647" s="256"/>
    </row>
    <row r="59648" spans="104:111">
      <c r="CZ59648" s="256"/>
      <c r="DG59648" s="256"/>
    </row>
    <row r="59649" spans="104:111">
      <c r="CZ59649" s="256"/>
      <c r="DG59649" s="256"/>
    </row>
    <row r="59650" spans="104:111">
      <c r="CZ59650" s="256"/>
      <c r="DG59650" s="256"/>
    </row>
    <row r="59651" spans="104:111">
      <c r="CZ59651" s="256"/>
      <c r="DG59651" s="256"/>
    </row>
    <row r="59652" spans="104:111">
      <c r="CZ59652" s="256"/>
      <c r="DG59652" s="256"/>
    </row>
    <row r="59653" spans="104:111">
      <c r="CZ59653" s="256"/>
      <c r="DG59653" s="256"/>
    </row>
    <row r="59654" spans="104:111">
      <c r="CZ59654" s="256"/>
      <c r="DG59654" s="256"/>
    </row>
    <row r="59655" spans="104:111">
      <c r="CZ59655" s="256"/>
      <c r="DG59655" s="256"/>
    </row>
    <row r="59656" spans="104:111">
      <c r="CZ59656" s="256"/>
      <c r="DG59656" s="256"/>
    </row>
    <row r="59657" spans="104:111">
      <c r="CZ59657" s="256"/>
      <c r="DG59657" s="256"/>
    </row>
    <row r="59658" spans="104:111">
      <c r="CZ59658" s="256"/>
      <c r="DG59658" s="256"/>
    </row>
    <row r="59659" spans="104:111">
      <c r="CZ59659" s="256"/>
      <c r="DG59659" s="256"/>
    </row>
    <row r="59660" spans="104:111">
      <c r="CZ59660" s="256"/>
      <c r="DG59660" s="256"/>
    </row>
    <row r="59661" spans="104:111">
      <c r="CZ59661" s="256"/>
      <c r="DG59661" s="256"/>
    </row>
    <row r="59662" spans="104:111">
      <c r="CZ59662" s="256"/>
      <c r="DG59662" s="256"/>
    </row>
    <row r="59663" spans="104:111">
      <c r="CZ59663" s="256"/>
      <c r="DG59663" s="256"/>
    </row>
    <row r="59664" spans="104:111">
      <c r="CZ59664" s="256"/>
      <c r="DG59664" s="256"/>
    </row>
    <row r="59665" spans="104:111">
      <c r="CZ59665" s="256"/>
      <c r="DG59665" s="256"/>
    </row>
    <row r="59666" spans="104:111">
      <c r="CZ59666" s="256"/>
      <c r="DG59666" s="256"/>
    </row>
    <row r="59667" spans="104:111">
      <c r="CZ59667" s="256"/>
      <c r="DG59667" s="256"/>
    </row>
    <row r="59668" spans="104:111">
      <c r="CZ59668" s="256"/>
      <c r="DG59668" s="256"/>
    </row>
    <row r="59669" spans="104:111">
      <c r="CZ59669" s="256"/>
      <c r="DG59669" s="256"/>
    </row>
    <row r="59670" spans="104:111">
      <c r="CZ59670" s="256"/>
      <c r="DG59670" s="256"/>
    </row>
    <row r="59671" spans="104:111">
      <c r="CZ59671" s="256"/>
      <c r="DG59671" s="256"/>
    </row>
    <row r="59672" spans="104:111">
      <c r="CZ59672" s="256"/>
      <c r="DG59672" s="256"/>
    </row>
    <row r="59673" spans="104:111">
      <c r="CZ59673" s="256"/>
      <c r="DG59673" s="256"/>
    </row>
    <row r="59674" spans="104:111">
      <c r="CZ59674" s="256"/>
      <c r="DG59674" s="256"/>
    </row>
    <row r="59675" spans="104:111">
      <c r="CZ59675" s="256"/>
      <c r="DG59675" s="256"/>
    </row>
    <row r="59676" spans="104:111">
      <c r="CZ59676" s="256"/>
      <c r="DG59676" s="256"/>
    </row>
    <row r="59677" spans="104:111">
      <c r="CZ59677" s="256"/>
      <c r="DG59677" s="256"/>
    </row>
    <row r="59678" spans="104:111">
      <c r="CZ59678" s="256"/>
      <c r="DG59678" s="256"/>
    </row>
    <row r="59679" spans="104:111">
      <c r="CZ59679" s="256"/>
      <c r="DG59679" s="256"/>
    </row>
    <row r="59680" spans="104:111">
      <c r="CZ59680" s="256"/>
      <c r="DG59680" s="256"/>
    </row>
    <row r="59681" spans="104:111">
      <c r="CZ59681" s="256"/>
      <c r="DG59681" s="256"/>
    </row>
    <row r="59682" spans="104:111">
      <c r="CZ59682" s="256"/>
      <c r="DG59682" s="256"/>
    </row>
    <row r="59683" spans="104:111">
      <c r="CZ59683" s="256"/>
      <c r="DG59683" s="256"/>
    </row>
    <row r="59684" spans="104:111">
      <c r="CZ59684" s="256"/>
      <c r="DG59684" s="256"/>
    </row>
    <row r="59685" spans="104:111">
      <c r="CZ59685" s="256"/>
      <c r="DG59685" s="256"/>
    </row>
    <row r="59686" spans="104:111">
      <c r="CZ59686" s="256"/>
      <c r="DG59686" s="256"/>
    </row>
    <row r="59687" spans="104:111">
      <c r="CZ59687" s="256"/>
      <c r="DG59687" s="256"/>
    </row>
    <row r="59688" spans="104:111">
      <c r="CZ59688" s="256"/>
      <c r="DG59688" s="256"/>
    </row>
    <row r="59689" spans="104:111">
      <c r="CZ59689" s="256"/>
      <c r="DG59689" s="256"/>
    </row>
    <row r="59690" spans="104:111">
      <c r="CZ59690" s="256"/>
      <c r="DG59690" s="256"/>
    </row>
    <row r="59691" spans="104:111">
      <c r="CZ59691" s="256"/>
      <c r="DG59691" s="256"/>
    </row>
    <row r="59692" spans="104:111">
      <c r="CZ59692" s="256"/>
      <c r="DG59692" s="256"/>
    </row>
    <row r="59693" spans="104:111">
      <c r="CZ59693" s="256"/>
      <c r="DG59693" s="256"/>
    </row>
    <row r="59694" spans="104:111">
      <c r="CZ59694" s="256"/>
      <c r="DG59694" s="256"/>
    </row>
    <row r="59695" spans="104:111">
      <c r="CZ59695" s="256"/>
      <c r="DG59695" s="256"/>
    </row>
    <row r="59696" spans="104:111">
      <c r="CZ59696" s="256"/>
      <c r="DG59696" s="256"/>
    </row>
    <row r="59697" spans="104:111">
      <c r="CZ59697" s="256"/>
      <c r="DG59697" s="256"/>
    </row>
    <row r="59698" spans="104:111">
      <c r="CZ59698" s="256"/>
      <c r="DG59698" s="256"/>
    </row>
    <row r="59699" spans="104:111">
      <c r="CZ59699" s="256"/>
      <c r="DG59699" s="256"/>
    </row>
    <row r="59700" spans="104:111">
      <c r="CZ59700" s="256"/>
      <c r="DG59700" s="256"/>
    </row>
    <row r="59701" spans="104:111">
      <c r="CZ59701" s="256"/>
      <c r="DG59701" s="256"/>
    </row>
    <row r="59702" spans="104:111">
      <c r="CZ59702" s="256"/>
      <c r="DG59702" s="256"/>
    </row>
    <row r="59703" spans="104:111">
      <c r="CZ59703" s="256"/>
      <c r="DG59703" s="256"/>
    </row>
    <row r="59704" spans="104:111">
      <c r="CZ59704" s="256"/>
      <c r="DG59704" s="256"/>
    </row>
    <row r="59705" spans="104:111">
      <c r="CZ59705" s="256"/>
      <c r="DG59705" s="256"/>
    </row>
    <row r="59706" spans="104:111">
      <c r="CZ59706" s="256"/>
      <c r="DG59706" s="256"/>
    </row>
    <row r="59707" spans="104:111">
      <c r="CZ59707" s="256"/>
      <c r="DG59707" s="256"/>
    </row>
    <row r="59708" spans="104:111">
      <c r="CZ59708" s="256"/>
      <c r="DG59708" s="256"/>
    </row>
    <row r="59709" spans="104:111">
      <c r="CZ59709" s="256"/>
      <c r="DG59709" s="256"/>
    </row>
    <row r="59710" spans="104:111">
      <c r="CZ59710" s="256"/>
      <c r="DG59710" s="256"/>
    </row>
    <row r="59711" spans="104:111">
      <c r="CZ59711" s="256"/>
      <c r="DG59711" s="256"/>
    </row>
    <row r="59712" spans="104:111">
      <c r="CZ59712" s="256"/>
      <c r="DG59712" s="256"/>
    </row>
    <row r="59713" spans="104:111">
      <c r="CZ59713" s="256"/>
      <c r="DG59713" s="256"/>
    </row>
    <row r="59714" spans="104:111">
      <c r="CZ59714" s="256"/>
      <c r="DG59714" s="256"/>
    </row>
    <row r="59715" spans="104:111">
      <c r="CZ59715" s="256"/>
      <c r="DG59715" s="256"/>
    </row>
    <row r="59716" spans="104:111">
      <c r="CZ59716" s="256"/>
      <c r="DG59716" s="256"/>
    </row>
    <row r="59717" spans="104:111">
      <c r="CZ59717" s="256"/>
      <c r="DG59717" s="256"/>
    </row>
    <row r="59718" spans="104:111">
      <c r="CZ59718" s="256"/>
      <c r="DG59718" s="256"/>
    </row>
    <row r="59719" spans="104:111">
      <c r="CZ59719" s="256"/>
      <c r="DG59719" s="256"/>
    </row>
    <row r="59720" spans="104:111">
      <c r="CZ59720" s="256"/>
      <c r="DG59720" s="256"/>
    </row>
    <row r="59721" spans="104:111">
      <c r="CZ59721" s="256"/>
      <c r="DG59721" s="256"/>
    </row>
    <row r="59722" spans="104:111">
      <c r="CZ59722" s="256"/>
      <c r="DG59722" s="256"/>
    </row>
    <row r="59723" spans="104:111">
      <c r="CZ59723" s="256"/>
      <c r="DG59723" s="256"/>
    </row>
    <row r="59724" spans="104:111">
      <c r="CZ59724" s="256"/>
      <c r="DG59724" s="256"/>
    </row>
    <row r="59725" spans="104:111">
      <c r="CZ59725" s="256"/>
      <c r="DG59725" s="256"/>
    </row>
    <row r="59726" spans="104:111">
      <c r="CZ59726" s="256"/>
      <c r="DG59726" s="256"/>
    </row>
    <row r="59727" spans="104:111">
      <c r="CZ59727" s="256"/>
      <c r="DG59727" s="256"/>
    </row>
    <row r="59728" spans="104:111">
      <c r="CZ59728" s="256"/>
      <c r="DG59728" s="256"/>
    </row>
    <row r="59729" spans="104:111">
      <c r="CZ59729" s="256"/>
      <c r="DG59729" s="256"/>
    </row>
    <row r="59730" spans="104:111">
      <c r="CZ59730" s="256"/>
      <c r="DG59730" s="256"/>
    </row>
    <row r="59731" spans="104:111">
      <c r="CZ59731" s="256"/>
      <c r="DG59731" s="256"/>
    </row>
    <row r="59732" spans="104:111">
      <c r="CZ59732" s="256"/>
      <c r="DG59732" s="256"/>
    </row>
    <row r="59733" spans="104:111">
      <c r="CZ59733" s="256"/>
      <c r="DG59733" s="256"/>
    </row>
    <row r="59734" spans="104:111">
      <c r="CZ59734" s="256"/>
      <c r="DG59734" s="256"/>
    </row>
    <row r="59735" spans="104:111">
      <c r="CZ59735" s="256"/>
      <c r="DG59735" s="256"/>
    </row>
    <row r="59736" spans="104:111">
      <c r="CZ59736" s="256"/>
      <c r="DG59736" s="256"/>
    </row>
    <row r="59737" spans="104:111">
      <c r="CZ59737" s="256"/>
      <c r="DG59737" s="256"/>
    </row>
    <row r="59738" spans="104:111">
      <c r="CZ59738" s="256"/>
      <c r="DG59738" s="256"/>
    </row>
    <row r="59739" spans="104:111">
      <c r="CZ59739" s="256"/>
      <c r="DG59739" s="256"/>
    </row>
    <row r="59740" spans="104:111">
      <c r="CZ59740" s="256"/>
      <c r="DG59740" s="256"/>
    </row>
    <row r="59741" spans="104:111">
      <c r="CZ59741" s="256"/>
      <c r="DG59741" s="256"/>
    </row>
    <row r="59742" spans="104:111">
      <c r="CZ59742" s="256"/>
      <c r="DG59742" s="256"/>
    </row>
    <row r="59743" spans="104:111">
      <c r="CZ59743" s="256"/>
      <c r="DG59743" s="256"/>
    </row>
    <row r="59744" spans="104:111">
      <c r="CZ59744" s="256"/>
      <c r="DG59744" s="256"/>
    </row>
    <row r="59745" spans="104:111">
      <c r="CZ59745" s="256"/>
      <c r="DG59745" s="256"/>
    </row>
    <row r="59746" spans="104:111">
      <c r="CZ59746" s="256"/>
      <c r="DG59746" s="256"/>
    </row>
    <row r="59747" spans="104:111">
      <c r="CZ59747" s="256"/>
      <c r="DG59747" s="256"/>
    </row>
    <row r="59748" spans="104:111">
      <c r="CZ59748" s="256"/>
      <c r="DG59748" s="256"/>
    </row>
    <row r="59749" spans="104:111">
      <c r="CZ59749" s="256"/>
      <c r="DG59749" s="256"/>
    </row>
    <row r="59750" spans="104:111">
      <c r="CZ59750" s="256"/>
      <c r="DG59750" s="256"/>
    </row>
    <row r="59751" spans="104:111">
      <c r="CZ59751" s="256"/>
      <c r="DG59751" s="256"/>
    </row>
    <row r="59752" spans="104:111">
      <c r="CZ59752" s="256"/>
      <c r="DG59752" s="256"/>
    </row>
    <row r="59753" spans="104:111">
      <c r="CZ59753" s="256"/>
      <c r="DG59753" s="256"/>
    </row>
    <row r="59754" spans="104:111">
      <c r="CZ59754" s="256"/>
      <c r="DG59754" s="256"/>
    </row>
    <row r="59755" spans="104:111">
      <c r="CZ59755" s="256"/>
      <c r="DG59755" s="256"/>
    </row>
    <row r="59756" spans="104:111">
      <c r="CZ59756" s="256"/>
      <c r="DG59756" s="256"/>
    </row>
    <row r="59757" spans="104:111">
      <c r="CZ59757" s="256"/>
      <c r="DG59757" s="256"/>
    </row>
    <row r="59758" spans="104:111">
      <c r="CZ59758" s="256"/>
      <c r="DG59758" s="256"/>
    </row>
    <row r="59759" spans="104:111">
      <c r="CZ59759" s="256"/>
      <c r="DG59759" s="256"/>
    </row>
    <row r="59760" spans="104:111">
      <c r="CZ59760" s="256"/>
      <c r="DG59760" s="256"/>
    </row>
    <row r="59761" spans="104:111">
      <c r="CZ59761" s="256"/>
      <c r="DG59761" s="256"/>
    </row>
    <row r="59762" spans="104:111">
      <c r="CZ59762" s="256"/>
      <c r="DG59762" s="256"/>
    </row>
    <row r="59763" spans="104:111">
      <c r="CZ59763" s="256"/>
      <c r="DG59763" s="256"/>
    </row>
    <row r="59764" spans="104:111">
      <c r="CZ59764" s="256"/>
      <c r="DG59764" s="256"/>
    </row>
    <row r="59765" spans="104:111">
      <c r="CZ59765" s="256"/>
      <c r="DG59765" s="256"/>
    </row>
    <row r="59766" spans="104:111">
      <c r="CZ59766" s="256"/>
      <c r="DG59766" s="256"/>
    </row>
    <row r="59767" spans="104:111">
      <c r="CZ59767" s="256"/>
      <c r="DG59767" s="256"/>
    </row>
    <row r="59768" spans="104:111">
      <c r="CZ59768" s="256"/>
      <c r="DG59768" s="256"/>
    </row>
    <row r="59769" spans="104:111">
      <c r="CZ59769" s="256"/>
      <c r="DG59769" s="256"/>
    </row>
    <row r="59770" spans="104:111">
      <c r="CZ59770" s="256"/>
      <c r="DG59770" s="256"/>
    </row>
    <row r="59771" spans="104:111">
      <c r="CZ59771" s="256"/>
      <c r="DG59771" s="256"/>
    </row>
    <row r="59772" spans="104:111">
      <c r="CZ59772" s="256"/>
      <c r="DG59772" s="256"/>
    </row>
    <row r="59773" spans="104:111">
      <c r="CZ59773" s="256"/>
      <c r="DG59773" s="256"/>
    </row>
    <row r="59774" spans="104:111">
      <c r="CZ59774" s="256"/>
      <c r="DG59774" s="256"/>
    </row>
    <row r="59775" spans="104:111">
      <c r="CZ59775" s="256"/>
      <c r="DG59775" s="256"/>
    </row>
    <row r="59776" spans="104:111">
      <c r="CZ59776" s="256"/>
      <c r="DG59776" s="256"/>
    </row>
    <row r="59777" spans="104:111">
      <c r="CZ59777" s="256"/>
      <c r="DG59777" s="256"/>
    </row>
    <row r="59778" spans="104:111">
      <c r="CZ59778" s="256"/>
      <c r="DG59778" s="256"/>
    </row>
    <row r="59779" spans="104:111">
      <c r="CZ59779" s="256"/>
      <c r="DG59779" s="256"/>
    </row>
    <row r="59780" spans="104:111">
      <c r="CZ59780" s="256"/>
      <c r="DG59780" s="256"/>
    </row>
    <row r="59781" spans="104:111">
      <c r="CZ59781" s="256"/>
      <c r="DG59781" s="256"/>
    </row>
    <row r="59782" spans="104:111">
      <c r="CZ59782" s="256"/>
      <c r="DG59782" s="256"/>
    </row>
    <row r="59783" spans="104:111">
      <c r="CZ59783" s="256"/>
      <c r="DG59783" s="256"/>
    </row>
    <row r="59784" spans="104:111">
      <c r="CZ59784" s="256"/>
      <c r="DG59784" s="256"/>
    </row>
    <row r="59785" spans="104:111">
      <c r="CZ59785" s="256"/>
      <c r="DG59785" s="256"/>
    </row>
    <row r="59786" spans="104:111">
      <c r="CZ59786" s="256"/>
      <c r="DG59786" s="256"/>
    </row>
    <row r="59787" spans="104:111">
      <c r="CZ59787" s="256"/>
      <c r="DG59787" s="256"/>
    </row>
    <row r="59788" spans="104:111">
      <c r="CZ59788" s="256"/>
      <c r="DG59788" s="256"/>
    </row>
    <row r="59789" spans="104:111">
      <c r="CZ59789" s="256"/>
      <c r="DG59789" s="256"/>
    </row>
    <row r="59790" spans="104:111">
      <c r="CZ59790" s="256"/>
      <c r="DG59790" s="256"/>
    </row>
    <row r="59791" spans="104:111">
      <c r="CZ59791" s="256"/>
      <c r="DG59791" s="256"/>
    </row>
    <row r="59792" spans="104:111">
      <c r="CZ59792" s="256"/>
      <c r="DG59792" s="256"/>
    </row>
    <row r="59793" spans="104:111">
      <c r="CZ59793" s="256"/>
      <c r="DG59793" s="256"/>
    </row>
    <row r="59794" spans="104:111">
      <c r="CZ59794" s="256"/>
      <c r="DG59794" s="256"/>
    </row>
    <row r="59795" spans="104:111">
      <c r="CZ59795" s="256"/>
      <c r="DG59795" s="256"/>
    </row>
    <row r="59796" spans="104:111">
      <c r="CZ59796" s="256"/>
      <c r="DG59796" s="256"/>
    </row>
    <row r="59797" spans="104:111">
      <c r="CZ59797" s="256"/>
      <c r="DG59797" s="256"/>
    </row>
    <row r="59798" spans="104:111">
      <c r="CZ59798" s="256"/>
      <c r="DG59798" s="256"/>
    </row>
    <row r="59799" spans="104:111">
      <c r="CZ59799" s="256"/>
      <c r="DG59799" s="256"/>
    </row>
    <row r="59800" spans="104:111">
      <c r="CZ59800" s="256"/>
      <c r="DG59800" s="256"/>
    </row>
    <row r="59801" spans="104:111">
      <c r="CZ59801" s="256"/>
      <c r="DG59801" s="256"/>
    </row>
    <row r="59802" spans="104:111">
      <c r="CZ59802" s="256"/>
      <c r="DG59802" s="256"/>
    </row>
    <row r="59803" spans="104:111">
      <c r="CZ59803" s="256"/>
      <c r="DG59803" s="256"/>
    </row>
    <row r="59804" spans="104:111">
      <c r="CZ59804" s="256"/>
      <c r="DG59804" s="256"/>
    </row>
    <row r="59805" spans="104:111">
      <c r="CZ59805" s="256"/>
      <c r="DG59805" s="256"/>
    </row>
    <row r="59806" spans="104:111">
      <c r="CZ59806" s="256"/>
      <c r="DG59806" s="256"/>
    </row>
    <row r="59807" spans="104:111">
      <c r="CZ59807" s="256"/>
      <c r="DG59807" s="256"/>
    </row>
    <row r="59808" spans="104:111">
      <c r="CZ59808" s="256"/>
      <c r="DG59808" s="256"/>
    </row>
    <row r="59809" spans="104:111">
      <c r="CZ59809" s="256"/>
      <c r="DG59809" s="256"/>
    </row>
    <row r="59810" spans="104:111">
      <c r="CZ59810" s="256"/>
      <c r="DG59810" s="256"/>
    </row>
    <row r="59811" spans="104:111">
      <c r="CZ59811" s="256"/>
      <c r="DG59811" s="256"/>
    </row>
    <row r="59812" spans="104:111">
      <c r="CZ59812" s="256"/>
      <c r="DG59812" s="256"/>
    </row>
    <row r="59813" spans="104:111">
      <c r="CZ59813" s="256"/>
      <c r="DG59813" s="256"/>
    </row>
    <row r="59814" spans="104:111">
      <c r="CZ59814" s="256"/>
      <c r="DG59814" s="256"/>
    </row>
    <row r="59815" spans="104:111">
      <c r="CZ59815" s="256"/>
      <c r="DG59815" s="256"/>
    </row>
    <row r="59816" spans="104:111">
      <c r="CZ59816" s="256"/>
      <c r="DG59816" s="256"/>
    </row>
    <row r="59817" spans="104:111">
      <c r="CZ59817" s="256"/>
      <c r="DG59817" s="256"/>
    </row>
    <row r="59818" spans="104:111">
      <c r="CZ59818" s="256"/>
      <c r="DG59818" s="256"/>
    </row>
    <row r="59819" spans="104:111">
      <c r="CZ59819" s="256"/>
      <c r="DG59819" s="256"/>
    </row>
    <row r="59820" spans="104:111">
      <c r="CZ59820" s="256"/>
      <c r="DG59820" s="256"/>
    </row>
    <row r="59821" spans="104:111">
      <c r="CZ59821" s="256"/>
      <c r="DG59821" s="256"/>
    </row>
    <row r="59822" spans="104:111">
      <c r="CZ59822" s="256"/>
      <c r="DG59822" s="256"/>
    </row>
    <row r="59823" spans="104:111">
      <c r="CZ59823" s="256"/>
      <c r="DG59823" s="256"/>
    </row>
    <row r="59824" spans="104:111">
      <c r="CZ59824" s="256"/>
      <c r="DG59824" s="256"/>
    </row>
    <row r="59825" spans="104:111">
      <c r="CZ59825" s="256"/>
      <c r="DG59825" s="256"/>
    </row>
    <row r="59826" spans="104:111">
      <c r="CZ59826" s="256"/>
      <c r="DG59826" s="256"/>
    </row>
    <row r="59827" spans="104:111">
      <c r="CZ59827" s="256"/>
      <c r="DG59827" s="256"/>
    </row>
    <row r="59828" spans="104:111">
      <c r="CZ59828" s="256"/>
      <c r="DG59828" s="256"/>
    </row>
    <row r="59829" spans="104:111">
      <c r="CZ59829" s="256"/>
      <c r="DG59829" s="256"/>
    </row>
    <row r="59830" spans="104:111">
      <c r="CZ59830" s="256"/>
      <c r="DG59830" s="256"/>
    </row>
    <row r="59831" spans="104:111">
      <c r="CZ59831" s="256"/>
      <c r="DG59831" s="256"/>
    </row>
    <row r="59832" spans="104:111">
      <c r="CZ59832" s="256"/>
      <c r="DG59832" s="256"/>
    </row>
    <row r="59833" spans="104:111">
      <c r="CZ59833" s="256"/>
      <c r="DG59833" s="256"/>
    </row>
    <row r="59834" spans="104:111">
      <c r="CZ59834" s="256"/>
      <c r="DG59834" s="256"/>
    </row>
    <row r="59835" spans="104:111">
      <c r="CZ59835" s="256"/>
      <c r="DG59835" s="256"/>
    </row>
    <row r="59836" spans="104:111">
      <c r="CZ59836" s="256"/>
      <c r="DG59836" s="256"/>
    </row>
    <row r="59837" spans="104:111">
      <c r="CZ59837" s="256"/>
      <c r="DG59837" s="256"/>
    </row>
    <row r="59838" spans="104:111">
      <c r="CZ59838" s="256"/>
      <c r="DG59838" s="256"/>
    </row>
    <row r="59839" spans="104:111">
      <c r="CZ59839" s="256"/>
      <c r="DG59839" s="256"/>
    </row>
    <row r="59840" spans="104:111">
      <c r="CZ59840" s="256"/>
      <c r="DG59840" s="256"/>
    </row>
    <row r="59841" spans="104:111">
      <c r="CZ59841" s="256"/>
      <c r="DG59841" s="256"/>
    </row>
    <row r="59842" spans="104:111">
      <c r="CZ59842" s="256"/>
      <c r="DG59842" s="256"/>
    </row>
    <row r="59843" spans="104:111">
      <c r="CZ59843" s="256"/>
      <c r="DG59843" s="256"/>
    </row>
    <row r="59844" spans="104:111">
      <c r="CZ59844" s="256"/>
      <c r="DG59844" s="256"/>
    </row>
    <row r="59845" spans="104:111">
      <c r="CZ59845" s="256"/>
      <c r="DG59845" s="256"/>
    </row>
    <row r="59846" spans="104:111">
      <c r="CZ59846" s="256"/>
      <c r="DG59846" s="256"/>
    </row>
    <row r="59847" spans="104:111">
      <c r="CZ59847" s="256"/>
      <c r="DG59847" s="256"/>
    </row>
    <row r="59848" spans="104:111">
      <c r="CZ59848" s="256"/>
      <c r="DG59848" s="256"/>
    </row>
    <row r="59849" spans="104:111">
      <c r="CZ59849" s="256"/>
      <c r="DG59849" s="256"/>
    </row>
    <row r="59850" spans="104:111">
      <c r="CZ59850" s="256"/>
      <c r="DG59850" s="256"/>
    </row>
    <row r="59851" spans="104:111">
      <c r="CZ59851" s="256"/>
      <c r="DG59851" s="256"/>
    </row>
    <row r="59852" spans="104:111">
      <c r="CZ59852" s="256"/>
      <c r="DG59852" s="256"/>
    </row>
    <row r="59853" spans="104:111">
      <c r="CZ59853" s="256"/>
      <c r="DG59853" s="256"/>
    </row>
    <row r="59854" spans="104:111">
      <c r="CZ59854" s="256"/>
      <c r="DG59854" s="256"/>
    </row>
    <row r="59855" spans="104:111">
      <c r="CZ59855" s="256"/>
      <c r="DG59855" s="256"/>
    </row>
    <row r="59856" spans="104:111">
      <c r="CZ59856" s="256"/>
      <c r="DG59856" s="256"/>
    </row>
    <row r="59857" spans="104:111">
      <c r="CZ59857" s="256"/>
      <c r="DG59857" s="256"/>
    </row>
    <row r="59858" spans="104:111">
      <c r="CZ59858" s="256"/>
      <c r="DG59858" s="256"/>
    </row>
    <row r="59859" spans="104:111">
      <c r="CZ59859" s="256"/>
      <c r="DG59859" s="256"/>
    </row>
    <row r="59860" spans="104:111">
      <c r="CZ59860" s="256"/>
      <c r="DG59860" s="256"/>
    </row>
    <row r="59861" spans="104:111">
      <c r="CZ59861" s="256"/>
      <c r="DG59861" s="256"/>
    </row>
    <row r="59862" spans="104:111">
      <c r="CZ59862" s="256"/>
      <c r="DG59862" s="256"/>
    </row>
    <row r="59863" spans="104:111">
      <c r="CZ59863" s="256"/>
      <c r="DG59863" s="256"/>
    </row>
    <row r="59864" spans="104:111">
      <c r="CZ59864" s="256"/>
      <c r="DG59864" s="256"/>
    </row>
    <row r="59865" spans="104:111">
      <c r="CZ59865" s="256"/>
      <c r="DG59865" s="256"/>
    </row>
    <row r="59866" spans="104:111">
      <c r="CZ59866" s="256"/>
      <c r="DG59866" s="256"/>
    </row>
    <row r="59867" spans="104:111">
      <c r="CZ59867" s="256"/>
      <c r="DG59867" s="256"/>
    </row>
    <row r="59868" spans="104:111">
      <c r="CZ59868" s="256"/>
      <c r="DG59868" s="256"/>
    </row>
    <row r="59869" spans="104:111">
      <c r="CZ59869" s="256"/>
      <c r="DG59869" s="256"/>
    </row>
    <row r="59870" spans="104:111">
      <c r="CZ59870" s="256"/>
      <c r="DG59870" s="256"/>
    </row>
    <row r="59871" spans="104:111">
      <c r="CZ59871" s="256"/>
      <c r="DG59871" s="256"/>
    </row>
    <row r="59872" spans="104:111">
      <c r="CZ59872" s="256"/>
      <c r="DG59872" s="256"/>
    </row>
    <row r="59873" spans="104:111">
      <c r="CZ59873" s="256"/>
      <c r="DG59873" s="256"/>
    </row>
    <row r="59874" spans="104:111">
      <c r="CZ59874" s="256"/>
      <c r="DG59874" s="256"/>
    </row>
    <row r="59875" spans="104:111">
      <c r="CZ59875" s="256"/>
      <c r="DG59875" s="256"/>
    </row>
    <row r="59876" spans="104:111">
      <c r="CZ59876" s="256"/>
      <c r="DG59876" s="256"/>
    </row>
    <row r="59877" spans="104:111">
      <c r="CZ59877" s="256"/>
      <c r="DG59877" s="256"/>
    </row>
    <row r="59878" spans="104:111">
      <c r="CZ59878" s="256"/>
      <c r="DG59878" s="256"/>
    </row>
    <row r="59879" spans="104:111">
      <c r="CZ59879" s="256"/>
      <c r="DG59879" s="256"/>
    </row>
    <row r="59880" spans="104:111">
      <c r="CZ59880" s="256"/>
      <c r="DG59880" s="256"/>
    </row>
    <row r="59881" spans="104:111">
      <c r="CZ59881" s="256"/>
      <c r="DG59881" s="256"/>
    </row>
    <row r="59882" spans="104:111">
      <c r="CZ59882" s="256"/>
      <c r="DG59882" s="256"/>
    </row>
    <row r="59883" spans="104:111">
      <c r="CZ59883" s="256"/>
      <c r="DG59883" s="256"/>
    </row>
    <row r="59884" spans="104:111">
      <c r="CZ59884" s="256"/>
      <c r="DG59884" s="256"/>
    </row>
    <row r="59885" spans="104:111">
      <c r="CZ59885" s="256"/>
      <c r="DG59885" s="256"/>
    </row>
    <row r="59886" spans="104:111">
      <c r="CZ59886" s="256"/>
      <c r="DG59886" s="256"/>
    </row>
    <row r="59887" spans="104:111">
      <c r="CZ59887" s="256"/>
      <c r="DG59887" s="256"/>
    </row>
    <row r="59888" spans="104:111">
      <c r="CZ59888" s="256"/>
      <c r="DG59888" s="256"/>
    </row>
    <row r="59889" spans="104:111">
      <c r="CZ59889" s="256"/>
      <c r="DG59889" s="256"/>
    </row>
    <row r="59890" spans="104:111">
      <c r="CZ59890" s="256"/>
      <c r="DG59890" s="256"/>
    </row>
    <row r="59891" spans="104:111">
      <c r="CZ59891" s="256"/>
      <c r="DG59891" s="256"/>
    </row>
    <row r="59892" spans="104:111">
      <c r="CZ59892" s="256"/>
      <c r="DG59892" s="256"/>
    </row>
    <row r="59893" spans="104:111">
      <c r="CZ59893" s="256"/>
      <c r="DG59893" s="256"/>
    </row>
    <row r="59894" spans="104:111">
      <c r="CZ59894" s="256"/>
      <c r="DG59894" s="256"/>
    </row>
    <row r="59895" spans="104:111">
      <c r="CZ59895" s="256"/>
      <c r="DG59895" s="256"/>
    </row>
    <row r="59896" spans="104:111">
      <c r="CZ59896" s="256"/>
      <c r="DG59896" s="256"/>
    </row>
    <row r="59897" spans="104:111">
      <c r="CZ59897" s="256"/>
      <c r="DG59897" s="256"/>
    </row>
    <row r="59898" spans="104:111">
      <c r="CZ59898" s="256"/>
      <c r="DG59898" s="256"/>
    </row>
    <row r="59899" spans="104:111">
      <c r="CZ59899" s="256"/>
      <c r="DG59899" s="256"/>
    </row>
    <row r="59900" spans="104:111">
      <c r="CZ59900" s="256"/>
      <c r="DG59900" s="256"/>
    </row>
    <row r="59901" spans="104:111">
      <c r="CZ59901" s="256"/>
      <c r="DG59901" s="256"/>
    </row>
    <row r="59902" spans="104:111">
      <c r="CZ59902" s="256"/>
      <c r="DG59902" s="256"/>
    </row>
    <row r="59903" spans="104:111">
      <c r="CZ59903" s="256"/>
      <c r="DG59903" s="256"/>
    </row>
    <row r="59904" spans="104:111">
      <c r="CZ59904" s="256"/>
      <c r="DG59904" s="256"/>
    </row>
    <row r="59905" spans="104:111">
      <c r="CZ59905" s="256"/>
      <c r="DG59905" s="256"/>
    </row>
    <row r="59906" spans="104:111">
      <c r="CZ59906" s="256"/>
      <c r="DG59906" s="256"/>
    </row>
    <row r="59907" spans="104:111">
      <c r="CZ59907" s="256"/>
      <c r="DG59907" s="256"/>
    </row>
    <row r="59908" spans="104:111">
      <c r="CZ59908" s="256"/>
      <c r="DG59908" s="256"/>
    </row>
    <row r="59909" spans="104:111">
      <c r="CZ59909" s="256"/>
      <c r="DG59909" s="256"/>
    </row>
    <row r="59910" spans="104:111">
      <c r="CZ59910" s="256"/>
      <c r="DG59910" s="256"/>
    </row>
    <row r="59911" spans="104:111">
      <c r="CZ59911" s="256"/>
      <c r="DG59911" s="256"/>
    </row>
    <row r="59912" spans="104:111">
      <c r="CZ59912" s="256"/>
      <c r="DG59912" s="256"/>
    </row>
    <row r="59913" spans="104:111">
      <c r="CZ59913" s="256"/>
      <c r="DG59913" s="256"/>
    </row>
    <row r="59914" spans="104:111">
      <c r="CZ59914" s="256"/>
      <c r="DG59914" s="256"/>
    </row>
    <row r="59915" spans="104:111">
      <c r="CZ59915" s="256"/>
      <c r="DG59915" s="256"/>
    </row>
    <row r="59916" spans="104:111">
      <c r="CZ59916" s="256"/>
      <c r="DG59916" s="256"/>
    </row>
    <row r="59917" spans="104:111">
      <c r="CZ59917" s="256"/>
      <c r="DG59917" s="256"/>
    </row>
    <row r="59918" spans="104:111">
      <c r="CZ59918" s="256"/>
      <c r="DG59918" s="256"/>
    </row>
    <row r="59919" spans="104:111">
      <c r="CZ59919" s="256"/>
      <c r="DG59919" s="256"/>
    </row>
    <row r="59920" spans="104:111">
      <c r="CZ59920" s="256"/>
      <c r="DG59920" s="256"/>
    </row>
    <row r="59921" spans="104:111">
      <c r="CZ59921" s="256"/>
      <c r="DG59921" s="256"/>
    </row>
    <row r="59922" spans="104:111">
      <c r="CZ59922" s="256"/>
      <c r="DG59922" s="256"/>
    </row>
    <row r="59923" spans="104:111">
      <c r="CZ59923" s="256"/>
      <c r="DG59923" s="256"/>
    </row>
    <row r="59924" spans="104:111">
      <c r="CZ59924" s="256"/>
      <c r="DG59924" s="256"/>
    </row>
    <row r="59925" spans="104:111">
      <c r="CZ59925" s="256"/>
      <c r="DG59925" s="256"/>
    </row>
    <row r="59926" spans="104:111">
      <c r="CZ59926" s="256"/>
      <c r="DG59926" s="256"/>
    </row>
    <row r="59927" spans="104:111">
      <c r="CZ59927" s="256"/>
      <c r="DG59927" s="256"/>
    </row>
    <row r="59928" spans="104:111">
      <c r="CZ59928" s="256"/>
      <c r="DG59928" s="256"/>
    </row>
    <row r="59929" spans="104:111">
      <c r="CZ59929" s="256"/>
      <c r="DG59929" s="256"/>
    </row>
    <row r="59930" spans="104:111">
      <c r="CZ59930" s="256"/>
      <c r="DG59930" s="256"/>
    </row>
    <row r="59931" spans="104:111">
      <c r="CZ59931" s="256"/>
      <c r="DG59931" s="256"/>
    </row>
    <row r="59932" spans="104:111">
      <c r="CZ59932" s="256"/>
      <c r="DG59932" s="256"/>
    </row>
    <row r="59933" spans="104:111">
      <c r="CZ59933" s="256"/>
      <c r="DG59933" s="256"/>
    </row>
    <row r="59934" spans="104:111">
      <c r="CZ59934" s="256"/>
      <c r="DG59934" s="256"/>
    </row>
    <row r="59935" spans="104:111">
      <c r="CZ59935" s="256"/>
      <c r="DG59935" s="256"/>
    </row>
    <row r="59936" spans="104:111">
      <c r="CZ59936" s="256"/>
      <c r="DG59936" s="256"/>
    </row>
    <row r="59937" spans="104:111">
      <c r="CZ59937" s="256"/>
      <c r="DG59937" s="256"/>
    </row>
    <row r="59938" spans="104:111">
      <c r="CZ59938" s="256"/>
      <c r="DG59938" s="256"/>
    </row>
    <row r="59939" spans="104:111">
      <c r="CZ59939" s="256"/>
      <c r="DG59939" s="256"/>
    </row>
    <row r="59940" spans="104:111">
      <c r="CZ59940" s="256"/>
      <c r="DG59940" s="256"/>
    </row>
    <row r="59941" spans="104:111">
      <c r="CZ59941" s="256"/>
      <c r="DG59941" s="256"/>
    </row>
    <row r="59942" spans="104:111">
      <c r="CZ59942" s="256"/>
      <c r="DG59942" s="256"/>
    </row>
    <row r="59943" spans="104:111">
      <c r="CZ59943" s="256"/>
      <c r="DG59943" s="256"/>
    </row>
    <row r="59944" spans="104:111">
      <c r="CZ59944" s="256"/>
      <c r="DG59944" s="256"/>
    </row>
    <row r="59945" spans="104:111">
      <c r="CZ59945" s="256"/>
      <c r="DG59945" s="256"/>
    </row>
    <row r="59946" spans="104:111">
      <c r="CZ59946" s="256"/>
      <c r="DG59946" s="256"/>
    </row>
    <row r="59947" spans="104:111">
      <c r="CZ59947" s="256"/>
      <c r="DG59947" s="256"/>
    </row>
    <row r="59948" spans="104:111">
      <c r="CZ59948" s="256"/>
      <c r="DG59948" s="256"/>
    </row>
    <row r="59949" spans="104:111">
      <c r="CZ59949" s="256"/>
      <c r="DG59949" s="256"/>
    </row>
    <row r="59950" spans="104:111">
      <c r="CZ59950" s="256"/>
      <c r="DG59950" s="256"/>
    </row>
    <row r="59951" spans="104:111">
      <c r="CZ59951" s="256"/>
      <c r="DG59951" s="256"/>
    </row>
    <row r="59952" spans="104:111">
      <c r="CZ59952" s="256"/>
      <c r="DG59952" s="256"/>
    </row>
    <row r="59953" spans="104:111">
      <c r="CZ59953" s="256"/>
      <c r="DG59953" s="256"/>
    </row>
    <row r="59954" spans="104:111">
      <c r="CZ59954" s="256"/>
      <c r="DG59954" s="256"/>
    </row>
    <row r="59955" spans="104:111">
      <c r="CZ59955" s="256"/>
      <c r="DG59955" s="256"/>
    </row>
    <row r="59956" spans="104:111">
      <c r="CZ59956" s="256"/>
      <c r="DG59956" s="256"/>
    </row>
    <row r="59957" spans="104:111">
      <c r="CZ59957" s="256"/>
      <c r="DG59957" s="256"/>
    </row>
    <row r="59958" spans="104:111">
      <c r="CZ59958" s="256"/>
      <c r="DG59958" s="256"/>
    </row>
    <row r="59959" spans="104:111">
      <c r="CZ59959" s="256"/>
      <c r="DG59959" s="256"/>
    </row>
    <row r="59960" spans="104:111">
      <c r="CZ59960" s="256"/>
      <c r="DG59960" s="256"/>
    </row>
    <row r="59961" spans="104:111">
      <c r="CZ59961" s="256"/>
      <c r="DG59961" s="256"/>
    </row>
    <row r="59962" spans="104:111">
      <c r="CZ59962" s="256"/>
      <c r="DG59962" s="256"/>
    </row>
    <row r="59963" spans="104:111">
      <c r="CZ59963" s="256"/>
      <c r="DG59963" s="256"/>
    </row>
    <row r="59964" spans="104:111">
      <c r="CZ59964" s="256"/>
      <c r="DG59964" s="256"/>
    </row>
    <row r="59965" spans="104:111">
      <c r="CZ59965" s="256"/>
      <c r="DG59965" s="256"/>
    </row>
    <row r="59966" spans="104:111">
      <c r="CZ59966" s="256"/>
      <c r="DG59966" s="256"/>
    </row>
    <row r="59967" spans="104:111">
      <c r="CZ59967" s="256"/>
      <c r="DG59967" s="256"/>
    </row>
    <row r="59968" spans="104:111">
      <c r="CZ59968" s="256"/>
      <c r="DG59968" s="256"/>
    </row>
    <row r="59969" spans="104:111">
      <c r="CZ59969" s="256"/>
      <c r="DG59969" s="256"/>
    </row>
    <row r="59970" spans="104:111">
      <c r="CZ59970" s="256"/>
      <c r="DG59970" s="256"/>
    </row>
    <row r="59971" spans="104:111">
      <c r="CZ59971" s="256"/>
      <c r="DG59971" s="256"/>
    </row>
    <row r="59972" spans="104:111">
      <c r="CZ59972" s="256"/>
      <c r="DG59972" s="256"/>
    </row>
    <row r="59973" spans="104:111">
      <c r="CZ59973" s="256"/>
      <c r="DG59973" s="256"/>
    </row>
    <row r="59974" spans="104:111">
      <c r="CZ59974" s="256"/>
      <c r="DG59974" s="256"/>
    </row>
    <row r="59975" spans="104:111">
      <c r="CZ59975" s="256"/>
      <c r="DG59975" s="256"/>
    </row>
    <row r="59976" spans="104:111">
      <c r="CZ59976" s="256"/>
      <c r="DG59976" s="256"/>
    </row>
    <row r="59977" spans="104:111">
      <c r="CZ59977" s="256"/>
      <c r="DG59977" s="256"/>
    </row>
    <row r="59978" spans="104:111">
      <c r="CZ59978" s="256"/>
      <c r="DG59978" s="256"/>
    </row>
    <row r="59979" spans="104:111">
      <c r="CZ59979" s="256"/>
      <c r="DG59979" s="256"/>
    </row>
    <row r="59980" spans="104:111">
      <c r="CZ59980" s="256"/>
      <c r="DG59980" s="256"/>
    </row>
    <row r="59981" spans="104:111">
      <c r="CZ59981" s="256"/>
      <c r="DG59981" s="256"/>
    </row>
    <row r="59982" spans="104:111">
      <c r="CZ59982" s="256"/>
      <c r="DG59982" s="256"/>
    </row>
    <row r="59983" spans="104:111">
      <c r="CZ59983" s="256"/>
      <c r="DG59983" s="256"/>
    </row>
    <row r="59984" spans="104:111">
      <c r="CZ59984" s="256"/>
      <c r="DG59984" s="256"/>
    </row>
    <row r="59985" spans="104:111">
      <c r="CZ59985" s="256"/>
      <c r="DG59985" s="256"/>
    </row>
    <row r="59986" spans="104:111">
      <c r="CZ59986" s="256"/>
      <c r="DG59986" s="256"/>
    </row>
    <row r="59987" spans="104:111">
      <c r="CZ59987" s="256"/>
      <c r="DG59987" s="256"/>
    </row>
    <row r="59988" spans="104:111">
      <c r="CZ59988" s="256"/>
      <c r="DG59988" s="256"/>
    </row>
    <row r="59989" spans="104:111">
      <c r="CZ59989" s="256"/>
      <c r="DG59989" s="256"/>
    </row>
    <row r="59990" spans="104:111">
      <c r="CZ59990" s="256"/>
      <c r="DG59990" s="256"/>
    </row>
    <row r="59991" spans="104:111">
      <c r="CZ59991" s="256"/>
      <c r="DG59991" s="256"/>
    </row>
    <row r="59992" spans="104:111">
      <c r="CZ59992" s="256"/>
      <c r="DG59992" s="256"/>
    </row>
    <row r="59993" spans="104:111">
      <c r="CZ59993" s="256"/>
      <c r="DG59993" s="256"/>
    </row>
    <row r="59994" spans="104:111">
      <c r="CZ59994" s="256"/>
      <c r="DG59994" s="256"/>
    </row>
    <row r="59995" spans="104:111">
      <c r="CZ59995" s="256"/>
      <c r="DG59995" s="256"/>
    </row>
    <row r="59996" spans="104:111">
      <c r="CZ59996" s="256"/>
      <c r="DG59996" s="256"/>
    </row>
    <row r="59997" spans="104:111">
      <c r="CZ59997" s="256"/>
      <c r="DG59997" s="256"/>
    </row>
    <row r="59998" spans="104:111">
      <c r="CZ59998" s="256"/>
      <c r="DG59998" s="256"/>
    </row>
    <row r="59999" spans="104:111">
      <c r="CZ59999" s="256"/>
      <c r="DG59999" s="256"/>
    </row>
    <row r="60000" spans="104:111">
      <c r="CZ60000" s="256"/>
      <c r="DG60000" s="256"/>
    </row>
    <row r="60001" spans="104:111">
      <c r="CZ60001" s="256"/>
      <c r="DG60001" s="256"/>
    </row>
    <row r="60002" spans="104:111">
      <c r="CZ60002" s="256"/>
      <c r="DG60002" s="256"/>
    </row>
    <row r="60003" spans="104:111">
      <c r="CZ60003" s="256"/>
      <c r="DG60003" s="256"/>
    </row>
    <row r="60004" spans="104:111">
      <c r="CZ60004" s="256"/>
      <c r="DG60004" s="256"/>
    </row>
    <row r="60005" spans="104:111">
      <c r="CZ60005" s="256"/>
      <c r="DG60005" s="256"/>
    </row>
    <row r="60006" spans="104:111">
      <c r="CZ60006" s="256"/>
      <c r="DG60006" s="256"/>
    </row>
    <row r="60007" spans="104:111">
      <c r="CZ60007" s="256"/>
      <c r="DG60007" s="256"/>
    </row>
    <row r="60008" spans="104:111">
      <c r="CZ60008" s="256"/>
      <c r="DG60008" s="256"/>
    </row>
    <row r="60009" spans="104:111">
      <c r="CZ60009" s="256"/>
      <c r="DG60009" s="256"/>
    </row>
    <row r="60010" spans="104:111">
      <c r="CZ60010" s="256"/>
      <c r="DG60010" s="256"/>
    </row>
    <row r="60011" spans="104:111">
      <c r="CZ60011" s="256"/>
      <c r="DG60011" s="256"/>
    </row>
    <row r="60012" spans="104:111">
      <c r="CZ60012" s="256"/>
      <c r="DG60012" s="256"/>
    </row>
    <row r="60013" spans="104:111">
      <c r="CZ60013" s="256"/>
      <c r="DG60013" s="256"/>
    </row>
    <row r="60014" spans="104:111">
      <c r="CZ60014" s="256"/>
      <c r="DG60014" s="256"/>
    </row>
    <row r="60015" spans="104:111">
      <c r="CZ60015" s="256"/>
      <c r="DG60015" s="256"/>
    </row>
    <row r="60016" spans="104:111">
      <c r="CZ60016" s="256"/>
      <c r="DG60016" s="256"/>
    </row>
    <row r="60017" spans="104:111">
      <c r="CZ60017" s="256"/>
      <c r="DG60017" s="256"/>
    </row>
    <row r="60018" spans="104:111">
      <c r="CZ60018" s="256"/>
      <c r="DG60018" s="256"/>
    </row>
    <row r="60019" spans="104:111">
      <c r="CZ60019" s="256"/>
      <c r="DG60019" s="256"/>
    </row>
    <row r="60020" spans="104:111">
      <c r="CZ60020" s="256"/>
      <c r="DG60020" s="256"/>
    </row>
    <row r="60021" spans="104:111">
      <c r="CZ60021" s="256"/>
      <c r="DG60021" s="256"/>
    </row>
    <row r="60022" spans="104:111">
      <c r="CZ60022" s="256"/>
      <c r="DG60022" s="256"/>
    </row>
    <row r="60023" spans="104:111">
      <c r="CZ60023" s="256"/>
      <c r="DG60023" s="256"/>
    </row>
    <row r="60024" spans="104:111">
      <c r="CZ60024" s="256"/>
      <c r="DG60024" s="256"/>
    </row>
    <row r="60025" spans="104:111">
      <c r="CZ60025" s="256"/>
      <c r="DG60025" s="256"/>
    </row>
    <row r="60026" spans="104:111">
      <c r="CZ60026" s="256"/>
      <c r="DG60026" s="256"/>
    </row>
    <row r="60027" spans="104:111">
      <c r="CZ60027" s="256"/>
      <c r="DG60027" s="256"/>
    </row>
    <row r="60028" spans="104:111">
      <c r="CZ60028" s="256"/>
      <c r="DG60028" s="256"/>
    </row>
    <row r="60029" spans="104:111">
      <c r="CZ60029" s="256"/>
      <c r="DG60029" s="256"/>
    </row>
    <row r="60030" spans="104:111">
      <c r="CZ60030" s="256"/>
      <c r="DG60030" s="256"/>
    </row>
    <row r="60031" spans="104:111">
      <c r="CZ60031" s="256"/>
      <c r="DG60031" s="256"/>
    </row>
    <row r="60032" spans="104:111">
      <c r="CZ60032" s="256"/>
      <c r="DG60032" s="256"/>
    </row>
    <row r="60033" spans="104:111">
      <c r="CZ60033" s="256"/>
      <c r="DG60033" s="256"/>
    </row>
    <row r="60034" spans="104:111">
      <c r="CZ60034" s="256"/>
      <c r="DG60034" s="256"/>
    </row>
    <row r="60035" spans="104:111">
      <c r="CZ60035" s="256"/>
      <c r="DG60035" s="256"/>
    </row>
    <row r="60036" spans="104:111">
      <c r="CZ60036" s="256"/>
      <c r="DG60036" s="256"/>
    </row>
    <row r="60037" spans="104:111">
      <c r="CZ60037" s="256"/>
      <c r="DG60037" s="256"/>
    </row>
    <row r="60038" spans="104:111">
      <c r="CZ60038" s="256"/>
      <c r="DG60038" s="256"/>
    </row>
    <row r="60039" spans="104:111">
      <c r="CZ60039" s="256"/>
      <c r="DG60039" s="256"/>
    </row>
    <row r="60040" spans="104:111">
      <c r="CZ60040" s="256"/>
      <c r="DG60040" s="256"/>
    </row>
    <row r="60041" spans="104:111">
      <c r="CZ60041" s="256"/>
      <c r="DG60041" s="256"/>
    </row>
    <row r="60042" spans="104:111">
      <c r="CZ60042" s="256"/>
      <c r="DG60042" s="256"/>
    </row>
    <row r="60043" spans="104:111">
      <c r="CZ60043" s="256"/>
      <c r="DG60043" s="256"/>
    </row>
    <row r="60044" spans="104:111">
      <c r="CZ60044" s="256"/>
      <c r="DG60044" s="256"/>
    </row>
    <row r="60045" spans="104:111">
      <c r="CZ60045" s="256"/>
      <c r="DG60045" s="256"/>
    </row>
    <row r="60046" spans="104:111">
      <c r="CZ60046" s="256"/>
      <c r="DG60046" s="256"/>
    </row>
    <row r="60047" spans="104:111">
      <c r="CZ60047" s="256"/>
      <c r="DG60047" s="256"/>
    </row>
    <row r="60048" spans="104:111">
      <c r="CZ60048" s="256"/>
      <c r="DG60048" s="256"/>
    </row>
    <row r="60049" spans="104:111">
      <c r="CZ60049" s="256"/>
      <c r="DG60049" s="256"/>
    </row>
    <row r="60050" spans="104:111">
      <c r="CZ60050" s="256"/>
      <c r="DG60050" s="256"/>
    </row>
    <row r="60051" spans="104:111">
      <c r="CZ60051" s="256"/>
      <c r="DG60051" s="256"/>
    </row>
    <row r="60052" spans="104:111">
      <c r="CZ60052" s="256"/>
      <c r="DG60052" s="256"/>
    </row>
    <row r="60053" spans="104:111">
      <c r="CZ60053" s="256"/>
      <c r="DG60053" s="256"/>
    </row>
    <row r="60054" spans="104:111">
      <c r="CZ60054" s="256"/>
      <c r="DG60054" s="256"/>
    </row>
    <row r="60055" spans="104:111">
      <c r="CZ60055" s="256"/>
      <c r="DG60055" s="256"/>
    </row>
    <row r="60056" spans="104:111">
      <c r="CZ60056" s="256"/>
      <c r="DG60056" s="256"/>
    </row>
    <row r="60057" spans="104:111">
      <c r="CZ60057" s="256"/>
      <c r="DG60057" s="256"/>
    </row>
    <row r="60058" spans="104:111">
      <c r="CZ60058" s="256"/>
      <c r="DG60058" s="256"/>
    </row>
    <row r="60059" spans="104:111">
      <c r="CZ60059" s="256"/>
      <c r="DG60059" s="256"/>
    </row>
    <row r="60060" spans="104:111">
      <c r="CZ60060" s="256"/>
      <c r="DG60060" s="256"/>
    </row>
    <row r="60061" spans="104:111">
      <c r="CZ60061" s="256"/>
      <c r="DG60061" s="256"/>
    </row>
    <row r="60062" spans="104:111">
      <c r="CZ60062" s="256"/>
      <c r="DG60062" s="256"/>
    </row>
    <row r="60063" spans="104:111">
      <c r="CZ60063" s="256"/>
      <c r="DG60063" s="256"/>
    </row>
    <row r="60064" spans="104:111">
      <c r="CZ60064" s="256"/>
      <c r="DG60064" s="256"/>
    </row>
    <row r="60065" spans="104:111">
      <c r="CZ60065" s="256"/>
      <c r="DG60065" s="256"/>
    </row>
    <row r="60066" spans="104:111">
      <c r="CZ60066" s="256"/>
      <c r="DG60066" s="256"/>
    </row>
    <row r="60067" spans="104:111">
      <c r="CZ60067" s="256"/>
      <c r="DG60067" s="256"/>
    </row>
    <row r="60068" spans="104:111">
      <c r="CZ60068" s="256"/>
      <c r="DG60068" s="256"/>
    </row>
    <row r="60069" spans="104:111">
      <c r="CZ60069" s="256"/>
      <c r="DG60069" s="256"/>
    </row>
    <row r="60070" spans="104:111">
      <c r="CZ60070" s="256"/>
      <c r="DG60070" s="256"/>
    </row>
    <row r="60071" spans="104:111">
      <c r="CZ60071" s="256"/>
      <c r="DG60071" s="256"/>
    </row>
    <row r="60072" spans="104:111">
      <c r="CZ60072" s="256"/>
      <c r="DG60072" s="256"/>
    </row>
    <row r="60073" spans="104:111">
      <c r="CZ60073" s="256"/>
      <c r="DG60073" s="256"/>
    </row>
    <row r="60074" spans="104:111">
      <c r="CZ60074" s="256"/>
      <c r="DG60074" s="256"/>
    </row>
    <row r="60075" spans="104:111">
      <c r="CZ60075" s="256"/>
      <c r="DG60075" s="256"/>
    </row>
    <row r="60076" spans="104:111">
      <c r="CZ60076" s="256"/>
      <c r="DG60076" s="256"/>
    </row>
    <row r="60077" spans="104:111">
      <c r="CZ60077" s="256"/>
      <c r="DG60077" s="256"/>
    </row>
    <row r="60078" spans="104:111">
      <c r="CZ60078" s="256"/>
      <c r="DG60078" s="256"/>
    </row>
    <row r="60079" spans="104:111">
      <c r="CZ60079" s="256"/>
      <c r="DG60079" s="256"/>
    </row>
    <row r="60080" spans="104:111">
      <c r="CZ60080" s="256"/>
      <c r="DG60080" s="256"/>
    </row>
    <row r="60081" spans="104:111">
      <c r="CZ60081" s="256"/>
      <c r="DG60081" s="256"/>
    </row>
    <row r="60082" spans="104:111">
      <c r="CZ60082" s="256"/>
      <c r="DG60082" s="256"/>
    </row>
    <row r="60083" spans="104:111">
      <c r="CZ60083" s="256"/>
      <c r="DG60083" s="256"/>
    </row>
    <row r="60084" spans="104:111">
      <c r="CZ60084" s="256"/>
      <c r="DG60084" s="256"/>
    </row>
    <row r="60085" spans="104:111">
      <c r="CZ60085" s="256"/>
      <c r="DG60085" s="256"/>
    </row>
    <row r="60086" spans="104:111">
      <c r="CZ60086" s="256"/>
      <c r="DG60086" s="256"/>
    </row>
    <row r="60087" spans="104:111">
      <c r="CZ60087" s="256"/>
      <c r="DG60087" s="256"/>
    </row>
    <row r="60088" spans="104:111">
      <c r="CZ60088" s="256"/>
      <c r="DG60088" s="256"/>
    </row>
    <row r="60089" spans="104:111">
      <c r="CZ60089" s="256"/>
      <c r="DG60089" s="256"/>
    </row>
    <row r="60090" spans="104:111">
      <c r="CZ60090" s="256"/>
      <c r="DG60090" s="256"/>
    </row>
    <row r="60091" spans="104:111">
      <c r="CZ60091" s="256"/>
      <c r="DG60091" s="256"/>
    </row>
    <row r="60092" spans="104:111">
      <c r="CZ60092" s="256"/>
      <c r="DG60092" s="256"/>
    </row>
    <row r="60093" spans="104:111">
      <c r="CZ60093" s="256"/>
      <c r="DG60093" s="256"/>
    </row>
    <row r="60094" spans="104:111">
      <c r="CZ60094" s="256"/>
      <c r="DG60094" s="256"/>
    </row>
    <row r="60095" spans="104:111">
      <c r="CZ60095" s="256"/>
      <c r="DG60095" s="256"/>
    </row>
    <row r="60096" spans="104:111">
      <c r="CZ60096" s="256"/>
      <c r="DG60096" s="256"/>
    </row>
    <row r="60097" spans="104:111">
      <c r="CZ60097" s="256"/>
      <c r="DG60097" s="256"/>
    </row>
    <row r="60098" spans="104:111">
      <c r="CZ60098" s="256"/>
      <c r="DG60098" s="256"/>
    </row>
    <row r="60099" spans="104:111">
      <c r="CZ60099" s="256"/>
      <c r="DG60099" s="256"/>
    </row>
    <row r="60100" spans="104:111">
      <c r="CZ60100" s="256"/>
      <c r="DG60100" s="256"/>
    </row>
    <row r="60101" spans="104:111">
      <c r="CZ60101" s="256"/>
      <c r="DG60101" s="256"/>
    </row>
    <row r="60102" spans="104:111">
      <c r="CZ60102" s="256"/>
      <c r="DG60102" s="256"/>
    </row>
    <row r="60103" spans="104:111">
      <c r="CZ60103" s="256"/>
      <c r="DG60103" s="256"/>
    </row>
    <row r="60104" spans="104:111">
      <c r="CZ60104" s="256"/>
      <c r="DG60104" s="256"/>
    </row>
    <row r="60105" spans="104:111">
      <c r="CZ60105" s="256"/>
      <c r="DG60105" s="256"/>
    </row>
    <row r="60106" spans="104:111">
      <c r="CZ60106" s="256"/>
      <c r="DG60106" s="256"/>
    </row>
    <row r="60107" spans="104:111">
      <c r="CZ60107" s="256"/>
      <c r="DG60107" s="256"/>
    </row>
    <row r="60108" spans="104:111">
      <c r="CZ60108" s="256"/>
      <c r="DG60108" s="256"/>
    </row>
    <row r="60109" spans="104:111">
      <c r="CZ60109" s="256"/>
      <c r="DG60109" s="256"/>
    </row>
    <row r="60110" spans="104:111">
      <c r="CZ60110" s="256"/>
      <c r="DG60110" s="256"/>
    </row>
    <row r="60111" spans="104:111">
      <c r="CZ60111" s="256"/>
      <c r="DG60111" s="256"/>
    </row>
    <row r="60112" spans="104:111">
      <c r="CZ60112" s="256"/>
      <c r="DG60112" s="256"/>
    </row>
    <row r="60113" spans="104:111">
      <c r="CZ60113" s="256"/>
      <c r="DG60113" s="256"/>
    </row>
    <row r="60114" spans="104:111">
      <c r="CZ60114" s="256"/>
      <c r="DG60114" s="256"/>
    </row>
    <row r="60115" spans="104:111">
      <c r="CZ60115" s="256"/>
      <c r="DG60115" s="256"/>
    </row>
    <row r="60116" spans="104:111">
      <c r="CZ60116" s="256"/>
      <c r="DG60116" s="256"/>
    </row>
    <row r="60117" spans="104:111">
      <c r="CZ60117" s="256"/>
      <c r="DG60117" s="256"/>
    </row>
    <row r="60118" spans="104:111">
      <c r="CZ60118" s="256"/>
      <c r="DG60118" s="256"/>
    </row>
    <row r="60119" spans="104:111">
      <c r="CZ60119" s="256"/>
      <c r="DG60119" s="256"/>
    </row>
    <row r="60120" spans="104:111">
      <c r="CZ60120" s="256"/>
      <c r="DG60120" s="256"/>
    </row>
    <row r="60121" spans="104:111">
      <c r="CZ60121" s="256"/>
      <c r="DG60121" s="256"/>
    </row>
    <row r="60122" spans="104:111">
      <c r="CZ60122" s="256"/>
      <c r="DG60122" s="256"/>
    </row>
    <row r="60123" spans="104:111">
      <c r="CZ60123" s="256"/>
      <c r="DG60123" s="256"/>
    </row>
    <row r="60124" spans="104:111">
      <c r="CZ60124" s="256"/>
      <c r="DG60124" s="256"/>
    </row>
    <row r="60125" spans="104:111">
      <c r="CZ60125" s="256"/>
      <c r="DG60125" s="256"/>
    </row>
    <row r="60126" spans="104:111">
      <c r="CZ60126" s="256"/>
      <c r="DG60126" s="256"/>
    </row>
    <row r="60127" spans="104:111">
      <c r="CZ60127" s="256"/>
      <c r="DG60127" s="256"/>
    </row>
    <row r="60128" spans="104:111">
      <c r="CZ60128" s="256"/>
      <c r="DG60128" s="256"/>
    </row>
    <row r="60129" spans="104:111">
      <c r="CZ60129" s="256"/>
      <c r="DG60129" s="256"/>
    </row>
    <row r="60130" spans="104:111">
      <c r="CZ60130" s="256"/>
      <c r="DG60130" s="256"/>
    </row>
    <row r="60131" spans="104:111">
      <c r="CZ60131" s="256"/>
      <c r="DG60131" s="256"/>
    </row>
    <row r="60132" spans="104:111">
      <c r="CZ60132" s="256"/>
      <c r="DG60132" s="256"/>
    </row>
    <row r="60133" spans="104:111">
      <c r="CZ60133" s="256"/>
      <c r="DG60133" s="256"/>
    </row>
    <row r="60134" spans="104:111">
      <c r="CZ60134" s="256"/>
      <c r="DG60134" s="256"/>
    </row>
    <row r="60135" spans="104:111">
      <c r="CZ60135" s="256"/>
      <c r="DG60135" s="256"/>
    </row>
    <row r="60136" spans="104:111">
      <c r="CZ60136" s="256"/>
      <c r="DG60136" s="256"/>
    </row>
    <row r="60137" spans="104:111">
      <c r="CZ60137" s="256"/>
      <c r="DG60137" s="256"/>
    </row>
    <row r="60138" spans="104:111">
      <c r="CZ60138" s="256"/>
      <c r="DG60138" s="256"/>
    </row>
    <row r="60139" spans="104:111">
      <c r="CZ60139" s="256"/>
      <c r="DG60139" s="256"/>
    </row>
    <row r="60140" spans="104:111">
      <c r="CZ60140" s="256"/>
      <c r="DG60140" s="256"/>
    </row>
    <row r="60141" spans="104:111">
      <c r="CZ60141" s="256"/>
      <c r="DG60141" s="256"/>
    </row>
    <row r="60142" spans="104:111">
      <c r="CZ60142" s="256"/>
      <c r="DG60142" s="256"/>
    </row>
    <row r="60143" spans="104:111">
      <c r="CZ60143" s="256"/>
      <c r="DG60143" s="256"/>
    </row>
    <row r="60144" spans="104:111">
      <c r="CZ60144" s="256"/>
      <c r="DG60144" s="256"/>
    </row>
    <row r="60145" spans="104:111">
      <c r="CZ60145" s="256"/>
      <c r="DG60145" s="256"/>
    </row>
    <row r="60146" spans="104:111">
      <c r="CZ60146" s="256"/>
      <c r="DG60146" s="256"/>
    </row>
    <row r="60147" spans="104:111">
      <c r="CZ60147" s="256"/>
      <c r="DG60147" s="256"/>
    </row>
    <row r="60148" spans="104:111">
      <c r="CZ60148" s="256"/>
      <c r="DG60148" s="256"/>
    </row>
    <row r="60149" spans="104:111">
      <c r="CZ60149" s="256"/>
      <c r="DG60149" s="256"/>
    </row>
    <row r="60150" spans="104:111">
      <c r="CZ60150" s="256"/>
      <c r="DG60150" s="256"/>
    </row>
    <row r="60151" spans="104:111">
      <c r="CZ60151" s="256"/>
      <c r="DG60151" s="256"/>
    </row>
    <row r="60152" spans="104:111">
      <c r="CZ60152" s="256"/>
      <c r="DG60152" s="256"/>
    </row>
    <row r="60153" spans="104:111">
      <c r="CZ60153" s="256"/>
      <c r="DG60153" s="256"/>
    </row>
    <row r="60154" spans="104:111">
      <c r="CZ60154" s="256"/>
      <c r="DG60154" s="256"/>
    </row>
    <row r="60155" spans="104:111">
      <c r="CZ60155" s="256"/>
      <c r="DG60155" s="256"/>
    </row>
    <row r="60156" spans="104:111">
      <c r="CZ60156" s="256"/>
      <c r="DG60156" s="256"/>
    </row>
    <row r="60157" spans="104:111">
      <c r="CZ60157" s="256"/>
      <c r="DG60157" s="256"/>
    </row>
    <row r="60158" spans="104:111">
      <c r="CZ60158" s="256"/>
      <c r="DG60158" s="256"/>
    </row>
    <row r="60159" spans="104:111">
      <c r="CZ60159" s="256"/>
      <c r="DG60159" s="256"/>
    </row>
    <row r="60160" spans="104:111">
      <c r="CZ60160" s="256"/>
      <c r="DG60160" s="256"/>
    </row>
    <row r="60161" spans="104:111">
      <c r="CZ60161" s="256"/>
      <c r="DG60161" s="256"/>
    </row>
    <row r="60162" spans="104:111">
      <c r="CZ60162" s="256"/>
      <c r="DG60162" s="256"/>
    </row>
    <row r="60163" spans="104:111">
      <c r="CZ60163" s="256"/>
      <c r="DG60163" s="256"/>
    </row>
    <row r="60164" spans="104:111">
      <c r="CZ60164" s="256"/>
      <c r="DG60164" s="256"/>
    </row>
    <row r="60165" spans="104:111">
      <c r="CZ60165" s="256"/>
      <c r="DG60165" s="256"/>
    </row>
    <row r="60166" spans="104:111">
      <c r="CZ60166" s="256"/>
      <c r="DG60166" s="256"/>
    </row>
    <row r="60167" spans="104:111">
      <c r="CZ60167" s="256"/>
      <c r="DG60167" s="256"/>
    </row>
    <row r="60168" spans="104:111">
      <c r="CZ60168" s="256"/>
      <c r="DG60168" s="256"/>
    </row>
    <row r="60169" spans="104:111">
      <c r="CZ60169" s="256"/>
      <c r="DG60169" s="256"/>
    </row>
    <row r="60170" spans="104:111">
      <c r="CZ60170" s="256"/>
      <c r="DG60170" s="256"/>
    </row>
    <row r="60171" spans="104:111">
      <c r="CZ60171" s="256"/>
      <c r="DG60171" s="256"/>
    </row>
    <row r="60172" spans="104:111">
      <c r="CZ60172" s="256"/>
      <c r="DG60172" s="256"/>
    </row>
    <row r="60173" spans="104:111">
      <c r="CZ60173" s="256"/>
      <c r="DG60173" s="256"/>
    </row>
    <row r="60174" spans="104:111">
      <c r="CZ60174" s="256"/>
      <c r="DG60174" s="256"/>
    </row>
    <row r="60175" spans="104:111">
      <c r="CZ60175" s="256"/>
      <c r="DG60175" s="256"/>
    </row>
    <row r="60176" spans="104:111">
      <c r="CZ60176" s="256"/>
      <c r="DG60176" s="256"/>
    </row>
    <row r="60177" spans="104:111">
      <c r="CZ60177" s="256"/>
      <c r="DG60177" s="256"/>
    </row>
    <row r="60178" spans="104:111">
      <c r="CZ60178" s="256"/>
      <c r="DG60178" s="256"/>
    </row>
    <row r="60179" spans="104:111">
      <c r="CZ60179" s="256"/>
      <c r="DG60179" s="256"/>
    </row>
    <row r="60180" spans="104:111">
      <c r="CZ60180" s="256"/>
      <c r="DG60180" s="256"/>
    </row>
    <row r="60181" spans="104:111">
      <c r="CZ60181" s="256"/>
      <c r="DG60181" s="256"/>
    </row>
    <row r="60182" spans="104:111">
      <c r="CZ60182" s="256"/>
      <c r="DG60182" s="256"/>
    </row>
    <row r="60183" spans="104:111">
      <c r="CZ60183" s="256"/>
      <c r="DG60183" s="256"/>
    </row>
    <row r="60184" spans="104:111">
      <c r="CZ60184" s="256"/>
      <c r="DG60184" s="256"/>
    </row>
    <row r="60185" spans="104:111">
      <c r="CZ60185" s="256"/>
      <c r="DG60185" s="256"/>
    </row>
    <row r="60186" spans="104:111">
      <c r="CZ60186" s="256"/>
      <c r="DG60186" s="256"/>
    </row>
    <row r="60187" spans="104:111">
      <c r="CZ60187" s="256"/>
      <c r="DG60187" s="256"/>
    </row>
    <row r="60188" spans="104:111">
      <c r="CZ60188" s="256"/>
      <c r="DG60188" s="256"/>
    </row>
    <row r="60189" spans="104:111">
      <c r="CZ60189" s="256"/>
      <c r="DG60189" s="256"/>
    </row>
    <row r="60190" spans="104:111">
      <c r="CZ60190" s="256"/>
      <c r="DG60190" s="256"/>
    </row>
    <row r="60191" spans="104:111">
      <c r="CZ60191" s="256"/>
      <c r="DG60191" s="256"/>
    </row>
    <row r="60192" spans="104:111">
      <c r="CZ60192" s="256"/>
      <c r="DG60192" s="256"/>
    </row>
    <row r="60193" spans="104:111">
      <c r="CZ60193" s="256"/>
      <c r="DG60193" s="256"/>
    </row>
    <row r="60194" spans="104:111">
      <c r="CZ60194" s="256"/>
      <c r="DG60194" s="256"/>
    </row>
    <row r="60195" spans="104:111">
      <c r="CZ60195" s="256"/>
      <c r="DG60195" s="256"/>
    </row>
    <row r="60196" spans="104:111">
      <c r="CZ60196" s="256"/>
      <c r="DG60196" s="256"/>
    </row>
    <row r="60197" spans="104:111">
      <c r="CZ60197" s="256"/>
      <c r="DG60197" s="256"/>
    </row>
    <row r="60198" spans="104:111">
      <c r="CZ60198" s="256"/>
      <c r="DG60198" s="256"/>
    </row>
    <row r="60199" spans="104:111">
      <c r="CZ60199" s="256"/>
      <c r="DG60199" s="256"/>
    </row>
    <row r="60200" spans="104:111">
      <c r="CZ60200" s="256"/>
      <c r="DG60200" s="256"/>
    </row>
    <row r="60201" spans="104:111">
      <c r="CZ60201" s="256"/>
      <c r="DG60201" s="256"/>
    </row>
    <row r="60202" spans="104:111">
      <c r="CZ60202" s="256"/>
      <c r="DG60202" s="256"/>
    </row>
    <row r="60203" spans="104:111">
      <c r="CZ60203" s="256"/>
      <c r="DG60203" s="256"/>
    </row>
    <row r="60204" spans="104:111">
      <c r="CZ60204" s="256"/>
      <c r="DG60204" s="256"/>
    </row>
    <row r="60205" spans="104:111">
      <c r="CZ60205" s="256"/>
      <c r="DG60205" s="256"/>
    </row>
    <row r="60206" spans="104:111">
      <c r="CZ60206" s="256"/>
      <c r="DG60206" s="256"/>
    </row>
    <row r="60207" spans="104:111">
      <c r="CZ60207" s="256"/>
      <c r="DG60207" s="256"/>
    </row>
    <row r="60208" spans="104:111">
      <c r="CZ60208" s="256"/>
      <c r="DG60208" s="256"/>
    </row>
    <row r="60209" spans="104:111">
      <c r="CZ60209" s="256"/>
      <c r="DG60209" s="256"/>
    </row>
    <row r="60210" spans="104:111">
      <c r="CZ60210" s="256"/>
      <c r="DG60210" s="256"/>
    </row>
    <row r="60211" spans="104:111">
      <c r="CZ60211" s="256"/>
      <c r="DG60211" s="256"/>
    </row>
    <row r="60212" spans="104:111">
      <c r="CZ60212" s="256"/>
      <c r="DG60212" s="256"/>
    </row>
    <row r="60213" spans="104:111">
      <c r="CZ60213" s="256"/>
      <c r="DG60213" s="256"/>
    </row>
    <row r="60214" spans="104:111">
      <c r="CZ60214" s="256"/>
      <c r="DG60214" s="256"/>
    </row>
    <row r="60215" spans="104:111">
      <c r="CZ60215" s="256"/>
      <c r="DG60215" s="256"/>
    </row>
    <row r="60216" spans="104:111">
      <c r="CZ60216" s="256"/>
      <c r="DG60216" s="256"/>
    </row>
    <row r="60217" spans="104:111">
      <c r="CZ60217" s="256"/>
      <c r="DG60217" s="256"/>
    </row>
    <row r="60218" spans="104:111">
      <c r="CZ60218" s="256"/>
      <c r="DG60218" s="256"/>
    </row>
    <row r="60219" spans="104:111">
      <c r="CZ60219" s="256"/>
      <c r="DG60219" s="256"/>
    </row>
    <row r="60220" spans="104:111">
      <c r="CZ60220" s="256"/>
      <c r="DG60220" s="256"/>
    </row>
    <row r="60221" spans="104:111">
      <c r="CZ60221" s="256"/>
      <c r="DG60221" s="256"/>
    </row>
    <row r="60222" spans="104:111">
      <c r="CZ60222" s="256"/>
      <c r="DG60222" s="256"/>
    </row>
    <row r="60223" spans="104:111">
      <c r="CZ60223" s="256"/>
      <c r="DG60223" s="256"/>
    </row>
    <row r="60224" spans="104:111">
      <c r="CZ60224" s="256"/>
      <c r="DG60224" s="256"/>
    </row>
    <row r="60225" spans="104:111">
      <c r="CZ60225" s="256"/>
      <c r="DG60225" s="256"/>
    </row>
    <row r="60226" spans="104:111">
      <c r="CZ60226" s="256"/>
      <c r="DG60226" s="256"/>
    </row>
    <row r="60227" spans="104:111">
      <c r="CZ60227" s="256"/>
      <c r="DG60227" s="256"/>
    </row>
    <row r="60228" spans="104:111">
      <c r="CZ60228" s="256"/>
      <c r="DG60228" s="256"/>
    </row>
    <row r="60229" spans="104:111">
      <c r="CZ60229" s="256"/>
      <c r="DG60229" s="256"/>
    </row>
    <row r="60230" spans="104:111">
      <c r="CZ60230" s="256"/>
      <c r="DG60230" s="256"/>
    </row>
    <row r="60231" spans="104:111">
      <c r="CZ60231" s="256"/>
      <c r="DG60231" s="256"/>
    </row>
    <row r="60232" spans="104:111">
      <c r="CZ60232" s="256"/>
      <c r="DG60232" s="256"/>
    </row>
    <row r="60233" spans="104:111">
      <c r="CZ60233" s="256"/>
      <c r="DG60233" s="256"/>
    </row>
    <row r="60234" spans="104:111">
      <c r="CZ60234" s="256"/>
      <c r="DG60234" s="256"/>
    </row>
    <row r="60235" spans="104:111">
      <c r="CZ60235" s="256"/>
      <c r="DG60235" s="256"/>
    </row>
    <row r="60236" spans="104:111">
      <c r="CZ60236" s="256"/>
      <c r="DG60236" s="256"/>
    </row>
    <row r="60237" spans="104:111">
      <c r="CZ60237" s="256"/>
      <c r="DG60237" s="256"/>
    </row>
    <row r="60238" spans="104:111">
      <c r="CZ60238" s="256"/>
      <c r="DG60238" s="256"/>
    </row>
    <row r="60239" spans="104:111">
      <c r="CZ60239" s="256"/>
      <c r="DG60239" s="256"/>
    </row>
    <row r="60240" spans="104:111">
      <c r="CZ60240" s="256"/>
      <c r="DG60240" s="256"/>
    </row>
    <row r="60241" spans="104:111">
      <c r="CZ60241" s="256"/>
      <c r="DG60241" s="256"/>
    </row>
    <row r="60242" spans="104:111">
      <c r="CZ60242" s="256"/>
      <c r="DG60242" s="256"/>
    </row>
    <row r="60243" spans="104:111">
      <c r="CZ60243" s="256"/>
      <c r="DG60243" s="256"/>
    </row>
    <row r="60244" spans="104:111">
      <c r="CZ60244" s="256"/>
      <c r="DG60244" s="256"/>
    </row>
    <row r="60245" spans="104:111">
      <c r="CZ60245" s="256"/>
      <c r="DG60245" s="256"/>
    </row>
    <row r="60246" spans="104:111">
      <c r="CZ60246" s="256"/>
      <c r="DG60246" s="256"/>
    </row>
    <row r="60247" spans="104:111">
      <c r="CZ60247" s="256"/>
      <c r="DG60247" s="256"/>
    </row>
    <row r="60248" spans="104:111">
      <c r="CZ60248" s="256"/>
      <c r="DG60248" s="256"/>
    </row>
    <row r="60249" spans="104:111">
      <c r="CZ60249" s="256"/>
      <c r="DG60249" s="256"/>
    </row>
    <row r="60250" spans="104:111">
      <c r="CZ60250" s="256"/>
      <c r="DG60250" s="256"/>
    </row>
    <row r="60251" spans="104:111">
      <c r="CZ60251" s="256"/>
      <c r="DG60251" s="256"/>
    </row>
    <row r="60252" spans="104:111">
      <c r="CZ60252" s="256"/>
      <c r="DG60252" s="256"/>
    </row>
    <row r="60253" spans="104:111">
      <c r="CZ60253" s="256"/>
      <c r="DG60253" s="256"/>
    </row>
    <row r="60254" spans="104:111">
      <c r="CZ60254" s="256"/>
      <c r="DG60254" s="256"/>
    </row>
    <row r="60255" spans="104:111">
      <c r="CZ60255" s="256"/>
      <c r="DG60255" s="256"/>
    </row>
    <row r="60256" spans="104:111">
      <c r="CZ60256" s="256"/>
      <c r="DG60256" s="256"/>
    </row>
    <row r="60257" spans="104:111">
      <c r="CZ60257" s="256"/>
      <c r="DG60257" s="256"/>
    </row>
    <row r="60258" spans="104:111">
      <c r="CZ60258" s="256"/>
      <c r="DG60258" s="256"/>
    </row>
    <row r="60259" spans="104:111">
      <c r="CZ60259" s="256"/>
      <c r="DG60259" s="256"/>
    </row>
    <row r="60260" spans="104:111">
      <c r="CZ60260" s="256"/>
      <c r="DG60260" s="256"/>
    </row>
    <row r="60261" spans="104:111">
      <c r="CZ60261" s="256"/>
      <c r="DG60261" s="256"/>
    </row>
    <row r="60262" spans="104:111">
      <c r="CZ60262" s="256"/>
      <c r="DG60262" s="256"/>
    </row>
    <row r="60263" spans="104:111">
      <c r="CZ60263" s="256"/>
      <c r="DG60263" s="256"/>
    </row>
    <row r="60264" spans="104:111">
      <c r="CZ60264" s="256"/>
      <c r="DG60264" s="256"/>
    </row>
    <row r="60265" spans="104:111">
      <c r="CZ60265" s="256"/>
      <c r="DG60265" s="256"/>
    </row>
    <row r="60266" spans="104:111">
      <c r="CZ60266" s="256"/>
      <c r="DG60266" s="256"/>
    </row>
    <row r="60267" spans="104:111">
      <c r="CZ60267" s="256"/>
      <c r="DG60267" s="256"/>
    </row>
    <row r="60268" spans="104:111">
      <c r="CZ60268" s="256"/>
      <c r="DG60268" s="256"/>
    </row>
    <row r="60269" spans="104:111">
      <c r="CZ60269" s="256"/>
      <c r="DG60269" s="256"/>
    </row>
    <row r="60270" spans="104:111">
      <c r="CZ60270" s="256"/>
      <c r="DG60270" s="256"/>
    </row>
    <row r="60271" spans="104:111">
      <c r="CZ60271" s="256"/>
      <c r="DG60271" s="256"/>
    </row>
    <row r="60272" spans="104:111">
      <c r="CZ60272" s="256"/>
      <c r="DG60272" s="256"/>
    </row>
    <row r="60273" spans="104:111">
      <c r="CZ60273" s="256"/>
      <c r="DG60273" s="256"/>
    </row>
    <row r="60274" spans="104:111">
      <c r="CZ60274" s="256"/>
      <c r="DG60274" s="256"/>
    </row>
    <row r="60275" spans="104:111">
      <c r="CZ60275" s="256"/>
      <c r="DG60275" s="256"/>
    </row>
    <row r="60276" spans="104:111">
      <c r="CZ60276" s="256"/>
      <c r="DG60276" s="256"/>
    </row>
    <row r="60277" spans="104:111">
      <c r="CZ60277" s="256"/>
      <c r="DG60277" s="256"/>
    </row>
    <row r="60278" spans="104:111">
      <c r="CZ60278" s="256"/>
      <c r="DG60278" s="256"/>
    </row>
    <row r="60279" spans="104:111">
      <c r="CZ60279" s="256"/>
      <c r="DG60279" s="256"/>
    </row>
    <row r="60280" spans="104:111">
      <c r="CZ60280" s="256"/>
      <c r="DG60280" s="256"/>
    </row>
    <row r="60281" spans="104:111">
      <c r="CZ60281" s="256"/>
      <c r="DG60281" s="256"/>
    </row>
    <row r="60282" spans="104:111">
      <c r="CZ60282" s="256"/>
      <c r="DG60282" s="256"/>
    </row>
    <row r="60283" spans="104:111">
      <c r="CZ60283" s="256"/>
      <c r="DG60283" s="256"/>
    </row>
    <row r="60284" spans="104:111">
      <c r="CZ60284" s="256"/>
      <c r="DG60284" s="256"/>
    </row>
    <row r="60285" spans="104:111">
      <c r="CZ60285" s="256"/>
      <c r="DG60285" s="256"/>
    </row>
    <row r="60286" spans="104:111">
      <c r="CZ60286" s="256"/>
      <c r="DG60286" s="256"/>
    </row>
    <row r="60287" spans="104:111">
      <c r="CZ60287" s="256"/>
      <c r="DG60287" s="256"/>
    </row>
    <row r="60288" spans="104:111">
      <c r="CZ60288" s="256"/>
      <c r="DG60288" s="256"/>
    </row>
    <row r="60289" spans="104:111">
      <c r="CZ60289" s="256"/>
      <c r="DG60289" s="256"/>
    </row>
    <row r="60290" spans="104:111">
      <c r="CZ60290" s="256"/>
      <c r="DG60290" s="256"/>
    </row>
    <row r="60291" spans="104:111">
      <c r="CZ60291" s="256"/>
      <c r="DG60291" s="256"/>
    </row>
    <row r="60292" spans="104:111">
      <c r="CZ60292" s="256"/>
      <c r="DG60292" s="256"/>
    </row>
    <row r="60293" spans="104:111">
      <c r="CZ60293" s="256"/>
      <c r="DG60293" s="256"/>
    </row>
    <row r="60294" spans="104:111">
      <c r="CZ60294" s="256"/>
      <c r="DG60294" s="256"/>
    </row>
    <row r="60295" spans="104:111">
      <c r="CZ60295" s="256"/>
      <c r="DG60295" s="256"/>
    </row>
    <row r="60296" spans="104:111">
      <c r="CZ60296" s="256"/>
      <c r="DG60296" s="256"/>
    </row>
    <row r="60297" spans="104:111">
      <c r="CZ60297" s="256"/>
      <c r="DG60297" s="256"/>
    </row>
    <row r="60298" spans="104:111">
      <c r="CZ60298" s="256"/>
      <c r="DG60298" s="256"/>
    </row>
    <row r="60299" spans="104:111">
      <c r="CZ60299" s="256"/>
      <c r="DG60299" s="256"/>
    </row>
    <row r="60300" spans="104:111">
      <c r="CZ60300" s="256"/>
      <c r="DG60300" s="256"/>
    </row>
    <row r="60301" spans="104:111">
      <c r="CZ60301" s="256"/>
      <c r="DG60301" s="256"/>
    </row>
    <row r="60302" spans="104:111">
      <c r="CZ60302" s="256"/>
      <c r="DG60302" s="256"/>
    </row>
    <row r="60303" spans="104:111">
      <c r="CZ60303" s="256"/>
      <c r="DG60303" s="256"/>
    </row>
    <row r="60304" spans="104:111">
      <c r="CZ60304" s="256"/>
      <c r="DG60304" s="256"/>
    </row>
    <row r="60305" spans="104:111">
      <c r="CZ60305" s="256"/>
      <c r="DG60305" s="256"/>
    </row>
    <row r="60306" spans="104:111">
      <c r="CZ60306" s="256"/>
      <c r="DG60306" s="256"/>
    </row>
    <row r="60307" spans="104:111">
      <c r="CZ60307" s="256"/>
      <c r="DG60307" s="256"/>
    </row>
    <row r="60308" spans="104:111">
      <c r="CZ60308" s="256"/>
      <c r="DG60308" s="256"/>
    </row>
    <row r="60309" spans="104:111">
      <c r="CZ60309" s="256"/>
      <c r="DG60309" s="256"/>
    </row>
    <row r="60310" spans="104:111">
      <c r="CZ60310" s="256"/>
      <c r="DG60310" s="256"/>
    </row>
    <row r="60311" spans="104:111">
      <c r="CZ60311" s="256"/>
      <c r="DG60311" s="256"/>
    </row>
    <row r="60312" spans="104:111">
      <c r="CZ60312" s="256"/>
      <c r="DG60312" s="256"/>
    </row>
    <row r="60313" spans="104:111">
      <c r="CZ60313" s="256"/>
      <c r="DG60313" s="256"/>
    </row>
    <row r="60314" spans="104:111">
      <c r="CZ60314" s="256"/>
      <c r="DG60314" s="256"/>
    </row>
    <row r="60315" spans="104:111">
      <c r="CZ60315" s="256"/>
      <c r="DG60315" s="256"/>
    </row>
    <row r="60316" spans="104:111">
      <c r="CZ60316" s="256"/>
      <c r="DG60316" s="256"/>
    </row>
    <row r="60317" spans="104:111">
      <c r="CZ60317" s="256"/>
      <c r="DG60317" s="256"/>
    </row>
    <row r="60318" spans="104:111">
      <c r="CZ60318" s="256"/>
      <c r="DG60318" s="256"/>
    </row>
    <row r="60319" spans="104:111">
      <c r="CZ60319" s="256"/>
      <c r="DG60319" s="256"/>
    </row>
    <row r="60320" spans="104:111">
      <c r="CZ60320" s="256"/>
      <c r="DG60320" s="256"/>
    </row>
    <row r="60321" spans="104:111">
      <c r="CZ60321" s="256"/>
      <c r="DG60321" s="256"/>
    </row>
    <row r="60322" spans="104:111">
      <c r="CZ60322" s="256"/>
      <c r="DG60322" s="256"/>
    </row>
    <row r="60323" spans="104:111">
      <c r="CZ60323" s="256"/>
      <c r="DG60323" s="256"/>
    </row>
    <row r="60324" spans="104:111">
      <c r="CZ60324" s="256"/>
      <c r="DG60324" s="256"/>
    </row>
    <row r="60325" spans="104:111">
      <c r="CZ60325" s="256"/>
      <c r="DG60325" s="256"/>
    </row>
    <row r="60326" spans="104:111">
      <c r="CZ60326" s="256"/>
      <c r="DG60326" s="256"/>
    </row>
    <row r="60327" spans="104:111">
      <c r="CZ60327" s="256"/>
      <c r="DG60327" s="256"/>
    </row>
    <row r="60328" spans="104:111">
      <c r="CZ60328" s="256"/>
      <c r="DG60328" s="256"/>
    </row>
    <row r="60329" spans="104:111">
      <c r="CZ60329" s="256"/>
      <c r="DG60329" s="256"/>
    </row>
    <row r="60330" spans="104:111">
      <c r="CZ60330" s="256"/>
      <c r="DG60330" s="256"/>
    </row>
    <row r="60331" spans="104:111">
      <c r="CZ60331" s="256"/>
      <c r="DG60331" s="256"/>
    </row>
    <row r="60332" spans="104:111">
      <c r="CZ60332" s="256"/>
      <c r="DG60332" s="256"/>
    </row>
    <row r="60333" spans="104:111">
      <c r="CZ60333" s="256"/>
      <c r="DG60333" s="256"/>
    </row>
    <row r="60334" spans="104:111">
      <c r="CZ60334" s="256"/>
      <c r="DG60334" s="256"/>
    </row>
    <row r="60335" spans="104:111">
      <c r="CZ60335" s="256"/>
      <c r="DG60335" s="256"/>
    </row>
    <row r="60336" spans="104:111">
      <c r="CZ60336" s="256"/>
      <c r="DG60336" s="256"/>
    </row>
    <row r="60337" spans="104:111">
      <c r="CZ60337" s="256"/>
      <c r="DG60337" s="256"/>
    </row>
    <row r="60338" spans="104:111">
      <c r="CZ60338" s="256"/>
      <c r="DG60338" s="256"/>
    </row>
    <row r="60339" spans="104:111">
      <c r="CZ60339" s="256"/>
      <c r="DG60339" s="256"/>
    </row>
    <row r="60340" spans="104:111">
      <c r="CZ60340" s="256"/>
      <c r="DG60340" s="256"/>
    </row>
    <row r="60341" spans="104:111">
      <c r="CZ60341" s="256"/>
      <c r="DG60341" s="256"/>
    </row>
    <row r="60342" spans="104:111">
      <c r="CZ60342" s="256"/>
      <c r="DG60342" s="256"/>
    </row>
    <row r="60343" spans="104:111">
      <c r="CZ60343" s="256"/>
      <c r="DG60343" s="256"/>
    </row>
    <row r="60344" spans="104:111">
      <c r="CZ60344" s="256"/>
      <c r="DG60344" s="256"/>
    </row>
    <row r="60345" spans="104:111">
      <c r="CZ60345" s="256"/>
      <c r="DG60345" s="256"/>
    </row>
    <row r="60346" spans="104:111">
      <c r="CZ60346" s="256"/>
      <c r="DG60346" s="256"/>
    </row>
    <row r="60347" spans="104:111">
      <c r="CZ60347" s="256"/>
      <c r="DG60347" s="256"/>
    </row>
    <row r="60348" spans="104:111">
      <c r="CZ60348" s="256"/>
      <c r="DG60348" s="256"/>
    </row>
    <row r="60349" spans="104:111">
      <c r="CZ60349" s="256"/>
      <c r="DG60349" s="256"/>
    </row>
    <row r="60350" spans="104:111">
      <c r="CZ60350" s="256"/>
      <c r="DG60350" s="256"/>
    </row>
    <row r="60351" spans="104:111">
      <c r="CZ60351" s="256"/>
      <c r="DG60351" s="256"/>
    </row>
    <row r="60352" spans="104:111">
      <c r="CZ60352" s="256"/>
      <c r="DG60352" s="256"/>
    </row>
    <row r="60353" spans="104:111">
      <c r="CZ60353" s="256"/>
      <c r="DG60353" s="256"/>
    </row>
    <row r="60354" spans="104:111">
      <c r="CZ60354" s="256"/>
      <c r="DG60354" s="256"/>
    </row>
    <row r="60355" spans="104:111">
      <c r="CZ60355" s="256"/>
      <c r="DG60355" s="256"/>
    </row>
    <row r="60356" spans="104:111">
      <c r="CZ60356" s="256"/>
      <c r="DG60356" s="256"/>
    </row>
    <row r="60357" spans="104:111">
      <c r="CZ60357" s="256"/>
      <c r="DG60357" s="256"/>
    </row>
    <row r="60358" spans="104:111">
      <c r="CZ60358" s="256"/>
      <c r="DG60358" s="256"/>
    </row>
    <row r="60359" spans="104:111">
      <c r="CZ60359" s="256"/>
      <c r="DG60359" s="256"/>
    </row>
    <row r="60360" spans="104:111">
      <c r="CZ60360" s="256"/>
      <c r="DG60360" s="256"/>
    </row>
    <row r="60361" spans="104:111">
      <c r="CZ60361" s="256"/>
      <c r="DG60361" s="256"/>
    </row>
    <row r="60362" spans="104:111">
      <c r="CZ60362" s="256"/>
      <c r="DG60362" s="256"/>
    </row>
    <row r="60363" spans="104:111">
      <c r="CZ60363" s="256"/>
      <c r="DG60363" s="256"/>
    </row>
    <row r="60364" spans="104:111">
      <c r="CZ60364" s="256"/>
      <c r="DG60364" s="256"/>
    </row>
    <row r="60365" spans="104:111">
      <c r="CZ60365" s="256"/>
      <c r="DG60365" s="256"/>
    </row>
    <row r="60366" spans="104:111">
      <c r="CZ60366" s="256"/>
      <c r="DG60366" s="256"/>
    </row>
    <row r="60367" spans="104:111">
      <c r="CZ60367" s="256"/>
      <c r="DG60367" s="256"/>
    </row>
    <row r="60368" spans="104:111">
      <c r="CZ60368" s="256"/>
      <c r="DG60368" s="256"/>
    </row>
    <row r="60369" spans="104:111">
      <c r="CZ60369" s="256"/>
      <c r="DG60369" s="256"/>
    </row>
    <row r="60370" spans="104:111">
      <c r="CZ60370" s="256"/>
      <c r="DG60370" s="256"/>
    </row>
    <row r="60371" spans="104:111">
      <c r="CZ60371" s="256"/>
      <c r="DG60371" s="256"/>
    </row>
    <row r="60372" spans="104:111">
      <c r="CZ60372" s="256"/>
      <c r="DG60372" s="256"/>
    </row>
    <row r="60373" spans="104:111">
      <c r="CZ60373" s="256"/>
      <c r="DG60373" s="256"/>
    </row>
    <row r="60374" spans="104:111">
      <c r="CZ60374" s="256"/>
      <c r="DG60374" s="256"/>
    </row>
    <row r="60375" spans="104:111">
      <c r="CZ60375" s="256"/>
      <c r="DG60375" s="256"/>
    </row>
    <row r="60376" spans="104:111">
      <c r="CZ60376" s="256"/>
      <c r="DG60376" s="256"/>
    </row>
    <row r="60377" spans="104:111">
      <c r="CZ60377" s="256"/>
      <c r="DG60377" s="256"/>
    </row>
    <row r="60378" spans="104:111">
      <c r="CZ60378" s="256"/>
      <c r="DG60378" s="256"/>
    </row>
    <row r="60379" spans="104:111">
      <c r="CZ60379" s="256"/>
      <c r="DG60379" s="256"/>
    </row>
    <row r="60380" spans="104:111">
      <c r="CZ60380" s="256"/>
      <c r="DG60380" s="256"/>
    </row>
    <row r="60381" spans="104:111">
      <c r="CZ60381" s="256"/>
      <c r="DG60381" s="256"/>
    </row>
    <row r="60382" spans="104:111">
      <c r="CZ60382" s="256"/>
      <c r="DG60382" s="256"/>
    </row>
    <row r="60383" spans="104:111">
      <c r="CZ60383" s="256"/>
      <c r="DG60383" s="256"/>
    </row>
    <row r="60384" spans="104:111">
      <c r="CZ60384" s="256"/>
      <c r="DG60384" s="256"/>
    </row>
    <row r="60385" spans="104:111">
      <c r="CZ60385" s="256"/>
      <c r="DG60385" s="256"/>
    </row>
    <row r="60386" spans="104:111">
      <c r="CZ60386" s="256"/>
      <c r="DG60386" s="256"/>
    </row>
    <row r="60387" spans="104:111">
      <c r="CZ60387" s="256"/>
      <c r="DG60387" s="256"/>
    </row>
    <row r="60388" spans="104:111">
      <c r="CZ60388" s="256"/>
      <c r="DG60388" s="256"/>
    </row>
    <row r="60389" spans="104:111">
      <c r="CZ60389" s="256"/>
      <c r="DG60389" s="256"/>
    </row>
    <row r="60390" spans="104:111">
      <c r="CZ60390" s="256"/>
      <c r="DG60390" s="256"/>
    </row>
    <row r="60391" spans="104:111">
      <c r="CZ60391" s="256"/>
      <c r="DG60391" s="256"/>
    </row>
    <row r="60392" spans="104:111">
      <c r="CZ60392" s="256"/>
      <c r="DG60392" s="256"/>
    </row>
    <row r="60393" spans="104:111">
      <c r="CZ60393" s="256"/>
      <c r="DG60393" s="256"/>
    </row>
    <row r="60394" spans="104:111">
      <c r="CZ60394" s="256"/>
      <c r="DG60394" s="256"/>
    </row>
    <row r="60395" spans="104:111">
      <c r="CZ60395" s="256"/>
      <c r="DG60395" s="256"/>
    </row>
    <row r="60396" spans="104:111">
      <c r="CZ60396" s="256"/>
      <c r="DG60396" s="256"/>
    </row>
    <row r="60397" spans="104:111">
      <c r="CZ60397" s="256"/>
      <c r="DG60397" s="256"/>
    </row>
    <row r="60398" spans="104:111">
      <c r="CZ60398" s="256"/>
      <c r="DG60398" s="256"/>
    </row>
    <row r="60399" spans="104:111">
      <c r="CZ60399" s="256"/>
      <c r="DG60399" s="256"/>
    </row>
    <row r="60400" spans="104:111">
      <c r="CZ60400" s="256"/>
      <c r="DG60400" s="256"/>
    </row>
    <row r="60401" spans="104:111">
      <c r="CZ60401" s="256"/>
      <c r="DG60401" s="256"/>
    </row>
    <row r="60402" spans="104:111">
      <c r="CZ60402" s="256"/>
      <c r="DG60402" s="256"/>
    </row>
    <row r="60403" spans="104:111">
      <c r="CZ60403" s="256"/>
      <c r="DG60403" s="256"/>
    </row>
    <row r="60404" spans="104:111">
      <c r="CZ60404" s="256"/>
      <c r="DG60404" s="256"/>
    </row>
    <row r="60405" spans="104:111">
      <c r="CZ60405" s="256"/>
      <c r="DG60405" s="256"/>
    </row>
    <row r="60406" spans="104:111">
      <c r="CZ60406" s="256"/>
      <c r="DG60406" s="256"/>
    </row>
    <row r="60407" spans="104:111">
      <c r="CZ60407" s="256"/>
      <c r="DG60407" s="256"/>
    </row>
    <row r="60408" spans="104:111">
      <c r="CZ60408" s="256"/>
      <c r="DG60408" s="256"/>
    </row>
    <row r="60409" spans="104:111">
      <c r="CZ60409" s="256"/>
      <c r="DG60409" s="256"/>
    </row>
    <row r="60410" spans="104:111">
      <c r="CZ60410" s="256"/>
      <c r="DG60410" s="256"/>
    </row>
    <row r="60411" spans="104:111">
      <c r="CZ60411" s="256"/>
      <c r="DG60411" s="256"/>
    </row>
    <row r="60412" spans="104:111">
      <c r="CZ60412" s="256"/>
      <c r="DG60412" s="256"/>
    </row>
    <row r="60413" spans="104:111">
      <c r="CZ60413" s="256"/>
      <c r="DG60413" s="256"/>
    </row>
    <row r="60414" spans="104:111">
      <c r="CZ60414" s="256"/>
      <c r="DG60414" s="256"/>
    </row>
    <row r="60415" spans="104:111">
      <c r="CZ60415" s="256"/>
      <c r="DG60415" s="256"/>
    </row>
    <row r="60416" spans="104:111">
      <c r="CZ60416" s="256"/>
      <c r="DG60416" s="256"/>
    </row>
    <row r="60417" spans="104:111">
      <c r="CZ60417" s="256"/>
      <c r="DG60417" s="256"/>
    </row>
    <row r="60418" spans="104:111">
      <c r="CZ60418" s="256"/>
      <c r="DG60418" s="256"/>
    </row>
    <row r="60419" spans="104:111">
      <c r="CZ60419" s="256"/>
      <c r="DG60419" s="256"/>
    </row>
    <row r="60420" spans="104:111">
      <c r="CZ60420" s="256"/>
      <c r="DG60420" s="256"/>
    </row>
    <row r="60421" spans="104:111">
      <c r="CZ60421" s="256"/>
      <c r="DG60421" s="256"/>
    </row>
    <row r="60422" spans="104:111">
      <c r="CZ60422" s="256"/>
      <c r="DG60422" s="256"/>
    </row>
    <row r="60423" spans="104:111">
      <c r="CZ60423" s="256"/>
      <c r="DG60423" s="256"/>
    </row>
    <row r="60424" spans="104:111">
      <c r="CZ60424" s="256"/>
      <c r="DG60424" s="256"/>
    </row>
    <row r="60425" spans="104:111">
      <c r="CZ60425" s="256"/>
      <c r="DG60425" s="256"/>
    </row>
    <row r="60426" spans="104:111">
      <c r="CZ60426" s="256"/>
      <c r="DG60426" s="256"/>
    </row>
    <row r="60427" spans="104:111">
      <c r="CZ60427" s="256"/>
      <c r="DG60427" s="256"/>
    </row>
    <row r="60428" spans="104:111">
      <c r="CZ60428" s="256"/>
      <c r="DG60428" s="256"/>
    </row>
    <row r="60429" spans="104:111">
      <c r="CZ60429" s="256"/>
      <c r="DG60429" s="256"/>
    </row>
    <row r="60430" spans="104:111">
      <c r="CZ60430" s="256"/>
      <c r="DG60430" s="256"/>
    </row>
    <row r="60431" spans="104:111">
      <c r="CZ60431" s="256"/>
      <c r="DG60431" s="256"/>
    </row>
    <row r="60432" spans="104:111">
      <c r="CZ60432" s="256"/>
      <c r="DG60432" s="256"/>
    </row>
    <row r="60433" spans="104:111">
      <c r="CZ60433" s="256"/>
      <c r="DG60433" s="256"/>
    </row>
    <row r="60434" spans="104:111">
      <c r="CZ60434" s="256"/>
      <c r="DG60434" s="256"/>
    </row>
    <row r="60435" spans="104:111">
      <c r="CZ60435" s="256"/>
      <c r="DG60435" s="256"/>
    </row>
    <row r="60436" spans="104:111">
      <c r="CZ60436" s="256"/>
      <c r="DG60436" s="256"/>
    </row>
    <row r="60437" spans="104:111">
      <c r="CZ60437" s="256"/>
      <c r="DG60437" s="256"/>
    </row>
    <row r="60438" spans="104:111">
      <c r="CZ60438" s="256"/>
      <c r="DG60438" s="256"/>
    </row>
    <row r="60439" spans="104:111">
      <c r="CZ60439" s="256"/>
      <c r="DG60439" s="256"/>
    </row>
    <row r="60440" spans="104:111">
      <c r="CZ60440" s="256"/>
      <c r="DG60440" s="256"/>
    </row>
    <row r="60441" spans="104:111">
      <c r="CZ60441" s="256"/>
      <c r="DG60441" s="256"/>
    </row>
    <row r="60442" spans="104:111">
      <c r="CZ60442" s="256"/>
      <c r="DG60442" s="256"/>
    </row>
    <row r="60443" spans="104:111">
      <c r="CZ60443" s="256"/>
      <c r="DG60443" s="256"/>
    </row>
    <row r="60444" spans="104:111">
      <c r="CZ60444" s="256"/>
      <c r="DG60444" s="256"/>
    </row>
    <row r="60445" spans="104:111">
      <c r="CZ60445" s="256"/>
      <c r="DG60445" s="256"/>
    </row>
    <row r="60446" spans="104:111">
      <c r="CZ60446" s="256"/>
      <c r="DG60446" s="256"/>
    </row>
    <row r="60447" spans="104:111">
      <c r="CZ60447" s="256"/>
      <c r="DG60447" s="256"/>
    </row>
    <row r="60448" spans="104:111">
      <c r="CZ60448" s="256"/>
      <c r="DG60448" s="256"/>
    </row>
    <row r="60449" spans="104:111">
      <c r="CZ60449" s="256"/>
      <c r="DG60449" s="256"/>
    </row>
    <row r="60450" spans="104:111">
      <c r="CZ60450" s="256"/>
      <c r="DG60450" s="256"/>
    </row>
    <row r="60451" spans="104:111">
      <c r="CZ60451" s="256"/>
      <c r="DG60451" s="256"/>
    </row>
    <row r="60452" spans="104:111">
      <c r="CZ60452" s="256"/>
      <c r="DG60452" s="256"/>
    </row>
    <row r="60453" spans="104:111">
      <c r="CZ60453" s="256"/>
      <c r="DG60453" s="256"/>
    </row>
    <row r="60454" spans="104:111">
      <c r="CZ60454" s="256"/>
      <c r="DG60454" s="256"/>
    </row>
    <row r="60455" spans="104:111">
      <c r="CZ60455" s="256"/>
      <c r="DG60455" s="256"/>
    </row>
    <row r="60456" spans="104:111">
      <c r="CZ60456" s="256"/>
      <c r="DG60456" s="256"/>
    </row>
    <row r="60457" spans="104:111">
      <c r="CZ60457" s="256"/>
      <c r="DG60457" s="256"/>
    </row>
    <row r="60458" spans="104:111">
      <c r="CZ60458" s="256"/>
      <c r="DG60458" s="256"/>
    </row>
    <row r="60459" spans="104:111">
      <c r="CZ60459" s="256"/>
      <c r="DG60459" s="256"/>
    </row>
    <row r="60460" spans="104:111">
      <c r="CZ60460" s="256"/>
      <c r="DG60460" s="256"/>
    </row>
    <row r="60461" spans="104:111">
      <c r="CZ60461" s="256"/>
      <c r="DG60461" s="256"/>
    </row>
    <row r="60462" spans="104:111">
      <c r="CZ60462" s="256"/>
      <c r="DG60462" s="256"/>
    </row>
    <row r="60463" spans="104:111">
      <c r="CZ60463" s="256"/>
      <c r="DG60463" s="256"/>
    </row>
    <row r="60464" spans="104:111">
      <c r="CZ60464" s="256"/>
      <c r="DG60464" s="256"/>
    </row>
    <row r="60465" spans="104:111">
      <c r="CZ60465" s="256"/>
      <c r="DG60465" s="256"/>
    </row>
    <row r="60466" spans="104:111">
      <c r="CZ60466" s="256"/>
      <c r="DG60466" s="256"/>
    </row>
    <row r="60467" spans="104:111">
      <c r="CZ60467" s="256"/>
      <c r="DG60467" s="256"/>
    </row>
    <row r="60468" spans="104:111">
      <c r="CZ60468" s="256"/>
      <c r="DG60468" s="256"/>
    </row>
    <row r="60469" spans="104:111">
      <c r="CZ60469" s="256"/>
      <c r="DG60469" s="256"/>
    </row>
    <row r="60470" spans="104:111">
      <c r="CZ60470" s="256"/>
      <c r="DG60470" s="256"/>
    </row>
    <row r="60471" spans="104:111">
      <c r="CZ60471" s="256"/>
      <c r="DG60471" s="256"/>
    </row>
    <row r="60472" spans="104:111">
      <c r="CZ60472" s="256"/>
      <c r="DG60472" s="256"/>
    </row>
    <row r="60473" spans="104:111">
      <c r="CZ60473" s="256"/>
      <c r="DG60473" s="256"/>
    </row>
    <row r="60474" spans="104:111">
      <c r="CZ60474" s="256"/>
      <c r="DG60474" s="256"/>
    </row>
    <row r="60475" spans="104:111">
      <c r="CZ60475" s="256"/>
      <c r="DG60475" s="256"/>
    </row>
    <row r="60476" spans="104:111">
      <c r="CZ60476" s="256"/>
      <c r="DG60476" s="256"/>
    </row>
    <row r="60477" spans="104:111">
      <c r="CZ60477" s="256"/>
      <c r="DG60477" s="256"/>
    </row>
    <row r="60478" spans="104:111">
      <c r="CZ60478" s="256"/>
      <c r="DG60478" s="256"/>
    </row>
    <row r="60479" spans="104:111">
      <c r="CZ60479" s="256"/>
      <c r="DG60479" s="256"/>
    </row>
    <row r="60480" spans="104:111">
      <c r="CZ60480" s="256"/>
      <c r="DG60480" s="256"/>
    </row>
    <row r="60481" spans="104:111">
      <c r="CZ60481" s="256"/>
      <c r="DG60481" s="256"/>
    </row>
    <row r="60482" spans="104:111">
      <c r="CZ60482" s="256"/>
      <c r="DG60482" s="256"/>
    </row>
    <row r="60483" spans="104:111">
      <c r="CZ60483" s="256"/>
      <c r="DG60483" s="256"/>
    </row>
    <row r="60484" spans="104:111">
      <c r="CZ60484" s="256"/>
      <c r="DG60484" s="256"/>
    </row>
    <row r="60485" spans="104:111">
      <c r="CZ60485" s="256"/>
      <c r="DG60485" s="256"/>
    </row>
    <row r="60486" spans="104:111">
      <c r="CZ60486" s="256"/>
      <c r="DG60486" s="256"/>
    </row>
    <row r="60487" spans="104:111">
      <c r="CZ60487" s="256"/>
      <c r="DG60487" s="256"/>
    </row>
    <row r="60488" spans="104:111">
      <c r="CZ60488" s="256"/>
      <c r="DG60488" s="256"/>
    </row>
    <row r="60489" spans="104:111">
      <c r="CZ60489" s="256"/>
      <c r="DG60489" s="256"/>
    </row>
    <row r="60490" spans="104:111">
      <c r="CZ60490" s="256"/>
      <c r="DG60490" s="256"/>
    </row>
    <row r="60491" spans="104:111">
      <c r="CZ60491" s="256"/>
      <c r="DG60491" s="256"/>
    </row>
    <row r="60492" spans="104:111">
      <c r="CZ60492" s="256"/>
      <c r="DG60492" s="256"/>
    </row>
    <row r="60493" spans="104:111">
      <c r="CZ60493" s="256"/>
      <c r="DG60493" s="256"/>
    </row>
    <row r="60494" spans="104:111">
      <c r="CZ60494" s="256"/>
      <c r="DG60494" s="256"/>
    </row>
    <row r="60495" spans="104:111">
      <c r="CZ60495" s="256"/>
      <c r="DG60495" s="256"/>
    </row>
    <row r="60496" spans="104:111">
      <c r="CZ60496" s="256"/>
      <c r="DG60496" s="256"/>
    </row>
    <row r="60497" spans="104:111">
      <c r="CZ60497" s="256"/>
      <c r="DG60497" s="256"/>
    </row>
    <row r="60498" spans="104:111">
      <c r="CZ60498" s="256"/>
      <c r="DG60498" s="256"/>
    </row>
    <row r="60499" spans="104:111">
      <c r="CZ60499" s="256"/>
      <c r="DG60499" s="256"/>
    </row>
    <row r="60500" spans="104:111">
      <c r="CZ60500" s="256"/>
      <c r="DG60500" s="256"/>
    </row>
    <row r="60501" spans="104:111">
      <c r="CZ60501" s="256"/>
      <c r="DG60501" s="256"/>
    </row>
    <row r="60502" spans="104:111">
      <c r="CZ60502" s="256"/>
      <c r="DG60502" s="256"/>
    </row>
    <row r="60503" spans="104:111">
      <c r="CZ60503" s="256"/>
      <c r="DG60503" s="256"/>
    </row>
    <row r="60504" spans="104:111">
      <c r="CZ60504" s="256"/>
      <c r="DG60504" s="256"/>
    </row>
    <row r="60505" spans="104:111">
      <c r="CZ60505" s="256"/>
      <c r="DG60505" s="256"/>
    </row>
    <row r="60506" spans="104:111">
      <c r="CZ60506" s="256"/>
      <c r="DG60506" s="256"/>
    </row>
    <row r="60507" spans="104:111">
      <c r="CZ60507" s="256"/>
      <c r="DG60507" s="256"/>
    </row>
    <row r="60508" spans="104:111">
      <c r="CZ60508" s="256"/>
      <c r="DG60508" s="256"/>
    </row>
    <row r="60509" spans="104:111">
      <c r="CZ60509" s="256"/>
      <c r="DG60509" s="256"/>
    </row>
    <row r="60510" spans="104:111">
      <c r="CZ60510" s="256"/>
      <c r="DG60510" s="256"/>
    </row>
    <row r="60511" spans="104:111">
      <c r="CZ60511" s="256"/>
      <c r="DG60511" s="256"/>
    </row>
    <row r="60512" spans="104:111">
      <c r="CZ60512" s="256"/>
      <c r="DG60512" s="256"/>
    </row>
    <row r="60513" spans="104:111">
      <c r="CZ60513" s="256"/>
      <c r="DG60513" s="256"/>
    </row>
    <row r="60514" spans="104:111">
      <c r="CZ60514" s="256"/>
      <c r="DG60514" s="256"/>
    </row>
    <row r="60515" spans="104:111">
      <c r="CZ60515" s="256"/>
      <c r="DG60515" s="256"/>
    </row>
    <row r="60516" spans="104:111">
      <c r="CZ60516" s="256"/>
      <c r="DG60516" s="256"/>
    </row>
    <row r="60517" spans="104:111">
      <c r="CZ60517" s="256"/>
      <c r="DG60517" s="256"/>
    </row>
    <row r="60518" spans="104:111">
      <c r="CZ60518" s="256"/>
      <c r="DG60518" s="256"/>
    </row>
    <row r="60519" spans="104:111">
      <c r="CZ60519" s="256"/>
      <c r="DG60519" s="256"/>
    </row>
    <row r="60520" spans="104:111">
      <c r="CZ60520" s="256"/>
      <c r="DG60520" s="256"/>
    </row>
    <row r="60521" spans="104:111">
      <c r="CZ60521" s="256"/>
      <c r="DG60521" s="256"/>
    </row>
    <row r="60522" spans="104:111">
      <c r="CZ60522" s="256"/>
      <c r="DG60522" s="256"/>
    </row>
    <row r="60523" spans="104:111">
      <c r="CZ60523" s="256"/>
      <c r="DG60523" s="256"/>
    </row>
    <row r="60524" spans="104:111">
      <c r="CZ60524" s="256"/>
      <c r="DG60524" s="256"/>
    </row>
    <row r="60525" spans="104:111">
      <c r="CZ60525" s="256"/>
      <c r="DG60525" s="256"/>
    </row>
    <row r="60526" spans="104:111">
      <c r="CZ60526" s="256"/>
      <c r="DG60526" s="256"/>
    </row>
    <row r="60527" spans="104:111">
      <c r="CZ60527" s="256"/>
      <c r="DG60527" s="256"/>
    </row>
    <row r="60528" spans="104:111">
      <c r="CZ60528" s="256"/>
      <c r="DG60528" s="256"/>
    </row>
    <row r="60529" spans="104:111">
      <c r="CZ60529" s="256"/>
      <c r="DG60529" s="256"/>
    </row>
    <row r="60530" spans="104:111">
      <c r="CZ60530" s="256"/>
      <c r="DG60530" s="256"/>
    </row>
    <row r="60531" spans="104:111">
      <c r="CZ60531" s="256"/>
      <c r="DG60531" s="256"/>
    </row>
    <row r="60532" spans="104:111">
      <c r="CZ60532" s="256"/>
      <c r="DG60532" s="256"/>
    </row>
    <row r="60533" spans="104:111">
      <c r="CZ60533" s="256"/>
      <c r="DG60533" s="256"/>
    </row>
    <row r="60534" spans="104:111">
      <c r="CZ60534" s="256"/>
      <c r="DG60534" s="256"/>
    </row>
    <row r="60535" spans="104:111">
      <c r="CZ60535" s="256"/>
      <c r="DG60535" s="256"/>
    </row>
    <row r="60536" spans="104:111">
      <c r="CZ60536" s="256"/>
      <c r="DG60536" s="256"/>
    </row>
    <row r="60537" spans="104:111">
      <c r="CZ60537" s="256"/>
      <c r="DG60537" s="256"/>
    </row>
    <row r="60538" spans="104:111">
      <c r="CZ60538" s="256"/>
      <c r="DG60538" s="256"/>
    </row>
    <row r="60539" spans="104:111">
      <c r="CZ60539" s="256"/>
      <c r="DG60539" s="256"/>
    </row>
    <row r="60540" spans="104:111">
      <c r="CZ60540" s="256"/>
      <c r="DG60540" s="256"/>
    </row>
    <row r="60541" spans="104:111">
      <c r="CZ60541" s="256"/>
      <c r="DG60541" s="256"/>
    </row>
    <row r="60542" spans="104:111">
      <c r="CZ60542" s="256"/>
      <c r="DG60542" s="256"/>
    </row>
    <row r="60543" spans="104:111">
      <c r="CZ60543" s="256"/>
      <c r="DG60543" s="256"/>
    </row>
    <row r="60544" spans="104:111">
      <c r="CZ60544" s="256"/>
      <c r="DG60544" s="256"/>
    </row>
    <row r="60545" spans="104:111">
      <c r="CZ60545" s="256"/>
      <c r="DG60545" s="256"/>
    </row>
    <row r="60546" spans="104:111">
      <c r="CZ60546" s="256"/>
      <c r="DG60546" s="256"/>
    </row>
    <row r="60547" spans="104:111">
      <c r="CZ60547" s="256"/>
      <c r="DG60547" s="256"/>
    </row>
    <row r="60548" spans="104:111">
      <c r="CZ60548" s="256"/>
      <c r="DG60548" s="256"/>
    </row>
    <row r="60549" spans="104:111">
      <c r="CZ60549" s="256"/>
      <c r="DG60549" s="256"/>
    </row>
    <row r="60550" spans="104:111">
      <c r="CZ60550" s="256"/>
      <c r="DG60550" s="256"/>
    </row>
    <row r="60551" spans="104:111">
      <c r="CZ60551" s="256"/>
      <c r="DG60551" s="256"/>
    </row>
    <row r="60552" spans="104:111">
      <c r="CZ60552" s="256"/>
      <c r="DG60552" s="256"/>
    </row>
    <row r="60553" spans="104:111">
      <c r="CZ60553" s="256"/>
      <c r="DG60553" s="256"/>
    </row>
    <row r="60554" spans="104:111">
      <c r="CZ60554" s="256"/>
      <c r="DG60554" s="256"/>
    </row>
    <row r="60555" spans="104:111">
      <c r="CZ60555" s="256"/>
      <c r="DG60555" s="256"/>
    </row>
    <row r="60556" spans="104:111">
      <c r="CZ60556" s="256"/>
      <c r="DG60556" s="256"/>
    </row>
    <row r="60557" spans="104:111">
      <c r="CZ60557" s="256"/>
      <c r="DG60557" s="256"/>
    </row>
    <row r="60558" spans="104:111">
      <c r="CZ60558" s="256"/>
      <c r="DG60558" s="256"/>
    </row>
    <row r="60559" spans="104:111">
      <c r="CZ60559" s="256"/>
      <c r="DG60559" s="256"/>
    </row>
    <row r="60560" spans="104:111">
      <c r="CZ60560" s="256"/>
      <c r="DG60560" s="256"/>
    </row>
    <row r="60561" spans="104:111">
      <c r="CZ60561" s="256"/>
      <c r="DG60561" s="256"/>
    </row>
    <row r="60562" spans="104:111">
      <c r="CZ60562" s="256"/>
      <c r="DG60562" s="256"/>
    </row>
    <row r="60563" spans="104:111">
      <c r="CZ60563" s="256"/>
      <c r="DG60563" s="256"/>
    </row>
    <row r="60564" spans="104:111">
      <c r="CZ60564" s="256"/>
      <c r="DG60564" s="256"/>
    </row>
    <row r="60565" spans="104:111">
      <c r="CZ60565" s="256"/>
      <c r="DG60565" s="256"/>
    </row>
    <row r="60566" spans="104:111">
      <c r="CZ60566" s="256"/>
      <c r="DG60566" s="256"/>
    </row>
    <row r="60567" spans="104:111">
      <c r="CZ60567" s="256"/>
      <c r="DG60567" s="256"/>
    </row>
    <row r="60568" spans="104:111">
      <c r="CZ60568" s="256"/>
      <c r="DG60568" s="256"/>
    </row>
    <row r="60569" spans="104:111">
      <c r="CZ60569" s="256"/>
      <c r="DG60569" s="256"/>
    </row>
    <row r="60570" spans="104:111">
      <c r="CZ60570" s="256"/>
      <c r="DG60570" s="256"/>
    </row>
    <row r="60571" spans="104:111">
      <c r="CZ60571" s="256"/>
      <c r="DG60571" s="256"/>
    </row>
    <row r="60572" spans="104:111">
      <c r="CZ60572" s="256"/>
      <c r="DG60572" s="256"/>
    </row>
    <row r="60573" spans="104:111">
      <c r="CZ60573" s="256"/>
      <c r="DG60573" s="256"/>
    </row>
    <row r="60574" spans="104:111">
      <c r="CZ60574" s="256"/>
      <c r="DG60574" s="256"/>
    </row>
    <row r="60575" spans="104:111">
      <c r="CZ60575" s="256"/>
      <c r="DG60575" s="256"/>
    </row>
    <row r="60576" spans="104:111">
      <c r="CZ60576" s="256"/>
      <c r="DG60576" s="256"/>
    </row>
    <row r="60577" spans="104:111">
      <c r="CZ60577" s="256"/>
      <c r="DG60577" s="256"/>
    </row>
    <row r="60578" spans="104:111">
      <c r="CZ60578" s="256"/>
      <c r="DG60578" s="256"/>
    </row>
    <row r="60579" spans="104:111">
      <c r="CZ60579" s="256"/>
      <c r="DG60579" s="256"/>
    </row>
    <row r="60580" spans="104:111">
      <c r="CZ60580" s="256"/>
      <c r="DG60580" s="256"/>
    </row>
    <row r="60581" spans="104:111">
      <c r="CZ60581" s="256"/>
      <c r="DG60581" s="256"/>
    </row>
    <row r="60582" spans="104:111">
      <c r="CZ60582" s="256"/>
      <c r="DG60582" s="256"/>
    </row>
    <row r="60583" spans="104:111">
      <c r="CZ60583" s="256"/>
      <c r="DG60583" s="256"/>
    </row>
    <row r="60584" spans="104:111">
      <c r="CZ60584" s="256"/>
      <c r="DG60584" s="256"/>
    </row>
    <row r="60585" spans="104:111">
      <c r="CZ60585" s="256"/>
      <c r="DG60585" s="256"/>
    </row>
    <row r="60586" spans="104:111">
      <c r="CZ60586" s="256"/>
      <c r="DG60586" s="256"/>
    </row>
    <row r="60587" spans="104:111">
      <c r="CZ60587" s="256"/>
      <c r="DG60587" s="256"/>
    </row>
    <row r="60588" spans="104:111">
      <c r="CZ60588" s="256"/>
      <c r="DG60588" s="256"/>
    </row>
    <row r="60589" spans="104:111">
      <c r="CZ60589" s="256"/>
      <c r="DG60589" s="256"/>
    </row>
    <row r="60590" spans="104:111">
      <c r="CZ60590" s="256"/>
      <c r="DG60590" s="256"/>
    </row>
    <row r="60591" spans="104:111">
      <c r="CZ60591" s="256"/>
      <c r="DG60591" s="256"/>
    </row>
    <row r="60592" spans="104:111">
      <c r="CZ60592" s="256"/>
      <c r="DG60592" s="256"/>
    </row>
    <row r="60593" spans="104:111">
      <c r="CZ60593" s="256"/>
      <c r="DG60593" s="256"/>
    </row>
    <row r="60594" spans="104:111">
      <c r="CZ60594" s="256"/>
      <c r="DG60594" s="256"/>
    </row>
    <row r="60595" spans="104:111">
      <c r="CZ60595" s="256"/>
      <c r="DG60595" s="256"/>
    </row>
    <row r="60596" spans="104:111">
      <c r="CZ60596" s="256"/>
      <c r="DG60596" s="256"/>
    </row>
    <row r="60597" spans="104:111">
      <c r="CZ60597" s="256"/>
      <c r="DG60597" s="256"/>
    </row>
    <row r="60598" spans="104:111">
      <c r="CZ60598" s="256"/>
      <c r="DG60598" s="256"/>
    </row>
    <row r="60599" spans="104:111">
      <c r="CZ60599" s="256"/>
      <c r="DG60599" s="256"/>
    </row>
    <row r="60600" spans="104:111">
      <c r="CZ60600" s="256"/>
      <c r="DG60600" s="256"/>
    </row>
    <row r="60601" spans="104:111">
      <c r="CZ60601" s="256"/>
      <c r="DG60601" s="256"/>
    </row>
    <row r="60602" spans="104:111">
      <c r="CZ60602" s="256"/>
      <c r="DG60602" s="256"/>
    </row>
    <row r="60603" spans="104:111">
      <c r="CZ60603" s="256"/>
      <c r="DG60603" s="256"/>
    </row>
    <row r="60604" spans="104:111">
      <c r="CZ60604" s="256"/>
      <c r="DG60604" s="256"/>
    </row>
    <row r="60605" spans="104:111">
      <c r="CZ60605" s="256"/>
      <c r="DG60605" s="256"/>
    </row>
    <row r="60606" spans="104:111">
      <c r="CZ60606" s="256"/>
      <c r="DG60606" s="256"/>
    </row>
    <row r="60607" spans="104:111">
      <c r="CZ60607" s="256"/>
      <c r="DG60607" s="256"/>
    </row>
    <row r="60608" spans="104:111">
      <c r="CZ60608" s="256"/>
      <c r="DG60608" s="256"/>
    </row>
    <row r="60609" spans="104:111">
      <c r="CZ60609" s="256"/>
      <c r="DG60609" s="256"/>
    </row>
    <row r="60610" spans="104:111">
      <c r="CZ60610" s="256"/>
      <c r="DG60610" s="256"/>
    </row>
    <row r="60611" spans="104:111">
      <c r="CZ60611" s="256"/>
      <c r="DG60611" s="256"/>
    </row>
    <row r="60612" spans="104:111">
      <c r="CZ60612" s="256"/>
      <c r="DG60612" s="256"/>
    </row>
    <row r="60613" spans="104:111">
      <c r="CZ60613" s="256"/>
      <c r="DG60613" s="256"/>
    </row>
    <row r="60614" spans="104:111">
      <c r="CZ60614" s="256"/>
      <c r="DG60614" s="256"/>
    </row>
    <row r="60615" spans="104:111">
      <c r="CZ60615" s="256"/>
      <c r="DG60615" s="256"/>
    </row>
    <row r="60616" spans="104:111">
      <c r="CZ60616" s="256"/>
      <c r="DG60616" s="256"/>
    </row>
    <row r="60617" spans="104:111">
      <c r="CZ60617" s="256"/>
      <c r="DG60617" s="256"/>
    </row>
    <row r="60618" spans="104:111">
      <c r="CZ60618" s="256"/>
      <c r="DG60618" s="256"/>
    </row>
    <row r="60619" spans="104:111">
      <c r="CZ60619" s="256"/>
      <c r="DG60619" s="256"/>
    </row>
    <row r="60620" spans="104:111">
      <c r="CZ60620" s="256"/>
      <c r="DG60620" s="256"/>
    </row>
    <row r="60621" spans="104:111">
      <c r="CZ60621" s="256"/>
      <c r="DG60621" s="256"/>
    </row>
    <row r="60622" spans="104:111">
      <c r="CZ60622" s="256"/>
      <c r="DG60622" s="256"/>
    </row>
    <row r="60623" spans="104:111">
      <c r="CZ60623" s="256"/>
      <c r="DG60623" s="256"/>
    </row>
    <row r="60624" spans="104:111">
      <c r="CZ60624" s="256"/>
      <c r="DG60624" s="256"/>
    </row>
    <row r="60625" spans="104:111">
      <c r="CZ60625" s="256"/>
      <c r="DG60625" s="256"/>
    </row>
    <row r="60626" spans="104:111">
      <c r="CZ60626" s="256"/>
      <c r="DG60626" s="256"/>
    </row>
    <row r="60627" spans="104:111">
      <c r="CZ60627" s="256"/>
      <c r="DG60627" s="256"/>
    </row>
    <row r="60628" spans="104:111">
      <c r="CZ60628" s="256"/>
      <c r="DG60628" s="256"/>
    </row>
    <row r="60629" spans="104:111">
      <c r="CZ60629" s="256"/>
      <c r="DG60629" s="256"/>
    </row>
    <row r="60630" spans="104:111">
      <c r="CZ60630" s="256"/>
      <c r="DG60630" s="256"/>
    </row>
    <row r="60631" spans="104:111">
      <c r="CZ60631" s="256"/>
      <c r="DG60631" s="256"/>
    </row>
    <row r="60632" spans="104:111">
      <c r="CZ60632" s="256"/>
      <c r="DG60632" s="256"/>
    </row>
    <row r="60633" spans="104:111">
      <c r="CZ60633" s="256"/>
      <c r="DG60633" s="256"/>
    </row>
    <row r="60634" spans="104:111">
      <c r="CZ60634" s="256"/>
      <c r="DG60634" s="256"/>
    </row>
    <row r="60635" spans="104:111">
      <c r="CZ60635" s="256"/>
      <c r="DG60635" s="256"/>
    </row>
    <row r="60636" spans="104:111">
      <c r="CZ60636" s="256"/>
      <c r="DG60636" s="256"/>
    </row>
    <row r="60637" spans="104:111">
      <c r="CZ60637" s="256"/>
      <c r="DG60637" s="256"/>
    </row>
    <row r="60638" spans="104:111">
      <c r="CZ60638" s="256"/>
      <c r="DG60638" s="256"/>
    </row>
    <row r="60639" spans="104:111">
      <c r="CZ60639" s="256"/>
      <c r="DG60639" s="256"/>
    </row>
    <row r="60640" spans="104:111">
      <c r="CZ60640" s="256"/>
      <c r="DG60640" s="256"/>
    </row>
    <row r="60641" spans="104:111">
      <c r="CZ60641" s="256"/>
      <c r="DG60641" s="256"/>
    </row>
    <row r="60642" spans="104:111">
      <c r="CZ60642" s="256"/>
      <c r="DG60642" s="256"/>
    </row>
    <row r="60643" spans="104:111">
      <c r="CZ60643" s="256"/>
      <c r="DG60643" s="256"/>
    </row>
    <row r="60644" spans="104:111">
      <c r="CZ60644" s="256"/>
      <c r="DG60644" s="256"/>
    </row>
    <row r="60645" spans="104:111">
      <c r="CZ60645" s="256"/>
      <c r="DG60645" s="256"/>
    </row>
    <row r="60646" spans="104:111">
      <c r="CZ60646" s="256"/>
      <c r="DG60646" s="256"/>
    </row>
    <row r="60647" spans="104:111">
      <c r="CZ60647" s="256"/>
      <c r="DG60647" s="256"/>
    </row>
    <row r="60648" spans="104:111">
      <c r="CZ60648" s="256"/>
      <c r="DG60648" s="256"/>
    </row>
    <row r="60649" spans="104:111">
      <c r="CZ60649" s="256"/>
      <c r="DG60649" s="256"/>
    </row>
    <row r="60650" spans="104:111">
      <c r="CZ60650" s="256"/>
      <c r="DG60650" s="256"/>
    </row>
    <row r="60651" spans="104:111">
      <c r="CZ60651" s="256"/>
      <c r="DG60651" s="256"/>
    </row>
    <row r="60652" spans="104:111">
      <c r="CZ60652" s="256"/>
      <c r="DG60652" s="256"/>
    </row>
    <row r="60653" spans="104:111">
      <c r="CZ60653" s="256"/>
      <c r="DG60653" s="256"/>
    </row>
    <row r="60654" spans="104:111">
      <c r="CZ60654" s="256"/>
      <c r="DG60654" s="256"/>
    </row>
    <row r="60655" spans="104:111">
      <c r="CZ60655" s="256"/>
      <c r="DG60655" s="256"/>
    </row>
    <row r="60656" spans="104:111">
      <c r="CZ60656" s="256"/>
      <c r="DG60656" s="256"/>
    </row>
    <row r="60657" spans="104:111">
      <c r="CZ60657" s="256"/>
      <c r="DG60657" s="256"/>
    </row>
    <row r="60658" spans="104:111">
      <c r="CZ60658" s="256"/>
      <c r="DG60658" s="256"/>
    </row>
    <row r="60659" spans="104:111">
      <c r="CZ60659" s="256"/>
      <c r="DG60659" s="256"/>
    </row>
    <row r="60660" spans="104:111">
      <c r="CZ60660" s="256"/>
      <c r="DG60660" s="256"/>
    </row>
    <row r="60661" spans="104:111">
      <c r="CZ60661" s="256"/>
      <c r="DG60661" s="256"/>
    </row>
    <row r="60662" spans="104:111">
      <c r="CZ60662" s="256"/>
      <c r="DG60662" s="256"/>
    </row>
    <row r="60663" spans="104:111">
      <c r="CZ60663" s="256"/>
      <c r="DG60663" s="256"/>
    </row>
    <row r="60664" spans="104:111">
      <c r="CZ60664" s="256"/>
      <c r="DG60664" s="256"/>
    </row>
    <row r="60665" spans="104:111">
      <c r="CZ60665" s="256"/>
      <c r="DG60665" s="256"/>
    </row>
    <row r="60666" spans="104:111">
      <c r="CZ60666" s="256"/>
      <c r="DG60666" s="256"/>
    </row>
    <row r="60667" spans="104:111">
      <c r="CZ60667" s="256"/>
      <c r="DG60667" s="256"/>
    </row>
    <row r="60668" spans="104:111">
      <c r="CZ60668" s="256"/>
      <c r="DG60668" s="256"/>
    </row>
    <row r="60669" spans="104:111">
      <c r="CZ60669" s="256"/>
      <c r="DG60669" s="256"/>
    </row>
    <row r="60670" spans="104:111">
      <c r="CZ60670" s="256"/>
      <c r="DG60670" s="256"/>
    </row>
    <row r="60671" spans="104:111">
      <c r="CZ60671" s="256"/>
      <c r="DG60671" s="256"/>
    </row>
    <row r="60672" spans="104:111">
      <c r="CZ60672" s="256"/>
      <c r="DG60672" s="256"/>
    </row>
    <row r="60673" spans="104:111">
      <c r="CZ60673" s="256"/>
      <c r="DG60673" s="256"/>
    </row>
    <row r="60674" spans="104:111">
      <c r="CZ60674" s="256"/>
      <c r="DG60674" s="256"/>
    </row>
    <row r="60675" spans="104:111">
      <c r="CZ60675" s="256"/>
      <c r="DG60675" s="256"/>
    </row>
    <row r="60676" spans="104:111">
      <c r="CZ60676" s="256"/>
      <c r="DG60676" s="256"/>
    </row>
    <row r="60677" spans="104:111">
      <c r="CZ60677" s="256"/>
      <c r="DG60677" s="256"/>
    </row>
    <row r="60678" spans="104:111">
      <c r="CZ60678" s="256"/>
      <c r="DG60678" s="256"/>
    </row>
    <row r="60679" spans="104:111">
      <c r="CZ60679" s="256"/>
      <c r="DG60679" s="256"/>
    </row>
    <row r="60680" spans="104:111">
      <c r="CZ60680" s="256"/>
      <c r="DG60680" s="256"/>
    </row>
    <row r="60681" spans="104:111">
      <c r="CZ60681" s="256"/>
      <c r="DG60681" s="256"/>
    </row>
    <row r="60682" spans="104:111">
      <c r="CZ60682" s="256"/>
      <c r="DG60682" s="256"/>
    </row>
    <row r="60683" spans="104:111">
      <c r="CZ60683" s="256"/>
      <c r="DG60683" s="256"/>
    </row>
    <row r="60684" spans="104:111">
      <c r="CZ60684" s="256"/>
      <c r="DG60684" s="256"/>
    </row>
    <row r="60685" spans="104:111">
      <c r="CZ60685" s="256"/>
      <c r="DG60685" s="256"/>
    </row>
    <row r="60686" spans="104:111">
      <c r="CZ60686" s="256"/>
      <c r="DG60686" s="256"/>
    </row>
    <row r="60687" spans="104:111">
      <c r="CZ60687" s="256"/>
      <c r="DG60687" s="256"/>
    </row>
    <row r="60688" spans="104:111">
      <c r="CZ60688" s="256"/>
      <c r="DG60688" s="256"/>
    </row>
    <row r="60689" spans="104:111">
      <c r="CZ60689" s="256"/>
      <c r="DG60689" s="256"/>
    </row>
    <row r="60690" spans="104:111">
      <c r="CZ60690" s="256"/>
      <c r="DG60690" s="256"/>
    </row>
    <row r="60691" spans="104:111">
      <c r="CZ60691" s="256"/>
      <c r="DG60691" s="256"/>
    </row>
    <row r="60692" spans="104:111">
      <c r="CZ60692" s="256"/>
      <c r="DG60692" s="256"/>
    </row>
    <row r="60693" spans="104:111">
      <c r="CZ60693" s="256"/>
      <c r="DG60693" s="256"/>
    </row>
    <row r="60694" spans="104:111">
      <c r="CZ60694" s="256"/>
      <c r="DG60694" s="256"/>
    </row>
    <row r="60695" spans="104:111">
      <c r="CZ60695" s="256"/>
      <c r="DG60695" s="256"/>
    </row>
    <row r="60696" spans="104:111">
      <c r="CZ60696" s="256"/>
      <c r="DG60696" s="256"/>
    </row>
    <row r="60697" spans="104:111">
      <c r="CZ60697" s="256"/>
      <c r="DG60697" s="256"/>
    </row>
    <row r="60698" spans="104:111">
      <c r="CZ60698" s="256"/>
      <c r="DG60698" s="256"/>
    </row>
    <row r="60699" spans="104:111">
      <c r="CZ60699" s="256"/>
      <c r="DG60699" s="256"/>
    </row>
    <row r="60700" spans="104:111">
      <c r="CZ60700" s="256"/>
      <c r="DG60700" s="256"/>
    </row>
    <row r="60701" spans="104:111">
      <c r="CZ60701" s="256"/>
      <c r="DG60701" s="256"/>
    </row>
    <row r="60702" spans="104:111">
      <c r="CZ60702" s="256"/>
      <c r="DG60702" s="256"/>
    </row>
    <row r="60703" spans="104:111">
      <c r="CZ60703" s="256"/>
      <c r="DG60703" s="256"/>
    </row>
    <row r="60704" spans="104:111">
      <c r="CZ60704" s="256"/>
      <c r="DG60704" s="256"/>
    </row>
    <row r="60705" spans="104:111">
      <c r="CZ60705" s="256"/>
      <c r="DG60705" s="256"/>
    </row>
    <row r="60706" spans="104:111">
      <c r="CZ60706" s="256"/>
      <c r="DG60706" s="256"/>
    </row>
    <row r="60707" spans="104:111">
      <c r="CZ60707" s="256"/>
      <c r="DG60707" s="256"/>
    </row>
    <row r="60708" spans="104:111">
      <c r="CZ60708" s="256"/>
      <c r="DG60708" s="256"/>
    </row>
    <row r="60709" spans="104:111">
      <c r="CZ60709" s="256"/>
      <c r="DG60709" s="256"/>
    </row>
    <row r="60710" spans="104:111">
      <c r="CZ60710" s="256"/>
      <c r="DG60710" s="256"/>
    </row>
    <row r="60711" spans="104:111">
      <c r="CZ60711" s="256"/>
      <c r="DG60711" s="256"/>
    </row>
    <row r="60712" spans="104:111">
      <c r="CZ60712" s="256"/>
      <c r="DG60712" s="256"/>
    </row>
    <row r="60713" spans="104:111">
      <c r="CZ60713" s="256"/>
      <c r="DG60713" s="256"/>
    </row>
    <row r="60714" spans="104:111">
      <c r="CZ60714" s="256"/>
      <c r="DG60714" s="256"/>
    </row>
    <row r="60715" spans="104:111">
      <c r="CZ60715" s="256"/>
      <c r="DG60715" s="256"/>
    </row>
    <row r="60716" spans="104:111">
      <c r="CZ60716" s="256"/>
      <c r="DG60716" s="256"/>
    </row>
    <row r="60717" spans="104:111">
      <c r="CZ60717" s="256"/>
      <c r="DG60717" s="256"/>
    </row>
    <row r="60718" spans="104:111">
      <c r="CZ60718" s="256"/>
      <c r="DG60718" s="256"/>
    </row>
    <row r="60719" spans="104:111">
      <c r="CZ60719" s="256"/>
      <c r="DG60719" s="256"/>
    </row>
    <row r="60720" spans="104:111">
      <c r="CZ60720" s="256"/>
      <c r="DG60720" s="256"/>
    </row>
    <row r="60721" spans="104:111">
      <c r="CZ60721" s="256"/>
      <c r="DG60721" s="256"/>
    </row>
    <row r="60722" spans="104:111">
      <c r="CZ60722" s="256"/>
      <c r="DG60722" s="256"/>
    </row>
    <row r="60723" spans="104:111">
      <c r="CZ60723" s="256"/>
      <c r="DG60723" s="256"/>
    </row>
    <row r="60724" spans="104:111">
      <c r="CZ60724" s="256"/>
      <c r="DG60724" s="256"/>
    </row>
    <row r="60725" spans="104:111">
      <c r="CZ60725" s="256"/>
      <c r="DG60725" s="256"/>
    </row>
    <row r="60726" spans="104:111">
      <c r="CZ60726" s="256"/>
      <c r="DG60726" s="256"/>
    </row>
    <row r="60727" spans="104:111">
      <c r="CZ60727" s="256"/>
      <c r="DG60727" s="256"/>
    </row>
    <row r="60728" spans="104:111">
      <c r="CZ60728" s="256"/>
      <c r="DG60728" s="256"/>
    </row>
    <row r="60729" spans="104:111">
      <c r="CZ60729" s="256"/>
      <c r="DG60729" s="256"/>
    </row>
    <row r="60730" spans="104:111">
      <c r="CZ60730" s="256"/>
      <c r="DG60730" s="256"/>
    </row>
    <row r="60731" spans="104:111">
      <c r="CZ60731" s="256"/>
      <c r="DG60731" s="256"/>
    </row>
    <row r="60732" spans="104:111">
      <c r="CZ60732" s="256"/>
      <c r="DG60732" s="256"/>
    </row>
    <row r="60733" spans="104:111">
      <c r="CZ60733" s="256"/>
      <c r="DG60733" s="256"/>
    </row>
    <row r="60734" spans="104:111">
      <c r="CZ60734" s="256"/>
      <c r="DG60734" s="256"/>
    </row>
    <row r="60735" spans="104:111">
      <c r="CZ60735" s="256"/>
      <c r="DG60735" s="256"/>
    </row>
    <row r="60736" spans="104:111">
      <c r="CZ60736" s="256"/>
      <c r="DG60736" s="256"/>
    </row>
    <row r="60737" spans="104:111">
      <c r="CZ60737" s="256"/>
      <c r="DG60737" s="256"/>
    </row>
    <row r="60738" spans="104:111">
      <c r="CZ60738" s="256"/>
      <c r="DG60738" s="256"/>
    </row>
    <row r="60739" spans="104:111">
      <c r="CZ60739" s="256"/>
      <c r="DG60739" s="256"/>
    </row>
    <row r="60740" spans="104:111">
      <c r="CZ60740" s="256"/>
      <c r="DG60740" s="256"/>
    </row>
    <row r="60741" spans="104:111">
      <c r="CZ60741" s="256"/>
      <c r="DG60741" s="256"/>
    </row>
    <row r="60742" spans="104:111">
      <c r="CZ60742" s="256"/>
      <c r="DG60742" s="256"/>
    </row>
    <row r="60743" spans="104:111">
      <c r="CZ60743" s="256"/>
      <c r="DG60743" s="256"/>
    </row>
    <row r="60744" spans="104:111">
      <c r="CZ60744" s="256"/>
      <c r="DG60744" s="256"/>
    </row>
    <row r="60745" spans="104:111">
      <c r="CZ60745" s="256"/>
      <c r="DG60745" s="256"/>
    </row>
    <row r="60746" spans="104:111">
      <c r="CZ60746" s="256"/>
      <c r="DG60746" s="256"/>
    </row>
    <row r="60747" spans="104:111">
      <c r="CZ60747" s="256"/>
      <c r="DG60747" s="256"/>
    </row>
    <row r="60748" spans="104:111">
      <c r="CZ60748" s="256"/>
      <c r="DG60748" s="256"/>
    </row>
    <row r="60749" spans="104:111">
      <c r="CZ60749" s="256"/>
      <c r="DG60749" s="256"/>
    </row>
    <row r="60750" spans="104:111">
      <c r="CZ60750" s="256"/>
      <c r="DG60750" s="256"/>
    </row>
    <row r="60751" spans="104:111">
      <c r="CZ60751" s="256"/>
      <c r="DG60751" s="256"/>
    </row>
    <row r="60752" spans="104:111">
      <c r="CZ60752" s="256"/>
      <c r="DG60752" s="256"/>
    </row>
    <row r="60753" spans="104:111">
      <c r="CZ60753" s="256"/>
      <c r="DG60753" s="256"/>
    </row>
    <row r="60754" spans="104:111">
      <c r="CZ60754" s="256"/>
      <c r="DG60754" s="256"/>
    </row>
    <row r="60755" spans="104:111">
      <c r="CZ60755" s="256"/>
      <c r="DG60755" s="256"/>
    </row>
    <row r="60756" spans="104:111">
      <c r="CZ60756" s="256"/>
      <c r="DG60756" s="256"/>
    </row>
    <row r="60757" spans="104:111">
      <c r="CZ60757" s="256"/>
      <c r="DG60757" s="256"/>
    </row>
    <row r="60758" spans="104:111">
      <c r="CZ60758" s="256"/>
      <c r="DG60758" s="256"/>
    </row>
    <row r="60759" spans="104:111">
      <c r="CZ60759" s="256"/>
      <c r="DG60759" s="256"/>
    </row>
    <row r="60760" spans="104:111">
      <c r="CZ60760" s="256"/>
      <c r="DG60760" s="256"/>
    </row>
    <row r="60761" spans="104:111">
      <c r="CZ60761" s="256"/>
      <c r="DG60761" s="256"/>
    </row>
    <row r="60762" spans="104:111">
      <c r="CZ60762" s="256"/>
      <c r="DG60762" s="256"/>
    </row>
    <row r="60763" spans="104:111">
      <c r="CZ60763" s="256"/>
      <c r="DG60763" s="256"/>
    </row>
    <row r="60764" spans="104:111">
      <c r="CZ60764" s="256"/>
      <c r="DG60764" s="256"/>
    </row>
    <row r="60765" spans="104:111">
      <c r="CZ60765" s="256"/>
      <c r="DG60765" s="256"/>
    </row>
    <row r="60766" spans="104:111">
      <c r="CZ60766" s="256"/>
      <c r="DG60766" s="256"/>
    </row>
    <row r="60767" spans="104:111">
      <c r="CZ60767" s="256"/>
      <c r="DG60767" s="256"/>
    </row>
    <row r="60768" spans="104:111">
      <c r="CZ60768" s="256"/>
      <c r="DG60768" s="256"/>
    </row>
    <row r="60769" spans="104:111">
      <c r="CZ60769" s="256"/>
      <c r="DG60769" s="256"/>
    </row>
    <row r="60770" spans="104:111">
      <c r="CZ60770" s="256"/>
      <c r="DG60770" s="256"/>
    </row>
    <row r="60771" spans="104:111">
      <c r="CZ60771" s="256"/>
      <c r="DG60771" s="256"/>
    </row>
    <row r="60772" spans="104:111">
      <c r="CZ60772" s="256"/>
      <c r="DG60772" s="256"/>
    </row>
    <row r="60773" spans="104:111">
      <c r="CZ60773" s="256"/>
      <c r="DG60773" s="256"/>
    </row>
    <row r="60774" spans="104:111">
      <c r="CZ60774" s="256"/>
      <c r="DG60774" s="256"/>
    </row>
    <row r="60775" spans="104:111">
      <c r="CZ60775" s="256"/>
      <c r="DG60775" s="256"/>
    </row>
    <row r="60776" spans="104:111">
      <c r="CZ60776" s="256"/>
      <c r="DG60776" s="256"/>
    </row>
    <row r="60777" spans="104:111">
      <c r="CZ60777" s="256"/>
      <c r="DG60777" s="256"/>
    </row>
    <row r="60778" spans="104:111">
      <c r="CZ60778" s="256"/>
      <c r="DG60778" s="256"/>
    </row>
    <row r="60779" spans="104:111">
      <c r="CZ60779" s="256"/>
      <c r="DG60779" s="256"/>
    </row>
    <row r="60780" spans="104:111">
      <c r="CZ60780" s="256"/>
      <c r="DG60780" s="256"/>
    </row>
    <row r="60781" spans="104:111">
      <c r="CZ60781" s="256"/>
      <c r="DG60781" s="256"/>
    </row>
    <row r="60782" spans="104:111">
      <c r="CZ60782" s="256"/>
      <c r="DG60782" s="256"/>
    </row>
    <row r="60783" spans="104:111">
      <c r="CZ60783" s="256"/>
      <c r="DG60783" s="256"/>
    </row>
    <row r="60784" spans="104:111">
      <c r="CZ60784" s="256"/>
      <c r="DG60784" s="256"/>
    </row>
    <row r="60785" spans="104:111">
      <c r="CZ60785" s="256"/>
      <c r="DG60785" s="256"/>
    </row>
    <row r="60786" spans="104:111">
      <c r="CZ60786" s="256"/>
      <c r="DG60786" s="256"/>
    </row>
    <row r="60787" spans="104:111">
      <c r="CZ60787" s="256"/>
      <c r="DG60787" s="256"/>
    </row>
    <row r="60788" spans="104:111">
      <c r="CZ60788" s="256"/>
      <c r="DG60788" s="256"/>
    </row>
    <row r="60789" spans="104:111">
      <c r="CZ60789" s="256"/>
      <c r="DG60789" s="256"/>
    </row>
    <row r="60790" spans="104:111">
      <c r="CZ60790" s="256"/>
      <c r="DG60790" s="256"/>
    </row>
    <row r="60791" spans="104:111">
      <c r="CZ60791" s="256"/>
      <c r="DG60791" s="256"/>
    </row>
    <row r="60792" spans="104:111">
      <c r="CZ60792" s="256"/>
      <c r="DG60792" s="256"/>
    </row>
    <row r="60793" spans="104:111">
      <c r="CZ60793" s="256"/>
      <c r="DG60793" s="256"/>
    </row>
    <row r="60794" spans="104:111">
      <c r="CZ60794" s="256"/>
      <c r="DG60794" s="256"/>
    </row>
    <row r="60795" spans="104:111">
      <c r="CZ60795" s="256"/>
      <c r="DG60795" s="256"/>
    </row>
    <row r="60796" spans="104:111">
      <c r="CZ60796" s="256"/>
      <c r="DG60796" s="256"/>
    </row>
    <row r="60797" spans="104:111">
      <c r="CZ60797" s="256"/>
      <c r="DG60797" s="256"/>
    </row>
    <row r="60798" spans="104:111">
      <c r="CZ60798" s="256"/>
      <c r="DG60798" s="256"/>
    </row>
    <row r="60799" spans="104:111">
      <c r="CZ60799" s="256"/>
      <c r="DG60799" s="256"/>
    </row>
    <row r="60800" spans="104:111">
      <c r="CZ60800" s="256"/>
      <c r="DG60800" s="256"/>
    </row>
    <row r="60801" spans="104:111">
      <c r="CZ60801" s="256"/>
      <c r="DG60801" s="256"/>
    </row>
    <row r="60802" spans="104:111">
      <c r="CZ60802" s="256"/>
      <c r="DG60802" s="256"/>
    </row>
    <row r="60803" spans="104:111">
      <c r="CZ60803" s="256"/>
      <c r="DG60803" s="256"/>
    </row>
    <row r="60804" spans="104:111">
      <c r="CZ60804" s="256"/>
      <c r="DG60804" s="256"/>
    </row>
    <row r="60805" spans="104:111">
      <c r="CZ60805" s="256"/>
      <c r="DG60805" s="256"/>
    </row>
    <row r="60806" spans="104:111">
      <c r="CZ60806" s="256"/>
      <c r="DG60806" s="256"/>
    </row>
    <row r="60807" spans="104:111">
      <c r="CZ60807" s="256"/>
      <c r="DG60807" s="256"/>
    </row>
    <row r="60808" spans="104:111">
      <c r="CZ60808" s="256"/>
      <c r="DG60808" s="256"/>
    </row>
    <row r="60809" spans="104:111">
      <c r="CZ60809" s="256"/>
      <c r="DG60809" s="256"/>
    </row>
    <row r="60810" spans="104:111">
      <c r="CZ60810" s="256"/>
      <c r="DG60810" s="256"/>
    </row>
    <row r="60811" spans="104:111">
      <c r="CZ60811" s="256"/>
      <c r="DG60811" s="256"/>
    </row>
    <row r="60812" spans="104:111">
      <c r="CZ60812" s="256"/>
      <c r="DG60812" s="256"/>
    </row>
    <row r="60813" spans="104:111">
      <c r="CZ60813" s="256"/>
      <c r="DG60813" s="256"/>
    </row>
    <row r="60814" spans="104:111">
      <c r="CZ60814" s="256"/>
      <c r="DG60814" s="256"/>
    </row>
    <row r="60815" spans="104:111">
      <c r="CZ60815" s="256"/>
      <c r="DG60815" s="256"/>
    </row>
    <row r="60816" spans="104:111">
      <c r="CZ60816" s="256"/>
      <c r="DG60816" s="256"/>
    </row>
    <row r="60817" spans="104:111">
      <c r="CZ60817" s="256"/>
      <c r="DG60817" s="256"/>
    </row>
    <row r="60818" spans="104:111">
      <c r="CZ60818" s="256"/>
      <c r="DG60818" s="256"/>
    </row>
    <row r="60819" spans="104:111">
      <c r="CZ60819" s="256"/>
      <c r="DG60819" s="256"/>
    </row>
    <row r="60820" spans="104:111">
      <c r="CZ60820" s="256"/>
      <c r="DG60820" s="256"/>
    </row>
    <row r="60821" spans="104:111">
      <c r="CZ60821" s="256"/>
      <c r="DG60821" s="256"/>
    </row>
    <row r="60822" spans="104:111">
      <c r="CZ60822" s="256"/>
      <c r="DG60822" s="256"/>
    </row>
    <row r="60823" spans="104:111">
      <c r="CZ60823" s="256"/>
      <c r="DG60823" s="256"/>
    </row>
    <row r="60824" spans="104:111">
      <c r="CZ60824" s="256"/>
      <c r="DG60824" s="256"/>
    </row>
    <row r="60825" spans="104:111">
      <c r="CZ60825" s="256"/>
      <c r="DG60825" s="256"/>
    </row>
    <row r="60826" spans="104:111">
      <c r="CZ60826" s="256"/>
      <c r="DG60826" s="256"/>
    </row>
    <row r="60827" spans="104:111">
      <c r="CZ60827" s="256"/>
      <c r="DG60827" s="256"/>
    </row>
    <row r="60828" spans="104:111">
      <c r="CZ60828" s="256"/>
      <c r="DG60828" s="256"/>
    </row>
    <row r="60829" spans="104:111">
      <c r="CZ60829" s="256"/>
      <c r="DG60829" s="256"/>
    </row>
    <row r="60830" spans="104:111">
      <c r="CZ60830" s="256"/>
      <c r="DG60830" s="256"/>
    </row>
    <row r="60831" spans="104:111">
      <c r="CZ60831" s="256"/>
      <c r="DG60831" s="256"/>
    </row>
    <row r="60832" spans="104:111">
      <c r="CZ60832" s="256"/>
      <c r="DG60832" s="256"/>
    </row>
    <row r="60833" spans="104:111">
      <c r="CZ60833" s="256"/>
      <c r="DG60833" s="256"/>
    </row>
    <row r="60834" spans="104:111">
      <c r="CZ60834" s="256"/>
      <c r="DG60834" s="256"/>
    </row>
    <row r="60835" spans="104:111">
      <c r="CZ60835" s="256"/>
      <c r="DG60835" s="256"/>
    </row>
    <row r="60836" spans="104:111">
      <c r="CZ60836" s="256"/>
      <c r="DG60836" s="256"/>
    </row>
    <row r="60837" spans="104:111">
      <c r="CZ60837" s="256"/>
      <c r="DG60837" s="256"/>
    </row>
    <row r="60838" spans="104:111">
      <c r="CZ60838" s="256"/>
      <c r="DG60838" s="256"/>
    </row>
    <row r="60839" spans="104:111">
      <c r="CZ60839" s="256"/>
      <c r="DG60839" s="256"/>
    </row>
    <row r="60840" spans="104:111">
      <c r="CZ60840" s="256"/>
      <c r="DG60840" s="256"/>
    </row>
    <row r="60841" spans="104:111">
      <c r="CZ60841" s="256"/>
      <c r="DG60841" s="256"/>
    </row>
    <row r="60842" spans="104:111">
      <c r="CZ60842" s="256"/>
      <c r="DG60842" s="256"/>
    </row>
    <row r="60843" spans="104:111">
      <c r="CZ60843" s="256"/>
      <c r="DG60843" s="256"/>
    </row>
    <row r="60844" spans="104:111">
      <c r="CZ60844" s="256"/>
      <c r="DG60844" s="256"/>
    </row>
    <row r="60845" spans="104:111">
      <c r="CZ60845" s="256"/>
      <c r="DG60845" s="256"/>
    </row>
    <row r="60846" spans="104:111">
      <c r="CZ60846" s="256"/>
      <c r="DG60846" s="256"/>
    </row>
    <row r="60847" spans="104:111">
      <c r="CZ60847" s="256"/>
      <c r="DG60847" s="256"/>
    </row>
    <row r="60848" spans="104:111">
      <c r="CZ60848" s="256"/>
      <c r="DG60848" s="256"/>
    </row>
    <row r="60849" spans="104:111">
      <c r="CZ60849" s="256"/>
      <c r="DG60849" s="256"/>
    </row>
    <row r="60850" spans="104:111">
      <c r="CZ60850" s="256"/>
      <c r="DG60850" s="256"/>
    </row>
    <row r="60851" spans="104:111">
      <c r="CZ60851" s="256"/>
      <c r="DG60851" s="256"/>
    </row>
    <row r="60852" spans="104:111">
      <c r="CZ60852" s="256"/>
      <c r="DG60852" s="256"/>
    </row>
    <row r="60853" spans="104:111">
      <c r="CZ60853" s="256"/>
      <c r="DG60853" s="256"/>
    </row>
    <row r="60854" spans="104:111">
      <c r="CZ60854" s="256"/>
      <c r="DG60854" s="256"/>
    </row>
    <row r="60855" spans="104:111">
      <c r="CZ60855" s="256"/>
      <c r="DG60855" s="256"/>
    </row>
    <row r="60856" spans="104:111">
      <c r="CZ60856" s="256"/>
      <c r="DG60856" s="256"/>
    </row>
    <row r="60857" spans="104:111">
      <c r="CZ60857" s="256"/>
      <c r="DG60857" s="256"/>
    </row>
    <row r="60858" spans="104:111">
      <c r="CZ60858" s="256"/>
      <c r="DG60858" s="256"/>
    </row>
    <row r="60859" spans="104:111">
      <c r="CZ60859" s="256"/>
      <c r="DG60859" s="256"/>
    </row>
    <row r="60860" spans="104:111">
      <c r="CZ60860" s="256"/>
      <c r="DG60860" s="256"/>
    </row>
    <row r="60861" spans="104:111">
      <c r="CZ60861" s="256"/>
      <c r="DG60861" s="256"/>
    </row>
    <row r="60862" spans="104:111">
      <c r="CZ60862" s="256"/>
      <c r="DG60862" s="256"/>
    </row>
    <row r="60863" spans="104:111">
      <c r="CZ60863" s="256"/>
      <c r="DG60863" s="256"/>
    </row>
    <row r="60864" spans="104:111">
      <c r="CZ60864" s="256"/>
      <c r="DG60864" s="256"/>
    </row>
    <row r="60865" spans="104:111">
      <c r="CZ60865" s="256"/>
      <c r="DG60865" s="256"/>
    </row>
    <row r="60866" spans="104:111">
      <c r="CZ60866" s="256"/>
      <c r="DG60866" s="256"/>
    </row>
    <row r="60867" spans="104:111">
      <c r="CZ60867" s="256"/>
      <c r="DG60867" s="256"/>
    </row>
    <row r="60868" spans="104:111">
      <c r="CZ60868" s="256"/>
      <c r="DG60868" s="256"/>
    </row>
    <row r="60869" spans="104:111">
      <c r="CZ60869" s="256"/>
      <c r="DG60869" s="256"/>
    </row>
    <row r="60870" spans="104:111">
      <c r="CZ60870" s="256"/>
      <c r="DG60870" s="256"/>
    </row>
    <row r="60871" spans="104:111">
      <c r="CZ60871" s="256"/>
      <c r="DG60871" s="256"/>
    </row>
    <row r="60872" spans="104:111">
      <c r="CZ60872" s="256"/>
      <c r="DG60872" s="256"/>
    </row>
    <row r="60873" spans="104:111">
      <c r="CZ60873" s="256"/>
      <c r="DG60873" s="256"/>
    </row>
    <row r="60874" spans="104:111">
      <c r="CZ60874" s="256"/>
      <c r="DG60874" s="256"/>
    </row>
    <row r="60875" spans="104:111">
      <c r="CZ60875" s="256"/>
      <c r="DG60875" s="256"/>
    </row>
    <row r="60876" spans="104:111">
      <c r="CZ60876" s="256"/>
      <c r="DG60876" s="256"/>
    </row>
    <row r="60877" spans="104:111">
      <c r="CZ60877" s="256"/>
      <c r="DG60877" s="256"/>
    </row>
    <row r="60878" spans="104:111">
      <c r="CZ60878" s="256"/>
      <c r="DG60878" s="256"/>
    </row>
    <row r="60879" spans="104:111">
      <c r="CZ60879" s="256"/>
      <c r="DG60879" s="256"/>
    </row>
    <row r="60880" spans="104:111">
      <c r="CZ60880" s="256"/>
      <c r="DG60880" s="256"/>
    </row>
    <row r="60881" spans="104:111">
      <c r="CZ60881" s="256"/>
      <c r="DG60881" s="256"/>
    </row>
    <row r="60882" spans="104:111">
      <c r="CZ60882" s="256"/>
      <c r="DG60882" s="256"/>
    </row>
    <row r="60883" spans="104:111">
      <c r="CZ60883" s="256"/>
      <c r="DG60883" s="256"/>
    </row>
    <row r="60884" spans="104:111">
      <c r="CZ60884" s="256"/>
      <c r="DG60884" s="256"/>
    </row>
    <row r="60885" spans="104:111">
      <c r="CZ60885" s="256"/>
      <c r="DG60885" s="256"/>
    </row>
    <row r="60886" spans="104:111">
      <c r="CZ60886" s="256"/>
      <c r="DG60886" s="256"/>
    </row>
    <row r="60887" spans="104:111">
      <c r="CZ60887" s="256"/>
      <c r="DG60887" s="256"/>
    </row>
    <row r="60888" spans="104:111">
      <c r="CZ60888" s="256"/>
      <c r="DG60888" s="256"/>
    </row>
    <row r="60889" spans="104:111">
      <c r="CZ60889" s="256"/>
      <c r="DG60889" s="256"/>
    </row>
    <row r="60890" spans="104:111">
      <c r="CZ60890" s="256"/>
      <c r="DG60890" s="256"/>
    </row>
    <row r="60891" spans="104:111">
      <c r="CZ60891" s="256"/>
      <c r="DG60891" s="256"/>
    </row>
    <row r="60892" spans="104:111">
      <c r="CZ60892" s="256"/>
      <c r="DG60892" s="256"/>
    </row>
    <row r="60893" spans="104:111">
      <c r="CZ60893" s="256"/>
      <c r="DG60893" s="256"/>
    </row>
    <row r="60894" spans="104:111">
      <c r="CZ60894" s="256"/>
      <c r="DG60894" s="256"/>
    </row>
    <row r="60895" spans="104:111">
      <c r="CZ60895" s="256"/>
      <c r="DG60895" s="256"/>
    </row>
    <row r="60896" spans="104:111">
      <c r="CZ60896" s="256"/>
      <c r="DG60896" s="256"/>
    </row>
    <row r="60897" spans="104:111">
      <c r="CZ60897" s="256"/>
      <c r="DG60897" s="256"/>
    </row>
    <row r="60898" spans="104:111">
      <c r="CZ60898" s="256"/>
      <c r="DG60898" s="256"/>
    </row>
    <row r="60899" spans="104:111">
      <c r="CZ60899" s="256"/>
      <c r="DG60899" s="256"/>
    </row>
    <row r="60900" spans="104:111">
      <c r="CZ60900" s="256"/>
      <c r="DG60900" s="256"/>
    </row>
    <row r="60901" spans="104:111">
      <c r="CZ60901" s="256"/>
      <c r="DG60901" s="256"/>
    </row>
    <row r="60902" spans="104:111">
      <c r="CZ60902" s="256"/>
      <c r="DG60902" s="256"/>
    </row>
    <row r="60903" spans="104:111">
      <c r="CZ60903" s="256"/>
      <c r="DG60903" s="256"/>
    </row>
    <row r="60904" spans="104:111">
      <c r="CZ60904" s="256"/>
      <c r="DG60904" s="256"/>
    </row>
    <row r="60905" spans="104:111">
      <c r="CZ60905" s="256"/>
      <c r="DG60905" s="256"/>
    </row>
    <row r="60906" spans="104:111">
      <c r="CZ60906" s="256"/>
      <c r="DG60906" s="256"/>
    </row>
    <row r="60907" spans="104:111">
      <c r="CZ60907" s="256"/>
      <c r="DG60907" s="256"/>
    </row>
    <row r="60908" spans="104:111">
      <c r="CZ60908" s="256"/>
      <c r="DG60908" s="256"/>
    </row>
    <row r="60909" spans="104:111">
      <c r="CZ60909" s="256"/>
      <c r="DG60909" s="256"/>
    </row>
    <row r="60910" spans="104:111">
      <c r="CZ60910" s="256"/>
      <c r="DG60910" s="256"/>
    </row>
    <row r="60911" spans="104:111">
      <c r="CZ60911" s="256"/>
      <c r="DG60911" s="256"/>
    </row>
    <row r="60912" spans="104:111">
      <c r="CZ60912" s="256"/>
      <c r="DG60912" s="256"/>
    </row>
    <row r="60913" spans="104:111">
      <c r="CZ60913" s="256"/>
      <c r="DG60913" s="256"/>
    </row>
    <row r="60914" spans="104:111">
      <c r="CZ60914" s="256"/>
      <c r="DG60914" s="256"/>
    </row>
    <row r="60915" spans="104:111">
      <c r="CZ60915" s="256"/>
      <c r="DG60915" s="256"/>
    </row>
    <row r="60916" spans="104:111">
      <c r="CZ60916" s="256"/>
      <c r="DG60916" s="256"/>
    </row>
    <row r="60917" spans="104:111">
      <c r="CZ60917" s="256"/>
      <c r="DG60917" s="256"/>
    </row>
    <row r="60918" spans="104:111">
      <c r="CZ60918" s="256"/>
      <c r="DG60918" s="256"/>
    </row>
    <row r="60919" spans="104:111">
      <c r="CZ60919" s="256"/>
      <c r="DG60919" s="256"/>
    </row>
    <row r="60920" spans="104:111">
      <c r="CZ60920" s="256"/>
      <c r="DG60920" s="256"/>
    </row>
    <row r="60921" spans="104:111">
      <c r="CZ60921" s="256"/>
      <c r="DG60921" s="256"/>
    </row>
    <row r="60922" spans="104:111">
      <c r="CZ60922" s="256"/>
      <c r="DG60922" s="256"/>
    </row>
    <row r="60923" spans="104:111">
      <c r="CZ60923" s="256"/>
      <c r="DG60923" s="256"/>
    </row>
    <row r="60924" spans="104:111">
      <c r="CZ60924" s="256"/>
      <c r="DG60924" s="256"/>
    </row>
    <row r="60925" spans="104:111">
      <c r="CZ60925" s="256"/>
      <c r="DG60925" s="256"/>
    </row>
    <row r="60926" spans="104:111">
      <c r="CZ60926" s="256"/>
      <c r="DG60926" s="256"/>
    </row>
    <row r="60927" spans="104:111">
      <c r="CZ60927" s="256"/>
      <c r="DG60927" s="256"/>
    </row>
    <row r="60928" spans="104:111">
      <c r="CZ60928" s="256"/>
      <c r="DG60928" s="256"/>
    </row>
    <row r="60929" spans="104:111">
      <c r="CZ60929" s="256"/>
      <c r="DG60929" s="256"/>
    </row>
    <row r="60930" spans="104:111">
      <c r="CZ60930" s="256"/>
      <c r="DG60930" s="256"/>
    </row>
    <row r="60931" spans="104:111">
      <c r="CZ60931" s="256"/>
      <c r="DG60931" s="256"/>
    </row>
    <row r="60932" spans="104:111">
      <c r="CZ60932" s="256"/>
      <c r="DG60932" s="256"/>
    </row>
    <row r="60933" spans="104:111">
      <c r="CZ60933" s="256"/>
      <c r="DG60933" s="256"/>
    </row>
    <row r="60934" spans="104:111">
      <c r="CZ60934" s="256"/>
      <c r="DG60934" s="256"/>
    </row>
    <row r="60935" spans="104:111">
      <c r="CZ60935" s="256"/>
      <c r="DG60935" s="256"/>
    </row>
    <row r="60936" spans="104:111">
      <c r="CZ60936" s="256"/>
      <c r="DG60936" s="256"/>
    </row>
    <row r="60937" spans="104:111">
      <c r="CZ60937" s="256"/>
      <c r="DG60937" s="256"/>
    </row>
    <row r="60938" spans="104:111">
      <c r="CZ60938" s="256"/>
      <c r="DG60938" s="256"/>
    </row>
    <row r="60939" spans="104:111">
      <c r="CZ60939" s="256"/>
      <c r="DG60939" s="256"/>
    </row>
    <row r="60940" spans="104:111">
      <c r="CZ60940" s="256"/>
      <c r="DG60940" s="256"/>
    </row>
    <row r="60941" spans="104:111">
      <c r="CZ60941" s="256"/>
      <c r="DG60941" s="256"/>
    </row>
    <row r="60942" spans="104:111">
      <c r="CZ60942" s="256"/>
      <c r="DG60942" s="256"/>
    </row>
    <row r="60943" spans="104:111">
      <c r="CZ60943" s="256"/>
      <c r="DG60943" s="256"/>
    </row>
    <row r="60944" spans="104:111">
      <c r="CZ60944" s="256"/>
      <c r="DG60944" s="256"/>
    </row>
    <row r="60945" spans="104:111">
      <c r="CZ60945" s="256"/>
      <c r="DG60945" s="256"/>
    </row>
    <row r="60946" spans="104:111">
      <c r="CZ60946" s="256"/>
      <c r="DG60946" s="256"/>
    </row>
    <row r="60947" spans="104:111">
      <c r="CZ60947" s="256"/>
      <c r="DG60947" s="256"/>
    </row>
    <row r="60948" spans="104:111">
      <c r="CZ60948" s="256"/>
      <c r="DG60948" s="256"/>
    </row>
    <row r="60949" spans="104:111">
      <c r="CZ60949" s="256"/>
      <c r="DG60949" s="256"/>
    </row>
    <row r="60950" spans="104:111">
      <c r="CZ60950" s="256"/>
      <c r="DG60950" s="256"/>
    </row>
    <row r="60951" spans="104:111">
      <c r="CZ60951" s="256"/>
      <c r="DG60951" s="256"/>
    </row>
    <row r="60952" spans="104:111">
      <c r="CZ60952" s="256"/>
      <c r="DG60952" s="256"/>
    </row>
    <row r="60953" spans="104:111">
      <c r="CZ60953" s="256"/>
      <c r="DG60953" s="256"/>
    </row>
    <row r="60954" spans="104:111">
      <c r="CZ60954" s="256"/>
      <c r="DG60954" s="256"/>
    </row>
    <row r="60955" spans="104:111">
      <c r="CZ60955" s="256"/>
      <c r="DG60955" s="256"/>
    </row>
    <row r="60956" spans="104:111">
      <c r="CZ60956" s="256"/>
      <c r="DG60956" s="256"/>
    </row>
    <row r="60957" spans="104:111">
      <c r="CZ60957" s="256"/>
      <c r="DG60957" s="256"/>
    </row>
    <row r="60958" spans="104:111">
      <c r="CZ60958" s="256"/>
      <c r="DG60958" s="256"/>
    </row>
    <row r="60959" spans="104:111">
      <c r="CZ60959" s="256"/>
      <c r="DG60959" s="256"/>
    </row>
    <row r="60960" spans="104:111">
      <c r="CZ60960" s="256"/>
      <c r="DG60960" s="256"/>
    </row>
    <row r="60961" spans="104:111">
      <c r="CZ60961" s="256"/>
      <c r="DG60961" s="256"/>
    </row>
    <row r="60962" spans="104:111">
      <c r="CZ60962" s="256"/>
      <c r="DG60962" s="256"/>
    </row>
    <row r="60963" spans="104:111">
      <c r="CZ60963" s="256"/>
      <c r="DG60963" s="256"/>
    </row>
    <row r="60964" spans="104:111">
      <c r="CZ60964" s="256"/>
      <c r="DG60964" s="256"/>
    </row>
    <row r="60965" spans="104:111">
      <c r="CZ60965" s="256"/>
      <c r="DG60965" s="256"/>
    </row>
    <row r="60966" spans="104:111">
      <c r="CZ60966" s="256"/>
      <c r="DG60966" s="256"/>
    </row>
    <row r="60967" spans="104:111">
      <c r="CZ60967" s="256"/>
      <c r="DG60967" s="256"/>
    </row>
    <row r="60968" spans="104:111">
      <c r="CZ60968" s="256"/>
      <c r="DG60968" s="256"/>
    </row>
    <row r="60969" spans="104:111">
      <c r="CZ60969" s="256"/>
      <c r="DG60969" s="256"/>
    </row>
    <row r="60970" spans="104:111">
      <c r="CZ60970" s="256"/>
      <c r="DG60970" s="256"/>
    </row>
    <row r="60971" spans="104:111">
      <c r="CZ60971" s="256"/>
      <c r="DG60971" s="256"/>
    </row>
    <row r="60972" spans="104:111">
      <c r="CZ60972" s="256"/>
      <c r="DG60972" s="256"/>
    </row>
    <row r="60973" spans="104:111">
      <c r="CZ60973" s="256"/>
      <c r="DG60973" s="256"/>
    </row>
    <row r="60974" spans="104:111">
      <c r="CZ60974" s="256"/>
      <c r="DG60974" s="256"/>
    </row>
    <row r="60975" spans="104:111">
      <c r="CZ60975" s="256"/>
      <c r="DG60975" s="256"/>
    </row>
    <row r="60976" spans="104:111">
      <c r="CZ60976" s="256"/>
      <c r="DG60976" s="256"/>
    </row>
    <row r="60977" spans="104:111">
      <c r="CZ60977" s="256"/>
      <c r="DG60977" s="256"/>
    </row>
    <row r="60978" spans="104:111">
      <c r="CZ60978" s="256"/>
      <c r="DG60978" s="256"/>
    </row>
    <row r="60979" spans="104:111">
      <c r="CZ60979" s="256"/>
      <c r="DG60979" s="256"/>
    </row>
    <row r="60980" spans="104:111">
      <c r="CZ60980" s="256"/>
      <c r="DG60980" s="256"/>
    </row>
    <row r="60981" spans="104:111">
      <c r="CZ60981" s="256"/>
      <c r="DG60981" s="256"/>
    </row>
    <row r="60982" spans="104:111">
      <c r="CZ60982" s="256"/>
      <c r="DG60982" s="256"/>
    </row>
    <row r="60983" spans="104:111">
      <c r="CZ60983" s="256"/>
      <c r="DG60983" s="256"/>
    </row>
    <row r="60984" spans="104:111">
      <c r="CZ60984" s="256"/>
      <c r="DG60984" s="256"/>
    </row>
    <row r="60985" spans="104:111">
      <c r="CZ60985" s="256"/>
      <c r="DG60985" s="256"/>
    </row>
    <row r="60986" spans="104:111">
      <c r="CZ60986" s="256"/>
      <c r="DG60986" s="256"/>
    </row>
    <row r="60987" spans="104:111">
      <c r="CZ60987" s="256"/>
      <c r="DG60987" s="256"/>
    </row>
    <row r="60988" spans="104:111">
      <c r="CZ60988" s="256"/>
      <c r="DG60988" s="256"/>
    </row>
    <row r="60989" spans="104:111">
      <c r="CZ60989" s="256"/>
      <c r="DG60989" s="256"/>
    </row>
    <row r="60990" spans="104:111">
      <c r="CZ60990" s="256"/>
      <c r="DG60990" s="256"/>
    </row>
    <row r="60991" spans="104:111">
      <c r="CZ60991" s="256"/>
      <c r="DG60991" s="256"/>
    </row>
    <row r="60992" spans="104:111">
      <c r="CZ60992" s="256"/>
      <c r="DG60992" s="256"/>
    </row>
    <row r="60993" spans="104:111">
      <c r="CZ60993" s="256"/>
      <c r="DG60993" s="256"/>
    </row>
    <row r="60994" spans="104:111">
      <c r="CZ60994" s="256"/>
      <c r="DG60994" s="256"/>
    </row>
    <row r="60995" spans="104:111">
      <c r="CZ60995" s="256"/>
      <c r="DG60995" s="256"/>
    </row>
    <row r="60996" spans="104:111">
      <c r="CZ60996" s="256"/>
      <c r="DG60996" s="256"/>
    </row>
    <row r="60997" spans="104:111">
      <c r="CZ60997" s="256"/>
      <c r="DG60997" s="256"/>
    </row>
    <row r="60998" spans="104:111">
      <c r="CZ60998" s="256"/>
      <c r="DG60998" s="256"/>
    </row>
    <row r="60999" spans="104:111">
      <c r="CZ60999" s="256"/>
      <c r="DG60999" s="256"/>
    </row>
    <row r="61000" spans="104:111">
      <c r="CZ61000" s="256"/>
      <c r="DG61000" s="256"/>
    </row>
    <row r="61001" spans="104:111">
      <c r="CZ61001" s="256"/>
      <c r="DG61001" s="256"/>
    </row>
    <row r="61002" spans="104:111">
      <c r="CZ61002" s="256"/>
      <c r="DG61002" s="256"/>
    </row>
    <row r="61003" spans="104:111">
      <c r="CZ61003" s="256"/>
      <c r="DG61003" s="256"/>
    </row>
    <row r="61004" spans="104:111">
      <c r="CZ61004" s="256"/>
      <c r="DG61004" s="256"/>
    </row>
    <row r="61005" spans="104:111">
      <c r="CZ61005" s="256"/>
      <c r="DG61005" s="256"/>
    </row>
    <row r="61006" spans="104:111">
      <c r="CZ61006" s="256"/>
      <c r="DG61006" s="256"/>
    </row>
    <row r="61007" spans="104:111">
      <c r="CZ61007" s="256"/>
      <c r="DG61007" s="256"/>
    </row>
    <row r="61008" spans="104:111">
      <c r="CZ61008" s="256"/>
      <c r="DG61008" s="256"/>
    </row>
    <row r="61009" spans="104:111">
      <c r="CZ61009" s="256"/>
      <c r="DG61009" s="256"/>
    </row>
    <row r="61010" spans="104:111">
      <c r="CZ61010" s="256"/>
      <c r="DG61010" s="256"/>
    </row>
    <row r="61011" spans="104:111">
      <c r="CZ61011" s="256"/>
      <c r="DG61011" s="256"/>
    </row>
    <row r="61012" spans="104:111">
      <c r="CZ61012" s="256"/>
      <c r="DG61012" s="256"/>
    </row>
    <row r="61013" spans="104:111">
      <c r="CZ61013" s="256"/>
      <c r="DG61013" s="256"/>
    </row>
    <row r="61014" spans="104:111">
      <c r="CZ61014" s="256"/>
      <c r="DG61014" s="256"/>
    </row>
    <row r="61015" spans="104:111">
      <c r="CZ61015" s="256"/>
      <c r="DG61015" s="256"/>
    </row>
    <row r="61016" spans="104:111">
      <c r="CZ61016" s="256"/>
      <c r="DG61016" s="256"/>
    </row>
    <row r="61017" spans="104:111">
      <c r="CZ61017" s="256"/>
      <c r="DG61017" s="256"/>
    </row>
    <row r="61018" spans="104:111">
      <c r="CZ61018" s="256"/>
      <c r="DG61018" s="256"/>
    </row>
    <row r="61019" spans="104:111">
      <c r="CZ61019" s="256"/>
      <c r="DG61019" s="256"/>
    </row>
    <row r="61020" spans="104:111">
      <c r="CZ61020" s="256"/>
      <c r="DG61020" s="256"/>
    </row>
    <row r="61021" spans="104:111">
      <c r="CZ61021" s="256"/>
      <c r="DG61021" s="256"/>
    </row>
    <row r="61022" spans="104:111">
      <c r="CZ61022" s="256"/>
      <c r="DG61022" s="256"/>
    </row>
    <row r="61023" spans="104:111">
      <c r="CZ61023" s="256"/>
      <c r="DG61023" s="256"/>
    </row>
    <row r="61024" spans="104:111">
      <c r="CZ61024" s="256"/>
      <c r="DG61024" s="256"/>
    </row>
    <row r="61025" spans="104:111">
      <c r="CZ61025" s="256"/>
      <c r="DG61025" s="256"/>
    </row>
    <row r="61026" spans="104:111">
      <c r="CZ61026" s="256"/>
      <c r="DG61026" s="256"/>
    </row>
    <row r="61027" spans="104:111">
      <c r="CZ61027" s="256"/>
      <c r="DG61027" s="256"/>
    </row>
    <row r="61028" spans="104:111">
      <c r="CZ61028" s="256"/>
      <c r="DG61028" s="256"/>
    </row>
    <row r="61029" spans="104:111">
      <c r="CZ61029" s="256"/>
      <c r="DG61029" s="256"/>
    </row>
    <row r="61030" spans="104:111">
      <c r="CZ61030" s="256"/>
      <c r="DG61030" s="256"/>
    </row>
    <row r="61031" spans="104:111">
      <c r="CZ61031" s="256"/>
      <c r="DG61031" s="256"/>
    </row>
    <row r="61032" spans="104:111">
      <c r="CZ61032" s="256"/>
      <c r="DG61032" s="256"/>
    </row>
    <row r="61033" spans="104:111">
      <c r="CZ61033" s="256"/>
      <c r="DG61033" s="256"/>
    </row>
    <row r="61034" spans="104:111">
      <c r="CZ61034" s="256"/>
      <c r="DG61034" s="256"/>
    </row>
    <row r="61035" spans="104:111">
      <c r="CZ61035" s="256"/>
      <c r="DG61035" s="256"/>
    </row>
    <row r="61036" spans="104:111">
      <c r="CZ61036" s="256"/>
      <c r="DG61036" s="256"/>
    </row>
    <row r="61037" spans="104:111">
      <c r="CZ61037" s="256"/>
      <c r="DG61037" s="256"/>
    </row>
    <row r="61038" spans="104:111">
      <c r="CZ61038" s="256"/>
      <c r="DG61038" s="256"/>
    </row>
    <row r="61039" spans="104:111">
      <c r="CZ61039" s="256"/>
      <c r="DG61039" s="256"/>
    </row>
    <row r="61040" spans="104:111">
      <c r="CZ61040" s="256"/>
      <c r="DG61040" s="256"/>
    </row>
    <row r="61041" spans="104:111">
      <c r="CZ61041" s="256"/>
      <c r="DG61041" s="256"/>
    </row>
    <row r="61042" spans="104:111">
      <c r="CZ61042" s="256"/>
      <c r="DG61042" s="256"/>
    </row>
    <row r="61043" spans="104:111">
      <c r="CZ61043" s="256"/>
      <c r="DG61043" s="256"/>
    </row>
    <row r="61044" spans="104:111">
      <c r="CZ61044" s="256"/>
      <c r="DG61044" s="256"/>
    </row>
    <row r="61045" spans="104:111">
      <c r="CZ61045" s="256"/>
      <c r="DG61045" s="256"/>
    </row>
    <row r="61046" spans="104:111">
      <c r="CZ61046" s="256"/>
      <c r="DG61046" s="256"/>
    </row>
    <row r="61047" spans="104:111">
      <c r="CZ61047" s="256"/>
      <c r="DG61047" s="256"/>
    </row>
    <row r="61048" spans="104:111">
      <c r="CZ61048" s="256"/>
      <c r="DG61048" s="256"/>
    </row>
    <row r="61049" spans="104:111">
      <c r="CZ61049" s="256"/>
      <c r="DG61049" s="256"/>
    </row>
    <row r="61050" spans="104:111">
      <c r="CZ61050" s="256"/>
      <c r="DG61050" s="256"/>
    </row>
    <row r="61051" spans="104:111">
      <c r="CZ61051" s="256"/>
      <c r="DG61051" s="256"/>
    </row>
    <row r="61052" spans="104:111">
      <c r="CZ61052" s="256"/>
      <c r="DG61052" s="256"/>
    </row>
    <row r="61053" spans="104:111">
      <c r="CZ61053" s="256"/>
      <c r="DG61053" s="256"/>
    </row>
    <row r="61054" spans="104:111">
      <c r="CZ61054" s="256"/>
      <c r="DG61054" s="256"/>
    </row>
    <row r="61055" spans="104:111">
      <c r="CZ61055" s="256"/>
      <c r="DG61055" s="256"/>
    </row>
    <row r="61056" spans="104:111">
      <c r="CZ61056" s="256"/>
      <c r="DG61056" s="256"/>
    </row>
    <row r="61057" spans="104:111">
      <c r="CZ61057" s="256"/>
      <c r="DG61057" s="256"/>
    </row>
    <row r="61058" spans="104:111">
      <c r="CZ61058" s="256"/>
      <c r="DG61058" s="256"/>
    </row>
    <row r="61059" spans="104:111">
      <c r="CZ61059" s="256"/>
      <c r="DG61059" s="256"/>
    </row>
    <row r="61060" spans="104:111">
      <c r="CZ61060" s="256"/>
      <c r="DG61060" s="256"/>
    </row>
    <row r="61061" spans="104:111">
      <c r="CZ61061" s="256"/>
      <c r="DG61061" s="256"/>
    </row>
    <row r="61062" spans="104:111">
      <c r="CZ61062" s="256"/>
      <c r="DG61062" s="256"/>
    </row>
    <row r="61063" spans="104:111">
      <c r="CZ61063" s="256"/>
      <c r="DG61063" s="256"/>
    </row>
    <row r="61064" spans="104:111">
      <c r="CZ61064" s="256"/>
      <c r="DG61064" s="256"/>
    </row>
    <row r="61065" spans="104:111">
      <c r="CZ61065" s="256"/>
      <c r="DG61065" s="256"/>
    </row>
    <row r="61066" spans="104:111">
      <c r="CZ61066" s="256"/>
      <c r="DG61066" s="256"/>
    </row>
    <row r="61067" spans="104:111">
      <c r="CZ61067" s="256"/>
      <c r="DG61067" s="256"/>
    </row>
    <row r="61068" spans="104:111">
      <c r="CZ61068" s="256"/>
      <c r="DG61068" s="256"/>
    </row>
    <row r="61069" spans="104:111">
      <c r="CZ61069" s="256"/>
      <c r="DG61069" s="256"/>
    </row>
    <row r="61070" spans="104:111">
      <c r="CZ61070" s="256"/>
      <c r="DG61070" s="256"/>
    </row>
    <row r="61071" spans="104:111">
      <c r="CZ61071" s="256"/>
      <c r="DG61071" s="256"/>
    </row>
    <row r="61072" spans="104:111">
      <c r="CZ61072" s="256"/>
      <c r="DG61072" s="256"/>
    </row>
    <row r="61073" spans="104:111">
      <c r="CZ61073" s="256"/>
      <c r="DG61073" s="256"/>
    </row>
    <row r="61074" spans="104:111">
      <c r="CZ61074" s="256"/>
      <c r="DG61074" s="256"/>
    </row>
    <row r="61075" spans="104:111">
      <c r="CZ61075" s="256"/>
      <c r="DG61075" s="256"/>
    </row>
    <row r="61076" spans="104:111">
      <c r="CZ61076" s="256"/>
      <c r="DG61076" s="256"/>
    </row>
    <row r="61077" spans="104:111">
      <c r="CZ61077" s="256"/>
      <c r="DG61077" s="256"/>
    </row>
    <row r="61078" spans="104:111">
      <c r="CZ61078" s="256"/>
      <c r="DG61078" s="256"/>
    </row>
    <row r="61079" spans="104:111">
      <c r="CZ61079" s="256"/>
      <c r="DG61079" s="256"/>
    </row>
    <row r="61080" spans="104:111">
      <c r="CZ61080" s="256"/>
      <c r="DG61080" s="256"/>
    </row>
    <row r="61081" spans="104:111">
      <c r="CZ61081" s="256"/>
      <c r="DG61081" s="256"/>
    </row>
    <row r="61082" spans="104:111">
      <c r="CZ61082" s="256"/>
      <c r="DG61082" s="256"/>
    </row>
    <row r="61083" spans="104:111">
      <c r="CZ61083" s="256"/>
      <c r="DG61083" s="256"/>
    </row>
    <row r="61084" spans="104:111">
      <c r="CZ61084" s="256"/>
      <c r="DG61084" s="256"/>
    </row>
    <row r="61085" spans="104:111">
      <c r="CZ61085" s="256"/>
      <c r="DG61085" s="256"/>
    </row>
    <row r="61086" spans="104:111">
      <c r="CZ61086" s="256"/>
      <c r="DG61086" s="256"/>
    </row>
    <row r="61087" spans="104:111">
      <c r="CZ61087" s="256"/>
      <c r="DG61087" s="256"/>
    </row>
    <row r="61088" spans="104:111">
      <c r="CZ61088" s="256"/>
      <c r="DG61088" s="256"/>
    </row>
    <row r="61089" spans="104:111">
      <c r="CZ61089" s="256"/>
      <c r="DG61089" s="256"/>
    </row>
    <row r="61090" spans="104:111">
      <c r="CZ61090" s="256"/>
      <c r="DG61090" s="256"/>
    </row>
    <row r="61091" spans="104:111">
      <c r="CZ61091" s="256"/>
      <c r="DG61091" s="256"/>
    </row>
    <row r="61092" spans="104:111">
      <c r="CZ61092" s="256"/>
      <c r="DG61092" s="256"/>
    </row>
    <row r="61093" spans="104:111">
      <c r="CZ61093" s="256"/>
      <c r="DG61093" s="256"/>
    </row>
    <row r="61094" spans="104:111">
      <c r="CZ61094" s="256"/>
      <c r="DG61094" s="256"/>
    </row>
    <row r="61095" spans="104:111">
      <c r="CZ61095" s="256"/>
      <c r="DG61095" s="256"/>
    </row>
    <row r="61096" spans="104:111">
      <c r="CZ61096" s="256"/>
      <c r="DG61096" s="256"/>
    </row>
    <row r="61097" spans="104:111">
      <c r="CZ61097" s="256"/>
      <c r="DG61097" s="256"/>
    </row>
    <row r="61098" spans="104:111">
      <c r="CZ61098" s="256"/>
      <c r="DG61098" s="256"/>
    </row>
    <row r="61099" spans="104:111">
      <c r="CZ61099" s="256"/>
      <c r="DG61099" s="256"/>
    </row>
    <row r="61100" spans="104:111">
      <c r="CZ61100" s="256"/>
      <c r="DG61100" s="256"/>
    </row>
    <row r="61101" spans="104:111">
      <c r="CZ61101" s="256"/>
      <c r="DG61101" s="256"/>
    </row>
    <row r="61102" spans="104:111">
      <c r="CZ61102" s="256"/>
      <c r="DG61102" s="256"/>
    </row>
    <row r="61103" spans="104:111">
      <c r="CZ61103" s="256"/>
      <c r="DG61103" s="256"/>
    </row>
    <row r="61104" spans="104:111">
      <c r="CZ61104" s="256"/>
      <c r="DG61104" s="256"/>
    </row>
    <row r="61105" spans="104:111">
      <c r="CZ61105" s="256"/>
      <c r="DG61105" s="256"/>
    </row>
    <row r="61106" spans="104:111">
      <c r="CZ61106" s="256"/>
      <c r="DG61106" s="256"/>
    </row>
    <row r="61107" spans="104:111">
      <c r="CZ61107" s="256"/>
      <c r="DG61107" s="256"/>
    </row>
    <row r="61108" spans="104:111">
      <c r="CZ61108" s="256"/>
      <c r="DG61108" s="256"/>
    </row>
    <row r="61109" spans="104:111">
      <c r="CZ61109" s="256"/>
      <c r="DG61109" s="256"/>
    </row>
    <row r="61110" spans="104:111">
      <c r="CZ61110" s="256"/>
      <c r="DG61110" s="256"/>
    </row>
    <row r="61111" spans="104:111">
      <c r="CZ61111" s="256"/>
      <c r="DG61111" s="256"/>
    </row>
    <row r="61112" spans="104:111">
      <c r="CZ61112" s="256"/>
      <c r="DG61112" s="256"/>
    </row>
    <row r="61113" spans="104:111">
      <c r="CZ61113" s="256"/>
      <c r="DG61113" s="256"/>
    </row>
    <row r="61114" spans="104:111">
      <c r="CZ61114" s="256"/>
      <c r="DG61114" s="256"/>
    </row>
    <row r="61115" spans="104:111">
      <c r="CZ61115" s="256"/>
      <c r="DG61115" s="256"/>
    </row>
    <row r="61116" spans="104:111">
      <c r="CZ61116" s="256"/>
      <c r="DG61116" s="256"/>
    </row>
    <row r="61117" spans="104:111">
      <c r="CZ61117" s="256"/>
      <c r="DG61117" s="256"/>
    </row>
    <row r="61118" spans="104:111">
      <c r="CZ61118" s="256"/>
      <c r="DG61118" s="256"/>
    </row>
    <row r="61119" spans="104:111">
      <c r="CZ61119" s="256"/>
      <c r="DG61119" s="256"/>
    </row>
    <row r="61120" spans="104:111">
      <c r="CZ61120" s="256"/>
      <c r="DG61120" s="256"/>
    </row>
    <row r="61121" spans="104:111">
      <c r="CZ61121" s="256"/>
      <c r="DG61121" s="256"/>
    </row>
    <row r="61122" spans="104:111">
      <c r="CZ61122" s="256"/>
      <c r="DG61122" s="256"/>
    </row>
    <row r="61123" spans="104:111">
      <c r="CZ61123" s="256"/>
      <c r="DG61123" s="256"/>
    </row>
    <row r="61124" spans="104:111">
      <c r="CZ61124" s="256"/>
      <c r="DG61124" s="256"/>
    </row>
    <row r="61125" spans="104:111">
      <c r="CZ61125" s="256"/>
      <c r="DG61125" s="256"/>
    </row>
    <row r="61126" spans="104:111">
      <c r="CZ61126" s="256"/>
      <c r="DG61126" s="256"/>
    </row>
    <row r="61127" spans="104:111">
      <c r="CZ61127" s="256"/>
      <c r="DG61127" s="256"/>
    </row>
    <row r="61128" spans="104:111">
      <c r="CZ61128" s="256"/>
      <c r="DG61128" s="256"/>
    </row>
    <row r="61129" spans="104:111">
      <c r="CZ61129" s="256"/>
      <c r="DG61129" s="256"/>
    </row>
    <row r="61130" spans="104:111">
      <c r="CZ61130" s="256"/>
      <c r="DG61130" s="256"/>
    </row>
    <row r="61131" spans="104:111">
      <c r="CZ61131" s="256"/>
      <c r="DG61131" s="256"/>
    </row>
    <row r="61132" spans="104:111">
      <c r="CZ61132" s="256"/>
      <c r="DG61132" s="256"/>
    </row>
    <row r="61133" spans="104:111">
      <c r="CZ61133" s="256"/>
      <c r="DG61133" s="256"/>
    </row>
    <row r="61134" spans="104:111">
      <c r="CZ61134" s="256"/>
      <c r="DG61134" s="256"/>
    </row>
    <row r="61135" spans="104:111">
      <c r="CZ61135" s="256"/>
      <c r="DG61135" s="256"/>
    </row>
    <row r="61136" spans="104:111">
      <c r="CZ61136" s="256"/>
      <c r="DG61136" s="256"/>
    </row>
    <row r="61137" spans="104:111">
      <c r="CZ61137" s="256"/>
      <c r="DG61137" s="256"/>
    </row>
    <row r="61138" spans="104:111">
      <c r="CZ61138" s="256"/>
      <c r="DG61138" s="256"/>
    </row>
    <row r="61139" spans="104:111">
      <c r="CZ61139" s="256"/>
      <c r="DG61139" s="256"/>
    </row>
    <row r="61140" spans="104:111">
      <c r="CZ61140" s="256"/>
      <c r="DG61140" s="256"/>
    </row>
    <row r="61141" spans="104:111">
      <c r="CZ61141" s="256"/>
      <c r="DG61141" s="256"/>
    </row>
    <row r="61142" spans="104:111">
      <c r="CZ61142" s="256"/>
      <c r="DG61142" s="256"/>
    </row>
    <row r="61143" spans="104:111">
      <c r="CZ61143" s="256"/>
      <c r="DG61143" s="256"/>
    </row>
    <row r="61144" spans="104:111">
      <c r="CZ61144" s="256"/>
      <c r="DG61144" s="256"/>
    </row>
    <row r="61145" spans="104:111">
      <c r="CZ61145" s="256"/>
      <c r="DG61145" s="256"/>
    </row>
    <row r="61146" spans="104:111">
      <c r="CZ61146" s="256"/>
      <c r="DG61146" s="256"/>
    </row>
    <row r="61147" spans="104:111">
      <c r="CZ61147" s="256"/>
      <c r="DG61147" s="256"/>
    </row>
    <row r="61148" spans="104:111">
      <c r="CZ61148" s="256"/>
      <c r="DG61148" s="256"/>
    </row>
    <row r="61149" spans="104:111">
      <c r="CZ61149" s="256"/>
      <c r="DG61149" s="256"/>
    </row>
    <row r="61150" spans="104:111">
      <c r="CZ61150" s="256"/>
      <c r="DG61150" s="256"/>
    </row>
    <row r="61151" spans="104:111">
      <c r="CZ61151" s="256"/>
      <c r="DG61151" s="256"/>
    </row>
    <row r="61152" spans="104:111">
      <c r="CZ61152" s="256"/>
      <c r="DG61152" s="256"/>
    </row>
    <row r="61153" spans="104:111">
      <c r="CZ61153" s="256"/>
      <c r="DG61153" s="256"/>
    </row>
    <row r="61154" spans="104:111">
      <c r="CZ61154" s="256"/>
      <c r="DG61154" s="256"/>
    </row>
    <row r="61155" spans="104:111">
      <c r="CZ61155" s="256"/>
      <c r="DG61155" s="256"/>
    </row>
    <row r="61156" spans="104:111">
      <c r="CZ61156" s="256"/>
      <c r="DG61156" s="256"/>
    </row>
    <row r="61157" spans="104:111">
      <c r="CZ61157" s="256"/>
      <c r="DG61157" s="256"/>
    </row>
    <row r="61158" spans="104:111">
      <c r="CZ61158" s="256"/>
      <c r="DG61158" s="256"/>
    </row>
    <row r="61159" spans="104:111">
      <c r="CZ61159" s="256"/>
      <c r="DG61159" s="256"/>
    </row>
    <row r="61160" spans="104:111">
      <c r="CZ61160" s="256"/>
      <c r="DG61160" s="256"/>
    </row>
    <row r="61161" spans="104:111">
      <c r="CZ61161" s="256"/>
      <c r="DG61161" s="256"/>
    </row>
    <row r="61162" spans="104:111">
      <c r="CZ61162" s="256"/>
      <c r="DG61162" s="256"/>
    </row>
    <row r="61163" spans="104:111">
      <c r="CZ61163" s="256"/>
      <c r="DG61163" s="256"/>
    </row>
    <row r="61164" spans="104:111">
      <c r="CZ61164" s="256"/>
      <c r="DG61164" s="256"/>
    </row>
    <row r="61165" spans="104:111">
      <c r="CZ61165" s="256"/>
      <c r="DG61165" s="256"/>
    </row>
    <row r="61166" spans="104:111">
      <c r="CZ61166" s="256"/>
      <c r="DG61166" s="256"/>
    </row>
    <row r="61167" spans="104:111">
      <c r="CZ61167" s="256"/>
      <c r="DG61167" s="256"/>
    </row>
    <row r="61168" spans="104:111">
      <c r="CZ61168" s="256"/>
      <c r="DG61168" s="256"/>
    </row>
    <row r="61169" spans="104:111">
      <c r="CZ61169" s="256"/>
      <c r="DG61169" s="256"/>
    </row>
    <row r="61170" spans="104:111">
      <c r="CZ61170" s="256"/>
      <c r="DG61170" s="256"/>
    </row>
    <row r="61171" spans="104:111">
      <c r="CZ61171" s="256"/>
      <c r="DG61171" s="256"/>
    </row>
    <row r="61172" spans="104:111">
      <c r="CZ61172" s="256"/>
      <c r="DG61172" s="256"/>
    </row>
    <row r="61173" spans="104:111">
      <c r="CZ61173" s="256"/>
      <c r="DG61173" s="256"/>
    </row>
    <row r="61174" spans="104:111">
      <c r="CZ61174" s="256"/>
      <c r="DG61174" s="256"/>
    </row>
    <row r="61175" spans="104:111">
      <c r="CZ61175" s="256"/>
      <c r="DG61175" s="256"/>
    </row>
    <row r="61176" spans="104:111">
      <c r="CZ61176" s="256"/>
      <c r="DG61176" s="256"/>
    </row>
    <row r="61177" spans="104:111">
      <c r="CZ61177" s="256"/>
      <c r="DG61177" s="256"/>
    </row>
    <row r="61178" spans="104:111">
      <c r="CZ61178" s="256"/>
      <c r="DG61178" s="256"/>
    </row>
    <row r="61179" spans="104:111">
      <c r="CZ61179" s="256"/>
      <c r="DG61179" s="256"/>
    </row>
    <row r="61180" spans="104:111">
      <c r="CZ61180" s="256"/>
      <c r="DG61180" s="256"/>
    </row>
    <row r="61181" spans="104:111">
      <c r="CZ61181" s="256"/>
      <c r="DG61181" s="256"/>
    </row>
    <row r="61182" spans="104:111">
      <c r="CZ61182" s="256"/>
      <c r="DG61182" s="256"/>
    </row>
    <row r="61183" spans="104:111">
      <c r="CZ61183" s="256"/>
      <c r="DG61183" s="256"/>
    </row>
    <row r="61184" spans="104:111">
      <c r="CZ61184" s="256"/>
      <c r="DG61184" s="256"/>
    </row>
    <row r="61185" spans="104:111">
      <c r="CZ61185" s="256"/>
      <c r="DG61185" s="256"/>
    </row>
    <row r="61186" spans="104:111">
      <c r="CZ61186" s="256"/>
      <c r="DG61186" s="256"/>
    </row>
    <row r="61187" spans="104:111">
      <c r="CZ61187" s="256"/>
      <c r="DG61187" s="256"/>
    </row>
    <row r="61188" spans="104:111">
      <c r="CZ61188" s="256"/>
      <c r="DG61188" s="256"/>
    </row>
    <row r="61189" spans="104:111">
      <c r="CZ61189" s="256"/>
      <c r="DG61189" s="256"/>
    </row>
    <row r="61190" spans="104:111">
      <c r="CZ61190" s="256"/>
      <c r="DG61190" s="256"/>
    </row>
    <row r="61191" spans="104:111">
      <c r="CZ61191" s="256"/>
      <c r="DG61191" s="256"/>
    </row>
    <row r="61192" spans="104:111">
      <c r="CZ61192" s="256"/>
      <c r="DG61192" s="256"/>
    </row>
    <row r="61193" spans="104:111">
      <c r="CZ61193" s="256"/>
      <c r="DG61193" s="256"/>
    </row>
    <row r="61194" spans="104:111">
      <c r="CZ61194" s="256"/>
      <c r="DG61194" s="256"/>
    </row>
    <row r="61195" spans="104:111">
      <c r="CZ61195" s="256"/>
      <c r="DG61195" s="256"/>
    </row>
    <row r="61196" spans="104:111">
      <c r="CZ61196" s="256"/>
      <c r="DG61196" s="256"/>
    </row>
    <row r="61197" spans="104:111">
      <c r="CZ61197" s="256"/>
      <c r="DG61197" s="256"/>
    </row>
    <row r="61198" spans="104:111">
      <c r="CZ61198" s="256"/>
      <c r="DG61198" s="256"/>
    </row>
    <row r="61199" spans="104:111">
      <c r="CZ61199" s="256"/>
      <c r="DG61199" s="256"/>
    </row>
    <row r="61200" spans="104:111">
      <c r="CZ61200" s="256"/>
      <c r="DG61200" s="256"/>
    </row>
    <row r="61201" spans="104:111">
      <c r="CZ61201" s="256"/>
      <c r="DG61201" s="256"/>
    </row>
    <row r="61202" spans="104:111">
      <c r="CZ61202" s="256"/>
      <c r="DG61202" s="256"/>
    </row>
    <row r="61203" spans="104:111">
      <c r="CZ61203" s="256"/>
      <c r="DG61203" s="256"/>
    </row>
    <row r="61204" spans="104:111">
      <c r="CZ61204" s="256"/>
      <c r="DG61204" s="256"/>
    </row>
    <row r="61205" spans="104:111">
      <c r="CZ61205" s="256"/>
      <c r="DG61205" s="256"/>
    </row>
    <row r="61206" spans="104:111">
      <c r="CZ61206" s="256"/>
      <c r="DG61206" s="256"/>
    </row>
    <row r="61207" spans="104:111">
      <c r="CZ61207" s="256"/>
      <c r="DG61207" s="256"/>
    </row>
    <row r="61208" spans="104:111">
      <c r="CZ61208" s="256"/>
      <c r="DG61208" s="256"/>
    </row>
    <row r="61209" spans="104:111">
      <c r="CZ61209" s="256"/>
      <c r="DG61209" s="256"/>
    </row>
    <row r="61210" spans="104:111">
      <c r="CZ61210" s="256"/>
      <c r="DG61210" s="256"/>
    </row>
    <row r="61211" spans="104:111">
      <c r="CZ61211" s="256"/>
      <c r="DG61211" s="256"/>
    </row>
    <row r="61212" spans="104:111">
      <c r="CZ61212" s="256"/>
      <c r="DG61212" s="256"/>
    </row>
    <row r="61213" spans="104:111">
      <c r="CZ61213" s="256"/>
      <c r="DG61213" s="256"/>
    </row>
    <row r="61214" spans="104:111">
      <c r="CZ61214" s="256"/>
      <c r="DG61214" s="256"/>
    </row>
    <row r="61215" spans="104:111">
      <c r="CZ61215" s="256"/>
      <c r="DG61215" s="256"/>
    </row>
    <row r="61216" spans="104:111">
      <c r="CZ61216" s="256"/>
      <c r="DG61216" s="256"/>
    </row>
    <row r="61217" spans="104:111">
      <c r="CZ61217" s="256"/>
      <c r="DG61217" s="256"/>
    </row>
    <row r="61218" spans="104:111">
      <c r="CZ61218" s="256"/>
      <c r="DG61218" s="256"/>
    </row>
    <row r="61219" spans="104:111">
      <c r="CZ61219" s="256"/>
      <c r="DG61219" s="256"/>
    </row>
    <row r="61220" spans="104:111">
      <c r="CZ61220" s="256"/>
      <c r="DG61220" s="256"/>
    </row>
    <row r="61221" spans="104:111">
      <c r="CZ61221" s="256"/>
      <c r="DG61221" s="256"/>
    </row>
    <row r="61222" spans="104:111">
      <c r="CZ61222" s="256"/>
      <c r="DG61222" s="256"/>
    </row>
    <row r="61223" spans="104:111">
      <c r="CZ61223" s="256"/>
      <c r="DG61223" s="256"/>
    </row>
    <row r="61224" spans="104:111">
      <c r="CZ61224" s="256"/>
      <c r="DG61224" s="256"/>
    </row>
    <row r="61225" spans="104:111">
      <c r="CZ61225" s="256"/>
      <c r="DG61225" s="256"/>
    </row>
    <row r="61226" spans="104:111">
      <c r="CZ61226" s="256"/>
      <c r="DG61226" s="256"/>
    </row>
    <row r="61227" spans="104:111">
      <c r="CZ61227" s="256"/>
      <c r="DG61227" s="256"/>
    </row>
    <row r="61228" spans="104:111">
      <c r="CZ61228" s="256"/>
      <c r="DG61228" s="256"/>
    </row>
    <row r="61229" spans="104:111">
      <c r="CZ61229" s="256"/>
      <c r="DG61229" s="256"/>
    </row>
    <row r="61230" spans="104:111">
      <c r="CZ61230" s="256"/>
      <c r="DG61230" s="256"/>
    </row>
    <row r="61231" spans="104:111">
      <c r="CZ61231" s="256"/>
      <c r="DG61231" s="256"/>
    </row>
    <row r="61232" spans="104:111">
      <c r="CZ61232" s="256"/>
      <c r="DG61232" s="256"/>
    </row>
    <row r="61233" spans="104:111">
      <c r="CZ61233" s="256"/>
      <c r="DG61233" s="256"/>
    </row>
    <row r="61234" spans="104:111">
      <c r="CZ61234" s="256"/>
      <c r="DG61234" s="256"/>
    </row>
    <row r="61235" spans="104:111">
      <c r="CZ61235" s="256"/>
      <c r="DG61235" s="256"/>
    </row>
    <row r="61236" spans="104:111">
      <c r="CZ61236" s="256"/>
      <c r="DG61236" s="256"/>
    </row>
    <row r="61237" spans="104:111">
      <c r="CZ61237" s="256"/>
      <c r="DG61237" s="256"/>
    </row>
    <row r="61238" spans="104:111">
      <c r="CZ61238" s="256"/>
      <c r="DG61238" s="256"/>
    </row>
    <row r="61239" spans="104:111">
      <c r="CZ61239" s="256"/>
      <c r="DG61239" s="256"/>
    </row>
    <row r="61240" spans="104:111">
      <c r="CZ61240" s="256"/>
      <c r="DG61240" s="256"/>
    </row>
    <row r="61241" spans="104:111">
      <c r="CZ61241" s="256"/>
      <c r="DG61241" s="256"/>
    </row>
    <row r="61242" spans="104:111">
      <c r="CZ61242" s="256"/>
      <c r="DG61242" s="256"/>
    </row>
    <row r="61243" spans="104:111">
      <c r="CZ61243" s="256"/>
      <c r="DG61243" s="256"/>
    </row>
    <row r="61244" spans="104:111">
      <c r="CZ61244" s="256"/>
      <c r="DG61244" s="256"/>
    </row>
    <row r="61245" spans="104:111">
      <c r="CZ61245" s="256"/>
      <c r="DG61245" s="256"/>
    </row>
    <row r="61246" spans="104:111">
      <c r="CZ61246" s="256"/>
      <c r="DG61246" s="256"/>
    </row>
    <row r="61247" spans="104:111">
      <c r="CZ61247" s="256"/>
      <c r="DG61247" s="256"/>
    </row>
    <row r="61248" spans="104:111">
      <c r="CZ61248" s="256"/>
      <c r="DG61248" s="256"/>
    </row>
    <row r="61249" spans="104:111">
      <c r="CZ61249" s="256"/>
      <c r="DG61249" s="256"/>
    </row>
    <row r="61250" spans="104:111">
      <c r="CZ61250" s="256"/>
      <c r="DG61250" s="256"/>
    </row>
    <row r="61251" spans="104:111">
      <c r="CZ61251" s="256"/>
      <c r="DG61251" s="256"/>
    </row>
    <row r="61252" spans="104:111">
      <c r="CZ61252" s="256"/>
      <c r="DG61252" s="256"/>
    </row>
    <row r="61253" spans="104:111">
      <c r="CZ61253" s="256"/>
      <c r="DG61253" s="256"/>
    </row>
    <row r="61254" spans="104:111">
      <c r="CZ61254" s="256"/>
      <c r="DG61254" s="256"/>
    </row>
    <row r="61255" spans="104:111">
      <c r="CZ61255" s="256"/>
      <c r="DG61255" s="256"/>
    </row>
    <row r="61256" spans="104:111">
      <c r="CZ61256" s="256"/>
      <c r="DG61256" s="256"/>
    </row>
    <row r="61257" spans="104:111">
      <c r="CZ61257" s="256"/>
      <c r="DG61257" s="256"/>
    </row>
    <row r="61258" spans="104:111">
      <c r="CZ61258" s="256"/>
      <c r="DG61258" s="256"/>
    </row>
    <row r="61259" spans="104:111">
      <c r="CZ61259" s="256"/>
      <c r="DG61259" s="256"/>
    </row>
    <row r="61260" spans="104:111">
      <c r="CZ61260" s="256"/>
      <c r="DG61260" s="256"/>
    </row>
    <row r="61261" spans="104:111">
      <c r="CZ61261" s="256"/>
      <c r="DG61261" s="256"/>
    </row>
    <row r="61262" spans="104:111">
      <c r="CZ61262" s="256"/>
      <c r="DG61262" s="256"/>
    </row>
    <row r="61263" spans="104:111">
      <c r="CZ61263" s="256"/>
      <c r="DG61263" s="256"/>
    </row>
    <row r="61264" spans="104:111">
      <c r="CZ61264" s="256"/>
      <c r="DG61264" s="256"/>
    </row>
    <row r="61265" spans="104:111">
      <c r="CZ61265" s="256"/>
      <c r="DG61265" s="256"/>
    </row>
    <row r="61266" spans="104:111">
      <c r="CZ61266" s="256"/>
      <c r="DG61266" s="256"/>
    </row>
    <row r="61267" spans="104:111">
      <c r="CZ61267" s="256"/>
      <c r="DG61267" s="256"/>
    </row>
    <row r="61268" spans="104:111">
      <c r="CZ61268" s="256"/>
      <c r="DG61268" s="256"/>
    </row>
    <row r="61269" spans="104:111">
      <c r="CZ61269" s="256"/>
      <c r="DG61269" s="256"/>
    </row>
    <row r="61270" spans="104:111">
      <c r="CZ61270" s="256"/>
      <c r="DG61270" s="256"/>
    </row>
    <row r="61271" spans="104:111">
      <c r="CZ61271" s="256"/>
      <c r="DG61271" s="256"/>
    </row>
    <row r="61272" spans="104:111">
      <c r="CZ61272" s="256"/>
      <c r="DG61272" s="256"/>
    </row>
    <row r="61273" spans="104:111">
      <c r="CZ61273" s="256"/>
      <c r="DG61273" s="256"/>
    </row>
    <row r="61274" spans="104:111">
      <c r="CZ61274" s="256"/>
      <c r="DG61274" s="256"/>
    </row>
    <row r="61275" spans="104:111">
      <c r="CZ61275" s="256"/>
      <c r="DG61275" s="256"/>
    </row>
    <row r="61276" spans="104:111">
      <c r="CZ61276" s="256"/>
      <c r="DG61276" s="256"/>
    </row>
    <row r="61277" spans="104:111">
      <c r="CZ61277" s="256"/>
      <c r="DG61277" s="256"/>
    </row>
    <row r="61278" spans="104:111">
      <c r="CZ61278" s="256"/>
      <c r="DG61278" s="256"/>
    </row>
    <row r="61279" spans="104:111">
      <c r="CZ61279" s="256"/>
      <c r="DG61279" s="256"/>
    </row>
    <row r="61280" spans="104:111">
      <c r="CZ61280" s="256"/>
      <c r="DG61280" s="256"/>
    </row>
    <row r="61281" spans="104:111">
      <c r="CZ61281" s="256"/>
      <c r="DG61281" s="256"/>
    </row>
    <row r="61282" spans="104:111">
      <c r="CZ61282" s="256"/>
      <c r="DG61282" s="256"/>
    </row>
    <row r="61283" spans="104:111">
      <c r="CZ61283" s="256"/>
      <c r="DG61283" s="256"/>
    </row>
    <row r="61284" spans="104:111">
      <c r="CZ61284" s="256"/>
      <c r="DG61284" s="256"/>
    </row>
    <row r="61285" spans="104:111">
      <c r="CZ61285" s="256"/>
      <c r="DG61285" s="256"/>
    </row>
    <row r="61286" spans="104:111">
      <c r="CZ61286" s="256"/>
      <c r="DG61286" s="256"/>
    </row>
    <row r="61287" spans="104:111">
      <c r="CZ61287" s="256"/>
      <c r="DG61287" s="256"/>
    </row>
    <row r="61288" spans="104:111">
      <c r="CZ61288" s="256"/>
      <c r="DG61288" s="256"/>
    </row>
    <row r="61289" spans="104:111">
      <c r="CZ61289" s="256"/>
      <c r="DG61289" s="256"/>
    </row>
    <row r="61290" spans="104:111">
      <c r="CZ61290" s="256"/>
      <c r="DG61290" s="256"/>
    </row>
    <row r="61291" spans="104:111">
      <c r="CZ61291" s="256"/>
      <c r="DG61291" s="256"/>
    </row>
    <row r="61292" spans="104:111">
      <c r="CZ61292" s="256"/>
      <c r="DG61292" s="256"/>
    </row>
    <row r="61293" spans="104:111">
      <c r="CZ61293" s="256"/>
      <c r="DG61293" s="256"/>
    </row>
    <row r="61294" spans="104:111">
      <c r="CZ61294" s="256"/>
      <c r="DG61294" s="256"/>
    </row>
    <row r="61295" spans="104:111">
      <c r="CZ61295" s="256"/>
      <c r="DG61295" s="256"/>
    </row>
    <row r="61296" spans="104:111">
      <c r="CZ61296" s="256"/>
      <c r="DG61296" s="256"/>
    </row>
    <row r="61297" spans="104:111">
      <c r="CZ61297" s="256"/>
      <c r="DG61297" s="256"/>
    </row>
    <row r="61298" spans="104:111">
      <c r="CZ61298" s="256"/>
      <c r="DG61298" s="256"/>
    </row>
    <row r="61299" spans="104:111">
      <c r="CZ61299" s="256"/>
      <c r="DG61299" s="256"/>
    </row>
    <row r="61300" spans="104:111">
      <c r="CZ61300" s="256"/>
      <c r="DG61300" s="256"/>
    </row>
    <row r="61301" spans="104:111">
      <c r="CZ61301" s="256"/>
      <c r="DG61301" s="256"/>
    </row>
    <row r="61302" spans="104:111">
      <c r="CZ61302" s="256"/>
      <c r="DG61302" s="256"/>
    </row>
    <row r="61303" spans="104:111">
      <c r="CZ61303" s="256"/>
      <c r="DG61303" s="256"/>
    </row>
    <row r="61304" spans="104:111">
      <c r="CZ61304" s="256"/>
      <c r="DG61304" s="256"/>
    </row>
    <row r="61305" spans="104:111">
      <c r="CZ61305" s="256"/>
      <c r="DG61305" s="256"/>
    </row>
    <row r="61306" spans="104:111">
      <c r="CZ61306" s="256"/>
      <c r="DG61306" s="256"/>
    </row>
    <row r="61307" spans="104:111">
      <c r="CZ61307" s="256"/>
      <c r="DG61307" s="256"/>
    </row>
    <row r="61308" spans="104:111">
      <c r="CZ61308" s="256"/>
      <c r="DG61308" s="256"/>
    </row>
    <row r="61309" spans="104:111">
      <c r="CZ61309" s="256"/>
      <c r="DG61309" s="256"/>
    </row>
    <row r="61310" spans="104:111">
      <c r="CZ61310" s="256"/>
      <c r="DG61310" s="256"/>
    </row>
    <row r="61311" spans="104:111">
      <c r="CZ61311" s="256"/>
      <c r="DG61311" s="256"/>
    </row>
    <row r="61312" spans="104:111">
      <c r="CZ61312" s="256"/>
      <c r="DG61312" s="256"/>
    </row>
    <row r="61313" spans="104:111">
      <c r="CZ61313" s="256"/>
      <c r="DG61313" s="256"/>
    </row>
    <row r="61314" spans="104:111">
      <c r="CZ61314" s="256"/>
      <c r="DG61314" s="256"/>
    </row>
    <row r="61315" spans="104:111">
      <c r="CZ61315" s="256"/>
      <c r="DG61315" s="256"/>
    </row>
    <row r="61316" spans="104:111">
      <c r="CZ61316" s="256"/>
      <c r="DG61316" s="256"/>
    </row>
    <row r="61317" spans="104:111">
      <c r="CZ61317" s="256"/>
      <c r="DG61317" s="256"/>
    </row>
    <row r="61318" spans="104:111">
      <c r="CZ61318" s="256"/>
      <c r="DG61318" s="256"/>
    </row>
    <row r="61319" spans="104:111">
      <c r="CZ61319" s="256"/>
      <c r="DG61319" s="256"/>
    </row>
    <row r="61320" spans="104:111">
      <c r="CZ61320" s="256"/>
      <c r="DG61320" s="256"/>
    </row>
    <row r="61321" spans="104:111">
      <c r="CZ61321" s="256"/>
      <c r="DG61321" s="256"/>
    </row>
    <row r="61322" spans="104:111">
      <c r="CZ61322" s="256"/>
      <c r="DG61322" s="256"/>
    </row>
    <row r="61323" spans="104:111">
      <c r="CZ61323" s="256"/>
      <c r="DG61323" s="256"/>
    </row>
    <row r="61324" spans="104:111">
      <c r="CZ61324" s="256"/>
      <c r="DG61324" s="256"/>
    </row>
    <row r="61325" spans="104:111">
      <c r="CZ61325" s="256"/>
      <c r="DG61325" s="256"/>
    </row>
    <row r="61326" spans="104:111">
      <c r="CZ61326" s="256"/>
      <c r="DG61326" s="256"/>
    </row>
    <row r="61327" spans="104:111">
      <c r="CZ61327" s="256"/>
      <c r="DG61327" s="256"/>
    </row>
    <row r="61328" spans="104:111">
      <c r="CZ61328" s="256"/>
      <c r="DG61328" s="256"/>
    </row>
    <row r="61329" spans="104:111">
      <c r="CZ61329" s="256"/>
      <c r="DG61329" s="256"/>
    </row>
    <row r="61330" spans="104:111">
      <c r="CZ61330" s="256"/>
      <c r="DG61330" s="256"/>
    </row>
    <row r="61331" spans="104:111">
      <c r="CZ61331" s="256"/>
      <c r="DG61331" s="256"/>
    </row>
    <row r="61332" spans="104:111">
      <c r="CZ61332" s="256"/>
      <c r="DG61332" s="256"/>
    </row>
    <row r="61333" spans="104:111">
      <c r="CZ61333" s="256"/>
      <c r="DG61333" s="256"/>
    </row>
    <row r="61334" spans="104:111">
      <c r="CZ61334" s="256"/>
      <c r="DG61334" s="256"/>
    </row>
    <row r="61335" spans="104:111">
      <c r="CZ61335" s="256"/>
      <c r="DG61335" s="256"/>
    </row>
    <row r="61336" spans="104:111">
      <c r="CZ61336" s="256"/>
      <c r="DG61336" s="256"/>
    </row>
    <row r="61337" spans="104:111">
      <c r="CZ61337" s="256"/>
      <c r="DG61337" s="256"/>
    </row>
    <row r="61338" spans="104:111">
      <c r="CZ61338" s="256"/>
      <c r="DG61338" s="256"/>
    </row>
    <row r="61339" spans="104:111">
      <c r="CZ61339" s="256"/>
      <c r="DG61339" s="256"/>
    </row>
    <row r="61340" spans="104:111">
      <c r="CZ61340" s="256"/>
      <c r="DG61340" s="256"/>
    </row>
    <row r="61341" spans="104:111">
      <c r="CZ61341" s="256"/>
      <c r="DG61341" s="256"/>
    </row>
    <row r="61342" spans="104:111">
      <c r="CZ61342" s="256"/>
      <c r="DG61342" s="256"/>
    </row>
    <row r="61343" spans="104:111">
      <c r="CZ61343" s="256"/>
      <c r="DG61343" s="256"/>
    </row>
    <row r="61344" spans="104:111">
      <c r="CZ61344" s="256"/>
      <c r="DG61344" s="256"/>
    </row>
    <row r="61345" spans="104:111">
      <c r="CZ61345" s="256"/>
      <c r="DG61345" s="256"/>
    </row>
    <row r="61346" spans="104:111">
      <c r="CZ61346" s="256"/>
      <c r="DG61346" s="256"/>
    </row>
    <row r="61347" spans="104:111">
      <c r="CZ61347" s="256"/>
      <c r="DG61347" s="256"/>
    </row>
    <row r="61348" spans="104:111">
      <c r="CZ61348" s="256"/>
      <c r="DG61348" s="256"/>
    </row>
    <row r="61349" spans="104:111">
      <c r="CZ61349" s="256"/>
      <c r="DG61349" s="256"/>
    </row>
    <row r="61350" spans="104:111">
      <c r="CZ61350" s="256"/>
      <c r="DG61350" s="256"/>
    </row>
    <row r="61351" spans="104:111">
      <c r="CZ61351" s="256"/>
      <c r="DG61351" s="256"/>
    </row>
    <row r="61352" spans="104:111">
      <c r="CZ61352" s="256"/>
      <c r="DG61352" s="256"/>
    </row>
    <row r="61353" spans="104:111">
      <c r="CZ61353" s="256"/>
      <c r="DG61353" s="256"/>
    </row>
    <row r="61354" spans="104:111">
      <c r="CZ61354" s="256"/>
      <c r="DG61354" s="256"/>
    </row>
    <row r="61355" spans="104:111">
      <c r="CZ61355" s="256"/>
      <c r="DG61355" s="256"/>
    </row>
    <row r="61356" spans="104:111">
      <c r="CZ61356" s="256"/>
      <c r="DG61356" s="256"/>
    </row>
    <row r="61357" spans="104:111">
      <c r="CZ61357" s="256"/>
      <c r="DG61357" s="256"/>
    </row>
    <row r="61358" spans="104:111">
      <c r="CZ61358" s="256"/>
      <c r="DG61358" s="256"/>
    </row>
    <row r="61359" spans="104:111">
      <c r="CZ61359" s="256"/>
      <c r="DG61359" s="256"/>
    </row>
    <row r="61360" spans="104:111">
      <c r="CZ61360" s="256"/>
      <c r="DG61360" s="256"/>
    </row>
    <row r="61361" spans="104:111">
      <c r="CZ61361" s="256"/>
      <c r="DG61361" s="256"/>
    </row>
    <row r="61362" spans="104:111">
      <c r="CZ61362" s="256"/>
      <c r="DG61362" s="256"/>
    </row>
    <row r="61363" spans="104:111">
      <c r="CZ61363" s="256"/>
      <c r="DG61363" s="256"/>
    </row>
    <row r="61364" spans="104:111">
      <c r="CZ61364" s="256"/>
      <c r="DG61364" s="256"/>
    </row>
    <row r="61365" spans="104:111">
      <c r="CZ61365" s="256"/>
      <c r="DG61365" s="256"/>
    </row>
    <row r="61366" spans="104:111">
      <c r="CZ61366" s="256"/>
      <c r="DG61366" s="256"/>
    </row>
    <row r="61367" spans="104:111">
      <c r="CZ61367" s="256"/>
      <c r="DG61367" s="256"/>
    </row>
    <row r="61368" spans="104:111">
      <c r="CZ61368" s="256"/>
      <c r="DG61368" s="256"/>
    </row>
    <row r="61369" spans="104:111">
      <c r="CZ61369" s="256"/>
      <c r="DG61369" s="256"/>
    </row>
    <row r="61370" spans="104:111">
      <c r="CZ61370" s="256"/>
      <c r="DG61370" s="256"/>
    </row>
    <row r="61371" spans="104:111">
      <c r="CZ61371" s="256"/>
      <c r="DG61371" s="256"/>
    </row>
    <row r="61372" spans="104:111">
      <c r="CZ61372" s="256"/>
      <c r="DG61372" s="256"/>
    </row>
    <row r="61373" spans="104:111">
      <c r="CZ61373" s="256"/>
      <c r="DG61373" s="256"/>
    </row>
    <row r="61374" spans="104:111">
      <c r="CZ61374" s="256"/>
      <c r="DG61374" s="256"/>
    </row>
    <row r="61375" spans="104:111">
      <c r="CZ61375" s="256"/>
      <c r="DG61375" s="256"/>
    </row>
    <row r="61376" spans="104:111">
      <c r="CZ61376" s="256"/>
      <c r="DG61376" s="256"/>
    </row>
    <row r="61377" spans="104:111">
      <c r="CZ61377" s="256"/>
      <c r="DG61377" s="256"/>
    </row>
    <row r="61378" spans="104:111">
      <c r="CZ61378" s="256"/>
      <c r="DG61378" s="256"/>
    </row>
    <row r="61379" spans="104:111">
      <c r="CZ61379" s="256"/>
      <c r="DG61379" s="256"/>
    </row>
    <row r="61380" spans="104:111">
      <c r="CZ61380" s="256"/>
      <c r="DG61380" s="256"/>
    </row>
    <row r="61381" spans="104:111">
      <c r="CZ61381" s="256"/>
      <c r="DG61381" s="256"/>
    </row>
    <row r="61382" spans="104:111">
      <c r="CZ61382" s="256"/>
      <c r="DG61382" s="256"/>
    </row>
    <row r="61383" spans="104:111">
      <c r="CZ61383" s="256"/>
      <c r="DG61383" s="256"/>
    </row>
    <row r="61384" spans="104:111">
      <c r="CZ61384" s="256"/>
      <c r="DG61384" s="256"/>
    </row>
    <row r="61385" spans="104:111">
      <c r="CZ61385" s="256"/>
      <c r="DG61385" s="256"/>
    </row>
    <row r="61386" spans="104:111">
      <c r="CZ61386" s="256"/>
      <c r="DG61386" s="256"/>
    </row>
    <row r="61387" spans="104:111">
      <c r="CZ61387" s="256"/>
      <c r="DG61387" s="256"/>
    </row>
    <row r="61388" spans="104:111">
      <c r="CZ61388" s="256"/>
      <c r="DG61388" s="256"/>
    </row>
    <row r="61389" spans="104:111">
      <c r="CZ61389" s="256"/>
      <c r="DG61389" s="256"/>
    </row>
    <row r="61390" spans="104:111">
      <c r="CZ61390" s="256"/>
      <c r="DG61390" s="256"/>
    </row>
    <row r="61391" spans="104:111">
      <c r="CZ61391" s="256"/>
      <c r="DG61391" s="256"/>
    </row>
    <row r="61392" spans="104:111">
      <c r="CZ61392" s="256"/>
      <c r="DG61392" s="256"/>
    </row>
    <row r="61393" spans="104:111">
      <c r="CZ61393" s="256"/>
      <c r="DG61393" s="256"/>
    </row>
    <row r="61394" spans="104:111">
      <c r="CZ61394" s="256"/>
      <c r="DG61394" s="256"/>
    </row>
    <row r="61395" spans="104:111">
      <c r="CZ61395" s="256"/>
      <c r="DG61395" s="256"/>
    </row>
    <row r="61396" spans="104:111">
      <c r="CZ61396" s="256"/>
      <c r="DG61396" s="256"/>
    </row>
    <row r="61397" spans="104:111">
      <c r="CZ61397" s="256"/>
      <c r="DG61397" s="256"/>
    </row>
    <row r="61398" spans="104:111">
      <c r="CZ61398" s="256"/>
      <c r="DG61398" s="256"/>
    </row>
    <row r="61399" spans="104:111">
      <c r="CZ61399" s="256"/>
      <c r="DG61399" s="256"/>
    </row>
    <row r="61400" spans="104:111">
      <c r="CZ61400" s="256"/>
      <c r="DG61400" s="256"/>
    </row>
    <row r="61401" spans="104:111">
      <c r="CZ61401" s="256"/>
      <c r="DG61401" s="256"/>
    </row>
    <row r="61402" spans="104:111">
      <c r="CZ61402" s="256"/>
      <c r="DG61402" s="256"/>
    </row>
    <row r="61403" spans="104:111">
      <c r="CZ61403" s="256"/>
      <c r="DG61403" s="256"/>
    </row>
    <row r="61404" spans="104:111">
      <c r="CZ61404" s="256"/>
      <c r="DG61404" s="256"/>
    </row>
    <row r="61405" spans="104:111">
      <c r="CZ61405" s="256"/>
      <c r="DG61405" s="256"/>
    </row>
    <row r="61406" spans="104:111">
      <c r="CZ61406" s="256"/>
      <c r="DG61406" s="256"/>
    </row>
    <row r="61407" spans="104:111">
      <c r="CZ61407" s="256"/>
      <c r="DG61407" s="256"/>
    </row>
    <row r="61408" spans="104:111">
      <c r="CZ61408" s="256"/>
      <c r="DG61408" s="256"/>
    </row>
    <row r="61409" spans="104:111">
      <c r="CZ61409" s="256"/>
      <c r="DG61409" s="256"/>
    </row>
    <row r="61410" spans="104:111">
      <c r="CZ61410" s="256"/>
      <c r="DG61410" s="256"/>
    </row>
    <row r="61411" spans="104:111">
      <c r="CZ61411" s="256"/>
      <c r="DG61411" s="256"/>
    </row>
    <row r="61412" spans="104:111">
      <c r="CZ61412" s="256"/>
      <c r="DG61412" s="256"/>
    </row>
    <row r="61413" spans="104:111">
      <c r="CZ61413" s="256"/>
      <c r="DG61413" s="256"/>
    </row>
    <row r="61414" spans="104:111">
      <c r="CZ61414" s="256"/>
      <c r="DG61414" s="256"/>
    </row>
    <row r="61415" spans="104:111">
      <c r="CZ61415" s="256"/>
      <c r="DG61415" s="256"/>
    </row>
    <row r="61416" spans="104:111">
      <c r="CZ61416" s="256"/>
      <c r="DG61416" s="256"/>
    </row>
    <row r="61417" spans="104:111">
      <c r="CZ61417" s="256"/>
      <c r="DG61417" s="256"/>
    </row>
    <row r="61418" spans="104:111">
      <c r="CZ61418" s="256"/>
      <c r="DG61418" s="256"/>
    </row>
    <row r="61419" spans="104:111">
      <c r="CZ61419" s="256"/>
      <c r="DG61419" s="256"/>
    </row>
    <row r="61420" spans="104:111">
      <c r="CZ61420" s="256"/>
      <c r="DG61420" s="256"/>
    </row>
    <row r="61421" spans="104:111">
      <c r="CZ61421" s="256"/>
      <c r="DG61421" s="256"/>
    </row>
    <row r="61422" spans="104:111">
      <c r="CZ61422" s="256"/>
      <c r="DG61422" s="256"/>
    </row>
    <row r="61423" spans="104:111">
      <c r="CZ61423" s="256"/>
      <c r="DG61423" s="256"/>
    </row>
    <row r="61424" spans="104:111">
      <c r="CZ61424" s="256"/>
      <c r="DG61424" s="256"/>
    </row>
    <row r="61425" spans="104:111">
      <c r="CZ61425" s="256"/>
      <c r="DG61425" s="256"/>
    </row>
    <row r="61426" spans="104:111">
      <c r="CZ61426" s="256"/>
      <c r="DG61426" s="256"/>
    </row>
    <row r="61427" spans="104:111">
      <c r="CZ61427" s="256"/>
      <c r="DG61427" s="256"/>
    </row>
    <row r="61428" spans="104:111">
      <c r="CZ61428" s="256"/>
      <c r="DG61428" s="256"/>
    </row>
    <row r="61429" spans="104:111">
      <c r="CZ61429" s="256"/>
      <c r="DG61429" s="256"/>
    </row>
    <row r="61430" spans="104:111">
      <c r="CZ61430" s="256"/>
      <c r="DG61430" s="256"/>
    </row>
    <row r="61431" spans="104:111">
      <c r="CZ61431" s="256"/>
      <c r="DG61431" s="256"/>
    </row>
    <row r="61432" spans="104:111">
      <c r="CZ61432" s="256"/>
      <c r="DG61432" s="256"/>
    </row>
    <row r="61433" spans="104:111">
      <c r="CZ61433" s="256"/>
      <c r="DG61433" s="256"/>
    </row>
    <row r="61434" spans="104:111">
      <c r="CZ61434" s="256"/>
      <c r="DG61434" s="256"/>
    </row>
    <row r="61435" spans="104:111">
      <c r="CZ61435" s="256"/>
      <c r="DG61435" s="256"/>
    </row>
    <row r="61436" spans="104:111">
      <c r="CZ61436" s="256"/>
      <c r="DG61436" s="256"/>
    </row>
    <row r="61437" spans="104:111">
      <c r="CZ61437" s="256"/>
      <c r="DG61437" s="256"/>
    </row>
    <row r="61438" spans="104:111">
      <c r="CZ61438" s="256"/>
      <c r="DG61438" s="256"/>
    </row>
    <row r="61439" spans="104:111">
      <c r="CZ61439" s="256"/>
      <c r="DG61439" s="256"/>
    </row>
    <row r="61440" spans="104:111">
      <c r="CZ61440" s="256"/>
      <c r="DG61440" s="256"/>
    </row>
    <row r="61441" spans="104:111">
      <c r="CZ61441" s="256"/>
      <c r="DG61441" s="256"/>
    </row>
    <row r="61442" spans="104:111">
      <c r="CZ61442" s="256"/>
      <c r="DG61442" s="256"/>
    </row>
    <row r="61443" spans="104:111">
      <c r="CZ61443" s="256"/>
      <c r="DG61443" s="256"/>
    </row>
    <row r="61444" spans="104:111">
      <c r="CZ61444" s="256"/>
      <c r="DG61444" s="256"/>
    </row>
    <row r="61445" spans="104:111">
      <c r="CZ61445" s="256"/>
      <c r="DG61445" s="256"/>
    </row>
    <row r="61446" spans="104:111">
      <c r="CZ61446" s="256"/>
      <c r="DG61446" s="256"/>
    </row>
    <row r="61447" spans="104:111">
      <c r="CZ61447" s="256"/>
      <c r="DG61447" s="256"/>
    </row>
    <row r="61448" spans="104:111">
      <c r="CZ61448" s="256"/>
      <c r="DG61448" s="256"/>
    </row>
    <row r="61449" spans="104:111">
      <c r="CZ61449" s="256"/>
      <c r="DG61449" s="256"/>
    </row>
    <row r="61450" spans="104:111">
      <c r="CZ61450" s="256"/>
      <c r="DG61450" s="256"/>
    </row>
    <row r="61451" spans="104:111">
      <c r="CZ61451" s="256"/>
      <c r="DG61451" s="256"/>
    </row>
    <row r="61452" spans="104:111">
      <c r="CZ61452" s="256"/>
      <c r="DG61452" s="256"/>
    </row>
    <row r="61453" spans="104:111">
      <c r="CZ61453" s="256"/>
      <c r="DG61453" s="256"/>
    </row>
    <row r="61454" spans="104:111">
      <c r="CZ61454" s="256"/>
      <c r="DG61454" s="256"/>
    </row>
    <row r="61455" spans="104:111">
      <c r="CZ61455" s="256"/>
      <c r="DG61455" s="256"/>
    </row>
    <row r="61456" spans="104:111">
      <c r="CZ61456" s="256"/>
      <c r="DG61456" s="256"/>
    </row>
    <row r="61457" spans="104:111">
      <c r="CZ61457" s="256"/>
      <c r="DG61457" s="256"/>
    </row>
    <row r="61458" spans="104:111">
      <c r="CZ61458" s="256"/>
      <c r="DG61458" s="256"/>
    </row>
    <row r="61459" spans="104:111">
      <c r="CZ61459" s="256"/>
      <c r="DG61459" s="256"/>
    </row>
    <row r="61460" spans="104:111">
      <c r="CZ61460" s="256"/>
      <c r="DG61460" s="256"/>
    </row>
    <row r="61461" spans="104:111">
      <c r="CZ61461" s="256"/>
      <c r="DG61461" s="256"/>
    </row>
    <row r="61462" spans="104:111">
      <c r="CZ61462" s="256"/>
      <c r="DG61462" s="256"/>
    </row>
    <row r="61463" spans="104:111">
      <c r="CZ61463" s="256"/>
      <c r="DG61463" s="256"/>
    </row>
    <row r="61464" spans="104:111">
      <c r="CZ61464" s="256"/>
      <c r="DG61464" s="256"/>
    </row>
    <row r="61465" spans="104:111">
      <c r="CZ61465" s="256"/>
      <c r="DG61465" s="256"/>
    </row>
    <row r="61466" spans="104:111">
      <c r="CZ61466" s="256"/>
      <c r="DG61466" s="256"/>
    </row>
    <row r="61467" spans="104:111">
      <c r="CZ61467" s="256"/>
      <c r="DG61467" s="256"/>
    </row>
    <row r="61468" spans="104:111">
      <c r="CZ61468" s="256"/>
      <c r="DG61468" s="256"/>
    </row>
    <row r="61469" spans="104:111">
      <c r="CZ61469" s="256"/>
      <c r="DG61469" s="256"/>
    </row>
    <row r="61470" spans="104:111">
      <c r="CZ61470" s="256"/>
      <c r="DG61470" s="256"/>
    </row>
    <row r="61471" spans="104:111">
      <c r="CZ61471" s="256"/>
      <c r="DG61471" s="256"/>
    </row>
    <row r="61472" spans="104:111">
      <c r="CZ61472" s="256"/>
      <c r="DG61472" s="256"/>
    </row>
    <row r="61473" spans="104:111">
      <c r="CZ61473" s="256"/>
      <c r="DG61473" s="256"/>
    </row>
    <row r="61474" spans="104:111">
      <c r="CZ61474" s="256"/>
      <c r="DG61474" s="256"/>
    </row>
    <row r="61475" spans="104:111">
      <c r="CZ61475" s="256"/>
      <c r="DG61475" s="256"/>
    </row>
    <row r="61476" spans="104:111">
      <c r="CZ61476" s="256"/>
      <c r="DG61476" s="256"/>
    </row>
    <row r="61477" spans="104:111">
      <c r="CZ61477" s="256"/>
      <c r="DG61477" s="256"/>
    </row>
    <row r="61478" spans="104:111">
      <c r="CZ61478" s="256"/>
      <c r="DG61478" s="256"/>
    </row>
    <row r="61479" spans="104:111">
      <c r="CZ61479" s="256"/>
      <c r="DG61479" s="256"/>
    </row>
    <row r="61480" spans="104:111">
      <c r="CZ61480" s="256"/>
      <c r="DG61480" s="256"/>
    </row>
    <row r="61481" spans="104:111">
      <c r="CZ61481" s="256"/>
      <c r="DG61481" s="256"/>
    </row>
    <row r="61482" spans="104:111">
      <c r="CZ61482" s="256"/>
      <c r="DG61482" s="256"/>
    </row>
    <row r="61483" spans="104:111">
      <c r="CZ61483" s="256"/>
      <c r="DG61483" s="256"/>
    </row>
    <row r="61484" spans="104:111">
      <c r="CZ61484" s="256"/>
      <c r="DG61484" s="256"/>
    </row>
    <row r="61485" spans="104:111">
      <c r="CZ61485" s="256"/>
      <c r="DG61485" s="256"/>
    </row>
    <row r="61486" spans="104:111">
      <c r="CZ61486" s="256"/>
      <c r="DG61486" s="256"/>
    </row>
    <row r="61487" spans="104:111">
      <c r="CZ61487" s="256"/>
      <c r="DG61487" s="256"/>
    </row>
    <row r="61488" spans="104:111">
      <c r="CZ61488" s="256"/>
      <c r="DG61488" s="256"/>
    </row>
    <row r="61489" spans="104:111">
      <c r="CZ61489" s="256"/>
      <c r="DG61489" s="256"/>
    </row>
    <row r="61490" spans="104:111">
      <c r="CZ61490" s="256"/>
      <c r="DG61490" s="256"/>
    </row>
    <row r="61491" spans="104:111">
      <c r="CZ61491" s="256"/>
      <c r="DG61491" s="256"/>
    </row>
    <row r="61492" spans="104:111">
      <c r="CZ61492" s="256"/>
      <c r="DG61492" s="256"/>
    </row>
    <row r="61493" spans="104:111">
      <c r="CZ61493" s="256"/>
      <c r="DG61493" s="256"/>
    </row>
    <row r="61494" spans="104:111">
      <c r="CZ61494" s="256"/>
      <c r="DG61494" s="256"/>
    </row>
    <row r="61495" spans="104:111">
      <c r="CZ61495" s="256"/>
      <c r="DG61495" s="256"/>
    </row>
    <row r="61496" spans="104:111">
      <c r="CZ61496" s="256"/>
      <c r="DG61496" s="256"/>
    </row>
    <row r="61497" spans="104:111">
      <c r="CZ61497" s="256"/>
      <c r="DG61497" s="256"/>
    </row>
    <row r="61498" spans="104:111">
      <c r="CZ61498" s="256"/>
      <c r="DG61498" s="256"/>
    </row>
    <row r="61499" spans="104:111">
      <c r="CZ61499" s="256"/>
      <c r="DG61499" s="256"/>
    </row>
    <row r="61500" spans="104:111">
      <c r="CZ61500" s="256"/>
      <c r="DG61500" s="256"/>
    </row>
    <row r="61501" spans="104:111">
      <c r="CZ61501" s="256"/>
      <c r="DG61501" s="256"/>
    </row>
    <row r="61502" spans="104:111">
      <c r="CZ61502" s="256"/>
      <c r="DG61502" s="256"/>
    </row>
    <row r="61503" spans="104:111">
      <c r="CZ61503" s="256"/>
      <c r="DG61503" s="256"/>
    </row>
    <row r="61504" spans="104:111">
      <c r="CZ61504" s="256"/>
      <c r="DG61504" s="256"/>
    </row>
    <row r="61505" spans="104:111">
      <c r="CZ61505" s="256"/>
      <c r="DG61505" s="256"/>
    </row>
    <row r="61506" spans="104:111">
      <c r="CZ61506" s="256"/>
      <c r="DG61506" s="256"/>
    </row>
    <row r="61507" spans="104:111">
      <c r="CZ61507" s="256"/>
      <c r="DG61507" s="256"/>
    </row>
    <row r="61508" spans="104:111">
      <c r="CZ61508" s="256"/>
      <c r="DG61508" s="256"/>
    </row>
    <row r="61509" spans="104:111">
      <c r="CZ61509" s="256"/>
      <c r="DG61509" s="256"/>
    </row>
    <row r="61510" spans="104:111">
      <c r="CZ61510" s="256"/>
      <c r="DG61510" s="256"/>
    </row>
    <row r="61511" spans="104:111">
      <c r="CZ61511" s="256"/>
      <c r="DG61511" s="256"/>
    </row>
    <row r="61512" spans="104:111">
      <c r="CZ61512" s="256"/>
      <c r="DG61512" s="256"/>
    </row>
    <row r="61513" spans="104:111">
      <c r="CZ61513" s="256"/>
      <c r="DG61513" s="256"/>
    </row>
    <row r="61514" spans="104:111">
      <c r="CZ61514" s="256"/>
      <c r="DG61514" s="256"/>
    </row>
    <row r="61515" spans="104:111">
      <c r="CZ61515" s="256"/>
      <c r="DG61515" s="256"/>
    </row>
    <row r="61516" spans="104:111">
      <c r="CZ61516" s="256"/>
      <c r="DG61516" s="256"/>
    </row>
    <row r="61517" spans="104:111">
      <c r="CZ61517" s="256"/>
      <c r="DG61517" s="256"/>
    </row>
    <row r="61518" spans="104:111">
      <c r="CZ61518" s="256"/>
      <c r="DG61518" s="256"/>
    </row>
    <row r="61519" spans="104:111">
      <c r="CZ61519" s="256"/>
      <c r="DG61519" s="256"/>
    </row>
    <row r="61520" spans="104:111">
      <c r="CZ61520" s="256"/>
      <c r="DG61520" s="256"/>
    </row>
    <row r="61521" spans="104:111">
      <c r="CZ61521" s="256"/>
      <c r="DG61521" s="256"/>
    </row>
    <row r="61522" spans="104:111">
      <c r="CZ61522" s="256"/>
      <c r="DG61522" s="256"/>
    </row>
    <row r="61523" spans="104:111">
      <c r="CZ61523" s="256"/>
      <c r="DG61523" s="256"/>
    </row>
    <row r="61524" spans="104:111">
      <c r="CZ61524" s="256"/>
      <c r="DG61524" s="256"/>
    </row>
    <row r="61525" spans="104:111">
      <c r="CZ61525" s="256"/>
      <c r="DG61525" s="256"/>
    </row>
    <row r="61526" spans="104:111">
      <c r="CZ61526" s="256"/>
      <c r="DG61526" s="256"/>
    </row>
    <row r="61527" spans="104:111">
      <c r="CZ61527" s="256"/>
      <c r="DG61527" s="256"/>
    </row>
    <row r="61528" spans="104:111">
      <c r="CZ61528" s="256"/>
      <c r="DG61528" s="256"/>
    </row>
    <row r="61529" spans="104:111">
      <c r="CZ61529" s="256"/>
      <c r="DG61529" s="256"/>
    </row>
    <row r="61530" spans="104:111">
      <c r="CZ61530" s="256"/>
      <c r="DG61530" s="256"/>
    </row>
    <row r="61531" spans="104:111">
      <c r="CZ61531" s="256"/>
      <c r="DG61531" s="256"/>
    </row>
    <row r="61532" spans="104:111">
      <c r="CZ61532" s="256"/>
      <c r="DG61532" s="256"/>
    </row>
    <row r="61533" spans="104:111">
      <c r="CZ61533" s="256"/>
      <c r="DG61533" s="256"/>
    </row>
    <row r="61534" spans="104:111">
      <c r="CZ61534" s="256"/>
      <c r="DG61534" s="256"/>
    </row>
    <row r="61535" spans="104:111">
      <c r="CZ61535" s="256"/>
      <c r="DG61535" s="256"/>
    </row>
    <row r="61536" spans="104:111">
      <c r="CZ61536" s="256"/>
      <c r="DG61536" s="256"/>
    </row>
    <row r="61537" spans="104:111">
      <c r="CZ61537" s="256"/>
      <c r="DG61537" s="256"/>
    </row>
    <row r="61538" spans="104:111">
      <c r="CZ61538" s="256"/>
      <c r="DG61538" s="256"/>
    </row>
    <row r="61539" spans="104:111">
      <c r="CZ61539" s="256"/>
      <c r="DG61539" s="256"/>
    </row>
    <row r="61540" spans="104:111">
      <c r="CZ61540" s="256"/>
      <c r="DG61540" s="256"/>
    </row>
    <row r="61541" spans="104:111">
      <c r="CZ61541" s="256"/>
      <c r="DG61541" s="256"/>
    </row>
    <row r="61542" spans="104:111">
      <c r="CZ61542" s="256"/>
      <c r="DG61542" s="256"/>
    </row>
    <row r="61543" spans="104:111">
      <c r="CZ61543" s="256"/>
      <c r="DG61543" s="256"/>
    </row>
    <row r="61544" spans="104:111">
      <c r="CZ61544" s="256"/>
      <c r="DG61544" s="256"/>
    </row>
    <row r="61545" spans="104:111">
      <c r="CZ61545" s="256"/>
      <c r="DG61545" s="256"/>
    </row>
    <row r="61546" spans="104:111">
      <c r="CZ61546" s="256"/>
      <c r="DG61546" s="256"/>
    </row>
    <row r="61547" spans="104:111">
      <c r="CZ61547" s="256"/>
      <c r="DG61547" s="256"/>
    </row>
    <row r="61548" spans="104:111">
      <c r="CZ61548" s="256"/>
      <c r="DG61548" s="256"/>
    </row>
    <row r="61549" spans="104:111">
      <c r="CZ61549" s="256"/>
      <c r="DG61549" s="256"/>
    </row>
    <row r="61550" spans="104:111">
      <c r="CZ61550" s="256"/>
      <c r="DG61550" s="256"/>
    </row>
    <row r="61551" spans="104:111">
      <c r="CZ61551" s="256"/>
      <c r="DG61551" s="256"/>
    </row>
    <row r="61552" spans="104:111">
      <c r="CZ61552" s="256"/>
      <c r="DG61552" s="256"/>
    </row>
    <row r="61553" spans="104:111">
      <c r="CZ61553" s="256"/>
      <c r="DG61553" s="256"/>
    </row>
    <row r="61554" spans="104:111">
      <c r="CZ61554" s="256"/>
      <c r="DG61554" s="256"/>
    </row>
    <row r="61555" spans="104:111">
      <c r="CZ61555" s="256"/>
      <c r="DG61555" s="256"/>
    </row>
    <row r="61556" spans="104:111">
      <c r="CZ61556" s="256"/>
      <c r="DG61556" s="256"/>
    </row>
    <row r="61557" spans="104:111">
      <c r="CZ61557" s="256"/>
      <c r="DG61557" s="256"/>
    </row>
    <row r="61558" spans="104:111">
      <c r="CZ61558" s="256"/>
      <c r="DG61558" s="256"/>
    </row>
    <row r="61559" spans="104:111">
      <c r="CZ61559" s="256"/>
      <c r="DG61559" s="256"/>
    </row>
    <row r="61560" spans="104:111">
      <c r="CZ61560" s="256"/>
      <c r="DG61560" s="256"/>
    </row>
    <row r="61561" spans="104:111">
      <c r="CZ61561" s="256"/>
      <c r="DG61561" s="256"/>
    </row>
    <row r="61562" spans="104:111">
      <c r="CZ61562" s="256"/>
      <c r="DG61562" s="256"/>
    </row>
    <row r="61563" spans="104:111">
      <c r="CZ61563" s="256"/>
      <c r="DG61563" s="256"/>
    </row>
    <row r="61564" spans="104:111">
      <c r="CZ61564" s="256"/>
      <c r="DG61564" s="256"/>
    </row>
    <row r="61565" spans="104:111">
      <c r="CZ61565" s="256"/>
      <c r="DG61565" s="256"/>
    </row>
    <row r="61566" spans="104:111">
      <c r="CZ61566" s="256"/>
      <c r="DG61566" s="256"/>
    </row>
    <row r="61567" spans="104:111">
      <c r="CZ61567" s="256"/>
      <c r="DG61567" s="256"/>
    </row>
    <row r="61568" spans="104:111">
      <c r="CZ61568" s="256"/>
      <c r="DG61568" s="256"/>
    </row>
    <row r="61569" spans="104:111">
      <c r="CZ61569" s="256"/>
      <c r="DG61569" s="256"/>
    </row>
    <row r="61570" spans="104:111">
      <c r="CZ61570" s="256"/>
      <c r="DG61570" s="256"/>
    </row>
    <row r="61571" spans="104:111">
      <c r="CZ61571" s="256"/>
      <c r="DG61571" s="256"/>
    </row>
    <row r="61572" spans="104:111">
      <c r="CZ61572" s="256"/>
      <c r="DG61572" s="256"/>
    </row>
    <row r="61573" spans="104:111">
      <c r="CZ61573" s="256"/>
      <c r="DG61573" s="256"/>
    </row>
    <row r="61574" spans="104:111">
      <c r="CZ61574" s="256"/>
      <c r="DG61574" s="256"/>
    </row>
    <row r="61575" spans="104:111">
      <c r="CZ61575" s="256"/>
      <c r="DG61575" s="256"/>
    </row>
    <row r="61576" spans="104:111">
      <c r="CZ61576" s="256"/>
      <c r="DG61576" s="256"/>
    </row>
    <row r="61577" spans="104:111">
      <c r="CZ61577" s="256"/>
      <c r="DG61577" s="256"/>
    </row>
    <row r="61578" spans="104:111">
      <c r="CZ61578" s="256"/>
      <c r="DG61578" s="256"/>
    </row>
    <row r="61579" spans="104:111">
      <c r="CZ61579" s="256"/>
      <c r="DG61579" s="256"/>
    </row>
    <row r="61580" spans="104:111">
      <c r="CZ61580" s="256"/>
      <c r="DG61580" s="256"/>
    </row>
    <row r="61581" spans="104:111">
      <c r="CZ61581" s="256"/>
      <c r="DG61581" s="256"/>
    </row>
    <row r="61582" spans="104:111">
      <c r="CZ61582" s="256"/>
      <c r="DG61582" s="256"/>
    </row>
    <row r="61583" spans="104:111">
      <c r="CZ61583" s="256"/>
      <c r="DG61583" s="256"/>
    </row>
    <row r="61584" spans="104:111">
      <c r="CZ61584" s="256"/>
      <c r="DG61584" s="256"/>
    </row>
    <row r="61585" spans="104:111">
      <c r="CZ61585" s="256"/>
      <c r="DG61585" s="256"/>
    </row>
    <row r="61586" spans="104:111">
      <c r="CZ61586" s="256"/>
      <c r="DG61586" s="256"/>
    </row>
    <row r="61587" spans="104:111">
      <c r="CZ61587" s="256"/>
      <c r="DG61587" s="256"/>
    </row>
    <row r="61588" spans="104:111">
      <c r="CZ61588" s="256"/>
      <c r="DG61588" s="256"/>
    </row>
    <row r="61589" spans="104:111">
      <c r="CZ61589" s="256"/>
      <c r="DG61589" s="256"/>
    </row>
    <row r="61590" spans="104:111">
      <c r="CZ61590" s="256"/>
      <c r="DG61590" s="256"/>
    </row>
    <row r="61591" spans="104:111">
      <c r="CZ61591" s="256"/>
      <c r="DG61591" s="256"/>
    </row>
    <row r="61592" spans="104:111">
      <c r="CZ61592" s="256"/>
      <c r="DG61592" s="256"/>
    </row>
    <row r="61593" spans="104:111">
      <c r="CZ61593" s="256"/>
      <c r="DG61593" s="256"/>
    </row>
    <row r="61594" spans="104:111">
      <c r="CZ61594" s="256"/>
      <c r="DG61594" s="256"/>
    </row>
    <row r="61595" spans="104:111">
      <c r="CZ61595" s="256"/>
      <c r="DG61595" s="256"/>
    </row>
    <row r="61596" spans="104:111">
      <c r="CZ61596" s="256"/>
      <c r="DG61596" s="256"/>
    </row>
    <row r="61597" spans="104:111">
      <c r="CZ61597" s="256"/>
      <c r="DG61597" s="256"/>
    </row>
    <row r="61598" spans="104:111">
      <c r="CZ61598" s="256"/>
      <c r="DG61598" s="256"/>
    </row>
    <row r="61599" spans="104:111">
      <c r="CZ61599" s="256"/>
      <c r="DG61599" s="256"/>
    </row>
    <row r="61600" spans="104:111">
      <c r="CZ61600" s="256"/>
      <c r="DG61600" s="256"/>
    </row>
    <row r="61601" spans="104:111">
      <c r="CZ61601" s="256"/>
      <c r="DG61601" s="256"/>
    </row>
    <row r="61602" spans="104:111">
      <c r="CZ61602" s="256"/>
      <c r="DG61602" s="256"/>
    </row>
    <row r="61603" spans="104:111">
      <c r="CZ61603" s="256"/>
      <c r="DG61603" s="256"/>
    </row>
    <row r="61604" spans="104:111">
      <c r="CZ61604" s="256"/>
      <c r="DG61604" s="256"/>
    </row>
    <row r="61605" spans="104:111">
      <c r="CZ61605" s="256"/>
      <c r="DG61605" s="256"/>
    </row>
    <row r="61606" spans="104:111">
      <c r="CZ61606" s="256"/>
      <c r="DG61606" s="256"/>
    </row>
    <row r="61607" spans="104:111">
      <c r="CZ61607" s="256"/>
      <c r="DG61607" s="256"/>
    </row>
    <row r="61608" spans="104:111">
      <c r="CZ61608" s="256"/>
      <c r="DG61608" s="256"/>
    </row>
    <row r="61609" spans="104:111">
      <c r="CZ61609" s="256"/>
      <c r="DG61609" s="256"/>
    </row>
    <row r="61610" spans="104:111">
      <c r="CZ61610" s="256"/>
      <c r="DG61610" s="256"/>
    </row>
    <row r="61611" spans="104:111">
      <c r="CZ61611" s="256"/>
      <c r="DG61611" s="256"/>
    </row>
    <row r="61612" spans="104:111">
      <c r="CZ61612" s="256"/>
      <c r="DG61612" s="256"/>
    </row>
    <row r="61613" spans="104:111">
      <c r="CZ61613" s="256"/>
      <c r="DG61613" s="256"/>
    </row>
    <row r="61614" spans="104:111">
      <c r="CZ61614" s="256"/>
      <c r="DG61614" s="256"/>
    </row>
    <row r="61615" spans="104:111">
      <c r="CZ61615" s="256"/>
      <c r="DG61615" s="256"/>
    </row>
    <row r="61616" spans="104:111">
      <c r="CZ61616" s="256"/>
      <c r="DG61616" s="256"/>
    </row>
    <row r="61617" spans="104:111">
      <c r="CZ61617" s="256"/>
      <c r="DG61617" s="256"/>
    </row>
    <row r="61618" spans="104:111">
      <c r="CZ61618" s="256"/>
      <c r="DG61618" s="256"/>
    </row>
    <row r="61619" spans="104:111">
      <c r="CZ61619" s="256"/>
      <c r="DG61619" s="256"/>
    </row>
    <row r="61620" spans="104:111">
      <c r="CZ61620" s="256"/>
      <c r="DG61620" s="256"/>
    </row>
    <row r="61621" spans="104:111">
      <c r="CZ61621" s="256"/>
      <c r="DG61621" s="256"/>
    </row>
    <row r="61622" spans="104:111">
      <c r="CZ61622" s="256"/>
      <c r="DG61622" s="256"/>
    </row>
    <row r="61623" spans="104:111">
      <c r="CZ61623" s="256"/>
      <c r="DG61623" s="256"/>
    </row>
    <row r="61624" spans="104:111">
      <c r="CZ61624" s="256"/>
      <c r="DG61624" s="256"/>
    </row>
    <row r="61625" spans="104:111">
      <c r="CZ61625" s="256"/>
      <c r="DG61625" s="256"/>
    </row>
    <row r="61626" spans="104:111">
      <c r="CZ61626" s="256"/>
      <c r="DG61626" s="256"/>
    </row>
    <row r="61627" spans="104:111">
      <c r="CZ61627" s="256"/>
      <c r="DG61627" s="256"/>
    </row>
    <row r="61628" spans="104:111">
      <c r="CZ61628" s="256"/>
      <c r="DG61628" s="256"/>
    </row>
    <row r="61629" spans="104:111">
      <c r="CZ61629" s="256"/>
      <c r="DG61629" s="256"/>
    </row>
    <row r="61630" spans="104:111">
      <c r="CZ61630" s="256"/>
      <c r="DG61630" s="256"/>
    </row>
    <row r="61631" spans="104:111">
      <c r="CZ61631" s="256"/>
      <c r="DG61631" s="256"/>
    </row>
    <row r="61632" spans="104:111">
      <c r="CZ61632" s="256"/>
      <c r="DG61632" s="256"/>
    </row>
    <row r="61633" spans="104:111">
      <c r="CZ61633" s="256"/>
      <c r="DG61633" s="256"/>
    </row>
    <row r="61634" spans="104:111">
      <c r="CZ61634" s="256"/>
      <c r="DG61634" s="256"/>
    </row>
    <row r="61635" spans="104:111">
      <c r="CZ61635" s="256"/>
      <c r="DG61635" s="256"/>
    </row>
    <row r="61636" spans="104:111">
      <c r="CZ61636" s="256"/>
      <c r="DG61636" s="256"/>
    </row>
    <row r="61637" spans="104:111">
      <c r="CZ61637" s="256"/>
      <c r="DG61637" s="256"/>
    </row>
    <row r="61638" spans="104:111">
      <c r="CZ61638" s="256"/>
      <c r="DG61638" s="256"/>
    </row>
    <row r="61639" spans="104:111">
      <c r="CZ61639" s="256"/>
      <c r="DG61639" s="256"/>
    </row>
    <row r="61640" spans="104:111">
      <c r="CZ61640" s="256"/>
      <c r="DG61640" s="256"/>
    </row>
    <row r="61641" spans="104:111">
      <c r="CZ61641" s="256"/>
      <c r="DG61641" s="256"/>
    </row>
    <row r="61642" spans="104:111">
      <c r="CZ61642" s="256"/>
      <c r="DG61642" s="256"/>
    </row>
    <row r="61643" spans="104:111">
      <c r="CZ61643" s="256"/>
      <c r="DG61643" s="256"/>
    </row>
    <row r="61644" spans="104:111">
      <c r="CZ61644" s="256"/>
      <c r="DG61644" s="256"/>
    </row>
    <row r="61645" spans="104:111">
      <c r="CZ61645" s="256"/>
      <c r="DG61645" s="256"/>
    </row>
    <row r="61646" spans="104:111">
      <c r="CZ61646" s="256"/>
      <c r="DG61646" s="256"/>
    </row>
    <row r="61647" spans="104:111">
      <c r="CZ61647" s="256"/>
      <c r="DG61647" s="256"/>
    </row>
    <row r="61648" spans="104:111">
      <c r="CZ61648" s="256"/>
      <c r="DG61648" s="256"/>
    </row>
    <row r="61649" spans="104:111">
      <c r="CZ61649" s="256"/>
      <c r="DG61649" s="256"/>
    </row>
    <row r="61650" spans="104:111">
      <c r="CZ61650" s="256"/>
      <c r="DG61650" s="256"/>
    </row>
    <row r="61651" spans="104:111">
      <c r="CZ61651" s="256"/>
      <c r="DG61651" s="256"/>
    </row>
    <row r="61652" spans="104:111">
      <c r="CZ61652" s="256"/>
      <c r="DG61652" s="256"/>
    </row>
    <row r="61653" spans="104:111">
      <c r="CZ61653" s="256"/>
      <c r="DG61653" s="256"/>
    </row>
    <row r="61654" spans="104:111">
      <c r="CZ61654" s="256"/>
      <c r="DG61654" s="256"/>
    </row>
    <row r="61655" spans="104:111">
      <c r="CZ61655" s="256"/>
      <c r="DG61655" s="256"/>
    </row>
    <row r="61656" spans="104:111">
      <c r="CZ61656" s="256"/>
      <c r="DG61656" s="256"/>
    </row>
    <row r="61657" spans="104:111">
      <c r="CZ61657" s="256"/>
      <c r="DG61657" s="256"/>
    </row>
    <row r="61658" spans="104:111">
      <c r="CZ61658" s="256"/>
      <c r="DG61658" s="256"/>
    </row>
    <row r="61659" spans="104:111">
      <c r="CZ61659" s="256"/>
      <c r="DG61659" s="256"/>
    </row>
    <row r="61660" spans="104:111">
      <c r="CZ61660" s="256"/>
      <c r="DG61660" s="256"/>
    </row>
    <row r="61661" spans="104:111">
      <c r="CZ61661" s="256"/>
      <c r="DG61661" s="256"/>
    </row>
    <row r="61662" spans="104:111">
      <c r="CZ61662" s="256"/>
      <c r="DG61662" s="256"/>
    </row>
    <row r="61663" spans="104:111">
      <c r="CZ61663" s="256"/>
      <c r="DG61663" s="256"/>
    </row>
    <row r="61664" spans="104:111">
      <c r="CZ61664" s="256"/>
      <c r="DG61664" s="256"/>
    </row>
    <row r="61665" spans="104:111">
      <c r="CZ61665" s="256"/>
      <c r="DG61665" s="256"/>
    </row>
    <row r="61666" spans="104:111">
      <c r="CZ61666" s="256"/>
      <c r="DG61666" s="256"/>
    </row>
    <row r="61667" spans="104:111">
      <c r="CZ61667" s="256"/>
      <c r="DG61667" s="256"/>
    </row>
    <row r="61668" spans="104:111">
      <c r="CZ61668" s="256"/>
      <c r="DG61668" s="256"/>
    </row>
    <row r="61669" spans="104:111">
      <c r="CZ61669" s="256"/>
      <c r="DG61669" s="256"/>
    </row>
    <row r="61670" spans="104:111">
      <c r="CZ61670" s="256"/>
      <c r="DG61670" s="256"/>
    </row>
    <row r="61671" spans="104:111">
      <c r="CZ61671" s="256"/>
      <c r="DG61671" s="256"/>
    </row>
    <row r="61672" spans="104:111">
      <c r="CZ61672" s="256"/>
      <c r="DG61672" s="256"/>
    </row>
    <row r="61673" spans="104:111">
      <c r="CZ61673" s="256"/>
      <c r="DG61673" s="256"/>
    </row>
    <row r="61674" spans="104:111">
      <c r="CZ61674" s="256"/>
      <c r="DG61674" s="256"/>
    </row>
    <row r="61675" spans="104:111">
      <c r="CZ61675" s="256"/>
      <c r="DG61675" s="256"/>
    </row>
    <row r="61676" spans="104:111">
      <c r="CZ61676" s="256"/>
      <c r="DG61676" s="256"/>
    </row>
    <row r="61677" spans="104:111">
      <c r="CZ61677" s="256"/>
      <c r="DG61677" s="256"/>
    </row>
    <row r="61678" spans="104:111">
      <c r="CZ61678" s="256"/>
      <c r="DG61678" s="256"/>
    </row>
    <row r="61679" spans="104:111">
      <c r="CZ61679" s="256"/>
      <c r="DG61679" s="256"/>
    </row>
    <row r="61680" spans="104:111">
      <c r="CZ61680" s="256"/>
      <c r="DG61680" s="256"/>
    </row>
    <row r="61681" spans="104:111">
      <c r="CZ61681" s="256"/>
      <c r="DG61681" s="256"/>
    </row>
    <row r="61682" spans="104:111">
      <c r="CZ61682" s="256"/>
      <c r="DG61682" s="256"/>
    </row>
    <row r="61683" spans="104:111">
      <c r="CZ61683" s="256"/>
      <c r="DG61683" s="256"/>
    </row>
    <row r="61684" spans="104:111">
      <c r="CZ61684" s="256"/>
      <c r="DG61684" s="256"/>
    </row>
    <row r="61685" spans="104:111">
      <c r="CZ61685" s="256"/>
      <c r="DG61685" s="256"/>
    </row>
    <row r="61686" spans="104:111">
      <c r="CZ61686" s="256"/>
      <c r="DG61686" s="256"/>
    </row>
    <row r="61687" spans="104:111">
      <c r="CZ61687" s="256"/>
      <c r="DG61687" s="256"/>
    </row>
    <row r="61688" spans="104:111">
      <c r="CZ61688" s="256"/>
      <c r="DG61688" s="256"/>
    </row>
    <row r="61689" spans="104:111">
      <c r="CZ61689" s="256"/>
      <c r="DG61689" s="256"/>
    </row>
    <row r="61690" spans="104:111">
      <c r="CZ61690" s="256"/>
      <c r="DG61690" s="256"/>
    </row>
    <row r="61691" spans="104:111">
      <c r="CZ61691" s="256"/>
      <c r="DG61691" s="256"/>
    </row>
    <row r="61692" spans="104:111">
      <c r="CZ61692" s="256"/>
      <c r="DG61692" s="256"/>
    </row>
    <row r="61693" spans="104:111">
      <c r="CZ61693" s="256"/>
      <c r="DG61693" s="256"/>
    </row>
    <row r="61694" spans="104:111">
      <c r="CZ61694" s="256"/>
      <c r="DG61694" s="256"/>
    </row>
    <row r="61695" spans="104:111">
      <c r="CZ61695" s="256"/>
      <c r="DG61695" s="256"/>
    </row>
    <row r="61696" spans="104:111">
      <c r="CZ61696" s="256"/>
      <c r="DG61696" s="256"/>
    </row>
    <row r="61697" spans="104:111">
      <c r="CZ61697" s="256"/>
      <c r="DG61697" s="256"/>
    </row>
    <row r="61698" spans="104:111">
      <c r="CZ61698" s="256"/>
      <c r="DG61698" s="256"/>
    </row>
    <row r="61699" spans="104:111">
      <c r="CZ61699" s="256"/>
      <c r="DG61699" s="256"/>
    </row>
    <row r="61700" spans="104:111">
      <c r="CZ61700" s="256"/>
      <c r="DG61700" s="256"/>
    </row>
    <row r="61701" spans="104:111">
      <c r="CZ61701" s="256"/>
      <c r="DG61701" s="256"/>
    </row>
    <row r="61702" spans="104:111">
      <c r="CZ61702" s="256"/>
      <c r="DG61702" s="256"/>
    </row>
    <row r="61703" spans="104:111">
      <c r="CZ61703" s="256"/>
      <c r="DG61703" s="256"/>
    </row>
    <row r="61704" spans="104:111">
      <c r="CZ61704" s="256"/>
      <c r="DG61704" s="256"/>
    </row>
    <row r="61705" spans="104:111">
      <c r="CZ61705" s="256"/>
      <c r="DG61705" s="256"/>
    </row>
    <row r="61706" spans="104:111">
      <c r="CZ61706" s="256"/>
      <c r="DG61706" s="256"/>
    </row>
    <row r="61707" spans="104:111">
      <c r="CZ61707" s="256"/>
      <c r="DG61707" s="256"/>
    </row>
    <row r="61708" spans="104:111">
      <c r="CZ61708" s="256"/>
      <c r="DG61708" s="256"/>
    </row>
    <row r="61709" spans="104:111">
      <c r="CZ61709" s="256"/>
      <c r="DG61709" s="256"/>
    </row>
    <row r="61710" spans="104:111">
      <c r="CZ61710" s="256"/>
      <c r="DG61710" s="256"/>
    </row>
    <row r="61711" spans="104:111">
      <c r="CZ61711" s="256"/>
      <c r="DG61711" s="256"/>
    </row>
    <row r="61712" spans="104:111">
      <c r="CZ61712" s="256"/>
      <c r="DG61712" s="256"/>
    </row>
    <row r="61713" spans="104:111">
      <c r="CZ61713" s="256"/>
      <c r="DG61713" s="256"/>
    </row>
    <row r="61714" spans="104:111">
      <c r="CZ61714" s="256"/>
      <c r="DG61714" s="256"/>
    </row>
    <row r="61715" spans="104:111">
      <c r="CZ61715" s="256"/>
      <c r="DG61715" s="256"/>
    </row>
    <row r="61716" spans="104:111">
      <c r="CZ61716" s="256"/>
      <c r="DG61716" s="256"/>
    </row>
    <row r="61717" spans="104:111">
      <c r="CZ61717" s="256"/>
      <c r="DG61717" s="256"/>
    </row>
    <row r="61718" spans="104:111">
      <c r="CZ61718" s="256"/>
      <c r="DG61718" s="256"/>
    </row>
    <row r="61719" spans="104:111">
      <c r="CZ61719" s="256"/>
      <c r="DG61719" s="256"/>
    </row>
    <row r="61720" spans="104:111">
      <c r="CZ61720" s="256"/>
      <c r="DG61720" s="256"/>
    </row>
    <row r="61721" spans="104:111">
      <c r="CZ61721" s="256"/>
      <c r="DG61721" s="256"/>
    </row>
    <row r="61722" spans="104:111">
      <c r="CZ61722" s="256"/>
      <c r="DG61722" s="256"/>
    </row>
    <row r="61723" spans="104:111">
      <c r="CZ61723" s="256"/>
      <c r="DG61723" s="256"/>
    </row>
    <row r="61724" spans="104:111">
      <c r="CZ61724" s="256"/>
      <c r="DG61724" s="256"/>
    </row>
    <row r="61725" spans="104:111">
      <c r="CZ61725" s="256"/>
      <c r="DG61725" s="256"/>
    </row>
    <row r="61726" spans="104:111">
      <c r="CZ61726" s="256"/>
      <c r="DG61726" s="256"/>
    </row>
    <row r="61727" spans="104:111">
      <c r="CZ61727" s="256"/>
      <c r="DG61727" s="256"/>
    </row>
    <row r="61728" spans="104:111">
      <c r="CZ61728" s="256"/>
      <c r="DG61728" s="256"/>
    </row>
    <row r="61729" spans="104:111">
      <c r="CZ61729" s="256"/>
      <c r="DG61729" s="256"/>
    </row>
    <row r="61730" spans="104:111">
      <c r="CZ61730" s="256"/>
      <c r="DG61730" s="256"/>
    </row>
    <row r="61731" spans="104:111">
      <c r="CZ61731" s="256"/>
      <c r="DG61731" s="256"/>
    </row>
    <row r="61732" spans="104:111">
      <c r="CZ61732" s="256"/>
      <c r="DG61732" s="256"/>
    </row>
    <row r="61733" spans="104:111">
      <c r="CZ61733" s="256"/>
      <c r="DG61733" s="256"/>
    </row>
    <row r="61734" spans="104:111">
      <c r="CZ61734" s="256"/>
      <c r="DG61734" s="256"/>
    </row>
    <row r="61735" spans="104:111">
      <c r="CZ61735" s="256"/>
      <c r="DG61735" s="256"/>
    </row>
    <row r="61736" spans="104:111">
      <c r="CZ61736" s="256"/>
      <c r="DG61736" s="256"/>
    </row>
    <row r="61737" spans="104:111">
      <c r="CZ61737" s="256"/>
      <c r="DG61737" s="256"/>
    </row>
    <row r="61738" spans="104:111">
      <c r="CZ61738" s="256"/>
      <c r="DG61738" s="256"/>
    </row>
    <row r="61739" spans="104:111">
      <c r="CZ61739" s="256"/>
      <c r="DG61739" s="256"/>
    </row>
    <row r="61740" spans="104:111">
      <c r="CZ61740" s="256"/>
      <c r="DG61740" s="256"/>
    </row>
    <row r="61741" spans="104:111">
      <c r="CZ61741" s="256"/>
      <c r="DG61741" s="256"/>
    </row>
    <row r="61742" spans="104:111">
      <c r="CZ61742" s="256"/>
      <c r="DG61742" s="256"/>
    </row>
    <row r="61743" spans="104:111">
      <c r="CZ61743" s="256"/>
      <c r="DG61743" s="256"/>
    </row>
    <row r="61744" spans="104:111">
      <c r="CZ61744" s="256"/>
      <c r="DG61744" s="256"/>
    </row>
    <row r="61745" spans="104:111">
      <c r="CZ61745" s="256"/>
      <c r="DG61745" s="256"/>
    </row>
    <row r="61746" spans="104:111">
      <c r="CZ61746" s="256"/>
      <c r="DG61746" s="256"/>
    </row>
    <row r="61747" spans="104:111">
      <c r="CZ61747" s="256"/>
      <c r="DG61747" s="256"/>
    </row>
    <row r="61748" spans="104:111">
      <c r="CZ61748" s="256"/>
      <c r="DG61748" s="256"/>
    </row>
    <row r="61749" spans="104:111">
      <c r="CZ61749" s="256"/>
      <c r="DG61749" s="256"/>
    </row>
    <row r="61750" spans="104:111">
      <c r="CZ61750" s="256"/>
      <c r="DG61750" s="256"/>
    </row>
    <row r="61751" spans="104:111">
      <c r="CZ61751" s="256"/>
      <c r="DG61751" s="256"/>
    </row>
    <row r="61752" spans="104:111">
      <c r="CZ61752" s="256"/>
      <c r="DG61752" s="256"/>
    </row>
    <row r="61753" spans="104:111">
      <c r="CZ61753" s="256"/>
      <c r="DG61753" s="256"/>
    </row>
    <row r="61754" spans="104:111">
      <c r="CZ61754" s="256"/>
      <c r="DG61754" s="256"/>
    </row>
    <row r="61755" spans="104:111">
      <c r="CZ61755" s="256"/>
      <c r="DG61755" s="256"/>
    </row>
    <row r="61756" spans="104:111">
      <c r="CZ61756" s="256"/>
      <c r="DG61756" s="256"/>
    </row>
    <row r="61757" spans="104:111">
      <c r="CZ61757" s="256"/>
      <c r="DG61757" s="256"/>
    </row>
    <row r="61758" spans="104:111">
      <c r="CZ61758" s="256"/>
      <c r="DG61758" s="256"/>
    </row>
    <row r="61759" spans="104:111">
      <c r="CZ61759" s="256"/>
      <c r="DG61759" s="256"/>
    </row>
    <row r="61760" spans="104:111">
      <c r="CZ61760" s="256"/>
      <c r="DG61760" s="256"/>
    </row>
    <row r="61761" spans="104:111">
      <c r="CZ61761" s="256"/>
      <c r="DG61761" s="256"/>
    </row>
    <row r="61762" spans="104:111">
      <c r="CZ61762" s="256"/>
      <c r="DG61762" s="256"/>
    </row>
    <row r="61763" spans="104:111">
      <c r="CZ61763" s="256"/>
      <c r="DG61763" s="256"/>
    </row>
    <row r="61764" spans="104:111">
      <c r="CZ61764" s="256"/>
      <c r="DG61764" s="256"/>
    </row>
    <row r="61765" spans="104:111">
      <c r="CZ61765" s="256"/>
      <c r="DG61765" s="256"/>
    </row>
    <row r="61766" spans="104:111">
      <c r="CZ61766" s="256"/>
      <c r="DG61766" s="256"/>
    </row>
    <row r="61767" spans="104:111">
      <c r="CZ61767" s="256"/>
      <c r="DG61767" s="256"/>
    </row>
    <row r="61768" spans="104:111">
      <c r="CZ61768" s="256"/>
      <c r="DG61768" s="256"/>
    </row>
    <row r="61769" spans="104:111">
      <c r="CZ61769" s="256"/>
      <c r="DG61769" s="256"/>
    </row>
    <row r="61770" spans="104:111">
      <c r="CZ61770" s="256"/>
      <c r="DG61770" s="256"/>
    </row>
    <row r="61771" spans="104:111">
      <c r="CZ61771" s="256"/>
      <c r="DG61771" s="256"/>
    </row>
    <row r="61772" spans="104:111">
      <c r="CZ61772" s="256"/>
      <c r="DG61772" s="256"/>
    </row>
    <row r="61773" spans="104:111">
      <c r="CZ61773" s="256"/>
      <c r="DG61773" s="256"/>
    </row>
    <row r="61774" spans="104:111">
      <c r="CZ61774" s="256"/>
      <c r="DG61774" s="256"/>
    </row>
    <row r="61775" spans="104:111">
      <c r="CZ61775" s="256"/>
      <c r="DG61775" s="256"/>
    </row>
    <row r="61776" spans="104:111">
      <c r="CZ61776" s="256"/>
      <c r="DG61776" s="256"/>
    </row>
    <row r="61777" spans="104:111">
      <c r="CZ61777" s="256"/>
      <c r="DG61777" s="256"/>
    </row>
    <row r="61778" spans="104:111">
      <c r="CZ61778" s="256"/>
      <c r="DG61778" s="256"/>
    </row>
    <row r="61779" spans="104:111">
      <c r="CZ61779" s="256"/>
      <c r="DG61779" s="256"/>
    </row>
    <row r="61780" spans="104:111">
      <c r="CZ61780" s="256"/>
      <c r="DG61780" s="256"/>
    </row>
    <row r="61781" spans="104:111">
      <c r="CZ61781" s="256"/>
      <c r="DG61781" s="256"/>
    </row>
    <row r="61782" spans="104:111">
      <c r="CZ61782" s="256"/>
      <c r="DG61782" s="256"/>
    </row>
    <row r="61783" spans="104:111">
      <c r="CZ61783" s="256"/>
      <c r="DG61783" s="256"/>
    </row>
    <row r="61784" spans="104:111">
      <c r="CZ61784" s="256"/>
      <c r="DG61784" s="256"/>
    </row>
    <row r="61785" spans="104:111">
      <c r="CZ61785" s="256"/>
      <c r="DG61785" s="256"/>
    </row>
    <row r="61786" spans="104:111">
      <c r="CZ61786" s="256"/>
      <c r="DG61786" s="256"/>
    </row>
    <row r="61787" spans="104:111">
      <c r="CZ61787" s="256"/>
      <c r="DG61787" s="256"/>
    </row>
    <row r="61788" spans="104:111">
      <c r="CZ61788" s="256"/>
      <c r="DG61788" s="256"/>
    </row>
    <row r="61789" spans="104:111">
      <c r="CZ61789" s="256"/>
      <c r="DG61789" s="256"/>
    </row>
    <row r="61790" spans="104:111">
      <c r="CZ61790" s="256"/>
      <c r="DG61790" s="256"/>
    </row>
    <row r="61791" spans="104:111">
      <c r="CZ61791" s="256"/>
      <c r="DG61791" s="256"/>
    </row>
    <row r="61792" spans="104:111">
      <c r="CZ61792" s="256"/>
      <c r="DG61792" s="256"/>
    </row>
    <row r="61793" spans="104:111">
      <c r="CZ61793" s="256"/>
      <c r="DG61793" s="256"/>
    </row>
    <row r="61794" spans="104:111">
      <c r="CZ61794" s="256"/>
      <c r="DG61794" s="256"/>
    </row>
    <row r="61795" spans="104:111">
      <c r="CZ61795" s="256"/>
      <c r="DG61795" s="256"/>
    </row>
    <row r="61796" spans="104:111">
      <c r="CZ61796" s="256"/>
      <c r="DG61796" s="256"/>
    </row>
    <row r="61797" spans="104:111">
      <c r="CZ61797" s="256"/>
      <c r="DG61797" s="256"/>
    </row>
    <row r="61798" spans="104:111">
      <c r="CZ61798" s="256"/>
      <c r="DG61798" s="256"/>
    </row>
    <row r="61799" spans="104:111">
      <c r="CZ61799" s="256"/>
      <c r="DG61799" s="256"/>
    </row>
    <row r="61800" spans="104:111">
      <c r="CZ61800" s="256"/>
      <c r="DG61800" s="256"/>
    </row>
    <row r="61801" spans="104:111">
      <c r="CZ61801" s="256"/>
      <c r="DG61801" s="256"/>
    </row>
    <row r="61802" spans="104:111">
      <c r="CZ61802" s="256"/>
      <c r="DG61802" s="256"/>
    </row>
    <row r="61803" spans="104:111">
      <c r="CZ61803" s="256"/>
      <c r="DG61803" s="256"/>
    </row>
    <row r="61804" spans="104:111">
      <c r="CZ61804" s="256"/>
      <c r="DG61804" s="256"/>
    </row>
    <row r="61805" spans="104:111">
      <c r="CZ61805" s="256"/>
      <c r="DG61805" s="256"/>
    </row>
    <row r="61806" spans="104:111">
      <c r="CZ61806" s="256"/>
      <c r="DG61806" s="256"/>
    </row>
    <row r="61807" spans="104:111">
      <c r="CZ61807" s="256"/>
      <c r="DG61807" s="256"/>
    </row>
    <row r="61808" spans="104:111">
      <c r="CZ61808" s="256"/>
      <c r="DG61808" s="256"/>
    </row>
    <row r="61809" spans="104:111">
      <c r="CZ61809" s="256"/>
      <c r="DG61809" s="256"/>
    </row>
    <row r="61810" spans="104:111">
      <c r="CZ61810" s="256"/>
      <c r="DG61810" s="256"/>
    </row>
    <row r="61811" spans="104:111">
      <c r="CZ61811" s="256"/>
      <c r="DG61811" s="256"/>
    </row>
    <row r="61812" spans="104:111">
      <c r="CZ61812" s="256"/>
      <c r="DG61812" s="256"/>
    </row>
    <row r="61813" spans="104:111">
      <c r="CZ61813" s="256"/>
      <c r="DG61813" s="256"/>
    </row>
    <row r="61814" spans="104:111">
      <c r="CZ61814" s="256"/>
      <c r="DG61814" s="256"/>
    </row>
    <row r="61815" spans="104:111">
      <c r="CZ61815" s="256"/>
      <c r="DG61815" s="256"/>
    </row>
    <row r="61816" spans="104:111">
      <c r="CZ61816" s="256"/>
      <c r="DG61816" s="256"/>
    </row>
    <row r="61817" spans="104:111">
      <c r="CZ61817" s="256"/>
      <c r="DG61817" s="256"/>
    </row>
    <row r="61818" spans="104:111">
      <c r="CZ61818" s="256"/>
      <c r="DG61818" s="256"/>
    </row>
    <row r="61819" spans="104:111">
      <c r="CZ61819" s="256"/>
      <c r="DG61819" s="256"/>
    </row>
    <row r="61820" spans="104:111">
      <c r="CZ61820" s="256"/>
      <c r="DG61820" s="256"/>
    </row>
    <row r="61821" spans="104:111">
      <c r="CZ61821" s="256"/>
      <c r="DG61821" s="256"/>
    </row>
    <row r="61822" spans="104:111">
      <c r="CZ61822" s="256"/>
      <c r="DG61822" s="256"/>
    </row>
    <row r="61823" spans="104:111">
      <c r="CZ61823" s="256"/>
      <c r="DG61823" s="256"/>
    </row>
    <row r="61824" spans="104:111">
      <c r="CZ61824" s="256"/>
      <c r="DG61824" s="256"/>
    </row>
    <row r="61825" spans="104:111">
      <c r="CZ61825" s="256"/>
      <c r="DG61825" s="256"/>
    </row>
    <row r="61826" spans="104:111">
      <c r="CZ61826" s="256"/>
      <c r="DG61826" s="256"/>
    </row>
    <row r="61827" spans="104:111">
      <c r="CZ61827" s="256"/>
      <c r="DG61827" s="256"/>
    </row>
    <row r="61828" spans="104:111">
      <c r="CZ61828" s="256"/>
      <c r="DG61828" s="256"/>
    </row>
    <row r="61829" spans="104:111">
      <c r="CZ61829" s="256"/>
      <c r="DG61829" s="256"/>
    </row>
    <row r="61830" spans="104:111">
      <c r="CZ61830" s="256"/>
      <c r="DG61830" s="256"/>
    </row>
    <row r="61831" spans="104:111">
      <c r="CZ61831" s="256"/>
      <c r="DG61831" s="256"/>
    </row>
    <row r="61832" spans="104:111">
      <c r="CZ61832" s="256"/>
      <c r="DG61832" s="256"/>
    </row>
    <row r="61833" spans="104:111">
      <c r="CZ61833" s="256"/>
      <c r="DG61833" s="256"/>
    </row>
    <row r="61834" spans="104:111">
      <c r="CZ61834" s="256"/>
      <c r="DG61834" s="256"/>
    </row>
    <row r="61835" spans="104:111">
      <c r="CZ61835" s="256"/>
      <c r="DG61835" s="256"/>
    </row>
    <row r="61836" spans="104:111">
      <c r="CZ61836" s="256"/>
      <c r="DG61836" s="256"/>
    </row>
    <row r="61837" spans="104:111">
      <c r="CZ61837" s="256"/>
      <c r="DG61837" s="256"/>
    </row>
    <row r="61838" spans="104:111">
      <c r="CZ61838" s="256"/>
      <c r="DG61838" s="256"/>
    </row>
    <row r="61839" spans="104:111">
      <c r="CZ61839" s="256"/>
      <c r="DG61839" s="256"/>
    </row>
    <row r="61840" spans="104:111">
      <c r="CZ61840" s="256"/>
      <c r="DG61840" s="256"/>
    </row>
    <row r="61841" spans="104:111">
      <c r="CZ61841" s="256"/>
      <c r="DG61841" s="256"/>
    </row>
    <row r="61842" spans="104:111">
      <c r="CZ61842" s="256"/>
      <c r="DG61842" s="256"/>
    </row>
    <row r="61843" spans="104:111">
      <c r="CZ61843" s="256"/>
      <c r="DG61843" s="256"/>
    </row>
    <row r="61844" spans="104:111">
      <c r="CZ61844" s="256"/>
      <c r="DG61844" s="256"/>
    </row>
    <row r="61845" spans="104:111">
      <c r="CZ61845" s="256"/>
      <c r="DG61845" s="256"/>
    </row>
    <row r="61846" spans="104:111">
      <c r="CZ61846" s="256"/>
      <c r="DG61846" s="256"/>
    </row>
    <row r="61847" spans="104:111">
      <c r="CZ61847" s="256"/>
      <c r="DG61847" s="256"/>
    </row>
    <row r="61848" spans="104:111">
      <c r="CZ61848" s="256"/>
      <c r="DG61848" s="256"/>
    </row>
    <row r="61849" spans="104:111">
      <c r="CZ61849" s="256"/>
      <c r="DG61849" s="256"/>
    </row>
    <row r="61850" spans="104:111">
      <c r="CZ61850" s="256"/>
      <c r="DG61850" s="256"/>
    </row>
    <row r="61851" spans="104:111">
      <c r="CZ61851" s="256"/>
      <c r="DG61851" s="256"/>
    </row>
    <row r="61852" spans="104:111">
      <c r="CZ61852" s="256"/>
      <c r="DG61852" s="256"/>
    </row>
    <row r="61853" spans="104:111">
      <c r="CZ61853" s="256"/>
      <c r="DG61853" s="256"/>
    </row>
    <row r="61854" spans="104:111">
      <c r="CZ61854" s="256"/>
      <c r="DG61854" s="256"/>
    </row>
    <row r="61855" spans="104:111">
      <c r="CZ61855" s="256"/>
      <c r="DG61855" s="256"/>
    </row>
    <row r="61856" spans="104:111">
      <c r="CZ61856" s="256"/>
      <c r="DG61856" s="256"/>
    </row>
    <row r="61857" spans="104:111">
      <c r="CZ61857" s="256"/>
      <c r="DG61857" s="256"/>
    </row>
    <row r="61858" spans="104:111">
      <c r="CZ61858" s="256"/>
      <c r="DG61858" s="256"/>
    </row>
    <row r="61859" spans="104:111">
      <c r="CZ61859" s="256"/>
      <c r="DG61859" s="256"/>
    </row>
    <row r="61860" spans="104:111">
      <c r="CZ61860" s="256"/>
      <c r="DG61860" s="256"/>
    </row>
    <row r="61861" spans="104:111">
      <c r="CZ61861" s="256"/>
      <c r="DG61861" s="256"/>
    </row>
    <row r="61862" spans="104:111">
      <c r="CZ61862" s="256"/>
      <c r="DG61862" s="256"/>
    </row>
    <row r="61863" spans="104:111">
      <c r="CZ61863" s="256"/>
      <c r="DG61863" s="256"/>
    </row>
    <row r="61864" spans="104:111">
      <c r="CZ61864" s="256"/>
      <c r="DG61864" s="256"/>
    </row>
    <row r="61865" spans="104:111">
      <c r="CZ61865" s="256"/>
      <c r="DG61865" s="256"/>
    </row>
    <row r="61866" spans="104:111">
      <c r="CZ61866" s="256"/>
      <c r="DG61866" s="256"/>
    </row>
    <row r="61867" spans="104:111">
      <c r="CZ61867" s="256"/>
      <c r="DG61867" s="256"/>
    </row>
    <row r="61868" spans="104:111">
      <c r="CZ61868" s="256"/>
      <c r="DG61868" s="256"/>
    </row>
    <row r="61869" spans="104:111">
      <c r="CZ61869" s="256"/>
      <c r="DG61869" s="256"/>
    </row>
    <row r="61870" spans="104:111">
      <c r="CZ61870" s="256"/>
      <c r="DG61870" s="256"/>
    </row>
    <row r="61871" spans="104:111">
      <c r="CZ61871" s="256"/>
      <c r="DG61871" s="256"/>
    </row>
    <row r="61872" spans="104:111">
      <c r="CZ61872" s="256"/>
      <c r="DG61872" s="256"/>
    </row>
    <row r="61873" spans="104:111">
      <c r="CZ61873" s="256"/>
      <c r="DG61873" s="256"/>
    </row>
    <row r="61874" spans="104:111">
      <c r="CZ61874" s="256"/>
      <c r="DG61874" s="256"/>
    </row>
    <row r="61875" spans="104:111">
      <c r="CZ61875" s="256"/>
      <c r="DG61875" s="256"/>
    </row>
    <row r="61876" spans="104:111">
      <c r="CZ61876" s="256"/>
      <c r="DG61876" s="256"/>
    </row>
    <row r="61877" spans="104:111">
      <c r="CZ61877" s="256"/>
      <c r="DG61877" s="256"/>
    </row>
    <row r="61878" spans="104:111">
      <c r="CZ61878" s="256"/>
      <c r="DG61878" s="256"/>
    </row>
    <row r="61879" spans="104:111">
      <c r="CZ61879" s="256"/>
      <c r="DG61879" s="256"/>
    </row>
    <row r="61880" spans="104:111">
      <c r="CZ61880" s="256"/>
      <c r="DG61880" s="256"/>
    </row>
    <row r="61881" spans="104:111">
      <c r="CZ61881" s="256"/>
      <c r="DG61881" s="256"/>
    </row>
    <row r="61882" spans="104:111">
      <c r="CZ61882" s="256"/>
      <c r="DG61882" s="256"/>
    </row>
    <row r="61883" spans="104:111">
      <c r="CZ61883" s="256"/>
      <c r="DG61883" s="256"/>
    </row>
    <row r="61884" spans="104:111">
      <c r="CZ61884" s="256"/>
      <c r="DG61884" s="256"/>
    </row>
    <row r="61885" spans="104:111">
      <c r="CZ61885" s="256"/>
      <c r="DG61885" s="256"/>
    </row>
    <row r="61886" spans="104:111">
      <c r="CZ61886" s="256"/>
      <c r="DG61886" s="256"/>
    </row>
    <row r="61887" spans="104:111">
      <c r="CZ61887" s="256"/>
      <c r="DG61887" s="256"/>
    </row>
    <row r="61888" spans="104:111">
      <c r="CZ61888" s="256"/>
      <c r="DG61888" s="256"/>
    </row>
    <row r="61889" spans="104:111">
      <c r="CZ61889" s="256"/>
      <c r="DG61889" s="256"/>
    </row>
    <row r="61890" spans="104:111">
      <c r="CZ61890" s="256"/>
      <c r="DG61890" s="256"/>
    </row>
    <row r="61891" spans="104:111">
      <c r="CZ61891" s="256"/>
      <c r="DG61891" s="256"/>
    </row>
    <row r="61892" spans="104:111">
      <c r="CZ61892" s="256"/>
      <c r="DG61892" s="256"/>
    </row>
    <row r="61893" spans="104:111">
      <c r="CZ61893" s="256"/>
      <c r="DG61893" s="256"/>
    </row>
    <row r="61894" spans="104:111">
      <c r="CZ61894" s="256"/>
      <c r="DG61894" s="256"/>
    </row>
    <row r="61895" spans="104:111">
      <c r="CZ61895" s="256"/>
      <c r="DG61895" s="256"/>
    </row>
    <row r="61896" spans="104:111">
      <c r="CZ61896" s="256"/>
      <c r="DG61896" s="256"/>
    </row>
    <row r="61897" spans="104:111">
      <c r="CZ61897" s="256"/>
      <c r="DG61897" s="256"/>
    </row>
    <row r="61898" spans="104:111">
      <c r="CZ61898" s="256"/>
      <c r="DG61898" s="256"/>
    </row>
    <row r="61899" spans="104:111">
      <c r="CZ61899" s="256"/>
      <c r="DG61899" s="256"/>
    </row>
    <row r="61900" spans="104:111">
      <c r="CZ61900" s="256"/>
      <c r="DG61900" s="256"/>
    </row>
    <row r="61901" spans="104:111">
      <c r="CZ61901" s="256"/>
      <c r="DG61901" s="256"/>
    </row>
    <row r="61902" spans="104:111">
      <c r="CZ61902" s="256"/>
      <c r="DG61902" s="256"/>
    </row>
    <row r="61903" spans="104:111">
      <c r="CZ61903" s="256"/>
      <c r="DG61903" s="256"/>
    </row>
    <row r="61904" spans="104:111">
      <c r="CZ61904" s="256"/>
      <c r="DG61904" s="256"/>
    </row>
    <row r="61905" spans="104:111">
      <c r="CZ61905" s="256"/>
      <c r="DG61905" s="256"/>
    </row>
    <row r="61906" spans="104:111">
      <c r="CZ61906" s="256"/>
      <c r="DG61906" s="256"/>
    </row>
    <row r="61907" spans="104:111">
      <c r="CZ61907" s="256"/>
      <c r="DG61907" s="256"/>
    </row>
    <row r="61908" spans="104:111">
      <c r="CZ61908" s="256"/>
      <c r="DG61908" s="256"/>
    </row>
    <row r="61909" spans="104:111">
      <c r="CZ61909" s="256"/>
      <c r="DG61909" s="256"/>
    </row>
    <row r="61910" spans="104:111">
      <c r="CZ61910" s="256"/>
      <c r="DG61910" s="256"/>
    </row>
    <row r="61911" spans="104:111">
      <c r="CZ61911" s="256"/>
      <c r="DG61911" s="256"/>
    </row>
    <row r="61912" spans="104:111">
      <c r="CZ61912" s="256"/>
      <c r="DG61912" s="256"/>
    </row>
    <row r="61913" spans="104:111">
      <c r="CZ61913" s="256"/>
      <c r="DG61913" s="256"/>
    </row>
    <row r="61914" spans="104:111">
      <c r="CZ61914" s="256"/>
      <c r="DG61914" s="256"/>
    </row>
    <row r="61915" spans="104:111">
      <c r="CZ61915" s="256"/>
      <c r="DG61915" s="256"/>
    </row>
    <row r="61916" spans="104:111">
      <c r="CZ61916" s="256"/>
      <c r="DG61916" s="256"/>
    </row>
    <row r="61917" spans="104:111">
      <c r="CZ61917" s="256"/>
      <c r="DG61917" s="256"/>
    </row>
    <row r="61918" spans="104:111">
      <c r="CZ61918" s="256"/>
      <c r="DG61918" s="256"/>
    </row>
    <row r="61919" spans="104:111">
      <c r="CZ61919" s="256"/>
      <c r="DG61919" s="256"/>
    </row>
    <row r="61920" spans="104:111">
      <c r="CZ61920" s="256"/>
      <c r="DG61920" s="256"/>
    </row>
    <row r="61921" spans="104:111">
      <c r="CZ61921" s="256"/>
      <c r="DG61921" s="256"/>
    </row>
    <row r="61922" spans="104:111">
      <c r="CZ61922" s="256"/>
      <c r="DG61922" s="256"/>
    </row>
    <row r="61923" spans="104:111">
      <c r="CZ61923" s="256"/>
      <c r="DG61923" s="256"/>
    </row>
    <row r="61924" spans="104:111">
      <c r="CZ61924" s="256"/>
      <c r="DG61924" s="256"/>
    </row>
    <row r="61925" spans="104:111">
      <c r="CZ61925" s="256"/>
      <c r="DG61925" s="256"/>
    </row>
    <row r="61926" spans="104:111">
      <c r="CZ61926" s="256"/>
      <c r="DG61926" s="256"/>
    </row>
    <row r="61927" spans="104:111">
      <c r="CZ61927" s="256"/>
      <c r="DG61927" s="256"/>
    </row>
    <row r="61928" spans="104:111">
      <c r="CZ61928" s="256"/>
      <c r="DG61928" s="256"/>
    </row>
    <row r="61929" spans="104:111">
      <c r="CZ61929" s="256"/>
      <c r="DG61929" s="256"/>
    </row>
    <row r="61930" spans="104:111">
      <c r="CZ61930" s="256"/>
      <c r="DG61930" s="256"/>
    </row>
    <row r="61931" spans="104:111">
      <c r="CZ61931" s="256"/>
      <c r="DG61931" s="256"/>
    </row>
    <row r="61932" spans="104:111">
      <c r="CZ61932" s="256"/>
      <c r="DG61932" s="256"/>
    </row>
    <row r="61933" spans="104:111">
      <c r="CZ61933" s="256"/>
      <c r="DG61933" s="256"/>
    </row>
    <row r="61934" spans="104:111">
      <c r="CZ61934" s="256"/>
      <c r="DG61934" s="256"/>
    </row>
    <row r="61935" spans="104:111">
      <c r="CZ61935" s="256"/>
      <c r="DG61935" s="256"/>
    </row>
    <row r="61936" spans="104:111">
      <c r="CZ61936" s="256"/>
      <c r="DG61936" s="256"/>
    </row>
    <row r="61937" spans="104:111">
      <c r="CZ61937" s="256"/>
      <c r="DG61937" s="256"/>
    </row>
    <row r="61938" spans="104:111">
      <c r="CZ61938" s="256"/>
      <c r="DG61938" s="256"/>
    </row>
    <row r="61939" spans="104:111">
      <c r="CZ61939" s="256"/>
      <c r="DG61939" s="256"/>
    </row>
    <row r="61940" spans="104:111">
      <c r="CZ61940" s="256"/>
      <c r="DG61940" s="256"/>
    </row>
    <row r="61941" spans="104:111">
      <c r="CZ61941" s="256"/>
      <c r="DG61941" s="256"/>
    </row>
    <row r="61942" spans="104:111">
      <c r="CZ61942" s="256"/>
      <c r="DG61942" s="256"/>
    </row>
    <row r="61943" spans="104:111">
      <c r="CZ61943" s="256"/>
      <c r="DG61943" s="256"/>
    </row>
    <row r="61944" spans="104:111">
      <c r="CZ61944" s="256"/>
      <c r="DG61944" s="256"/>
    </row>
    <row r="61945" spans="104:111">
      <c r="CZ61945" s="256"/>
      <c r="DG61945" s="256"/>
    </row>
    <row r="61946" spans="104:111">
      <c r="CZ61946" s="256"/>
      <c r="DG61946" s="256"/>
    </row>
    <row r="61947" spans="104:111">
      <c r="CZ61947" s="256"/>
      <c r="DG61947" s="256"/>
    </row>
    <row r="61948" spans="104:111">
      <c r="CZ61948" s="256"/>
      <c r="DG61948" s="256"/>
    </row>
    <row r="61949" spans="104:111">
      <c r="CZ61949" s="256"/>
      <c r="DG61949" s="256"/>
    </row>
    <row r="61950" spans="104:111">
      <c r="CZ61950" s="256"/>
      <c r="DG61950" s="256"/>
    </row>
    <row r="61951" spans="104:111">
      <c r="CZ61951" s="256"/>
      <c r="DG61951" s="256"/>
    </row>
    <row r="61952" spans="104:111">
      <c r="CZ61952" s="256"/>
      <c r="DG61952" s="256"/>
    </row>
    <row r="61953" spans="104:111">
      <c r="CZ61953" s="256"/>
      <c r="DG61953" s="256"/>
    </row>
    <row r="61954" spans="104:111">
      <c r="CZ61954" s="256"/>
      <c r="DG61954" s="256"/>
    </row>
    <row r="61955" spans="104:111">
      <c r="CZ61955" s="256"/>
      <c r="DG61955" s="256"/>
    </row>
    <row r="61956" spans="104:111">
      <c r="CZ61956" s="256"/>
      <c r="DG61956" s="256"/>
    </row>
    <row r="61957" spans="104:111">
      <c r="CZ61957" s="256"/>
      <c r="DG61957" s="256"/>
    </row>
    <row r="61958" spans="104:111">
      <c r="CZ61958" s="256"/>
      <c r="DG61958" s="256"/>
    </row>
    <row r="61959" spans="104:111">
      <c r="CZ61959" s="256"/>
      <c r="DG61959" s="256"/>
    </row>
    <row r="61960" spans="104:111">
      <c r="CZ61960" s="256"/>
      <c r="DG61960" s="256"/>
    </row>
    <row r="61961" spans="104:111">
      <c r="CZ61961" s="256"/>
      <c r="DG61961" s="256"/>
    </row>
    <row r="61962" spans="104:111">
      <c r="CZ61962" s="256"/>
      <c r="DG61962" s="256"/>
    </row>
    <row r="61963" spans="104:111">
      <c r="CZ61963" s="256"/>
      <c r="DG61963" s="256"/>
    </row>
    <row r="61964" spans="104:111">
      <c r="CZ61964" s="256"/>
      <c r="DG61964" s="256"/>
    </row>
    <row r="61965" spans="104:111">
      <c r="CZ61965" s="256"/>
      <c r="DG61965" s="256"/>
    </row>
    <row r="61966" spans="104:111">
      <c r="CZ61966" s="256"/>
      <c r="DG61966" s="256"/>
    </row>
    <row r="61967" spans="104:111">
      <c r="CZ61967" s="256"/>
      <c r="DG61967" s="256"/>
    </row>
    <row r="61968" spans="104:111">
      <c r="CZ61968" s="256"/>
      <c r="DG61968" s="256"/>
    </row>
    <row r="61969" spans="104:111">
      <c r="CZ61969" s="256"/>
      <c r="DG61969" s="256"/>
    </row>
    <row r="61970" spans="104:111">
      <c r="CZ61970" s="256"/>
      <c r="DG61970" s="256"/>
    </row>
    <row r="61971" spans="104:111">
      <c r="CZ61971" s="256"/>
      <c r="DG61971" s="256"/>
    </row>
    <row r="61972" spans="104:111">
      <c r="CZ61972" s="256"/>
      <c r="DG61972" s="256"/>
    </row>
    <row r="61973" spans="104:111">
      <c r="CZ61973" s="256"/>
      <c r="DG61973" s="256"/>
    </row>
    <row r="61974" spans="104:111">
      <c r="CZ61974" s="256"/>
      <c r="DG61974" s="256"/>
    </row>
    <row r="61975" spans="104:111">
      <c r="CZ61975" s="256"/>
      <c r="DG61975" s="256"/>
    </row>
    <row r="61976" spans="104:111">
      <c r="CZ61976" s="256"/>
      <c r="DG61976" s="256"/>
    </row>
    <row r="61977" spans="104:111">
      <c r="CZ61977" s="256"/>
      <c r="DG61977" s="256"/>
    </row>
    <row r="61978" spans="104:111">
      <c r="CZ61978" s="256"/>
      <c r="DG61978" s="256"/>
    </row>
    <row r="61979" spans="104:111">
      <c r="CZ61979" s="256"/>
      <c r="DG61979" s="256"/>
    </row>
    <row r="61980" spans="104:111">
      <c r="CZ61980" s="256"/>
      <c r="DG61980" s="256"/>
    </row>
    <row r="61981" spans="104:111">
      <c r="CZ61981" s="256"/>
      <c r="DG61981" s="256"/>
    </row>
    <row r="61982" spans="104:111">
      <c r="CZ61982" s="256"/>
      <c r="DG61982" s="256"/>
    </row>
    <row r="61983" spans="104:111">
      <c r="CZ61983" s="256"/>
      <c r="DG61983" s="256"/>
    </row>
    <row r="61984" spans="104:111">
      <c r="CZ61984" s="256"/>
      <c r="DG61984" s="256"/>
    </row>
    <row r="61985" spans="104:111">
      <c r="CZ61985" s="256"/>
      <c r="DG61985" s="256"/>
    </row>
    <row r="61986" spans="104:111">
      <c r="CZ61986" s="256"/>
      <c r="DG61986" s="256"/>
    </row>
    <row r="61987" spans="104:111">
      <c r="CZ61987" s="256"/>
      <c r="DG61987" s="256"/>
    </row>
    <row r="61988" spans="104:111">
      <c r="CZ61988" s="256"/>
      <c r="DG61988" s="256"/>
    </row>
    <row r="61989" spans="104:111">
      <c r="CZ61989" s="256"/>
      <c r="DG61989" s="256"/>
    </row>
    <row r="61990" spans="104:111">
      <c r="CZ61990" s="256"/>
      <c r="DG61990" s="256"/>
    </row>
    <row r="61991" spans="104:111">
      <c r="CZ61991" s="256"/>
      <c r="DG61991" s="256"/>
    </row>
    <row r="61992" spans="104:111">
      <c r="CZ61992" s="256"/>
      <c r="DG61992" s="256"/>
    </row>
    <row r="61993" spans="104:111">
      <c r="CZ61993" s="256"/>
      <c r="DG61993" s="256"/>
    </row>
    <row r="61994" spans="104:111">
      <c r="CZ61994" s="256"/>
      <c r="DG61994" s="256"/>
    </row>
    <row r="61995" spans="104:111">
      <c r="CZ61995" s="256"/>
      <c r="DG61995" s="256"/>
    </row>
    <row r="61996" spans="104:111">
      <c r="CZ61996" s="256"/>
      <c r="DG61996" s="256"/>
    </row>
    <row r="61997" spans="104:111">
      <c r="CZ61997" s="256"/>
      <c r="DG61997" s="256"/>
    </row>
    <row r="61998" spans="104:111">
      <c r="CZ61998" s="256"/>
      <c r="DG61998" s="256"/>
    </row>
    <row r="61999" spans="104:111">
      <c r="CZ61999" s="256"/>
      <c r="DG61999" s="256"/>
    </row>
    <row r="62000" spans="104:111">
      <c r="CZ62000" s="256"/>
      <c r="DG62000" s="256"/>
    </row>
    <row r="62001" spans="104:111">
      <c r="CZ62001" s="256"/>
      <c r="DG62001" s="256"/>
    </row>
    <row r="62002" spans="104:111">
      <c r="CZ62002" s="256"/>
      <c r="DG62002" s="256"/>
    </row>
    <row r="62003" spans="104:111">
      <c r="CZ62003" s="256"/>
      <c r="DG62003" s="256"/>
    </row>
    <row r="62004" spans="104:111">
      <c r="CZ62004" s="256"/>
      <c r="DG62004" s="256"/>
    </row>
    <row r="62005" spans="104:111">
      <c r="CZ62005" s="256"/>
      <c r="DG62005" s="256"/>
    </row>
    <row r="62006" spans="104:111">
      <c r="CZ62006" s="256"/>
      <c r="DG62006" s="256"/>
    </row>
    <row r="62007" spans="104:111">
      <c r="CZ62007" s="256"/>
      <c r="DG62007" s="256"/>
    </row>
    <row r="62008" spans="104:111">
      <c r="CZ62008" s="256"/>
      <c r="DG62008" s="256"/>
    </row>
    <row r="62009" spans="104:111">
      <c r="CZ62009" s="256"/>
      <c r="DG62009" s="256"/>
    </row>
    <row r="62010" spans="104:111">
      <c r="CZ62010" s="256"/>
      <c r="DG62010" s="256"/>
    </row>
    <row r="62011" spans="104:111">
      <c r="CZ62011" s="256"/>
      <c r="DG62011" s="256"/>
    </row>
    <row r="62012" spans="104:111">
      <c r="CZ62012" s="256"/>
      <c r="DG62012" s="256"/>
    </row>
    <row r="62013" spans="104:111">
      <c r="CZ62013" s="256"/>
      <c r="DG62013" s="256"/>
    </row>
    <row r="62014" spans="104:111">
      <c r="CZ62014" s="256"/>
      <c r="DG62014" s="256"/>
    </row>
    <row r="62015" spans="104:111">
      <c r="CZ62015" s="256"/>
      <c r="DG62015" s="256"/>
    </row>
    <row r="62016" spans="104:111">
      <c r="CZ62016" s="256"/>
      <c r="DG62016" s="256"/>
    </row>
    <row r="62017" spans="104:111">
      <c r="CZ62017" s="256"/>
      <c r="DG62017" s="256"/>
    </row>
    <row r="62018" spans="104:111">
      <c r="CZ62018" s="256"/>
      <c r="DG62018" s="256"/>
    </row>
    <row r="62019" spans="104:111">
      <c r="CZ62019" s="256"/>
      <c r="DG62019" s="256"/>
    </row>
    <row r="62020" spans="104:111">
      <c r="CZ62020" s="256"/>
      <c r="DG62020" s="256"/>
    </row>
    <row r="62021" spans="104:111">
      <c r="CZ62021" s="256"/>
      <c r="DG62021" s="256"/>
    </row>
    <row r="62022" spans="104:111">
      <c r="CZ62022" s="256"/>
      <c r="DG62022" s="256"/>
    </row>
    <row r="62023" spans="104:111">
      <c r="CZ62023" s="256"/>
      <c r="DG62023" s="256"/>
    </row>
    <row r="62024" spans="104:111">
      <c r="CZ62024" s="256"/>
      <c r="DG62024" s="256"/>
    </row>
    <row r="62025" spans="104:111">
      <c r="CZ62025" s="256"/>
      <c r="DG62025" s="256"/>
    </row>
    <row r="62026" spans="104:111">
      <c r="CZ62026" s="256"/>
      <c r="DG62026" s="256"/>
    </row>
    <row r="62027" spans="104:111">
      <c r="CZ62027" s="256"/>
      <c r="DG62027" s="256"/>
    </row>
    <row r="62028" spans="104:111">
      <c r="CZ62028" s="256"/>
      <c r="DG62028" s="256"/>
    </row>
    <row r="62029" spans="104:111">
      <c r="CZ62029" s="256"/>
      <c r="DG62029" s="256"/>
    </row>
    <row r="62030" spans="104:111">
      <c r="CZ62030" s="256"/>
      <c r="DG62030" s="256"/>
    </row>
    <row r="62031" spans="104:111">
      <c r="CZ62031" s="256"/>
      <c r="DG62031" s="256"/>
    </row>
    <row r="62032" spans="104:111">
      <c r="CZ62032" s="256"/>
      <c r="DG62032" s="256"/>
    </row>
    <row r="62033" spans="104:111">
      <c r="CZ62033" s="256"/>
      <c r="DG62033" s="256"/>
    </row>
    <row r="62034" spans="104:111">
      <c r="CZ62034" s="256"/>
      <c r="DG62034" s="256"/>
    </row>
    <row r="62035" spans="104:111">
      <c r="CZ62035" s="256"/>
      <c r="DG62035" s="256"/>
    </row>
    <row r="62036" spans="104:111">
      <c r="CZ62036" s="256"/>
      <c r="DG62036" s="256"/>
    </row>
    <row r="62037" spans="104:111">
      <c r="CZ62037" s="256"/>
      <c r="DG62037" s="256"/>
    </row>
    <row r="62038" spans="104:111">
      <c r="CZ62038" s="256"/>
      <c r="DG62038" s="256"/>
    </row>
    <row r="62039" spans="104:111">
      <c r="CZ62039" s="256"/>
      <c r="DG62039" s="256"/>
    </row>
    <row r="62040" spans="104:111">
      <c r="CZ62040" s="256"/>
      <c r="DG62040" s="256"/>
    </row>
    <row r="62041" spans="104:111">
      <c r="CZ62041" s="256"/>
      <c r="DG62041" s="256"/>
    </row>
    <row r="62042" spans="104:111">
      <c r="CZ62042" s="256"/>
      <c r="DG62042" s="256"/>
    </row>
    <row r="62043" spans="104:111">
      <c r="CZ62043" s="256"/>
      <c r="DG62043" s="256"/>
    </row>
    <row r="62044" spans="104:111">
      <c r="CZ62044" s="256"/>
      <c r="DG62044" s="256"/>
    </row>
    <row r="62045" spans="104:111">
      <c r="CZ62045" s="256"/>
      <c r="DG62045" s="256"/>
    </row>
    <row r="62046" spans="104:111">
      <c r="CZ62046" s="256"/>
      <c r="DG62046" s="256"/>
    </row>
    <row r="62047" spans="104:111">
      <c r="CZ62047" s="256"/>
      <c r="DG62047" s="256"/>
    </row>
    <row r="62048" spans="104:111">
      <c r="CZ62048" s="256"/>
      <c r="DG62048" s="256"/>
    </row>
    <row r="62049" spans="104:111">
      <c r="CZ62049" s="256"/>
      <c r="DG62049" s="256"/>
    </row>
    <row r="62050" spans="104:111">
      <c r="CZ62050" s="256"/>
      <c r="DG62050" s="256"/>
    </row>
    <row r="62051" spans="104:111">
      <c r="CZ62051" s="256"/>
      <c r="DG62051" s="256"/>
    </row>
    <row r="62052" spans="104:111">
      <c r="CZ62052" s="256"/>
      <c r="DG62052" s="256"/>
    </row>
    <row r="62053" spans="104:111">
      <c r="CZ62053" s="256"/>
      <c r="DG62053" s="256"/>
    </row>
    <row r="62054" spans="104:111">
      <c r="CZ62054" s="256"/>
      <c r="DG62054" s="256"/>
    </row>
    <row r="62055" spans="104:111">
      <c r="CZ62055" s="256"/>
      <c r="DG62055" s="256"/>
    </row>
    <row r="62056" spans="104:111">
      <c r="CZ62056" s="256"/>
      <c r="DG62056" s="256"/>
    </row>
    <row r="62057" spans="104:111">
      <c r="CZ62057" s="256"/>
      <c r="DG62057" s="256"/>
    </row>
    <row r="62058" spans="104:111">
      <c r="CZ62058" s="256"/>
      <c r="DG62058" s="256"/>
    </row>
    <row r="62059" spans="104:111">
      <c r="CZ62059" s="256"/>
      <c r="DG62059" s="256"/>
    </row>
    <row r="62060" spans="104:111">
      <c r="CZ62060" s="256"/>
      <c r="DG62060" s="256"/>
    </row>
    <row r="62061" spans="104:111">
      <c r="CZ62061" s="256"/>
      <c r="DG62061" s="256"/>
    </row>
    <row r="62062" spans="104:111">
      <c r="CZ62062" s="256"/>
      <c r="DG62062" s="256"/>
    </row>
    <row r="62063" spans="104:111">
      <c r="CZ62063" s="256"/>
      <c r="DG62063" s="256"/>
    </row>
    <row r="62064" spans="104:111">
      <c r="CZ62064" s="256"/>
      <c r="DG62064" s="256"/>
    </row>
    <row r="62065" spans="104:111">
      <c r="CZ62065" s="256"/>
      <c r="DG62065" s="256"/>
    </row>
    <row r="62066" spans="104:111">
      <c r="CZ62066" s="256"/>
      <c r="DG62066" s="256"/>
    </row>
    <row r="62067" spans="104:111">
      <c r="CZ62067" s="256"/>
      <c r="DG62067" s="256"/>
    </row>
    <row r="62068" spans="104:111">
      <c r="CZ62068" s="256"/>
      <c r="DG62068" s="256"/>
    </row>
    <row r="62069" spans="104:111">
      <c r="CZ62069" s="256"/>
      <c r="DG62069" s="256"/>
    </row>
    <row r="62070" spans="104:111">
      <c r="CZ62070" s="256"/>
      <c r="DG62070" s="256"/>
    </row>
    <row r="62071" spans="104:111">
      <c r="CZ62071" s="256"/>
      <c r="DG62071" s="256"/>
    </row>
    <row r="62072" spans="104:111">
      <c r="CZ62072" s="256"/>
      <c r="DG62072" s="256"/>
    </row>
    <row r="62073" spans="104:111">
      <c r="CZ62073" s="256"/>
      <c r="DG62073" s="256"/>
    </row>
    <row r="62074" spans="104:111">
      <c r="CZ62074" s="256"/>
      <c r="DG62074" s="256"/>
    </row>
    <row r="62075" spans="104:111">
      <c r="CZ62075" s="256"/>
      <c r="DG62075" s="256"/>
    </row>
    <row r="62076" spans="104:111">
      <c r="CZ62076" s="256"/>
      <c r="DG62076" s="256"/>
    </row>
    <row r="62077" spans="104:111">
      <c r="CZ62077" s="256"/>
      <c r="DG62077" s="256"/>
    </row>
    <row r="62078" spans="104:111">
      <c r="CZ62078" s="256"/>
      <c r="DG62078" s="256"/>
    </row>
    <row r="62079" spans="104:111">
      <c r="CZ62079" s="256"/>
      <c r="DG62079" s="256"/>
    </row>
    <row r="62080" spans="104:111">
      <c r="CZ62080" s="256"/>
      <c r="DG62080" s="256"/>
    </row>
    <row r="62081" spans="104:111">
      <c r="CZ62081" s="256"/>
      <c r="DG62081" s="256"/>
    </row>
    <row r="62082" spans="104:111">
      <c r="CZ62082" s="256"/>
      <c r="DG62082" s="256"/>
    </row>
    <row r="62083" spans="104:111">
      <c r="CZ62083" s="256"/>
      <c r="DG62083" s="256"/>
    </row>
    <row r="62084" spans="104:111">
      <c r="CZ62084" s="256"/>
      <c r="DG62084" s="256"/>
    </row>
    <row r="62085" spans="104:111">
      <c r="CZ62085" s="256"/>
      <c r="DG62085" s="256"/>
    </row>
    <row r="62086" spans="104:111">
      <c r="CZ62086" s="256"/>
      <c r="DG62086" s="256"/>
    </row>
    <row r="62087" spans="104:111">
      <c r="CZ62087" s="256"/>
      <c r="DG62087" s="256"/>
    </row>
    <row r="62088" spans="104:111">
      <c r="CZ62088" s="256"/>
      <c r="DG62088" s="256"/>
    </row>
    <row r="62089" spans="104:111">
      <c r="CZ62089" s="256"/>
      <c r="DG62089" s="256"/>
    </row>
    <row r="62090" spans="104:111">
      <c r="CZ62090" s="256"/>
      <c r="DG62090" s="256"/>
    </row>
    <row r="62091" spans="104:111">
      <c r="CZ62091" s="256"/>
      <c r="DG62091" s="256"/>
    </row>
    <row r="62092" spans="104:111">
      <c r="CZ62092" s="256"/>
      <c r="DG62092" s="256"/>
    </row>
    <row r="62093" spans="104:111">
      <c r="CZ62093" s="256"/>
      <c r="DG62093" s="256"/>
    </row>
    <row r="62094" spans="104:111">
      <c r="CZ62094" s="256"/>
      <c r="DG62094" s="256"/>
    </row>
    <row r="62095" spans="104:111">
      <c r="CZ62095" s="256"/>
      <c r="DG62095" s="256"/>
    </row>
    <row r="62096" spans="104:111">
      <c r="CZ62096" s="256"/>
      <c r="DG62096" s="256"/>
    </row>
    <row r="62097" spans="104:111">
      <c r="CZ62097" s="256"/>
      <c r="DG62097" s="256"/>
    </row>
    <row r="62098" spans="104:111">
      <c r="CZ62098" s="256"/>
      <c r="DG62098" s="256"/>
    </row>
    <row r="62099" spans="104:111">
      <c r="CZ62099" s="256"/>
      <c r="DG62099" s="256"/>
    </row>
    <row r="62100" spans="104:111">
      <c r="CZ62100" s="256"/>
      <c r="DG62100" s="256"/>
    </row>
    <row r="62101" spans="104:111">
      <c r="CZ62101" s="256"/>
      <c r="DG62101" s="256"/>
    </row>
    <row r="62102" spans="104:111">
      <c r="CZ62102" s="256"/>
      <c r="DG62102" s="256"/>
    </row>
    <row r="62103" spans="104:111">
      <c r="CZ62103" s="256"/>
      <c r="DG62103" s="256"/>
    </row>
    <row r="62104" spans="104:111">
      <c r="CZ62104" s="256"/>
      <c r="DG62104" s="256"/>
    </row>
    <row r="62105" spans="104:111">
      <c r="CZ62105" s="256"/>
      <c r="DG62105" s="256"/>
    </row>
    <row r="62106" spans="104:111">
      <c r="CZ62106" s="256"/>
      <c r="DG62106" s="256"/>
    </row>
    <row r="62107" spans="104:111">
      <c r="CZ62107" s="256"/>
      <c r="DG62107" s="256"/>
    </row>
    <row r="62108" spans="104:111">
      <c r="CZ62108" s="256"/>
      <c r="DG62108" s="256"/>
    </row>
    <row r="62109" spans="104:111">
      <c r="CZ62109" s="256"/>
      <c r="DG62109" s="256"/>
    </row>
    <row r="62110" spans="104:111">
      <c r="CZ62110" s="256"/>
      <c r="DG62110" s="256"/>
    </row>
    <row r="62111" spans="104:111">
      <c r="CZ62111" s="256"/>
      <c r="DG62111" s="256"/>
    </row>
    <row r="62112" spans="104:111">
      <c r="CZ62112" s="256"/>
      <c r="DG62112" s="256"/>
    </row>
    <row r="62113" spans="104:111">
      <c r="CZ62113" s="256"/>
      <c r="DG62113" s="256"/>
    </row>
    <row r="62114" spans="104:111">
      <c r="CZ62114" s="256"/>
      <c r="DG62114" s="256"/>
    </row>
    <row r="62115" spans="104:111">
      <c r="CZ62115" s="256"/>
      <c r="DG62115" s="256"/>
    </row>
    <row r="62116" spans="104:111">
      <c r="CZ62116" s="256"/>
      <c r="DG62116" s="256"/>
    </row>
    <row r="62117" spans="104:111">
      <c r="CZ62117" s="256"/>
      <c r="DG62117" s="256"/>
    </row>
    <row r="62118" spans="104:111">
      <c r="CZ62118" s="256"/>
      <c r="DG62118" s="256"/>
    </row>
    <row r="62119" spans="104:111">
      <c r="CZ62119" s="256"/>
      <c r="DG62119" s="256"/>
    </row>
    <row r="62120" spans="104:111">
      <c r="CZ62120" s="256"/>
      <c r="DG62120" s="256"/>
    </row>
    <row r="62121" spans="104:111">
      <c r="CZ62121" s="256"/>
      <c r="DG62121" s="256"/>
    </row>
    <row r="62122" spans="104:111">
      <c r="CZ62122" s="256"/>
      <c r="DG62122" s="256"/>
    </row>
    <row r="62123" spans="104:111">
      <c r="CZ62123" s="256"/>
      <c r="DG62123" s="256"/>
    </row>
    <row r="62124" spans="104:111">
      <c r="CZ62124" s="256"/>
      <c r="DG62124" s="256"/>
    </row>
    <row r="62125" spans="104:111">
      <c r="CZ62125" s="256"/>
      <c r="DG62125" s="256"/>
    </row>
    <row r="62126" spans="104:111">
      <c r="CZ62126" s="256"/>
      <c r="DG62126" s="256"/>
    </row>
    <row r="62127" spans="104:111">
      <c r="CZ62127" s="256"/>
      <c r="DG62127" s="256"/>
    </row>
    <row r="62128" spans="104:111">
      <c r="CZ62128" s="256"/>
      <c r="DG62128" s="256"/>
    </row>
    <row r="62129" spans="104:111">
      <c r="CZ62129" s="256"/>
      <c r="DG62129" s="256"/>
    </row>
    <row r="62130" spans="104:111">
      <c r="CZ62130" s="256"/>
      <c r="DG62130" s="256"/>
    </row>
    <row r="62131" spans="104:111">
      <c r="CZ62131" s="256"/>
      <c r="DG62131" s="256"/>
    </row>
    <row r="62132" spans="104:111">
      <c r="CZ62132" s="256"/>
      <c r="DG62132" s="256"/>
    </row>
    <row r="62133" spans="104:111">
      <c r="CZ62133" s="256"/>
      <c r="DG62133" s="256"/>
    </row>
    <row r="62134" spans="104:111">
      <c r="CZ62134" s="256"/>
      <c r="DG62134" s="256"/>
    </row>
    <row r="62135" spans="104:111">
      <c r="CZ62135" s="256"/>
      <c r="DG62135" s="256"/>
    </row>
    <row r="62136" spans="104:111">
      <c r="CZ62136" s="256"/>
      <c r="DG62136" s="256"/>
    </row>
    <row r="62137" spans="104:111">
      <c r="CZ62137" s="256"/>
      <c r="DG62137" s="256"/>
    </row>
    <row r="62138" spans="104:111">
      <c r="CZ62138" s="256"/>
      <c r="DG62138" s="256"/>
    </row>
    <row r="62139" spans="104:111">
      <c r="CZ62139" s="256"/>
      <c r="DG62139" s="256"/>
    </row>
    <row r="62140" spans="104:111">
      <c r="CZ62140" s="256"/>
      <c r="DG62140" s="256"/>
    </row>
    <row r="62141" spans="104:111">
      <c r="CZ62141" s="256"/>
      <c r="DG62141" s="256"/>
    </row>
    <row r="62142" spans="104:111">
      <c r="CZ62142" s="256"/>
      <c r="DG62142" s="256"/>
    </row>
    <row r="62143" spans="104:111">
      <c r="CZ62143" s="256"/>
      <c r="DG62143" s="256"/>
    </row>
    <row r="62144" spans="104:111">
      <c r="CZ62144" s="256"/>
      <c r="DG62144" s="256"/>
    </row>
    <row r="62145" spans="104:111">
      <c r="CZ62145" s="256"/>
      <c r="DG62145" s="256"/>
    </row>
    <row r="62146" spans="104:111">
      <c r="CZ62146" s="256"/>
      <c r="DG62146" s="256"/>
    </row>
    <row r="62147" spans="104:111">
      <c r="CZ62147" s="256"/>
      <c r="DG62147" s="256"/>
    </row>
    <row r="62148" spans="104:111">
      <c r="CZ62148" s="256"/>
      <c r="DG62148" s="256"/>
    </row>
    <row r="62149" spans="104:111">
      <c r="CZ62149" s="256"/>
      <c r="DG62149" s="256"/>
    </row>
    <row r="62150" spans="104:111">
      <c r="CZ62150" s="256"/>
      <c r="DG62150" s="256"/>
    </row>
    <row r="62151" spans="104:111">
      <c r="CZ62151" s="256"/>
      <c r="DG62151" s="256"/>
    </row>
    <row r="62152" spans="104:111">
      <c r="CZ62152" s="256"/>
      <c r="DG62152" s="256"/>
    </row>
    <row r="62153" spans="104:111">
      <c r="CZ62153" s="256"/>
      <c r="DG62153" s="256"/>
    </row>
    <row r="62154" spans="104:111">
      <c r="CZ62154" s="256"/>
      <c r="DG62154" s="256"/>
    </row>
    <row r="62155" spans="104:111">
      <c r="CZ62155" s="256"/>
      <c r="DG62155" s="256"/>
    </row>
    <row r="62156" spans="104:111">
      <c r="CZ62156" s="256"/>
      <c r="DG62156" s="256"/>
    </row>
    <row r="62157" spans="104:111">
      <c r="CZ62157" s="256"/>
      <c r="DG62157" s="256"/>
    </row>
    <row r="62158" spans="104:111">
      <c r="CZ62158" s="256"/>
      <c r="DG62158" s="256"/>
    </row>
    <row r="62159" spans="104:111">
      <c r="CZ62159" s="256"/>
      <c r="DG62159" s="256"/>
    </row>
    <row r="62160" spans="104:111">
      <c r="CZ62160" s="256"/>
      <c r="DG62160" s="256"/>
    </row>
    <row r="62161" spans="104:111">
      <c r="CZ62161" s="256"/>
      <c r="DG62161" s="256"/>
    </row>
    <row r="62162" spans="104:111">
      <c r="CZ62162" s="256"/>
      <c r="DG62162" s="256"/>
    </row>
    <row r="62163" spans="104:111">
      <c r="CZ62163" s="256"/>
      <c r="DG62163" s="256"/>
    </row>
    <row r="62164" spans="104:111">
      <c r="CZ62164" s="256"/>
      <c r="DG62164" s="256"/>
    </row>
    <row r="62165" spans="104:111">
      <c r="CZ62165" s="256"/>
      <c r="DG62165" s="256"/>
    </row>
    <row r="62166" spans="104:111">
      <c r="CZ62166" s="256"/>
      <c r="DG62166" s="256"/>
    </row>
    <row r="62167" spans="104:111">
      <c r="CZ62167" s="256"/>
      <c r="DG62167" s="256"/>
    </row>
    <row r="62168" spans="104:111">
      <c r="CZ62168" s="256"/>
      <c r="DG62168" s="256"/>
    </row>
    <row r="62169" spans="104:111">
      <c r="CZ62169" s="256"/>
      <c r="DG62169" s="256"/>
    </row>
    <row r="62170" spans="104:111">
      <c r="CZ62170" s="256"/>
      <c r="DG62170" s="256"/>
    </row>
    <row r="62171" spans="104:111">
      <c r="CZ62171" s="256"/>
      <c r="DG62171" s="256"/>
    </row>
    <row r="62172" spans="104:111">
      <c r="CZ62172" s="256"/>
      <c r="DG62172" s="256"/>
    </row>
    <row r="62173" spans="104:111">
      <c r="CZ62173" s="256"/>
      <c r="DG62173" s="256"/>
    </row>
    <row r="62174" spans="104:111">
      <c r="CZ62174" s="256"/>
      <c r="DG62174" s="256"/>
    </row>
    <row r="62175" spans="104:111">
      <c r="CZ62175" s="256"/>
      <c r="DG62175" s="256"/>
    </row>
    <row r="62176" spans="104:111">
      <c r="CZ62176" s="256"/>
      <c r="DG62176" s="256"/>
    </row>
    <row r="62177" spans="104:111">
      <c r="CZ62177" s="256"/>
      <c r="DG62177" s="256"/>
    </row>
    <row r="62178" spans="104:111">
      <c r="CZ62178" s="256"/>
      <c r="DG62178" s="256"/>
    </row>
    <row r="62179" spans="104:111">
      <c r="CZ62179" s="256"/>
      <c r="DG62179" s="256"/>
    </row>
    <row r="62180" spans="104:111">
      <c r="CZ62180" s="256"/>
      <c r="DG62180" s="256"/>
    </row>
    <row r="62181" spans="104:111">
      <c r="CZ62181" s="256"/>
      <c r="DG62181" s="256"/>
    </row>
    <row r="62182" spans="104:111">
      <c r="CZ62182" s="256"/>
      <c r="DG62182" s="256"/>
    </row>
    <row r="62183" spans="104:111">
      <c r="CZ62183" s="256"/>
      <c r="DG62183" s="256"/>
    </row>
    <row r="62184" spans="104:111">
      <c r="CZ62184" s="256"/>
      <c r="DG62184" s="256"/>
    </row>
    <row r="62185" spans="104:111">
      <c r="CZ62185" s="256"/>
      <c r="DG62185" s="256"/>
    </row>
    <row r="62186" spans="104:111">
      <c r="CZ62186" s="256"/>
      <c r="DG62186" s="256"/>
    </row>
    <row r="62187" spans="104:111">
      <c r="CZ62187" s="256"/>
      <c r="DG62187" s="256"/>
    </row>
    <row r="62188" spans="104:111">
      <c r="CZ62188" s="256"/>
      <c r="DG62188" s="256"/>
    </row>
    <row r="62189" spans="104:111">
      <c r="CZ62189" s="256"/>
      <c r="DG62189" s="256"/>
    </row>
    <row r="62190" spans="104:111">
      <c r="CZ62190" s="256"/>
      <c r="DG62190" s="256"/>
    </row>
    <row r="62191" spans="104:111">
      <c r="CZ62191" s="256"/>
      <c r="DG62191" s="256"/>
    </row>
    <row r="62192" spans="104:111">
      <c r="CZ62192" s="256"/>
      <c r="DG62192" s="256"/>
    </row>
    <row r="62193" spans="104:111">
      <c r="CZ62193" s="256"/>
      <c r="DG62193" s="256"/>
    </row>
    <row r="62194" spans="104:111">
      <c r="CZ62194" s="256"/>
      <c r="DG62194" s="256"/>
    </row>
    <row r="62195" spans="104:111">
      <c r="CZ62195" s="256"/>
      <c r="DG62195" s="256"/>
    </row>
    <row r="62196" spans="104:111">
      <c r="CZ62196" s="256"/>
      <c r="DG62196" s="256"/>
    </row>
    <row r="62197" spans="104:111">
      <c r="CZ62197" s="256"/>
      <c r="DG62197" s="256"/>
    </row>
    <row r="62198" spans="104:111">
      <c r="CZ62198" s="256"/>
      <c r="DG62198" s="256"/>
    </row>
    <row r="62199" spans="104:111">
      <c r="CZ62199" s="256"/>
      <c r="DG62199" s="256"/>
    </row>
    <row r="62200" spans="104:111">
      <c r="CZ62200" s="256"/>
      <c r="DG62200" s="256"/>
    </row>
    <row r="62201" spans="104:111">
      <c r="CZ62201" s="256"/>
      <c r="DG62201" s="256"/>
    </row>
    <row r="62202" spans="104:111">
      <c r="CZ62202" s="256"/>
      <c r="DG62202" s="256"/>
    </row>
    <row r="62203" spans="104:111">
      <c r="CZ62203" s="256"/>
      <c r="DG62203" s="256"/>
    </row>
    <row r="62204" spans="104:111">
      <c r="CZ62204" s="256"/>
      <c r="DG62204" s="256"/>
    </row>
    <row r="62205" spans="104:111">
      <c r="CZ62205" s="256"/>
      <c r="DG62205" s="256"/>
    </row>
    <row r="62206" spans="104:111">
      <c r="CZ62206" s="256"/>
      <c r="DG62206" s="256"/>
    </row>
    <row r="62207" spans="104:111">
      <c r="CZ62207" s="256"/>
      <c r="DG62207" s="256"/>
    </row>
    <row r="62208" spans="104:111">
      <c r="CZ62208" s="256"/>
      <c r="DG62208" s="256"/>
    </row>
    <row r="62209" spans="104:111">
      <c r="CZ62209" s="256"/>
      <c r="DG62209" s="256"/>
    </row>
    <row r="62210" spans="104:111">
      <c r="CZ62210" s="256"/>
      <c r="DG62210" s="256"/>
    </row>
    <row r="62211" spans="104:111">
      <c r="CZ62211" s="256"/>
      <c r="DG62211" s="256"/>
    </row>
    <row r="62212" spans="104:111">
      <c r="CZ62212" s="256"/>
      <c r="DG62212" s="256"/>
    </row>
    <row r="62213" spans="104:111">
      <c r="CZ62213" s="256"/>
      <c r="DG62213" s="256"/>
    </row>
    <row r="62214" spans="104:111">
      <c r="CZ62214" s="256"/>
      <c r="DG62214" s="256"/>
    </row>
    <row r="62215" spans="104:111">
      <c r="CZ62215" s="256"/>
      <c r="DG62215" s="256"/>
    </row>
    <row r="62216" spans="104:111">
      <c r="CZ62216" s="256"/>
      <c r="DG62216" s="256"/>
    </row>
    <row r="62217" spans="104:111">
      <c r="CZ62217" s="256"/>
      <c r="DG62217" s="256"/>
    </row>
    <row r="62218" spans="104:111">
      <c r="CZ62218" s="256"/>
      <c r="DG62218" s="256"/>
    </row>
    <row r="62219" spans="104:111">
      <c r="CZ62219" s="256"/>
      <c r="DG62219" s="256"/>
    </row>
    <row r="62220" spans="104:111">
      <c r="CZ62220" s="256"/>
      <c r="DG62220" s="256"/>
    </row>
    <row r="62221" spans="104:111">
      <c r="CZ62221" s="256"/>
      <c r="DG62221" s="256"/>
    </row>
    <row r="62222" spans="104:111">
      <c r="CZ62222" s="256"/>
      <c r="DG62222" s="256"/>
    </row>
    <row r="62223" spans="104:111">
      <c r="CZ62223" s="256"/>
      <c r="DG62223" s="256"/>
    </row>
    <row r="62224" spans="104:111">
      <c r="CZ62224" s="256"/>
      <c r="DG62224" s="256"/>
    </row>
    <row r="62225" spans="104:111">
      <c r="CZ62225" s="256"/>
      <c r="DG62225" s="256"/>
    </row>
    <row r="62226" spans="104:111">
      <c r="CZ62226" s="256"/>
      <c r="DG62226" s="256"/>
    </row>
    <row r="62227" spans="104:111">
      <c r="CZ62227" s="256"/>
      <c r="DG62227" s="256"/>
    </row>
    <row r="62228" spans="104:111">
      <c r="CZ62228" s="256"/>
      <c r="DG62228" s="256"/>
    </row>
    <row r="62229" spans="104:111">
      <c r="CZ62229" s="256"/>
      <c r="DG62229" s="256"/>
    </row>
    <row r="62230" spans="104:111">
      <c r="CZ62230" s="256"/>
      <c r="DG62230" s="256"/>
    </row>
    <row r="62231" spans="104:111">
      <c r="CZ62231" s="256"/>
      <c r="DG62231" s="256"/>
    </row>
    <row r="62232" spans="104:111">
      <c r="CZ62232" s="256"/>
      <c r="DG62232" s="256"/>
    </row>
    <row r="62233" spans="104:111">
      <c r="CZ62233" s="256"/>
      <c r="DG62233" s="256"/>
    </row>
    <row r="62234" spans="104:111">
      <c r="CZ62234" s="256"/>
      <c r="DG62234" s="256"/>
    </row>
    <row r="62235" spans="104:111">
      <c r="CZ62235" s="256"/>
      <c r="DG62235" s="256"/>
    </row>
    <row r="62236" spans="104:111">
      <c r="CZ62236" s="256"/>
      <c r="DG62236" s="256"/>
    </row>
    <row r="62237" spans="104:111">
      <c r="CZ62237" s="256"/>
      <c r="DG62237" s="256"/>
    </row>
    <row r="62238" spans="104:111">
      <c r="CZ62238" s="256"/>
      <c r="DG62238" s="256"/>
    </row>
    <row r="62239" spans="104:111">
      <c r="CZ62239" s="256"/>
      <c r="DG62239" s="256"/>
    </row>
    <row r="62240" spans="104:111">
      <c r="CZ62240" s="256"/>
      <c r="DG62240" s="256"/>
    </row>
    <row r="62241" spans="104:111">
      <c r="CZ62241" s="256"/>
      <c r="DG62241" s="256"/>
    </row>
    <row r="62242" spans="104:111">
      <c r="CZ62242" s="256"/>
      <c r="DG62242" s="256"/>
    </row>
    <row r="62243" spans="104:111">
      <c r="CZ62243" s="256"/>
      <c r="DG62243" s="256"/>
    </row>
    <row r="62244" spans="104:111">
      <c r="CZ62244" s="256"/>
      <c r="DG62244" s="256"/>
    </row>
    <row r="62245" spans="104:111">
      <c r="CZ62245" s="256"/>
      <c r="DG62245" s="256"/>
    </row>
    <row r="62246" spans="104:111">
      <c r="CZ62246" s="256"/>
      <c r="DG62246" s="256"/>
    </row>
    <row r="62247" spans="104:111">
      <c r="CZ62247" s="256"/>
      <c r="DG62247" s="256"/>
    </row>
    <row r="62248" spans="104:111">
      <c r="CZ62248" s="256"/>
      <c r="DG62248" s="256"/>
    </row>
    <row r="62249" spans="104:111">
      <c r="CZ62249" s="256"/>
      <c r="DG62249" s="256"/>
    </row>
    <row r="62250" spans="104:111">
      <c r="CZ62250" s="256"/>
      <c r="DG62250" s="256"/>
    </row>
    <row r="62251" spans="104:111">
      <c r="CZ62251" s="256"/>
      <c r="DG62251" s="256"/>
    </row>
    <row r="62252" spans="104:111">
      <c r="CZ62252" s="256"/>
      <c r="DG62252" s="256"/>
    </row>
    <row r="62253" spans="104:111">
      <c r="CZ62253" s="256"/>
      <c r="DG62253" s="256"/>
    </row>
    <row r="62254" spans="104:111">
      <c r="CZ62254" s="256"/>
      <c r="DG62254" s="256"/>
    </row>
    <row r="62255" spans="104:111">
      <c r="CZ62255" s="256"/>
      <c r="DG62255" s="256"/>
    </row>
    <row r="62256" spans="104:111">
      <c r="CZ62256" s="256"/>
      <c r="DG62256" s="256"/>
    </row>
    <row r="62257" spans="104:111">
      <c r="CZ62257" s="256"/>
      <c r="DG62257" s="256"/>
    </row>
    <row r="62258" spans="104:111">
      <c r="CZ62258" s="256"/>
      <c r="DG62258" s="256"/>
    </row>
    <row r="62259" spans="104:111">
      <c r="CZ62259" s="256"/>
      <c r="DG62259" s="256"/>
    </row>
    <row r="62260" spans="104:111">
      <c r="CZ62260" s="256"/>
      <c r="DG62260" s="256"/>
    </row>
    <row r="62261" spans="104:111">
      <c r="CZ62261" s="256"/>
      <c r="DG62261" s="256"/>
    </row>
    <row r="62262" spans="104:111">
      <c r="CZ62262" s="256"/>
      <c r="DG62262" s="256"/>
    </row>
    <row r="62263" spans="104:111">
      <c r="CZ62263" s="256"/>
      <c r="DG62263" s="256"/>
    </row>
    <row r="62264" spans="104:111">
      <c r="CZ62264" s="256"/>
      <c r="DG62264" s="256"/>
    </row>
    <row r="62265" spans="104:111">
      <c r="CZ62265" s="256"/>
      <c r="DG62265" s="256"/>
    </row>
    <row r="62266" spans="104:111">
      <c r="CZ62266" s="256"/>
      <c r="DG62266" s="256"/>
    </row>
    <row r="62267" spans="104:111">
      <c r="CZ62267" s="256"/>
      <c r="DG62267" s="256"/>
    </row>
    <row r="62268" spans="104:111">
      <c r="CZ62268" s="256"/>
      <c r="DG62268" s="256"/>
    </row>
    <row r="62269" spans="104:111">
      <c r="CZ62269" s="256"/>
      <c r="DG62269" s="256"/>
    </row>
    <row r="62270" spans="104:111">
      <c r="CZ62270" s="256"/>
      <c r="DG62270" s="256"/>
    </row>
    <row r="62271" spans="104:111">
      <c r="CZ62271" s="256"/>
      <c r="DG62271" s="256"/>
    </row>
    <row r="62272" spans="104:111">
      <c r="CZ62272" s="256"/>
      <c r="DG62272" s="256"/>
    </row>
    <row r="62273" spans="104:111">
      <c r="CZ62273" s="256"/>
      <c r="DG62273" s="256"/>
    </row>
    <row r="62274" spans="104:111">
      <c r="CZ62274" s="256"/>
      <c r="DG62274" s="256"/>
    </row>
    <row r="62275" spans="104:111">
      <c r="CZ62275" s="256"/>
      <c r="DG62275" s="256"/>
    </row>
    <row r="62276" spans="104:111">
      <c r="CZ62276" s="256"/>
      <c r="DG62276" s="256"/>
    </row>
    <row r="62277" spans="104:111">
      <c r="CZ62277" s="256"/>
      <c r="DG62277" s="256"/>
    </row>
    <row r="62278" spans="104:111">
      <c r="CZ62278" s="256"/>
      <c r="DG62278" s="256"/>
    </row>
    <row r="62279" spans="104:111">
      <c r="CZ62279" s="256"/>
      <c r="DG62279" s="256"/>
    </row>
    <row r="62280" spans="104:111">
      <c r="CZ62280" s="256"/>
      <c r="DG62280" s="256"/>
    </row>
    <row r="62281" spans="104:111">
      <c r="CZ62281" s="256"/>
      <c r="DG62281" s="256"/>
    </row>
    <row r="62282" spans="104:111">
      <c r="CZ62282" s="256"/>
      <c r="DG62282" s="256"/>
    </row>
    <row r="62283" spans="104:111">
      <c r="CZ62283" s="256"/>
      <c r="DG62283" s="256"/>
    </row>
    <row r="62284" spans="104:111">
      <c r="CZ62284" s="256"/>
      <c r="DG62284" s="256"/>
    </row>
    <row r="62285" spans="104:111">
      <c r="CZ62285" s="256"/>
      <c r="DG62285" s="256"/>
    </row>
    <row r="62286" spans="104:111">
      <c r="CZ62286" s="256"/>
      <c r="DG62286" s="256"/>
    </row>
    <row r="62287" spans="104:111">
      <c r="CZ62287" s="256"/>
      <c r="DG62287" s="256"/>
    </row>
    <row r="62288" spans="104:111">
      <c r="CZ62288" s="256"/>
      <c r="DG62288" s="256"/>
    </row>
    <row r="62289" spans="104:111">
      <c r="CZ62289" s="256"/>
      <c r="DG62289" s="256"/>
    </row>
    <row r="62290" spans="104:111">
      <c r="CZ62290" s="256"/>
      <c r="DG62290" s="256"/>
    </row>
    <row r="62291" spans="104:111">
      <c r="CZ62291" s="256"/>
      <c r="DG62291" s="256"/>
    </row>
    <row r="62292" spans="104:111">
      <c r="CZ62292" s="256"/>
      <c r="DG62292" s="256"/>
    </row>
    <row r="62293" spans="104:111">
      <c r="CZ62293" s="256"/>
      <c r="DG62293" s="256"/>
    </row>
    <row r="62294" spans="104:111">
      <c r="CZ62294" s="256"/>
      <c r="DG62294" s="256"/>
    </row>
    <row r="62295" spans="104:111">
      <c r="CZ62295" s="256"/>
      <c r="DG62295" s="256"/>
    </row>
    <row r="62296" spans="104:111">
      <c r="CZ62296" s="256"/>
      <c r="DG62296" s="256"/>
    </row>
    <row r="62297" spans="104:111">
      <c r="CZ62297" s="256"/>
      <c r="DG62297" s="256"/>
    </row>
    <row r="62298" spans="104:111">
      <c r="CZ62298" s="256"/>
      <c r="DG62298" s="256"/>
    </row>
    <row r="62299" spans="104:111">
      <c r="CZ62299" s="256"/>
      <c r="DG62299" s="256"/>
    </row>
    <row r="62300" spans="104:111">
      <c r="CZ62300" s="256"/>
      <c r="DG62300" s="256"/>
    </row>
    <row r="62301" spans="104:111">
      <c r="CZ62301" s="256"/>
      <c r="DG62301" s="256"/>
    </row>
    <row r="62302" spans="104:111">
      <c r="CZ62302" s="256"/>
      <c r="DG62302" s="256"/>
    </row>
    <row r="62303" spans="104:111">
      <c r="CZ62303" s="256"/>
      <c r="DG62303" s="256"/>
    </row>
    <row r="62304" spans="104:111">
      <c r="CZ62304" s="256"/>
      <c r="DG62304" s="256"/>
    </row>
    <row r="62305" spans="104:111">
      <c r="CZ62305" s="256"/>
      <c r="DG62305" s="256"/>
    </row>
    <row r="62306" spans="104:111">
      <c r="CZ62306" s="256"/>
      <c r="DG62306" s="256"/>
    </row>
    <row r="62307" spans="104:111">
      <c r="CZ62307" s="256"/>
      <c r="DG62307" s="256"/>
    </row>
    <row r="62308" spans="104:111">
      <c r="CZ62308" s="256"/>
      <c r="DG62308" s="256"/>
    </row>
    <row r="62309" spans="104:111">
      <c r="CZ62309" s="256"/>
      <c r="DG62309" s="256"/>
    </row>
    <row r="62310" spans="104:111">
      <c r="CZ62310" s="256"/>
      <c r="DG62310" s="256"/>
    </row>
    <row r="62311" spans="104:111">
      <c r="CZ62311" s="256"/>
      <c r="DG62311" s="256"/>
    </row>
    <row r="62312" spans="104:111">
      <c r="CZ62312" s="256"/>
      <c r="DG62312" s="256"/>
    </row>
    <row r="62313" spans="104:111">
      <c r="CZ62313" s="256"/>
      <c r="DG62313" s="256"/>
    </row>
    <row r="62314" spans="104:111">
      <c r="CZ62314" s="256"/>
      <c r="DG62314" s="256"/>
    </row>
    <row r="62315" spans="104:111">
      <c r="CZ62315" s="256"/>
      <c r="DG62315" s="256"/>
    </row>
    <row r="62316" spans="104:111">
      <c r="CZ62316" s="256"/>
      <c r="DG62316" s="256"/>
    </row>
    <row r="62317" spans="104:111">
      <c r="CZ62317" s="256"/>
      <c r="DG62317" s="256"/>
    </row>
    <row r="62318" spans="104:111">
      <c r="CZ62318" s="256"/>
      <c r="DG62318" s="256"/>
    </row>
    <row r="62319" spans="104:111">
      <c r="CZ62319" s="256"/>
      <c r="DG62319" s="256"/>
    </row>
    <row r="62320" spans="104:111">
      <c r="CZ62320" s="256"/>
      <c r="DG62320" s="256"/>
    </row>
    <row r="62321" spans="104:111">
      <c r="CZ62321" s="256"/>
      <c r="DG62321" s="256"/>
    </row>
    <row r="62322" spans="104:111">
      <c r="CZ62322" s="256"/>
      <c r="DG62322" s="256"/>
    </row>
    <row r="62323" spans="104:111">
      <c r="CZ62323" s="256"/>
      <c r="DG62323" s="256"/>
    </row>
    <row r="62324" spans="104:111">
      <c r="CZ62324" s="256"/>
      <c r="DG62324" s="256"/>
    </row>
    <row r="62325" spans="104:111">
      <c r="CZ62325" s="256"/>
      <c r="DG62325" s="256"/>
    </row>
    <row r="62326" spans="104:111">
      <c r="CZ62326" s="256"/>
      <c r="DG62326" s="256"/>
    </row>
    <row r="62327" spans="104:111">
      <c r="CZ62327" s="256"/>
      <c r="DG62327" s="256"/>
    </row>
    <row r="62328" spans="104:111">
      <c r="CZ62328" s="256"/>
      <c r="DG62328" s="256"/>
    </row>
    <row r="62329" spans="104:111">
      <c r="CZ62329" s="256"/>
      <c r="DG62329" s="256"/>
    </row>
    <row r="62330" spans="104:111">
      <c r="CZ62330" s="256"/>
      <c r="DG62330" s="256"/>
    </row>
    <row r="62331" spans="104:111">
      <c r="CZ62331" s="256"/>
      <c r="DG62331" s="256"/>
    </row>
    <row r="62332" spans="104:111">
      <c r="CZ62332" s="256"/>
      <c r="DG62332" s="256"/>
    </row>
    <row r="62333" spans="104:111">
      <c r="CZ62333" s="256"/>
      <c r="DG62333" s="256"/>
    </row>
    <row r="62334" spans="104:111">
      <c r="CZ62334" s="256"/>
      <c r="DG62334" s="256"/>
    </row>
    <row r="62335" spans="104:111">
      <c r="CZ62335" s="256"/>
      <c r="DG62335" s="256"/>
    </row>
    <row r="62336" spans="104:111">
      <c r="CZ62336" s="256"/>
      <c r="DG62336" s="256"/>
    </row>
    <row r="62337" spans="104:111">
      <c r="CZ62337" s="256"/>
      <c r="DG62337" s="256"/>
    </row>
    <row r="62338" spans="104:111">
      <c r="CZ62338" s="256"/>
      <c r="DG62338" s="256"/>
    </row>
    <row r="62339" spans="104:111">
      <c r="CZ62339" s="256"/>
      <c r="DG62339" s="256"/>
    </row>
    <row r="62340" spans="104:111">
      <c r="CZ62340" s="256"/>
      <c r="DG62340" s="256"/>
    </row>
    <row r="62341" spans="104:111">
      <c r="CZ62341" s="256"/>
      <c r="DG62341" s="256"/>
    </row>
    <row r="62342" spans="104:111">
      <c r="CZ62342" s="256"/>
      <c r="DG62342" s="256"/>
    </row>
    <row r="62343" spans="104:111">
      <c r="CZ62343" s="256"/>
      <c r="DG62343" s="256"/>
    </row>
    <row r="62344" spans="104:111">
      <c r="CZ62344" s="256"/>
      <c r="DG62344" s="256"/>
    </row>
    <row r="62345" spans="104:111">
      <c r="CZ62345" s="256"/>
      <c r="DG62345" s="256"/>
    </row>
    <row r="62346" spans="104:111">
      <c r="CZ62346" s="256"/>
      <c r="DG62346" s="256"/>
    </row>
    <row r="62347" spans="104:111">
      <c r="CZ62347" s="256"/>
      <c r="DG62347" s="256"/>
    </row>
    <row r="62348" spans="104:111">
      <c r="CZ62348" s="256"/>
      <c r="DG62348" s="256"/>
    </row>
    <row r="62349" spans="104:111">
      <c r="CZ62349" s="256"/>
      <c r="DG62349" s="256"/>
    </row>
    <row r="62350" spans="104:111">
      <c r="CZ62350" s="256"/>
      <c r="DG62350" s="256"/>
    </row>
    <row r="62351" spans="104:111">
      <c r="CZ62351" s="256"/>
      <c r="DG62351" s="256"/>
    </row>
    <row r="62352" spans="104:111">
      <c r="CZ62352" s="256"/>
      <c r="DG62352" s="256"/>
    </row>
    <row r="62353" spans="104:111">
      <c r="CZ62353" s="256"/>
      <c r="DG62353" s="256"/>
    </row>
    <row r="62354" spans="104:111">
      <c r="CZ62354" s="256"/>
      <c r="DG62354" s="256"/>
    </row>
    <row r="62355" spans="104:111">
      <c r="CZ62355" s="256"/>
      <c r="DG62355" s="256"/>
    </row>
    <row r="62356" spans="104:111">
      <c r="CZ62356" s="256"/>
      <c r="DG62356" s="256"/>
    </row>
    <row r="62357" spans="104:111">
      <c r="CZ62357" s="256"/>
      <c r="DG62357" s="256"/>
    </row>
    <row r="62358" spans="104:111">
      <c r="CZ62358" s="256"/>
      <c r="DG62358" s="256"/>
    </row>
    <row r="62359" spans="104:111">
      <c r="CZ62359" s="256"/>
      <c r="DG62359" s="256"/>
    </row>
    <row r="62360" spans="104:111">
      <c r="CZ62360" s="256"/>
      <c r="DG62360" s="256"/>
    </row>
    <row r="62361" spans="104:111">
      <c r="CZ62361" s="256"/>
      <c r="DG62361" s="256"/>
    </row>
    <row r="62362" spans="104:111">
      <c r="CZ62362" s="256"/>
      <c r="DG62362" s="256"/>
    </row>
    <row r="62363" spans="104:111">
      <c r="CZ62363" s="256"/>
      <c r="DG62363" s="256"/>
    </row>
    <row r="62364" spans="104:111">
      <c r="CZ62364" s="256"/>
      <c r="DG62364" s="256"/>
    </row>
    <row r="62365" spans="104:111">
      <c r="CZ62365" s="256"/>
      <c r="DG62365" s="256"/>
    </row>
    <row r="62366" spans="104:111">
      <c r="CZ62366" s="256"/>
      <c r="DG62366" s="256"/>
    </row>
    <row r="62367" spans="104:111">
      <c r="CZ62367" s="256"/>
      <c r="DG62367" s="256"/>
    </row>
    <row r="62368" spans="104:111">
      <c r="CZ62368" s="256"/>
      <c r="DG62368" s="256"/>
    </row>
    <row r="62369" spans="104:111">
      <c r="CZ62369" s="256"/>
      <c r="DG62369" s="256"/>
    </row>
    <row r="62370" spans="104:111">
      <c r="CZ62370" s="256"/>
      <c r="DG62370" s="256"/>
    </row>
    <row r="62371" spans="104:111">
      <c r="CZ62371" s="256"/>
      <c r="DG62371" s="256"/>
    </row>
    <row r="62372" spans="104:111">
      <c r="CZ62372" s="256"/>
      <c r="DG62372" s="256"/>
    </row>
    <row r="62373" spans="104:111">
      <c r="CZ62373" s="256"/>
      <c r="DG62373" s="256"/>
    </row>
    <row r="62374" spans="104:111">
      <c r="CZ62374" s="256"/>
      <c r="DG62374" s="256"/>
    </row>
    <row r="62375" spans="104:111">
      <c r="CZ62375" s="256"/>
      <c r="DG62375" s="256"/>
    </row>
    <row r="62376" spans="104:111">
      <c r="CZ62376" s="256"/>
      <c r="DG62376" s="256"/>
    </row>
    <row r="62377" spans="104:111">
      <c r="CZ62377" s="256"/>
      <c r="DG62377" s="256"/>
    </row>
    <row r="62378" spans="104:111">
      <c r="CZ62378" s="256"/>
      <c r="DG62378" s="256"/>
    </row>
    <row r="62379" spans="104:111">
      <c r="CZ62379" s="256"/>
      <c r="DG62379" s="256"/>
    </row>
    <row r="62380" spans="104:111">
      <c r="CZ62380" s="256"/>
      <c r="DG62380" s="256"/>
    </row>
    <row r="62381" spans="104:111">
      <c r="CZ62381" s="256"/>
      <c r="DG62381" s="256"/>
    </row>
    <row r="62382" spans="104:111">
      <c r="CZ62382" s="256"/>
      <c r="DG62382" s="256"/>
    </row>
    <row r="62383" spans="104:111">
      <c r="CZ62383" s="256"/>
      <c r="DG62383" s="256"/>
    </row>
    <row r="62384" spans="104:111">
      <c r="CZ62384" s="256"/>
      <c r="DG62384" s="256"/>
    </row>
    <row r="62385" spans="104:111">
      <c r="CZ62385" s="256"/>
      <c r="DG62385" s="256"/>
    </row>
    <row r="62386" spans="104:111">
      <c r="CZ62386" s="256"/>
      <c r="DG62386" s="256"/>
    </row>
    <row r="62387" spans="104:111">
      <c r="CZ62387" s="256"/>
      <c r="DG62387" s="256"/>
    </row>
    <row r="62388" spans="104:111">
      <c r="CZ62388" s="256"/>
      <c r="DG62388" s="256"/>
    </row>
    <row r="62389" spans="104:111">
      <c r="CZ62389" s="256"/>
      <c r="DG62389" s="256"/>
    </row>
    <row r="62390" spans="104:111">
      <c r="CZ62390" s="256"/>
      <c r="DG62390" s="256"/>
    </row>
    <row r="62391" spans="104:111">
      <c r="CZ62391" s="256"/>
      <c r="DG62391" s="256"/>
    </row>
    <row r="62392" spans="104:111">
      <c r="CZ62392" s="256"/>
      <c r="DG62392" s="256"/>
    </row>
    <row r="62393" spans="104:111">
      <c r="CZ62393" s="256"/>
      <c r="DG62393" s="256"/>
    </row>
    <row r="62394" spans="104:111">
      <c r="CZ62394" s="256"/>
      <c r="DG62394" s="256"/>
    </row>
    <row r="62395" spans="104:111">
      <c r="CZ62395" s="256"/>
      <c r="DG62395" s="256"/>
    </row>
    <row r="62396" spans="104:111">
      <c r="CZ62396" s="256"/>
      <c r="DG62396" s="256"/>
    </row>
    <row r="62397" spans="104:111">
      <c r="CZ62397" s="256"/>
      <c r="DG62397" s="256"/>
    </row>
    <row r="62398" spans="104:111">
      <c r="CZ62398" s="256"/>
      <c r="DG62398" s="256"/>
    </row>
    <row r="62399" spans="104:111">
      <c r="CZ62399" s="256"/>
      <c r="DG62399" s="256"/>
    </row>
    <row r="62400" spans="104:111">
      <c r="CZ62400" s="256"/>
      <c r="DG62400" s="256"/>
    </row>
    <row r="62401" spans="104:111">
      <c r="CZ62401" s="256"/>
      <c r="DG62401" s="256"/>
    </row>
    <row r="62402" spans="104:111">
      <c r="CZ62402" s="256"/>
      <c r="DG62402" s="256"/>
    </row>
    <row r="62403" spans="104:111">
      <c r="CZ62403" s="256"/>
      <c r="DG62403" s="256"/>
    </row>
    <row r="62404" spans="104:111">
      <c r="CZ62404" s="256"/>
      <c r="DG62404" s="256"/>
    </row>
    <row r="62405" spans="104:111">
      <c r="CZ62405" s="256"/>
      <c r="DG62405" s="256"/>
    </row>
    <row r="62406" spans="104:111">
      <c r="CZ62406" s="256"/>
      <c r="DG62406" s="256"/>
    </row>
    <row r="62407" spans="104:111">
      <c r="CZ62407" s="256"/>
      <c r="DG62407" s="256"/>
    </row>
    <row r="62408" spans="104:111">
      <c r="CZ62408" s="256"/>
      <c r="DG62408" s="256"/>
    </row>
    <row r="62409" spans="104:111">
      <c r="CZ62409" s="256"/>
      <c r="DG62409" s="256"/>
    </row>
    <row r="62410" spans="104:111">
      <c r="CZ62410" s="256"/>
      <c r="DG62410" s="256"/>
    </row>
    <row r="62411" spans="104:111">
      <c r="CZ62411" s="256"/>
      <c r="DG62411" s="256"/>
    </row>
    <row r="62412" spans="104:111">
      <c r="CZ62412" s="256"/>
      <c r="DG62412" s="256"/>
    </row>
    <row r="62413" spans="104:111">
      <c r="CZ62413" s="256"/>
      <c r="DG62413" s="256"/>
    </row>
    <row r="62414" spans="104:111">
      <c r="CZ62414" s="256"/>
      <c r="DG62414" s="256"/>
    </row>
    <row r="62415" spans="104:111">
      <c r="CZ62415" s="256"/>
      <c r="DG62415" s="256"/>
    </row>
    <row r="62416" spans="104:111">
      <c r="CZ62416" s="256"/>
      <c r="DG62416" s="256"/>
    </row>
    <row r="62417" spans="104:111">
      <c r="CZ62417" s="256"/>
      <c r="DG62417" s="256"/>
    </row>
    <row r="62418" spans="104:111">
      <c r="CZ62418" s="256"/>
      <c r="DG62418" s="256"/>
    </row>
    <row r="62419" spans="104:111">
      <c r="CZ62419" s="256"/>
      <c r="DG62419" s="256"/>
    </row>
    <row r="62420" spans="104:111">
      <c r="CZ62420" s="256"/>
      <c r="DG62420" s="256"/>
    </row>
    <row r="62421" spans="104:111">
      <c r="CZ62421" s="256"/>
      <c r="DG62421" s="256"/>
    </row>
    <row r="62422" spans="104:111">
      <c r="CZ62422" s="256"/>
      <c r="DG62422" s="256"/>
    </row>
    <row r="62423" spans="104:111">
      <c r="CZ62423" s="256"/>
      <c r="DG62423" s="256"/>
    </row>
    <row r="62424" spans="104:111">
      <c r="CZ62424" s="256"/>
      <c r="DG62424" s="256"/>
    </row>
    <row r="62425" spans="104:111">
      <c r="CZ62425" s="256"/>
      <c r="DG62425" s="256"/>
    </row>
    <row r="62426" spans="104:111">
      <c r="CZ62426" s="256"/>
      <c r="DG62426" s="256"/>
    </row>
    <row r="62427" spans="104:111">
      <c r="CZ62427" s="256"/>
      <c r="DG62427" s="256"/>
    </row>
    <row r="62428" spans="104:111">
      <c r="CZ62428" s="256"/>
      <c r="DG62428" s="256"/>
    </row>
    <row r="62429" spans="104:111">
      <c r="CZ62429" s="256"/>
      <c r="DG62429" s="256"/>
    </row>
    <row r="62430" spans="104:111">
      <c r="CZ62430" s="256"/>
      <c r="DG62430" s="256"/>
    </row>
    <row r="62431" spans="104:111">
      <c r="CZ62431" s="256"/>
      <c r="DG62431" s="256"/>
    </row>
    <row r="62432" spans="104:111">
      <c r="CZ62432" s="256"/>
      <c r="DG62432" s="256"/>
    </row>
    <row r="62433" spans="104:111">
      <c r="CZ62433" s="256"/>
      <c r="DG62433" s="256"/>
    </row>
    <row r="62434" spans="104:111">
      <c r="CZ62434" s="256"/>
      <c r="DG62434" s="256"/>
    </row>
    <row r="62435" spans="104:111">
      <c r="CZ62435" s="256"/>
      <c r="DG62435" s="256"/>
    </row>
    <row r="62436" spans="104:111">
      <c r="CZ62436" s="256"/>
      <c r="DG62436" s="256"/>
    </row>
    <row r="62437" spans="104:111">
      <c r="CZ62437" s="256"/>
      <c r="DG62437" s="256"/>
    </row>
    <row r="62438" spans="104:111">
      <c r="CZ62438" s="256"/>
      <c r="DG62438" s="256"/>
    </row>
    <row r="62439" spans="104:111">
      <c r="CZ62439" s="256"/>
      <c r="DG62439" s="256"/>
    </row>
    <row r="62440" spans="104:111">
      <c r="CZ62440" s="256"/>
      <c r="DG62440" s="256"/>
    </row>
    <row r="62441" spans="104:111">
      <c r="CZ62441" s="256"/>
      <c r="DG62441" s="256"/>
    </row>
    <row r="62442" spans="104:111">
      <c r="CZ62442" s="256"/>
      <c r="DG62442" s="256"/>
    </row>
    <row r="62443" spans="104:111">
      <c r="CZ62443" s="256"/>
      <c r="DG62443" s="256"/>
    </row>
    <row r="62444" spans="104:111">
      <c r="CZ62444" s="256"/>
      <c r="DG62444" s="256"/>
    </row>
    <row r="62445" spans="104:111">
      <c r="CZ62445" s="256"/>
      <c r="DG62445" s="256"/>
    </row>
    <row r="62446" spans="104:111">
      <c r="CZ62446" s="256"/>
      <c r="DG62446" s="256"/>
    </row>
    <row r="62447" spans="104:111">
      <c r="CZ62447" s="256"/>
      <c r="DG62447" s="256"/>
    </row>
    <row r="62448" spans="104:111">
      <c r="CZ62448" s="256"/>
      <c r="DG62448" s="256"/>
    </row>
    <row r="62449" spans="104:111">
      <c r="CZ62449" s="256"/>
      <c r="DG62449" s="256"/>
    </row>
    <row r="62450" spans="104:111">
      <c r="CZ62450" s="256"/>
      <c r="DG62450" s="256"/>
    </row>
    <row r="62451" spans="104:111">
      <c r="CZ62451" s="256"/>
      <c r="DG62451" s="256"/>
    </row>
    <row r="62452" spans="104:111">
      <c r="CZ62452" s="256"/>
      <c r="DG62452" s="256"/>
    </row>
    <row r="62453" spans="104:111">
      <c r="CZ62453" s="256"/>
      <c r="DG62453" s="256"/>
    </row>
    <row r="62454" spans="104:111">
      <c r="CZ62454" s="256"/>
      <c r="DG62454" s="256"/>
    </row>
    <row r="62455" spans="104:111">
      <c r="CZ62455" s="256"/>
      <c r="DG62455" s="256"/>
    </row>
    <row r="62456" spans="104:111">
      <c r="CZ62456" s="256"/>
      <c r="DG62456" s="256"/>
    </row>
    <row r="62457" spans="104:111">
      <c r="CZ62457" s="256"/>
      <c r="DG62457" s="256"/>
    </row>
    <row r="62458" spans="104:111">
      <c r="CZ62458" s="256"/>
      <c r="DG62458" s="256"/>
    </row>
    <row r="62459" spans="104:111">
      <c r="CZ62459" s="256"/>
      <c r="DG62459" s="256"/>
    </row>
    <row r="62460" spans="104:111">
      <c r="CZ62460" s="256"/>
      <c r="DG62460" s="256"/>
    </row>
    <row r="62461" spans="104:111">
      <c r="CZ62461" s="256"/>
      <c r="DG62461" s="256"/>
    </row>
    <row r="62462" spans="104:111">
      <c r="CZ62462" s="256"/>
      <c r="DG62462" s="256"/>
    </row>
    <row r="62463" spans="104:111">
      <c r="CZ62463" s="256"/>
      <c r="DG62463" s="256"/>
    </row>
    <row r="62464" spans="104:111">
      <c r="CZ62464" s="256"/>
      <c r="DG62464" s="256"/>
    </row>
    <row r="62465" spans="104:111">
      <c r="CZ62465" s="256"/>
      <c r="DG62465" s="256"/>
    </row>
    <row r="62466" spans="104:111">
      <c r="CZ62466" s="256"/>
      <c r="DG62466" s="256"/>
    </row>
    <row r="62467" spans="104:111">
      <c r="CZ62467" s="256"/>
      <c r="DG62467" s="256"/>
    </row>
    <row r="62468" spans="104:111">
      <c r="CZ62468" s="256"/>
      <c r="DG62468" s="256"/>
    </row>
    <row r="62469" spans="104:111">
      <c r="CZ62469" s="256"/>
      <c r="DG62469" s="256"/>
    </row>
    <row r="62470" spans="104:111">
      <c r="CZ62470" s="256"/>
      <c r="DG62470" s="256"/>
    </row>
    <row r="62471" spans="104:111">
      <c r="CZ62471" s="256"/>
      <c r="DG62471" s="256"/>
    </row>
    <row r="62472" spans="104:111">
      <c r="CZ62472" s="256"/>
      <c r="DG62472" s="256"/>
    </row>
    <row r="62473" spans="104:111">
      <c r="CZ62473" s="256"/>
      <c r="DG62473" s="256"/>
    </row>
    <row r="62474" spans="104:111">
      <c r="CZ62474" s="256"/>
      <c r="DG62474" s="256"/>
    </row>
    <row r="62475" spans="104:111">
      <c r="CZ62475" s="256"/>
      <c r="DG62475" s="256"/>
    </row>
    <row r="62476" spans="104:111">
      <c r="CZ62476" s="256"/>
      <c r="DG62476" s="256"/>
    </row>
    <row r="62477" spans="104:111">
      <c r="CZ62477" s="256"/>
      <c r="DG62477" s="256"/>
    </row>
    <row r="62478" spans="104:111">
      <c r="CZ62478" s="256"/>
      <c r="DG62478" s="256"/>
    </row>
    <row r="62479" spans="104:111">
      <c r="CZ62479" s="256"/>
      <c r="DG62479" s="256"/>
    </row>
    <row r="62480" spans="104:111">
      <c r="CZ62480" s="256"/>
      <c r="DG62480" s="256"/>
    </row>
    <row r="62481" spans="104:111">
      <c r="CZ62481" s="256"/>
      <c r="DG62481" s="256"/>
    </row>
    <row r="62482" spans="104:111">
      <c r="CZ62482" s="256"/>
      <c r="DG62482" s="256"/>
    </row>
    <row r="62483" spans="104:111">
      <c r="CZ62483" s="256"/>
      <c r="DG62483" s="256"/>
    </row>
    <row r="62484" spans="104:111">
      <c r="CZ62484" s="256"/>
      <c r="DG62484" s="256"/>
    </row>
    <row r="62485" spans="104:111">
      <c r="CZ62485" s="256"/>
      <c r="DG62485" s="256"/>
    </row>
    <row r="62486" spans="104:111">
      <c r="CZ62486" s="256"/>
      <c r="DG62486" s="256"/>
    </row>
    <row r="62487" spans="104:111">
      <c r="CZ62487" s="256"/>
      <c r="DG62487" s="256"/>
    </row>
    <row r="62488" spans="104:111">
      <c r="CZ62488" s="256"/>
      <c r="DG62488" s="256"/>
    </row>
    <row r="62489" spans="104:111">
      <c r="CZ62489" s="256"/>
      <c r="DG62489" s="256"/>
    </row>
    <row r="62490" spans="104:111">
      <c r="CZ62490" s="256"/>
      <c r="DG62490" s="256"/>
    </row>
    <row r="62491" spans="104:111">
      <c r="CZ62491" s="256"/>
      <c r="DG62491" s="256"/>
    </row>
    <row r="62492" spans="104:111">
      <c r="CZ62492" s="256"/>
      <c r="DG62492" s="256"/>
    </row>
    <row r="62493" spans="104:111">
      <c r="CZ62493" s="256"/>
      <c r="DG62493" s="256"/>
    </row>
    <row r="62494" spans="104:111">
      <c r="CZ62494" s="256"/>
      <c r="DG62494" s="256"/>
    </row>
    <row r="62495" spans="104:111">
      <c r="CZ62495" s="256"/>
      <c r="DG62495" s="256"/>
    </row>
    <row r="62496" spans="104:111">
      <c r="CZ62496" s="256"/>
      <c r="DG62496" s="256"/>
    </row>
    <row r="62497" spans="104:111">
      <c r="CZ62497" s="256"/>
      <c r="DG62497" s="256"/>
    </row>
    <row r="62498" spans="104:111">
      <c r="CZ62498" s="256"/>
      <c r="DG62498" s="256"/>
    </row>
    <row r="62499" spans="104:111">
      <c r="CZ62499" s="256"/>
      <c r="DG62499" s="256"/>
    </row>
    <row r="62500" spans="104:111">
      <c r="CZ62500" s="256"/>
      <c r="DG62500" s="256"/>
    </row>
    <row r="62501" spans="104:111">
      <c r="CZ62501" s="256"/>
      <c r="DG62501" s="256"/>
    </row>
    <row r="62502" spans="104:111">
      <c r="CZ62502" s="256"/>
      <c r="DG62502" s="256"/>
    </row>
    <row r="62503" spans="104:111">
      <c r="CZ62503" s="256"/>
      <c r="DG62503" s="256"/>
    </row>
    <row r="62504" spans="104:111">
      <c r="CZ62504" s="256"/>
      <c r="DG62504" s="256"/>
    </row>
    <row r="62505" spans="104:111">
      <c r="CZ62505" s="256"/>
      <c r="DG62505" s="256"/>
    </row>
    <row r="62506" spans="104:111">
      <c r="CZ62506" s="256"/>
      <c r="DG62506" s="256"/>
    </row>
    <row r="62507" spans="104:111">
      <c r="CZ62507" s="256"/>
      <c r="DG62507" s="256"/>
    </row>
    <row r="62508" spans="104:111">
      <c r="CZ62508" s="256"/>
      <c r="DG62508" s="256"/>
    </row>
    <row r="62509" spans="104:111">
      <c r="CZ62509" s="256"/>
      <c r="DG62509" s="256"/>
    </row>
    <row r="62510" spans="104:111">
      <c r="CZ62510" s="256"/>
      <c r="DG62510" s="256"/>
    </row>
    <row r="62511" spans="104:111">
      <c r="CZ62511" s="256"/>
      <c r="DG62511" s="256"/>
    </row>
    <row r="62512" spans="104:111">
      <c r="CZ62512" s="256"/>
      <c r="DG62512" s="256"/>
    </row>
    <row r="62513" spans="104:111">
      <c r="CZ62513" s="256"/>
      <c r="DG62513" s="256"/>
    </row>
    <row r="62514" spans="104:111">
      <c r="CZ62514" s="256"/>
      <c r="DG62514" s="256"/>
    </row>
    <row r="62515" spans="104:111">
      <c r="CZ62515" s="256"/>
      <c r="DG62515" s="256"/>
    </row>
    <row r="62516" spans="104:111">
      <c r="CZ62516" s="256"/>
      <c r="DG62516" s="256"/>
    </row>
    <row r="62517" spans="104:111">
      <c r="CZ62517" s="256"/>
      <c r="DG62517" s="256"/>
    </row>
    <row r="62518" spans="104:111">
      <c r="CZ62518" s="256"/>
      <c r="DG62518" s="256"/>
    </row>
    <row r="62519" spans="104:111">
      <c r="CZ62519" s="256"/>
      <c r="DG62519" s="256"/>
    </row>
    <row r="62520" spans="104:111">
      <c r="CZ62520" s="256"/>
      <c r="DG62520" s="256"/>
    </row>
    <row r="62521" spans="104:111">
      <c r="CZ62521" s="256"/>
      <c r="DG62521" s="256"/>
    </row>
    <row r="62522" spans="104:111">
      <c r="CZ62522" s="256"/>
      <c r="DG62522" s="256"/>
    </row>
    <row r="62523" spans="104:111">
      <c r="CZ62523" s="256"/>
      <c r="DG62523" s="256"/>
    </row>
    <row r="62524" spans="104:111">
      <c r="CZ62524" s="256"/>
      <c r="DG62524" s="256"/>
    </row>
    <row r="62525" spans="104:111">
      <c r="CZ62525" s="256"/>
      <c r="DG62525" s="256"/>
    </row>
    <row r="62526" spans="104:111">
      <c r="CZ62526" s="256"/>
      <c r="DG62526" s="256"/>
    </row>
    <row r="62527" spans="104:111">
      <c r="CZ62527" s="256"/>
      <c r="DG62527" s="256"/>
    </row>
    <row r="62528" spans="104:111">
      <c r="CZ62528" s="256"/>
      <c r="DG62528" s="256"/>
    </row>
    <row r="62529" spans="104:111">
      <c r="CZ62529" s="256"/>
      <c r="DG62529" s="256"/>
    </row>
    <row r="62530" spans="104:111">
      <c r="CZ62530" s="256"/>
      <c r="DG62530" s="256"/>
    </row>
    <row r="62531" spans="104:111">
      <c r="CZ62531" s="256"/>
      <c r="DG62531" s="256"/>
    </row>
    <row r="62532" spans="104:111">
      <c r="CZ62532" s="256"/>
      <c r="DG62532" s="256"/>
    </row>
    <row r="62533" spans="104:111">
      <c r="CZ62533" s="256"/>
      <c r="DG62533" s="256"/>
    </row>
    <row r="62534" spans="104:111">
      <c r="CZ62534" s="256"/>
      <c r="DG62534" s="256"/>
    </row>
    <row r="62535" spans="104:111">
      <c r="CZ62535" s="256"/>
      <c r="DG62535" s="256"/>
    </row>
    <row r="62536" spans="104:111">
      <c r="CZ62536" s="256"/>
      <c r="DG62536" s="256"/>
    </row>
    <row r="62537" spans="104:111">
      <c r="CZ62537" s="256"/>
      <c r="DG62537" s="256"/>
    </row>
    <row r="62538" spans="104:111">
      <c r="CZ62538" s="256"/>
      <c r="DG62538" s="256"/>
    </row>
    <row r="62539" spans="104:111">
      <c r="CZ62539" s="256"/>
      <c r="DG62539" s="256"/>
    </row>
    <row r="62540" spans="104:111">
      <c r="CZ62540" s="256"/>
      <c r="DG62540" s="256"/>
    </row>
    <row r="62541" spans="104:111">
      <c r="CZ62541" s="256"/>
      <c r="DG62541" s="256"/>
    </row>
    <row r="62542" spans="104:111">
      <c r="CZ62542" s="256"/>
      <c r="DG62542" s="256"/>
    </row>
    <row r="62543" spans="104:111">
      <c r="CZ62543" s="256"/>
      <c r="DG62543" s="256"/>
    </row>
    <row r="62544" spans="104:111">
      <c r="CZ62544" s="256"/>
      <c r="DG62544" s="256"/>
    </row>
    <row r="62545" spans="104:111">
      <c r="CZ62545" s="256"/>
      <c r="DG62545" s="256"/>
    </row>
    <row r="62546" spans="104:111">
      <c r="CZ62546" s="256"/>
      <c r="DG62546" s="256"/>
    </row>
    <row r="62547" spans="104:111">
      <c r="CZ62547" s="256"/>
      <c r="DG62547" s="256"/>
    </row>
    <row r="62548" spans="104:111">
      <c r="CZ62548" s="256"/>
      <c r="DG62548" s="256"/>
    </row>
    <row r="62549" spans="104:111">
      <c r="CZ62549" s="256"/>
      <c r="DG62549" s="256"/>
    </row>
    <row r="62550" spans="104:111">
      <c r="CZ62550" s="256"/>
      <c r="DG62550" s="256"/>
    </row>
    <row r="62551" spans="104:111">
      <c r="CZ62551" s="256"/>
      <c r="DG62551" s="256"/>
    </row>
    <row r="62552" spans="104:111">
      <c r="CZ62552" s="256"/>
      <c r="DG62552" s="256"/>
    </row>
    <row r="62553" spans="104:111">
      <c r="CZ62553" s="256"/>
      <c r="DG62553" s="256"/>
    </row>
    <row r="62554" spans="104:111">
      <c r="CZ62554" s="256"/>
      <c r="DG62554" s="256"/>
    </row>
    <row r="62555" spans="104:111">
      <c r="CZ62555" s="256"/>
      <c r="DG62555" s="256"/>
    </row>
    <row r="62556" spans="104:111">
      <c r="CZ62556" s="256"/>
      <c r="DG62556" s="256"/>
    </row>
    <row r="62557" spans="104:111">
      <c r="CZ62557" s="256"/>
      <c r="DG62557" s="256"/>
    </row>
    <row r="62558" spans="104:111">
      <c r="CZ62558" s="256"/>
      <c r="DG62558" s="256"/>
    </row>
    <row r="62559" spans="104:111">
      <c r="CZ62559" s="256"/>
      <c r="DG62559" s="256"/>
    </row>
    <row r="62560" spans="104:111">
      <c r="CZ62560" s="256"/>
      <c r="DG62560" s="256"/>
    </row>
    <row r="62561" spans="104:111">
      <c r="CZ62561" s="256"/>
      <c r="DG62561" s="256"/>
    </row>
    <row r="62562" spans="104:111">
      <c r="CZ62562" s="256"/>
      <c r="DG62562" s="256"/>
    </row>
    <row r="62563" spans="104:111">
      <c r="CZ62563" s="256"/>
      <c r="DG62563" s="256"/>
    </row>
    <row r="62564" spans="104:111">
      <c r="CZ62564" s="256"/>
      <c r="DG62564" s="256"/>
    </row>
    <row r="62565" spans="104:111">
      <c r="CZ62565" s="256"/>
      <c r="DG62565" s="256"/>
    </row>
    <row r="62566" spans="104:111">
      <c r="CZ62566" s="256"/>
      <c r="DG62566" s="256"/>
    </row>
    <row r="62567" spans="104:111">
      <c r="CZ62567" s="256"/>
      <c r="DG62567" s="256"/>
    </row>
    <row r="62568" spans="104:111">
      <c r="CZ62568" s="256"/>
      <c r="DG62568" s="256"/>
    </row>
    <row r="62569" spans="104:111">
      <c r="CZ62569" s="256"/>
      <c r="DG62569" s="256"/>
    </row>
    <row r="62570" spans="104:111">
      <c r="CZ62570" s="256"/>
      <c r="DG62570" s="256"/>
    </row>
    <row r="62571" spans="104:111">
      <c r="CZ62571" s="256"/>
      <c r="DG62571" s="256"/>
    </row>
    <row r="62572" spans="104:111">
      <c r="CZ62572" s="256"/>
      <c r="DG62572" s="256"/>
    </row>
    <row r="62573" spans="104:111">
      <c r="CZ62573" s="256"/>
      <c r="DG62573" s="256"/>
    </row>
    <row r="62574" spans="104:111">
      <c r="CZ62574" s="256"/>
      <c r="DG62574" s="256"/>
    </row>
    <row r="62575" spans="104:111">
      <c r="CZ62575" s="256"/>
      <c r="DG62575" s="256"/>
    </row>
    <row r="62576" spans="104:111">
      <c r="CZ62576" s="256"/>
      <c r="DG62576" s="256"/>
    </row>
    <row r="62577" spans="104:111">
      <c r="CZ62577" s="256"/>
      <c r="DG62577" s="256"/>
    </row>
    <row r="62578" spans="104:111">
      <c r="CZ62578" s="256"/>
      <c r="DG62578" s="256"/>
    </row>
    <row r="62579" spans="104:111">
      <c r="CZ62579" s="256"/>
      <c r="DG62579" s="256"/>
    </row>
    <row r="62580" spans="104:111">
      <c r="CZ62580" s="256"/>
      <c r="DG62580" s="256"/>
    </row>
    <row r="62581" spans="104:111">
      <c r="CZ62581" s="256"/>
      <c r="DG62581" s="256"/>
    </row>
    <row r="62582" spans="104:111">
      <c r="CZ62582" s="256"/>
      <c r="DG62582" s="256"/>
    </row>
    <row r="62583" spans="104:111">
      <c r="CZ62583" s="256"/>
      <c r="DG62583" s="256"/>
    </row>
    <row r="62584" spans="104:111">
      <c r="CZ62584" s="256"/>
      <c r="DG62584" s="256"/>
    </row>
    <row r="62585" spans="104:111">
      <c r="CZ62585" s="256"/>
      <c r="DG62585" s="256"/>
    </row>
    <row r="62586" spans="104:111">
      <c r="CZ62586" s="256"/>
      <c r="DG62586" s="256"/>
    </row>
    <row r="62587" spans="104:111">
      <c r="CZ62587" s="256"/>
      <c r="DG62587" s="256"/>
    </row>
    <row r="62588" spans="104:111">
      <c r="CZ62588" s="256"/>
      <c r="DG62588" s="256"/>
    </row>
    <row r="62589" spans="104:111">
      <c r="CZ62589" s="256"/>
      <c r="DG62589" s="256"/>
    </row>
    <row r="62590" spans="104:111">
      <c r="CZ62590" s="256"/>
      <c r="DG62590" s="256"/>
    </row>
    <row r="62591" spans="104:111">
      <c r="CZ62591" s="256"/>
      <c r="DG62591" s="256"/>
    </row>
    <row r="62592" spans="104:111">
      <c r="CZ62592" s="256"/>
      <c r="DG62592" s="256"/>
    </row>
    <row r="62593" spans="104:111">
      <c r="CZ62593" s="256"/>
      <c r="DG62593" s="256"/>
    </row>
    <row r="62594" spans="104:111">
      <c r="CZ62594" s="256"/>
      <c r="DG62594" s="256"/>
    </row>
    <row r="62595" spans="104:111">
      <c r="CZ62595" s="256"/>
      <c r="DG62595" s="256"/>
    </row>
    <row r="62596" spans="104:111">
      <c r="CZ62596" s="256"/>
      <c r="DG62596" s="256"/>
    </row>
    <row r="62597" spans="104:111">
      <c r="CZ62597" s="256"/>
      <c r="DG62597" s="256"/>
    </row>
    <row r="62598" spans="104:111">
      <c r="CZ62598" s="256"/>
      <c r="DG62598" s="256"/>
    </row>
    <row r="62599" spans="104:111">
      <c r="CZ62599" s="256"/>
      <c r="DG62599" s="256"/>
    </row>
    <row r="62600" spans="104:111">
      <c r="CZ62600" s="256"/>
      <c r="DG62600" s="256"/>
    </row>
    <row r="62601" spans="104:111">
      <c r="CZ62601" s="256"/>
      <c r="DG62601" s="256"/>
    </row>
    <row r="62602" spans="104:111">
      <c r="CZ62602" s="256"/>
      <c r="DG62602" s="256"/>
    </row>
    <row r="62603" spans="104:111">
      <c r="CZ62603" s="256"/>
      <c r="DG62603" s="256"/>
    </row>
    <row r="62604" spans="104:111">
      <c r="CZ62604" s="256"/>
      <c r="DG62604" s="256"/>
    </row>
    <row r="62605" spans="104:111">
      <c r="CZ62605" s="256"/>
      <c r="DG62605" s="256"/>
    </row>
    <row r="62606" spans="104:111">
      <c r="CZ62606" s="256"/>
      <c r="DG62606" s="256"/>
    </row>
    <row r="62607" spans="104:111">
      <c r="CZ62607" s="256"/>
      <c r="DG62607" s="256"/>
    </row>
    <row r="62608" spans="104:111">
      <c r="CZ62608" s="256"/>
      <c r="DG62608" s="256"/>
    </row>
    <row r="62609" spans="104:111">
      <c r="CZ62609" s="256"/>
      <c r="DG62609" s="256"/>
    </row>
    <row r="62610" spans="104:111">
      <c r="CZ62610" s="256"/>
      <c r="DG62610" s="256"/>
    </row>
    <row r="62611" spans="104:111">
      <c r="CZ62611" s="256"/>
      <c r="DG62611" s="256"/>
    </row>
    <row r="62612" spans="104:111">
      <c r="CZ62612" s="256"/>
      <c r="DG62612" s="256"/>
    </row>
    <row r="62613" spans="104:111">
      <c r="CZ62613" s="256"/>
      <c r="DG62613" s="256"/>
    </row>
    <row r="62614" spans="104:111">
      <c r="CZ62614" s="256"/>
      <c r="DG62614" s="256"/>
    </row>
    <row r="62615" spans="104:111">
      <c r="CZ62615" s="256"/>
      <c r="DG62615" s="256"/>
    </row>
    <row r="62616" spans="104:111">
      <c r="CZ62616" s="256"/>
      <c r="DG62616" s="256"/>
    </row>
    <row r="62617" spans="104:111">
      <c r="CZ62617" s="256"/>
      <c r="DG62617" s="256"/>
    </row>
    <row r="62618" spans="104:111">
      <c r="CZ62618" s="256"/>
      <c r="DG62618" s="256"/>
    </row>
    <row r="62619" spans="104:111">
      <c r="CZ62619" s="256"/>
      <c r="DG62619" s="256"/>
    </row>
    <row r="62620" spans="104:111">
      <c r="CZ62620" s="256"/>
      <c r="DG62620" s="256"/>
    </row>
    <row r="62621" spans="104:111">
      <c r="CZ62621" s="256"/>
      <c r="DG62621" s="256"/>
    </row>
    <row r="62622" spans="104:111">
      <c r="CZ62622" s="256"/>
      <c r="DG62622" s="256"/>
    </row>
    <row r="62623" spans="104:111">
      <c r="CZ62623" s="256"/>
      <c r="DG62623" s="256"/>
    </row>
    <row r="62624" spans="104:111">
      <c r="CZ62624" s="256"/>
      <c r="DG62624" s="256"/>
    </row>
    <row r="62625" spans="104:111">
      <c r="CZ62625" s="256"/>
      <c r="DG62625" s="256"/>
    </row>
    <row r="62626" spans="104:111">
      <c r="CZ62626" s="256"/>
      <c r="DG62626" s="256"/>
    </row>
    <row r="62627" spans="104:111">
      <c r="CZ62627" s="256"/>
      <c r="DG62627" s="256"/>
    </row>
    <row r="62628" spans="104:111">
      <c r="CZ62628" s="256"/>
      <c r="DG62628" s="256"/>
    </row>
    <row r="62629" spans="104:111">
      <c r="CZ62629" s="256"/>
      <c r="DG62629" s="256"/>
    </row>
    <row r="62630" spans="104:111">
      <c r="CZ62630" s="256"/>
      <c r="DG62630" s="256"/>
    </row>
    <row r="62631" spans="104:111">
      <c r="CZ62631" s="256"/>
      <c r="DG62631" s="256"/>
    </row>
    <row r="62632" spans="104:111">
      <c r="CZ62632" s="256"/>
      <c r="DG62632" s="256"/>
    </row>
    <row r="62633" spans="104:111">
      <c r="CZ62633" s="256"/>
      <c r="DG62633" s="256"/>
    </row>
    <row r="62634" spans="104:111">
      <c r="CZ62634" s="256"/>
      <c r="DG62634" s="256"/>
    </row>
    <row r="62635" spans="104:111">
      <c r="CZ62635" s="256"/>
      <c r="DG62635" s="256"/>
    </row>
    <row r="62636" spans="104:111">
      <c r="CZ62636" s="256"/>
      <c r="DG62636" s="256"/>
    </row>
    <row r="62637" spans="104:111">
      <c r="CZ62637" s="256"/>
      <c r="DG62637" s="256"/>
    </row>
    <row r="62638" spans="104:111">
      <c r="CZ62638" s="256"/>
      <c r="DG62638" s="256"/>
    </row>
    <row r="62639" spans="104:111">
      <c r="CZ62639" s="256"/>
      <c r="DG62639" s="256"/>
    </row>
    <row r="62640" spans="104:111">
      <c r="CZ62640" s="256"/>
      <c r="DG62640" s="256"/>
    </row>
    <row r="62641" spans="104:111">
      <c r="CZ62641" s="256"/>
      <c r="DG62641" s="256"/>
    </row>
    <row r="62642" spans="104:111">
      <c r="CZ62642" s="256"/>
      <c r="DG62642" s="256"/>
    </row>
    <row r="62643" spans="104:111">
      <c r="CZ62643" s="256"/>
      <c r="DG62643" s="256"/>
    </row>
    <row r="62644" spans="104:111">
      <c r="CZ62644" s="256"/>
      <c r="DG62644" s="256"/>
    </row>
    <row r="62645" spans="104:111">
      <c r="CZ62645" s="256"/>
      <c r="DG62645" s="256"/>
    </row>
    <row r="62646" spans="104:111">
      <c r="CZ62646" s="256"/>
      <c r="DG62646" s="256"/>
    </row>
    <row r="62647" spans="104:111">
      <c r="CZ62647" s="256"/>
      <c r="DG62647" s="256"/>
    </row>
    <row r="62648" spans="104:111">
      <c r="CZ62648" s="256"/>
      <c r="DG62648" s="256"/>
    </row>
    <row r="62649" spans="104:111">
      <c r="CZ62649" s="256"/>
      <c r="DG62649" s="256"/>
    </row>
    <row r="62650" spans="104:111">
      <c r="CZ62650" s="256"/>
      <c r="DG62650" s="256"/>
    </row>
    <row r="62651" spans="104:111">
      <c r="CZ62651" s="256"/>
      <c r="DG62651" s="256"/>
    </row>
    <row r="62652" spans="104:111">
      <c r="CZ62652" s="256"/>
      <c r="DG62652" s="256"/>
    </row>
    <row r="62653" spans="104:111">
      <c r="CZ62653" s="256"/>
      <c r="DG62653" s="256"/>
    </row>
    <row r="62654" spans="104:111">
      <c r="CZ62654" s="256"/>
      <c r="DG62654" s="256"/>
    </row>
    <row r="62655" spans="104:111">
      <c r="CZ62655" s="256"/>
      <c r="DG62655" s="256"/>
    </row>
    <row r="62656" spans="104:111">
      <c r="CZ62656" s="256"/>
      <c r="DG62656" s="256"/>
    </row>
    <row r="62657" spans="104:111">
      <c r="CZ62657" s="256"/>
      <c r="DG62657" s="256"/>
    </row>
    <row r="62658" spans="104:111">
      <c r="CZ62658" s="256"/>
      <c r="DG62658" s="256"/>
    </row>
    <row r="62659" spans="104:111">
      <c r="CZ62659" s="256"/>
      <c r="DG62659" s="256"/>
    </row>
    <row r="62660" spans="104:111">
      <c r="CZ62660" s="256"/>
      <c r="DG62660" s="256"/>
    </row>
    <row r="62661" spans="104:111">
      <c r="CZ62661" s="256"/>
      <c r="DG62661" s="256"/>
    </row>
    <row r="62662" spans="104:111">
      <c r="CZ62662" s="256"/>
      <c r="DG62662" s="256"/>
    </row>
    <row r="62663" spans="104:111">
      <c r="CZ62663" s="256"/>
      <c r="DG62663" s="256"/>
    </row>
    <row r="62664" spans="104:111">
      <c r="CZ62664" s="256"/>
      <c r="DG62664" s="256"/>
    </row>
    <row r="62665" spans="104:111">
      <c r="CZ62665" s="256"/>
      <c r="DG62665" s="256"/>
    </row>
    <row r="62666" spans="104:111">
      <c r="CZ62666" s="256"/>
      <c r="DG62666" s="256"/>
    </row>
    <row r="62667" spans="104:111">
      <c r="CZ62667" s="256"/>
      <c r="DG62667" s="256"/>
    </row>
    <row r="62668" spans="104:111">
      <c r="CZ62668" s="256"/>
      <c r="DG62668" s="256"/>
    </row>
    <row r="62669" spans="104:111">
      <c r="CZ62669" s="256"/>
      <c r="DG62669" s="256"/>
    </row>
    <row r="62670" spans="104:111">
      <c r="CZ62670" s="256"/>
      <c r="DG62670" s="256"/>
    </row>
    <row r="62671" spans="104:111">
      <c r="CZ62671" s="256"/>
      <c r="DG62671" s="256"/>
    </row>
    <row r="62672" spans="104:111">
      <c r="CZ62672" s="256"/>
      <c r="DG62672" s="256"/>
    </row>
    <row r="62673" spans="104:111">
      <c r="CZ62673" s="256"/>
      <c r="DG62673" s="256"/>
    </row>
    <row r="62674" spans="104:111">
      <c r="CZ62674" s="256"/>
      <c r="DG62674" s="256"/>
    </row>
    <row r="62675" spans="104:111">
      <c r="CZ62675" s="256"/>
      <c r="DG62675" s="256"/>
    </row>
    <row r="62676" spans="104:111">
      <c r="CZ62676" s="256"/>
      <c r="DG62676" s="256"/>
    </row>
    <row r="62677" spans="104:111">
      <c r="CZ62677" s="256"/>
      <c r="DG62677" s="256"/>
    </row>
    <row r="62678" spans="104:111">
      <c r="CZ62678" s="256"/>
      <c r="DG62678" s="256"/>
    </row>
    <row r="62679" spans="104:111">
      <c r="CZ62679" s="256"/>
      <c r="DG62679" s="256"/>
    </row>
    <row r="62680" spans="104:111">
      <c r="CZ62680" s="256"/>
      <c r="DG62680" s="256"/>
    </row>
    <row r="62681" spans="104:111">
      <c r="CZ62681" s="256"/>
      <c r="DG62681" s="256"/>
    </row>
    <row r="62682" spans="104:111">
      <c r="CZ62682" s="256"/>
      <c r="DG62682" s="256"/>
    </row>
    <row r="62683" spans="104:111">
      <c r="CZ62683" s="256"/>
      <c r="DG62683" s="256"/>
    </row>
    <row r="62684" spans="104:111">
      <c r="CZ62684" s="256"/>
      <c r="DG62684" s="256"/>
    </row>
    <row r="62685" spans="104:111">
      <c r="CZ62685" s="256"/>
      <c r="DG62685" s="256"/>
    </row>
    <row r="62686" spans="104:111">
      <c r="CZ62686" s="256"/>
      <c r="DG62686" s="256"/>
    </row>
    <row r="62687" spans="104:111">
      <c r="CZ62687" s="256"/>
      <c r="DG62687" s="256"/>
    </row>
    <row r="62688" spans="104:111">
      <c r="CZ62688" s="256"/>
      <c r="DG62688" s="256"/>
    </row>
    <row r="62689" spans="104:111">
      <c r="CZ62689" s="256"/>
      <c r="DG62689" s="256"/>
    </row>
    <row r="62690" spans="104:111">
      <c r="CZ62690" s="256"/>
      <c r="DG62690" s="256"/>
    </row>
    <row r="62691" spans="104:111">
      <c r="CZ62691" s="256"/>
      <c r="DG62691" s="256"/>
    </row>
    <row r="62692" spans="104:111">
      <c r="CZ62692" s="256"/>
      <c r="DG62692" s="256"/>
    </row>
    <row r="62693" spans="104:111">
      <c r="CZ62693" s="256"/>
      <c r="DG62693" s="256"/>
    </row>
    <row r="62694" spans="104:111">
      <c r="CZ62694" s="256"/>
      <c r="DG62694" s="256"/>
    </row>
    <row r="62695" spans="104:111">
      <c r="CZ62695" s="256"/>
      <c r="DG62695" s="256"/>
    </row>
    <row r="62696" spans="104:111">
      <c r="CZ62696" s="256"/>
      <c r="DG62696" s="256"/>
    </row>
    <row r="62697" spans="104:111">
      <c r="CZ62697" s="256"/>
      <c r="DG62697" s="256"/>
    </row>
    <row r="62698" spans="104:111">
      <c r="CZ62698" s="256"/>
      <c r="DG62698" s="256"/>
    </row>
    <row r="62699" spans="104:111">
      <c r="CZ62699" s="256"/>
      <c r="DG62699" s="256"/>
    </row>
    <row r="62700" spans="104:111">
      <c r="CZ62700" s="256"/>
      <c r="DG62700" s="256"/>
    </row>
    <row r="62701" spans="104:111">
      <c r="CZ62701" s="256"/>
      <c r="DG62701" s="256"/>
    </row>
    <row r="62702" spans="104:111">
      <c r="CZ62702" s="256"/>
      <c r="DG62702" s="256"/>
    </row>
    <row r="62703" spans="104:111">
      <c r="CZ62703" s="256"/>
      <c r="DG62703" s="256"/>
    </row>
    <row r="62704" spans="104:111">
      <c r="CZ62704" s="256"/>
      <c r="DG62704" s="256"/>
    </row>
    <row r="62705" spans="104:111">
      <c r="CZ62705" s="256"/>
      <c r="DG62705" s="256"/>
    </row>
    <row r="62706" spans="104:111">
      <c r="CZ62706" s="256"/>
      <c r="DG62706" s="256"/>
    </row>
    <row r="62707" spans="104:111">
      <c r="CZ62707" s="256"/>
      <c r="DG62707" s="256"/>
    </row>
    <row r="62708" spans="104:111">
      <c r="CZ62708" s="256"/>
      <c r="DG62708" s="256"/>
    </row>
    <row r="62709" spans="104:111">
      <c r="CZ62709" s="256"/>
      <c r="DG62709" s="256"/>
    </row>
    <row r="62710" spans="104:111">
      <c r="CZ62710" s="256"/>
      <c r="DG62710" s="256"/>
    </row>
    <row r="62711" spans="104:111">
      <c r="CZ62711" s="256"/>
      <c r="DG62711" s="256"/>
    </row>
    <row r="62712" spans="104:111">
      <c r="CZ62712" s="256"/>
      <c r="DG62712" s="256"/>
    </row>
    <row r="62713" spans="104:111">
      <c r="CZ62713" s="256"/>
      <c r="DG62713" s="256"/>
    </row>
    <row r="62714" spans="104:111">
      <c r="CZ62714" s="256"/>
      <c r="DG62714" s="256"/>
    </row>
    <row r="62715" spans="104:111">
      <c r="CZ62715" s="256"/>
      <c r="DG62715" s="256"/>
    </row>
    <row r="62716" spans="104:111">
      <c r="CZ62716" s="256"/>
      <c r="DG62716" s="256"/>
    </row>
    <row r="62717" spans="104:111">
      <c r="CZ62717" s="256"/>
      <c r="DG62717" s="256"/>
    </row>
    <row r="62718" spans="104:111">
      <c r="CZ62718" s="256"/>
      <c r="DG62718" s="256"/>
    </row>
    <row r="62719" spans="104:111">
      <c r="CZ62719" s="256"/>
      <c r="DG62719" s="256"/>
    </row>
    <row r="62720" spans="104:111">
      <c r="CZ62720" s="256"/>
      <c r="DG62720" s="256"/>
    </row>
    <row r="62721" spans="104:111">
      <c r="CZ62721" s="256"/>
      <c r="DG62721" s="256"/>
    </row>
    <row r="62722" spans="104:111">
      <c r="CZ62722" s="256"/>
      <c r="DG62722" s="256"/>
    </row>
    <row r="62723" spans="104:111">
      <c r="CZ62723" s="256"/>
      <c r="DG62723" s="256"/>
    </row>
    <row r="62724" spans="104:111">
      <c r="CZ62724" s="256"/>
      <c r="DG62724" s="256"/>
    </row>
    <row r="62725" spans="104:111">
      <c r="CZ62725" s="256"/>
      <c r="DG62725" s="256"/>
    </row>
    <row r="62726" spans="104:111">
      <c r="CZ62726" s="256"/>
      <c r="DG62726" s="256"/>
    </row>
    <row r="62727" spans="104:111">
      <c r="CZ62727" s="256"/>
      <c r="DG62727" s="256"/>
    </row>
    <row r="62728" spans="104:111">
      <c r="CZ62728" s="256"/>
      <c r="DG62728" s="256"/>
    </row>
    <row r="62729" spans="104:111">
      <c r="CZ62729" s="256"/>
      <c r="DG62729" s="256"/>
    </row>
    <row r="62730" spans="104:111">
      <c r="CZ62730" s="256"/>
      <c r="DG62730" s="256"/>
    </row>
    <row r="62731" spans="104:111">
      <c r="CZ62731" s="256"/>
      <c r="DG62731" s="256"/>
    </row>
    <row r="62732" spans="104:111">
      <c r="CZ62732" s="256"/>
      <c r="DG62732" s="256"/>
    </row>
    <row r="62733" spans="104:111">
      <c r="CZ62733" s="256"/>
      <c r="DG62733" s="256"/>
    </row>
    <row r="62734" spans="104:111">
      <c r="CZ62734" s="256"/>
      <c r="DG62734" s="256"/>
    </row>
    <row r="62735" spans="104:111">
      <c r="CZ62735" s="256"/>
      <c r="DG62735" s="256"/>
    </row>
    <row r="62736" spans="104:111">
      <c r="CZ62736" s="256"/>
      <c r="DG62736" s="256"/>
    </row>
    <row r="62737" spans="104:111">
      <c r="CZ62737" s="256"/>
      <c r="DG62737" s="256"/>
    </row>
    <row r="62738" spans="104:111">
      <c r="CZ62738" s="256"/>
      <c r="DG62738" s="256"/>
    </row>
    <row r="62739" spans="104:111">
      <c r="CZ62739" s="256"/>
      <c r="DG62739" s="256"/>
    </row>
    <row r="62740" spans="104:111">
      <c r="CZ62740" s="256"/>
      <c r="DG62740" s="256"/>
    </row>
    <row r="62741" spans="104:111">
      <c r="CZ62741" s="256"/>
      <c r="DG62741" s="256"/>
    </row>
    <row r="62742" spans="104:111">
      <c r="CZ62742" s="256"/>
      <c r="DG62742" s="256"/>
    </row>
    <row r="62743" spans="104:111">
      <c r="CZ62743" s="256"/>
      <c r="DG62743" s="256"/>
    </row>
    <row r="62744" spans="104:111">
      <c r="CZ62744" s="256"/>
      <c r="DG62744" s="256"/>
    </row>
    <row r="62745" spans="104:111">
      <c r="CZ62745" s="256"/>
      <c r="DG62745" s="256"/>
    </row>
    <row r="62746" spans="104:111">
      <c r="CZ62746" s="256"/>
      <c r="DG62746" s="256"/>
    </row>
    <row r="62747" spans="104:111">
      <c r="CZ62747" s="256"/>
      <c r="DG62747" s="256"/>
    </row>
    <row r="62748" spans="104:111">
      <c r="CZ62748" s="256"/>
      <c r="DG62748" s="256"/>
    </row>
    <row r="62749" spans="104:111">
      <c r="CZ62749" s="256"/>
      <c r="DG62749" s="256"/>
    </row>
    <row r="62750" spans="104:111">
      <c r="CZ62750" s="256"/>
      <c r="DG62750" s="256"/>
    </row>
    <row r="62751" spans="104:111">
      <c r="CZ62751" s="256"/>
      <c r="DG62751" s="256"/>
    </row>
    <row r="62752" spans="104:111">
      <c r="CZ62752" s="256"/>
      <c r="DG62752" s="256"/>
    </row>
    <row r="62753" spans="104:111">
      <c r="CZ62753" s="256"/>
      <c r="DG62753" s="256"/>
    </row>
    <row r="62754" spans="104:111">
      <c r="CZ62754" s="256"/>
      <c r="DG62754" s="256"/>
    </row>
    <row r="62755" spans="104:111">
      <c r="CZ62755" s="256"/>
      <c r="DG62755" s="256"/>
    </row>
    <row r="62756" spans="104:111">
      <c r="CZ62756" s="256"/>
      <c r="DG62756" s="256"/>
    </row>
    <row r="62757" spans="104:111">
      <c r="CZ62757" s="256"/>
      <c r="DG62757" s="256"/>
    </row>
    <row r="62758" spans="104:111">
      <c r="CZ62758" s="256"/>
      <c r="DG62758" s="256"/>
    </row>
    <row r="62759" spans="104:111">
      <c r="CZ62759" s="256"/>
      <c r="DG62759" s="256"/>
    </row>
    <row r="62760" spans="104:111">
      <c r="CZ62760" s="256"/>
      <c r="DG62760" s="256"/>
    </row>
    <row r="62761" spans="104:111">
      <c r="CZ62761" s="256"/>
      <c r="DG62761" s="256"/>
    </row>
    <row r="62762" spans="104:111">
      <c r="CZ62762" s="256"/>
      <c r="DG62762" s="256"/>
    </row>
    <row r="62763" spans="104:111">
      <c r="CZ62763" s="256"/>
      <c r="DG62763" s="256"/>
    </row>
    <row r="62764" spans="104:111">
      <c r="CZ62764" s="256"/>
      <c r="DG62764" s="256"/>
    </row>
    <row r="62765" spans="104:111">
      <c r="CZ62765" s="256"/>
      <c r="DG62765" s="256"/>
    </row>
    <row r="62766" spans="104:111">
      <c r="CZ62766" s="256"/>
      <c r="DG62766" s="256"/>
    </row>
    <row r="62767" spans="104:111">
      <c r="CZ62767" s="256"/>
      <c r="DG62767" s="256"/>
    </row>
    <row r="62768" spans="104:111">
      <c r="CZ62768" s="256"/>
      <c r="DG62768" s="256"/>
    </row>
    <row r="62769" spans="104:111">
      <c r="CZ62769" s="256"/>
      <c r="DG62769" s="256"/>
    </row>
    <row r="62770" spans="104:111">
      <c r="CZ62770" s="256"/>
      <c r="DG62770" s="256"/>
    </row>
    <row r="62771" spans="104:111">
      <c r="CZ62771" s="256"/>
      <c r="DG62771" s="256"/>
    </row>
    <row r="62772" spans="104:111">
      <c r="CZ62772" s="256"/>
      <c r="DG62772" s="256"/>
    </row>
    <row r="62773" spans="104:111">
      <c r="CZ62773" s="256"/>
      <c r="DG62773" s="256"/>
    </row>
    <row r="62774" spans="104:111">
      <c r="CZ62774" s="256"/>
      <c r="DG62774" s="256"/>
    </row>
    <row r="62775" spans="104:111">
      <c r="CZ62775" s="256"/>
      <c r="DG62775" s="256"/>
    </row>
    <row r="62776" spans="104:111">
      <c r="CZ62776" s="256"/>
      <c r="DG62776" s="256"/>
    </row>
    <row r="62777" spans="104:111">
      <c r="CZ62777" s="256"/>
      <c r="DG62777" s="256"/>
    </row>
    <row r="62778" spans="104:111">
      <c r="CZ62778" s="256"/>
      <c r="DG62778" s="256"/>
    </row>
    <row r="62779" spans="104:111">
      <c r="CZ62779" s="256"/>
      <c r="DG62779" s="256"/>
    </row>
    <row r="62780" spans="104:111">
      <c r="CZ62780" s="256"/>
      <c r="DG62780" s="256"/>
    </row>
    <row r="62781" spans="104:111">
      <c r="CZ62781" s="256"/>
      <c r="DG62781" s="256"/>
    </row>
    <row r="62782" spans="104:111">
      <c r="CZ62782" s="256"/>
      <c r="DG62782" s="256"/>
    </row>
    <row r="62783" spans="104:111">
      <c r="CZ62783" s="256"/>
      <c r="DG62783" s="256"/>
    </row>
    <row r="62784" spans="104:111">
      <c r="CZ62784" s="256"/>
      <c r="DG62784" s="256"/>
    </row>
    <row r="62785" spans="104:111">
      <c r="CZ62785" s="256"/>
      <c r="DG62785" s="256"/>
    </row>
    <row r="62786" spans="104:111">
      <c r="CZ62786" s="256"/>
      <c r="DG62786" s="256"/>
    </row>
    <row r="62787" spans="104:111">
      <c r="CZ62787" s="256"/>
      <c r="DG62787" s="256"/>
    </row>
    <row r="62788" spans="104:111">
      <c r="CZ62788" s="256"/>
      <c r="DG62788" s="256"/>
    </row>
    <row r="62789" spans="104:111">
      <c r="CZ62789" s="256"/>
      <c r="DG62789" s="256"/>
    </row>
    <row r="62790" spans="104:111">
      <c r="CZ62790" s="256"/>
      <c r="DG62790" s="256"/>
    </row>
    <row r="62791" spans="104:111">
      <c r="CZ62791" s="256"/>
      <c r="DG62791" s="256"/>
    </row>
    <row r="62792" spans="104:111">
      <c r="CZ62792" s="256"/>
      <c r="DG62792" s="256"/>
    </row>
    <row r="62793" spans="104:111">
      <c r="CZ62793" s="256"/>
      <c r="DG62793" s="256"/>
    </row>
    <row r="62794" spans="104:111">
      <c r="CZ62794" s="256"/>
      <c r="DG62794" s="256"/>
    </row>
    <row r="62795" spans="104:111">
      <c r="CZ62795" s="256"/>
      <c r="DG62795" s="256"/>
    </row>
    <row r="62796" spans="104:111">
      <c r="CZ62796" s="256"/>
      <c r="DG62796" s="256"/>
    </row>
    <row r="62797" spans="104:111">
      <c r="CZ62797" s="256"/>
      <c r="DG62797" s="256"/>
    </row>
    <row r="62798" spans="104:111">
      <c r="CZ62798" s="256"/>
      <c r="DG62798" s="256"/>
    </row>
    <row r="62799" spans="104:111">
      <c r="CZ62799" s="256"/>
      <c r="DG62799" s="256"/>
    </row>
    <row r="62800" spans="104:111">
      <c r="CZ62800" s="256"/>
      <c r="DG62800" s="256"/>
    </row>
    <row r="62801" spans="104:111">
      <c r="CZ62801" s="256"/>
      <c r="DG62801" s="256"/>
    </row>
    <row r="62802" spans="104:111">
      <c r="CZ62802" s="256"/>
      <c r="DG62802" s="256"/>
    </row>
    <row r="62803" spans="104:111">
      <c r="CZ62803" s="256"/>
      <c r="DG62803" s="256"/>
    </row>
    <row r="62804" spans="104:111">
      <c r="CZ62804" s="256"/>
      <c r="DG62804" s="256"/>
    </row>
    <row r="62805" spans="104:111">
      <c r="CZ62805" s="256"/>
      <c r="DG62805" s="256"/>
    </row>
    <row r="62806" spans="104:111">
      <c r="CZ62806" s="256"/>
      <c r="DG62806" s="256"/>
    </row>
    <row r="62807" spans="104:111">
      <c r="CZ62807" s="256"/>
      <c r="DG62807" s="256"/>
    </row>
    <row r="62808" spans="104:111">
      <c r="CZ62808" s="256"/>
      <c r="DG62808" s="256"/>
    </row>
    <row r="62809" spans="104:111">
      <c r="CZ62809" s="256"/>
      <c r="DG62809" s="256"/>
    </row>
    <row r="62810" spans="104:111">
      <c r="CZ62810" s="256"/>
      <c r="DG62810" s="256"/>
    </row>
    <row r="62811" spans="104:111">
      <c r="CZ62811" s="256"/>
      <c r="DG62811" s="256"/>
    </row>
    <row r="62812" spans="104:111">
      <c r="CZ62812" s="256"/>
      <c r="DG62812" s="256"/>
    </row>
    <row r="62813" spans="104:111">
      <c r="CZ62813" s="256"/>
      <c r="DG62813" s="256"/>
    </row>
    <row r="62814" spans="104:111">
      <c r="CZ62814" s="256"/>
      <c r="DG62814" s="256"/>
    </row>
    <row r="62815" spans="104:111">
      <c r="CZ62815" s="256"/>
      <c r="DG62815" s="256"/>
    </row>
    <row r="62816" spans="104:111">
      <c r="CZ62816" s="256"/>
      <c r="DG62816" s="256"/>
    </row>
    <row r="62817" spans="104:111">
      <c r="CZ62817" s="256"/>
      <c r="DG62817" s="256"/>
    </row>
    <row r="62818" spans="104:111">
      <c r="CZ62818" s="256"/>
      <c r="DG62818" s="256"/>
    </row>
    <row r="62819" spans="104:111">
      <c r="CZ62819" s="256"/>
      <c r="DG62819" s="256"/>
    </row>
    <row r="62820" spans="104:111">
      <c r="CZ62820" s="256"/>
      <c r="DG62820" s="256"/>
    </row>
    <row r="62821" spans="104:111">
      <c r="CZ62821" s="256"/>
      <c r="DG62821" s="256"/>
    </row>
    <row r="62822" spans="104:111">
      <c r="CZ62822" s="256"/>
      <c r="DG62822" s="256"/>
    </row>
    <row r="62823" spans="104:111">
      <c r="CZ62823" s="256"/>
      <c r="DG62823" s="256"/>
    </row>
    <row r="62824" spans="104:111">
      <c r="CZ62824" s="256"/>
      <c r="DG62824" s="256"/>
    </row>
    <row r="62825" spans="104:111">
      <c r="CZ62825" s="256"/>
      <c r="DG62825" s="256"/>
    </row>
    <row r="62826" spans="104:111">
      <c r="CZ62826" s="256"/>
      <c r="DG62826" s="256"/>
    </row>
    <row r="62827" spans="104:111">
      <c r="CZ62827" s="256"/>
      <c r="DG62827" s="256"/>
    </row>
    <row r="62828" spans="104:111">
      <c r="CZ62828" s="256"/>
      <c r="DG62828" s="256"/>
    </row>
    <row r="62829" spans="104:111">
      <c r="CZ62829" s="256"/>
      <c r="DG62829" s="256"/>
    </row>
    <row r="62830" spans="104:111">
      <c r="CZ62830" s="256"/>
      <c r="DG62830" s="256"/>
    </row>
    <row r="62831" spans="104:111">
      <c r="CZ62831" s="256"/>
      <c r="DG62831" s="256"/>
    </row>
    <row r="62832" spans="104:111">
      <c r="CZ62832" s="256"/>
      <c r="DG62832" s="256"/>
    </row>
    <row r="62833" spans="104:111">
      <c r="CZ62833" s="256"/>
      <c r="DG62833" s="256"/>
    </row>
    <row r="62834" spans="104:111">
      <c r="CZ62834" s="256"/>
      <c r="DG62834" s="256"/>
    </row>
    <row r="62835" spans="104:111">
      <c r="CZ62835" s="256"/>
      <c r="DG62835" s="256"/>
    </row>
    <row r="62836" spans="104:111">
      <c r="CZ62836" s="256"/>
      <c r="DG62836" s="256"/>
    </row>
    <row r="62837" spans="104:111">
      <c r="CZ62837" s="256"/>
      <c r="DG62837" s="256"/>
    </row>
    <row r="62838" spans="104:111">
      <c r="CZ62838" s="256"/>
      <c r="DG62838" s="256"/>
    </row>
    <row r="62839" spans="104:111">
      <c r="CZ62839" s="256"/>
      <c r="DG62839" s="256"/>
    </row>
    <row r="62840" spans="104:111">
      <c r="CZ62840" s="256"/>
      <c r="DG62840" s="256"/>
    </row>
    <row r="62841" spans="104:111">
      <c r="CZ62841" s="256"/>
      <c r="DG62841" s="256"/>
    </row>
    <row r="62842" spans="104:111">
      <c r="CZ62842" s="256"/>
      <c r="DG62842" s="256"/>
    </row>
    <row r="62843" spans="104:111">
      <c r="CZ62843" s="256"/>
      <c r="DG62843" s="256"/>
    </row>
    <row r="62844" spans="104:111">
      <c r="CZ62844" s="256"/>
      <c r="DG62844" s="256"/>
    </row>
    <row r="62845" spans="104:111">
      <c r="CZ62845" s="256"/>
      <c r="DG62845" s="256"/>
    </row>
    <row r="62846" spans="104:111">
      <c r="CZ62846" s="256"/>
      <c r="DG62846" s="256"/>
    </row>
    <row r="62847" spans="104:111">
      <c r="CZ62847" s="256"/>
      <c r="DG62847" s="256"/>
    </row>
    <row r="62848" spans="104:111">
      <c r="CZ62848" s="256"/>
      <c r="DG62848" s="256"/>
    </row>
    <row r="62849" spans="104:111">
      <c r="CZ62849" s="256"/>
      <c r="DG62849" s="256"/>
    </row>
    <row r="62850" spans="104:111">
      <c r="CZ62850" s="256"/>
      <c r="DG62850" s="256"/>
    </row>
    <row r="62851" spans="104:111">
      <c r="CZ62851" s="256"/>
      <c r="DG62851" s="256"/>
    </row>
    <row r="62852" spans="104:111">
      <c r="CZ62852" s="256"/>
      <c r="DG62852" s="256"/>
    </row>
    <row r="62853" spans="104:111">
      <c r="CZ62853" s="256"/>
      <c r="DG62853" s="256"/>
    </row>
    <row r="62854" spans="104:111">
      <c r="CZ62854" s="256"/>
      <c r="DG62854" s="256"/>
    </row>
    <row r="62855" spans="104:111">
      <c r="CZ62855" s="256"/>
      <c r="DG62855" s="256"/>
    </row>
    <row r="62856" spans="104:111">
      <c r="CZ62856" s="256"/>
      <c r="DG62856" s="256"/>
    </row>
    <row r="62857" spans="104:111">
      <c r="CZ62857" s="256"/>
      <c r="DG62857" s="256"/>
    </row>
    <row r="62858" spans="104:111">
      <c r="CZ62858" s="256"/>
      <c r="DG62858" s="256"/>
    </row>
    <row r="62859" spans="104:111">
      <c r="CZ62859" s="256"/>
      <c r="DG62859" s="256"/>
    </row>
    <row r="62860" spans="104:111">
      <c r="CZ62860" s="256"/>
      <c r="DG62860" s="256"/>
    </row>
    <row r="62861" spans="104:111">
      <c r="CZ62861" s="256"/>
      <c r="DG62861" s="256"/>
    </row>
    <row r="62862" spans="104:111">
      <c r="CZ62862" s="256"/>
      <c r="DG62862" s="256"/>
    </row>
    <row r="62863" spans="104:111">
      <c r="CZ62863" s="256"/>
      <c r="DG62863" s="256"/>
    </row>
    <row r="62864" spans="104:111">
      <c r="CZ62864" s="256"/>
      <c r="DG62864" s="256"/>
    </row>
    <row r="62865" spans="104:111">
      <c r="CZ62865" s="256"/>
      <c r="DG62865" s="256"/>
    </row>
    <row r="62866" spans="104:111">
      <c r="CZ62866" s="256"/>
      <c r="DG62866" s="256"/>
    </row>
    <row r="62867" spans="104:111">
      <c r="CZ62867" s="256"/>
      <c r="DG62867" s="256"/>
    </row>
    <row r="62868" spans="104:111">
      <c r="CZ62868" s="256"/>
      <c r="DG62868" s="256"/>
    </row>
    <row r="62869" spans="104:111">
      <c r="CZ62869" s="256"/>
      <c r="DG62869" s="256"/>
    </row>
    <row r="62870" spans="104:111">
      <c r="CZ62870" s="256"/>
      <c r="DG62870" s="256"/>
    </row>
    <row r="62871" spans="104:111">
      <c r="CZ62871" s="256"/>
      <c r="DG62871" s="256"/>
    </row>
    <row r="62872" spans="104:111">
      <c r="CZ62872" s="256"/>
      <c r="DG62872" s="256"/>
    </row>
    <row r="62873" spans="104:111">
      <c r="CZ62873" s="256"/>
      <c r="DG62873" s="256"/>
    </row>
    <row r="62874" spans="104:111">
      <c r="CZ62874" s="256"/>
      <c r="DG62874" s="256"/>
    </row>
    <row r="62875" spans="104:111">
      <c r="CZ62875" s="256"/>
      <c r="DG62875" s="256"/>
    </row>
    <row r="62876" spans="104:111">
      <c r="CZ62876" s="256"/>
      <c r="DG62876" s="256"/>
    </row>
    <row r="62877" spans="104:111">
      <c r="CZ62877" s="256"/>
      <c r="DG62877" s="256"/>
    </row>
    <row r="62878" spans="104:111">
      <c r="CZ62878" s="256"/>
      <c r="DG62878" s="256"/>
    </row>
    <row r="62879" spans="104:111">
      <c r="CZ62879" s="256"/>
      <c r="DG62879" s="256"/>
    </row>
    <row r="62880" spans="104:111">
      <c r="CZ62880" s="256"/>
      <c r="DG62880" s="256"/>
    </row>
    <row r="62881" spans="104:111">
      <c r="CZ62881" s="256"/>
      <c r="DG62881" s="256"/>
    </row>
    <row r="62882" spans="104:111">
      <c r="CZ62882" s="256"/>
      <c r="DG62882" s="256"/>
    </row>
    <row r="62883" spans="104:111">
      <c r="CZ62883" s="256"/>
      <c r="DG62883" s="256"/>
    </row>
    <row r="62884" spans="104:111">
      <c r="CZ62884" s="256"/>
      <c r="DG62884" s="256"/>
    </row>
    <row r="62885" spans="104:111">
      <c r="CZ62885" s="256"/>
      <c r="DG62885" s="256"/>
    </row>
    <row r="62886" spans="104:111">
      <c r="CZ62886" s="256"/>
      <c r="DG62886" s="256"/>
    </row>
    <row r="62887" spans="104:111">
      <c r="CZ62887" s="256"/>
      <c r="DG62887" s="256"/>
    </row>
    <row r="62888" spans="104:111">
      <c r="CZ62888" s="256"/>
      <c r="DG62888" s="256"/>
    </row>
    <row r="62889" spans="104:111">
      <c r="CZ62889" s="256"/>
      <c r="DG62889" s="256"/>
    </row>
    <row r="62890" spans="104:111">
      <c r="CZ62890" s="256"/>
      <c r="DG62890" s="256"/>
    </row>
    <row r="62891" spans="104:111">
      <c r="CZ62891" s="256"/>
      <c r="DG62891" s="256"/>
    </row>
    <row r="62892" spans="104:111">
      <c r="CZ62892" s="256"/>
      <c r="DG62892" s="256"/>
    </row>
    <row r="62893" spans="104:111">
      <c r="CZ62893" s="256"/>
      <c r="DG62893" s="256"/>
    </row>
    <row r="62894" spans="104:111">
      <c r="CZ62894" s="256"/>
      <c r="DG62894" s="256"/>
    </row>
    <row r="62895" spans="104:111">
      <c r="CZ62895" s="256"/>
      <c r="DG62895" s="256"/>
    </row>
    <row r="62896" spans="104:111">
      <c r="CZ62896" s="256"/>
      <c r="DG62896" s="256"/>
    </row>
    <row r="62897" spans="104:111">
      <c r="CZ62897" s="256"/>
      <c r="DG62897" s="256"/>
    </row>
    <row r="62898" spans="104:111">
      <c r="CZ62898" s="256"/>
      <c r="DG62898" s="256"/>
    </row>
    <row r="62899" spans="104:111">
      <c r="CZ62899" s="256"/>
      <c r="DG62899" s="256"/>
    </row>
    <row r="62900" spans="104:111">
      <c r="CZ62900" s="256"/>
      <c r="DG62900" s="256"/>
    </row>
    <row r="62901" spans="104:111">
      <c r="CZ62901" s="256"/>
      <c r="DG62901" s="256"/>
    </row>
    <row r="62902" spans="104:111">
      <c r="CZ62902" s="256"/>
      <c r="DG62902" s="256"/>
    </row>
    <row r="62903" spans="104:111">
      <c r="CZ62903" s="256"/>
      <c r="DG62903" s="256"/>
    </row>
    <row r="62904" spans="104:111">
      <c r="CZ62904" s="256"/>
      <c r="DG62904" s="256"/>
    </row>
    <row r="62905" spans="104:111">
      <c r="CZ62905" s="256"/>
      <c r="DG62905" s="256"/>
    </row>
    <row r="62906" spans="104:111">
      <c r="CZ62906" s="256"/>
      <c r="DG62906" s="256"/>
    </row>
    <row r="62907" spans="104:111">
      <c r="CZ62907" s="256"/>
      <c r="DG62907" s="256"/>
    </row>
    <row r="62908" spans="104:111">
      <c r="CZ62908" s="256"/>
      <c r="DG62908" s="256"/>
    </row>
    <row r="62909" spans="104:111">
      <c r="CZ62909" s="256"/>
      <c r="DG62909" s="256"/>
    </row>
    <row r="62910" spans="104:111">
      <c r="CZ62910" s="256"/>
      <c r="DG62910" s="256"/>
    </row>
    <row r="62911" spans="104:111">
      <c r="CZ62911" s="256"/>
      <c r="DG62911" s="256"/>
    </row>
    <row r="62912" spans="104:111">
      <c r="CZ62912" s="256"/>
      <c r="DG62912" s="256"/>
    </row>
    <row r="62913" spans="104:111">
      <c r="CZ62913" s="256"/>
      <c r="DG62913" s="256"/>
    </row>
    <row r="62914" spans="104:111">
      <c r="CZ62914" s="256"/>
      <c r="DG62914" s="256"/>
    </row>
    <row r="62915" spans="104:111">
      <c r="CZ62915" s="256"/>
      <c r="DG62915" s="256"/>
    </row>
    <row r="62916" spans="104:111">
      <c r="CZ62916" s="256"/>
      <c r="DG62916" s="256"/>
    </row>
    <row r="62917" spans="104:111">
      <c r="CZ62917" s="256"/>
      <c r="DG62917" s="256"/>
    </row>
    <row r="62918" spans="104:111">
      <c r="CZ62918" s="256"/>
      <c r="DG62918" s="256"/>
    </row>
    <row r="62919" spans="104:111">
      <c r="CZ62919" s="256"/>
      <c r="DG62919" s="256"/>
    </row>
    <row r="62920" spans="104:111">
      <c r="CZ62920" s="256"/>
      <c r="DG62920" s="256"/>
    </row>
    <row r="62921" spans="104:111">
      <c r="CZ62921" s="256"/>
      <c r="DG62921" s="256"/>
    </row>
    <row r="62922" spans="104:111">
      <c r="CZ62922" s="256"/>
      <c r="DG62922" s="256"/>
    </row>
    <row r="62923" spans="104:111">
      <c r="CZ62923" s="256"/>
      <c r="DG62923" s="256"/>
    </row>
    <row r="62924" spans="104:111">
      <c r="CZ62924" s="256"/>
      <c r="DG62924" s="256"/>
    </row>
    <row r="62925" spans="104:111">
      <c r="CZ62925" s="256"/>
      <c r="DG62925" s="256"/>
    </row>
    <row r="62926" spans="104:111">
      <c r="CZ62926" s="256"/>
      <c r="DG62926" s="256"/>
    </row>
    <row r="62927" spans="104:111">
      <c r="CZ62927" s="256"/>
      <c r="DG62927" s="256"/>
    </row>
    <row r="62928" spans="104:111">
      <c r="CZ62928" s="256"/>
      <c r="DG62928" s="256"/>
    </row>
    <row r="62929" spans="104:111">
      <c r="CZ62929" s="256"/>
      <c r="DG62929" s="256"/>
    </row>
    <row r="62930" spans="104:111">
      <c r="CZ62930" s="256"/>
      <c r="DG62930" s="256"/>
    </row>
    <row r="62931" spans="104:111">
      <c r="CZ62931" s="256"/>
      <c r="DG62931" s="256"/>
    </row>
    <row r="62932" spans="104:111">
      <c r="CZ62932" s="256"/>
      <c r="DG62932" s="256"/>
    </row>
    <row r="62933" spans="104:111">
      <c r="CZ62933" s="256"/>
      <c r="DG62933" s="256"/>
    </row>
    <row r="62934" spans="104:111">
      <c r="CZ62934" s="256"/>
      <c r="DG62934" s="256"/>
    </row>
    <row r="62935" spans="104:111">
      <c r="CZ62935" s="256"/>
      <c r="DG62935" s="256"/>
    </row>
    <row r="62936" spans="104:111">
      <c r="CZ62936" s="256"/>
      <c r="DG62936" s="256"/>
    </row>
    <row r="62937" spans="104:111">
      <c r="CZ62937" s="256"/>
      <c r="DG62937" s="256"/>
    </row>
    <row r="62938" spans="104:111">
      <c r="CZ62938" s="256"/>
      <c r="DG62938" s="256"/>
    </row>
    <row r="62939" spans="104:111">
      <c r="CZ62939" s="256"/>
      <c r="DG62939" s="256"/>
    </row>
    <row r="62940" spans="104:111">
      <c r="CZ62940" s="256"/>
      <c r="DG62940" s="256"/>
    </row>
    <row r="62941" spans="104:111">
      <c r="CZ62941" s="256"/>
      <c r="DG62941" s="256"/>
    </row>
    <row r="62942" spans="104:111">
      <c r="CZ62942" s="256"/>
      <c r="DG62942" s="256"/>
    </row>
    <row r="62943" spans="104:111">
      <c r="CZ62943" s="256"/>
      <c r="DG62943" s="256"/>
    </row>
    <row r="62944" spans="104:111">
      <c r="CZ62944" s="256"/>
      <c r="DG62944" s="256"/>
    </row>
    <row r="62945" spans="104:111">
      <c r="CZ62945" s="256"/>
      <c r="DG62945" s="256"/>
    </row>
    <row r="62946" spans="104:111">
      <c r="CZ62946" s="256"/>
      <c r="DG62946" s="256"/>
    </row>
    <row r="62947" spans="104:111">
      <c r="CZ62947" s="256"/>
      <c r="DG62947" s="256"/>
    </row>
    <row r="62948" spans="104:111">
      <c r="CZ62948" s="256"/>
      <c r="DG62948" s="256"/>
    </row>
    <row r="62949" spans="104:111">
      <c r="CZ62949" s="256"/>
      <c r="DG62949" s="256"/>
    </row>
    <row r="62950" spans="104:111">
      <c r="CZ62950" s="256"/>
      <c r="DG62950" s="256"/>
    </row>
    <row r="62951" spans="104:111">
      <c r="CZ62951" s="256"/>
      <c r="DG62951" s="256"/>
    </row>
    <row r="62952" spans="104:111">
      <c r="CZ62952" s="256"/>
      <c r="DG62952" s="256"/>
    </row>
    <row r="62953" spans="104:111">
      <c r="CZ62953" s="256"/>
      <c r="DG62953" s="256"/>
    </row>
    <row r="62954" spans="104:111">
      <c r="CZ62954" s="256"/>
      <c r="DG62954" s="256"/>
    </row>
    <row r="62955" spans="104:111">
      <c r="CZ62955" s="256"/>
      <c r="DG62955" s="256"/>
    </row>
    <row r="62956" spans="104:111">
      <c r="CZ62956" s="256"/>
      <c r="DG62956" s="256"/>
    </row>
    <row r="62957" spans="104:111">
      <c r="CZ62957" s="256"/>
      <c r="DG62957" s="256"/>
    </row>
    <row r="62958" spans="104:111">
      <c r="CZ62958" s="256"/>
      <c r="DG62958" s="256"/>
    </row>
    <row r="62959" spans="104:111">
      <c r="CZ62959" s="256"/>
      <c r="DG62959" s="256"/>
    </row>
    <row r="62960" spans="104:111">
      <c r="CZ62960" s="256"/>
      <c r="DG62960" s="256"/>
    </row>
    <row r="62961" spans="104:111">
      <c r="CZ62961" s="256"/>
      <c r="DG62961" s="256"/>
    </row>
    <row r="62962" spans="104:111">
      <c r="CZ62962" s="256"/>
      <c r="DG62962" s="256"/>
    </row>
    <row r="62963" spans="104:111">
      <c r="CZ62963" s="256"/>
      <c r="DG62963" s="256"/>
    </row>
    <row r="62964" spans="104:111">
      <c r="CZ62964" s="256"/>
      <c r="DG62964" s="256"/>
    </row>
    <row r="62965" spans="104:111">
      <c r="CZ62965" s="256"/>
      <c r="DG62965" s="256"/>
    </row>
    <row r="62966" spans="104:111">
      <c r="CZ62966" s="256"/>
      <c r="DG62966" s="256"/>
    </row>
    <row r="62967" spans="104:111">
      <c r="CZ62967" s="256"/>
      <c r="DG62967" s="256"/>
    </row>
    <row r="62968" spans="104:111">
      <c r="CZ62968" s="256"/>
      <c r="DG62968" s="256"/>
    </row>
    <row r="62969" spans="104:111">
      <c r="CZ62969" s="256"/>
      <c r="DG62969" s="256"/>
    </row>
    <row r="62970" spans="104:111">
      <c r="CZ62970" s="256"/>
      <c r="DG62970" s="256"/>
    </row>
    <row r="62971" spans="104:111">
      <c r="CZ62971" s="256"/>
      <c r="DG62971" s="256"/>
    </row>
    <row r="62972" spans="104:111">
      <c r="CZ62972" s="256"/>
      <c r="DG62972" s="256"/>
    </row>
    <row r="62973" spans="104:111">
      <c r="CZ62973" s="256"/>
      <c r="DG62973" s="256"/>
    </row>
    <row r="62974" spans="104:111">
      <c r="CZ62974" s="256"/>
      <c r="DG62974" s="256"/>
    </row>
    <row r="62975" spans="104:111">
      <c r="CZ62975" s="256"/>
      <c r="DG62975" s="256"/>
    </row>
    <row r="62976" spans="104:111">
      <c r="CZ62976" s="256"/>
      <c r="DG62976" s="256"/>
    </row>
    <row r="62977" spans="104:111">
      <c r="CZ62977" s="256"/>
      <c r="DG62977" s="256"/>
    </row>
    <row r="62978" spans="104:111">
      <c r="CZ62978" s="256"/>
      <c r="DG62978" s="256"/>
    </row>
    <row r="62979" spans="104:111">
      <c r="CZ62979" s="256"/>
      <c r="DG62979" s="256"/>
    </row>
    <row r="62980" spans="104:111">
      <c r="CZ62980" s="256"/>
      <c r="DG62980" s="256"/>
    </row>
    <row r="62981" spans="104:111">
      <c r="CZ62981" s="256"/>
      <c r="DG62981" s="256"/>
    </row>
    <row r="62982" spans="104:111">
      <c r="CZ62982" s="256"/>
      <c r="DG62982" s="256"/>
    </row>
    <row r="62983" spans="104:111">
      <c r="CZ62983" s="256"/>
      <c r="DG62983" s="256"/>
    </row>
    <row r="62984" spans="104:111">
      <c r="CZ62984" s="256"/>
      <c r="DG62984" s="256"/>
    </row>
    <row r="62985" spans="104:111">
      <c r="CZ62985" s="256"/>
      <c r="DG62985" s="256"/>
    </row>
    <row r="62986" spans="104:111">
      <c r="CZ62986" s="256"/>
      <c r="DG62986" s="256"/>
    </row>
    <row r="62987" spans="104:111">
      <c r="CZ62987" s="256"/>
      <c r="DG62987" s="256"/>
    </row>
    <row r="62988" spans="104:111">
      <c r="CZ62988" s="256"/>
      <c r="DG62988" s="256"/>
    </row>
    <row r="62989" spans="104:111">
      <c r="CZ62989" s="256"/>
      <c r="DG62989" s="256"/>
    </row>
    <row r="62990" spans="104:111">
      <c r="CZ62990" s="256"/>
      <c r="DG62990" s="256"/>
    </row>
    <row r="62991" spans="104:111">
      <c r="CZ62991" s="256"/>
      <c r="DG62991" s="256"/>
    </row>
    <row r="62992" spans="104:111">
      <c r="CZ62992" s="256"/>
      <c r="DG62992" s="256"/>
    </row>
    <row r="62993" spans="104:111">
      <c r="CZ62993" s="256"/>
      <c r="DG62993" s="256"/>
    </row>
    <row r="62994" spans="104:111">
      <c r="CZ62994" s="256"/>
      <c r="DG62994" s="256"/>
    </row>
    <row r="62995" spans="104:111">
      <c r="CZ62995" s="256"/>
      <c r="DG62995" s="256"/>
    </row>
    <row r="62996" spans="104:111">
      <c r="CZ62996" s="256"/>
      <c r="DG62996" s="256"/>
    </row>
    <row r="62997" spans="104:111">
      <c r="CZ62997" s="256"/>
      <c r="DG62997" s="256"/>
    </row>
    <row r="62998" spans="104:111">
      <c r="CZ62998" s="256"/>
      <c r="DG62998" s="256"/>
    </row>
    <row r="62999" spans="104:111">
      <c r="CZ62999" s="256"/>
      <c r="DG62999" s="256"/>
    </row>
    <row r="63000" spans="104:111">
      <c r="CZ63000" s="256"/>
      <c r="DG63000" s="256"/>
    </row>
    <row r="63001" spans="104:111">
      <c r="CZ63001" s="256"/>
      <c r="DG63001" s="256"/>
    </row>
    <row r="63002" spans="104:111">
      <c r="CZ63002" s="256"/>
      <c r="DG63002" s="256"/>
    </row>
    <row r="63003" spans="104:111">
      <c r="CZ63003" s="256"/>
      <c r="DG63003" s="256"/>
    </row>
    <row r="63004" spans="104:111">
      <c r="CZ63004" s="256"/>
      <c r="DG63004" s="256"/>
    </row>
    <row r="63005" spans="104:111">
      <c r="CZ63005" s="256"/>
      <c r="DG63005" s="256"/>
    </row>
    <row r="63006" spans="104:111">
      <c r="CZ63006" s="256"/>
      <c r="DG63006" s="256"/>
    </row>
    <row r="63007" spans="104:111">
      <c r="CZ63007" s="256"/>
      <c r="DG63007" s="256"/>
    </row>
    <row r="63008" spans="104:111">
      <c r="CZ63008" s="256"/>
      <c r="DG63008" s="256"/>
    </row>
    <row r="63009" spans="104:111">
      <c r="CZ63009" s="256"/>
      <c r="DG63009" s="256"/>
    </row>
    <row r="63010" spans="104:111">
      <c r="CZ63010" s="256"/>
      <c r="DG63010" s="256"/>
    </row>
    <row r="63011" spans="104:111">
      <c r="CZ63011" s="256"/>
      <c r="DG63011" s="256"/>
    </row>
    <row r="63012" spans="104:111">
      <c r="CZ63012" s="256"/>
      <c r="DG63012" s="256"/>
    </row>
    <row r="63013" spans="104:111">
      <c r="CZ63013" s="256"/>
      <c r="DG63013" s="256"/>
    </row>
    <row r="63014" spans="104:111">
      <c r="CZ63014" s="256"/>
      <c r="DG63014" s="256"/>
    </row>
    <row r="63015" spans="104:111">
      <c r="CZ63015" s="256"/>
      <c r="DG63015" s="256"/>
    </row>
    <row r="63016" spans="104:111">
      <c r="CZ63016" s="256"/>
      <c r="DG63016" s="256"/>
    </row>
    <row r="63017" spans="104:111">
      <c r="CZ63017" s="256"/>
      <c r="DG63017" s="256"/>
    </row>
    <row r="63018" spans="104:111">
      <c r="CZ63018" s="256"/>
      <c r="DG63018" s="256"/>
    </row>
    <row r="63019" spans="104:111">
      <c r="CZ63019" s="256"/>
      <c r="DG63019" s="256"/>
    </row>
    <row r="63020" spans="104:111">
      <c r="CZ63020" s="256"/>
      <c r="DG63020" s="256"/>
    </row>
    <row r="63021" spans="104:111">
      <c r="CZ63021" s="256"/>
      <c r="DG63021" s="256"/>
    </row>
    <row r="63022" spans="104:111">
      <c r="CZ63022" s="256"/>
      <c r="DG63022" s="256"/>
    </row>
    <row r="63023" spans="104:111">
      <c r="CZ63023" s="256"/>
      <c r="DG63023" s="256"/>
    </row>
    <row r="63024" spans="104:111">
      <c r="CZ63024" s="256"/>
      <c r="DG63024" s="256"/>
    </row>
    <row r="63025" spans="104:111">
      <c r="CZ63025" s="256"/>
      <c r="DG63025" s="256"/>
    </row>
    <row r="63026" spans="104:111">
      <c r="CZ63026" s="256"/>
      <c r="DG63026" s="256"/>
    </row>
    <row r="63027" spans="104:111">
      <c r="CZ63027" s="256"/>
      <c r="DG63027" s="256"/>
    </row>
    <row r="63028" spans="104:111">
      <c r="CZ63028" s="256"/>
      <c r="DG63028" s="256"/>
    </row>
    <row r="63029" spans="104:111">
      <c r="CZ63029" s="256"/>
      <c r="DG63029" s="256"/>
    </row>
    <row r="63030" spans="104:111">
      <c r="CZ63030" s="256"/>
      <c r="DG63030" s="256"/>
    </row>
    <row r="63031" spans="104:111">
      <c r="CZ63031" s="256"/>
      <c r="DG63031" s="256"/>
    </row>
    <row r="63032" spans="104:111">
      <c r="CZ63032" s="256"/>
      <c r="DG63032" s="256"/>
    </row>
    <row r="63033" spans="104:111">
      <c r="CZ63033" s="256"/>
      <c r="DG63033" s="256"/>
    </row>
    <row r="63034" spans="104:111">
      <c r="CZ63034" s="256"/>
      <c r="DG63034" s="256"/>
    </row>
    <row r="63035" spans="104:111">
      <c r="CZ63035" s="256"/>
      <c r="DG63035" s="256"/>
    </row>
    <row r="63036" spans="104:111">
      <c r="CZ63036" s="256"/>
      <c r="DG63036" s="256"/>
    </row>
    <row r="63037" spans="104:111">
      <c r="CZ63037" s="256"/>
      <c r="DG63037" s="256"/>
    </row>
    <row r="63038" spans="104:111">
      <c r="CZ63038" s="256"/>
      <c r="DG63038" s="256"/>
    </row>
    <row r="63039" spans="104:111">
      <c r="CZ63039" s="256"/>
      <c r="DG63039" s="256"/>
    </row>
    <row r="63040" spans="104:111">
      <c r="CZ63040" s="256"/>
      <c r="DG63040" s="256"/>
    </row>
    <row r="63041" spans="104:111">
      <c r="CZ63041" s="256"/>
      <c r="DG63041" s="256"/>
    </row>
    <row r="63042" spans="104:111">
      <c r="CZ63042" s="256"/>
      <c r="DG63042" s="256"/>
    </row>
    <row r="63043" spans="104:111">
      <c r="CZ63043" s="256"/>
      <c r="DG63043" s="256"/>
    </row>
    <row r="63044" spans="104:111">
      <c r="CZ63044" s="256"/>
      <c r="DG63044" s="256"/>
    </row>
    <row r="63045" spans="104:111">
      <c r="CZ63045" s="256"/>
      <c r="DG63045" s="256"/>
    </row>
    <row r="63046" spans="104:111">
      <c r="CZ63046" s="256"/>
      <c r="DG63046" s="256"/>
    </row>
    <row r="63047" spans="104:111">
      <c r="CZ63047" s="256"/>
      <c r="DG63047" s="256"/>
    </row>
    <row r="63048" spans="104:111">
      <c r="CZ63048" s="256"/>
      <c r="DG63048" s="256"/>
    </row>
    <row r="63049" spans="104:111">
      <c r="CZ63049" s="256"/>
      <c r="DG63049" s="256"/>
    </row>
    <row r="63050" spans="104:111">
      <c r="CZ63050" s="256"/>
      <c r="DG63050" s="256"/>
    </row>
    <row r="63051" spans="104:111">
      <c r="CZ63051" s="256"/>
      <c r="DG63051" s="256"/>
    </row>
    <row r="63052" spans="104:111">
      <c r="CZ63052" s="256"/>
      <c r="DG63052" s="256"/>
    </row>
    <row r="63053" spans="104:111">
      <c r="CZ63053" s="256"/>
      <c r="DG63053" s="256"/>
    </row>
    <row r="63054" spans="104:111">
      <c r="CZ63054" s="256"/>
      <c r="DG63054" s="256"/>
    </row>
    <row r="63055" spans="104:111">
      <c r="CZ63055" s="256"/>
      <c r="DG63055" s="256"/>
    </row>
    <row r="63056" spans="104:111">
      <c r="CZ63056" s="256"/>
      <c r="DG63056" s="256"/>
    </row>
    <row r="63057" spans="104:111">
      <c r="CZ63057" s="256"/>
      <c r="DG63057" s="256"/>
    </row>
    <row r="63058" spans="104:111">
      <c r="CZ63058" s="256"/>
      <c r="DG63058" s="256"/>
    </row>
    <row r="63059" spans="104:111">
      <c r="CZ63059" s="256"/>
      <c r="DG63059" s="256"/>
    </row>
    <row r="63060" spans="104:111">
      <c r="CZ63060" s="256"/>
      <c r="DG63060" s="256"/>
    </row>
    <row r="63061" spans="104:111">
      <c r="CZ63061" s="256"/>
      <c r="DG63061" s="256"/>
    </row>
    <row r="63062" spans="104:111">
      <c r="CZ63062" s="256"/>
      <c r="DG63062" s="256"/>
    </row>
    <row r="63063" spans="104:111">
      <c r="CZ63063" s="256"/>
      <c r="DG63063" s="256"/>
    </row>
    <row r="63064" spans="104:111">
      <c r="CZ63064" s="256"/>
      <c r="DG63064" s="256"/>
    </row>
    <row r="63065" spans="104:111">
      <c r="CZ63065" s="256"/>
      <c r="DG63065" s="256"/>
    </row>
    <row r="63066" spans="104:111">
      <c r="CZ63066" s="256"/>
      <c r="DG63066" s="256"/>
    </row>
    <row r="63067" spans="104:111">
      <c r="CZ63067" s="256"/>
      <c r="DG63067" s="256"/>
    </row>
    <row r="63068" spans="104:111">
      <c r="CZ63068" s="256"/>
      <c r="DG63068" s="256"/>
    </row>
    <row r="63069" spans="104:111">
      <c r="CZ63069" s="256"/>
      <c r="DG63069" s="256"/>
    </row>
    <row r="63070" spans="104:111">
      <c r="CZ63070" s="256"/>
      <c r="DG63070" s="256"/>
    </row>
    <row r="63071" spans="104:111">
      <c r="CZ63071" s="256"/>
      <c r="DG63071" s="256"/>
    </row>
    <row r="63072" spans="104:111">
      <c r="CZ63072" s="256"/>
      <c r="DG63072" s="256"/>
    </row>
    <row r="63073" spans="104:111">
      <c r="CZ63073" s="256"/>
      <c r="DG63073" s="256"/>
    </row>
    <row r="63074" spans="104:111">
      <c r="CZ63074" s="256"/>
      <c r="DG63074" s="256"/>
    </row>
    <row r="63075" spans="104:111">
      <c r="CZ63075" s="256"/>
      <c r="DG63075" s="256"/>
    </row>
    <row r="63076" spans="104:111">
      <c r="CZ63076" s="256"/>
      <c r="DG63076" s="256"/>
    </row>
    <row r="63077" spans="104:111">
      <c r="CZ63077" s="256"/>
      <c r="DG63077" s="256"/>
    </row>
    <row r="63078" spans="104:111">
      <c r="CZ63078" s="256"/>
      <c r="DG63078" s="256"/>
    </row>
    <row r="63079" spans="104:111">
      <c r="CZ63079" s="256"/>
      <c r="DG63079" s="256"/>
    </row>
    <row r="63080" spans="104:111">
      <c r="CZ63080" s="256"/>
      <c r="DG63080" s="256"/>
    </row>
    <row r="63081" spans="104:111">
      <c r="CZ63081" s="256"/>
      <c r="DG63081" s="256"/>
    </row>
    <row r="63082" spans="104:111">
      <c r="CZ63082" s="256"/>
      <c r="DG63082" s="256"/>
    </row>
    <row r="63083" spans="104:111">
      <c r="CZ63083" s="256"/>
      <c r="DG63083" s="256"/>
    </row>
    <row r="63084" spans="104:111">
      <c r="CZ63084" s="256"/>
      <c r="DG63084" s="256"/>
    </row>
    <row r="63085" spans="104:111">
      <c r="CZ63085" s="256"/>
      <c r="DG63085" s="256"/>
    </row>
    <row r="63086" spans="104:111">
      <c r="CZ63086" s="256"/>
      <c r="DG63086" s="256"/>
    </row>
    <row r="63087" spans="104:111">
      <c r="CZ63087" s="256"/>
      <c r="DG63087" s="256"/>
    </row>
    <row r="63088" spans="104:111">
      <c r="CZ63088" s="256"/>
      <c r="DG63088" s="256"/>
    </row>
    <row r="63089" spans="104:111">
      <c r="CZ63089" s="256"/>
      <c r="DG63089" s="256"/>
    </row>
    <row r="63090" spans="104:111">
      <c r="CZ63090" s="256"/>
      <c r="DG63090" s="256"/>
    </row>
    <row r="63091" spans="104:111">
      <c r="CZ63091" s="256"/>
      <c r="DG63091" s="256"/>
    </row>
    <row r="63092" spans="104:111">
      <c r="CZ63092" s="256"/>
      <c r="DG63092" s="256"/>
    </row>
    <row r="63093" spans="104:111">
      <c r="CZ63093" s="256"/>
      <c r="DG63093" s="256"/>
    </row>
    <row r="63094" spans="104:111">
      <c r="CZ63094" s="256"/>
      <c r="DG63094" s="256"/>
    </row>
    <row r="63095" spans="104:111">
      <c r="CZ63095" s="256"/>
      <c r="DG63095" s="256"/>
    </row>
    <row r="63096" spans="104:111">
      <c r="CZ63096" s="256"/>
      <c r="DG63096" s="256"/>
    </row>
    <row r="63097" spans="104:111">
      <c r="CZ63097" s="256"/>
      <c r="DG63097" s="256"/>
    </row>
    <row r="63098" spans="104:111">
      <c r="CZ63098" s="256"/>
      <c r="DG63098" s="256"/>
    </row>
    <row r="63099" spans="104:111">
      <c r="CZ63099" s="256"/>
      <c r="DG63099" s="256"/>
    </row>
    <row r="63100" spans="104:111">
      <c r="CZ63100" s="256"/>
      <c r="DG63100" s="256"/>
    </row>
    <row r="63101" spans="104:111">
      <c r="CZ63101" s="256"/>
      <c r="DG63101" s="256"/>
    </row>
    <row r="63102" spans="104:111">
      <c r="CZ63102" s="256"/>
      <c r="DG63102" s="256"/>
    </row>
    <row r="63103" spans="104:111">
      <c r="CZ63103" s="256"/>
      <c r="DG63103" s="256"/>
    </row>
    <row r="63104" spans="104:111">
      <c r="CZ63104" s="256"/>
      <c r="DG63104" s="256"/>
    </row>
    <row r="63105" spans="104:111">
      <c r="CZ63105" s="256"/>
      <c r="DG63105" s="256"/>
    </row>
    <row r="63106" spans="104:111">
      <c r="CZ63106" s="256"/>
      <c r="DG63106" s="256"/>
    </row>
    <row r="63107" spans="104:111">
      <c r="CZ63107" s="256"/>
      <c r="DG63107" s="256"/>
    </row>
    <row r="63108" spans="104:111">
      <c r="CZ63108" s="256"/>
      <c r="DG63108" s="256"/>
    </row>
    <row r="63109" spans="104:111">
      <c r="CZ63109" s="256"/>
      <c r="DG63109" s="256"/>
    </row>
    <row r="63110" spans="104:111">
      <c r="CZ63110" s="256"/>
      <c r="DG63110" s="256"/>
    </row>
    <row r="63111" spans="104:111">
      <c r="CZ63111" s="256"/>
      <c r="DG63111" s="256"/>
    </row>
    <row r="63112" spans="104:111">
      <c r="CZ63112" s="256"/>
      <c r="DG63112" s="256"/>
    </row>
    <row r="63113" spans="104:111">
      <c r="CZ63113" s="256"/>
      <c r="DG63113" s="256"/>
    </row>
    <row r="63114" spans="104:111">
      <c r="CZ63114" s="256"/>
      <c r="DG63114" s="256"/>
    </row>
    <row r="63115" spans="104:111">
      <c r="CZ63115" s="256"/>
      <c r="DG63115" s="256"/>
    </row>
    <row r="63116" spans="104:111">
      <c r="CZ63116" s="256"/>
      <c r="DG63116" s="256"/>
    </row>
    <row r="63117" spans="104:111">
      <c r="CZ63117" s="256"/>
      <c r="DG63117" s="256"/>
    </row>
    <row r="63118" spans="104:111">
      <c r="CZ63118" s="256"/>
      <c r="DG63118" s="256"/>
    </row>
    <row r="63119" spans="104:111">
      <c r="CZ63119" s="256"/>
      <c r="DG63119" s="256"/>
    </row>
    <row r="63120" spans="104:111">
      <c r="CZ63120" s="256"/>
      <c r="DG63120" s="256"/>
    </row>
    <row r="63121" spans="104:111">
      <c r="CZ63121" s="256"/>
      <c r="DG63121" s="256"/>
    </row>
    <row r="63122" spans="104:111">
      <c r="CZ63122" s="256"/>
      <c r="DG63122" s="256"/>
    </row>
    <row r="63123" spans="104:111">
      <c r="CZ63123" s="256"/>
      <c r="DG63123" s="256"/>
    </row>
    <row r="63124" spans="104:111">
      <c r="CZ63124" s="256"/>
      <c r="DG63124" s="256"/>
    </row>
    <row r="63125" spans="104:111">
      <c r="CZ63125" s="256"/>
      <c r="DG63125" s="256"/>
    </row>
    <row r="63126" spans="104:111">
      <c r="CZ63126" s="256"/>
      <c r="DG63126" s="256"/>
    </row>
    <row r="63127" spans="104:111">
      <c r="CZ63127" s="256"/>
      <c r="DG63127" s="256"/>
    </row>
    <row r="63128" spans="104:111">
      <c r="CZ63128" s="256"/>
      <c r="DG63128" s="256"/>
    </row>
    <row r="63129" spans="104:111">
      <c r="CZ63129" s="256"/>
      <c r="DG63129" s="256"/>
    </row>
    <row r="63130" spans="104:111">
      <c r="CZ63130" s="256"/>
      <c r="DG63130" s="256"/>
    </row>
    <row r="63131" spans="104:111">
      <c r="CZ63131" s="256"/>
      <c r="DG63131" s="256"/>
    </row>
    <row r="63132" spans="104:111">
      <c r="CZ63132" s="256"/>
      <c r="DG63132" s="256"/>
    </row>
    <row r="63133" spans="104:111">
      <c r="CZ63133" s="256"/>
      <c r="DG63133" s="256"/>
    </row>
    <row r="63134" spans="104:111">
      <c r="CZ63134" s="256"/>
      <c r="DG63134" s="256"/>
    </row>
    <row r="63135" spans="104:111">
      <c r="CZ63135" s="256"/>
      <c r="DG63135" s="256"/>
    </row>
    <row r="63136" spans="104:111">
      <c r="CZ63136" s="256"/>
      <c r="DG63136" s="256"/>
    </row>
    <row r="63137" spans="104:111">
      <c r="CZ63137" s="256"/>
      <c r="DG63137" s="256"/>
    </row>
    <row r="63138" spans="104:111">
      <c r="CZ63138" s="256"/>
      <c r="DG63138" s="256"/>
    </row>
    <row r="63139" spans="104:111">
      <c r="CZ63139" s="256"/>
      <c r="DG63139" s="256"/>
    </row>
    <row r="63140" spans="104:111">
      <c r="CZ63140" s="256"/>
      <c r="DG63140" s="256"/>
    </row>
    <row r="63141" spans="104:111">
      <c r="CZ63141" s="256"/>
      <c r="DG63141" s="256"/>
    </row>
    <row r="63142" spans="104:111">
      <c r="CZ63142" s="256"/>
      <c r="DG63142" s="256"/>
    </row>
    <row r="63143" spans="104:111">
      <c r="CZ63143" s="256"/>
      <c r="DG63143" s="256"/>
    </row>
    <row r="63144" spans="104:111">
      <c r="CZ63144" s="256"/>
      <c r="DG63144" s="256"/>
    </row>
    <row r="63145" spans="104:111">
      <c r="CZ63145" s="256"/>
      <c r="DG63145" s="256"/>
    </row>
    <row r="63146" spans="104:111">
      <c r="CZ63146" s="256"/>
      <c r="DG63146" s="256"/>
    </row>
    <row r="63147" spans="104:111">
      <c r="CZ63147" s="256"/>
      <c r="DG63147" s="256"/>
    </row>
    <row r="63148" spans="104:111">
      <c r="CZ63148" s="256"/>
      <c r="DG63148" s="256"/>
    </row>
    <row r="63149" spans="104:111">
      <c r="CZ63149" s="256"/>
      <c r="DG63149" s="256"/>
    </row>
    <row r="63150" spans="104:111">
      <c r="CZ63150" s="256"/>
      <c r="DG63150" s="256"/>
    </row>
    <row r="63151" spans="104:111">
      <c r="CZ63151" s="256"/>
      <c r="DG63151" s="256"/>
    </row>
    <row r="63152" spans="104:111">
      <c r="CZ63152" s="256"/>
      <c r="DG63152" s="256"/>
    </row>
    <row r="63153" spans="104:111">
      <c r="CZ63153" s="256"/>
      <c r="DG63153" s="256"/>
    </row>
    <row r="63154" spans="104:111">
      <c r="CZ63154" s="256"/>
      <c r="DG63154" s="256"/>
    </row>
    <row r="63155" spans="104:111">
      <c r="CZ63155" s="256"/>
      <c r="DG63155" s="256"/>
    </row>
    <row r="63156" spans="104:111">
      <c r="CZ63156" s="256"/>
      <c r="DG63156" s="256"/>
    </row>
    <row r="63157" spans="104:111">
      <c r="CZ63157" s="256"/>
      <c r="DG63157" s="256"/>
    </row>
    <row r="63158" spans="104:111">
      <c r="CZ63158" s="256"/>
      <c r="DG63158" s="256"/>
    </row>
    <row r="63159" spans="104:111">
      <c r="CZ63159" s="256"/>
      <c r="DG63159" s="256"/>
    </row>
    <row r="63160" spans="104:111">
      <c r="CZ63160" s="256"/>
      <c r="DG63160" s="256"/>
    </row>
    <row r="63161" spans="104:111">
      <c r="CZ63161" s="256"/>
      <c r="DG63161" s="256"/>
    </row>
    <row r="63162" spans="104:111">
      <c r="CZ63162" s="256"/>
      <c r="DG63162" s="256"/>
    </row>
    <row r="63163" spans="104:111">
      <c r="CZ63163" s="256"/>
      <c r="DG63163" s="256"/>
    </row>
    <row r="63164" spans="104:111">
      <c r="CZ63164" s="256"/>
      <c r="DG63164" s="256"/>
    </row>
    <row r="63165" spans="104:111">
      <c r="CZ63165" s="256"/>
      <c r="DG63165" s="256"/>
    </row>
    <row r="63166" spans="104:111">
      <c r="CZ63166" s="256"/>
      <c r="DG63166" s="256"/>
    </row>
    <row r="63167" spans="104:111">
      <c r="CZ63167" s="256"/>
      <c r="DG63167" s="256"/>
    </row>
    <row r="63168" spans="104:111">
      <c r="CZ63168" s="256"/>
      <c r="DG63168" s="256"/>
    </row>
    <row r="63169" spans="104:111">
      <c r="CZ63169" s="256"/>
      <c r="DG63169" s="256"/>
    </row>
    <row r="63170" spans="104:111">
      <c r="CZ63170" s="256"/>
      <c r="DG63170" s="256"/>
    </row>
    <row r="63171" spans="104:111">
      <c r="CZ63171" s="256"/>
      <c r="DG63171" s="256"/>
    </row>
    <row r="63172" spans="104:111">
      <c r="CZ63172" s="256"/>
      <c r="DG63172" s="256"/>
    </row>
    <row r="63173" spans="104:111">
      <c r="CZ63173" s="256"/>
      <c r="DG63173" s="256"/>
    </row>
    <row r="63174" spans="104:111">
      <c r="CZ63174" s="256"/>
      <c r="DG63174" s="256"/>
    </row>
    <row r="63175" spans="104:111">
      <c r="CZ63175" s="256"/>
      <c r="DG63175" s="256"/>
    </row>
    <row r="63176" spans="104:111">
      <c r="CZ63176" s="256"/>
      <c r="DG63176" s="256"/>
    </row>
    <row r="63177" spans="104:111">
      <c r="CZ63177" s="256"/>
      <c r="DG63177" s="256"/>
    </row>
    <row r="63178" spans="104:111">
      <c r="CZ63178" s="256"/>
      <c r="DG63178" s="256"/>
    </row>
    <row r="63179" spans="104:111">
      <c r="CZ63179" s="256"/>
      <c r="DG63179" s="256"/>
    </row>
    <row r="63180" spans="104:111">
      <c r="CZ63180" s="256"/>
      <c r="DG63180" s="256"/>
    </row>
    <row r="63181" spans="104:111">
      <c r="CZ63181" s="256"/>
      <c r="DG63181" s="256"/>
    </row>
    <row r="63182" spans="104:111">
      <c r="CZ63182" s="256"/>
      <c r="DG63182" s="256"/>
    </row>
    <row r="63183" spans="104:111">
      <c r="CZ63183" s="256"/>
      <c r="DG63183" s="256"/>
    </row>
    <row r="63184" spans="104:111">
      <c r="CZ63184" s="256"/>
      <c r="DG63184" s="256"/>
    </row>
    <row r="63185" spans="104:111">
      <c r="CZ63185" s="256"/>
      <c r="DG63185" s="256"/>
    </row>
    <row r="63186" spans="104:111">
      <c r="CZ63186" s="256"/>
      <c r="DG63186" s="256"/>
    </row>
    <row r="63187" spans="104:111">
      <c r="CZ63187" s="256"/>
      <c r="DG63187" s="256"/>
    </row>
    <row r="63188" spans="104:111">
      <c r="CZ63188" s="256"/>
      <c r="DG63188" s="256"/>
    </row>
    <row r="63189" spans="104:111">
      <c r="CZ63189" s="256"/>
      <c r="DG63189" s="256"/>
    </row>
    <row r="63190" spans="104:111">
      <c r="CZ63190" s="256"/>
      <c r="DG63190" s="256"/>
    </row>
    <row r="63191" spans="104:111">
      <c r="CZ63191" s="256"/>
      <c r="DG63191" s="256"/>
    </row>
    <row r="63192" spans="104:111">
      <c r="CZ63192" s="256"/>
      <c r="DG63192" s="256"/>
    </row>
    <row r="63193" spans="104:111">
      <c r="CZ63193" s="256"/>
      <c r="DG63193" s="256"/>
    </row>
    <row r="63194" spans="104:111">
      <c r="CZ63194" s="256"/>
      <c r="DG63194" s="256"/>
    </row>
    <row r="63195" spans="104:111">
      <c r="CZ63195" s="256"/>
      <c r="DG63195" s="256"/>
    </row>
    <row r="63196" spans="104:111">
      <c r="CZ63196" s="256"/>
      <c r="DG63196" s="256"/>
    </row>
    <row r="63197" spans="104:111">
      <c r="CZ63197" s="256"/>
      <c r="DG63197" s="256"/>
    </row>
    <row r="63198" spans="104:111">
      <c r="CZ63198" s="256"/>
      <c r="DG63198" s="256"/>
    </row>
    <row r="63199" spans="104:111">
      <c r="CZ63199" s="256"/>
      <c r="DG63199" s="256"/>
    </row>
    <row r="63200" spans="104:111">
      <c r="CZ63200" s="256"/>
      <c r="DG63200" s="256"/>
    </row>
    <row r="63201" spans="104:111">
      <c r="CZ63201" s="256"/>
      <c r="DG63201" s="256"/>
    </row>
    <row r="63202" spans="104:111">
      <c r="CZ63202" s="256"/>
      <c r="DG63202" s="256"/>
    </row>
    <row r="63203" spans="104:111">
      <c r="CZ63203" s="256"/>
      <c r="DG63203" s="256"/>
    </row>
    <row r="63204" spans="104:111">
      <c r="CZ63204" s="256"/>
      <c r="DG63204" s="256"/>
    </row>
    <row r="63205" spans="104:111">
      <c r="CZ63205" s="256"/>
      <c r="DG63205" s="256"/>
    </row>
    <row r="63206" spans="104:111">
      <c r="CZ63206" s="256"/>
      <c r="DG63206" s="256"/>
    </row>
    <row r="63207" spans="104:111">
      <c r="CZ63207" s="256"/>
      <c r="DG63207" s="256"/>
    </row>
    <row r="63208" spans="104:111">
      <c r="CZ63208" s="256"/>
      <c r="DG63208" s="256"/>
    </row>
    <row r="63209" spans="104:111">
      <c r="CZ63209" s="256"/>
      <c r="DG63209" s="256"/>
    </row>
    <row r="63210" spans="104:111">
      <c r="CZ63210" s="256"/>
      <c r="DG63210" s="256"/>
    </row>
    <row r="63211" spans="104:111">
      <c r="CZ63211" s="256"/>
      <c r="DG63211" s="256"/>
    </row>
    <row r="63212" spans="104:111">
      <c r="CZ63212" s="256"/>
      <c r="DG63212" s="256"/>
    </row>
    <row r="63213" spans="104:111">
      <c r="CZ63213" s="256"/>
      <c r="DG63213" s="256"/>
    </row>
    <row r="63214" spans="104:111">
      <c r="CZ63214" s="256"/>
      <c r="DG63214" s="256"/>
    </row>
    <row r="63215" spans="104:111">
      <c r="CZ63215" s="256"/>
      <c r="DG63215" s="256"/>
    </row>
    <row r="63216" spans="104:111">
      <c r="CZ63216" s="256"/>
      <c r="DG63216" s="256"/>
    </row>
    <row r="63217" spans="104:111">
      <c r="CZ63217" s="256"/>
      <c r="DG63217" s="256"/>
    </row>
    <row r="63218" spans="104:111">
      <c r="CZ63218" s="256"/>
      <c r="DG63218" s="256"/>
    </row>
    <row r="63219" spans="104:111">
      <c r="CZ63219" s="256"/>
      <c r="DG63219" s="256"/>
    </row>
    <row r="63220" spans="104:111">
      <c r="CZ63220" s="256"/>
      <c r="DG63220" s="256"/>
    </row>
    <row r="63221" spans="104:111">
      <c r="CZ63221" s="256"/>
      <c r="DG63221" s="256"/>
    </row>
    <row r="63222" spans="104:111">
      <c r="CZ63222" s="256"/>
      <c r="DG63222" s="256"/>
    </row>
    <row r="63223" spans="104:111">
      <c r="CZ63223" s="256"/>
      <c r="DG63223" s="256"/>
    </row>
    <row r="63224" spans="104:111">
      <c r="CZ63224" s="256"/>
      <c r="DG63224" s="256"/>
    </row>
    <row r="63225" spans="104:111">
      <c r="CZ63225" s="256"/>
      <c r="DG63225" s="256"/>
    </row>
    <row r="63226" spans="104:111">
      <c r="CZ63226" s="256"/>
      <c r="DG63226" s="256"/>
    </row>
    <row r="63227" spans="104:111">
      <c r="CZ63227" s="256"/>
      <c r="DG63227" s="256"/>
    </row>
    <row r="63228" spans="104:111">
      <c r="CZ63228" s="256"/>
      <c r="DG63228" s="256"/>
    </row>
    <row r="63229" spans="104:111">
      <c r="CZ63229" s="256"/>
      <c r="DG63229" s="256"/>
    </row>
    <row r="63230" spans="104:111">
      <c r="CZ63230" s="256"/>
      <c r="DG63230" s="256"/>
    </row>
    <row r="63231" spans="104:111">
      <c r="CZ63231" s="256"/>
      <c r="DG63231" s="256"/>
    </row>
    <row r="63232" spans="104:111">
      <c r="CZ63232" s="256"/>
      <c r="DG63232" s="256"/>
    </row>
    <row r="63233" spans="104:111">
      <c r="CZ63233" s="256"/>
      <c r="DG63233" s="256"/>
    </row>
    <row r="63234" spans="104:111">
      <c r="CZ63234" s="256"/>
      <c r="DG63234" s="256"/>
    </row>
    <row r="63235" spans="104:111">
      <c r="CZ63235" s="256"/>
      <c r="DG63235" s="256"/>
    </row>
    <row r="63236" spans="104:111">
      <c r="CZ63236" s="256"/>
      <c r="DG63236" s="256"/>
    </row>
    <row r="63237" spans="104:111">
      <c r="CZ63237" s="256"/>
      <c r="DG63237" s="256"/>
    </row>
    <row r="63238" spans="104:111">
      <c r="CZ63238" s="256"/>
      <c r="DG63238" s="256"/>
    </row>
    <row r="63239" spans="104:111">
      <c r="CZ63239" s="256"/>
      <c r="DG63239" s="256"/>
    </row>
    <row r="63240" spans="104:111">
      <c r="CZ63240" s="256"/>
      <c r="DG63240" s="256"/>
    </row>
    <row r="63241" spans="104:111">
      <c r="CZ63241" s="256"/>
      <c r="DG63241" s="256"/>
    </row>
    <row r="63242" spans="104:111">
      <c r="CZ63242" s="256"/>
      <c r="DG63242" s="256"/>
    </row>
    <row r="63243" spans="104:111">
      <c r="CZ63243" s="256"/>
      <c r="DG63243" s="256"/>
    </row>
    <row r="63244" spans="104:111">
      <c r="CZ63244" s="256"/>
      <c r="DG63244" s="256"/>
    </row>
    <row r="63245" spans="104:111">
      <c r="CZ63245" s="256"/>
      <c r="DG63245" s="256"/>
    </row>
    <row r="63246" spans="104:111">
      <c r="CZ63246" s="256"/>
      <c r="DG63246" s="256"/>
    </row>
    <row r="63247" spans="104:111">
      <c r="CZ63247" s="256"/>
      <c r="DG63247" s="256"/>
    </row>
    <row r="63248" spans="104:111">
      <c r="CZ63248" s="256"/>
      <c r="DG63248" s="256"/>
    </row>
    <row r="63249" spans="104:111">
      <c r="CZ63249" s="256"/>
      <c r="DG63249" s="256"/>
    </row>
    <row r="63250" spans="104:111">
      <c r="CZ63250" s="256"/>
      <c r="DG63250" s="256"/>
    </row>
    <row r="63251" spans="104:111">
      <c r="CZ63251" s="256"/>
      <c r="DG63251" s="256"/>
    </row>
    <row r="63252" spans="104:111">
      <c r="CZ63252" s="256"/>
      <c r="DG63252" s="256"/>
    </row>
    <row r="63253" spans="104:111">
      <c r="CZ63253" s="256"/>
      <c r="DG63253" s="256"/>
    </row>
    <row r="63254" spans="104:111">
      <c r="CZ63254" s="256"/>
      <c r="DG63254" s="256"/>
    </row>
    <row r="63255" spans="104:111">
      <c r="CZ63255" s="256"/>
      <c r="DG63255" s="256"/>
    </row>
    <row r="63256" spans="104:111">
      <c r="CZ63256" s="256"/>
      <c r="DG63256" s="256"/>
    </row>
    <row r="63257" spans="104:111">
      <c r="CZ63257" s="256"/>
      <c r="DG63257" s="256"/>
    </row>
    <row r="63258" spans="104:111">
      <c r="CZ63258" s="256"/>
      <c r="DG63258" s="256"/>
    </row>
    <row r="63259" spans="104:111">
      <c r="CZ63259" s="256"/>
      <c r="DG63259" s="256"/>
    </row>
    <row r="63260" spans="104:111">
      <c r="CZ63260" s="256"/>
      <c r="DG63260" s="256"/>
    </row>
    <row r="63261" spans="104:111">
      <c r="CZ63261" s="256"/>
      <c r="DG63261" s="256"/>
    </row>
    <row r="63262" spans="104:111">
      <c r="CZ63262" s="256"/>
      <c r="DG63262" s="256"/>
    </row>
    <row r="63263" spans="104:111">
      <c r="CZ63263" s="256"/>
      <c r="DG63263" s="256"/>
    </row>
    <row r="63264" spans="104:111">
      <c r="CZ63264" s="256"/>
      <c r="DG63264" s="256"/>
    </row>
    <row r="63265" spans="104:111">
      <c r="CZ63265" s="256"/>
      <c r="DG63265" s="256"/>
    </row>
    <row r="63266" spans="104:111">
      <c r="CZ63266" s="256"/>
      <c r="DG63266" s="256"/>
    </row>
    <row r="63267" spans="104:111">
      <c r="CZ63267" s="256"/>
      <c r="DG63267" s="256"/>
    </row>
    <row r="63268" spans="104:111">
      <c r="CZ63268" s="256"/>
      <c r="DG63268" s="256"/>
    </row>
    <row r="63269" spans="104:111">
      <c r="CZ63269" s="256"/>
      <c r="DG63269" s="256"/>
    </row>
    <row r="63270" spans="104:111">
      <c r="CZ63270" s="256"/>
      <c r="DG63270" s="256"/>
    </row>
    <row r="63271" spans="104:111">
      <c r="CZ63271" s="256"/>
      <c r="DG63271" s="256"/>
    </row>
    <row r="63272" spans="104:111">
      <c r="CZ63272" s="256"/>
      <c r="DG63272" s="256"/>
    </row>
    <row r="63273" spans="104:111">
      <c r="CZ63273" s="256"/>
      <c r="DG63273" s="256"/>
    </row>
    <row r="63274" spans="104:111">
      <c r="CZ63274" s="256"/>
      <c r="DG63274" s="256"/>
    </row>
    <row r="63275" spans="104:111">
      <c r="CZ63275" s="256"/>
      <c r="DG63275" s="256"/>
    </row>
    <row r="63276" spans="104:111">
      <c r="CZ63276" s="256"/>
      <c r="DG63276" s="256"/>
    </row>
    <row r="63277" spans="104:111">
      <c r="CZ63277" s="256"/>
      <c r="DG63277" s="256"/>
    </row>
    <row r="63278" spans="104:111">
      <c r="CZ63278" s="256"/>
      <c r="DG63278" s="256"/>
    </row>
    <row r="63279" spans="104:111">
      <c r="CZ63279" s="256"/>
      <c r="DG63279" s="256"/>
    </row>
    <row r="63280" spans="104:111">
      <c r="CZ63280" s="256"/>
      <c r="DG63280" s="256"/>
    </row>
    <row r="63281" spans="104:111">
      <c r="CZ63281" s="256"/>
      <c r="DG63281" s="256"/>
    </row>
    <row r="63282" spans="104:111">
      <c r="CZ63282" s="256"/>
      <c r="DG63282" s="256"/>
    </row>
    <row r="63283" spans="104:111">
      <c r="CZ63283" s="256"/>
      <c r="DG63283" s="256"/>
    </row>
    <row r="63284" spans="104:111">
      <c r="CZ63284" s="256"/>
      <c r="DG63284" s="256"/>
    </row>
    <row r="63285" spans="104:111">
      <c r="CZ63285" s="256"/>
      <c r="DG63285" s="256"/>
    </row>
    <row r="63286" spans="104:111">
      <c r="CZ63286" s="256"/>
      <c r="DG63286" s="256"/>
    </row>
    <row r="63287" spans="104:111">
      <c r="CZ63287" s="256"/>
      <c r="DG63287" s="256"/>
    </row>
    <row r="63288" spans="104:111">
      <c r="CZ63288" s="256"/>
      <c r="DG63288" s="256"/>
    </row>
    <row r="63289" spans="104:111">
      <c r="CZ63289" s="256"/>
      <c r="DG63289" s="256"/>
    </row>
    <row r="63290" spans="104:111">
      <c r="CZ63290" s="256"/>
      <c r="DG63290" s="256"/>
    </row>
    <row r="63291" spans="104:111">
      <c r="CZ63291" s="256"/>
      <c r="DG63291" s="256"/>
    </row>
    <row r="63292" spans="104:111">
      <c r="CZ63292" s="256"/>
      <c r="DG63292" s="256"/>
    </row>
    <row r="63293" spans="104:111">
      <c r="CZ63293" s="256"/>
      <c r="DG63293" s="256"/>
    </row>
    <row r="63294" spans="104:111">
      <c r="CZ63294" s="256"/>
      <c r="DG63294" s="256"/>
    </row>
    <row r="63295" spans="104:111">
      <c r="CZ63295" s="256"/>
      <c r="DG63295" s="256"/>
    </row>
    <row r="63296" spans="104:111">
      <c r="CZ63296" s="256"/>
      <c r="DG63296" s="256"/>
    </row>
    <row r="63297" spans="104:111">
      <c r="CZ63297" s="256"/>
      <c r="DG63297" s="256"/>
    </row>
    <row r="63298" spans="104:111">
      <c r="CZ63298" s="256"/>
      <c r="DG63298" s="256"/>
    </row>
    <row r="63299" spans="104:111">
      <c r="CZ63299" s="256"/>
      <c r="DG63299" s="256"/>
    </row>
    <row r="63300" spans="104:111">
      <c r="CZ63300" s="256"/>
      <c r="DG63300" s="256"/>
    </row>
    <row r="63301" spans="104:111">
      <c r="CZ63301" s="256"/>
      <c r="DG63301" s="256"/>
    </row>
    <row r="63302" spans="104:111">
      <c r="CZ63302" s="256"/>
      <c r="DG63302" s="256"/>
    </row>
    <row r="63303" spans="104:111">
      <c r="CZ63303" s="256"/>
      <c r="DG63303" s="256"/>
    </row>
    <row r="63304" spans="104:111">
      <c r="CZ63304" s="256"/>
      <c r="DG63304" s="256"/>
    </row>
    <row r="63305" spans="104:111">
      <c r="CZ63305" s="256"/>
      <c r="DG63305" s="256"/>
    </row>
    <row r="63306" spans="104:111">
      <c r="CZ63306" s="256"/>
      <c r="DG63306" s="256"/>
    </row>
    <row r="63307" spans="104:111">
      <c r="CZ63307" s="256"/>
      <c r="DG63307" s="256"/>
    </row>
    <row r="63308" spans="104:111">
      <c r="CZ63308" s="256"/>
      <c r="DG63308" s="256"/>
    </row>
    <row r="63309" spans="104:111">
      <c r="CZ63309" s="256"/>
      <c r="DG63309" s="256"/>
    </row>
    <row r="63310" spans="104:111">
      <c r="CZ63310" s="256"/>
      <c r="DG63310" s="256"/>
    </row>
    <row r="63311" spans="104:111">
      <c r="CZ63311" s="256"/>
      <c r="DG63311" s="256"/>
    </row>
    <row r="63312" spans="104:111">
      <c r="CZ63312" s="256"/>
      <c r="DG63312" s="256"/>
    </row>
    <row r="63313" spans="104:111">
      <c r="CZ63313" s="256"/>
      <c r="DG63313" s="256"/>
    </row>
    <row r="63314" spans="104:111">
      <c r="CZ63314" s="256"/>
      <c r="DG63314" s="256"/>
    </row>
    <row r="63315" spans="104:111">
      <c r="CZ63315" s="256"/>
      <c r="DG63315" s="256"/>
    </row>
    <row r="63316" spans="104:111">
      <c r="CZ63316" s="256"/>
      <c r="DG63316" s="256"/>
    </row>
    <row r="63317" spans="104:111">
      <c r="CZ63317" s="256"/>
      <c r="DG63317" s="256"/>
    </row>
    <row r="63318" spans="104:111">
      <c r="CZ63318" s="256"/>
      <c r="DG63318" s="256"/>
    </row>
    <row r="63319" spans="104:111">
      <c r="CZ63319" s="256"/>
      <c r="DG63319" s="256"/>
    </row>
    <row r="63320" spans="104:111">
      <c r="CZ63320" s="256"/>
      <c r="DG63320" s="256"/>
    </row>
    <row r="63321" spans="104:111">
      <c r="CZ63321" s="256"/>
      <c r="DG63321" s="256"/>
    </row>
    <row r="63322" spans="104:111">
      <c r="CZ63322" s="256"/>
      <c r="DG63322" s="256"/>
    </row>
    <row r="63323" spans="104:111">
      <c r="CZ63323" s="256"/>
      <c r="DG63323" s="256"/>
    </row>
    <row r="63324" spans="104:111">
      <c r="CZ63324" s="256"/>
      <c r="DG63324" s="256"/>
    </row>
    <row r="63325" spans="104:111">
      <c r="CZ63325" s="256"/>
      <c r="DG63325" s="256"/>
    </row>
    <row r="63326" spans="104:111">
      <c r="CZ63326" s="256"/>
      <c r="DG63326" s="256"/>
    </row>
    <row r="63327" spans="104:111">
      <c r="CZ63327" s="256"/>
      <c r="DG63327" s="256"/>
    </row>
    <row r="63328" spans="104:111">
      <c r="CZ63328" s="256"/>
      <c r="DG63328" s="256"/>
    </row>
    <row r="63329" spans="104:111">
      <c r="CZ63329" s="256"/>
      <c r="DG63329" s="256"/>
    </row>
    <row r="63330" spans="104:111">
      <c r="CZ63330" s="256"/>
      <c r="DG63330" s="256"/>
    </row>
    <row r="63331" spans="104:111">
      <c r="CZ63331" s="256"/>
      <c r="DG63331" s="256"/>
    </row>
    <row r="63332" spans="104:111">
      <c r="CZ63332" s="256"/>
      <c r="DG63332" s="256"/>
    </row>
    <row r="63333" spans="104:111">
      <c r="CZ63333" s="256"/>
      <c r="DG63333" s="256"/>
    </row>
    <row r="63334" spans="104:111">
      <c r="CZ63334" s="256"/>
      <c r="DG63334" s="256"/>
    </row>
    <row r="63335" spans="104:111">
      <c r="CZ63335" s="256"/>
      <c r="DG63335" s="256"/>
    </row>
    <row r="63336" spans="104:111">
      <c r="CZ63336" s="256"/>
      <c r="DG63336" s="256"/>
    </row>
    <row r="63337" spans="104:111">
      <c r="CZ63337" s="256"/>
      <c r="DG63337" s="256"/>
    </row>
    <row r="63338" spans="104:111">
      <c r="CZ63338" s="256"/>
      <c r="DG63338" s="256"/>
    </row>
    <row r="63339" spans="104:111">
      <c r="CZ63339" s="256"/>
      <c r="DG63339" s="256"/>
    </row>
    <row r="63340" spans="104:111">
      <c r="CZ63340" s="256"/>
      <c r="DG63340" s="256"/>
    </row>
    <row r="63341" spans="104:111">
      <c r="CZ63341" s="256"/>
      <c r="DG63341" s="256"/>
    </row>
    <row r="63342" spans="104:111">
      <c r="CZ63342" s="256"/>
      <c r="DG63342" s="256"/>
    </row>
    <row r="63343" spans="104:111">
      <c r="CZ63343" s="256"/>
      <c r="DG63343" s="256"/>
    </row>
    <row r="63344" spans="104:111">
      <c r="CZ63344" s="256"/>
      <c r="DG63344" s="256"/>
    </row>
    <row r="63345" spans="104:111">
      <c r="CZ63345" s="256"/>
      <c r="DG63345" s="256"/>
    </row>
    <row r="63346" spans="104:111">
      <c r="CZ63346" s="256"/>
      <c r="DG63346" s="256"/>
    </row>
    <row r="63347" spans="104:111">
      <c r="CZ63347" s="256"/>
      <c r="DG63347" s="256"/>
    </row>
    <row r="63348" spans="104:111">
      <c r="CZ63348" s="256"/>
      <c r="DG63348" s="256"/>
    </row>
    <row r="63349" spans="104:111">
      <c r="CZ63349" s="256"/>
      <c r="DG63349" s="256"/>
    </row>
    <row r="63350" spans="104:111">
      <c r="CZ63350" s="256"/>
      <c r="DG63350" s="256"/>
    </row>
    <row r="63351" spans="104:111">
      <c r="CZ63351" s="256"/>
      <c r="DG63351" s="256"/>
    </row>
    <row r="63352" spans="104:111">
      <c r="CZ63352" s="256"/>
      <c r="DG63352" s="256"/>
    </row>
    <row r="63353" spans="104:111">
      <c r="CZ63353" s="256"/>
      <c r="DG63353" s="256"/>
    </row>
    <row r="63354" spans="104:111">
      <c r="CZ63354" s="256"/>
      <c r="DG63354" s="256"/>
    </row>
    <row r="63355" spans="104:111">
      <c r="CZ63355" s="256"/>
      <c r="DG63355" s="256"/>
    </row>
    <row r="63356" spans="104:111">
      <c r="CZ63356" s="256"/>
      <c r="DG63356" s="256"/>
    </row>
    <row r="63357" spans="104:111">
      <c r="CZ63357" s="256"/>
      <c r="DG63357" s="256"/>
    </row>
    <row r="63358" spans="104:111">
      <c r="CZ63358" s="256"/>
      <c r="DG63358" s="256"/>
    </row>
    <row r="63359" spans="104:111">
      <c r="CZ63359" s="256"/>
      <c r="DG63359" s="256"/>
    </row>
    <row r="63360" spans="104:111">
      <c r="CZ63360" s="256"/>
      <c r="DG63360" s="256"/>
    </row>
    <row r="63361" spans="104:111">
      <c r="CZ63361" s="256"/>
      <c r="DG63361" s="256"/>
    </row>
    <row r="63362" spans="104:111">
      <c r="CZ63362" s="256"/>
      <c r="DG63362" s="256"/>
    </row>
    <row r="63363" spans="104:111">
      <c r="CZ63363" s="256"/>
      <c r="DG63363" s="256"/>
    </row>
    <row r="63364" spans="104:111">
      <c r="CZ63364" s="256"/>
      <c r="DG63364" s="256"/>
    </row>
    <row r="63365" spans="104:111">
      <c r="CZ63365" s="256"/>
      <c r="DG63365" s="256"/>
    </row>
    <row r="63366" spans="104:111">
      <c r="CZ63366" s="256"/>
      <c r="DG63366" s="256"/>
    </row>
    <row r="63367" spans="104:111">
      <c r="CZ63367" s="256"/>
      <c r="DG63367" s="256"/>
    </row>
    <row r="63368" spans="104:111">
      <c r="CZ63368" s="256"/>
      <c r="DG63368" s="256"/>
    </row>
    <row r="63369" spans="104:111">
      <c r="CZ63369" s="256"/>
      <c r="DG63369" s="256"/>
    </row>
    <row r="63370" spans="104:111">
      <c r="CZ63370" s="256"/>
      <c r="DG63370" s="256"/>
    </row>
    <row r="63371" spans="104:111">
      <c r="CZ63371" s="256"/>
      <c r="DG63371" s="256"/>
    </row>
    <row r="63372" spans="104:111">
      <c r="CZ63372" s="256"/>
      <c r="DG63372" s="256"/>
    </row>
    <row r="63373" spans="104:111">
      <c r="CZ63373" s="256"/>
      <c r="DG63373" s="256"/>
    </row>
    <row r="63374" spans="104:111">
      <c r="CZ63374" s="256"/>
      <c r="DG63374" s="256"/>
    </row>
    <row r="63375" spans="104:111">
      <c r="CZ63375" s="256"/>
      <c r="DG63375" s="256"/>
    </row>
    <row r="63376" spans="104:111">
      <c r="CZ63376" s="256"/>
      <c r="DG63376" s="256"/>
    </row>
    <row r="63377" spans="104:111">
      <c r="CZ63377" s="256"/>
      <c r="DG63377" s="256"/>
    </row>
    <row r="63378" spans="104:111">
      <c r="CZ63378" s="256"/>
      <c r="DG63378" s="256"/>
    </row>
    <row r="63379" spans="104:111">
      <c r="CZ63379" s="256"/>
      <c r="DG63379" s="256"/>
    </row>
    <row r="63380" spans="104:111">
      <c r="CZ63380" s="256"/>
      <c r="DG63380" s="256"/>
    </row>
    <row r="63381" spans="104:111">
      <c r="CZ63381" s="256"/>
      <c r="DG63381" s="256"/>
    </row>
    <row r="63382" spans="104:111">
      <c r="CZ63382" s="256"/>
      <c r="DG63382" s="256"/>
    </row>
    <row r="63383" spans="104:111">
      <c r="CZ63383" s="256"/>
      <c r="DG63383" s="256"/>
    </row>
    <row r="63384" spans="104:111">
      <c r="CZ63384" s="256"/>
      <c r="DG63384" s="256"/>
    </row>
    <row r="63385" spans="104:111">
      <c r="CZ63385" s="256"/>
      <c r="DG63385" s="256"/>
    </row>
    <row r="63386" spans="104:111">
      <c r="CZ63386" s="256"/>
      <c r="DG63386" s="256"/>
    </row>
    <row r="63387" spans="104:111">
      <c r="CZ63387" s="256"/>
      <c r="DG63387" s="256"/>
    </row>
    <row r="63388" spans="104:111">
      <c r="CZ63388" s="256"/>
      <c r="DG63388" s="256"/>
    </row>
    <row r="63389" spans="104:111">
      <c r="CZ63389" s="256"/>
      <c r="DG63389" s="256"/>
    </row>
    <row r="63390" spans="104:111">
      <c r="CZ63390" s="256"/>
      <c r="DG63390" s="256"/>
    </row>
    <row r="63391" spans="104:111">
      <c r="CZ63391" s="256"/>
      <c r="DG63391" s="256"/>
    </row>
    <row r="63392" spans="104:111">
      <c r="CZ63392" s="256"/>
      <c r="DG63392" s="256"/>
    </row>
    <row r="63393" spans="104:111">
      <c r="CZ63393" s="256"/>
      <c r="DG63393" s="256"/>
    </row>
    <row r="63394" spans="104:111">
      <c r="CZ63394" s="256"/>
      <c r="DG63394" s="256"/>
    </row>
    <row r="63395" spans="104:111">
      <c r="CZ63395" s="256"/>
      <c r="DG63395" s="256"/>
    </row>
    <row r="63396" spans="104:111">
      <c r="CZ63396" s="256"/>
      <c r="DG63396" s="256"/>
    </row>
    <row r="63397" spans="104:111">
      <c r="CZ63397" s="256"/>
      <c r="DG63397" s="256"/>
    </row>
    <row r="63398" spans="104:111">
      <c r="CZ63398" s="256"/>
      <c r="DG63398" s="256"/>
    </row>
    <row r="63399" spans="104:111">
      <c r="CZ63399" s="256"/>
      <c r="DG63399" s="256"/>
    </row>
    <row r="63400" spans="104:111">
      <c r="CZ63400" s="256"/>
      <c r="DG63400" s="256"/>
    </row>
    <row r="63401" spans="104:111">
      <c r="CZ63401" s="256"/>
      <c r="DG63401" s="256"/>
    </row>
    <row r="63402" spans="104:111">
      <c r="CZ63402" s="256"/>
      <c r="DG63402" s="256"/>
    </row>
    <row r="63403" spans="104:111">
      <c r="CZ63403" s="256"/>
      <c r="DG63403" s="256"/>
    </row>
    <row r="63404" spans="104:111">
      <c r="CZ63404" s="256"/>
      <c r="DG63404" s="256"/>
    </row>
    <row r="63405" spans="104:111">
      <c r="CZ63405" s="256"/>
      <c r="DG63405" s="256"/>
    </row>
    <row r="63406" spans="104:111">
      <c r="CZ63406" s="256"/>
      <c r="DG63406" s="256"/>
    </row>
    <row r="63407" spans="104:111">
      <c r="CZ63407" s="256"/>
      <c r="DG63407" s="256"/>
    </row>
    <row r="63408" spans="104:111">
      <c r="CZ63408" s="256"/>
      <c r="DG63408" s="256"/>
    </row>
    <row r="63409" spans="104:111">
      <c r="CZ63409" s="256"/>
      <c r="DG63409" s="256"/>
    </row>
    <row r="63410" spans="104:111">
      <c r="CZ63410" s="256"/>
      <c r="DG63410" s="256"/>
    </row>
    <row r="63411" spans="104:111">
      <c r="CZ63411" s="256"/>
      <c r="DG63411" s="256"/>
    </row>
    <row r="63412" spans="104:111">
      <c r="CZ63412" s="256"/>
      <c r="DG63412" s="256"/>
    </row>
    <row r="63413" spans="104:111">
      <c r="CZ63413" s="256"/>
      <c r="DG63413" s="256"/>
    </row>
    <row r="63414" spans="104:111">
      <c r="CZ63414" s="256"/>
      <c r="DG63414" s="256"/>
    </row>
    <row r="63415" spans="104:111">
      <c r="CZ63415" s="256"/>
      <c r="DG63415" s="256"/>
    </row>
    <row r="63416" spans="104:111">
      <c r="CZ63416" s="256"/>
      <c r="DG63416" s="256"/>
    </row>
    <row r="63417" spans="104:111">
      <c r="CZ63417" s="256"/>
      <c r="DG63417" s="256"/>
    </row>
    <row r="63418" spans="104:111">
      <c r="CZ63418" s="256"/>
      <c r="DG63418" s="256"/>
    </row>
    <row r="63419" spans="104:111">
      <c r="CZ63419" s="256"/>
      <c r="DG63419" s="256"/>
    </row>
    <row r="63420" spans="104:111">
      <c r="CZ63420" s="256"/>
      <c r="DG63420" s="256"/>
    </row>
    <row r="63421" spans="104:111">
      <c r="CZ63421" s="256"/>
      <c r="DG63421" s="256"/>
    </row>
    <row r="63422" spans="104:111">
      <c r="CZ63422" s="256"/>
      <c r="DG63422" s="256"/>
    </row>
    <row r="63423" spans="104:111">
      <c r="CZ63423" s="256"/>
      <c r="DG63423" s="256"/>
    </row>
    <row r="63424" spans="104:111">
      <c r="CZ63424" s="256"/>
      <c r="DG63424" s="256"/>
    </row>
    <row r="63425" spans="104:111">
      <c r="CZ63425" s="256"/>
      <c r="DG63425" s="256"/>
    </row>
    <row r="63426" spans="104:111">
      <c r="CZ63426" s="256"/>
      <c r="DG63426" s="256"/>
    </row>
    <row r="63427" spans="104:111">
      <c r="CZ63427" s="256"/>
      <c r="DG63427" s="256"/>
    </row>
    <row r="63428" spans="104:111">
      <c r="CZ63428" s="256"/>
      <c r="DG63428" s="256"/>
    </row>
    <row r="63429" spans="104:111">
      <c r="CZ63429" s="256"/>
      <c r="DG63429" s="256"/>
    </row>
    <row r="63430" spans="104:111">
      <c r="CZ63430" s="256"/>
      <c r="DG63430" s="256"/>
    </row>
    <row r="63431" spans="104:111">
      <c r="CZ63431" s="256"/>
      <c r="DG63431" s="256"/>
    </row>
    <row r="63432" spans="104:111">
      <c r="CZ63432" s="256"/>
      <c r="DG63432" s="256"/>
    </row>
    <row r="63433" spans="104:111">
      <c r="CZ63433" s="256"/>
      <c r="DG63433" s="256"/>
    </row>
    <row r="63434" spans="104:111">
      <c r="CZ63434" s="256"/>
      <c r="DG63434" s="256"/>
    </row>
    <row r="63435" spans="104:111">
      <c r="CZ63435" s="256"/>
      <c r="DG63435" s="256"/>
    </row>
    <row r="63436" spans="104:111">
      <c r="CZ63436" s="256"/>
      <c r="DG63436" s="256"/>
    </row>
    <row r="63437" spans="104:111">
      <c r="CZ63437" s="256"/>
      <c r="DG63437" s="256"/>
    </row>
    <row r="63438" spans="104:111">
      <c r="CZ63438" s="256"/>
      <c r="DG63438" s="256"/>
    </row>
    <row r="63439" spans="104:111">
      <c r="CZ63439" s="256"/>
      <c r="DG63439" s="256"/>
    </row>
    <row r="63440" spans="104:111">
      <c r="CZ63440" s="256"/>
      <c r="DG63440" s="256"/>
    </row>
    <row r="63441" spans="104:111">
      <c r="CZ63441" s="256"/>
      <c r="DG63441" s="256"/>
    </row>
    <row r="63442" spans="104:111">
      <c r="CZ63442" s="256"/>
      <c r="DG63442" s="256"/>
    </row>
    <row r="63443" spans="104:111">
      <c r="CZ63443" s="256"/>
      <c r="DG63443" s="256"/>
    </row>
    <row r="63444" spans="104:111">
      <c r="CZ63444" s="256"/>
      <c r="DG63444" s="256"/>
    </row>
    <row r="63445" spans="104:111">
      <c r="CZ63445" s="256"/>
      <c r="DG63445" s="256"/>
    </row>
    <row r="63446" spans="104:111">
      <c r="CZ63446" s="256"/>
      <c r="DG63446" s="256"/>
    </row>
    <row r="63447" spans="104:111">
      <c r="CZ63447" s="256"/>
      <c r="DG63447" s="256"/>
    </row>
    <row r="63448" spans="104:111">
      <c r="CZ63448" s="256"/>
      <c r="DG63448" s="256"/>
    </row>
    <row r="63449" spans="104:111">
      <c r="CZ63449" s="256"/>
      <c r="DG63449" s="256"/>
    </row>
    <row r="63450" spans="104:111">
      <c r="CZ63450" s="256"/>
      <c r="DG63450" s="256"/>
    </row>
    <row r="63451" spans="104:111">
      <c r="CZ63451" s="256"/>
      <c r="DG63451" s="256"/>
    </row>
    <row r="63452" spans="104:111">
      <c r="CZ63452" s="256"/>
      <c r="DG63452" s="256"/>
    </row>
    <row r="63453" spans="104:111">
      <c r="CZ63453" s="256"/>
      <c r="DG63453" s="256"/>
    </row>
    <row r="63454" spans="104:111">
      <c r="CZ63454" s="256"/>
      <c r="DG63454" s="256"/>
    </row>
    <row r="63455" spans="104:111">
      <c r="CZ63455" s="256"/>
      <c r="DG63455" s="256"/>
    </row>
    <row r="63456" spans="104:111">
      <c r="CZ63456" s="256"/>
      <c r="DG63456" s="256"/>
    </row>
    <row r="63457" spans="104:111">
      <c r="CZ63457" s="256"/>
      <c r="DG63457" s="256"/>
    </row>
    <row r="63458" spans="104:111">
      <c r="CZ63458" s="256"/>
      <c r="DG63458" s="256"/>
    </row>
    <row r="63459" spans="104:111">
      <c r="CZ63459" s="256"/>
      <c r="DG63459" s="256"/>
    </row>
    <row r="63460" spans="104:111">
      <c r="CZ63460" s="256"/>
      <c r="DG63460" s="256"/>
    </row>
    <row r="63461" spans="104:111">
      <c r="CZ63461" s="256"/>
      <c r="DG63461" s="256"/>
    </row>
    <row r="63462" spans="104:111">
      <c r="CZ63462" s="256"/>
      <c r="DG63462" s="256"/>
    </row>
    <row r="63463" spans="104:111">
      <c r="CZ63463" s="256"/>
      <c r="DG63463" s="256"/>
    </row>
    <row r="63464" spans="104:111">
      <c r="CZ63464" s="256"/>
      <c r="DG63464" s="256"/>
    </row>
    <row r="63465" spans="104:111">
      <c r="CZ63465" s="256"/>
      <c r="DG63465" s="256"/>
    </row>
    <row r="63466" spans="104:111">
      <c r="CZ63466" s="256"/>
      <c r="DG63466" s="256"/>
    </row>
    <row r="63467" spans="104:111">
      <c r="CZ63467" s="256"/>
      <c r="DG63467" s="256"/>
    </row>
    <row r="63468" spans="104:111">
      <c r="CZ63468" s="256"/>
      <c r="DG63468" s="256"/>
    </row>
    <row r="63469" spans="104:111">
      <c r="CZ63469" s="256"/>
      <c r="DG63469" s="256"/>
    </row>
    <row r="63470" spans="104:111">
      <c r="CZ63470" s="256"/>
      <c r="DG63470" s="256"/>
    </row>
    <row r="63471" spans="104:111">
      <c r="CZ63471" s="256"/>
      <c r="DG63471" s="256"/>
    </row>
    <row r="63472" spans="104:111">
      <c r="CZ63472" s="256"/>
      <c r="DG63472" s="256"/>
    </row>
    <row r="63473" spans="104:111">
      <c r="CZ63473" s="256"/>
      <c r="DG63473" s="256"/>
    </row>
    <row r="63474" spans="104:111">
      <c r="CZ63474" s="256"/>
      <c r="DG63474" s="256"/>
    </row>
    <row r="63475" spans="104:111">
      <c r="CZ63475" s="256"/>
      <c r="DG63475" s="256"/>
    </row>
    <row r="63476" spans="104:111">
      <c r="CZ63476" s="256"/>
      <c r="DG63476" s="256"/>
    </row>
    <row r="63477" spans="104:111">
      <c r="CZ63477" s="256"/>
      <c r="DG63477" s="256"/>
    </row>
    <row r="63478" spans="104:111">
      <c r="CZ63478" s="256"/>
      <c r="DG63478" s="256"/>
    </row>
    <row r="63479" spans="104:111">
      <c r="CZ63479" s="256"/>
      <c r="DG63479" s="256"/>
    </row>
    <row r="63480" spans="104:111">
      <c r="CZ63480" s="256"/>
      <c r="DG63480" s="256"/>
    </row>
    <row r="63481" spans="104:111">
      <c r="CZ63481" s="256"/>
      <c r="DG63481" s="256"/>
    </row>
    <row r="63482" spans="104:111">
      <c r="CZ63482" s="256"/>
      <c r="DG63482" s="256"/>
    </row>
    <row r="63483" spans="104:111">
      <c r="CZ63483" s="256"/>
      <c r="DG63483" s="256"/>
    </row>
    <row r="63484" spans="104:111">
      <c r="CZ63484" s="256"/>
      <c r="DG63484" s="256"/>
    </row>
    <row r="63485" spans="104:111">
      <c r="CZ63485" s="256"/>
      <c r="DG63485" s="256"/>
    </row>
    <row r="63486" spans="104:111">
      <c r="CZ63486" s="256"/>
      <c r="DG63486" s="256"/>
    </row>
    <row r="63487" spans="104:111">
      <c r="CZ63487" s="256"/>
      <c r="DG63487" s="256"/>
    </row>
    <row r="63488" spans="104:111">
      <c r="CZ63488" s="256"/>
      <c r="DG63488" s="256"/>
    </row>
    <row r="63489" spans="104:111">
      <c r="CZ63489" s="256"/>
      <c r="DG63489" s="256"/>
    </row>
    <row r="63490" spans="104:111">
      <c r="CZ63490" s="256"/>
      <c r="DG63490" s="256"/>
    </row>
    <row r="63491" spans="104:111">
      <c r="CZ63491" s="256"/>
      <c r="DG63491" s="256"/>
    </row>
    <row r="63492" spans="104:111">
      <c r="CZ63492" s="256"/>
      <c r="DG63492" s="256"/>
    </row>
    <row r="63493" spans="104:111">
      <c r="CZ63493" s="256"/>
      <c r="DG63493" s="256"/>
    </row>
    <row r="63494" spans="104:111">
      <c r="CZ63494" s="256"/>
      <c r="DG63494" s="256"/>
    </row>
    <row r="63495" spans="104:111">
      <c r="CZ63495" s="256"/>
      <c r="DG63495" s="256"/>
    </row>
    <row r="63496" spans="104:111">
      <c r="CZ63496" s="256"/>
      <c r="DG63496" s="256"/>
    </row>
    <row r="63497" spans="104:111">
      <c r="CZ63497" s="256"/>
      <c r="DG63497" s="256"/>
    </row>
    <row r="63498" spans="104:111">
      <c r="CZ63498" s="256"/>
      <c r="DG63498" s="256"/>
    </row>
    <row r="63499" spans="104:111">
      <c r="CZ63499" s="256"/>
      <c r="DG63499" s="256"/>
    </row>
    <row r="63500" spans="104:111">
      <c r="CZ63500" s="256"/>
      <c r="DG63500" s="256"/>
    </row>
    <row r="63501" spans="104:111">
      <c r="CZ63501" s="256"/>
      <c r="DG63501" s="256"/>
    </row>
    <row r="63502" spans="104:111">
      <c r="CZ63502" s="256"/>
      <c r="DG63502" s="256"/>
    </row>
    <row r="63503" spans="104:111">
      <c r="CZ63503" s="256"/>
      <c r="DG63503" s="256"/>
    </row>
    <row r="63504" spans="104:111">
      <c r="CZ63504" s="256"/>
      <c r="DG63504" s="256"/>
    </row>
    <row r="63505" spans="104:111">
      <c r="CZ63505" s="256"/>
      <c r="DG63505" s="256"/>
    </row>
    <row r="63506" spans="104:111">
      <c r="CZ63506" s="256"/>
      <c r="DG63506" s="256"/>
    </row>
    <row r="63507" spans="104:111">
      <c r="CZ63507" s="256"/>
      <c r="DG63507" s="256"/>
    </row>
    <row r="63508" spans="104:111">
      <c r="CZ63508" s="256"/>
      <c r="DG63508" s="256"/>
    </row>
    <row r="63509" spans="104:111">
      <c r="CZ63509" s="256"/>
      <c r="DG63509" s="256"/>
    </row>
    <row r="63510" spans="104:111">
      <c r="CZ63510" s="256"/>
      <c r="DG63510" s="256"/>
    </row>
    <row r="63511" spans="104:111">
      <c r="CZ63511" s="256"/>
      <c r="DG63511" s="256"/>
    </row>
    <row r="63512" spans="104:111">
      <c r="CZ63512" s="256"/>
      <c r="DG63512" s="256"/>
    </row>
    <row r="63513" spans="104:111">
      <c r="CZ63513" s="256"/>
      <c r="DG63513" s="256"/>
    </row>
    <row r="63514" spans="104:111">
      <c r="CZ63514" s="256"/>
      <c r="DG63514" s="256"/>
    </row>
    <row r="63515" spans="104:111">
      <c r="CZ63515" s="256"/>
      <c r="DG63515" s="256"/>
    </row>
    <row r="63516" spans="104:111">
      <c r="CZ63516" s="256"/>
      <c r="DG63516" s="256"/>
    </row>
    <row r="63517" spans="104:111">
      <c r="CZ63517" s="256"/>
      <c r="DG63517" s="256"/>
    </row>
    <row r="63518" spans="104:111">
      <c r="CZ63518" s="256"/>
      <c r="DG63518" s="256"/>
    </row>
    <row r="63519" spans="104:111">
      <c r="CZ63519" s="256"/>
      <c r="DG63519" s="256"/>
    </row>
    <row r="63520" spans="104:111">
      <c r="CZ63520" s="256"/>
      <c r="DG63520" s="256"/>
    </row>
    <row r="63521" spans="104:111">
      <c r="CZ63521" s="256"/>
      <c r="DG63521" s="256"/>
    </row>
    <row r="63522" spans="104:111">
      <c r="CZ63522" s="256"/>
      <c r="DG63522" s="256"/>
    </row>
    <row r="63523" spans="104:111">
      <c r="CZ63523" s="256"/>
      <c r="DG63523" s="256"/>
    </row>
    <row r="63524" spans="104:111">
      <c r="CZ63524" s="256"/>
      <c r="DG63524" s="256"/>
    </row>
    <row r="63525" spans="104:111">
      <c r="CZ63525" s="256"/>
      <c r="DG63525" s="256"/>
    </row>
    <row r="63526" spans="104:111">
      <c r="CZ63526" s="256"/>
      <c r="DG63526" s="256"/>
    </row>
    <row r="63527" spans="104:111">
      <c r="CZ63527" s="256"/>
      <c r="DG63527" s="256"/>
    </row>
    <row r="63528" spans="104:111">
      <c r="CZ63528" s="256"/>
      <c r="DG63528" s="256"/>
    </row>
    <row r="63529" spans="104:111">
      <c r="CZ63529" s="256"/>
      <c r="DG63529" s="256"/>
    </row>
    <row r="63530" spans="104:111">
      <c r="CZ63530" s="256"/>
      <c r="DG63530" s="256"/>
    </row>
    <row r="63531" spans="104:111">
      <c r="CZ63531" s="256"/>
      <c r="DG63531" s="256"/>
    </row>
    <row r="63532" spans="104:111">
      <c r="CZ63532" s="256"/>
      <c r="DG63532" s="256"/>
    </row>
    <row r="63533" spans="104:111">
      <c r="CZ63533" s="256"/>
      <c r="DG63533" s="256"/>
    </row>
    <row r="63534" spans="104:111">
      <c r="CZ63534" s="256"/>
      <c r="DG63534" s="256"/>
    </row>
    <row r="63535" spans="104:111">
      <c r="CZ63535" s="256"/>
      <c r="DG63535" s="256"/>
    </row>
    <row r="63536" spans="104:111">
      <c r="CZ63536" s="256"/>
      <c r="DG63536" s="256"/>
    </row>
    <row r="63537" spans="104:111">
      <c r="CZ63537" s="256"/>
      <c r="DG63537" s="256"/>
    </row>
    <row r="63538" spans="104:111">
      <c r="CZ63538" s="256"/>
      <c r="DG63538" s="256"/>
    </row>
    <row r="63539" spans="104:111">
      <c r="CZ63539" s="256"/>
      <c r="DG63539" s="256"/>
    </row>
    <row r="63540" spans="104:111">
      <c r="CZ63540" s="256"/>
      <c r="DG63540" s="256"/>
    </row>
    <row r="63541" spans="104:111">
      <c r="CZ63541" s="256"/>
      <c r="DG63541" s="256"/>
    </row>
    <row r="63542" spans="104:111">
      <c r="CZ63542" s="256"/>
      <c r="DG63542" s="256"/>
    </row>
    <row r="63543" spans="104:111">
      <c r="CZ63543" s="256"/>
      <c r="DG63543" s="256"/>
    </row>
    <row r="63544" spans="104:111">
      <c r="CZ63544" s="256"/>
      <c r="DG63544" s="256"/>
    </row>
    <row r="63545" spans="104:111">
      <c r="CZ63545" s="256"/>
      <c r="DG63545" s="256"/>
    </row>
    <row r="63546" spans="104:111">
      <c r="CZ63546" s="256"/>
      <c r="DG63546" s="256"/>
    </row>
    <row r="63547" spans="104:111">
      <c r="CZ63547" s="256"/>
      <c r="DG63547" s="256"/>
    </row>
    <row r="63548" spans="104:111">
      <c r="CZ63548" s="256"/>
      <c r="DG63548" s="256"/>
    </row>
    <row r="63549" spans="104:111">
      <c r="CZ63549" s="256"/>
      <c r="DG63549" s="256"/>
    </row>
    <row r="63550" spans="104:111">
      <c r="CZ63550" s="256"/>
      <c r="DG63550" s="256"/>
    </row>
    <row r="63551" spans="104:111">
      <c r="CZ63551" s="256"/>
      <c r="DG63551" s="256"/>
    </row>
    <row r="63552" spans="104:111">
      <c r="CZ63552" s="256"/>
      <c r="DG63552" s="256"/>
    </row>
    <row r="63553" spans="104:111">
      <c r="CZ63553" s="256"/>
      <c r="DG63553" s="256"/>
    </row>
    <row r="63554" spans="104:111">
      <c r="CZ63554" s="256"/>
      <c r="DG63554" s="256"/>
    </row>
    <row r="63555" spans="104:111">
      <c r="CZ63555" s="256"/>
      <c r="DG63555" s="256"/>
    </row>
    <row r="63556" spans="104:111">
      <c r="CZ63556" s="256"/>
      <c r="DG63556" s="256"/>
    </row>
    <row r="63557" spans="104:111">
      <c r="CZ63557" s="256"/>
      <c r="DG63557" s="256"/>
    </row>
    <row r="63558" spans="104:111">
      <c r="CZ63558" s="256"/>
      <c r="DG63558" s="256"/>
    </row>
    <row r="63559" spans="104:111">
      <c r="CZ63559" s="256"/>
      <c r="DG63559" s="256"/>
    </row>
    <row r="63560" spans="104:111">
      <c r="CZ63560" s="256"/>
      <c r="DG63560" s="256"/>
    </row>
    <row r="63561" spans="104:111">
      <c r="CZ63561" s="256"/>
      <c r="DG63561" s="256"/>
    </row>
    <row r="63562" spans="104:111">
      <c r="CZ63562" s="256"/>
      <c r="DG63562" s="256"/>
    </row>
    <row r="63563" spans="104:111">
      <c r="CZ63563" s="256"/>
      <c r="DG63563" s="256"/>
    </row>
    <row r="63564" spans="104:111">
      <c r="CZ63564" s="256"/>
      <c r="DG63564" s="256"/>
    </row>
    <row r="63565" spans="104:111">
      <c r="CZ63565" s="256"/>
      <c r="DG63565" s="256"/>
    </row>
    <row r="63566" spans="104:111">
      <c r="CZ63566" s="256"/>
      <c r="DG63566" s="256"/>
    </row>
    <row r="63567" spans="104:111">
      <c r="CZ63567" s="256"/>
      <c r="DG63567" s="256"/>
    </row>
    <row r="63568" spans="104:111">
      <c r="CZ63568" s="256"/>
      <c r="DG63568" s="256"/>
    </row>
    <row r="63569" spans="104:111">
      <c r="CZ63569" s="256"/>
      <c r="DG63569" s="256"/>
    </row>
    <row r="63570" spans="104:111">
      <c r="CZ63570" s="256"/>
      <c r="DG63570" s="256"/>
    </row>
    <row r="63571" spans="104:111">
      <c r="CZ63571" s="256"/>
      <c r="DG63571" s="256"/>
    </row>
    <row r="63572" spans="104:111">
      <c r="CZ63572" s="256"/>
      <c r="DG63572" s="256"/>
    </row>
    <row r="63573" spans="104:111">
      <c r="CZ63573" s="256"/>
      <c r="DG63573" s="256"/>
    </row>
    <row r="63574" spans="104:111">
      <c r="CZ63574" s="256"/>
      <c r="DG63574" s="256"/>
    </row>
    <row r="63575" spans="104:111">
      <c r="CZ63575" s="256"/>
      <c r="DG63575" s="256"/>
    </row>
    <row r="63576" spans="104:111">
      <c r="CZ63576" s="256"/>
      <c r="DG63576" s="256"/>
    </row>
    <row r="63577" spans="104:111">
      <c r="CZ63577" s="256"/>
      <c r="DG63577" s="256"/>
    </row>
    <row r="63578" spans="104:111">
      <c r="CZ63578" s="256"/>
      <c r="DG63578" s="256"/>
    </row>
    <row r="63579" spans="104:111">
      <c r="CZ63579" s="256"/>
      <c r="DG63579" s="256"/>
    </row>
    <row r="63580" spans="104:111">
      <c r="CZ63580" s="256"/>
      <c r="DG63580" s="256"/>
    </row>
    <row r="63581" spans="104:111">
      <c r="CZ63581" s="256"/>
      <c r="DG63581" s="256"/>
    </row>
    <row r="63582" spans="104:111">
      <c r="CZ63582" s="256"/>
      <c r="DG63582" s="256"/>
    </row>
    <row r="63583" spans="104:111">
      <c r="CZ63583" s="256"/>
      <c r="DG63583" s="256"/>
    </row>
    <row r="63584" spans="104:111">
      <c r="CZ63584" s="256"/>
      <c r="DG63584" s="256"/>
    </row>
    <row r="63585" spans="104:111">
      <c r="CZ63585" s="256"/>
      <c r="DG63585" s="256"/>
    </row>
    <row r="63586" spans="104:111">
      <c r="CZ63586" s="256"/>
      <c r="DG63586" s="256"/>
    </row>
    <row r="63587" spans="104:111">
      <c r="CZ63587" s="256"/>
      <c r="DG63587" s="256"/>
    </row>
    <row r="63588" spans="104:111">
      <c r="CZ63588" s="256"/>
      <c r="DG63588" s="256"/>
    </row>
    <row r="63589" spans="104:111">
      <c r="CZ63589" s="256"/>
      <c r="DG63589" s="256"/>
    </row>
    <row r="63590" spans="104:111">
      <c r="CZ63590" s="256"/>
      <c r="DG63590" s="256"/>
    </row>
    <row r="63591" spans="104:111">
      <c r="CZ63591" s="256"/>
      <c r="DG63591" s="256"/>
    </row>
    <row r="63592" spans="104:111">
      <c r="CZ63592" s="256"/>
      <c r="DG63592" s="256"/>
    </row>
    <row r="63593" spans="104:111">
      <c r="CZ63593" s="256"/>
      <c r="DG63593" s="256"/>
    </row>
    <row r="63594" spans="104:111">
      <c r="CZ63594" s="256"/>
      <c r="DG63594" s="256"/>
    </row>
    <row r="63595" spans="104:111">
      <c r="CZ63595" s="256"/>
      <c r="DG63595" s="256"/>
    </row>
    <row r="63596" spans="104:111">
      <c r="CZ63596" s="256"/>
      <c r="DG63596" s="256"/>
    </row>
    <row r="63597" spans="104:111">
      <c r="CZ63597" s="256"/>
      <c r="DG63597" s="256"/>
    </row>
    <row r="63598" spans="104:111">
      <c r="CZ63598" s="256"/>
      <c r="DG63598" s="256"/>
    </row>
    <row r="63599" spans="104:111">
      <c r="CZ63599" s="256"/>
      <c r="DG63599" s="256"/>
    </row>
    <row r="63600" spans="104:111">
      <c r="CZ63600" s="256"/>
      <c r="DG63600" s="256"/>
    </row>
    <row r="63601" spans="104:111">
      <c r="CZ63601" s="256"/>
      <c r="DG63601" s="256"/>
    </row>
    <row r="63602" spans="104:111">
      <c r="CZ63602" s="256"/>
      <c r="DG63602" s="256"/>
    </row>
    <row r="63603" spans="104:111">
      <c r="CZ63603" s="256"/>
      <c r="DG63603" s="256"/>
    </row>
    <row r="63604" spans="104:111">
      <c r="CZ63604" s="256"/>
      <c r="DG63604" s="256"/>
    </row>
    <row r="63605" spans="104:111">
      <c r="CZ63605" s="256"/>
      <c r="DG63605" s="256"/>
    </row>
    <row r="63606" spans="104:111">
      <c r="CZ63606" s="256"/>
      <c r="DG63606" s="256"/>
    </row>
    <row r="63607" spans="104:111">
      <c r="CZ63607" s="256"/>
      <c r="DG63607" s="256"/>
    </row>
    <row r="63608" spans="104:111">
      <c r="CZ63608" s="256"/>
      <c r="DG63608" s="256"/>
    </row>
    <row r="63609" spans="104:111">
      <c r="CZ63609" s="256"/>
      <c r="DG63609" s="256"/>
    </row>
    <row r="63610" spans="104:111">
      <c r="CZ63610" s="256"/>
      <c r="DG63610" s="256"/>
    </row>
    <row r="63611" spans="104:111">
      <c r="CZ63611" s="256"/>
      <c r="DG63611" s="256"/>
    </row>
    <row r="63612" spans="104:111">
      <c r="CZ63612" s="256"/>
      <c r="DG63612" s="256"/>
    </row>
    <row r="63613" spans="104:111">
      <c r="CZ63613" s="256"/>
      <c r="DG63613" s="256"/>
    </row>
    <row r="63614" spans="104:111">
      <c r="CZ63614" s="256"/>
      <c r="DG63614" s="256"/>
    </row>
    <row r="63615" spans="104:111">
      <c r="CZ63615" s="256"/>
      <c r="DG63615" s="256"/>
    </row>
    <row r="63616" spans="104:111">
      <c r="CZ63616" s="256"/>
      <c r="DG63616" s="256"/>
    </row>
    <row r="63617" spans="104:111">
      <c r="CZ63617" s="256"/>
      <c r="DG63617" s="256"/>
    </row>
    <row r="63618" spans="104:111">
      <c r="CZ63618" s="256"/>
      <c r="DG63618" s="256"/>
    </row>
    <row r="63619" spans="104:111">
      <c r="CZ63619" s="256"/>
      <c r="DG63619" s="256"/>
    </row>
    <row r="63620" spans="104:111">
      <c r="CZ63620" s="256"/>
      <c r="DG63620" s="256"/>
    </row>
    <row r="63621" spans="104:111">
      <c r="CZ63621" s="256"/>
      <c r="DG63621" s="256"/>
    </row>
    <row r="63622" spans="104:111">
      <c r="CZ63622" s="256"/>
      <c r="DG63622" s="256"/>
    </row>
    <row r="63623" spans="104:111">
      <c r="CZ63623" s="256"/>
      <c r="DG63623" s="256"/>
    </row>
    <row r="63624" spans="104:111">
      <c r="CZ63624" s="256"/>
      <c r="DG63624" s="256"/>
    </row>
    <row r="63625" spans="104:111">
      <c r="CZ63625" s="256"/>
      <c r="DG63625" s="256"/>
    </row>
    <row r="63626" spans="104:111">
      <c r="CZ63626" s="256"/>
      <c r="DG63626" s="256"/>
    </row>
    <row r="63627" spans="104:111">
      <c r="CZ63627" s="256"/>
      <c r="DG63627" s="256"/>
    </row>
    <row r="63628" spans="104:111">
      <c r="CZ63628" s="256"/>
      <c r="DG63628" s="256"/>
    </row>
    <row r="63629" spans="104:111">
      <c r="CZ63629" s="256"/>
      <c r="DG63629" s="256"/>
    </row>
    <row r="63630" spans="104:111">
      <c r="CZ63630" s="256"/>
      <c r="DG63630" s="256"/>
    </row>
    <row r="63631" spans="104:111">
      <c r="CZ63631" s="256"/>
      <c r="DG63631" s="256"/>
    </row>
    <row r="63632" spans="104:111">
      <c r="CZ63632" s="256"/>
      <c r="DG63632" s="256"/>
    </row>
    <row r="63633" spans="104:111">
      <c r="CZ63633" s="256"/>
      <c r="DG63633" s="256"/>
    </row>
    <row r="63634" spans="104:111">
      <c r="CZ63634" s="256"/>
      <c r="DG63634" s="256"/>
    </row>
    <row r="63635" spans="104:111">
      <c r="CZ63635" s="256"/>
      <c r="DG63635" s="256"/>
    </row>
    <row r="63636" spans="104:111">
      <c r="CZ63636" s="256"/>
      <c r="DG63636" s="256"/>
    </row>
    <row r="63637" spans="104:111">
      <c r="CZ63637" s="256"/>
      <c r="DG63637" s="256"/>
    </row>
    <row r="63638" spans="104:111">
      <c r="CZ63638" s="256"/>
      <c r="DG63638" s="256"/>
    </row>
    <row r="63639" spans="104:111">
      <c r="CZ63639" s="256"/>
      <c r="DG63639" s="256"/>
    </row>
    <row r="63640" spans="104:111">
      <c r="CZ63640" s="256"/>
      <c r="DG63640" s="256"/>
    </row>
    <row r="63641" spans="104:111">
      <c r="CZ63641" s="256"/>
      <c r="DG63641" s="256"/>
    </row>
    <row r="63642" spans="104:111">
      <c r="CZ63642" s="256"/>
      <c r="DG63642" s="256"/>
    </row>
    <row r="63643" spans="104:111">
      <c r="CZ63643" s="256"/>
      <c r="DG63643" s="256"/>
    </row>
    <row r="63644" spans="104:111">
      <c r="CZ63644" s="256"/>
      <c r="DG63644" s="256"/>
    </row>
    <row r="63645" spans="104:111">
      <c r="CZ63645" s="256"/>
      <c r="DG63645" s="256"/>
    </row>
    <row r="63646" spans="104:111">
      <c r="CZ63646" s="256"/>
      <c r="DG63646" s="256"/>
    </row>
    <row r="63647" spans="104:111">
      <c r="CZ63647" s="256"/>
      <c r="DG63647" s="256"/>
    </row>
    <row r="63648" spans="104:111">
      <c r="CZ63648" s="256"/>
      <c r="DG63648" s="256"/>
    </row>
    <row r="63649" spans="104:111">
      <c r="CZ63649" s="256"/>
      <c r="DG63649" s="256"/>
    </row>
    <row r="63650" spans="104:111">
      <c r="CZ63650" s="256"/>
      <c r="DG63650" s="256"/>
    </row>
    <row r="63651" spans="104:111">
      <c r="CZ63651" s="256"/>
      <c r="DG63651" s="256"/>
    </row>
    <row r="63652" spans="104:111">
      <c r="CZ63652" s="256"/>
      <c r="DG63652" s="256"/>
    </row>
    <row r="63653" spans="104:111">
      <c r="CZ63653" s="256"/>
      <c r="DG63653" s="256"/>
    </row>
    <row r="63654" spans="104:111">
      <c r="CZ63654" s="256"/>
      <c r="DG63654" s="256"/>
    </row>
    <row r="63655" spans="104:111">
      <c r="CZ63655" s="256"/>
      <c r="DG63655" s="256"/>
    </row>
    <row r="63656" spans="104:111">
      <c r="CZ63656" s="256"/>
      <c r="DG63656" s="256"/>
    </row>
    <row r="63657" spans="104:111">
      <c r="CZ63657" s="256"/>
      <c r="DG63657" s="256"/>
    </row>
    <row r="63658" spans="104:111">
      <c r="CZ63658" s="256"/>
      <c r="DG63658" s="256"/>
    </row>
    <row r="63659" spans="104:111">
      <c r="CZ63659" s="256"/>
      <c r="DG63659" s="256"/>
    </row>
    <row r="63660" spans="104:111">
      <c r="CZ63660" s="256"/>
      <c r="DG63660" s="256"/>
    </row>
    <row r="63661" spans="104:111">
      <c r="CZ63661" s="256"/>
      <c r="DG63661" s="256"/>
    </row>
    <row r="63662" spans="104:111">
      <c r="CZ63662" s="256"/>
      <c r="DG63662" s="256"/>
    </row>
    <row r="63663" spans="104:111">
      <c r="CZ63663" s="256"/>
      <c r="DG63663" s="256"/>
    </row>
    <row r="63664" spans="104:111">
      <c r="CZ63664" s="256"/>
      <c r="DG63664" s="256"/>
    </row>
    <row r="63665" spans="104:111">
      <c r="CZ63665" s="256"/>
      <c r="DG63665" s="256"/>
    </row>
    <row r="63666" spans="104:111">
      <c r="CZ63666" s="256"/>
      <c r="DG63666" s="256"/>
    </row>
    <row r="63667" spans="104:111">
      <c r="CZ63667" s="256"/>
      <c r="DG63667" s="256"/>
    </row>
    <row r="63668" spans="104:111">
      <c r="CZ63668" s="256"/>
      <c r="DG63668" s="256"/>
    </row>
    <row r="63669" spans="104:111">
      <c r="CZ63669" s="256"/>
      <c r="DG63669" s="256"/>
    </row>
    <row r="63670" spans="104:111">
      <c r="CZ63670" s="256"/>
      <c r="DG63670" s="256"/>
    </row>
    <row r="63671" spans="104:111">
      <c r="CZ63671" s="256"/>
      <c r="DG63671" s="256"/>
    </row>
    <row r="63672" spans="104:111">
      <c r="CZ63672" s="256"/>
      <c r="DG63672" s="256"/>
    </row>
    <row r="63673" spans="104:111">
      <c r="CZ63673" s="256"/>
      <c r="DG63673" s="256"/>
    </row>
    <row r="63674" spans="104:111">
      <c r="CZ63674" s="256"/>
      <c r="DG63674" s="256"/>
    </row>
    <row r="63675" spans="104:111">
      <c r="CZ63675" s="256"/>
      <c r="DG63675" s="256"/>
    </row>
    <row r="63676" spans="104:111">
      <c r="CZ63676" s="256"/>
      <c r="DG63676" s="256"/>
    </row>
    <row r="63677" spans="104:111">
      <c r="CZ63677" s="256"/>
      <c r="DG63677" s="256"/>
    </row>
    <row r="63678" spans="104:111">
      <c r="CZ63678" s="256"/>
      <c r="DG63678" s="256"/>
    </row>
    <row r="63679" spans="104:111">
      <c r="CZ63679" s="256"/>
      <c r="DG63679" s="256"/>
    </row>
    <row r="63680" spans="104:111">
      <c r="CZ63680" s="256"/>
      <c r="DG63680" s="256"/>
    </row>
    <row r="63681" spans="104:111">
      <c r="CZ63681" s="256"/>
      <c r="DG63681" s="256"/>
    </row>
    <row r="63682" spans="104:111">
      <c r="CZ63682" s="256"/>
      <c r="DG63682" s="256"/>
    </row>
    <row r="63683" spans="104:111">
      <c r="CZ63683" s="256"/>
      <c r="DG63683" s="256"/>
    </row>
    <row r="63684" spans="104:111">
      <c r="CZ63684" s="256"/>
      <c r="DG63684" s="256"/>
    </row>
    <row r="63685" spans="104:111">
      <c r="CZ63685" s="256"/>
      <c r="DG63685" s="256"/>
    </row>
    <row r="63686" spans="104:111">
      <c r="CZ63686" s="256"/>
      <c r="DG63686" s="256"/>
    </row>
    <row r="63687" spans="104:111">
      <c r="CZ63687" s="256"/>
      <c r="DG63687" s="256"/>
    </row>
    <row r="63688" spans="104:111">
      <c r="CZ63688" s="256"/>
      <c r="DG63688" s="256"/>
    </row>
    <row r="63689" spans="104:111">
      <c r="CZ63689" s="256"/>
      <c r="DG63689" s="256"/>
    </row>
    <row r="63690" spans="104:111">
      <c r="CZ63690" s="256"/>
      <c r="DG63690" s="256"/>
    </row>
    <row r="63691" spans="104:111">
      <c r="CZ63691" s="256"/>
      <c r="DG63691" s="256"/>
    </row>
    <row r="63692" spans="104:111">
      <c r="CZ63692" s="256"/>
      <c r="DG63692" s="256"/>
    </row>
    <row r="63693" spans="104:111">
      <c r="CZ63693" s="256"/>
      <c r="DG63693" s="256"/>
    </row>
    <row r="63694" spans="104:111">
      <c r="CZ63694" s="256"/>
      <c r="DG63694" s="256"/>
    </row>
    <row r="63695" spans="104:111">
      <c r="CZ63695" s="256"/>
      <c r="DG63695" s="256"/>
    </row>
    <row r="63696" spans="104:111">
      <c r="CZ63696" s="256"/>
      <c r="DG63696" s="256"/>
    </row>
    <row r="63697" spans="104:111">
      <c r="CZ63697" s="256"/>
      <c r="DG63697" s="256"/>
    </row>
    <row r="63698" spans="104:111">
      <c r="CZ63698" s="256"/>
      <c r="DG63698" s="256"/>
    </row>
    <row r="63699" spans="104:111">
      <c r="CZ63699" s="256"/>
      <c r="DG63699" s="256"/>
    </row>
    <row r="63700" spans="104:111">
      <c r="CZ63700" s="256"/>
      <c r="DG63700" s="256"/>
    </row>
    <row r="63701" spans="104:111">
      <c r="CZ63701" s="256"/>
      <c r="DG63701" s="256"/>
    </row>
    <row r="63702" spans="104:111">
      <c r="CZ63702" s="256"/>
      <c r="DG63702" s="256"/>
    </row>
    <row r="63703" spans="104:111">
      <c r="CZ63703" s="256"/>
      <c r="DG63703" s="256"/>
    </row>
    <row r="63704" spans="104:111">
      <c r="CZ63704" s="256"/>
      <c r="DG63704" s="256"/>
    </row>
    <row r="63705" spans="104:111">
      <c r="CZ63705" s="256"/>
      <c r="DG63705" s="256"/>
    </row>
    <row r="63706" spans="104:111">
      <c r="CZ63706" s="256"/>
      <c r="DG63706" s="256"/>
    </row>
    <row r="63707" spans="104:111">
      <c r="CZ63707" s="256"/>
      <c r="DG63707" s="256"/>
    </row>
    <row r="63708" spans="104:111">
      <c r="CZ63708" s="256"/>
      <c r="DG63708" s="256"/>
    </row>
    <row r="63709" spans="104:111">
      <c r="CZ63709" s="256"/>
      <c r="DG63709" s="256"/>
    </row>
    <row r="63710" spans="104:111">
      <c r="CZ63710" s="256"/>
      <c r="DG63710" s="256"/>
    </row>
    <row r="63711" spans="104:111">
      <c r="CZ63711" s="256"/>
      <c r="DG63711" s="256"/>
    </row>
    <row r="63712" spans="104:111">
      <c r="CZ63712" s="256"/>
      <c r="DG63712" s="256"/>
    </row>
    <row r="63713" spans="104:111">
      <c r="CZ63713" s="256"/>
      <c r="DG63713" s="256"/>
    </row>
    <row r="63714" spans="104:111">
      <c r="CZ63714" s="256"/>
      <c r="DG63714" s="256"/>
    </row>
    <row r="63715" spans="104:111">
      <c r="CZ63715" s="256"/>
      <c r="DG63715" s="256"/>
    </row>
    <row r="63716" spans="104:111">
      <c r="CZ63716" s="256"/>
      <c r="DG63716" s="256"/>
    </row>
    <row r="63717" spans="104:111">
      <c r="CZ63717" s="256"/>
      <c r="DG63717" s="256"/>
    </row>
    <row r="63718" spans="104:111">
      <c r="CZ63718" s="256"/>
      <c r="DG63718" s="256"/>
    </row>
    <row r="63719" spans="104:111">
      <c r="CZ63719" s="256"/>
      <c r="DG63719" s="256"/>
    </row>
    <row r="63720" spans="104:111">
      <c r="CZ63720" s="256"/>
      <c r="DG63720" s="256"/>
    </row>
    <row r="63721" spans="104:111">
      <c r="CZ63721" s="256"/>
      <c r="DG63721" s="256"/>
    </row>
    <row r="63722" spans="104:111">
      <c r="CZ63722" s="256"/>
      <c r="DG63722" s="256"/>
    </row>
    <row r="63723" spans="104:111">
      <c r="CZ63723" s="256"/>
      <c r="DG63723" s="256"/>
    </row>
    <row r="63724" spans="104:111">
      <c r="CZ63724" s="256"/>
      <c r="DG63724" s="256"/>
    </row>
    <row r="63725" spans="104:111">
      <c r="CZ63725" s="256"/>
      <c r="DG63725" s="256"/>
    </row>
    <row r="63726" spans="104:111">
      <c r="CZ63726" s="256"/>
      <c r="DG63726" s="256"/>
    </row>
    <row r="63727" spans="104:111">
      <c r="CZ63727" s="256"/>
      <c r="DG63727" s="256"/>
    </row>
    <row r="63728" spans="104:111">
      <c r="CZ63728" s="256"/>
      <c r="DG63728" s="256"/>
    </row>
    <row r="63729" spans="104:111">
      <c r="CZ63729" s="256"/>
      <c r="DG63729" s="256"/>
    </row>
    <row r="63730" spans="104:111">
      <c r="CZ63730" s="256"/>
      <c r="DG63730" s="256"/>
    </row>
    <row r="63731" spans="104:111">
      <c r="CZ63731" s="256"/>
      <c r="DG63731" s="256"/>
    </row>
    <row r="63732" spans="104:111">
      <c r="CZ63732" s="256"/>
      <c r="DG63732" s="256"/>
    </row>
    <row r="63733" spans="104:111">
      <c r="CZ63733" s="256"/>
      <c r="DG63733" s="256"/>
    </row>
    <row r="63734" spans="104:111">
      <c r="CZ63734" s="256"/>
      <c r="DG63734" s="256"/>
    </row>
    <row r="63735" spans="104:111">
      <c r="CZ63735" s="256"/>
      <c r="DG63735" s="256"/>
    </row>
    <row r="63736" spans="104:111">
      <c r="CZ63736" s="256"/>
      <c r="DG63736" s="256"/>
    </row>
    <row r="63737" spans="104:111">
      <c r="CZ63737" s="256"/>
      <c r="DG63737" s="256"/>
    </row>
    <row r="63738" spans="104:111">
      <c r="CZ63738" s="256"/>
      <c r="DG63738" s="256"/>
    </row>
    <row r="63739" spans="104:111">
      <c r="CZ63739" s="256"/>
      <c r="DG63739" s="256"/>
    </row>
    <row r="63740" spans="104:111">
      <c r="CZ63740" s="256"/>
      <c r="DG63740" s="256"/>
    </row>
    <row r="63741" spans="104:111">
      <c r="CZ63741" s="256"/>
      <c r="DG63741" s="256"/>
    </row>
    <row r="63742" spans="104:111">
      <c r="CZ63742" s="256"/>
      <c r="DG63742" s="256"/>
    </row>
    <row r="63743" spans="104:111">
      <c r="CZ63743" s="256"/>
      <c r="DG63743" s="256"/>
    </row>
    <row r="63744" spans="104:111">
      <c r="CZ63744" s="256"/>
      <c r="DG63744" s="256"/>
    </row>
    <row r="63745" spans="104:111">
      <c r="CZ63745" s="256"/>
      <c r="DG63745" s="256"/>
    </row>
    <row r="63746" spans="104:111">
      <c r="CZ63746" s="256"/>
      <c r="DG63746" s="256"/>
    </row>
    <row r="63747" spans="104:111">
      <c r="CZ63747" s="256"/>
      <c r="DG63747" s="256"/>
    </row>
    <row r="63748" spans="104:111">
      <c r="CZ63748" s="256"/>
      <c r="DG63748" s="256"/>
    </row>
    <row r="63749" spans="104:111">
      <c r="CZ63749" s="256"/>
      <c r="DG63749" s="256"/>
    </row>
    <row r="63750" spans="104:111">
      <c r="CZ63750" s="256"/>
      <c r="DG63750" s="256"/>
    </row>
    <row r="63751" spans="104:111">
      <c r="CZ63751" s="256"/>
      <c r="DG63751" s="256"/>
    </row>
    <row r="63752" spans="104:111">
      <c r="CZ63752" s="256"/>
      <c r="DG63752" s="256"/>
    </row>
    <row r="63753" spans="104:111">
      <c r="CZ63753" s="256"/>
      <c r="DG63753" s="256"/>
    </row>
    <row r="63754" spans="104:111">
      <c r="CZ63754" s="256"/>
      <c r="DG63754" s="256"/>
    </row>
    <row r="63755" spans="104:111">
      <c r="CZ63755" s="256"/>
      <c r="DG63755" s="256"/>
    </row>
    <row r="63756" spans="104:111">
      <c r="CZ63756" s="256"/>
      <c r="DG63756" s="256"/>
    </row>
    <row r="63757" spans="104:111">
      <c r="CZ63757" s="256"/>
      <c r="DG63757" s="256"/>
    </row>
    <row r="63758" spans="104:111">
      <c r="CZ63758" s="256"/>
      <c r="DG63758" s="256"/>
    </row>
    <row r="63759" spans="104:111">
      <c r="CZ63759" s="256"/>
      <c r="DG63759" s="256"/>
    </row>
    <row r="63760" spans="104:111">
      <c r="CZ63760" s="256"/>
      <c r="DG63760" s="256"/>
    </row>
    <row r="63761" spans="104:111">
      <c r="CZ63761" s="256"/>
      <c r="DG63761" s="256"/>
    </row>
    <row r="63762" spans="104:111">
      <c r="CZ63762" s="256"/>
      <c r="DG63762" s="256"/>
    </row>
    <row r="63763" spans="104:111">
      <c r="CZ63763" s="256"/>
      <c r="DG63763" s="256"/>
    </row>
    <row r="63764" spans="104:111">
      <c r="CZ63764" s="256"/>
      <c r="DG63764" s="256"/>
    </row>
    <row r="63765" spans="104:111">
      <c r="CZ63765" s="256"/>
      <c r="DG63765" s="256"/>
    </row>
    <row r="63766" spans="104:111">
      <c r="CZ63766" s="256"/>
      <c r="DG63766" s="256"/>
    </row>
    <row r="63767" spans="104:111">
      <c r="CZ63767" s="256"/>
      <c r="DG63767" s="256"/>
    </row>
    <row r="63768" spans="104:111">
      <c r="CZ63768" s="256"/>
      <c r="DG63768" s="256"/>
    </row>
    <row r="63769" spans="104:111">
      <c r="CZ63769" s="256"/>
      <c r="DG63769" s="256"/>
    </row>
    <row r="63770" spans="104:111">
      <c r="CZ63770" s="256"/>
      <c r="DG63770" s="256"/>
    </row>
    <row r="63771" spans="104:111">
      <c r="CZ63771" s="256"/>
      <c r="DG63771" s="256"/>
    </row>
    <row r="63772" spans="104:111">
      <c r="CZ63772" s="256"/>
      <c r="DG63772" s="256"/>
    </row>
    <row r="63773" spans="104:111">
      <c r="CZ63773" s="256"/>
      <c r="DG63773" s="256"/>
    </row>
    <row r="63774" spans="104:111">
      <c r="CZ63774" s="256"/>
      <c r="DG63774" s="256"/>
    </row>
    <row r="63775" spans="104:111">
      <c r="CZ63775" s="256"/>
      <c r="DG63775" s="256"/>
    </row>
    <row r="63776" spans="104:111">
      <c r="CZ63776" s="256"/>
      <c r="DG63776" s="256"/>
    </row>
    <row r="63777" spans="104:111">
      <c r="CZ63777" s="256"/>
      <c r="DG63777" s="256"/>
    </row>
    <row r="63778" spans="104:111">
      <c r="CZ63778" s="256"/>
      <c r="DG63778" s="256"/>
    </row>
    <row r="63779" spans="104:111">
      <c r="CZ63779" s="256"/>
      <c r="DG63779" s="256"/>
    </row>
    <row r="63780" spans="104:111">
      <c r="CZ63780" s="256"/>
      <c r="DG63780" s="256"/>
    </row>
    <row r="63781" spans="104:111">
      <c r="CZ63781" s="256"/>
      <c r="DG63781" s="256"/>
    </row>
    <row r="63782" spans="104:111">
      <c r="CZ63782" s="256"/>
      <c r="DG63782" s="256"/>
    </row>
    <row r="63783" spans="104:111">
      <c r="CZ63783" s="256"/>
      <c r="DG63783" s="256"/>
    </row>
    <row r="63784" spans="104:111">
      <c r="CZ63784" s="256"/>
      <c r="DG63784" s="256"/>
    </row>
    <row r="63785" spans="104:111">
      <c r="CZ63785" s="256"/>
      <c r="DG63785" s="256"/>
    </row>
    <row r="63786" spans="104:111">
      <c r="CZ63786" s="256"/>
      <c r="DG63786" s="256"/>
    </row>
    <row r="63787" spans="104:111">
      <c r="CZ63787" s="256"/>
      <c r="DG63787" s="256"/>
    </row>
    <row r="63788" spans="104:111">
      <c r="CZ63788" s="256"/>
      <c r="DG63788" s="256"/>
    </row>
    <row r="63789" spans="104:111">
      <c r="CZ63789" s="256"/>
      <c r="DG63789" s="256"/>
    </row>
    <row r="63790" spans="104:111">
      <c r="CZ63790" s="256"/>
      <c r="DG63790" s="256"/>
    </row>
    <row r="63791" spans="104:111">
      <c r="CZ63791" s="256"/>
      <c r="DG63791" s="256"/>
    </row>
    <row r="63792" spans="104:111">
      <c r="CZ63792" s="256"/>
      <c r="DG63792" s="256"/>
    </row>
    <row r="63793" spans="104:111">
      <c r="CZ63793" s="256"/>
      <c r="DG63793" s="256"/>
    </row>
    <row r="63794" spans="104:111">
      <c r="CZ63794" s="256"/>
      <c r="DG63794" s="256"/>
    </row>
    <row r="63795" spans="104:111">
      <c r="CZ63795" s="256"/>
      <c r="DG63795" s="256"/>
    </row>
    <row r="63796" spans="104:111">
      <c r="CZ63796" s="256"/>
      <c r="DG63796" s="256"/>
    </row>
    <row r="63797" spans="104:111">
      <c r="CZ63797" s="256"/>
      <c r="DG63797" s="256"/>
    </row>
    <row r="63798" spans="104:111">
      <c r="CZ63798" s="256"/>
      <c r="DG63798" s="256"/>
    </row>
    <row r="63799" spans="104:111">
      <c r="CZ63799" s="256"/>
      <c r="DG63799" s="256"/>
    </row>
    <row r="63800" spans="104:111">
      <c r="CZ63800" s="256"/>
      <c r="DG63800" s="256"/>
    </row>
    <row r="63801" spans="104:111">
      <c r="CZ63801" s="256"/>
      <c r="DG63801" s="256"/>
    </row>
    <row r="63802" spans="104:111">
      <c r="CZ63802" s="256"/>
      <c r="DG63802" s="256"/>
    </row>
    <row r="63803" spans="104:111">
      <c r="CZ63803" s="256"/>
      <c r="DG63803" s="256"/>
    </row>
    <row r="63804" spans="104:111">
      <c r="CZ63804" s="256"/>
      <c r="DG63804" s="256"/>
    </row>
    <row r="63805" spans="104:111">
      <c r="CZ63805" s="256"/>
      <c r="DG63805" s="256"/>
    </row>
    <row r="63806" spans="104:111">
      <c r="CZ63806" s="256"/>
      <c r="DG63806" s="256"/>
    </row>
    <row r="63807" spans="104:111">
      <c r="CZ63807" s="256"/>
      <c r="DG63807" s="256"/>
    </row>
    <row r="63808" spans="104:111">
      <c r="CZ63808" s="256"/>
      <c r="DG63808" s="256"/>
    </row>
    <row r="63809" spans="104:111">
      <c r="CZ63809" s="256"/>
      <c r="DG63809" s="256"/>
    </row>
    <row r="63810" spans="104:111">
      <c r="CZ63810" s="256"/>
      <c r="DG63810" s="256"/>
    </row>
    <row r="63811" spans="104:111">
      <c r="CZ63811" s="256"/>
      <c r="DG63811" s="256"/>
    </row>
    <row r="63812" spans="104:111">
      <c r="CZ63812" s="256"/>
      <c r="DG63812" s="256"/>
    </row>
    <row r="63813" spans="104:111">
      <c r="CZ63813" s="256"/>
      <c r="DG63813" s="256"/>
    </row>
    <row r="63814" spans="104:111">
      <c r="CZ63814" s="256"/>
      <c r="DG63814" s="256"/>
    </row>
    <row r="63815" spans="104:111">
      <c r="CZ63815" s="256"/>
      <c r="DG63815" s="256"/>
    </row>
    <row r="63816" spans="104:111">
      <c r="CZ63816" s="256"/>
      <c r="DG63816" s="256"/>
    </row>
    <row r="63817" spans="104:111">
      <c r="CZ63817" s="256"/>
      <c r="DG63817" s="256"/>
    </row>
    <row r="63818" spans="104:111">
      <c r="CZ63818" s="256"/>
      <c r="DG63818" s="256"/>
    </row>
    <row r="63819" spans="104:111">
      <c r="CZ63819" s="256"/>
      <c r="DG63819" s="256"/>
    </row>
    <row r="63820" spans="104:111">
      <c r="CZ63820" s="256"/>
      <c r="DG63820" s="256"/>
    </row>
    <row r="63821" spans="104:111">
      <c r="CZ63821" s="256"/>
      <c r="DG63821" s="256"/>
    </row>
    <row r="63822" spans="104:111">
      <c r="CZ63822" s="256"/>
      <c r="DG63822" s="256"/>
    </row>
    <row r="63823" spans="104:111">
      <c r="CZ63823" s="256"/>
      <c r="DG63823" s="256"/>
    </row>
    <row r="63824" spans="104:111">
      <c r="CZ63824" s="256"/>
      <c r="DG63824" s="256"/>
    </row>
    <row r="63825" spans="104:111">
      <c r="CZ63825" s="256"/>
      <c r="DG63825" s="256"/>
    </row>
    <row r="63826" spans="104:111">
      <c r="CZ63826" s="256"/>
      <c r="DG63826" s="256"/>
    </row>
    <row r="63827" spans="104:111">
      <c r="CZ63827" s="256"/>
      <c r="DG63827" s="256"/>
    </row>
    <row r="63828" spans="104:111">
      <c r="CZ63828" s="256"/>
      <c r="DG63828" s="256"/>
    </row>
    <row r="63829" spans="104:111">
      <c r="CZ63829" s="256"/>
      <c r="DG63829" s="256"/>
    </row>
    <row r="63830" spans="104:111">
      <c r="CZ63830" s="256"/>
      <c r="DG63830" s="256"/>
    </row>
    <row r="63831" spans="104:111">
      <c r="CZ63831" s="256"/>
      <c r="DG63831" s="256"/>
    </row>
    <row r="63832" spans="104:111">
      <c r="CZ63832" s="256"/>
      <c r="DG63832" s="256"/>
    </row>
    <row r="63833" spans="104:111">
      <c r="CZ63833" s="256"/>
      <c r="DG63833" s="256"/>
    </row>
    <row r="63834" spans="104:111">
      <c r="CZ63834" s="256"/>
      <c r="DG63834" s="256"/>
    </row>
    <row r="63835" spans="104:111">
      <c r="CZ63835" s="256"/>
      <c r="DG63835" s="256"/>
    </row>
    <row r="63836" spans="104:111">
      <c r="CZ63836" s="256"/>
      <c r="DG63836" s="256"/>
    </row>
    <row r="63837" spans="104:111">
      <c r="CZ63837" s="256"/>
      <c r="DG63837" s="256"/>
    </row>
    <row r="63838" spans="104:111">
      <c r="CZ63838" s="256"/>
      <c r="DG63838" s="256"/>
    </row>
    <row r="63839" spans="104:111">
      <c r="CZ63839" s="256"/>
      <c r="DG63839" s="256"/>
    </row>
    <row r="63840" spans="104:111">
      <c r="CZ63840" s="256"/>
      <c r="DG63840" s="256"/>
    </row>
    <row r="63841" spans="104:111">
      <c r="CZ63841" s="256"/>
      <c r="DG63841" s="256"/>
    </row>
    <row r="63842" spans="104:111">
      <c r="CZ63842" s="256"/>
      <c r="DG63842" s="256"/>
    </row>
    <row r="63843" spans="104:111">
      <c r="CZ63843" s="256"/>
      <c r="DG63843" s="256"/>
    </row>
    <row r="63844" spans="104:111">
      <c r="CZ63844" s="256"/>
      <c r="DG63844" s="256"/>
    </row>
    <row r="63845" spans="104:111">
      <c r="CZ63845" s="256"/>
      <c r="DG63845" s="256"/>
    </row>
    <row r="63846" spans="104:111">
      <c r="CZ63846" s="256"/>
      <c r="DG63846" s="256"/>
    </row>
    <row r="63847" spans="104:111">
      <c r="CZ63847" s="256"/>
      <c r="DG63847" s="256"/>
    </row>
    <row r="63848" spans="104:111">
      <c r="CZ63848" s="256"/>
      <c r="DG63848" s="256"/>
    </row>
    <row r="63849" spans="104:111">
      <c r="CZ63849" s="256"/>
      <c r="DG63849" s="256"/>
    </row>
    <row r="63850" spans="104:111">
      <c r="CZ63850" s="256"/>
      <c r="DG63850" s="256"/>
    </row>
    <row r="63851" spans="104:111">
      <c r="CZ63851" s="256"/>
      <c r="DG63851" s="256"/>
    </row>
    <row r="63852" spans="104:111">
      <c r="CZ63852" s="256"/>
      <c r="DG63852" s="256"/>
    </row>
    <row r="63853" spans="104:111">
      <c r="CZ63853" s="256"/>
      <c r="DG63853" s="256"/>
    </row>
    <row r="63854" spans="104:111">
      <c r="CZ63854" s="256"/>
      <c r="DG63854" s="256"/>
    </row>
    <row r="63855" spans="104:111">
      <c r="CZ63855" s="256"/>
      <c r="DG63855" s="256"/>
    </row>
    <row r="63856" spans="104:111">
      <c r="CZ63856" s="256"/>
      <c r="DG63856" s="256"/>
    </row>
    <row r="63857" spans="104:111">
      <c r="CZ63857" s="256"/>
      <c r="DG63857" s="256"/>
    </row>
    <row r="63858" spans="104:111">
      <c r="CZ63858" s="256"/>
      <c r="DG63858" s="256"/>
    </row>
    <row r="63859" spans="104:111">
      <c r="CZ63859" s="256"/>
      <c r="DG63859" s="256"/>
    </row>
    <row r="63860" spans="104:111">
      <c r="CZ63860" s="256"/>
      <c r="DG63860" s="256"/>
    </row>
    <row r="63861" spans="104:111">
      <c r="CZ63861" s="256"/>
      <c r="DG63861" s="256"/>
    </row>
    <row r="63862" spans="104:111">
      <c r="CZ63862" s="256"/>
      <c r="DG63862" s="256"/>
    </row>
    <row r="63863" spans="104:111">
      <c r="CZ63863" s="256"/>
      <c r="DG63863" s="256"/>
    </row>
    <row r="63864" spans="104:111">
      <c r="CZ63864" s="256"/>
      <c r="DG63864" s="256"/>
    </row>
    <row r="63865" spans="104:111">
      <c r="CZ63865" s="256"/>
      <c r="DG63865" s="256"/>
    </row>
    <row r="63866" spans="104:111">
      <c r="CZ63866" s="256"/>
      <c r="DG63866" s="256"/>
    </row>
    <row r="63867" spans="104:111">
      <c r="CZ63867" s="256"/>
      <c r="DG63867" s="256"/>
    </row>
    <row r="63868" spans="104:111">
      <c r="CZ63868" s="256"/>
      <c r="DG63868" s="256"/>
    </row>
    <row r="63869" spans="104:111">
      <c r="CZ63869" s="256"/>
      <c r="DG63869" s="256"/>
    </row>
    <row r="63870" spans="104:111">
      <c r="CZ63870" s="256"/>
      <c r="DG63870" s="256"/>
    </row>
    <row r="63871" spans="104:111">
      <c r="CZ63871" s="256"/>
      <c r="DG63871" s="256"/>
    </row>
    <row r="63872" spans="104:111">
      <c r="CZ63872" s="256"/>
      <c r="DG63872" s="256"/>
    </row>
    <row r="63873" spans="104:111">
      <c r="CZ63873" s="256"/>
      <c r="DG63873" s="256"/>
    </row>
    <row r="63874" spans="104:111">
      <c r="CZ63874" s="256"/>
      <c r="DG63874" s="256"/>
    </row>
    <row r="63875" spans="104:111">
      <c r="CZ63875" s="256"/>
      <c r="DG63875" s="256"/>
    </row>
    <row r="63876" spans="104:111">
      <c r="CZ63876" s="256"/>
      <c r="DG63876" s="256"/>
    </row>
    <row r="63877" spans="104:111">
      <c r="CZ63877" s="256"/>
      <c r="DG63877" s="256"/>
    </row>
    <row r="63878" spans="104:111">
      <c r="CZ63878" s="256"/>
      <c r="DG63878" s="256"/>
    </row>
    <row r="63879" spans="104:111">
      <c r="CZ63879" s="256"/>
      <c r="DG63879" s="256"/>
    </row>
    <row r="63880" spans="104:111">
      <c r="CZ63880" s="256"/>
      <c r="DG63880" s="256"/>
    </row>
    <row r="63881" spans="104:111">
      <c r="CZ63881" s="256"/>
      <c r="DG63881" s="256"/>
    </row>
    <row r="63882" spans="104:111">
      <c r="CZ63882" s="256"/>
      <c r="DG63882" s="256"/>
    </row>
    <row r="63883" spans="104:111">
      <c r="CZ63883" s="256"/>
      <c r="DG63883" s="256"/>
    </row>
    <row r="63884" spans="104:111">
      <c r="CZ63884" s="256"/>
      <c r="DG63884" s="256"/>
    </row>
    <row r="63885" spans="104:111">
      <c r="CZ63885" s="256"/>
      <c r="DG63885" s="256"/>
    </row>
    <row r="63886" spans="104:111">
      <c r="CZ63886" s="256"/>
      <c r="DG63886" s="256"/>
    </row>
    <row r="63887" spans="104:111">
      <c r="CZ63887" s="256"/>
      <c r="DG63887" s="256"/>
    </row>
    <row r="63888" spans="104:111">
      <c r="CZ63888" s="256"/>
      <c r="DG63888" s="256"/>
    </row>
    <row r="63889" spans="104:111">
      <c r="CZ63889" s="256"/>
      <c r="DG63889" s="256"/>
    </row>
    <row r="63890" spans="104:111">
      <c r="CZ63890" s="256"/>
      <c r="DG63890" s="256"/>
    </row>
    <row r="63891" spans="104:111">
      <c r="CZ63891" s="256"/>
      <c r="DG63891" s="256"/>
    </row>
    <row r="63892" spans="104:111">
      <c r="CZ63892" s="256"/>
      <c r="DG63892" s="256"/>
    </row>
    <row r="63893" spans="104:111">
      <c r="CZ63893" s="256"/>
      <c r="DG63893" s="256"/>
    </row>
    <row r="63894" spans="104:111">
      <c r="CZ63894" s="256"/>
      <c r="DG63894" s="256"/>
    </row>
    <row r="63895" spans="104:111">
      <c r="CZ63895" s="256"/>
      <c r="DG63895" s="256"/>
    </row>
    <row r="63896" spans="104:111">
      <c r="CZ63896" s="256"/>
      <c r="DG63896" s="256"/>
    </row>
    <row r="63897" spans="104:111">
      <c r="CZ63897" s="256"/>
      <c r="DG63897" s="256"/>
    </row>
    <row r="63898" spans="104:111">
      <c r="CZ63898" s="256"/>
      <c r="DG63898" s="256"/>
    </row>
    <row r="63899" spans="104:111">
      <c r="CZ63899" s="256"/>
      <c r="DG63899" s="256"/>
    </row>
    <row r="63900" spans="104:111">
      <c r="CZ63900" s="256"/>
      <c r="DG63900" s="256"/>
    </row>
    <row r="63901" spans="104:111">
      <c r="CZ63901" s="256"/>
      <c r="DG63901" s="256"/>
    </row>
    <row r="63902" spans="104:111">
      <c r="CZ63902" s="256"/>
      <c r="DG63902" s="256"/>
    </row>
    <row r="63903" spans="104:111">
      <c r="CZ63903" s="256"/>
      <c r="DG63903" s="256"/>
    </row>
    <row r="63904" spans="104:111">
      <c r="CZ63904" s="256"/>
      <c r="DG63904" s="256"/>
    </row>
    <row r="63905" spans="104:111">
      <c r="CZ63905" s="256"/>
      <c r="DG63905" s="256"/>
    </row>
    <row r="63906" spans="104:111">
      <c r="CZ63906" s="256"/>
      <c r="DG63906" s="256"/>
    </row>
    <row r="63907" spans="104:111">
      <c r="CZ63907" s="256"/>
      <c r="DG63907" s="256"/>
    </row>
    <row r="63908" spans="104:111">
      <c r="CZ63908" s="256"/>
      <c r="DG63908" s="256"/>
    </row>
    <row r="63909" spans="104:111">
      <c r="CZ63909" s="256"/>
      <c r="DG63909" s="256"/>
    </row>
    <row r="63910" spans="104:111">
      <c r="CZ63910" s="256"/>
      <c r="DG63910" s="256"/>
    </row>
    <row r="63911" spans="104:111">
      <c r="CZ63911" s="256"/>
      <c r="DG63911" s="256"/>
    </row>
    <row r="63912" spans="104:111">
      <c r="CZ63912" s="256"/>
      <c r="DG63912" s="256"/>
    </row>
    <row r="63913" spans="104:111">
      <c r="CZ63913" s="256"/>
      <c r="DG63913" s="256"/>
    </row>
    <row r="63914" spans="104:111">
      <c r="CZ63914" s="256"/>
      <c r="DG63914" s="256"/>
    </row>
    <row r="63915" spans="104:111">
      <c r="CZ63915" s="256"/>
      <c r="DG63915" s="256"/>
    </row>
    <row r="63916" spans="104:111">
      <c r="CZ63916" s="256"/>
      <c r="DG63916" s="256"/>
    </row>
    <row r="63917" spans="104:111">
      <c r="CZ63917" s="256"/>
      <c r="DG63917" s="256"/>
    </row>
    <row r="63918" spans="104:111">
      <c r="CZ63918" s="256"/>
      <c r="DG63918" s="256"/>
    </row>
    <row r="63919" spans="104:111">
      <c r="CZ63919" s="256"/>
      <c r="DG63919" s="256"/>
    </row>
    <row r="63920" spans="104:111">
      <c r="CZ63920" s="256"/>
      <c r="DG63920" s="256"/>
    </row>
    <row r="63921" spans="104:111">
      <c r="CZ63921" s="256"/>
      <c r="DG63921" s="256"/>
    </row>
    <row r="63922" spans="104:111">
      <c r="CZ63922" s="256"/>
      <c r="DG63922" s="256"/>
    </row>
    <row r="63923" spans="104:111">
      <c r="CZ63923" s="256"/>
      <c r="DG63923" s="256"/>
    </row>
    <row r="63924" spans="104:111">
      <c r="CZ63924" s="256"/>
      <c r="DG63924" s="256"/>
    </row>
    <row r="63925" spans="104:111">
      <c r="CZ63925" s="256"/>
      <c r="DG63925" s="256"/>
    </row>
    <row r="63926" spans="104:111">
      <c r="CZ63926" s="256"/>
      <c r="DG63926" s="256"/>
    </row>
    <row r="63927" spans="104:111">
      <c r="CZ63927" s="256"/>
      <c r="DG63927" s="256"/>
    </row>
    <row r="63928" spans="104:111">
      <c r="CZ63928" s="256"/>
      <c r="DG63928" s="256"/>
    </row>
    <row r="63929" spans="104:111">
      <c r="CZ63929" s="256"/>
      <c r="DG63929" s="256"/>
    </row>
    <row r="63930" spans="104:111">
      <c r="CZ63930" s="256"/>
      <c r="DG63930" s="256"/>
    </row>
    <row r="63931" spans="104:111">
      <c r="CZ63931" s="256"/>
      <c r="DG63931" s="256"/>
    </row>
    <row r="63932" spans="104:111">
      <c r="CZ63932" s="256"/>
      <c r="DG63932" s="256"/>
    </row>
    <row r="63933" spans="104:111">
      <c r="CZ63933" s="256"/>
      <c r="DG63933" s="256"/>
    </row>
    <row r="63934" spans="104:111">
      <c r="CZ63934" s="256"/>
      <c r="DG63934" s="256"/>
    </row>
    <row r="63935" spans="104:111">
      <c r="CZ63935" s="256"/>
      <c r="DG63935" s="256"/>
    </row>
    <row r="63936" spans="104:111">
      <c r="CZ63936" s="256"/>
      <c r="DG63936" s="256"/>
    </row>
    <row r="63937" spans="104:111">
      <c r="CZ63937" s="256"/>
      <c r="DG63937" s="256"/>
    </row>
    <row r="63938" spans="104:111">
      <c r="CZ63938" s="256"/>
      <c r="DG63938" s="256"/>
    </row>
    <row r="63939" spans="104:111">
      <c r="CZ63939" s="256"/>
      <c r="DG63939" s="256"/>
    </row>
    <row r="63940" spans="104:111">
      <c r="CZ63940" s="256"/>
      <c r="DG63940" s="256"/>
    </row>
    <row r="63941" spans="104:111">
      <c r="CZ63941" s="256"/>
      <c r="DG63941" s="256"/>
    </row>
    <row r="63942" spans="104:111">
      <c r="CZ63942" s="256"/>
      <c r="DG63942" s="256"/>
    </row>
    <row r="63943" spans="104:111">
      <c r="CZ63943" s="256"/>
      <c r="DG63943" s="256"/>
    </row>
    <row r="63944" spans="104:111">
      <c r="CZ63944" s="256"/>
      <c r="DG63944" s="256"/>
    </row>
    <row r="63945" spans="104:111">
      <c r="CZ63945" s="256"/>
      <c r="DG63945" s="256"/>
    </row>
    <row r="63946" spans="104:111">
      <c r="CZ63946" s="256"/>
      <c r="DG63946" s="256"/>
    </row>
    <row r="63947" spans="104:111">
      <c r="CZ63947" s="256"/>
      <c r="DG63947" s="256"/>
    </row>
    <row r="63948" spans="104:111">
      <c r="CZ63948" s="256"/>
      <c r="DG63948" s="256"/>
    </row>
    <row r="63949" spans="104:111">
      <c r="CZ63949" s="256"/>
      <c r="DG63949" s="256"/>
    </row>
    <row r="63950" spans="104:111">
      <c r="CZ63950" s="256"/>
      <c r="DG63950" s="256"/>
    </row>
    <row r="63951" spans="104:111">
      <c r="CZ63951" s="256"/>
      <c r="DG63951" s="256"/>
    </row>
    <row r="63952" spans="104:111">
      <c r="CZ63952" s="256"/>
      <c r="DG63952" s="256"/>
    </row>
    <row r="63953" spans="104:111">
      <c r="CZ63953" s="256"/>
      <c r="DG63953" s="256"/>
    </row>
    <row r="63954" spans="104:111">
      <c r="CZ63954" s="256"/>
      <c r="DG63954" s="256"/>
    </row>
    <row r="63955" spans="104:111">
      <c r="CZ63955" s="256"/>
      <c r="DG63955" s="256"/>
    </row>
    <row r="63956" spans="104:111">
      <c r="CZ63956" s="256"/>
      <c r="DG63956" s="256"/>
    </row>
    <row r="63957" spans="104:111">
      <c r="CZ63957" s="256"/>
      <c r="DG63957" s="256"/>
    </row>
    <row r="63958" spans="104:111">
      <c r="CZ63958" s="256"/>
      <c r="DG63958" s="256"/>
    </row>
    <row r="63959" spans="104:111">
      <c r="CZ63959" s="256"/>
      <c r="DG63959" s="256"/>
    </row>
    <row r="63960" spans="104:111">
      <c r="CZ63960" s="256"/>
      <c r="DG63960" s="256"/>
    </row>
    <row r="63961" spans="104:111">
      <c r="CZ63961" s="256"/>
      <c r="DG63961" s="256"/>
    </row>
    <row r="63962" spans="104:111">
      <c r="CZ63962" s="256"/>
      <c r="DG63962" s="256"/>
    </row>
    <row r="63963" spans="104:111">
      <c r="CZ63963" s="256"/>
      <c r="DG63963" s="256"/>
    </row>
    <row r="63964" spans="104:111">
      <c r="CZ63964" s="256"/>
      <c r="DG63964" s="256"/>
    </row>
    <row r="63965" spans="104:111">
      <c r="CZ63965" s="256"/>
      <c r="DG63965" s="256"/>
    </row>
    <row r="63966" spans="104:111">
      <c r="CZ63966" s="256"/>
      <c r="DG63966" s="256"/>
    </row>
    <row r="63967" spans="104:111">
      <c r="CZ63967" s="256"/>
      <c r="DG63967" s="256"/>
    </row>
    <row r="63968" spans="104:111">
      <c r="CZ63968" s="256"/>
      <c r="DG63968" s="256"/>
    </row>
    <row r="63969" spans="104:111">
      <c r="CZ63969" s="256"/>
      <c r="DG63969" s="256"/>
    </row>
    <row r="63970" spans="104:111">
      <c r="CZ63970" s="256"/>
      <c r="DG63970" s="256"/>
    </row>
    <row r="63971" spans="104:111">
      <c r="CZ63971" s="256"/>
      <c r="DG63971" s="256"/>
    </row>
    <row r="63972" spans="104:111">
      <c r="CZ63972" s="256"/>
      <c r="DG63972" s="256"/>
    </row>
    <row r="63973" spans="104:111">
      <c r="CZ63973" s="256"/>
      <c r="DG63973" s="256"/>
    </row>
    <row r="63974" spans="104:111">
      <c r="CZ63974" s="256"/>
      <c r="DG63974" s="256"/>
    </row>
    <row r="63975" spans="104:111">
      <c r="CZ63975" s="256"/>
      <c r="DG63975" s="256"/>
    </row>
    <row r="63976" spans="104:111">
      <c r="CZ63976" s="256"/>
      <c r="DG63976" s="256"/>
    </row>
    <row r="63977" spans="104:111">
      <c r="CZ63977" s="256"/>
      <c r="DG63977" s="256"/>
    </row>
    <row r="63978" spans="104:111">
      <c r="CZ63978" s="256"/>
      <c r="DG63978" s="256"/>
    </row>
    <row r="63979" spans="104:111">
      <c r="CZ63979" s="256"/>
      <c r="DG63979" s="256"/>
    </row>
    <row r="63980" spans="104:111">
      <c r="CZ63980" s="256"/>
      <c r="DG63980" s="256"/>
    </row>
    <row r="63981" spans="104:111">
      <c r="CZ63981" s="256"/>
      <c r="DG63981" s="256"/>
    </row>
    <row r="63982" spans="104:111">
      <c r="CZ63982" s="256"/>
      <c r="DG63982" s="256"/>
    </row>
    <row r="63983" spans="104:111">
      <c r="CZ63983" s="256"/>
      <c r="DG63983" s="256"/>
    </row>
    <row r="63984" spans="104:111">
      <c r="CZ63984" s="256"/>
      <c r="DG63984" s="256"/>
    </row>
    <row r="63985" spans="104:111">
      <c r="CZ63985" s="256"/>
      <c r="DG63985" s="256"/>
    </row>
    <row r="63986" spans="104:111">
      <c r="CZ63986" s="256"/>
      <c r="DG63986" s="256"/>
    </row>
    <row r="63987" spans="104:111">
      <c r="CZ63987" s="256"/>
      <c r="DG63987" s="256"/>
    </row>
    <row r="63988" spans="104:111">
      <c r="CZ63988" s="256"/>
      <c r="DG63988" s="256"/>
    </row>
    <row r="63989" spans="104:111">
      <c r="CZ63989" s="256"/>
      <c r="DG63989" s="256"/>
    </row>
    <row r="63990" spans="104:111">
      <c r="CZ63990" s="256"/>
      <c r="DG63990" s="256"/>
    </row>
    <row r="63991" spans="104:111">
      <c r="CZ63991" s="256"/>
      <c r="DG63991" s="256"/>
    </row>
    <row r="63992" spans="104:111">
      <c r="CZ63992" s="256"/>
      <c r="DG63992" s="256"/>
    </row>
    <row r="63993" spans="104:111">
      <c r="CZ63993" s="256"/>
      <c r="DG63993" s="256"/>
    </row>
    <row r="63994" spans="104:111">
      <c r="CZ63994" s="256"/>
      <c r="DG63994" s="256"/>
    </row>
    <row r="63995" spans="104:111">
      <c r="CZ63995" s="256"/>
      <c r="DG63995" s="256"/>
    </row>
    <row r="63996" spans="104:111">
      <c r="CZ63996" s="256"/>
      <c r="DG63996" s="256"/>
    </row>
    <row r="63997" spans="104:111">
      <c r="CZ63997" s="256"/>
      <c r="DG63997" s="256"/>
    </row>
    <row r="63998" spans="104:111">
      <c r="CZ63998" s="256"/>
      <c r="DG63998" s="256"/>
    </row>
    <row r="63999" spans="104:111">
      <c r="CZ63999" s="256"/>
      <c r="DG63999" s="256"/>
    </row>
    <row r="64000" spans="104:111">
      <c r="CZ64000" s="256"/>
      <c r="DG64000" s="256"/>
    </row>
    <row r="64001" spans="104:111">
      <c r="CZ64001" s="256"/>
      <c r="DG64001" s="256"/>
    </row>
    <row r="64002" spans="104:111">
      <c r="CZ64002" s="256"/>
      <c r="DG64002" s="256"/>
    </row>
    <row r="64003" spans="104:111">
      <c r="CZ64003" s="256"/>
      <c r="DG64003" s="256"/>
    </row>
    <row r="64004" spans="104:111">
      <c r="CZ64004" s="256"/>
      <c r="DG64004" s="256"/>
    </row>
    <row r="64005" spans="104:111">
      <c r="CZ64005" s="256"/>
      <c r="DG64005" s="256"/>
    </row>
    <row r="64006" spans="104:111">
      <c r="CZ64006" s="256"/>
      <c r="DG64006" s="256"/>
    </row>
    <row r="64007" spans="104:111">
      <c r="CZ64007" s="256"/>
      <c r="DG64007" s="256"/>
    </row>
    <row r="64008" spans="104:111">
      <c r="CZ64008" s="256"/>
      <c r="DG64008" s="256"/>
    </row>
    <row r="64009" spans="104:111">
      <c r="CZ64009" s="256"/>
      <c r="DG64009" s="256"/>
    </row>
    <row r="64010" spans="104:111">
      <c r="CZ64010" s="256"/>
      <c r="DG64010" s="256"/>
    </row>
    <row r="64011" spans="104:111">
      <c r="CZ64011" s="256"/>
      <c r="DG64011" s="256"/>
    </row>
    <row r="64012" spans="104:111">
      <c r="CZ64012" s="256"/>
      <c r="DG64012" s="256"/>
    </row>
    <row r="64013" spans="104:111">
      <c r="CZ64013" s="256"/>
      <c r="DG64013" s="256"/>
    </row>
    <row r="64014" spans="104:111">
      <c r="CZ64014" s="256"/>
      <c r="DG64014" s="256"/>
    </row>
    <row r="64015" spans="104:111">
      <c r="CZ64015" s="256"/>
      <c r="DG64015" s="256"/>
    </row>
    <row r="64016" spans="104:111">
      <c r="CZ64016" s="256"/>
      <c r="DG64016" s="256"/>
    </row>
    <row r="64017" spans="104:111">
      <c r="CZ64017" s="256"/>
      <c r="DG64017" s="256"/>
    </row>
    <row r="64018" spans="104:111">
      <c r="CZ64018" s="256"/>
      <c r="DG64018" s="256"/>
    </row>
    <row r="64019" spans="104:111">
      <c r="CZ64019" s="256"/>
      <c r="DG64019" s="256"/>
    </row>
    <row r="64020" spans="104:111">
      <c r="CZ64020" s="256"/>
      <c r="DG64020" s="256"/>
    </row>
    <row r="64021" spans="104:111">
      <c r="CZ64021" s="256"/>
      <c r="DG64021" s="256"/>
    </row>
    <row r="64022" spans="104:111">
      <c r="CZ64022" s="256"/>
      <c r="DG64022" s="256"/>
    </row>
    <row r="64023" spans="104:111">
      <c r="CZ64023" s="256"/>
      <c r="DG64023" s="256"/>
    </row>
    <row r="64024" spans="104:111">
      <c r="CZ64024" s="256"/>
      <c r="DG64024" s="256"/>
    </row>
    <row r="64025" spans="104:111">
      <c r="CZ64025" s="256"/>
      <c r="DG64025" s="256"/>
    </row>
    <row r="64026" spans="104:111">
      <c r="CZ64026" s="256"/>
      <c r="DG64026" s="256"/>
    </row>
    <row r="64027" spans="104:111">
      <c r="CZ64027" s="256"/>
      <c r="DG64027" s="256"/>
    </row>
    <row r="64028" spans="104:111">
      <c r="CZ64028" s="256"/>
      <c r="DG64028" s="256"/>
    </row>
    <row r="64029" spans="104:111">
      <c r="CZ64029" s="256"/>
      <c r="DG64029" s="256"/>
    </row>
    <row r="64030" spans="104:111">
      <c r="CZ64030" s="256"/>
      <c r="DG64030" s="256"/>
    </row>
    <row r="64031" spans="104:111">
      <c r="CZ64031" s="256"/>
      <c r="DG64031" s="256"/>
    </row>
    <row r="64032" spans="104:111">
      <c r="CZ64032" s="256"/>
      <c r="DG64032" s="256"/>
    </row>
    <row r="64033" spans="104:111">
      <c r="CZ64033" s="256"/>
      <c r="DG64033" s="256"/>
    </row>
    <row r="64034" spans="104:111">
      <c r="CZ64034" s="256"/>
      <c r="DG64034" s="256"/>
    </row>
    <row r="64035" spans="104:111">
      <c r="CZ64035" s="256"/>
      <c r="DG64035" s="256"/>
    </row>
    <row r="64036" spans="104:111">
      <c r="CZ64036" s="256"/>
      <c r="DG64036" s="256"/>
    </row>
    <row r="64037" spans="104:111">
      <c r="CZ64037" s="256"/>
      <c r="DG64037" s="256"/>
    </row>
    <row r="64038" spans="104:111">
      <c r="CZ64038" s="256"/>
      <c r="DG64038" s="256"/>
    </row>
    <row r="64039" spans="104:111">
      <c r="CZ64039" s="256"/>
      <c r="DG64039" s="256"/>
    </row>
    <row r="64040" spans="104:111">
      <c r="CZ64040" s="256"/>
      <c r="DG64040" s="256"/>
    </row>
    <row r="64041" spans="104:111">
      <c r="CZ64041" s="256"/>
      <c r="DG64041" s="256"/>
    </row>
    <row r="64042" spans="104:111">
      <c r="CZ64042" s="256"/>
      <c r="DG64042" s="256"/>
    </row>
    <row r="64043" spans="104:111">
      <c r="CZ64043" s="256"/>
      <c r="DG64043" s="256"/>
    </row>
    <row r="64044" spans="104:111">
      <c r="CZ64044" s="256"/>
      <c r="DG64044" s="256"/>
    </row>
    <row r="64045" spans="104:111">
      <c r="CZ64045" s="256"/>
      <c r="DG64045" s="256"/>
    </row>
    <row r="64046" spans="104:111">
      <c r="CZ64046" s="256"/>
      <c r="DG64046" s="256"/>
    </row>
    <row r="64047" spans="104:111">
      <c r="CZ64047" s="256"/>
      <c r="DG64047" s="256"/>
    </row>
    <row r="64048" spans="104:111">
      <c r="CZ64048" s="256"/>
      <c r="DG64048" s="256"/>
    </row>
    <row r="64049" spans="104:111">
      <c r="CZ64049" s="256"/>
      <c r="DG64049" s="256"/>
    </row>
    <row r="64050" spans="104:111">
      <c r="CZ64050" s="256"/>
      <c r="DG64050" s="256"/>
    </row>
    <row r="64051" spans="104:111">
      <c r="CZ64051" s="256"/>
      <c r="DG64051" s="256"/>
    </row>
    <row r="64052" spans="104:111">
      <c r="CZ64052" s="256"/>
      <c r="DG64052" s="256"/>
    </row>
    <row r="64053" spans="104:111">
      <c r="CZ64053" s="256"/>
      <c r="DG64053" s="256"/>
    </row>
    <row r="64054" spans="104:111">
      <c r="CZ64054" s="256"/>
      <c r="DG64054" s="256"/>
    </row>
    <row r="64055" spans="104:111">
      <c r="CZ64055" s="256"/>
      <c r="DG64055" s="256"/>
    </row>
    <row r="64056" spans="104:111">
      <c r="CZ64056" s="256"/>
      <c r="DG64056" s="256"/>
    </row>
    <row r="64057" spans="104:111">
      <c r="CZ64057" s="256"/>
      <c r="DG64057" s="256"/>
    </row>
    <row r="64058" spans="104:111">
      <c r="CZ64058" s="256"/>
      <c r="DG64058" s="256"/>
    </row>
    <row r="64059" spans="104:111">
      <c r="CZ64059" s="256"/>
      <c r="DG64059" s="256"/>
    </row>
    <row r="64060" spans="104:111">
      <c r="CZ64060" s="256"/>
      <c r="DG64060" s="256"/>
    </row>
    <row r="64061" spans="104:111">
      <c r="CZ64061" s="256"/>
      <c r="DG64061" s="256"/>
    </row>
    <row r="64062" spans="104:111">
      <c r="CZ64062" s="256"/>
      <c r="DG64062" s="256"/>
    </row>
    <row r="64063" spans="104:111">
      <c r="CZ64063" s="256"/>
      <c r="DG64063" s="256"/>
    </row>
    <row r="64064" spans="104:111">
      <c r="CZ64064" s="256"/>
      <c r="DG64064" s="256"/>
    </row>
    <row r="64065" spans="104:111">
      <c r="CZ64065" s="256"/>
      <c r="DG64065" s="256"/>
    </row>
    <row r="64066" spans="104:111">
      <c r="CZ64066" s="256"/>
      <c r="DG64066" s="256"/>
    </row>
    <row r="64067" spans="104:111">
      <c r="CZ64067" s="256"/>
      <c r="DG64067" s="256"/>
    </row>
    <row r="64068" spans="104:111">
      <c r="CZ64068" s="256"/>
      <c r="DG64068" s="256"/>
    </row>
    <row r="64069" spans="104:111">
      <c r="CZ64069" s="256"/>
      <c r="DG64069" s="256"/>
    </row>
    <row r="64070" spans="104:111">
      <c r="CZ64070" s="256"/>
      <c r="DG64070" s="256"/>
    </row>
    <row r="64071" spans="104:111">
      <c r="CZ64071" s="256"/>
      <c r="DG64071" s="256"/>
    </row>
    <row r="64072" spans="104:111">
      <c r="CZ64072" s="256"/>
      <c r="DG64072" s="256"/>
    </row>
    <row r="64073" spans="104:111">
      <c r="CZ64073" s="256"/>
      <c r="DG64073" s="256"/>
    </row>
    <row r="64074" spans="104:111">
      <c r="CZ64074" s="256"/>
      <c r="DG64074" s="256"/>
    </row>
    <row r="64075" spans="104:111">
      <c r="CZ64075" s="256"/>
      <c r="DG64075" s="256"/>
    </row>
    <row r="64076" spans="104:111">
      <c r="CZ64076" s="256"/>
      <c r="DG64076" s="256"/>
    </row>
    <row r="64077" spans="104:111">
      <c r="CZ64077" s="256"/>
      <c r="DG64077" s="256"/>
    </row>
    <row r="64078" spans="104:111">
      <c r="CZ64078" s="256"/>
      <c r="DG64078" s="256"/>
    </row>
    <row r="64079" spans="104:111">
      <c r="CZ64079" s="256"/>
      <c r="DG64079" s="256"/>
    </row>
    <row r="64080" spans="104:111">
      <c r="CZ64080" s="256"/>
      <c r="DG64080" s="256"/>
    </row>
    <row r="64081" spans="104:111">
      <c r="CZ64081" s="256"/>
      <c r="DG64081" s="256"/>
    </row>
    <row r="64082" spans="104:111">
      <c r="CZ64082" s="256"/>
      <c r="DG64082" s="256"/>
    </row>
    <row r="64083" spans="104:111">
      <c r="CZ64083" s="256"/>
      <c r="DG64083" s="256"/>
    </row>
    <row r="64084" spans="104:111">
      <c r="CZ64084" s="256"/>
      <c r="DG64084" s="256"/>
    </row>
    <row r="64085" spans="104:111">
      <c r="CZ64085" s="256"/>
      <c r="DG64085" s="256"/>
    </row>
    <row r="64086" spans="104:111">
      <c r="CZ64086" s="256"/>
      <c r="DG64086" s="256"/>
    </row>
    <row r="64087" spans="104:111">
      <c r="CZ64087" s="256"/>
      <c r="DG64087" s="256"/>
    </row>
    <row r="64088" spans="104:111">
      <c r="CZ64088" s="256"/>
      <c r="DG64088" s="256"/>
    </row>
    <row r="64089" spans="104:111">
      <c r="CZ64089" s="256"/>
      <c r="DG64089" s="256"/>
    </row>
    <row r="64090" spans="104:111">
      <c r="CZ64090" s="256"/>
      <c r="DG64090" s="256"/>
    </row>
    <row r="64091" spans="104:111">
      <c r="CZ64091" s="256"/>
      <c r="DG64091" s="256"/>
    </row>
    <row r="64092" spans="104:111">
      <c r="CZ64092" s="256"/>
      <c r="DG64092" s="256"/>
    </row>
    <row r="64093" spans="104:111">
      <c r="CZ64093" s="256"/>
      <c r="DG64093" s="256"/>
    </row>
    <row r="64094" spans="104:111">
      <c r="CZ64094" s="256"/>
      <c r="DG64094" s="256"/>
    </row>
    <row r="64095" spans="104:111">
      <c r="CZ64095" s="256"/>
      <c r="DG64095" s="256"/>
    </row>
    <row r="64096" spans="104:111">
      <c r="CZ64096" s="256"/>
      <c r="DG64096" s="256"/>
    </row>
    <row r="64097" spans="104:111">
      <c r="CZ64097" s="256"/>
      <c r="DG64097" s="256"/>
    </row>
    <row r="64098" spans="104:111">
      <c r="CZ64098" s="256"/>
      <c r="DG64098" s="256"/>
    </row>
    <row r="64099" spans="104:111">
      <c r="CZ64099" s="256"/>
      <c r="DG64099" s="256"/>
    </row>
    <row r="64100" spans="104:111">
      <c r="CZ64100" s="256"/>
      <c r="DG64100" s="256"/>
    </row>
    <row r="64101" spans="104:111">
      <c r="CZ64101" s="256"/>
      <c r="DG64101" s="256"/>
    </row>
    <row r="64102" spans="104:111">
      <c r="CZ64102" s="256"/>
      <c r="DG64102" s="256"/>
    </row>
    <row r="64103" spans="104:111">
      <c r="CZ64103" s="256"/>
      <c r="DG64103" s="256"/>
    </row>
    <row r="64104" spans="104:111">
      <c r="CZ64104" s="256"/>
      <c r="DG64104" s="256"/>
    </row>
    <row r="64105" spans="104:111">
      <c r="CZ64105" s="256"/>
      <c r="DG64105" s="256"/>
    </row>
    <row r="64106" spans="104:111">
      <c r="CZ64106" s="256"/>
      <c r="DG64106" s="256"/>
    </row>
    <row r="64107" spans="104:111">
      <c r="CZ64107" s="256"/>
      <c r="DG64107" s="256"/>
    </row>
    <row r="64108" spans="104:111">
      <c r="CZ64108" s="256"/>
      <c r="DG64108" s="256"/>
    </row>
    <row r="64109" spans="104:111">
      <c r="CZ64109" s="256"/>
      <c r="DG64109" s="256"/>
    </row>
    <row r="64110" spans="104:111">
      <c r="CZ64110" s="256"/>
      <c r="DG64110" s="256"/>
    </row>
    <row r="64111" spans="104:111">
      <c r="CZ64111" s="256"/>
      <c r="DG64111" s="256"/>
    </row>
    <row r="64112" spans="104:111">
      <c r="CZ64112" s="256"/>
      <c r="DG64112" s="256"/>
    </row>
    <row r="64113" spans="104:111">
      <c r="CZ64113" s="256"/>
      <c r="DG64113" s="256"/>
    </row>
    <row r="64114" spans="104:111">
      <c r="CZ64114" s="256"/>
      <c r="DG64114" s="256"/>
    </row>
    <row r="64115" spans="104:111">
      <c r="CZ64115" s="256"/>
      <c r="DG64115" s="256"/>
    </row>
    <row r="64116" spans="104:111">
      <c r="CZ64116" s="256"/>
      <c r="DG64116" s="256"/>
    </row>
    <row r="64117" spans="104:111">
      <c r="CZ64117" s="256"/>
      <c r="DG64117" s="256"/>
    </row>
    <row r="64118" spans="104:111">
      <c r="CZ64118" s="256"/>
      <c r="DG64118" s="256"/>
    </row>
    <row r="64119" spans="104:111">
      <c r="CZ64119" s="256"/>
      <c r="DG64119" s="256"/>
    </row>
    <row r="64120" spans="104:111">
      <c r="CZ64120" s="256"/>
      <c r="DG64120" s="256"/>
    </row>
    <row r="64121" spans="104:111">
      <c r="CZ64121" s="256"/>
      <c r="DG64121" s="256"/>
    </row>
    <row r="64122" spans="104:111">
      <c r="CZ64122" s="256"/>
      <c r="DG64122" s="256"/>
    </row>
    <row r="64123" spans="104:111">
      <c r="CZ64123" s="256"/>
      <c r="DG64123" s="256"/>
    </row>
    <row r="64124" spans="104:111">
      <c r="CZ64124" s="256"/>
      <c r="DG64124" s="256"/>
    </row>
    <row r="64125" spans="104:111">
      <c r="CZ64125" s="256"/>
      <c r="DG64125" s="256"/>
    </row>
    <row r="64126" spans="104:111">
      <c r="CZ64126" s="256"/>
      <c r="DG64126" s="256"/>
    </row>
    <row r="64127" spans="104:111">
      <c r="CZ64127" s="256"/>
      <c r="DG64127" s="256"/>
    </row>
    <row r="64128" spans="104:111">
      <c r="CZ64128" s="256"/>
      <c r="DG64128" s="256"/>
    </row>
    <row r="64129" spans="104:111">
      <c r="CZ64129" s="256"/>
      <c r="DG64129" s="256"/>
    </row>
    <row r="64130" spans="104:111">
      <c r="CZ64130" s="256"/>
      <c r="DG64130" s="256"/>
    </row>
    <row r="64131" spans="104:111">
      <c r="CZ64131" s="256"/>
      <c r="DG64131" s="256"/>
    </row>
    <row r="64132" spans="104:111">
      <c r="CZ64132" s="256"/>
      <c r="DG64132" s="256"/>
    </row>
    <row r="64133" spans="104:111">
      <c r="CZ64133" s="256"/>
      <c r="DG64133" s="256"/>
    </row>
    <row r="64134" spans="104:111">
      <c r="CZ64134" s="256"/>
      <c r="DG64134" s="256"/>
    </row>
    <row r="64135" spans="104:111">
      <c r="CZ64135" s="256"/>
      <c r="DG64135" s="256"/>
    </row>
    <row r="64136" spans="104:111">
      <c r="CZ64136" s="256"/>
      <c r="DG64136" s="256"/>
    </row>
    <row r="64137" spans="104:111">
      <c r="CZ64137" s="256"/>
      <c r="DG64137" s="256"/>
    </row>
    <row r="64138" spans="104:111">
      <c r="CZ64138" s="256"/>
      <c r="DG64138" s="256"/>
    </row>
    <row r="64139" spans="104:111">
      <c r="CZ64139" s="256"/>
      <c r="DG64139" s="256"/>
    </row>
    <row r="64140" spans="104:111">
      <c r="CZ64140" s="256"/>
      <c r="DG64140" s="256"/>
    </row>
    <row r="64141" spans="104:111">
      <c r="CZ64141" s="256"/>
      <c r="DG64141" s="256"/>
    </row>
    <row r="64142" spans="104:111">
      <c r="CZ64142" s="256"/>
      <c r="DG64142" s="256"/>
    </row>
    <row r="64143" spans="104:111">
      <c r="CZ64143" s="256"/>
      <c r="DG64143" s="256"/>
    </row>
    <row r="64144" spans="104:111">
      <c r="CZ64144" s="256"/>
      <c r="DG64144" s="256"/>
    </row>
    <row r="64145" spans="104:111">
      <c r="CZ64145" s="256"/>
      <c r="DG64145" s="256"/>
    </row>
    <row r="64146" spans="104:111">
      <c r="CZ64146" s="256"/>
      <c r="DG64146" s="256"/>
    </row>
    <row r="64147" spans="104:111">
      <c r="CZ64147" s="256"/>
      <c r="DG64147" s="256"/>
    </row>
    <row r="64148" spans="104:111">
      <c r="CZ64148" s="256"/>
      <c r="DG64148" s="256"/>
    </row>
    <row r="64149" spans="104:111">
      <c r="CZ64149" s="256"/>
      <c r="DG64149" s="256"/>
    </row>
    <row r="64150" spans="104:111">
      <c r="CZ64150" s="256"/>
      <c r="DG64150" s="256"/>
    </row>
    <row r="64151" spans="104:111">
      <c r="CZ64151" s="256"/>
      <c r="DG64151" s="256"/>
    </row>
    <row r="64152" spans="104:111">
      <c r="CZ64152" s="256"/>
      <c r="DG64152" s="256"/>
    </row>
    <row r="64153" spans="104:111">
      <c r="CZ64153" s="256"/>
      <c r="DG64153" s="256"/>
    </row>
    <row r="64154" spans="104:111">
      <c r="CZ64154" s="256"/>
      <c r="DG64154" s="256"/>
    </row>
    <row r="64155" spans="104:111">
      <c r="CZ64155" s="256"/>
      <c r="DG64155" s="256"/>
    </row>
    <row r="64156" spans="104:111">
      <c r="CZ64156" s="256"/>
      <c r="DG64156" s="256"/>
    </row>
    <row r="64157" spans="104:111">
      <c r="CZ64157" s="256"/>
      <c r="DG64157" s="256"/>
    </row>
    <row r="64158" spans="104:111">
      <c r="CZ64158" s="256"/>
      <c r="DG64158" s="256"/>
    </row>
    <row r="64159" spans="104:111">
      <c r="CZ64159" s="256"/>
      <c r="DG64159" s="256"/>
    </row>
    <row r="64160" spans="104:111">
      <c r="CZ64160" s="256"/>
      <c r="DG64160" s="256"/>
    </row>
    <row r="64161" spans="104:111">
      <c r="CZ64161" s="256"/>
      <c r="DG64161" s="256"/>
    </row>
    <row r="64162" spans="104:111">
      <c r="CZ64162" s="256"/>
      <c r="DG64162" s="256"/>
    </row>
    <row r="64163" spans="104:111">
      <c r="CZ64163" s="256"/>
      <c r="DG64163" s="256"/>
    </row>
    <row r="64164" spans="104:111">
      <c r="CZ64164" s="256"/>
      <c r="DG64164" s="256"/>
    </row>
    <row r="64165" spans="104:111">
      <c r="CZ64165" s="256"/>
      <c r="DG64165" s="256"/>
    </row>
    <row r="64166" spans="104:111">
      <c r="CZ64166" s="256"/>
      <c r="DG64166" s="256"/>
    </row>
    <row r="64167" spans="104:111">
      <c r="CZ64167" s="256"/>
      <c r="DG64167" s="256"/>
    </row>
    <row r="64168" spans="104:111">
      <c r="CZ64168" s="256"/>
      <c r="DG64168" s="256"/>
    </row>
    <row r="64169" spans="104:111">
      <c r="CZ64169" s="256"/>
      <c r="DG64169" s="256"/>
    </row>
    <row r="64170" spans="104:111">
      <c r="CZ64170" s="256"/>
      <c r="DG64170" s="256"/>
    </row>
    <row r="64171" spans="104:111">
      <c r="CZ64171" s="256"/>
      <c r="DG64171" s="256"/>
    </row>
    <row r="64172" spans="104:111">
      <c r="CZ64172" s="256"/>
      <c r="DG64172" s="256"/>
    </row>
    <row r="64173" spans="104:111">
      <c r="CZ64173" s="256"/>
      <c r="DG64173" s="256"/>
    </row>
    <row r="64174" spans="104:111">
      <c r="CZ64174" s="256"/>
      <c r="DG64174" s="256"/>
    </row>
    <row r="64175" spans="104:111">
      <c r="CZ64175" s="256"/>
      <c r="DG64175" s="256"/>
    </row>
    <row r="64176" spans="104:111">
      <c r="CZ64176" s="256"/>
      <c r="DG64176" s="256"/>
    </row>
    <row r="64177" spans="104:111">
      <c r="CZ64177" s="256"/>
      <c r="DG64177" s="256"/>
    </row>
    <row r="64178" spans="104:111">
      <c r="CZ64178" s="256"/>
      <c r="DG64178" s="256"/>
    </row>
    <row r="64179" spans="104:111">
      <c r="CZ64179" s="256"/>
      <c r="DG64179" s="256"/>
    </row>
    <row r="64180" spans="104:111">
      <c r="CZ64180" s="256"/>
      <c r="DG64180" s="256"/>
    </row>
    <row r="64181" spans="104:111">
      <c r="CZ64181" s="256"/>
      <c r="DG64181" s="256"/>
    </row>
    <row r="64182" spans="104:111">
      <c r="CZ64182" s="256"/>
      <c r="DG64182" s="256"/>
    </row>
    <row r="64183" spans="104:111">
      <c r="CZ64183" s="256"/>
      <c r="DG64183" s="256"/>
    </row>
    <row r="64184" spans="104:111">
      <c r="CZ64184" s="256"/>
      <c r="DG64184" s="256"/>
    </row>
    <row r="64185" spans="104:111">
      <c r="CZ64185" s="256"/>
      <c r="DG64185" s="256"/>
    </row>
    <row r="64186" spans="104:111">
      <c r="CZ64186" s="256"/>
      <c r="DG64186" s="256"/>
    </row>
    <row r="64187" spans="104:111">
      <c r="CZ64187" s="256"/>
      <c r="DG64187" s="256"/>
    </row>
    <row r="64188" spans="104:111">
      <c r="CZ64188" s="256"/>
      <c r="DG64188" s="256"/>
    </row>
    <row r="64189" spans="104:111">
      <c r="CZ64189" s="256"/>
      <c r="DG64189" s="256"/>
    </row>
    <row r="64190" spans="104:111">
      <c r="CZ64190" s="256"/>
      <c r="DG64190" s="256"/>
    </row>
    <row r="64191" spans="104:111">
      <c r="CZ64191" s="256"/>
      <c r="DG64191" s="256"/>
    </row>
    <row r="64192" spans="104:111">
      <c r="CZ64192" s="256"/>
      <c r="DG64192" s="256"/>
    </row>
    <row r="64193" spans="104:111">
      <c r="CZ64193" s="256"/>
      <c r="DG64193" s="256"/>
    </row>
    <row r="64194" spans="104:111">
      <c r="CZ64194" s="256"/>
      <c r="DG64194" s="256"/>
    </row>
    <row r="64195" spans="104:111">
      <c r="CZ64195" s="256"/>
      <c r="DG64195" s="256"/>
    </row>
    <row r="64196" spans="104:111">
      <c r="CZ64196" s="256"/>
      <c r="DG64196" s="256"/>
    </row>
    <row r="64197" spans="104:111">
      <c r="CZ64197" s="256"/>
      <c r="DG64197" s="256"/>
    </row>
    <row r="64198" spans="104:111">
      <c r="CZ64198" s="256"/>
      <c r="DG64198" s="256"/>
    </row>
    <row r="64199" spans="104:111">
      <c r="CZ64199" s="256"/>
      <c r="DG64199" s="256"/>
    </row>
    <row r="64200" spans="104:111">
      <c r="CZ64200" s="256"/>
      <c r="DG64200" s="256"/>
    </row>
    <row r="64201" spans="104:111">
      <c r="CZ64201" s="256"/>
      <c r="DG64201" s="256"/>
    </row>
    <row r="64202" spans="104:111">
      <c r="CZ64202" s="256"/>
      <c r="DG64202" s="256"/>
    </row>
    <row r="64203" spans="104:111">
      <c r="CZ64203" s="256"/>
      <c r="DG64203" s="256"/>
    </row>
    <row r="64204" spans="104:111">
      <c r="CZ64204" s="256"/>
      <c r="DG64204" s="256"/>
    </row>
    <row r="64205" spans="104:111">
      <c r="CZ64205" s="256"/>
      <c r="DG64205" s="256"/>
    </row>
    <row r="64206" spans="104:111">
      <c r="CZ64206" s="256"/>
      <c r="DG64206" s="256"/>
    </row>
    <row r="64207" spans="104:111">
      <c r="CZ64207" s="256"/>
      <c r="DG64207" s="256"/>
    </row>
    <row r="64208" spans="104:111">
      <c r="CZ64208" s="256"/>
      <c r="DG64208" s="256"/>
    </row>
    <row r="64209" spans="104:111">
      <c r="CZ64209" s="256"/>
      <c r="DG64209" s="256"/>
    </row>
    <row r="64210" spans="104:111">
      <c r="CZ64210" s="256"/>
      <c r="DG64210" s="256"/>
    </row>
    <row r="64211" spans="104:111">
      <c r="CZ64211" s="256"/>
      <c r="DG64211" s="256"/>
    </row>
    <row r="64212" spans="104:111">
      <c r="CZ64212" s="256"/>
      <c r="DG64212" s="256"/>
    </row>
    <row r="64213" spans="104:111">
      <c r="CZ64213" s="256"/>
      <c r="DG64213" s="256"/>
    </row>
    <row r="64214" spans="104:111">
      <c r="CZ64214" s="256"/>
      <c r="DG64214" s="256"/>
    </row>
    <row r="64215" spans="104:111">
      <c r="CZ64215" s="256"/>
      <c r="DG64215" s="256"/>
    </row>
    <row r="64216" spans="104:111">
      <c r="CZ64216" s="256"/>
      <c r="DG64216" s="256"/>
    </row>
    <row r="64217" spans="104:111">
      <c r="CZ64217" s="256"/>
      <c r="DG64217" s="256"/>
    </row>
    <row r="64218" spans="104:111">
      <c r="CZ64218" s="256"/>
      <c r="DG64218" s="256"/>
    </row>
    <row r="64219" spans="104:111">
      <c r="CZ64219" s="256"/>
      <c r="DG64219" s="256"/>
    </row>
    <row r="64220" spans="104:111">
      <c r="CZ64220" s="256"/>
      <c r="DG64220" s="256"/>
    </row>
    <row r="64221" spans="104:111">
      <c r="CZ64221" s="256"/>
      <c r="DG64221" s="256"/>
    </row>
    <row r="64222" spans="104:111">
      <c r="CZ64222" s="256"/>
      <c r="DG64222" s="256"/>
    </row>
    <row r="64223" spans="104:111">
      <c r="CZ64223" s="256"/>
      <c r="DG64223" s="256"/>
    </row>
    <row r="64224" spans="104:111">
      <c r="CZ64224" s="256"/>
      <c r="DG64224" s="256"/>
    </row>
    <row r="64225" spans="104:111">
      <c r="CZ64225" s="256"/>
      <c r="DG64225" s="256"/>
    </row>
    <row r="64226" spans="104:111">
      <c r="CZ64226" s="256"/>
      <c r="DG64226" s="256"/>
    </row>
    <row r="64227" spans="104:111">
      <c r="CZ64227" s="256"/>
      <c r="DG64227" s="256"/>
    </row>
    <row r="64228" spans="104:111">
      <c r="CZ64228" s="256"/>
      <c r="DG64228" s="256"/>
    </row>
    <row r="64229" spans="104:111">
      <c r="CZ64229" s="256"/>
      <c r="DG64229" s="256"/>
    </row>
    <row r="64230" spans="104:111">
      <c r="CZ64230" s="256"/>
      <c r="DG64230" s="256"/>
    </row>
    <row r="64231" spans="104:111">
      <c r="CZ64231" s="256"/>
      <c r="DG64231" s="256"/>
    </row>
    <row r="64232" spans="104:111">
      <c r="CZ64232" s="256"/>
      <c r="DG64232" s="256"/>
    </row>
    <row r="64233" spans="104:111">
      <c r="CZ64233" s="256"/>
      <c r="DG64233" s="256"/>
    </row>
    <row r="64234" spans="104:111">
      <c r="CZ64234" s="256"/>
      <c r="DG64234" s="256"/>
    </row>
    <row r="64235" spans="104:111">
      <c r="CZ64235" s="256"/>
      <c r="DG64235" s="256"/>
    </row>
    <row r="64236" spans="104:111">
      <c r="CZ64236" s="256"/>
      <c r="DG64236" s="256"/>
    </row>
    <row r="64237" spans="104:111">
      <c r="CZ64237" s="256"/>
      <c r="DG64237" s="256"/>
    </row>
    <row r="64238" spans="104:111">
      <c r="CZ64238" s="256"/>
      <c r="DG64238" s="256"/>
    </row>
    <row r="64239" spans="104:111">
      <c r="CZ64239" s="256"/>
      <c r="DG64239" s="256"/>
    </row>
    <row r="64240" spans="104:111">
      <c r="CZ64240" s="256"/>
      <c r="DG64240" s="256"/>
    </row>
    <row r="64241" spans="104:111">
      <c r="CZ64241" s="256"/>
      <c r="DG64241" s="256"/>
    </row>
    <row r="64242" spans="104:111">
      <c r="CZ64242" s="256"/>
      <c r="DG64242" s="256"/>
    </row>
    <row r="64243" spans="104:111">
      <c r="CZ64243" s="256"/>
      <c r="DG64243" s="256"/>
    </row>
    <row r="64244" spans="104:111">
      <c r="CZ64244" s="256"/>
      <c r="DG64244" s="256"/>
    </row>
    <row r="64245" spans="104:111">
      <c r="CZ64245" s="256"/>
      <c r="DG64245" s="256"/>
    </row>
    <row r="64246" spans="104:111">
      <c r="CZ64246" s="256"/>
      <c r="DG64246" s="256"/>
    </row>
    <row r="64247" spans="104:111">
      <c r="CZ64247" s="256"/>
      <c r="DG64247" s="256"/>
    </row>
    <row r="64248" spans="104:111">
      <c r="CZ64248" s="256"/>
      <c r="DG64248" s="256"/>
    </row>
    <row r="64249" spans="104:111">
      <c r="CZ64249" s="256"/>
      <c r="DG64249" s="256"/>
    </row>
    <row r="64250" spans="104:111">
      <c r="CZ64250" s="256"/>
      <c r="DG64250" s="256"/>
    </row>
    <row r="64251" spans="104:111">
      <c r="CZ64251" s="256"/>
      <c r="DG64251" s="256"/>
    </row>
    <row r="64252" spans="104:111">
      <c r="CZ64252" s="256"/>
      <c r="DG64252" s="256"/>
    </row>
    <row r="64253" spans="104:111">
      <c r="CZ64253" s="256"/>
      <c r="DG64253" s="256"/>
    </row>
    <row r="64254" spans="104:111">
      <c r="CZ64254" s="256"/>
      <c r="DG64254" s="256"/>
    </row>
    <row r="64255" spans="104:111">
      <c r="CZ64255" s="256"/>
      <c r="DG64255" s="256"/>
    </row>
    <row r="64256" spans="104:111">
      <c r="CZ64256" s="256"/>
      <c r="DG64256" s="256"/>
    </row>
    <row r="64257" spans="104:111">
      <c r="CZ64257" s="256"/>
      <c r="DG64257" s="256"/>
    </row>
    <row r="64258" spans="104:111">
      <c r="CZ64258" s="256"/>
      <c r="DG64258" s="256"/>
    </row>
    <row r="64259" spans="104:111">
      <c r="CZ64259" s="256"/>
      <c r="DG64259" s="256"/>
    </row>
    <row r="64260" spans="104:111">
      <c r="CZ64260" s="256"/>
      <c r="DG64260" s="256"/>
    </row>
    <row r="64261" spans="104:111">
      <c r="CZ64261" s="256"/>
      <c r="DG64261" s="256"/>
    </row>
    <row r="64262" spans="104:111">
      <c r="CZ64262" s="256"/>
      <c r="DG64262" s="256"/>
    </row>
    <row r="64263" spans="104:111">
      <c r="CZ64263" s="256"/>
      <c r="DG64263" s="256"/>
    </row>
    <row r="64264" spans="104:111">
      <c r="CZ64264" s="256"/>
      <c r="DG64264" s="256"/>
    </row>
    <row r="64265" spans="104:111">
      <c r="CZ64265" s="256"/>
      <c r="DG64265" s="256"/>
    </row>
    <row r="64266" spans="104:111">
      <c r="CZ64266" s="256"/>
      <c r="DG64266" s="256"/>
    </row>
    <row r="64267" spans="104:111">
      <c r="CZ64267" s="256"/>
      <c r="DG64267" s="256"/>
    </row>
    <row r="64268" spans="104:111">
      <c r="CZ64268" s="256"/>
      <c r="DG64268" s="256"/>
    </row>
    <row r="64269" spans="104:111">
      <c r="CZ64269" s="256"/>
      <c r="DG64269" s="256"/>
    </row>
    <row r="64270" spans="104:111">
      <c r="CZ64270" s="256"/>
      <c r="DG64270" s="256"/>
    </row>
    <row r="64271" spans="104:111">
      <c r="CZ64271" s="256"/>
      <c r="DG64271" s="256"/>
    </row>
    <row r="64272" spans="104:111">
      <c r="CZ64272" s="256"/>
      <c r="DG64272" s="256"/>
    </row>
    <row r="64273" spans="104:111">
      <c r="CZ64273" s="256"/>
      <c r="DG64273" s="256"/>
    </row>
    <row r="64274" spans="104:111">
      <c r="CZ64274" s="256"/>
      <c r="DG64274" s="256"/>
    </row>
    <row r="64275" spans="104:111">
      <c r="CZ64275" s="256"/>
      <c r="DG64275" s="256"/>
    </row>
    <row r="64276" spans="104:111">
      <c r="CZ64276" s="256"/>
      <c r="DG64276" s="256"/>
    </row>
    <row r="64277" spans="104:111">
      <c r="CZ64277" s="256"/>
      <c r="DG64277" s="256"/>
    </row>
    <row r="64278" spans="104:111">
      <c r="CZ64278" s="256"/>
      <c r="DG64278" s="256"/>
    </row>
    <row r="64279" spans="104:111">
      <c r="CZ64279" s="256"/>
      <c r="DG64279" s="256"/>
    </row>
    <row r="64280" spans="104:111">
      <c r="CZ64280" s="256"/>
      <c r="DG64280" s="256"/>
    </row>
    <row r="64281" spans="104:111">
      <c r="CZ64281" s="256"/>
      <c r="DG64281" s="256"/>
    </row>
    <row r="64282" spans="104:111">
      <c r="CZ64282" s="256"/>
      <c r="DG64282" s="256"/>
    </row>
    <row r="64283" spans="104:111">
      <c r="CZ64283" s="256"/>
      <c r="DG64283" s="256"/>
    </row>
    <row r="64284" spans="104:111">
      <c r="CZ64284" s="256"/>
      <c r="DG64284" s="256"/>
    </row>
    <row r="64285" spans="104:111">
      <c r="CZ64285" s="256"/>
      <c r="DG64285" s="256"/>
    </row>
    <row r="64286" spans="104:111">
      <c r="CZ64286" s="256"/>
      <c r="DG64286" s="256"/>
    </row>
    <row r="64287" spans="104:111">
      <c r="CZ64287" s="256"/>
      <c r="DG64287" s="256"/>
    </row>
    <row r="64288" spans="104:111">
      <c r="CZ64288" s="256"/>
      <c r="DG64288" s="256"/>
    </row>
    <row r="64289" spans="104:111">
      <c r="CZ64289" s="256"/>
      <c r="DG64289" s="256"/>
    </row>
    <row r="64290" spans="104:111">
      <c r="CZ64290" s="256"/>
      <c r="DG64290" s="256"/>
    </row>
    <row r="64291" spans="104:111">
      <c r="CZ64291" s="256"/>
      <c r="DG64291" s="256"/>
    </row>
    <row r="64292" spans="104:111">
      <c r="CZ64292" s="256"/>
      <c r="DG64292" s="256"/>
    </row>
    <row r="64293" spans="104:111">
      <c r="CZ64293" s="256"/>
      <c r="DG64293" s="256"/>
    </row>
    <row r="64294" spans="104:111">
      <c r="CZ64294" s="256"/>
      <c r="DG64294" s="256"/>
    </row>
    <row r="64295" spans="104:111">
      <c r="CZ64295" s="256"/>
      <c r="DG64295" s="256"/>
    </row>
    <row r="64296" spans="104:111">
      <c r="CZ64296" s="256"/>
      <c r="DG64296" s="256"/>
    </row>
    <row r="64297" spans="104:111">
      <c r="CZ64297" s="256"/>
      <c r="DG64297" s="256"/>
    </row>
    <row r="64298" spans="104:111">
      <c r="CZ64298" s="256"/>
      <c r="DG64298" s="256"/>
    </row>
    <row r="64299" spans="104:111">
      <c r="CZ64299" s="256"/>
      <c r="DG64299" s="256"/>
    </row>
    <row r="64300" spans="104:111">
      <c r="CZ64300" s="256"/>
      <c r="DG64300" s="256"/>
    </row>
    <row r="64301" spans="104:111">
      <c r="CZ64301" s="256"/>
      <c r="DG64301" s="256"/>
    </row>
    <row r="64302" spans="104:111">
      <c r="CZ64302" s="256"/>
      <c r="DG64302" s="256"/>
    </row>
    <row r="64303" spans="104:111">
      <c r="CZ64303" s="256"/>
      <c r="DG64303" s="256"/>
    </row>
    <row r="64304" spans="104:111">
      <c r="CZ64304" s="256"/>
      <c r="DG64304" s="256"/>
    </row>
    <row r="64305" spans="104:111">
      <c r="CZ64305" s="256"/>
      <c r="DG64305" s="256"/>
    </row>
    <row r="64306" spans="104:111">
      <c r="CZ64306" s="256"/>
      <c r="DG64306" s="256"/>
    </row>
    <row r="64307" spans="104:111">
      <c r="CZ64307" s="256"/>
      <c r="DG64307" s="256"/>
    </row>
    <row r="64308" spans="104:111">
      <c r="CZ64308" s="256"/>
      <c r="DG64308" s="256"/>
    </row>
    <row r="64309" spans="104:111">
      <c r="CZ64309" s="256"/>
      <c r="DG64309" s="256"/>
    </row>
    <row r="64310" spans="104:111">
      <c r="CZ64310" s="256"/>
      <c r="DG64310" s="256"/>
    </row>
    <row r="64311" spans="104:111">
      <c r="CZ64311" s="256"/>
      <c r="DG64311" s="256"/>
    </row>
    <row r="64312" spans="104:111">
      <c r="CZ64312" s="256"/>
      <c r="DG64312" s="256"/>
    </row>
    <row r="64313" spans="104:111">
      <c r="CZ64313" s="256"/>
      <c r="DG64313" s="256"/>
    </row>
    <row r="64314" spans="104:111">
      <c r="CZ64314" s="256"/>
      <c r="DG64314" s="256"/>
    </row>
    <row r="64315" spans="104:111">
      <c r="CZ64315" s="256"/>
      <c r="DG64315" s="256"/>
    </row>
    <row r="64316" spans="104:111">
      <c r="CZ64316" s="256"/>
      <c r="DG64316" s="256"/>
    </row>
    <row r="64317" spans="104:111">
      <c r="CZ64317" s="256"/>
      <c r="DG64317" s="256"/>
    </row>
    <row r="64318" spans="104:111">
      <c r="CZ64318" s="256"/>
      <c r="DG64318" s="256"/>
    </row>
    <row r="64319" spans="104:111">
      <c r="CZ64319" s="256"/>
      <c r="DG64319" s="256"/>
    </row>
    <row r="64320" spans="104:111">
      <c r="CZ64320" s="256"/>
      <c r="DG64320" s="256"/>
    </row>
    <row r="64321" spans="104:111">
      <c r="CZ64321" s="256"/>
      <c r="DG64321" s="256"/>
    </row>
    <row r="64322" spans="104:111">
      <c r="CZ64322" s="256"/>
      <c r="DG64322" s="256"/>
    </row>
    <row r="64323" spans="104:111">
      <c r="CZ64323" s="256"/>
      <c r="DG64323" s="256"/>
    </row>
    <row r="64324" spans="104:111">
      <c r="CZ64324" s="256"/>
      <c r="DG64324" s="256"/>
    </row>
    <row r="64325" spans="104:111">
      <c r="CZ64325" s="256"/>
      <c r="DG64325" s="256"/>
    </row>
    <row r="64326" spans="104:111">
      <c r="CZ64326" s="256"/>
      <c r="DG64326" s="256"/>
    </row>
    <row r="64327" spans="104:111">
      <c r="CZ64327" s="256"/>
      <c r="DG64327" s="256"/>
    </row>
    <row r="64328" spans="104:111">
      <c r="CZ64328" s="256"/>
      <c r="DG64328" s="256"/>
    </row>
    <row r="64329" spans="104:111">
      <c r="CZ64329" s="256"/>
      <c r="DG64329" s="256"/>
    </row>
    <row r="64330" spans="104:111">
      <c r="CZ64330" s="256"/>
      <c r="DG64330" s="256"/>
    </row>
    <row r="64331" spans="104:111">
      <c r="CZ64331" s="256"/>
      <c r="DG64331" s="256"/>
    </row>
    <row r="64332" spans="104:111">
      <c r="CZ64332" s="256"/>
      <c r="DG64332" s="256"/>
    </row>
    <row r="64333" spans="104:111">
      <c r="CZ64333" s="256"/>
      <c r="DG64333" s="256"/>
    </row>
    <row r="64334" spans="104:111">
      <c r="CZ64334" s="256"/>
      <c r="DG64334" s="256"/>
    </row>
    <row r="64335" spans="104:111">
      <c r="CZ64335" s="256"/>
      <c r="DG64335" s="256"/>
    </row>
    <row r="64336" spans="104:111">
      <c r="CZ64336" s="256"/>
      <c r="DG64336" s="256"/>
    </row>
    <row r="64337" spans="104:111">
      <c r="CZ64337" s="256"/>
      <c r="DG64337" s="256"/>
    </row>
    <row r="64338" spans="104:111">
      <c r="CZ64338" s="256"/>
      <c r="DG64338" s="256"/>
    </row>
    <row r="64339" spans="104:111">
      <c r="CZ64339" s="256"/>
      <c r="DG64339" s="256"/>
    </row>
    <row r="64340" spans="104:111">
      <c r="CZ64340" s="256"/>
      <c r="DG64340" s="256"/>
    </row>
    <row r="64341" spans="104:111">
      <c r="CZ64341" s="256"/>
      <c r="DG64341" s="256"/>
    </row>
    <row r="64342" spans="104:111">
      <c r="CZ64342" s="256"/>
      <c r="DG64342" s="256"/>
    </row>
    <row r="64343" spans="104:111">
      <c r="CZ64343" s="256"/>
      <c r="DG64343" s="256"/>
    </row>
    <row r="64344" spans="104:111">
      <c r="CZ64344" s="256"/>
      <c r="DG64344" s="256"/>
    </row>
    <row r="64345" spans="104:111">
      <c r="CZ64345" s="256"/>
      <c r="DG64345" s="256"/>
    </row>
    <row r="64346" spans="104:111">
      <c r="CZ64346" s="256"/>
      <c r="DG64346" s="256"/>
    </row>
    <row r="64347" spans="104:111">
      <c r="CZ64347" s="256"/>
      <c r="DG64347" s="256"/>
    </row>
    <row r="64348" spans="104:111">
      <c r="CZ64348" s="256"/>
      <c r="DG64348" s="256"/>
    </row>
    <row r="64349" spans="104:111">
      <c r="CZ64349" s="256"/>
      <c r="DG64349" s="256"/>
    </row>
    <row r="64350" spans="104:111">
      <c r="CZ64350" s="256"/>
      <c r="DG64350" s="256"/>
    </row>
    <row r="64351" spans="104:111">
      <c r="CZ64351" s="256"/>
      <c r="DG64351" s="256"/>
    </row>
    <row r="64352" spans="104:111">
      <c r="CZ64352" s="256"/>
      <c r="DG64352" s="256"/>
    </row>
    <row r="64353" spans="104:111">
      <c r="CZ64353" s="256"/>
      <c r="DG64353" s="256"/>
    </row>
    <row r="64354" spans="104:111">
      <c r="CZ64354" s="256"/>
      <c r="DG64354" s="256"/>
    </row>
    <row r="64355" spans="104:111">
      <c r="CZ64355" s="256"/>
      <c r="DG64355" s="256"/>
    </row>
    <row r="64356" spans="104:111">
      <c r="CZ64356" s="256"/>
      <c r="DG64356" s="256"/>
    </row>
    <row r="64357" spans="104:111">
      <c r="CZ64357" s="256"/>
      <c r="DG64357" s="256"/>
    </row>
    <row r="64358" spans="104:111">
      <c r="CZ64358" s="256"/>
      <c r="DG64358" s="256"/>
    </row>
    <row r="64359" spans="104:111">
      <c r="CZ64359" s="256"/>
      <c r="DG64359" s="256"/>
    </row>
    <row r="64360" spans="104:111">
      <c r="CZ64360" s="256"/>
      <c r="DG64360" s="256"/>
    </row>
    <row r="64361" spans="104:111">
      <c r="CZ64361" s="256"/>
      <c r="DG64361" s="256"/>
    </row>
    <row r="64362" spans="104:111">
      <c r="CZ64362" s="256"/>
      <c r="DG64362" s="256"/>
    </row>
    <row r="64363" spans="104:111">
      <c r="CZ64363" s="256"/>
      <c r="DG64363" s="256"/>
    </row>
    <row r="64364" spans="104:111">
      <c r="CZ64364" s="256"/>
      <c r="DG64364" s="256"/>
    </row>
    <row r="64365" spans="104:111">
      <c r="CZ64365" s="256"/>
      <c r="DG64365" s="256"/>
    </row>
    <row r="64366" spans="104:111">
      <c r="CZ64366" s="256"/>
      <c r="DG64366" s="256"/>
    </row>
    <row r="64367" spans="104:111">
      <c r="CZ64367" s="256"/>
      <c r="DG64367" s="256"/>
    </row>
    <row r="64368" spans="104:111">
      <c r="CZ64368" s="256"/>
      <c r="DG64368" s="256"/>
    </row>
    <row r="64369" spans="104:111">
      <c r="CZ64369" s="256"/>
      <c r="DG64369" s="256"/>
    </row>
    <row r="64370" spans="104:111">
      <c r="CZ64370" s="256"/>
      <c r="DG64370" s="256"/>
    </row>
    <row r="64371" spans="104:111">
      <c r="CZ64371" s="256"/>
      <c r="DG64371" s="256"/>
    </row>
    <row r="64372" spans="104:111">
      <c r="CZ64372" s="256"/>
      <c r="DG64372" s="256"/>
    </row>
    <row r="64373" spans="104:111">
      <c r="CZ64373" s="256"/>
      <c r="DG64373" s="256"/>
    </row>
    <row r="64374" spans="104:111">
      <c r="CZ64374" s="256"/>
      <c r="DG64374" s="256"/>
    </row>
    <row r="64375" spans="104:111">
      <c r="CZ64375" s="256"/>
      <c r="DG64375" s="256"/>
    </row>
    <row r="64376" spans="104:111">
      <c r="CZ64376" s="256"/>
      <c r="DG64376" s="256"/>
    </row>
    <row r="64377" spans="104:111">
      <c r="CZ64377" s="256"/>
      <c r="DG64377" s="256"/>
    </row>
    <row r="64378" spans="104:111">
      <c r="CZ64378" s="256"/>
      <c r="DG64378" s="256"/>
    </row>
    <row r="64379" spans="104:111">
      <c r="CZ64379" s="256"/>
      <c r="DG64379" s="256"/>
    </row>
    <row r="64380" spans="104:111">
      <c r="CZ64380" s="256"/>
      <c r="DG64380" s="256"/>
    </row>
    <row r="64381" spans="104:111">
      <c r="CZ64381" s="256"/>
      <c r="DG64381" s="256"/>
    </row>
    <row r="64382" spans="104:111">
      <c r="CZ64382" s="256"/>
      <c r="DG64382" s="256"/>
    </row>
    <row r="64383" spans="104:111">
      <c r="CZ64383" s="256"/>
      <c r="DG64383" s="256"/>
    </row>
    <row r="64384" spans="104:111">
      <c r="CZ64384" s="256"/>
      <c r="DG64384" s="256"/>
    </row>
    <row r="64385" spans="104:111">
      <c r="CZ64385" s="256"/>
      <c r="DG64385" s="256"/>
    </row>
    <row r="64386" spans="104:111">
      <c r="CZ64386" s="256"/>
      <c r="DG64386" s="256"/>
    </row>
    <row r="64387" spans="104:111">
      <c r="CZ64387" s="256"/>
      <c r="DG64387" s="256"/>
    </row>
    <row r="64388" spans="104:111">
      <c r="CZ64388" s="256"/>
      <c r="DG64388" s="256"/>
    </row>
    <row r="64389" spans="104:111">
      <c r="CZ64389" s="256"/>
      <c r="DG64389" s="256"/>
    </row>
    <row r="64390" spans="104:111">
      <c r="CZ64390" s="256"/>
      <c r="DG64390" s="256"/>
    </row>
    <row r="64391" spans="104:111">
      <c r="CZ64391" s="256"/>
      <c r="DG64391" s="256"/>
    </row>
    <row r="64392" spans="104:111">
      <c r="CZ64392" s="256"/>
      <c r="DG64392" s="256"/>
    </row>
    <row r="64393" spans="104:111">
      <c r="CZ64393" s="256"/>
      <c r="DG64393" s="256"/>
    </row>
    <row r="64394" spans="104:111">
      <c r="CZ64394" s="256"/>
      <c r="DG64394" s="256"/>
    </row>
    <row r="64395" spans="104:111">
      <c r="CZ64395" s="256"/>
      <c r="DG64395" s="256"/>
    </row>
    <row r="64396" spans="104:111">
      <c r="CZ64396" s="256"/>
      <c r="DG64396" s="256"/>
    </row>
    <row r="64397" spans="104:111">
      <c r="CZ64397" s="256"/>
      <c r="DG64397" s="256"/>
    </row>
    <row r="64398" spans="104:111">
      <c r="CZ64398" s="256"/>
      <c r="DG64398" s="256"/>
    </row>
    <row r="64399" spans="104:111">
      <c r="CZ64399" s="256"/>
      <c r="DG64399" s="256"/>
    </row>
    <row r="64400" spans="104:111">
      <c r="CZ64400" s="256"/>
      <c r="DG64400" s="256"/>
    </row>
    <row r="64401" spans="104:111">
      <c r="CZ64401" s="256"/>
      <c r="DG64401" s="256"/>
    </row>
    <row r="64402" spans="104:111">
      <c r="CZ64402" s="256"/>
      <c r="DG64402" s="256"/>
    </row>
    <row r="64403" spans="104:111">
      <c r="CZ64403" s="256"/>
      <c r="DG64403" s="256"/>
    </row>
    <row r="64404" spans="104:111">
      <c r="CZ64404" s="256"/>
      <c r="DG64404" s="256"/>
    </row>
    <row r="64405" spans="104:111">
      <c r="CZ64405" s="256"/>
      <c r="DG64405" s="256"/>
    </row>
    <row r="64406" spans="104:111">
      <c r="CZ64406" s="256"/>
      <c r="DG64406" s="256"/>
    </row>
    <row r="64407" spans="104:111">
      <c r="CZ64407" s="256"/>
      <c r="DG64407" s="256"/>
    </row>
    <row r="64408" spans="104:111">
      <c r="CZ64408" s="256"/>
      <c r="DG64408" s="256"/>
    </row>
    <row r="64409" spans="104:111">
      <c r="CZ64409" s="256"/>
      <c r="DG64409" s="256"/>
    </row>
    <row r="64410" spans="104:111">
      <c r="CZ64410" s="256"/>
      <c r="DG64410" s="256"/>
    </row>
    <row r="64411" spans="104:111">
      <c r="CZ64411" s="256"/>
      <c r="DG64411" s="256"/>
    </row>
    <row r="64412" spans="104:111">
      <c r="CZ64412" s="256"/>
      <c r="DG64412" s="256"/>
    </row>
    <row r="64413" spans="104:111">
      <c r="CZ64413" s="256"/>
      <c r="DG64413" s="256"/>
    </row>
    <row r="64414" spans="104:111">
      <c r="CZ64414" s="256"/>
      <c r="DG64414" s="256"/>
    </row>
    <row r="64415" spans="104:111">
      <c r="CZ64415" s="256"/>
      <c r="DG64415" s="256"/>
    </row>
    <row r="64416" spans="104:111">
      <c r="CZ64416" s="256"/>
      <c r="DG64416" s="256"/>
    </row>
    <row r="64417" spans="104:111">
      <c r="CZ64417" s="256"/>
      <c r="DG64417" s="256"/>
    </row>
    <row r="64418" spans="104:111">
      <c r="CZ64418" s="256"/>
      <c r="DG64418" s="256"/>
    </row>
    <row r="64419" spans="104:111">
      <c r="CZ64419" s="256"/>
      <c r="DG64419" s="256"/>
    </row>
    <row r="64420" spans="104:111">
      <c r="CZ64420" s="256"/>
      <c r="DG64420" s="256"/>
    </row>
    <row r="64421" spans="104:111">
      <c r="CZ64421" s="256"/>
      <c r="DG64421" s="256"/>
    </row>
    <row r="64422" spans="104:111">
      <c r="CZ64422" s="256"/>
      <c r="DG64422" s="256"/>
    </row>
    <row r="64423" spans="104:111">
      <c r="CZ64423" s="256"/>
      <c r="DG64423" s="256"/>
    </row>
    <row r="64424" spans="104:111">
      <c r="CZ64424" s="256"/>
      <c r="DG64424" s="256"/>
    </row>
    <row r="64425" spans="104:111">
      <c r="CZ64425" s="256"/>
      <c r="DG64425" s="256"/>
    </row>
    <row r="64426" spans="104:111">
      <c r="CZ64426" s="256"/>
      <c r="DG64426" s="256"/>
    </row>
    <row r="64427" spans="104:111">
      <c r="CZ64427" s="256"/>
      <c r="DG64427" s="256"/>
    </row>
    <row r="64428" spans="104:111">
      <c r="CZ64428" s="256"/>
      <c r="DG64428" s="256"/>
    </row>
    <row r="64429" spans="104:111">
      <c r="CZ64429" s="256"/>
      <c r="DG64429" s="256"/>
    </row>
    <row r="64430" spans="104:111">
      <c r="CZ64430" s="256"/>
      <c r="DG64430" s="256"/>
    </row>
    <row r="64431" spans="104:111">
      <c r="CZ64431" s="256"/>
      <c r="DG64431" s="256"/>
    </row>
    <row r="64432" spans="104:111">
      <c r="CZ64432" s="256"/>
      <c r="DG64432" s="256"/>
    </row>
    <row r="64433" spans="104:111">
      <c r="CZ64433" s="256"/>
      <c r="DG64433" s="256"/>
    </row>
    <row r="64434" spans="104:111">
      <c r="CZ64434" s="256"/>
      <c r="DG64434" s="256"/>
    </row>
    <row r="64435" spans="104:111">
      <c r="CZ64435" s="256"/>
      <c r="DG64435" s="256"/>
    </row>
    <row r="64436" spans="104:111">
      <c r="CZ64436" s="256"/>
      <c r="DG64436" s="256"/>
    </row>
    <row r="64437" spans="104:111">
      <c r="CZ64437" s="256"/>
      <c r="DG64437" s="256"/>
    </row>
    <row r="64438" spans="104:111">
      <c r="CZ64438" s="256"/>
      <c r="DG64438" s="256"/>
    </row>
    <row r="64439" spans="104:111">
      <c r="CZ64439" s="256"/>
      <c r="DG64439" s="256"/>
    </row>
    <row r="64440" spans="104:111">
      <c r="CZ64440" s="256"/>
      <c r="DG64440" s="256"/>
    </row>
    <row r="64441" spans="104:111">
      <c r="CZ64441" s="256"/>
      <c r="DG64441" s="256"/>
    </row>
    <row r="64442" spans="104:111">
      <c r="CZ64442" s="256"/>
      <c r="DG64442" s="256"/>
    </row>
    <row r="64443" spans="104:111">
      <c r="CZ64443" s="256"/>
      <c r="DG64443" s="256"/>
    </row>
    <row r="64444" spans="104:111">
      <c r="CZ64444" s="256"/>
      <c r="DG64444" s="256"/>
    </row>
    <row r="64445" spans="104:111">
      <c r="CZ64445" s="256"/>
      <c r="DG64445" s="256"/>
    </row>
    <row r="64446" spans="104:111">
      <c r="CZ64446" s="256"/>
      <c r="DG64446" s="256"/>
    </row>
    <row r="64447" spans="104:111">
      <c r="CZ64447" s="256"/>
      <c r="DG64447" s="256"/>
    </row>
    <row r="64448" spans="104:111">
      <c r="CZ64448" s="256"/>
      <c r="DG64448" s="256"/>
    </row>
    <row r="64449" spans="104:111">
      <c r="CZ64449" s="256"/>
      <c r="DG64449" s="256"/>
    </row>
    <row r="64450" spans="104:111">
      <c r="CZ64450" s="256"/>
      <c r="DG64450" s="256"/>
    </row>
    <row r="64451" spans="104:111">
      <c r="CZ64451" s="256"/>
      <c r="DG64451" s="256"/>
    </row>
    <row r="64452" spans="104:111">
      <c r="CZ64452" s="256"/>
      <c r="DG64452" s="256"/>
    </row>
    <row r="64453" spans="104:111">
      <c r="CZ64453" s="256"/>
      <c r="DG64453" s="256"/>
    </row>
    <row r="64454" spans="104:111">
      <c r="CZ64454" s="256"/>
      <c r="DG64454" s="256"/>
    </row>
    <row r="64455" spans="104:111">
      <c r="CZ64455" s="256"/>
      <c r="DG64455" s="256"/>
    </row>
    <row r="64456" spans="104:111">
      <c r="CZ64456" s="256"/>
      <c r="DG64456" s="256"/>
    </row>
    <row r="64457" spans="104:111">
      <c r="CZ64457" s="256"/>
      <c r="DG64457" s="256"/>
    </row>
    <row r="64458" spans="104:111">
      <c r="CZ64458" s="256"/>
      <c r="DG64458" s="256"/>
    </row>
    <row r="64459" spans="104:111">
      <c r="CZ64459" s="256"/>
      <c r="DG64459" s="256"/>
    </row>
    <row r="64460" spans="104:111">
      <c r="CZ64460" s="256"/>
      <c r="DG64460" s="256"/>
    </row>
    <row r="64461" spans="104:111">
      <c r="CZ64461" s="256"/>
      <c r="DG64461" s="256"/>
    </row>
    <row r="64462" spans="104:111">
      <c r="CZ64462" s="256"/>
      <c r="DG64462" s="256"/>
    </row>
    <row r="64463" spans="104:111">
      <c r="CZ64463" s="256"/>
      <c r="DG64463" s="256"/>
    </row>
    <row r="64464" spans="104:111">
      <c r="CZ64464" s="256"/>
      <c r="DG64464" s="256"/>
    </row>
    <row r="64465" spans="104:111">
      <c r="CZ64465" s="256"/>
      <c r="DG64465" s="256"/>
    </row>
    <row r="64466" spans="104:111">
      <c r="CZ64466" s="256"/>
      <c r="DG64466" s="256"/>
    </row>
    <row r="64467" spans="104:111">
      <c r="CZ64467" s="256"/>
      <c r="DG64467" s="256"/>
    </row>
    <row r="64468" spans="104:111">
      <c r="CZ64468" s="256"/>
      <c r="DG64468" s="256"/>
    </row>
    <row r="64469" spans="104:111">
      <c r="CZ64469" s="256"/>
      <c r="DG64469" s="256"/>
    </row>
    <row r="64470" spans="104:111">
      <c r="CZ64470" s="256"/>
      <c r="DG64470" s="256"/>
    </row>
    <row r="64471" spans="104:111">
      <c r="CZ64471" s="256"/>
      <c r="DG64471" s="256"/>
    </row>
    <row r="64472" spans="104:111">
      <c r="CZ64472" s="256"/>
      <c r="DG64472" s="256"/>
    </row>
    <row r="64473" spans="104:111">
      <c r="CZ64473" s="256"/>
      <c r="DG64473" s="256"/>
    </row>
    <row r="64474" spans="104:111">
      <c r="CZ64474" s="256"/>
      <c r="DG64474" s="256"/>
    </row>
    <row r="64475" spans="104:111">
      <c r="CZ64475" s="256"/>
      <c r="DG64475" s="256"/>
    </row>
    <row r="64476" spans="104:111">
      <c r="CZ64476" s="256"/>
      <c r="DG64476" s="256"/>
    </row>
    <row r="64477" spans="104:111">
      <c r="CZ64477" s="256"/>
      <c r="DG64477" s="256"/>
    </row>
    <row r="64478" spans="104:111">
      <c r="CZ64478" s="256"/>
      <c r="DG64478" s="256"/>
    </row>
    <row r="64479" spans="104:111">
      <c r="CZ64479" s="256"/>
      <c r="DG64479" s="256"/>
    </row>
    <row r="64480" spans="104:111">
      <c r="CZ64480" s="256"/>
      <c r="DG64480" s="256"/>
    </row>
    <row r="64481" spans="104:111">
      <c r="CZ64481" s="256"/>
      <c r="DG64481" s="256"/>
    </row>
    <row r="64482" spans="104:111">
      <c r="CZ64482" s="256"/>
      <c r="DG64482" s="256"/>
    </row>
    <row r="64483" spans="104:111">
      <c r="CZ64483" s="256"/>
      <c r="DG64483" s="256"/>
    </row>
    <row r="64484" spans="104:111">
      <c r="CZ64484" s="256"/>
      <c r="DG64484" s="256"/>
    </row>
    <row r="64485" spans="104:111">
      <c r="CZ64485" s="256"/>
      <c r="DG64485" s="256"/>
    </row>
    <row r="64486" spans="104:111">
      <c r="CZ64486" s="256"/>
      <c r="DG64486" s="256"/>
    </row>
    <row r="64487" spans="104:111">
      <c r="CZ64487" s="256"/>
      <c r="DG64487" s="256"/>
    </row>
    <row r="64488" spans="104:111">
      <c r="CZ64488" s="256"/>
      <c r="DG64488" s="256"/>
    </row>
    <row r="64489" spans="104:111">
      <c r="CZ64489" s="256"/>
      <c r="DG64489" s="256"/>
    </row>
    <row r="64490" spans="104:111">
      <c r="CZ64490" s="256"/>
      <c r="DG64490" s="256"/>
    </row>
    <row r="64491" spans="104:111">
      <c r="CZ64491" s="256"/>
      <c r="DG64491" s="256"/>
    </row>
    <row r="64492" spans="104:111">
      <c r="CZ64492" s="256"/>
      <c r="DG64492" s="256"/>
    </row>
    <row r="64493" spans="104:111">
      <c r="CZ64493" s="256"/>
      <c r="DG64493" s="256"/>
    </row>
    <row r="64494" spans="104:111">
      <c r="CZ64494" s="256"/>
      <c r="DG64494" s="256"/>
    </row>
    <row r="64495" spans="104:111">
      <c r="CZ64495" s="256"/>
      <c r="DG64495" s="256"/>
    </row>
    <row r="64496" spans="104:111">
      <c r="CZ64496" s="256"/>
      <c r="DG64496" s="256"/>
    </row>
    <row r="64497" spans="104:111">
      <c r="CZ64497" s="256"/>
      <c r="DG64497" s="256"/>
    </row>
    <row r="64498" spans="104:111">
      <c r="CZ64498" s="256"/>
      <c r="DG64498" s="256"/>
    </row>
    <row r="64499" spans="104:111">
      <c r="CZ64499" s="256"/>
      <c r="DG64499" s="256"/>
    </row>
    <row r="64500" spans="104:111">
      <c r="CZ64500" s="256"/>
      <c r="DG64500" s="256"/>
    </row>
    <row r="64501" spans="104:111">
      <c r="CZ64501" s="256"/>
      <c r="DG64501" s="256"/>
    </row>
    <row r="64502" spans="104:111">
      <c r="CZ64502" s="256"/>
      <c r="DG64502" s="256"/>
    </row>
    <row r="64503" spans="104:111">
      <c r="CZ64503" s="256"/>
      <c r="DG64503" s="256"/>
    </row>
    <row r="64504" spans="104:111">
      <c r="CZ64504" s="256"/>
      <c r="DG64504" s="256"/>
    </row>
    <row r="64505" spans="104:111">
      <c r="CZ64505" s="256"/>
      <c r="DG64505" s="256"/>
    </row>
    <row r="64506" spans="104:111">
      <c r="CZ64506" s="256"/>
      <c r="DG64506" s="256"/>
    </row>
    <row r="64507" spans="104:111">
      <c r="CZ64507" s="256"/>
      <c r="DG64507" s="256"/>
    </row>
    <row r="64508" spans="104:111">
      <c r="CZ64508" s="256"/>
      <c r="DG64508" s="256"/>
    </row>
    <row r="64509" spans="104:111">
      <c r="CZ64509" s="256"/>
      <c r="DG64509" s="256"/>
    </row>
    <row r="64510" spans="104:111">
      <c r="CZ64510" s="256"/>
      <c r="DG64510" s="256"/>
    </row>
    <row r="64511" spans="104:111">
      <c r="CZ64511" s="256"/>
      <c r="DG64511" s="256"/>
    </row>
    <row r="64512" spans="104:111">
      <c r="CZ64512" s="256"/>
      <c r="DG64512" s="256"/>
    </row>
    <row r="64513" spans="104:111">
      <c r="CZ64513" s="256"/>
      <c r="DG64513" s="256"/>
    </row>
    <row r="64514" spans="104:111">
      <c r="CZ64514" s="256"/>
      <c r="DG64514" s="256"/>
    </row>
    <row r="64515" spans="104:111">
      <c r="CZ64515" s="256"/>
      <c r="DG64515" s="256"/>
    </row>
    <row r="64516" spans="104:111">
      <c r="CZ64516" s="256"/>
      <c r="DG64516" s="256"/>
    </row>
    <row r="64517" spans="104:111">
      <c r="CZ64517" s="256"/>
      <c r="DG64517" s="256"/>
    </row>
    <row r="64518" spans="104:111">
      <c r="CZ64518" s="256"/>
      <c r="DG64518" s="256"/>
    </row>
    <row r="64519" spans="104:111">
      <c r="CZ64519" s="256"/>
      <c r="DG64519" s="256"/>
    </row>
    <row r="64520" spans="104:111">
      <c r="CZ64520" s="256"/>
      <c r="DG64520" s="256"/>
    </row>
    <row r="64521" spans="104:111">
      <c r="CZ64521" s="256"/>
      <c r="DG64521" s="256"/>
    </row>
    <row r="64522" spans="104:111">
      <c r="CZ64522" s="256"/>
      <c r="DG64522" s="256"/>
    </row>
    <row r="64523" spans="104:111">
      <c r="CZ64523" s="256"/>
      <c r="DG64523" s="256"/>
    </row>
    <row r="64524" spans="104:111">
      <c r="CZ64524" s="256"/>
      <c r="DG64524" s="256"/>
    </row>
    <row r="64525" spans="104:111">
      <c r="CZ64525" s="256"/>
      <c r="DG64525" s="256"/>
    </row>
    <row r="64526" spans="104:111">
      <c r="CZ64526" s="256"/>
      <c r="DG64526" s="256"/>
    </row>
    <row r="64527" spans="104:111">
      <c r="CZ64527" s="256"/>
      <c r="DG64527" s="256"/>
    </row>
    <row r="64528" spans="104:111">
      <c r="CZ64528" s="256"/>
      <c r="DG64528" s="256"/>
    </row>
    <row r="64529" spans="104:111">
      <c r="CZ64529" s="256"/>
      <c r="DG64529" s="256"/>
    </row>
    <row r="64530" spans="104:111">
      <c r="CZ64530" s="256"/>
      <c r="DG64530" s="256"/>
    </row>
    <row r="64531" spans="104:111">
      <c r="CZ64531" s="256"/>
      <c r="DG64531" s="256"/>
    </row>
    <row r="64532" spans="104:111">
      <c r="CZ64532" s="256"/>
      <c r="DG64532" s="256"/>
    </row>
    <row r="64533" spans="104:111">
      <c r="CZ64533" s="256"/>
      <c r="DG64533" s="256"/>
    </row>
    <row r="64534" spans="104:111">
      <c r="CZ64534" s="256"/>
      <c r="DG64534" s="256"/>
    </row>
    <row r="64535" spans="104:111">
      <c r="CZ64535" s="256"/>
      <c r="DG64535" s="256"/>
    </row>
    <row r="64536" spans="104:111">
      <c r="CZ64536" s="256"/>
      <c r="DG64536" s="256"/>
    </row>
    <row r="64537" spans="104:111">
      <c r="CZ64537" s="256"/>
      <c r="DG64537" s="256"/>
    </row>
    <row r="64538" spans="104:111">
      <c r="CZ64538" s="256"/>
      <c r="DG64538" s="256"/>
    </row>
    <row r="64539" spans="104:111">
      <c r="CZ64539" s="256"/>
      <c r="DG64539" s="256"/>
    </row>
    <row r="64540" spans="104:111">
      <c r="CZ64540" s="256"/>
      <c r="DG64540" s="256"/>
    </row>
    <row r="64541" spans="104:111">
      <c r="CZ64541" s="256"/>
      <c r="DG64541" s="256"/>
    </row>
    <row r="64542" spans="104:111">
      <c r="CZ64542" s="256"/>
      <c r="DG64542" s="256"/>
    </row>
    <row r="64543" spans="104:111">
      <c r="CZ64543" s="256"/>
      <c r="DG64543" s="256"/>
    </row>
    <row r="64544" spans="104:111">
      <c r="CZ64544" s="256"/>
      <c r="DG64544" s="256"/>
    </row>
    <row r="64545" spans="104:111">
      <c r="CZ64545" s="256"/>
      <c r="DG64545" s="256"/>
    </row>
    <row r="64546" spans="104:111">
      <c r="CZ64546" s="256"/>
      <c r="DG64546" s="256"/>
    </row>
    <row r="64547" spans="104:111">
      <c r="CZ64547" s="256"/>
      <c r="DG64547" s="256"/>
    </row>
    <row r="64548" spans="104:111">
      <c r="CZ64548" s="256"/>
      <c r="DG64548" s="256"/>
    </row>
    <row r="64549" spans="104:111">
      <c r="CZ64549" s="256"/>
      <c r="DG64549" s="256"/>
    </row>
    <row r="64550" spans="104:111">
      <c r="CZ64550" s="256"/>
      <c r="DG64550" s="256"/>
    </row>
    <row r="64551" spans="104:111">
      <c r="CZ64551" s="256"/>
      <c r="DG64551" s="256"/>
    </row>
    <row r="64552" spans="104:111">
      <c r="CZ64552" s="256"/>
      <c r="DG64552" s="256"/>
    </row>
    <row r="64553" spans="104:111">
      <c r="CZ64553" s="256"/>
      <c r="DG64553" s="256"/>
    </row>
    <row r="64554" spans="104:111">
      <c r="CZ64554" s="256"/>
      <c r="DG64554" s="256"/>
    </row>
    <row r="64555" spans="104:111">
      <c r="CZ64555" s="256"/>
      <c r="DG64555" s="256"/>
    </row>
    <row r="64556" spans="104:111">
      <c r="CZ64556" s="256"/>
      <c r="DG64556" s="256"/>
    </row>
    <row r="64557" spans="104:111">
      <c r="CZ64557" s="256"/>
      <c r="DG64557" s="256"/>
    </row>
    <row r="64558" spans="104:111">
      <c r="CZ64558" s="256"/>
      <c r="DG64558" s="256"/>
    </row>
    <row r="64559" spans="104:111">
      <c r="CZ64559" s="256"/>
      <c r="DG64559" s="256"/>
    </row>
    <row r="64560" spans="104:111">
      <c r="CZ64560" s="256"/>
      <c r="DG64560" s="256"/>
    </row>
    <row r="64561" spans="104:111">
      <c r="CZ64561" s="256"/>
      <c r="DG64561" s="256"/>
    </row>
    <row r="64562" spans="104:111">
      <c r="CZ64562" s="256"/>
      <c r="DG64562" s="256"/>
    </row>
    <row r="64563" spans="104:111">
      <c r="CZ64563" s="256"/>
      <c r="DG64563" s="256"/>
    </row>
    <row r="64564" spans="104:111">
      <c r="CZ64564" s="256"/>
      <c r="DG64564" s="256"/>
    </row>
    <row r="64565" spans="104:111">
      <c r="CZ64565" s="256"/>
      <c r="DG64565" s="256"/>
    </row>
    <row r="64566" spans="104:111">
      <c r="CZ64566" s="256"/>
      <c r="DG64566" s="256"/>
    </row>
    <row r="64567" spans="104:111">
      <c r="CZ64567" s="256"/>
      <c r="DG64567" s="256"/>
    </row>
    <row r="64568" spans="104:111">
      <c r="CZ64568" s="256"/>
      <c r="DG64568" s="256"/>
    </row>
    <row r="64569" spans="104:111">
      <c r="CZ64569" s="256"/>
      <c r="DG64569" s="256"/>
    </row>
    <row r="64570" spans="104:111">
      <c r="CZ64570" s="256"/>
      <c r="DG64570" s="256"/>
    </row>
    <row r="64571" spans="104:111">
      <c r="CZ64571" s="256"/>
      <c r="DG64571" s="256"/>
    </row>
    <row r="64572" spans="104:111">
      <c r="CZ64572" s="256"/>
      <c r="DG64572" s="256"/>
    </row>
    <row r="64573" spans="104:111">
      <c r="CZ64573" s="256"/>
      <c r="DG64573" s="256"/>
    </row>
    <row r="64574" spans="104:111">
      <c r="CZ64574" s="256"/>
      <c r="DG64574" s="256"/>
    </row>
    <row r="64575" spans="104:111">
      <c r="CZ64575" s="256"/>
      <c r="DG64575" s="256"/>
    </row>
    <row r="64576" spans="104:111">
      <c r="CZ64576" s="256"/>
      <c r="DG64576" s="256"/>
    </row>
    <row r="64577" spans="104:111">
      <c r="CZ64577" s="256"/>
      <c r="DG64577" s="256"/>
    </row>
    <row r="64578" spans="104:111">
      <c r="CZ64578" s="256"/>
      <c r="DG64578" s="256"/>
    </row>
    <row r="64579" spans="104:111">
      <c r="CZ64579" s="256"/>
      <c r="DG64579" s="256"/>
    </row>
    <row r="64580" spans="104:111">
      <c r="CZ64580" s="256"/>
      <c r="DG64580" s="256"/>
    </row>
    <row r="64581" spans="104:111">
      <c r="CZ64581" s="256"/>
      <c r="DG64581" s="256"/>
    </row>
    <row r="64582" spans="104:111">
      <c r="CZ64582" s="256"/>
      <c r="DG64582" s="256"/>
    </row>
    <row r="64583" spans="104:111">
      <c r="CZ64583" s="256"/>
      <c r="DG64583" s="256"/>
    </row>
    <row r="64584" spans="104:111">
      <c r="CZ64584" s="256"/>
      <c r="DG64584" s="256"/>
    </row>
    <row r="64585" spans="104:111">
      <c r="CZ64585" s="256"/>
      <c r="DG64585" s="256"/>
    </row>
    <row r="64586" spans="104:111">
      <c r="CZ64586" s="256"/>
      <c r="DG64586" s="256"/>
    </row>
    <row r="64587" spans="104:111">
      <c r="CZ64587" s="256"/>
      <c r="DG64587" s="256"/>
    </row>
    <row r="64588" spans="104:111">
      <c r="CZ64588" s="256"/>
      <c r="DG64588" s="256"/>
    </row>
    <row r="64589" spans="104:111">
      <c r="CZ64589" s="256"/>
      <c r="DG64589" s="256"/>
    </row>
    <row r="64590" spans="104:111">
      <c r="CZ64590" s="256"/>
      <c r="DG64590" s="256"/>
    </row>
    <row r="64591" spans="104:111">
      <c r="CZ64591" s="256"/>
      <c r="DG64591" s="256"/>
    </row>
    <row r="64592" spans="104:111">
      <c r="CZ64592" s="256"/>
      <c r="DG64592" s="256"/>
    </row>
    <row r="64593" spans="104:111">
      <c r="CZ64593" s="256"/>
      <c r="DG64593" s="256"/>
    </row>
    <row r="64594" spans="104:111">
      <c r="CZ64594" s="256"/>
      <c r="DG64594" s="256"/>
    </row>
    <row r="64595" spans="104:111">
      <c r="CZ64595" s="256"/>
      <c r="DG64595" s="256"/>
    </row>
    <row r="64596" spans="104:111">
      <c r="CZ64596" s="256"/>
      <c r="DG64596" s="256"/>
    </row>
    <row r="64597" spans="104:111">
      <c r="CZ64597" s="256"/>
      <c r="DG64597" s="256"/>
    </row>
    <row r="64598" spans="104:111">
      <c r="CZ64598" s="256"/>
      <c r="DG64598" s="256"/>
    </row>
    <row r="64599" spans="104:111">
      <c r="CZ64599" s="256"/>
      <c r="DG64599" s="256"/>
    </row>
    <row r="64600" spans="104:111">
      <c r="CZ64600" s="256"/>
      <c r="DG64600" s="256"/>
    </row>
    <row r="64601" spans="104:111">
      <c r="CZ64601" s="256"/>
      <c r="DG64601" s="256"/>
    </row>
    <row r="64602" spans="104:111">
      <c r="CZ64602" s="256"/>
      <c r="DG64602" s="256"/>
    </row>
    <row r="64603" spans="104:111">
      <c r="CZ64603" s="256"/>
      <c r="DG64603" s="256"/>
    </row>
    <row r="64604" spans="104:111">
      <c r="CZ64604" s="256"/>
      <c r="DG64604" s="256"/>
    </row>
    <row r="64605" spans="104:111">
      <c r="CZ64605" s="256"/>
      <c r="DG64605" s="256"/>
    </row>
    <row r="64606" spans="104:111">
      <c r="CZ64606" s="256"/>
      <c r="DG64606" s="256"/>
    </row>
    <row r="64607" spans="104:111">
      <c r="CZ64607" s="256"/>
      <c r="DG64607" s="256"/>
    </row>
    <row r="64608" spans="104:111">
      <c r="CZ64608" s="256"/>
      <c r="DG64608" s="256"/>
    </row>
    <row r="64609" spans="104:111">
      <c r="CZ64609" s="256"/>
      <c r="DG64609" s="256"/>
    </row>
    <row r="64610" spans="104:111">
      <c r="CZ64610" s="256"/>
      <c r="DG64610" s="256"/>
    </row>
    <row r="64611" spans="104:111">
      <c r="CZ64611" s="256"/>
      <c r="DG64611" s="256"/>
    </row>
    <row r="64612" spans="104:111">
      <c r="CZ64612" s="256"/>
      <c r="DG64612" s="256"/>
    </row>
    <row r="64613" spans="104:111">
      <c r="CZ64613" s="256"/>
      <c r="DG64613" s="256"/>
    </row>
    <row r="64614" spans="104:111">
      <c r="CZ64614" s="256"/>
      <c r="DG64614" s="256"/>
    </row>
    <row r="64615" spans="104:111">
      <c r="CZ64615" s="256"/>
      <c r="DG64615" s="256"/>
    </row>
    <row r="64616" spans="104:111">
      <c r="CZ64616" s="256"/>
      <c r="DG64616" s="256"/>
    </row>
    <row r="64617" spans="104:111">
      <c r="CZ64617" s="256"/>
      <c r="DG64617" s="256"/>
    </row>
    <row r="64618" spans="104:111">
      <c r="CZ64618" s="256"/>
      <c r="DG64618" s="256"/>
    </row>
    <row r="64619" spans="104:111">
      <c r="CZ64619" s="256"/>
      <c r="DG64619" s="256"/>
    </row>
    <row r="64620" spans="104:111">
      <c r="CZ64620" s="256"/>
      <c r="DG64620" s="256"/>
    </row>
    <row r="64621" spans="104:111">
      <c r="CZ64621" s="256"/>
      <c r="DG64621" s="256"/>
    </row>
    <row r="64622" spans="104:111">
      <c r="CZ64622" s="256"/>
      <c r="DG64622" s="256"/>
    </row>
    <row r="64623" spans="104:111">
      <c r="CZ64623" s="256"/>
      <c r="DG64623" s="256"/>
    </row>
    <row r="64624" spans="104:111">
      <c r="CZ64624" s="256"/>
      <c r="DG64624" s="256"/>
    </row>
    <row r="64625" spans="104:111">
      <c r="CZ64625" s="256"/>
      <c r="DG64625" s="256"/>
    </row>
    <row r="64626" spans="104:111">
      <c r="CZ64626" s="256"/>
      <c r="DG64626" s="256"/>
    </row>
    <row r="64627" spans="104:111">
      <c r="CZ64627" s="256"/>
      <c r="DG64627" s="256"/>
    </row>
    <row r="64628" spans="104:111">
      <c r="CZ64628" s="256"/>
      <c r="DG64628" s="256"/>
    </row>
    <row r="64629" spans="104:111">
      <c r="CZ64629" s="256"/>
      <c r="DG64629" s="256"/>
    </row>
    <row r="64630" spans="104:111">
      <c r="CZ64630" s="256"/>
      <c r="DG64630" s="256"/>
    </row>
    <row r="64631" spans="104:111">
      <c r="CZ64631" s="256"/>
      <c r="DG64631" s="256"/>
    </row>
    <row r="64632" spans="104:111">
      <c r="CZ64632" s="256"/>
      <c r="DG64632" s="256"/>
    </row>
    <row r="64633" spans="104:111">
      <c r="CZ64633" s="256"/>
      <c r="DG64633" s="256"/>
    </row>
    <row r="64634" spans="104:111">
      <c r="CZ64634" s="256"/>
      <c r="DG64634" s="256"/>
    </row>
    <row r="64635" spans="104:111">
      <c r="CZ64635" s="256"/>
      <c r="DG64635" s="256"/>
    </row>
    <row r="64636" spans="104:111">
      <c r="CZ64636" s="256"/>
      <c r="DG64636" s="256"/>
    </row>
    <row r="64637" spans="104:111">
      <c r="CZ64637" s="256"/>
      <c r="DG64637" s="256"/>
    </row>
    <row r="64638" spans="104:111">
      <c r="CZ64638" s="256"/>
      <c r="DG64638" s="256"/>
    </row>
    <row r="64639" spans="104:111">
      <c r="CZ64639" s="256"/>
      <c r="DG64639" s="256"/>
    </row>
    <row r="64640" spans="104:111">
      <c r="CZ64640" s="256"/>
      <c r="DG64640" s="256"/>
    </row>
    <row r="64641" spans="104:111">
      <c r="CZ64641" s="256"/>
      <c r="DG64641" s="256"/>
    </row>
    <row r="64642" spans="104:111">
      <c r="CZ64642" s="256"/>
      <c r="DG64642" s="256"/>
    </row>
    <row r="64643" spans="104:111">
      <c r="CZ64643" s="256"/>
      <c r="DG64643" s="256"/>
    </row>
    <row r="64644" spans="104:111">
      <c r="CZ64644" s="256"/>
      <c r="DG64644" s="256"/>
    </row>
    <row r="64645" spans="104:111">
      <c r="CZ64645" s="256"/>
      <c r="DG64645" s="256"/>
    </row>
    <row r="64646" spans="104:111">
      <c r="CZ64646" s="256"/>
      <c r="DG64646" s="256"/>
    </row>
    <row r="64647" spans="104:111">
      <c r="CZ64647" s="256"/>
      <c r="DG64647" s="256"/>
    </row>
    <row r="64648" spans="104:111">
      <c r="CZ64648" s="256"/>
      <c r="DG64648" s="256"/>
    </row>
    <row r="64649" spans="104:111">
      <c r="CZ64649" s="256"/>
      <c r="DG64649" s="256"/>
    </row>
    <row r="64650" spans="104:111">
      <c r="CZ64650" s="256"/>
      <c r="DG64650" s="256"/>
    </row>
    <row r="64651" spans="104:111">
      <c r="CZ64651" s="256"/>
      <c r="DG64651" s="256"/>
    </row>
    <row r="64652" spans="104:111">
      <c r="CZ64652" s="256"/>
      <c r="DG64652" s="256"/>
    </row>
    <row r="64653" spans="104:111">
      <c r="CZ64653" s="256"/>
      <c r="DG64653" s="256"/>
    </row>
    <row r="64654" spans="104:111">
      <c r="CZ64654" s="256"/>
      <c r="DG64654" s="256"/>
    </row>
    <row r="64655" spans="104:111">
      <c r="CZ64655" s="256"/>
      <c r="DG64655" s="256"/>
    </row>
    <row r="64656" spans="104:111">
      <c r="CZ64656" s="256"/>
      <c r="DG64656" s="256"/>
    </row>
    <row r="64657" spans="104:111">
      <c r="CZ64657" s="256"/>
      <c r="DG64657" s="256"/>
    </row>
    <row r="64658" spans="104:111">
      <c r="CZ64658" s="256"/>
      <c r="DG64658" s="256"/>
    </row>
    <row r="64659" spans="104:111">
      <c r="CZ64659" s="256"/>
      <c r="DG64659" s="256"/>
    </row>
    <row r="64660" spans="104:111">
      <c r="CZ64660" s="256"/>
      <c r="DG64660" s="256"/>
    </row>
    <row r="64661" spans="104:111">
      <c r="CZ64661" s="256"/>
      <c r="DG64661" s="256"/>
    </row>
    <row r="64662" spans="104:111">
      <c r="CZ64662" s="256"/>
      <c r="DG64662" s="256"/>
    </row>
    <row r="64663" spans="104:111">
      <c r="CZ64663" s="256"/>
      <c r="DG64663" s="256"/>
    </row>
    <row r="64664" spans="104:111">
      <c r="CZ64664" s="256"/>
      <c r="DG64664" s="256"/>
    </row>
    <row r="64665" spans="104:111">
      <c r="CZ64665" s="256"/>
      <c r="DG64665" s="256"/>
    </row>
    <row r="64666" spans="104:111">
      <c r="CZ64666" s="256"/>
      <c r="DG64666" s="256"/>
    </row>
    <row r="64667" spans="104:111">
      <c r="CZ64667" s="256"/>
      <c r="DG64667" s="256"/>
    </row>
    <row r="64668" spans="104:111">
      <c r="CZ64668" s="256"/>
      <c r="DG64668" s="256"/>
    </row>
    <row r="64669" spans="104:111">
      <c r="CZ64669" s="256"/>
      <c r="DG64669" s="256"/>
    </row>
    <row r="64670" spans="104:111">
      <c r="CZ64670" s="256"/>
      <c r="DG64670" s="256"/>
    </row>
    <row r="64671" spans="104:111">
      <c r="CZ64671" s="256"/>
      <c r="DG64671" s="256"/>
    </row>
    <row r="64672" spans="104:111">
      <c r="CZ64672" s="256"/>
      <c r="DG64672" s="256"/>
    </row>
    <row r="64673" spans="104:111">
      <c r="CZ64673" s="256"/>
      <c r="DG64673" s="256"/>
    </row>
    <row r="64674" spans="104:111">
      <c r="CZ64674" s="256"/>
      <c r="DG64674" s="256"/>
    </row>
    <row r="64675" spans="104:111">
      <c r="CZ64675" s="256"/>
      <c r="DG64675" s="256"/>
    </row>
    <row r="64676" spans="104:111">
      <c r="CZ64676" s="256"/>
      <c r="DG64676" s="256"/>
    </row>
    <row r="64677" spans="104:111">
      <c r="CZ64677" s="256"/>
      <c r="DG64677" s="256"/>
    </row>
    <row r="64678" spans="104:111">
      <c r="CZ64678" s="256"/>
      <c r="DG64678" s="256"/>
    </row>
    <row r="64679" spans="104:111">
      <c r="CZ64679" s="256"/>
      <c r="DG64679" s="256"/>
    </row>
    <row r="64680" spans="104:111">
      <c r="CZ64680" s="256"/>
      <c r="DG64680" s="256"/>
    </row>
    <row r="64681" spans="104:111">
      <c r="CZ64681" s="256"/>
      <c r="DG64681" s="256"/>
    </row>
    <row r="64682" spans="104:111">
      <c r="CZ64682" s="256"/>
      <c r="DG64682" s="256"/>
    </row>
    <row r="64683" spans="104:111">
      <c r="CZ64683" s="256"/>
      <c r="DG64683" s="256"/>
    </row>
    <row r="64684" spans="104:111">
      <c r="CZ64684" s="256"/>
      <c r="DG64684" s="256"/>
    </row>
    <row r="64685" spans="104:111">
      <c r="CZ64685" s="256"/>
      <c r="DG64685" s="256"/>
    </row>
    <row r="64686" spans="104:111">
      <c r="CZ64686" s="256"/>
      <c r="DG64686" s="256"/>
    </row>
    <row r="64687" spans="104:111">
      <c r="CZ64687" s="256"/>
      <c r="DG64687" s="256"/>
    </row>
    <row r="64688" spans="104:111">
      <c r="CZ64688" s="256"/>
      <c r="DG64688" s="256"/>
    </row>
    <row r="64689" spans="104:111">
      <c r="CZ64689" s="256"/>
      <c r="DG64689" s="256"/>
    </row>
    <row r="64690" spans="104:111">
      <c r="CZ64690" s="256"/>
      <c r="DG64690" s="256"/>
    </row>
    <row r="64691" spans="104:111">
      <c r="CZ64691" s="256"/>
      <c r="DG64691" s="256"/>
    </row>
    <row r="64692" spans="104:111">
      <c r="CZ64692" s="256"/>
      <c r="DG64692" s="256"/>
    </row>
    <row r="64693" spans="104:111">
      <c r="CZ64693" s="256"/>
      <c r="DG64693" s="256"/>
    </row>
    <row r="64694" spans="104:111">
      <c r="CZ64694" s="256"/>
      <c r="DG64694" s="256"/>
    </row>
    <row r="64695" spans="104:111">
      <c r="CZ64695" s="256"/>
      <c r="DG64695" s="256"/>
    </row>
    <row r="64696" spans="104:111">
      <c r="CZ64696" s="256"/>
      <c r="DG64696" s="256"/>
    </row>
    <row r="64697" spans="104:111">
      <c r="CZ64697" s="256"/>
      <c r="DG64697" s="256"/>
    </row>
    <row r="64698" spans="104:111">
      <c r="CZ64698" s="256"/>
      <c r="DG64698" s="256"/>
    </row>
    <row r="64699" spans="104:111">
      <c r="CZ64699" s="256"/>
      <c r="DG64699" s="256"/>
    </row>
    <row r="64700" spans="104:111">
      <c r="CZ64700" s="256"/>
      <c r="DG64700" s="256"/>
    </row>
    <row r="64701" spans="104:111">
      <c r="CZ64701" s="256"/>
      <c r="DG64701" s="256"/>
    </row>
    <row r="64702" spans="104:111">
      <c r="CZ64702" s="256"/>
      <c r="DG64702" s="256"/>
    </row>
    <row r="64703" spans="104:111">
      <c r="CZ64703" s="256"/>
      <c r="DG64703" s="256"/>
    </row>
    <row r="64704" spans="104:111">
      <c r="CZ64704" s="256"/>
      <c r="DG64704" s="256"/>
    </row>
    <row r="64705" spans="104:111">
      <c r="CZ64705" s="256"/>
      <c r="DG64705" s="256"/>
    </row>
    <row r="64706" spans="104:111">
      <c r="CZ64706" s="256"/>
      <c r="DG64706" s="256"/>
    </row>
    <row r="64707" spans="104:111">
      <c r="CZ64707" s="256"/>
      <c r="DG64707" s="256"/>
    </row>
    <row r="64708" spans="104:111">
      <c r="CZ64708" s="256"/>
      <c r="DG64708" s="256"/>
    </row>
    <row r="64709" spans="104:111">
      <c r="CZ64709" s="256"/>
      <c r="DG64709" s="256"/>
    </row>
    <row r="64710" spans="104:111">
      <c r="CZ64710" s="256"/>
      <c r="DG64710" s="256"/>
    </row>
    <row r="64711" spans="104:111">
      <c r="CZ64711" s="256"/>
      <c r="DG64711" s="256"/>
    </row>
    <row r="64712" spans="104:111">
      <c r="CZ64712" s="256"/>
      <c r="DG64712" s="256"/>
    </row>
    <row r="64713" spans="104:111">
      <c r="CZ64713" s="256"/>
      <c r="DG64713" s="256"/>
    </row>
    <row r="64714" spans="104:111">
      <c r="CZ64714" s="256"/>
      <c r="DG64714" s="256"/>
    </row>
    <row r="64715" spans="104:111">
      <c r="CZ64715" s="256"/>
      <c r="DG64715" s="256"/>
    </row>
    <row r="64716" spans="104:111">
      <c r="CZ64716" s="256"/>
      <c r="DG64716" s="256"/>
    </row>
    <row r="64717" spans="104:111">
      <c r="CZ64717" s="256"/>
      <c r="DG64717" s="256"/>
    </row>
    <row r="64718" spans="104:111">
      <c r="CZ64718" s="256"/>
      <c r="DG64718" s="256"/>
    </row>
    <row r="64719" spans="104:111">
      <c r="CZ64719" s="256"/>
      <c r="DG64719" s="256"/>
    </row>
    <row r="64720" spans="104:111">
      <c r="CZ64720" s="256"/>
      <c r="DG64720" s="256"/>
    </row>
    <row r="64721" spans="104:111">
      <c r="CZ64721" s="256"/>
      <c r="DG64721" s="256"/>
    </row>
    <row r="64722" spans="104:111">
      <c r="CZ64722" s="256"/>
      <c r="DG64722" s="256"/>
    </row>
    <row r="64723" spans="104:111">
      <c r="CZ64723" s="256"/>
      <c r="DG64723" s="256"/>
    </row>
    <row r="64724" spans="104:111">
      <c r="CZ64724" s="256"/>
      <c r="DG64724" s="256"/>
    </row>
    <row r="64725" spans="104:111">
      <c r="CZ64725" s="256"/>
      <c r="DG64725" s="256"/>
    </row>
    <row r="64726" spans="104:111">
      <c r="CZ64726" s="256"/>
      <c r="DG64726" s="256"/>
    </row>
    <row r="64727" spans="104:111">
      <c r="CZ64727" s="256"/>
      <c r="DG64727" s="256"/>
    </row>
    <row r="64728" spans="104:111">
      <c r="CZ64728" s="256"/>
      <c r="DG64728" s="256"/>
    </row>
    <row r="64729" spans="104:111">
      <c r="CZ64729" s="256"/>
      <c r="DG64729" s="256"/>
    </row>
    <row r="64730" spans="104:111">
      <c r="CZ64730" s="256"/>
      <c r="DG64730" s="256"/>
    </row>
    <row r="64731" spans="104:111">
      <c r="CZ64731" s="256"/>
      <c r="DG64731" s="256"/>
    </row>
    <row r="64732" spans="104:111">
      <c r="CZ64732" s="256"/>
      <c r="DG64732" s="256"/>
    </row>
    <row r="64733" spans="104:111">
      <c r="CZ64733" s="256"/>
      <c r="DG64733" s="256"/>
    </row>
    <row r="64734" spans="104:111">
      <c r="CZ64734" s="256"/>
      <c r="DG64734" s="256"/>
    </row>
    <row r="64735" spans="104:111">
      <c r="CZ64735" s="256"/>
      <c r="DG64735" s="256"/>
    </row>
    <row r="64736" spans="104:111">
      <c r="CZ64736" s="256"/>
      <c r="DG64736" s="256"/>
    </row>
    <row r="64737" spans="104:111">
      <c r="CZ64737" s="256"/>
      <c r="DG64737" s="256"/>
    </row>
    <row r="64738" spans="104:111">
      <c r="CZ64738" s="256"/>
      <c r="DG64738" s="256"/>
    </row>
    <row r="64739" spans="104:111">
      <c r="CZ64739" s="256"/>
      <c r="DG64739" s="256"/>
    </row>
    <row r="64740" spans="104:111">
      <c r="CZ64740" s="256"/>
      <c r="DG64740" s="256"/>
    </row>
    <row r="64741" spans="104:111">
      <c r="CZ64741" s="256"/>
      <c r="DG64741" s="256"/>
    </row>
    <row r="64742" spans="104:111">
      <c r="CZ64742" s="256"/>
      <c r="DG64742" s="256"/>
    </row>
    <row r="64743" spans="104:111">
      <c r="CZ64743" s="256"/>
      <c r="DG64743" s="256"/>
    </row>
    <row r="64744" spans="104:111">
      <c r="CZ64744" s="256"/>
      <c r="DG64744" s="256"/>
    </row>
    <row r="64745" spans="104:111">
      <c r="CZ64745" s="256"/>
      <c r="DG64745" s="256"/>
    </row>
    <row r="64746" spans="104:111">
      <c r="CZ64746" s="256"/>
      <c r="DG64746" s="256"/>
    </row>
    <row r="64747" spans="104:111">
      <c r="CZ64747" s="256"/>
      <c r="DG64747" s="256"/>
    </row>
    <row r="64748" spans="104:111">
      <c r="CZ64748" s="256"/>
      <c r="DG64748" s="256"/>
    </row>
    <row r="64749" spans="104:111">
      <c r="CZ64749" s="256"/>
      <c r="DG64749" s="256"/>
    </row>
    <row r="64750" spans="104:111">
      <c r="CZ64750" s="256"/>
      <c r="DG64750" s="256"/>
    </row>
    <row r="64751" spans="104:111">
      <c r="CZ64751" s="256"/>
      <c r="DG64751" s="256"/>
    </row>
    <row r="64752" spans="104:111">
      <c r="CZ64752" s="256"/>
      <c r="DG64752" s="256"/>
    </row>
    <row r="64753" spans="104:111">
      <c r="CZ64753" s="256"/>
      <c r="DG64753" s="256"/>
    </row>
    <row r="64754" spans="104:111">
      <c r="CZ64754" s="256"/>
      <c r="DG64754" s="256"/>
    </row>
    <row r="64755" spans="104:111">
      <c r="CZ64755" s="256"/>
      <c r="DG64755" s="256"/>
    </row>
    <row r="64756" spans="104:111">
      <c r="CZ64756" s="256"/>
      <c r="DG64756" s="256"/>
    </row>
    <row r="64757" spans="104:111">
      <c r="CZ64757" s="256"/>
      <c r="DG64757" s="256"/>
    </row>
    <row r="64758" spans="104:111">
      <c r="CZ64758" s="256"/>
      <c r="DG64758" s="256"/>
    </row>
    <row r="64759" spans="104:111">
      <c r="CZ64759" s="256"/>
      <c r="DG64759" s="256"/>
    </row>
    <row r="64760" spans="104:111">
      <c r="CZ64760" s="256"/>
      <c r="DG64760" s="256"/>
    </row>
    <row r="64761" spans="104:111">
      <c r="CZ64761" s="256"/>
      <c r="DG64761" s="256"/>
    </row>
    <row r="64762" spans="104:111">
      <c r="CZ64762" s="256"/>
      <c r="DG64762" s="256"/>
    </row>
    <row r="64763" spans="104:111">
      <c r="CZ64763" s="256"/>
      <c r="DG64763" s="256"/>
    </row>
    <row r="64764" spans="104:111">
      <c r="CZ64764" s="256"/>
      <c r="DG64764" s="256"/>
    </row>
    <row r="64765" spans="104:111">
      <c r="CZ64765" s="256"/>
      <c r="DG64765" s="256"/>
    </row>
    <row r="64766" spans="104:111">
      <c r="CZ64766" s="256"/>
      <c r="DG64766" s="256"/>
    </row>
    <row r="64767" spans="104:111">
      <c r="CZ64767" s="256"/>
      <c r="DG64767" s="256"/>
    </row>
    <row r="64768" spans="104:111">
      <c r="CZ64768" s="256"/>
      <c r="DG64768" s="256"/>
    </row>
    <row r="64769" spans="104:111">
      <c r="CZ64769" s="256"/>
      <c r="DG64769" s="256"/>
    </row>
    <row r="64770" spans="104:111">
      <c r="CZ64770" s="256"/>
      <c r="DG64770" s="256"/>
    </row>
    <row r="64771" spans="104:111">
      <c r="CZ64771" s="256"/>
      <c r="DG64771" s="256"/>
    </row>
    <row r="64772" spans="104:111">
      <c r="CZ64772" s="256"/>
      <c r="DG64772" s="256"/>
    </row>
    <row r="64773" spans="104:111">
      <c r="CZ64773" s="256"/>
      <c r="DG64773" s="256"/>
    </row>
    <row r="64774" spans="104:111">
      <c r="CZ64774" s="256"/>
      <c r="DG64774" s="256"/>
    </row>
    <row r="64775" spans="104:111">
      <c r="CZ64775" s="256"/>
      <c r="DG64775" s="256"/>
    </row>
    <row r="64776" spans="104:111">
      <c r="CZ64776" s="256"/>
      <c r="DG64776" s="256"/>
    </row>
    <row r="64777" spans="104:111">
      <c r="CZ64777" s="256"/>
      <c r="DG64777" s="256"/>
    </row>
    <row r="64778" spans="104:111">
      <c r="CZ64778" s="256"/>
      <c r="DG64778" s="256"/>
    </row>
    <row r="64779" spans="104:111">
      <c r="CZ64779" s="256"/>
      <c r="DG64779" s="256"/>
    </row>
    <row r="64780" spans="104:111">
      <c r="CZ64780" s="256"/>
      <c r="DG64780" s="256"/>
    </row>
    <row r="64781" spans="104:111">
      <c r="CZ64781" s="256"/>
      <c r="DG64781" s="256"/>
    </row>
    <row r="64782" spans="104:111">
      <c r="CZ64782" s="256"/>
      <c r="DG64782" s="256"/>
    </row>
    <row r="64783" spans="104:111">
      <c r="CZ64783" s="256"/>
      <c r="DG64783" s="256"/>
    </row>
    <row r="64784" spans="104:111">
      <c r="CZ64784" s="256"/>
      <c r="DG64784" s="256"/>
    </row>
    <row r="64785" spans="104:111">
      <c r="CZ64785" s="256"/>
      <c r="DG64785" s="256"/>
    </row>
    <row r="64786" spans="104:111">
      <c r="CZ64786" s="256"/>
      <c r="DG64786" s="256"/>
    </row>
    <row r="64787" spans="104:111">
      <c r="CZ64787" s="256"/>
      <c r="DG64787" s="256"/>
    </row>
    <row r="64788" spans="104:111">
      <c r="CZ64788" s="256"/>
      <c r="DG64788" s="256"/>
    </row>
    <row r="64789" spans="104:111">
      <c r="CZ64789" s="256"/>
      <c r="DG64789" s="256"/>
    </row>
    <row r="64790" spans="104:111">
      <c r="CZ64790" s="256"/>
      <c r="DG64790" s="256"/>
    </row>
    <row r="64791" spans="104:111">
      <c r="CZ64791" s="256"/>
      <c r="DG64791" s="256"/>
    </row>
    <row r="64792" spans="104:111">
      <c r="CZ64792" s="256"/>
      <c r="DG64792" s="256"/>
    </row>
    <row r="64793" spans="104:111">
      <c r="CZ64793" s="256"/>
      <c r="DG64793" s="256"/>
    </row>
    <row r="64794" spans="104:111">
      <c r="CZ64794" s="256"/>
      <c r="DG64794" s="256"/>
    </row>
    <row r="64795" spans="104:111">
      <c r="CZ64795" s="256"/>
      <c r="DG64795" s="256"/>
    </row>
    <row r="64796" spans="104:111">
      <c r="CZ64796" s="256"/>
      <c r="DG64796" s="256"/>
    </row>
    <row r="64797" spans="104:111">
      <c r="CZ64797" s="256"/>
      <c r="DG64797" s="256"/>
    </row>
    <row r="64798" spans="104:111">
      <c r="CZ64798" s="256"/>
      <c r="DG64798" s="256"/>
    </row>
    <row r="64799" spans="104:111">
      <c r="CZ64799" s="256"/>
      <c r="DG64799" s="256"/>
    </row>
    <row r="64800" spans="104:111">
      <c r="CZ64800" s="256"/>
      <c r="DG64800" s="256"/>
    </row>
    <row r="64801" spans="104:111">
      <c r="CZ64801" s="256"/>
      <c r="DG64801" s="256"/>
    </row>
    <row r="64802" spans="104:111">
      <c r="CZ64802" s="256"/>
      <c r="DG64802" s="256"/>
    </row>
    <row r="64803" spans="104:111">
      <c r="CZ64803" s="256"/>
      <c r="DG64803" s="256"/>
    </row>
    <row r="64804" spans="104:111">
      <c r="CZ64804" s="256"/>
      <c r="DG64804" s="256"/>
    </row>
    <row r="64805" spans="104:111">
      <c r="CZ64805" s="256"/>
      <c r="DG64805" s="256"/>
    </row>
    <row r="64806" spans="104:111">
      <c r="CZ64806" s="256"/>
      <c r="DG64806" s="256"/>
    </row>
    <row r="64807" spans="104:111">
      <c r="CZ64807" s="256"/>
      <c r="DG64807" s="256"/>
    </row>
    <row r="64808" spans="104:111">
      <c r="CZ64808" s="256"/>
      <c r="DG64808" s="256"/>
    </row>
    <row r="64809" spans="104:111">
      <c r="CZ64809" s="256"/>
      <c r="DG64809" s="256"/>
    </row>
    <row r="64810" spans="104:111">
      <c r="CZ64810" s="256"/>
      <c r="DG64810" s="256"/>
    </row>
    <row r="64811" spans="104:111">
      <c r="CZ64811" s="256"/>
      <c r="DG64811" s="256"/>
    </row>
    <row r="64812" spans="104:111">
      <c r="CZ64812" s="256"/>
      <c r="DG64812" s="256"/>
    </row>
    <row r="64813" spans="104:111">
      <c r="CZ64813" s="256"/>
      <c r="DG64813" s="256"/>
    </row>
    <row r="64814" spans="104:111">
      <c r="CZ64814" s="256"/>
      <c r="DG64814" s="256"/>
    </row>
    <row r="64815" spans="104:111">
      <c r="CZ64815" s="256"/>
      <c r="DG64815" s="256"/>
    </row>
    <row r="64816" spans="104:111">
      <c r="CZ64816" s="256"/>
      <c r="DG64816" s="256"/>
    </row>
    <row r="64817" spans="104:111">
      <c r="CZ64817" s="256"/>
      <c r="DG64817" s="256"/>
    </row>
    <row r="64818" spans="104:111">
      <c r="CZ64818" s="256"/>
      <c r="DG64818" s="256"/>
    </row>
    <row r="64819" spans="104:111">
      <c r="CZ64819" s="256"/>
      <c r="DG64819" s="256"/>
    </row>
    <row r="64820" spans="104:111">
      <c r="CZ64820" s="256"/>
      <c r="DG64820" s="256"/>
    </row>
    <row r="64821" spans="104:111">
      <c r="CZ64821" s="256"/>
      <c r="DG64821" s="256"/>
    </row>
    <row r="64822" spans="104:111">
      <c r="CZ64822" s="256"/>
      <c r="DG64822" s="256"/>
    </row>
    <row r="64823" spans="104:111">
      <c r="CZ64823" s="256"/>
      <c r="DG64823" s="256"/>
    </row>
    <row r="64824" spans="104:111">
      <c r="CZ64824" s="256"/>
      <c r="DG64824" s="256"/>
    </row>
    <row r="64825" spans="104:111">
      <c r="CZ64825" s="256"/>
      <c r="DG64825" s="256"/>
    </row>
    <row r="64826" spans="104:111">
      <c r="CZ64826" s="256"/>
      <c r="DG64826" s="256"/>
    </row>
    <row r="64827" spans="104:111">
      <c r="CZ64827" s="256"/>
      <c r="DG64827" s="256"/>
    </row>
    <row r="64828" spans="104:111">
      <c r="CZ64828" s="256"/>
      <c r="DG64828" s="256"/>
    </row>
    <row r="64829" spans="104:111">
      <c r="CZ64829" s="256"/>
      <c r="DG64829" s="256"/>
    </row>
    <row r="64830" spans="104:111">
      <c r="CZ64830" s="256"/>
      <c r="DG64830" s="256"/>
    </row>
    <row r="64831" spans="104:111">
      <c r="CZ64831" s="256"/>
      <c r="DG64831" s="256"/>
    </row>
    <row r="64832" spans="104:111">
      <c r="CZ64832" s="256"/>
      <c r="DG64832" s="256"/>
    </row>
    <row r="64833" spans="104:111">
      <c r="CZ64833" s="256"/>
      <c r="DG64833" s="256"/>
    </row>
    <row r="64834" spans="104:111">
      <c r="CZ64834" s="256"/>
      <c r="DG64834" s="256"/>
    </row>
    <row r="64835" spans="104:111">
      <c r="CZ64835" s="256"/>
      <c r="DG64835" s="256"/>
    </row>
    <row r="64836" spans="104:111">
      <c r="CZ64836" s="256"/>
      <c r="DG64836" s="256"/>
    </row>
    <row r="64837" spans="104:111">
      <c r="CZ64837" s="256"/>
      <c r="DG64837" s="256"/>
    </row>
    <row r="64838" spans="104:111">
      <c r="CZ64838" s="256"/>
      <c r="DG64838" s="256"/>
    </row>
    <row r="64839" spans="104:111">
      <c r="CZ64839" s="256"/>
      <c r="DG64839" s="256"/>
    </row>
    <row r="64840" spans="104:111">
      <c r="CZ64840" s="256"/>
      <c r="DG64840" s="256"/>
    </row>
    <row r="64841" spans="104:111">
      <c r="CZ64841" s="256"/>
      <c r="DG64841" s="256"/>
    </row>
    <row r="64842" spans="104:111">
      <c r="CZ64842" s="256"/>
      <c r="DG64842" s="256"/>
    </row>
    <row r="64843" spans="104:111">
      <c r="CZ64843" s="256"/>
      <c r="DG64843" s="256"/>
    </row>
    <row r="64844" spans="104:111">
      <c r="CZ64844" s="256"/>
      <c r="DG64844" s="256"/>
    </row>
    <row r="64845" spans="104:111">
      <c r="CZ64845" s="256"/>
      <c r="DG64845" s="256"/>
    </row>
    <row r="64846" spans="104:111">
      <c r="CZ64846" s="256"/>
      <c r="DG64846" s="256"/>
    </row>
    <row r="64847" spans="104:111">
      <c r="CZ64847" s="256"/>
      <c r="DG64847" s="256"/>
    </row>
    <row r="64848" spans="104:111">
      <c r="CZ64848" s="256"/>
      <c r="DG64848" s="256"/>
    </row>
    <row r="64849" spans="104:111">
      <c r="CZ64849" s="256"/>
      <c r="DG64849" s="256"/>
    </row>
    <row r="64850" spans="104:111">
      <c r="CZ64850" s="256"/>
      <c r="DG64850" s="256"/>
    </row>
    <row r="64851" spans="104:111">
      <c r="CZ64851" s="256"/>
      <c r="DG64851" s="256"/>
    </row>
    <row r="64852" spans="104:111">
      <c r="CZ64852" s="256"/>
      <c r="DG64852" s="256"/>
    </row>
    <row r="64853" spans="104:111">
      <c r="CZ64853" s="256"/>
      <c r="DG64853" s="256"/>
    </row>
    <row r="64854" spans="104:111">
      <c r="CZ64854" s="256"/>
      <c r="DG64854" s="256"/>
    </row>
    <row r="64855" spans="104:111">
      <c r="CZ64855" s="256"/>
      <c r="DG64855" s="256"/>
    </row>
    <row r="64856" spans="104:111">
      <c r="CZ64856" s="256"/>
      <c r="DG64856" s="256"/>
    </row>
    <row r="64857" spans="104:111">
      <c r="CZ64857" s="256"/>
      <c r="DG64857" s="256"/>
    </row>
    <row r="64858" spans="104:111">
      <c r="CZ64858" s="256"/>
      <c r="DG64858" s="256"/>
    </row>
    <row r="64859" spans="104:111">
      <c r="CZ64859" s="256"/>
      <c r="DG64859" s="256"/>
    </row>
    <row r="64860" spans="104:111">
      <c r="CZ64860" s="256"/>
      <c r="DG64860" s="256"/>
    </row>
    <row r="64861" spans="104:111">
      <c r="CZ64861" s="256"/>
      <c r="DG64861" s="256"/>
    </row>
    <row r="64862" spans="104:111">
      <c r="CZ64862" s="256"/>
      <c r="DG64862" s="256"/>
    </row>
    <row r="64863" spans="104:111">
      <c r="CZ64863" s="256"/>
      <c r="DG64863" s="256"/>
    </row>
    <row r="64864" spans="104:111">
      <c r="CZ64864" s="256"/>
      <c r="DG64864" s="256"/>
    </row>
    <row r="64865" spans="104:111">
      <c r="CZ64865" s="256"/>
      <c r="DG64865" s="256"/>
    </row>
    <row r="64866" spans="104:111">
      <c r="CZ64866" s="256"/>
      <c r="DG64866" s="256"/>
    </row>
    <row r="64867" spans="104:111">
      <c r="CZ64867" s="256"/>
      <c r="DG64867" s="256"/>
    </row>
    <row r="64868" spans="104:111">
      <c r="CZ64868" s="256"/>
      <c r="DG64868" s="256"/>
    </row>
    <row r="64869" spans="104:111">
      <c r="CZ64869" s="256"/>
      <c r="DG64869" s="256"/>
    </row>
    <row r="64870" spans="104:111">
      <c r="CZ64870" s="256"/>
      <c r="DG64870" s="256"/>
    </row>
    <row r="64871" spans="104:111">
      <c r="CZ64871" s="256"/>
      <c r="DG64871" s="256"/>
    </row>
    <row r="64872" spans="104:111">
      <c r="CZ64872" s="256"/>
      <c r="DG64872" s="256"/>
    </row>
    <row r="64873" spans="104:111">
      <c r="CZ64873" s="256"/>
      <c r="DG64873" s="256"/>
    </row>
    <row r="64874" spans="104:111">
      <c r="CZ64874" s="256"/>
      <c r="DG64874" s="256"/>
    </row>
    <row r="64875" spans="104:111">
      <c r="CZ64875" s="256"/>
      <c r="DG64875" s="256"/>
    </row>
    <row r="64876" spans="104:111">
      <c r="CZ64876" s="256"/>
      <c r="DG64876" s="256"/>
    </row>
    <row r="64877" spans="104:111">
      <c r="CZ64877" s="256"/>
      <c r="DG64877" s="256"/>
    </row>
    <row r="64878" spans="104:111">
      <c r="CZ64878" s="256"/>
      <c r="DG64878" s="256"/>
    </row>
    <row r="64879" spans="104:111">
      <c r="CZ64879" s="256"/>
      <c r="DG64879" s="256"/>
    </row>
    <row r="64880" spans="104:111">
      <c r="CZ64880" s="256"/>
      <c r="DG64880" s="256"/>
    </row>
    <row r="64881" spans="104:111">
      <c r="CZ64881" s="256"/>
      <c r="DG64881" s="256"/>
    </row>
    <row r="64882" spans="104:111">
      <c r="CZ64882" s="256"/>
      <c r="DG64882" s="256"/>
    </row>
    <row r="64883" spans="104:111">
      <c r="CZ64883" s="256"/>
      <c r="DG64883" s="256"/>
    </row>
    <row r="64884" spans="104:111">
      <c r="CZ64884" s="256"/>
      <c r="DG64884" s="256"/>
    </row>
    <row r="64885" spans="104:111">
      <c r="CZ64885" s="256"/>
      <c r="DG64885" s="256"/>
    </row>
    <row r="64886" spans="104:111">
      <c r="CZ64886" s="256"/>
      <c r="DG64886" s="256"/>
    </row>
    <row r="64887" spans="104:111">
      <c r="CZ64887" s="256"/>
      <c r="DG64887" s="256"/>
    </row>
    <row r="64888" spans="104:111">
      <c r="CZ64888" s="256"/>
      <c r="DG64888" s="256"/>
    </row>
    <row r="64889" spans="104:111">
      <c r="CZ64889" s="256"/>
      <c r="DG64889" s="256"/>
    </row>
    <row r="64890" spans="104:111">
      <c r="CZ64890" s="256"/>
      <c r="DG64890" s="256"/>
    </row>
    <row r="64891" spans="104:111">
      <c r="CZ64891" s="256"/>
      <c r="DG64891" s="256"/>
    </row>
    <row r="64892" spans="104:111">
      <c r="CZ64892" s="256"/>
      <c r="DG64892" s="256"/>
    </row>
    <row r="64893" spans="104:111">
      <c r="CZ64893" s="256"/>
      <c r="DG64893" s="256"/>
    </row>
    <row r="64894" spans="104:111">
      <c r="CZ64894" s="256"/>
      <c r="DG64894" s="256"/>
    </row>
    <row r="64895" spans="104:111">
      <c r="CZ64895" s="256"/>
      <c r="DG64895" s="256"/>
    </row>
    <row r="64896" spans="104:111">
      <c r="CZ64896" s="256"/>
      <c r="DG64896" s="256"/>
    </row>
    <row r="64897" spans="104:111">
      <c r="CZ64897" s="256"/>
      <c r="DG64897" s="256"/>
    </row>
    <row r="64898" spans="104:111">
      <c r="CZ64898" s="256"/>
      <c r="DG64898" s="256"/>
    </row>
    <row r="64899" spans="104:111">
      <c r="CZ64899" s="256"/>
      <c r="DG64899" s="256"/>
    </row>
    <row r="64900" spans="104:111">
      <c r="CZ64900" s="256"/>
      <c r="DG64900" s="256"/>
    </row>
    <row r="64901" spans="104:111">
      <c r="CZ64901" s="256"/>
      <c r="DG64901" s="256"/>
    </row>
    <row r="64902" spans="104:111">
      <c r="CZ64902" s="256"/>
      <c r="DG64902" s="256"/>
    </row>
    <row r="64903" spans="104:111">
      <c r="CZ64903" s="256"/>
      <c r="DG64903" s="256"/>
    </row>
    <row r="64904" spans="104:111">
      <c r="CZ64904" s="256"/>
      <c r="DG64904" s="256"/>
    </row>
    <row r="64905" spans="104:111">
      <c r="CZ64905" s="256"/>
      <c r="DG64905" s="256"/>
    </row>
    <row r="64906" spans="104:111">
      <c r="CZ64906" s="256"/>
      <c r="DG64906" s="256"/>
    </row>
    <row r="64907" spans="104:111">
      <c r="CZ64907" s="256"/>
      <c r="DG64907" s="256"/>
    </row>
    <row r="64908" spans="104:111">
      <c r="CZ64908" s="256"/>
      <c r="DG64908" s="256"/>
    </row>
    <row r="64909" spans="104:111">
      <c r="CZ64909" s="256"/>
      <c r="DG64909" s="256"/>
    </row>
    <row r="64910" spans="104:111">
      <c r="CZ64910" s="256"/>
      <c r="DG64910" s="256"/>
    </row>
    <row r="64911" spans="104:111">
      <c r="CZ64911" s="256"/>
      <c r="DG64911" s="256"/>
    </row>
    <row r="64912" spans="104:111">
      <c r="CZ64912" s="256"/>
      <c r="DG64912" s="256"/>
    </row>
    <row r="64913" spans="104:111">
      <c r="CZ64913" s="256"/>
      <c r="DG64913" s="256"/>
    </row>
    <row r="64914" spans="104:111">
      <c r="CZ64914" s="256"/>
      <c r="DG64914" s="256"/>
    </row>
    <row r="64915" spans="104:111">
      <c r="CZ64915" s="256"/>
      <c r="DG64915" s="256"/>
    </row>
    <row r="64916" spans="104:111">
      <c r="CZ64916" s="256"/>
      <c r="DG64916" s="256"/>
    </row>
    <row r="64917" spans="104:111">
      <c r="CZ64917" s="256"/>
      <c r="DG64917" s="256"/>
    </row>
    <row r="64918" spans="104:111">
      <c r="CZ64918" s="256"/>
      <c r="DG64918" s="256"/>
    </row>
    <row r="64919" spans="104:111">
      <c r="CZ64919" s="256"/>
      <c r="DG64919" s="256"/>
    </row>
    <row r="64920" spans="104:111">
      <c r="CZ64920" s="256"/>
      <c r="DG64920" s="256"/>
    </row>
    <row r="64921" spans="104:111">
      <c r="CZ64921" s="256"/>
      <c r="DG64921" s="256"/>
    </row>
    <row r="64922" spans="104:111">
      <c r="CZ64922" s="256"/>
      <c r="DG64922" s="256"/>
    </row>
    <row r="64923" spans="104:111">
      <c r="CZ64923" s="256"/>
      <c r="DG64923" s="256"/>
    </row>
    <row r="64924" spans="104:111">
      <c r="CZ64924" s="256"/>
      <c r="DG64924" s="256"/>
    </row>
    <row r="64925" spans="104:111">
      <c r="CZ64925" s="256"/>
      <c r="DG64925" s="256"/>
    </row>
    <row r="64926" spans="104:111">
      <c r="CZ64926" s="256"/>
      <c r="DG64926" s="256"/>
    </row>
    <row r="64927" spans="104:111">
      <c r="CZ64927" s="256"/>
      <c r="DG64927" s="256"/>
    </row>
    <row r="64928" spans="104:111">
      <c r="CZ64928" s="256"/>
      <c r="DG64928" s="256"/>
    </row>
    <row r="64929" spans="104:111">
      <c r="CZ64929" s="256"/>
      <c r="DG64929" s="256"/>
    </row>
    <row r="64930" spans="104:111">
      <c r="CZ64930" s="256"/>
      <c r="DG64930" s="256"/>
    </row>
    <row r="64931" spans="104:111">
      <c r="CZ64931" s="256"/>
      <c r="DG64931" s="256"/>
    </row>
    <row r="64932" spans="104:111">
      <c r="CZ64932" s="256"/>
      <c r="DG64932" s="256"/>
    </row>
    <row r="64933" spans="104:111">
      <c r="CZ64933" s="256"/>
      <c r="DG64933" s="256"/>
    </row>
    <row r="64934" spans="104:111">
      <c r="CZ64934" s="256"/>
      <c r="DG64934" s="256"/>
    </row>
    <row r="64935" spans="104:111">
      <c r="CZ64935" s="256"/>
      <c r="DG64935" s="256"/>
    </row>
    <row r="64936" spans="104:111">
      <c r="CZ64936" s="256"/>
      <c r="DG64936" s="256"/>
    </row>
    <row r="64937" spans="104:111">
      <c r="CZ64937" s="256"/>
      <c r="DG64937" s="256"/>
    </row>
    <row r="64938" spans="104:111">
      <c r="CZ64938" s="256"/>
      <c r="DG64938" s="256"/>
    </row>
    <row r="64939" spans="104:111">
      <c r="CZ64939" s="256"/>
      <c r="DG64939" s="256"/>
    </row>
    <row r="64940" spans="104:111">
      <c r="CZ64940" s="256"/>
      <c r="DG64940" s="256"/>
    </row>
    <row r="64941" spans="104:111">
      <c r="CZ64941" s="256"/>
      <c r="DG64941" s="256"/>
    </row>
    <row r="64942" spans="104:111">
      <c r="CZ64942" s="256"/>
      <c r="DG64942" s="256"/>
    </row>
    <row r="64943" spans="104:111">
      <c r="CZ64943" s="256"/>
      <c r="DG64943" s="256"/>
    </row>
    <row r="64944" spans="104:111">
      <c r="CZ64944" s="256"/>
      <c r="DG64944" s="256"/>
    </row>
    <row r="64945" spans="104:111">
      <c r="CZ64945" s="256"/>
      <c r="DG64945" s="256"/>
    </row>
    <row r="64946" spans="104:111">
      <c r="CZ64946" s="256"/>
      <c r="DG64946" s="256"/>
    </row>
    <row r="64947" spans="104:111">
      <c r="CZ64947" s="256"/>
      <c r="DG64947" s="256"/>
    </row>
    <row r="64948" spans="104:111">
      <c r="CZ64948" s="256"/>
      <c r="DG64948" s="256"/>
    </row>
    <row r="64949" spans="104:111">
      <c r="CZ64949" s="256"/>
      <c r="DG64949" s="256"/>
    </row>
    <row r="64950" spans="104:111">
      <c r="CZ64950" s="256"/>
      <c r="DG64950" s="256"/>
    </row>
    <row r="64951" spans="104:111">
      <c r="CZ64951" s="256"/>
      <c r="DG64951" s="256"/>
    </row>
    <row r="64952" spans="104:111">
      <c r="CZ64952" s="256"/>
      <c r="DG64952" s="256"/>
    </row>
    <row r="64953" spans="104:111">
      <c r="CZ64953" s="256"/>
      <c r="DG64953" s="256"/>
    </row>
    <row r="64954" spans="104:111">
      <c r="CZ64954" s="256"/>
      <c r="DG64954" s="256"/>
    </row>
    <row r="64955" spans="104:111">
      <c r="CZ64955" s="256"/>
      <c r="DG64955" s="256"/>
    </row>
    <row r="64956" spans="104:111">
      <c r="CZ64956" s="256"/>
      <c r="DG64956" s="256"/>
    </row>
    <row r="64957" spans="104:111">
      <c r="CZ64957" s="256"/>
      <c r="DG64957" s="256"/>
    </row>
    <row r="64958" spans="104:111">
      <c r="CZ64958" s="256"/>
      <c r="DG64958" s="256"/>
    </row>
    <row r="64959" spans="104:111">
      <c r="CZ64959" s="256"/>
      <c r="DG64959" s="256"/>
    </row>
    <row r="64960" spans="104:111">
      <c r="CZ64960" s="256"/>
      <c r="DG64960" s="256"/>
    </row>
    <row r="64961" spans="104:111">
      <c r="CZ64961" s="256"/>
      <c r="DG64961" s="256"/>
    </row>
    <row r="64962" spans="104:111">
      <c r="CZ64962" s="256"/>
      <c r="DG64962" s="256"/>
    </row>
    <row r="64963" spans="104:111">
      <c r="CZ64963" s="256"/>
      <c r="DG64963" s="256"/>
    </row>
    <row r="64964" spans="104:111">
      <c r="CZ64964" s="256"/>
      <c r="DG64964" s="256"/>
    </row>
    <row r="64965" spans="104:111">
      <c r="CZ64965" s="256"/>
      <c r="DG64965" s="256"/>
    </row>
    <row r="64966" spans="104:111">
      <c r="CZ64966" s="256"/>
      <c r="DG64966" s="256"/>
    </row>
    <row r="64967" spans="104:111">
      <c r="CZ64967" s="256"/>
      <c r="DG64967" s="256"/>
    </row>
    <row r="64968" spans="104:111">
      <c r="CZ64968" s="256"/>
      <c r="DG64968" s="256"/>
    </row>
    <row r="64969" spans="104:111">
      <c r="CZ64969" s="256"/>
      <c r="DG64969" s="256"/>
    </row>
    <row r="64970" spans="104:111">
      <c r="CZ64970" s="256"/>
      <c r="DG64970" s="256"/>
    </row>
    <row r="64971" spans="104:111">
      <c r="CZ64971" s="256"/>
      <c r="DG64971" s="256"/>
    </row>
    <row r="64972" spans="104:111">
      <c r="CZ64972" s="256"/>
      <c r="DG64972" s="256"/>
    </row>
    <row r="64973" spans="104:111">
      <c r="CZ64973" s="256"/>
      <c r="DG64973" s="256"/>
    </row>
    <row r="64974" spans="104:111">
      <c r="CZ64974" s="256"/>
      <c r="DG64974" s="256"/>
    </row>
    <row r="64975" spans="104:111">
      <c r="CZ64975" s="256"/>
      <c r="DG64975" s="256"/>
    </row>
    <row r="64976" spans="104:111">
      <c r="CZ64976" s="256"/>
      <c r="DG64976" s="256"/>
    </row>
    <row r="64977" spans="104:111">
      <c r="CZ64977" s="256"/>
      <c r="DG64977" s="256"/>
    </row>
    <row r="64978" spans="104:111">
      <c r="CZ64978" s="256"/>
      <c r="DG64978" s="256"/>
    </row>
    <row r="64979" spans="104:111">
      <c r="CZ64979" s="256"/>
      <c r="DG64979" s="256"/>
    </row>
    <row r="64980" spans="104:111">
      <c r="CZ64980" s="256"/>
      <c r="DG64980" s="256"/>
    </row>
    <row r="64981" spans="104:111">
      <c r="CZ64981" s="256"/>
      <c r="DG64981" s="256"/>
    </row>
    <row r="64982" spans="104:111">
      <c r="CZ64982" s="256"/>
      <c r="DG64982" s="256"/>
    </row>
    <row r="64983" spans="104:111">
      <c r="CZ64983" s="256"/>
      <c r="DG64983" s="256"/>
    </row>
    <row r="64984" spans="104:111">
      <c r="CZ64984" s="256"/>
      <c r="DG64984" s="256"/>
    </row>
    <row r="64985" spans="104:111">
      <c r="CZ64985" s="256"/>
      <c r="DG64985" s="256"/>
    </row>
    <row r="64986" spans="104:111">
      <c r="CZ64986" s="256"/>
      <c r="DG64986" s="256"/>
    </row>
    <row r="64987" spans="104:111">
      <c r="CZ64987" s="256"/>
      <c r="DG64987" s="256"/>
    </row>
    <row r="64988" spans="104:111">
      <c r="CZ64988" s="256"/>
      <c r="DG64988" s="256"/>
    </row>
    <row r="64989" spans="104:111">
      <c r="CZ64989" s="256"/>
      <c r="DG64989" s="256"/>
    </row>
    <row r="64990" spans="104:111">
      <c r="CZ64990" s="256"/>
      <c r="DG64990" s="256"/>
    </row>
    <row r="64991" spans="104:111">
      <c r="CZ64991" s="256"/>
      <c r="DG64991" s="256"/>
    </row>
    <row r="64992" spans="104:111">
      <c r="CZ64992" s="256"/>
      <c r="DG64992" s="256"/>
    </row>
    <row r="64993" spans="104:111">
      <c r="CZ64993" s="256"/>
      <c r="DG64993" s="256"/>
    </row>
    <row r="64994" spans="104:111">
      <c r="CZ64994" s="256"/>
      <c r="DG64994" s="256"/>
    </row>
    <row r="64995" spans="104:111">
      <c r="CZ64995" s="256"/>
      <c r="DG64995" s="256"/>
    </row>
    <row r="64996" spans="104:111">
      <c r="CZ64996" s="256"/>
      <c r="DG64996" s="256"/>
    </row>
    <row r="64997" spans="104:111">
      <c r="CZ64997" s="256"/>
      <c r="DG64997" s="256"/>
    </row>
    <row r="64998" spans="104:111">
      <c r="CZ64998" s="256"/>
      <c r="DG64998" s="256"/>
    </row>
    <row r="64999" spans="104:111">
      <c r="CZ64999" s="256"/>
      <c r="DG64999" s="256"/>
    </row>
    <row r="65000" spans="104:111">
      <c r="CZ65000" s="256"/>
      <c r="DG65000" s="256"/>
    </row>
    <row r="65001" spans="104:111">
      <c r="CZ65001" s="256"/>
      <c r="DG65001" s="256"/>
    </row>
    <row r="65002" spans="104:111">
      <c r="CZ65002" s="256"/>
      <c r="DG65002" s="256"/>
    </row>
    <row r="65003" spans="104:111">
      <c r="CZ65003" s="256"/>
      <c r="DG65003" s="256"/>
    </row>
    <row r="65004" spans="104:111">
      <c r="CZ65004" s="256"/>
      <c r="DG65004" s="256"/>
    </row>
    <row r="65005" spans="104:111">
      <c r="CZ65005" s="256"/>
      <c r="DG65005" s="256"/>
    </row>
    <row r="65006" spans="104:111">
      <c r="CZ65006" s="256"/>
      <c r="DG65006" s="256"/>
    </row>
    <row r="65007" spans="104:111">
      <c r="CZ65007" s="256"/>
      <c r="DG65007" s="256"/>
    </row>
    <row r="65008" spans="104:111">
      <c r="CZ65008" s="256"/>
      <c r="DG65008" s="256"/>
    </row>
    <row r="65009" spans="104:111">
      <c r="CZ65009" s="256"/>
      <c r="DG65009" s="256"/>
    </row>
    <row r="65010" spans="104:111">
      <c r="CZ65010" s="256"/>
      <c r="DG65010" s="256"/>
    </row>
    <row r="65011" spans="104:111">
      <c r="CZ65011" s="256"/>
      <c r="DG65011" s="256"/>
    </row>
    <row r="65012" spans="104:111">
      <c r="CZ65012" s="256"/>
      <c r="DG65012" s="256"/>
    </row>
    <row r="65013" spans="104:111">
      <c r="CZ65013" s="256"/>
      <c r="DG65013" s="256"/>
    </row>
    <row r="65014" spans="104:111">
      <c r="CZ65014" s="256"/>
      <c r="DG65014" s="256"/>
    </row>
    <row r="65015" spans="104:111">
      <c r="CZ65015" s="256"/>
      <c r="DG65015" s="256"/>
    </row>
    <row r="65016" spans="104:111">
      <c r="CZ65016" s="256"/>
      <c r="DG65016" s="256"/>
    </row>
    <row r="65017" spans="104:111">
      <c r="CZ65017" s="256"/>
      <c r="DG65017" s="256"/>
    </row>
    <row r="65018" spans="104:111">
      <c r="CZ65018" s="256"/>
      <c r="DG65018" s="256"/>
    </row>
    <row r="65019" spans="104:111">
      <c r="CZ65019" s="256"/>
      <c r="DG65019" s="256"/>
    </row>
    <row r="65020" spans="104:111">
      <c r="CZ65020" s="256"/>
      <c r="DG65020" s="256"/>
    </row>
    <row r="65021" spans="104:111">
      <c r="CZ65021" s="256"/>
      <c r="DG65021" s="256"/>
    </row>
    <row r="65022" spans="104:111">
      <c r="CZ65022" s="256"/>
      <c r="DG65022" s="256"/>
    </row>
    <row r="65023" spans="104:111">
      <c r="CZ65023" s="256"/>
      <c r="DG65023" s="256"/>
    </row>
    <row r="65024" spans="104:111">
      <c r="CZ65024" s="256"/>
      <c r="DG65024" s="256"/>
    </row>
    <row r="65025" spans="104:111">
      <c r="CZ65025" s="256"/>
      <c r="DG65025" s="256"/>
    </row>
    <row r="65026" spans="104:111">
      <c r="CZ65026" s="256"/>
      <c r="DG65026" s="256"/>
    </row>
    <row r="65027" spans="104:111">
      <c r="CZ65027" s="256"/>
      <c r="DG65027" s="256"/>
    </row>
    <row r="65028" spans="104:111">
      <c r="CZ65028" s="256"/>
      <c r="DG65028" s="256"/>
    </row>
    <row r="65029" spans="104:111">
      <c r="CZ65029" s="256"/>
      <c r="DG65029" s="256"/>
    </row>
    <row r="65030" spans="104:111">
      <c r="CZ65030" s="256"/>
      <c r="DG65030" s="256"/>
    </row>
    <row r="65031" spans="104:111">
      <c r="CZ65031" s="256"/>
      <c r="DG65031" s="256"/>
    </row>
    <row r="65032" spans="104:111">
      <c r="CZ65032" s="256"/>
      <c r="DG65032" s="256"/>
    </row>
    <row r="65033" spans="104:111">
      <c r="CZ65033" s="256"/>
      <c r="DG65033" s="256"/>
    </row>
    <row r="65034" spans="104:111">
      <c r="CZ65034" s="256"/>
      <c r="DG65034" s="256"/>
    </row>
    <row r="65035" spans="104:111">
      <c r="CZ65035" s="256"/>
      <c r="DG65035" s="256"/>
    </row>
    <row r="65036" spans="104:111">
      <c r="CZ65036" s="256"/>
      <c r="DG65036" s="256"/>
    </row>
    <row r="65037" spans="104:111">
      <c r="CZ65037" s="256"/>
      <c r="DG65037" s="256"/>
    </row>
    <row r="65038" spans="104:111">
      <c r="CZ65038" s="256"/>
      <c r="DG65038" s="256"/>
    </row>
    <row r="65039" spans="104:111">
      <c r="CZ65039" s="256"/>
      <c r="DG65039" s="256"/>
    </row>
    <row r="65040" spans="104:111">
      <c r="CZ65040" s="256"/>
      <c r="DG65040" s="256"/>
    </row>
    <row r="65041" spans="104:111">
      <c r="CZ65041" s="256"/>
      <c r="DG65041" s="256"/>
    </row>
    <row r="65042" spans="104:111">
      <c r="CZ65042" s="256"/>
      <c r="DG65042" s="256"/>
    </row>
    <row r="65043" spans="104:111">
      <c r="CZ65043" s="256"/>
      <c r="DG65043" s="256"/>
    </row>
    <row r="65044" spans="104:111">
      <c r="CZ65044" s="256"/>
      <c r="DG65044" s="256"/>
    </row>
    <row r="65045" spans="104:111">
      <c r="CZ65045" s="256"/>
      <c r="DG65045" s="256"/>
    </row>
    <row r="65046" spans="104:111">
      <c r="CZ65046" s="256"/>
      <c r="DG65046" s="256"/>
    </row>
    <row r="65047" spans="104:111">
      <c r="CZ65047" s="256"/>
      <c r="DG65047" s="256"/>
    </row>
    <row r="65048" spans="104:111">
      <c r="CZ65048" s="256"/>
      <c r="DG65048" s="256"/>
    </row>
    <row r="65049" spans="104:111">
      <c r="CZ65049" s="256"/>
      <c r="DG65049" s="256"/>
    </row>
    <row r="65050" spans="104:111">
      <c r="CZ65050" s="256"/>
      <c r="DG65050" s="256"/>
    </row>
    <row r="65051" spans="104:111">
      <c r="CZ65051" s="256"/>
      <c r="DG65051" s="256"/>
    </row>
    <row r="65052" spans="104:111">
      <c r="CZ65052" s="256"/>
      <c r="DG65052" s="256"/>
    </row>
    <row r="65053" spans="104:111">
      <c r="CZ65053" s="256"/>
      <c r="DG65053" s="256"/>
    </row>
    <row r="65054" spans="104:111">
      <c r="CZ65054" s="256"/>
      <c r="DG65054" s="256"/>
    </row>
    <row r="65055" spans="104:111">
      <c r="CZ65055" s="256"/>
      <c r="DG65055" s="256"/>
    </row>
    <row r="65056" spans="104:111">
      <c r="CZ65056" s="256"/>
      <c r="DG65056" s="256"/>
    </row>
    <row r="65057" spans="104:111">
      <c r="CZ65057" s="256"/>
      <c r="DG65057" s="256"/>
    </row>
    <row r="65058" spans="104:111">
      <c r="CZ65058" s="256"/>
      <c r="DG65058" s="256"/>
    </row>
    <row r="65059" spans="104:111">
      <c r="CZ65059" s="256"/>
      <c r="DG65059" s="256"/>
    </row>
    <row r="65060" spans="104:111">
      <c r="CZ65060" s="256"/>
      <c r="DG65060" s="256"/>
    </row>
    <row r="65061" spans="104:111">
      <c r="CZ65061" s="256"/>
      <c r="DG65061" s="256"/>
    </row>
    <row r="65062" spans="104:111">
      <c r="CZ65062" s="256"/>
      <c r="DG65062" s="256"/>
    </row>
    <row r="65063" spans="104:111">
      <c r="CZ65063" s="256"/>
      <c r="DG65063" s="256"/>
    </row>
    <row r="65064" spans="104:111">
      <c r="CZ65064" s="256"/>
      <c r="DG65064" s="256"/>
    </row>
    <row r="65065" spans="104:111">
      <c r="CZ65065" s="256"/>
      <c r="DG65065" s="256"/>
    </row>
    <row r="65066" spans="104:111">
      <c r="CZ65066" s="256"/>
      <c r="DG65066" s="256"/>
    </row>
    <row r="65067" spans="104:111">
      <c r="CZ65067" s="256"/>
      <c r="DG65067" s="256"/>
    </row>
    <row r="65068" spans="104:111">
      <c r="CZ65068" s="256"/>
      <c r="DG65068" s="256"/>
    </row>
    <row r="65069" spans="104:111">
      <c r="CZ65069" s="256"/>
      <c r="DG65069" s="256"/>
    </row>
    <row r="65070" spans="104:111">
      <c r="CZ65070" s="256"/>
      <c r="DG65070" s="256"/>
    </row>
    <row r="65071" spans="104:111">
      <c r="CZ65071" s="256"/>
      <c r="DG65071" s="256"/>
    </row>
    <row r="65072" spans="104:111">
      <c r="CZ65072" s="256"/>
      <c r="DG65072" s="256"/>
    </row>
    <row r="65073" spans="104:111">
      <c r="CZ65073" s="256"/>
      <c r="DG65073" s="256"/>
    </row>
    <row r="65074" spans="104:111">
      <c r="CZ65074" s="256"/>
      <c r="DG65074" s="256"/>
    </row>
    <row r="65075" spans="104:111">
      <c r="CZ65075" s="256"/>
      <c r="DG65075" s="256"/>
    </row>
    <row r="65076" spans="104:111">
      <c r="CZ65076" s="256"/>
      <c r="DG65076" s="256"/>
    </row>
    <row r="65077" spans="104:111">
      <c r="CZ65077" s="256"/>
      <c r="DG65077" s="256"/>
    </row>
    <row r="65078" spans="104:111">
      <c r="CZ65078" s="256"/>
      <c r="DG65078" s="256"/>
    </row>
    <row r="65079" spans="104:111">
      <c r="CZ65079" s="256"/>
      <c r="DG65079" s="256"/>
    </row>
    <row r="65080" spans="104:111">
      <c r="CZ65080" s="256"/>
      <c r="DG65080" s="256"/>
    </row>
    <row r="65081" spans="104:111">
      <c r="CZ65081" s="256"/>
      <c r="DG65081" s="256"/>
    </row>
    <row r="65082" spans="104:111">
      <c r="CZ65082" s="256"/>
      <c r="DG65082" s="256"/>
    </row>
    <row r="65083" spans="104:111">
      <c r="CZ65083" s="256"/>
      <c r="DG65083" s="256"/>
    </row>
    <row r="65084" spans="104:111">
      <c r="CZ65084" s="256"/>
      <c r="DG65084" s="256"/>
    </row>
    <row r="65085" spans="104:111">
      <c r="CZ65085" s="256"/>
      <c r="DG65085" s="256"/>
    </row>
    <row r="65086" spans="104:111">
      <c r="CZ65086" s="256"/>
      <c r="DG65086" s="256"/>
    </row>
    <row r="65087" spans="104:111">
      <c r="CZ65087" s="256"/>
      <c r="DG65087" s="256"/>
    </row>
    <row r="65088" spans="104:111">
      <c r="CZ65088" s="256"/>
      <c r="DG65088" s="256"/>
    </row>
    <row r="65089" spans="104:111">
      <c r="CZ65089" s="256"/>
      <c r="DG65089" s="256"/>
    </row>
    <row r="65090" spans="104:111">
      <c r="CZ65090" s="256"/>
      <c r="DG65090" s="256"/>
    </row>
    <row r="65091" spans="104:111">
      <c r="CZ65091" s="256"/>
      <c r="DG65091" s="256"/>
    </row>
    <row r="65092" spans="104:111">
      <c r="CZ65092" s="256"/>
      <c r="DG65092" s="256"/>
    </row>
    <row r="65093" spans="104:111">
      <c r="CZ65093" s="256"/>
      <c r="DG65093" s="256"/>
    </row>
    <row r="65094" spans="104:111">
      <c r="CZ65094" s="256"/>
      <c r="DG65094" s="256"/>
    </row>
    <row r="65095" spans="104:111">
      <c r="CZ65095" s="256"/>
      <c r="DG65095" s="256"/>
    </row>
    <row r="65096" spans="104:111">
      <c r="CZ65096" s="256"/>
      <c r="DG65096" s="256"/>
    </row>
    <row r="65097" spans="104:111">
      <c r="CZ65097" s="256"/>
      <c r="DG65097" s="256"/>
    </row>
    <row r="65098" spans="104:111">
      <c r="CZ65098" s="256"/>
      <c r="DG65098" s="256"/>
    </row>
    <row r="65099" spans="104:111">
      <c r="CZ65099" s="256"/>
      <c r="DG65099" s="256"/>
    </row>
    <row r="65100" spans="104:111">
      <c r="CZ65100" s="256"/>
      <c r="DG65100" s="256"/>
    </row>
    <row r="65101" spans="104:111">
      <c r="CZ65101" s="256"/>
      <c r="DG65101" s="256"/>
    </row>
    <row r="65102" spans="104:111">
      <c r="CZ65102" s="256"/>
      <c r="DG65102" s="256"/>
    </row>
    <row r="65103" spans="104:111">
      <c r="CZ65103" s="256"/>
      <c r="DG65103" s="256"/>
    </row>
    <row r="65104" spans="104:111">
      <c r="CZ65104" s="256"/>
      <c r="DG65104" s="256"/>
    </row>
    <row r="65105" spans="104:111">
      <c r="CZ65105" s="256"/>
      <c r="DG65105" s="256"/>
    </row>
    <row r="65106" spans="104:111">
      <c r="CZ65106" s="256"/>
      <c r="DG65106" s="256"/>
    </row>
    <row r="65107" spans="104:111">
      <c r="CZ65107" s="256"/>
      <c r="DG65107" s="256"/>
    </row>
    <row r="65108" spans="104:111">
      <c r="CZ65108" s="256"/>
      <c r="DG65108" s="256"/>
    </row>
    <row r="65109" spans="104:111">
      <c r="CZ65109" s="256"/>
      <c r="DG65109" s="256"/>
    </row>
    <row r="65110" spans="104:111">
      <c r="CZ65110" s="256"/>
      <c r="DG65110" s="256"/>
    </row>
    <row r="65111" spans="104:111">
      <c r="CZ65111" s="256"/>
      <c r="DG65111" s="256"/>
    </row>
    <row r="65112" spans="104:111">
      <c r="CZ65112" s="256"/>
      <c r="DG65112" s="256"/>
    </row>
    <row r="65113" spans="104:111">
      <c r="CZ65113" s="256"/>
      <c r="DG65113" s="256"/>
    </row>
    <row r="65114" spans="104:111">
      <c r="CZ65114" s="256"/>
      <c r="DG65114" s="256"/>
    </row>
    <row r="65115" spans="104:111">
      <c r="CZ65115" s="256"/>
      <c r="DG65115" s="256"/>
    </row>
    <row r="65116" spans="104:111">
      <c r="CZ65116" s="256"/>
      <c r="DG65116" s="256"/>
    </row>
    <row r="65117" spans="104:111">
      <c r="CZ65117" s="256"/>
      <c r="DG65117" s="256"/>
    </row>
    <row r="65118" spans="104:111">
      <c r="CZ65118" s="256"/>
      <c r="DG65118" s="256"/>
    </row>
    <row r="65119" spans="104:111">
      <c r="CZ65119" s="256"/>
      <c r="DG65119" s="256"/>
    </row>
    <row r="65120" spans="104:111">
      <c r="CZ65120" s="256"/>
      <c r="DG65120" s="256"/>
    </row>
    <row r="65121" spans="104:111">
      <c r="CZ65121" s="256"/>
      <c r="DG65121" s="256"/>
    </row>
    <row r="65122" spans="104:111">
      <c r="CZ65122" s="256"/>
      <c r="DG65122" s="256"/>
    </row>
    <row r="65123" spans="104:111">
      <c r="CZ65123" s="256"/>
      <c r="DG65123" s="256"/>
    </row>
    <row r="65124" spans="104:111">
      <c r="CZ65124" s="256"/>
      <c r="DG65124" s="256"/>
    </row>
    <row r="65125" spans="104:111">
      <c r="CZ65125" s="256"/>
      <c r="DG65125" s="256"/>
    </row>
    <row r="65126" spans="104:111">
      <c r="CZ65126" s="256"/>
      <c r="DG65126" s="256"/>
    </row>
    <row r="65127" spans="104:111">
      <c r="CZ65127" s="256"/>
      <c r="DG65127" s="256"/>
    </row>
    <row r="65128" spans="104:111">
      <c r="CZ65128" s="256"/>
      <c r="DG65128" s="256"/>
    </row>
    <row r="65129" spans="104:111">
      <c r="CZ65129" s="256"/>
      <c r="DG65129" s="256"/>
    </row>
    <row r="65130" spans="104:111">
      <c r="CZ65130" s="256"/>
      <c r="DG65130" s="256"/>
    </row>
    <row r="65131" spans="104:111">
      <c r="CZ65131" s="256"/>
      <c r="DG65131" s="256"/>
    </row>
    <row r="65132" spans="104:111">
      <c r="CZ65132" s="256"/>
      <c r="DG65132" s="256"/>
    </row>
    <row r="65133" spans="104:111">
      <c r="CZ65133" s="256"/>
      <c r="DG65133" s="256"/>
    </row>
    <row r="65134" spans="104:111">
      <c r="CZ65134" s="256"/>
      <c r="DG65134" s="256"/>
    </row>
    <row r="65135" spans="104:111">
      <c r="CZ65135" s="256"/>
      <c r="DG65135" s="256"/>
    </row>
    <row r="65136" spans="104:111">
      <c r="CZ65136" s="256"/>
      <c r="DG65136" s="256"/>
    </row>
    <row r="65137" spans="104:111">
      <c r="CZ65137" s="256"/>
      <c r="DG65137" s="256"/>
    </row>
    <row r="65138" spans="104:111">
      <c r="CZ65138" s="256"/>
      <c r="DG65138" s="256"/>
    </row>
    <row r="65139" spans="104:111">
      <c r="CZ65139" s="256"/>
      <c r="DG65139" s="256"/>
    </row>
    <row r="65140" spans="104:111">
      <c r="CZ65140" s="256"/>
      <c r="DG65140" s="256"/>
    </row>
    <row r="65141" spans="104:111">
      <c r="CZ65141" s="256"/>
      <c r="DG65141" s="256"/>
    </row>
    <row r="65142" spans="104:111">
      <c r="CZ65142" s="256"/>
      <c r="DG65142" s="256"/>
    </row>
    <row r="65143" spans="104:111">
      <c r="CZ65143" s="256"/>
      <c r="DG65143" s="256"/>
    </row>
    <row r="65144" spans="104:111">
      <c r="CZ65144" s="256"/>
      <c r="DG65144" s="256"/>
    </row>
    <row r="65145" spans="104:111">
      <c r="CZ65145" s="256"/>
      <c r="DG65145" s="256"/>
    </row>
    <row r="65146" spans="104:111">
      <c r="CZ65146" s="256"/>
      <c r="DG65146" s="256"/>
    </row>
    <row r="65147" spans="104:111">
      <c r="CZ65147" s="256"/>
      <c r="DG65147" s="256"/>
    </row>
    <row r="65148" spans="104:111">
      <c r="CZ65148" s="256"/>
      <c r="DG65148" s="256"/>
    </row>
    <row r="65149" spans="104:111">
      <c r="CZ65149" s="256"/>
      <c r="DG65149" s="256"/>
    </row>
    <row r="65150" spans="104:111">
      <c r="CZ65150" s="256"/>
      <c r="DG65150" s="256"/>
    </row>
    <row r="65151" spans="104:111">
      <c r="CZ65151" s="256"/>
      <c r="DG65151" s="256"/>
    </row>
    <row r="65152" spans="104:111">
      <c r="CZ65152" s="256"/>
      <c r="DG65152" s="256"/>
    </row>
    <row r="65153" spans="104:111">
      <c r="CZ65153" s="256"/>
      <c r="DG65153" s="256"/>
    </row>
    <row r="65154" spans="104:111">
      <c r="CZ65154" s="256"/>
      <c r="DG65154" s="256"/>
    </row>
    <row r="65155" spans="104:111">
      <c r="CZ65155" s="256"/>
      <c r="DG65155" s="256"/>
    </row>
    <row r="65156" spans="104:111">
      <c r="CZ65156" s="256"/>
      <c r="DG65156" s="256"/>
    </row>
    <row r="65157" spans="104:111">
      <c r="CZ65157" s="256"/>
      <c r="DG65157" s="256"/>
    </row>
    <row r="65158" spans="104:111">
      <c r="CZ65158" s="256"/>
      <c r="DG65158" s="256"/>
    </row>
    <row r="65159" spans="104:111">
      <c r="CZ65159" s="256"/>
      <c r="DG65159" s="256"/>
    </row>
    <row r="65160" spans="104:111">
      <c r="CZ65160" s="256"/>
      <c r="DG65160" s="256"/>
    </row>
    <row r="65161" spans="104:111">
      <c r="CZ65161" s="256"/>
      <c r="DG65161" s="256"/>
    </row>
    <row r="65162" spans="104:111">
      <c r="CZ65162" s="256"/>
      <c r="DG65162" s="256"/>
    </row>
    <row r="65163" spans="104:111">
      <c r="CZ65163" s="256"/>
      <c r="DG65163" s="256"/>
    </row>
    <row r="65164" spans="104:111">
      <c r="CZ65164" s="256"/>
      <c r="DG65164" s="256"/>
    </row>
    <row r="65165" spans="104:111">
      <c r="CZ65165" s="256"/>
      <c r="DG65165" s="256"/>
    </row>
    <row r="65166" spans="104:111">
      <c r="CZ65166" s="256"/>
      <c r="DG65166" s="256"/>
    </row>
    <row r="65167" spans="104:111">
      <c r="CZ65167" s="256"/>
      <c r="DG65167" s="256"/>
    </row>
    <row r="65168" spans="104:111">
      <c r="CZ65168" s="256"/>
      <c r="DG65168" s="256"/>
    </row>
    <row r="65169" spans="104:111">
      <c r="CZ65169" s="256"/>
      <c r="DG65169" s="256"/>
    </row>
    <row r="65170" spans="104:111">
      <c r="CZ65170" s="256"/>
      <c r="DG65170" s="256"/>
    </row>
    <row r="65171" spans="104:111">
      <c r="CZ65171" s="256"/>
      <c r="DG65171" s="256"/>
    </row>
    <row r="65172" spans="104:111">
      <c r="CZ65172" s="256"/>
      <c r="DG65172" s="256"/>
    </row>
    <row r="65173" spans="104:111">
      <c r="CZ65173" s="256"/>
      <c r="DG65173" s="256"/>
    </row>
    <row r="65174" spans="104:111">
      <c r="CZ65174" s="256"/>
      <c r="DG65174" s="256"/>
    </row>
    <row r="65175" spans="104:111">
      <c r="CZ65175" s="256"/>
      <c r="DG65175" s="256"/>
    </row>
    <row r="65176" spans="104:111">
      <c r="CZ65176" s="256"/>
      <c r="DG65176" s="256"/>
    </row>
    <row r="65177" spans="104:111">
      <c r="CZ65177" s="256"/>
      <c r="DG65177" s="256"/>
    </row>
    <row r="65178" spans="104:111">
      <c r="CZ65178" s="256"/>
      <c r="DG65178" s="256"/>
    </row>
    <row r="65179" spans="104:111">
      <c r="CZ65179" s="256"/>
      <c r="DG65179" s="256"/>
    </row>
    <row r="65180" spans="104:111">
      <c r="CZ65180" s="256"/>
      <c r="DG65180" s="256"/>
    </row>
    <row r="65181" spans="104:111">
      <c r="CZ65181" s="256"/>
      <c r="DG65181" s="256"/>
    </row>
    <row r="65182" spans="104:111">
      <c r="CZ65182" s="256"/>
      <c r="DG65182" s="256"/>
    </row>
    <row r="65183" spans="104:111">
      <c r="CZ65183" s="256"/>
      <c r="DG65183" s="256"/>
    </row>
    <row r="65184" spans="104:111">
      <c r="CZ65184" s="256"/>
      <c r="DG65184" s="256"/>
    </row>
    <row r="65185" spans="104:111">
      <c r="CZ65185" s="256"/>
      <c r="DG65185" s="256"/>
    </row>
    <row r="65186" spans="104:111">
      <c r="CZ65186" s="256"/>
      <c r="DG65186" s="256"/>
    </row>
    <row r="65187" spans="104:111">
      <c r="CZ65187" s="256"/>
      <c r="DG65187" s="256"/>
    </row>
    <row r="65188" spans="104:111">
      <c r="CZ65188" s="256"/>
      <c r="DG65188" s="256"/>
    </row>
    <row r="65189" spans="104:111">
      <c r="CZ65189" s="256"/>
      <c r="DG65189" s="256"/>
    </row>
    <row r="65190" spans="104:111">
      <c r="CZ65190" s="256"/>
      <c r="DG65190" s="256"/>
    </row>
    <row r="65191" spans="104:111">
      <c r="CZ65191" s="256"/>
      <c r="DG65191" s="256"/>
    </row>
    <row r="65192" spans="104:111">
      <c r="CZ65192" s="256"/>
      <c r="DG65192" s="256"/>
    </row>
    <row r="65193" spans="104:111">
      <c r="CZ65193" s="256"/>
      <c r="DG65193" s="256"/>
    </row>
    <row r="65194" spans="104:111">
      <c r="CZ65194" s="256"/>
      <c r="DG65194" s="256"/>
    </row>
    <row r="65195" spans="104:111">
      <c r="CZ65195" s="256"/>
      <c r="DG65195" s="256"/>
    </row>
    <row r="65196" spans="104:111">
      <c r="CZ65196" s="256"/>
      <c r="DG65196" s="256"/>
    </row>
    <row r="65197" spans="104:111">
      <c r="CZ65197" s="256"/>
      <c r="DG65197" s="256"/>
    </row>
    <row r="65198" spans="104:111">
      <c r="CZ65198" s="256"/>
      <c r="DG65198" s="256"/>
    </row>
    <row r="65199" spans="104:111">
      <c r="CZ65199" s="256"/>
      <c r="DG65199" s="256"/>
    </row>
    <row r="65200" spans="104:111">
      <c r="CZ65200" s="256"/>
      <c r="DG65200" s="256"/>
    </row>
    <row r="65201" spans="104:111">
      <c r="CZ65201" s="256"/>
      <c r="DG65201" s="256"/>
    </row>
    <row r="65202" spans="104:111">
      <c r="CZ65202" s="256"/>
      <c r="DG65202" s="256"/>
    </row>
    <row r="65203" spans="104:111">
      <c r="CZ65203" s="256"/>
      <c r="DG65203" s="256"/>
    </row>
    <row r="65204" spans="104:111">
      <c r="CZ65204" s="256"/>
      <c r="DG65204" s="256"/>
    </row>
    <row r="65205" spans="104:111">
      <c r="CZ65205" s="256"/>
      <c r="DG65205" s="256"/>
    </row>
    <row r="65206" spans="104:111">
      <c r="CZ65206" s="256"/>
      <c r="DG65206" s="256"/>
    </row>
    <row r="65207" spans="104:111">
      <c r="CZ65207" s="256"/>
      <c r="DG65207" s="256"/>
    </row>
    <row r="65208" spans="104:111">
      <c r="CZ65208" s="256"/>
      <c r="DG65208" s="256"/>
    </row>
    <row r="65209" spans="104:111">
      <c r="CZ65209" s="256"/>
      <c r="DG65209" s="256"/>
    </row>
    <row r="65210" spans="104:111">
      <c r="CZ65210" s="256"/>
      <c r="DG65210" s="256"/>
    </row>
    <row r="65211" spans="104:111">
      <c r="CZ65211" s="256"/>
      <c r="DG65211" s="256"/>
    </row>
    <row r="65212" spans="104:111">
      <c r="CZ65212" s="256"/>
      <c r="DG65212" s="256"/>
    </row>
    <row r="65213" spans="104:111">
      <c r="CZ65213" s="256"/>
      <c r="DG65213" s="256"/>
    </row>
    <row r="65214" spans="104:111">
      <c r="CZ65214" s="256"/>
      <c r="DG65214" s="256"/>
    </row>
    <row r="65215" spans="104:111">
      <c r="CZ65215" s="256"/>
      <c r="DG65215" s="256"/>
    </row>
    <row r="65216" spans="104:111">
      <c r="CZ65216" s="256"/>
      <c r="DG65216" s="256"/>
    </row>
    <row r="65217" spans="104:111">
      <c r="CZ65217" s="256"/>
      <c r="DG65217" s="256"/>
    </row>
    <row r="65218" spans="104:111">
      <c r="CZ65218" s="256"/>
      <c r="DG65218" s="256"/>
    </row>
    <row r="65219" spans="104:111">
      <c r="CZ65219" s="256"/>
      <c r="DG65219" s="256"/>
    </row>
    <row r="65220" spans="104:111">
      <c r="CZ65220" s="256"/>
      <c r="DG65220" s="256"/>
    </row>
    <row r="65221" spans="104:111">
      <c r="CZ65221" s="256"/>
      <c r="DG65221" s="256"/>
    </row>
    <row r="65222" spans="104:111">
      <c r="CZ65222" s="256"/>
      <c r="DG65222" s="256"/>
    </row>
    <row r="65223" spans="104:111">
      <c r="CZ65223" s="256"/>
      <c r="DG65223" s="256"/>
    </row>
    <row r="65224" spans="104:111">
      <c r="CZ65224" s="256"/>
      <c r="DG65224" s="256"/>
    </row>
    <row r="65225" spans="104:111">
      <c r="CZ65225" s="256"/>
      <c r="DG65225" s="256"/>
    </row>
    <row r="65226" spans="104:111">
      <c r="CZ65226" s="256"/>
      <c r="DG65226" s="256"/>
    </row>
    <row r="65227" spans="104:111">
      <c r="CZ65227" s="256"/>
      <c r="DG65227" s="256"/>
    </row>
    <row r="65228" spans="104:111">
      <c r="CZ65228" s="256"/>
      <c r="DG65228" s="256"/>
    </row>
    <row r="65229" spans="104:111">
      <c r="CZ65229" s="256"/>
      <c r="DG65229" s="256"/>
    </row>
    <row r="65230" spans="104:111">
      <c r="CZ65230" s="256"/>
      <c r="DG65230" s="256"/>
    </row>
    <row r="65231" spans="104:111">
      <c r="CZ65231" s="256"/>
      <c r="DG65231" s="256"/>
    </row>
    <row r="65232" spans="104:111">
      <c r="CZ65232" s="256"/>
      <c r="DG65232" s="256"/>
    </row>
    <row r="65233" spans="104:111">
      <c r="CZ65233" s="256"/>
      <c r="DG65233" s="256"/>
    </row>
    <row r="65234" spans="104:111">
      <c r="CZ65234" s="256"/>
      <c r="DG65234" s="256"/>
    </row>
    <row r="65235" spans="104:111">
      <c r="CZ65235" s="256"/>
      <c r="DG65235" s="256"/>
    </row>
    <row r="65236" spans="104:111">
      <c r="CZ65236" s="256"/>
      <c r="DG65236" s="256"/>
    </row>
    <row r="65237" spans="104:111">
      <c r="CZ65237" s="256"/>
      <c r="DG65237" s="256"/>
    </row>
    <row r="65238" spans="104:111">
      <c r="CZ65238" s="256"/>
      <c r="DG65238" s="256"/>
    </row>
    <row r="65239" spans="104:111">
      <c r="CZ65239" s="256"/>
      <c r="DG65239" s="256"/>
    </row>
    <row r="65240" spans="104:111">
      <c r="CZ65240" s="256"/>
      <c r="DG65240" s="256"/>
    </row>
    <row r="65241" spans="104:111">
      <c r="CZ65241" s="256"/>
      <c r="DG65241" s="256"/>
    </row>
    <row r="65242" spans="104:111">
      <c r="CZ65242" s="256"/>
      <c r="DG65242" s="256"/>
    </row>
    <row r="65243" spans="104:111">
      <c r="CZ65243" s="256"/>
      <c r="DG65243" s="256"/>
    </row>
    <row r="65244" spans="104:111">
      <c r="CZ65244" s="256"/>
      <c r="DG65244" s="256"/>
    </row>
    <row r="65245" spans="104:111">
      <c r="CZ65245" s="256"/>
      <c r="DG65245" s="256"/>
    </row>
    <row r="65246" spans="104:111">
      <c r="CZ65246" s="256"/>
      <c r="DG65246" s="256"/>
    </row>
    <row r="65247" spans="104:111">
      <c r="CZ65247" s="256"/>
      <c r="DG65247" s="256"/>
    </row>
    <row r="65248" spans="104:111">
      <c r="CZ65248" s="256"/>
      <c r="DG65248" s="256"/>
    </row>
    <row r="65249" spans="104:111">
      <c r="CZ65249" s="256"/>
      <c r="DG65249" s="256"/>
    </row>
    <row r="65250" spans="104:111">
      <c r="CZ65250" s="256"/>
      <c r="DG65250" s="256"/>
    </row>
    <row r="65251" spans="104:111">
      <c r="CZ65251" s="256"/>
      <c r="DG65251" s="256"/>
    </row>
    <row r="65252" spans="104:111">
      <c r="CZ65252" s="256"/>
      <c r="DG65252" s="256"/>
    </row>
    <row r="65253" spans="104:111">
      <c r="CZ65253" s="256"/>
      <c r="DG65253" s="256"/>
    </row>
    <row r="65254" spans="104:111">
      <c r="CZ65254" s="256"/>
      <c r="DG65254" s="256"/>
    </row>
    <row r="65255" spans="104:111">
      <c r="CZ65255" s="256"/>
      <c r="DG65255" s="256"/>
    </row>
    <row r="65256" spans="104:111">
      <c r="CZ65256" s="256"/>
      <c r="DG65256" s="256"/>
    </row>
    <row r="65257" spans="104:111">
      <c r="CZ65257" s="256"/>
      <c r="DG65257" s="256"/>
    </row>
    <row r="65258" spans="104:111">
      <c r="CZ65258" s="256"/>
      <c r="DG65258" s="256"/>
    </row>
    <row r="65259" spans="104:111">
      <c r="CZ65259" s="256"/>
      <c r="DG65259" s="256"/>
    </row>
    <row r="65260" spans="104:111">
      <c r="CZ65260" s="256"/>
      <c r="DG65260" s="256"/>
    </row>
    <row r="65261" spans="104:111">
      <c r="CZ65261" s="256"/>
      <c r="DG65261" s="256"/>
    </row>
    <row r="65262" spans="104:111">
      <c r="CZ65262" s="256"/>
      <c r="DG65262" s="256"/>
    </row>
    <row r="65263" spans="104:111">
      <c r="CZ65263" s="256"/>
      <c r="DG65263" s="256"/>
    </row>
    <row r="65264" spans="104:111">
      <c r="CZ65264" s="256"/>
      <c r="DG65264" s="256"/>
    </row>
    <row r="65265" spans="104:111">
      <c r="CZ65265" s="256"/>
      <c r="DG65265" s="256"/>
    </row>
    <row r="65266" spans="104:111">
      <c r="CZ65266" s="256"/>
      <c r="DG65266" s="256"/>
    </row>
    <row r="65267" spans="104:111">
      <c r="CZ65267" s="256"/>
      <c r="DG65267" s="256"/>
    </row>
    <row r="65268" spans="104:111">
      <c r="CZ65268" s="256"/>
      <c r="DG65268" s="256"/>
    </row>
    <row r="65269" spans="104:111">
      <c r="CZ65269" s="256"/>
      <c r="DG65269" s="256"/>
    </row>
    <row r="65270" spans="104:111">
      <c r="CZ65270" s="256"/>
      <c r="DG65270" s="256"/>
    </row>
    <row r="65271" spans="104:111">
      <c r="CZ65271" s="256"/>
      <c r="DG65271" s="256"/>
    </row>
    <row r="65272" spans="104:111">
      <c r="CZ65272" s="256"/>
      <c r="DG65272" s="256"/>
    </row>
    <row r="65273" spans="104:111">
      <c r="CZ65273" s="256"/>
      <c r="DG65273" s="256"/>
    </row>
    <row r="65274" spans="104:111">
      <c r="CZ65274" s="256"/>
      <c r="DG65274" s="256"/>
    </row>
    <row r="65275" spans="104:111">
      <c r="CZ65275" s="256"/>
      <c r="DG65275" s="256"/>
    </row>
    <row r="65276" spans="104:111">
      <c r="CZ65276" s="256"/>
      <c r="DG65276" s="256"/>
    </row>
    <row r="65277" spans="104:111">
      <c r="CZ65277" s="256"/>
      <c r="DG65277" s="256"/>
    </row>
    <row r="65278" spans="104:111">
      <c r="CZ65278" s="256"/>
      <c r="DG65278" s="256"/>
    </row>
    <row r="65279" spans="104:111">
      <c r="CZ65279" s="256"/>
      <c r="DG65279" s="256"/>
    </row>
    <row r="65280" spans="104:111">
      <c r="CZ65280" s="256"/>
      <c r="DG65280" s="256"/>
    </row>
    <row r="65281" spans="104:111">
      <c r="CZ65281" s="256"/>
      <c r="DG65281" s="256"/>
    </row>
    <row r="65282" spans="104:111">
      <c r="CZ65282" s="256"/>
      <c r="DG65282" s="256"/>
    </row>
    <row r="65283" spans="104:111">
      <c r="CZ65283" s="256"/>
      <c r="DG65283" s="256"/>
    </row>
    <row r="65284" spans="104:111">
      <c r="CZ65284" s="256"/>
      <c r="DG65284" s="256"/>
    </row>
    <row r="65285" spans="104:111">
      <c r="CZ65285" s="256"/>
      <c r="DG65285" s="256"/>
    </row>
    <row r="65286" spans="104:111">
      <c r="CZ65286" s="256"/>
      <c r="DG65286" s="256"/>
    </row>
    <row r="65287" spans="104:111">
      <c r="CZ65287" s="256"/>
      <c r="DG65287" s="256"/>
    </row>
    <row r="65288" spans="104:111">
      <c r="CZ65288" s="256"/>
      <c r="DG65288" s="256"/>
    </row>
    <row r="65289" spans="104:111">
      <c r="CZ65289" s="256"/>
      <c r="DG65289" s="256"/>
    </row>
    <row r="65290" spans="104:111">
      <c r="CZ65290" s="256"/>
      <c r="DG65290" s="256"/>
    </row>
    <row r="65291" spans="104:111">
      <c r="CZ65291" s="256"/>
      <c r="DG65291" s="256"/>
    </row>
    <row r="65292" spans="104:111">
      <c r="CZ65292" s="256"/>
      <c r="DG65292" s="256"/>
    </row>
    <row r="65293" spans="104:111">
      <c r="CZ65293" s="256"/>
      <c r="DG65293" s="256"/>
    </row>
    <row r="65294" spans="104:111">
      <c r="CZ65294" s="256"/>
      <c r="DG65294" s="256"/>
    </row>
    <row r="65295" spans="104:111">
      <c r="CZ65295" s="256"/>
      <c r="DG65295" s="256"/>
    </row>
    <row r="65296" spans="104:111">
      <c r="CZ65296" s="256"/>
      <c r="DG65296" s="256"/>
    </row>
    <row r="65297" spans="104:111">
      <c r="CZ65297" s="256"/>
      <c r="DG65297" s="256"/>
    </row>
    <row r="65298" spans="104:111">
      <c r="CZ65298" s="256"/>
      <c r="DG65298" s="256"/>
    </row>
    <row r="65299" spans="104:111">
      <c r="CZ65299" s="256"/>
      <c r="DG65299" s="256"/>
    </row>
    <row r="65300" spans="104:111">
      <c r="CZ65300" s="256"/>
      <c r="DG65300" s="256"/>
    </row>
    <row r="65301" spans="104:111">
      <c r="CZ65301" s="256"/>
      <c r="DG65301" s="256"/>
    </row>
    <row r="65302" spans="104:111">
      <c r="CZ65302" s="256"/>
      <c r="DG65302" s="256"/>
    </row>
    <row r="65303" spans="104:111">
      <c r="CZ65303" s="256"/>
      <c r="DG65303" s="256"/>
    </row>
    <row r="65304" spans="104:111">
      <c r="CZ65304" s="256"/>
      <c r="DG65304" s="256"/>
    </row>
    <row r="65305" spans="104:111">
      <c r="CZ65305" s="256"/>
      <c r="DG65305" s="256"/>
    </row>
    <row r="65306" spans="104:111">
      <c r="CZ65306" s="256"/>
      <c r="DG65306" s="256"/>
    </row>
    <row r="65307" spans="104:111">
      <c r="CZ65307" s="256"/>
      <c r="DG65307" s="256"/>
    </row>
    <row r="65308" spans="104:111">
      <c r="CZ65308" s="256"/>
      <c r="DG65308" s="256"/>
    </row>
    <row r="65309" spans="104:111">
      <c r="CZ65309" s="256"/>
      <c r="DG65309" s="256"/>
    </row>
    <row r="65310" spans="104:111">
      <c r="CZ65310" s="256"/>
      <c r="DG65310" s="256"/>
    </row>
    <row r="65311" spans="104:111">
      <c r="CZ65311" s="256"/>
      <c r="DG65311" s="256"/>
    </row>
    <row r="65312" spans="104:111">
      <c r="CZ65312" s="256"/>
      <c r="DG65312" s="256"/>
    </row>
    <row r="65313" spans="104:111">
      <c r="CZ65313" s="256"/>
      <c r="DG65313" s="256"/>
    </row>
    <row r="65314" spans="104:111">
      <c r="CZ65314" s="256"/>
      <c r="DG65314" s="256"/>
    </row>
    <row r="65315" spans="104:111">
      <c r="CZ65315" s="256"/>
      <c r="DG65315" s="256"/>
    </row>
    <row r="65316" spans="104:111">
      <c r="CZ65316" s="256"/>
      <c r="DG65316" s="256"/>
    </row>
    <row r="65317" spans="104:111">
      <c r="CZ65317" s="256"/>
      <c r="DG65317" s="256"/>
    </row>
    <row r="65318" spans="104:111">
      <c r="CZ65318" s="256"/>
      <c r="DG65318" s="256"/>
    </row>
    <row r="65319" spans="104:111">
      <c r="CZ65319" s="256"/>
      <c r="DG65319" s="256"/>
    </row>
    <row r="65320" spans="104:111">
      <c r="CZ65320" s="256"/>
      <c r="DG65320" s="256"/>
    </row>
    <row r="65321" spans="104:111">
      <c r="CZ65321" s="256"/>
      <c r="DG65321" s="256"/>
    </row>
    <row r="65322" spans="104:111">
      <c r="CZ65322" s="256"/>
      <c r="DG65322" s="256"/>
    </row>
    <row r="65323" spans="104:111">
      <c r="CZ65323" s="256"/>
      <c r="DG65323" s="256"/>
    </row>
    <row r="65324" spans="104:111">
      <c r="CZ65324" s="256"/>
      <c r="DG65324" s="256"/>
    </row>
    <row r="65325" spans="104:111">
      <c r="CZ65325" s="256"/>
      <c r="DG65325" s="256"/>
    </row>
    <row r="65326" spans="104:111">
      <c r="CZ65326" s="256"/>
      <c r="DG65326" s="256"/>
    </row>
    <row r="65327" spans="104:111">
      <c r="CZ65327" s="256"/>
      <c r="DG65327" s="256"/>
    </row>
    <row r="65328" spans="104:111">
      <c r="CZ65328" s="256"/>
      <c r="DG65328" s="256"/>
    </row>
    <row r="65329" spans="104:111">
      <c r="CZ65329" s="256"/>
      <c r="DG65329" s="256"/>
    </row>
    <row r="65330" spans="104:111">
      <c r="CZ65330" s="256"/>
      <c r="DG65330" s="256"/>
    </row>
    <row r="65331" spans="104:111">
      <c r="CZ65331" s="256"/>
      <c r="DG65331" s="256"/>
    </row>
    <row r="65332" spans="104:111">
      <c r="CZ65332" s="256"/>
      <c r="DG65332" s="256"/>
    </row>
    <row r="65333" spans="104:111">
      <c r="CZ65333" s="256"/>
      <c r="DG65333" s="256"/>
    </row>
    <row r="65334" spans="104:111">
      <c r="CZ65334" s="256"/>
      <c r="DG65334" s="256"/>
    </row>
    <row r="65335" spans="104:111">
      <c r="CZ65335" s="256"/>
      <c r="DG65335" s="256"/>
    </row>
    <row r="65336" spans="104:111">
      <c r="CZ65336" s="256"/>
      <c r="DG65336" s="256"/>
    </row>
    <row r="65337" spans="104:111">
      <c r="CZ65337" s="256"/>
      <c r="DG65337" s="256"/>
    </row>
    <row r="65338" spans="104:111">
      <c r="CZ65338" s="256"/>
      <c r="DG65338" s="256"/>
    </row>
    <row r="65339" spans="104:111">
      <c r="CZ65339" s="256"/>
      <c r="DG65339" s="256"/>
    </row>
    <row r="65340" spans="104:111">
      <c r="CZ65340" s="256"/>
      <c r="DG65340" s="256"/>
    </row>
    <row r="65341" spans="104:111">
      <c r="CZ65341" s="256"/>
      <c r="DG65341" s="256"/>
    </row>
    <row r="65342" spans="104:111">
      <c r="CZ65342" s="256"/>
      <c r="DG65342" s="256"/>
    </row>
    <row r="65343" spans="104:111">
      <c r="CZ65343" s="256"/>
      <c r="DG65343" s="256"/>
    </row>
    <row r="65344" spans="104:111">
      <c r="CZ65344" s="256"/>
      <c r="DG65344" s="256"/>
    </row>
    <row r="65345" spans="104:111">
      <c r="CZ65345" s="256"/>
      <c r="DG65345" s="256"/>
    </row>
    <row r="65346" spans="104:111">
      <c r="CZ65346" s="256"/>
      <c r="DG65346" s="256"/>
    </row>
    <row r="65347" spans="104:111">
      <c r="CZ65347" s="256"/>
      <c r="DG65347" s="256"/>
    </row>
    <row r="65348" spans="104:111">
      <c r="CZ65348" s="256"/>
      <c r="DG65348" s="256"/>
    </row>
    <row r="65349" spans="104:111">
      <c r="CZ65349" s="256"/>
      <c r="DG65349" s="256"/>
    </row>
    <row r="65350" spans="104:111">
      <c r="CZ65350" s="256"/>
      <c r="DG65350" s="256"/>
    </row>
    <row r="65351" spans="104:111">
      <c r="CZ65351" s="256"/>
      <c r="DG65351" s="256"/>
    </row>
    <row r="65352" spans="104:111">
      <c r="CZ65352" s="256"/>
      <c r="DG65352" s="256"/>
    </row>
    <row r="65353" spans="104:111">
      <c r="CZ65353" s="256"/>
      <c r="DG65353" s="256"/>
    </row>
    <row r="65354" spans="104:111">
      <c r="CZ65354" s="256"/>
      <c r="DG65354" s="256"/>
    </row>
    <row r="65355" spans="104:111">
      <c r="CZ65355" s="256"/>
      <c r="DG65355" s="256"/>
    </row>
    <row r="65356" spans="104:111">
      <c r="CZ65356" s="256"/>
      <c r="DG65356" s="256"/>
    </row>
    <row r="65357" spans="104:111">
      <c r="CZ65357" s="256"/>
      <c r="DG65357" s="256"/>
    </row>
    <row r="65358" spans="104:111">
      <c r="CZ65358" s="256"/>
      <c r="DG65358" s="256"/>
    </row>
    <row r="65359" spans="104:111">
      <c r="CZ65359" s="256"/>
      <c r="DG65359" s="256"/>
    </row>
    <row r="65360" spans="104:111">
      <c r="CZ65360" s="256"/>
      <c r="DG65360" s="256"/>
    </row>
    <row r="65361" spans="104:111">
      <c r="CZ65361" s="256"/>
      <c r="DG65361" s="256"/>
    </row>
    <row r="65362" spans="104:111">
      <c r="CZ65362" s="256"/>
      <c r="DG65362" s="256"/>
    </row>
    <row r="65363" spans="104:111">
      <c r="CZ65363" s="256"/>
      <c r="DG65363" s="256"/>
    </row>
    <row r="65364" spans="104:111">
      <c r="CZ65364" s="256"/>
      <c r="DG65364" s="256"/>
    </row>
    <row r="65365" spans="104:111">
      <c r="CZ65365" s="256"/>
      <c r="DG65365" s="256"/>
    </row>
    <row r="65366" spans="104:111">
      <c r="CZ65366" s="256"/>
      <c r="DG65366" s="256"/>
    </row>
    <row r="65367" spans="104:111">
      <c r="CZ65367" s="256"/>
      <c r="DG65367" s="256"/>
    </row>
    <row r="65368" spans="104:111">
      <c r="CZ65368" s="256"/>
      <c r="DG65368" s="256"/>
    </row>
    <row r="65369" spans="104:111">
      <c r="CZ65369" s="256"/>
      <c r="DG65369" s="256"/>
    </row>
    <row r="65370" spans="104:111">
      <c r="CZ65370" s="256"/>
      <c r="DG65370" s="256"/>
    </row>
    <row r="65371" spans="104:111">
      <c r="CZ65371" s="256"/>
      <c r="DG65371" s="256"/>
    </row>
    <row r="65372" spans="104:111">
      <c r="CZ65372" s="256"/>
      <c r="DG65372" s="256"/>
    </row>
    <row r="65373" spans="104:111">
      <c r="CZ65373" s="256"/>
      <c r="DG65373" s="256"/>
    </row>
    <row r="65374" spans="104:111">
      <c r="CZ65374" s="256"/>
      <c r="DG65374" s="256"/>
    </row>
    <row r="65375" spans="104:111">
      <c r="CZ65375" s="256"/>
      <c r="DG65375" s="256"/>
    </row>
    <row r="65376" spans="104:111">
      <c r="CZ65376" s="256"/>
      <c r="DG65376" s="256"/>
    </row>
    <row r="65377" spans="104:111">
      <c r="CZ65377" s="256"/>
      <c r="DG65377" s="256"/>
    </row>
    <row r="65378" spans="104:111">
      <c r="CZ65378" s="256"/>
      <c r="DG65378" s="256"/>
    </row>
    <row r="65379" spans="104:111">
      <c r="CZ65379" s="256"/>
      <c r="DG65379" s="256"/>
    </row>
    <row r="65380" spans="104:111">
      <c r="CZ65380" s="256"/>
      <c r="DG65380" s="256"/>
    </row>
    <row r="65381" spans="104:111">
      <c r="CZ65381" s="256"/>
      <c r="DG65381" s="256"/>
    </row>
    <row r="65382" spans="104:111">
      <c r="CZ65382" s="256"/>
      <c r="DG65382" s="256"/>
    </row>
    <row r="65383" spans="104:111">
      <c r="CZ65383" s="256"/>
      <c r="DG65383" s="256"/>
    </row>
    <row r="65384" spans="104:111">
      <c r="CZ65384" s="256"/>
      <c r="DG65384" s="256"/>
    </row>
    <row r="65385" spans="104:111">
      <c r="CZ65385" s="256"/>
      <c r="DG65385" s="256"/>
    </row>
    <row r="65386" spans="104:111">
      <c r="CZ65386" s="256"/>
      <c r="DG65386" s="256"/>
    </row>
    <row r="65387" spans="104:111">
      <c r="CZ65387" s="256"/>
      <c r="DG65387" s="256"/>
    </row>
    <row r="65388" spans="104:111">
      <c r="CZ65388" s="256"/>
      <c r="DG65388" s="256"/>
    </row>
    <row r="65389" spans="104:111">
      <c r="CZ65389" s="256"/>
      <c r="DG65389" s="256"/>
    </row>
    <row r="65390" spans="104:111">
      <c r="CZ65390" s="256"/>
      <c r="DG65390" s="256"/>
    </row>
    <row r="65391" spans="104:111">
      <c r="CZ65391" s="256"/>
      <c r="DG65391" s="256"/>
    </row>
    <row r="65392" spans="104:111">
      <c r="CZ65392" s="256"/>
      <c r="DG65392" s="256"/>
    </row>
    <row r="65393" spans="104:111">
      <c r="CZ65393" s="256"/>
      <c r="DG65393" s="256"/>
    </row>
    <row r="65394" spans="104:111">
      <c r="CZ65394" s="256"/>
      <c r="DG65394" s="256"/>
    </row>
    <row r="65395" spans="104:111">
      <c r="CZ65395" s="256"/>
      <c r="DG65395" s="256"/>
    </row>
    <row r="65396" spans="104:111">
      <c r="CZ65396" s="256"/>
      <c r="DG65396" s="256"/>
    </row>
    <row r="65397" spans="104:111">
      <c r="CZ65397" s="256"/>
      <c r="DG65397" s="256"/>
    </row>
    <row r="65398" spans="104:111">
      <c r="CZ65398" s="256"/>
      <c r="DG65398" s="256"/>
    </row>
    <row r="65399" spans="104:111">
      <c r="CZ65399" s="256"/>
      <c r="DG65399" s="256"/>
    </row>
    <row r="65400" spans="104:111">
      <c r="CZ65400" s="256"/>
      <c r="DG65400" s="256"/>
    </row>
    <row r="65401" spans="104:111">
      <c r="CZ65401" s="256"/>
      <c r="DG65401" s="256"/>
    </row>
    <row r="65402" spans="104:111">
      <c r="CZ65402" s="256"/>
      <c r="DG65402" s="256"/>
    </row>
    <row r="65403" spans="104:111">
      <c r="CZ65403" s="256"/>
      <c r="DG65403" s="256"/>
    </row>
    <row r="65404" spans="104:111">
      <c r="CZ65404" s="256"/>
      <c r="DG65404" s="256"/>
    </row>
    <row r="65405" spans="104:111">
      <c r="CZ65405" s="256"/>
      <c r="DG65405" s="256"/>
    </row>
    <row r="65406" spans="104:111">
      <c r="CZ65406" s="256"/>
      <c r="DG65406" s="256"/>
    </row>
    <row r="65407" spans="104:111">
      <c r="CZ65407" s="256"/>
      <c r="DG65407" s="256"/>
    </row>
    <row r="65408" spans="104:111">
      <c r="CZ65408" s="256"/>
      <c r="DG65408" s="256"/>
    </row>
    <row r="65409" spans="104:111">
      <c r="CZ65409" s="256"/>
      <c r="DG65409" s="256"/>
    </row>
    <row r="65410" spans="104:111">
      <c r="CZ65410" s="256"/>
      <c r="DG65410" s="256"/>
    </row>
    <row r="65411" spans="104:111">
      <c r="CZ65411" s="256"/>
      <c r="DG65411" s="256"/>
    </row>
    <row r="65412" spans="104:111">
      <c r="CZ65412" s="256"/>
      <c r="DG65412" s="256"/>
    </row>
    <row r="65413" spans="104:111">
      <c r="CZ65413" s="256"/>
      <c r="DG65413" s="256"/>
    </row>
    <row r="65414" spans="104:111">
      <c r="CZ65414" s="256"/>
      <c r="DG65414" s="256"/>
    </row>
    <row r="65415" spans="104:111">
      <c r="CZ65415" s="256"/>
      <c r="DG65415" s="256"/>
    </row>
    <row r="65416" spans="104:111">
      <c r="CZ65416" s="256"/>
      <c r="DG65416" s="256"/>
    </row>
    <row r="65417" spans="104:111">
      <c r="CZ65417" s="256"/>
      <c r="DG65417" s="256"/>
    </row>
    <row r="65418" spans="104:111">
      <c r="CZ65418" s="256"/>
      <c r="DG65418" s="256"/>
    </row>
    <row r="65419" spans="104:111">
      <c r="CZ65419" s="256"/>
      <c r="DG65419" s="256"/>
    </row>
    <row r="65420" spans="104:111">
      <c r="CZ65420" s="256"/>
      <c r="DG65420" s="256"/>
    </row>
    <row r="65421" spans="104:111">
      <c r="CZ65421" s="256"/>
      <c r="DG65421" s="256"/>
    </row>
    <row r="65422" spans="104:111">
      <c r="CZ65422" s="256"/>
      <c r="DG65422" s="256"/>
    </row>
    <row r="65423" spans="104:111">
      <c r="CZ65423" s="256"/>
      <c r="DG65423" s="256"/>
    </row>
    <row r="65424" spans="104:111">
      <c r="CZ65424" s="256"/>
      <c r="DG65424" s="256"/>
    </row>
    <row r="65425" spans="104:111">
      <c r="CZ65425" s="256"/>
      <c r="DG65425" s="256"/>
    </row>
    <row r="65426" spans="104:111">
      <c r="CZ65426" s="256"/>
      <c r="DG65426" s="256"/>
    </row>
    <row r="65427" spans="104:111">
      <c r="CZ65427" s="256"/>
      <c r="DG65427" s="256"/>
    </row>
    <row r="65428" spans="104:111">
      <c r="CZ65428" s="256"/>
      <c r="DG65428" s="256"/>
    </row>
    <row r="65429" spans="104:111">
      <c r="CZ65429" s="256"/>
      <c r="DG65429" s="256"/>
    </row>
    <row r="65430" spans="104:111">
      <c r="CZ65430" s="256"/>
      <c r="DG65430" s="256"/>
    </row>
    <row r="65431" spans="104:111">
      <c r="CZ65431" s="256"/>
      <c r="DG65431" s="256"/>
    </row>
    <row r="65432" spans="104:111">
      <c r="CZ65432" s="256"/>
      <c r="DG65432" s="256"/>
    </row>
    <row r="65433" spans="104:111">
      <c r="CZ65433" s="256"/>
      <c r="DG65433" s="256"/>
    </row>
    <row r="65434" spans="104:111">
      <c r="CZ65434" s="256"/>
      <c r="DG65434" s="256"/>
    </row>
    <row r="65435" spans="104:111">
      <c r="CZ65435" s="256"/>
      <c r="DG65435" s="256"/>
    </row>
    <row r="65436" spans="104:111">
      <c r="CZ65436" s="256"/>
      <c r="DG65436" s="256"/>
    </row>
    <row r="65437" spans="104:111">
      <c r="CZ65437" s="256"/>
      <c r="DG65437" s="256"/>
    </row>
    <row r="65438" spans="104:111">
      <c r="CZ65438" s="256"/>
      <c r="DG65438" s="256"/>
    </row>
    <row r="65439" spans="104:111">
      <c r="CZ65439" s="256"/>
      <c r="DG65439" s="256"/>
    </row>
    <row r="65440" spans="104:111">
      <c r="CZ65440" s="256"/>
      <c r="DG65440" s="256"/>
    </row>
    <row r="65441" spans="104:111">
      <c r="CZ65441" s="256"/>
      <c r="DG65441" s="256"/>
    </row>
    <row r="65442" spans="104:111">
      <c r="CZ65442" s="256"/>
      <c r="DG65442" s="256"/>
    </row>
    <row r="65443" spans="104:111">
      <c r="CZ65443" s="256"/>
      <c r="DG65443" s="256"/>
    </row>
    <row r="65444" spans="104:111">
      <c r="CZ65444" s="256"/>
      <c r="DG65444" s="256"/>
    </row>
    <row r="65445" spans="104:111">
      <c r="CZ65445" s="256"/>
      <c r="DG65445" s="256"/>
    </row>
    <row r="65446" spans="104:111">
      <c r="CZ65446" s="256"/>
      <c r="DG65446" s="256"/>
    </row>
    <row r="65447" spans="104:111">
      <c r="CZ65447" s="256"/>
      <c r="DG65447" s="256"/>
    </row>
    <row r="65448" spans="104:111">
      <c r="CZ65448" s="256"/>
      <c r="DG65448" s="256"/>
    </row>
    <row r="65449" spans="104:111">
      <c r="CZ65449" s="256"/>
      <c r="DG65449" s="256"/>
    </row>
    <row r="65450" spans="104:111">
      <c r="CZ65450" s="256"/>
      <c r="DG65450" s="256"/>
    </row>
    <row r="65451" spans="104:111">
      <c r="CZ65451" s="256"/>
      <c r="DG65451" s="256"/>
    </row>
    <row r="65452" spans="104:111">
      <c r="CZ65452" s="256"/>
      <c r="DG65452" s="256"/>
    </row>
    <row r="65453" spans="104:111">
      <c r="CZ65453" s="256"/>
      <c r="DG65453" s="256"/>
    </row>
    <row r="65454" spans="104:111">
      <c r="CZ65454" s="256"/>
      <c r="DG65454" s="256"/>
    </row>
    <row r="65455" spans="104:111">
      <c r="CZ65455" s="256"/>
      <c r="DG65455" s="256"/>
    </row>
    <row r="65456" spans="104:111">
      <c r="CZ65456" s="256"/>
      <c r="DG65456" s="256"/>
    </row>
    <row r="65457" spans="104:111">
      <c r="CZ65457" s="256"/>
      <c r="DG65457" s="256"/>
    </row>
    <row r="65458" spans="104:111">
      <c r="CZ65458" s="256"/>
      <c r="DG65458" s="256"/>
    </row>
    <row r="65459" spans="104:111">
      <c r="CZ65459" s="256"/>
      <c r="DG65459" s="256"/>
    </row>
    <row r="65460" spans="104:111">
      <c r="CZ65460" s="256"/>
      <c r="DG65460" s="256"/>
    </row>
    <row r="65461" spans="104:111">
      <c r="CZ65461" s="256"/>
      <c r="DG65461" s="256"/>
    </row>
    <row r="65462" spans="104:111">
      <c r="CZ65462" s="256"/>
      <c r="DG65462" s="256"/>
    </row>
    <row r="65463" spans="104:111">
      <c r="CZ65463" s="256"/>
      <c r="DG65463" s="256"/>
    </row>
    <row r="65464" spans="104:111">
      <c r="CZ65464" s="256"/>
      <c r="DG65464" s="256"/>
    </row>
    <row r="65465" spans="104:111">
      <c r="CZ65465" s="256"/>
      <c r="DG65465" s="256"/>
    </row>
    <row r="65466" spans="104:111">
      <c r="CZ65466" s="256"/>
      <c r="DG65466" s="256"/>
    </row>
    <row r="65467" spans="104:111">
      <c r="CZ65467" s="256"/>
      <c r="DG65467" s="256"/>
    </row>
    <row r="65468" spans="104:111">
      <c r="CZ65468" s="256"/>
      <c r="DG65468" s="256"/>
    </row>
    <row r="65469" spans="104:111">
      <c r="CZ65469" s="256"/>
      <c r="DG65469" s="256"/>
    </row>
    <row r="65470" spans="104:111">
      <c r="CZ65470" s="256"/>
      <c r="DG65470" s="256"/>
    </row>
    <row r="65471" spans="104:111">
      <c r="CZ65471" s="256"/>
      <c r="DG65471" s="256"/>
    </row>
    <row r="65472" spans="104:111">
      <c r="CZ65472" s="256"/>
      <c r="DG65472" s="256"/>
    </row>
    <row r="65473" spans="104:111">
      <c r="CZ65473" s="256"/>
      <c r="DG65473" s="256"/>
    </row>
    <row r="65474" spans="104:111">
      <c r="CZ65474" s="256"/>
      <c r="DG65474" s="256"/>
    </row>
    <row r="65475" spans="104:111">
      <c r="CZ65475" s="256"/>
      <c r="DG65475" s="256"/>
    </row>
    <row r="65476" spans="104:111">
      <c r="CZ65476" s="256"/>
      <c r="DG65476" s="256"/>
    </row>
    <row r="65477" spans="104:111">
      <c r="CZ65477" s="256"/>
      <c r="DG65477" s="256"/>
    </row>
    <row r="65478" spans="104:111">
      <c r="CZ65478" s="256"/>
      <c r="DG65478" s="256"/>
    </row>
    <row r="65479" spans="104:111">
      <c r="CZ65479" s="256"/>
      <c r="DG65479" s="256"/>
    </row>
    <row r="65480" spans="104:111">
      <c r="CZ65480" s="256"/>
      <c r="DG65480" s="256"/>
    </row>
    <row r="65481" spans="104:111">
      <c r="CZ65481" s="256"/>
      <c r="DG65481" s="256"/>
    </row>
    <row r="65482" spans="104:111">
      <c r="CZ65482" s="256"/>
      <c r="DG65482" s="256"/>
    </row>
    <row r="65483" spans="104:111">
      <c r="CZ65483" s="256"/>
      <c r="DG65483" s="256"/>
    </row>
    <row r="65484" spans="104:111">
      <c r="CZ65484" s="256"/>
      <c r="DG65484" s="256"/>
    </row>
    <row r="65485" spans="104:111">
      <c r="CZ65485" s="256"/>
      <c r="DG65485" s="256"/>
    </row>
    <row r="65486" spans="104:111">
      <c r="CZ65486" s="256"/>
      <c r="DG65486" s="256"/>
    </row>
    <row r="65487" spans="104:111">
      <c r="CZ65487" s="256"/>
      <c r="DG65487" s="256"/>
    </row>
    <row r="65488" spans="104:111">
      <c r="CZ65488" s="256"/>
      <c r="DG65488" s="256"/>
    </row>
    <row r="65489" spans="104:111">
      <c r="CZ65489" s="256"/>
      <c r="DG65489" s="256"/>
    </row>
    <row r="65490" spans="104:111">
      <c r="CZ65490" s="256"/>
      <c r="DG65490" s="256"/>
    </row>
    <row r="65491" spans="104:111">
      <c r="CZ65491" s="256"/>
      <c r="DG65491" s="256"/>
    </row>
    <row r="65492" spans="104:111">
      <c r="CZ65492" s="256"/>
      <c r="DG65492" s="256"/>
    </row>
    <row r="65493" spans="104:111">
      <c r="CZ65493" s="256"/>
      <c r="DG65493" s="256"/>
    </row>
    <row r="65494" spans="104:111">
      <c r="CZ65494" s="256"/>
      <c r="DG65494" s="256"/>
    </row>
    <row r="65495" spans="104:111">
      <c r="CZ65495" s="256"/>
      <c r="DG65495" s="256"/>
    </row>
    <row r="65496" spans="104:111">
      <c r="CZ65496" s="256"/>
      <c r="DG65496" s="256"/>
    </row>
    <row r="65497" spans="104:111">
      <c r="CZ65497" s="256"/>
      <c r="DG65497" s="256"/>
    </row>
    <row r="65498" spans="104:111">
      <c r="CZ65498" s="256"/>
      <c r="DG65498" s="256"/>
    </row>
    <row r="65499" spans="104:111">
      <c r="CZ65499" s="256"/>
      <c r="DG65499" s="256"/>
    </row>
    <row r="65500" spans="104:111">
      <c r="CZ65500" s="256"/>
      <c r="DG65500" s="256"/>
    </row>
    <row r="65501" spans="104:111">
      <c r="CZ65501" s="256"/>
      <c r="DG65501" s="256"/>
    </row>
    <row r="65502" spans="104:111">
      <c r="CZ65502" s="256"/>
      <c r="DG65502" s="256"/>
    </row>
    <row r="65503" spans="104:111">
      <c r="CZ65503" s="256"/>
      <c r="DG65503" s="256"/>
    </row>
    <row r="65504" spans="104:111">
      <c r="CZ65504" s="256"/>
      <c r="DG65504" s="256"/>
    </row>
    <row r="65505" spans="104:111">
      <c r="CZ65505" s="256"/>
      <c r="DG65505" s="256"/>
    </row>
    <row r="65506" spans="104:111">
      <c r="CZ65506" s="256"/>
      <c r="DG65506" s="256"/>
    </row>
    <row r="65507" spans="104:111">
      <c r="CZ65507" s="256"/>
      <c r="DG65507" s="256"/>
    </row>
    <row r="65508" spans="104:111">
      <c r="CZ65508" s="256"/>
      <c r="DG65508" s="256"/>
    </row>
    <row r="65509" spans="104:111">
      <c r="CZ65509" s="256"/>
      <c r="DG65509" s="256"/>
    </row>
    <row r="65510" spans="104:111">
      <c r="CZ65510" s="256"/>
      <c r="DG65510" s="256"/>
    </row>
    <row r="65511" spans="104:111">
      <c r="CZ65511" s="256"/>
      <c r="DG65511" s="256"/>
    </row>
    <row r="65512" spans="104:111">
      <c r="CZ65512" s="256"/>
      <c r="DG65512" s="256"/>
    </row>
    <row r="65513" spans="104:111">
      <c r="CZ65513" s="256"/>
      <c r="DG65513" s="256"/>
    </row>
    <row r="65514" spans="104:111">
      <c r="CZ65514" s="256"/>
      <c r="DG65514" s="256"/>
    </row>
    <row r="65515" spans="104:111">
      <c r="CZ65515" s="256"/>
      <c r="DG65515" s="256"/>
    </row>
    <row r="65516" spans="104:111">
      <c r="CZ65516" s="256"/>
      <c r="DG65516" s="256"/>
    </row>
    <row r="65517" spans="104:111">
      <c r="CZ65517" s="256"/>
      <c r="DG65517" s="256"/>
    </row>
    <row r="65518" spans="104:111">
      <c r="CZ65518" s="256"/>
      <c r="DG65518" s="256"/>
    </row>
    <row r="65519" spans="104:111">
      <c r="CZ65519" s="256"/>
      <c r="DG65519" s="256"/>
    </row>
    <row r="65520" spans="104:111">
      <c r="CZ65520" s="256"/>
      <c r="DG65520" s="256"/>
    </row>
    <row r="65521" spans="104:111">
      <c r="CZ65521" s="256"/>
      <c r="DG65521" s="256"/>
    </row>
    <row r="65522" spans="104:111">
      <c r="CZ65522" s="256"/>
      <c r="DG65522" s="256"/>
    </row>
    <row r="65523" spans="104:111">
      <c r="CZ65523" s="256"/>
      <c r="DG65523" s="256"/>
    </row>
    <row r="65524" spans="104:111">
      <c r="CZ65524" s="256"/>
      <c r="DG65524" s="256"/>
    </row>
    <row r="65525" spans="104:111">
      <c r="CZ65525" s="256"/>
      <c r="DG65525" s="256"/>
    </row>
    <row r="65526" spans="104:111">
      <c r="CZ65526" s="256"/>
      <c r="DG65526" s="256"/>
    </row>
    <row r="65527" spans="104:111">
      <c r="CZ65527" s="256"/>
      <c r="DG65527" s="256"/>
    </row>
    <row r="65528" spans="104:111">
      <c r="CZ65528" s="256"/>
      <c r="DG65528" s="256"/>
    </row>
    <row r="65529" spans="104:111">
      <c r="CZ65529" s="256"/>
      <c r="DG65529" s="256"/>
    </row>
    <row r="65530" spans="104:111">
      <c r="CZ65530" s="256"/>
      <c r="DG65530" s="256"/>
    </row>
    <row r="65531" spans="104:111">
      <c r="CZ65531" s="256"/>
      <c r="DG65531" s="256"/>
    </row>
    <row r="65532" spans="104:111">
      <c r="CZ65532" s="256"/>
      <c r="DG65532" s="256"/>
    </row>
    <row r="65533" spans="104:111">
      <c r="CZ65533" s="256"/>
      <c r="DG65533" s="256"/>
    </row>
    <row r="65534" spans="104:111">
      <c r="CZ65534" s="256"/>
      <c r="DG65534" s="256"/>
    </row>
    <row r="65535" spans="104:111">
      <c r="CZ65535" s="256"/>
      <c r="DG65535" s="256"/>
    </row>
    <row r="65536" spans="104:111">
      <c r="CZ65536" s="256"/>
      <c r="DG65536" s="256"/>
    </row>
  </sheetData>
  <hyperlinks>
    <hyperlink ref="CG4" r:id="rId1"/>
  </hyperlinks>
  <pageMargins left="0.75" right="0.5" top="0.75" bottom="0.75" header="0.511811023622047" footer="0.511811023622047"/>
  <pageSetup scale="20" orientation="portrait" errors="dash" r:id="rId2"/>
  <headerFooter alignWithMargins="0"/>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CU140"/>
  <sheetViews>
    <sheetView showGridLines="0" topLeftCell="A7" zoomScale="85" zoomScaleNormal="85" workbookViewId="0">
      <pane xSplit="4" ySplit="4" topLeftCell="BS57" activePane="bottomRight" state="frozenSplit"/>
      <selection activeCell="BN5" sqref="BN5"/>
      <selection pane="topRight" activeCell="BN5" sqref="BN5"/>
      <selection pane="bottomLeft" activeCell="BN5" sqref="BN5"/>
      <selection pane="bottomRight" activeCell="CI91" sqref="CI91"/>
    </sheetView>
  </sheetViews>
  <sheetFormatPr defaultRowHeight="12.75" outlineLevelRow="1" outlineLevelCol="1"/>
  <cols>
    <col min="1" max="1" width="3.28515625" customWidth="1"/>
    <col min="2" max="2" width="1.7109375" customWidth="1"/>
    <col min="3" max="3" width="21.28515625" customWidth="1"/>
    <col min="4" max="4" width="3.42578125" customWidth="1"/>
    <col min="5" max="5" width="6.42578125" customWidth="1"/>
    <col min="6" max="6" width="8.7109375" customWidth="1"/>
    <col min="7" max="7" width="9.140625" customWidth="1"/>
    <col min="8" max="12" width="8.85546875" customWidth="1"/>
    <col min="13" max="16" width="8.85546875" hidden="1" customWidth="1" outlineLevel="1"/>
    <col min="17" max="17" width="9.7109375" customWidth="1" collapsed="1"/>
    <col min="18" max="21" width="8.85546875" hidden="1" customWidth="1" outlineLevel="1"/>
    <col min="22" max="22" width="8.85546875" customWidth="1" collapsed="1"/>
    <col min="23" max="26" width="8.85546875" hidden="1" customWidth="1" outlineLevel="1"/>
    <col min="27" max="27" width="8.85546875" customWidth="1" collapsed="1"/>
    <col min="28" max="31" width="8.85546875" hidden="1" customWidth="1" outlineLevel="1"/>
    <col min="32" max="32" width="8.85546875" customWidth="1" collapsed="1"/>
    <col min="33" max="36" width="8.85546875" hidden="1" customWidth="1" outlineLevel="1"/>
    <col min="37" max="37" width="8.85546875" customWidth="1" collapsed="1"/>
    <col min="38" max="40" width="8.85546875" hidden="1" customWidth="1" outlineLevel="1"/>
    <col min="41" max="41" width="9.140625" hidden="1" customWidth="1" outlineLevel="1"/>
    <col min="42" max="42" width="8.85546875" customWidth="1" collapsed="1"/>
    <col min="43" max="46" width="8.85546875" hidden="1" customWidth="1" outlineLevel="1"/>
    <col min="47" max="47" width="8.85546875" customWidth="1" collapsed="1"/>
    <col min="48" max="51" width="8.85546875" hidden="1" customWidth="1" outlineLevel="1"/>
    <col min="52" max="52" width="9.42578125" bestFit="1" customWidth="1" collapsed="1"/>
    <col min="53" max="56" width="9.140625" hidden="1" customWidth="1" outlineLevel="1"/>
    <col min="57" max="57" width="9.140625" collapsed="1"/>
    <col min="58" max="59" width="9.140625" customWidth="1" outlineLevel="1"/>
    <col min="60" max="60" width="8.7109375" customWidth="1" outlineLevel="1"/>
    <col min="61" max="61" width="9.140625" customWidth="1" outlineLevel="1"/>
    <col min="63" max="66" width="9.140625" customWidth="1" outlineLevel="1"/>
    <col min="68" max="69" width="9.140625" customWidth="1" outlineLevel="1"/>
    <col min="70" max="71" width="9.140625" style="146" customWidth="1" outlineLevel="1"/>
    <col min="73" max="76" width="9.140625" customWidth="1" outlineLevel="1"/>
    <col min="78" max="81" width="9.140625" customWidth="1" outlineLevel="1"/>
    <col min="82" max="82" width="9.5703125" bestFit="1" customWidth="1"/>
    <col min="83" max="86" width="9.140625" style="2029" customWidth="1" outlineLevel="1"/>
    <col min="89" max="90" width="9.140625" style="2029"/>
    <col min="91" max="91" width="9.140625" style="521"/>
    <col min="92" max="92" width="43.5703125" customWidth="1"/>
    <col min="93" max="93" width="25.7109375" hidden="1" customWidth="1" outlineLevel="1"/>
    <col min="94" max="98" width="6.7109375" hidden="1" customWidth="1" outlineLevel="1"/>
    <col min="99" max="99" width="9.140625" collapsed="1"/>
  </cols>
  <sheetData>
    <row r="1" spans="1:92" ht="12" hidden="1" customHeight="1" outlineLevel="1">
      <c r="A1" s="268"/>
      <c r="B1" s="126"/>
      <c r="C1" s="126"/>
      <c r="D1" s="126"/>
      <c r="E1" s="126"/>
      <c r="F1" s="126"/>
      <c r="G1" s="126"/>
      <c r="H1" s="126"/>
      <c r="I1" s="126"/>
      <c r="J1" s="125"/>
      <c r="K1" s="724"/>
      <c r="L1" s="724"/>
      <c r="M1" s="724"/>
      <c r="N1" s="725"/>
      <c r="O1" s="724"/>
      <c r="P1" s="524"/>
      <c r="Q1" s="524"/>
      <c r="R1" s="724"/>
      <c r="S1" s="724"/>
      <c r="T1" s="726"/>
      <c r="U1" s="630"/>
      <c r="V1" s="524"/>
      <c r="W1" s="724"/>
      <c r="X1" s="724"/>
      <c r="Y1" s="724"/>
      <c r="Z1" s="524"/>
      <c r="AA1" s="524"/>
      <c r="AB1" s="524"/>
      <c r="AC1" s="524"/>
      <c r="AD1" s="524"/>
      <c r="AE1" s="725"/>
      <c r="AF1" s="725"/>
      <c r="AG1" s="725"/>
      <c r="AH1" s="725"/>
      <c r="AI1" s="725"/>
      <c r="AJ1" s="724"/>
      <c r="AK1" s="724"/>
      <c r="AL1" s="725"/>
      <c r="AM1" s="725"/>
      <c r="AN1" s="725"/>
      <c r="AO1" s="724"/>
      <c r="AP1" s="724"/>
      <c r="AQ1" s="725"/>
      <c r="AR1" s="725"/>
      <c r="AS1" s="725"/>
      <c r="AT1" s="724"/>
      <c r="AU1" s="724"/>
      <c r="AV1" s="524"/>
      <c r="AW1" s="524"/>
      <c r="AX1" s="524"/>
      <c r="AY1" s="524"/>
      <c r="AZ1" s="524"/>
      <c r="BA1" s="626"/>
      <c r="BB1" s="626"/>
      <c r="BC1" s="626"/>
      <c r="BD1" s="626"/>
      <c r="BE1" s="626"/>
      <c r="BF1" s="626"/>
      <c r="BG1" s="626"/>
      <c r="BH1" s="626"/>
      <c r="BI1" s="626"/>
      <c r="BJ1" s="524"/>
      <c r="BK1" s="626"/>
      <c r="BL1" s="626"/>
      <c r="BM1" s="626"/>
      <c r="BN1" s="626"/>
      <c r="BO1" s="524"/>
      <c r="BP1" s="626"/>
      <c r="BQ1" s="626"/>
      <c r="BR1" s="626"/>
      <c r="BS1" s="626"/>
      <c r="BT1" s="524"/>
      <c r="BU1" s="626"/>
      <c r="BV1" s="626"/>
      <c r="BW1" s="626"/>
      <c r="BX1" s="626"/>
      <c r="BY1" s="524"/>
      <c r="BZ1" s="626"/>
      <c r="CA1" s="626"/>
      <c r="CB1" s="626"/>
      <c r="CC1" s="626"/>
      <c r="CD1" s="524"/>
      <c r="CE1" s="626"/>
      <c r="CF1" s="626"/>
      <c r="CG1" s="626"/>
      <c r="CH1" s="626"/>
      <c r="CI1" s="626"/>
      <c r="CJ1" s="626"/>
      <c r="CK1" s="626"/>
      <c r="CL1" s="626"/>
      <c r="CM1" s="509"/>
      <c r="CN1" s="524"/>
    </row>
    <row r="2" spans="1:92" hidden="1" outlineLevel="1">
      <c r="A2" s="268"/>
      <c r="B2" s="520" t="s">
        <v>0</v>
      </c>
      <c r="C2" s="518"/>
      <c r="D2" s="518"/>
      <c r="E2" s="518"/>
      <c r="F2" s="518"/>
      <c r="G2" s="518"/>
      <c r="H2" s="518"/>
      <c r="I2" s="730"/>
      <c r="J2" s="730"/>
      <c r="K2" s="730"/>
      <c r="L2" s="730"/>
      <c r="M2" s="730"/>
      <c r="N2" s="730"/>
      <c r="O2" s="730"/>
      <c r="P2" s="730"/>
      <c r="Q2" s="730"/>
      <c r="R2" s="730"/>
      <c r="S2" s="730"/>
      <c r="T2" s="731"/>
      <c r="U2" s="731"/>
      <c r="V2" s="730"/>
      <c r="W2" s="730"/>
      <c r="X2" s="730"/>
      <c r="Y2" s="730"/>
      <c r="Z2" s="730"/>
      <c r="AA2" s="730"/>
      <c r="AB2" s="730"/>
      <c r="AC2" s="730"/>
      <c r="AD2" s="730"/>
      <c r="AE2" s="729"/>
      <c r="AF2" s="729"/>
      <c r="AG2" s="729"/>
      <c r="AH2" s="729"/>
      <c r="AI2" s="729"/>
      <c r="AJ2" s="518"/>
      <c r="AK2" s="518"/>
      <c r="AL2" s="729"/>
      <c r="AM2" s="729"/>
      <c r="AN2" s="729"/>
      <c r="AO2" s="518"/>
      <c r="AP2" s="518"/>
      <c r="AQ2" s="729"/>
      <c r="AR2" s="729"/>
      <c r="AS2" s="729"/>
      <c r="AT2" s="518"/>
      <c r="AU2" s="518"/>
      <c r="AV2" s="518"/>
      <c r="AW2" s="518"/>
      <c r="AX2" s="518"/>
      <c r="AY2" s="518"/>
      <c r="AZ2" s="729"/>
      <c r="BA2" s="729"/>
      <c r="BB2" s="729"/>
      <c r="BC2" s="729"/>
      <c r="BD2" s="729"/>
      <c r="BE2" s="729"/>
      <c r="BF2" s="729"/>
      <c r="BG2" s="729"/>
      <c r="BH2" s="729"/>
      <c r="BI2" s="729"/>
      <c r="BJ2" s="518"/>
      <c r="BK2" s="729"/>
      <c r="BL2" s="729"/>
      <c r="BM2" s="729"/>
      <c r="BN2" s="729"/>
      <c r="BO2" s="518"/>
      <c r="BP2" s="729"/>
      <c r="BQ2" s="729"/>
      <c r="BR2" s="729"/>
      <c r="BS2" s="729"/>
      <c r="BT2" s="518"/>
      <c r="BU2" s="729"/>
      <c r="BV2" s="729"/>
      <c r="BW2" s="729"/>
      <c r="BX2" s="729"/>
      <c r="BY2" s="517"/>
      <c r="BZ2" s="729"/>
      <c r="CA2" s="729"/>
      <c r="CB2" s="729"/>
      <c r="CC2" s="729"/>
      <c r="CD2" s="517"/>
      <c r="CE2" s="729"/>
      <c r="CF2" s="729"/>
      <c r="CG2" s="729"/>
      <c r="CH2" s="729"/>
      <c r="CI2" s="728" t="s">
        <v>1</v>
      </c>
      <c r="CJ2" s="728" t="s">
        <v>1</v>
      </c>
      <c r="CK2" s="728" t="s">
        <v>1</v>
      </c>
      <c r="CL2" s="728" t="s">
        <v>1</v>
      </c>
      <c r="CM2" s="509"/>
      <c r="CN2" s="524"/>
    </row>
    <row r="3" spans="1:92" hidden="1" outlineLevel="1">
      <c r="A3" s="268"/>
      <c r="B3" s="514" t="str">
        <f>IS!B3</f>
        <v>Morgan Stanley Research</v>
      </c>
      <c r="C3" s="116"/>
      <c r="D3" s="116"/>
      <c r="E3" s="116"/>
      <c r="F3" s="116"/>
      <c r="G3" s="116"/>
      <c r="H3" s="116"/>
      <c r="I3" s="116"/>
      <c r="J3" s="302"/>
      <c r="K3" s="524"/>
      <c r="L3" s="524"/>
      <c r="M3" s="524"/>
      <c r="N3" s="626"/>
      <c r="O3" s="524"/>
      <c r="P3" s="524"/>
      <c r="Q3" s="524"/>
      <c r="R3" s="524"/>
      <c r="S3" s="524"/>
      <c r="T3" s="630"/>
      <c r="U3" s="630"/>
      <c r="V3" s="524"/>
      <c r="W3" s="524"/>
      <c r="X3" s="524"/>
      <c r="Y3" s="524"/>
      <c r="Z3" s="524"/>
      <c r="AA3" s="524"/>
      <c r="AB3" s="524"/>
      <c r="AC3" s="524"/>
      <c r="AD3" s="524"/>
      <c r="AE3" s="626"/>
      <c r="AF3" s="626"/>
      <c r="AG3" s="626"/>
      <c r="AH3" s="626"/>
      <c r="AI3" s="626"/>
      <c r="AJ3" s="116"/>
      <c r="AK3" s="116"/>
      <c r="AL3" s="626"/>
      <c r="AM3" s="626"/>
      <c r="AN3" s="626"/>
      <c r="AO3" s="116"/>
      <c r="AP3" s="116"/>
      <c r="AQ3" s="626"/>
      <c r="AR3" s="626"/>
      <c r="AS3" s="626"/>
      <c r="AT3" s="116"/>
      <c r="AU3" s="116"/>
      <c r="AV3" s="116"/>
      <c r="AW3" s="116"/>
      <c r="AX3" s="116"/>
      <c r="AY3" s="116"/>
      <c r="AZ3" s="626"/>
      <c r="BA3" s="626"/>
      <c r="BB3" s="626"/>
      <c r="BC3" s="626"/>
      <c r="BD3" s="626"/>
      <c r="BE3" s="626"/>
      <c r="BF3" s="626"/>
      <c r="BG3" s="626"/>
      <c r="BH3" s="626"/>
      <c r="BI3" s="626"/>
      <c r="BJ3" s="116"/>
      <c r="BK3" s="626"/>
      <c r="BL3" s="626"/>
      <c r="BM3" s="626"/>
      <c r="BN3" s="626"/>
      <c r="BO3" s="116"/>
      <c r="BP3" s="626"/>
      <c r="BQ3" s="626"/>
      <c r="BR3" s="626"/>
      <c r="BS3" s="626"/>
      <c r="BT3" s="116"/>
      <c r="BU3" s="626"/>
      <c r="BV3" s="626"/>
      <c r="BW3" s="626"/>
      <c r="BX3" s="626"/>
      <c r="BY3" s="524"/>
      <c r="BZ3" s="626"/>
      <c r="CA3" s="626"/>
      <c r="CB3" s="626"/>
      <c r="CC3" s="626"/>
      <c r="CD3" s="524"/>
      <c r="CE3" s="626"/>
      <c r="CF3" s="626"/>
      <c r="CG3" s="626"/>
      <c r="CH3" s="626"/>
      <c r="CI3" s="140" t="s">
        <v>5</v>
      </c>
      <c r="CJ3" s="140" t="s">
        <v>5</v>
      </c>
      <c r="CK3" s="140" t="s">
        <v>5</v>
      </c>
      <c r="CL3" s="140" t="s">
        <v>5</v>
      </c>
      <c r="CM3" s="509"/>
      <c r="CN3" s="524"/>
    </row>
    <row r="4" spans="1:92" ht="12" hidden="1" customHeight="1" outlineLevel="1">
      <c r="A4" s="268"/>
      <c r="B4" s="514" t="str">
        <f>IS!B4</f>
        <v>YE 31 December ($ million)</v>
      </c>
      <c r="C4" s="116"/>
      <c r="D4" s="116"/>
      <c r="E4" s="116"/>
      <c r="F4" s="116"/>
      <c r="G4" s="116"/>
      <c r="H4" s="116"/>
      <c r="I4" s="116"/>
      <c r="J4" s="302"/>
      <c r="K4" s="524"/>
      <c r="L4" s="524"/>
      <c r="M4" s="524"/>
      <c r="N4" s="626"/>
      <c r="O4" s="524"/>
      <c r="P4" s="524"/>
      <c r="Q4" s="524"/>
      <c r="R4" s="721"/>
      <c r="S4" s="524"/>
      <c r="T4" s="630"/>
      <c r="U4" s="630"/>
      <c r="V4" s="524"/>
      <c r="W4" s="524"/>
      <c r="X4" s="524"/>
      <c r="Y4" s="524"/>
      <c r="Z4" s="524"/>
      <c r="AA4" s="524"/>
      <c r="AB4" s="524"/>
      <c r="AC4" s="524"/>
      <c r="AD4" s="524"/>
      <c r="AE4" s="626"/>
      <c r="AF4" s="626"/>
      <c r="AG4" s="626"/>
      <c r="AH4" s="626"/>
      <c r="AI4" s="626"/>
      <c r="AJ4" s="116"/>
      <c r="AK4" s="116"/>
      <c r="AL4" s="626"/>
      <c r="AM4" s="626"/>
      <c r="AN4" s="626"/>
      <c r="AO4" s="116"/>
      <c r="AP4" s="116"/>
      <c r="AQ4" s="626"/>
      <c r="AR4" s="626"/>
      <c r="AS4" s="626"/>
      <c r="AT4" s="116"/>
      <c r="AU4" s="116"/>
      <c r="AV4" s="116"/>
      <c r="AW4" s="116"/>
      <c r="AX4" s="116"/>
      <c r="AY4" s="116"/>
      <c r="AZ4" s="626"/>
      <c r="BA4" s="626"/>
      <c r="BB4" s="626"/>
      <c r="BC4" s="626"/>
      <c r="BD4" s="626"/>
      <c r="BE4" s="626"/>
      <c r="BF4" s="626"/>
      <c r="BG4" s="626"/>
      <c r="BH4" s="626"/>
      <c r="BI4" s="626"/>
      <c r="BJ4" s="116"/>
      <c r="BK4" s="626"/>
      <c r="BL4" s="626"/>
      <c r="BM4" s="626"/>
      <c r="BN4" s="626"/>
      <c r="BO4" s="116"/>
      <c r="BP4" s="626"/>
      <c r="BQ4" s="626"/>
      <c r="BR4" s="626"/>
      <c r="BS4" s="626"/>
      <c r="BT4" s="116"/>
      <c r="BU4" s="626"/>
      <c r="BV4" s="626"/>
      <c r="BW4" s="626"/>
      <c r="BX4" s="626"/>
      <c r="BY4" s="524"/>
      <c r="BZ4" s="626"/>
      <c r="CA4" s="626"/>
      <c r="CB4" s="626"/>
      <c r="CC4" s="626"/>
      <c r="CD4" s="524"/>
      <c r="CE4" s="626"/>
      <c r="CF4" s="626"/>
      <c r="CG4" s="626"/>
      <c r="CH4" s="626"/>
      <c r="CI4" s="727" t="s">
        <v>6</v>
      </c>
      <c r="CJ4" s="727" t="s">
        <v>6</v>
      </c>
      <c r="CK4" s="727" t="s">
        <v>6</v>
      </c>
      <c r="CL4" s="727" t="s">
        <v>6</v>
      </c>
      <c r="CM4" s="509"/>
      <c r="CN4" s="524"/>
    </row>
    <row r="5" spans="1:92" ht="12" hidden="1" customHeight="1" outlineLevel="1">
      <c r="A5" s="268"/>
      <c r="B5" s="508"/>
      <c r="C5" s="507"/>
      <c r="D5" s="507"/>
      <c r="E5" s="507"/>
      <c r="F5" s="507"/>
      <c r="G5" s="507"/>
      <c r="H5" s="507"/>
      <c r="I5" s="507"/>
      <c r="J5" s="507"/>
      <c r="K5" s="725"/>
      <c r="L5" s="724"/>
      <c r="M5" s="724"/>
      <c r="N5" s="724"/>
      <c r="O5" s="724"/>
      <c r="P5" s="724"/>
      <c r="Q5" s="724"/>
      <c r="R5" s="724"/>
      <c r="S5" s="724"/>
      <c r="T5" s="726"/>
      <c r="U5" s="726"/>
      <c r="V5" s="724"/>
      <c r="W5" s="724"/>
      <c r="X5" s="724"/>
      <c r="Y5" s="724"/>
      <c r="Z5" s="724"/>
      <c r="AA5" s="724"/>
      <c r="AB5" s="724"/>
      <c r="AC5" s="724"/>
      <c r="AD5" s="724"/>
      <c r="AE5" s="725"/>
      <c r="AF5" s="725"/>
      <c r="AG5" s="725"/>
      <c r="AH5" s="725"/>
      <c r="AI5" s="725"/>
      <c r="AJ5" s="725"/>
      <c r="AK5" s="725"/>
      <c r="AL5" s="725"/>
      <c r="AM5" s="725"/>
      <c r="AN5" s="725"/>
      <c r="AO5" s="725"/>
      <c r="AP5" s="725"/>
      <c r="AQ5" s="725"/>
      <c r="AR5" s="725"/>
      <c r="AS5" s="725"/>
      <c r="AT5" s="725"/>
      <c r="AU5" s="725"/>
      <c r="AV5" s="725"/>
      <c r="AW5" s="725"/>
      <c r="AX5" s="725"/>
      <c r="AY5" s="725"/>
      <c r="AZ5" s="725"/>
      <c r="BA5" s="725"/>
      <c r="BB5" s="725"/>
      <c r="BC5" s="725"/>
      <c r="BD5" s="725"/>
      <c r="BE5" s="725"/>
      <c r="BF5" s="725"/>
      <c r="BG5" s="725"/>
      <c r="BH5" s="725"/>
      <c r="BI5" s="725"/>
      <c r="BJ5" s="725"/>
      <c r="BK5" s="725"/>
      <c r="BL5" s="725"/>
      <c r="BM5" s="725"/>
      <c r="BN5" s="725"/>
      <c r="BO5" s="725"/>
      <c r="BP5" s="725"/>
      <c r="BQ5" s="725"/>
      <c r="BR5" s="725"/>
      <c r="BS5" s="725"/>
      <c r="BT5" s="126"/>
      <c r="BU5" s="725"/>
      <c r="BV5" s="725"/>
      <c r="BW5" s="725"/>
      <c r="BX5" s="725"/>
      <c r="BY5" s="724"/>
      <c r="BZ5" s="725"/>
      <c r="CA5" s="725"/>
      <c r="CB5" s="725"/>
      <c r="CC5" s="725"/>
      <c r="CD5" s="724"/>
      <c r="CE5" s="725"/>
      <c r="CF5" s="725"/>
      <c r="CG5" s="725"/>
      <c r="CH5" s="725"/>
      <c r="CI5" s="723"/>
      <c r="CJ5" s="723"/>
      <c r="CK5" s="723"/>
      <c r="CL5" s="723"/>
      <c r="CM5" s="509"/>
      <c r="CN5" s="524"/>
    </row>
    <row r="6" spans="1:92" ht="12" hidden="1" customHeight="1" outlineLevel="1">
      <c r="A6" s="268"/>
      <c r="B6" s="118"/>
      <c r="C6" s="722"/>
      <c r="D6" s="722"/>
      <c r="E6" s="117"/>
      <c r="F6" s="117"/>
      <c r="G6" s="117"/>
      <c r="H6" s="117"/>
      <c r="I6" s="117"/>
      <c r="J6" s="118"/>
      <c r="K6" s="524"/>
      <c r="L6" s="524"/>
      <c r="M6" s="524"/>
      <c r="N6" s="626"/>
      <c r="O6" s="524"/>
      <c r="P6" s="524"/>
      <c r="Q6" s="524"/>
      <c r="R6" s="524"/>
      <c r="S6" s="524"/>
      <c r="T6" s="630"/>
      <c r="U6" s="630"/>
      <c r="V6" s="721"/>
      <c r="W6" s="524"/>
      <c r="X6" s="524"/>
      <c r="Y6" s="524"/>
      <c r="Z6" s="524"/>
      <c r="AA6" s="524"/>
      <c r="AB6" s="524"/>
      <c r="AC6" s="524"/>
      <c r="AD6" s="524"/>
      <c r="AE6" s="626"/>
      <c r="AF6" s="626"/>
      <c r="AG6" s="626"/>
      <c r="AH6" s="626"/>
      <c r="AI6" s="626"/>
      <c r="AJ6" s="268"/>
      <c r="AK6" s="268"/>
      <c r="AL6" s="626"/>
      <c r="AM6" s="626"/>
      <c r="AN6" s="626"/>
      <c r="AO6" s="268"/>
      <c r="AP6" s="268"/>
      <c r="AQ6" s="626"/>
      <c r="AR6" s="626"/>
      <c r="AS6" s="626"/>
      <c r="AT6" s="268"/>
      <c r="AU6" s="268"/>
      <c r="AV6" s="268"/>
      <c r="AW6" s="268"/>
      <c r="AX6" s="268"/>
      <c r="AY6" s="268"/>
      <c r="AZ6" s="626"/>
      <c r="BA6" s="626"/>
      <c r="BB6" s="626"/>
      <c r="BC6" s="626"/>
      <c r="BD6" s="626"/>
      <c r="BE6" s="626"/>
      <c r="BF6" s="626"/>
      <c r="BG6" s="626"/>
      <c r="BH6" s="626"/>
      <c r="BI6" s="626"/>
      <c r="BJ6" s="268"/>
      <c r="BK6" s="626"/>
      <c r="BL6" s="626"/>
      <c r="BM6" s="626"/>
      <c r="BN6" s="626"/>
      <c r="BO6" s="268"/>
      <c r="BP6" s="626"/>
      <c r="BQ6" s="626"/>
      <c r="BR6" s="626"/>
      <c r="BS6" s="626"/>
      <c r="BT6" s="524"/>
      <c r="BU6" s="626"/>
      <c r="BV6" s="626"/>
      <c r="BW6" s="626"/>
      <c r="BX6" s="626"/>
      <c r="BY6" s="510"/>
      <c r="BZ6" s="626"/>
      <c r="CA6" s="626"/>
      <c r="CB6" s="626"/>
      <c r="CC6" s="626"/>
      <c r="CD6" s="510"/>
      <c r="CE6" s="626"/>
      <c r="CF6" s="626"/>
      <c r="CG6" s="626"/>
      <c r="CH6" s="626"/>
      <c r="CI6" s="626"/>
      <c r="CJ6" s="626"/>
      <c r="CK6" s="626"/>
      <c r="CL6" s="626"/>
      <c r="CM6" s="509"/>
      <c r="CN6" s="510"/>
    </row>
    <row r="7" spans="1:92" ht="13.5" collapsed="1" thickBot="1">
      <c r="A7" s="264"/>
      <c r="B7" s="504"/>
      <c r="C7" s="504"/>
      <c r="D7" s="504"/>
      <c r="E7" s="504"/>
      <c r="F7" s="504"/>
      <c r="G7" s="504"/>
      <c r="H7" s="504"/>
      <c r="I7" s="504"/>
      <c r="J7" s="504"/>
      <c r="K7" s="719"/>
      <c r="L7" s="719"/>
      <c r="M7" s="719"/>
      <c r="N7" s="719"/>
      <c r="O7" s="719"/>
      <c r="P7" s="719"/>
      <c r="Q7" s="719"/>
      <c r="R7" s="719"/>
      <c r="S7" s="719"/>
      <c r="T7" s="720"/>
      <c r="U7" s="720"/>
      <c r="V7" s="719"/>
      <c r="W7" s="719"/>
      <c r="X7" s="719"/>
      <c r="Y7" s="719"/>
      <c r="Z7" s="719"/>
      <c r="AA7" s="719"/>
      <c r="AB7" s="719"/>
      <c r="AC7" s="719"/>
      <c r="AD7" s="719"/>
      <c r="AE7" s="718"/>
      <c r="AF7" s="718"/>
      <c r="AG7" s="718"/>
      <c r="AH7" s="718"/>
      <c r="AI7" s="718"/>
      <c r="AJ7" s="718"/>
      <c r="AK7" s="718"/>
      <c r="AL7" s="718"/>
      <c r="AM7" s="718"/>
      <c r="AN7" s="718"/>
      <c r="AO7" s="718"/>
      <c r="AP7" s="718"/>
      <c r="AQ7" s="718"/>
      <c r="AR7" s="718"/>
      <c r="AS7" s="718"/>
      <c r="AT7" s="718"/>
      <c r="AU7" s="718"/>
      <c r="AV7" s="718"/>
      <c r="AW7" s="718"/>
      <c r="AX7" s="718"/>
      <c r="AY7" s="718"/>
      <c r="AZ7" s="718"/>
      <c r="BA7" s="718"/>
      <c r="BB7" s="718"/>
      <c r="BC7" s="718"/>
      <c r="BD7" s="718"/>
      <c r="BE7" s="718"/>
      <c r="BF7" s="718"/>
      <c r="BG7" s="718"/>
      <c r="BH7" s="718"/>
      <c r="BI7" s="718"/>
      <c r="BJ7" s="718"/>
      <c r="BK7" s="718"/>
      <c r="BL7" s="718"/>
      <c r="BM7" s="718"/>
      <c r="BN7" s="718"/>
      <c r="BO7" s="718"/>
      <c r="BP7" s="718"/>
      <c r="BQ7" s="718"/>
      <c r="BR7" s="718"/>
      <c r="BS7" s="718"/>
      <c r="BT7" s="718"/>
      <c r="BU7" s="718"/>
      <c r="BV7" s="718"/>
      <c r="BW7" s="718"/>
      <c r="BX7" s="718"/>
      <c r="BY7" s="718"/>
      <c r="BZ7" s="718"/>
      <c r="CA7" s="718"/>
      <c r="CB7" s="718"/>
      <c r="CC7" s="718"/>
      <c r="CD7" s="718"/>
      <c r="CE7" s="718"/>
      <c r="CF7" s="718"/>
      <c r="CG7" s="718"/>
      <c r="CH7" s="718"/>
      <c r="CI7" s="718"/>
      <c r="CJ7" s="718"/>
      <c r="CK7" s="718"/>
      <c r="CL7" s="718"/>
      <c r="CM7" s="509"/>
      <c r="CN7" s="524"/>
    </row>
    <row r="8" spans="1:92">
      <c r="A8" s="717"/>
      <c r="B8" s="717"/>
      <c r="C8" s="717"/>
      <c r="D8" s="717"/>
      <c r="E8" s="717"/>
      <c r="F8" s="717"/>
      <c r="G8" s="717"/>
      <c r="H8" s="717"/>
      <c r="I8" s="717"/>
      <c r="J8" s="717"/>
      <c r="K8" s="717"/>
      <c r="L8" s="717"/>
      <c r="M8" s="717"/>
      <c r="N8" s="717"/>
      <c r="O8" s="717"/>
      <c r="P8" s="717"/>
      <c r="Q8" s="717"/>
      <c r="R8" s="717"/>
      <c r="S8" s="717"/>
      <c r="T8" s="717"/>
      <c r="U8" s="717"/>
      <c r="V8" s="717"/>
      <c r="W8" s="717"/>
      <c r="X8" s="717"/>
      <c r="Y8" s="264"/>
      <c r="Z8" s="264"/>
      <c r="AA8" s="264"/>
      <c r="AB8" s="717"/>
      <c r="AC8" s="717"/>
      <c r="AD8" s="717"/>
      <c r="AE8" s="717"/>
      <c r="AF8" s="717"/>
      <c r="AG8" s="717"/>
      <c r="AH8" s="717"/>
      <c r="AI8" s="717"/>
      <c r="AJ8" s="717"/>
      <c r="AK8" s="717"/>
      <c r="AL8" s="717"/>
      <c r="AM8" s="717"/>
      <c r="AN8" s="717"/>
      <c r="AO8" s="717"/>
      <c r="AP8" s="717"/>
      <c r="AQ8" s="717"/>
      <c r="AR8" s="717"/>
      <c r="AS8" s="717"/>
      <c r="AT8" s="717"/>
      <c r="AU8" s="717"/>
      <c r="AV8" s="717"/>
      <c r="AW8" s="717"/>
      <c r="AX8" s="717"/>
      <c r="AY8" s="717"/>
      <c r="AZ8" s="717"/>
      <c r="BA8" s="717"/>
      <c r="BB8" s="717"/>
      <c r="BC8" s="717"/>
      <c r="BD8" s="717"/>
      <c r="BE8" s="717"/>
      <c r="BF8" s="717"/>
      <c r="BG8" s="717"/>
      <c r="BH8" s="717"/>
      <c r="BI8" s="717"/>
      <c r="BJ8" s="717"/>
      <c r="BK8" s="717"/>
      <c r="BL8" s="264"/>
      <c r="BM8" s="717"/>
      <c r="BN8" s="717"/>
      <c r="BO8" s="717"/>
      <c r="BP8" s="717"/>
      <c r="BQ8" s="717"/>
      <c r="BR8" s="264"/>
      <c r="BS8" s="264"/>
      <c r="BT8" s="715"/>
      <c r="BU8" s="717"/>
      <c r="BV8" s="717"/>
      <c r="BW8" s="717"/>
      <c r="BX8" s="717"/>
      <c r="BY8" s="715"/>
      <c r="BZ8" s="717"/>
      <c r="CA8" s="717"/>
      <c r="CB8" s="717"/>
      <c r="CC8" s="717"/>
      <c r="CD8" s="715"/>
      <c r="CE8" s="717"/>
      <c r="CF8" s="717"/>
      <c r="CG8" s="717"/>
      <c r="CH8" s="717"/>
      <c r="CI8" s="715"/>
      <c r="CJ8" s="715"/>
      <c r="CK8" s="715"/>
      <c r="CL8" s="715"/>
      <c r="CM8" s="716"/>
      <c r="CN8" s="715"/>
    </row>
    <row r="9" spans="1:92" ht="13.5" thickBot="1">
      <c r="A9" s="264"/>
      <c r="B9" s="714"/>
      <c r="C9" s="713"/>
      <c r="D9" s="713"/>
      <c r="E9" s="713"/>
      <c r="F9" s="713"/>
      <c r="G9" s="713"/>
      <c r="H9" s="713" t="s">
        <v>408</v>
      </c>
      <c r="I9" s="713" t="s">
        <v>407</v>
      </c>
      <c r="J9" s="713" t="s">
        <v>406</v>
      </c>
      <c r="K9" s="712" t="s">
        <v>405</v>
      </c>
      <c r="L9" s="712" t="s">
        <v>405</v>
      </c>
      <c r="M9" s="712"/>
      <c r="N9" s="712"/>
      <c r="O9" s="712"/>
      <c r="P9" s="712"/>
      <c r="Q9" s="712" t="s">
        <v>115</v>
      </c>
      <c r="R9" s="712"/>
      <c r="S9" s="712"/>
      <c r="T9" s="627"/>
      <c r="U9" s="627"/>
      <c r="V9" s="712"/>
      <c r="W9" s="712"/>
      <c r="X9" s="712"/>
      <c r="Y9" s="626"/>
      <c r="Z9" s="626"/>
      <c r="AA9" s="626"/>
      <c r="AB9" s="712"/>
      <c r="AC9" s="712"/>
      <c r="AD9" s="712"/>
      <c r="AE9" s="710"/>
      <c r="AF9" s="710"/>
      <c r="AG9" s="710"/>
      <c r="AH9" s="710"/>
      <c r="AI9" s="710"/>
      <c r="AJ9" s="710"/>
      <c r="AK9" s="710"/>
      <c r="AL9" s="710"/>
      <c r="AM9" s="710"/>
      <c r="AN9" s="711"/>
      <c r="AO9" s="710"/>
      <c r="AP9" s="710"/>
      <c r="AQ9" s="710"/>
      <c r="AR9" s="710"/>
      <c r="AS9" s="710"/>
      <c r="AT9" s="710"/>
      <c r="AU9" s="710"/>
      <c r="AV9" s="710"/>
      <c r="AW9" s="710"/>
      <c r="AX9" s="710"/>
      <c r="AY9" s="710"/>
      <c r="AZ9" s="710"/>
      <c r="BA9" s="710"/>
      <c r="BB9" s="710"/>
      <c r="BC9" s="710"/>
      <c r="BD9" s="710"/>
      <c r="BE9" s="710"/>
      <c r="BF9" s="710"/>
      <c r="BG9" s="710"/>
      <c r="BH9" s="710"/>
      <c r="BI9" s="710"/>
      <c r="BJ9" s="710"/>
      <c r="BK9" s="710"/>
      <c r="BL9" s="525"/>
      <c r="BM9" s="710"/>
      <c r="BN9" s="710"/>
      <c r="BO9" s="710"/>
      <c r="BP9" s="710"/>
      <c r="BQ9" s="710"/>
      <c r="BR9" s="525"/>
      <c r="BS9" s="525"/>
      <c r="BT9" s="710"/>
      <c r="BU9" s="710"/>
      <c r="BV9" s="710"/>
      <c r="BW9" s="710"/>
      <c r="BX9" s="710"/>
      <c r="BY9" s="524"/>
      <c r="BZ9" s="710"/>
      <c r="CA9" s="710"/>
      <c r="CB9" s="710"/>
      <c r="CC9" s="710"/>
      <c r="CD9" s="524"/>
      <c r="CE9" s="710"/>
      <c r="CF9" s="710"/>
      <c r="CG9" s="710"/>
      <c r="CH9" s="710"/>
      <c r="CI9" s="629"/>
      <c r="CJ9" s="629"/>
      <c r="CK9" s="629"/>
      <c r="CL9" s="629"/>
      <c r="CM9" s="709"/>
      <c r="CN9" s="524"/>
    </row>
    <row r="10" spans="1:92">
      <c r="A10" s="264"/>
      <c r="B10" s="116"/>
      <c r="C10" s="499" t="s">
        <v>404</v>
      </c>
      <c r="D10" s="497"/>
      <c r="E10" s="497"/>
      <c r="F10" s="708">
        <v>1997</v>
      </c>
      <c r="G10" s="708">
        <v>1998</v>
      </c>
      <c r="H10" s="708">
        <v>1999</v>
      </c>
      <c r="I10" s="707">
        <v>2000</v>
      </c>
      <c r="J10" s="707">
        <v>2001</v>
      </c>
      <c r="K10" s="707">
        <v>2002</v>
      </c>
      <c r="L10" s="707">
        <v>2003</v>
      </c>
      <c r="M10" s="494" t="s">
        <v>121</v>
      </c>
      <c r="N10" s="494" t="s">
        <v>120</v>
      </c>
      <c r="O10" s="494" t="s">
        <v>119</v>
      </c>
      <c r="P10" s="494" t="s">
        <v>118</v>
      </c>
      <c r="Q10" s="707">
        <v>2004</v>
      </c>
      <c r="R10" s="494" t="s">
        <v>117</v>
      </c>
      <c r="S10" s="494" t="s">
        <v>116</v>
      </c>
      <c r="T10" s="495" t="s">
        <v>115</v>
      </c>
      <c r="U10" s="495" t="s">
        <v>114</v>
      </c>
      <c r="V10" s="707">
        <v>2005</v>
      </c>
      <c r="W10" s="494" t="s">
        <v>206</v>
      </c>
      <c r="X10" s="494" t="s">
        <v>205</v>
      </c>
      <c r="Y10" s="494" t="s">
        <v>204</v>
      </c>
      <c r="Z10" s="494" t="s">
        <v>203</v>
      </c>
      <c r="AA10" s="707">
        <v>2006</v>
      </c>
      <c r="AB10" s="494" t="s">
        <v>202</v>
      </c>
      <c r="AC10" s="494" t="s">
        <v>201</v>
      </c>
      <c r="AD10" s="494" t="s">
        <v>200</v>
      </c>
      <c r="AE10" s="494" t="s">
        <v>199</v>
      </c>
      <c r="AF10" s="707">
        <v>2007</v>
      </c>
      <c r="AG10" s="495" t="s">
        <v>198</v>
      </c>
      <c r="AH10" s="494" t="s">
        <v>197</v>
      </c>
      <c r="AI10" s="494" t="s">
        <v>196</v>
      </c>
      <c r="AJ10" s="494" t="s">
        <v>195</v>
      </c>
      <c r="AK10" s="707">
        <v>2008</v>
      </c>
      <c r="AL10" s="494" t="s">
        <v>194</v>
      </c>
      <c r="AM10" s="494" t="s">
        <v>193</v>
      </c>
      <c r="AN10" s="494" t="s">
        <v>192</v>
      </c>
      <c r="AO10" s="494" t="s">
        <v>191</v>
      </c>
      <c r="AP10" s="707">
        <v>2009</v>
      </c>
      <c r="AQ10" s="494" t="s">
        <v>190</v>
      </c>
      <c r="AR10" s="494" t="s">
        <v>189</v>
      </c>
      <c r="AS10" s="494" t="s">
        <v>188</v>
      </c>
      <c r="AT10" s="494" t="s">
        <v>187</v>
      </c>
      <c r="AU10" s="707">
        <v>2010</v>
      </c>
      <c r="AV10" s="494" t="s">
        <v>186</v>
      </c>
      <c r="AW10" s="494" t="s">
        <v>185</v>
      </c>
      <c r="AX10" s="494" t="s">
        <v>184</v>
      </c>
      <c r="AY10" s="494" t="s">
        <v>183</v>
      </c>
      <c r="AZ10" s="707">
        <v>2011</v>
      </c>
      <c r="BA10" s="494" t="s">
        <v>182</v>
      </c>
      <c r="BB10" s="494" t="s">
        <v>181</v>
      </c>
      <c r="BC10" s="494" t="s">
        <v>180</v>
      </c>
      <c r="BD10" s="494" t="s">
        <v>179</v>
      </c>
      <c r="BE10" s="707">
        <v>2012</v>
      </c>
      <c r="BF10" s="494" t="s">
        <v>178</v>
      </c>
      <c r="BG10" s="494" t="s">
        <v>177</v>
      </c>
      <c r="BH10" s="494" t="s">
        <v>176</v>
      </c>
      <c r="BI10" s="494" t="s">
        <v>175</v>
      </c>
      <c r="BJ10" s="707">
        <v>2013</v>
      </c>
      <c r="BK10" s="494" t="s">
        <v>174</v>
      </c>
      <c r="BL10" s="494" t="s">
        <v>152</v>
      </c>
      <c r="BM10" s="494" t="s">
        <v>140</v>
      </c>
      <c r="BN10" s="494" t="s">
        <v>132</v>
      </c>
      <c r="BO10" s="707">
        <v>2014</v>
      </c>
      <c r="BP10" s="493" t="str">
        <f>IS!CC9</f>
        <v>1Q15</v>
      </c>
      <c r="BQ10" s="493" t="str">
        <f>IS!CD9</f>
        <v>2Q15</v>
      </c>
      <c r="BR10" s="493" t="str">
        <f>IS!CE9</f>
        <v>3Q15</v>
      </c>
      <c r="BS10" s="493" t="str">
        <f>IS!CF9</f>
        <v>4Q15</v>
      </c>
      <c r="BT10" s="707">
        <f>IS!CG9</f>
        <v>2015</v>
      </c>
      <c r="BU10" s="493" t="str">
        <f>IS!CH9</f>
        <v>1Q16</v>
      </c>
      <c r="BV10" s="493" t="str">
        <f>IS!CI9</f>
        <v>2Q16</v>
      </c>
      <c r="BW10" s="493" t="str">
        <f>IS!CJ9</f>
        <v>3Q16</v>
      </c>
      <c r="BX10" s="493" t="str">
        <f>IS!CK9</f>
        <v>4Q16</v>
      </c>
      <c r="BY10" s="707">
        <f>IS!CL9</f>
        <v>2016</v>
      </c>
      <c r="BZ10" s="493" t="str">
        <f>IS!CM9</f>
        <v>1Q17</v>
      </c>
      <c r="CA10" s="493" t="str">
        <f>IS!CN9</f>
        <v>2Q17</v>
      </c>
      <c r="CB10" s="493" t="str">
        <f>IS!CO9</f>
        <v>3Q17</v>
      </c>
      <c r="CC10" s="493" t="str">
        <f>IS!CP9</f>
        <v>4Q17E</v>
      </c>
      <c r="CD10" s="707" t="str">
        <f>IS!CQ9</f>
        <v>2017E</v>
      </c>
      <c r="CE10" s="493" t="str">
        <f>IS!CR9</f>
        <v>1Q18E</v>
      </c>
      <c r="CF10" s="493" t="str">
        <f>IS!CS9</f>
        <v>2Q18E</v>
      </c>
      <c r="CG10" s="493" t="str">
        <f>IS!CT9</f>
        <v>3Q18E</v>
      </c>
      <c r="CH10" s="493" t="str">
        <f>IS!CU9</f>
        <v>4Q18E</v>
      </c>
      <c r="CI10" s="707" t="str">
        <f>IS!CV9</f>
        <v>2018E</v>
      </c>
      <c r="CJ10" s="707" t="str">
        <f>IS!CW9</f>
        <v>2019E</v>
      </c>
      <c r="CK10" s="707" t="str">
        <f>IS!CX9</f>
        <v>2020E</v>
      </c>
      <c r="CL10" s="707" t="str">
        <f>IS!CY9</f>
        <v>2021E</v>
      </c>
      <c r="CM10" s="509"/>
      <c r="CN10" s="524"/>
    </row>
    <row r="11" spans="1:92">
      <c r="A11" s="264"/>
      <c r="B11" s="264"/>
      <c r="C11" s="264"/>
      <c r="D11" s="264"/>
      <c r="E11" s="264"/>
      <c r="F11" s="264"/>
      <c r="G11" s="264"/>
      <c r="H11" s="264"/>
      <c r="I11" s="522"/>
      <c r="J11" s="522"/>
      <c r="K11" s="522"/>
      <c r="L11" s="522"/>
      <c r="M11" s="525"/>
      <c r="N11" s="525"/>
      <c r="O11" s="525"/>
      <c r="P11" s="525"/>
      <c r="Q11" s="522"/>
      <c r="R11" s="525"/>
      <c r="S11" s="525"/>
      <c r="T11" s="526"/>
      <c r="U11" s="526"/>
      <c r="V11" s="522"/>
      <c r="W11" s="525"/>
      <c r="X11" s="525"/>
      <c r="Y11" s="525"/>
      <c r="Z11" s="525"/>
      <c r="AA11" s="522"/>
      <c r="AB11" s="524"/>
      <c r="AC11" s="524"/>
      <c r="AD11" s="524"/>
      <c r="AE11" s="124"/>
      <c r="AF11" s="522"/>
      <c r="AG11" s="706"/>
      <c r="AH11" s="124"/>
      <c r="AI11" s="124"/>
      <c r="AJ11" s="124"/>
      <c r="AK11" s="522"/>
      <c r="AL11" s="124"/>
      <c r="AM11" s="124"/>
      <c r="AN11" s="124"/>
      <c r="AO11" s="124"/>
      <c r="AP11" s="522"/>
      <c r="AQ11" s="124"/>
      <c r="AR11" s="124"/>
      <c r="AS11" s="124"/>
      <c r="AT11" s="124"/>
      <c r="AU11" s="522"/>
      <c r="AV11" s="525"/>
      <c r="AW11" s="525"/>
      <c r="AX11" s="525"/>
      <c r="AY11" s="525"/>
      <c r="AZ11" s="522"/>
      <c r="BA11" s="524"/>
      <c r="BB11" s="524"/>
      <c r="BC11" s="524"/>
      <c r="BD11" s="524"/>
      <c r="BE11" s="522"/>
      <c r="BF11" s="524"/>
      <c r="BG11" s="524"/>
      <c r="BH11" s="524"/>
      <c r="BI11" s="524"/>
      <c r="BJ11" s="522"/>
      <c r="BK11" s="524"/>
      <c r="BL11" s="524"/>
      <c r="BM11" s="524"/>
      <c r="BN11" s="524"/>
      <c r="BO11" s="522"/>
      <c r="BP11" s="524"/>
      <c r="BQ11" s="524"/>
      <c r="BR11" s="524"/>
      <c r="BS11" s="524"/>
      <c r="BT11" s="522"/>
      <c r="BU11" s="524"/>
      <c r="BV11" s="524"/>
      <c r="BW11" s="524"/>
      <c r="BX11" s="524"/>
      <c r="BY11" s="522"/>
      <c r="BZ11" s="524"/>
      <c r="CA11" s="524"/>
      <c r="CB11" s="524"/>
      <c r="CC11" s="524"/>
      <c r="CD11" s="522"/>
      <c r="CE11" s="524"/>
      <c r="CF11" s="524"/>
      <c r="CG11" s="524"/>
      <c r="CH11" s="524"/>
      <c r="CI11" s="522"/>
      <c r="CJ11" s="522"/>
      <c r="CK11" s="522"/>
      <c r="CL11" s="522"/>
      <c r="CM11" s="509"/>
      <c r="CN11" s="524"/>
    </row>
    <row r="12" spans="1:92">
      <c r="A12" s="485"/>
      <c r="B12" s="485"/>
      <c r="C12" s="552" t="s">
        <v>238</v>
      </c>
      <c r="D12" s="485"/>
      <c r="E12" s="485"/>
      <c r="F12" s="485"/>
      <c r="G12" s="485"/>
      <c r="H12" s="485"/>
      <c r="I12" s="702"/>
      <c r="J12" s="702"/>
      <c r="K12" s="702"/>
      <c r="L12" s="702"/>
      <c r="M12" s="487"/>
      <c r="N12" s="487"/>
      <c r="O12" s="487"/>
      <c r="P12" s="487"/>
      <c r="Q12" s="702"/>
      <c r="R12" s="487"/>
      <c r="S12" s="487"/>
      <c r="T12" s="705"/>
      <c r="U12" s="705"/>
      <c r="V12" s="702"/>
      <c r="W12" s="487"/>
      <c r="X12" s="487"/>
      <c r="Y12" s="487"/>
      <c r="Z12" s="487"/>
      <c r="AA12" s="702"/>
      <c r="AB12" s="530"/>
      <c r="AC12" s="530"/>
      <c r="AD12" s="530"/>
      <c r="AE12" s="703"/>
      <c r="AF12" s="702"/>
      <c r="AG12" s="704"/>
      <c r="AH12" s="703"/>
      <c r="AI12" s="703"/>
      <c r="AJ12" s="703"/>
      <c r="AK12" s="702"/>
      <c r="AL12" s="703"/>
      <c r="AM12" s="703"/>
      <c r="AN12" s="703"/>
      <c r="AO12" s="703"/>
      <c r="AP12" s="702"/>
      <c r="AQ12" s="703"/>
      <c r="AR12" s="703"/>
      <c r="AS12" s="703"/>
      <c r="AT12" s="703"/>
      <c r="AU12" s="702"/>
      <c r="AV12" s="487"/>
      <c r="AW12" s="487"/>
      <c r="AX12" s="487"/>
      <c r="AY12" s="487"/>
      <c r="AZ12" s="702"/>
      <c r="BA12" s="487"/>
      <c r="BB12" s="487"/>
      <c r="BC12" s="487"/>
      <c r="BD12" s="487"/>
      <c r="BE12" s="702"/>
      <c r="BF12" s="530"/>
      <c r="BG12" s="530"/>
      <c r="BH12" s="530"/>
      <c r="BI12" s="530"/>
      <c r="BJ12" s="702"/>
      <c r="BK12" s="530"/>
      <c r="BL12" s="530"/>
      <c r="BM12" s="530"/>
      <c r="BN12" s="530"/>
      <c r="BO12" s="702"/>
      <c r="BP12" s="530"/>
      <c r="BQ12" s="530"/>
      <c r="BR12" s="530"/>
      <c r="BS12" s="530"/>
      <c r="BT12" s="702"/>
      <c r="BU12" s="530"/>
      <c r="BV12" s="530"/>
      <c r="BW12" s="530"/>
      <c r="BX12" s="530"/>
      <c r="BY12" s="702"/>
      <c r="BZ12" s="530"/>
      <c r="CA12" s="530"/>
      <c r="CB12" s="530"/>
      <c r="CC12" s="530"/>
      <c r="CD12" s="702"/>
      <c r="CE12" s="530"/>
      <c r="CF12" s="530"/>
      <c r="CG12" s="530"/>
      <c r="CH12" s="530"/>
      <c r="CI12" s="702"/>
      <c r="CJ12" s="702"/>
      <c r="CK12" s="702"/>
      <c r="CL12" s="702"/>
      <c r="CM12" s="509"/>
      <c r="CN12" s="509"/>
    </row>
    <row r="13" spans="1:92">
      <c r="A13" s="485"/>
      <c r="B13" s="485"/>
      <c r="C13" s="665" t="s">
        <v>403</v>
      </c>
      <c r="D13" s="485"/>
      <c r="E13" s="485"/>
      <c r="F13" s="485"/>
      <c r="G13" s="485"/>
      <c r="H13" s="485"/>
      <c r="I13" s="659">
        <v>748</v>
      </c>
      <c r="J13" s="659">
        <v>1558</v>
      </c>
      <c r="K13" s="659">
        <v>2080</v>
      </c>
      <c r="L13" s="659">
        <v>1623</v>
      </c>
      <c r="M13" s="660">
        <v>1731</v>
      </c>
      <c r="N13" s="660">
        <v>2018</v>
      </c>
      <c r="O13" s="660">
        <v>2340</v>
      </c>
      <c r="P13" s="660">
        <v>2265</v>
      </c>
      <c r="Q13" s="659">
        <v>2265</v>
      </c>
      <c r="R13" s="660">
        <v>1963</v>
      </c>
      <c r="S13" s="660">
        <v>1985</v>
      </c>
      <c r="T13" s="660">
        <v>2102</v>
      </c>
      <c r="U13" s="660">
        <v>2247</v>
      </c>
      <c r="V13" s="659">
        <v>2247</v>
      </c>
      <c r="W13" s="660">
        <v>2417</v>
      </c>
      <c r="X13" s="660">
        <v>2883</v>
      </c>
      <c r="Y13" s="660">
        <v>2914</v>
      </c>
      <c r="Z13" s="660">
        <f t="shared" ref="Z13:Z19" si="0">AA13</f>
        <v>2546</v>
      </c>
      <c r="AA13" s="659">
        <v>2546</v>
      </c>
      <c r="AB13" s="660">
        <v>2481</v>
      </c>
      <c r="AC13" s="660">
        <v>3292</v>
      </c>
      <c r="AD13" s="660">
        <v>2810</v>
      </c>
      <c r="AE13" s="662">
        <v>2904</v>
      </c>
      <c r="AF13" s="659">
        <f t="shared" ref="AF13:AF19" si="1">AE13</f>
        <v>2904</v>
      </c>
      <c r="AG13" s="660">
        <v>3139</v>
      </c>
      <c r="AH13" s="660">
        <v>3442</v>
      </c>
      <c r="AI13" s="660">
        <v>3615</v>
      </c>
      <c r="AJ13" s="662">
        <v>4327</v>
      </c>
      <c r="AK13" s="659">
        <f t="shared" ref="AK13:AK19" si="2">AJ13</f>
        <v>4327</v>
      </c>
      <c r="AL13" s="660">
        <v>3272</v>
      </c>
      <c r="AM13" s="660">
        <v>4016</v>
      </c>
      <c r="AN13" s="660">
        <v>4632</v>
      </c>
      <c r="AO13" s="662">
        <v>4449</v>
      </c>
      <c r="AP13" s="659">
        <f t="shared" ref="AP13:AP19" si="3">AO13</f>
        <v>4449</v>
      </c>
      <c r="AQ13" s="660">
        <v>4788</v>
      </c>
      <c r="AR13" s="660">
        <v>4997</v>
      </c>
      <c r="AS13" s="660">
        <v>5731</v>
      </c>
      <c r="AT13" s="662">
        <v>4083</v>
      </c>
      <c r="AU13" s="659">
        <f t="shared" ref="AU13:AU19" si="4">AT13</f>
        <v>4083</v>
      </c>
      <c r="AV13" s="660">
        <v>4440</v>
      </c>
      <c r="AW13" s="660">
        <v>5396</v>
      </c>
      <c r="AX13" s="660">
        <v>5966</v>
      </c>
      <c r="AY13" s="662">
        <v>5960</v>
      </c>
      <c r="AZ13" s="659">
        <f t="shared" ref="AZ13:AZ19" si="5">AY13</f>
        <v>5960</v>
      </c>
      <c r="BA13" s="660">
        <v>6285</v>
      </c>
      <c r="BB13" s="660">
        <v>5966</v>
      </c>
      <c r="BC13" s="660">
        <v>6242</v>
      </c>
      <c r="BD13" s="660">
        <v>4819</v>
      </c>
      <c r="BE13" s="659">
        <f t="shared" ref="BE13:BE18" si="6">BD13</f>
        <v>4819</v>
      </c>
      <c r="BF13" s="660">
        <v>4767</v>
      </c>
      <c r="BG13" s="660">
        <v>4909</v>
      </c>
      <c r="BH13" s="660">
        <v>4621</v>
      </c>
      <c r="BI13" s="660">
        <v>4619</v>
      </c>
      <c r="BJ13" s="659">
        <f t="shared" ref="BJ13:BJ18" si="7">BI13</f>
        <v>4619</v>
      </c>
      <c r="BK13" s="660">
        <v>4477</v>
      </c>
      <c r="BL13" s="660">
        <v>4962</v>
      </c>
      <c r="BM13" s="660">
        <v>5035</v>
      </c>
      <c r="BN13" s="660">
        <v>5235</v>
      </c>
      <c r="BO13" s="659">
        <f t="shared" ref="BO13:BO18" si="8">BN13</f>
        <v>5235</v>
      </c>
      <c r="BP13" s="660">
        <v>5281</v>
      </c>
      <c r="BQ13" s="660">
        <v>5933</v>
      </c>
      <c r="BR13" s="660">
        <v>5477</v>
      </c>
      <c r="BS13" s="660">
        <v>7075</v>
      </c>
      <c r="BT13" s="659">
        <f t="shared" ref="BT13:BT18" si="9">BS13</f>
        <v>7075</v>
      </c>
      <c r="BU13" s="2083">
        <v>7215</v>
      </c>
      <c r="BV13" s="2083">
        <v>6785</v>
      </c>
      <c r="BW13" s="2083">
        <v>7107</v>
      </c>
      <c r="BX13" s="2083">
        <v>7157</v>
      </c>
      <c r="BY13" s="659">
        <f t="shared" ref="BY13:BY18" si="10">BX13</f>
        <v>7157</v>
      </c>
      <c r="BZ13" s="2083">
        <v>7156</v>
      </c>
      <c r="CA13" s="2083">
        <v>9345</v>
      </c>
      <c r="CB13" s="2083">
        <v>8523</v>
      </c>
      <c r="CC13" s="660">
        <f>CF!CB60</f>
        <v>9652.5837213590057</v>
      </c>
      <c r="CD13" s="659">
        <f t="shared" ref="CD13:CD18" si="11">CC13</f>
        <v>9652.5837213590057</v>
      </c>
      <c r="CE13" s="660">
        <f>CF!CD60</f>
        <v>10625.631182800607</v>
      </c>
      <c r="CF13" s="660">
        <f>CF!CE60</f>
        <v>12498.167736851534</v>
      </c>
      <c r="CG13" s="660">
        <f>CF!CF60</f>
        <v>13618.175123518222</v>
      </c>
      <c r="CH13" s="660">
        <f>CF!CG60</f>
        <v>15001.539697461132</v>
      </c>
      <c r="CI13" s="659">
        <f t="shared" ref="CI13:CI18" si="12">CH13</f>
        <v>15001.539697461132</v>
      </c>
      <c r="CJ13" s="659">
        <f>CF!CI60</f>
        <v>19520.239770380711</v>
      </c>
      <c r="CK13" s="659">
        <f>CF!CJ60</f>
        <v>24614.481276653685</v>
      </c>
      <c r="CL13" s="659">
        <f>CF!CK60</f>
        <v>29971.141380602196</v>
      </c>
      <c r="CM13" s="509"/>
      <c r="CN13" s="509"/>
    </row>
    <row r="14" spans="1:92">
      <c r="A14" s="485"/>
      <c r="B14" s="485"/>
      <c r="C14" s="665" t="s">
        <v>402</v>
      </c>
      <c r="D14" s="485"/>
      <c r="E14" s="485"/>
      <c r="F14" s="485"/>
      <c r="G14" s="485"/>
      <c r="H14" s="485"/>
      <c r="I14" s="659">
        <v>0</v>
      </c>
      <c r="J14" s="659">
        <v>0</v>
      </c>
      <c r="K14" s="659">
        <v>0</v>
      </c>
      <c r="L14" s="659">
        <v>0</v>
      </c>
      <c r="M14" s="660">
        <v>0</v>
      </c>
      <c r="N14" s="660">
        <v>0</v>
      </c>
      <c r="O14" s="660">
        <v>0</v>
      </c>
      <c r="P14" s="660">
        <v>0</v>
      </c>
      <c r="Q14" s="659">
        <v>0</v>
      </c>
      <c r="R14" s="660">
        <v>0</v>
      </c>
      <c r="S14" s="660">
        <v>0</v>
      </c>
      <c r="T14" s="660">
        <v>0</v>
      </c>
      <c r="U14" s="660">
        <v>0</v>
      </c>
      <c r="V14" s="659">
        <v>0</v>
      </c>
      <c r="W14" s="660">
        <v>0</v>
      </c>
      <c r="X14" s="660">
        <v>0</v>
      </c>
      <c r="Y14" s="660">
        <v>0</v>
      </c>
      <c r="Z14" s="660">
        <f t="shared" si="0"/>
        <v>0</v>
      </c>
      <c r="AA14" s="659">
        <f>Y14-CF!Y34</f>
        <v>0</v>
      </c>
      <c r="AB14" s="660">
        <f>AA14-CF!AA34</f>
        <v>0</v>
      </c>
      <c r="AC14" s="660">
        <f>AB14-CF!AB34</f>
        <v>0</v>
      </c>
      <c r="AD14" s="660">
        <f>AC14-CF!AC34</f>
        <v>0</v>
      </c>
      <c r="AE14" s="662">
        <v>0</v>
      </c>
      <c r="AF14" s="659">
        <f t="shared" si="1"/>
        <v>0</v>
      </c>
      <c r="AG14" s="660">
        <v>0</v>
      </c>
      <c r="AH14" s="660">
        <f>AG14-CF!AF34</f>
        <v>0</v>
      </c>
      <c r="AI14" s="660">
        <v>0</v>
      </c>
      <c r="AJ14" s="662">
        <f>AE14-CF!AJ34</f>
        <v>0</v>
      </c>
      <c r="AK14" s="659">
        <f t="shared" si="2"/>
        <v>0</v>
      </c>
      <c r="AL14" s="660">
        <v>0</v>
      </c>
      <c r="AM14" s="660">
        <v>0</v>
      </c>
      <c r="AN14" s="660">
        <v>0</v>
      </c>
      <c r="AO14" s="662">
        <v>0</v>
      </c>
      <c r="AP14" s="659">
        <f t="shared" si="3"/>
        <v>0</v>
      </c>
      <c r="AQ14" s="660">
        <v>0</v>
      </c>
      <c r="AR14" s="660">
        <v>0</v>
      </c>
      <c r="AS14" s="660">
        <v>0</v>
      </c>
      <c r="AT14" s="662">
        <v>0</v>
      </c>
      <c r="AU14" s="659">
        <f t="shared" si="4"/>
        <v>0</v>
      </c>
      <c r="AV14" s="660">
        <v>0</v>
      </c>
      <c r="AW14" s="660">
        <v>0</v>
      </c>
      <c r="AX14" s="660">
        <v>0</v>
      </c>
      <c r="AY14" s="662">
        <v>0</v>
      </c>
      <c r="AZ14" s="659">
        <f t="shared" si="5"/>
        <v>0</v>
      </c>
      <c r="BA14" s="660">
        <v>0</v>
      </c>
      <c r="BB14" s="660">
        <v>10715</v>
      </c>
      <c r="BC14" s="660">
        <v>0</v>
      </c>
      <c r="BD14" s="660">
        <v>0</v>
      </c>
      <c r="BE14" s="659">
        <f t="shared" si="6"/>
        <v>0</v>
      </c>
      <c r="BF14" s="660">
        <v>0</v>
      </c>
      <c r="BG14" s="660">
        <v>0</v>
      </c>
      <c r="BH14" s="660">
        <v>0</v>
      </c>
      <c r="BI14" s="660">
        <v>0</v>
      </c>
      <c r="BJ14" s="659">
        <f t="shared" si="7"/>
        <v>0</v>
      </c>
      <c r="BK14" s="660">
        <v>0</v>
      </c>
      <c r="BL14" s="660">
        <f>BK14-CF!BK34</f>
        <v>0</v>
      </c>
      <c r="BM14" s="660">
        <v>0</v>
      </c>
      <c r="BN14" s="660">
        <v>0</v>
      </c>
      <c r="BO14" s="659">
        <f t="shared" si="8"/>
        <v>0</v>
      </c>
      <c r="BP14" s="660">
        <v>0</v>
      </c>
      <c r="BQ14" s="660">
        <f>BP14-CF!BP34</f>
        <v>0</v>
      </c>
      <c r="BR14" s="660">
        <f>BQ14-CF!BQ34</f>
        <v>0</v>
      </c>
      <c r="BS14" s="660">
        <f>BR14-CF!BR34</f>
        <v>0</v>
      </c>
      <c r="BT14" s="659">
        <f t="shared" si="9"/>
        <v>0</v>
      </c>
      <c r="BU14" s="2083">
        <f>BT14-CF!BT34</f>
        <v>0</v>
      </c>
      <c r="BV14" s="660">
        <f>BU14-CF!BU34</f>
        <v>0</v>
      </c>
      <c r="BW14" s="2083">
        <f>BV14-CF!BV34</f>
        <v>0</v>
      </c>
      <c r="BX14" s="2083">
        <f>BW14-CF!BW34</f>
        <v>0</v>
      </c>
      <c r="BY14" s="659">
        <f t="shared" si="10"/>
        <v>0</v>
      </c>
      <c r="BZ14" s="660">
        <f>BY14-CF!BY34</f>
        <v>0</v>
      </c>
      <c r="CA14" s="660">
        <f>BZ14-CF!BZ34</f>
        <v>0</v>
      </c>
      <c r="CB14" s="660">
        <f>CA14-CF!CA34</f>
        <v>0</v>
      </c>
      <c r="CC14" s="660">
        <f>CB14-CF!CB34</f>
        <v>0</v>
      </c>
      <c r="CD14" s="659">
        <f t="shared" si="11"/>
        <v>0</v>
      </c>
      <c r="CE14" s="660">
        <f>CD14-CF!CD34</f>
        <v>0</v>
      </c>
      <c r="CF14" s="660">
        <f>CE14-CF!CE34</f>
        <v>0</v>
      </c>
      <c r="CG14" s="660">
        <f>CF14-CF!CF34</f>
        <v>0</v>
      </c>
      <c r="CH14" s="660">
        <f>CG14-CF!CG34</f>
        <v>0</v>
      </c>
      <c r="CI14" s="659">
        <f t="shared" si="12"/>
        <v>0</v>
      </c>
      <c r="CJ14" s="659">
        <f>CI14-CF!CI34</f>
        <v>0</v>
      </c>
      <c r="CK14" s="659">
        <f>CJ14-CF!CJ34</f>
        <v>0</v>
      </c>
      <c r="CL14" s="659">
        <f>CK14-CF!CK34</f>
        <v>0</v>
      </c>
      <c r="CM14" s="509"/>
      <c r="CN14" s="509"/>
    </row>
    <row r="15" spans="1:92">
      <c r="A15" s="485"/>
      <c r="B15" s="485"/>
      <c r="C15" s="665" t="s">
        <v>401</v>
      </c>
      <c r="D15" s="485"/>
      <c r="E15" s="485"/>
      <c r="F15" s="485"/>
      <c r="G15" s="485"/>
      <c r="H15" s="485"/>
      <c r="I15" s="659">
        <v>4445</v>
      </c>
      <c r="J15" s="659">
        <v>4093</v>
      </c>
      <c r="K15" s="659">
        <v>4277</v>
      </c>
      <c r="L15" s="659">
        <v>5187</v>
      </c>
      <c r="M15" s="660">
        <v>5365</v>
      </c>
      <c r="N15" s="660">
        <v>6000</v>
      </c>
      <c r="O15" s="660">
        <v>6063</v>
      </c>
      <c r="P15" s="660">
        <v>6315</v>
      </c>
      <c r="Q15" s="659">
        <v>6315</v>
      </c>
      <c r="R15" s="660">
        <v>6564</v>
      </c>
      <c r="S15" s="660">
        <v>7374</v>
      </c>
      <c r="T15" s="660">
        <v>7338</v>
      </c>
      <c r="U15" s="660">
        <v>7240</v>
      </c>
      <c r="V15" s="659">
        <v>7240</v>
      </c>
      <c r="W15" s="660">
        <v>7128</v>
      </c>
      <c r="X15" s="660">
        <v>7810</v>
      </c>
      <c r="Y15" s="660">
        <v>7693</v>
      </c>
      <c r="Z15" s="660">
        <f t="shared" si="0"/>
        <v>7679</v>
      </c>
      <c r="AA15" s="659">
        <v>7679</v>
      </c>
      <c r="AB15" s="660">
        <v>7978</v>
      </c>
      <c r="AC15" s="660">
        <v>8428</v>
      </c>
      <c r="AD15" s="660">
        <v>8999</v>
      </c>
      <c r="AE15" s="660">
        <v>8844</v>
      </c>
      <c r="AF15" s="659">
        <f t="shared" si="1"/>
        <v>8844</v>
      </c>
      <c r="AG15" s="660">
        <v>9558</v>
      </c>
      <c r="AH15" s="660">
        <v>10103</v>
      </c>
      <c r="AI15" s="660">
        <v>9346</v>
      </c>
      <c r="AJ15" s="660">
        <v>9112</v>
      </c>
      <c r="AK15" s="659">
        <f t="shared" si="2"/>
        <v>9112</v>
      </c>
      <c r="AL15" s="660">
        <v>8797</v>
      </c>
      <c r="AM15" s="660">
        <v>8522</v>
      </c>
      <c r="AN15" s="660">
        <v>8460</v>
      </c>
      <c r="AO15" s="660">
        <v>8469</v>
      </c>
      <c r="AP15" s="659">
        <f t="shared" si="3"/>
        <v>8469</v>
      </c>
      <c r="AQ15" s="660">
        <v>8737</v>
      </c>
      <c r="AR15" s="660">
        <v>8881</v>
      </c>
      <c r="AS15" s="660">
        <v>8731</v>
      </c>
      <c r="AT15" s="660">
        <v>8925</v>
      </c>
      <c r="AU15" s="659">
        <f t="shared" si="4"/>
        <v>8925</v>
      </c>
      <c r="AV15" s="660">
        <v>9260</v>
      </c>
      <c r="AW15" s="660">
        <v>9801</v>
      </c>
      <c r="AX15" s="660">
        <v>9503</v>
      </c>
      <c r="AY15" s="660">
        <v>9546</v>
      </c>
      <c r="AZ15" s="659">
        <f t="shared" si="5"/>
        <v>9546</v>
      </c>
      <c r="BA15" s="660">
        <v>8833</v>
      </c>
      <c r="BB15" s="660">
        <v>9538</v>
      </c>
      <c r="BC15" s="660">
        <v>10610</v>
      </c>
      <c r="BD15" s="660">
        <v>11099</v>
      </c>
      <c r="BE15" s="659">
        <f t="shared" si="6"/>
        <v>11099</v>
      </c>
      <c r="BF15" s="660">
        <v>10791</v>
      </c>
      <c r="BG15" s="660">
        <v>11158</v>
      </c>
      <c r="BH15" s="660">
        <v>11135</v>
      </c>
      <c r="BI15" s="660">
        <v>11458</v>
      </c>
      <c r="BJ15" s="659">
        <f t="shared" si="7"/>
        <v>11458</v>
      </c>
      <c r="BK15" s="660">
        <v>11537</v>
      </c>
      <c r="BL15" s="660">
        <v>11795</v>
      </c>
      <c r="BM15" s="660">
        <v>11080</v>
      </c>
      <c r="BN15" s="660">
        <v>11317</v>
      </c>
      <c r="BO15" s="659">
        <f t="shared" si="8"/>
        <v>11317</v>
      </c>
      <c r="BP15" s="660">
        <v>11512</v>
      </c>
      <c r="BQ15" s="660">
        <v>11516</v>
      </c>
      <c r="BR15" s="660">
        <v>10647</v>
      </c>
      <c r="BS15" s="660">
        <v>10653</v>
      </c>
      <c r="BT15" s="659">
        <f t="shared" si="9"/>
        <v>10653</v>
      </c>
      <c r="BU15" s="2083">
        <v>10899</v>
      </c>
      <c r="BV15" s="2083">
        <v>11544</v>
      </c>
      <c r="BW15" s="2083">
        <v>11500</v>
      </c>
      <c r="BX15" s="2083">
        <v>11481</v>
      </c>
      <c r="BY15" s="659">
        <f t="shared" si="10"/>
        <v>11481</v>
      </c>
      <c r="BZ15" s="2083">
        <v>11840</v>
      </c>
      <c r="CA15" s="2083">
        <v>12597</v>
      </c>
      <c r="CB15" s="2083">
        <v>13128</v>
      </c>
      <c r="CC15" s="660">
        <f>CC79*CC76*4</f>
        <v>12023.188456734833</v>
      </c>
      <c r="CD15" s="659">
        <f t="shared" si="11"/>
        <v>12023.188456734833</v>
      </c>
      <c r="CE15" s="660">
        <f>CE79*CE76*4</f>
        <v>11733.868433401274</v>
      </c>
      <c r="CF15" s="660">
        <f>CF79*CF76*4</f>
        <v>13486.307323362986</v>
      </c>
      <c r="CG15" s="660">
        <f>CG79*CG76*4</f>
        <v>12658.820814653969</v>
      </c>
      <c r="CH15" s="660">
        <f>CH79*CH76*4</f>
        <v>12533.595412174031</v>
      </c>
      <c r="CI15" s="659">
        <f t="shared" si="12"/>
        <v>12533.595412174031</v>
      </c>
      <c r="CJ15" s="659">
        <f>CJ79*CJ76</f>
        <v>12422.785404089496</v>
      </c>
      <c r="CK15" s="659">
        <f>CK79*CK76</f>
        <v>12315.243241433138</v>
      </c>
      <c r="CL15" s="659">
        <f>CL79*CL76</f>
        <v>12120.849731035811</v>
      </c>
      <c r="CM15" s="509"/>
      <c r="CN15" s="509"/>
    </row>
    <row r="16" spans="1:92">
      <c r="A16" s="485"/>
      <c r="B16" s="485"/>
      <c r="C16" s="665" t="s">
        <v>400</v>
      </c>
      <c r="D16" s="485"/>
      <c r="E16" s="485"/>
      <c r="F16" s="485"/>
      <c r="G16" s="485"/>
      <c r="H16" s="485"/>
      <c r="I16" s="659">
        <v>3756</v>
      </c>
      <c r="J16" s="659">
        <v>3973</v>
      </c>
      <c r="K16" s="659">
        <v>3719</v>
      </c>
      <c r="L16" s="659">
        <v>4420</v>
      </c>
      <c r="M16" s="660">
        <v>4495</v>
      </c>
      <c r="N16" s="660">
        <v>4442</v>
      </c>
      <c r="O16" s="660">
        <v>4622</v>
      </c>
      <c r="P16" s="660">
        <v>5078</v>
      </c>
      <c r="Q16" s="659">
        <v>5078</v>
      </c>
      <c r="R16" s="660">
        <v>5298</v>
      </c>
      <c r="S16" s="660">
        <v>5874</v>
      </c>
      <c r="T16" s="660">
        <v>5964</v>
      </c>
      <c r="U16" s="660">
        <v>5659</v>
      </c>
      <c r="V16" s="659">
        <v>5659</v>
      </c>
      <c r="W16" s="660">
        <v>6472</v>
      </c>
      <c r="X16" s="660">
        <v>6856</v>
      </c>
      <c r="Y16" s="660">
        <v>7197</v>
      </c>
      <c r="Z16" s="660">
        <f t="shared" si="0"/>
        <v>6657</v>
      </c>
      <c r="AA16" s="659">
        <v>6657</v>
      </c>
      <c r="AB16" s="660">
        <v>7508</v>
      </c>
      <c r="AC16" s="660">
        <v>7974</v>
      </c>
      <c r="AD16" s="660">
        <v>8550</v>
      </c>
      <c r="AE16" s="660">
        <v>8101</v>
      </c>
      <c r="AF16" s="659">
        <f t="shared" si="1"/>
        <v>8101</v>
      </c>
      <c r="AG16" s="660">
        <v>9075</v>
      </c>
      <c r="AH16" s="660">
        <v>9082</v>
      </c>
      <c r="AI16" s="660">
        <v>9011</v>
      </c>
      <c r="AJ16" s="660">
        <v>8340</v>
      </c>
      <c r="AK16" s="659">
        <f t="shared" si="2"/>
        <v>8340</v>
      </c>
      <c r="AL16" s="660">
        <v>8601</v>
      </c>
      <c r="AM16" s="660">
        <v>8539</v>
      </c>
      <c r="AN16" s="660">
        <v>8086</v>
      </c>
      <c r="AO16" s="660">
        <v>7509</v>
      </c>
      <c r="AP16" s="659">
        <f t="shared" si="3"/>
        <v>7509</v>
      </c>
      <c r="AQ16" s="660">
        <v>8172</v>
      </c>
      <c r="AR16" s="660">
        <v>8083</v>
      </c>
      <c r="AS16" s="660">
        <v>8430</v>
      </c>
      <c r="AT16" s="660">
        <v>7766</v>
      </c>
      <c r="AU16" s="659">
        <f t="shared" si="4"/>
        <v>7766</v>
      </c>
      <c r="AV16" s="660">
        <v>8827</v>
      </c>
      <c r="AW16" s="660">
        <v>8795</v>
      </c>
      <c r="AX16" s="660">
        <v>8617</v>
      </c>
      <c r="AY16" s="660">
        <v>7797</v>
      </c>
      <c r="AZ16" s="659">
        <f t="shared" si="5"/>
        <v>7797</v>
      </c>
      <c r="BA16" s="660">
        <v>8366</v>
      </c>
      <c r="BB16" s="660">
        <v>8502</v>
      </c>
      <c r="BC16" s="660">
        <v>10467</v>
      </c>
      <c r="BD16" s="660">
        <v>9537</v>
      </c>
      <c r="BE16" s="659">
        <f t="shared" si="6"/>
        <v>9537</v>
      </c>
      <c r="BF16" s="660">
        <v>10161</v>
      </c>
      <c r="BG16" s="660">
        <v>10232</v>
      </c>
      <c r="BH16" s="660">
        <v>10765</v>
      </c>
      <c r="BI16" s="660">
        <v>10330</v>
      </c>
      <c r="BJ16" s="659">
        <f t="shared" si="7"/>
        <v>10330</v>
      </c>
      <c r="BK16" s="660">
        <v>10992</v>
      </c>
      <c r="BL16" s="660">
        <v>9896</v>
      </c>
      <c r="BM16" s="660">
        <v>10341</v>
      </c>
      <c r="BN16" s="660">
        <v>9865</v>
      </c>
      <c r="BO16" s="659">
        <f t="shared" si="8"/>
        <v>9865</v>
      </c>
      <c r="BP16" s="660">
        <v>10336</v>
      </c>
      <c r="BQ16" s="660">
        <v>10295</v>
      </c>
      <c r="BR16" s="660">
        <v>8453</v>
      </c>
      <c r="BS16" s="660">
        <v>8135</v>
      </c>
      <c r="BT16" s="659">
        <f t="shared" si="9"/>
        <v>8135</v>
      </c>
      <c r="BU16" s="2083">
        <v>8507</v>
      </c>
      <c r="BV16" s="2083">
        <v>8747</v>
      </c>
      <c r="BW16" s="2083">
        <v>9081</v>
      </c>
      <c r="BX16" s="2083">
        <v>8704</v>
      </c>
      <c r="BY16" s="659">
        <f t="shared" si="10"/>
        <v>8704</v>
      </c>
      <c r="BZ16" s="2083">
        <v>9386</v>
      </c>
      <c r="CA16" s="2083">
        <v>9860</v>
      </c>
      <c r="CB16" s="2083">
        <v>10083</v>
      </c>
      <c r="CC16" s="660">
        <f>CC85*CC84*4</f>
        <v>9915.8594517945839</v>
      </c>
      <c r="CD16" s="659">
        <f t="shared" si="11"/>
        <v>9915.8594517945839</v>
      </c>
      <c r="CE16" s="660">
        <f>CE85*CE84*4</f>
        <v>10099.777881061296</v>
      </c>
      <c r="CF16" s="660">
        <f>CF85*CF84*4</f>
        <v>10670.495528899062</v>
      </c>
      <c r="CG16" s="660">
        <f>CG85*CG84*4</f>
        <v>10495.989520554194</v>
      </c>
      <c r="CH16" s="660">
        <f>CH85*CH84*4</f>
        <v>9556.3852142196629</v>
      </c>
      <c r="CI16" s="659">
        <f t="shared" si="12"/>
        <v>9556.3852142196629</v>
      </c>
      <c r="CJ16" s="659">
        <f>CJ85*CJ84</f>
        <v>9153.9317524390772</v>
      </c>
      <c r="CK16" s="659">
        <f>CK85*CK84</f>
        <v>9326.4319696023449</v>
      </c>
      <c r="CL16" s="659">
        <f>CL85*CL84</f>
        <v>9423.7513294691271</v>
      </c>
      <c r="CM16" s="509"/>
      <c r="CN16" s="509"/>
    </row>
    <row r="17" spans="1:92">
      <c r="A17" s="485"/>
      <c r="B17" s="485"/>
      <c r="C17" s="665" t="s">
        <v>399</v>
      </c>
      <c r="D17" s="485"/>
      <c r="E17" s="485"/>
      <c r="F17" s="485"/>
      <c r="G17" s="485"/>
      <c r="H17" s="485"/>
      <c r="I17" s="700">
        <v>1439</v>
      </c>
      <c r="J17" s="700">
        <v>1378</v>
      </c>
      <c r="K17" s="700">
        <v>1431</v>
      </c>
      <c r="L17" s="700">
        <v>1372</v>
      </c>
      <c r="M17" s="660">
        <v>1374</v>
      </c>
      <c r="N17" s="660">
        <v>1342</v>
      </c>
      <c r="O17" s="660">
        <v>1274</v>
      </c>
      <c r="P17" s="660">
        <v>1441</v>
      </c>
      <c r="Q17" s="700">
        <v>1441</v>
      </c>
      <c r="R17" s="660">
        <v>1423</v>
      </c>
      <c r="S17" s="662">
        <v>1483</v>
      </c>
      <c r="T17" s="660">
        <v>1468</v>
      </c>
      <c r="U17" s="660">
        <v>1427</v>
      </c>
      <c r="V17" s="700">
        <v>1427</v>
      </c>
      <c r="W17" s="660">
        <v>1446</v>
      </c>
      <c r="X17" s="660">
        <v>1372</v>
      </c>
      <c r="Y17" s="660">
        <v>1359</v>
      </c>
      <c r="Z17" s="660">
        <f t="shared" si="0"/>
        <v>1261</v>
      </c>
      <c r="AA17" s="700">
        <v>1261</v>
      </c>
      <c r="AB17" s="660">
        <v>1348</v>
      </c>
      <c r="AC17" s="660">
        <v>1330</v>
      </c>
      <c r="AD17" s="660">
        <v>1303</v>
      </c>
      <c r="AE17" s="660">
        <v>1267</v>
      </c>
      <c r="AF17" s="700">
        <f t="shared" si="1"/>
        <v>1267</v>
      </c>
      <c r="AG17" s="660">
        <v>1271</v>
      </c>
      <c r="AH17" s="660">
        <v>1276</v>
      </c>
      <c r="AI17" s="660">
        <v>1311</v>
      </c>
      <c r="AJ17" s="662">
        <v>1551</v>
      </c>
      <c r="AK17" s="659">
        <f t="shared" si="2"/>
        <v>1551</v>
      </c>
      <c r="AL17" s="660">
        <v>1573</v>
      </c>
      <c r="AM17" s="660">
        <v>1593</v>
      </c>
      <c r="AN17" s="660">
        <v>1666</v>
      </c>
      <c r="AO17" s="660">
        <v>1689</v>
      </c>
      <c r="AP17" s="659">
        <f t="shared" si="3"/>
        <v>1689</v>
      </c>
      <c r="AQ17" s="660">
        <v>1676</v>
      </c>
      <c r="AR17" s="660">
        <v>1624</v>
      </c>
      <c r="AS17" s="662">
        <v>1603</v>
      </c>
      <c r="AT17" s="662">
        <v>1623</v>
      </c>
      <c r="AU17" s="659">
        <f t="shared" si="4"/>
        <v>1623</v>
      </c>
      <c r="AV17" s="660">
        <v>1578</v>
      </c>
      <c r="AW17" s="660">
        <v>1557</v>
      </c>
      <c r="AX17" s="662">
        <v>1551</v>
      </c>
      <c r="AY17" s="662">
        <v>1662</v>
      </c>
      <c r="AZ17" s="659">
        <f t="shared" si="5"/>
        <v>1662</v>
      </c>
      <c r="BA17" s="660">
        <v>1695</v>
      </c>
      <c r="BB17" s="660">
        <v>1677</v>
      </c>
      <c r="BC17" s="660">
        <v>1474</v>
      </c>
      <c r="BD17" s="660">
        <v>1611</v>
      </c>
      <c r="BE17" s="659">
        <f t="shared" si="6"/>
        <v>1611</v>
      </c>
      <c r="BF17" s="660">
        <v>1654</v>
      </c>
      <c r="BG17" s="660">
        <v>1589</v>
      </c>
      <c r="BH17" s="660">
        <f>2830-BH18</f>
        <v>1935</v>
      </c>
      <c r="BI17" s="660">
        <v>1964</v>
      </c>
      <c r="BJ17" s="659">
        <f t="shared" si="7"/>
        <v>1964</v>
      </c>
      <c r="BK17" s="660">
        <v>1922</v>
      </c>
      <c r="BL17" s="660">
        <f>BK17</f>
        <v>1922</v>
      </c>
      <c r="BM17" s="660">
        <v>1989</v>
      </c>
      <c r="BN17" s="660">
        <v>1931</v>
      </c>
      <c r="BO17" s="659">
        <f t="shared" si="8"/>
        <v>1931</v>
      </c>
      <c r="BP17" s="660">
        <v>1893</v>
      </c>
      <c r="BQ17" s="660">
        <f>BP17</f>
        <v>1893</v>
      </c>
      <c r="BR17" s="660">
        <v>2946</v>
      </c>
      <c r="BS17" s="660">
        <v>0</v>
      </c>
      <c r="BT17" s="659">
        <f t="shared" si="9"/>
        <v>0</v>
      </c>
      <c r="BU17" s="2083">
        <v>0</v>
      </c>
      <c r="BV17" s="701">
        <f>BU17</f>
        <v>0</v>
      </c>
      <c r="BW17" s="2083">
        <f>BV17</f>
        <v>0</v>
      </c>
      <c r="BX17" s="2083">
        <f>BW17</f>
        <v>0</v>
      </c>
      <c r="BY17" s="659">
        <f t="shared" si="10"/>
        <v>0</v>
      </c>
      <c r="BZ17" s="701">
        <f>BY17</f>
        <v>0</v>
      </c>
      <c r="CA17" s="701">
        <f>BZ17</f>
        <v>0</v>
      </c>
      <c r="CB17" s="2083">
        <f>CA17</f>
        <v>0</v>
      </c>
      <c r="CC17" s="701">
        <f>CB17</f>
        <v>0</v>
      </c>
      <c r="CD17" s="659">
        <f t="shared" si="11"/>
        <v>0</v>
      </c>
      <c r="CE17" s="701">
        <f>CD17</f>
        <v>0</v>
      </c>
      <c r="CF17" s="701">
        <f>CE17</f>
        <v>0</v>
      </c>
      <c r="CG17" s="701">
        <f>CF17</f>
        <v>0</v>
      </c>
      <c r="CH17" s="701">
        <f>CG17</f>
        <v>0</v>
      </c>
      <c r="CI17" s="659">
        <f t="shared" si="12"/>
        <v>0</v>
      </c>
      <c r="CJ17" s="700">
        <f>CI17</f>
        <v>0</v>
      </c>
      <c r="CK17" s="700">
        <f>CJ17</f>
        <v>0</v>
      </c>
      <c r="CL17" s="700">
        <f>CK17</f>
        <v>0</v>
      </c>
      <c r="CM17" s="509"/>
      <c r="CN17" s="509"/>
    </row>
    <row r="18" spans="1:92">
      <c r="A18" s="485"/>
      <c r="B18" s="485"/>
      <c r="C18" s="658" t="s">
        <v>398</v>
      </c>
      <c r="D18" s="534"/>
      <c r="E18" s="534"/>
      <c r="F18" s="534"/>
      <c r="G18" s="534"/>
      <c r="H18" s="534"/>
      <c r="I18" s="654">
        <v>274</v>
      </c>
      <c r="J18" s="654">
        <v>261</v>
      </c>
      <c r="K18" s="654">
        <v>244</v>
      </c>
      <c r="L18" s="654">
        <v>388</v>
      </c>
      <c r="M18" s="655">
        <v>407</v>
      </c>
      <c r="N18" s="655">
        <v>361</v>
      </c>
      <c r="O18" s="655">
        <v>378</v>
      </c>
      <c r="P18" s="655">
        <v>571</v>
      </c>
      <c r="Q18" s="654">
        <v>571</v>
      </c>
      <c r="R18" s="655">
        <v>498</v>
      </c>
      <c r="S18" s="655">
        <v>579</v>
      </c>
      <c r="T18" s="655">
        <v>639</v>
      </c>
      <c r="U18" s="655">
        <v>633</v>
      </c>
      <c r="V18" s="654">
        <v>633</v>
      </c>
      <c r="W18" s="655">
        <v>658</v>
      </c>
      <c r="X18" s="655">
        <v>700</v>
      </c>
      <c r="Y18" s="655">
        <v>743</v>
      </c>
      <c r="Z18" s="655">
        <f t="shared" si="0"/>
        <v>701</v>
      </c>
      <c r="AA18" s="654">
        <v>701</v>
      </c>
      <c r="AB18" s="655">
        <v>872</v>
      </c>
      <c r="AC18" s="655">
        <v>688</v>
      </c>
      <c r="AD18" s="655">
        <v>899</v>
      </c>
      <c r="AE18" s="655">
        <v>955</v>
      </c>
      <c r="AF18" s="654">
        <f t="shared" si="1"/>
        <v>955</v>
      </c>
      <c r="AG18" s="655">
        <v>873</v>
      </c>
      <c r="AH18" s="655">
        <v>876</v>
      </c>
      <c r="AI18" s="655">
        <v>898</v>
      </c>
      <c r="AJ18" s="655">
        <v>769</v>
      </c>
      <c r="AK18" s="654">
        <f t="shared" si="2"/>
        <v>769</v>
      </c>
      <c r="AL18" s="655">
        <f>2552-AL17</f>
        <v>979</v>
      </c>
      <c r="AM18" s="655">
        <v>966</v>
      </c>
      <c r="AN18" s="655">
        <v>885</v>
      </c>
      <c r="AO18" s="655">
        <v>1078</v>
      </c>
      <c r="AP18" s="654">
        <f t="shared" si="3"/>
        <v>1078</v>
      </c>
      <c r="AQ18" s="655">
        <v>948</v>
      </c>
      <c r="AR18" s="655">
        <f>2440-AR17</f>
        <v>816</v>
      </c>
      <c r="AS18" s="655">
        <v>842</v>
      </c>
      <c r="AT18" s="655">
        <v>1113</v>
      </c>
      <c r="AU18" s="654">
        <f t="shared" si="4"/>
        <v>1113</v>
      </c>
      <c r="AV18" s="655">
        <v>900</v>
      </c>
      <c r="AW18" s="655">
        <v>880</v>
      </c>
      <c r="AX18" s="655">
        <v>787</v>
      </c>
      <c r="AY18" s="655">
        <v>793</v>
      </c>
      <c r="AZ18" s="654">
        <f t="shared" si="5"/>
        <v>793</v>
      </c>
      <c r="BA18" s="655">
        <f>1941+727</f>
        <v>2668</v>
      </c>
      <c r="BB18" s="655">
        <f>1989+755</f>
        <v>2744</v>
      </c>
      <c r="BC18" s="655">
        <f>1884+1008</f>
        <v>2892</v>
      </c>
      <c r="BD18" s="655">
        <f>1071+1473</f>
        <v>2544</v>
      </c>
      <c r="BE18" s="654">
        <f t="shared" si="6"/>
        <v>2544</v>
      </c>
      <c r="BF18" s="655">
        <v>1788</v>
      </c>
      <c r="BG18" s="655">
        <v>902</v>
      </c>
      <c r="BH18" s="655">
        <v>895</v>
      </c>
      <c r="BI18" s="655">
        <f>3035-BI17</f>
        <v>1071</v>
      </c>
      <c r="BJ18" s="654">
        <f t="shared" si="7"/>
        <v>1071</v>
      </c>
      <c r="BK18" s="655">
        <v>892</v>
      </c>
      <c r="BL18" s="655">
        <f>2988-BL17</f>
        <v>1066</v>
      </c>
      <c r="BM18" s="655">
        <v>966</v>
      </c>
      <c r="BN18" s="655">
        <v>1410</v>
      </c>
      <c r="BO18" s="654">
        <f t="shared" si="8"/>
        <v>1410</v>
      </c>
      <c r="BP18" s="657">
        <v>936</v>
      </c>
      <c r="BQ18" s="657">
        <f>2925-BQ17</f>
        <v>1032</v>
      </c>
      <c r="BR18" s="655">
        <v>4836</v>
      </c>
      <c r="BS18" s="655">
        <v>843</v>
      </c>
      <c r="BT18" s="654">
        <f t="shared" si="9"/>
        <v>843</v>
      </c>
      <c r="BU18" s="2081">
        <v>906</v>
      </c>
      <c r="BV18" s="2081">
        <v>894</v>
      </c>
      <c r="BW18" s="2081">
        <v>860</v>
      </c>
      <c r="BX18" s="2081">
        <v>1208</v>
      </c>
      <c r="BY18" s="654">
        <f t="shared" si="10"/>
        <v>1208</v>
      </c>
      <c r="BZ18" s="2081">
        <v>923</v>
      </c>
      <c r="CA18" s="2081">
        <v>1027</v>
      </c>
      <c r="CB18" s="2081">
        <v>1229</v>
      </c>
      <c r="CC18" s="655">
        <f>CC80*CC76*4</f>
        <v>1031.7901361738352</v>
      </c>
      <c r="CD18" s="654">
        <f t="shared" si="11"/>
        <v>1031.7901361738352</v>
      </c>
      <c r="CE18" s="655">
        <f>CE80*CE76*4</f>
        <v>985.82157077086936</v>
      </c>
      <c r="CF18" s="655">
        <f>CF80*CF76*4</f>
        <v>1066.5177814131118</v>
      </c>
      <c r="CG18" s="655">
        <f>CG80*CG76*4</f>
        <v>1061.9778127181239</v>
      </c>
      <c r="CH18" s="655">
        <f>CH80*CH76*4</f>
        <v>1043.3238203578142</v>
      </c>
      <c r="CI18" s="654">
        <f t="shared" si="12"/>
        <v>1043.3238203578142</v>
      </c>
      <c r="CJ18" s="654">
        <f>CJ80*CJ76</f>
        <v>1088.5260564066652</v>
      </c>
      <c r="CK18" s="654">
        <f>CK80*CK76</f>
        <v>1135.8977389430559</v>
      </c>
      <c r="CL18" s="654">
        <f>CL80*CL76</f>
        <v>1176.8082456101154</v>
      </c>
      <c r="CM18" s="509"/>
      <c r="CN18" s="509"/>
    </row>
    <row r="19" spans="1:92">
      <c r="A19" s="485"/>
      <c r="B19" s="485"/>
      <c r="C19" s="653" t="s">
        <v>397</v>
      </c>
      <c r="D19" s="485"/>
      <c r="E19" s="485"/>
      <c r="F19" s="347"/>
      <c r="G19" s="347"/>
      <c r="H19" s="347"/>
      <c r="I19" s="364">
        <v>10662</v>
      </c>
      <c r="J19" s="364">
        <v>11263</v>
      </c>
      <c r="K19" s="364">
        <v>11751</v>
      </c>
      <c r="L19" s="364">
        <v>12990</v>
      </c>
      <c r="M19" s="365">
        <v>13372</v>
      </c>
      <c r="N19" s="365">
        <v>14163</v>
      </c>
      <c r="O19" s="365">
        <v>14677</v>
      </c>
      <c r="P19" s="365">
        <v>15670</v>
      </c>
      <c r="Q19" s="364">
        <v>15670</v>
      </c>
      <c r="R19" s="365">
        <v>15746</v>
      </c>
      <c r="S19" s="365">
        <v>17295</v>
      </c>
      <c r="T19" s="365">
        <v>17511</v>
      </c>
      <c r="U19" s="365">
        <v>17206</v>
      </c>
      <c r="V19" s="364">
        <v>17206</v>
      </c>
      <c r="W19" s="365">
        <f>SUM(W13:W18)</f>
        <v>18121</v>
      </c>
      <c r="X19" s="365">
        <f>SUM(X13:X18)</f>
        <v>19621</v>
      </c>
      <c r="Y19" s="365">
        <f>SUM(Y13:Y18)</f>
        <v>19906</v>
      </c>
      <c r="Z19" s="365">
        <f t="shared" si="0"/>
        <v>18844</v>
      </c>
      <c r="AA19" s="364">
        <f>SUM(AA13:AA18)</f>
        <v>18844</v>
      </c>
      <c r="AB19" s="365">
        <f>SUM(AB13:AB18)</f>
        <v>20187</v>
      </c>
      <c r="AC19" s="365">
        <f>SUM(AC13:AC18)</f>
        <v>21712</v>
      </c>
      <c r="AD19" s="365">
        <f>SUM(AD13:AD18)</f>
        <v>22561</v>
      </c>
      <c r="AE19" s="652">
        <f>SUM(AE13:AE18)</f>
        <v>22071</v>
      </c>
      <c r="AF19" s="364">
        <f t="shared" si="1"/>
        <v>22071</v>
      </c>
      <c r="AG19" s="365">
        <f>SUM(AG13:AG18)</f>
        <v>23916</v>
      </c>
      <c r="AH19" s="365">
        <f>SUM(AH13:AH18)</f>
        <v>24779</v>
      </c>
      <c r="AI19" s="365">
        <f>SUM(AI13:AI18)</f>
        <v>24181</v>
      </c>
      <c r="AJ19" s="652">
        <f>SUM(AJ13:AJ18)</f>
        <v>24099</v>
      </c>
      <c r="AK19" s="364">
        <f t="shared" si="2"/>
        <v>24099</v>
      </c>
      <c r="AL19" s="365">
        <f>SUM(AL13:AL18)</f>
        <v>23222</v>
      </c>
      <c r="AM19" s="365">
        <f>SUM(AM13:AM18)</f>
        <v>23636</v>
      </c>
      <c r="AN19" s="365">
        <f>SUM(AN13:AN18)</f>
        <v>23729</v>
      </c>
      <c r="AO19" s="652">
        <f>SUM(AO13:AO18)</f>
        <v>23194</v>
      </c>
      <c r="AP19" s="364">
        <f t="shared" si="3"/>
        <v>23194</v>
      </c>
      <c r="AQ19" s="365">
        <f>SUM(AQ13:AQ18)</f>
        <v>24321</v>
      </c>
      <c r="AR19" s="365">
        <f>SUM(AR13:AR18)</f>
        <v>24401</v>
      </c>
      <c r="AS19" s="365">
        <f>SUM(AS13:AS18)</f>
        <v>25337</v>
      </c>
      <c r="AT19" s="652">
        <f>SUM(AT13:AT18)</f>
        <v>23510</v>
      </c>
      <c r="AU19" s="364">
        <f t="shared" si="4"/>
        <v>23510</v>
      </c>
      <c r="AV19" s="365">
        <f>SUM(AV13:AV18)</f>
        <v>25005</v>
      </c>
      <c r="AW19" s="365">
        <f>SUM(AW13:AW18)</f>
        <v>26429</v>
      </c>
      <c r="AX19" s="365">
        <f>SUM(AX13:AX18)</f>
        <v>26424</v>
      </c>
      <c r="AY19" s="652">
        <f>SUM(AY13:AY18)</f>
        <v>25758</v>
      </c>
      <c r="AZ19" s="364">
        <f t="shared" si="5"/>
        <v>25758</v>
      </c>
      <c r="BA19" s="365">
        <f t="shared" ref="BA19:BY19" si="13">SUM(BA13:BA18)</f>
        <v>27847</v>
      </c>
      <c r="BB19" s="365">
        <f t="shared" si="13"/>
        <v>39142</v>
      </c>
      <c r="BC19" s="365">
        <f t="shared" si="13"/>
        <v>31685</v>
      </c>
      <c r="BD19" s="365">
        <f t="shared" si="13"/>
        <v>29610</v>
      </c>
      <c r="BE19" s="364">
        <f t="shared" si="13"/>
        <v>29610</v>
      </c>
      <c r="BF19" s="365">
        <f t="shared" si="13"/>
        <v>29161</v>
      </c>
      <c r="BG19" s="365">
        <f t="shared" si="13"/>
        <v>28790</v>
      </c>
      <c r="BH19" s="365">
        <f t="shared" si="13"/>
        <v>29351</v>
      </c>
      <c r="BI19" s="365">
        <f t="shared" si="13"/>
        <v>29442</v>
      </c>
      <c r="BJ19" s="364">
        <f t="shared" si="13"/>
        <v>29442</v>
      </c>
      <c r="BK19" s="365">
        <f t="shared" si="13"/>
        <v>29820</v>
      </c>
      <c r="BL19" s="365">
        <f t="shared" si="13"/>
        <v>29641</v>
      </c>
      <c r="BM19" s="365">
        <f t="shared" si="13"/>
        <v>29411</v>
      </c>
      <c r="BN19" s="365">
        <f t="shared" si="13"/>
        <v>29758</v>
      </c>
      <c r="BO19" s="364">
        <f t="shared" si="13"/>
        <v>29758</v>
      </c>
      <c r="BP19" s="365">
        <f t="shared" si="13"/>
        <v>29958</v>
      </c>
      <c r="BQ19" s="365">
        <f t="shared" si="13"/>
        <v>30669</v>
      </c>
      <c r="BR19" s="365">
        <f t="shared" si="13"/>
        <v>32359</v>
      </c>
      <c r="BS19" s="365">
        <f t="shared" si="13"/>
        <v>26706</v>
      </c>
      <c r="BT19" s="364">
        <f t="shared" si="13"/>
        <v>26706</v>
      </c>
      <c r="BU19" s="365">
        <f t="shared" si="13"/>
        <v>27527</v>
      </c>
      <c r="BV19" s="365">
        <f t="shared" si="13"/>
        <v>27970</v>
      </c>
      <c r="BW19" s="365">
        <f t="shared" si="13"/>
        <v>28548</v>
      </c>
      <c r="BX19" s="365">
        <f t="shared" si="13"/>
        <v>28550</v>
      </c>
      <c r="BY19" s="364">
        <f t="shared" si="13"/>
        <v>28550</v>
      </c>
      <c r="BZ19" s="365">
        <f t="shared" ref="BZ19:CH19" si="14">SUM(BZ13:BZ18)</f>
        <v>29305</v>
      </c>
      <c r="CA19" s="365">
        <f t="shared" si="14"/>
        <v>32829</v>
      </c>
      <c r="CB19" s="365">
        <f t="shared" si="14"/>
        <v>32963</v>
      </c>
      <c r="CC19" s="365">
        <f t="shared" si="14"/>
        <v>32623.421766062256</v>
      </c>
      <c r="CD19" s="364">
        <f t="shared" si="14"/>
        <v>32623.421766062256</v>
      </c>
      <c r="CE19" s="365">
        <f t="shared" si="14"/>
        <v>33445.09906803404</v>
      </c>
      <c r="CF19" s="365">
        <f t="shared" si="14"/>
        <v>37721.488370526691</v>
      </c>
      <c r="CG19" s="365">
        <f t="shared" si="14"/>
        <v>37834.963271444511</v>
      </c>
      <c r="CH19" s="365">
        <f t="shared" si="14"/>
        <v>38134.844144212642</v>
      </c>
      <c r="CI19" s="364">
        <f t="shared" ref="CI19" si="15">SUM(CI13:CI18)</f>
        <v>38134.844144212642</v>
      </c>
      <c r="CJ19" s="364">
        <f>SUM(CJ13:CJ18)</f>
        <v>42185.482983315946</v>
      </c>
      <c r="CK19" s="364">
        <f>SUM(CK13:CK18)</f>
        <v>47392.054226632223</v>
      </c>
      <c r="CL19" s="364">
        <f>SUM(CL13:CL18)</f>
        <v>52692.550686717259</v>
      </c>
      <c r="CM19" s="509"/>
      <c r="CN19" s="509"/>
    </row>
    <row r="20" spans="1:92">
      <c r="A20" s="485"/>
      <c r="B20" s="690"/>
      <c r="C20" s="349"/>
      <c r="D20" s="485"/>
      <c r="E20" s="485"/>
      <c r="F20" s="347"/>
      <c r="G20" s="347"/>
      <c r="H20" s="349"/>
      <c r="I20" s="364"/>
      <c r="J20" s="364"/>
      <c r="K20" s="364"/>
      <c r="L20" s="364"/>
      <c r="M20" s="365"/>
      <c r="N20" s="365"/>
      <c r="O20" s="365"/>
      <c r="P20" s="365"/>
      <c r="Q20" s="364"/>
      <c r="R20" s="365"/>
      <c r="S20" s="365"/>
      <c r="T20" s="365"/>
      <c r="U20" s="365"/>
      <c r="V20" s="364"/>
      <c r="W20" s="365"/>
      <c r="X20" s="365"/>
      <c r="Y20" s="365"/>
      <c r="Z20" s="365"/>
      <c r="AA20" s="364"/>
      <c r="AB20" s="365"/>
      <c r="AC20" s="365"/>
      <c r="AD20" s="365"/>
      <c r="AE20" s="652"/>
      <c r="AF20" s="364"/>
      <c r="AG20" s="365"/>
      <c r="AH20" s="365"/>
      <c r="AI20" s="365"/>
      <c r="AJ20" s="652"/>
      <c r="AK20" s="364"/>
      <c r="AL20" s="365"/>
      <c r="AM20" s="365"/>
      <c r="AN20" s="365"/>
      <c r="AO20" s="652"/>
      <c r="AP20" s="364"/>
      <c r="AQ20" s="365"/>
      <c r="AR20" s="365"/>
      <c r="AS20" s="365"/>
      <c r="AT20" s="652"/>
      <c r="AU20" s="364"/>
      <c r="AV20" s="365"/>
      <c r="AW20" s="365"/>
      <c r="AX20" s="365"/>
      <c r="AY20" s="652"/>
      <c r="AZ20" s="364"/>
      <c r="BA20" s="365"/>
      <c r="BB20" s="365"/>
      <c r="BC20" s="365"/>
      <c r="BD20" s="365"/>
      <c r="BE20" s="364"/>
      <c r="BF20" s="365"/>
      <c r="BG20" s="365"/>
      <c r="BH20" s="365"/>
      <c r="BI20" s="365"/>
      <c r="BJ20" s="364"/>
      <c r="BK20" s="365"/>
      <c r="BL20" s="365"/>
      <c r="BM20" s="365"/>
      <c r="BN20" s="365"/>
      <c r="BO20" s="364"/>
      <c r="BP20" s="365"/>
      <c r="BQ20" s="365"/>
      <c r="BR20" s="365"/>
      <c r="BS20" s="365"/>
      <c r="BT20" s="364"/>
      <c r="BU20" s="365"/>
      <c r="BV20" s="365"/>
      <c r="BW20" s="365"/>
      <c r="BX20" s="365"/>
      <c r="BY20" s="364"/>
      <c r="BZ20" s="365"/>
      <c r="CA20" s="2305"/>
      <c r="CB20" s="365"/>
      <c r="CC20" s="365"/>
      <c r="CD20" s="364"/>
      <c r="CE20" s="365"/>
      <c r="CF20" s="365"/>
      <c r="CG20" s="365"/>
      <c r="CH20" s="365"/>
      <c r="CI20" s="364"/>
      <c r="CJ20" s="364"/>
      <c r="CK20" s="364"/>
      <c r="CL20" s="364"/>
      <c r="CM20" s="509"/>
      <c r="CN20" s="509"/>
    </row>
    <row r="21" spans="1:92">
      <c r="A21" s="552"/>
      <c r="B21" s="552"/>
      <c r="C21" s="653" t="s">
        <v>396</v>
      </c>
      <c r="D21" s="552"/>
      <c r="E21" s="552"/>
      <c r="F21" s="552"/>
      <c r="G21" s="552"/>
      <c r="H21" s="552"/>
      <c r="I21" s="697">
        <v>4487</v>
      </c>
      <c r="J21" s="697">
        <v>4549</v>
      </c>
      <c r="K21" s="697">
        <v>4587</v>
      </c>
      <c r="L21" s="697">
        <v>5080</v>
      </c>
      <c r="M21" s="698">
        <v>5003</v>
      </c>
      <c r="N21" s="698">
        <v>4847</v>
      </c>
      <c r="O21" s="698">
        <v>4873</v>
      </c>
      <c r="P21" s="698">
        <v>5231</v>
      </c>
      <c r="Q21" s="697">
        <v>5231</v>
      </c>
      <c r="R21" s="698">
        <v>5160</v>
      </c>
      <c r="S21" s="698">
        <v>5187</v>
      </c>
      <c r="T21" s="698">
        <v>5513</v>
      </c>
      <c r="U21" s="698">
        <v>5623</v>
      </c>
      <c r="V21" s="697">
        <v>5623</v>
      </c>
      <c r="W21" s="698">
        <v>5677</v>
      </c>
      <c r="X21" s="698">
        <v>5586</v>
      </c>
      <c r="Y21" s="698">
        <v>5576</v>
      </c>
      <c r="Z21" s="698">
        <f>AA21</f>
        <v>5725</v>
      </c>
      <c r="AA21" s="697">
        <v>5725</v>
      </c>
      <c r="AB21" s="698">
        <v>5759</v>
      </c>
      <c r="AC21" s="698">
        <v>5875</v>
      </c>
      <c r="AD21" s="698">
        <v>6053</v>
      </c>
      <c r="AE21" s="699">
        <v>6296</v>
      </c>
      <c r="AF21" s="697">
        <f>AE21</f>
        <v>6296</v>
      </c>
      <c r="AG21" s="698">
        <v>6477</v>
      </c>
      <c r="AH21" s="698">
        <v>6550</v>
      </c>
      <c r="AI21" s="698">
        <v>6441</v>
      </c>
      <c r="AJ21" s="699">
        <v>6348</v>
      </c>
      <c r="AK21" s="697">
        <f>AJ21</f>
        <v>6348</v>
      </c>
      <c r="AL21" s="698">
        <v>6130</v>
      </c>
      <c r="AM21" s="698">
        <v>6179</v>
      </c>
      <c r="AN21" s="698">
        <v>6278</v>
      </c>
      <c r="AO21" s="699">
        <v>6364</v>
      </c>
      <c r="AP21" s="697">
        <f>AO21</f>
        <v>6364</v>
      </c>
      <c r="AQ21" s="698">
        <v>6335</v>
      </c>
      <c r="AR21" s="698">
        <v>6090</v>
      </c>
      <c r="AS21" s="698">
        <v>6148</v>
      </c>
      <c r="AT21" s="699">
        <v>6280</v>
      </c>
      <c r="AU21" s="697">
        <f>AT21</f>
        <v>6280</v>
      </c>
      <c r="AV21" s="698">
        <v>6382</v>
      </c>
      <c r="AW21" s="698">
        <v>6329</v>
      </c>
      <c r="AX21" s="698">
        <v>6137</v>
      </c>
      <c r="AY21" s="699">
        <v>6201</v>
      </c>
      <c r="AZ21" s="697">
        <f>AY21</f>
        <v>6201</v>
      </c>
      <c r="BA21" s="698">
        <v>5835</v>
      </c>
      <c r="BB21" s="698">
        <v>5717</v>
      </c>
      <c r="BC21" s="698">
        <v>8239</v>
      </c>
      <c r="BD21" s="698">
        <v>8518</v>
      </c>
      <c r="BE21" s="697">
        <f>BD21</f>
        <v>8518</v>
      </c>
      <c r="BF21" s="698">
        <v>8428</v>
      </c>
      <c r="BG21" s="698">
        <v>8399</v>
      </c>
      <c r="BH21" s="698">
        <v>8549</v>
      </c>
      <c r="BI21" s="698">
        <v>8866</v>
      </c>
      <c r="BJ21" s="697">
        <f>BI21</f>
        <v>8866</v>
      </c>
      <c r="BK21" s="698">
        <v>8895</v>
      </c>
      <c r="BL21" s="698">
        <v>9026</v>
      </c>
      <c r="BM21" s="698">
        <v>9182</v>
      </c>
      <c r="BN21" s="698">
        <v>9276</v>
      </c>
      <c r="BO21" s="697">
        <f t="shared" ref="BO21:BO27" si="16">BN21</f>
        <v>9276</v>
      </c>
      <c r="BP21" s="698">
        <v>9175</v>
      </c>
      <c r="BQ21" s="698">
        <v>9266</v>
      </c>
      <c r="BR21" s="698">
        <v>8515</v>
      </c>
      <c r="BS21" s="698">
        <v>8732</v>
      </c>
      <c r="BT21" s="697">
        <f>BS21</f>
        <v>8732</v>
      </c>
      <c r="BU21" s="2082">
        <v>8763</v>
      </c>
      <c r="BV21" s="2082">
        <v>8911</v>
      </c>
      <c r="BW21" s="2082">
        <v>8989</v>
      </c>
      <c r="BX21" s="2082">
        <v>9158</v>
      </c>
      <c r="BY21" s="697">
        <f>BX21</f>
        <v>9158</v>
      </c>
      <c r="BZ21" s="2082">
        <v>9255</v>
      </c>
      <c r="CA21" s="2082">
        <v>9475</v>
      </c>
      <c r="CB21" s="698">
        <v>9763</v>
      </c>
      <c r="CC21" s="698">
        <f>CF!CB112</f>
        <v>9752.1735803075608</v>
      </c>
      <c r="CD21" s="697">
        <f>CC21</f>
        <v>9752.1735803075608</v>
      </c>
      <c r="CE21" s="698">
        <f>CF!CD112</f>
        <v>9696.4516665780302</v>
      </c>
      <c r="CF21" s="698">
        <f>CF!CE112</f>
        <v>9640.7297528484996</v>
      </c>
      <c r="CG21" s="698">
        <f>CF!CF112</f>
        <v>9585.0078391189691</v>
      </c>
      <c r="CH21" s="698">
        <f>CF!CG112</f>
        <v>9578.5548346383966</v>
      </c>
      <c r="CI21" s="697">
        <f>CH21</f>
        <v>9578.5548346383966</v>
      </c>
      <c r="CJ21" s="697">
        <f>CF!CI112</f>
        <v>9378.6875142075842</v>
      </c>
      <c r="CK21" s="697">
        <f>CF!CJ112</f>
        <v>9193.0400384017685</v>
      </c>
      <c r="CL21" s="697">
        <f>CF!CK112</f>
        <v>9094.4168042628789</v>
      </c>
      <c r="CM21" s="509"/>
      <c r="CN21" s="509"/>
    </row>
    <row r="22" spans="1:92">
      <c r="A22" s="485"/>
      <c r="B22" s="485"/>
      <c r="C22" s="663" t="s">
        <v>395</v>
      </c>
      <c r="D22" s="485"/>
      <c r="E22" s="485"/>
      <c r="F22" s="485"/>
      <c r="G22" s="485"/>
      <c r="H22" s="485"/>
      <c r="I22" s="659">
        <v>6771</v>
      </c>
      <c r="J22" s="659">
        <v>6802</v>
      </c>
      <c r="K22" s="659">
        <v>6981</v>
      </c>
      <c r="L22" s="659">
        <v>9329</v>
      </c>
      <c r="M22" s="660">
        <v>9515</v>
      </c>
      <c r="N22" s="660">
        <v>9644</v>
      </c>
      <c r="O22" s="660">
        <v>9666</v>
      </c>
      <c r="P22" s="660">
        <v>10111</v>
      </c>
      <c r="Q22" s="659">
        <v>10111</v>
      </c>
      <c r="R22" s="660">
        <v>10003</v>
      </c>
      <c r="S22" s="660">
        <v>12263</v>
      </c>
      <c r="T22" s="660">
        <v>12726</v>
      </c>
      <c r="U22" s="660">
        <v>13007</v>
      </c>
      <c r="V22" s="659">
        <v>13007</v>
      </c>
      <c r="W22" s="660">
        <v>13254</v>
      </c>
      <c r="X22" s="660">
        <v>13492</v>
      </c>
      <c r="Y22" s="660">
        <v>13828</v>
      </c>
      <c r="Z22" s="660">
        <f>AA22</f>
        <v>14146</v>
      </c>
      <c r="AA22" s="659">
        <v>14146</v>
      </c>
      <c r="AB22" s="660">
        <v>14299</v>
      </c>
      <c r="AC22" s="660">
        <v>14610</v>
      </c>
      <c r="AD22" s="660">
        <v>15871</v>
      </c>
      <c r="AE22" s="662">
        <v>16120</v>
      </c>
      <c r="AF22" s="659">
        <f>AE22</f>
        <v>16120</v>
      </c>
      <c r="AG22" s="660">
        <v>16415</v>
      </c>
      <c r="AH22" s="660">
        <v>16619</v>
      </c>
      <c r="AI22" s="660">
        <v>16074</v>
      </c>
      <c r="AJ22" s="662">
        <v>15363</v>
      </c>
      <c r="AK22" s="659">
        <f>AJ22</f>
        <v>15363</v>
      </c>
      <c r="AL22" s="660">
        <v>15228</v>
      </c>
      <c r="AM22" s="660">
        <v>15754</v>
      </c>
      <c r="AN22" s="660">
        <v>16204</v>
      </c>
      <c r="AO22" s="662">
        <v>16298</v>
      </c>
      <c r="AP22" s="659">
        <f>AO22</f>
        <v>16298</v>
      </c>
      <c r="AQ22" s="660">
        <v>17069</v>
      </c>
      <c r="AR22" s="660">
        <v>16914</v>
      </c>
      <c r="AS22" s="660">
        <v>17422</v>
      </c>
      <c r="AT22" s="660">
        <v>17721</v>
      </c>
      <c r="AU22" s="659">
        <f>AT22</f>
        <v>17721</v>
      </c>
      <c r="AV22" s="660">
        <v>18193</v>
      </c>
      <c r="AW22" s="660">
        <v>18309</v>
      </c>
      <c r="AX22" s="660">
        <v>17980</v>
      </c>
      <c r="AY22" s="660">
        <v>17943</v>
      </c>
      <c r="AZ22" s="659">
        <f>AY22</f>
        <v>17943</v>
      </c>
      <c r="BA22" s="660">
        <v>16169</v>
      </c>
      <c r="BB22" s="660">
        <v>16116</v>
      </c>
      <c r="BC22" s="660">
        <v>27630</v>
      </c>
      <c r="BD22" s="660">
        <v>27801</v>
      </c>
      <c r="BE22" s="659">
        <f>BD22</f>
        <v>27801</v>
      </c>
      <c r="BF22" s="660">
        <v>27516</v>
      </c>
      <c r="BG22" s="660">
        <v>27835</v>
      </c>
      <c r="BH22" s="660">
        <v>28100</v>
      </c>
      <c r="BI22" s="660">
        <v>28168</v>
      </c>
      <c r="BJ22" s="659">
        <f>BI22</f>
        <v>28168</v>
      </c>
      <c r="BK22" s="660">
        <v>28216</v>
      </c>
      <c r="BL22" s="660">
        <v>28378</v>
      </c>
      <c r="BM22" s="660">
        <v>28169</v>
      </c>
      <c r="BN22" s="660">
        <v>27796</v>
      </c>
      <c r="BO22" s="659">
        <f t="shared" si="16"/>
        <v>27796</v>
      </c>
      <c r="BP22" s="660">
        <v>27557</v>
      </c>
      <c r="BQ22" s="660">
        <v>27933</v>
      </c>
      <c r="BR22" s="660">
        <v>27354</v>
      </c>
      <c r="BS22" s="660">
        <v>27301</v>
      </c>
      <c r="BT22" s="659">
        <f>BS22</f>
        <v>27301</v>
      </c>
      <c r="BU22" s="2083">
        <v>27408</v>
      </c>
      <c r="BV22" s="2083">
        <v>27535</v>
      </c>
      <c r="BW22" s="2083">
        <v>27422</v>
      </c>
      <c r="BX22" s="2083">
        <v>27059</v>
      </c>
      <c r="BY22" s="659">
        <f>BX22</f>
        <v>27059</v>
      </c>
      <c r="BZ22" s="2083">
        <v>27273</v>
      </c>
      <c r="CA22" s="2083">
        <v>27587</v>
      </c>
      <c r="CB22" s="660">
        <v>27916</v>
      </c>
      <c r="CC22" s="660">
        <f>CB22-CF!CB32-CF!CB33</f>
        <v>27916</v>
      </c>
      <c r="CD22" s="659">
        <f>CC22</f>
        <v>27916</v>
      </c>
      <c r="CE22" s="660">
        <f>CD22-CF!CD32-CF!CD33</f>
        <v>27916</v>
      </c>
      <c r="CF22" s="660">
        <f>CE22-CF!CE32-CF!CE33</f>
        <v>27916</v>
      </c>
      <c r="CG22" s="660">
        <f>CF22-CF!CF32-CF!CF33</f>
        <v>27916</v>
      </c>
      <c r="CH22" s="660">
        <f>CG22-CF!CG32-CF!CG33</f>
        <v>27916</v>
      </c>
      <c r="CI22" s="659">
        <f>CH22</f>
        <v>27916</v>
      </c>
      <c r="CJ22" s="659">
        <f>CI22-CF!CI32-CF!CI33</f>
        <v>27916</v>
      </c>
      <c r="CK22" s="659">
        <f>CJ22-CF!CJ32-CF!CJ33</f>
        <v>27916</v>
      </c>
      <c r="CL22" s="659">
        <f>CK22-CF!CK32-CF!CK33</f>
        <v>27916</v>
      </c>
      <c r="CM22" s="509"/>
      <c r="CN22" s="509"/>
    </row>
    <row r="23" spans="1:92">
      <c r="A23" s="485"/>
      <c r="B23" s="485"/>
      <c r="C23" s="665" t="s">
        <v>394</v>
      </c>
      <c r="D23" s="485"/>
      <c r="E23" s="485"/>
      <c r="F23" s="485"/>
      <c r="G23" s="485"/>
      <c r="H23" s="485"/>
      <c r="I23" s="659">
        <v>0</v>
      </c>
      <c r="J23" s="659">
        <v>0</v>
      </c>
      <c r="K23" s="659">
        <v>0</v>
      </c>
      <c r="L23" s="659">
        <v>0</v>
      </c>
      <c r="M23" s="660">
        <v>0</v>
      </c>
      <c r="N23" s="660">
        <v>0</v>
      </c>
      <c r="O23" s="660">
        <v>0</v>
      </c>
      <c r="P23" s="660">
        <v>0</v>
      </c>
      <c r="Q23" s="659">
        <v>0</v>
      </c>
      <c r="R23" s="660">
        <v>0</v>
      </c>
      <c r="S23" s="660">
        <v>0</v>
      </c>
      <c r="T23" s="660">
        <v>0</v>
      </c>
      <c r="U23" s="660">
        <v>0</v>
      </c>
      <c r="V23" s="659">
        <v>0</v>
      </c>
      <c r="W23" s="660">
        <f>V23</f>
        <v>0</v>
      </c>
      <c r="X23" s="660">
        <f>W23</f>
        <v>0</v>
      </c>
      <c r="Y23" s="660">
        <f>X23</f>
        <v>0</v>
      </c>
      <c r="Z23" s="660">
        <f>AA23</f>
        <v>0</v>
      </c>
      <c r="AA23" s="659">
        <f>Y23</f>
        <v>0</v>
      </c>
      <c r="AB23" s="660">
        <f>AA23</f>
        <v>0</v>
      </c>
      <c r="AC23" s="660">
        <f>AB23</f>
        <v>0</v>
      </c>
      <c r="AD23" s="660">
        <f>AC23</f>
        <v>0</v>
      </c>
      <c r="AE23" s="662">
        <f>AA23</f>
        <v>0</v>
      </c>
      <c r="AF23" s="659">
        <f>AE23</f>
        <v>0</v>
      </c>
      <c r="AG23" s="660">
        <f>AE23</f>
        <v>0</v>
      </c>
      <c r="AH23" s="660">
        <f>AG23</f>
        <v>0</v>
      </c>
      <c r="AI23" s="660">
        <v>0</v>
      </c>
      <c r="AJ23" s="662">
        <f>AE23</f>
        <v>0</v>
      </c>
      <c r="AK23" s="659">
        <f>AJ23</f>
        <v>0</v>
      </c>
      <c r="AL23" s="660">
        <v>0</v>
      </c>
      <c r="AM23" s="660">
        <v>0</v>
      </c>
      <c r="AN23" s="660">
        <v>0</v>
      </c>
      <c r="AO23" s="662">
        <v>0</v>
      </c>
      <c r="AP23" s="659">
        <f>AO23</f>
        <v>0</v>
      </c>
      <c r="AQ23" s="660">
        <v>0</v>
      </c>
      <c r="AR23" s="660">
        <v>0</v>
      </c>
      <c r="AS23" s="660">
        <v>0</v>
      </c>
      <c r="AT23" s="662">
        <v>0</v>
      </c>
      <c r="AU23" s="659">
        <f>AT23</f>
        <v>0</v>
      </c>
      <c r="AV23" s="660">
        <v>0</v>
      </c>
      <c r="AW23" s="660">
        <v>0</v>
      </c>
      <c r="AX23" s="660">
        <v>0</v>
      </c>
      <c r="AY23" s="662">
        <v>0</v>
      </c>
      <c r="AZ23" s="659">
        <f>AY23</f>
        <v>0</v>
      </c>
      <c r="BA23" s="660">
        <v>0</v>
      </c>
      <c r="BB23" s="660">
        <v>0</v>
      </c>
      <c r="BC23" s="660">
        <v>0</v>
      </c>
      <c r="BD23" s="660">
        <v>0</v>
      </c>
      <c r="BE23" s="659">
        <f>BD23</f>
        <v>0</v>
      </c>
      <c r="BF23" s="660">
        <v>0</v>
      </c>
      <c r="BG23" s="660">
        <v>0</v>
      </c>
      <c r="BH23" s="660">
        <v>0</v>
      </c>
      <c r="BI23" s="660">
        <v>0</v>
      </c>
      <c r="BJ23" s="659">
        <f>BI23</f>
        <v>0</v>
      </c>
      <c r="BK23" s="660">
        <v>0</v>
      </c>
      <c r="BL23" s="660">
        <v>0</v>
      </c>
      <c r="BM23" s="660">
        <v>0</v>
      </c>
      <c r="BN23" s="660">
        <v>0</v>
      </c>
      <c r="BO23" s="659">
        <f t="shared" si="16"/>
        <v>0</v>
      </c>
      <c r="BP23" s="660"/>
      <c r="BQ23" s="660"/>
      <c r="BR23" s="660"/>
      <c r="BS23" s="660"/>
      <c r="BT23" s="659"/>
      <c r="BU23" s="660"/>
      <c r="BV23" s="660"/>
      <c r="BW23" s="660"/>
      <c r="BX23" s="660"/>
      <c r="BY23" s="659"/>
      <c r="BZ23" s="660"/>
      <c r="CA23" s="660"/>
      <c r="CB23" s="660"/>
      <c r="CC23" s="660"/>
      <c r="CD23" s="659"/>
      <c r="CE23" s="660"/>
      <c r="CF23" s="660"/>
      <c r="CG23" s="660"/>
      <c r="CH23" s="660"/>
      <c r="CI23" s="659"/>
      <c r="CJ23" s="659"/>
      <c r="CK23" s="659"/>
      <c r="CL23" s="659"/>
      <c r="CM23" s="509"/>
      <c r="CN23" s="509"/>
    </row>
    <row r="24" spans="1:92">
      <c r="A24" s="485"/>
      <c r="B24" s="485"/>
      <c r="C24" s="665" t="s">
        <v>378</v>
      </c>
      <c r="D24" s="485"/>
      <c r="E24" s="485"/>
      <c r="F24" s="485"/>
      <c r="G24" s="485"/>
      <c r="H24" s="485"/>
      <c r="I24" s="659">
        <v>1065</v>
      </c>
      <c r="J24" s="659">
        <v>1205</v>
      </c>
      <c r="K24" s="659">
        <v>1658</v>
      </c>
      <c r="L24" s="659">
        <v>1283</v>
      </c>
      <c r="M24" s="660">
        <v>1290</v>
      </c>
      <c r="N24" s="660">
        <v>1164</v>
      </c>
      <c r="O24" s="660">
        <v>1217</v>
      </c>
      <c r="P24" s="660">
        <v>1382</v>
      </c>
      <c r="Q24" s="659">
        <v>1382</v>
      </c>
      <c r="R24" s="660">
        <v>1383</v>
      </c>
      <c r="S24" s="660">
        <v>1109</v>
      </c>
      <c r="T24" s="660">
        <v>1091</v>
      </c>
      <c r="U24" s="660">
        <v>719</v>
      </c>
      <c r="V24" s="659">
        <v>719</v>
      </c>
      <c r="W24" s="660">
        <v>788</v>
      </c>
      <c r="X24" s="660">
        <v>843</v>
      </c>
      <c r="Y24" s="660">
        <v>872</v>
      </c>
      <c r="Z24" s="660">
        <f>AA24</f>
        <v>1690</v>
      </c>
      <c r="AA24" s="659">
        <v>1690</v>
      </c>
      <c r="AB24" s="660">
        <v>1657</v>
      </c>
      <c r="AC24" s="660">
        <v>1648</v>
      </c>
      <c r="AD24" s="660">
        <v>1668</v>
      </c>
      <c r="AE24" s="662">
        <v>1126</v>
      </c>
      <c r="AF24" s="659">
        <f>AE24</f>
        <v>1126</v>
      </c>
      <c r="AG24" s="660">
        <v>1171</v>
      </c>
      <c r="AH24" s="660">
        <v>1296</v>
      </c>
      <c r="AI24" s="660">
        <v>1276</v>
      </c>
      <c r="AJ24" s="662">
        <v>3633</v>
      </c>
      <c r="AK24" s="659">
        <f>AJ24</f>
        <v>3633</v>
      </c>
      <c r="AL24" s="660">
        <v>3530</v>
      </c>
      <c r="AM24" s="660">
        <v>3451</v>
      </c>
      <c r="AN24" s="660">
        <v>3268</v>
      </c>
      <c r="AO24" s="660">
        <v>2102</v>
      </c>
      <c r="AP24" s="659">
        <f>AO24</f>
        <v>2102</v>
      </c>
      <c r="AQ24" s="660">
        <v>2081</v>
      </c>
      <c r="AR24" s="660">
        <v>2037</v>
      </c>
      <c r="AS24" s="662">
        <v>2308</v>
      </c>
      <c r="AT24" s="660">
        <v>1970</v>
      </c>
      <c r="AU24" s="659">
        <f>AT24</f>
        <v>1970</v>
      </c>
      <c r="AV24" s="660">
        <v>1861</v>
      </c>
      <c r="AW24" s="660">
        <v>1724</v>
      </c>
      <c r="AX24" s="662">
        <v>1744</v>
      </c>
      <c r="AY24" s="660">
        <v>2387</v>
      </c>
      <c r="AZ24" s="659">
        <f>AY24</f>
        <v>2387</v>
      </c>
      <c r="BA24" s="660">
        <v>2357</v>
      </c>
      <c r="BB24" s="660">
        <v>2443</v>
      </c>
      <c r="BC24" s="660">
        <v>1541</v>
      </c>
      <c r="BD24" s="660">
        <v>1599</v>
      </c>
      <c r="BE24" s="659">
        <f>BD24</f>
        <v>1599</v>
      </c>
      <c r="BF24" s="660">
        <v>1552</v>
      </c>
      <c r="BG24" s="660">
        <v>1596</v>
      </c>
      <c r="BH24" s="660">
        <v>1583</v>
      </c>
      <c r="BI24" s="660">
        <v>1236</v>
      </c>
      <c r="BJ24" s="659">
        <f>BI24</f>
        <v>1236</v>
      </c>
      <c r="BK24" s="660">
        <v>1237</v>
      </c>
      <c r="BL24" s="660">
        <v>1273</v>
      </c>
      <c r="BM24" s="662">
        <v>1223</v>
      </c>
      <c r="BN24" s="660">
        <v>1494</v>
      </c>
      <c r="BO24" s="659">
        <f t="shared" si="16"/>
        <v>1494</v>
      </c>
      <c r="BP24" s="662">
        <v>1462</v>
      </c>
      <c r="BQ24" s="662">
        <f>BP24</f>
        <v>1462</v>
      </c>
      <c r="BR24" s="660">
        <f>BQ24</f>
        <v>1462</v>
      </c>
      <c r="BS24" s="660">
        <v>1961</v>
      </c>
      <c r="BT24" s="659">
        <f>BS24</f>
        <v>1961</v>
      </c>
      <c r="BU24" s="2083">
        <v>1905</v>
      </c>
      <c r="BV24" s="2083">
        <v>1812</v>
      </c>
      <c r="BW24" s="2083">
        <f>9303-SUM(BW25:BW26)</f>
        <v>1765</v>
      </c>
      <c r="BX24" s="2287">
        <v>1809</v>
      </c>
      <c r="BY24" s="659">
        <f>BX24</f>
        <v>1809</v>
      </c>
      <c r="BZ24" s="660">
        <f t="shared" ref="BZ24:CC25" si="17">BY24</f>
        <v>1809</v>
      </c>
      <c r="CA24" s="2083">
        <v>1817</v>
      </c>
      <c r="CB24" s="660">
        <f t="shared" si="17"/>
        <v>1817</v>
      </c>
      <c r="CC24" s="660">
        <f t="shared" si="17"/>
        <v>1817</v>
      </c>
      <c r="CD24" s="659">
        <f t="shared" ref="CD24:CI25" si="18">CC24</f>
        <v>1817</v>
      </c>
      <c r="CE24" s="660">
        <f t="shared" si="18"/>
        <v>1817</v>
      </c>
      <c r="CF24" s="660">
        <f t="shared" si="18"/>
        <v>1817</v>
      </c>
      <c r="CG24" s="660">
        <f t="shared" si="18"/>
        <v>1817</v>
      </c>
      <c r="CH24" s="660">
        <f t="shared" si="18"/>
        <v>1817</v>
      </c>
      <c r="CI24" s="659">
        <f t="shared" si="18"/>
        <v>1817</v>
      </c>
      <c r="CJ24" s="659">
        <f t="shared" ref="CJ24:CL25" si="19">CI24</f>
        <v>1817</v>
      </c>
      <c r="CK24" s="659">
        <f t="shared" si="19"/>
        <v>1817</v>
      </c>
      <c r="CL24" s="659">
        <f t="shared" si="19"/>
        <v>1817</v>
      </c>
      <c r="CM24" s="509"/>
      <c r="CN24" s="509"/>
    </row>
    <row r="25" spans="1:92">
      <c r="A25" s="485"/>
      <c r="B25" s="485"/>
      <c r="C25" s="665" t="s">
        <v>393</v>
      </c>
      <c r="D25" s="485"/>
      <c r="E25" s="485"/>
      <c r="F25" s="485"/>
      <c r="G25" s="485"/>
      <c r="H25" s="485"/>
      <c r="I25" s="659">
        <v>2379</v>
      </c>
      <c r="J25" s="659">
        <v>3150</v>
      </c>
      <c r="K25" s="659">
        <v>4113</v>
      </c>
      <c r="L25" s="659">
        <v>3666</v>
      </c>
      <c r="M25" s="660">
        <v>6748</v>
      </c>
      <c r="N25" s="660">
        <v>6874</v>
      </c>
      <c r="O25" s="660">
        <v>7198</v>
      </c>
      <c r="P25" s="660">
        <v>4941</v>
      </c>
      <c r="Q25" s="659">
        <v>4941</v>
      </c>
      <c r="R25" s="660">
        <v>5183</v>
      </c>
      <c r="S25" s="662">
        <v>5937</v>
      </c>
      <c r="T25" s="662">
        <v>4898</v>
      </c>
      <c r="U25" s="660">
        <v>5159</v>
      </c>
      <c r="V25" s="659">
        <v>5159</v>
      </c>
      <c r="W25" s="660">
        <v>4937</v>
      </c>
      <c r="X25" s="660">
        <v>5285</v>
      </c>
      <c r="Y25" s="660">
        <v>5191</v>
      </c>
      <c r="Z25" s="660">
        <f>AA25</f>
        <v>2447</v>
      </c>
      <c r="AA25" s="659">
        <v>2447</v>
      </c>
      <c r="AB25" s="660">
        <v>2512</v>
      </c>
      <c r="AC25" s="660">
        <f>971+2457</f>
        <v>3428</v>
      </c>
      <c r="AD25" s="660">
        <f>962+2673</f>
        <v>3635</v>
      </c>
      <c r="AE25" s="662">
        <v>4242</v>
      </c>
      <c r="AF25" s="659">
        <f>AE25</f>
        <v>4242</v>
      </c>
      <c r="AG25" s="660">
        <v>4253</v>
      </c>
      <c r="AH25" s="660">
        <v>4390</v>
      </c>
      <c r="AI25" s="660">
        <v>4345</v>
      </c>
      <c r="AJ25" s="662">
        <v>2581</v>
      </c>
      <c r="AK25" s="659">
        <f>AJ25</f>
        <v>2581</v>
      </c>
      <c r="AL25" s="660">
        <v>2374</v>
      </c>
      <c r="AM25" s="660">
        <v>3040</v>
      </c>
      <c r="AN25" s="660">
        <v>3503</v>
      </c>
      <c r="AO25" s="662">
        <v>3219</v>
      </c>
      <c r="AP25" s="659">
        <f>AO25</f>
        <v>3219</v>
      </c>
      <c r="AQ25" s="660">
        <v>3447</v>
      </c>
      <c r="AR25" s="660">
        <f>3899</f>
        <v>3899</v>
      </c>
      <c r="AS25" s="660">
        <v>4266</v>
      </c>
      <c r="AT25" s="662">
        <v>3834</v>
      </c>
      <c r="AU25" s="659">
        <f>AT25</f>
        <v>3834</v>
      </c>
      <c r="AV25" s="660">
        <v>3961</v>
      </c>
      <c r="AW25" s="660">
        <v>4156</v>
      </c>
      <c r="AX25" s="660">
        <v>4662</v>
      </c>
      <c r="AY25" s="662">
        <v>4210</v>
      </c>
      <c r="AZ25" s="659">
        <f>AY25</f>
        <v>4210</v>
      </c>
      <c r="BA25" s="660">
        <v>4721</v>
      </c>
      <c r="BB25" s="660">
        <v>5197</v>
      </c>
      <c r="BC25" s="660">
        <v>6520</v>
      </c>
      <c r="BD25" s="660">
        <v>5542</v>
      </c>
      <c r="BE25" s="659">
        <f>BD25</f>
        <v>5542</v>
      </c>
      <c r="BF25" s="660">
        <f>8283-BF24</f>
        <v>6731</v>
      </c>
      <c r="BG25" s="660">
        <f>5676+1147</f>
        <v>6823</v>
      </c>
      <c r="BH25" s="660">
        <f>6019+1229</f>
        <v>7248</v>
      </c>
      <c r="BI25" s="660">
        <f>8597-BI24</f>
        <v>7361</v>
      </c>
      <c r="BJ25" s="659">
        <f>BI25</f>
        <v>7361</v>
      </c>
      <c r="BK25" s="660">
        <f>8770-BK24</f>
        <v>7533</v>
      </c>
      <c r="BL25" s="660">
        <f>9382-BL24</f>
        <v>8109</v>
      </c>
      <c r="BM25" s="660">
        <f>9328-BM24</f>
        <v>8105</v>
      </c>
      <c r="BN25" s="660">
        <v>8899</v>
      </c>
      <c r="BO25" s="659">
        <f t="shared" si="16"/>
        <v>8899</v>
      </c>
      <c r="BP25" s="660">
        <f>9066-BP24</f>
        <v>7604</v>
      </c>
      <c r="BQ25" s="660">
        <f>9199-BQ24</f>
        <v>7737</v>
      </c>
      <c r="BR25" s="660">
        <f>8335-BR24</f>
        <v>6873</v>
      </c>
      <c r="BS25" s="660">
        <f>9142-BS26-BS24</f>
        <v>3931</v>
      </c>
      <c r="BT25" s="659">
        <f>BS25</f>
        <v>3931</v>
      </c>
      <c r="BU25" s="2083">
        <f>967+6282-BU26</f>
        <v>3929</v>
      </c>
      <c r="BV25" s="2083">
        <f>6410+1000-BV26</f>
        <v>4019</v>
      </c>
      <c r="BW25" s="2083">
        <f>6461+1077-BW26</f>
        <v>4077</v>
      </c>
      <c r="BX25" s="660">
        <f>9255-BX26-BX24</f>
        <v>3933</v>
      </c>
      <c r="BY25" s="659">
        <f>BX25</f>
        <v>3933</v>
      </c>
      <c r="BZ25" s="2083">
        <f>8760-BZ24-BZ26</f>
        <v>3381</v>
      </c>
      <c r="CA25" s="2083">
        <f>9021-CA26-CA24</f>
        <v>3580</v>
      </c>
      <c r="CB25" s="2083">
        <f>9755-CB24-CB26</f>
        <v>4261</v>
      </c>
      <c r="CC25" s="660">
        <f t="shared" si="17"/>
        <v>4261</v>
      </c>
      <c r="CD25" s="659">
        <f t="shared" si="18"/>
        <v>4261</v>
      </c>
      <c r="CE25" s="660">
        <f t="shared" si="18"/>
        <v>4261</v>
      </c>
      <c r="CF25" s="660">
        <f t="shared" si="18"/>
        <v>4261</v>
      </c>
      <c r="CG25" s="660">
        <f t="shared" si="18"/>
        <v>4261</v>
      </c>
      <c r="CH25" s="660">
        <f t="shared" si="18"/>
        <v>4261</v>
      </c>
      <c r="CI25" s="659">
        <f t="shared" si="18"/>
        <v>4261</v>
      </c>
      <c r="CJ25" s="659">
        <f t="shared" si="19"/>
        <v>4261</v>
      </c>
      <c r="CK25" s="659">
        <f t="shared" si="19"/>
        <v>4261</v>
      </c>
      <c r="CL25" s="659">
        <f t="shared" si="19"/>
        <v>4261</v>
      </c>
      <c r="CM25" s="509"/>
      <c r="CN25" s="509"/>
    </row>
    <row r="26" spans="1:92">
      <c r="A26" s="485"/>
      <c r="B26" s="485"/>
      <c r="C26" s="696" t="s">
        <v>392</v>
      </c>
      <c r="D26" s="485"/>
      <c r="E26" s="485"/>
      <c r="F26" s="485"/>
      <c r="G26" s="485"/>
      <c r="H26" s="485"/>
      <c r="I26" s="659"/>
      <c r="J26" s="659"/>
      <c r="K26" s="659"/>
      <c r="L26" s="659"/>
      <c r="M26" s="660"/>
      <c r="N26" s="660"/>
      <c r="O26" s="660"/>
      <c r="P26" s="660"/>
      <c r="Q26" s="659"/>
      <c r="R26" s="660"/>
      <c r="S26" s="662"/>
      <c r="T26" s="662"/>
      <c r="U26" s="660"/>
      <c r="V26" s="659"/>
      <c r="W26" s="660"/>
      <c r="X26" s="660"/>
      <c r="Y26" s="660"/>
      <c r="Z26" s="660"/>
      <c r="AA26" s="659"/>
      <c r="AB26" s="660"/>
      <c r="AC26" s="660"/>
      <c r="AD26" s="660"/>
      <c r="AE26" s="662"/>
      <c r="AF26" s="659"/>
      <c r="AG26" s="660"/>
      <c r="AH26" s="660"/>
      <c r="AI26" s="660"/>
      <c r="AJ26" s="662"/>
      <c r="AK26" s="659"/>
      <c r="AL26" s="660"/>
      <c r="AM26" s="660"/>
      <c r="AN26" s="660"/>
      <c r="AO26" s="662"/>
      <c r="AP26" s="659"/>
      <c r="AQ26" s="660"/>
      <c r="AR26" s="660"/>
      <c r="AS26" s="660"/>
      <c r="AT26" s="662"/>
      <c r="AU26" s="659"/>
      <c r="AV26" s="660"/>
      <c r="AW26" s="660"/>
      <c r="AX26" s="660"/>
      <c r="AY26" s="662"/>
      <c r="AZ26" s="659"/>
      <c r="BA26" s="660">
        <v>0</v>
      </c>
      <c r="BB26" s="660">
        <v>1244</v>
      </c>
      <c r="BC26" s="660">
        <f>1376</f>
        <v>1376</v>
      </c>
      <c r="BD26" s="660">
        <f>BE26</f>
        <v>1526</v>
      </c>
      <c r="BE26" s="659">
        <v>1526</v>
      </c>
      <c r="BF26" s="660">
        <v>1685</v>
      </c>
      <c r="BG26" s="660">
        <v>1845</v>
      </c>
      <c r="BH26" s="660">
        <v>2093</v>
      </c>
      <c r="BI26" s="660">
        <f>BJ26</f>
        <v>2273</v>
      </c>
      <c r="BJ26" s="659">
        <f>2273</f>
        <v>2273</v>
      </c>
      <c r="BK26" s="660">
        <f>2421-5</f>
        <v>2416</v>
      </c>
      <c r="BL26" s="660">
        <f>2588-10</f>
        <v>2578</v>
      </c>
      <c r="BM26" s="660">
        <f>2738-15</f>
        <v>2723</v>
      </c>
      <c r="BN26" s="660">
        <f>2872-20</f>
        <v>2852</v>
      </c>
      <c r="BO26" s="659">
        <f t="shared" si="16"/>
        <v>2852</v>
      </c>
      <c r="BP26" s="662">
        <f>3003-32</f>
        <v>2971</v>
      </c>
      <c r="BQ26" s="662">
        <f>3118-45</f>
        <v>3073</v>
      </c>
      <c r="BR26" s="660">
        <f>3231-68</f>
        <v>3163</v>
      </c>
      <c r="BS26" s="660">
        <f>3336-86</f>
        <v>3250</v>
      </c>
      <c r="BT26" s="659">
        <f>BS26</f>
        <v>3250</v>
      </c>
      <c r="BU26" s="2083">
        <f>3436-116</f>
        <v>3320</v>
      </c>
      <c r="BV26" s="2083">
        <f>3537-146</f>
        <v>3391</v>
      </c>
      <c r="BW26" s="2083">
        <f>3637-176</f>
        <v>3461</v>
      </c>
      <c r="BX26" s="2083">
        <f>3724-211</f>
        <v>3513</v>
      </c>
      <c r="BY26" s="659">
        <f>BX26</f>
        <v>3513</v>
      </c>
      <c r="BZ26" s="660">
        <f>3825-255</f>
        <v>3570</v>
      </c>
      <c r="CA26" s="660">
        <f>3923-299</f>
        <v>3624</v>
      </c>
      <c r="CB26" s="660">
        <f>Pratt!CS162</f>
        <v>3677</v>
      </c>
      <c r="CC26" s="660">
        <f>Pratt!CT162</f>
        <v>3722.5</v>
      </c>
      <c r="CD26" s="659">
        <f>CC26</f>
        <v>3722.5</v>
      </c>
      <c r="CE26" s="660">
        <f>Pratt!CV162</f>
        <v>3764.1341578947367</v>
      </c>
      <c r="CF26" s="660">
        <f>Pratt!CW162</f>
        <v>3805.7683157894735</v>
      </c>
      <c r="CG26" s="660">
        <f>Pratt!CX162</f>
        <v>3847.4024736842102</v>
      </c>
      <c r="CH26" s="660">
        <f>Pratt!CY162</f>
        <v>3889.036631578947</v>
      </c>
      <c r="CI26" s="659">
        <f>CH26</f>
        <v>3889.036631578947</v>
      </c>
      <c r="CJ26" s="659">
        <f>Pratt!DA162</f>
        <v>4033.635763157894</v>
      </c>
      <c r="CK26" s="659">
        <f>Pratt!DB162</f>
        <v>4150.2445284210517</v>
      </c>
      <c r="CL26" s="659">
        <f>Pratt!DC162</f>
        <v>4228.8473432263145</v>
      </c>
      <c r="CM26" s="509"/>
      <c r="CN26" s="509"/>
    </row>
    <row r="27" spans="1:92">
      <c r="A27" s="485"/>
      <c r="B27" s="349"/>
      <c r="C27" s="658" t="s">
        <v>391</v>
      </c>
      <c r="D27" s="534"/>
      <c r="E27" s="534"/>
      <c r="F27" s="534"/>
      <c r="G27" s="534"/>
      <c r="H27" s="534"/>
      <c r="I27" s="654">
        <v>0</v>
      </c>
      <c r="J27" s="654">
        <v>0</v>
      </c>
      <c r="K27" s="654">
        <v>0</v>
      </c>
      <c r="L27" s="654">
        <v>2926</v>
      </c>
      <c r="M27" s="655">
        <v>0</v>
      </c>
      <c r="N27" s="655">
        <v>0</v>
      </c>
      <c r="O27" s="655">
        <v>0</v>
      </c>
      <c r="P27" s="655">
        <v>3106</v>
      </c>
      <c r="Q27" s="654">
        <v>3106</v>
      </c>
      <c r="R27" s="655">
        <v>3060</v>
      </c>
      <c r="S27" s="655">
        <v>3000</v>
      </c>
      <c r="T27" s="655">
        <v>4329</v>
      </c>
      <c r="U27" s="655">
        <v>4211</v>
      </c>
      <c r="V27" s="654">
        <v>4211</v>
      </c>
      <c r="W27" s="655">
        <f>3030+1224</f>
        <v>4254</v>
      </c>
      <c r="X27" s="655">
        <f>3114+1225</f>
        <v>4339</v>
      </c>
      <c r="Y27" s="655">
        <f>3143+1080</f>
        <v>4223</v>
      </c>
      <c r="Z27" s="655">
        <f>AA27</f>
        <v>4289</v>
      </c>
      <c r="AA27" s="654">
        <f>3216+1073</f>
        <v>4289</v>
      </c>
      <c r="AB27" s="655">
        <f>3229+940</f>
        <v>4169</v>
      </c>
      <c r="AC27" s="655">
        <v>3284</v>
      </c>
      <c r="AD27" s="655">
        <v>3709</v>
      </c>
      <c r="AE27" s="657">
        <f>3757+963</f>
        <v>4720</v>
      </c>
      <c r="AF27" s="654">
        <f>AE27</f>
        <v>4720</v>
      </c>
      <c r="AG27" s="655">
        <f>3862+959</f>
        <v>4821</v>
      </c>
      <c r="AH27" s="655">
        <f>3847+1005</f>
        <v>4852</v>
      </c>
      <c r="AI27" s="655">
        <f>3484+1009</f>
        <v>4493</v>
      </c>
      <c r="AJ27" s="657">
        <f>3443+1002</f>
        <v>4445</v>
      </c>
      <c r="AK27" s="654">
        <f>AJ27</f>
        <v>4445</v>
      </c>
      <c r="AL27" s="655">
        <f>3321+993</f>
        <v>4314</v>
      </c>
      <c r="AM27" s="655">
        <f>3456+1029</f>
        <v>4485</v>
      </c>
      <c r="AN27" s="655">
        <f>3546 +1049</f>
        <v>4595</v>
      </c>
      <c r="AO27" s="657">
        <f>3538+1047</f>
        <v>4585</v>
      </c>
      <c r="AP27" s="654">
        <f>AO27</f>
        <v>4585</v>
      </c>
      <c r="AQ27" s="655">
        <f>1088+4047</f>
        <v>5135</v>
      </c>
      <c r="AR27" s="655">
        <f>3899+1103</f>
        <v>5002</v>
      </c>
      <c r="AS27" s="655">
        <f>4070+1098</f>
        <v>5168</v>
      </c>
      <c r="AT27" s="657">
        <f>4060+1118</f>
        <v>5178</v>
      </c>
      <c r="AU27" s="654">
        <f>AT27</f>
        <v>5178</v>
      </c>
      <c r="AV27" s="655">
        <f>1085+4177</f>
        <v>5262</v>
      </c>
      <c r="AW27" s="655">
        <f>1059+4141</f>
        <v>5200</v>
      </c>
      <c r="AX27" s="655">
        <f>1035+3966</f>
        <v>5001</v>
      </c>
      <c r="AY27" s="657">
        <f>1035+3918</f>
        <v>4953</v>
      </c>
      <c r="AZ27" s="654">
        <f>AY27</f>
        <v>4953</v>
      </c>
      <c r="BA27" s="655">
        <f>1026+3769</f>
        <v>4795</v>
      </c>
      <c r="BB27" s="655">
        <f>1145+4893-BB26</f>
        <v>4794</v>
      </c>
      <c r="BC27" s="655">
        <f>1185+15146-BC26</f>
        <v>14955</v>
      </c>
      <c r="BD27" s="655">
        <f>1150+15189-BD26</f>
        <v>14813</v>
      </c>
      <c r="BE27" s="654">
        <f>BD27</f>
        <v>14813</v>
      </c>
      <c r="BF27" s="655">
        <f>15125-BF26</f>
        <v>13440</v>
      </c>
      <c r="BG27" s="655">
        <f>15301-BG26</f>
        <v>13456</v>
      </c>
      <c r="BH27" s="655">
        <f>15495-BH26</f>
        <v>13402</v>
      </c>
      <c r="BI27" s="655">
        <f>15521-BI26</f>
        <v>13248</v>
      </c>
      <c r="BJ27" s="654">
        <f>BI27</f>
        <v>13248</v>
      </c>
      <c r="BK27" s="655">
        <f>15528-BK26</f>
        <v>13112</v>
      </c>
      <c r="BL27" s="655">
        <f>15715-BL26</f>
        <v>13137</v>
      </c>
      <c r="BM27" s="655">
        <f>15684-BM26</f>
        <v>12961</v>
      </c>
      <c r="BN27" s="655">
        <f>15560-BN26-BN24</f>
        <v>11214</v>
      </c>
      <c r="BO27" s="654">
        <f t="shared" si="16"/>
        <v>11214</v>
      </c>
      <c r="BP27" s="655">
        <f>15571-BP26</f>
        <v>12600</v>
      </c>
      <c r="BQ27" s="655">
        <f>15706-BQ26</f>
        <v>12633</v>
      </c>
      <c r="BR27" s="655">
        <f>15572-BR26</f>
        <v>12409</v>
      </c>
      <c r="BS27" s="655">
        <v>15603</v>
      </c>
      <c r="BT27" s="654">
        <f>BS27</f>
        <v>15603</v>
      </c>
      <c r="BU27" s="2081">
        <v>15719</v>
      </c>
      <c r="BV27" s="2081">
        <v>15842</v>
      </c>
      <c r="BW27" s="2081">
        <v>15800</v>
      </c>
      <c r="BX27" s="2081">
        <v>15684</v>
      </c>
      <c r="BY27" s="654">
        <f>BX27</f>
        <v>15684</v>
      </c>
      <c r="BZ27" s="2081">
        <v>15780</v>
      </c>
      <c r="CA27" s="2081">
        <f>15881</f>
        <v>15881</v>
      </c>
      <c r="CB27" s="2081">
        <v>15955</v>
      </c>
      <c r="CC27" s="655">
        <f>CB27</f>
        <v>15955</v>
      </c>
      <c r="CD27" s="654">
        <f>CC27</f>
        <v>15955</v>
      </c>
      <c r="CE27" s="655">
        <f>CD27</f>
        <v>15955</v>
      </c>
      <c r="CF27" s="655">
        <f>CE27</f>
        <v>15955</v>
      </c>
      <c r="CG27" s="655">
        <f>CF27</f>
        <v>15955</v>
      </c>
      <c r="CH27" s="655">
        <f>CG27</f>
        <v>15955</v>
      </c>
      <c r="CI27" s="654">
        <f>CH27</f>
        <v>15955</v>
      </c>
      <c r="CJ27" s="654">
        <f>CI27</f>
        <v>15955</v>
      </c>
      <c r="CK27" s="654">
        <f>CJ27</f>
        <v>15955</v>
      </c>
      <c r="CL27" s="654">
        <f>CK27</f>
        <v>15955</v>
      </c>
      <c r="CM27" s="509"/>
      <c r="CN27" s="509"/>
    </row>
    <row r="28" spans="1:92">
      <c r="A28" s="552"/>
      <c r="B28" s="552"/>
      <c r="C28" s="653" t="s">
        <v>390</v>
      </c>
      <c r="D28" s="347"/>
      <c r="E28" s="347"/>
      <c r="F28" s="347"/>
      <c r="G28" s="347"/>
      <c r="H28" s="347"/>
      <c r="I28" s="693">
        <v>14702</v>
      </c>
      <c r="J28" s="693">
        <v>15706</v>
      </c>
      <c r="K28" s="693">
        <v>17339</v>
      </c>
      <c r="L28" s="693">
        <v>22284</v>
      </c>
      <c r="M28" s="694">
        <v>22556</v>
      </c>
      <c r="N28" s="694">
        <v>22529</v>
      </c>
      <c r="O28" s="694">
        <v>22954</v>
      </c>
      <c r="P28" s="694">
        <v>24771</v>
      </c>
      <c r="Q28" s="693">
        <v>24771</v>
      </c>
      <c r="R28" s="694">
        <v>24789</v>
      </c>
      <c r="S28" s="694">
        <v>27496</v>
      </c>
      <c r="T28" s="694">
        <v>28557</v>
      </c>
      <c r="U28" s="694">
        <v>28719</v>
      </c>
      <c r="V28" s="693">
        <v>28719</v>
      </c>
      <c r="W28" s="694">
        <f>SUM(W21:W27)</f>
        <v>28910</v>
      </c>
      <c r="X28" s="694">
        <f>SUM(X21:X27)</f>
        <v>29545</v>
      </c>
      <c r="Y28" s="694">
        <f>SUM(Y21:Y27)</f>
        <v>29690</v>
      </c>
      <c r="Z28" s="694">
        <f>AA28</f>
        <v>28297</v>
      </c>
      <c r="AA28" s="693">
        <f>SUM(AA21:AA27)</f>
        <v>28297</v>
      </c>
      <c r="AB28" s="694">
        <f>SUM(AB21:AB27)</f>
        <v>28396</v>
      </c>
      <c r="AC28" s="694">
        <f>SUM(AC21:AC27)</f>
        <v>28845</v>
      </c>
      <c r="AD28" s="694">
        <f>SUM(AD21:AD27)</f>
        <v>30936</v>
      </c>
      <c r="AE28" s="695">
        <f>SUM(AE21:AE27)</f>
        <v>32504</v>
      </c>
      <c r="AF28" s="693">
        <f>AE28</f>
        <v>32504</v>
      </c>
      <c r="AG28" s="694">
        <f>SUM(AG21:AG27)</f>
        <v>33137</v>
      </c>
      <c r="AH28" s="694">
        <f>SUM(AH21:AH27)</f>
        <v>33707</v>
      </c>
      <c r="AI28" s="694">
        <f>SUM(AI21:AI27)</f>
        <v>32629</v>
      </c>
      <c r="AJ28" s="695">
        <f>SUM(AJ21:AJ27)</f>
        <v>32370</v>
      </c>
      <c r="AK28" s="693">
        <f>AJ28</f>
        <v>32370</v>
      </c>
      <c r="AL28" s="694">
        <f>SUM(AL21:AL27)</f>
        <v>31576</v>
      </c>
      <c r="AM28" s="694">
        <f>SUM(AM21:AM27)</f>
        <v>32909</v>
      </c>
      <c r="AN28" s="694">
        <f>SUM(AN21:AN27)</f>
        <v>33848</v>
      </c>
      <c r="AO28" s="695">
        <f>SUM(AO21:AO27)</f>
        <v>32568</v>
      </c>
      <c r="AP28" s="693">
        <f>AO28</f>
        <v>32568</v>
      </c>
      <c r="AQ28" s="694">
        <f>SUM(AQ21:AQ27)</f>
        <v>34067</v>
      </c>
      <c r="AR28" s="694">
        <f>SUM(AR21:AR27)</f>
        <v>33942</v>
      </c>
      <c r="AS28" s="694">
        <f>SUM(AS21:AS27)</f>
        <v>35312</v>
      </c>
      <c r="AT28" s="695">
        <f>SUM(AT21:AT27)</f>
        <v>34983</v>
      </c>
      <c r="AU28" s="693">
        <f>AT28</f>
        <v>34983</v>
      </c>
      <c r="AV28" s="694">
        <f>SUM(AV21:AV27)</f>
        <v>35659</v>
      </c>
      <c r="AW28" s="694">
        <f>SUM(AW21:AW27)</f>
        <v>35718</v>
      </c>
      <c r="AX28" s="694">
        <f>SUM(AX21:AX27)</f>
        <v>35524</v>
      </c>
      <c r="AY28" s="695">
        <f>SUM(AY21:AY27)</f>
        <v>35694</v>
      </c>
      <c r="AZ28" s="693">
        <f>AY28</f>
        <v>35694</v>
      </c>
      <c r="BA28" s="694">
        <f t="shared" ref="BA28:BY28" si="20">SUM(BA21:BA27)</f>
        <v>33877</v>
      </c>
      <c r="BB28" s="694">
        <f t="shared" si="20"/>
        <v>35511</v>
      </c>
      <c r="BC28" s="694">
        <f t="shared" si="20"/>
        <v>60261</v>
      </c>
      <c r="BD28" s="694">
        <f t="shared" si="20"/>
        <v>59799</v>
      </c>
      <c r="BE28" s="693">
        <f t="shared" si="20"/>
        <v>59799</v>
      </c>
      <c r="BF28" s="694">
        <f t="shared" si="20"/>
        <v>59352</v>
      </c>
      <c r="BG28" s="694">
        <f t="shared" si="20"/>
        <v>59954</v>
      </c>
      <c r="BH28" s="694">
        <f t="shared" si="20"/>
        <v>60975</v>
      </c>
      <c r="BI28" s="694">
        <f t="shared" si="20"/>
        <v>61152</v>
      </c>
      <c r="BJ28" s="693">
        <f t="shared" si="20"/>
        <v>61152</v>
      </c>
      <c r="BK28" s="694">
        <f t="shared" si="20"/>
        <v>61409</v>
      </c>
      <c r="BL28" s="694">
        <f t="shared" si="20"/>
        <v>62501</v>
      </c>
      <c r="BM28" s="694">
        <f t="shared" si="20"/>
        <v>62363</v>
      </c>
      <c r="BN28" s="694">
        <f t="shared" si="20"/>
        <v>61531</v>
      </c>
      <c r="BO28" s="693">
        <f t="shared" si="20"/>
        <v>61531</v>
      </c>
      <c r="BP28" s="694">
        <f t="shared" si="20"/>
        <v>61369</v>
      </c>
      <c r="BQ28" s="694">
        <f t="shared" si="20"/>
        <v>62104</v>
      </c>
      <c r="BR28" s="694">
        <f t="shared" si="20"/>
        <v>59776</v>
      </c>
      <c r="BS28" s="694">
        <f t="shared" si="20"/>
        <v>60778</v>
      </c>
      <c r="BT28" s="693">
        <f t="shared" si="20"/>
        <v>60778</v>
      </c>
      <c r="BU28" s="694">
        <f t="shared" si="20"/>
        <v>61044</v>
      </c>
      <c r="BV28" s="694">
        <f t="shared" si="20"/>
        <v>61510</v>
      </c>
      <c r="BW28" s="694">
        <f t="shared" si="20"/>
        <v>61514</v>
      </c>
      <c r="BX28" s="694">
        <f t="shared" si="20"/>
        <v>61156</v>
      </c>
      <c r="BY28" s="693">
        <f t="shared" si="20"/>
        <v>61156</v>
      </c>
      <c r="BZ28" s="694">
        <f t="shared" ref="BZ28:CH28" si="21">SUM(BZ21:BZ27)</f>
        <v>61068</v>
      </c>
      <c r="CA28" s="694">
        <f t="shared" si="21"/>
        <v>61964</v>
      </c>
      <c r="CB28" s="694">
        <f t="shared" si="21"/>
        <v>63389</v>
      </c>
      <c r="CC28" s="694">
        <f t="shared" si="21"/>
        <v>63423.673580307557</v>
      </c>
      <c r="CD28" s="693">
        <f t="shared" si="21"/>
        <v>63423.673580307557</v>
      </c>
      <c r="CE28" s="694">
        <f t="shared" si="21"/>
        <v>63409.585824472771</v>
      </c>
      <c r="CF28" s="694">
        <f t="shared" si="21"/>
        <v>63395.498068637971</v>
      </c>
      <c r="CG28" s="694">
        <f t="shared" si="21"/>
        <v>63381.410312803178</v>
      </c>
      <c r="CH28" s="694">
        <f t="shared" si="21"/>
        <v>63416.591466217345</v>
      </c>
      <c r="CI28" s="693">
        <f t="shared" ref="CI28" si="22">SUM(CI21:CI27)</f>
        <v>63416.591466217345</v>
      </c>
      <c r="CJ28" s="693">
        <f>SUM(CJ21:CJ27)</f>
        <v>63361.323277365482</v>
      </c>
      <c r="CK28" s="693">
        <f>SUM(CK21:CK27)</f>
        <v>63292.284566822826</v>
      </c>
      <c r="CL28" s="693">
        <f>SUM(CL21:CL27)</f>
        <v>63272.264147489193</v>
      </c>
      <c r="CM28" s="509"/>
      <c r="CN28" s="509"/>
    </row>
    <row r="29" spans="1:92">
      <c r="A29" s="485"/>
      <c r="B29" s="485"/>
      <c r="C29" s="485"/>
      <c r="D29" s="485"/>
      <c r="E29" s="485"/>
      <c r="F29" s="485"/>
      <c r="G29" s="485"/>
      <c r="H29" s="485"/>
      <c r="I29" s="383"/>
      <c r="J29" s="383"/>
      <c r="K29" s="383"/>
      <c r="L29" s="383"/>
      <c r="M29" s="384"/>
      <c r="N29" s="384"/>
      <c r="O29" s="384"/>
      <c r="P29" s="384"/>
      <c r="Q29" s="383"/>
      <c r="R29" s="384"/>
      <c r="S29" s="384"/>
      <c r="T29" s="384"/>
      <c r="U29" s="384"/>
      <c r="V29" s="383"/>
      <c r="W29" s="384"/>
      <c r="X29" s="384"/>
      <c r="Y29" s="384"/>
      <c r="Z29" s="384"/>
      <c r="AA29" s="383"/>
      <c r="AB29" s="384"/>
      <c r="AC29" s="384"/>
      <c r="AD29" s="384"/>
      <c r="AE29" s="390"/>
      <c r="AF29" s="383"/>
      <c r="AG29" s="384"/>
      <c r="AH29" s="384"/>
      <c r="AI29" s="384"/>
      <c r="AJ29" s="390"/>
      <c r="AK29" s="383"/>
      <c r="AL29" s="384"/>
      <c r="AM29" s="384"/>
      <c r="AN29" s="384"/>
      <c r="AO29" s="390"/>
      <c r="AP29" s="383"/>
      <c r="AQ29" s="384"/>
      <c r="AR29" s="384"/>
      <c r="AS29" s="384"/>
      <c r="AT29" s="390"/>
      <c r="AU29" s="383"/>
      <c r="AV29" s="384"/>
      <c r="AW29" s="384"/>
      <c r="AX29" s="384"/>
      <c r="AY29" s="390"/>
      <c r="AZ29" s="383"/>
      <c r="BA29" s="384"/>
      <c r="BB29" s="384"/>
      <c r="BC29" s="384"/>
      <c r="BD29" s="384"/>
      <c r="BE29" s="383"/>
      <c r="BF29" s="384"/>
      <c r="BG29" s="384"/>
      <c r="BH29" s="384"/>
      <c r="BI29" s="384"/>
      <c r="BJ29" s="383"/>
      <c r="BK29" s="384"/>
      <c r="BL29" s="384"/>
      <c r="BM29" s="384"/>
      <c r="BN29" s="384"/>
      <c r="BO29" s="383"/>
      <c r="BP29" s="384"/>
      <c r="BQ29" s="384"/>
      <c r="BR29" s="384"/>
      <c r="BS29" s="384"/>
      <c r="BT29" s="383"/>
      <c r="BU29" s="384"/>
      <c r="BV29" s="384"/>
      <c r="BW29" s="384"/>
      <c r="BX29" s="384"/>
      <c r="BY29" s="383"/>
      <c r="BZ29" s="384"/>
      <c r="CA29" s="384"/>
      <c r="CB29" s="384"/>
      <c r="CC29" s="384"/>
      <c r="CD29" s="383"/>
      <c r="CE29" s="384"/>
      <c r="CF29" s="384"/>
      <c r="CG29" s="384"/>
      <c r="CH29" s="384"/>
      <c r="CI29" s="383"/>
      <c r="CJ29" s="383"/>
      <c r="CK29" s="383"/>
      <c r="CL29" s="383"/>
      <c r="CM29" s="509"/>
      <c r="CN29" s="509"/>
    </row>
    <row r="30" spans="1:92" ht="13.5" thickBot="1">
      <c r="A30" s="552"/>
      <c r="B30" s="552"/>
      <c r="C30" s="650" t="s">
        <v>236</v>
      </c>
      <c r="D30" s="650"/>
      <c r="E30" s="650"/>
      <c r="F30" s="650"/>
      <c r="G30" s="650"/>
      <c r="H30" s="650"/>
      <c r="I30" s="374">
        <v>25364</v>
      </c>
      <c r="J30" s="374">
        <v>26969</v>
      </c>
      <c r="K30" s="374">
        <v>29090</v>
      </c>
      <c r="L30" s="374">
        <v>35274</v>
      </c>
      <c r="M30" s="375">
        <v>35928</v>
      </c>
      <c r="N30" s="375">
        <v>36692</v>
      </c>
      <c r="O30" s="375">
        <v>37631</v>
      </c>
      <c r="P30" s="375">
        <v>40441</v>
      </c>
      <c r="Q30" s="374">
        <v>40441</v>
      </c>
      <c r="R30" s="375">
        <v>40535</v>
      </c>
      <c r="S30" s="375">
        <v>44791</v>
      </c>
      <c r="T30" s="375">
        <v>46068</v>
      </c>
      <c r="U30" s="375">
        <v>45925</v>
      </c>
      <c r="V30" s="374">
        <v>45925</v>
      </c>
      <c r="W30" s="375">
        <f>W19+W28</f>
        <v>47031</v>
      </c>
      <c r="X30" s="375">
        <f>X19+X28</f>
        <v>49166</v>
      </c>
      <c r="Y30" s="375">
        <f>Y19+Y28</f>
        <v>49596</v>
      </c>
      <c r="Z30" s="375">
        <f>AA30</f>
        <v>47141</v>
      </c>
      <c r="AA30" s="374">
        <f>AA19+AA28</f>
        <v>47141</v>
      </c>
      <c r="AB30" s="375">
        <f>AB19+AB28</f>
        <v>48583</v>
      </c>
      <c r="AC30" s="375">
        <f>AC19+AC28</f>
        <v>50557</v>
      </c>
      <c r="AD30" s="375">
        <f>AD19+AD28</f>
        <v>53497</v>
      </c>
      <c r="AE30" s="649">
        <f>AE19+AE28</f>
        <v>54575</v>
      </c>
      <c r="AF30" s="374">
        <f>AE30</f>
        <v>54575</v>
      </c>
      <c r="AG30" s="375">
        <f>AG19+AG28</f>
        <v>57053</v>
      </c>
      <c r="AH30" s="375">
        <f>AH19+AH28</f>
        <v>58486</v>
      </c>
      <c r="AI30" s="375">
        <f>AI19+AI28</f>
        <v>56810</v>
      </c>
      <c r="AJ30" s="649">
        <f>AJ19+AJ28</f>
        <v>56469</v>
      </c>
      <c r="AK30" s="374">
        <f>AJ30</f>
        <v>56469</v>
      </c>
      <c r="AL30" s="375">
        <f>AL19+AL28</f>
        <v>54798</v>
      </c>
      <c r="AM30" s="375">
        <f>AM19+AM28</f>
        <v>56545</v>
      </c>
      <c r="AN30" s="375">
        <f>AN19+AN28</f>
        <v>57577</v>
      </c>
      <c r="AO30" s="649">
        <f>AO19+AO28</f>
        <v>55762</v>
      </c>
      <c r="AP30" s="374">
        <f>AO30</f>
        <v>55762</v>
      </c>
      <c r="AQ30" s="375">
        <f>AQ19+AQ28</f>
        <v>58388</v>
      </c>
      <c r="AR30" s="375">
        <f>AR19+AR28</f>
        <v>58343</v>
      </c>
      <c r="AS30" s="375">
        <f>AS19+AS28</f>
        <v>60649</v>
      </c>
      <c r="AT30" s="649">
        <f>AT19+AT28</f>
        <v>58493</v>
      </c>
      <c r="AU30" s="374">
        <f>AT30</f>
        <v>58493</v>
      </c>
      <c r="AV30" s="375">
        <f>AV19+AV28</f>
        <v>60664</v>
      </c>
      <c r="AW30" s="375">
        <f>AW19+AW28</f>
        <v>62147</v>
      </c>
      <c r="AX30" s="375">
        <f>AX19+AX28</f>
        <v>61948</v>
      </c>
      <c r="AY30" s="649">
        <f>AY19+AY28</f>
        <v>61452</v>
      </c>
      <c r="AZ30" s="374">
        <f>AY30</f>
        <v>61452</v>
      </c>
      <c r="BA30" s="375">
        <f t="shared" ref="BA30:BY30" si="23">BA19+BA28</f>
        <v>61724</v>
      </c>
      <c r="BB30" s="375">
        <f t="shared" si="23"/>
        <v>74653</v>
      </c>
      <c r="BC30" s="375">
        <f t="shared" si="23"/>
        <v>91946</v>
      </c>
      <c r="BD30" s="375">
        <f t="shared" si="23"/>
        <v>89409</v>
      </c>
      <c r="BE30" s="374">
        <f t="shared" si="23"/>
        <v>89409</v>
      </c>
      <c r="BF30" s="375">
        <f t="shared" si="23"/>
        <v>88513</v>
      </c>
      <c r="BG30" s="375">
        <f t="shared" si="23"/>
        <v>88744</v>
      </c>
      <c r="BH30" s="375">
        <f t="shared" si="23"/>
        <v>90326</v>
      </c>
      <c r="BI30" s="375">
        <f t="shared" si="23"/>
        <v>90594</v>
      </c>
      <c r="BJ30" s="374">
        <f t="shared" si="23"/>
        <v>90594</v>
      </c>
      <c r="BK30" s="375">
        <f t="shared" si="23"/>
        <v>91229</v>
      </c>
      <c r="BL30" s="375">
        <f t="shared" si="23"/>
        <v>92142</v>
      </c>
      <c r="BM30" s="375">
        <f t="shared" si="23"/>
        <v>91774</v>
      </c>
      <c r="BN30" s="375">
        <f t="shared" si="23"/>
        <v>91289</v>
      </c>
      <c r="BO30" s="374">
        <f t="shared" si="23"/>
        <v>91289</v>
      </c>
      <c r="BP30" s="375">
        <f t="shared" si="23"/>
        <v>91327</v>
      </c>
      <c r="BQ30" s="375">
        <f t="shared" si="23"/>
        <v>92773</v>
      </c>
      <c r="BR30" s="375">
        <f t="shared" si="23"/>
        <v>92135</v>
      </c>
      <c r="BS30" s="375">
        <f t="shared" si="23"/>
        <v>87484</v>
      </c>
      <c r="BT30" s="374">
        <f t="shared" si="23"/>
        <v>87484</v>
      </c>
      <c r="BU30" s="375">
        <f t="shared" si="23"/>
        <v>88571</v>
      </c>
      <c r="BV30" s="375">
        <f t="shared" si="23"/>
        <v>89480</v>
      </c>
      <c r="BW30" s="375">
        <f t="shared" si="23"/>
        <v>90062</v>
      </c>
      <c r="BX30" s="375">
        <f t="shared" si="23"/>
        <v>89706</v>
      </c>
      <c r="BY30" s="374">
        <f t="shared" si="23"/>
        <v>89706</v>
      </c>
      <c r="BZ30" s="375">
        <f t="shared" ref="BZ30:CH30" si="24">BZ19+BZ28</f>
        <v>90373</v>
      </c>
      <c r="CA30" s="375">
        <f t="shared" si="24"/>
        <v>94793</v>
      </c>
      <c r="CB30" s="375">
        <f t="shared" si="24"/>
        <v>96352</v>
      </c>
      <c r="CC30" s="375">
        <f t="shared" si="24"/>
        <v>96047.09534636981</v>
      </c>
      <c r="CD30" s="374">
        <f t="shared" si="24"/>
        <v>96047.09534636981</v>
      </c>
      <c r="CE30" s="375">
        <f t="shared" si="24"/>
        <v>96854.684892506804</v>
      </c>
      <c r="CF30" s="375">
        <f t="shared" si="24"/>
        <v>101116.98643916467</v>
      </c>
      <c r="CG30" s="375">
        <f t="shared" si="24"/>
        <v>101216.37358424769</v>
      </c>
      <c r="CH30" s="375">
        <f t="shared" si="24"/>
        <v>101551.43561042999</v>
      </c>
      <c r="CI30" s="374">
        <f t="shared" ref="CI30" si="25">CI19+CI28</f>
        <v>101551.43561042999</v>
      </c>
      <c r="CJ30" s="374">
        <f>CJ19+CJ28</f>
        <v>105546.80626068142</v>
      </c>
      <c r="CK30" s="374">
        <f>CK19+CK28</f>
        <v>110684.33879345504</v>
      </c>
      <c r="CL30" s="374">
        <f>CL19+CL28</f>
        <v>115964.81483420645</v>
      </c>
      <c r="CM30" s="509"/>
      <c r="CN30" s="509"/>
    </row>
    <row r="31" spans="1:92" ht="13.5" thickTop="1">
      <c r="A31" s="485"/>
      <c r="B31" s="485"/>
      <c r="C31" s="485"/>
      <c r="D31" s="485"/>
      <c r="E31" s="485"/>
      <c r="F31" s="485"/>
      <c r="G31" s="485"/>
      <c r="H31" s="485"/>
      <c r="I31" s="383"/>
      <c r="J31" s="383"/>
      <c r="K31" s="383"/>
      <c r="L31" s="383"/>
      <c r="M31" s="384"/>
      <c r="N31" s="384"/>
      <c r="O31" s="384"/>
      <c r="P31" s="384"/>
      <c r="Q31" s="383"/>
      <c r="R31" s="384"/>
      <c r="S31" s="384"/>
      <c r="T31" s="384"/>
      <c r="U31" s="384"/>
      <c r="V31" s="383"/>
      <c r="W31" s="384"/>
      <c r="X31" s="384"/>
      <c r="Y31" s="384"/>
      <c r="Z31" s="384"/>
      <c r="AA31" s="383"/>
      <c r="AB31" s="384"/>
      <c r="AC31" s="384"/>
      <c r="AD31" s="384"/>
      <c r="AE31" s="390"/>
      <c r="AF31" s="383"/>
      <c r="AG31" s="384"/>
      <c r="AH31" s="384"/>
      <c r="AI31" s="384"/>
      <c r="AJ31" s="390"/>
      <c r="AK31" s="383"/>
      <c r="AL31" s="384"/>
      <c r="AM31" s="384"/>
      <c r="AN31" s="384"/>
      <c r="AO31" s="390"/>
      <c r="AP31" s="383"/>
      <c r="AQ31" s="384"/>
      <c r="AR31" s="384"/>
      <c r="AS31" s="384"/>
      <c r="AT31" s="390"/>
      <c r="AU31" s="383"/>
      <c r="AV31" s="384"/>
      <c r="AW31" s="384"/>
      <c r="AX31" s="384"/>
      <c r="AY31" s="390"/>
      <c r="AZ31" s="383"/>
      <c r="BA31" s="384"/>
      <c r="BB31" s="384"/>
      <c r="BC31" s="384"/>
      <c r="BD31" s="384"/>
      <c r="BE31" s="383"/>
      <c r="BF31" s="384"/>
      <c r="BG31" s="384"/>
      <c r="BH31" s="384"/>
      <c r="BI31" s="384"/>
      <c r="BJ31" s="383"/>
      <c r="BK31" s="384"/>
      <c r="BL31" s="384"/>
      <c r="BM31" s="384"/>
      <c r="BN31" s="384"/>
      <c r="BO31" s="383"/>
      <c r="BP31" s="384"/>
      <c r="BQ31" s="384"/>
      <c r="BR31" s="384"/>
      <c r="BS31" s="384"/>
      <c r="BT31" s="383"/>
      <c r="BU31" s="384"/>
      <c r="BV31" s="384"/>
      <c r="BW31" s="384"/>
      <c r="BX31" s="384"/>
      <c r="BY31" s="383"/>
      <c r="BZ31" s="384"/>
      <c r="CA31" s="384"/>
      <c r="CB31" s="384"/>
      <c r="CC31" s="384"/>
      <c r="CD31" s="383"/>
      <c r="CE31" s="384"/>
      <c r="CF31" s="384"/>
      <c r="CG31" s="384"/>
      <c r="CH31" s="384"/>
      <c r="CI31" s="383"/>
      <c r="CJ31" s="383"/>
      <c r="CK31" s="383"/>
      <c r="CL31" s="383"/>
      <c r="CM31" s="509"/>
      <c r="CN31" s="509"/>
    </row>
    <row r="32" spans="1:92">
      <c r="A32" s="485"/>
      <c r="B32" s="485"/>
      <c r="C32" s="552" t="s">
        <v>233</v>
      </c>
      <c r="D32" s="485"/>
      <c r="E32" s="485"/>
      <c r="F32" s="485"/>
      <c r="G32" s="485"/>
      <c r="H32" s="485"/>
      <c r="I32" s="383"/>
      <c r="J32" s="383"/>
      <c r="K32" s="383"/>
      <c r="L32" s="383"/>
      <c r="M32" s="384"/>
      <c r="N32" s="384"/>
      <c r="O32" s="384"/>
      <c r="P32" s="384"/>
      <c r="Q32" s="383"/>
      <c r="R32" s="384"/>
      <c r="S32" s="384"/>
      <c r="T32" s="384"/>
      <c r="U32" s="384"/>
      <c r="V32" s="383"/>
      <c r="W32" s="384"/>
      <c r="X32" s="384"/>
      <c r="Y32" s="384"/>
      <c r="Z32" s="384"/>
      <c r="AA32" s="383"/>
      <c r="AB32" s="384"/>
      <c r="AC32" s="384"/>
      <c r="AD32" s="384"/>
      <c r="AE32" s="390"/>
      <c r="AF32" s="383"/>
      <c r="AG32" s="384"/>
      <c r="AH32" s="384"/>
      <c r="AI32" s="384"/>
      <c r="AJ32" s="390"/>
      <c r="AK32" s="383"/>
      <c r="AL32" s="384"/>
      <c r="AM32" s="384"/>
      <c r="AN32" s="384"/>
      <c r="AO32" s="390"/>
      <c r="AP32" s="383"/>
      <c r="AQ32" s="384"/>
      <c r="AR32" s="384"/>
      <c r="AS32" s="384"/>
      <c r="AT32" s="390"/>
      <c r="AU32" s="383"/>
      <c r="AV32" s="384"/>
      <c r="AW32" s="384"/>
      <c r="AX32" s="384"/>
      <c r="AY32" s="390"/>
      <c r="AZ32" s="383"/>
      <c r="BA32" s="384"/>
      <c r="BB32" s="384"/>
      <c r="BC32" s="384"/>
      <c r="BD32" s="384"/>
      <c r="BE32" s="383"/>
      <c r="BF32" s="384"/>
      <c r="BG32" s="384"/>
      <c r="BH32" s="384"/>
      <c r="BI32" s="384"/>
      <c r="BJ32" s="383"/>
      <c r="BK32" s="384"/>
      <c r="BL32" s="384"/>
      <c r="BM32" s="384"/>
      <c r="BN32" s="384"/>
      <c r="BO32" s="383"/>
      <c r="BP32" s="384"/>
      <c r="BQ32" s="384"/>
      <c r="BR32" s="384"/>
      <c r="BS32" s="384"/>
      <c r="BT32" s="383"/>
      <c r="BU32" s="384"/>
      <c r="BV32" s="384"/>
      <c r="BW32" s="384"/>
      <c r="BX32" s="384"/>
      <c r="BY32" s="383"/>
      <c r="BZ32" s="384"/>
      <c r="CA32" s="384"/>
      <c r="CB32" s="384"/>
      <c r="CC32" s="384"/>
      <c r="CD32" s="383"/>
      <c r="CE32" s="384"/>
      <c r="CF32" s="384"/>
      <c r="CG32" s="384"/>
      <c r="CH32" s="384"/>
      <c r="CI32" s="383"/>
      <c r="CJ32" s="383"/>
      <c r="CK32" s="383"/>
      <c r="CL32" s="383"/>
      <c r="CM32" s="509"/>
      <c r="CN32" s="509"/>
    </row>
    <row r="33" spans="1:92">
      <c r="A33" s="485"/>
      <c r="B33" s="601" t="s">
        <v>383</v>
      </c>
      <c r="C33" s="485" t="s">
        <v>389</v>
      </c>
      <c r="D33" s="485"/>
      <c r="E33" s="485"/>
      <c r="F33" s="485"/>
      <c r="G33" s="485"/>
      <c r="H33" s="485"/>
      <c r="I33" s="676">
        <v>1039</v>
      </c>
      <c r="J33" s="676">
        <v>588</v>
      </c>
      <c r="K33" s="676">
        <v>197</v>
      </c>
      <c r="L33" s="676">
        <v>669</v>
      </c>
      <c r="M33" s="384">
        <v>371</v>
      </c>
      <c r="N33" s="384">
        <v>350</v>
      </c>
      <c r="O33" s="384">
        <v>438</v>
      </c>
      <c r="P33" s="384">
        <v>1320</v>
      </c>
      <c r="Q33" s="676">
        <v>1320</v>
      </c>
      <c r="R33" s="384">
        <v>582</v>
      </c>
      <c r="S33" s="384">
        <v>548</v>
      </c>
      <c r="T33" s="384">
        <v>1148</v>
      </c>
      <c r="U33" s="384">
        <v>1612</v>
      </c>
      <c r="V33" s="676">
        <v>1612</v>
      </c>
      <c r="W33" s="384">
        <v>1624</v>
      </c>
      <c r="X33" s="384">
        <v>1011</v>
      </c>
      <c r="Y33" s="384">
        <v>787</v>
      </c>
      <c r="Z33" s="384">
        <f t="shared" ref="Z33:Z39" si="26">AA33</f>
        <v>857</v>
      </c>
      <c r="AA33" s="676">
        <v>857</v>
      </c>
      <c r="AB33" s="384">
        <v>1193</v>
      </c>
      <c r="AC33" s="384">
        <v>1513</v>
      </c>
      <c r="AD33" s="384">
        <v>2221</v>
      </c>
      <c r="AE33" s="390">
        <v>1085</v>
      </c>
      <c r="AF33" s="676">
        <f>AE33</f>
        <v>1085</v>
      </c>
      <c r="AG33" s="384">
        <v>1957</v>
      </c>
      <c r="AH33" s="384">
        <v>1672</v>
      </c>
      <c r="AI33" s="384">
        <f>2259-AI34</f>
        <v>1308</v>
      </c>
      <c r="AJ33" s="390">
        <v>1023</v>
      </c>
      <c r="AK33" s="676">
        <f>AJ33</f>
        <v>1023</v>
      </c>
      <c r="AL33" s="384">
        <v>879</v>
      </c>
      <c r="AM33" s="384">
        <v>1242</v>
      </c>
      <c r="AN33" s="384">
        <v>943</v>
      </c>
      <c r="AO33" s="390">
        <v>254</v>
      </c>
      <c r="AP33" s="676">
        <f>AO33</f>
        <v>254</v>
      </c>
      <c r="AQ33" s="384">
        <v>217</v>
      </c>
      <c r="AR33" s="384">
        <v>1422</v>
      </c>
      <c r="AS33" s="384">
        <v>2137</v>
      </c>
      <c r="AT33" s="390">
        <v>116</v>
      </c>
      <c r="AU33" s="676">
        <f>AT33</f>
        <v>116</v>
      </c>
      <c r="AV33" s="384">
        <v>346</v>
      </c>
      <c r="AW33" s="384">
        <v>1270</v>
      </c>
      <c r="AX33" s="384">
        <v>1228</v>
      </c>
      <c r="AY33" s="390">
        <v>630</v>
      </c>
      <c r="AZ33" s="676">
        <f>AY33</f>
        <v>630</v>
      </c>
      <c r="BA33" s="384">
        <v>221</v>
      </c>
      <c r="BB33" s="384">
        <v>210</v>
      </c>
      <c r="BC33" s="384">
        <v>5224</v>
      </c>
      <c r="BD33" s="384">
        <v>503</v>
      </c>
      <c r="BE33" s="676">
        <f>BD33</f>
        <v>503</v>
      </c>
      <c r="BF33" s="384">
        <v>171</v>
      </c>
      <c r="BG33" s="384">
        <v>196</v>
      </c>
      <c r="BH33" s="386">
        <v>303</v>
      </c>
      <c r="BI33" s="384">
        <v>500</v>
      </c>
      <c r="BJ33" s="676">
        <f>BI33</f>
        <v>500</v>
      </c>
      <c r="BK33" s="386">
        <v>304</v>
      </c>
      <c r="BL33" s="384">
        <v>2235</v>
      </c>
      <c r="BM33" s="386">
        <v>2141</v>
      </c>
      <c r="BN33" s="384">
        <v>1922</v>
      </c>
      <c r="BO33" s="676">
        <f>BN33</f>
        <v>1922</v>
      </c>
      <c r="BP33" s="386">
        <v>4184</v>
      </c>
      <c r="BQ33" s="386">
        <v>2954</v>
      </c>
      <c r="BR33" s="384">
        <v>3239</v>
      </c>
      <c r="BS33" s="384">
        <v>926</v>
      </c>
      <c r="BT33" s="676">
        <f>BS33</f>
        <v>926</v>
      </c>
      <c r="BU33" s="2084">
        <v>1363</v>
      </c>
      <c r="BV33" s="2084">
        <v>2407</v>
      </c>
      <c r="BW33" s="2084">
        <v>2475</v>
      </c>
      <c r="BX33" s="2084">
        <v>2204</v>
      </c>
      <c r="BY33" s="676">
        <f t="shared" ref="BY33:CI33" si="27">BX33</f>
        <v>2204</v>
      </c>
      <c r="BZ33" s="2084">
        <v>3684</v>
      </c>
      <c r="CA33" s="2084">
        <v>2743</v>
      </c>
      <c r="CB33" s="2084">
        <v>3197</v>
      </c>
      <c r="CC33" s="386">
        <f t="shared" si="27"/>
        <v>3197</v>
      </c>
      <c r="CD33" s="676">
        <f t="shared" si="27"/>
        <v>3197</v>
      </c>
      <c r="CE33" s="386">
        <f t="shared" si="27"/>
        <v>3197</v>
      </c>
      <c r="CF33" s="386">
        <f t="shared" si="27"/>
        <v>3197</v>
      </c>
      <c r="CG33" s="386">
        <f t="shared" si="27"/>
        <v>3197</v>
      </c>
      <c r="CH33" s="386">
        <f t="shared" si="27"/>
        <v>3197</v>
      </c>
      <c r="CI33" s="676">
        <f t="shared" si="27"/>
        <v>3197</v>
      </c>
      <c r="CJ33" s="676">
        <f t="shared" ref="CJ33:CL34" si="28">CI33</f>
        <v>3197</v>
      </c>
      <c r="CK33" s="676">
        <f t="shared" si="28"/>
        <v>3197</v>
      </c>
      <c r="CL33" s="676">
        <f t="shared" si="28"/>
        <v>3197</v>
      </c>
      <c r="CM33" s="509"/>
      <c r="CN33" s="509"/>
    </row>
    <row r="34" spans="1:92">
      <c r="A34" s="485"/>
      <c r="B34" s="601" t="s">
        <v>388</v>
      </c>
      <c r="C34" s="485" t="s">
        <v>387</v>
      </c>
      <c r="D34" s="485"/>
      <c r="E34" s="485"/>
      <c r="F34" s="485"/>
      <c r="G34" s="485"/>
      <c r="H34" s="485"/>
      <c r="I34" s="659">
        <v>296</v>
      </c>
      <c r="J34" s="659">
        <v>134</v>
      </c>
      <c r="K34" s="659">
        <v>44</v>
      </c>
      <c r="L34" s="659">
        <v>375</v>
      </c>
      <c r="M34" s="660">
        <v>373</v>
      </c>
      <c r="N34" s="660">
        <v>368</v>
      </c>
      <c r="O34" s="660">
        <v>367</v>
      </c>
      <c r="P34" s="660">
        <v>40</v>
      </c>
      <c r="Q34" s="659">
        <v>40</v>
      </c>
      <c r="R34" s="660">
        <v>40</v>
      </c>
      <c r="S34" s="660">
        <v>50</v>
      </c>
      <c r="T34" s="660">
        <v>298</v>
      </c>
      <c r="U34" s="660">
        <v>693</v>
      </c>
      <c r="V34" s="659">
        <v>693</v>
      </c>
      <c r="W34" s="660">
        <v>695</v>
      </c>
      <c r="X34" s="660">
        <v>687</v>
      </c>
      <c r="Y34" s="660">
        <v>437</v>
      </c>
      <c r="Z34" s="660">
        <f t="shared" si="26"/>
        <v>37</v>
      </c>
      <c r="AA34" s="659">
        <v>37</v>
      </c>
      <c r="AB34" s="660">
        <v>36</v>
      </c>
      <c r="AC34" s="660">
        <v>35</v>
      </c>
      <c r="AD34" s="660">
        <v>47</v>
      </c>
      <c r="AE34" s="660">
        <v>48</v>
      </c>
      <c r="AF34" s="659">
        <f>AE34</f>
        <v>48</v>
      </c>
      <c r="AG34" s="660">
        <v>46</v>
      </c>
      <c r="AH34" s="660">
        <v>952</v>
      </c>
      <c r="AI34" s="660">
        <v>951</v>
      </c>
      <c r="AJ34" s="662">
        <v>1116</v>
      </c>
      <c r="AK34" s="659">
        <f>AJ34</f>
        <v>1116</v>
      </c>
      <c r="AL34" s="660">
        <v>633</v>
      </c>
      <c r="AM34" s="660">
        <v>853</v>
      </c>
      <c r="AN34" s="384">
        <v>760</v>
      </c>
      <c r="AO34" s="662">
        <v>1233</v>
      </c>
      <c r="AP34" s="659">
        <f>AO34</f>
        <v>1233</v>
      </c>
      <c r="AQ34" s="660">
        <v>1731</v>
      </c>
      <c r="AR34" s="660">
        <v>604</v>
      </c>
      <c r="AS34" s="662">
        <v>94</v>
      </c>
      <c r="AT34" s="662">
        <v>163</v>
      </c>
      <c r="AU34" s="659">
        <f>AT34</f>
        <v>163</v>
      </c>
      <c r="AV34" s="660">
        <v>155</v>
      </c>
      <c r="AW34" s="660">
        <v>636</v>
      </c>
      <c r="AX34" s="662">
        <v>635</v>
      </c>
      <c r="AY34" s="662">
        <v>129</v>
      </c>
      <c r="AZ34" s="659">
        <f>AY34</f>
        <v>129</v>
      </c>
      <c r="BA34" s="660">
        <v>79</v>
      </c>
      <c r="BB34" s="660">
        <v>61</v>
      </c>
      <c r="BC34" s="660">
        <v>67</v>
      </c>
      <c r="BD34" s="660">
        <v>1121</v>
      </c>
      <c r="BE34" s="659">
        <f>BD34</f>
        <v>1121</v>
      </c>
      <c r="BF34" s="660">
        <v>1081</v>
      </c>
      <c r="BG34" s="660">
        <v>1085</v>
      </c>
      <c r="BH34" s="660">
        <v>1100</v>
      </c>
      <c r="BI34" s="660">
        <v>0</v>
      </c>
      <c r="BJ34" s="659">
        <f>BI34</f>
        <v>0</v>
      </c>
      <c r="BK34" s="660">
        <f>BJ34</f>
        <v>0</v>
      </c>
      <c r="BL34" s="660">
        <f>BK34</f>
        <v>0</v>
      </c>
      <c r="BM34" s="660">
        <v>0</v>
      </c>
      <c r="BN34" s="660">
        <v>0</v>
      </c>
      <c r="BO34" s="659">
        <f>BN34</f>
        <v>0</v>
      </c>
      <c r="BP34" s="660">
        <v>0</v>
      </c>
      <c r="BQ34" s="660">
        <f>BP34</f>
        <v>0</v>
      </c>
      <c r="BR34" s="660">
        <f>BQ34</f>
        <v>0</v>
      </c>
      <c r="BS34" s="660">
        <v>179</v>
      </c>
      <c r="BT34" s="659">
        <f>BS34</f>
        <v>179</v>
      </c>
      <c r="BU34" s="660">
        <v>0</v>
      </c>
      <c r="BV34" s="660">
        <f>BU34</f>
        <v>0</v>
      </c>
      <c r="BW34" s="660">
        <f>BV34</f>
        <v>0</v>
      </c>
      <c r="BX34" s="660">
        <v>0</v>
      </c>
      <c r="BY34" s="659">
        <f>BX34</f>
        <v>0</v>
      </c>
      <c r="BZ34" s="2083">
        <f>BY34</f>
        <v>0</v>
      </c>
      <c r="CA34" s="660">
        <f>BZ34</f>
        <v>0</v>
      </c>
      <c r="CB34" s="660">
        <f>CA34</f>
        <v>0</v>
      </c>
      <c r="CC34" s="660">
        <v>0</v>
      </c>
      <c r="CD34" s="659">
        <f>CC34</f>
        <v>0</v>
      </c>
      <c r="CE34" s="660">
        <f>CD34</f>
        <v>0</v>
      </c>
      <c r="CF34" s="660">
        <f>CE34</f>
        <v>0</v>
      </c>
      <c r="CG34" s="660">
        <f>CF34</f>
        <v>0</v>
      </c>
      <c r="CH34" s="660">
        <v>0</v>
      </c>
      <c r="CI34" s="659">
        <f>CH34</f>
        <v>0</v>
      </c>
      <c r="CJ34" s="659">
        <f t="shared" si="28"/>
        <v>0</v>
      </c>
      <c r="CK34" s="659">
        <f t="shared" si="28"/>
        <v>0</v>
      </c>
      <c r="CL34" s="659">
        <f t="shared" si="28"/>
        <v>0</v>
      </c>
      <c r="CM34" s="509"/>
      <c r="CN34" s="509"/>
    </row>
    <row r="35" spans="1:92">
      <c r="A35" s="485"/>
      <c r="B35" s="601" t="s">
        <v>383</v>
      </c>
      <c r="C35" s="485" t="s">
        <v>386</v>
      </c>
      <c r="D35" s="485"/>
      <c r="E35" s="485"/>
      <c r="F35" s="485"/>
      <c r="G35" s="485"/>
      <c r="H35" s="485"/>
      <c r="I35" s="659">
        <v>2261</v>
      </c>
      <c r="J35" s="659">
        <v>2156</v>
      </c>
      <c r="K35" s="659">
        <v>2095</v>
      </c>
      <c r="L35" s="659">
        <v>2612</v>
      </c>
      <c r="M35" s="660">
        <v>2991</v>
      </c>
      <c r="N35" s="660">
        <v>3269</v>
      </c>
      <c r="O35" s="660">
        <v>3100</v>
      </c>
      <c r="P35" s="660">
        <v>3490</v>
      </c>
      <c r="Q35" s="659">
        <v>3490</v>
      </c>
      <c r="R35" s="660">
        <v>3603</v>
      </c>
      <c r="S35" s="660">
        <v>3975</v>
      </c>
      <c r="T35" s="660">
        <v>3680</v>
      </c>
      <c r="U35" s="660">
        <v>3820</v>
      </c>
      <c r="V35" s="659">
        <v>3820</v>
      </c>
      <c r="W35" s="660">
        <v>4017</v>
      </c>
      <c r="X35" s="660">
        <v>4340</v>
      </c>
      <c r="Y35" s="660">
        <v>4245</v>
      </c>
      <c r="Z35" s="660">
        <f t="shared" si="26"/>
        <v>4263</v>
      </c>
      <c r="AA35" s="659">
        <v>4263</v>
      </c>
      <c r="AB35" s="660">
        <v>4786</v>
      </c>
      <c r="AC35" s="660">
        <v>5100</v>
      </c>
      <c r="AD35" s="660">
        <v>4977</v>
      </c>
      <c r="AE35" s="660">
        <v>5059</v>
      </c>
      <c r="AF35" s="659">
        <f>AE35</f>
        <v>5059</v>
      </c>
      <c r="AG35" s="660">
        <v>5503</v>
      </c>
      <c r="AH35" s="660">
        <v>5577</v>
      </c>
      <c r="AI35" s="660">
        <v>5104</v>
      </c>
      <c r="AJ35" s="660">
        <v>5226</v>
      </c>
      <c r="AK35" s="659">
        <f>AJ35</f>
        <v>5226</v>
      </c>
      <c r="AL35" s="660">
        <v>4813</v>
      </c>
      <c r="AM35" s="660">
        <v>4599</v>
      </c>
      <c r="AN35" s="660">
        <v>4430</v>
      </c>
      <c r="AO35" s="660">
        <v>4634</v>
      </c>
      <c r="AP35" s="659">
        <f>AO35</f>
        <v>4634</v>
      </c>
      <c r="AQ35" s="660">
        <v>4801</v>
      </c>
      <c r="AR35" s="660">
        <v>5057</v>
      </c>
      <c r="AS35" s="660">
        <v>4964</v>
      </c>
      <c r="AT35" s="660">
        <v>5206</v>
      </c>
      <c r="AU35" s="659">
        <f>AT35</f>
        <v>5206</v>
      </c>
      <c r="AV35" s="660">
        <v>5635</v>
      </c>
      <c r="AW35" s="660">
        <v>5686</v>
      </c>
      <c r="AX35" s="660">
        <v>5597</v>
      </c>
      <c r="AY35" s="660">
        <v>5570</v>
      </c>
      <c r="AZ35" s="659">
        <f>AY35</f>
        <v>5570</v>
      </c>
      <c r="BA35" s="660">
        <v>5281</v>
      </c>
      <c r="BB35" s="660">
        <v>5752</v>
      </c>
      <c r="BC35" s="660">
        <v>6156</v>
      </c>
      <c r="BD35" s="660">
        <v>6431</v>
      </c>
      <c r="BE35" s="659">
        <f>BD35</f>
        <v>6431</v>
      </c>
      <c r="BF35" s="660">
        <v>6192</v>
      </c>
      <c r="BG35" s="660">
        <v>6645</v>
      </c>
      <c r="BH35" s="660">
        <v>6628</v>
      </c>
      <c r="BI35" s="660">
        <v>6965</v>
      </c>
      <c r="BJ35" s="659">
        <f>BI35</f>
        <v>6965</v>
      </c>
      <c r="BK35" s="660">
        <v>6949</v>
      </c>
      <c r="BL35" s="660">
        <v>7297</v>
      </c>
      <c r="BM35" s="660">
        <v>7046</v>
      </c>
      <c r="BN35" s="660">
        <v>6967</v>
      </c>
      <c r="BO35" s="659">
        <f>BN35</f>
        <v>6967</v>
      </c>
      <c r="BP35" s="660">
        <v>6929</v>
      </c>
      <c r="BQ35" s="660">
        <v>7153</v>
      </c>
      <c r="BR35" s="660">
        <v>6333</v>
      </c>
      <c r="BS35" s="660">
        <v>6875</v>
      </c>
      <c r="BT35" s="659">
        <f>BS35</f>
        <v>6875</v>
      </c>
      <c r="BU35" s="2083">
        <v>6579</v>
      </c>
      <c r="BV35" s="2083">
        <v>7242</v>
      </c>
      <c r="BW35" s="2083">
        <v>7432</v>
      </c>
      <c r="BX35" s="2083">
        <v>7483</v>
      </c>
      <c r="BY35" s="659">
        <f>BX35</f>
        <v>7483</v>
      </c>
      <c r="BZ35" s="2083">
        <v>7520</v>
      </c>
      <c r="CA35" s="2083">
        <v>8542</v>
      </c>
      <c r="CB35" s="2083">
        <v>8999</v>
      </c>
      <c r="CC35" s="660">
        <f>CC86*CC84*4</f>
        <v>7891.5085936095174</v>
      </c>
      <c r="CD35" s="659">
        <f>CC35</f>
        <v>7891.5085936095174</v>
      </c>
      <c r="CE35" s="660">
        <f>CE86*CE84*4</f>
        <v>7930.0365514883142</v>
      </c>
      <c r="CF35" s="660">
        <f>CF86*CF84*4</f>
        <v>9244.1554571861852</v>
      </c>
      <c r="CG35" s="660">
        <f>CG86*CG84*4</f>
        <v>8830.4788602093995</v>
      </c>
      <c r="CH35" s="660">
        <f>CH86*CH84*4</f>
        <v>8215.8123343297048</v>
      </c>
      <c r="CI35" s="659">
        <f>CH35</f>
        <v>8215.8123343297048</v>
      </c>
      <c r="CJ35" s="659">
        <f>CJ86*CJ84</f>
        <v>8317.7462983522855</v>
      </c>
      <c r="CK35" s="659">
        <f>CK86*CK84</f>
        <v>8452.5953998480836</v>
      </c>
      <c r="CL35" s="659">
        <f>CL86*CL84</f>
        <v>8517.5072806316221</v>
      </c>
      <c r="CM35" s="509"/>
      <c r="CN35" s="509"/>
    </row>
    <row r="36" spans="1:92">
      <c r="A36" s="485"/>
      <c r="B36" s="601" t="s">
        <v>383</v>
      </c>
      <c r="C36" s="485" t="s">
        <v>385</v>
      </c>
      <c r="D36" s="485"/>
      <c r="E36" s="485"/>
      <c r="F36" s="485"/>
      <c r="G36" s="485"/>
      <c r="H36" s="485"/>
      <c r="I36" s="659">
        <v>5748</v>
      </c>
      <c r="J36" s="659">
        <v>5493</v>
      </c>
      <c r="K36" s="659">
        <v>5567</v>
      </c>
      <c r="L36" s="659">
        <v>7265</v>
      </c>
      <c r="M36" s="660">
        <v>7481</v>
      </c>
      <c r="N36" s="660">
        <v>7414</v>
      </c>
      <c r="O36" s="660">
        <v>7765</v>
      </c>
      <c r="P36" s="660">
        <v>8245</v>
      </c>
      <c r="Q36" s="659">
        <v>8245</v>
      </c>
      <c r="R36" s="660">
        <v>8528</v>
      </c>
      <c r="S36" s="660">
        <v>9614</v>
      </c>
      <c r="T36" s="660">
        <v>9701</v>
      </c>
      <c r="U36" s="660">
        <v>9220</v>
      </c>
      <c r="V36" s="659">
        <v>9220</v>
      </c>
      <c r="W36" s="660">
        <v>9657</v>
      </c>
      <c r="X36" s="660">
        <v>9699</v>
      </c>
      <c r="Y36" s="660">
        <v>9953</v>
      </c>
      <c r="Z36" s="660">
        <f t="shared" si="26"/>
        <v>10051</v>
      </c>
      <c r="AA36" s="659">
        <v>10051</v>
      </c>
      <c r="AB36" s="660">
        <v>10093</v>
      </c>
      <c r="AC36" s="660">
        <v>10323</v>
      </c>
      <c r="AD36" s="660">
        <v>11389</v>
      </c>
      <c r="AE36" s="662">
        <v>11277</v>
      </c>
      <c r="AF36" s="659">
        <f>AE36</f>
        <v>11277</v>
      </c>
      <c r="AG36" s="660">
        <v>12099</v>
      </c>
      <c r="AH36" s="660">
        <v>12304</v>
      </c>
      <c r="AI36" s="660">
        <v>12494</v>
      </c>
      <c r="AJ36" s="662">
        <v>12069</v>
      </c>
      <c r="AK36" s="659">
        <f>AJ36</f>
        <v>12069</v>
      </c>
      <c r="AL36" s="660">
        <v>11614</v>
      </c>
      <c r="AM36" s="660">
        <v>11877</v>
      </c>
      <c r="AN36" s="660">
        <v>12067</v>
      </c>
      <c r="AO36" s="662">
        <v>11792</v>
      </c>
      <c r="AP36" s="659">
        <f>AO36</f>
        <v>11792</v>
      </c>
      <c r="AQ36" s="660">
        <v>11921</v>
      </c>
      <c r="AR36" s="660">
        <v>11679</v>
      </c>
      <c r="AS36" s="660">
        <v>12425</v>
      </c>
      <c r="AT36" s="662">
        <v>12247</v>
      </c>
      <c r="AU36" s="659">
        <f>AT36</f>
        <v>12247</v>
      </c>
      <c r="AV36" s="660">
        <v>12780</v>
      </c>
      <c r="AW36" s="660">
        <v>12622</v>
      </c>
      <c r="AX36" s="660">
        <v>12604</v>
      </c>
      <c r="AY36" s="662">
        <v>12287</v>
      </c>
      <c r="AZ36" s="659">
        <f>AY36</f>
        <v>12287</v>
      </c>
      <c r="BA36" s="660">
        <v>11978</v>
      </c>
      <c r="BB36" s="660">
        <v>12853</v>
      </c>
      <c r="BC36" s="660">
        <v>14600</v>
      </c>
      <c r="BD36" s="660">
        <v>15310</v>
      </c>
      <c r="BE36" s="659">
        <f>BD36</f>
        <v>15310</v>
      </c>
      <c r="BF36" s="660">
        <v>14854</v>
      </c>
      <c r="BG36" s="660">
        <v>15238</v>
      </c>
      <c r="BH36" s="660">
        <v>15488</v>
      </c>
      <c r="BI36" s="660">
        <v>15335</v>
      </c>
      <c r="BJ36" s="659">
        <f>BI36</f>
        <v>15335</v>
      </c>
      <c r="BK36" s="660">
        <v>15678</v>
      </c>
      <c r="BL36" s="660">
        <v>14798</v>
      </c>
      <c r="BM36" s="660">
        <v>14721</v>
      </c>
      <c r="BN36" s="660">
        <v>14006</v>
      </c>
      <c r="BO36" s="659">
        <f>BN36</f>
        <v>14006</v>
      </c>
      <c r="BP36" s="660">
        <v>14616</v>
      </c>
      <c r="BQ36" s="660">
        <v>13622</v>
      </c>
      <c r="BR36" s="660">
        <f>11875+2242</f>
        <v>14117</v>
      </c>
      <c r="BS36" s="660">
        <v>14638</v>
      </c>
      <c r="BT36" s="659">
        <f>BS36</f>
        <v>14638</v>
      </c>
      <c r="BU36" s="2083">
        <v>12581</v>
      </c>
      <c r="BV36" s="2083">
        <v>12534</v>
      </c>
      <c r="BW36" s="2083">
        <v>12634</v>
      </c>
      <c r="BX36" s="2083">
        <v>12219</v>
      </c>
      <c r="BY36" s="659">
        <f>BX36</f>
        <v>12219</v>
      </c>
      <c r="BZ36" s="2083">
        <v>12522</v>
      </c>
      <c r="CA36" s="2083">
        <v>12634</v>
      </c>
      <c r="CB36" s="2083">
        <v>13053</v>
      </c>
      <c r="CC36" s="660">
        <f>+CC94</f>
        <v>13237.177169021348</v>
      </c>
      <c r="CD36" s="659">
        <f>CC36</f>
        <v>13237.177169021348</v>
      </c>
      <c r="CE36" s="660">
        <f t="shared" ref="CE36:CJ36" si="29">+CE94</f>
        <v>12300.421000144419</v>
      </c>
      <c r="CF36" s="660">
        <f t="shared" si="29"/>
        <v>13246.48837115933</v>
      </c>
      <c r="CG36" s="660">
        <f t="shared" si="29"/>
        <v>12754.835043960489</v>
      </c>
      <c r="CH36" s="660">
        <f t="shared" si="29"/>
        <v>12869.113328446227</v>
      </c>
      <c r="CI36" s="659">
        <f>CH36</f>
        <v>12869.113328446227</v>
      </c>
      <c r="CJ36" s="659">
        <f t="shared" si="29"/>
        <v>12539.223658351566</v>
      </c>
      <c r="CK36" s="659">
        <f>+CK94</f>
        <v>12781.173193946906</v>
      </c>
      <c r="CL36" s="659">
        <f>+CL94</f>
        <v>12960.018706314149</v>
      </c>
      <c r="CM36" s="509"/>
      <c r="CN36" s="509"/>
    </row>
    <row r="37" spans="1:92">
      <c r="A37" s="485"/>
      <c r="B37" s="601" t="s">
        <v>383</v>
      </c>
      <c r="C37" s="485" t="s">
        <v>384</v>
      </c>
      <c r="D37" s="485"/>
      <c r="E37" s="485"/>
      <c r="F37" s="485"/>
      <c r="G37" s="485"/>
      <c r="H37" s="485"/>
      <c r="I37" s="659">
        <v>0</v>
      </c>
      <c r="J37" s="659">
        <v>0</v>
      </c>
      <c r="K37" s="659">
        <v>0</v>
      </c>
      <c r="L37" s="659">
        <v>0</v>
      </c>
      <c r="M37" s="660">
        <v>0</v>
      </c>
      <c r="N37" s="660">
        <v>0</v>
      </c>
      <c r="O37" s="660">
        <v>0</v>
      </c>
      <c r="P37" s="660">
        <v>0</v>
      </c>
      <c r="Q37" s="659">
        <v>0</v>
      </c>
      <c r="R37" s="660">
        <v>0</v>
      </c>
      <c r="S37" s="660"/>
      <c r="T37" s="660"/>
      <c r="U37" s="660">
        <v>0</v>
      </c>
      <c r="V37" s="659"/>
      <c r="W37" s="660"/>
      <c r="X37" s="660"/>
      <c r="Y37" s="660"/>
      <c r="Z37" s="660">
        <f t="shared" si="26"/>
        <v>0</v>
      </c>
      <c r="AA37" s="659"/>
      <c r="AB37" s="660"/>
      <c r="AC37" s="660"/>
      <c r="AD37" s="660"/>
      <c r="AE37" s="662"/>
      <c r="AF37" s="659"/>
      <c r="AG37" s="660"/>
      <c r="AH37" s="660"/>
      <c r="AI37" s="660"/>
      <c r="AJ37" s="662"/>
      <c r="AK37" s="659"/>
      <c r="AL37" s="660"/>
      <c r="AM37" s="660"/>
      <c r="AN37" s="660"/>
      <c r="AO37" s="662"/>
      <c r="AP37" s="659"/>
      <c r="AQ37" s="660"/>
      <c r="AR37" s="660"/>
      <c r="AS37" s="660"/>
      <c r="AT37" s="662"/>
      <c r="AU37" s="659"/>
      <c r="AV37" s="660"/>
      <c r="AW37" s="660"/>
      <c r="AX37" s="660"/>
      <c r="AY37" s="662"/>
      <c r="AZ37" s="659"/>
      <c r="BA37" s="660"/>
      <c r="BB37" s="660"/>
      <c r="BC37" s="660"/>
      <c r="BD37" s="660"/>
      <c r="BE37" s="659"/>
      <c r="BF37" s="660"/>
      <c r="BG37" s="660"/>
      <c r="BH37" s="660"/>
      <c r="BI37" s="660"/>
      <c r="BJ37" s="659"/>
      <c r="BK37" s="660"/>
      <c r="BL37" s="660"/>
      <c r="BM37" s="660"/>
      <c r="BN37" s="660"/>
      <c r="BO37" s="659"/>
      <c r="BP37" s="660"/>
      <c r="BQ37" s="660"/>
      <c r="BR37" s="660"/>
      <c r="BS37" s="660"/>
      <c r="BT37" s="659"/>
      <c r="BU37" s="660"/>
      <c r="BV37" s="660"/>
      <c r="BW37" s="660"/>
      <c r="BX37" s="660"/>
      <c r="BY37" s="659"/>
      <c r="BZ37" s="660"/>
      <c r="CA37" s="660"/>
      <c r="CB37" s="660"/>
      <c r="CC37" s="660"/>
      <c r="CD37" s="659"/>
      <c r="CE37" s="660"/>
      <c r="CF37" s="660"/>
      <c r="CG37" s="660"/>
      <c r="CH37" s="660"/>
      <c r="CI37" s="659"/>
      <c r="CJ37" s="659"/>
      <c r="CK37" s="659"/>
      <c r="CL37" s="659"/>
      <c r="CM37" s="509"/>
      <c r="CN37" s="509"/>
    </row>
    <row r="38" spans="1:92">
      <c r="A38" s="485"/>
      <c r="B38" s="685" t="s">
        <v>383</v>
      </c>
      <c r="C38" s="534" t="s">
        <v>355</v>
      </c>
      <c r="D38" s="534"/>
      <c r="E38" s="534"/>
      <c r="F38" s="534"/>
      <c r="G38" s="534"/>
      <c r="H38" s="534"/>
      <c r="I38" s="654">
        <v>0</v>
      </c>
      <c r="J38" s="654">
        <v>0</v>
      </c>
      <c r="K38" s="654">
        <v>0</v>
      </c>
      <c r="L38" s="654">
        <v>0</v>
      </c>
      <c r="M38" s="655">
        <v>0</v>
      </c>
      <c r="N38" s="655">
        <v>0</v>
      </c>
      <c r="O38" s="655">
        <v>0</v>
      </c>
      <c r="P38" s="655">
        <v>0</v>
      </c>
      <c r="Q38" s="654">
        <v>0</v>
      </c>
      <c r="R38" s="691">
        <v>0</v>
      </c>
      <c r="S38" s="691">
        <v>0</v>
      </c>
      <c r="T38" s="691">
        <v>0</v>
      </c>
      <c r="U38" s="655">
        <v>0</v>
      </c>
      <c r="V38" s="654">
        <v>0</v>
      </c>
      <c r="W38" s="691">
        <v>0</v>
      </c>
      <c r="X38" s="691">
        <v>0</v>
      </c>
      <c r="Y38" s="691">
        <v>0</v>
      </c>
      <c r="Z38" s="655">
        <f t="shared" si="26"/>
        <v>0</v>
      </c>
      <c r="AA38" s="654">
        <v>0</v>
      </c>
      <c r="AB38" s="691">
        <v>0</v>
      </c>
      <c r="AC38" s="691">
        <v>0</v>
      </c>
      <c r="AD38" s="691">
        <v>0</v>
      </c>
      <c r="AE38" s="692">
        <v>0</v>
      </c>
      <c r="AF38" s="654">
        <f>AE38</f>
        <v>0</v>
      </c>
      <c r="AG38" s="691">
        <v>0</v>
      </c>
      <c r="AH38" s="691">
        <v>0</v>
      </c>
      <c r="AI38" s="691">
        <v>0</v>
      </c>
      <c r="AJ38" s="692">
        <v>0</v>
      </c>
      <c r="AK38" s="654">
        <f>AJ38</f>
        <v>0</v>
      </c>
      <c r="AL38" s="691">
        <v>0</v>
      </c>
      <c r="AM38" s="691">
        <v>0</v>
      </c>
      <c r="AN38" s="691">
        <v>0</v>
      </c>
      <c r="AO38" s="692">
        <v>0</v>
      </c>
      <c r="AP38" s="654">
        <f>AO38</f>
        <v>0</v>
      </c>
      <c r="AQ38" s="691">
        <v>0</v>
      </c>
      <c r="AR38" s="691">
        <v>0</v>
      </c>
      <c r="AS38" s="691">
        <v>0</v>
      </c>
      <c r="AT38" s="692">
        <v>0</v>
      </c>
      <c r="AU38" s="654">
        <f>AT38</f>
        <v>0</v>
      </c>
      <c r="AV38" s="691">
        <v>0</v>
      </c>
      <c r="AW38" s="691">
        <v>0</v>
      </c>
      <c r="AX38" s="691">
        <v>0</v>
      </c>
      <c r="AY38" s="692">
        <v>0</v>
      </c>
      <c r="AZ38" s="654">
        <f>AY38</f>
        <v>0</v>
      </c>
      <c r="BA38" s="691">
        <v>771</v>
      </c>
      <c r="BB38" s="691">
        <v>917</v>
      </c>
      <c r="BC38" s="691">
        <v>405</v>
      </c>
      <c r="BD38" s="691">
        <v>421</v>
      </c>
      <c r="BE38" s="654">
        <f>BD38</f>
        <v>421</v>
      </c>
      <c r="BF38" s="655">
        <v>261</v>
      </c>
      <c r="BG38" s="655">
        <v>0</v>
      </c>
      <c r="BH38" s="655">
        <v>0</v>
      </c>
      <c r="BI38" s="655"/>
      <c r="BJ38" s="654">
        <f>BI38</f>
        <v>0</v>
      </c>
      <c r="BK38" s="655">
        <v>0</v>
      </c>
      <c r="BL38" s="655">
        <v>0</v>
      </c>
      <c r="BM38" s="655">
        <v>0</v>
      </c>
      <c r="BN38" s="655">
        <v>0</v>
      </c>
      <c r="BO38" s="654">
        <f>BN38</f>
        <v>0</v>
      </c>
      <c r="BP38" s="655">
        <v>0</v>
      </c>
      <c r="BQ38" s="655">
        <v>0</v>
      </c>
      <c r="BR38" s="655">
        <v>0</v>
      </c>
      <c r="BS38" s="655">
        <v>0</v>
      </c>
      <c r="BT38" s="654">
        <f>BS38</f>
        <v>0</v>
      </c>
      <c r="BU38" s="655">
        <v>0</v>
      </c>
      <c r="BV38" s="655">
        <v>0</v>
      </c>
      <c r="BW38" s="655">
        <v>0</v>
      </c>
      <c r="BX38" s="655">
        <v>0</v>
      </c>
      <c r="BY38" s="654">
        <f>BX38</f>
        <v>0</v>
      </c>
      <c r="BZ38" s="655">
        <v>0</v>
      </c>
      <c r="CA38" s="655">
        <v>0</v>
      </c>
      <c r="CB38" s="655">
        <v>0</v>
      </c>
      <c r="CC38" s="655">
        <v>0</v>
      </c>
      <c r="CD38" s="654">
        <f>CC38</f>
        <v>0</v>
      </c>
      <c r="CE38" s="655">
        <v>0</v>
      </c>
      <c r="CF38" s="655">
        <v>0</v>
      </c>
      <c r="CG38" s="655">
        <v>0</v>
      </c>
      <c r="CH38" s="655">
        <v>0</v>
      </c>
      <c r="CI38" s="654">
        <f>CH38</f>
        <v>0</v>
      </c>
      <c r="CJ38" s="654">
        <v>0</v>
      </c>
      <c r="CK38" s="654">
        <v>0</v>
      </c>
      <c r="CL38" s="654">
        <v>0</v>
      </c>
      <c r="CM38" s="509"/>
      <c r="CN38" s="509"/>
    </row>
    <row r="39" spans="1:92">
      <c r="A39" s="485"/>
      <c r="B39" s="690"/>
      <c r="C39" s="552" t="s">
        <v>382</v>
      </c>
      <c r="D39" s="485"/>
      <c r="E39" s="485"/>
      <c r="F39" s="347"/>
      <c r="G39" s="347"/>
      <c r="H39" s="347"/>
      <c r="I39" s="364">
        <v>9344</v>
      </c>
      <c r="J39" s="364">
        <v>8371</v>
      </c>
      <c r="K39" s="364">
        <v>7903</v>
      </c>
      <c r="L39" s="364">
        <v>10921</v>
      </c>
      <c r="M39" s="365">
        <v>11216</v>
      </c>
      <c r="N39" s="365">
        <v>11401</v>
      </c>
      <c r="O39" s="365">
        <v>11670</v>
      </c>
      <c r="P39" s="365">
        <v>13095</v>
      </c>
      <c r="Q39" s="364">
        <v>13095</v>
      </c>
      <c r="R39" s="365">
        <v>12753</v>
      </c>
      <c r="S39" s="365">
        <v>14187</v>
      </c>
      <c r="T39" s="365">
        <v>14827</v>
      </c>
      <c r="U39" s="365">
        <v>15345</v>
      </c>
      <c r="V39" s="364">
        <v>15345</v>
      </c>
      <c r="W39" s="365">
        <f>SUM(W33:W38)</f>
        <v>15993</v>
      </c>
      <c r="X39" s="365">
        <f>SUM(X33:X38)</f>
        <v>15737</v>
      </c>
      <c r="Y39" s="365">
        <f>SUM(Y33:Y38)</f>
        <v>15422</v>
      </c>
      <c r="Z39" s="365">
        <f t="shared" si="26"/>
        <v>15208</v>
      </c>
      <c r="AA39" s="364">
        <f>SUM(AA33:AA38)</f>
        <v>15208</v>
      </c>
      <c r="AB39" s="365">
        <f>SUM(AB33:AB38)</f>
        <v>16108</v>
      </c>
      <c r="AC39" s="365">
        <f>SUM(AC33:AC38)</f>
        <v>16971</v>
      </c>
      <c r="AD39" s="365">
        <f>SUM(AD33:AD38)</f>
        <v>18634</v>
      </c>
      <c r="AE39" s="652">
        <f>SUM(AE33:AE38)</f>
        <v>17469</v>
      </c>
      <c r="AF39" s="364">
        <f>AE39</f>
        <v>17469</v>
      </c>
      <c r="AG39" s="365">
        <f>SUM(AG33:AG38)</f>
        <v>19605</v>
      </c>
      <c r="AH39" s="365">
        <f>SUM(AH33:AH38)</f>
        <v>20505</v>
      </c>
      <c r="AI39" s="365">
        <f>SUM(AI33:AI38)</f>
        <v>19857</v>
      </c>
      <c r="AJ39" s="652">
        <f>SUM(AJ33:AJ38)</f>
        <v>19434</v>
      </c>
      <c r="AK39" s="364">
        <f>AJ39</f>
        <v>19434</v>
      </c>
      <c r="AL39" s="365">
        <f>SUM(AL33:AL38)</f>
        <v>17939</v>
      </c>
      <c r="AM39" s="365">
        <f>SUM(AM33:AM38)</f>
        <v>18571</v>
      </c>
      <c r="AN39" s="365">
        <f>SUM(AN33:AN38)</f>
        <v>18200</v>
      </c>
      <c r="AO39" s="652">
        <f>SUM(AO33:AO38)</f>
        <v>17913</v>
      </c>
      <c r="AP39" s="364">
        <f>AO39</f>
        <v>17913</v>
      </c>
      <c r="AQ39" s="365">
        <f>SUM(AQ33:AQ38)</f>
        <v>18670</v>
      </c>
      <c r="AR39" s="365">
        <f>SUM(AR33:AR38)</f>
        <v>18762</v>
      </c>
      <c r="AS39" s="365">
        <f>SUM(AS33:AS38)</f>
        <v>19620</v>
      </c>
      <c r="AT39" s="652">
        <f>SUM(AT33:AT38)</f>
        <v>17732</v>
      </c>
      <c r="AU39" s="364">
        <f>AT39</f>
        <v>17732</v>
      </c>
      <c r="AV39" s="365">
        <f>SUM(AV33:AV38)</f>
        <v>18916</v>
      </c>
      <c r="AW39" s="365">
        <f>SUM(AW33:AW38)</f>
        <v>20214</v>
      </c>
      <c r="AX39" s="365">
        <f>SUM(AX33:AX38)</f>
        <v>20064</v>
      </c>
      <c r="AY39" s="652">
        <f>SUM(AY33:AY38)</f>
        <v>18616</v>
      </c>
      <c r="AZ39" s="364">
        <f>AY39</f>
        <v>18616</v>
      </c>
      <c r="BA39" s="365">
        <f t="shared" ref="BA39:BY39" si="30">SUM(BA33:BA38)</f>
        <v>18330</v>
      </c>
      <c r="BB39" s="365">
        <f t="shared" si="30"/>
        <v>19793</v>
      </c>
      <c r="BC39" s="365">
        <f t="shared" si="30"/>
        <v>26452</v>
      </c>
      <c r="BD39" s="365">
        <f t="shared" si="30"/>
        <v>23786</v>
      </c>
      <c r="BE39" s="364">
        <f t="shared" si="30"/>
        <v>23786</v>
      </c>
      <c r="BF39" s="365">
        <f t="shared" si="30"/>
        <v>22559</v>
      </c>
      <c r="BG39" s="365">
        <f t="shared" si="30"/>
        <v>23164</v>
      </c>
      <c r="BH39" s="365">
        <f t="shared" si="30"/>
        <v>23519</v>
      </c>
      <c r="BI39" s="365">
        <f t="shared" si="30"/>
        <v>22800</v>
      </c>
      <c r="BJ39" s="364">
        <f t="shared" si="30"/>
        <v>22800</v>
      </c>
      <c r="BK39" s="365">
        <f t="shared" si="30"/>
        <v>22931</v>
      </c>
      <c r="BL39" s="365">
        <f t="shared" si="30"/>
        <v>24330</v>
      </c>
      <c r="BM39" s="365">
        <f t="shared" si="30"/>
        <v>23908</v>
      </c>
      <c r="BN39" s="365">
        <f t="shared" si="30"/>
        <v>22895</v>
      </c>
      <c r="BO39" s="364">
        <f t="shared" si="30"/>
        <v>22895</v>
      </c>
      <c r="BP39" s="365">
        <f t="shared" si="30"/>
        <v>25729</v>
      </c>
      <c r="BQ39" s="365">
        <f t="shared" si="30"/>
        <v>23729</v>
      </c>
      <c r="BR39" s="365">
        <f t="shared" si="30"/>
        <v>23689</v>
      </c>
      <c r="BS39" s="365">
        <f t="shared" si="30"/>
        <v>22618</v>
      </c>
      <c r="BT39" s="364">
        <f t="shared" si="30"/>
        <v>22618</v>
      </c>
      <c r="BU39" s="365">
        <f t="shared" si="30"/>
        <v>20523</v>
      </c>
      <c r="BV39" s="365">
        <f t="shared" si="30"/>
        <v>22183</v>
      </c>
      <c r="BW39" s="365">
        <f t="shared" si="30"/>
        <v>22541</v>
      </c>
      <c r="BX39" s="365">
        <f t="shared" si="30"/>
        <v>21906</v>
      </c>
      <c r="BY39" s="364">
        <f t="shared" si="30"/>
        <v>21906</v>
      </c>
      <c r="BZ39" s="365">
        <f t="shared" ref="BZ39:CH39" si="31">SUM(BZ33:BZ38)</f>
        <v>23726</v>
      </c>
      <c r="CA39" s="365">
        <f t="shared" si="31"/>
        <v>23919</v>
      </c>
      <c r="CB39" s="365">
        <f t="shared" si="31"/>
        <v>25249</v>
      </c>
      <c r="CC39" s="365">
        <f t="shared" si="31"/>
        <v>24325.685762630863</v>
      </c>
      <c r="CD39" s="364">
        <f t="shared" si="31"/>
        <v>24325.685762630863</v>
      </c>
      <c r="CE39" s="365">
        <f t="shared" si="31"/>
        <v>23427.457551632731</v>
      </c>
      <c r="CF39" s="365">
        <f t="shared" si="31"/>
        <v>25687.643828345514</v>
      </c>
      <c r="CG39" s="365">
        <f t="shared" si="31"/>
        <v>24782.313904169889</v>
      </c>
      <c r="CH39" s="365">
        <f t="shared" si="31"/>
        <v>24281.925662775931</v>
      </c>
      <c r="CI39" s="364">
        <f t="shared" ref="CI39" si="32">SUM(CI33:CI38)</f>
        <v>24281.925662775931</v>
      </c>
      <c r="CJ39" s="364">
        <f>SUM(CJ33:CJ38)</f>
        <v>24053.969956703851</v>
      </c>
      <c r="CK39" s="364">
        <f>SUM(CK33:CK38)</f>
        <v>24430.76859379499</v>
      </c>
      <c r="CL39" s="364">
        <f>SUM(CL33:CL38)</f>
        <v>24674.525986945773</v>
      </c>
      <c r="CM39" s="509"/>
      <c r="CN39" s="509"/>
    </row>
    <row r="40" spans="1:92">
      <c r="A40" s="485"/>
      <c r="B40" s="601"/>
      <c r="C40" s="485"/>
      <c r="D40" s="485"/>
      <c r="E40" s="485"/>
      <c r="F40" s="678"/>
      <c r="G40" s="678"/>
      <c r="H40" s="678"/>
      <c r="I40" s="688"/>
      <c r="J40" s="688"/>
      <c r="K40" s="688"/>
      <c r="L40" s="688"/>
      <c r="M40" s="384"/>
      <c r="N40" s="384"/>
      <c r="O40" s="384"/>
      <c r="P40" s="384"/>
      <c r="Q40" s="688"/>
      <c r="R40" s="384"/>
      <c r="S40" s="384"/>
      <c r="T40" s="384"/>
      <c r="U40" s="384"/>
      <c r="V40" s="688"/>
      <c r="W40" s="384"/>
      <c r="X40" s="384"/>
      <c r="Y40" s="384"/>
      <c r="Z40" s="384"/>
      <c r="AA40" s="688"/>
      <c r="AB40" s="384"/>
      <c r="AC40" s="384"/>
      <c r="AD40" s="384"/>
      <c r="AE40" s="390"/>
      <c r="AF40" s="688"/>
      <c r="AG40" s="384"/>
      <c r="AH40" s="384"/>
      <c r="AI40" s="392"/>
      <c r="AJ40" s="689"/>
      <c r="AK40" s="688"/>
      <c r="AL40" s="392"/>
      <c r="AM40" s="392"/>
      <c r="AN40" s="392"/>
      <c r="AO40" s="390"/>
      <c r="AP40" s="688"/>
      <c r="AQ40" s="392"/>
      <c r="AR40" s="384"/>
      <c r="AS40" s="384"/>
      <c r="AT40" s="390"/>
      <c r="AU40" s="688"/>
      <c r="AV40" s="392"/>
      <c r="AW40" s="384"/>
      <c r="AX40" s="384"/>
      <c r="AY40" s="390"/>
      <c r="AZ40" s="688"/>
      <c r="BA40" s="392"/>
      <c r="BB40" s="384"/>
      <c r="BC40" s="384"/>
      <c r="BD40" s="384"/>
      <c r="BE40" s="688"/>
      <c r="BF40" s="392"/>
      <c r="BG40" s="392"/>
      <c r="BH40" s="392"/>
      <c r="BI40" s="384"/>
      <c r="BJ40" s="688"/>
      <c r="BK40" s="392"/>
      <c r="BL40" s="384"/>
      <c r="BM40" s="392"/>
      <c r="BN40" s="384"/>
      <c r="BO40" s="688"/>
      <c r="BP40" s="392"/>
      <c r="BQ40" s="392"/>
      <c r="BR40" s="384"/>
      <c r="BS40" s="384"/>
      <c r="BT40" s="688"/>
      <c r="BU40" s="392"/>
      <c r="BV40" s="392"/>
      <c r="BW40" s="392"/>
      <c r="BX40" s="392"/>
      <c r="BY40" s="688"/>
      <c r="BZ40" s="392"/>
      <c r="CA40" s="392"/>
      <c r="CB40" s="392"/>
      <c r="CC40" s="392"/>
      <c r="CD40" s="688"/>
      <c r="CE40" s="392"/>
      <c r="CF40" s="392"/>
      <c r="CG40" s="392"/>
      <c r="CH40" s="392"/>
      <c r="CI40" s="688"/>
      <c r="CJ40" s="688"/>
      <c r="CK40" s="688"/>
      <c r="CL40" s="688"/>
      <c r="CM40" s="509"/>
      <c r="CN40" s="509"/>
    </row>
    <row r="41" spans="1:92">
      <c r="A41" s="485"/>
      <c r="B41" s="552"/>
      <c r="C41" s="552" t="s">
        <v>381</v>
      </c>
      <c r="D41" s="485"/>
      <c r="E41" s="485"/>
      <c r="F41" s="678"/>
      <c r="G41" s="678"/>
      <c r="H41" s="678"/>
      <c r="I41" s="688"/>
      <c r="J41" s="688"/>
      <c r="K41" s="688"/>
      <c r="L41" s="688"/>
      <c r="M41" s="384"/>
      <c r="N41" s="384"/>
      <c r="O41" s="384"/>
      <c r="P41" s="384"/>
      <c r="Q41" s="688"/>
      <c r="R41" s="384"/>
      <c r="S41" s="384"/>
      <c r="T41" s="384"/>
      <c r="U41" s="384"/>
      <c r="V41" s="688"/>
      <c r="W41" s="384"/>
      <c r="X41" s="384"/>
      <c r="Y41" s="384"/>
      <c r="Z41" s="384"/>
      <c r="AA41" s="688"/>
      <c r="AB41" s="384"/>
      <c r="AC41" s="384"/>
      <c r="AD41" s="384"/>
      <c r="AE41" s="390"/>
      <c r="AF41" s="688"/>
      <c r="AG41" s="384"/>
      <c r="AH41" s="384"/>
      <c r="AI41" s="392"/>
      <c r="AJ41" s="689"/>
      <c r="AK41" s="688"/>
      <c r="AL41" s="392"/>
      <c r="AM41" s="392"/>
      <c r="AN41" s="392"/>
      <c r="AO41" s="390"/>
      <c r="AP41" s="688"/>
      <c r="AQ41" s="392"/>
      <c r="AR41" s="384"/>
      <c r="AS41" s="384"/>
      <c r="AT41" s="390"/>
      <c r="AU41" s="688"/>
      <c r="AV41" s="392"/>
      <c r="AW41" s="384"/>
      <c r="AX41" s="384"/>
      <c r="AY41" s="390"/>
      <c r="AZ41" s="688"/>
      <c r="BA41" s="392"/>
      <c r="BB41" s="384"/>
      <c r="BC41" s="384"/>
      <c r="BD41" s="384"/>
      <c r="BE41" s="688"/>
      <c r="BF41" s="392"/>
      <c r="BG41" s="392"/>
      <c r="BH41" s="392"/>
      <c r="BI41" s="384"/>
      <c r="BJ41" s="688"/>
      <c r="BK41" s="392"/>
      <c r="BL41" s="384"/>
      <c r="BM41" s="392"/>
      <c r="BN41" s="384"/>
      <c r="BO41" s="688"/>
      <c r="BP41" s="392"/>
      <c r="BQ41" s="392"/>
      <c r="BR41" s="384"/>
      <c r="BS41" s="384"/>
      <c r="BT41" s="688"/>
      <c r="BU41" s="392"/>
      <c r="BV41" s="392"/>
      <c r="BW41" s="392"/>
      <c r="BX41" s="392"/>
      <c r="BY41" s="688"/>
      <c r="BZ41" s="392"/>
      <c r="CA41" s="392"/>
      <c r="CB41" s="392"/>
      <c r="CC41" s="392"/>
      <c r="CD41" s="688"/>
      <c r="CE41" s="392"/>
      <c r="CF41" s="392"/>
      <c r="CG41" s="392"/>
      <c r="CH41" s="392"/>
      <c r="CI41" s="688"/>
      <c r="CJ41" s="688"/>
      <c r="CK41" s="688"/>
      <c r="CL41" s="688"/>
      <c r="CM41" s="509"/>
      <c r="CN41" s="509"/>
    </row>
    <row r="42" spans="1:92">
      <c r="A42" s="485"/>
      <c r="B42" s="485"/>
      <c r="C42" s="665" t="s">
        <v>380</v>
      </c>
      <c r="D42" s="485"/>
      <c r="E42" s="485"/>
      <c r="F42" s="485"/>
      <c r="G42" s="485"/>
      <c r="H42" s="485"/>
      <c r="I42" s="659">
        <v>3476</v>
      </c>
      <c r="J42" s="659">
        <v>4237</v>
      </c>
      <c r="K42" s="659">
        <v>4632</v>
      </c>
      <c r="L42" s="659">
        <v>4257</v>
      </c>
      <c r="M42" s="660">
        <v>4261</v>
      </c>
      <c r="N42" s="660">
        <v>4247</v>
      </c>
      <c r="O42" s="660">
        <v>4254</v>
      </c>
      <c r="P42" s="660">
        <v>4231</v>
      </c>
      <c r="Q42" s="659">
        <v>4231</v>
      </c>
      <c r="R42" s="660">
        <v>4223</v>
      </c>
      <c r="S42" s="660">
        <v>6615</v>
      </c>
      <c r="T42" s="660">
        <v>6366</v>
      </c>
      <c r="U42" s="660">
        <v>5935</v>
      </c>
      <c r="V42" s="659">
        <v>5935</v>
      </c>
      <c r="W42" s="660">
        <v>5954</v>
      </c>
      <c r="X42" s="660">
        <v>7061</v>
      </c>
      <c r="Y42" s="660">
        <v>7067</v>
      </c>
      <c r="Z42" s="660">
        <f>AA42</f>
        <v>7037</v>
      </c>
      <c r="AA42" s="659">
        <v>7037</v>
      </c>
      <c r="AB42" s="660">
        <v>7035</v>
      </c>
      <c r="AC42" s="660">
        <f>7045</f>
        <v>7045</v>
      </c>
      <c r="AD42" s="660">
        <v>7059</v>
      </c>
      <c r="AE42" s="662">
        <v>8015</v>
      </c>
      <c r="AF42" s="659">
        <f>AE42</f>
        <v>8015</v>
      </c>
      <c r="AG42" s="660">
        <v>8014</v>
      </c>
      <c r="AH42" s="660">
        <v>8106</v>
      </c>
      <c r="AI42" s="660">
        <v>8113</v>
      </c>
      <c r="AJ42" s="662">
        <v>9337</v>
      </c>
      <c r="AK42" s="659">
        <f>AJ42</f>
        <v>9337</v>
      </c>
      <c r="AL42" s="660">
        <v>9315</v>
      </c>
      <c r="AM42" s="660">
        <v>8721</v>
      </c>
      <c r="AN42" s="660">
        <v>8729</v>
      </c>
      <c r="AO42" s="662">
        <v>8257</v>
      </c>
      <c r="AP42" s="659">
        <f>AO42</f>
        <v>8257</v>
      </c>
      <c r="AQ42" s="660">
        <v>10004</v>
      </c>
      <c r="AR42" s="660">
        <v>10039</v>
      </c>
      <c r="AS42" s="660">
        <v>10071</v>
      </c>
      <c r="AT42" s="662">
        <v>10010</v>
      </c>
      <c r="AU42" s="659">
        <f>AT42</f>
        <v>10010</v>
      </c>
      <c r="AV42" s="660">
        <v>9986</v>
      </c>
      <c r="AW42" s="660">
        <v>9492</v>
      </c>
      <c r="AX42" s="660">
        <v>9501</v>
      </c>
      <c r="AY42" s="662">
        <v>9501</v>
      </c>
      <c r="AZ42" s="659">
        <f>AY42</f>
        <v>9501</v>
      </c>
      <c r="BA42" s="660">
        <v>9491</v>
      </c>
      <c r="BB42" s="660">
        <v>20450</v>
      </c>
      <c r="BC42" s="660">
        <v>23409</v>
      </c>
      <c r="BD42" s="660">
        <v>21597</v>
      </c>
      <c r="BE42" s="659">
        <f t="shared" ref="BE42:BE47" si="33">BD42</f>
        <v>21597</v>
      </c>
      <c r="BF42" s="660">
        <v>21572</v>
      </c>
      <c r="BG42" s="660">
        <v>20375</v>
      </c>
      <c r="BH42" s="660">
        <v>19785</v>
      </c>
      <c r="BI42" s="660">
        <v>19741</v>
      </c>
      <c r="BJ42" s="659">
        <f t="shared" ref="BJ42:BJ47" si="34">BI42</f>
        <v>19741</v>
      </c>
      <c r="BK42" s="660">
        <v>19739</v>
      </c>
      <c r="BL42" s="660">
        <v>17837</v>
      </c>
      <c r="BM42" s="660">
        <v>17857</v>
      </c>
      <c r="BN42" s="660">
        <v>17872</v>
      </c>
      <c r="BO42" s="659">
        <f t="shared" ref="BO42:BO47" si="35">BN42</f>
        <v>17872</v>
      </c>
      <c r="BP42" s="660">
        <v>17809</v>
      </c>
      <c r="BQ42" s="660">
        <v>19489</v>
      </c>
      <c r="BR42" s="660">
        <v>19428</v>
      </c>
      <c r="BS42" s="660">
        <v>19320</v>
      </c>
      <c r="BT42" s="659">
        <f>BS42</f>
        <v>19320</v>
      </c>
      <c r="BU42" s="2083">
        <v>21688</v>
      </c>
      <c r="BV42" s="2083">
        <v>20130</v>
      </c>
      <c r="BW42" s="2083">
        <v>20190</v>
      </c>
      <c r="BX42" s="2083">
        <v>21697</v>
      </c>
      <c r="BY42" s="659">
        <f>BX42</f>
        <v>21697</v>
      </c>
      <c r="BZ42" s="2083">
        <v>20898</v>
      </c>
      <c r="CA42" s="2083">
        <v>23883</v>
      </c>
      <c r="CB42" s="2083">
        <v>24063</v>
      </c>
      <c r="CC42" s="660">
        <f>CB42</f>
        <v>24063</v>
      </c>
      <c r="CD42" s="659">
        <f>CC42</f>
        <v>24063</v>
      </c>
      <c r="CE42" s="660">
        <f>CD42+1000</f>
        <v>25063</v>
      </c>
      <c r="CF42" s="660">
        <f>CE42+1000</f>
        <v>26063</v>
      </c>
      <c r="CG42" s="660">
        <f t="shared" ref="CG42:CL42" si="36">CF42</f>
        <v>26063</v>
      </c>
      <c r="CH42" s="660">
        <f t="shared" si="36"/>
        <v>26063</v>
      </c>
      <c r="CI42" s="659">
        <f t="shared" si="36"/>
        <v>26063</v>
      </c>
      <c r="CJ42" s="659">
        <f t="shared" si="36"/>
        <v>26063</v>
      </c>
      <c r="CK42" s="659">
        <f t="shared" si="36"/>
        <v>26063</v>
      </c>
      <c r="CL42" s="659">
        <f t="shared" si="36"/>
        <v>26063</v>
      </c>
      <c r="CM42" s="509"/>
      <c r="CN42" s="509"/>
    </row>
    <row r="43" spans="1:92">
      <c r="A43" s="485"/>
      <c r="B43" s="485"/>
      <c r="C43" s="665" t="s">
        <v>379</v>
      </c>
      <c r="D43" s="485"/>
      <c r="E43" s="485"/>
      <c r="F43" s="485"/>
      <c r="G43" s="485"/>
      <c r="H43" s="485"/>
      <c r="I43" s="659">
        <v>1636</v>
      </c>
      <c r="J43" s="659">
        <v>2703</v>
      </c>
      <c r="K43" s="659">
        <v>5088</v>
      </c>
      <c r="L43" s="659">
        <v>4752</v>
      </c>
      <c r="M43" s="660">
        <v>4683</v>
      </c>
      <c r="N43" s="660">
        <v>4687</v>
      </c>
      <c r="O43" s="660">
        <v>4699</v>
      </c>
      <c r="P43" s="660">
        <v>4595</v>
      </c>
      <c r="Q43" s="659">
        <v>4595</v>
      </c>
      <c r="R43" s="660">
        <v>4582</v>
      </c>
      <c r="S43" s="660">
        <v>4660</v>
      </c>
      <c r="T43" s="660">
        <v>4938</v>
      </c>
      <c r="U43" s="660">
        <v>2813</v>
      </c>
      <c r="V43" s="659">
        <v>2813</v>
      </c>
      <c r="W43" s="660">
        <v>2863</v>
      </c>
      <c r="X43" s="660">
        <v>2939</v>
      </c>
      <c r="Y43" s="660">
        <v>3057</v>
      </c>
      <c r="Z43" s="660">
        <f>AA43</f>
        <v>2926</v>
      </c>
      <c r="AA43" s="659">
        <v>2926</v>
      </c>
      <c r="AB43" s="660">
        <v>2261</v>
      </c>
      <c r="AC43" s="660">
        <v>2220</v>
      </c>
      <c r="AD43" s="660">
        <v>2234</v>
      </c>
      <c r="AE43" s="660">
        <v>2562</v>
      </c>
      <c r="AF43" s="659">
        <f>AE43</f>
        <v>2562</v>
      </c>
      <c r="AG43" s="660">
        <v>2552</v>
      </c>
      <c r="AH43" s="660">
        <v>2523</v>
      </c>
      <c r="AI43" s="660">
        <v>2392</v>
      </c>
      <c r="AJ43" s="662">
        <v>6574</v>
      </c>
      <c r="AK43" s="659">
        <f>AJ43</f>
        <v>6574</v>
      </c>
      <c r="AL43" s="660">
        <v>6525</v>
      </c>
      <c r="AM43" s="660">
        <v>6589</v>
      </c>
      <c r="AN43" s="660">
        <v>6663</v>
      </c>
      <c r="AO43" s="660">
        <v>4150</v>
      </c>
      <c r="AP43" s="659">
        <f>AO43</f>
        <v>4150</v>
      </c>
      <c r="AQ43" s="660">
        <v>4099</v>
      </c>
      <c r="AR43" s="660">
        <v>3996</v>
      </c>
      <c r="AS43" s="662">
        <v>3927</v>
      </c>
      <c r="AT43" s="660">
        <v>3592</v>
      </c>
      <c r="AU43" s="659">
        <f>AT43</f>
        <v>3592</v>
      </c>
      <c r="AV43" s="660">
        <v>3583</v>
      </c>
      <c r="AW43" s="660">
        <v>3528</v>
      </c>
      <c r="AX43" s="662">
        <v>3409</v>
      </c>
      <c r="AY43" s="660">
        <v>5007</v>
      </c>
      <c r="AZ43" s="659">
        <f>AY43</f>
        <v>5007</v>
      </c>
      <c r="BA43" s="660">
        <v>5177</v>
      </c>
      <c r="BB43" s="660">
        <v>5087</v>
      </c>
      <c r="BC43" s="660">
        <v>6632</v>
      </c>
      <c r="BD43" s="660">
        <v>7520</v>
      </c>
      <c r="BE43" s="659">
        <f t="shared" si="33"/>
        <v>7520</v>
      </c>
      <c r="BF43" s="660">
        <v>7358</v>
      </c>
      <c r="BG43" s="660">
        <v>7231</v>
      </c>
      <c r="BH43" s="660">
        <v>7175</v>
      </c>
      <c r="BI43" s="660">
        <v>3444</v>
      </c>
      <c r="BJ43" s="659">
        <f t="shared" si="34"/>
        <v>3444</v>
      </c>
      <c r="BK43" s="660">
        <v>3320</v>
      </c>
      <c r="BL43" s="660">
        <v>3207</v>
      </c>
      <c r="BM43" s="660">
        <v>3033</v>
      </c>
      <c r="BN43" s="660">
        <v>6683</v>
      </c>
      <c r="BO43" s="659">
        <f t="shared" si="35"/>
        <v>6683</v>
      </c>
      <c r="BP43" s="660">
        <f>17487-BP47</f>
        <v>6494</v>
      </c>
      <c r="BQ43" s="660">
        <v>6373</v>
      </c>
      <c r="BR43" s="660">
        <f>BQ43-350/4</f>
        <v>6285.5</v>
      </c>
      <c r="BS43" s="660">
        <v>6022</v>
      </c>
      <c r="BT43" s="659">
        <f>BS43</f>
        <v>6022</v>
      </c>
      <c r="BU43" s="2083">
        <v>5869</v>
      </c>
      <c r="BV43" s="2083">
        <v>5713</v>
      </c>
      <c r="BW43" s="2083">
        <f>16252-BW47</f>
        <v>5760</v>
      </c>
      <c r="BX43" s="2083">
        <v>5612</v>
      </c>
      <c r="BY43" s="659">
        <f>BX43</f>
        <v>5612</v>
      </c>
      <c r="BZ43" s="2083">
        <v>5433</v>
      </c>
      <c r="CA43" s="660">
        <v>5249</v>
      </c>
      <c r="CB43" s="660">
        <f>CA43+CF!CA18</f>
        <v>3320</v>
      </c>
      <c r="CC43" s="660">
        <f>CB43-50</f>
        <v>3270</v>
      </c>
      <c r="CD43" s="659">
        <f>CC43</f>
        <v>3270</v>
      </c>
      <c r="CE43" s="660">
        <f>CD43-50</f>
        <v>3220</v>
      </c>
      <c r="CF43" s="660">
        <f>CE43-50</f>
        <v>3170</v>
      </c>
      <c r="CG43" s="660">
        <f>CF43-50</f>
        <v>3120</v>
      </c>
      <c r="CH43" s="660">
        <f>CG43-50</f>
        <v>3070</v>
      </c>
      <c r="CI43" s="659">
        <f>CH43</f>
        <v>3070</v>
      </c>
      <c r="CJ43" s="659">
        <f>CI43+CI43-CD43</f>
        <v>2870</v>
      </c>
      <c r="CK43" s="659">
        <f>CJ43-CI43+CJ43</f>
        <v>2670</v>
      </c>
      <c r="CL43" s="659">
        <f>CK43-CJ43+CK43</f>
        <v>2470</v>
      </c>
      <c r="CM43" s="509"/>
      <c r="CN43" s="509"/>
    </row>
    <row r="44" spans="1:92">
      <c r="A44" s="485"/>
      <c r="B44" s="485"/>
      <c r="C44" s="665" t="s">
        <v>378</v>
      </c>
      <c r="D44" s="485"/>
      <c r="E44" s="485"/>
      <c r="F44" s="485"/>
      <c r="G44" s="485"/>
      <c r="H44" s="485"/>
      <c r="I44" s="659">
        <v>0</v>
      </c>
      <c r="J44" s="659">
        <v>0</v>
      </c>
      <c r="K44" s="659">
        <v>0</v>
      </c>
      <c r="L44" s="659">
        <v>0</v>
      </c>
      <c r="M44" s="660">
        <v>0</v>
      </c>
      <c r="N44" s="660">
        <v>0</v>
      </c>
      <c r="O44" s="660">
        <v>0</v>
      </c>
      <c r="P44" s="660">
        <v>0</v>
      </c>
      <c r="Q44" s="659">
        <v>0</v>
      </c>
      <c r="R44" s="660">
        <v>0</v>
      </c>
      <c r="S44" s="660">
        <v>0</v>
      </c>
      <c r="T44" s="660">
        <v>0</v>
      </c>
      <c r="U44" s="660">
        <v>0</v>
      </c>
      <c r="V44" s="659">
        <v>0</v>
      </c>
      <c r="W44" s="660">
        <v>0</v>
      </c>
      <c r="X44" s="660">
        <v>0</v>
      </c>
      <c r="Y44" s="660">
        <v>0</v>
      </c>
      <c r="Z44" s="660">
        <f>AA44</f>
        <v>0</v>
      </c>
      <c r="AA44" s="659">
        <v>0</v>
      </c>
      <c r="AB44" s="660">
        <v>0</v>
      </c>
      <c r="AC44" s="660">
        <v>0</v>
      </c>
      <c r="AD44" s="660">
        <v>0</v>
      </c>
      <c r="AE44" s="662">
        <v>0</v>
      </c>
      <c r="AF44" s="659">
        <f>AE44</f>
        <v>0</v>
      </c>
      <c r="AG44" s="660">
        <v>0</v>
      </c>
      <c r="AH44" s="660">
        <v>0</v>
      </c>
      <c r="AI44" s="660">
        <v>0</v>
      </c>
      <c r="AJ44" s="662">
        <v>0</v>
      </c>
      <c r="AK44" s="659">
        <f>AJ44</f>
        <v>0</v>
      </c>
      <c r="AL44" s="660">
        <v>0</v>
      </c>
      <c r="AM44" s="660">
        <v>0</v>
      </c>
      <c r="AN44" s="660">
        <v>0</v>
      </c>
      <c r="AO44" s="662">
        <v>0</v>
      </c>
      <c r="AP44" s="659">
        <f>AO44</f>
        <v>0</v>
      </c>
      <c r="AQ44" s="660">
        <v>0</v>
      </c>
      <c r="AR44" s="660">
        <v>0</v>
      </c>
      <c r="AS44" s="660">
        <v>0</v>
      </c>
      <c r="AT44" s="662">
        <v>0</v>
      </c>
      <c r="AU44" s="659">
        <f>AT44</f>
        <v>0</v>
      </c>
      <c r="AV44" s="660">
        <v>0</v>
      </c>
      <c r="AW44" s="660">
        <v>0</v>
      </c>
      <c r="AX44" s="660">
        <v>0</v>
      </c>
      <c r="AY44" s="662">
        <v>0</v>
      </c>
      <c r="AZ44" s="659">
        <f>AY44</f>
        <v>0</v>
      </c>
      <c r="BA44" s="660">
        <v>0</v>
      </c>
      <c r="BB44" s="660">
        <v>0</v>
      </c>
      <c r="BC44" s="660">
        <v>0</v>
      </c>
      <c r="BD44" s="660">
        <v>0</v>
      </c>
      <c r="BE44" s="659">
        <f t="shared" si="33"/>
        <v>0</v>
      </c>
      <c r="BF44" s="660">
        <v>0</v>
      </c>
      <c r="BG44" s="660">
        <v>0</v>
      </c>
      <c r="BH44" s="660">
        <v>0</v>
      </c>
      <c r="BI44" s="660">
        <f>BH44</f>
        <v>0</v>
      </c>
      <c r="BJ44" s="659">
        <f t="shared" si="34"/>
        <v>0</v>
      </c>
      <c r="BK44" s="660">
        <v>0</v>
      </c>
      <c r="BL44" s="660">
        <f>BK44</f>
        <v>0</v>
      </c>
      <c r="BM44" s="660">
        <v>0</v>
      </c>
      <c r="BN44" s="660">
        <f>BM44</f>
        <v>0</v>
      </c>
      <c r="BO44" s="659">
        <f t="shared" si="35"/>
        <v>0</v>
      </c>
      <c r="BP44" s="660"/>
      <c r="BQ44" s="660"/>
      <c r="BR44" s="660"/>
      <c r="BS44" s="660"/>
      <c r="BT44" s="659"/>
      <c r="BU44" s="660"/>
      <c r="BV44" s="660"/>
      <c r="BW44" s="660"/>
      <c r="BX44" s="660"/>
      <c r="BY44" s="659"/>
      <c r="BZ44" s="660"/>
      <c r="CA44" s="660"/>
      <c r="CB44" s="660"/>
      <c r="CC44" s="660"/>
      <c r="CD44" s="659"/>
      <c r="CE44" s="660"/>
      <c r="CF44" s="660"/>
      <c r="CG44" s="660"/>
      <c r="CH44" s="660"/>
      <c r="CI44" s="659"/>
      <c r="CJ44" s="659"/>
      <c r="CK44" s="659"/>
      <c r="CL44" s="659"/>
      <c r="CM44" s="509"/>
      <c r="CN44" s="509"/>
    </row>
    <row r="45" spans="1:92">
      <c r="A45" s="485"/>
      <c r="B45" s="485"/>
      <c r="C45" s="665" t="s">
        <v>377</v>
      </c>
      <c r="D45" s="485"/>
      <c r="E45" s="485"/>
      <c r="F45" s="485"/>
      <c r="G45" s="485"/>
      <c r="H45" s="485"/>
      <c r="I45" s="659">
        <v>432</v>
      </c>
      <c r="J45" s="659">
        <v>429</v>
      </c>
      <c r="K45" s="659">
        <v>428</v>
      </c>
      <c r="L45" s="659">
        <v>0</v>
      </c>
      <c r="M45" s="660">
        <v>0</v>
      </c>
      <c r="N45" s="660">
        <v>0</v>
      </c>
      <c r="O45" s="660">
        <v>0</v>
      </c>
      <c r="P45" s="660">
        <v>0</v>
      </c>
      <c r="Q45" s="659">
        <v>0</v>
      </c>
      <c r="R45" s="660"/>
      <c r="S45" s="660">
        <v>0</v>
      </c>
      <c r="T45" s="660">
        <v>0</v>
      </c>
      <c r="U45" s="660">
        <v>0</v>
      </c>
      <c r="V45" s="659">
        <v>0</v>
      </c>
      <c r="W45" s="660">
        <v>0</v>
      </c>
      <c r="X45" s="660">
        <v>0</v>
      </c>
      <c r="Y45" s="660">
        <v>0</v>
      </c>
      <c r="Z45" s="660">
        <v>0</v>
      </c>
      <c r="AA45" s="659">
        <f>SUM(W45:Z45)</f>
        <v>0</v>
      </c>
      <c r="AB45" s="660">
        <v>0</v>
      </c>
      <c r="AC45" s="660">
        <v>0</v>
      </c>
      <c r="AD45" s="660">
        <v>0</v>
      </c>
      <c r="AE45" s="660">
        <v>0</v>
      </c>
      <c r="AF45" s="659">
        <f>SUM(AB45:AE45)</f>
        <v>0</v>
      </c>
      <c r="AG45" s="660">
        <v>0</v>
      </c>
      <c r="AH45" s="660">
        <v>0</v>
      </c>
      <c r="AI45" s="660">
        <v>0</v>
      </c>
      <c r="AJ45" s="660">
        <v>0</v>
      </c>
      <c r="AK45" s="659">
        <f>SUM(AG45:AJ45)</f>
        <v>0</v>
      </c>
      <c r="AL45" s="660">
        <v>0</v>
      </c>
      <c r="AM45" s="660">
        <v>0</v>
      </c>
      <c r="AN45" s="660">
        <v>0</v>
      </c>
      <c r="AO45" s="660">
        <v>0</v>
      </c>
      <c r="AP45" s="659">
        <f>SUM(AL45:AO45)</f>
        <v>0</v>
      </c>
      <c r="AQ45" s="660">
        <v>0</v>
      </c>
      <c r="AR45" s="660">
        <v>0</v>
      </c>
      <c r="AS45" s="660">
        <v>0</v>
      </c>
      <c r="AT45" s="660">
        <v>0</v>
      </c>
      <c r="AU45" s="659">
        <f>AT45</f>
        <v>0</v>
      </c>
      <c r="AV45" s="660">
        <v>0</v>
      </c>
      <c r="AW45" s="660">
        <v>0</v>
      </c>
      <c r="AX45" s="660">
        <v>0</v>
      </c>
      <c r="AY45" s="660">
        <v>0</v>
      </c>
      <c r="AZ45" s="659">
        <f>AY45</f>
        <v>0</v>
      </c>
      <c r="BA45" s="660">
        <v>0</v>
      </c>
      <c r="BB45" s="660">
        <v>0</v>
      </c>
      <c r="BC45" s="660">
        <v>0</v>
      </c>
      <c r="BD45" s="660">
        <v>0</v>
      </c>
      <c r="BE45" s="659">
        <f t="shared" si="33"/>
        <v>0</v>
      </c>
      <c r="BF45" s="660">
        <v>0</v>
      </c>
      <c r="BG45" s="660">
        <v>0</v>
      </c>
      <c r="BH45" s="660">
        <v>0</v>
      </c>
      <c r="BI45" s="660">
        <f>BH45</f>
        <v>0</v>
      </c>
      <c r="BJ45" s="659">
        <f t="shared" si="34"/>
        <v>0</v>
      </c>
      <c r="BK45" s="660">
        <v>0</v>
      </c>
      <c r="BL45" s="660">
        <f>BK45</f>
        <v>0</v>
      </c>
      <c r="BM45" s="660">
        <v>0</v>
      </c>
      <c r="BN45" s="660">
        <f>BM45</f>
        <v>0</v>
      </c>
      <c r="BO45" s="659">
        <f t="shared" si="35"/>
        <v>0</v>
      </c>
      <c r="BP45" s="660"/>
      <c r="BQ45" s="660"/>
      <c r="BR45" s="660"/>
      <c r="BS45" s="660"/>
      <c r="BT45" s="659"/>
      <c r="BU45" s="660"/>
      <c r="BV45" s="660"/>
      <c r="BW45" s="660"/>
      <c r="BX45" s="660"/>
      <c r="BY45" s="659"/>
      <c r="BZ45" s="660"/>
      <c r="CA45" s="660"/>
      <c r="CB45" s="660"/>
      <c r="CC45" s="660"/>
      <c r="CD45" s="659"/>
      <c r="CE45" s="660"/>
      <c r="CF45" s="660"/>
      <c r="CG45" s="660"/>
      <c r="CH45" s="660"/>
      <c r="CI45" s="659"/>
      <c r="CJ45" s="659"/>
      <c r="CK45" s="659"/>
      <c r="CL45" s="659"/>
      <c r="CM45" s="509"/>
      <c r="CN45" s="509"/>
    </row>
    <row r="46" spans="1:92" hidden="1">
      <c r="A46" s="485"/>
      <c r="B46" s="485"/>
      <c r="C46" s="665"/>
      <c r="D46" s="485"/>
      <c r="E46" s="485"/>
      <c r="F46" s="485"/>
      <c r="G46" s="485"/>
      <c r="H46" s="485"/>
      <c r="I46" s="659"/>
      <c r="J46" s="659"/>
      <c r="K46" s="659"/>
      <c r="L46" s="659"/>
      <c r="M46" s="660"/>
      <c r="N46" s="660"/>
      <c r="O46" s="660"/>
      <c r="P46" s="660">
        <v>0</v>
      </c>
      <c r="Q46" s="659"/>
      <c r="R46" s="660"/>
      <c r="S46" s="660"/>
      <c r="T46" s="660"/>
      <c r="U46" s="660">
        <v>0</v>
      </c>
      <c r="V46" s="659"/>
      <c r="W46" s="660"/>
      <c r="X46" s="660"/>
      <c r="Y46" s="660"/>
      <c r="Z46" s="660">
        <f>AA46</f>
        <v>0</v>
      </c>
      <c r="AA46" s="659"/>
      <c r="AB46" s="660"/>
      <c r="AC46" s="660"/>
      <c r="AD46" s="660"/>
      <c r="AE46" s="662"/>
      <c r="AF46" s="659">
        <f>AE46</f>
        <v>0</v>
      </c>
      <c r="AG46" s="660"/>
      <c r="AH46" s="660"/>
      <c r="AI46" s="660"/>
      <c r="AJ46" s="662"/>
      <c r="AK46" s="659">
        <f>AJ46</f>
        <v>0</v>
      </c>
      <c r="AL46" s="660"/>
      <c r="AM46" s="660"/>
      <c r="AN46" s="660"/>
      <c r="AO46" s="662"/>
      <c r="AP46" s="659">
        <f>AO46</f>
        <v>0</v>
      </c>
      <c r="AQ46" s="660"/>
      <c r="AR46" s="660"/>
      <c r="AS46" s="660"/>
      <c r="AT46" s="662"/>
      <c r="AU46" s="659"/>
      <c r="AV46" s="660"/>
      <c r="AW46" s="660"/>
      <c r="AX46" s="660"/>
      <c r="AY46" s="662"/>
      <c r="AZ46" s="659"/>
      <c r="BA46" s="660"/>
      <c r="BB46" s="660"/>
      <c r="BC46" s="660"/>
      <c r="BD46" s="660"/>
      <c r="BE46" s="659">
        <f t="shared" si="33"/>
        <v>0</v>
      </c>
      <c r="BF46" s="660"/>
      <c r="BG46" s="660"/>
      <c r="BH46" s="660"/>
      <c r="BI46" s="660"/>
      <c r="BJ46" s="659">
        <f t="shared" si="34"/>
        <v>0</v>
      </c>
      <c r="BK46" s="660"/>
      <c r="BL46" s="660"/>
      <c r="BM46" s="660"/>
      <c r="BN46" s="660"/>
      <c r="BO46" s="659">
        <f t="shared" si="35"/>
        <v>0</v>
      </c>
      <c r="BP46" s="660"/>
      <c r="BQ46" s="660"/>
      <c r="BR46" s="660"/>
      <c r="BS46" s="660"/>
      <c r="BT46" s="659">
        <f>BS46</f>
        <v>0</v>
      </c>
      <c r="BU46" s="660"/>
      <c r="BV46" s="660"/>
      <c r="BW46" s="660"/>
      <c r="BX46" s="660"/>
      <c r="BY46" s="659">
        <f>BX46</f>
        <v>0</v>
      </c>
      <c r="BZ46" s="660"/>
      <c r="CA46" s="660"/>
      <c r="CB46" s="660"/>
      <c r="CC46" s="660"/>
      <c r="CD46" s="659">
        <f>CC46</f>
        <v>0</v>
      </c>
      <c r="CE46" s="660"/>
      <c r="CF46" s="660"/>
      <c r="CG46" s="660"/>
      <c r="CH46" s="660"/>
      <c r="CI46" s="659">
        <f>CH46</f>
        <v>0</v>
      </c>
      <c r="CJ46" s="659"/>
      <c r="CK46" s="659"/>
      <c r="CL46" s="659"/>
      <c r="CM46" s="509"/>
      <c r="CN46" s="509"/>
    </row>
    <row r="47" spans="1:92">
      <c r="A47" s="687"/>
      <c r="B47" s="687"/>
      <c r="C47" s="658" t="s">
        <v>376</v>
      </c>
      <c r="D47" s="686"/>
      <c r="E47" s="686"/>
      <c r="F47" s="534"/>
      <c r="G47" s="534"/>
      <c r="H47" s="534"/>
      <c r="I47" s="654">
        <v>2317</v>
      </c>
      <c r="J47" s="654">
        <v>2310</v>
      </c>
      <c r="K47" s="654">
        <v>2095</v>
      </c>
      <c r="L47" s="654">
        <v>2928</v>
      </c>
      <c r="M47" s="655">
        <v>2885</v>
      </c>
      <c r="N47" s="655">
        <v>3065</v>
      </c>
      <c r="O47" s="655">
        <v>3133</v>
      </c>
      <c r="P47" s="655">
        <v>3344</v>
      </c>
      <c r="Q47" s="654">
        <v>3344</v>
      </c>
      <c r="R47" s="655">
        <v>3350</v>
      </c>
      <c r="S47" s="655">
        <v>3133</v>
      </c>
      <c r="T47" s="655">
        <v>3281</v>
      </c>
      <c r="U47" s="655">
        <v>4063</v>
      </c>
      <c r="V47" s="654">
        <v>4063</v>
      </c>
      <c r="W47" s="655">
        <v>4063</v>
      </c>
      <c r="X47" s="655">
        <v>4152</v>
      </c>
      <c r="Y47" s="655">
        <v>4266</v>
      </c>
      <c r="Z47" s="655">
        <f>AA47</f>
        <v>3837</v>
      </c>
      <c r="AA47" s="654">
        <v>3837</v>
      </c>
      <c r="AB47" s="657">
        <v>4219</v>
      </c>
      <c r="AC47" s="655">
        <v>4241</v>
      </c>
      <c r="AD47" s="655">
        <v>4428</v>
      </c>
      <c r="AE47" s="657">
        <v>4262</v>
      </c>
      <c r="AF47" s="654">
        <f>AE47</f>
        <v>4262</v>
      </c>
      <c r="AG47" s="655">
        <v>4312</v>
      </c>
      <c r="AH47" s="655">
        <v>4483</v>
      </c>
      <c r="AI47" s="655">
        <v>4403</v>
      </c>
      <c r="AJ47" s="657">
        <v>4198</v>
      </c>
      <c r="AK47" s="654">
        <f>AJ47</f>
        <v>4198</v>
      </c>
      <c r="AL47" s="655">
        <v>4233</v>
      </c>
      <c r="AM47" s="655">
        <v>4258</v>
      </c>
      <c r="AN47" s="655">
        <v>4339</v>
      </c>
      <c r="AO47" s="655">
        <v>4054</v>
      </c>
      <c r="AP47" s="654">
        <f>AO47</f>
        <v>4054</v>
      </c>
      <c r="AQ47" s="655">
        <v>4314</v>
      </c>
      <c r="AR47" s="655">
        <v>4320</v>
      </c>
      <c r="AS47" s="655">
        <f>8387-AS43</f>
        <v>4460</v>
      </c>
      <c r="AT47" s="655">
        <v>4510</v>
      </c>
      <c r="AU47" s="654">
        <f>AT47</f>
        <v>4510</v>
      </c>
      <c r="AV47" s="655">
        <v>4734</v>
      </c>
      <c r="AW47" s="655">
        <v>4826</v>
      </c>
      <c r="AX47" s="655">
        <v>5059</v>
      </c>
      <c r="AY47" s="655">
        <v>5150</v>
      </c>
      <c r="AZ47" s="654">
        <f>AY47</f>
        <v>5150</v>
      </c>
      <c r="BA47" s="655">
        <v>4934</v>
      </c>
      <c r="BB47" s="655">
        <v>5360</v>
      </c>
      <c r="BC47" s="655">
        <v>9129</v>
      </c>
      <c r="BD47" s="655">
        <v>9199</v>
      </c>
      <c r="BE47" s="654">
        <f t="shared" si="33"/>
        <v>9199</v>
      </c>
      <c r="BF47" s="655">
        <v>9206</v>
      </c>
      <c r="BG47" s="655">
        <v>9431</v>
      </c>
      <c r="BH47" s="655">
        <v>9804</v>
      </c>
      <c r="BI47" s="655">
        <f>14723-BI43</f>
        <v>11279</v>
      </c>
      <c r="BJ47" s="654">
        <f t="shared" si="34"/>
        <v>11279</v>
      </c>
      <c r="BK47" s="655">
        <v>11407</v>
      </c>
      <c r="BL47" s="655">
        <f>14636-BL43</f>
        <v>11429</v>
      </c>
      <c r="BM47" s="655">
        <v>11446</v>
      </c>
      <c r="BN47" s="655">
        <f>11135</f>
        <v>11135</v>
      </c>
      <c r="BO47" s="654">
        <f t="shared" si="35"/>
        <v>11135</v>
      </c>
      <c r="BP47" s="657">
        <v>10993</v>
      </c>
      <c r="BQ47" s="657">
        <f>17483-BQ43</f>
        <v>11110</v>
      </c>
      <c r="BR47" s="655">
        <f>16835-BR43</f>
        <v>10549.5</v>
      </c>
      <c r="BS47" s="655">
        <v>10558</v>
      </c>
      <c r="BT47" s="654">
        <f>BS47</f>
        <v>10558</v>
      </c>
      <c r="BU47" s="2081">
        <f>16330-BU43</f>
        <v>10461</v>
      </c>
      <c r="BV47" s="2081">
        <v>10492</v>
      </c>
      <c r="BW47" s="655">
        <f>BV47</f>
        <v>10492</v>
      </c>
      <c r="BX47" s="2081">
        <f>16638-BX43</f>
        <v>11026</v>
      </c>
      <c r="BY47" s="654">
        <f>BX47</f>
        <v>11026</v>
      </c>
      <c r="BZ47" s="2081">
        <f>16170-BZ43</f>
        <v>10737</v>
      </c>
      <c r="CA47" s="2081">
        <f>16430-CA43</f>
        <v>11181</v>
      </c>
      <c r="CB47" s="2081">
        <f>14920-CB43</f>
        <v>11600</v>
      </c>
      <c r="CC47" s="1929">
        <f>CB47-965/16</f>
        <v>11539.6875</v>
      </c>
      <c r="CD47" s="654">
        <f>CC47</f>
        <v>11539.6875</v>
      </c>
      <c r="CE47" s="1929">
        <f>CD47-965/16</f>
        <v>11479.375</v>
      </c>
      <c r="CF47" s="1929">
        <f>CE47-965/16</f>
        <v>11419.0625</v>
      </c>
      <c r="CG47" s="1929">
        <f>CF47-965/16</f>
        <v>11358.75</v>
      </c>
      <c r="CH47" s="1929">
        <f>CG47-965/16</f>
        <v>11298.4375</v>
      </c>
      <c r="CI47" s="654">
        <f>CH47</f>
        <v>11298.4375</v>
      </c>
      <c r="CJ47" s="1930">
        <f>CI47-965/4</f>
        <v>11057.1875</v>
      </c>
      <c r="CK47" s="1930">
        <f>CJ47-965/4</f>
        <v>10815.9375</v>
      </c>
      <c r="CL47" s="1930">
        <f>CK47-965/4</f>
        <v>10574.6875</v>
      </c>
      <c r="CM47" s="509"/>
      <c r="CN47" s="509"/>
    </row>
    <row r="48" spans="1:92">
      <c r="A48" s="485"/>
      <c r="B48" s="485"/>
      <c r="C48" s="653" t="s">
        <v>375</v>
      </c>
      <c r="D48" s="485"/>
      <c r="E48" s="485"/>
      <c r="F48" s="347"/>
      <c r="G48" s="347"/>
      <c r="H48" s="347"/>
      <c r="I48" s="364">
        <v>7861</v>
      </c>
      <c r="J48" s="364">
        <v>9679</v>
      </c>
      <c r="K48" s="364">
        <v>12243</v>
      </c>
      <c r="L48" s="364">
        <v>11937</v>
      </c>
      <c r="M48" s="365">
        <v>11829</v>
      </c>
      <c r="N48" s="365">
        <v>11999</v>
      </c>
      <c r="O48" s="365">
        <v>12086</v>
      </c>
      <c r="P48" s="365">
        <v>12170</v>
      </c>
      <c r="Q48" s="364">
        <v>12170</v>
      </c>
      <c r="R48" s="365">
        <v>12155</v>
      </c>
      <c r="S48" s="365">
        <v>14408</v>
      </c>
      <c r="T48" s="365">
        <v>14585</v>
      </c>
      <c r="U48" s="365">
        <v>12811</v>
      </c>
      <c r="V48" s="364">
        <v>12811</v>
      </c>
      <c r="W48" s="365">
        <f>SUM(W42:W47)</f>
        <v>12880</v>
      </c>
      <c r="X48" s="365">
        <f>SUM(X42:X47)</f>
        <v>14152</v>
      </c>
      <c r="Y48" s="365">
        <f>SUM(Y42:Y47)</f>
        <v>14390</v>
      </c>
      <c r="Z48" s="365">
        <f>AA48</f>
        <v>13800</v>
      </c>
      <c r="AA48" s="364">
        <f>SUM(AA42:AA47)</f>
        <v>13800</v>
      </c>
      <c r="AB48" s="365">
        <f>SUM(AB42:AB47)</f>
        <v>13515</v>
      </c>
      <c r="AC48" s="365">
        <f>SUM(AC42:AC47)</f>
        <v>13506</v>
      </c>
      <c r="AD48" s="365">
        <f>SUM(AD42:AD47)</f>
        <v>13721</v>
      </c>
      <c r="AE48" s="652">
        <f>SUM(AE42:AE47)</f>
        <v>14839</v>
      </c>
      <c r="AF48" s="364">
        <f>AE48</f>
        <v>14839</v>
      </c>
      <c r="AG48" s="365">
        <f>SUM(AG42:AG47)</f>
        <v>14878</v>
      </c>
      <c r="AH48" s="365">
        <f>SUM(AH42:AH47)</f>
        <v>15112</v>
      </c>
      <c r="AI48" s="365">
        <f>SUM(AI42:AI47)</f>
        <v>14908</v>
      </c>
      <c r="AJ48" s="652">
        <f>SUM(AJ42:AJ47)</f>
        <v>20109</v>
      </c>
      <c r="AK48" s="364">
        <f>AJ48</f>
        <v>20109</v>
      </c>
      <c r="AL48" s="365">
        <f>SUM(AL42:AL47)</f>
        <v>20073</v>
      </c>
      <c r="AM48" s="365">
        <f>SUM(AM42:AM47)</f>
        <v>19568</v>
      </c>
      <c r="AN48" s="365">
        <f>SUM(AN42:AN47)</f>
        <v>19731</v>
      </c>
      <c r="AO48" s="652">
        <f>SUM(AO42:AO47)</f>
        <v>16461</v>
      </c>
      <c r="AP48" s="364">
        <f>AO48</f>
        <v>16461</v>
      </c>
      <c r="AQ48" s="365">
        <f>SUM(AQ42:AQ47)</f>
        <v>18417</v>
      </c>
      <c r="AR48" s="365">
        <f>SUM(AR42:AR47)</f>
        <v>18355</v>
      </c>
      <c r="AS48" s="365">
        <f>SUM(AS42:AS47)</f>
        <v>18458</v>
      </c>
      <c r="AT48" s="652">
        <f>SUM(AT42:AT47)</f>
        <v>18112</v>
      </c>
      <c r="AU48" s="364">
        <f>AT48</f>
        <v>18112</v>
      </c>
      <c r="AV48" s="365">
        <f>SUM(AV42:AV47)</f>
        <v>18303</v>
      </c>
      <c r="AW48" s="365">
        <f>SUM(AW42:AW47)</f>
        <v>17846</v>
      </c>
      <c r="AX48" s="365">
        <f>SUM(AX42:AX47)</f>
        <v>17969</v>
      </c>
      <c r="AY48" s="652">
        <f>SUM(AY42:AY47)</f>
        <v>19658</v>
      </c>
      <c r="AZ48" s="364">
        <f>AY48</f>
        <v>19658</v>
      </c>
      <c r="BA48" s="365">
        <f t="shared" ref="BA48:BY48" si="37">SUM(BA42:BA47)</f>
        <v>19602</v>
      </c>
      <c r="BB48" s="365">
        <f t="shared" si="37"/>
        <v>30897</v>
      </c>
      <c r="BC48" s="365">
        <f t="shared" si="37"/>
        <v>39170</v>
      </c>
      <c r="BD48" s="365">
        <f t="shared" si="37"/>
        <v>38316</v>
      </c>
      <c r="BE48" s="364">
        <f t="shared" si="37"/>
        <v>38316</v>
      </c>
      <c r="BF48" s="365">
        <f t="shared" si="37"/>
        <v>38136</v>
      </c>
      <c r="BG48" s="365">
        <f t="shared" si="37"/>
        <v>37037</v>
      </c>
      <c r="BH48" s="365">
        <f t="shared" si="37"/>
        <v>36764</v>
      </c>
      <c r="BI48" s="365">
        <f t="shared" si="37"/>
        <v>34464</v>
      </c>
      <c r="BJ48" s="364">
        <f t="shared" si="37"/>
        <v>34464</v>
      </c>
      <c r="BK48" s="365">
        <f t="shared" si="37"/>
        <v>34466</v>
      </c>
      <c r="BL48" s="365">
        <f t="shared" si="37"/>
        <v>32473</v>
      </c>
      <c r="BM48" s="365">
        <f t="shared" si="37"/>
        <v>32336</v>
      </c>
      <c r="BN48" s="365">
        <f t="shared" si="37"/>
        <v>35690</v>
      </c>
      <c r="BO48" s="364">
        <f t="shared" si="37"/>
        <v>35690</v>
      </c>
      <c r="BP48" s="365">
        <f t="shared" si="37"/>
        <v>35296</v>
      </c>
      <c r="BQ48" s="365">
        <f t="shared" si="37"/>
        <v>36972</v>
      </c>
      <c r="BR48" s="365">
        <f t="shared" si="37"/>
        <v>36263</v>
      </c>
      <c r="BS48" s="365">
        <f t="shared" si="37"/>
        <v>35900</v>
      </c>
      <c r="BT48" s="364">
        <f t="shared" si="37"/>
        <v>35900</v>
      </c>
      <c r="BU48" s="365">
        <f t="shared" si="37"/>
        <v>38018</v>
      </c>
      <c r="BV48" s="365">
        <f t="shared" si="37"/>
        <v>36335</v>
      </c>
      <c r="BW48" s="365">
        <f t="shared" si="37"/>
        <v>36442</v>
      </c>
      <c r="BX48" s="365">
        <f t="shared" si="37"/>
        <v>38335</v>
      </c>
      <c r="BY48" s="364">
        <f t="shared" si="37"/>
        <v>38335</v>
      </c>
      <c r="BZ48" s="365">
        <f t="shared" ref="BZ48:CH48" si="38">SUM(BZ42:BZ47)</f>
        <v>37068</v>
      </c>
      <c r="CA48" s="365">
        <f t="shared" si="38"/>
        <v>40313</v>
      </c>
      <c r="CB48" s="365">
        <f t="shared" si="38"/>
        <v>38983</v>
      </c>
      <c r="CC48" s="365">
        <f t="shared" si="38"/>
        <v>38872.6875</v>
      </c>
      <c r="CD48" s="364">
        <f t="shared" si="38"/>
        <v>38872.6875</v>
      </c>
      <c r="CE48" s="365">
        <f t="shared" si="38"/>
        <v>39762.375</v>
      </c>
      <c r="CF48" s="365">
        <f t="shared" si="38"/>
        <v>40652.0625</v>
      </c>
      <c r="CG48" s="365">
        <f t="shared" si="38"/>
        <v>40541.75</v>
      </c>
      <c r="CH48" s="365">
        <f t="shared" si="38"/>
        <v>40431.4375</v>
      </c>
      <c r="CI48" s="364">
        <f t="shared" ref="CI48" si="39">SUM(CI42:CI47)</f>
        <v>40431.4375</v>
      </c>
      <c r="CJ48" s="364">
        <f>SUM(CJ42:CJ47)</f>
        <v>39990.1875</v>
      </c>
      <c r="CK48" s="364">
        <f>SUM(CK42:CK47)</f>
        <v>39548.9375</v>
      </c>
      <c r="CL48" s="364">
        <f>SUM(CL42:CL47)</f>
        <v>39107.6875</v>
      </c>
      <c r="CM48" s="509"/>
      <c r="CN48" s="509"/>
    </row>
    <row r="49" spans="1:92">
      <c r="A49" s="485"/>
      <c r="B49" s="685"/>
      <c r="C49" s="349"/>
      <c r="D49" s="349"/>
      <c r="E49" s="349"/>
      <c r="F49" s="684"/>
      <c r="G49" s="684"/>
      <c r="H49" s="684"/>
      <c r="I49" s="679"/>
      <c r="J49" s="679"/>
      <c r="K49" s="679"/>
      <c r="L49" s="679"/>
      <c r="M49" s="681"/>
      <c r="N49" s="681"/>
      <c r="O49" s="681"/>
      <c r="P49" s="681"/>
      <c r="Q49" s="679" t="s">
        <v>288</v>
      </c>
      <c r="R49" s="681"/>
      <c r="S49" s="681"/>
      <c r="T49" s="681"/>
      <c r="U49" s="681"/>
      <c r="V49" s="679"/>
      <c r="W49" s="681"/>
      <c r="X49" s="681"/>
      <c r="Y49" s="681"/>
      <c r="Z49" s="681"/>
      <c r="AA49" s="679"/>
      <c r="AB49" s="681"/>
      <c r="AC49" s="681"/>
      <c r="AD49" s="681"/>
      <c r="AE49" s="682"/>
      <c r="AF49" s="679"/>
      <c r="AG49" s="681"/>
      <c r="AH49" s="681"/>
      <c r="AI49" s="680"/>
      <c r="AJ49" s="683"/>
      <c r="AK49" s="679"/>
      <c r="AL49" s="680"/>
      <c r="AM49" s="680"/>
      <c r="AN49" s="680"/>
      <c r="AO49" s="682"/>
      <c r="AP49" s="679"/>
      <c r="AQ49" s="680"/>
      <c r="AR49" s="681"/>
      <c r="AS49" s="681"/>
      <c r="AT49" s="682"/>
      <c r="AU49" s="679"/>
      <c r="AV49" s="680"/>
      <c r="AW49" s="681"/>
      <c r="AX49" s="681"/>
      <c r="AY49" s="682"/>
      <c r="AZ49" s="679"/>
      <c r="BA49" s="680"/>
      <c r="BB49" s="681"/>
      <c r="BC49" s="681"/>
      <c r="BD49" s="681"/>
      <c r="BE49" s="679"/>
      <c r="BF49" s="681"/>
      <c r="BG49" s="680"/>
      <c r="BH49" s="680"/>
      <c r="BI49" s="681"/>
      <c r="BJ49" s="679"/>
      <c r="BK49" s="680"/>
      <c r="BL49" s="681"/>
      <c r="BM49" s="680"/>
      <c r="BN49" s="681"/>
      <c r="BO49" s="679"/>
      <c r="BP49" s="680"/>
      <c r="BQ49" s="680"/>
      <c r="BR49" s="681"/>
      <c r="BS49" s="681"/>
      <c r="BT49" s="679"/>
      <c r="BU49" s="680"/>
      <c r="BV49" s="680"/>
      <c r="BW49" s="680"/>
      <c r="BX49" s="680"/>
      <c r="BY49" s="679"/>
      <c r="BZ49" s="680"/>
      <c r="CA49" s="680"/>
      <c r="CB49" s="680"/>
      <c r="CC49" s="680"/>
      <c r="CD49" s="679"/>
      <c r="CE49" s="680"/>
      <c r="CF49" s="680"/>
      <c r="CG49" s="680"/>
      <c r="CH49" s="680"/>
      <c r="CI49" s="679"/>
      <c r="CJ49" s="679"/>
      <c r="CK49" s="679"/>
      <c r="CL49" s="679"/>
      <c r="CM49" s="509"/>
      <c r="CN49" s="509"/>
    </row>
    <row r="50" spans="1:92" ht="13.5" thickBot="1">
      <c r="A50" s="485"/>
      <c r="B50" s="485"/>
      <c r="C50" s="650" t="s">
        <v>231</v>
      </c>
      <c r="D50" s="651"/>
      <c r="E50" s="651"/>
      <c r="F50" s="650"/>
      <c r="G50" s="650"/>
      <c r="H50" s="650"/>
      <c r="I50" s="374">
        <v>17205</v>
      </c>
      <c r="J50" s="374">
        <v>18050</v>
      </c>
      <c r="K50" s="374">
        <v>20146</v>
      </c>
      <c r="L50" s="374">
        <v>22858</v>
      </c>
      <c r="M50" s="375">
        <v>23045</v>
      </c>
      <c r="N50" s="375">
        <v>23400</v>
      </c>
      <c r="O50" s="375">
        <v>23756</v>
      </c>
      <c r="P50" s="375">
        <v>25265</v>
      </c>
      <c r="Q50" s="374">
        <v>25265</v>
      </c>
      <c r="R50" s="375">
        <v>24908</v>
      </c>
      <c r="S50" s="375">
        <v>28595</v>
      </c>
      <c r="T50" s="375">
        <v>29412</v>
      </c>
      <c r="U50" s="375">
        <v>28156</v>
      </c>
      <c r="V50" s="374">
        <v>28156</v>
      </c>
      <c r="W50" s="375">
        <f>W39+W48</f>
        <v>28873</v>
      </c>
      <c r="X50" s="375">
        <f>X39+X48</f>
        <v>29889</v>
      </c>
      <c r="Y50" s="375">
        <f>Y39+Y48</f>
        <v>29812</v>
      </c>
      <c r="Z50" s="375">
        <f>AA50</f>
        <v>29008</v>
      </c>
      <c r="AA50" s="374">
        <f>AA39+AA48</f>
        <v>29008</v>
      </c>
      <c r="AB50" s="375">
        <f>AB39+AB48</f>
        <v>29623</v>
      </c>
      <c r="AC50" s="375">
        <f>AC39+AC48</f>
        <v>30477</v>
      </c>
      <c r="AD50" s="375">
        <f>AD39+AD48</f>
        <v>32355</v>
      </c>
      <c r="AE50" s="649">
        <f>AE39+AE48</f>
        <v>32308</v>
      </c>
      <c r="AF50" s="374">
        <f>AE50</f>
        <v>32308</v>
      </c>
      <c r="AG50" s="375">
        <f>AG39+AG48</f>
        <v>34483</v>
      </c>
      <c r="AH50" s="375">
        <f>AH39+AH48</f>
        <v>35617</v>
      </c>
      <c r="AI50" s="375">
        <f>AI39+AI48</f>
        <v>34765</v>
      </c>
      <c r="AJ50" s="649">
        <f>AJ39+AJ48</f>
        <v>39543</v>
      </c>
      <c r="AK50" s="374">
        <f>AJ50</f>
        <v>39543</v>
      </c>
      <c r="AL50" s="375">
        <f>AL39+AL48</f>
        <v>38012</v>
      </c>
      <c r="AM50" s="375">
        <f>AM39+AM48</f>
        <v>38139</v>
      </c>
      <c r="AN50" s="375">
        <f>AN39+AN48</f>
        <v>37931</v>
      </c>
      <c r="AO50" s="649">
        <f>AO39+AO48</f>
        <v>34374</v>
      </c>
      <c r="AP50" s="374">
        <f>AO50</f>
        <v>34374</v>
      </c>
      <c r="AQ50" s="375">
        <f>AQ39+AQ48</f>
        <v>37087</v>
      </c>
      <c r="AR50" s="375">
        <f>AR39+AR48</f>
        <v>37117</v>
      </c>
      <c r="AS50" s="375">
        <f>AS39+AS48</f>
        <v>38078</v>
      </c>
      <c r="AT50" s="649">
        <f>AT39+AT48</f>
        <v>35844</v>
      </c>
      <c r="AU50" s="374">
        <f>AT50</f>
        <v>35844</v>
      </c>
      <c r="AV50" s="375">
        <f>AV39+AV48</f>
        <v>37219</v>
      </c>
      <c r="AW50" s="375">
        <f>AW39+AW48</f>
        <v>38060</v>
      </c>
      <c r="AX50" s="375">
        <f>AX39+AX48</f>
        <v>38033</v>
      </c>
      <c r="AY50" s="649">
        <f>AY39+AY48</f>
        <v>38274</v>
      </c>
      <c r="AZ50" s="374">
        <f>AY50</f>
        <v>38274</v>
      </c>
      <c r="BA50" s="375">
        <f t="shared" ref="BA50:BY50" si="40">BA39+BA48</f>
        <v>37932</v>
      </c>
      <c r="BB50" s="375">
        <f t="shared" si="40"/>
        <v>50690</v>
      </c>
      <c r="BC50" s="375">
        <f t="shared" si="40"/>
        <v>65622</v>
      </c>
      <c r="BD50" s="375">
        <f t="shared" si="40"/>
        <v>62102</v>
      </c>
      <c r="BE50" s="374">
        <f t="shared" si="40"/>
        <v>62102</v>
      </c>
      <c r="BF50" s="375">
        <f t="shared" si="40"/>
        <v>60695</v>
      </c>
      <c r="BG50" s="375">
        <f t="shared" si="40"/>
        <v>60201</v>
      </c>
      <c r="BH50" s="375">
        <f t="shared" si="40"/>
        <v>60283</v>
      </c>
      <c r="BI50" s="375">
        <f t="shared" si="40"/>
        <v>57264</v>
      </c>
      <c r="BJ50" s="374">
        <f t="shared" si="40"/>
        <v>57264</v>
      </c>
      <c r="BK50" s="375">
        <f t="shared" si="40"/>
        <v>57397</v>
      </c>
      <c r="BL50" s="375">
        <f t="shared" si="40"/>
        <v>56803</v>
      </c>
      <c r="BM50" s="375">
        <f t="shared" si="40"/>
        <v>56244</v>
      </c>
      <c r="BN50" s="375">
        <f t="shared" si="40"/>
        <v>58585</v>
      </c>
      <c r="BO50" s="374">
        <f t="shared" si="40"/>
        <v>58585</v>
      </c>
      <c r="BP50" s="375">
        <f t="shared" si="40"/>
        <v>61025</v>
      </c>
      <c r="BQ50" s="375">
        <f t="shared" si="40"/>
        <v>60701</v>
      </c>
      <c r="BR50" s="375">
        <f t="shared" si="40"/>
        <v>59952</v>
      </c>
      <c r="BS50" s="375">
        <f t="shared" si="40"/>
        <v>58518</v>
      </c>
      <c r="BT50" s="374">
        <f t="shared" si="40"/>
        <v>58518</v>
      </c>
      <c r="BU50" s="375">
        <f t="shared" si="40"/>
        <v>58541</v>
      </c>
      <c r="BV50" s="375">
        <f t="shared" si="40"/>
        <v>58518</v>
      </c>
      <c r="BW50" s="375">
        <f t="shared" si="40"/>
        <v>58983</v>
      </c>
      <c r="BX50" s="375">
        <f t="shared" si="40"/>
        <v>60241</v>
      </c>
      <c r="BY50" s="374">
        <f t="shared" si="40"/>
        <v>60241</v>
      </c>
      <c r="BZ50" s="375">
        <f t="shared" ref="BZ50:CH50" si="41">BZ39+BZ48</f>
        <v>60794</v>
      </c>
      <c r="CA50" s="375">
        <f t="shared" si="41"/>
        <v>64232</v>
      </c>
      <c r="CB50" s="375">
        <f t="shared" si="41"/>
        <v>64232</v>
      </c>
      <c r="CC50" s="375">
        <f t="shared" si="41"/>
        <v>63198.373262630863</v>
      </c>
      <c r="CD50" s="374">
        <f t="shared" si="41"/>
        <v>63198.373262630863</v>
      </c>
      <c r="CE50" s="375">
        <f t="shared" si="41"/>
        <v>63189.832551632731</v>
      </c>
      <c r="CF50" s="375">
        <f t="shared" si="41"/>
        <v>66339.706328345521</v>
      </c>
      <c r="CG50" s="375">
        <f t="shared" si="41"/>
        <v>65324.063904169889</v>
      </c>
      <c r="CH50" s="375">
        <f t="shared" si="41"/>
        <v>64713.363162775931</v>
      </c>
      <c r="CI50" s="374">
        <f t="shared" ref="CI50" si="42">CI39+CI48</f>
        <v>64713.363162775931</v>
      </c>
      <c r="CJ50" s="374">
        <f>CJ39+CJ48</f>
        <v>64044.157456703848</v>
      </c>
      <c r="CK50" s="374">
        <f>CK39+CK48</f>
        <v>63979.706093794986</v>
      </c>
      <c r="CL50" s="374">
        <f>CL39+CL48</f>
        <v>63782.213486945773</v>
      </c>
      <c r="CM50" s="509"/>
      <c r="CN50" s="509"/>
    </row>
    <row r="51" spans="1:92" ht="13.5" thickTop="1">
      <c r="A51" s="485"/>
      <c r="B51" s="485"/>
      <c r="C51" s="485"/>
      <c r="D51" s="485"/>
      <c r="E51" s="485"/>
      <c r="F51" s="485"/>
      <c r="G51" s="485"/>
      <c r="H51" s="485"/>
      <c r="I51" s="383"/>
      <c r="J51" s="383"/>
      <c r="K51" s="383"/>
      <c r="L51" s="383"/>
      <c r="M51" s="384"/>
      <c r="N51" s="384"/>
      <c r="O51" s="384"/>
      <c r="P51" s="384"/>
      <c r="Q51" s="383"/>
      <c r="R51" s="384"/>
      <c r="S51" s="384"/>
      <c r="T51" s="384"/>
      <c r="U51" s="384"/>
      <c r="V51" s="383"/>
      <c r="W51" s="384"/>
      <c r="X51" s="384"/>
      <c r="Y51" s="384"/>
      <c r="Z51" s="384"/>
      <c r="AA51" s="383"/>
      <c r="AB51" s="384"/>
      <c r="AC51" s="384"/>
      <c r="AD51" s="384"/>
      <c r="AE51" s="390"/>
      <c r="AF51" s="383"/>
      <c r="AG51" s="384"/>
      <c r="AH51" s="384"/>
      <c r="AI51" s="384"/>
      <c r="AJ51" s="390"/>
      <c r="AK51" s="383"/>
      <c r="AL51" s="384"/>
      <c r="AM51" s="384"/>
      <c r="AN51" s="384"/>
      <c r="AO51" s="390"/>
      <c r="AP51" s="383"/>
      <c r="AQ51" s="384"/>
      <c r="AR51" s="384"/>
      <c r="AS51" s="384"/>
      <c r="AT51" s="390"/>
      <c r="AU51" s="383"/>
      <c r="AV51" s="384"/>
      <c r="AW51" s="384"/>
      <c r="AX51" s="384"/>
      <c r="AY51" s="390"/>
      <c r="AZ51" s="383"/>
      <c r="BA51" s="384"/>
      <c r="BB51" s="384"/>
      <c r="BC51" s="384"/>
      <c r="BD51" s="384"/>
      <c r="BE51" s="383"/>
      <c r="BF51" s="384"/>
      <c r="BG51" s="384"/>
      <c r="BH51" s="384"/>
      <c r="BI51" s="384"/>
      <c r="BJ51" s="383"/>
      <c r="BK51" s="384"/>
      <c r="BL51" s="384"/>
      <c r="BM51" s="384"/>
      <c r="BN51" s="384"/>
      <c r="BO51" s="383"/>
      <c r="BP51" s="384"/>
      <c r="BQ51" s="384"/>
      <c r="BR51" s="384"/>
      <c r="BS51" s="384"/>
      <c r="BT51" s="383"/>
      <c r="BU51" s="384"/>
      <c r="BV51" s="384"/>
      <c r="BW51" s="384"/>
      <c r="BX51" s="384"/>
      <c r="BY51" s="383"/>
      <c r="BZ51" s="384"/>
      <c r="CA51" s="384"/>
      <c r="CB51" s="384"/>
      <c r="CC51" s="384"/>
      <c r="CD51" s="383"/>
      <c r="CE51" s="384"/>
      <c r="CF51" s="384"/>
      <c r="CG51" s="384"/>
      <c r="CH51" s="384"/>
      <c r="CI51" s="383"/>
      <c r="CJ51" s="383"/>
      <c r="CK51" s="383"/>
      <c r="CL51" s="383"/>
      <c r="CM51" s="509"/>
      <c r="CN51" s="509"/>
    </row>
    <row r="52" spans="1:92">
      <c r="A52" s="678"/>
      <c r="B52" s="678"/>
      <c r="C52" s="485" t="s">
        <v>144</v>
      </c>
      <c r="D52" s="678"/>
      <c r="E52" s="485"/>
      <c r="F52" s="485"/>
      <c r="G52" s="485"/>
      <c r="H52" s="485"/>
      <c r="I52" s="676">
        <v>497</v>
      </c>
      <c r="J52" s="676">
        <v>550</v>
      </c>
      <c r="K52" s="676">
        <v>589</v>
      </c>
      <c r="L52" s="676">
        <v>709</v>
      </c>
      <c r="M52" s="384">
        <v>798</v>
      </c>
      <c r="N52" s="384">
        <v>812</v>
      </c>
      <c r="O52" s="384">
        <v>837</v>
      </c>
      <c r="P52" s="384">
        <v>910</v>
      </c>
      <c r="Q52" s="676">
        <v>910</v>
      </c>
      <c r="R52" s="384">
        <v>927</v>
      </c>
      <c r="S52" s="384">
        <v>922</v>
      </c>
      <c r="T52" s="384">
        <v>912</v>
      </c>
      <c r="U52" s="384">
        <v>778</v>
      </c>
      <c r="V52" s="676">
        <v>778</v>
      </c>
      <c r="W52" s="384">
        <v>801</v>
      </c>
      <c r="X52" s="384">
        <v>829</v>
      </c>
      <c r="Y52" s="384">
        <v>850</v>
      </c>
      <c r="Z52" s="384">
        <f>AA52</f>
        <v>836</v>
      </c>
      <c r="AA52" s="676">
        <v>836</v>
      </c>
      <c r="AB52" s="384">
        <v>854</v>
      </c>
      <c r="AC52" s="384">
        <v>885</v>
      </c>
      <c r="AD52" s="384">
        <v>864</v>
      </c>
      <c r="AE52" s="390">
        <v>912</v>
      </c>
      <c r="AF52" s="676">
        <f>AE52</f>
        <v>912</v>
      </c>
      <c r="AG52" s="384">
        <v>984</v>
      </c>
      <c r="AH52" s="384">
        <v>957</v>
      </c>
      <c r="AI52" s="384">
        <v>962</v>
      </c>
      <c r="AJ52" s="390">
        <v>1009</v>
      </c>
      <c r="AK52" s="676">
        <f>AJ52</f>
        <v>1009</v>
      </c>
      <c r="AL52" s="384">
        <v>973</v>
      </c>
      <c r="AM52" s="384">
        <v>1027</v>
      </c>
      <c r="AN52" s="384">
        <v>1157</v>
      </c>
      <c r="AO52" s="390">
        <f>389+933</f>
        <v>1322</v>
      </c>
      <c r="AP52" s="676">
        <f>AO52</f>
        <v>1322</v>
      </c>
      <c r="AQ52" s="384">
        <f>377+960</f>
        <v>1337</v>
      </c>
      <c r="AR52" s="384">
        <f>311+982</f>
        <v>1293</v>
      </c>
      <c r="AS52" s="384">
        <f>318+999</f>
        <v>1317</v>
      </c>
      <c r="AT52" s="390">
        <f>317+947</f>
        <v>1264</v>
      </c>
      <c r="AU52" s="676">
        <f>AT52</f>
        <v>1264</v>
      </c>
      <c r="AV52" s="384">
        <f>319+1000</f>
        <v>1319</v>
      </c>
      <c r="AW52" s="384">
        <f>348+1016</f>
        <v>1364</v>
      </c>
      <c r="AX52" s="384">
        <f>327+998</f>
        <v>1325</v>
      </c>
      <c r="AY52" s="390">
        <f>358+940</f>
        <v>1298</v>
      </c>
      <c r="AZ52" s="676">
        <f>AY52</f>
        <v>1298</v>
      </c>
      <c r="BA52" s="384">
        <f>243+1057</f>
        <v>1300</v>
      </c>
      <c r="BB52" s="384">
        <f>238+1121</f>
        <v>1359</v>
      </c>
      <c r="BC52" s="384">
        <f>233+1136</f>
        <v>1369</v>
      </c>
      <c r="BD52" s="384">
        <f>1155+238</f>
        <v>1393</v>
      </c>
      <c r="BE52" s="676">
        <f>BD52</f>
        <v>1393</v>
      </c>
      <c r="BF52" s="384">
        <f>1369+255</f>
        <v>1624</v>
      </c>
      <c r="BG52" s="384">
        <f>1382+174</f>
        <v>1556</v>
      </c>
      <c r="BH52" s="384">
        <f>124+1342</f>
        <v>1466</v>
      </c>
      <c r="BI52" s="384">
        <f>1353+111</f>
        <v>1464</v>
      </c>
      <c r="BJ52" s="383">
        <f>BI52</f>
        <v>1464</v>
      </c>
      <c r="BK52" s="384">
        <f>137+1378</f>
        <v>1515</v>
      </c>
      <c r="BL52" s="384">
        <f>1408+146</f>
        <v>1554</v>
      </c>
      <c r="BM52" s="384">
        <f>1340+141</f>
        <v>1481</v>
      </c>
      <c r="BN52" s="677">
        <f>1351+140</f>
        <v>1491</v>
      </c>
      <c r="BO52" s="676">
        <f>BN52</f>
        <v>1491</v>
      </c>
      <c r="BP52" s="386">
        <f>1517+135</f>
        <v>1652</v>
      </c>
      <c r="BQ52" s="386">
        <f>1561+134</f>
        <v>1695</v>
      </c>
      <c r="BR52" s="384">
        <f>1526+132</f>
        <v>1658</v>
      </c>
      <c r="BS52" s="384">
        <f>1486+122</f>
        <v>1608</v>
      </c>
      <c r="BT52" s="676">
        <f>BS52</f>
        <v>1608</v>
      </c>
      <c r="BU52" s="2084">
        <f>1550+127</f>
        <v>1677</v>
      </c>
      <c r="BV52" s="2084">
        <f>1558+314</f>
        <v>1872</v>
      </c>
      <c r="BW52" s="2084">
        <f>1577+315</f>
        <v>1892</v>
      </c>
      <c r="BX52" s="2084">
        <f>1590+296</f>
        <v>1886</v>
      </c>
      <c r="BY52" s="676">
        <f>BX52</f>
        <v>1886</v>
      </c>
      <c r="BZ52" s="2084">
        <f>307+1678</f>
        <v>1985</v>
      </c>
      <c r="CA52" s="2084">
        <f>406+1713</f>
        <v>2119</v>
      </c>
      <c r="CB52" s="2084">
        <f>1810+429</f>
        <v>2239</v>
      </c>
      <c r="CC52" s="386">
        <f>CB52+CF!CB14</f>
        <v>2335.9791853908923</v>
      </c>
      <c r="CD52" s="676">
        <f>CC52</f>
        <v>2335.9791853908923</v>
      </c>
      <c r="CE52" s="386">
        <f>CD52+CF!CD14</f>
        <v>2420.4313634249725</v>
      </c>
      <c r="CF52" s="386">
        <f>CE52+CF!CE14</f>
        <v>2516.0622057251312</v>
      </c>
      <c r="CG52" s="386">
        <f>CF52+CF!CF14</f>
        <v>2624.5793099289499</v>
      </c>
      <c r="CH52" s="386">
        <f>CG52+CF!CG14</f>
        <v>2721.2216676070088</v>
      </c>
      <c r="CI52" s="676">
        <f>CH52</f>
        <v>2721.2216676070088</v>
      </c>
      <c r="CJ52" s="676">
        <f>CI52+CF!CI14</f>
        <v>3119.1045388626981</v>
      </c>
      <c r="CK52" s="676">
        <f>CJ52+CF!CJ14</f>
        <v>3530.4923170849643</v>
      </c>
      <c r="CL52" s="676">
        <f>CK52+CF!CK14</f>
        <v>3947.3486820256635</v>
      </c>
      <c r="CM52" s="509"/>
      <c r="CN52" s="509"/>
    </row>
    <row r="53" spans="1:92">
      <c r="A53" s="485"/>
      <c r="B53" s="485"/>
      <c r="C53" s="485"/>
      <c r="D53" s="485"/>
      <c r="E53" s="485"/>
      <c r="F53" s="485"/>
      <c r="G53" s="485"/>
      <c r="H53" s="485"/>
      <c r="I53" s="383"/>
      <c r="J53" s="383"/>
      <c r="K53" s="383"/>
      <c r="L53" s="383"/>
      <c r="M53" s="384"/>
      <c r="N53" s="384"/>
      <c r="O53" s="384"/>
      <c r="P53" s="384"/>
      <c r="Q53" s="383"/>
      <c r="R53" s="384"/>
      <c r="S53" s="384"/>
      <c r="T53" s="384"/>
      <c r="U53" s="384"/>
      <c r="V53" s="383"/>
      <c r="W53" s="384"/>
      <c r="X53" s="384"/>
      <c r="Y53" s="384"/>
      <c r="Z53" s="384"/>
      <c r="AA53" s="383"/>
      <c r="AB53" s="384"/>
      <c r="AC53" s="384"/>
      <c r="AD53" s="384"/>
      <c r="AE53" s="390"/>
      <c r="AF53" s="383"/>
      <c r="AG53" s="384"/>
      <c r="AH53" s="384"/>
      <c r="AI53" s="384"/>
      <c r="AJ53" s="390"/>
      <c r="AK53" s="383"/>
      <c r="AL53" s="384"/>
      <c r="AM53" s="384"/>
      <c r="AN53" s="384"/>
      <c r="AO53" s="390"/>
      <c r="AP53" s="383"/>
      <c r="AQ53" s="384"/>
      <c r="AR53" s="384"/>
      <c r="AS53" s="384"/>
      <c r="AT53" s="390"/>
      <c r="AU53" s="383"/>
      <c r="AV53" s="384"/>
      <c r="AW53" s="384"/>
      <c r="AX53" s="384"/>
      <c r="AY53" s="390"/>
      <c r="AZ53" s="383"/>
      <c r="BA53" s="384"/>
      <c r="BB53" s="384"/>
      <c r="BC53" s="384"/>
      <c r="BD53" s="384"/>
      <c r="BE53" s="383"/>
      <c r="BF53" s="384"/>
      <c r="BG53" s="384"/>
      <c r="BH53" s="384"/>
      <c r="BI53" s="384"/>
      <c r="BJ53" s="383"/>
      <c r="BK53" s="384"/>
      <c r="BL53" s="384"/>
      <c r="BM53" s="384"/>
      <c r="BN53" s="384"/>
      <c r="BO53" s="383"/>
      <c r="BP53" s="384"/>
      <c r="BQ53" s="384"/>
      <c r="BR53" s="384"/>
      <c r="BS53" s="384"/>
      <c r="BT53" s="383"/>
      <c r="BU53" s="384"/>
      <c r="BV53" s="384"/>
      <c r="BW53" s="384"/>
      <c r="BX53" s="384"/>
      <c r="BY53" s="383"/>
      <c r="BZ53" s="384"/>
      <c r="CA53" s="384"/>
      <c r="CB53" s="384"/>
      <c r="CC53" s="384"/>
      <c r="CD53" s="383"/>
      <c r="CE53" s="384"/>
      <c r="CF53" s="384"/>
      <c r="CG53" s="384"/>
      <c r="CH53" s="384"/>
      <c r="CI53" s="383"/>
      <c r="CJ53" s="383"/>
      <c r="CK53" s="383"/>
      <c r="CL53" s="383"/>
      <c r="CM53" s="509"/>
      <c r="CN53" s="509"/>
    </row>
    <row r="54" spans="1:92">
      <c r="A54" s="485"/>
      <c r="B54" s="485"/>
      <c r="C54" s="552" t="s">
        <v>374</v>
      </c>
      <c r="D54" s="485"/>
      <c r="E54" s="485"/>
      <c r="F54" s="485"/>
      <c r="G54" s="485"/>
      <c r="H54" s="485"/>
      <c r="I54" s="383"/>
      <c r="J54" s="383"/>
      <c r="K54" s="383"/>
      <c r="L54" s="383"/>
      <c r="M54" s="384"/>
      <c r="N54" s="384"/>
      <c r="O54" s="384"/>
      <c r="P54" s="384"/>
      <c r="Q54" s="383"/>
      <c r="R54" s="384"/>
      <c r="S54" s="384"/>
      <c r="T54" s="384"/>
      <c r="U54" s="384"/>
      <c r="V54" s="383"/>
      <c r="W54" s="384"/>
      <c r="X54" s="384"/>
      <c r="Y54" s="384"/>
      <c r="Z54" s="384"/>
      <c r="AA54" s="383"/>
      <c r="AB54" s="384"/>
      <c r="AC54" s="384"/>
      <c r="AD54" s="384"/>
      <c r="AE54" s="390"/>
      <c r="AF54" s="383"/>
      <c r="AG54" s="384"/>
      <c r="AH54" s="384"/>
      <c r="AI54" s="384"/>
      <c r="AJ54" s="390"/>
      <c r="AK54" s="383"/>
      <c r="AL54" s="384"/>
      <c r="AM54" s="384"/>
      <c r="AN54" s="384"/>
      <c r="AO54" s="390"/>
      <c r="AP54" s="383"/>
      <c r="AQ54" s="384"/>
      <c r="AR54" s="384"/>
      <c r="AS54" s="384"/>
      <c r="AT54" s="390"/>
      <c r="AU54" s="383"/>
      <c r="AV54" s="384"/>
      <c r="AW54" s="384"/>
      <c r="AX54" s="384"/>
      <c r="AY54" s="390"/>
      <c r="AZ54" s="383"/>
      <c r="BA54" s="384"/>
      <c r="BB54" s="384"/>
      <c r="BC54" s="384"/>
      <c r="BD54" s="384"/>
      <c r="BE54" s="383"/>
      <c r="BF54" s="384"/>
      <c r="BG54" s="384"/>
      <c r="BH54" s="384"/>
      <c r="BI54" s="384"/>
      <c r="BJ54" s="383"/>
      <c r="BK54" s="384"/>
      <c r="BL54" s="384"/>
      <c r="BM54" s="384"/>
      <c r="BN54" s="384"/>
      <c r="BO54" s="383"/>
      <c r="BP54" s="384"/>
      <c r="BQ54" s="384"/>
      <c r="BR54" s="384"/>
      <c r="BS54" s="384"/>
      <c r="BT54" s="383"/>
      <c r="BU54" s="384"/>
      <c r="BV54" s="384"/>
      <c r="BW54" s="384"/>
      <c r="BX54" s="384"/>
      <c r="BY54" s="383"/>
      <c r="BZ54" s="384"/>
      <c r="CA54" s="384"/>
      <c r="CB54" s="384"/>
      <c r="CC54" s="384"/>
      <c r="CD54" s="383"/>
      <c r="CE54" s="384"/>
      <c r="CF54" s="384"/>
      <c r="CG54" s="384"/>
      <c r="CH54" s="384"/>
      <c r="CI54" s="383"/>
      <c r="CJ54" s="383"/>
      <c r="CK54" s="383"/>
      <c r="CL54" s="383"/>
      <c r="CM54" s="509"/>
      <c r="CN54" s="509"/>
    </row>
    <row r="55" spans="1:92">
      <c r="A55" s="485"/>
      <c r="B55" s="485"/>
      <c r="C55" s="665" t="s">
        <v>373</v>
      </c>
      <c r="D55" s="485"/>
      <c r="E55" s="485"/>
      <c r="F55" s="485"/>
      <c r="G55" s="485"/>
      <c r="H55" s="485"/>
      <c r="I55" s="670">
        <v>0</v>
      </c>
      <c r="J55" s="670">
        <v>0</v>
      </c>
      <c r="K55" s="670">
        <v>0</v>
      </c>
      <c r="L55" s="670">
        <v>0</v>
      </c>
      <c r="M55" s="675">
        <v>0</v>
      </c>
      <c r="N55" s="675">
        <v>0</v>
      </c>
      <c r="O55" s="675">
        <v>0</v>
      </c>
      <c r="P55" s="675">
        <v>0</v>
      </c>
      <c r="Q55" s="670">
        <v>0</v>
      </c>
      <c r="R55" s="675">
        <v>0</v>
      </c>
      <c r="S55" s="675">
        <v>0</v>
      </c>
      <c r="T55" s="675">
        <v>0</v>
      </c>
      <c r="U55" s="675">
        <v>0</v>
      </c>
      <c r="V55" s="670">
        <v>0</v>
      </c>
      <c r="W55" s="675">
        <v>0</v>
      </c>
      <c r="X55" s="675">
        <v>0</v>
      </c>
      <c r="Y55" s="675">
        <v>0</v>
      </c>
      <c r="Z55" s="675">
        <f>AA55</f>
        <v>0</v>
      </c>
      <c r="AA55" s="670">
        <v>0</v>
      </c>
      <c r="AB55" s="675">
        <v>0</v>
      </c>
      <c r="AC55" s="675">
        <v>0</v>
      </c>
      <c r="AD55" s="675">
        <v>0</v>
      </c>
      <c r="AE55" s="673">
        <v>0</v>
      </c>
      <c r="AF55" s="670">
        <f>AE55</f>
        <v>0</v>
      </c>
      <c r="AG55" s="675">
        <v>0</v>
      </c>
      <c r="AH55" s="675">
        <v>0</v>
      </c>
      <c r="AI55" s="675">
        <v>0</v>
      </c>
      <c r="AJ55" s="673">
        <v>0</v>
      </c>
      <c r="AK55" s="671">
        <f>AJ55</f>
        <v>0</v>
      </c>
      <c r="AL55" s="675">
        <v>0</v>
      </c>
      <c r="AM55" s="675">
        <v>0</v>
      </c>
      <c r="AN55" s="675">
        <v>0</v>
      </c>
      <c r="AO55" s="673">
        <v>0</v>
      </c>
      <c r="AP55" s="671">
        <f>AO55</f>
        <v>0</v>
      </c>
      <c r="AQ55" s="675">
        <v>0</v>
      </c>
      <c r="AR55" s="675">
        <v>0</v>
      </c>
      <c r="AS55" s="675">
        <v>0</v>
      </c>
      <c r="AT55" s="673">
        <v>0</v>
      </c>
      <c r="AU55" s="671">
        <f>AT55</f>
        <v>0</v>
      </c>
      <c r="AV55" s="675">
        <v>0</v>
      </c>
      <c r="AW55" s="675">
        <v>0</v>
      </c>
      <c r="AX55" s="675">
        <v>0</v>
      </c>
      <c r="AY55" s="673">
        <v>0</v>
      </c>
      <c r="AZ55" s="671">
        <f>AY55</f>
        <v>0</v>
      </c>
      <c r="BA55" s="675">
        <v>0</v>
      </c>
      <c r="BB55" s="675">
        <v>0</v>
      </c>
      <c r="BC55" s="675">
        <v>0</v>
      </c>
      <c r="BD55" s="675">
        <v>0</v>
      </c>
      <c r="BE55" s="671">
        <f>BD55</f>
        <v>0</v>
      </c>
      <c r="BF55" s="675">
        <v>0</v>
      </c>
      <c r="BG55" s="675">
        <v>0</v>
      </c>
      <c r="BH55" s="675">
        <v>0</v>
      </c>
      <c r="BI55" s="675">
        <v>0</v>
      </c>
      <c r="BJ55" s="671">
        <f>BI55</f>
        <v>0</v>
      </c>
      <c r="BK55" s="675">
        <v>0</v>
      </c>
      <c r="BL55" s="675">
        <v>0</v>
      </c>
      <c r="BM55" s="675">
        <v>0</v>
      </c>
      <c r="BN55" s="674">
        <v>0</v>
      </c>
      <c r="BO55" s="671">
        <f>BN55</f>
        <v>0</v>
      </c>
      <c r="BP55" s="673">
        <v>0</v>
      </c>
      <c r="BQ55" s="673">
        <v>0</v>
      </c>
      <c r="BR55" s="675">
        <v>0</v>
      </c>
      <c r="BS55" s="675">
        <v>0</v>
      </c>
      <c r="BT55" s="671">
        <f>BS55</f>
        <v>0</v>
      </c>
      <c r="BU55" s="672">
        <v>0</v>
      </c>
      <c r="BV55" s="672">
        <v>0</v>
      </c>
      <c r="BW55" s="672">
        <v>0</v>
      </c>
      <c r="BX55" s="672">
        <v>0</v>
      </c>
      <c r="BY55" s="671">
        <f>BX55</f>
        <v>0</v>
      </c>
      <c r="BZ55" s="672">
        <v>0</v>
      </c>
      <c r="CA55" s="672">
        <v>0</v>
      </c>
      <c r="CB55" s="672">
        <v>0</v>
      </c>
      <c r="CC55" s="672">
        <v>0</v>
      </c>
      <c r="CD55" s="671">
        <f>CC55</f>
        <v>0</v>
      </c>
      <c r="CE55" s="672">
        <v>0</v>
      </c>
      <c r="CF55" s="672">
        <v>0</v>
      </c>
      <c r="CG55" s="672">
        <v>0</v>
      </c>
      <c r="CH55" s="672">
        <v>0</v>
      </c>
      <c r="CI55" s="671">
        <f>CH55</f>
        <v>0</v>
      </c>
      <c r="CJ55" s="670">
        <v>0</v>
      </c>
      <c r="CK55" s="670">
        <v>0</v>
      </c>
      <c r="CL55" s="670">
        <v>0</v>
      </c>
      <c r="CM55" s="509"/>
      <c r="CN55" s="509"/>
    </row>
    <row r="56" spans="1:92">
      <c r="A56" s="485"/>
      <c r="B56" s="485"/>
      <c r="C56" s="665" t="s">
        <v>229</v>
      </c>
      <c r="D56" s="485"/>
      <c r="E56" s="485"/>
      <c r="F56" s="485"/>
      <c r="G56" s="485"/>
      <c r="H56" s="485"/>
      <c r="I56" s="659">
        <v>4665</v>
      </c>
      <c r="J56" s="659">
        <v>5090</v>
      </c>
      <c r="K56" s="659">
        <v>5447</v>
      </c>
      <c r="L56" s="659">
        <v>6587</v>
      </c>
      <c r="M56" s="664">
        <v>6748</v>
      </c>
      <c r="N56" s="664">
        <v>6800</v>
      </c>
      <c r="O56" s="664">
        <v>6928</v>
      </c>
      <c r="P56" s="664">
        <v>7850</v>
      </c>
      <c r="Q56" s="659">
        <v>7850</v>
      </c>
      <c r="R56" s="660">
        <v>8283</v>
      </c>
      <c r="S56" s="660">
        <v>8282</v>
      </c>
      <c r="T56" s="660">
        <v>8394</v>
      </c>
      <c r="U56" s="664">
        <v>8552</v>
      </c>
      <c r="V56" s="659">
        <v>8552</v>
      </c>
      <c r="W56" s="660">
        <f>8974-237</f>
        <v>8737</v>
      </c>
      <c r="X56" s="660">
        <v>9064</v>
      </c>
      <c r="Y56" s="660">
        <v>9186</v>
      </c>
      <c r="Z56" s="664">
        <f>AA56</f>
        <v>9395</v>
      </c>
      <c r="AA56" s="659">
        <f>9622-227</f>
        <v>9395</v>
      </c>
      <c r="AB56" s="660">
        <v>9959</v>
      </c>
      <c r="AC56" s="660">
        <v>9986</v>
      </c>
      <c r="AD56" s="660">
        <f>10424-216</f>
        <v>10208</v>
      </c>
      <c r="AE56" s="662">
        <f>10572-214</f>
        <v>10358</v>
      </c>
      <c r="AF56" s="659">
        <f>AE56</f>
        <v>10358</v>
      </c>
      <c r="AG56" s="660">
        <f>10708-210</f>
        <v>10498</v>
      </c>
      <c r="AH56" s="660">
        <v>10864</v>
      </c>
      <c r="AI56" s="660">
        <f>10973-204</f>
        <v>10769</v>
      </c>
      <c r="AJ56" s="662">
        <f>11179-200</f>
        <v>10979</v>
      </c>
      <c r="AK56" s="659">
        <f>AJ56</f>
        <v>10979</v>
      </c>
      <c r="AL56" s="660">
        <f>11222-193</f>
        <v>11029</v>
      </c>
      <c r="AM56" s="660">
        <f>11369-187</f>
        <v>11182</v>
      </c>
      <c r="AN56" s="660">
        <f>11516-184</f>
        <v>11332</v>
      </c>
      <c r="AO56" s="662">
        <v>11746</v>
      </c>
      <c r="AP56" s="659">
        <f>AO56</f>
        <v>11746</v>
      </c>
      <c r="AQ56" s="660">
        <v>11937</v>
      </c>
      <c r="AR56" s="660">
        <v>12205</v>
      </c>
      <c r="AS56" s="660">
        <v>12316</v>
      </c>
      <c r="AT56" s="662">
        <v>12597</v>
      </c>
      <c r="AU56" s="659">
        <f>AT56</f>
        <v>12597</v>
      </c>
      <c r="AV56" s="660">
        <v>12789</v>
      </c>
      <c r="AW56" s="660">
        <v>13036</v>
      </c>
      <c r="AX56" s="660">
        <v>13330</v>
      </c>
      <c r="AY56" s="662">
        <v>13445</v>
      </c>
      <c r="AZ56" s="659">
        <f>AY56</f>
        <v>13445</v>
      </c>
      <c r="BA56" s="660">
        <v>13653</v>
      </c>
      <c r="BB56" s="660">
        <v>13538</v>
      </c>
      <c r="BC56" s="660">
        <v>13799</v>
      </c>
      <c r="BD56" s="660">
        <v>13976</v>
      </c>
      <c r="BE56" s="659">
        <f>BD56</f>
        <v>13976</v>
      </c>
      <c r="BF56" s="660">
        <v>14221</v>
      </c>
      <c r="BG56" s="660">
        <v>14398</v>
      </c>
      <c r="BH56" s="660">
        <v>14536</v>
      </c>
      <c r="BI56" s="660">
        <v>14638</v>
      </c>
      <c r="BJ56" s="659">
        <f>BI56</f>
        <v>14638</v>
      </c>
      <c r="BK56" s="660">
        <v>14813</v>
      </c>
      <c r="BL56" s="660">
        <v>14939</v>
      </c>
      <c r="BM56" s="660">
        <v>15069</v>
      </c>
      <c r="BN56" s="661">
        <v>15185</v>
      </c>
      <c r="BO56" s="659">
        <f>BN56</f>
        <v>15185</v>
      </c>
      <c r="BP56" s="660">
        <v>14919</v>
      </c>
      <c r="BQ56" s="660">
        <f>15141-110</f>
        <v>15031</v>
      </c>
      <c r="BR56" s="660">
        <v>16623</v>
      </c>
      <c r="BS56" s="660">
        <v>15928</v>
      </c>
      <c r="BT56" s="659">
        <f>BS56</f>
        <v>15928</v>
      </c>
      <c r="BU56" s="2083">
        <v>16154</v>
      </c>
      <c r="BV56" s="2083">
        <v>16241</v>
      </c>
      <c r="BW56" s="2083">
        <v>17116</v>
      </c>
      <c r="BX56" s="2083">
        <v>17190</v>
      </c>
      <c r="BY56" s="659">
        <f>BX56</f>
        <v>17190</v>
      </c>
      <c r="BZ56" s="2083">
        <v>17266</v>
      </c>
      <c r="CA56" s="2083">
        <v>17282</v>
      </c>
      <c r="CB56" s="2083">
        <v>17398</v>
      </c>
      <c r="CC56" s="660">
        <f>CB56+CF!CB38+CF!CB41</f>
        <v>17409</v>
      </c>
      <c r="CD56" s="659">
        <f>CC56</f>
        <v>17409</v>
      </c>
      <c r="CE56" s="660">
        <f>CD56+CF!CD38+CF!CD41</f>
        <v>17547.033017500002</v>
      </c>
      <c r="CF56" s="660">
        <f>CE56+CF!CE38+CF!CE41</f>
        <v>17685.066035000003</v>
      </c>
      <c r="CG56" s="660">
        <f>CF56+CF!CF38+CF!CF41</f>
        <v>17825.066035000003</v>
      </c>
      <c r="CH56" s="660">
        <f>CG56+CF!CG38+CF!CG41</f>
        <v>17963.099052500005</v>
      </c>
      <c r="CI56" s="659">
        <f>CH56</f>
        <v>17963.099052500005</v>
      </c>
      <c r="CJ56" s="659">
        <f>CI56+CF!CI38+CF!CI41</f>
        <v>18572.608010250009</v>
      </c>
      <c r="CK56" s="659">
        <f>CJ56+CF!CJ38+CF!CJ41</f>
        <v>19243.067863775013</v>
      </c>
      <c r="CL56" s="659">
        <f>CK56+CF!CK38+CF!CK41</f>
        <v>19980.573702652517</v>
      </c>
      <c r="CM56" s="509"/>
      <c r="CN56" s="509"/>
    </row>
    <row r="57" spans="1:92">
      <c r="A57" s="485"/>
      <c r="B57" s="485"/>
      <c r="C57" s="665" t="s">
        <v>372</v>
      </c>
      <c r="D57" s="485"/>
      <c r="E57" s="485"/>
      <c r="F57" s="485"/>
      <c r="G57" s="485"/>
      <c r="H57" s="485"/>
      <c r="I57" s="659">
        <v>0</v>
      </c>
      <c r="J57" s="659">
        <v>0</v>
      </c>
      <c r="K57" s="659">
        <v>0</v>
      </c>
      <c r="L57" s="659">
        <v>0</v>
      </c>
      <c r="M57" s="664">
        <v>0</v>
      </c>
      <c r="N57" s="664">
        <v>0</v>
      </c>
      <c r="O57" s="664">
        <v>0</v>
      </c>
      <c r="P57" s="664">
        <v>0</v>
      </c>
      <c r="Q57" s="659">
        <v>0</v>
      </c>
      <c r="R57" s="660">
        <v>0</v>
      </c>
      <c r="S57" s="660"/>
      <c r="T57" s="660"/>
      <c r="U57" s="664"/>
      <c r="V57" s="659"/>
      <c r="W57" s="660"/>
      <c r="X57" s="660"/>
      <c r="Y57" s="660"/>
      <c r="Z57" s="664"/>
      <c r="AA57" s="659"/>
      <c r="AB57" s="660"/>
      <c r="AC57" s="660"/>
      <c r="AD57" s="660"/>
      <c r="AE57" s="662"/>
      <c r="AF57" s="659"/>
      <c r="AG57" s="660"/>
      <c r="AH57" s="660"/>
      <c r="AI57" s="660"/>
      <c r="AJ57" s="662"/>
      <c r="AK57" s="659"/>
      <c r="AL57" s="660"/>
      <c r="AM57" s="660"/>
      <c r="AN57" s="660"/>
      <c r="AO57" s="662"/>
      <c r="AP57" s="659"/>
      <c r="AQ57" s="660"/>
      <c r="AR57" s="660"/>
      <c r="AS57" s="660"/>
      <c r="AT57" s="662"/>
      <c r="AU57" s="659"/>
      <c r="AV57" s="660"/>
      <c r="AW57" s="660"/>
      <c r="AX57" s="660"/>
      <c r="AY57" s="662"/>
      <c r="AZ57" s="659"/>
      <c r="BA57" s="660"/>
      <c r="BB57" s="660"/>
      <c r="BC57" s="660"/>
      <c r="BD57" s="660"/>
      <c r="BE57" s="659"/>
      <c r="BF57" s="660"/>
      <c r="BG57" s="660"/>
      <c r="BH57" s="660">
        <v>0</v>
      </c>
      <c r="BI57" s="660"/>
      <c r="BJ57" s="659"/>
      <c r="BK57" s="660"/>
      <c r="BL57" s="660"/>
      <c r="BM57" s="660"/>
      <c r="BN57" s="660"/>
      <c r="BO57" s="659"/>
      <c r="BP57" s="660"/>
      <c r="BQ57" s="660"/>
      <c r="BR57" s="660"/>
      <c r="BS57" s="660"/>
      <c r="BT57" s="659"/>
      <c r="BU57" s="660"/>
      <c r="BV57" s="660"/>
      <c r="BW57" s="660"/>
      <c r="BX57" s="660"/>
      <c r="BY57" s="659"/>
      <c r="BZ57" s="660"/>
      <c r="CA57" s="660"/>
      <c r="CB57" s="660"/>
      <c r="CC57" s="660"/>
      <c r="CD57" s="659"/>
      <c r="CE57" s="660"/>
      <c r="CF57" s="660"/>
      <c r="CG57" s="660"/>
      <c r="CH57" s="660"/>
      <c r="CI57" s="659"/>
      <c r="CJ57" s="659"/>
      <c r="CK57" s="659"/>
      <c r="CL57" s="659"/>
      <c r="CM57" s="509"/>
      <c r="CN57" s="509"/>
    </row>
    <row r="58" spans="1:92">
      <c r="A58" s="485"/>
      <c r="B58" s="485"/>
      <c r="C58" s="665" t="s">
        <v>371</v>
      </c>
      <c r="D58" s="485"/>
      <c r="E58" s="485"/>
      <c r="F58" s="485"/>
      <c r="G58" s="485"/>
      <c r="H58" s="485"/>
      <c r="I58" s="666">
        <v>-791</v>
      </c>
      <c r="J58" s="666">
        <v>-1466</v>
      </c>
      <c r="K58" s="666">
        <v>-2977</v>
      </c>
      <c r="L58" s="666">
        <v>-304</v>
      </c>
      <c r="M58" s="664">
        <v>0</v>
      </c>
      <c r="N58" s="664">
        <v>0</v>
      </c>
      <c r="O58" s="664">
        <v>0</v>
      </c>
      <c r="P58" s="664">
        <v>0</v>
      </c>
      <c r="Q58" s="666">
        <v>0</v>
      </c>
      <c r="R58" s="664">
        <v>0</v>
      </c>
      <c r="S58" s="664">
        <v>0</v>
      </c>
      <c r="T58" s="664">
        <v>0</v>
      </c>
      <c r="U58" s="664">
        <v>0</v>
      </c>
      <c r="V58" s="666">
        <v>0</v>
      </c>
      <c r="W58" s="664"/>
      <c r="X58" s="664">
        <v>0</v>
      </c>
      <c r="Y58" s="664">
        <v>0</v>
      </c>
      <c r="Z58" s="664">
        <f>AA58</f>
        <v>0</v>
      </c>
      <c r="AA58" s="666">
        <f>Y58</f>
        <v>0</v>
      </c>
      <c r="AB58" s="664">
        <v>0</v>
      </c>
      <c r="AC58" s="664">
        <v>0</v>
      </c>
      <c r="AD58" s="664">
        <v>0</v>
      </c>
      <c r="AE58" s="669">
        <v>0</v>
      </c>
      <c r="AF58" s="666">
        <f>AE58</f>
        <v>0</v>
      </c>
      <c r="AG58" s="664">
        <v>0</v>
      </c>
      <c r="AH58" s="664">
        <v>0</v>
      </c>
      <c r="AI58" s="664">
        <v>0</v>
      </c>
      <c r="AJ58" s="669">
        <v>0</v>
      </c>
      <c r="AK58" s="666">
        <f>AJ58</f>
        <v>0</v>
      </c>
      <c r="AL58" s="664">
        <v>0</v>
      </c>
      <c r="AM58" s="664">
        <v>0</v>
      </c>
      <c r="AN58" s="664">
        <v>0</v>
      </c>
      <c r="AO58" s="669">
        <v>0</v>
      </c>
      <c r="AP58" s="666">
        <f>AO58</f>
        <v>0</v>
      </c>
      <c r="AQ58" s="667">
        <v>0</v>
      </c>
      <c r="AR58" s="664">
        <v>0</v>
      </c>
      <c r="AS58" s="664">
        <v>0</v>
      </c>
      <c r="AT58" s="669">
        <v>0</v>
      </c>
      <c r="AU58" s="666">
        <f>AT58</f>
        <v>0</v>
      </c>
      <c r="AV58" s="667">
        <v>0</v>
      </c>
      <c r="AW58" s="664">
        <v>0</v>
      </c>
      <c r="AX58" s="664">
        <v>0</v>
      </c>
      <c r="AY58" s="669">
        <v>0</v>
      </c>
      <c r="AZ58" s="666">
        <f>AY58</f>
        <v>0</v>
      </c>
      <c r="BA58" s="667">
        <v>0</v>
      </c>
      <c r="BB58" s="664">
        <v>0</v>
      </c>
      <c r="BC58" s="664">
        <v>0</v>
      </c>
      <c r="BD58" s="664">
        <v>0</v>
      </c>
      <c r="BE58" s="666">
        <f>BD58</f>
        <v>0</v>
      </c>
      <c r="BF58" s="664">
        <v>0</v>
      </c>
      <c r="BG58" s="664">
        <v>0</v>
      </c>
      <c r="BH58" s="664">
        <v>0</v>
      </c>
      <c r="BI58" s="664">
        <v>0</v>
      </c>
      <c r="BJ58" s="668">
        <f>BI58</f>
        <v>0</v>
      </c>
      <c r="BK58" s="664">
        <v>0</v>
      </c>
      <c r="BL58" s="664">
        <v>0</v>
      </c>
      <c r="BM58" s="664">
        <v>0</v>
      </c>
      <c r="BN58" s="667">
        <v>0</v>
      </c>
      <c r="BO58" s="666">
        <f>BN58</f>
        <v>0</v>
      </c>
      <c r="BP58" s="667">
        <v>0</v>
      </c>
      <c r="BQ58" s="667">
        <f t="shared" ref="BQ58:CJ58" si="43">BP58</f>
        <v>0</v>
      </c>
      <c r="BR58" s="664">
        <f t="shared" si="43"/>
        <v>0</v>
      </c>
      <c r="BS58" s="664">
        <f t="shared" si="43"/>
        <v>0</v>
      </c>
      <c r="BT58" s="666">
        <f t="shared" si="43"/>
        <v>0</v>
      </c>
      <c r="BU58" s="667">
        <f t="shared" si="43"/>
        <v>0</v>
      </c>
      <c r="BV58" s="667">
        <f t="shared" si="43"/>
        <v>0</v>
      </c>
      <c r="BW58" s="667">
        <f t="shared" si="43"/>
        <v>0</v>
      </c>
      <c r="BX58" s="667">
        <f t="shared" si="43"/>
        <v>0</v>
      </c>
      <c r="BY58" s="666">
        <f t="shared" si="43"/>
        <v>0</v>
      </c>
      <c r="BZ58" s="667">
        <f t="shared" ref="BZ58:CC59" si="44">BY58</f>
        <v>0</v>
      </c>
      <c r="CA58" s="667">
        <f t="shared" si="44"/>
        <v>0</v>
      </c>
      <c r="CB58" s="667">
        <f t="shared" si="44"/>
        <v>0</v>
      </c>
      <c r="CC58" s="667">
        <f t="shared" si="44"/>
        <v>0</v>
      </c>
      <c r="CD58" s="666">
        <f t="shared" si="43"/>
        <v>0</v>
      </c>
      <c r="CE58" s="667">
        <f t="shared" ref="CE58:CH59" si="45">CD58</f>
        <v>0</v>
      </c>
      <c r="CF58" s="667">
        <f t="shared" si="45"/>
        <v>0</v>
      </c>
      <c r="CG58" s="667">
        <f t="shared" si="45"/>
        <v>0</v>
      </c>
      <c r="CH58" s="667">
        <f t="shared" si="45"/>
        <v>0</v>
      </c>
      <c r="CI58" s="666">
        <f t="shared" si="43"/>
        <v>0</v>
      </c>
      <c r="CJ58" s="666">
        <f t="shared" si="43"/>
        <v>0</v>
      </c>
      <c r="CK58" s="666">
        <f>CJ58</f>
        <v>0</v>
      </c>
      <c r="CL58" s="666">
        <f>CK58</f>
        <v>0</v>
      </c>
      <c r="CM58" s="509"/>
      <c r="CN58" s="509"/>
    </row>
    <row r="59" spans="1:92">
      <c r="A59" s="485"/>
      <c r="B59" s="485"/>
      <c r="C59" s="665" t="s">
        <v>370</v>
      </c>
      <c r="D59" s="485"/>
      <c r="E59" s="485"/>
      <c r="F59" s="485"/>
      <c r="G59" s="485"/>
      <c r="H59" s="485"/>
      <c r="I59" s="659">
        <v>0</v>
      </c>
      <c r="J59" s="659">
        <v>0</v>
      </c>
      <c r="K59" s="659">
        <v>0</v>
      </c>
      <c r="L59" s="659">
        <v>-1768</v>
      </c>
      <c r="M59" s="664">
        <v>-2027</v>
      </c>
      <c r="N59" s="664">
        <v>-2090</v>
      </c>
      <c r="O59" s="664">
        <v>-1974</v>
      </c>
      <c r="P59" s="664">
        <v>-1152</v>
      </c>
      <c r="Q59" s="659">
        <v>-1152</v>
      </c>
      <c r="R59" s="660">
        <v>-1470</v>
      </c>
      <c r="S59" s="660">
        <v>-1449</v>
      </c>
      <c r="T59" s="660">
        <v>-1309</v>
      </c>
      <c r="U59" s="664">
        <v>-194</v>
      </c>
      <c r="V59" s="659">
        <v>-194</v>
      </c>
      <c r="W59" s="660">
        <v>-192</v>
      </c>
      <c r="X59" s="660">
        <v>53</v>
      </c>
      <c r="Y59" s="660">
        <v>260</v>
      </c>
      <c r="Z59" s="664">
        <f>AA59</f>
        <v>-1439</v>
      </c>
      <c r="AA59" s="659">
        <v>-1439</v>
      </c>
      <c r="AB59" s="660">
        <f>-1013-222</f>
        <v>-1235</v>
      </c>
      <c r="AC59" s="662">
        <v>-571</v>
      </c>
      <c r="AD59" s="662">
        <v>-94</v>
      </c>
      <c r="AE59" s="662">
        <f>1355-771</f>
        <v>584</v>
      </c>
      <c r="AF59" s="659">
        <f>AE59</f>
        <v>584</v>
      </c>
      <c r="AG59" s="662">
        <v>805</v>
      </c>
      <c r="AH59" s="660">
        <v>746</v>
      </c>
      <c r="AI59" s="660">
        <v>-242</v>
      </c>
      <c r="AJ59" s="662">
        <v>-5905</v>
      </c>
      <c r="AK59" s="659">
        <f>AJ59</f>
        <v>-5905</v>
      </c>
      <c r="AL59" s="662">
        <v>-6221</v>
      </c>
      <c r="AM59" s="660">
        <v>-5275</v>
      </c>
      <c r="AN59" s="660">
        <v>-4580</v>
      </c>
      <c r="AO59" s="662">
        <f>-3487-181</f>
        <v>-3668</v>
      </c>
      <c r="AP59" s="659">
        <f>AO59</f>
        <v>-3668</v>
      </c>
      <c r="AQ59" s="662">
        <f>-176-3746</f>
        <v>-3922</v>
      </c>
      <c r="AR59" s="660">
        <f>-4238-172</f>
        <v>-4410</v>
      </c>
      <c r="AS59" s="660">
        <f>-3357-169</f>
        <v>-3526</v>
      </c>
      <c r="AT59" s="662">
        <f>-3769-166</f>
        <v>-3935</v>
      </c>
      <c r="AU59" s="659">
        <f>AT59</f>
        <v>-3935</v>
      </c>
      <c r="AV59" s="662">
        <f>-3101-162</f>
        <v>-3263</v>
      </c>
      <c r="AW59" s="660">
        <f>-2896-158</f>
        <v>-3054</v>
      </c>
      <c r="AX59" s="660">
        <f>-3766-156</f>
        <v>-3922</v>
      </c>
      <c r="AY59" s="662">
        <f>-5490-152</f>
        <v>-5642</v>
      </c>
      <c r="AZ59" s="659">
        <f>AY59</f>
        <v>-5642</v>
      </c>
      <c r="BA59" s="660">
        <f>-5001-149</f>
        <v>-5150</v>
      </c>
      <c r="BB59" s="660">
        <f>-5675-145</f>
        <v>-5820</v>
      </c>
      <c r="BC59" s="660">
        <f>-4663-142</f>
        <v>-4805</v>
      </c>
      <c r="BD59" s="660">
        <f>-139-5448</f>
        <v>-5587</v>
      </c>
      <c r="BE59" s="659">
        <f>BD59</f>
        <v>-5587</v>
      </c>
      <c r="BF59" s="660">
        <f>-5867-136</f>
        <v>-6003</v>
      </c>
      <c r="BG59" s="660">
        <v>-6000</v>
      </c>
      <c r="BH59" s="660">
        <v>-5325</v>
      </c>
      <c r="BI59" s="660">
        <v>-2880</v>
      </c>
      <c r="BJ59" s="659">
        <f>BI59</f>
        <v>-2880</v>
      </c>
      <c r="BK59" s="660">
        <v>-2941</v>
      </c>
      <c r="BL59" s="660">
        <v>-2403</v>
      </c>
      <c r="BM59" s="660">
        <v>-3169</v>
      </c>
      <c r="BN59" s="661">
        <v>-6661</v>
      </c>
      <c r="BO59" s="659">
        <f>BN59</f>
        <v>-6661</v>
      </c>
      <c r="BP59" s="660">
        <v>-7211</v>
      </c>
      <c r="BQ59" s="660">
        <v>-6577</v>
      </c>
      <c r="BR59" s="660">
        <v>-7388</v>
      </c>
      <c r="BS59" s="1955">
        <v>-7619</v>
      </c>
      <c r="BT59" s="659">
        <f>BS59</f>
        <v>-7619</v>
      </c>
      <c r="BU59" s="2083">
        <v>-7344</v>
      </c>
      <c r="BV59" s="2083">
        <v>-7484</v>
      </c>
      <c r="BW59" s="2083">
        <v>-7729</v>
      </c>
      <c r="BX59" s="2083">
        <v>-8334</v>
      </c>
      <c r="BY59" s="659">
        <f>BX59</f>
        <v>-8334</v>
      </c>
      <c r="BZ59" s="2083">
        <v>-8333</v>
      </c>
      <c r="CA59" s="2083">
        <v>-7964</v>
      </c>
      <c r="CB59" s="2083">
        <v>-7327</v>
      </c>
      <c r="CC59" s="660">
        <f t="shared" si="44"/>
        <v>-7327</v>
      </c>
      <c r="CD59" s="659">
        <f>CC59</f>
        <v>-7327</v>
      </c>
      <c r="CE59" s="660">
        <f t="shared" si="45"/>
        <v>-7327</v>
      </c>
      <c r="CF59" s="660">
        <f t="shared" si="45"/>
        <v>-7327</v>
      </c>
      <c r="CG59" s="660">
        <f t="shared" si="45"/>
        <v>-7327</v>
      </c>
      <c r="CH59" s="660">
        <f t="shared" si="45"/>
        <v>-7327</v>
      </c>
      <c r="CI59" s="659">
        <f>CH59</f>
        <v>-7327</v>
      </c>
      <c r="CJ59" s="659">
        <f>CI59</f>
        <v>-7327</v>
      </c>
      <c r="CK59" s="659">
        <f>CJ59</f>
        <v>-7327</v>
      </c>
      <c r="CL59" s="659">
        <f>CK59</f>
        <v>-7327</v>
      </c>
      <c r="CM59" s="509"/>
      <c r="CN59" s="509"/>
    </row>
    <row r="60" spans="1:92">
      <c r="A60" s="485"/>
      <c r="B60" s="485"/>
      <c r="C60" s="663" t="s">
        <v>227</v>
      </c>
      <c r="D60" s="349"/>
      <c r="E60" s="349"/>
      <c r="F60" s="349"/>
      <c r="G60" s="349"/>
      <c r="H60" s="349"/>
      <c r="I60" s="659">
        <v>-3955</v>
      </c>
      <c r="J60" s="659">
        <v>-4404</v>
      </c>
      <c r="K60" s="659">
        <v>-4951</v>
      </c>
      <c r="L60" s="659">
        <v>-5335</v>
      </c>
      <c r="M60" s="660">
        <v>-5551</v>
      </c>
      <c r="N60" s="660">
        <v>-5808</v>
      </c>
      <c r="O60" s="660">
        <v>-6019</v>
      </c>
      <c r="P60" s="660">
        <v>-6312</v>
      </c>
      <c r="Q60" s="659">
        <v>-6312</v>
      </c>
      <c r="R60" s="660">
        <v>-6423</v>
      </c>
      <c r="S60" s="660">
        <v>-6616</v>
      </c>
      <c r="T60" s="660">
        <v>-6999</v>
      </c>
      <c r="U60" s="660">
        <v>-7418</v>
      </c>
      <c r="V60" s="659">
        <v>-7418</v>
      </c>
      <c r="W60" s="660">
        <v>-7789</v>
      </c>
      <c r="X60" s="660">
        <v>-8101</v>
      </c>
      <c r="Y60" s="660">
        <v>-8679</v>
      </c>
      <c r="Z60" s="660">
        <f>AA60</f>
        <v>-9413</v>
      </c>
      <c r="AA60" s="659">
        <v>-9413</v>
      </c>
      <c r="AB60" s="660">
        <v>-9861</v>
      </c>
      <c r="AC60" s="660">
        <v>-10343</v>
      </c>
      <c r="AD60" s="660">
        <v>-10840</v>
      </c>
      <c r="AE60" s="662">
        <v>-11338</v>
      </c>
      <c r="AF60" s="659">
        <f>AE60</f>
        <v>-11338</v>
      </c>
      <c r="AG60" s="660">
        <v>-12157</v>
      </c>
      <c r="AH60" s="660">
        <f>-12901-207</f>
        <v>-13108</v>
      </c>
      <c r="AI60" s="660">
        <v>-13824</v>
      </c>
      <c r="AJ60" s="662">
        <v>-14316</v>
      </c>
      <c r="AK60" s="659">
        <f>AJ60</f>
        <v>-14316</v>
      </c>
      <c r="AL60" s="660">
        <v>-14514</v>
      </c>
      <c r="AM60" s="660">
        <v>-14661</v>
      </c>
      <c r="AN60" s="660">
        <v>-15090</v>
      </c>
      <c r="AO60" s="662">
        <v>-15408</v>
      </c>
      <c r="AP60" s="659">
        <f>AO60</f>
        <v>-15408</v>
      </c>
      <c r="AQ60" s="660">
        <v>-15905</v>
      </c>
      <c r="AR60" s="660">
        <v>-16431</v>
      </c>
      <c r="AS60" s="660">
        <v>-16920</v>
      </c>
      <c r="AT60" s="662">
        <v>-17468</v>
      </c>
      <c r="AU60" s="659">
        <f>AT60</f>
        <v>-17468</v>
      </c>
      <c r="AV60" s="660">
        <v>-18212</v>
      </c>
      <c r="AW60" s="660">
        <v>-18960</v>
      </c>
      <c r="AX60" s="660">
        <v>-19412</v>
      </c>
      <c r="AY60" s="662">
        <v>-19410</v>
      </c>
      <c r="AZ60" s="659">
        <f>AY60</f>
        <v>-19410</v>
      </c>
      <c r="BA60" s="660">
        <v>-19400</v>
      </c>
      <c r="BB60" s="660">
        <v>-19399</v>
      </c>
      <c r="BC60" s="660">
        <v>-19258</v>
      </c>
      <c r="BD60" s="660">
        <v>-19251</v>
      </c>
      <c r="BE60" s="659">
        <f>BD60</f>
        <v>-19251</v>
      </c>
      <c r="BF60" s="660">
        <v>-19575</v>
      </c>
      <c r="BG60" s="660">
        <v>-19908</v>
      </c>
      <c r="BH60" s="660">
        <v>-20233</v>
      </c>
      <c r="BI60" s="660">
        <v>-20431</v>
      </c>
      <c r="BJ60" s="659">
        <f>BI60</f>
        <v>-20431</v>
      </c>
      <c r="BK60" s="660">
        <v>-20760</v>
      </c>
      <c r="BL60" s="660">
        <v>-21094</v>
      </c>
      <c r="BM60" s="660">
        <v>-21519</v>
      </c>
      <c r="BN60" s="661">
        <v>-21922</v>
      </c>
      <c r="BO60" s="659">
        <f>BN60</f>
        <v>-21922</v>
      </c>
      <c r="BP60" s="660">
        <v>-24520</v>
      </c>
      <c r="BQ60" s="660">
        <v>-24520</v>
      </c>
      <c r="BR60" s="660">
        <v>-25946</v>
      </c>
      <c r="BS60" s="1955">
        <v>-30907</v>
      </c>
      <c r="BT60" s="659">
        <f>BS60</f>
        <v>-30907</v>
      </c>
      <c r="BU60" s="2083">
        <v>-31082</v>
      </c>
      <c r="BV60" s="2083">
        <v>-31118</v>
      </c>
      <c r="BW60" s="2083">
        <v>-32584</v>
      </c>
      <c r="BX60" s="2083">
        <v>-34150</v>
      </c>
      <c r="BY60" s="659">
        <f>BX60</f>
        <v>-34150</v>
      </c>
      <c r="BZ60" s="660">
        <v>-35080</v>
      </c>
      <c r="CA60" s="2083">
        <v>-35516</v>
      </c>
      <c r="CB60" s="2083">
        <v>-35575</v>
      </c>
      <c r="CC60" s="660">
        <f>CB60+CF!CB39</f>
        <v>-35575</v>
      </c>
      <c r="CD60" s="659">
        <f>CC60</f>
        <v>-35575</v>
      </c>
      <c r="CE60" s="660">
        <f>CD60+CF!CD39</f>
        <v>-35575</v>
      </c>
      <c r="CF60" s="660">
        <f>CE60+CF!CE39</f>
        <v>-35575</v>
      </c>
      <c r="CG60" s="660">
        <f>CF60+CF!CF39</f>
        <v>-35575</v>
      </c>
      <c r="CH60" s="660">
        <f>CG60+CF!CG39</f>
        <v>-35575</v>
      </c>
      <c r="CI60" s="659">
        <f>CH60</f>
        <v>-35575</v>
      </c>
      <c r="CJ60" s="659">
        <f>CI60+CF!CI39</f>
        <v>-35575</v>
      </c>
      <c r="CK60" s="659">
        <f>CJ60+CF!CJ39</f>
        <v>-35575</v>
      </c>
      <c r="CL60" s="659">
        <f>CK60+CF!CK39</f>
        <v>-35575</v>
      </c>
      <c r="CM60" s="509"/>
      <c r="CN60" s="509"/>
    </row>
    <row r="61" spans="1:92">
      <c r="A61" s="485"/>
      <c r="B61" s="485"/>
      <c r="C61" s="658" t="s">
        <v>228</v>
      </c>
      <c r="D61" s="534"/>
      <c r="E61" s="534"/>
      <c r="F61" s="534"/>
      <c r="G61" s="534"/>
      <c r="H61" s="534"/>
      <c r="I61" s="654">
        <v>7743</v>
      </c>
      <c r="J61" s="654">
        <v>9149</v>
      </c>
      <c r="K61" s="654">
        <v>10836</v>
      </c>
      <c r="L61" s="654">
        <v>12527</v>
      </c>
      <c r="M61" s="655">
        <v>12915</v>
      </c>
      <c r="N61" s="655">
        <v>13578</v>
      </c>
      <c r="O61" s="655">
        <v>14103</v>
      </c>
      <c r="P61" s="655">
        <v>13880</v>
      </c>
      <c r="Q61" s="654">
        <v>13880</v>
      </c>
      <c r="R61" s="655">
        <v>14310</v>
      </c>
      <c r="S61" s="655">
        <v>15057</v>
      </c>
      <c r="T61" s="655">
        <v>15658</v>
      </c>
      <c r="U61" s="655">
        <v>16051</v>
      </c>
      <c r="V61" s="654">
        <v>16051</v>
      </c>
      <c r="W61" s="655">
        <v>16601</v>
      </c>
      <c r="X61" s="655">
        <v>17432</v>
      </c>
      <c r="Y61" s="655">
        <v>18167</v>
      </c>
      <c r="Z61" s="655">
        <f>AA61</f>
        <v>18754</v>
      </c>
      <c r="AA61" s="654">
        <v>18754</v>
      </c>
      <c r="AB61" s="655">
        <v>19243</v>
      </c>
      <c r="AC61" s="655">
        <v>20123</v>
      </c>
      <c r="AD61" s="655">
        <v>21004</v>
      </c>
      <c r="AE61" s="657">
        <v>21751</v>
      </c>
      <c r="AF61" s="654">
        <f>AE61</f>
        <v>21751</v>
      </c>
      <c r="AG61" s="655">
        <v>22440</v>
      </c>
      <c r="AH61" s="655">
        <v>23410</v>
      </c>
      <c r="AI61" s="655">
        <v>24380</v>
      </c>
      <c r="AJ61" s="657">
        <v>25159</v>
      </c>
      <c r="AK61" s="654">
        <f>AJ61</f>
        <v>25159</v>
      </c>
      <c r="AL61" s="655">
        <v>25519</v>
      </c>
      <c r="AM61" s="655">
        <v>26133</v>
      </c>
      <c r="AN61" s="655">
        <v>26827</v>
      </c>
      <c r="AO61" s="657">
        <v>27396</v>
      </c>
      <c r="AP61" s="654">
        <f>AO61</f>
        <v>27396</v>
      </c>
      <c r="AQ61" s="655">
        <v>27854</v>
      </c>
      <c r="AR61" s="655">
        <v>28569</v>
      </c>
      <c r="AS61" s="655">
        <v>29384</v>
      </c>
      <c r="AT61" s="657">
        <v>30191</v>
      </c>
      <c r="AU61" s="654">
        <f>AT61</f>
        <v>30191</v>
      </c>
      <c r="AV61" s="655">
        <v>30812</v>
      </c>
      <c r="AW61" s="655">
        <v>31701</v>
      </c>
      <c r="AX61" s="655">
        <v>32594</v>
      </c>
      <c r="AY61" s="657">
        <v>33487</v>
      </c>
      <c r="AZ61" s="654">
        <f>AY61</f>
        <v>33487</v>
      </c>
      <c r="BA61" s="655">
        <v>33389</v>
      </c>
      <c r="BB61" s="655">
        <v>34285</v>
      </c>
      <c r="BC61" s="655">
        <v>35219</v>
      </c>
      <c r="BD61" s="655">
        <v>36776</v>
      </c>
      <c r="BE61" s="654">
        <f>BD61</f>
        <v>36776</v>
      </c>
      <c r="BF61" s="655">
        <v>37551</v>
      </c>
      <c r="BG61" s="655">
        <f>38629-132</f>
        <v>38497</v>
      </c>
      <c r="BH61" s="655">
        <v>39599</v>
      </c>
      <c r="BI61" s="655">
        <v>40539</v>
      </c>
      <c r="BJ61" s="654">
        <f>BI61</f>
        <v>40539</v>
      </c>
      <c r="BK61" s="655">
        <v>41205</v>
      </c>
      <c r="BL61" s="655">
        <v>42343</v>
      </c>
      <c r="BM61" s="655">
        <v>43668</v>
      </c>
      <c r="BN61" s="656">
        <v>44611</v>
      </c>
      <c r="BO61" s="654">
        <f>BN61</f>
        <v>44611</v>
      </c>
      <c r="BP61" s="655">
        <v>45462</v>
      </c>
      <c r="BQ61" s="655">
        <v>46443</v>
      </c>
      <c r="BR61" s="655">
        <v>47236</v>
      </c>
      <c r="BS61" s="655">
        <v>49956</v>
      </c>
      <c r="BT61" s="654">
        <f>BS61</f>
        <v>49956</v>
      </c>
      <c r="BU61" s="2081">
        <v>50625</v>
      </c>
      <c r="BV61" s="2081">
        <v>51451</v>
      </c>
      <c r="BW61" s="2081">
        <v>52384</v>
      </c>
      <c r="BX61" s="2081">
        <v>52873</v>
      </c>
      <c r="BY61" s="654">
        <f>BX61</f>
        <v>52873</v>
      </c>
      <c r="BZ61" s="655">
        <v>53741</v>
      </c>
      <c r="CA61" s="2081">
        <v>54640</v>
      </c>
      <c r="CB61" s="2081">
        <v>55385</v>
      </c>
      <c r="CC61" s="655">
        <f>CB61+IS!CP77+CF!CB42+CF!CB47</f>
        <v>56005.742898348064</v>
      </c>
      <c r="CD61" s="654">
        <f>CC61</f>
        <v>56005.742898348064</v>
      </c>
      <c r="CE61" s="655">
        <f>CC61+IS!CR77+CF!CD42+CF!CD47</f>
        <v>56599.387959949112</v>
      </c>
      <c r="CF61" s="655">
        <f>CE61+IS!CS77+CF!CE42+CF!CE47</f>
        <v>57478.151870094021</v>
      </c>
      <c r="CG61" s="655">
        <f>CF61+IS!CT77+CF!CF42+CF!CF47</f>
        <v>58344.664335148853</v>
      </c>
      <c r="CH61" s="655">
        <f>CG61+IS!CU77+CF!CG42+CF!CG47</f>
        <v>59055.751727547038</v>
      </c>
      <c r="CI61" s="654">
        <f>CH61</f>
        <v>59055.751727547038</v>
      </c>
      <c r="CJ61" s="654">
        <f>CI61+IS!CW77+CF!CI42</f>
        <v>62712.936254864871</v>
      </c>
      <c r="CK61" s="654">
        <f>CJ61+IS!CX77+CF!CJ42</f>
        <v>66833.07251880008</v>
      </c>
      <c r="CL61" s="654">
        <f>CK61+IS!CY77+CF!CK42</f>
        <v>71156.678962582504</v>
      </c>
      <c r="CM61" s="509"/>
      <c r="CN61" s="509"/>
    </row>
    <row r="62" spans="1:92">
      <c r="A62" s="485"/>
      <c r="B62" s="485"/>
      <c r="C62" s="653" t="s">
        <v>369</v>
      </c>
      <c r="D62" s="552"/>
      <c r="E62" s="485"/>
      <c r="F62" s="347"/>
      <c r="G62" s="347"/>
      <c r="H62" s="598"/>
      <c r="I62" s="364">
        <v>7662</v>
      </c>
      <c r="J62" s="364">
        <v>8369</v>
      </c>
      <c r="K62" s="364">
        <v>8355</v>
      </c>
      <c r="L62" s="364">
        <v>11707</v>
      </c>
      <c r="M62" s="365">
        <v>12085</v>
      </c>
      <c r="N62" s="365">
        <v>12480</v>
      </c>
      <c r="O62" s="365">
        <v>13038</v>
      </c>
      <c r="P62" s="365">
        <v>14266</v>
      </c>
      <c r="Q62" s="364">
        <v>14266</v>
      </c>
      <c r="R62" s="365">
        <v>14700</v>
      </c>
      <c r="S62" s="365">
        <v>15274</v>
      </c>
      <c r="T62" s="365">
        <v>15744</v>
      </c>
      <c r="U62" s="365">
        <v>16991</v>
      </c>
      <c r="V62" s="364">
        <v>16991</v>
      </c>
      <c r="W62" s="365">
        <f>SUM(W55:W61)</f>
        <v>17357</v>
      </c>
      <c r="X62" s="365">
        <f>SUM(X55:X61)</f>
        <v>18448</v>
      </c>
      <c r="Y62" s="365">
        <f>SUM(Y55:Y61)</f>
        <v>18934</v>
      </c>
      <c r="Z62" s="365">
        <f>AA62</f>
        <v>17297</v>
      </c>
      <c r="AA62" s="364">
        <f>SUM(AA55:AA61)</f>
        <v>17297</v>
      </c>
      <c r="AB62" s="365">
        <f>SUM(AB55:AB61)</f>
        <v>18106</v>
      </c>
      <c r="AC62" s="365">
        <f>SUM(AC55:AC61)</f>
        <v>19195</v>
      </c>
      <c r="AD62" s="365">
        <f>SUM(AD55:AD61)</f>
        <v>20278</v>
      </c>
      <c r="AE62" s="652">
        <f>SUM(AE55:AE61)</f>
        <v>21355</v>
      </c>
      <c r="AF62" s="364">
        <f>AE62</f>
        <v>21355</v>
      </c>
      <c r="AG62" s="365">
        <f>SUM(AG55:AG61)</f>
        <v>21586</v>
      </c>
      <c r="AH62" s="365">
        <f>SUM(AH55:AH61)</f>
        <v>21912</v>
      </c>
      <c r="AI62" s="365">
        <f>SUM(AI55:AI61)</f>
        <v>21083</v>
      </c>
      <c r="AJ62" s="652">
        <f>SUM(AJ55:AJ61)</f>
        <v>15917</v>
      </c>
      <c r="AK62" s="364">
        <f>AJ62</f>
        <v>15917</v>
      </c>
      <c r="AL62" s="365">
        <f>SUM(AL55:AL61)</f>
        <v>15813</v>
      </c>
      <c r="AM62" s="365">
        <f>SUM(AM55:AM61)</f>
        <v>17379</v>
      </c>
      <c r="AN62" s="365">
        <f>SUM(AN55:AN61)</f>
        <v>18489</v>
      </c>
      <c r="AO62" s="652">
        <f>SUM(AO55:AO61)</f>
        <v>20066</v>
      </c>
      <c r="AP62" s="364">
        <f>AO62</f>
        <v>20066</v>
      </c>
      <c r="AQ62" s="365">
        <f>SUM(AQ55:AQ61)</f>
        <v>19964</v>
      </c>
      <c r="AR62" s="365">
        <f>SUM(AR55:AR61)</f>
        <v>19933</v>
      </c>
      <c r="AS62" s="365">
        <f>SUM(AS55:AS61)</f>
        <v>21254</v>
      </c>
      <c r="AT62" s="652">
        <f>SUM(AT55:AT61)</f>
        <v>21385</v>
      </c>
      <c r="AU62" s="364">
        <f>AT62</f>
        <v>21385</v>
      </c>
      <c r="AV62" s="365">
        <f>SUM(AV55:AV61)</f>
        <v>22126</v>
      </c>
      <c r="AW62" s="365">
        <f>SUM(AW55:AW61)</f>
        <v>22723</v>
      </c>
      <c r="AX62" s="365">
        <f>SUM(AX55:AX61)</f>
        <v>22590</v>
      </c>
      <c r="AY62" s="652">
        <f>SUM(AY55:AY61)</f>
        <v>21880</v>
      </c>
      <c r="AZ62" s="364">
        <f>AY62</f>
        <v>21880</v>
      </c>
      <c r="BA62" s="365">
        <f t="shared" ref="BA62:BY62" si="46">SUM(BA55:BA61)</f>
        <v>22492</v>
      </c>
      <c r="BB62" s="365">
        <f t="shared" si="46"/>
        <v>22604</v>
      </c>
      <c r="BC62" s="365">
        <f t="shared" si="46"/>
        <v>24955</v>
      </c>
      <c r="BD62" s="365">
        <f t="shared" si="46"/>
        <v>25914</v>
      </c>
      <c r="BE62" s="364">
        <f t="shared" si="46"/>
        <v>25914</v>
      </c>
      <c r="BF62" s="365">
        <f t="shared" si="46"/>
        <v>26194</v>
      </c>
      <c r="BG62" s="365">
        <f t="shared" si="46"/>
        <v>26987</v>
      </c>
      <c r="BH62" s="365">
        <f t="shared" si="46"/>
        <v>28577</v>
      </c>
      <c r="BI62" s="365">
        <f t="shared" si="46"/>
        <v>31866</v>
      </c>
      <c r="BJ62" s="364">
        <f t="shared" si="46"/>
        <v>31866</v>
      </c>
      <c r="BK62" s="365">
        <f t="shared" si="46"/>
        <v>32317</v>
      </c>
      <c r="BL62" s="365">
        <f t="shared" si="46"/>
        <v>33785</v>
      </c>
      <c r="BM62" s="365">
        <f t="shared" si="46"/>
        <v>34049</v>
      </c>
      <c r="BN62" s="365">
        <f t="shared" si="46"/>
        <v>31213</v>
      </c>
      <c r="BO62" s="364">
        <f t="shared" si="46"/>
        <v>31213</v>
      </c>
      <c r="BP62" s="365">
        <f t="shared" si="46"/>
        <v>28650</v>
      </c>
      <c r="BQ62" s="365">
        <f t="shared" si="46"/>
        <v>30377</v>
      </c>
      <c r="BR62" s="365">
        <f t="shared" si="46"/>
        <v>30525</v>
      </c>
      <c r="BS62" s="365">
        <f t="shared" si="46"/>
        <v>27358</v>
      </c>
      <c r="BT62" s="364">
        <f t="shared" si="46"/>
        <v>27358</v>
      </c>
      <c r="BU62" s="365">
        <f t="shared" si="46"/>
        <v>28353</v>
      </c>
      <c r="BV62" s="365">
        <f t="shared" si="46"/>
        <v>29090</v>
      </c>
      <c r="BW62" s="365">
        <f t="shared" si="46"/>
        <v>29187</v>
      </c>
      <c r="BX62" s="365">
        <f t="shared" si="46"/>
        <v>27579</v>
      </c>
      <c r="BY62" s="364">
        <f t="shared" si="46"/>
        <v>27579</v>
      </c>
      <c r="BZ62" s="365">
        <f t="shared" ref="BZ62:CH62" si="47">SUM(BZ55:BZ61)</f>
        <v>27594</v>
      </c>
      <c r="CA62" s="365">
        <f t="shared" si="47"/>
        <v>28442</v>
      </c>
      <c r="CB62" s="365">
        <f t="shared" si="47"/>
        <v>29881</v>
      </c>
      <c r="CC62" s="365">
        <f t="shared" si="47"/>
        <v>30512.742898348064</v>
      </c>
      <c r="CD62" s="364">
        <f t="shared" si="47"/>
        <v>30512.742898348064</v>
      </c>
      <c r="CE62" s="365">
        <f t="shared" si="47"/>
        <v>31244.420977449114</v>
      </c>
      <c r="CF62" s="365">
        <f t="shared" si="47"/>
        <v>32261.217905094025</v>
      </c>
      <c r="CG62" s="365">
        <f t="shared" si="47"/>
        <v>33267.730370148856</v>
      </c>
      <c r="CH62" s="365">
        <f t="shared" si="47"/>
        <v>34116.85078004704</v>
      </c>
      <c r="CI62" s="364">
        <f t="shared" ref="CI62" si="48">SUM(CI55:CI61)</f>
        <v>34116.85078004704</v>
      </c>
      <c r="CJ62" s="364">
        <f>SUM(CJ55:CJ61)</f>
        <v>38383.544265114877</v>
      </c>
      <c r="CK62" s="364">
        <f>SUM(CK55:CK61)</f>
        <v>43174.140382575089</v>
      </c>
      <c r="CL62" s="364">
        <f>SUM(CL55:CL61)</f>
        <v>48235.252665235021</v>
      </c>
      <c r="CM62" s="509"/>
      <c r="CN62" s="509"/>
    </row>
    <row r="63" spans="1:92">
      <c r="A63" s="485"/>
      <c r="B63" s="485"/>
      <c r="C63" s="485"/>
      <c r="D63" s="552"/>
      <c r="E63" s="485"/>
      <c r="F63" s="485"/>
      <c r="G63" s="485"/>
      <c r="H63" s="485"/>
      <c r="I63" s="383"/>
      <c r="J63" s="383"/>
      <c r="K63" s="383"/>
      <c r="L63" s="383"/>
      <c r="M63" s="384"/>
      <c r="N63" s="384"/>
      <c r="O63" s="384"/>
      <c r="P63" s="384"/>
      <c r="Q63" s="383"/>
      <c r="R63" s="384"/>
      <c r="S63" s="384"/>
      <c r="T63" s="384"/>
      <c r="U63" s="384"/>
      <c r="V63" s="383"/>
      <c r="W63" s="384"/>
      <c r="X63" s="384"/>
      <c r="Y63" s="384"/>
      <c r="Z63" s="384"/>
      <c r="AA63" s="383"/>
      <c r="AB63" s="384"/>
      <c r="AC63" s="384"/>
      <c r="AD63" s="384"/>
      <c r="AE63" s="390"/>
      <c r="AF63" s="383"/>
      <c r="AG63" s="384"/>
      <c r="AH63" s="384"/>
      <c r="AI63" s="384"/>
      <c r="AJ63" s="390"/>
      <c r="AK63" s="383"/>
      <c r="AL63" s="384"/>
      <c r="AM63" s="384"/>
      <c r="AN63" s="384"/>
      <c r="AO63" s="390"/>
      <c r="AP63" s="383"/>
      <c r="AQ63" s="384"/>
      <c r="AR63" s="384"/>
      <c r="AS63" s="384"/>
      <c r="AT63" s="390"/>
      <c r="AU63" s="383"/>
      <c r="AV63" s="384"/>
      <c r="AW63" s="384"/>
      <c r="AX63" s="384"/>
      <c r="AY63" s="390"/>
      <c r="AZ63" s="383"/>
      <c r="BA63" s="384"/>
      <c r="BB63" s="384"/>
      <c r="BC63" s="384"/>
      <c r="BD63" s="384"/>
      <c r="BE63" s="383"/>
      <c r="BF63" s="384"/>
      <c r="BG63" s="384"/>
      <c r="BH63" s="384"/>
      <c r="BI63" s="384"/>
      <c r="BJ63" s="383"/>
      <c r="BK63" s="384"/>
      <c r="BL63" s="384"/>
      <c r="BM63" s="384"/>
      <c r="BN63" s="384"/>
      <c r="BO63" s="383"/>
      <c r="BP63" s="384"/>
      <c r="BQ63" s="384"/>
      <c r="BR63" s="384"/>
      <c r="BS63" s="384"/>
      <c r="BT63" s="383"/>
      <c r="BU63" s="384"/>
      <c r="BV63" s="384"/>
      <c r="BW63" s="384"/>
      <c r="BX63" s="384"/>
      <c r="BY63" s="383"/>
      <c r="BZ63" s="384"/>
      <c r="CA63" s="384"/>
      <c r="CB63" s="384"/>
      <c r="CC63" s="384"/>
      <c r="CD63" s="383"/>
      <c r="CE63" s="384"/>
      <c r="CF63" s="384"/>
      <c r="CG63" s="384"/>
      <c r="CH63" s="384"/>
      <c r="CI63" s="383"/>
      <c r="CJ63" s="383"/>
      <c r="CK63" s="383"/>
      <c r="CL63" s="383"/>
      <c r="CM63" s="509"/>
      <c r="CN63" s="509"/>
    </row>
    <row r="64" spans="1:92" ht="13.5" thickBot="1">
      <c r="A64" s="485"/>
      <c r="B64" s="485"/>
      <c r="C64" s="650" t="s">
        <v>368</v>
      </c>
      <c r="D64" s="651"/>
      <c r="E64" s="651"/>
      <c r="F64" s="650"/>
      <c r="G64" s="650"/>
      <c r="H64" s="650"/>
      <c r="I64" s="374">
        <v>25364</v>
      </c>
      <c r="J64" s="374">
        <v>26969</v>
      </c>
      <c r="K64" s="374">
        <v>29090</v>
      </c>
      <c r="L64" s="374">
        <v>35274</v>
      </c>
      <c r="M64" s="375">
        <v>35928</v>
      </c>
      <c r="N64" s="375">
        <v>36692</v>
      </c>
      <c r="O64" s="375">
        <v>37631</v>
      </c>
      <c r="P64" s="375">
        <v>40441</v>
      </c>
      <c r="Q64" s="374">
        <v>40441</v>
      </c>
      <c r="R64" s="375">
        <v>40535</v>
      </c>
      <c r="S64" s="375">
        <v>44791</v>
      </c>
      <c r="T64" s="375">
        <v>46068</v>
      </c>
      <c r="U64" s="375">
        <v>45925</v>
      </c>
      <c r="V64" s="374">
        <v>45925</v>
      </c>
      <c r="W64" s="375">
        <f>W50+W62+W52</f>
        <v>47031</v>
      </c>
      <c r="X64" s="375">
        <f>X50+X62+X52</f>
        <v>49166</v>
      </c>
      <c r="Y64" s="375">
        <f>Y50+Y62+Y52</f>
        <v>49596</v>
      </c>
      <c r="Z64" s="375">
        <f>AA64</f>
        <v>47141</v>
      </c>
      <c r="AA64" s="374">
        <f>AA50+AA62+AA52</f>
        <v>47141</v>
      </c>
      <c r="AB64" s="375">
        <f>AB50+AB62+AB52</f>
        <v>48583</v>
      </c>
      <c r="AC64" s="375">
        <f>AC50+AC62+AC52</f>
        <v>50557</v>
      </c>
      <c r="AD64" s="375">
        <f>AD50+AD62+AD52</f>
        <v>53497</v>
      </c>
      <c r="AE64" s="649">
        <f>AE50+AE62+AE52</f>
        <v>54575</v>
      </c>
      <c r="AF64" s="374">
        <f>AE64</f>
        <v>54575</v>
      </c>
      <c r="AG64" s="375">
        <f>AG50+AG62+AG52</f>
        <v>57053</v>
      </c>
      <c r="AH64" s="375">
        <f>AH50+AH62+AH52</f>
        <v>58486</v>
      </c>
      <c r="AI64" s="375">
        <f>AI50+AI62+AI52</f>
        <v>56810</v>
      </c>
      <c r="AJ64" s="649">
        <f>AJ50+AJ62+AJ52</f>
        <v>56469</v>
      </c>
      <c r="AK64" s="374">
        <f>AJ64</f>
        <v>56469</v>
      </c>
      <c r="AL64" s="375">
        <f>AL50+AL62+AL52</f>
        <v>54798</v>
      </c>
      <c r="AM64" s="375">
        <f>AM50+AM62+AM52</f>
        <v>56545</v>
      </c>
      <c r="AN64" s="375">
        <f>AN50+AN62+AN52</f>
        <v>57577</v>
      </c>
      <c r="AO64" s="649">
        <f>AO50+AO62+AO52</f>
        <v>55762</v>
      </c>
      <c r="AP64" s="374">
        <f>AO64</f>
        <v>55762</v>
      </c>
      <c r="AQ64" s="375">
        <f>AQ50+AQ62+AQ52</f>
        <v>58388</v>
      </c>
      <c r="AR64" s="375">
        <f>AR50+AR62+AR52</f>
        <v>58343</v>
      </c>
      <c r="AS64" s="375">
        <f>AS50+AS62+AS52</f>
        <v>60649</v>
      </c>
      <c r="AT64" s="649">
        <f>AT50+AT62+AT52</f>
        <v>58493</v>
      </c>
      <c r="AU64" s="374">
        <f>AT64</f>
        <v>58493</v>
      </c>
      <c r="AV64" s="375">
        <f>AV50+AV62+AV52</f>
        <v>60664</v>
      </c>
      <c r="AW64" s="375">
        <f>AW50+AW62+AW52</f>
        <v>62147</v>
      </c>
      <c r="AX64" s="375">
        <f>AX50+AX62+AX52</f>
        <v>61948</v>
      </c>
      <c r="AY64" s="649">
        <f>AY50+AY62+AY52</f>
        <v>61452</v>
      </c>
      <c r="AZ64" s="374">
        <f>AY64</f>
        <v>61452</v>
      </c>
      <c r="BA64" s="375">
        <f t="shared" ref="BA64:BY64" si="49">BA50+BA62+BA52</f>
        <v>61724</v>
      </c>
      <c r="BB64" s="375">
        <f t="shared" si="49"/>
        <v>74653</v>
      </c>
      <c r="BC64" s="375">
        <f t="shared" si="49"/>
        <v>91946</v>
      </c>
      <c r="BD64" s="375">
        <f t="shared" si="49"/>
        <v>89409</v>
      </c>
      <c r="BE64" s="374">
        <f t="shared" si="49"/>
        <v>89409</v>
      </c>
      <c r="BF64" s="375">
        <f t="shared" si="49"/>
        <v>88513</v>
      </c>
      <c r="BG64" s="375">
        <f t="shared" si="49"/>
        <v>88744</v>
      </c>
      <c r="BH64" s="375">
        <f t="shared" si="49"/>
        <v>90326</v>
      </c>
      <c r="BI64" s="375">
        <f t="shared" si="49"/>
        <v>90594</v>
      </c>
      <c r="BJ64" s="374">
        <f t="shared" si="49"/>
        <v>90594</v>
      </c>
      <c r="BK64" s="375">
        <f t="shared" si="49"/>
        <v>91229</v>
      </c>
      <c r="BL64" s="375">
        <f t="shared" si="49"/>
        <v>92142</v>
      </c>
      <c r="BM64" s="375">
        <f t="shared" si="49"/>
        <v>91774</v>
      </c>
      <c r="BN64" s="375">
        <f t="shared" si="49"/>
        <v>91289</v>
      </c>
      <c r="BO64" s="374">
        <f t="shared" si="49"/>
        <v>91289</v>
      </c>
      <c r="BP64" s="375">
        <f t="shared" si="49"/>
        <v>91327</v>
      </c>
      <c r="BQ64" s="375">
        <f t="shared" si="49"/>
        <v>92773</v>
      </c>
      <c r="BR64" s="375">
        <f t="shared" si="49"/>
        <v>92135</v>
      </c>
      <c r="BS64" s="375">
        <f t="shared" si="49"/>
        <v>87484</v>
      </c>
      <c r="BT64" s="374">
        <f t="shared" si="49"/>
        <v>87484</v>
      </c>
      <c r="BU64" s="375">
        <f t="shared" si="49"/>
        <v>88571</v>
      </c>
      <c r="BV64" s="375">
        <f t="shared" si="49"/>
        <v>89480</v>
      </c>
      <c r="BW64" s="375">
        <f>BW50+BW62+BW52</f>
        <v>90062</v>
      </c>
      <c r="BX64" s="375">
        <f t="shared" si="49"/>
        <v>89706</v>
      </c>
      <c r="BY64" s="374">
        <f t="shared" si="49"/>
        <v>89706</v>
      </c>
      <c r="BZ64" s="375">
        <f t="shared" ref="BZ64:CH64" si="50">BZ50+BZ62+BZ52</f>
        <v>90373</v>
      </c>
      <c r="CA64" s="375">
        <f t="shared" si="50"/>
        <v>94793</v>
      </c>
      <c r="CB64" s="375">
        <f t="shared" si="50"/>
        <v>96352</v>
      </c>
      <c r="CC64" s="375">
        <f t="shared" si="50"/>
        <v>96047.095346369824</v>
      </c>
      <c r="CD64" s="374">
        <f t="shared" si="50"/>
        <v>96047.095346369824</v>
      </c>
      <c r="CE64" s="375">
        <f t="shared" si="50"/>
        <v>96854.684892506819</v>
      </c>
      <c r="CF64" s="375">
        <f t="shared" si="50"/>
        <v>101116.98643916468</v>
      </c>
      <c r="CG64" s="375">
        <f t="shared" si="50"/>
        <v>101216.37358424769</v>
      </c>
      <c r="CH64" s="375">
        <f t="shared" si="50"/>
        <v>101551.43561042998</v>
      </c>
      <c r="CI64" s="374">
        <f t="shared" ref="CI64" si="51">CI50+CI62+CI52</f>
        <v>101551.43561042998</v>
      </c>
      <c r="CJ64" s="374">
        <f>CJ50+CJ62+CJ52</f>
        <v>105546.80626068142</v>
      </c>
      <c r="CK64" s="374">
        <f>CK50+CK62+CK52</f>
        <v>110684.33879345504</v>
      </c>
      <c r="CL64" s="374">
        <f>CL50+CL62+CL52</f>
        <v>115964.81483420647</v>
      </c>
      <c r="CM64" s="509"/>
      <c r="CN64" s="509"/>
    </row>
    <row r="65" spans="1:92" ht="13.5" thickTop="1">
      <c r="A65" s="264"/>
      <c r="B65" s="264"/>
      <c r="C65" s="264"/>
      <c r="D65" s="264"/>
      <c r="E65" s="264"/>
      <c r="F65" s="264"/>
      <c r="G65" s="264"/>
      <c r="H65" s="264"/>
      <c r="I65" s="646"/>
      <c r="J65" s="646"/>
      <c r="K65" s="646"/>
      <c r="L65" s="646"/>
      <c r="M65" s="647"/>
      <c r="N65" s="647"/>
      <c r="O65" s="647"/>
      <c r="P65" s="647"/>
      <c r="Q65" s="646"/>
      <c r="R65" s="647"/>
      <c r="S65" s="647"/>
      <c r="T65" s="647"/>
      <c r="U65" s="647"/>
      <c r="V65" s="646"/>
      <c r="W65" s="647"/>
      <c r="X65" s="647"/>
      <c r="Y65" s="647"/>
      <c r="Z65" s="647"/>
      <c r="AA65" s="646"/>
      <c r="AB65" s="647"/>
      <c r="AC65" s="648"/>
      <c r="AD65" s="648"/>
      <c r="AE65" s="647"/>
      <c r="AF65" s="646"/>
      <c r="AG65" s="647"/>
      <c r="AH65" s="648"/>
      <c r="AI65" s="648"/>
      <c r="AJ65" s="647"/>
      <c r="AK65" s="646"/>
      <c r="AL65" s="647"/>
      <c r="AM65" s="648"/>
      <c r="AN65" s="648"/>
      <c r="AO65" s="647"/>
      <c r="AP65" s="646"/>
      <c r="AQ65" s="647"/>
      <c r="AR65" s="648"/>
      <c r="AS65" s="648"/>
      <c r="AT65" s="647"/>
      <c r="AU65" s="646"/>
      <c r="AV65" s="647"/>
      <c r="AW65" s="648"/>
      <c r="AX65" s="648"/>
      <c r="AY65" s="647"/>
      <c r="AZ65" s="646"/>
      <c r="BA65" s="647"/>
      <c r="BB65" s="648"/>
      <c r="BC65" s="648"/>
      <c r="BD65" s="647"/>
      <c r="BE65" s="646"/>
      <c r="BF65" s="647"/>
      <c r="BG65" s="647"/>
      <c r="BH65" s="647"/>
      <c r="BI65" s="647"/>
      <c r="BJ65" s="646"/>
      <c r="BK65" s="647"/>
      <c r="BL65" s="647"/>
      <c r="BM65" s="647"/>
      <c r="BN65" s="647"/>
      <c r="BO65" s="646"/>
      <c r="BP65" s="647"/>
      <c r="BQ65" s="647"/>
      <c r="BR65" s="647"/>
      <c r="BS65" s="647"/>
      <c r="BT65" s="646"/>
      <c r="BU65" s="647"/>
      <c r="BV65" s="647"/>
      <c r="BW65" s="647"/>
      <c r="BX65" s="647"/>
      <c r="BY65" s="646"/>
      <c r="BZ65" s="647"/>
      <c r="CA65" s="647"/>
      <c r="CB65" s="647"/>
      <c r="CC65" s="647"/>
      <c r="CD65" s="646"/>
      <c r="CE65" s="647"/>
      <c r="CF65" s="647"/>
      <c r="CG65" s="647"/>
      <c r="CH65" s="647"/>
      <c r="CI65" s="646"/>
      <c r="CJ65" s="646"/>
      <c r="CK65" s="646"/>
      <c r="CL65" s="646"/>
      <c r="CM65" s="509"/>
      <c r="CN65" s="509"/>
    </row>
    <row r="66" spans="1:92">
      <c r="A66" s="643"/>
      <c r="B66" s="644" t="s">
        <v>367</v>
      </c>
      <c r="C66" s="643"/>
      <c r="D66" s="643"/>
      <c r="E66" s="642"/>
      <c r="F66" s="642"/>
      <c r="G66" s="642"/>
      <c r="H66" s="641"/>
      <c r="I66" s="636">
        <v>0</v>
      </c>
      <c r="J66" s="636">
        <v>0</v>
      </c>
      <c r="K66" s="636">
        <v>0</v>
      </c>
      <c r="L66" s="636">
        <v>0</v>
      </c>
      <c r="M66" s="638">
        <v>0</v>
      </c>
      <c r="N66" s="638">
        <v>0</v>
      </c>
      <c r="O66" s="638">
        <v>0</v>
      </c>
      <c r="P66" s="638">
        <v>0</v>
      </c>
      <c r="Q66" s="636">
        <v>0</v>
      </c>
      <c r="R66" s="638">
        <v>0</v>
      </c>
      <c r="S66" s="645">
        <v>0</v>
      </c>
      <c r="T66" s="645">
        <v>0</v>
      </c>
      <c r="U66" s="645">
        <v>0</v>
      </c>
      <c r="V66" s="636">
        <v>0</v>
      </c>
      <c r="W66" s="645">
        <f t="shared" ref="W66:BB66" si="52">W30-W64</f>
        <v>0</v>
      </c>
      <c r="X66" s="645">
        <f t="shared" si="52"/>
        <v>0</v>
      </c>
      <c r="Y66" s="645">
        <f t="shared" si="52"/>
        <v>0</v>
      </c>
      <c r="Z66" s="645">
        <f t="shared" si="52"/>
        <v>0</v>
      </c>
      <c r="AA66" s="636">
        <f t="shared" si="52"/>
        <v>0</v>
      </c>
      <c r="AB66" s="645">
        <f t="shared" si="52"/>
        <v>0</v>
      </c>
      <c r="AC66" s="645">
        <f t="shared" si="52"/>
        <v>0</v>
      </c>
      <c r="AD66" s="645">
        <f t="shared" si="52"/>
        <v>0</v>
      </c>
      <c r="AE66" s="645">
        <f t="shared" si="52"/>
        <v>0</v>
      </c>
      <c r="AF66" s="636">
        <f t="shared" si="52"/>
        <v>0</v>
      </c>
      <c r="AG66" s="645">
        <f t="shared" si="52"/>
        <v>0</v>
      </c>
      <c r="AH66" s="645">
        <f t="shared" si="52"/>
        <v>0</v>
      </c>
      <c r="AI66" s="645">
        <f t="shared" si="52"/>
        <v>0</v>
      </c>
      <c r="AJ66" s="645">
        <f t="shared" si="52"/>
        <v>0</v>
      </c>
      <c r="AK66" s="636">
        <f t="shared" si="52"/>
        <v>0</v>
      </c>
      <c r="AL66" s="645">
        <f t="shared" si="52"/>
        <v>0</v>
      </c>
      <c r="AM66" s="645">
        <f t="shared" si="52"/>
        <v>0</v>
      </c>
      <c r="AN66" s="645">
        <f t="shared" si="52"/>
        <v>0</v>
      </c>
      <c r="AO66" s="645">
        <f t="shared" si="52"/>
        <v>0</v>
      </c>
      <c r="AP66" s="636">
        <f t="shared" si="52"/>
        <v>0</v>
      </c>
      <c r="AQ66" s="645">
        <f t="shared" si="52"/>
        <v>0</v>
      </c>
      <c r="AR66" s="645">
        <f t="shared" si="52"/>
        <v>0</v>
      </c>
      <c r="AS66" s="645">
        <f t="shared" si="52"/>
        <v>0</v>
      </c>
      <c r="AT66" s="638">
        <f t="shared" si="52"/>
        <v>0</v>
      </c>
      <c r="AU66" s="636">
        <f t="shared" si="52"/>
        <v>0</v>
      </c>
      <c r="AV66" s="637">
        <f t="shared" si="52"/>
        <v>0</v>
      </c>
      <c r="AW66" s="645">
        <f t="shared" si="52"/>
        <v>0</v>
      </c>
      <c r="AX66" s="637">
        <f t="shared" si="52"/>
        <v>0</v>
      </c>
      <c r="AY66" s="637">
        <f t="shared" si="52"/>
        <v>0</v>
      </c>
      <c r="AZ66" s="636">
        <f t="shared" si="52"/>
        <v>0</v>
      </c>
      <c r="BA66" s="637">
        <f t="shared" si="52"/>
        <v>0</v>
      </c>
      <c r="BB66" s="637">
        <f t="shared" si="52"/>
        <v>0</v>
      </c>
      <c r="BC66" s="637">
        <f t="shared" ref="BC66:BY66" si="53">BC30-BC64</f>
        <v>0</v>
      </c>
      <c r="BD66" s="637">
        <f t="shared" si="53"/>
        <v>0</v>
      </c>
      <c r="BE66" s="636">
        <f t="shared" si="53"/>
        <v>0</v>
      </c>
      <c r="BF66" s="637">
        <f t="shared" si="53"/>
        <v>0</v>
      </c>
      <c r="BG66" s="637">
        <f t="shared" si="53"/>
        <v>0</v>
      </c>
      <c r="BH66" s="637">
        <f t="shared" si="53"/>
        <v>0</v>
      </c>
      <c r="BI66" s="637">
        <f t="shared" si="53"/>
        <v>0</v>
      </c>
      <c r="BJ66" s="636">
        <f t="shared" si="53"/>
        <v>0</v>
      </c>
      <c r="BK66" s="637">
        <f t="shared" si="53"/>
        <v>0</v>
      </c>
      <c r="BL66" s="638">
        <f t="shared" si="53"/>
        <v>0</v>
      </c>
      <c r="BM66" s="637">
        <f t="shared" si="53"/>
        <v>0</v>
      </c>
      <c r="BN66" s="637">
        <f t="shared" si="53"/>
        <v>0</v>
      </c>
      <c r="BO66" s="636">
        <f t="shared" si="53"/>
        <v>0</v>
      </c>
      <c r="BP66" s="637">
        <f t="shared" si="53"/>
        <v>0</v>
      </c>
      <c r="BQ66" s="637">
        <f t="shared" si="53"/>
        <v>0</v>
      </c>
      <c r="BR66" s="638">
        <f t="shared" si="53"/>
        <v>0</v>
      </c>
      <c r="BS66" s="638">
        <f>BS30-BS64</f>
        <v>0</v>
      </c>
      <c r="BT66" s="636">
        <f t="shared" si="53"/>
        <v>0</v>
      </c>
      <c r="BU66" s="637">
        <f t="shared" si="53"/>
        <v>0</v>
      </c>
      <c r="BV66" s="637">
        <f t="shared" si="53"/>
        <v>0</v>
      </c>
      <c r="BW66" s="637">
        <f t="shared" si="53"/>
        <v>0</v>
      </c>
      <c r="BX66" s="637">
        <f t="shared" si="53"/>
        <v>0</v>
      </c>
      <c r="BY66" s="636">
        <f t="shared" si="53"/>
        <v>0</v>
      </c>
      <c r="BZ66" s="637">
        <f>BZ30-BZ64</f>
        <v>0</v>
      </c>
      <c r="CA66" s="637">
        <f t="shared" ref="CA66:CJ66" si="54">CA30-CA64</f>
        <v>0</v>
      </c>
      <c r="CB66" s="637">
        <f t="shared" si="54"/>
        <v>0</v>
      </c>
      <c r="CC66" s="637">
        <f t="shared" si="54"/>
        <v>0</v>
      </c>
      <c r="CD66" s="636">
        <f t="shared" si="54"/>
        <v>0</v>
      </c>
      <c r="CE66" s="637">
        <f>CE30-CE64</f>
        <v>0</v>
      </c>
      <c r="CF66" s="637">
        <f>CF30-CF64</f>
        <v>0</v>
      </c>
      <c r="CG66" s="637">
        <f>CG30-CG64</f>
        <v>0</v>
      </c>
      <c r="CH66" s="637">
        <f>CH30-CH64</f>
        <v>0</v>
      </c>
      <c r="CI66" s="636">
        <f t="shared" ref="CI66" si="55">CI30-CI64</f>
        <v>0</v>
      </c>
      <c r="CJ66" s="636">
        <f t="shared" si="54"/>
        <v>0</v>
      </c>
      <c r="CK66" s="636">
        <f>CK30-CK64</f>
        <v>0</v>
      </c>
      <c r="CL66" s="636">
        <f>CL30-CL64</f>
        <v>0</v>
      </c>
      <c r="CM66" s="635"/>
      <c r="CN66" s="634"/>
    </row>
    <row r="67" spans="1:92" hidden="1">
      <c r="A67" s="643"/>
      <c r="B67" s="644"/>
      <c r="C67" s="643"/>
      <c r="D67" s="643"/>
      <c r="E67" s="642"/>
      <c r="F67" s="642"/>
      <c r="G67" s="642"/>
      <c r="H67" s="641"/>
      <c r="I67" s="636"/>
      <c r="J67" s="636"/>
      <c r="K67" s="636"/>
      <c r="L67" s="636"/>
      <c r="M67" s="637"/>
      <c r="N67" s="637"/>
      <c r="O67" s="637"/>
      <c r="P67" s="637"/>
      <c r="Q67" s="636"/>
      <c r="R67" s="637"/>
      <c r="S67" s="640"/>
      <c r="T67" s="639"/>
      <c r="U67" s="639"/>
      <c r="V67" s="636"/>
      <c r="W67" s="638"/>
      <c r="X67" s="638"/>
      <c r="Y67" s="638"/>
      <c r="Z67" s="638"/>
      <c r="AA67" s="636"/>
      <c r="AB67" s="638"/>
      <c r="AC67" s="638"/>
      <c r="AD67" s="638"/>
      <c r="AE67" s="638"/>
      <c r="AF67" s="636"/>
      <c r="AG67" s="638"/>
      <c r="AH67" s="638"/>
      <c r="AI67" s="637"/>
      <c r="AJ67" s="637"/>
      <c r="AK67" s="636"/>
      <c r="AL67" s="637"/>
      <c r="AM67" s="637"/>
      <c r="AN67" s="637"/>
      <c r="AO67" s="637"/>
      <c r="AP67" s="636"/>
      <c r="AQ67" s="637"/>
      <c r="AR67" s="637"/>
      <c r="AS67" s="638"/>
      <c r="AT67" s="637"/>
      <c r="AU67" s="636"/>
      <c r="AV67" s="637"/>
      <c r="AW67" s="637"/>
      <c r="AX67" s="637"/>
      <c r="AY67" s="637"/>
      <c r="AZ67" s="636"/>
      <c r="BA67" s="637"/>
      <c r="BB67" s="637"/>
      <c r="BC67" s="637"/>
      <c r="BD67" s="637"/>
      <c r="BE67" s="636"/>
      <c r="BF67" s="637"/>
      <c r="BG67" s="637"/>
      <c r="BH67" s="637"/>
      <c r="BI67" s="637"/>
      <c r="BJ67" s="636"/>
      <c r="BK67" s="637"/>
      <c r="BL67" s="638"/>
      <c r="BM67" s="637"/>
      <c r="BN67" s="637"/>
      <c r="BO67" s="636"/>
      <c r="BP67" s="637"/>
      <c r="BQ67" s="637"/>
      <c r="BR67" s="638"/>
      <c r="BS67" s="638"/>
      <c r="BT67" s="636"/>
      <c r="BU67" s="637"/>
      <c r="BV67" s="637"/>
      <c r="BW67" s="637"/>
      <c r="BX67" s="637"/>
      <c r="BY67" s="636"/>
      <c r="BZ67" s="637"/>
      <c r="CA67" s="637"/>
      <c r="CB67" s="637"/>
      <c r="CC67" s="637"/>
      <c r="CD67" s="636"/>
      <c r="CE67" s="637"/>
      <c r="CF67" s="637"/>
      <c r="CG67" s="637"/>
      <c r="CH67" s="637"/>
      <c r="CI67" s="636"/>
      <c r="CJ67" s="636"/>
      <c r="CK67" s="636"/>
      <c r="CL67" s="636"/>
      <c r="CM67" s="635"/>
      <c r="CN67" s="634"/>
    </row>
    <row r="68" spans="1:92" hidden="1">
      <c r="A68" s="643"/>
      <c r="B68" s="644"/>
      <c r="C68" s="643"/>
      <c r="D68" s="643"/>
      <c r="E68" s="642"/>
      <c r="F68" s="642"/>
      <c r="G68" s="642"/>
      <c r="H68" s="641"/>
      <c r="I68" s="636"/>
      <c r="J68" s="636"/>
      <c r="K68" s="636"/>
      <c r="L68" s="636"/>
      <c r="M68" s="637"/>
      <c r="N68" s="637"/>
      <c r="O68" s="637"/>
      <c r="P68" s="637"/>
      <c r="Q68" s="636"/>
      <c r="R68" s="637"/>
      <c r="S68" s="640"/>
      <c r="T68" s="639"/>
      <c r="U68" s="639"/>
      <c r="V68" s="636"/>
      <c r="W68" s="638"/>
      <c r="X68" s="638"/>
      <c r="Y68" s="638"/>
      <c r="Z68" s="638"/>
      <c r="AA68" s="636"/>
      <c r="AB68" s="638"/>
      <c r="AC68" s="638"/>
      <c r="AD68" s="638"/>
      <c r="AE68" s="638"/>
      <c r="AF68" s="636"/>
      <c r="AG68" s="638"/>
      <c r="AH68" s="638"/>
      <c r="AI68" s="637"/>
      <c r="AJ68" s="637"/>
      <c r="AK68" s="636"/>
      <c r="AL68" s="637"/>
      <c r="AM68" s="637"/>
      <c r="AN68" s="637"/>
      <c r="AO68" s="637"/>
      <c r="AP68" s="636"/>
      <c r="AQ68" s="637"/>
      <c r="AR68" s="637"/>
      <c r="AS68" s="638"/>
      <c r="AT68" s="637"/>
      <c r="AU68" s="636"/>
      <c r="AV68" s="637"/>
      <c r="AW68" s="637"/>
      <c r="AX68" s="637"/>
      <c r="AY68" s="637"/>
      <c r="AZ68" s="636"/>
      <c r="BA68" s="637"/>
      <c r="BB68" s="637"/>
      <c r="BC68" s="637"/>
      <c r="BD68" s="637"/>
      <c r="BE68" s="636"/>
      <c r="BF68" s="637"/>
      <c r="BG68" s="637"/>
      <c r="BH68" s="637"/>
      <c r="BI68" s="637"/>
      <c r="BJ68" s="636"/>
      <c r="BK68" s="637"/>
      <c r="BL68" s="638"/>
      <c r="BM68" s="637"/>
      <c r="BN68" s="637"/>
      <c r="BO68" s="636"/>
      <c r="BP68" s="637"/>
      <c r="BQ68" s="637"/>
      <c r="BR68" s="638"/>
      <c r="BS68" s="638"/>
      <c r="BT68" s="636"/>
      <c r="BU68" s="637"/>
      <c r="BV68" s="637"/>
      <c r="BW68" s="637"/>
      <c r="BX68" s="637"/>
      <c r="BY68" s="636"/>
      <c r="BZ68" s="637"/>
      <c r="CA68" s="637"/>
      <c r="CB68" s="637"/>
      <c r="CC68" s="637"/>
      <c r="CD68" s="636"/>
      <c r="CE68" s="637"/>
      <c r="CF68" s="637"/>
      <c r="CG68" s="637"/>
      <c r="CH68" s="637"/>
      <c r="CI68" s="636"/>
      <c r="CJ68" s="636"/>
      <c r="CK68" s="636"/>
      <c r="CL68" s="636"/>
      <c r="CM68" s="635"/>
      <c r="CN68" s="634"/>
    </row>
    <row r="69" spans="1:92" hidden="1">
      <c r="A69" s="643"/>
      <c r="B69" s="644"/>
      <c r="C69" s="643"/>
      <c r="D69" s="643"/>
      <c r="E69" s="642"/>
      <c r="F69" s="642"/>
      <c r="G69" s="642"/>
      <c r="H69" s="641"/>
      <c r="I69" s="636"/>
      <c r="J69" s="636"/>
      <c r="K69" s="636"/>
      <c r="L69" s="636"/>
      <c r="M69" s="637"/>
      <c r="N69" s="637"/>
      <c r="O69" s="637"/>
      <c r="P69" s="637"/>
      <c r="Q69" s="636"/>
      <c r="R69" s="637"/>
      <c r="S69" s="640"/>
      <c r="T69" s="639"/>
      <c r="U69" s="639"/>
      <c r="V69" s="636"/>
      <c r="W69" s="638"/>
      <c r="X69" s="638"/>
      <c r="Y69" s="638"/>
      <c r="Z69" s="638"/>
      <c r="AA69" s="636"/>
      <c r="AB69" s="638"/>
      <c r="AC69" s="638"/>
      <c r="AD69" s="638"/>
      <c r="AE69" s="638"/>
      <c r="AF69" s="636"/>
      <c r="AG69" s="638"/>
      <c r="AH69" s="638"/>
      <c r="AI69" s="637"/>
      <c r="AJ69" s="637"/>
      <c r="AK69" s="636"/>
      <c r="AL69" s="637"/>
      <c r="AM69" s="637"/>
      <c r="AN69" s="637"/>
      <c r="AO69" s="637"/>
      <c r="AP69" s="636"/>
      <c r="AQ69" s="637"/>
      <c r="AR69" s="637"/>
      <c r="AS69" s="638"/>
      <c r="AT69" s="637"/>
      <c r="AU69" s="636"/>
      <c r="AV69" s="637"/>
      <c r="AW69" s="637"/>
      <c r="AX69" s="637"/>
      <c r="AY69" s="637"/>
      <c r="AZ69" s="636"/>
      <c r="BA69" s="637"/>
      <c r="BB69" s="637"/>
      <c r="BC69" s="637"/>
      <c r="BD69" s="637"/>
      <c r="BE69" s="636"/>
      <c r="BF69" s="637"/>
      <c r="BG69" s="637"/>
      <c r="BH69" s="637"/>
      <c r="BI69" s="637"/>
      <c r="BJ69" s="636"/>
      <c r="BK69" s="637"/>
      <c r="BL69" s="638"/>
      <c r="BM69" s="637"/>
      <c r="BN69" s="637"/>
      <c r="BO69" s="636"/>
      <c r="BP69" s="637"/>
      <c r="BQ69" s="637"/>
      <c r="BR69" s="638"/>
      <c r="BS69" s="638"/>
      <c r="BT69" s="636"/>
      <c r="BU69" s="637"/>
      <c r="BV69" s="637"/>
      <c r="BW69" s="637"/>
      <c r="BX69" s="637"/>
      <c r="BY69" s="636"/>
      <c r="BZ69" s="637"/>
      <c r="CA69" s="637"/>
      <c r="CB69" s="637"/>
      <c r="CC69" s="637"/>
      <c r="CD69" s="636"/>
      <c r="CE69" s="637"/>
      <c r="CF69" s="637"/>
      <c r="CG69" s="637"/>
      <c r="CH69" s="637"/>
      <c r="CI69" s="636"/>
      <c r="CJ69" s="636"/>
      <c r="CK69" s="636"/>
      <c r="CL69" s="636"/>
      <c r="CM69" s="635"/>
      <c r="CN69" s="634"/>
    </row>
    <row r="70" spans="1:92" hidden="1">
      <c r="A70" s="643"/>
      <c r="B70" s="644"/>
      <c r="C70" s="643"/>
      <c r="D70" s="643"/>
      <c r="E70" s="642"/>
      <c r="F70" s="642"/>
      <c r="G70" s="642"/>
      <c r="H70" s="641"/>
      <c r="I70" s="636"/>
      <c r="J70" s="636"/>
      <c r="K70" s="636"/>
      <c r="L70" s="636"/>
      <c r="M70" s="637"/>
      <c r="N70" s="637"/>
      <c r="O70" s="637"/>
      <c r="P70" s="637"/>
      <c r="Q70" s="636"/>
      <c r="R70" s="637"/>
      <c r="S70" s="640"/>
      <c r="T70" s="639"/>
      <c r="U70" s="639"/>
      <c r="V70" s="636"/>
      <c r="W70" s="638"/>
      <c r="X70" s="638"/>
      <c r="Y70" s="638"/>
      <c r="Z70" s="638"/>
      <c r="AA70" s="636"/>
      <c r="AB70" s="638"/>
      <c r="AC70" s="638"/>
      <c r="AD70" s="638"/>
      <c r="AE70" s="638"/>
      <c r="AF70" s="636"/>
      <c r="AG70" s="638"/>
      <c r="AH70" s="638"/>
      <c r="AI70" s="637"/>
      <c r="AJ70" s="637"/>
      <c r="AK70" s="636"/>
      <c r="AL70" s="637"/>
      <c r="AM70" s="637"/>
      <c r="AN70" s="637"/>
      <c r="AO70" s="637"/>
      <c r="AP70" s="636"/>
      <c r="AQ70" s="637"/>
      <c r="AR70" s="637"/>
      <c r="AS70" s="638"/>
      <c r="AT70" s="637"/>
      <c r="AU70" s="636"/>
      <c r="AV70" s="637"/>
      <c r="AW70" s="637"/>
      <c r="AX70" s="637"/>
      <c r="AY70" s="637"/>
      <c r="AZ70" s="636"/>
      <c r="BA70" s="637"/>
      <c r="BB70" s="637"/>
      <c r="BC70" s="637"/>
      <c r="BD70" s="637"/>
      <c r="BE70" s="636"/>
      <c r="BF70" s="637"/>
      <c r="BG70" s="637"/>
      <c r="BH70" s="637"/>
      <c r="BI70" s="637"/>
      <c r="BJ70" s="636"/>
      <c r="BK70" s="637"/>
      <c r="BL70" s="638"/>
      <c r="BM70" s="637"/>
      <c r="BN70" s="637"/>
      <c r="BO70" s="636"/>
      <c r="BP70" s="637"/>
      <c r="BQ70" s="637"/>
      <c r="BR70" s="638"/>
      <c r="BS70" s="638"/>
      <c r="BT70" s="636"/>
      <c r="BU70" s="637"/>
      <c r="BV70" s="637"/>
      <c r="BW70" s="637"/>
      <c r="BX70" s="637"/>
      <c r="BY70" s="636"/>
      <c r="BZ70" s="637"/>
      <c r="CA70" s="637"/>
      <c r="CB70" s="637"/>
      <c r="CC70" s="637"/>
      <c r="CD70" s="636"/>
      <c r="CE70" s="637"/>
      <c r="CF70" s="637"/>
      <c r="CG70" s="637"/>
      <c r="CH70" s="637"/>
      <c r="CI70" s="636"/>
      <c r="CJ70" s="636"/>
      <c r="CK70" s="636"/>
      <c r="CL70" s="636"/>
      <c r="CM70" s="635"/>
      <c r="CN70" s="634"/>
    </row>
    <row r="71" spans="1:92" hidden="1">
      <c r="A71" s="264"/>
      <c r="B71" s="265"/>
      <c r="C71" s="265"/>
      <c r="D71" s="265"/>
      <c r="E71" s="265"/>
      <c r="F71" s="575"/>
      <c r="G71" s="575"/>
      <c r="H71" s="575"/>
      <c r="I71" s="631"/>
      <c r="J71" s="631"/>
      <c r="K71" s="631"/>
      <c r="L71" s="631"/>
      <c r="M71" s="632"/>
      <c r="N71" s="632"/>
      <c r="O71" s="632"/>
      <c r="P71" s="632"/>
      <c r="Q71" s="631"/>
      <c r="R71" s="632"/>
      <c r="S71" s="632"/>
      <c r="T71" s="633"/>
      <c r="U71" s="633"/>
      <c r="V71" s="631"/>
      <c r="W71" s="632"/>
      <c r="X71" s="632"/>
      <c r="Y71" s="632"/>
      <c r="Z71" s="632"/>
      <c r="AA71" s="631"/>
      <c r="AB71" s="632"/>
      <c r="AC71" s="632"/>
      <c r="AD71" s="632"/>
      <c r="AE71" s="632"/>
      <c r="AF71" s="631"/>
      <c r="AG71" s="632"/>
      <c r="AH71" s="632"/>
      <c r="AI71" s="632"/>
      <c r="AJ71" s="632"/>
      <c r="AK71" s="631"/>
      <c r="AL71" s="632"/>
      <c r="AM71" s="632"/>
      <c r="AN71" s="632"/>
      <c r="AO71" s="632"/>
      <c r="AP71" s="631"/>
      <c r="AQ71" s="632"/>
      <c r="AR71" s="632"/>
      <c r="AS71" s="632"/>
      <c r="AT71" s="632"/>
      <c r="AU71" s="631"/>
      <c r="AV71" s="632"/>
      <c r="AW71" s="632"/>
      <c r="AX71" s="632"/>
      <c r="AY71" s="632"/>
      <c r="AZ71" s="631"/>
      <c r="BA71" s="632"/>
      <c r="BB71" s="632"/>
      <c r="BC71" s="632"/>
      <c r="BD71" s="632"/>
      <c r="BE71" s="631"/>
      <c r="BF71" s="632"/>
      <c r="BG71" s="632"/>
      <c r="BH71" s="632"/>
      <c r="BI71" s="632"/>
      <c r="BJ71" s="631"/>
      <c r="BK71" s="632"/>
      <c r="BL71" s="632"/>
      <c r="BM71" s="632"/>
      <c r="BN71" s="632"/>
      <c r="BO71" s="631"/>
      <c r="BP71" s="632"/>
      <c r="BQ71" s="632"/>
      <c r="BR71" s="632"/>
      <c r="BS71" s="632"/>
      <c r="BT71" s="631"/>
      <c r="BU71" s="632"/>
      <c r="BV71" s="632"/>
      <c r="BW71" s="632"/>
      <c r="BX71" s="632"/>
      <c r="BY71" s="631"/>
      <c r="BZ71" s="632"/>
      <c r="CA71" s="632"/>
      <c r="CB71" s="632"/>
      <c r="CC71" s="632"/>
      <c r="CD71" s="631"/>
      <c r="CE71" s="632"/>
      <c r="CF71" s="632"/>
      <c r="CG71" s="632"/>
      <c r="CH71" s="632"/>
      <c r="CI71" s="631"/>
      <c r="CJ71" s="631"/>
      <c r="CK71" s="631"/>
      <c r="CL71" s="631"/>
      <c r="CM71" s="509"/>
      <c r="CN71" s="524"/>
    </row>
    <row r="72" spans="1:92">
      <c r="A72" s="264"/>
      <c r="B72" s="265"/>
      <c r="C72" s="265"/>
      <c r="D72" s="265"/>
      <c r="E72" s="265"/>
      <c r="F72" s="265"/>
      <c r="G72" s="265"/>
      <c r="H72" s="265"/>
      <c r="I72" s="522"/>
      <c r="J72" s="522"/>
      <c r="K72" s="522"/>
      <c r="L72" s="522"/>
      <c r="M72" s="524"/>
      <c r="N72" s="524"/>
      <c r="O72" s="524"/>
      <c r="P72" s="524"/>
      <c r="Q72" s="522"/>
      <c r="R72" s="524"/>
      <c r="S72" s="524"/>
      <c r="T72" s="630"/>
      <c r="U72" s="630"/>
      <c r="V72" s="522"/>
      <c r="W72" s="524"/>
      <c r="X72" s="524"/>
      <c r="Y72" s="524"/>
      <c r="Z72" s="524"/>
      <c r="AA72" s="522"/>
      <c r="AB72" s="524"/>
      <c r="AC72" s="524"/>
      <c r="AD72" s="524"/>
      <c r="AE72" s="524"/>
      <c r="AF72" s="522"/>
      <c r="AG72" s="524"/>
      <c r="AH72" s="524"/>
      <c r="AI72" s="524"/>
      <c r="AJ72" s="524"/>
      <c r="AK72" s="522"/>
      <c r="AL72" s="524"/>
      <c r="AM72" s="524"/>
      <c r="AN72" s="524"/>
      <c r="AO72" s="524"/>
      <c r="AP72" s="522"/>
      <c r="AQ72" s="524"/>
      <c r="AR72" s="629"/>
      <c r="AS72" s="524"/>
      <c r="AT72" s="524"/>
      <c r="AU72" s="522"/>
      <c r="AV72" s="524"/>
      <c r="AW72" s="629"/>
      <c r="AX72" s="524"/>
      <c r="AY72" s="524"/>
      <c r="AZ72" s="522"/>
      <c r="BA72" s="524"/>
      <c r="BB72" s="524"/>
      <c r="BC72" s="524"/>
      <c r="BD72" s="524"/>
      <c r="BE72" s="522"/>
      <c r="BF72" s="524"/>
      <c r="BG72" s="524"/>
      <c r="BH72" s="524"/>
      <c r="BI72" s="524"/>
      <c r="BJ72" s="522"/>
      <c r="BK72" s="524"/>
      <c r="BL72" s="524"/>
      <c r="BM72" s="524"/>
      <c r="BN72" s="524"/>
      <c r="BO72" s="522"/>
      <c r="BP72" s="524"/>
      <c r="BQ72" s="524"/>
      <c r="BR72" s="524"/>
      <c r="BS72" s="524"/>
      <c r="BT72" s="522"/>
      <c r="BU72" s="524"/>
      <c r="BV72" s="524"/>
      <c r="BW72" s="524"/>
      <c r="BX72" s="524"/>
      <c r="BY72" s="522"/>
      <c r="BZ72" s="524"/>
      <c r="CA72" s="524"/>
      <c r="CB72" s="524"/>
      <c r="CC72" s="524"/>
      <c r="CD72" s="522"/>
      <c r="CE72" s="524"/>
      <c r="CF72" s="524"/>
      <c r="CG72" s="524"/>
      <c r="CH72" s="524"/>
      <c r="CI72" s="522"/>
      <c r="CJ72" s="522"/>
      <c r="CK72" s="522"/>
      <c r="CL72" s="522"/>
      <c r="CM72" s="509"/>
      <c r="CN72" s="524"/>
    </row>
    <row r="73" spans="1:92">
      <c r="A73" s="623"/>
      <c r="B73" s="628" t="s">
        <v>136</v>
      </c>
      <c r="C73" s="264"/>
      <c r="D73" s="264"/>
      <c r="E73" s="264"/>
      <c r="F73" s="507" t="s">
        <v>366</v>
      </c>
      <c r="G73" s="507"/>
      <c r="H73" s="118"/>
      <c r="I73" s="492"/>
      <c r="J73" s="492"/>
      <c r="K73" s="492"/>
      <c r="L73" s="492"/>
      <c r="M73" s="626"/>
      <c r="N73" s="626"/>
      <c r="O73" s="626"/>
      <c r="P73" s="626"/>
      <c r="Q73" s="492"/>
      <c r="R73" s="626"/>
      <c r="S73" s="626"/>
      <c r="T73" s="627"/>
      <c r="U73" s="627"/>
      <c r="V73" s="492"/>
      <c r="W73" s="626"/>
      <c r="X73" s="626"/>
      <c r="Y73" s="626"/>
      <c r="Z73" s="626"/>
      <c r="AA73" s="492"/>
      <c r="AB73" s="626"/>
      <c r="AC73" s="626"/>
      <c r="AD73" s="626"/>
      <c r="AE73" s="626"/>
      <c r="AF73" s="492"/>
      <c r="AG73" s="626"/>
      <c r="AH73" s="626"/>
      <c r="AI73" s="626"/>
      <c r="AJ73" s="626"/>
      <c r="AK73" s="492"/>
      <c r="AL73" s="626"/>
      <c r="AM73" s="626"/>
      <c r="AN73" s="626"/>
      <c r="AO73" s="625"/>
      <c r="AP73" s="620"/>
      <c r="AQ73" s="625"/>
      <c r="AR73" s="625"/>
      <c r="AS73" s="625"/>
      <c r="AT73" s="625"/>
      <c r="AU73" s="620"/>
      <c r="AV73" s="625"/>
      <c r="AW73" s="625"/>
      <c r="AX73" s="625"/>
      <c r="AY73" s="625"/>
      <c r="AZ73" s="620"/>
      <c r="BA73" s="612"/>
      <c r="BB73" s="612"/>
      <c r="BC73" s="612"/>
      <c r="BD73" s="612"/>
      <c r="BE73" s="620"/>
      <c r="BF73" s="612"/>
      <c r="BG73" s="612"/>
      <c r="BH73" s="612"/>
      <c r="BI73" s="612"/>
      <c r="BJ73" s="620"/>
      <c r="BK73" s="612"/>
      <c r="BL73" s="612"/>
      <c r="BM73" s="612"/>
      <c r="BN73" s="612"/>
      <c r="BO73" s="620"/>
      <c r="BP73" s="612"/>
      <c r="BQ73" s="612"/>
      <c r="BR73" s="612"/>
      <c r="BS73" s="612"/>
      <c r="BT73" s="620"/>
      <c r="BU73" s="612"/>
      <c r="BV73" s="612"/>
      <c r="BW73" s="612"/>
      <c r="BX73" s="612"/>
      <c r="BY73" s="620"/>
      <c r="BZ73" s="612"/>
      <c r="CA73" s="612"/>
      <c r="CB73" s="612"/>
      <c r="CC73" s="612"/>
      <c r="CD73" s="620"/>
      <c r="CE73" s="612"/>
      <c r="CF73" s="612"/>
      <c r="CG73" s="612"/>
      <c r="CH73" s="612"/>
      <c r="CI73" s="620"/>
      <c r="CJ73" s="620"/>
      <c r="CK73" s="620"/>
      <c r="CL73" s="620"/>
      <c r="CM73" s="619"/>
      <c r="CN73" s="618"/>
    </row>
    <row r="74" spans="1:92">
      <c r="A74" s="623"/>
      <c r="B74" s="624"/>
      <c r="C74" s="623"/>
      <c r="D74" s="623"/>
      <c r="E74" s="623"/>
      <c r="F74" s="616"/>
      <c r="G74" s="616"/>
      <c r="H74" s="616"/>
      <c r="I74" s="620"/>
      <c r="J74" s="620"/>
      <c r="K74" s="620"/>
      <c r="L74" s="620"/>
      <c r="M74" s="612"/>
      <c r="N74" s="612"/>
      <c r="O74" s="612"/>
      <c r="P74" s="612"/>
      <c r="Q74" s="620"/>
      <c r="R74" s="612"/>
      <c r="S74" s="612"/>
      <c r="T74" s="622"/>
      <c r="U74" s="622"/>
      <c r="V74" s="620"/>
      <c r="W74" s="612"/>
      <c r="X74" s="612"/>
      <c r="Y74" s="612"/>
      <c r="Z74" s="612"/>
      <c r="AA74" s="620"/>
      <c r="AB74" s="612"/>
      <c r="AC74" s="612"/>
      <c r="AD74" s="612"/>
      <c r="AE74" s="612"/>
      <c r="AF74" s="620"/>
      <c r="AG74" s="612"/>
      <c r="AH74" s="612"/>
      <c r="AI74" s="612"/>
      <c r="AJ74" s="612"/>
      <c r="AK74" s="620"/>
      <c r="AL74" s="612"/>
      <c r="AM74" s="612"/>
      <c r="AN74" s="612"/>
      <c r="AO74" s="612"/>
      <c r="AP74" s="620"/>
      <c r="AQ74" s="612"/>
      <c r="AR74" s="612"/>
      <c r="AS74" s="612"/>
      <c r="AT74" s="621"/>
      <c r="AU74" s="620"/>
      <c r="AV74" s="612"/>
      <c r="AW74" s="612"/>
      <c r="AX74" s="612"/>
      <c r="AY74" s="621"/>
      <c r="AZ74" s="620"/>
      <c r="BA74" s="612"/>
      <c r="BB74" s="612"/>
      <c r="BC74" s="612"/>
      <c r="BD74" s="612"/>
      <c r="BE74" s="620"/>
      <c r="BF74" s="612"/>
      <c r="BG74" s="612"/>
      <c r="BH74" s="612"/>
      <c r="BI74" s="612"/>
      <c r="BJ74" s="620"/>
      <c r="BK74" s="612"/>
      <c r="BL74" s="612"/>
      <c r="BM74" s="612"/>
      <c r="BN74" s="612"/>
      <c r="BO74" s="620"/>
      <c r="BP74" s="612"/>
      <c r="BQ74" s="612"/>
      <c r="BR74" s="612"/>
      <c r="BS74" s="612"/>
      <c r="BT74" s="620"/>
      <c r="BU74" s="612"/>
      <c r="BV74" s="612"/>
      <c r="BW74" s="612"/>
      <c r="BX74" s="612"/>
      <c r="BY74" s="620"/>
      <c r="BZ74" s="612"/>
      <c r="CA74" s="612"/>
      <c r="CB74" s="612"/>
      <c r="CC74" s="612"/>
      <c r="CD74" s="620"/>
      <c r="CE74" s="612"/>
      <c r="CF74" s="612"/>
      <c r="CG74" s="612"/>
      <c r="CH74" s="612"/>
      <c r="CI74" s="620"/>
      <c r="CJ74" s="620"/>
      <c r="CK74" s="620"/>
      <c r="CL74" s="620"/>
      <c r="CM74" s="619"/>
      <c r="CN74" s="618"/>
    </row>
    <row r="75" spans="1:92">
      <c r="A75" s="615"/>
      <c r="B75" s="615"/>
      <c r="C75" s="615"/>
      <c r="D75" s="615"/>
      <c r="E75" s="615"/>
      <c r="F75" s="616"/>
      <c r="G75" s="616"/>
      <c r="H75" s="616"/>
      <c r="I75" s="614"/>
      <c r="J75" s="614"/>
      <c r="K75" s="614"/>
      <c r="L75" s="614"/>
      <c r="M75" s="615"/>
      <c r="N75" s="615"/>
      <c r="O75" s="615"/>
      <c r="P75" s="615"/>
      <c r="Q75" s="614"/>
      <c r="R75" s="615"/>
      <c r="S75" s="615"/>
      <c r="T75" s="615"/>
      <c r="U75" s="615"/>
      <c r="V75" s="614"/>
      <c r="W75" s="615"/>
      <c r="X75" s="615"/>
      <c r="Y75" s="615"/>
      <c r="Z75" s="615"/>
      <c r="AA75" s="614"/>
      <c r="AB75" s="615"/>
      <c r="AC75" s="615"/>
      <c r="AD75" s="615"/>
      <c r="AE75" s="615"/>
      <c r="AF75" s="614"/>
      <c r="AG75" s="615"/>
      <c r="AH75" s="615"/>
      <c r="AI75" s="615"/>
      <c r="AJ75" s="615"/>
      <c r="AK75" s="614"/>
      <c r="AL75" s="615"/>
      <c r="AM75" s="615"/>
      <c r="AN75" s="615"/>
      <c r="AO75" s="615"/>
      <c r="AP75" s="614"/>
      <c r="AQ75" s="615"/>
      <c r="AR75" s="615"/>
      <c r="AS75" s="615"/>
      <c r="AT75" s="615"/>
      <c r="AU75" s="614"/>
      <c r="AV75" s="615"/>
      <c r="AW75" s="615"/>
      <c r="AX75" s="615"/>
      <c r="AY75" s="615"/>
      <c r="AZ75" s="614"/>
      <c r="BA75" s="615"/>
      <c r="BB75" s="615"/>
      <c r="BC75" s="615"/>
      <c r="BD75" s="615"/>
      <c r="BE75" s="614"/>
      <c r="BF75" s="615"/>
      <c r="BG75" s="615"/>
      <c r="BH75" s="615"/>
      <c r="BI75" s="615"/>
      <c r="BJ75" s="614"/>
      <c r="BK75" s="615"/>
      <c r="BL75" s="615"/>
      <c r="BM75" s="615"/>
      <c r="BN75" s="615"/>
      <c r="BO75" s="614"/>
      <c r="BP75" s="615"/>
      <c r="BQ75" s="615"/>
      <c r="BR75" s="615"/>
      <c r="BS75" s="615"/>
      <c r="BT75" s="614"/>
      <c r="BU75" s="615"/>
      <c r="BV75" s="615"/>
      <c r="BW75" s="615"/>
      <c r="BX75" s="615"/>
      <c r="BY75" s="614"/>
      <c r="BZ75" s="615"/>
      <c r="CA75" s="615"/>
      <c r="CB75" s="615"/>
      <c r="CC75" s="615"/>
      <c r="CD75" s="614"/>
      <c r="CE75" s="615"/>
      <c r="CF75" s="615"/>
      <c r="CG75" s="615"/>
      <c r="CH75" s="615"/>
      <c r="CI75" s="614"/>
      <c r="CJ75" s="614"/>
      <c r="CK75" s="614"/>
      <c r="CL75" s="614"/>
      <c r="CM75" s="613"/>
      <c r="CN75" s="612"/>
    </row>
    <row r="76" spans="1:92">
      <c r="A76" s="264"/>
      <c r="B76" s="264" t="s">
        <v>365</v>
      </c>
      <c r="C76" s="264"/>
      <c r="D76" s="264"/>
      <c r="E76" s="264"/>
      <c r="F76" s="302"/>
      <c r="G76" s="302"/>
      <c r="H76" s="302"/>
      <c r="I76" s="610">
        <v>26583</v>
      </c>
      <c r="J76" s="610">
        <v>27897</v>
      </c>
      <c r="K76" s="610">
        <v>28212</v>
      </c>
      <c r="L76" s="610">
        <v>31034</v>
      </c>
      <c r="M76" s="611">
        <v>8646</v>
      </c>
      <c r="N76" s="611">
        <v>9622</v>
      </c>
      <c r="O76" s="611">
        <v>9339</v>
      </c>
      <c r="P76" s="611">
        <v>9838</v>
      </c>
      <c r="Q76" s="610">
        <v>37445</v>
      </c>
      <c r="R76" s="611">
        <v>9407</v>
      </c>
      <c r="S76" s="611">
        <v>11152</v>
      </c>
      <c r="T76" s="611">
        <v>10905</v>
      </c>
      <c r="U76" s="611">
        <v>11261</v>
      </c>
      <c r="V76" s="610">
        <v>42725</v>
      </c>
      <c r="W76" s="611">
        <f>IS!AJ21</f>
        <v>10615</v>
      </c>
      <c r="X76" s="611">
        <f>IS!AK21</f>
        <v>12264</v>
      </c>
      <c r="Y76" s="611">
        <f>IS!AL21</f>
        <v>12163</v>
      </c>
      <c r="Z76" s="611">
        <f>IS!AM21</f>
        <v>12787</v>
      </c>
      <c r="AA76" s="610">
        <f>IS!AN21</f>
        <v>47829</v>
      </c>
      <c r="AB76" s="611">
        <f>IS!AO21</f>
        <v>12278</v>
      </c>
      <c r="AC76" s="611">
        <f>IS!AP21</f>
        <v>13904</v>
      </c>
      <c r="AD76" s="611">
        <f>IS!AQ21</f>
        <v>13863</v>
      </c>
      <c r="AE76" s="611">
        <f>IS!AR21</f>
        <v>14714</v>
      </c>
      <c r="AF76" s="610">
        <f>IS!AS21</f>
        <v>54759</v>
      </c>
      <c r="AG76" s="611">
        <f>IS!AT21</f>
        <v>13958</v>
      </c>
      <c r="AH76" s="611">
        <f>IS!AU21</f>
        <v>15944</v>
      </c>
      <c r="AI76" s="611">
        <f>IS!AV21</f>
        <v>15085</v>
      </c>
      <c r="AJ76" s="611">
        <f>IS!AW21</f>
        <v>14770</v>
      </c>
      <c r="AK76" s="610">
        <f>IS!AX21</f>
        <v>59757</v>
      </c>
      <c r="AL76" s="611">
        <f>IS!AY21</f>
        <v>12199</v>
      </c>
      <c r="AM76" s="611">
        <f>IS!AZ21</f>
        <v>13060</v>
      </c>
      <c r="AN76" s="611">
        <f>IS!BA21</f>
        <v>13187</v>
      </c>
      <c r="AO76" s="611">
        <f>IS!BB21</f>
        <v>13979</v>
      </c>
      <c r="AP76" s="610">
        <f>IS!BC21</f>
        <v>52425</v>
      </c>
      <c r="AQ76" s="611">
        <f>IS!BD21</f>
        <v>12040</v>
      </c>
      <c r="AR76" s="611">
        <f>IS!BE21</f>
        <v>13802</v>
      </c>
      <c r="AS76" s="611">
        <f>IS!BF21</f>
        <v>13620</v>
      </c>
      <c r="AT76" s="611">
        <f>IS!BG21</f>
        <v>14864</v>
      </c>
      <c r="AU76" s="610">
        <f>IS!BH21</f>
        <v>54326</v>
      </c>
      <c r="AV76" s="611">
        <f>IS!BI21</f>
        <v>12673</v>
      </c>
      <c r="AW76" s="611">
        <f>IS!BJ21</f>
        <v>14469</v>
      </c>
      <c r="AX76" s="611">
        <f>IS!BK21</f>
        <v>14235</v>
      </c>
      <c r="AY76" s="611">
        <f>IS!BL21</f>
        <v>14377</v>
      </c>
      <c r="AZ76" s="610">
        <f>IS!BM21</f>
        <v>55754</v>
      </c>
      <c r="BA76" s="611">
        <f>IS!BN21</f>
        <v>12416</v>
      </c>
      <c r="BB76" s="611">
        <f>IS!BO21</f>
        <v>13807</v>
      </c>
      <c r="BC76" s="611">
        <f>IS!BP21</f>
        <v>15042</v>
      </c>
      <c r="BD76" s="611">
        <f>IS!BQ21</f>
        <v>16443</v>
      </c>
      <c r="BE76" s="610">
        <f>IS!BR21</f>
        <v>57708</v>
      </c>
      <c r="BF76" s="611">
        <f>IS!BS21</f>
        <v>14399</v>
      </c>
      <c r="BG76" s="611">
        <f>IS!BT21</f>
        <v>16006</v>
      </c>
      <c r="BH76" s="611">
        <f>IS!BU21</f>
        <v>15462</v>
      </c>
      <c r="BI76" s="611">
        <f>IS!BV21</f>
        <v>16759</v>
      </c>
      <c r="BJ76" s="610">
        <f>IS!BW21</f>
        <v>62626</v>
      </c>
      <c r="BK76" s="611">
        <f>IS!BX21</f>
        <v>14745</v>
      </c>
      <c r="BL76" s="611">
        <f>IS!BY21</f>
        <v>17191</v>
      </c>
      <c r="BM76" s="611">
        <f>IS!BZ21</f>
        <v>16168</v>
      </c>
      <c r="BN76" s="611">
        <f>IS!CA21</f>
        <v>16996</v>
      </c>
      <c r="BO76" s="610">
        <f>IS!CB21</f>
        <v>65100</v>
      </c>
      <c r="BP76" s="611">
        <f>IS!CC21</f>
        <v>13320</v>
      </c>
      <c r="BQ76" s="611">
        <f>IS!CD21</f>
        <v>14697</v>
      </c>
      <c r="BR76" s="611">
        <f>IS!CE21</f>
        <v>13788</v>
      </c>
      <c r="BS76" s="611">
        <f>IS!CF21</f>
        <v>14300</v>
      </c>
      <c r="BT76" s="610">
        <f>IS!CG21</f>
        <v>56039.611191779026</v>
      </c>
      <c r="BU76" s="611">
        <f>IS!CH21</f>
        <v>13357</v>
      </c>
      <c r="BV76" s="611">
        <f>IS!CI21</f>
        <v>14874</v>
      </c>
      <c r="BW76" s="611">
        <f>IS!CJ21</f>
        <v>14354</v>
      </c>
      <c r="BX76" s="611">
        <f>IS!CK21</f>
        <v>14659</v>
      </c>
      <c r="BY76" s="610">
        <f>IS!CL21</f>
        <v>57244</v>
      </c>
      <c r="BZ76" s="611">
        <f>IS!CM21</f>
        <v>13815</v>
      </c>
      <c r="CA76" s="611">
        <f>IS!CN21</f>
        <v>15280</v>
      </c>
      <c r="CB76" s="611">
        <f>IS!CO21</f>
        <v>15062</v>
      </c>
      <c r="CC76" s="611">
        <f>IS!CP21</f>
        <v>15351.269017269917</v>
      </c>
      <c r="CD76" s="610">
        <f>IS!CQ21</f>
        <v>59508.269017269915</v>
      </c>
      <c r="CE76" s="611">
        <f>IS!CR21</f>
        <v>14667.335541751592</v>
      </c>
      <c r="CF76" s="611">
        <f>IS!CS21</f>
        <v>16358.718417161737</v>
      </c>
      <c r="CG76" s="611">
        <f>IS!CT21</f>
        <v>15800.409910742877</v>
      </c>
      <c r="CH76" s="611">
        <f>IS!CU21</f>
        <v>16002.959249809173</v>
      </c>
      <c r="CI76" s="610">
        <f>IS!CV21</f>
        <v>63039.210827606337</v>
      </c>
      <c r="CJ76" s="610">
        <f>IS!CW21</f>
        <v>65770.398626218564</v>
      </c>
      <c r="CK76" s="610">
        <f>IS!CX21</f>
        <v>68632.667678645448</v>
      </c>
      <c r="CL76" s="610">
        <f>IS!CY21</f>
        <v>71104.542665612098</v>
      </c>
      <c r="CM76" s="509"/>
      <c r="CN76" s="524"/>
    </row>
    <row r="77" spans="1:92">
      <c r="A77" s="264"/>
      <c r="B77" s="592" t="s">
        <v>364</v>
      </c>
      <c r="C77" s="264"/>
      <c r="D77" s="264"/>
      <c r="E77" s="264"/>
      <c r="F77" s="591"/>
      <c r="G77" s="591"/>
      <c r="H77" s="591"/>
      <c r="I77" s="609">
        <v>2.8138283865628409E-2</v>
      </c>
      <c r="J77" s="609">
        <v>5.5848299100261678E-2</v>
      </c>
      <c r="K77" s="609">
        <v>7.3727491847440804E-2</v>
      </c>
      <c r="L77" s="609">
        <v>5.2297480183025068E-2</v>
      </c>
      <c r="M77" s="594">
        <v>5.0052047189451769E-2</v>
      </c>
      <c r="N77" s="594">
        <v>5.2431926834337977E-2</v>
      </c>
      <c r="O77" s="594">
        <v>6.2640539672341788E-2</v>
      </c>
      <c r="P77" s="594">
        <v>5.7557430372026833E-2</v>
      </c>
      <c r="Q77" s="609">
        <v>6.0488716784617438E-2</v>
      </c>
      <c r="R77" s="594">
        <v>5.216859785266291E-2</v>
      </c>
      <c r="S77" s="594">
        <v>4.4498744619799142E-2</v>
      </c>
      <c r="T77" s="594">
        <v>4.8188904172397982E-2</v>
      </c>
      <c r="U77" s="594">
        <v>4.9884557321729861E-2</v>
      </c>
      <c r="V77" s="609">
        <v>5.2592159157401987E-2</v>
      </c>
      <c r="W77" s="594">
        <f>W13/W76/4</f>
        <v>5.692416391898257E-2</v>
      </c>
      <c r="X77" s="589">
        <f>X13/X76/4</f>
        <v>5.8769569471624268E-2</v>
      </c>
      <c r="Y77" s="589">
        <f>Y13/Y76/4</f>
        <v>5.9894762805228971E-2</v>
      </c>
      <c r="Z77" s="589">
        <f>Z13/Z76/4</f>
        <v>4.9777117384843979E-2</v>
      </c>
      <c r="AA77" s="609">
        <f>AA13/AA76</f>
        <v>5.3231303184260594E-2</v>
      </c>
      <c r="AB77" s="594">
        <f>AB13/AB76/4</f>
        <v>5.0517185209317479E-2</v>
      </c>
      <c r="AC77" s="589">
        <f>AC13/AC76/4</f>
        <v>5.9191599539700802E-2</v>
      </c>
      <c r="AD77" s="589">
        <f>AD13/AD76/4</f>
        <v>5.0674457188198803E-2</v>
      </c>
      <c r="AE77" s="589">
        <f>AE13/AE76/4</f>
        <v>4.9340763898328123E-2</v>
      </c>
      <c r="AF77" s="609">
        <f>AF13/AF76</f>
        <v>5.3032378239193559E-2</v>
      </c>
      <c r="AG77" s="589">
        <f>AG13/AG76/4</f>
        <v>5.6222238143000432E-2</v>
      </c>
      <c r="AH77" s="589">
        <f>AH13/AH76/4</f>
        <v>5.3970145509282488E-2</v>
      </c>
      <c r="AI77" s="589">
        <f>AI13/AI76/4</f>
        <v>5.9910507126284387E-2</v>
      </c>
      <c r="AJ77" s="589">
        <f>AJ13/AJ76/4</f>
        <v>7.3239675016926201E-2</v>
      </c>
      <c r="AK77" s="609">
        <f>AK13/AK76</f>
        <v>7.2409926870492164E-2</v>
      </c>
      <c r="AL77" s="589">
        <f>AL13/AL76/4</f>
        <v>6.7054676612837122E-2</v>
      </c>
      <c r="AM77" s="589">
        <f>AM13/AM76/4</f>
        <v>7.6875957120980096E-2</v>
      </c>
      <c r="AN77" s="589">
        <f>AN13/AN76/4</f>
        <v>8.7813755971790405E-2</v>
      </c>
      <c r="AO77" s="589">
        <f>AO13/AO76/4</f>
        <v>7.9565777237284502E-2</v>
      </c>
      <c r="AP77" s="609">
        <f>AP13/AP76</f>
        <v>8.4864091559370525E-2</v>
      </c>
      <c r="AQ77" s="594">
        <f>AQ13/AQ76/4</f>
        <v>9.9418604651162784E-2</v>
      </c>
      <c r="AR77" s="594">
        <f>AR13/AR76/4</f>
        <v>9.0512244602231562E-2</v>
      </c>
      <c r="AS77" s="594">
        <f>AS13/AS76/4</f>
        <v>0.10519456681350954</v>
      </c>
      <c r="AT77" s="589">
        <f>AT13/AT76/4</f>
        <v>6.8672631862217434E-2</v>
      </c>
      <c r="AU77" s="609">
        <f>AU13/AU76</f>
        <v>7.5157383205095171E-2</v>
      </c>
      <c r="AV77" s="594">
        <f>AV13/AV76/4</f>
        <v>8.7587785054840994E-2</v>
      </c>
      <c r="AW77" s="594">
        <f>AW13/AW76/4</f>
        <v>9.3233810214942286E-2</v>
      </c>
      <c r="AX77" s="594">
        <f>AX13/AX76/4</f>
        <v>0.10477695820161574</v>
      </c>
      <c r="AY77" s="589">
        <f>AY13/AY76/4</f>
        <v>0.10363775474716561</v>
      </c>
      <c r="AZ77" s="609">
        <f>AZ13/AZ76</f>
        <v>0.10689815977328981</v>
      </c>
      <c r="BA77" s="594">
        <f>BA13/BA76/4</f>
        <v>0.12655041881443299</v>
      </c>
      <c r="BB77" s="594">
        <f>BB13/BB76/4</f>
        <v>0.10802491489824002</v>
      </c>
      <c r="BC77" s="594">
        <f>BC13/BC76/4</f>
        <v>0.10374285334397022</v>
      </c>
      <c r="BD77" s="594">
        <f>BD13/BD76/4</f>
        <v>7.3268260049869249E-2</v>
      </c>
      <c r="BE77" s="609">
        <f>BE13/BE76</f>
        <v>8.3506619532820403E-2</v>
      </c>
      <c r="BF77" s="594">
        <f>BF13/BF76/4</f>
        <v>8.2766164316966456E-2</v>
      </c>
      <c r="BG77" s="594">
        <f>BG13/BG76/4</f>
        <v>7.6674372110458577E-2</v>
      </c>
      <c r="BH77" s="594">
        <f>BH13/BH76/4</f>
        <v>7.4715431380157807E-2</v>
      </c>
      <c r="BI77" s="594">
        <f>BI13/BI76/4</f>
        <v>6.8903275851781132E-2</v>
      </c>
      <c r="BJ77" s="609">
        <f>BJ13/BJ76</f>
        <v>7.3755309296458335E-2</v>
      </c>
      <c r="BK77" s="594">
        <f>BK13/BK76/4</f>
        <v>7.5907087148185823E-2</v>
      </c>
      <c r="BL77" s="594">
        <f>BL13/BL76/4</f>
        <v>7.2159851084869997E-2</v>
      </c>
      <c r="BM77" s="594">
        <f>BM13/BM76/4</f>
        <v>7.7854403760514598E-2</v>
      </c>
      <c r="BN77" s="594">
        <f>BN13/BN76/4</f>
        <v>7.7003412567662979E-2</v>
      </c>
      <c r="BO77" s="609">
        <f>BO13/BO76</f>
        <v>8.0414746543778795E-2</v>
      </c>
      <c r="BP77" s="594">
        <f>BP13/BP76/4</f>
        <v>9.9117867867867873E-2</v>
      </c>
      <c r="BQ77" s="594">
        <f>BQ13/BQ76/4</f>
        <v>0.10092195686194462</v>
      </c>
      <c r="BR77" s="594">
        <f>BR13/BR76/4</f>
        <v>9.9307368726428785E-2</v>
      </c>
      <c r="BS77" s="594">
        <f>BS13/BS76/4</f>
        <v>0.12368881118881118</v>
      </c>
      <c r="BT77" s="609">
        <f>BT13/BT76</f>
        <v>0.12624998370862892</v>
      </c>
      <c r="BU77" s="594">
        <f>BU13/BU76/4</f>
        <v>0.13504155124653738</v>
      </c>
      <c r="BV77" s="594">
        <f>BV13/BV76/4</f>
        <v>0.1140412800860562</v>
      </c>
      <c r="BW77" s="594">
        <f>BW13/BW76/4</f>
        <v>0.12378082764386233</v>
      </c>
      <c r="BX77" s="594">
        <f>BX13/BX76/4</f>
        <v>0.12205812129067467</v>
      </c>
      <c r="BY77" s="609">
        <f>BY13/BY76</f>
        <v>0.12502620361959332</v>
      </c>
      <c r="BZ77" s="594">
        <f>BZ13/BZ76/4</f>
        <v>0.12949692363373144</v>
      </c>
      <c r="CA77" s="594">
        <f>CA13/CA76/4</f>
        <v>0.15289594240837695</v>
      </c>
      <c r="CB77" s="594">
        <f>CB13/CB76/4</f>
        <v>0.14146527685566326</v>
      </c>
      <c r="CC77" s="594">
        <f>CC13/CC76/4</f>
        <v>0.15719520826747307</v>
      </c>
      <c r="CD77" s="609">
        <f>CD13/CD76</f>
        <v>0.16220575528012293</v>
      </c>
      <c r="CE77" s="594">
        <f>CE13/CE76/4</f>
        <v>0.18111045377931814</v>
      </c>
      <c r="CF77" s="594">
        <f>CF13/CF76/4</f>
        <v>0.19100163316797258</v>
      </c>
      <c r="CG77" s="594">
        <f>CG13/CG76/4</f>
        <v>0.21547186434478308</v>
      </c>
      <c r="CH77" s="594">
        <f>CH13/CH76/4</f>
        <v>0.23435571295415281</v>
      </c>
      <c r="CI77" s="609">
        <f>CI13/CI76</f>
        <v>0.23797156564167535</v>
      </c>
      <c r="CJ77" s="609">
        <f>CJ13/CJ76</f>
        <v>0.29679369713595144</v>
      </c>
      <c r="CK77" s="609">
        <f>CK13/CK76</f>
        <v>0.35864089374908997</v>
      </c>
      <c r="CL77" s="609">
        <f>CL13/CL76</f>
        <v>0.42150810984819082</v>
      </c>
      <c r="CM77" s="509"/>
      <c r="CN77" s="524"/>
    </row>
    <row r="78" spans="1:92">
      <c r="A78" s="264"/>
      <c r="B78" s="592" t="s">
        <v>363</v>
      </c>
      <c r="C78" s="264"/>
      <c r="D78" s="264"/>
      <c r="E78" s="264"/>
      <c r="F78" s="591"/>
      <c r="G78" s="591"/>
      <c r="H78" s="591"/>
      <c r="I78" s="609">
        <v>0</v>
      </c>
      <c r="J78" s="609">
        <v>0</v>
      </c>
      <c r="K78" s="609">
        <v>0</v>
      </c>
      <c r="L78" s="609">
        <v>0</v>
      </c>
      <c r="M78" s="594">
        <v>0</v>
      </c>
      <c r="N78" s="594">
        <v>0</v>
      </c>
      <c r="O78" s="594">
        <v>0</v>
      </c>
      <c r="P78" s="594">
        <v>0</v>
      </c>
      <c r="Q78" s="609">
        <v>0</v>
      </c>
      <c r="R78" s="594">
        <v>0</v>
      </c>
      <c r="S78" s="594">
        <v>0</v>
      </c>
      <c r="T78" s="594">
        <v>0</v>
      </c>
      <c r="U78" s="594">
        <v>0</v>
      </c>
      <c r="V78" s="609">
        <v>0</v>
      </c>
      <c r="W78" s="594">
        <f>W14/W76/4</f>
        <v>0</v>
      </c>
      <c r="X78" s="594">
        <f>X14/X76/4</f>
        <v>0</v>
      </c>
      <c r="Y78" s="594">
        <f>Y14/Y76/4</f>
        <v>0</v>
      </c>
      <c r="Z78" s="594">
        <f>Z14/Z76/4</f>
        <v>0</v>
      </c>
      <c r="AA78" s="609">
        <f>AA14/AA76</f>
        <v>0</v>
      </c>
      <c r="AB78" s="594">
        <f>AB14/AB76/4</f>
        <v>0</v>
      </c>
      <c r="AC78" s="594">
        <f>AC14/AC76/4</f>
        <v>0</v>
      </c>
      <c r="AD78" s="594">
        <f>AD14/AD76/4</f>
        <v>0</v>
      </c>
      <c r="AE78" s="594">
        <f>AE14/AE76/4</f>
        <v>0</v>
      </c>
      <c r="AF78" s="609">
        <f>AF14/AF76</f>
        <v>0</v>
      </c>
      <c r="AG78" s="594">
        <f>AG14/AG76/4</f>
        <v>0</v>
      </c>
      <c r="AH78" s="594">
        <f>AH14/AH76/4</f>
        <v>0</v>
      </c>
      <c r="AI78" s="594">
        <f>AI14/AI76/4</f>
        <v>0</v>
      </c>
      <c r="AJ78" s="594">
        <f>AJ14/AJ76/4</f>
        <v>0</v>
      </c>
      <c r="AK78" s="609">
        <f>AK14/AK76</f>
        <v>0</v>
      </c>
      <c r="AL78" s="594">
        <f>AL14/AL76/4</f>
        <v>0</v>
      </c>
      <c r="AM78" s="594">
        <f>AM14/AM76/4</f>
        <v>0</v>
      </c>
      <c r="AN78" s="594">
        <f>AN14/AN76/4</f>
        <v>0</v>
      </c>
      <c r="AO78" s="594">
        <f>AO14/AO76/4</f>
        <v>0</v>
      </c>
      <c r="AP78" s="609">
        <f>AP14/AP76</f>
        <v>0</v>
      </c>
      <c r="AQ78" s="594">
        <f>AQ14/AQ76/4</f>
        <v>0</v>
      </c>
      <c r="AR78" s="594">
        <f>AR14/AR76/4</f>
        <v>0</v>
      </c>
      <c r="AS78" s="594">
        <f>AS14/AS76/4</f>
        <v>0</v>
      </c>
      <c r="AT78" s="594">
        <f>AT14/AT76/4</f>
        <v>0</v>
      </c>
      <c r="AU78" s="609">
        <f>AU14/AU76</f>
        <v>0</v>
      </c>
      <c r="AV78" s="594">
        <f>AV14/AV76/4</f>
        <v>0</v>
      </c>
      <c r="AW78" s="594">
        <f>AW14/AW76/4</f>
        <v>0</v>
      </c>
      <c r="AX78" s="594">
        <f>AX14/AX76/4</f>
        <v>0</v>
      </c>
      <c r="AY78" s="594">
        <f>AY14/AY76/4</f>
        <v>0</v>
      </c>
      <c r="AZ78" s="609">
        <f>AZ14/AZ76</f>
        <v>0</v>
      </c>
      <c r="BA78" s="594">
        <f>BA14/BA76/4</f>
        <v>0</v>
      </c>
      <c r="BB78" s="594">
        <f>BB14/BB76/4</f>
        <v>0.19401390598971535</v>
      </c>
      <c r="BC78" s="594">
        <f>BC14/BC76/4</f>
        <v>0</v>
      </c>
      <c r="BD78" s="594">
        <f>BD14/BD76/4</f>
        <v>0</v>
      </c>
      <c r="BE78" s="609">
        <f>BE14/BE76</f>
        <v>0</v>
      </c>
      <c r="BF78" s="594">
        <f>BF14/BF76/4</f>
        <v>0</v>
      </c>
      <c r="BG78" s="594">
        <f>BG14/BG76/4</f>
        <v>0</v>
      </c>
      <c r="BH78" s="594">
        <f>BH14/BH76/4</f>
        <v>0</v>
      </c>
      <c r="BI78" s="594">
        <f>BI14/BI76/4</f>
        <v>0</v>
      </c>
      <c r="BJ78" s="609">
        <f>BJ14/BJ76</f>
        <v>0</v>
      </c>
      <c r="BK78" s="594">
        <f>BK14/BK76/4</f>
        <v>0</v>
      </c>
      <c r="BL78" s="594">
        <f>BL14/BL76/4</f>
        <v>0</v>
      </c>
      <c r="BM78" s="594">
        <f>BM14/BM76/4</f>
        <v>0</v>
      </c>
      <c r="BN78" s="594">
        <f>BN14/BN76/4</f>
        <v>0</v>
      </c>
      <c r="BO78" s="609">
        <f>BO14/BO76</f>
        <v>0</v>
      </c>
      <c r="BP78" s="594">
        <f>BP14/BP76/4</f>
        <v>0</v>
      </c>
      <c r="BQ78" s="594">
        <f>BQ14/BQ76/4</f>
        <v>0</v>
      </c>
      <c r="BR78" s="594">
        <f>BR14/BR76/4</f>
        <v>0</v>
      </c>
      <c r="BS78" s="594">
        <f>BS14/BS76/4</f>
        <v>0</v>
      </c>
      <c r="BT78" s="609">
        <f>BT14/BT76</f>
        <v>0</v>
      </c>
      <c r="BU78" s="594">
        <f>BU14/BU76/4</f>
        <v>0</v>
      </c>
      <c r="BV78" s="594">
        <f>BV14/BV76/4</f>
        <v>0</v>
      </c>
      <c r="BW78" s="594">
        <f>BW14/BW76/4</f>
        <v>0</v>
      </c>
      <c r="BX78" s="594">
        <f>BX14/BX76/4</f>
        <v>0</v>
      </c>
      <c r="BY78" s="609">
        <f>BY14/BY76</f>
        <v>0</v>
      </c>
      <c r="BZ78" s="594">
        <f>BZ14/BZ76/4</f>
        <v>0</v>
      </c>
      <c r="CA78" s="594">
        <f>CA14/CA76/4</f>
        <v>0</v>
      </c>
      <c r="CB78" s="594">
        <f>CB14/CB76/4</f>
        <v>0</v>
      </c>
      <c r="CC78" s="594">
        <f>CC14/CC76/4</f>
        <v>0</v>
      </c>
      <c r="CD78" s="609">
        <f>CD14/CD76</f>
        <v>0</v>
      </c>
      <c r="CE78" s="594">
        <f>CE14/CE76/4</f>
        <v>0</v>
      </c>
      <c r="CF78" s="594">
        <f>CF14/CF76/4</f>
        <v>0</v>
      </c>
      <c r="CG78" s="594">
        <f>CG14/CG76/4</f>
        <v>0</v>
      </c>
      <c r="CH78" s="594">
        <f>CH14/CH76/4</f>
        <v>0</v>
      </c>
      <c r="CI78" s="609">
        <f>CI14/CI76</f>
        <v>0</v>
      </c>
      <c r="CJ78" s="609">
        <f>CJ14/CJ76</f>
        <v>0</v>
      </c>
      <c r="CK78" s="609">
        <f>CK14/CK76</f>
        <v>0</v>
      </c>
      <c r="CL78" s="609">
        <f>CL14/CL76</f>
        <v>0</v>
      </c>
      <c r="CM78" s="509"/>
      <c r="CN78" s="524"/>
    </row>
    <row r="79" spans="1:92">
      <c r="A79" s="264"/>
      <c r="B79" s="592" t="s">
        <v>362</v>
      </c>
      <c r="C79" s="264"/>
      <c r="D79" s="264"/>
      <c r="E79" s="264"/>
      <c r="F79" s="591"/>
      <c r="G79" s="591"/>
      <c r="H79" s="591"/>
      <c r="I79" s="593">
        <v>0.16721212805176242</v>
      </c>
      <c r="J79" s="593">
        <v>0.14671828512026383</v>
      </c>
      <c r="K79" s="593">
        <v>0.15160215511130015</v>
      </c>
      <c r="L79" s="593">
        <v>0.16713926661081394</v>
      </c>
      <c r="M79" s="594">
        <v>0.1551295396715244</v>
      </c>
      <c r="N79" s="594">
        <v>0.15589274579089588</v>
      </c>
      <c r="O79" s="594">
        <v>0.16230324445872149</v>
      </c>
      <c r="P79" s="594">
        <v>0.16047468997763772</v>
      </c>
      <c r="Q79" s="593">
        <v>0.16864734944585391</v>
      </c>
      <c r="R79" s="594">
        <v>0.1744445625597959</v>
      </c>
      <c r="S79" s="594">
        <v>0.16530667144906744</v>
      </c>
      <c r="T79" s="594">
        <v>0.16822558459422282</v>
      </c>
      <c r="U79" s="594">
        <v>0.16073172897611224</v>
      </c>
      <c r="V79" s="593">
        <v>0.16945582211819776</v>
      </c>
      <c r="W79" s="594">
        <f>W15/W76/4</f>
        <v>0.16787564766839377</v>
      </c>
      <c r="X79" s="594">
        <f>X15/X76/4</f>
        <v>0.15920580560991521</v>
      </c>
      <c r="Y79" s="594">
        <f>Y15/Y76/4</f>
        <v>0.15812299597138862</v>
      </c>
      <c r="Z79" s="594">
        <f>Z15/Z76/4</f>
        <v>0.15013294752482992</v>
      </c>
      <c r="AA79" s="593">
        <f>AA15/AA76</f>
        <v>0.16055113006753224</v>
      </c>
      <c r="AB79" s="594">
        <f>AB15/AB76/4</f>
        <v>0.16244502361948199</v>
      </c>
      <c r="AC79" s="594">
        <f>AC15/AC76/4</f>
        <v>0.1515391254315305</v>
      </c>
      <c r="AD79" s="594">
        <f>AD15/AD76/4</f>
        <v>0.16228449830484024</v>
      </c>
      <c r="AE79" s="594">
        <f>AE15/AE76/4</f>
        <v>0.15026505369036292</v>
      </c>
      <c r="AF79" s="593">
        <f>AF15/AF76</f>
        <v>0.16150769736481674</v>
      </c>
      <c r="AG79" s="594">
        <f>AG15/AG76/4</f>
        <v>0.17119214787218801</v>
      </c>
      <c r="AH79" s="594">
        <f>AH15/AH76/4</f>
        <v>0.15841382338183643</v>
      </c>
      <c r="AI79" s="594">
        <f>AI15/AI76/4</f>
        <v>0.15488896254557508</v>
      </c>
      <c r="AJ79" s="594">
        <f>AJ15/AJ76/4</f>
        <v>0.15423155044008124</v>
      </c>
      <c r="AK79" s="593">
        <f>AK15/AK76</f>
        <v>0.15248422778921297</v>
      </c>
      <c r="AL79" s="594">
        <f>AL15/AL76/4</f>
        <v>0.18028117058775309</v>
      </c>
      <c r="AM79" s="594">
        <f>AM15/AM76/4</f>
        <v>0.16313169984686066</v>
      </c>
      <c r="AN79" s="594">
        <f>AN15/AN76/4</f>
        <v>0.16038522787593842</v>
      </c>
      <c r="AO79" s="594">
        <f>AO15/AO76/4</f>
        <v>0.15145933185492524</v>
      </c>
      <c r="AP79" s="593">
        <f>AP15/AP76</f>
        <v>0.1615450643776824</v>
      </c>
      <c r="AQ79" s="594">
        <f>AQ15/AQ76/4</f>
        <v>0.18141611295681062</v>
      </c>
      <c r="AR79" s="594">
        <f>AR15/AR76/4</f>
        <v>0.16086436748297347</v>
      </c>
      <c r="AS79" s="594">
        <f>AS15/AS76/4</f>
        <v>0.16026064610866372</v>
      </c>
      <c r="AT79" s="594">
        <f>AT15/AT76/4</f>
        <v>0.1501110064585576</v>
      </c>
      <c r="AU79" s="593">
        <f>AU15/AU76</f>
        <v>0.16428597724846297</v>
      </c>
      <c r="AV79" s="594">
        <f>AV15/AV76/4</f>
        <v>0.18267182198374496</v>
      </c>
      <c r="AW79" s="594">
        <f>AW15/AW76/4</f>
        <v>0.16934480613725897</v>
      </c>
      <c r="AX79" s="594">
        <f>AX15/AX76/4</f>
        <v>0.16689497716894977</v>
      </c>
      <c r="AY79" s="594">
        <f>AY15/AY76/4</f>
        <v>0.1659942964457119</v>
      </c>
      <c r="AZ79" s="593">
        <f>AZ15/AZ76</f>
        <v>0.17121641496574236</v>
      </c>
      <c r="BA79" s="594">
        <f>BA15/BA76/4</f>
        <v>0.17785518685567012</v>
      </c>
      <c r="BB79" s="594">
        <f>BB15/BB76/4</f>
        <v>0.17270225248062576</v>
      </c>
      <c r="BC79" s="594">
        <f>BC15/BC76/4</f>
        <v>0.17633958250232681</v>
      </c>
      <c r="BD79" s="594">
        <f>BD15/BD76/4</f>
        <v>0.16874961989904519</v>
      </c>
      <c r="BE79" s="593">
        <f>BE15/BE76</f>
        <v>0.19233035281070215</v>
      </c>
      <c r="BF79" s="594">
        <f>BF15/BF76/4</f>
        <v>0.18735676088617265</v>
      </c>
      <c r="BG79" s="594">
        <f>BG15/BG76/4</f>
        <v>0.17427839560164937</v>
      </c>
      <c r="BH79" s="594">
        <f>BH15/BH76/4</f>
        <v>0.1800381580649334</v>
      </c>
      <c r="BI79" s="594">
        <f>BI15/BI76/4</f>
        <v>0.17092308610298945</v>
      </c>
      <c r="BJ79" s="593">
        <f>BJ15/BJ76</f>
        <v>0.18295915434484081</v>
      </c>
      <c r="BK79" s="594">
        <f>BK15/BK76/4</f>
        <v>0.19560868090878264</v>
      </c>
      <c r="BL79" s="594">
        <f>BL15/BL76/4</f>
        <v>0.17152870688150776</v>
      </c>
      <c r="BM79" s="594">
        <f>BM15/BM76/4</f>
        <v>0.17132607619990103</v>
      </c>
      <c r="BN79" s="594">
        <f>BN15/BN76/4</f>
        <v>0.1664656389738762</v>
      </c>
      <c r="BO79" s="593">
        <f>BO15/BO76</f>
        <v>0.17384024577572965</v>
      </c>
      <c r="BP79" s="594">
        <f>BP15/BP76/4</f>
        <v>0.21606606606606607</v>
      </c>
      <c r="BQ79" s="594">
        <f>BQ15/BQ76/4</f>
        <v>0.19589031775192217</v>
      </c>
      <c r="BR79" s="594">
        <f>BR15/BR76/4</f>
        <v>0.19304830287206268</v>
      </c>
      <c r="BS79" s="594">
        <f>BS15/BS76/4</f>
        <v>0.18624125874125874</v>
      </c>
      <c r="BT79" s="593">
        <f>BT15/BT76</f>
        <v>0.19009767864989735</v>
      </c>
      <c r="BU79" s="594">
        <f>BU15/BU76/4</f>
        <v>0.20399416036535151</v>
      </c>
      <c r="BV79" s="594">
        <f>BV15/BV76/4</f>
        <v>0.19402985074626866</v>
      </c>
      <c r="BW79" s="594">
        <f>BW15/BW76/4</f>
        <v>0.20029260136547303</v>
      </c>
      <c r="BX79" s="594">
        <f>BX15/BX76/4</f>
        <v>0.19580121427109626</v>
      </c>
      <c r="BY79" s="593">
        <f>BY15/BY76</f>
        <v>0.20056250436726994</v>
      </c>
      <c r="BZ79" s="594">
        <f>BZ15/BZ76/4</f>
        <v>0.21425986246833154</v>
      </c>
      <c r="CA79" s="594">
        <f>CA15/CA76/4</f>
        <v>0.20610274869109949</v>
      </c>
      <c r="CB79" s="594">
        <f>CB15/CB76/4</f>
        <v>0.21789934935599523</v>
      </c>
      <c r="CC79" s="596">
        <f>BX79</f>
        <v>0.19580121427109626</v>
      </c>
      <c r="CD79" s="593">
        <f>CD15/CD76</f>
        <v>0.20204231538386</v>
      </c>
      <c r="CE79" s="2071">
        <v>0.2</v>
      </c>
      <c r="CF79" s="608">
        <f>CA79</f>
        <v>0.20610274869109949</v>
      </c>
      <c r="CG79" s="2071">
        <f>BW79</f>
        <v>0.20029260136547303</v>
      </c>
      <c r="CH79" s="2071">
        <f>BX79</f>
        <v>0.19580121427109626</v>
      </c>
      <c r="CI79" s="593">
        <f>CI15/CI76</f>
        <v>0.19882221315317097</v>
      </c>
      <c r="CJ79" s="603">
        <f>CI79*0.95</f>
        <v>0.1888811024955124</v>
      </c>
      <c r="CK79" s="603">
        <f t="shared" ref="CK79:CL79" si="56">CJ79*0.95</f>
        <v>0.17943704737073676</v>
      </c>
      <c r="CL79" s="603">
        <f t="shared" si="56"/>
        <v>0.17046519500219992</v>
      </c>
      <c r="CM79" s="509"/>
      <c r="CN79" s="524"/>
    </row>
    <row r="80" spans="1:92">
      <c r="A80" s="264"/>
      <c r="B80" s="592" t="s">
        <v>361</v>
      </c>
      <c r="C80" s="264"/>
      <c r="D80" s="264"/>
      <c r="E80" s="264"/>
      <c r="F80" s="591"/>
      <c r="G80" s="591"/>
      <c r="H80" s="591"/>
      <c r="I80" s="593">
        <v>1.030733927698153E-2</v>
      </c>
      <c r="J80" s="593">
        <v>9.3558447144854277E-3</v>
      </c>
      <c r="K80" s="593">
        <v>8.6488019282574789E-3</v>
      </c>
      <c r="L80" s="593">
        <v>1.2502416704259844E-2</v>
      </c>
      <c r="M80" s="594">
        <v>1.1768447837150127E-2</v>
      </c>
      <c r="N80" s="594">
        <v>9.3795468717522337E-3</v>
      </c>
      <c r="O80" s="594">
        <v>1.0118856408609059E-2</v>
      </c>
      <c r="P80" s="594">
        <v>1.4510063020939216E-2</v>
      </c>
      <c r="Q80" s="593">
        <v>1.5249031913473094E-2</v>
      </c>
      <c r="R80" s="594">
        <v>1.3234825130222175E-2</v>
      </c>
      <c r="S80" s="594">
        <v>1.2979734576757532E-2</v>
      </c>
      <c r="T80" s="594">
        <v>1.4649243466299863E-2</v>
      </c>
      <c r="U80" s="594">
        <v>1.4052926027883847E-2</v>
      </c>
      <c r="V80" s="593">
        <v>1.481568168519602E-2</v>
      </c>
      <c r="W80" s="594">
        <f>W18/W76/4</f>
        <v>1.5496938294865757E-2</v>
      </c>
      <c r="X80" s="594">
        <f>X18/X76/4</f>
        <v>1.4269406392694063E-2</v>
      </c>
      <c r="Y80" s="594">
        <f>Y18/Y76/4</f>
        <v>1.5271725725561128E-2</v>
      </c>
      <c r="Z80" s="594">
        <f>Z18/Z76/4</f>
        <v>1.3705325721435834E-2</v>
      </c>
      <c r="AA80" s="593">
        <f>AA18/AA76</f>
        <v>1.465638002048966E-2</v>
      </c>
      <c r="AB80" s="594">
        <f>AB18/AB76/4</f>
        <v>1.7755334745072487E-2</v>
      </c>
      <c r="AC80" s="594">
        <f>AC18/AC76/4</f>
        <v>1.2370540851553509E-2</v>
      </c>
      <c r="AD80" s="594">
        <f>AD18/AD76/4</f>
        <v>1.6212219577292072E-2</v>
      </c>
      <c r="AE80" s="594">
        <f>AE18/AE76/4</f>
        <v>1.6226043224140275E-2</v>
      </c>
      <c r="AF80" s="593">
        <f>AF18/AF76</f>
        <v>1.7440055515988238E-2</v>
      </c>
      <c r="AG80" s="594">
        <f>AG18/AG76/4</f>
        <v>1.5636194297177247E-2</v>
      </c>
      <c r="AH80" s="594">
        <f>AH18/AH76/4</f>
        <v>1.3735574510787758E-2</v>
      </c>
      <c r="AI80" s="594">
        <f>AI18/AI76/4</f>
        <v>1.4882333443818363E-2</v>
      </c>
      <c r="AJ80" s="594">
        <f>AJ18/AJ76/4</f>
        <v>1.3016249153689912E-2</v>
      </c>
      <c r="AK80" s="593">
        <f>AK18/AK76</f>
        <v>1.2868785246916679E-2</v>
      </c>
      <c r="AL80" s="594">
        <f>AL18/AL76/4</f>
        <v>2.006311992786294E-2</v>
      </c>
      <c r="AM80" s="594">
        <f>AM18/AM76/4</f>
        <v>1.8491577335375192E-2</v>
      </c>
      <c r="AN80" s="594">
        <f>AN18/AN76/4</f>
        <v>1.6777887313263063E-2</v>
      </c>
      <c r="AO80" s="594">
        <f>AO18/AO76/4</f>
        <v>1.9278918377566349E-2</v>
      </c>
      <c r="AP80" s="593">
        <f>AP18/AP76</f>
        <v>2.0562708631378161E-2</v>
      </c>
      <c r="AQ80" s="594">
        <f>AQ18/AQ76/4</f>
        <v>1.9684385382059799E-2</v>
      </c>
      <c r="AR80" s="594">
        <f>AR18/AR76/4</f>
        <v>1.4780466599043618E-2</v>
      </c>
      <c r="AS80" s="594">
        <f>AS18/AS76/4</f>
        <v>1.5455212922173275E-2</v>
      </c>
      <c r="AT80" s="594">
        <f>AT18/AT76/4</f>
        <v>1.8719725511302476E-2</v>
      </c>
      <c r="AU80" s="593">
        <f>AU18/AU76</f>
        <v>2.0487427750984794E-2</v>
      </c>
      <c r="AV80" s="594">
        <f>AV18/AV76/4</f>
        <v>1.7754280754359662E-2</v>
      </c>
      <c r="AW80" s="594">
        <f>AW18/AW76/4</f>
        <v>1.5204920865298224E-2</v>
      </c>
      <c r="AX80" s="594">
        <f>AX18/AX76/4</f>
        <v>1.3821566561292589E-2</v>
      </c>
      <c r="AY80" s="594">
        <f>AY18/AY76/4</f>
        <v>1.3789385824580927E-2</v>
      </c>
      <c r="AZ80" s="593">
        <f>AZ18/AZ76</f>
        <v>1.4223194748358862E-2</v>
      </c>
      <c r="BA80" s="594">
        <f>BA18/BA76/4</f>
        <v>5.3721005154639179E-2</v>
      </c>
      <c r="BB80" s="594">
        <f>BB18/BB76/4</f>
        <v>4.9684942420511337E-2</v>
      </c>
      <c r="BC80" s="594">
        <f>BC18/BC76/4</f>
        <v>4.8065416832867969E-2</v>
      </c>
      <c r="BD80" s="594">
        <f>BD18/BD76/4</f>
        <v>3.8679073161831785E-2</v>
      </c>
      <c r="BE80" s="593">
        <f>BE18/BE76</f>
        <v>4.4084009149511334E-2</v>
      </c>
      <c r="BF80" s="594">
        <f>BF18/BF76/4</f>
        <v>3.1043822487672755E-2</v>
      </c>
      <c r="BG80" s="594">
        <f>BG18/BG76/4</f>
        <v>1.4088466824940648E-2</v>
      </c>
      <c r="BH80" s="594">
        <f>BH18/BH76/4</f>
        <v>1.447096106583883E-2</v>
      </c>
      <c r="BI80" s="594">
        <f>BI18/BI76/4</f>
        <v>1.5976490244047976E-2</v>
      </c>
      <c r="BJ80" s="593">
        <f>BJ18/BJ76</f>
        <v>1.7101523328968801E-2</v>
      </c>
      <c r="BK80" s="594">
        <f>BK18/BK76/4</f>
        <v>1.5123770769752458E-2</v>
      </c>
      <c r="BL80" s="594">
        <f>BL18/BL76/4</f>
        <v>1.5502297713920074E-2</v>
      </c>
      <c r="BM80" s="594">
        <f>BM18/BM76/4</f>
        <v>1.493691241959426E-2</v>
      </c>
      <c r="BN80" s="594">
        <f>BN18/BN76/4</f>
        <v>2.0740174158625557E-2</v>
      </c>
      <c r="BO80" s="593">
        <f>BO18/BO76</f>
        <v>2.1658986175115209E-2</v>
      </c>
      <c r="BP80" s="594">
        <f>BP18/BP76/4</f>
        <v>1.7567567567567569E-2</v>
      </c>
      <c r="BQ80" s="594">
        <f>BQ18/BQ76/4</f>
        <v>1.7554602980200042E-2</v>
      </c>
      <c r="BR80" s="594">
        <f>BR18/BR76/4</f>
        <v>8.7684943429068754E-2</v>
      </c>
      <c r="BS80" s="594">
        <f>BS18/BS76/4</f>
        <v>1.4737762237762238E-2</v>
      </c>
      <c r="BT80" s="593">
        <f>BT18/BT76</f>
        <v>1.5042930921042285E-2</v>
      </c>
      <c r="BU80" s="594">
        <f>BU18/BU76/4</f>
        <v>1.6957400613910309E-2</v>
      </c>
      <c r="BV80" s="594">
        <f>BV18/BV76/4</f>
        <v>1.5026220250100848E-2</v>
      </c>
      <c r="BW80" s="594">
        <f>BW18/BW76/4</f>
        <v>1.4978403232548419E-2</v>
      </c>
      <c r="BX80" s="594">
        <f>BX18/BX76/4</f>
        <v>2.0601678149942015E-2</v>
      </c>
      <c r="BY80" s="593">
        <f>BY18/BY76</f>
        <v>2.1102648312486899E-2</v>
      </c>
      <c r="BZ80" s="594">
        <f>BZ18/BZ76/4</f>
        <v>1.6702859211002532E-2</v>
      </c>
      <c r="CA80" s="594">
        <f>CA18/CA76/4</f>
        <v>1.6803010471204187E-2</v>
      </c>
      <c r="CB80" s="594">
        <f>CB18/CB76/4</f>
        <v>2.0399017394768289E-2</v>
      </c>
      <c r="CC80" s="596">
        <f>CA80</f>
        <v>1.6803010471204187E-2</v>
      </c>
      <c r="CD80" s="593">
        <f>CD18/CD76</f>
        <v>1.7338601058525145E-2</v>
      </c>
      <c r="CE80" s="2071">
        <f>CC80</f>
        <v>1.6803010471204187E-2</v>
      </c>
      <c r="CF80" s="2071">
        <f>CE80*0.97</f>
        <v>1.6298920157068061E-2</v>
      </c>
      <c r="CG80" s="2071">
        <f>CE80</f>
        <v>1.6803010471204187E-2</v>
      </c>
      <c r="CH80" s="2071">
        <f>CF80</f>
        <v>1.6298920157068061E-2</v>
      </c>
      <c r="CI80" s="593">
        <f>CI18/CI76</f>
        <v>1.6550394693407525E-2</v>
      </c>
      <c r="CJ80" s="603">
        <f t="shared" ref="CJ80:CL81" si="57">CI80</f>
        <v>1.6550394693407525E-2</v>
      </c>
      <c r="CK80" s="603">
        <f t="shared" si="57"/>
        <v>1.6550394693407525E-2</v>
      </c>
      <c r="CL80" s="603">
        <f t="shared" si="57"/>
        <v>1.6550394693407525E-2</v>
      </c>
      <c r="CM80" s="509"/>
      <c r="CN80" s="524"/>
    </row>
    <row r="81" spans="1:92">
      <c r="A81" s="264"/>
      <c r="B81" s="592"/>
      <c r="C81" s="264" t="s">
        <v>360</v>
      </c>
      <c r="D81" s="264"/>
      <c r="E81" s="264"/>
      <c r="F81" s="591"/>
      <c r="G81" s="591"/>
      <c r="H81" s="591"/>
      <c r="I81" s="593">
        <v>1.6250987473197157E-2</v>
      </c>
      <c r="J81" s="593">
        <v>1.5377997634154211E-2</v>
      </c>
      <c r="K81" s="593">
        <v>1.5170849283992626E-2</v>
      </c>
      <c r="L81" s="593">
        <v>0</v>
      </c>
      <c r="M81" s="594">
        <v>0</v>
      </c>
      <c r="N81" s="594">
        <v>0</v>
      </c>
      <c r="O81" s="594">
        <v>0</v>
      </c>
      <c r="P81" s="594">
        <v>0</v>
      </c>
      <c r="Q81" s="593">
        <v>0</v>
      </c>
      <c r="R81" s="594">
        <v>0</v>
      </c>
      <c r="S81" s="594">
        <v>0</v>
      </c>
      <c r="T81" s="594">
        <v>0</v>
      </c>
      <c r="U81" s="594">
        <v>0</v>
      </c>
      <c r="V81" s="593">
        <v>0</v>
      </c>
      <c r="W81" s="594">
        <f>W45/W76/4</f>
        <v>0</v>
      </c>
      <c r="X81" s="594">
        <f>X45/X76/4</f>
        <v>0</v>
      </c>
      <c r="Y81" s="594">
        <f>Y45/Y76/4</f>
        <v>0</v>
      </c>
      <c r="Z81" s="594">
        <f>Z45/Z76/4</f>
        <v>0</v>
      </c>
      <c r="AA81" s="593">
        <f>AA45/AA76</f>
        <v>0</v>
      </c>
      <c r="AB81" s="594">
        <f>AB45/AB76/4</f>
        <v>0</v>
      </c>
      <c r="AC81" s="594">
        <f>AC45/AC76/4</f>
        <v>0</v>
      </c>
      <c r="AD81" s="594">
        <f>AD45/AD76/4</f>
        <v>0</v>
      </c>
      <c r="AE81" s="594">
        <f>AE45/AE76/4</f>
        <v>0</v>
      </c>
      <c r="AF81" s="593">
        <f>AF45/AF76</f>
        <v>0</v>
      </c>
      <c r="AG81" s="594">
        <f>AG45/AG76/4</f>
        <v>0</v>
      </c>
      <c r="AH81" s="594">
        <f>AH45/AH76/4</f>
        <v>0</v>
      </c>
      <c r="AI81" s="594">
        <f>AI45/AI76/4</f>
        <v>0</v>
      </c>
      <c r="AJ81" s="594">
        <f>AJ45/AJ76/4</f>
        <v>0</v>
      </c>
      <c r="AK81" s="593">
        <f>AK45/AK76</f>
        <v>0</v>
      </c>
      <c r="AL81" s="594">
        <f>AL45/AL76/4</f>
        <v>0</v>
      </c>
      <c r="AM81" s="594">
        <f>AM45/AM76/4</f>
        <v>0</v>
      </c>
      <c r="AN81" s="594">
        <f>AN45/AN76/4</f>
        <v>0</v>
      </c>
      <c r="AO81" s="594">
        <f>AO45/AO76/4</f>
        <v>0</v>
      </c>
      <c r="AP81" s="593">
        <f>AP45/AP76</f>
        <v>0</v>
      </c>
      <c r="AQ81" s="594">
        <f>AQ45/AQ76/4</f>
        <v>0</v>
      </c>
      <c r="AR81" s="594">
        <f>AR45/AR76/4</f>
        <v>0</v>
      </c>
      <c r="AS81" s="594">
        <f>AS45/AS76/4</f>
        <v>0</v>
      </c>
      <c r="AT81" s="594">
        <f>AT45/AT76/4</f>
        <v>0</v>
      </c>
      <c r="AU81" s="593">
        <f>AU45/AU76</f>
        <v>0</v>
      </c>
      <c r="AV81" s="594">
        <f>AV45/AV76/4</f>
        <v>0</v>
      </c>
      <c r="AW81" s="594">
        <f>AW45/AW76/4</f>
        <v>0</v>
      </c>
      <c r="AX81" s="594">
        <f>AX45/AX76/4</f>
        <v>0</v>
      </c>
      <c r="AY81" s="594">
        <f>AY45/AY76/4</f>
        <v>0</v>
      </c>
      <c r="AZ81" s="593">
        <f>AZ45/AZ76</f>
        <v>0</v>
      </c>
      <c r="BA81" s="594">
        <f>BA45/BA76/4</f>
        <v>0</v>
      </c>
      <c r="BB81" s="594">
        <f>BB45/BB76/4</f>
        <v>0</v>
      </c>
      <c r="BC81" s="594">
        <f>BC45/BC76/4</f>
        <v>0</v>
      </c>
      <c r="BD81" s="594">
        <f>BD45/BD76/4</f>
        <v>0</v>
      </c>
      <c r="BE81" s="593">
        <f>BE45/BE76</f>
        <v>0</v>
      </c>
      <c r="BF81" s="594">
        <f>BF45/BF76/4</f>
        <v>0</v>
      </c>
      <c r="BG81" s="594">
        <f>BG45/BG76/4</f>
        <v>0</v>
      </c>
      <c r="BH81" s="594">
        <f>BH45/BH76/4</f>
        <v>0</v>
      </c>
      <c r="BI81" s="594">
        <f>BI45/BI76/4</f>
        <v>0</v>
      </c>
      <c r="BJ81" s="593">
        <f>BJ45/BJ76</f>
        <v>0</v>
      </c>
      <c r="BK81" s="594">
        <f>BK45/BK76/4</f>
        <v>0</v>
      </c>
      <c r="BL81" s="594">
        <f>BL45/BL76/4</f>
        <v>0</v>
      </c>
      <c r="BM81" s="594">
        <f>BM45/BM76/4</f>
        <v>0</v>
      </c>
      <c r="BN81" s="594">
        <f>BN45/BN76/4</f>
        <v>0</v>
      </c>
      <c r="BO81" s="593">
        <f>BO45/BO76</f>
        <v>0</v>
      </c>
      <c r="BP81" s="594">
        <f>BP45/BP76/4</f>
        <v>0</v>
      </c>
      <c r="BQ81" s="594">
        <f>BQ45/BQ76/4</f>
        <v>0</v>
      </c>
      <c r="BR81" s="594">
        <f>BR45/BR76/4</f>
        <v>0</v>
      </c>
      <c r="BS81" s="594">
        <f>BS45/BS76/4</f>
        <v>0</v>
      </c>
      <c r="BT81" s="593">
        <f>BT45/BT76</f>
        <v>0</v>
      </c>
      <c r="BU81" s="594">
        <f>BU45/BU76/4</f>
        <v>0</v>
      </c>
      <c r="BV81" s="594">
        <f>BV45/BV76/4</f>
        <v>0</v>
      </c>
      <c r="BW81" s="594">
        <f>BW45/BW76/4</f>
        <v>0</v>
      </c>
      <c r="BX81" s="594">
        <f>BX45/BX76/4</f>
        <v>0</v>
      </c>
      <c r="BY81" s="593">
        <f>BY45/BY76</f>
        <v>0</v>
      </c>
      <c r="BZ81" s="594">
        <f>BZ45/BZ76/4</f>
        <v>0</v>
      </c>
      <c r="CA81" s="594">
        <f>CA45/CA76/4</f>
        <v>0</v>
      </c>
      <c r="CB81" s="594">
        <f>CB45/CB76/4</f>
        <v>0</v>
      </c>
      <c r="CC81" s="594">
        <f>CC45/CC76/4</f>
        <v>0</v>
      </c>
      <c r="CD81" s="593">
        <f>CD45/CD76</f>
        <v>0</v>
      </c>
      <c r="CE81" s="594">
        <f>CE45/CE76/4</f>
        <v>0</v>
      </c>
      <c r="CF81" s="594">
        <f>CF45/CF76/4</f>
        <v>0</v>
      </c>
      <c r="CG81" s="594">
        <f>CG45/CG76/4</f>
        <v>0</v>
      </c>
      <c r="CH81" s="594">
        <f>CH45/CH76/4</f>
        <v>0</v>
      </c>
      <c r="CI81" s="593">
        <f>CI45/CI76</f>
        <v>0</v>
      </c>
      <c r="CJ81" s="593">
        <f t="shared" si="57"/>
        <v>0</v>
      </c>
      <c r="CK81" s="593">
        <f t="shared" si="57"/>
        <v>0</v>
      </c>
      <c r="CL81" s="593">
        <f t="shared" si="57"/>
        <v>0</v>
      </c>
      <c r="CM81" s="509"/>
      <c r="CN81" s="524"/>
    </row>
    <row r="82" spans="1:92">
      <c r="A82" s="264"/>
      <c r="B82" s="592"/>
      <c r="C82" s="264"/>
      <c r="D82" s="264"/>
      <c r="E82" s="264"/>
      <c r="F82" s="591"/>
      <c r="G82" s="591"/>
      <c r="H82" s="591"/>
      <c r="I82" s="607"/>
      <c r="J82" s="607"/>
      <c r="K82" s="607"/>
      <c r="L82" s="607"/>
      <c r="M82" s="589"/>
      <c r="N82" s="589"/>
      <c r="O82" s="589"/>
      <c r="P82" s="589"/>
      <c r="Q82" s="607"/>
      <c r="R82" s="589"/>
      <c r="S82" s="589"/>
      <c r="T82" s="590"/>
      <c r="U82" s="590"/>
      <c r="V82" s="607"/>
      <c r="W82" s="589"/>
      <c r="X82" s="589"/>
      <c r="Y82" s="589"/>
      <c r="Z82" s="589"/>
      <c r="AA82" s="607"/>
      <c r="AB82" s="589"/>
      <c r="AC82" s="589"/>
      <c r="AD82" s="589"/>
      <c r="AE82" s="589"/>
      <c r="AF82" s="607"/>
      <c r="AG82" s="589"/>
      <c r="AH82" s="589"/>
      <c r="AI82" s="589"/>
      <c r="AJ82" s="589"/>
      <c r="AK82" s="607"/>
      <c r="AL82" s="589"/>
      <c r="AM82" s="589"/>
      <c r="AN82" s="589"/>
      <c r="AO82" s="589"/>
      <c r="AP82" s="607"/>
      <c r="AQ82" s="589"/>
      <c r="AR82" s="589"/>
      <c r="AS82" s="589"/>
      <c r="AT82" s="589"/>
      <c r="AU82" s="607"/>
      <c r="AV82" s="589"/>
      <c r="AW82" s="589"/>
      <c r="AX82" s="589"/>
      <c r="AY82" s="589"/>
      <c r="AZ82" s="607"/>
      <c r="BA82" s="589"/>
      <c r="BB82" s="589"/>
      <c r="BC82" s="589"/>
      <c r="BD82" s="589"/>
      <c r="BE82" s="607"/>
      <c r="BF82" s="589"/>
      <c r="BG82" s="589"/>
      <c r="BH82" s="589"/>
      <c r="BI82" s="589"/>
      <c r="BJ82" s="607"/>
      <c r="BK82" s="589"/>
      <c r="BL82" s="589"/>
      <c r="BM82" s="589"/>
      <c r="BN82" s="589"/>
      <c r="BO82" s="607"/>
      <c r="BP82" s="589"/>
      <c r="BQ82" s="589"/>
      <c r="BR82" s="589"/>
      <c r="BS82" s="589"/>
      <c r="BT82" s="607"/>
      <c r="BU82" s="589"/>
      <c r="BV82" s="589"/>
      <c r="BW82" s="589"/>
      <c r="BX82" s="589"/>
      <c r="BY82" s="607"/>
      <c r="BZ82" s="589"/>
      <c r="CA82" s="589"/>
      <c r="CB82" s="589"/>
      <c r="CC82" s="589"/>
      <c r="CD82" s="607"/>
      <c r="CE82" s="589"/>
      <c r="CF82" s="589"/>
      <c r="CG82" s="589"/>
      <c r="CH82" s="589"/>
      <c r="CI82" s="607"/>
      <c r="CJ82" s="607"/>
      <c r="CK82" s="607"/>
      <c r="CL82" s="607"/>
      <c r="CM82" s="509"/>
      <c r="CN82" s="524"/>
    </row>
    <row r="83" spans="1:92">
      <c r="A83" s="552"/>
      <c r="B83" s="552"/>
      <c r="C83" s="552"/>
      <c r="D83" s="552"/>
      <c r="E83" s="552"/>
      <c r="F83" s="606"/>
      <c r="G83" s="606"/>
      <c r="H83" s="606"/>
      <c r="I83" s="553"/>
      <c r="J83" s="553"/>
      <c r="K83" s="553"/>
      <c r="L83" s="553"/>
      <c r="M83" s="552"/>
      <c r="N83" s="552"/>
      <c r="O83" s="552"/>
      <c r="P83" s="552"/>
      <c r="Q83" s="553"/>
      <c r="R83" s="552"/>
      <c r="S83" s="552"/>
      <c r="T83" s="552"/>
      <c r="U83" s="552"/>
      <c r="V83" s="553"/>
      <c r="W83" s="552"/>
      <c r="X83" s="552"/>
      <c r="Y83" s="552"/>
      <c r="Z83" s="552"/>
      <c r="AA83" s="553"/>
      <c r="AB83" s="552"/>
      <c r="AC83" s="552"/>
      <c r="AD83" s="552"/>
      <c r="AE83" s="552"/>
      <c r="AF83" s="553"/>
      <c r="AG83" s="552"/>
      <c r="AH83" s="552"/>
      <c r="AI83" s="552"/>
      <c r="AJ83" s="552"/>
      <c r="AK83" s="553"/>
      <c r="AL83" s="552"/>
      <c r="AM83" s="552"/>
      <c r="AN83" s="552"/>
      <c r="AO83" s="552"/>
      <c r="AP83" s="553"/>
      <c r="AQ83" s="552"/>
      <c r="AR83" s="552"/>
      <c r="AS83" s="552"/>
      <c r="AT83" s="552"/>
      <c r="AU83" s="553"/>
      <c r="AV83" s="552"/>
      <c r="AW83" s="552"/>
      <c r="AX83" s="552"/>
      <c r="AY83" s="552"/>
      <c r="AZ83" s="553"/>
      <c r="BA83" s="552"/>
      <c r="BB83" s="552"/>
      <c r="BC83" s="552"/>
      <c r="BD83" s="552"/>
      <c r="BE83" s="553"/>
      <c r="BF83" s="552"/>
      <c r="BG83" s="552"/>
      <c r="BH83" s="552"/>
      <c r="BI83" s="552"/>
      <c r="BJ83" s="553"/>
      <c r="BK83" s="552"/>
      <c r="BL83" s="552"/>
      <c r="BM83" s="552"/>
      <c r="BN83" s="552"/>
      <c r="BO83" s="553"/>
      <c r="BP83" s="552"/>
      <c r="BQ83" s="552"/>
      <c r="BR83" s="552"/>
      <c r="BS83" s="552"/>
      <c r="BT83" s="553"/>
      <c r="BU83" s="552"/>
      <c r="BV83" s="552"/>
      <c r="BW83" s="552"/>
      <c r="BX83" s="552"/>
      <c r="BY83" s="553"/>
      <c r="BZ83" s="552"/>
      <c r="CA83" s="552"/>
      <c r="CB83" s="552"/>
      <c r="CC83" s="552"/>
      <c r="CD83" s="553"/>
      <c r="CE83" s="552"/>
      <c r="CF83" s="552"/>
      <c r="CG83" s="552"/>
      <c r="CH83" s="552"/>
      <c r="CI83" s="553"/>
      <c r="CJ83" s="553"/>
      <c r="CK83" s="553"/>
      <c r="CL83" s="553"/>
      <c r="CM83" s="599"/>
      <c r="CN83" s="598"/>
    </row>
    <row r="84" spans="1:92">
      <c r="A84" s="264"/>
      <c r="B84" s="268" t="s">
        <v>359</v>
      </c>
      <c r="C84" s="264"/>
      <c r="D84" s="264"/>
      <c r="E84" s="264"/>
      <c r="F84" s="591"/>
      <c r="G84" s="591"/>
      <c r="H84" s="591"/>
      <c r="I84" s="604">
        <v>18111</v>
      </c>
      <c r="J84" s="604">
        <v>19182</v>
      </c>
      <c r="K84" s="604">
        <v>19434</v>
      </c>
      <c r="L84" s="604">
        <v>21709</v>
      </c>
      <c r="M84" s="605">
        <v>6013</v>
      </c>
      <c r="N84" s="605">
        <v>6724</v>
      </c>
      <c r="O84" s="605">
        <v>6572</v>
      </c>
      <c r="P84" s="605">
        <v>6934</v>
      </c>
      <c r="Q84" s="604">
        <v>26243</v>
      </c>
      <c r="R84" s="605">
        <v>6589</v>
      </c>
      <c r="S84" s="605">
        <v>7753</v>
      </c>
      <c r="T84" s="605">
        <v>7626</v>
      </c>
      <c r="U84" s="605">
        <v>7983</v>
      </c>
      <c r="V84" s="604">
        <v>29951</v>
      </c>
      <c r="W84" s="605">
        <f>IS!AJ25-IS!AJ49</f>
        <v>7386</v>
      </c>
      <c r="X84" s="605">
        <f>IS!AK25-IS!AK49</f>
        <v>8519</v>
      </c>
      <c r="Y84" s="605">
        <f>IS!AL25-IS!AL49</f>
        <v>8542</v>
      </c>
      <c r="Z84" s="605">
        <f>IS!AM25-IS!AM49</f>
        <v>9260</v>
      </c>
      <c r="AA84" s="604">
        <f>IS!AN25-IS!AN49</f>
        <v>33707</v>
      </c>
      <c r="AB84" s="605">
        <f>IS!AO25-IS!AO49</f>
        <v>8718</v>
      </c>
      <c r="AC84" s="605">
        <f>IS!AP25-IS!AP49</f>
        <v>9852</v>
      </c>
      <c r="AD84" s="605">
        <f>IS!AQ25-IS!AQ49</f>
        <v>9760</v>
      </c>
      <c r="AE84" s="605">
        <f>IS!AR25-IS!AR49</f>
        <v>10419</v>
      </c>
      <c r="AF84" s="604">
        <f>IS!AS25-IS!AS49</f>
        <v>38749</v>
      </c>
      <c r="AG84" s="605">
        <f>IS!AT25-IS!AT49</f>
        <v>9919</v>
      </c>
      <c r="AH84" s="605">
        <f>IS!AU25-IS!AU49</f>
        <v>11310</v>
      </c>
      <c r="AI84" s="605">
        <f>IS!AV25-IS!AV49</f>
        <v>10609</v>
      </c>
      <c r="AJ84" s="605">
        <f>IS!AW25-IS!AW49</f>
        <v>10478</v>
      </c>
      <c r="AK84" s="604">
        <f>IS!AX25-IS!AX49</f>
        <v>42316</v>
      </c>
      <c r="AL84" s="605">
        <f>IS!AY25-IS!AY49</f>
        <v>8801</v>
      </c>
      <c r="AM84" s="605">
        <f>IS!AZ25-IS!AZ49</f>
        <v>9298</v>
      </c>
      <c r="AN84" s="605">
        <f>IS!BA25-IS!BA49</f>
        <v>9520</v>
      </c>
      <c r="AO84" s="605">
        <f>IS!BB25-IS!BB49</f>
        <v>9984</v>
      </c>
      <c r="AP84" s="604">
        <f>IS!BC25-IS!BC49</f>
        <v>37603</v>
      </c>
      <c r="AQ84" s="605">
        <f>IS!BD25-IS!BD49</f>
        <v>8405</v>
      </c>
      <c r="AR84" s="605">
        <f>IS!BE25-IS!BE49</f>
        <v>9676</v>
      </c>
      <c r="AS84" s="605">
        <f>IS!BF25-IS!BF49</f>
        <v>9325</v>
      </c>
      <c r="AT84" s="605">
        <f>IS!BG25-IS!BG49</f>
        <v>10652</v>
      </c>
      <c r="AU84" s="604">
        <f>IS!BH25-IS!BH49</f>
        <v>38058</v>
      </c>
      <c r="AV84" s="605">
        <f>IS!BI25-IS!BI49</f>
        <v>8836</v>
      </c>
      <c r="AW84" s="605">
        <f>IS!BJ25-IS!BJ49</f>
        <v>10146</v>
      </c>
      <c r="AX84" s="605">
        <f>IS!BK25-IS!BK49</f>
        <v>10014</v>
      </c>
      <c r="AY84" s="605">
        <f>IS!BL25-IS!BL49</f>
        <v>10110</v>
      </c>
      <c r="AZ84" s="604">
        <f>IS!BM25-IS!BM49</f>
        <v>39106</v>
      </c>
      <c r="BA84" s="605">
        <f>IS!BN25-IS!BN49</f>
        <v>8610</v>
      </c>
      <c r="BB84" s="605">
        <f>IS!BO25-IS!BO49</f>
        <v>9629</v>
      </c>
      <c r="BC84" s="605">
        <f>IS!BP25-IS!BP49</f>
        <v>10581</v>
      </c>
      <c r="BD84" s="605">
        <f>IS!BQ25-IS!BQ49</f>
        <v>11809</v>
      </c>
      <c r="BE84" s="604">
        <f>IS!BR25-IS!BR49</f>
        <v>40629</v>
      </c>
      <c r="BF84" s="605">
        <f>IS!BS25-IS!BS49</f>
        <v>10021</v>
      </c>
      <c r="BG84" s="605">
        <f>IS!BT25-IS!BT49</f>
        <v>11113</v>
      </c>
      <c r="BH84" s="605">
        <f>IS!BU25-IS!BU49</f>
        <v>10568</v>
      </c>
      <c r="BI84" s="605">
        <f>IS!BV25-IS!BV49</f>
        <v>11798</v>
      </c>
      <c r="BJ84" s="604">
        <f>IS!BW25-IS!BW49</f>
        <v>43500</v>
      </c>
      <c r="BK84" s="605">
        <f>IS!BX25-IS!BX49</f>
        <v>10223</v>
      </c>
      <c r="BL84" s="605">
        <f>IS!BY25-IS!BY49</f>
        <v>12463</v>
      </c>
      <c r="BM84" s="605">
        <f>IS!BZ25-IS!BZ49</f>
        <v>10983</v>
      </c>
      <c r="BN84" s="605">
        <f>IS!CA25-IS!CA49</f>
        <v>11871</v>
      </c>
      <c r="BO84" s="604">
        <f>IS!CB25-IS!CB49</f>
        <v>45540</v>
      </c>
      <c r="BP84" s="605">
        <f>IS!CC25-IS!CC49</f>
        <v>9048.8923008992078</v>
      </c>
      <c r="BQ84" s="605">
        <f>IS!CD25-IS!CD49</f>
        <v>10014.107699100792</v>
      </c>
      <c r="BR84" s="605">
        <f>IS!CE25-IS!CE49</f>
        <v>9314</v>
      </c>
      <c r="BS84" s="605">
        <f>IS!CF25-IS!CF49</f>
        <v>10191</v>
      </c>
      <c r="BT84" s="604">
        <f>IS!CG25-IS!CG49</f>
        <v>38502.611191779026</v>
      </c>
      <c r="BU84" s="605">
        <f>IS!CH25-IS!CH49</f>
        <v>9188</v>
      </c>
      <c r="BV84" s="605">
        <f>IS!CI25-IS!CI49</f>
        <v>10247</v>
      </c>
      <c r="BW84" s="605">
        <f>IS!CJ25-IS!CJ49</f>
        <v>9846</v>
      </c>
      <c r="BX84" s="605">
        <f>IS!CK25-IS!CK49</f>
        <v>10217</v>
      </c>
      <c r="BY84" s="604">
        <f>IS!CL25-IS!CL49</f>
        <v>39498</v>
      </c>
      <c r="BZ84" s="605">
        <f>IS!CM25-IS!CM49</f>
        <v>9565</v>
      </c>
      <c r="CA84" s="605">
        <f>IS!CN25-IS!CN49</f>
        <v>10573</v>
      </c>
      <c r="CB84" s="605">
        <f>IS!CO25-IS!CO49</f>
        <v>10500</v>
      </c>
      <c r="CC84" s="605">
        <f>IS!CP25-IS!CP49</f>
        <v>10774.761900428763</v>
      </c>
      <c r="CD84" s="604">
        <f>IS!CQ25-IS!CQ49</f>
        <v>41412.761900428763</v>
      </c>
      <c r="CE84" s="605">
        <f>IS!CR25-IS!CR49</f>
        <v>10292.390308155902</v>
      </c>
      <c r="CF84" s="605">
        <f>IS!CS25-IS!CS49</f>
        <v>11442.104384082128</v>
      </c>
      <c r="CG84" s="605">
        <f>IS!CT25-IS!CT49</f>
        <v>10930.069420392645</v>
      </c>
      <c r="CH84" s="605">
        <f>IS!CU25-IS!CU49</f>
        <v>11217.553737785191</v>
      </c>
      <c r="CI84" s="604">
        <f>IS!CV25-IS!CV49</f>
        <v>44091.90555855682</v>
      </c>
      <c r="CJ84" s="604">
        <f>IS!CW25-IS!CW49</f>
        <v>45869.806263850835</v>
      </c>
      <c r="CK84" s="604">
        <f>IS!CX25-IS!CX49</f>
        <v>47935.196630119353</v>
      </c>
      <c r="CL84" s="604">
        <f>IS!CY25-IS!CY49</f>
        <v>49712.941961352844</v>
      </c>
      <c r="CM84" s="509"/>
      <c r="CN84" s="524"/>
    </row>
    <row r="85" spans="1:92">
      <c r="A85" s="264"/>
      <c r="B85" s="592" t="s">
        <v>358</v>
      </c>
      <c r="C85" s="264"/>
      <c r="D85" s="264"/>
      <c r="E85" s="264"/>
      <c r="F85" s="591"/>
      <c r="G85" s="591"/>
      <c r="H85" s="591"/>
      <c r="I85" s="593">
        <v>0.20738777538512507</v>
      </c>
      <c r="J85" s="593">
        <v>0.20712125951412783</v>
      </c>
      <c r="K85" s="593">
        <v>0.19136564783369353</v>
      </c>
      <c r="L85" s="593">
        <v>0.20360219263899765</v>
      </c>
      <c r="M85" s="594">
        <v>0.18688674538499916</v>
      </c>
      <c r="N85" s="594">
        <v>0.16515466983938132</v>
      </c>
      <c r="O85" s="594">
        <v>0.17582166768107121</v>
      </c>
      <c r="P85" s="594">
        <v>0.1830833573694837</v>
      </c>
      <c r="Q85" s="593">
        <v>0.19349921883930954</v>
      </c>
      <c r="R85" s="594">
        <v>0.20101684625891639</v>
      </c>
      <c r="S85" s="594">
        <v>0.18941055075454663</v>
      </c>
      <c r="T85" s="594">
        <v>0.19551534225019671</v>
      </c>
      <c r="U85" s="594">
        <v>0.17722034322936239</v>
      </c>
      <c r="V85" s="593">
        <v>0.18894193849954927</v>
      </c>
      <c r="W85" s="594">
        <f>W16/W84/4</f>
        <v>0.2190630923368535</v>
      </c>
      <c r="X85" s="594">
        <f>X16/X84/4</f>
        <v>0.20119732362953399</v>
      </c>
      <c r="Y85" s="594">
        <f>Y16/Y84/4</f>
        <v>0.21063568250995082</v>
      </c>
      <c r="Z85" s="594">
        <f>Z16/Z84/4</f>
        <v>0.17972462203023759</v>
      </c>
      <c r="AA85" s="593">
        <f>AA16/AA84</f>
        <v>0.19749606906577269</v>
      </c>
      <c r="AB85" s="594">
        <f>AB16/AB84/4</f>
        <v>0.2153016746960312</v>
      </c>
      <c r="AC85" s="594">
        <f>AC16/AC84/4</f>
        <v>0.20234470158343484</v>
      </c>
      <c r="AD85" s="594">
        <f>AD16/AD84/4</f>
        <v>0.2190061475409836</v>
      </c>
      <c r="AE85" s="594">
        <f>AE16/AE84/4</f>
        <v>0.19438045877723389</v>
      </c>
      <c r="AF85" s="593">
        <f>AF16/AF84</f>
        <v>0.20906345970218587</v>
      </c>
      <c r="AG85" s="594">
        <f>AG16/AG84/4</f>
        <v>0.22872769432402459</v>
      </c>
      <c r="AH85" s="594">
        <f>AH16/AH84/4</f>
        <v>0.20075154730327144</v>
      </c>
      <c r="AI85" s="594">
        <f>AI16/AI84/4</f>
        <v>0.21234329343010652</v>
      </c>
      <c r="AJ85" s="594">
        <f>AJ16/AJ84/4</f>
        <v>0.19898835655659478</v>
      </c>
      <c r="AK85" s="593">
        <f>AK16/AK84</f>
        <v>0.19708857169864827</v>
      </c>
      <c r="AL85" s="594">
        <f>AL16/AL84/4</f>
        <v>0.2443188274059766</v>
      </c>
      <c r="AM85" s="594">
        <f>AM16/AM84/4</f>
        <v>0.22959238545923855</v>
      </c>
      <c r="AN85" s="594">
        <f>AN16/AN84/4</f>
        <v>0.21234243697478991</v>
      </c>
      <c r="AO85" s="594">
        <f>AO16/AO84/4</f>
        <v>0.18802584134615385</v>
      </c>
      <c r="AP85" s="593">
        <f>AP16/AP84</f>
        <v>0.1996915139749488</v>
      </c>
      <c r="AQ85" s="594">
        <f>AQ16/AQ84/4</f>
        <v>0.2430696014277216</v>
      </c>
      <c r="AR85" s="594">
        <f>AR16/AR84/4</f>
        <v>0.20884146341463414</v>
      </c>
      <c r="AS85" s="594">
        <f>AS16/AS84/4</f>
        <v>0.22600536193029491</v>
      </c>
      <c r="AT85" s="594">
        <f>AT16/AT84/4</f>
        <v>0.18226624108148703</v>
      </c>
      <c r="AU85" s="593">
        <f>AU16/AU84</f>
        <v>0.20405696568395607</v>
      </c>
      <c r="AV85" s="594">
        <f>AV16/AV84/4</f>
        <v>0.24974535989135355</v>
      </c>
      <c r="AW85" s="594">
        <f>AW16/AW84/4</f>
        <v>0.21671101912083579</v>
      </c>
      <c r="AX85" s="594">
        <f>AX16/AX84/4</f>
        <v>0.21512382664270022</v>
      </c>
      <c r="AY85" s="594">
        <f>AY16/AY84/4</f>
        <v>0.19280415430267062</v>
      </c>
      <c r="AZ85" s="593">
        <f>AZ16/AZ84</f>
        <v>0.19938116913005677</v>
      </c>
      <c r="BA85" s="594">
        <f>BA16/BA84/4</f>
        <v>0.24291521486643439</v>
      </c>
      <c r="BB85" s="594">
        <f>BB16/BB84/4</f>
        <v>0.2207394329629245</v>
      </c>
      <c r="BC85" s="594">
        <f>BC16/BC84/4</f>
        <v>0.24730649277005953</v>
      </c>
      <c r="BD85" s="594">
        <f>BD16/BD84/4</f>
        <v>0.20190109238716233</v>
      </c>
      <c r="BE85" s="593">
        <f>BE16/BE84</f>
        <v>0.23473381082478034</v>
      </c>
      <c r="BF85" s="594">
        <f>BF16/BF84/4</f>
        <v>0.25349266540265442</v>
      </c>
      <c r="BG85" s="594">
        <f>BG16/BG84/4</f>
        <v>0.23018086925222711</v>
      </c>
      <c r="BH85" s="594">
        <f>BH16/BH84/4</f>
        <v>0.25466029523088568</v>
      </c>
      <c r="BI85" s="594">
        <f>BI16/BI84/4</f>
        <v>0.21889303271740973</v>
      </c>
      <c r="BJ85" s="593">
        <f>BJ16/BJ84</f>
        <v>0.2374712643678161</v>
      </c>
      <c r="BK85" s="594">
        <f>BK16/BK84/4</f>
        <v>0.26880563435390786</v>
      </c>
      <c r="BL85" s="594">
        <f>BL16/BL84/4</f>
        <v>0.19850758244403435</v>
      </c>
      <c r="BM85" s="594">
        <f>BM16/BM84/4</f>
        <v>0.23538650641901121</v>
      </c>
      <c r="BN85" s="594">
        <f>BN16/BN84/4</f>
        <v>0.20775419088535085</v>
      </c>
      <c r="BO85" s="593">
        <f>BO16/BO84</f>
        <v>0.21662274923144489</v>
      </c>
      <c r="BP85" s="594">
        <f>BP16/BP84/4</f>
        <v>0.28555981374021022</v>
      </c>
      <c r="BQ85" s="594">
        <f>BQ16/BQ84/4</f>
        <v>0.25701241461893881</v>
      </c>
      <c r="BR85" s="594">
        <f>BR16/BR84/4</f>
        <v>0.22688962851621217</v>
      </c>
      <c r="BS85" s="594">
        <f>BS16/BS84/4</f>
        <v>0.19956334020213914</v>
      </c>
      <c r="BT85" s="593">
        <f>BT16/BT84</f>
        <v>0.21128437132432626</v>
      </c>
      <c r="BU85" s="594">
        <f>BU16/BU84/4</f>
        <v>0.23147039616891599</v>
      </c>
      <c r="BV85" s="594">
        <f>BV16/BV84/4</f>
        <v>0.21340392309944373</v>
      </c>
      <c r="BW85" s="594">
        <f>BW16/BW84/4</f>
        <v>0.23057586837294333</v>
      </c>
      <c r="BX85" s="594">
        <f>BX16/BX84/4</f>
        <v>0.21297836938435941</v>
      </c>
      <c r="BY85" s="593">
        <f>BY16/BY84</f>
        <v>0.22036558813104462</v>
      </c>
      <c r="BZ85" s="594">
        <f>BZ16/BZ84/4</f>
        <v>0.24532148457919498</v>
      </c>
      <c r="CA85" s="594">
        <f>CA16/CA84/4</f>
        <v>0.23314101957817082</v>
      </c>
      <c r="CB85" s="594">
        <f>CB16/CB84/4</f>
        <v>0.24007142857142857</v>
      </c>
      <c r="CC85" s="2071">
        <f>CB85-0.01</f>
        <v>0.23007142857142857</v>
      </c>
      <c r="CD85" s="593">
        <f>CD16/CD84</f>
        <v>0.23943970401288114</v>
      </c>
      <c r="CE85" s="2071">
        <f>BZ85</f>
        <v>0.24532148457919498</v>
      </c>
      <c r="CF85" s="2071">
        <f t="shared" ref="CF85:CG85" si="58">CA85</f>
        <v>0.23314101957817082</v>
      </c>
      <c r="CG85" s="2071">
        <f t="shared" si="58"/>
        <v>0.24007142857142857</v>
      </c>
      <c r="CH85" s="2071">
        <f>BX85</f>
        <v>0.21297836938435941</v>
      </c>
      <c r="CI85" s="593">
        <f>CI16/CI84</f>
        <v>0.21673785909588741</v>
      </c>
      <c r="CJ85" s="603">
        <f>BS85</f>
        <v>0.19956334020213914</v>
      </c>
      <c r="CK85" s="603">
        <f>CJ85-0.005</f>
        <v>0.19456334020213914</v>
      </c>
      <c r="CL85" s="603">
        <f>CK85-0.005</f>
        <v>0.18956334020213914</v>
      </c>
      <c r="CM85" s="509"/>
      <c r="CN85" s="524"/>
    </row>
    <row r="86" spans="1:92">
      <c r="A86" s="264"/>
      <c r="B86" s="592" t="s">
        <v>357</v>
      </c>
      <c r="C86" s="264"/>
      <c r="D86" s="264"/>
      <c r="E86" s="264"/>
      <c r="F86" s="591"/>
      <c r="G86" s="591"/>
      <c r="H86" s="591"/>
      <c r="I86" s="593">
        <v>0.12484125669482635</v>
      </c>
      <c r="J86" s="593">
        <v>0.11239703889062663</v>
      </c>
      <c r="K86" s="593">
        <v>0.10780076155191931</v>
      </c>
      <c r="L86" s="593">
        <v>0.12031876180386016</v>
      </c>
      <c r="M86" s="594">
        <v>0.12435556294694827</v>
      </c>
      <c r="N86" s="594">
        <v>0.12154223676383105</v>
      </c>
      <c r="O86" s="594">
        <v>0.11792452830188679</v>
      </c>
      <c r="P86" s="594">
        <v>0.12582924718777042</v>
      </c>
      <c r="Q86" s="593">
        <v>0.13298784437754829</v>
      </c>
      <c r="R86" s="594">
        <v>0.13670511458491424</v>
      </c>
      <c r="S86" s="594">
        <v>0.12817618986198892</v>
      </c>
      <c r="T86" s="594">
        <v>0.12063991607658012</v>
      </c>
      <c r="U86" s="594">
        <v>0.11962921207566078</v>
      </c>
      <c r="V86" s="593">
        <v>0.12754165136389436</v>
      </c>
      <c r="W86" s="594">
        <f>W35/W84/4</f>
        <v>0.13596669374492282</v>
      </c>
      <c r="X86" s="594">
        <f>X35/X84/4</f>
        <v>0.12736236647493837</v>
      </c>
      <c r="Y86" s="594">
        <f>Y35/Y84/4</f>
        <v>0.12423905408569422</v>
      </c>
      <c r="Z86" s="594">
        <f>Z35/Z84/4</f>
        <v>0.11509179265658748</v>
      </c>
      <c r="AA86" s="593">
        <f>AA35/AA84</f>
        <v>0.12647224612098376</v>
      </c>
      <c r="AB86" s="594">
        <f>AB35/AB84/4</f>
        <v>0.13724478091305345</v>
      </c>
      <c r="AC86" s="594">
        <f>AC35/AC84/4</f>
        <v>0.12941534713763703</v>
      </c>
      <c r="AD86" s="594">
        <f>AD35/AD84/4</f>
        <v>0.12748463114754099</v>
      </c>
      <c r="AE86" s="594">
        <f>AE35/AE84/4</f>
        <v>0.12138880890680488</v>
      </c>
      <c r="AF86" s="593">
        <f>AF35/AF84</f>
        <v>0.13055820795375364</v>
      </c>
      <c r="AG86" s="594">
        <f>AG35/AG84/4</f>
        <v>0.13869845750579696</v>
      </c>
      <c r="AH86" s="594">
        <f>AH35/AH84/4</f>
        <v>0.12327586206896551</v>
      </c>
      <c r="AI86" s="594">
        <f>AI35/AI84/4</f>
        <v>0.12027523800546705</v>
      </c>
      <c r="AJ86" s="594">
        <f>AJ35/AJ84/4</f>
        <v>0.12468982630272953</v>
      </c>
      <c r="AK86" s="593">
        <f>AK35/AK84</f>
        <v>0.12349938557519614</v>
      </c>
      <c r="AL86" s="594">
        <f>AL35/AL84/4</f>
        <v>0.13671741847517327</v>
      </c>
      <c r="AM86" s="594">
        <f>AM35/AM84/4</f>
        <v>0.12365562486556249</v>
      </c>
      <c r="AN86" s="594">
        <f>AN35/AN84/4</f>
        <v>0.11633403361344538</v>
      </c>
      <c r="AO86" s="594">
        <f>AO35/AO84/4</f>
        <v>0.11603565705128205</v>
      </c>
      <c r="AP86" s="593">
        <f>AP35/AP84</f>
        <v>0.12323484828338165</v>
      </c>
      <c r="AQ86" s="594">
        <f>AQ35/AQ84/4</f>
        <v>0.14280190362879239</v>
      </c>
      <c r="AR86" s="594">
        <f>AR35/AR84/4</f>
        <v>0.13065832988838363</v>
      </c>
      <c r="AS86" s="594">
        <f>AS35/AS84/4</f>
        <v>0.13308310991957104</v>
      </c>
      <c r="AT86" s="594">
        <f>AT35/AT84/4</f>
        <v>0.12218362748779572</v>
      </c>
      <c r="AU86" s="593">
        <f>AU35/AU84</f>
        <v>0.13679121341110936</v>
      </c>
      <c r="AV86" s="594">
        <f>AV35/AV84/4</f>
        <v>0.15943300135808058</v>
      </c>
      <c r="AW86" s="594">
        <f>AW35/AW84/4</f>
        <v>0.14010447466982062</v>
      </c>
      <c r="AX86" s="594">
        <f>AX35/AX84/4</f>
        <v>0.13972937886958259</v>
      </c>
      <c r="AY86" s="594">
        <f>AY35/AY84/4</f>
        <v>0.1377349159248269</v>
      </c>
      <c r="AZ86" s="593">
        <f>AZ35/AZ84</f>
        <v>0.14243338618114867</v>
      </c>
      <c r="BA86" s="594">
        <f>BA35/BA84/4</f>
        <v>0.15333914053426248</v>
      </c>
      <c r="BB86" s="594">
        <f>BB35/BB84/4</f>
        <v>0.14934053380413334</v>
      </c>
      <c r="BC86" s="594">
        <f>BC35/BC84/4</f>
        <v>0.14544939041678481</v>
      </c>
      <c r="BD86" s="594">
        <f>BD35/BD84/4</f>
        <v>0.13614615970869676</v>
      </c>
      <c r="BE86" s="593">
        <f>BE35/BE84</f>
        <v>0.15828595338305151</v>
      </c>
      <c r="BF86" s="594">
        <f>BF35/BF84/4</f>
        <v>0.15447560123740145</v>
      </c>
      <c r="BG86" s="594">
        <f>BG35/BG84/4</f>
        <v>0.14948708719517681</v>
      </c>
      <c r="BH86" s="594">
        <f>BH35/BH84/4</f>
        <v>0.15679409538228614</v>
      </c>
      <c r="BI86" s="594">
        <f>BI35/BI84/4</f>
        <v>0.14758857433463299</v>
      </c>
      <c r="BJ86" s="593">
        <f>BJ35/BJ84</f>
        <v>0.16011494252873562</v>
      </c>
      <c r="BK86" s="594">
        <f>BK35/BK84/4</f>
        <v>0.16993543969480582</v>
      </c>
      <c r="BL86" s="594">
        <f>BL35/BL84/4</f>
        <v>0.14637326486399743</v>
      </c>
      <c r="BM86" s="594">
        <f>BM35/BM84/4</f>
        <v>0.16038423017390513</v>
      </c>
      <c r="BN86" s="594">
        <f>BN35/BN84/4</f>
        <v>0.14672310673068822</v>
      </c>
      <c r="BO86" s="593">
        <f>BO35/BO84</f>
        <v>0.15298638559508124</v>
      </c>
      <c r="BP86" s="594">
        <f>BP35/BP84/4</f>
        <v>0.19143227064685725</v>
      </c>
      <c r="BQ86" s="594">
        <f>BQ35/BQ84/4</f>
        <v>0.17857307447977361</v>
      </c>
      <c r="BR86" s="594">
        <f>BR35/BR84/4</f>
        <v>0.16998604251664162</v>
      </c>
      <c r="BS86" s="594">
        <f>BS35/BS84/4</f>
        <v>0.16865371406142676</v>
      </c>
      <c r="BT86" s="593">
        <f>BT35/BT84</f>
        <v>0.17855931811367462</v>
      </c>
      <c r="BU86" s="594">
        <f>BU35/BU84/4</f>
        <v>0.17901066608619939</v>
      </c>
      <c r="BV86" s="594">
        <f>BV35/BV84/4</f>
        <v>0.17668585927588562</v>
      </c>
      <c r="BW86" s="594">
        <f>BW35/BW84/4</f>
        <v>0.18870607353239893</v>
      </c>
      <c r="BX86" s="594">
        <f>BX35/BX84/4</f>
        <v>0.18310169325633749</v>
      </c>
      <c r="BY86" s="593">
        <f>BY35/BY84</f>
        <v>0.18945263051293737</v>
      </c>
      <c r="BZ86" s="594">
        <f>BZ35/BZ84/4</f>
        <v>0.19654992158912701</v>
      </c>
      <c r="CA86" s="594">
        <f>CA35/CA84/4</f>
        <v>0.20197673318830986</v>
      </c>
      <c r="CB86" s="594">
        <f>CB35/CB84/4</f>
        <v>0.21426190476190476</v>
      </c>
      <c r="CC86" s="596">
        <f>BX86</f>
        <v>0.18310169325633749</v>
      </c>
      <c r="CD86" s="593">
        <f>CD35/CD84</f>
        <v>0.190557408669906</v>
      </c>
      <c r="CE86" s="2071">
        <f>BZ86*0.98</f>
        <v>0.19261892315734447</v>
      </c>
      <c r="CF86" s="2071">
        <f>CA86</f>
        <v>0.20197673318830986</v>
      </c>
      <c r="CG86" s="2071">
        <f>CF86</f>
        <v>0.20197673318830986</v>
      </c>
      <c r="CH86" s="2071">
        <f>CC86</f>
        <v>0.18310169325633749</v>
      </c>
      <c r="CI86" s="593">
        <f>CI35/CI84</f>
        <v>0.18633380050718357</v>
      </c>
      <c r="CJ86" s="603">
        <f>CI86-0.005</f>
        <v>0.18133380050718356</v>
      </c>
      <c r="CK86" s="603">
        <f t="shared" ref="CK86:CL86" si="59">CJ86-0.005</f>
        <v>0.17633380050718356</v>
      </c>
      <c r="CL86" s="603">
        <f t="shared" si="59"/>
        <v>0.17133380050718355</v>
      </c>
      <c r="CM86" s="509"/>
      <c r="CN86" s="524"/>
    </row>
    <row r="87" spans="1:92">
      <c r="A87" s="264"/>
      <c r="B87" s="592" t="s">
        <v>356</v>
      </c>
      <c r="C87" s="264"/>
      <c r="D87" s="264"/>
      <c r="E87" s="264"/>
      <c r="F87" s="591"/>
      <c r="G87" s="591"/>
      <c r="H87" s="591"/>
      <c r="I87" s="593">
        <v>0.31737618022196457</v>
      </c>
      <c r="J87" s="593">
        <v>0.28636221457616517</v>
      </c>
      <c r="K87" s="593">
        <v>0.28645672532674693</v>
      </c>
      <c r="L87" s="593">
        <v>0.33465383020866923</v>
      </c>
      <c r="M87" s="594">
        <v>0.3110344254116082</v>
      </c>
      <c r="N87" s="594">
        <v>0.2756543723973825</v>
      </c>
      <c r="O87" s="594">
        <v>0.29538192331101643</v>
      </c>
      <c r="P87" s="594">
        <v>0.29726708970291316</v>
      </c>
      <c r="Q87" s="593">
        <v>0.31417901916701596</v>
      </c>
      <c r="R87" s="594">
        <v>0.32356958567309152</v>
      </c>
      <c r="S87" s="594">
        <v>0.31000902876305947</v>
      </c>
      <c r="T87" s="594">
        <v>0.31802386572252822</v>
      </c>
      <c r="U87" s="594">
        <v>0.28873856946010273</v>
      </c>
      <c r="V87" s="593">
        <v>0.30783613234950419</v>
      </c>
      <c r="W87" s="594">
        <f>W36/W84/4</f>
        <v>0.32686839967506093</v>
      </c>
      <c r="X87" s="594">
        <f>X36/X84/4</f>
        <v>0.28462847752083575</v>
      </c>
      <c r="Y87" s="594">
        <f>Y36/Y84/4</f>
        <v>0.29129594942636383</v>
      </c>
      <c r="Z87" s="594">
        <f>Z36/Z84/4</f>
        <v>0.27135529157667387</v>
      </c>
      <c r="AA87" s="593">
        <f>AA36/AA84</f>
        <v>0.29818732014121696</v>
      </c>
      <c r="AB87" s="594">
        <f>AB36/AB84/4</f>
        <v>0.28942991511814636</v>
      </c>
      <c r="AC87" s="594">
        <f>AC36/AC84/4</f>
        <v>0.26195188794153473</v>
      </c>
      <c r="AD87" s="594">
        <f>AD36/AD84/4</f>
        <v>0.29172643442622953</v>
      </c>
      <c r="AE87" s="594">
        <f>AE36/AE84/4</f>
        <v>0.2705873884249928</v>
      </c>
      <c r="AF87" s="593">
        <f>AF36/AF84</f>
        <v>0.29102686520942478</v>
      </c>
      <c r="AG87" s="594">
        <f>AG36/AG84/4</f>
        <v>0.30494505494505497</v>
      </c>
      <c r="AH87" s="594">
        <f>AH36/AH84/4</f>
        <v>0.27197170645446506</v>
      </c>
      <c r="AI87" s="594">
        <f>AI36/AI84/4</f>
        <v>0.29441983221792817</v>
      </c>
      <c r="AJ87" s="594">
        <f>AJ36/AJ84/4</f>
        <v>0.28796048864287077</v>
      </c>
      <c r="AK87" s="593">
        <f>AK36/AK84</f>
        <v>0.28521126760563381</v>
      </c>
      <c r="AL87" s="594">
        <f>AL36/AL84/4</f>
        <v>0.32990569253493923</v>
      </c>
      <c r="AM87" s="594">
        <f>AM36/AM84/4</f>
        <v>0.31934286943428697</v>
      </c>
      <c r="AN87" s="594">
        <f>AN36/AN84/4</f>
        <v>0.31688550420168066</v>
      </c>
      <c r="AO87" s="594">
        <f>AO36/AO84/4</f>
        <v>0.2952724358974359</v>
      </c>
      <c r="AP87" s="593">
        <f>AP36/AP84</f>
        <v>0.31359200063824694</v>
      </c>
      <c r="AQ87" s="594">
        <f>AQ36/AQ84/4</f>
        <v>0.35458060678167758</v>
      </c>
      <c r="AR87" s="594">
        <f>AR36/AR84/4</f>
        <v>0.30175175692434891</v>
      </c>
      <c r="AS87" s="594">
        <f>AS36/AS84/4</f>
        <v>0.33310991957104558</v>
      </c>
      <c r="AT87" s="594">
        <f>AT36/AT84/4</f>
        <v>0.28743428464138188</v>
      </c>
      <c r="AU87" s="593">
        <f>AU36/AU84</f>
        <v>0.3217983078459194</v>
      </c>
      <c r="AV87" s="594">
        <f>AV36/AV84/4</f>
        <v>0.36158895427795384</v>
      </c>
      <c r="AW87" s="594">
        <f>AW36/AW84/4</f>
        <v>0.31100926473487089</v>
      </c>
      <c r="AX87" s="594">
        <f>AX36/AX84/4</f>
        <v>0.31465947673257438</v>
      </c>
      <c r="AY87" s="594">
        <f>AY36/AY84/4</f>
        <v>0.3038328387734916</v>
      </c>
      <c r="AZ87" s="593">
        <f>AZ36/AZ84</f>
        <v>0.31419730987572242</v>
      </c>
      <c r="BA87" s="594">
        <f>BA36/BA84/4</f>
        <v>0.3477932636469222</v>
      </c>
      <c r="BB87" s="594">
        <f>BB36/BB84/4</f>
        <v>0.33370547305016096</v>
      </c>
      <c r="BC87" s="594">
        <f>BC36/BC84/4</f>
        <v>0.3449579434836027</v>
      </c>
      <c r="BD87" s="594">
        <f>BD36/BD84/4</f>
        <v>0.32411719874671863</v>
      </c>
      <c r="BE87" s="593">
        <f>BE36/BE84</f>
        <v>0.37682443574786484</v>
      </c>
      <c r="BF87" s="594">
        <f>BF36/BF84/4</f>
        <v>0.37057179922163458</v>
      </c>
      <c r="BG87" s="594">
        <f>BG36/BG84/4</f>
        <v>0.34279672455682536</v>
      </c>
      <c r="BH87" s="594">
        <f>BH36/BH84/4</f>
        <v>0.36638909916729751</v>
      </c>
      <c r="BI87" s="594">
        <f>BI36/BI84/4</f>
        <v>0.32494914392269875</v>
      </c>
      <c r="BJ87" s="593">
        <f>BJ36/BJ84</f>
        <v>0.3525287356321839</v>
      </c>
      <c r="BK87" s="594">
        <f>BK36/BK84/4</f>
        <v>0.38340017607355964</v>
      </c>
      <c r="BL87" s="594">
        <f>BL36/BL84/4</f>
        <v>0.29683864238144908</v>
      </c>
      <c r="BM87" s="594">
        <f>BM36/BM84/4</f>
        <v>0.33508604206500958</v>
      </c>
      <c r="BN87" s="594">
        <f>BN36/BN84/4</f>
        <v>0.29496251368882148</v>
      </c>
      <c r="BO87" s="593">
        <f>BO36/BO84</f>
        <v>0.30755379885814671</v>
      </c>
      <c r="BP87" s="594">
        <f>BP36/BP84/4</f>
        <v>0.40380633103975544</v>
      </c>
      <c r="BQ87" s="594">
        <f>BQ36/BQ84/4</f>
        <v>0.34007023913930884</v>
      </c>
      <c r="BR87" s="594">
        <f>BR36/BR84/4</f>
        <v>0.37891883186600817</v>
      </c>
      <c r="BS87" s="594">
        <f>BS36/BS84/4</f>
        <v>0.35909135511726031</v>
      </c>
      <c r="BT87" s="593">
        <f>BT36/BT84</f>
        <v>0.38018200706152278</v>
      </c>
      <c r="BU87" s="594">
        <f>BU36/BU84/4</f>
        <v>0.34232150631258162</v>
      </c>
      <c r="BV87" s="594">
        <f>BV36/BV84/4</f>
        <v>0.30579681858104812</v>
      </c>
      <c r="BW87" s="594">
        <f>BW36/BW84/4</f>
        <v>0.32079016859638432</v>
      </c>
      <c r="BX87" s="594">
        <f>BX36/BX84/4</f>
        <v>0.29898698248018007</v>
      </c>
      <c r="BY87" s="593">
        <f>BY36/BY84</f>
        <v>0.30935743581953518</v>
      </c>
      <c r="BZ87" s="594">
        <f>BZ36/BZ84/4</f>
        <v>0.32728698379508625</v>
      </c>
      <c r="CA87" s="594">
        <f>CA36/CA84/4</f>
        <v>0.29873262082663388</v>
      </c>
      <c r="CB87" s="594">
        <f>CB36/CB84/4</f>
        <v>0.31078571428571428</v>
      </c>
      <c r="CC87" s="594">
        <f>CC36/CC84/4</f>
        <v>0.30713386735011283</v>
      </c>
      <c r="CD87" s="593">
        <f>CD36/CD84</f>
        <v>0.319640047211734</v>
      </c>
      <c r="CE87" s="594">
        <f>CE36/CE84/4</f>
        <v>0.29877464398132358</v>
      </c>
      <c r="CF87" s="594">
        <f>CF36/CF84/4</f>
        <v>0.28942421617800046</v>
      </c>
      <c r="CG87" s="594">
        <f>CG36/CG84/4</f>
        <v>0.29173728348338096</v>
      </c>
      <c r="CH87" s="594">
        <f>CH36/CH84/4</f>
        <v>0.28680748114221027</v>
      </c>
      <c r="CI87" s="593">
        <f>CI36/CI84</f>
        <v>0.29187020078674614</v>
      </c>
      <c r="CJ87" s="593">
        <f>CJ36/CJ84</f>
        <v>0.27336552472499764</v>
      </c>
      <c r="CK87" s="593">
        <f>CK36/CK84</f>
        <v>0.26663441672243082</v>
      </c>
      <c r="CL87" s="593">
        <f>CL36/CL84</f>
        <v>0.26069707796391028</v>
      </c>
      <c r="CM87" s="509"/>
      <c r="CN87" s="524"/>
    </row>
    <row r="88" spans="1:92">
      <c r="A88" s="264"/>
      <c r="B88" s="592"/>
      <c r="C88" s="264" t="s">
        <v>355</v>
      </c>
      <c r="D88" s="264"/>
      <c r="E88" s="264"/>
      <c r="F88" s="591"/>
      <c r="G88" s="591"/>
      <c r="H88" s="591"/>
      <c r="I88" s="593">
        <f t="shared" ref="I88:AN88" si="60">I38/I84</f>
        <v>0</v>
      </c>
      <c r="J88" s="593">
        <f t="shared" si="60"/>
        <v>0</v>
      </c>
      <c r="K88" s="593">
        <f t="shared" si="60"/>
        <v>0</v>
      </c>
      <c r="L88" s="593">
        <f t="shared" si="60"/>
        <v>0</v>
      </c>
      <c r="M88" s="594">
        <f t="shared" si="60"/>
        <v>0</v>
      </c>
      <c r="N88" s="594">
        <f t="shared" si="60"/>
        <v>0</v>
      </c>
      <c r="O88" s="594">
        <f t="shared" si="60"/>
        <v>0</v>
      </c>
      <c r="P88" s="594">
        <f t="shared" si="60"/>
        <v>0</v>
      </c>
      <c r="Q88" s="593">
        <f t="shared" si="60"/>
        <v>0</v>
      </c>
      <c r="R88" s="594">
        <f t="shared" si="60"/>
        <v>0</v>
      </c>
      <c r="S88" s="594">
        <f t="shared" si="60"/>
        <v>0</v>
      </c>
      <c r="T88" s="594">
        <f t="shared" si="60"/>
        <v>0</v>
      </c>
      <c r="U88" s="594">
        <f t="shared" si="60"/>
        <v>0</v>
      </c>
      <c r="V88" s="593">
        <f t="shared" si="60"/>
        <v>0</v>
      </c>
      <c r="W88" s="594">
        <f t="shared" si="60"/>
        <v>0</v>
      </c>
      <c r="X88" s="594">
        <f t="shared" si="60"/>
        <v>0</v>
      </c>
      <c r="Y88" s="594">
        <f t="shared" si="60"/>
        <v>0</v>
      </c>
      <c r="Z88" s="594">
        <f t="shared" si="60"/>
        <v>0</v>
      </c>
      <c r="AA88" s="593">
        <f t="shared" si="60"/>
        <v>0</v>
      </c>
      <c r="AB88" s="594">
        <f t="shared" si="60"/>
        <v>0</v>
      </c>
      <c r="AC88" s="594">
        <f t="shared" si="60"/>
        <v>0</v>
      </c>
      <c r="AD88" s="594">
        <f t="shared" si="60"/>
        <v>0</v>
      </c>
      <c r="AE88" s="594">
        <f t="shared" si="60"/>
        <v>0</v>
      </c>
      <c r="AF88" s="593">
        <f t="shared" si="60"/>
        <v>0</v>
      </c>
      <c r="AG88" s="594">
        <f t="shared" si="60"/>
        <v>0</v>
      </c>
      <c r="AH88" s="594">
        <f t="shared" si="60"/>
        <v>0</v>
      </c>
      <c r="AI88" s="594">
        <f t="shared" si="60"/>
        <v>0</v>
      </c>
      <c r="AJ88" s="594">
        <f t="shared" si="60"/>
        <v>0</v>
      </c>
      <c r="AK88" s="593">
        <f t="shared" si="60"/>
        <v>0</v>
      </c>
      <c r="AL88" s="594">
        <f t="shared" si="60"/>
        <v>0</v>
      </c>
      <c r="AM88" s="594">
        <f t="shared" si="60"/>
        <v>0</v>
      </c>
      <c r="AN88" s="594">
        <f t="shared" si="60"/>
        <v>0</v>
      </c>
      <c r="AO88" s="594">
        <f t="shared" ref="AO88:BU88" si="61">AO38/AO84</f>
        <v>0</v>
      </c>
      <c r="AP88" s="593">
        <f t="shared" si="61"/>
        <v>0</v>
      </c>
      <c r="AQ88" s="594">
        <f t="shared" si="61"/>
        <v>0</v>
      </c>
      <c r="AR88" s="594">
        <f t="shared" si="61"/>
        <v>0</v>
      </c>
      <c r="AS88" s="594">
        <f t="shared" si="61"/>
        <v>0</v>
      </c>
      <c r="AT88" s="594">
        <f t="shared" si="61"/>
        <v>0</v>
      </c>
      <c r="AU88" s="593">
        <f t="shared" si="61"/>
        <v>0</v>
      </c>
      <c r="AV88" s="594">
        <f t="shared" si="61"/>
        <v>0</v>
      </c>
      <c r="AW88" s="594">
        <f t="shared" si="61"/>
        <v>0</v>
      </c>
      <c r="AX88" s="594">
        <f t="shared" si="61"/>
        <v>0</v>
      </c>
      <c r="AY88" s="594">
        <f t="shared" si="61"/>
        <v>0</v>
      </c>
      <c r="AZ88" s="593">
        <f t="shared" si="61"/>
        <v>0</v>
      </c>
      <c r="BA88" s="594">
        <f t="shared" si="61"/>
        <v>8.9547038327526127E-2</v>
      </c>
      <c r="BB88" s="594">
        <f t="shared" si="61"/>
        <v>9.5233149859798527E-2</v>
      </c>
      <c r="BC88" s="594">
        <f t="shared" si="61"/>
        <v>3.8276155372838107E-2</v>
      </c>
      <c r="BD88" s="594">
        <f t="shared" si="61"/>
        <v>3.5650774832754681E-2</v>
      </c>
      <c r="BE88" s="593">
        <f t="shared" si="61"/>
        <v>1.0362056659036648E-2</v>
      </c>
      <c r="BF88" s="594">
        <f t="shared" si="61"/>
        <v>2.6045304859794432E-2</v>
      </c>
      <c r="BG88" s="594">
        <f t="shared" si="61"/>
        <v>0</v>
      </c>
      <c r="BH88" s="594">
        <f t="shared" si="61"/>
        <v>0</v>
      </c>
      <c r="BI88" s="594">
        <f t="shared" si="61"/>
        <v>0</v>
      </c>
      <c r="BJ88" s="593">
        <f t="shared" si="61"/>
        <v>0</v>
      </c>
      <c r="BK88" s="594">
        <f t="shared" si="61"/>
        <v>0</v>
      </c>
      <c r="BL88" s="594">
        <f t="shared" si="61"/>
        <v>0</v>
      </c>
      <c r="BM88" s="594">
        <f t="shared" si="61"/>
        <v>0</v>
      </c>
      <c r="BN88" s="594">
        <f t="shared" si="61"/>
        <v>0</v>
      </c>
      <c r="BO88" s="593">
        <f t="shared" si="61"/>
        <v>0</v>
      </c>
      <c r="BP88" s="594">
        <f t="shared" si="61"/>
        <v>0</v>
      </c>
      <c r="BQ88" s="594">
        <f t="shared" si="61"/>
        <v>0</v>
      </c>
      <c r="BR88" s="594">
        <f>BR38/BR84</f>
        <v>0</v>
      </c>
      <c r="BS88" s="594">
        <f>BS38/BS84</f>
        <v>0</v>
      </c>
      <c r="BT88" s="593">
        <f t="shared" si="61"/>
        <v>0</v>
      </c>
      <c r="BU88" s="594">
        <f t="shared" si="61"/>
        <v>0</v>
      </c>
      <c r="BV88" s="594">
        <f t="shared" ref="BV88:CJ88" si="62">BV38/BV84</f>
        <v>0</v>
      </c>
      <c r="BW88" s="594">
        <f t="shared" si="62"/>
        <v>0</v>
      </c>
      <c r="BX88" s="594">
        <f t="shared" si="62"/>
        <v>0</v>
      </c>
      <c r="BY88" s="593">
        <f t="shared" si="62"/>
        <v>0</v>
      </c>
      <c r="BZ88" s="594">
        <f t="shared" ref="BZ88:CA88" si="63">BZ38/BZ84</f>
        <v>0</v>
      </c>
      <c r="CA88" s="594">
        <f t="shared" si="63"/>
        <v>0</v>
      </c>
      <c r="CB88" s="594">
        <f t="shared" ref="CB88" si="64">CB38/CB84</f>
        <v>0</v>
      </c>
      <c r="CC88" s="594">
        <f t="shared" si="62"/>
        <v>0</v>
      </c>
      <c r="CD88" s="593">
        <f t="shared" si="62"/>
        <v>0</v>
      </c>
      <c r="CE88" s="594">
        <f>CE38/CE84</f>
        <v>0</v>
      </c>
      <c r="CF88" s="594">
        <f>CF38/CF84</f>
        <v>0</v>
      </c>
      <c r="CG88" s="594">
        <f>CG38/CG84</f>
        <v>0</v>
      </c>
      <c r="CH88" s="594">
        <f>CH38/CH84</f>
        <v>0</v>
      </c>
      <c r="CI88" s="593">
        <f t="shared" ref="CI88" si="65">CI38/CI84</f>
        <v>0</v>
      </c>
      <c r="CJ88" s="593">
        <f t="shared" si="62"/>
        <v>0</v>
      </c>
      <c r="CK88" s="593">
        <f>CK38/CK84</f>
        <v>0</v>
      </c>
      <c r="CL88" s="593">
        <f>CL38/CL84</f>
        <v>0</v>
      </c>
      <c r="CM88" s="509"/>
      <c r="CN88" s="524"/>
    </row>
    <row r="89" spans="1:92">
      <c r="A89" s="264"/>
      <c r="B89" s="592"/>
      <c r="C89" s="264"/>
      <c r="D89" s="264"/>
      <c r="E89" s="264"/>
      <c r="F89" s="591"/>
      <c r="G89" s="591"/>
      <c r="H89" s="591"/>
      <c r="I89" s="586"/>
      <c r="J89" s="586"/>
      <c r="K89" s="586"/>
      <c r="L89" s="586"/>
      <c r="M89" s="594"/>
      <c r="N89" s="594"/>
      <c r="O89" s="594"/>
      <c r="P89" s="594"/>
      <c r="Q89" s="586"/>
      <c r="R89" s="594"/>
      <c r="S89" s="594"/>
      <c r="T89" s="594"/>
      <c r="U89" s="594"/>
      <c r="V89" s="586"/>
      <c r="W89" s="594"/>
      <c r="X89" s="589"/>
      <c r="Y89" s="589"/>
      <c r="Z89" s="589"/>
      <c r="AA89" s="586"/>
      <c r="AB89" s="589"/>
      <c r="AC89" s="589"/>
      <c r="AD89" s="589"/>
      <c r="AE89" s="589"/>
      <c r="AF89" s="586"/>
      <c r="AG89" s="589"/>
      <c r="AH89" s="589"/>
      <c r="AI89" s="587"/>
      <c r="AJ89" s="587"/>
      <c r="AK89" s="586"/>
      <c r="AL89" s="587"/>
      <c r="AM89" s="587"/>
      <c r="AN89" s="587"/>
      <c r="AO89" s="587"/>
      <c r="AP89" s="586"/>
      <c r="AQ89" s="587"/>
      <c r="AR89" s="587"/>
      <c r="AS89" s="587"/>
      <c r="AT89" s="587"/>
      <c r="AU89" s="586"/>
      <c r="AV89" s="587"/>
      <c r="AW89" s="587"/>
      <c r="AX89" s="587"/>
      <c r="AY89" s="587"/>
      <c r="AZ89" s="586"/>
      <c r="BA89" s="587"/>
      <c r="BB89" s="587"/>
      <c r="BC89" s="587"/>
      <c r="BD89" s="587"/>
      <c r="BE89" s="586"/>
      <c r="BF89" s="587"/>
      <c r="BG89" s="587"/>
      <c r="BH89" s="587"/>
      <c r="BI89" s="602"/>
      <c r="BJ89" s="586"/>
      <c r="BK89" s="587"/>
      <c r="BL89" s="589"/>
      <c r="BM89" s="587"/>
      <c r="BN89" s="587"/>
      <c r="BO89" s="586"/>
      <c r="BP89" s="587"/>
      <c r="BQ89" s="587"/>
      <c r="BR89" s="589"/>
      <c r="BS89" s="589"/>
      <c r="BT89" s="586"/>
      <c r="BU89" s="589"/>
      <c r="BV89" s="589"/>
      <c r="BW89" s="589"/>
      <c r="BX89" s="587"/>
      <c r="BY89" s="586"/>
      <c r="BZ89" s="587"/>
      <c r="CA89" s="587"/>
      <c r="CB89" s="587"/>
      <c r="CC89" s="587"/>
      <c r="CD89" s="586"/>
      <c r="CE89" s="587"/>
      <c r="CF89" s="587"/>
      <c r="CG89" s="587"/>
      <c r="CH89" s="587"/>
      <c r="CI89" s="586"/>
      <c r="CJ89" s="586"/>
      <c r="CK89" s="586"/>
      <c r="CL89" s="586"/>
      <c r="CM89" s="509"/>
      <c r="CN89" s="524"/>
    </row>
    <row r="90" spans="1:92">
      <c r="A90" s="485"/>
      <c r="B90" s="601"/>
      <c r="C90" s="485" t="str">
        <f>C15</f>
        <v>Accounts Receivable</v>
      </c>
      <c r="D90" s="485"/>
      <c r="E90" s="485"/>
      <c r="F90" s="485"/>
      <c r="G90" s="485"/>
      <c r="H90" s="485"/>
      <c r="I90" s="565">
        <v>4445</v>
      </c>
      <c r="J90" s="565">
        <v>4093</v>
      </c>
      <c r="K90" s="565">
        <v>4277</v>
      </c>
      <c r="L90" s="565">
        <v>5187</v>
      </c>
      <c r="M90" s="485">
        <v>5365</v>
      </c>
      <c r="N90" s="485">
        <v>6000</v>
      </c>
      <c r="O90" s="485">
        <v>6063</v>
      </c>
      <c r="P90" s="485">
        <v>6315</v>
      </c>
      <c r="Q90" s="565">
        <v>6315</v>
      </c>
      <c r="R90" s="485">
        <v>6564</v>
      </c>
      <c r="S90" s="485">
        <v>7374</v>
      </c>
      <c r="T90" s="485">
        <v>7338</v>
      </c>
      <c r="U90" s="485">
        <v>7240</v>
      </c>
      <c r="V90" s="565">
        <v>7240</v>
      </c>
      <c r="W90" s="485">
        <f t="shared" ref="W90:BB90" si="66">W15</f>
        <v>7128</v>
      </c>
      <c r="X90" s="485">
        <f t="shared" si="66"/>
        <v>7810</v>
      </c>
      <c r="Y90" s="485">
        <f t="shared" si="66"/>
        <v>7693</v>
      </c>
      <c r="Z90" s="485">
        <f t="shared" si="66"/>
        <v>7679</v>
      </c>
      <c r="AA90" s="565">
        <f t="shared" si="66"/>
        <v>7679</v>
      </c>
      <c r="AB90" s="485">
        <f t="shared" si="66"/>
        <v>7978</v>
      </c>
      <c r="AC90" s="485">
        <f t="shared" si="66"/>
        <v>8428</v>
      </c>
      <c r="AD90" s="485">
        <f t="shared" si="66"/>
        <v>8999</v>
      </c>
      <c r="AE90" s="485">
        <f t="shared" si="66"/>
        <v>8844</v>
      </c>
      <c r="AF90" s="565">
        <f t="shared" si="66"/>
        <v>8844</v>
      </c>
      <c r="AG90" s="485">
        <f t="shared" si="66"/>
        <v>9558</v>
      </c>
      <c r="AH90" s="485">
        <f t="shared" si="66"/>
        <v>10103</v>
      </c>
      <c r="AI90" s="485">
        <f t="shared" si="66"/>
        <v>9346</v>
      </c>
      <c r="AJ90" s="485">
        <f t="shared" si="66"/>
        <v>9112</v>
      </c>
      <c r="AK90" s="565">
        <f t="shared" si="66"/>
        <v>9112</v>
      </c>
      <c r="AL90" s="485">
        <f t="shared" si="66"/>
        <v>8797</v>
      </c>
      <c r="AM90" s="485">
        <f t="shared" si="66"/>
        <v>8522</v>
      </c>
      <c r="AN90" s="485">
        <f t="shared" si="66"/>
        <v>8460</v>
      </c>
      <c r="AO90" s="485">
        <f t="shared" si="66"/>
        <v>8469</v>
      </c>
      <c r="AP90" s="565">
        <f t="shared" si="66"/>
        <v>8469</v>
      </c>
      <c r="AQ90" s="485">
        <f t="shared" si="66"/>
        <v>8737</v>
      </c>
      <c r="AR90" s="485">
        <f t="shared" si="66"/>
        <v>8881</v>
      </c>
      <c r="AS90" s="485">
        <f t="shared" si="66"/>
        <v>8731</v>
      </c>
      <c r="AT90" s="485">
        <f t="shared" si="66"/>
        <v>8925</v>
      </c>
      <c r="AU90" s="565">
        <f t="shared" si="66"/>
        <v>8925</v>
      </c>
      <c r="AV90" s="485">
        <f t="shared" si="66"/>
        <v>9260</v>
      </c>
      <c r="AW90" s="485">
        <f t="shared" si="66"/>
        <v>9801</v>
      </c>
      <c r="AX90" s="485">
        <f t="shared" si="66"/>
        <v>9503</v>
      </c>
      <c r="AY90" s="485">
        <f t="shared" si="66"/>
        <v>9546</v>
      </c>
      <c r="AZ90" s="565">
        <f t="shared" si="66"/>
        <v>9546</v>
      </c>
      <c r="BA90" s="485">
        <f t="shared" si="66"/>
        <v>8833</v>
      </c>
      <c r="BB90" s="485">
        <f t="shared" si="66"/>
        <v>9538</v>
      </c>
      <c r="BC90" s="485">
        <f t="shared" ref="BC90:BY90" si="67">BC15</f>
        <v>10610</v>
      </c>
      <c r="BD90" s="485">
        <f t="shared" si="67"/>
        <v>11099</v>
      </c>
      <c r="BE90" s="565">
        <f t="shared" si="67"/>
        <v>11099</v>
      </c>
      <c r="BF90" s="485">
        <f t="shared" si="67"/>
        <v>10791</v>
      </c>
      <c r="BG90" s="485">
        <f t="shared" si="67"/>
        <v>11158</v>
      </c>
      <c r="BH90" s="485">
        <f t="shared" si="67"/>
        <v>11135</v>
      </c>
      <c r="BI90" s="485">
        <f t="shared" si="67"/>
        <v>11458</v>
      </c>
      <c r="BJ90" s="565">
        <f t="shared" si="67"/>
        <v>11458</v>
      </c>
      <c r="BK90" s="485">
        <f t="shared" si="67"/>
        <v>11537</v>
      </c>
      <c r="BL90" s="485">
        <f t="shared" si="67"/>
        <v>11795</v>
      </c>
      <c r="BM90" s="485">
        <f t="shared" si="67"/>
        <v>11080</v>
      </c>
      <c r="BN90" s="485">
        <f t="shared" si="67"/>
        <v>11317</v>
      </c>
      <c r="BO90" s="565">
        <f t="shared" si="67"/>
        <v>11317</v>
      </c>
      <c r="BP90" s="485">
        <f t="shared" si="67"/>
        <v>11512</v>
      </c>
      <c r="BQ90" s="485">
        <f t="shared" si="67"/>
        <v>11516</v>
      </c>
      <c r="BR90" s="485">
        <f>BR15</f>
        <v>10647</v>
      </c>
      <c r="BS90" s="485">
        <f>BS15</f>
        <v>10653</v>
      </c>
      <c r="BT90" s="565">
        <f t="shared" si="67"/>
        <v>10653</v>
      </c>
      <c r="BU90" s="485">
        <f t="shared" si="67"/>
        <v>10899</v>
      </c>
      <c r="BV90" s="485">
        <f>BV15</f>
        <v>11544</v>
      </c>
      <c r="BW90" s="485">
        <f>BW15</f>
        <v>11500</v>
      </c>
      <c r="BX90" s="485">
        <f t="shared" si="67"/>
        <v>11481</v>
      </c>
      <c r="BY90" s="565">
        <f t="shared" si="67"/>
        <v>11481</v>
      </c>
      <c r="BZ90" s="485">
        <f t="shared" ref="BZ90:CA90" si="68">BZ15</f>
        <v>11840</v>
      </c>
      <c r="CA90" s="485">
        <f t="shared" si="68"/>
        <v>12597</v>
      </c>
      <c r="CB90" s="485">
        <f t="shared" ref="CB90" si="69">CB15</f>
        <v>13128</v>
      </c>
      <c r="CC90" s="485">
        <f t="shared" ref="CC90:CD91" si="70">CC15</f>
        <v>12023.188456734833</v>
      </c>
      <c r="CD90" s="565">
        <f t="shared" si="70"/>
        <v>12023.188456734833</v>
      </c>
      <c r="CE90" s="485">
        <f t="shared" ref="CE90:CI91" si="71">CE15</f>
        <v>11733.868433401274</v>
      </c>
      <c r="CF90" s="485">
        <f t="shared" si="71"/>
        <v>13486.307323362986</v>
      </c>
      <c r="CG90" s="485">
        <f t="shared" si="71"/>
        <v>12658.820814653969</v>
      </c>
      <c r="CH90" s="485">
        <f t="shared" si="71"/>
        <v>12533.595412174031</v>
      </c>
      <c r="CI90" s="565">
        <f t="shared" si="71"/>
        <v>12533.595412174031</v>
      </c>
      <c r="CJ90" s="565">
        <f t="shared" ref="CJ90:CL91" si="72">CJ15</f>
        <v>12422.785404089496</v>
      </c>
      <c r="CK90" s="565">
        <f t="shared" si="72"/>
        <v>12315.243241433138</v>
      </c>
      <c r="CL90" s="565">
        <f t="shared" si="72"/>
        <v>12120.849731035811</v>
      </c>
      <c r="CM90" s="509"/>
      <c r="CN90" s="530"/>
    </row>
    <row r="91" spans="1:92">
      <c r="A91" s="485"/>
      <c r="B91" s="601"/>
      <c r="C91" s="485" t="str">
        <f>C16</f>
        <v>Inventories</v>
      </c>
      <c r="D91" s="485"/>
      <c r="E91" s="485"/>
      <c r="F91" s="485"/>
      <c r="G91" s="485"/>
      <c r="H91" s="485"/>
      <c r="I91" s="565">
        <v>3756</v>
      </c>
      <c r="J91" s="565">
        <v>3973</v>
      </c>
      <c r="K91" s="565">
        <v>3719</v>
      </c>
      <c r="L91" s="565">
        <v>4420</v>
      </c>
      <c r="M91" s="485">
        <v>4495</v>
      </c>
      <c r="N91" s="485">
        <v>4442</v>
      </c>
      <c r="O91" s="485">
        <v>4622</v>
      </c>
      <c r="P91" s="485">
        <v>5078</v>
      </c>
      <c r="Q91" s="565">
        <v>5078</v>
      </c>
      <c r="R91" s="485">
        <v>5298</v>
      </c>
      <c r="S91" s="485">
        <v>5874</v>
      </c>
      <c r="T91" s="485">
        <v>5964</v>
      </c>
      <c r="U91" s="485">
        <v>5659</v>
      </c>
      <c r="V91" s="565">
        <v>5659</v>
      </c>
      <c r="W91" s="485">
        <f t="shared" ref="W91:BB91" si="73">W16</f>
        <v>6472</v>
      </c>
      <c r="X91" s="485">
        <f t="shared" si="73"/>
        <v>6856</v>
      </c>
      <c r="Y91" s="485">
        <f t="shared" si="73"/>
        <v>7197</v>
      </c>
      <c r="Z91" s="485">
        <f t="shared" si="73"/>
        <v>6657</v>
      </c>
      <c r="AA91" s="565">
        <f t="shared" si="73"/>
        <v>6657</v>
      </c>
      <c r="AB91" s="485">
        <f t="shared" si="73"/>
        <v>7508</v>
      </c>
      <c r="AC91" s="485">
        <f t="shared" si="73"/>
        <v>7974</v>
      </c>
      <c r="AD91" s="485">
        <f t="shared" si="73"/>
        <v>8550</v>
      </c>
      <c r="AE91" s="485">
        <f t="shared" si="73"/>
        <v>8101</v>
      </c>
      <c r="AF91" s="565">
        <f t="shared" si="73"/>
        <v>8101</v>
      </c>
      <c r="AG91" s="485">
        <f t="shared" si="73"/>
        <v>9075</v>
      </c>
      <c r="AH91" s="485">
        <f t="shared" si="73"/>
        <v>9082</v>
      </c>
      <c r="AI91" s="485">
        <f t="shared" si="73"/>
        <v>9011</v>
      </c>
      <c r="AJ91" s="485">
        <f t="shared" si="73"/>
        <v>8340</v>
      </c>
      <c r="AK91" s="565">
        <f t="shared" si="73"/>
        <v>8340</v>
      </c>
      <c r="AL91" s="485">
        <f t="shared" si="73"/>
        <v>8601</v>
      </c>
      <c r="AM91" s="485">
        <f t="shared" si="73"/>
        <v>8539</v>
      </c>
      <c r="AN91" s="485">
        <f t="shared" si="73"/>
        <v>8086</v>
      </c>
      <c r="AO91" s="485">
        <f t="shared" si="73"/>
        <v>7509</v>
      </c>
      <c r="AP91" s="565">
        <f t="shared" si="73"/>
        <v>7509</v>
      </c>
      <c r="AQ91" s="485">
        <f t="shared" si="73"/>
        <v>8172</v>
      </c>
      <c r="AR91" s="485">
        <f t="shared" si="73"/>
        <v>8083</v>
      </c>
      <c r="AS91" s="485">
        <f t="shared" si="73"/>
        <v>8430</v>
      </c>
      <c r="AT91" s="485">
        <f t="shared" si="73"/>
        <v>7766</v>
      </c>
      <c r="AU91" s="565">
        <f t="shared" si="73"/>
        <v>7766</v>
      </c>
      <c r="AV91" s="485">
        <f t="shared" si="73"/>
        <v>8827</v>
      </c>
      <c r="AW91" s="485">
        <f t="shared" si="73"/>
        <v>8795</v>
      </c>
      <c r="AX91" s="485">
        <f t="shared" si="73"/>
        <v>8617</v>
      </c>
      <c r="AY91" s="485">
        <f t="shared" si="73"/>
        <v>7797</v>
      </c>
      <c r="AZ91" s="565">
        <f t="shared" si="73"/>
        <v>7797</v>
      </c>
      <c r="BA91" s="485">
        <f t="shared" si="73"/>
        <v>8366</v>
      </c>
      <c r="BB91" s="485">
        <f t="shared" si="73"/>
        <v>8502</v>
      </c>
      <c r="BC91" s="485">
        <f t="shared" ref="BC91:BY91" si="74">BC16</f>
        <v>10467</v>
      </c>
      <c r="BD91" s="485">
        <f t="shared" si="74"/>
        <v>9537</v>
      </c>
      <c r="BE91" s="565">
        <f t="shared" si="74"/>
        <v>9537</v>
      </c>
      <c r="BF91" s="485">
        <f t="shared" si="74"/>
        <v>10161</v>
      </c>
      <c r="BG91" s="485">
        <f t="shared" si="74"/>
        <v>10232</v>
      </c>
      <c r="BH91" s="485">
        <f t="shared" si="74"/>
        <v>10765</v>
      </c>
      <c r="BI91" s="485">
        <f t="shared" si="74"/>
        <v>10330</v>
      </c>
      <c r="BJ91" s="565">
        <f t="shared" si="74"/>
        <v>10330</v>
      </c>
      <c r="BK91" s="485">
        <f t="shared" si="74"/>
        <v>10992</v>
      </c>
      <c r="BL91" s="485">
        <f t="shared" si="74"/>
        <v>9896</v>
      </c>
      <c r="BM91" s="485">
        <f t="shared" si="74"/>
        <v>10341</v>
      </c>
      <c r="BN91" s="485">
        <f t="shared" si="74"/>
        <v>9865</v>
      </c>
      <c r="BO91" s="565">
        <f t="shared" si="74"/>
        <v>9865</v>
      </c>
      <c r="BP91" s="485">
        <f t="shared" si="74"/>
        <v>10336</v>
      </c>
      <c r="BQ91" s="485">
        <f t="shared" si="74"/>
        <v>10295</v>
      </c>
      <c r="BR91" s="485">
        <f>BR16</f>
        <v>8453</v>
      </c>
      <c r="BS91" s="485">
        <f>BS16</f>
        <v>8135</v>
      </c>
      <c r="BT91" s="565">
        <f t="shared" si="74"/>
        <v>8135</v>
      </c>
      <c r="BU91" s="485">
        <f t="shared" si="74"/>
        <v>8507</v>
      </c>
      <c r="BV91" s="485">
        <f>BV16</f>
        <v>8747</v>
      </c>
      <c r="BW91" s="485">
        <f>BW16</f>
        <v>9081</v>
      </c>
      <c r="BX91" s="485">
        <f t="shared" si="74"/>
        <v>8704</v>
      </c>
      <c r="BY91" s="565">
        <f t="shared" si="74"/>
        <v>8704</v>
      </c>
      <c r="BZ91" s="485">
        <f t="shared" ref="BZ91:CA91" si="75">BZ16</f>
        <v>9386</v>
      </c>
      <c r="CA91" s="485">
        <f t="shared" si="75"/>
        <v>9860</v>
      </c>
      <c r="CB91" s="485">
        <f t="shared" ref="CB91" si="76">CB16</f>
        <v>10083</v>
      </c>
      <c r="CC91" s="485">
        <f t="shared" si="70"/>
        <v>9915.8594517945839</v>
      </c>
      <c r="CD91" s="565">
        <f t="shared" si="70"/>
        <v>9915.8594517945839</v>
      </c>
      <c r="CE91" s="485">
        <f t="shared" si="71"/>
        <v>10099.777881061296</v>
      </c>
      <c r="CF91" s="485">
        <f t="shared" si="71"/>
        <v>10670.495528899062</v>
      </c>
      <c r="CG91" s="485">
        <f t="shared" si="71"/>
        <v>10495.989520554194</v>
      </c>
      <c r="CH91" s="485">
        <f t="shared" si="71"/>
        <v>9556.3852142196629</v>
      </c>
      <c r="CI91" s="565">
        <f t="shared" si="71"/>
        <v>9556.3852142196629</v>
      </c>
      <c r="CJ91" s="565">
        <f t="shared" si="72"/>
        <v>9153.9317524390772</v>
      </c>
      <c r="CK91" s="565">
        <f t="shared" si="72"/>
        <v>9326.4319696023449</v>
      </c>
      <c r="CL91" s="565">
        <f t="shared" si="72"/>
        <v>9423.7513294691271</v>
      </c>
      <c r="CM91" s="509"/>
      <c r="CN91" s="530"/>
    </row>
    <row r="92" spans="1:92">
      <c r="A92" s="485"/>
      <c r="B92" s="601"/>
      <c r="C92" s="485" t="str">
        <f>C18</f>
        <v>Other Current Assets</v>
      </c>
      <c r="D92" s="485"/>
      <c r="E92" s="485"/>
      <c r="F92" s="485"/>
      <c r="G92" s="485"/>
      <c r="H92" s="485"/>
      <c r="I92" s="565">
        <v>274</v>
      </c>
      <c r="J92" s="565">
        <v>261</v>
      </c>
      <c r="K92" s="565">
        <v>244</v>
      </c>
      <c r="L92" s="565">
        <v>388</v>
      </c>
      <c r="M92" s="485">
        <v>407</v>
      </c>
      <c r="N92" s="485">
        <v>361</v>
      </c>
      <c r="O92" s="485">
        <v>378</v>
      </c>
      <c r="P92" s="485">
        <v>571</v>
      </c>
      <c r="Q92" s="565">
        <v>571</v>
      </c>
      <c r="R92" s="485">
        <v>498</v>
      </c>
      <c r="S92" s="485">
        <v>579</v>
      </c>
      <c r="T92" s="485">
        <v>639</v>
      </c>
      <c r="U92" s="485">
        <v>633</v>
      </c>
      <c r="V92" s="565">
        <v>633</v>
      </c>
      <c r="W92" s="485">
        <f t="shared" ref="W92:BB92" si="77">W18</f>
        <v>658</v>
      </c>
      <c r="X92" s="485">
        <f t="shared" si="77"/>
        <v>700</v>
      </c>
      <c r="Y92" s="485">
        <f t="shared" si="77"/>
        <v>743</v>
      </c>
      <c r="Z92" s="485">
        <f t="shared" si="77"/>
        <v>701</v>
      </c>
      <c r="AA92" s="565">
        <f t="shared" si="77"/>
        <v>701</v>
      </c>
      <c r="AB92" s="485">
        <f t="shared" si="77"/>
        <v>872</v>
      </c>
      <c r="AC92" s="485">
        <f t="shared" si="77"/>
        <v>688</v>
      </c>
      <c r="AD92" s="485">
        <f t="shared" si="77"/>
        <v>899</v>
      </c>
      <c r="AE92" s="485">
        <f t="shared" si="77"/>
        <v>955</v>
      </c>
      <c r="AF92" s="565">
        <f t="shared" si="77"/>
        <v>955</v>
      </c>
      <c r="AG92" s="485">
        <f t="shared" si="77"/>
        <v>873</v>
      </c>
      <c r="AH92" s="485">
        <f t="shared" si="77"/>
        <v>876</v>
      </c>
      <c r="AI92" s="485">
        <f t="shared" si="77"/>
        <v>898</v>
      </c>
      <c r="AJ92" s="485">
        <f t="shared" si="77"/>
        <v>769</v>
      </c>
      <c r="AK92" s="565">
        <f t="shared" si="77"/>
        <v>769</v>
      </c>
      <c r="AL92" s="485">
        <f t="shared" si="77"/>
        <v>979</v>
      </c>
      <c r="AM92" s="485">
        <f t="shared" si="77"/>
        <v>966</v>
      </c>
      <c r="AN92" s="485">
        <f t="shared" si="77"/>
        <v>885</v>
      </c>
      <c r="AO92" s="485">
        <f t="shared" si="77"/>
        <v>1078</v>
      </c>
      <c r="AP92" s="565">
        <f t="shared" si="77"/>
        <v>1078</v>
      </c>
      <c r="AQ92" s="485">
        <f t="shared" si="77"/>
        <v>948</v>
      </c>
      <c r="AR92" s="485">
        <f t="shared" si="77"/>
        <v>816</v>
      </c>
      <c r="AS92" s="485">
        <f t="shared" si="77"/>
        <v>842</v>
      </c>
      <c r="AT92" s="485">
        <f t="shared" si="77"/>
        <v>1113</v>
      </c>
      <c r="AU92" s="565">
        <f t="shared" si="77"/>
        <v>1113</v>
      </c>
      <c r="AV92" s="485">
        <f t="shared" si="77"/>
        <v>900</v>
      </c>
      <c r="AW92" s="485">
        <f t="shared" si="77"/>
        <v>880</v>
      </c>
      <c r="AX92" s="485">
        <f t="shared" si="77"/>
        <v>787</v>
      </c>
      <c r="AY92" s="485">
        <f t="shared" si="77"/>
        <v>793</v>
      </c>
      <c r="AZ92" s="565">
        <f t="shared" si="77"/>
        <v>793</v>
      </c>
      <c r="BA92" s="485">
        <f t="shared" si="77"/>
        <v>2668</v>
      </c>
      <c r="BB92" s="485">
        <f t="shared" si="77"/>
        <v>2744</v>
      </c>
      <c r="BC92" s="485">
        <f t="shared" ref="BC92:BY92" si="78">BC18</f>
        <v>2892</v>
      </c>
      <c r="BD92" s="485">
        <f t="shared" si="78"/>
        <v>2544</v>
      </c>
      <c r="BE92" s="565">
        <f t="shared" si="78"/>
        <v>2544</v>
      </c>
      <c r="BF92" s="485">
        <f t="shared" si="78"/>
        <v>1788</v>
      </c>
      <c r="BG92" s="485">
        <f t="shared" si="78"/>
        <v>902</v>
      </c>
      <c r="BH92" s="485">
        <f t="shared" si="78"/>
        <v>895</v>
      </c>
      <c r="BI92" s="485">
        <f t="shared" si="78"/>
        <v>1071</v>
      </c>
      <c r="BJ92" s="565">
        <f t="shared" si="78"/>
        <v>1071</v>
      </c>
      <c r="BK92" s="485">
        <f t="shared" si="78"/>
        <v>892</v>
      </c>
      <c r="BL92" s="485">
        <f t="shared" si="78"/>
        <v>1066</v>
      </c>
      <c r="BM92" s="485">
        <f t="shared" si="78"/>
        <v>966</v>
      </c>
      <c r="BN92" s="485">
        <f t="shared" si="78"/>
        <v>1410</v>
      </c>
      <c r="BO92" s="565">
        <f t="shared" si="78"/>
        <v>1410</v>
      </c>
      <c r="BP92" s="485">
        <f t="shared" si="78"/>
        <v>936</v>
      </c>
      <c r="BQ92" s="485">
        <f t="shared" si="78"/>
        <v>1032</v>
      </c>
      <c r="BR92" s="485">
        <f>BR18</f>
        <v>4836</v>
      </c>
      <c r="BS92" s="485">
        <f>BS18</f>
        <v>843</v>
      </c>
      <c r="BT92" s="565">
        <f t="shared" si="78"/>
        <v>843</v>
      </c>
      <c r="BU92" s="485">
        <f>BU18</f>
        <v>906</v>
      </c>
      <c r="BV92" s="485">
        <f>BV18</f>
        <v>894</v>
      </c>
      <c r="BW92" s="485">
        <f>BW18</f>
        <v>860</v>
      </c>
      <c r="BX92" s="485">
        <f t="shared" si="78"/>
        <v>1208</v>
      </c>
      <c r="BY92" s="565">
        <f t="shared" si="78"/>
        <v>1208</v>
      </c>
      <c r="BZ92" s="485">
        <f t="shared" ref="BZ92:CA92" si="79">BZ18</f>
        <v>923</v>
      </c>
      <c r="CA92" s="485">
        <f t="shared" si="79"/>
        <v>1027</v>
      </c>
      <c r="CB92" s="485">
        <f t="shared" ref="CB92" si="80">CB18</f>
        <v>1229</v>
      </c>
      <c r="CC92" s="485">
        <f t="shared" ref="CC92:CH92" si="81">CC18</f>
        <v>1031.7901361738352</v>
      </c>
      <c r="CD92" s="565">
        <f t="shared" si="81"/>
        <v>1031.7901361738352</v>
      </c>
      <c r="CE92" s="485">
        <f t="shared" si="81"/>
        <v>985.82157077086936</v>
      </c>
      <c r="CF92" s="485">
        <f t="shared" si="81"/>
        <v>1066.5177814131118</v>
      </c>
      <c r="CG92" s="485">
        <f t="shared" si="81"/>
        <v>1061.9778127181239</v>
      </c>
      <c r="CH92" s="485">
        <f t="shared" si="81"/>
        <v>1043.3238203578142</v>
      </c>
      <c r="CI92" s="565">
        <f t="shared" ref="CI92" si="82">CI18</f>
        <v>1043.3238203578142</v>
      </c>
      <c r="CJ92" s="565">
        <f>CJ18</f>
        <v>1088.5260564066652</v>
      </c>
      <c r="CK92" s="565">
        <f>CK18</f>
        <v>1135.8977389430559</v>
      </c>
      <c r="CL92" s="565">
        <f>CL18</f>
        <v>1176.8082456101154</v>
      </c>
      <c r="CM92" s="509"/>
      <c r="CN92" s="530"/>
    </row>
    <row r="93" spans="1:92">
      <c r="A93" s="485"/>
      <c r="B93" s="601"/>
      <c r="C93" s="485" t="str">
        <f>C35</f>
        <v>Accounts Payable</v>
      </c>
      <c r="D93" s="485"/>
      <c r="E93" s="485"/>
      <c r="F93" s="485"/>
      <c r="G93" s="485"/>
      <c r="H93" s="485"/>
      <c r="I93" s="565">
        <v>2261</v>
      </c>
      <c r="J93" s="565">
        <v>2156</v>
      </c>
      <c r="K93" s="565">
        <v>2095</v>
      </c>
      <c r="L93" s="565">
        <v>2612</v>
      </c>
      <c r="M93" s="485">
        <v>2991</v>
      </c>
      <c r="N93" s="485">
        <v>3269</v>
      </c>
      <c r="O93" s="485">
        <v>3100</v>
      </c>
      <c r="P93" s="485">
        <v>3490</v>
      </c>
      <c r="Q93" s="565">
        <v>3490</v>
      </c>
      <c r="R93" s="485">
        <v>3603</v>
      </c>
      <c r="S93" s="485">
        <v>3975</v>
      </c>
      <c r="T93" s="485">
        <v>3680</v>
      </c>
      <c r="U93" s="485">
        <v>3820</v>
      </c>
      <c r="V93" s="565">
        <v>3820</v>
      </c>
      <c r="W93" s="485">
        <f t="shared" ref="W93:BB93" si="83">W35</f>
        <v>4017</v>
      </c>
      <c r="X93" s="485">
        <f t="shared" si="83"/>
        <v>4340</v>
      </c>
      <c r="Y93" s="485">
        <f t="shared" si="83"/>
        <v>4245</v>
      </c>
      <c r="Z93" s="485">
        <f t="shared" si="83"/>
        <v>4263</v>
      </c>
      <c r="AA93" s="565">
        <f t="shared" si="83"/>
        <v>4263</v>
      </c>
      <c r="AB93" s="485">
        <f t="shared" si="83"/>
        <v>4786</v>
      </c>
      <c r="AC93" s="485">
        <f t="shared" si="83"/>
        <v>5100</v>
      </c>
      <c r="AD93" s="485">
        <f t="shared" si="83"/>
        <v>4977</v>
      </c>
      <c r="AE93" s="485">
        <f t="shared" si="83"/>
        <v>5059</v>
      </c>
      <c r="AF93" s="565">
        <f t="shared" si="83"/>
        <v>5059</v>
      </c>
      <c r="AG93" s="485">
        <f t="shared" si="83"/>
        <v>5503</v>
      </c>
      <c r="AH93" s="485">
        <f t="shared" si="83"/>
        <v>5577</v>
      </c>
      <c r="AI93" s="485">
        <f t="shared" si="83"/>
        <v>5104</v>
      </c>
      <c r="AJ93" s="485">
        <f t="shared" si="83"/>
        <v>5226</v>
      </c>
      <c r="AK93" s="565">
        <f t="shared" si="83"/>
        <v>5226</v>
      </c>
      <c r="AL93" s="485">
        <f t="shared" si="83"/>
        <v>4813</v>
      </c>
      <c r="AM93" s="485">
        <f t="shared" si="83"/>
        <v>4599</v>
      </c>
      <c r="AN93" s="485">
        <f t="shared" si="83"/>
        <v>4430</v>
      </c>
      <c r="AO93" s="485">
        <f t="shared" si="83"/>
        <v>4634</v>
      </c>
      <c r="AP93" s="565">
        <f t="shared" si="83"/>
        <v>4634</v>
      </c>
      <c r="AQ93" s="485">
        <f t="shared" si="83"/>
        <v>4801</v>
      </c>
      <c r="AR93" s="485">
        <f t="shared" si="83"/>
        <v>5057</v>
      </c>
      <c r="AS93" s="485">
        <f t="shared" si="83"/>
        <v>4964</v>
      </c>
      <c r="AT93" s="485">
        <f t="shared" si="83"/>
        <v>5206</v>
      </c>
      <c r="AU93" s="565">
        <f t="shared" si="83"/>
        <v>5206</v>
      </c>
      <c r="AV93" s="485">
        <f t="shared" si="83"/>
        <v>5635</v>
      </c>
      <c r="AW93" s="485">
        <f t="shared" si="83"/>
        <v>5686</v>
      </c>
      <c r="AX93" s="485">
        <f t="shared" si="83"/>
        <v>5597</v>
      </c>
      <c r="AY93" s="485">
        <f t="shared" si="83"/>
        <v>5570</v>
      </c>
      <c r="AZ93" s="565">
        <f t="shared" si="83"/>
        <v>5570</v>
      </c>
      <c r="BA93" s="485">
        <f t="shared" si="83"/>
        <v>5281</v>
      </c>
      <c r="BB93" s="485">
        <f t="shared" si="83"/>
        <v>5752</v>
      </c>
      <c r="BC93" s="485">
        <f t="shared" ref="BC93:BY93" si="84">BC35</f>
        <v>6156</v>
      </c>
      <c r="BD93" s="485">
        <f t="shared" si="84"/>
        <v>6431</v>
      </c>
      <c r="BE93" s="565">
        <f t="shared" si="84"/>
        <v>6431</v>
      </c>
      <c r="BF93" s="485">
        <f t="shared" si="84"/>
        <v>6192</v>
      </c>
      <c r="BG93" s="485">
        <f t="shared" si="84"/>
        <v>6645</v>
      </c>
      <c r="BH93" s="485">
        <f t="shared" si="84"/>
        <v>6628</v>
      </c>
      <c r="BI93" s="485">
        <f t="shared" si="84"/>
        <v>6965</v>
      </c>
      <c r="BJ93" s="565">
        <f t="shared" si="84"/>
        <v>6965</v>
      </c>
      <c r="BK93" s="485">
        <f t="shared" si="84"/>
        <v>6949</v>
      </c>
      <c r="BL93" s="485">
        <f t="shared" si="84"/>
        <v>7297</v>
      </c>
      <c r="BM93" s="485">
        <f t="shared" si="84"/>
        <v>7046</v>
      </c>
      <c r="BN93" s="485">
        <f t="shared" si="84"/>
        <v>6967</v>
      </c>
      <c r="BO93" s="565">
        <f t="shared" si="84"/>
        <v>6967</v>
      </c>
      <c r="BP93" s="485">
        <f t="shared" si="84"/>
        <v>6929</v>
      </c>
      <c r="BQ93" s="485">
        <f t="shared" si="84"/>
        <v>7153</v>
      </c>
      <c r="BR93" s="485">
        <f>BR35</f>
        <v>6333</v>
      </c>
      <c r="BS93" s="485">
        <f>BS35</f>
        <v>6875</v>
      </c>
      <c r="BT93" s="565">
        <f t="shared" si="84"/>
        <v>6875</v>
      </c>
      <c r="BU93" s="485">
        <f t="shared" si="84"/>
        <v>6579</v>
      </c>
      <c r="BV93" s="485">
        <f>BV35</f>
        <v>7242</v>
      </c>
      <c r="BW93" s="485">
        <f>BW35</f>
        <v>7432</v>
      </c>
      <c r="BX93" s="485">
        <f t="shared" si="84"/>
        <v>7483</v>
      </c>
      <c r="BY93" s="565">
        <f t="shared" si="84"/>
        <v>7483</v>
      </c>
      <c r="BZ93" s="485">
        <f t="shared" ref="BZ93:CA93" si="85">BZ35</f>
        <v>7520</v>
      </c>
      <c r="CA93" s="485">
        <f t="shared" si="85"/>
        <v>8542</v>
      </c>
      <c r="CB93" s="485">
        <f t="shared" ref="CB93" si="86">CB35</f>
        <v>8999</v>
      </c>
      <c r="CC93" s="485">
        <f t="shared" ref="CC93:CH93" si="87">CC35</f>
        <v>7891.5085936095174</v>
      </c>
      <c r="CD93" s="565">
        <f t="shared" si="87"/>
        <v>7891.5085936095174</v>
      </c>
      <c r="CE93" s="485">
        <f t="shared" si="87"/>
        <v>7930.0365514883142</v>
      </c>
      <c r="CF93" s="485">
        <f t="shared" si="87"/>
        <v>9244.1554571861852</v>
      </c>
      <c r="CG93" s="485">
        <f t="shared" si="87"/>
        <v>8830.4788602093995</v>
      </c>
      <c r="CH93" s="485">
        <f t="shared" si="87"/>
        <v>8215.8123343297048</v>
      </c>
      <c r="CI93" s="565">
        <f t="shared" ref="CI93" si="88">CI35</f>
        <v>8215.8123343297048</v>
      </c>
      <c r="CJ93" s="565">
        <f>CJ35</f>
        <v>8317.7462983522855</v>
      </c>
      <c r="CK93" s="565">
        <f>CK35</f>
        <v>8452.5953998480836</v>
      </c>
      <c r="CL93" s="565">
        <f>CL35</f>
        <v>8517.5072806316221</v>
      </c>
      <c r="CM93" s="509"/>
      <c r="CN93" s="530"/>
    </row>
    <row r="94" spans="1:92">
      <c r="A94" s="485"/>
      <c r="B94" s="601"/>
      <c r="C94" s="485" t="str">
        <f>C36</f>
        <v>Accrued Expenses</v>
      </c>
      <c r="D94" s="485"/>
      <c r="E94" s="485"/>
      <c r="F94" s="485"/>
      <c r="G94" s="485"/>
      <c r="H94" s="485"/>
      <c r="I94" s="565">
        <v>5748</v>
      </c>
      <c r="J94" s="565">
        <v>5493</v>
      </c>
      <c r="K94" s="565">
        <v>5567</v>
      </c>
      <c r="L94" s="565">
        <v>7265</v>
      </c>
      <c r="M94" s="485">
        <v>7481</v>
      </c>
      <c r="N94" s="485">
        <v>7414</v>
      </c>
      <c r="O94" s="485">
        <v>7765</v>
      </c>
      <c r="P94" s="485">
        <v>8245</v>
      </c>
      <c r="Q94" s="565">
        <v>8245</v>
      </c>
      <c r="R94" s="485">
        <v>8528</v>
      </c>
      <c r="S94" s="485">
        <v>9614</v>
      </c>
      <c r="T94" s="485">
        <v>9701</v>
      </c>
      <c r="U94" s="485">
        <v>9220</v>
      </c>
      <c r="V94" s="565">
        <v>9220</v>
      </c>
      <c r="W94" s="485">
        <f t="shared" ref="W94:BQ94" si="89">W36</f>
        <v>9657</v>
      </c>
      <c r="X94" s="485">
        <f t="shared" si="89"/>
        <v>9699</v>
      </c>
      <c r="Y94" s="485">
        <f t="shared" si="89"/>
        <v>9953</v>
      </c>
      <c r="Z94" s="485">
        <f t="shared" si="89"/>
        <v>10051</v>
      </c>
      <c r="AA94" s="565">
        <f t="shared" si="89"/>
        <v>10051</v>
      </c>
      <c r="AB94" s="485">
        <f t="shared" si="89"/>
        <v>10093</v>
      </c>
      <c r="AC94" s="485">
        <f t="shared" si="89"/>
        <v>10323</v>
      </c>
      <c r="AD94" s="485">
        <f t="shared" si="89"/>
        <v>11389</v>
      </c>
      <c r="AE94" s="485">
        <f t="shared" si="89"/>
        <v>11277</v>
      </c>
      <c r="AF94" s="565">
        <f t="shared" si="89"/>
        <v>11277</v>
      </c>
      <c r="AG94" s="485">
        <f t="shared" si="89"/>
        <v>12099</v>
      </c>
      <c r="AH94" s="485">
        <f t="shared" si="89"/>
        <v>12304</v>
      </c>
      <c r="AI94" s="485">
        <f t="shared" si="89"/>
        <v>12494</v>
      </c>
      <c r="AJ94" s="485">
        <f t="shared" si="89"/>
        <v>12069</v>
      </c>
      <c r="AK94" s="565">
        <f t="shared" si="89"/>
        <v>12069</v>
      </c>
      <c r="AL94" s="485">
        <f t="shared" si="89"/>
        <v>11614</v>
      </c>
      <c r="AM94" s="485">
        <f t="shared" si="89"/>
        <v>11877</v>
      </c>
      <c r="AN94" s="485">
        <f t="shared" si="89"/>
        <v>12067</v>
      </c>
      <c r="AO94" s="485">
        <f t="shared" si="89"/>
        <v>11792</v>
      </c>
      <c r="AP94" s="565">
        <f t="shared" si="89"/>
        <v>11792</v>
      </c>
      <c r="AQ94" s="485">
        <f t="shared" si="89"/>
        <v>11921</v>
      </c>
      <c r="AR94" s="485">
        <f t="shared" si="89"/>
        <v>11679</v>
      </c>
      <c r="AS94" s="485">
        <f t="shared" si="89"/>
        <v>12425</v>
      </c>
      <c r="AT94" s="485">
        <f t="shared" si="89"/>
        <v>12247</v>
      </c>
      <c r="AU94" s="565">
        <f t="shared" si="89"/>
        <v>12247</v>
      </c>
      <c r="AV94" s="485">
        <f t="shared" si="89"/>
        <v>12780</v>
      </c>
      <c r="AW94" s="485">
        <f t="shared" si="89"/>
        <v>12622</v>
      </c>
      <c r="AX94" s="485">
        <f t="shared" si="89"/>
        <v>12604</v>
      </c>
      <c r="AY94" s="485">
        <f t="shared" si="89"/>
        <v>12287</v>
      </c>
      <c r="AZ94" s="565">
        <f t="shared" si="89"/>
        <v>12287</v>
      </c>
      <c r="BA94" s="485">
        <f t="shared" si="89"/>
        <v>11978</v>
      </c>
      <c r="BB94" s="485">
        <f t="shared" si="89"/>
        <v>12853</v>
      </c>
      <c r="BC94" s="485">
        <f t="shared" si="89"/>
        <v>14600</v>
      </c>
      <c r="BD94" s="485">
        <f t="shared" si="89"/>
        <v>15310</v>
      </c>
      <c r="BE94" s="565">
        <f t="shared" si="89"/>
        <v>15310</v>
      </c>
      <c r="BF94" s="485">
        <f t="shared" si="89"/>
        <v>14854</v>
      </c>
      <c r="BG94" s="485">
        <f t="shared" si="89"/>
        <v>15238</v>
      </c>
      <c r="BH94" s="485">
        <f t="shared" si="89"/>
        <v>15488</v>
      </c>
      <c r="BI94" s="485">
        <f t="shared" si="89"/>
        <v>15335</v>
      </c>
      <c r="BJ94" s="565">
        <f t="shared" si="89"/>
        <v>15335</v>
      </c>
      <c r="BK94" s="485">
        <f t="shared" si="89"/>
        <v>15678</v>
      </c>
      <c r="BL94" s="485">
        <f t="shared" si="89"/>
        <v>14798</v>
      </c>
      <c r="BM94" s="485">
        <f t="shared" si="89"/>
        <v>14721</v>
      </c>
      <c r="BN94" s="485">
        <f t="shared" si="89"/>
        <v>14006</v>
      </c>
      <c r="BO94" s="565">
        <f t="shared" si="89"/>
        <v>14006</v>
      </c>
      <c r="BP94" s="485">
        <f t="shared" si="89"/>
        <v>14616</v>
      </c>
      <c r="BQ94" s="485">
        <f t="shared" si="89"/>
        <v>13622</v>
      </c>
      <c r="BR94" s="485">
        <f>BR36</f>
        <v>14117</v>
      </c>
      <c r="BS94" s="485">
        <f>BS36</f>
        <v>14638</v>
      </c>
      <c r="BT94" s="565">
        <f>BT36</f>
        <v>14638</v>
      </c>
      <c r="BU94" s="485">
        <f>BU36</f>
        <v>12581</v>
      </c>
      <c r="BV94" s="485">
        <f>BV36</f>
        <v>12534</v>
      </c>
      <c r="BW94" s="485">
        <f>BW36</f>
        <v>12634</v>
      </c>
      <c r="BX94" s="485">
        <f>BX36</f>
        <v>12219</v>
      </c>
      <c r="BY94" s="565">
        <f>BX94</f>
        <v>12219</v>
      </c>
      <c r="BZ94" s="485">
        <f>BZ36</f>
        <v>12522</v>
      </c>
      <c r="CA94" s="485">
        <f>CA36</f>
        <v>12634</v>
      </c>
      <c r="CB94" s="485">
        <f>CB36</f>
        <v>13053</v>
      </c>
      <c r="CC94" s="485">
        <f>CC90+CC91+CC92+-CC93-CC95-CC96</f>
        <v>13237.177169021348</v>
      </c>
      <c r="CD94" s="565">
        <f>CC94</f>
        <v>13237.177169021348</v>
      </c>
      <c r="CE94" s="485">
        <f t="shared" ref="CE94:CJ94" si="90">CE90+CE91+CE92+-CE93-CE95-CE96</f>
        <v>12300.421000144419</v>
      </c>
      <c r="CF94" s="485">
        <f t="shared" si="90"/>
        <v>13246.48837115933</v>
      </c>
      <c r="CG94" s="485">
        <f t="shared" si="90"/>
        <v>12754.835043960489</v>
      </c>
      <c r="CH94" s="485">
        <f t="shared" si="90"/>
        <v>12869.113328446227</v>
      </c>
      <c r="CI94" s="565">
        <f>CH94</f>
        <v>12869.113328446227</v>
      </c>
      <c r="CJ94" s="565">
        <f t="shared" si="90"/>
        <v>12539.223658351566</v>
      </c>
      <c r="CK94" s="565">
        <f>CK90+CK91+CK92+-CK93-CK95-CK96</f>
        <v>12781.173193946906</v>
      </c>
      <c r="CL94" s="565">
        <f>CL90+CL91+CL92+-CL93-CL95-CL96</f>
        <v>12960.018706314149</v>
      </c>
      <c r="CM94" s="509"/>
      <c r="CN94" s="530"/>
    </row>
    <row r="95" spans="1:92">
      <c r="A95" s="485"/>
      <c r="B95" s="601"/>
      <c r="C95" s="485" t="s">
        <v>355</v>
      </c>
      <c r="D95" s="485"/>
      <c r="E95" s="485"/>
      <c r="F95" s="485"/>
      <c r="G95" s="485"/>
      <c r="H95" s="485"/>
      <c r="I95" s="565">
        <f t="shared" ref="I95:AA95" si="91">I38</f>
        <v>0</v>
      </c>
      <c r="J95" s="565">
        <f t="shared" si="91"/>
        <v>0</v>
      </c>
      <c r="K95" s="565">
        <f t="shared" si="91"/>
        <v>0</v>
      </c>
      <c r="L95" s="565">
        <f t="shared" si="91"/>
        <v>0</v>
      </c>
      <c r="M95" s="485">
        <f t="shared" si="91"/>
        <v>0</v>
      </c>
      <c r="N95" s="485">
        <f t="shared" si="91"/>
        <v>0</v>
      </c>
      <c r="O95" s="485">
        <f t="shared" si="91"/>
        <v>0</v>
      </c>
      <c r="P95" s="485">
        <f t="shared" si="91"/>
        <v>0</v>
      </c>
      <c r="Q95" s="565">
        <f t="shared" si="91"/>
        <v>0</v>
      </c>
      <c r="R95" s="485">
        <f t="shared" si="91"/>
        <v>0</v>
      </c>
      <c r="S95" s="485">
        <f t="shared" si="91"/>
        <v>0</v>
      </c>
      <c r="T95" s="485">
        <f t="shared" si="91"/>
        <v>0</v>
      </c>
      <c r="U95" s="485">
        <f t="shared" si="91"/>
        <v>0</v>
      </c>
      <c r="V95" s="565">
        <f t="shared" si="91"/>
        <v>0</v>
      </c>
      <c r="W95" s="485">
        <f t="shared" si="91"/>
        <v>0</v>
      </c>
      <c r="X95" s="485">
        <f t="shared" si="91"/>
        <v>0</v>
      </c>
      <c r="Y95" s="485">
        <f t="shared" si="91"/>
        <v>0</v>
      </c>
      <c r="Z95" s="485">
        <f t="shared" si="91"/>
        <v>0</v>
      </c>
      <c r="AA95" s="565">
        <f t="shared" si="91"/>
        <v>0</v>
      </c>
      <c r="AB95" s="485"/>
      <c r="AC95" s="485"/>
      <c r="AD95" s="485"/>
      <c r="AE95" s="485"/>
      <c r="AF95" s="565">
        <f t="shared" ref="AF95:BI95" si="92">AF38</f>
        <v>0</v>
      </c>
      <c r="AG95" s="485">
        <f t="shared" si="92"/>
        <v>0</v>
      </c>
      <c r="AH95" s="485">
        <f t="shared" si="92"/>
        <v>0</v>
      </c>
      <c r="AI95" s="485">
        <f t="shared" si="92"/>
        <v>0</v>
      </c>
      <c r="AJ95" s="485">
        <f t="shared" si="92"/>
        <v>0</v>
      </c>
      <c r="AK95" s="565">
        <f t="shared" si="92"/>
        <v>0</v>
      </c>
      <c r="AL95" s="485">
        <f t="shared" si="92"/>
        <v>0</v>
      </c>
      <c r="AM95" s="485">
        <f t="shared" si="92"/>
        <v>0</v>
      </c>
      <c r="AN95" s="485">
        <f t="shared" si="92"/>
        <v>0</v>
      </c>
      <c r="AO95" s="485">
        <f t="shared" si="92"/>
        <v>0</v>
      </c>
      <c r="AP95" s="565">
        <f t="shared" si="92"/>
        <v>0</v>
      </c>
      <c r="AQ95" s="485">
        <f t="shared" si="92"/>
        <v>0</v>
      </c>
      <c r="AR95" s="485">
        <f t="shared" si="92"/>
        <v>0</v>
      </c>
      <c r="AS95" s="485">
        <f t="shared" si="92"/>
        <v>0</v>
      </c>
      <c r="AT95" s="485">
        <f t="shared" si="92"/>
        <v>0</v>
      </c>
      <c r="AU95" s="565">
        <f t="shared" si="92"/>
        <v>0</v>
      </c>
      <c r="AV95" s="485">
        <f t="shared" si="92"/>
        <v>0</v>
      </c>
      <c r="AW95" s="485">
        <f t="shared" si="92"/>
        <v>0</v>
      </c>
      <c r="AX95" s="485">
        <f t="shared" si="92"/>
        <v>0</v>
      </c>
      <c r="AY95" s="485">
        <f t="shared" si="92"/>
        <v>0</v>
      </c>
      <c r="AZ95" s="565">
        <f t="shared" si="92"/>
        <v>0</v>
      </c>
      <c r="BA95" s="485">
        <f t="shared" si="92"/>
        <v>771</v>
      </c>
      <c r="BB95" s="485">
        <f t="shared" si="92"/>
        <v>917</v>
      </c>
      <c r="BC95" s="485">
        <f t="shared" si="92"/>
        <v>405</v>
      </c>
      <c r="BD95" s="485">
        <f t="shared" si="92"/>
        <v>421</v>
      </c>
      <c r="BE95" s="565">
        <f t="shared" si="92"/>
        <v>421</v>
      </c>
      <c r="BF95" s="485">
        <f t="shared" si="92"/>
        <v>261</v>
      </c>
      <c r="BG95" s="485">
        <f t="shared" si="92"/>
        <v>0</v>
      </c>
      <c r="BH95" s="485">
        <f t="shared" si="92"/>
        <v>0</v>
      </c>
      <c r="BI95" s="485">
        <f t="shared" si="92"/>
        <v>0</v>
      </c>
      <c r="BJ95" s="565">
        <f>BI95</f>
        <v>0</v>
      </c>
      <c r="BK95" s="485">
        <f>BK38</f>
        <v>0</v>
      </c>
      <c r="BL95" s="485">
        <f>BL38</f>
        <v>0</v>
      </c>
      <c r="BM95" s="485">
        <f>BM38</f>
        <v>0</v>
      </c>
      <c r="BN95" s="485">
        <f>BN38</f>
        <v>0</v>
      </c>
      <c r="BO95" s="565">
        <f>BN95</f>
        <v>0</v>
      </c>
      <c r="BP95" s="485">
        <f>BP38</f>
        <v>0</v>
      </c>
      <c r="BQ95" s="485">
        <f>BQ38</f>
        <v>0</v>
      </c>
      <c r="BR95" s="485">
        <f>BR38</f>
        <v>0</v>
      </c>
      <c r="BS95" s="485">
        <f>BS38</f>
        <v>0</v>
      </c>
      <c r="BT95" s="565">
        <f>BS95</f>
        <v>0</v>
      </c>
      <c r="BU95" s="485">
        <f t="shared" ref="BU95:CJ95" si="93">BU38</f>
        <v>0</v>
      </c>
      <c r="BV95" s="485">
        <f t="shared" si="93"/>
        <v>0</v>
      </c>
      <c r="BW95" s="485">
        <f t="shared" si="93"/>
        <v>0</v>
      </c>
      <c r="BX95" s="485">
        <f t="shared" si="93"/>
        <v>0</v>
      </c>
      <c r="BY95" s="565">
        <f t="shared" si="93"/>
        <v>0</v>
      </c>
      <c r="BZ95" s="485">
        <f t="shared" ref="BZ95:CA95" si="94">BZ38</f>
        <v>0</v>
      </c>
      <c r="CA95" s="485">
        <f t="shared" si="94"/>
        <v>0</v>
      </c>
      <c r="CB95" s="485">
        <f t="shared" ref="CB95" si="95">CB38</f>
        <v>0</v>
      </c>
      <c r="CC95" s="485">
        <f t="shared" si="93"/>
        <v>0</v>
      </c>
      <c r="CD95" s="565">
        <f t="shared" si="93"/>
        <v>0</v>
      </c>
      <c r="CE95" s="485">
        <f>CE38</f>
        <v>0</v>
      </c>
      <c r="CF95" s="485">
        <f>CF38</f>
        <v>0</v>
      </c>
      <c r="CG95" s="485">
        <f>CG38</f>
        <v>0</v>
      </c>
      <c r="CH95" s="485">
        <f>CH38</f>
        <v>0</v>
      </c>
      <c r="CI95" s="565">
        <f t="shared" ref="CI95" si="96">CI38</f>
        <v>0</v>
      </c>
      <c r="CJ95" s="565">
        <f t="shared" si="93"/>
        <v>0</v>
      </c>
      <c r="CK95" s="565">
        <f>CK38</f>
        <v>0</v>
      </c>
      <c r="CL95" s="565">
        <f>CL38</f>
        <v>0</v>
      </c>
      <c r="CM95" s="509"/>
      <c r="CN95" s="530"/>
    </row>
    <row r="96" spans="1:92">
      <c r="A96" s="552"/>
      <c r="B96" s="600"/>
      <c r="C96" s="552" t="s">
        <v>354</v>
      </c>
      <c r="D96" s="552"/>
      <c r="E96" s="552"/>
      <c r="F96" s="552"/>
      <c r="G96" s="552"/>
      <c r="H96" s="552"/>
      <c r="I96" s="553">
        <f t="shared" ref="I96:AN96" si="97">I90+I91+I92-I93-I94-I95</f>
        <v>466</v>
      </c>
      <c r="J96" s="553">
        <f t="shared" si="97"/>
        <v>678</v>
      </c>
      <c r="K96" s="553">
        <f t="shared" si="97"/>
        <v>578</v>
      </c>
      <c r="L96" s="553">
        <f t="shared" si="97"/>
        <v>118</v>
      </c>
      <c r="M96" s="552">
        <f t="shared" si="97"/>
        <v>-205</v>
      </c>
      <c r="N96" s="552">
        <f t="shared" si="97"/>
        <v>120</v>
      </c>
      <c r="O96" s="552">
        <f t="shared" si="97"/>
        <v>198</v>
      </c>
      <c r="P96" s="552">
        <f t="shared" si="97"/>
        <v>229</v>
      </c>
      <c r="Q96" s="553">
        <f t="shared" si="97"/>
        <v>229</v>
      </c>
      <c r="R96" s="552">
        <f t="shared" si="97"/>
        <v>229</v>
      </c>
      <c r="S96" s="552">
        <f t="shared" si="97"/>
        <v>238</v>
      </c>
      <c r="T96" s="552">
        <f t="shared" si="97"/>
        <v>560</v>
      </c>
      <c r="U96" s="552">
        <f t="shared" si="97"/>
        <v>492</v>
      </c>
      <c r="V96" s="553">
        <f t="shared" si="97"/>
        <v>492</v>
      </c>
      <c r="W96" s="552">
        <f t="shared" si="97"/>
        <v>584</v>
      </c>
      <c r="X96" s="552">
        <f t="shared" si="97"/>
        <v>1327</v>
      </c>
      <c r="Y96" s="552">
        <f t="shared" si="97"/>
        <v>1435</v>
      </c>
      <c r="Z96" s="552">
        <f t="shared" si="97"/>
        <v>723</v>
      </c>
      <c r="AA96" s="553">
        <f t="shared" si="97"/>
        <v>723</v>
      </c>
      <c r="AB96" s="552">
        <f t="shared" si="97"/>
        <v>1479</v>
      </c>
      <c r="AC96" s="552">
        <f t="shared" si="97"/>
        <v>1667</v>
      </c>
      <c r="AD96" s="552">
        <f t="shared" si="97"/>
        <v>2082</v>
      </c>
      <c r="AE96" s="552">
        <f t="shared" si="97"/>
        <v>1564</v>
      </c>
      <c r="AF96" s="553">
        <f t="shared" si="97"/>
        <v>1564</v>
      </c>
      <c r="AG96" s="552">
        <f t="shared" si="97"/>
        <v>1904</v>
      </c>
      <c r="AH96" s="552">
        <f t="shared" si="97"/>
        <v>2180</v>
      </c>
      <c r="AI96" s="552">
        <f t="shared" si="97"/>
        <v>1657</v>
      </c>
      <c r="AJ96" s="552">
        <f t="shared" si="97"/>
        <v>926</v>
      </c>
      <c r="AK96" s="553">
        <f t="shared" si="97"/>
        <v>926</v>
      </c>
      <c r="AL96" s="552">
        <f t="shared" si="97"/>
        <v>1950</v>
      </c>
      <c r="AM96" s="552">
        <f t="shared" si="97"/>
        <v>1551</v>
      </c>
      <c r="AN96" s="552">
        <f t="shared" si="97"/>
        <v>934</v>
      </c>
      <c r="AO96" s="552">
        <f t="shared" ref="AO96:BQ96" si="98">AO90+AO91+AO92-AO93-AO94-AO95</f>
        <v>630</v>
      </c>
      <c r="AP96" s="553">
        <f t="shared" si="98"/>
        <v>630</v>
      </c>
      <c r="AQ96" s="552">
        <f t="shared" si="98"/>
        <v>1135</v>
      </c>
      <c r="AR96" s="552">
        <f t="shared" si="98"/>
        <v>1044</v>
      </c>
      <c r="AS96" s="552">
        <f t="shared" si="98"/>
        <v>614</v>
      </c>
      <c r="AT96" s="552">
        <f t="shared" si="98"/>
        <v>351</v>
      </c>
      <c r="AU96" s="553">
        <f t="shared" si="98"/>
        <v>351</v>
      </c>
      <c r="AV96" s="552">
        <f t="shared" si="98"/>
        <v>572</v>
      </c>
      <c r="AW96" s="552">
        <f t="shared" si="98"/>
        <v>1168</v>
      </c>
      <c r="AX96" s="552">
        <f t="shared" si="98"/>
        <v>706</v>
      </c>
      <c r="AY96" s="552">
        <f t="shared" si="98"/>
        <v>279</v>
      </c>
      <c r="AZ96" s="553">
        <f t="shared" si="98"/>
        <v>279</v>
      </c>
      <c r="BA96" s="552">
        <f t="shared" si="98"/>
        <v>1837</v>
      </c>
      <c r="BB96" s="552">
        <f t="shared" si="98"/>
        <v>1262</v>
      </c>
      <c r="BC96" s="552">
        <f t="shared" si="98"/>
        <v>2808</v>
      </c>
      <c r="BD96" s="552">
        <f t="shared" si="98"/>
        <v>1018</v>
      </c>
      <c r="BE96" s="553">
        <f t="shared" si="98"/>
        <v>1018</v>
      </c>
      <c r="BF96" s="552">
        <f t="shared" si="98"/>
        <v>1433</v>
      </c>
      <c r="BG96" s="552">
        <f t="shared" si="98"/>
        <v>409</v>
      </c>
      <c r="BH96" s="552">
        <f t="shared" si="98"/>
        <v>679</v>
      </c>
      <c r="BI96" s="552">
        <f t="shared" si="98"/>
        <v>559</v>
      </c>
      <c r="BJ96" s="553">
        <f t="shared" si="98"/>
        <v>559</v>
      </c>
      <c r="BK96" s="552">
        <f t="shared" si="98"/>
        <v>794</v>
      </c>
      <c r="BL96" s="552">
        <f t="shared" si="98"/>
        <v>662</v>
      </c>
      <c r="BM96" s="552">
        <f t="shared" si="98"/>
        <v>620</v>
      </c>
      <c r="BN96" s="552">
        <f t="shared" si="98"/>
        <v>1619</v>
      </c>
      <c r="BO96" s="553">
        <f t="shared" si="98"/>
        <v>1619</v>
      </c>
      <c r="BP96" s="552">
        <f t="shared" si="98"/>
        <v>1239</v>
      </c>
      <c r="BQ96" s="552">
        <f t="shared" si="98"/>
        <v>2068</v>
      </c>
      <c r="BR96" s="552">
        <f t="shared" ref="BR96:BX96" si="99">BR90+BR91+BR92-BR93-BR94-BR95</f>
        <v>3486</v>
      </c>
      <c r="BS96" s="552">
        <f t="shared" si="99"/>
        <v>-1882</v>
      </c>
      <c r="BT96" s="553">
        <f t="shared" si="99"/>
        <v>-1882</v>
      </c>
      <c r="BU96" s="552">
        <f t="shared" si="99"/>
        <v>1152</v>
      </c>
      <c r="BV96" s="552">
        <f t="shared" si="99"/>
        <v>1409</v>
      </c>
      <c r="BW96" s="552">
        <f t="shared" si="99"/>
        <v>1375</v>
      </c>
      <c r="BX96" s="552">
        <f t="shared" si="99"/>
        <v>1691</v>
      </c>
      <c r="BY96" s="553">
        <f>BY90+BY91+BY92-BY93-BY94-BY95</f>
        <v>1691</v>
      </c>
      <c r="BZ96" s="552">
        <f t="shared" ref="BZ96:CA96" si="100">BZ90+BZ91+BZ92-BZ93-BZ94-BZ95</f>
        <v>2107</v>
      </c>
      <c r="CA96" s="552">
        <f t="shared" si="100"/>
        <v>2308</v>
      </c>
      <c r="CB96" s="552">
        <f t="shared" ref="CB96" si="101">CB90+CB91+CB92-CB93-CB94-CB95</f>
        <v>2388</v>
      </c>
      <c r="CC96" s="552">
        <f>CC97*CC76*4</f>
        <v>1842.1522820723899</v>
      </c>
      <c r="CD96" s="553">
        <f>CD90+CD91+CD92-CD93-CD94-CD95</f>
        <v>1842.1522820723894</v>
      </c>
      <c r="CE96" s="552">
        <f>CE97*CE76*4</f>
        <v>2589.0103336007069</v>
      </c>
      <c r="CF96" s="552">
        <f>CF97*CF76*4</f>
        <v>2732.676805329646</v>
      </c>
      <c r="CG96" s="552">
        <f>CG97*CG76*4</f>
        <v>2631.4742437563982</v>
      </c>
      <c r="CH96" s="552">
        <f>CH97*CH76*4</f>
        <v>2048.3787839755742</v>
      </c>
      <c r="CI96" s="553">
        <f>CI90+CI91+CI92-CI93-CI94-CI95</f>
        <v>2048.3787839755751</v>
      </c>
      <c r="CJ96" s="553">
        <f>CJ97*CJ76</f>
        <v>1808.2732562313913</v>
      </c>
      <c r="CK96" s="553">
        <f>CK97*CK76</f>
        <v>1543.8043561835482</v>
      </c>
      <c r="CL96" s="553">
        <f>CL97*CL76</f>
        <v>1243.883319169282</v>
      </c>
      <c r="CM96" s="599"/>
      <c r="CN96" s="598"/>
    </row>
    <row r="97" spans="1:92">
      <c r="A97" s="264"/>
      <c r="B97" s="592"/>
      <c r="C97" s="591" t="s">
        <v>353</v>
      </c>
      <c r="D97" s="591"/>
      <c r="E97" s="591"/>
      <c r="F97" s="591"/>
      <c r="G97" s="591"/>
      <c r="H97" s="591"/>
      <c r="I97" s="597">
        <v>1.7530000376180264E-2</v>
      </c>
      <c r="J97" s="597">
        <v>2.4303688568663297E-2</v>
      </c>
      <c r="K97" s="597">
        <v>2.0487735715298456E-2</v>
      </c>
      <c r="L97" s="597">
        <v>3.8022813688212928E-3</v>
      </c>
      <c r="M97" s="591">
        <v>-5.9275965764515387E-3</v>
      </c>
      <c r="N97" s="591">
        <v>3.1178549158179174E-3</v>
      </c>
      <c r="O97" s="591">
        <v>5.3003533568904597E-3</v>
      </c>
      <c r="P97" s="591">
        <v>5.8192722097987395E-3</v>
      </c>
      <c r="Q97" s="597">
        <f>Q96/Q76</f>
        <v>6.1156362665242357E-3</v>
      </c>
      <c r="R97" s="591">
        <v>6.0858934835760605E-3</v>
      </c>
      <c r="S97" s="591">
        <v>5.335365853658537E-3</v>
      </c>
      <c r="T97" s="591">
        <v>1.2838147638697846E-2</v>
      </c>
      <c r="U97" s="591">
        <v>1.0922653405559009E-2</v>
      </c>
      <c r="V97" s="597">
        <v>1.1515506143943827E-2</v>
      </c>
      <c r="W97" s="591">
        <f>W96/W76/4</f>
        <v>1.3754121526142252E-2</v>
      </c>
      <c r="X97" s="591">
        <f>X96/X76/4</f>
        <v>2.705071754729289E-2</v>
      </c>
      <c r="Y97" s="591">
        <f>Y96/Y76/4</f>
        <v>2.949519033133273E-2</v>
      </c>
      <c r="Z97" s="591">
        <f>Z96/Z76/4</f>
        <v>1.4135450066473763E-2</v>
      </c>
      <c r="AA97" s="597">
        <f>AA96/AA76</f>
        <v>1.5116352004014301E-2</v>
      </c>
      <c r="AB97" s="591">
        <f>AB96/AB76/4</f>
        <v>3.0114839550415377E-2</v>
      </c>
      <c r="AC97" s="591">
        <f>AC96/AC76/4</f>
        <v>2.9973388952819334E-2</v>
      </c>
      <c r="AD97" s="591">
        <f>AD96/AD76/4</f>
        <v>3.7545985717377189E-2</v>
      </c>
      <c r="AE97" s="591">
        <f>AE96/AE76/4</f>
        <v>2.6573331521000408E-2</v>
      </c>
      <c r="AF97" s="597">
        <f>AF96/AF76</f>
        <v>2.8561515002100111E-2</v>
      </c>
      <c r="AG97" s="591">
        <f>AG96/AG76/4</f>
        <v>3.4102306920762285E-2</v>
      </c>
      <c r="AH97" s="591">
        <f>AH96/AH76/4</f>
        <v>3.4182137481184142E-2</v>
      </c>
      <c r="AI97" s="591">
        <f>AI96/AI76/4</f>
        <v>2.7461054027179316E-2</v>
      </c>
      <c r="AJ97" s="591">
        <f>AJ96/AJ76/4</f>
        <v>1.5673662830060935E-2</v>
      </c>
      <c r="AK97" s="597">
        <f>AK96/AK76</f>
        <v>1.5496092507990696E-2</v>
      </c>
      <c r="AL97" s="591">
        <f>AL96/AL76/4</f>
        <v>3.9962291991146814E-2</v>
      </c>
      <c r="AM97" s="591">
        <f>AM96/AM76/4</f>
        <v>2.968989280245023E-2</v>
      </c>
      <c r="AN97" s="591">
        <f>AN96/AN76/4</f>
        <v>1.7706832486539772E-2</v>
      </c>
      <c r="AO97" s="591">
        <f>AO96/AO76/4</f>
        <v>1.1266900350525789E-2</v>
      </c>
      <c r="AP97" s="597">
        <f>AP96/AP76</f>
        <v>1.201716738197425E-2</v>
      </c>
      <c r="AQ97" s="591">
        <f>AQ96/AQ76/4</f>
        <v>2.3567275747508307E-2</v>
      </c>
      <c r="AR97" s="591">
        <f>AR96/AR76/4</f>
        <v>1.8910302854658743E-2</v>
      </c>
      <c r="AS97" s="591">
        <f>AS96/AS76/4</f>
        <v>1.1270190895741557E-2</v>
      </c>
      <c r="AT97" s="591">
        <f>AT96/AT76/4</f>
        <v>5.9035252960172226E-3</v>
      </c>
      <c r="AU97" s="597">
        <f>AU96/AU76</f>
        <v>6.4609947354857707E-3</v>
      </c>
      <c r="AV97" s="591">
        <f>AV96/AV76/4</f>
        <v>1.1283831768326364E-2</v>
      </c>
      <c r="AW97" s="591">
        <f>AW96/AW76/4</f>
        <v>2.0181076784850371E-2</v>
      </c>
      <c r="AX97" s="591">
        <f>AX96/AX76/4</f>
        <v>1.2399016508605549E-2</v>
      </c>
      <c r="AY97" s="591">
        <f>AY96/AY76/4</f>
        <v>4.8514989218891285E-3</v>
      </c>
      <c r="AZ97" s="597">
        <f>AZ96/AZ76</f>
        <v>5.0041252645550097E-3</v>
      </c>
      <c r="BA97" s="591">
        <f>BA96/BA76/4</f>
        <v>3.6988563144329897E-2</v>
      </c>
      <c r="BB97" s="591">
        <f>BB96/BB76/4</f>
        <v>2.2850727891649162E-2</v>
      </c>
      <c r="BC97" s="591">
        <f>BC96/BC76/4</f>
        <v>4.6669325887514955E-2</v>
      </c>
      <c r="BD97" s="591">
        <f>BD96/BD76/4</f>
        <v>1.547771088000973E-2</v>
      </c>
      <c r="BE97" s="597">
        <f>BE96/BE76</f>
        <v>1.7640535107784017E-2</v>
      </c>
      <c r="BF97" s="591">
        <f>BF96/BF76/4</f>
        <v>2.4880200013889853E-2</v>
      </c>
      <c r="BG97" s="591">
        <f>BG96/BG76/4</f>
        <v>6.3882294139697617E-3</v>
      </c>
      <c r="BH97" s="591">
        <f>BH96/BH76/4</f>
        <v>1.097852800413918E-2</v>
      </c>
      <c r="BI97" s="591">
        <f>BI96/BI76/4</f>
        <v>8.3388030312071121E-3</v>
      </c>
      <c r="BJ97" s="597">
        <f>BJ96/BJ76</f>
        <v>8.9260051735700827E-3</v>
      </c>
      <c r="BK97" s="591">
        <f>BK96/BK76/4</f>
        <v>1.3462190573075619E-2</v>
      </c>
      <c r="BL97" s="594">
        <f>BL96/BL76/4</f>
        <v>9.6271304752486766E-3</v>
      </c>
      <c r="BM97" s="591">
        <f>BM96/BM76/4</f>
        <v>9.5868381989114293E-3</v>
      </c>
      <c r="BN97" s="591">
        <f>BN96/BN76/4</f>
        <v>2.3814426923982113E-2</v>
      </c>
      <c r="BO97" s="597">
        <f>BO96/BO76</f>
        <v>2.4869431643625192E-2</v>
      </c>
      <c r="BP97" s="591">
        <f>BP96/BP76/4</f>
        <v>2.3254504504504503E-2</v>
      </c>
      <c r="BQ97" s="591">
        <f>BQ96/BQ76/4</f>
        <v>3.5177247057222562E-2</v>
      </c>
      <c r="BR97" s="591">
        <f>BR96/BR76/4</f>
        <v>6.3207136640557007E-2</v>
      </c>
      <c r="BS97" s="591">
        <f>BS96/BS76/4</f>
        <v>-3.2902097902097902E-2</v>
      </c>
      <c r="BT97" s="597">
        <f>BT96/BT76</f>
        <v>-3.3583387892528564E-2</v>
      </c>
      <c r="BU97" s="591">
        <f>BU96/BU76/4</f>
        <v>2.1561727932919068E-2</v>
      </c>
      <c r="BV97" s="591">
        <f>BV96/BV76/4</f>
        <v>2.3682264353906145E-2</v>
      </c>
      <c r="BW97" s="591">
        <f>BW96/BW76/4</f>
        <v>2.3948028424132645E-2</v>
      </c>
      <c r="BX97" s="591">
        <f>BX96/BX76/4</f>
        <v>2.8838938536052936E-2</v>
      </c>
      <c r="BY97" s="597">
        <f>BY96/BY76</f>
        <v>2.954021382153588E-2</v>
      </c>
      <c r="BZ97" s="591">
        <f>BZ96/BZ76/4</f>
        <v>3.8128845457835688E-2</v>
      </c>
      <c r="CA97" s="591">
        <f>CA96/CA76/4</f>
        <v>3.7761780104712039E-2</v>
      </c>
      <c r="CB97" s="591">
        <f>CB96/CB76/4</f>
        <v>3.9636170495286151E-2</v>
      </c>
      <c r="CC97" s="2071">
        <v>0.03</v>
      </c>
      <c r="CD97" s="597">
        <f>CD96/CD76</f>
        <v>3.0956240409845862E-2</v>
      </c>
      <c r="CE97" s="2071">
        <f>BZ97+0.6%</f>
        <v>4.4128845457835686E-2</v>
      </c>
      <c r="CF97" s="2071">
        <f>CA97+0.4%</f>
        <v>4.1761780104712043E-2</v>
      </c>
      <c r="CG97" s="2071">
        <f>CB97+0.2%</f>
        <v>4.1636170495286152E-2</v>
      </c>
      <c r="CH97" s="2071">
        <f>CC97+0.2%</f>
        <v>3.2000000000000001E-2</v>
      </c>
      <c r="CI97" s="597">
        <f>CI96/CI76</f>
        <v>3.2493725049593136E-2</v>
      </c>
      <c r="CJ97" s="595">
        <f>CI97-0.005</f>
        <v>2.7493725049593135E-2</v>
      </c>
      <c r="CK97" s="595">
        <f>CJ97-0.005</f>
        <v>2.2493725049593134E-2</v>
      </c>
      <c r="CL97" s="595">
        <f>CK97-0.005</f>
        <v>1.7493725049593133E-2</v>
      </c>
      <c r="CM97" s="509"/>
      <c r="CN97" s="524"/>
    </row>
    <row r="98" spans="1:92">
      <c r="A98" s="264"/>
      <c r="B98" s="592"/>
      <c r="C98" s="591"/>
      <c r="D98" s="591"/>
      <c r="E98" s="591"/>
      <c r="F98" s="591"/>
      <c r="G98" s="591"/>
      <c r="H98" s="591"/>
      <c r="I98" s="597"/>
      <c r="J98" s="597"/>
      <c r="K98" s="597"/>
      <c r="L98" s="597"/>
      <c r="M98" s="591"/>
      <c r="N98" s="591"/>
      <c r="O98" s="591"/>
      <c r="P98" s="591"/>
      <c r="Q98" s="597"/>
      <c r="R98" s="591"/>
      <c r="S98" s="591"/>
      <c r="T98" s="591"/>
      <c r="U98" s="591"/>
      <c r="V98" s="597"/>
      <c r="W98" s="591"/>
      <c r="X98" s="591"/>
      <c r="Y98" s="591"/>
      <c r="Z98" s="591"/>
      <c r="AA98" s="597"/>
      <c r="AB98" s="591"/>
      <c r="AC98" s="591"/>
      <c r="AD98" s="591"/>
      <c r="AE98" s="591"/>
      <c r="AF98" s="597"/>
      <c r="AG98" s="591"/>
      <c r="AH98" s="591"/>
      <c r="AI98" s="591"/>
      <c r="AJ98" s="591"/>
      <c r="AK98" s="597"/>
      <c r="AL98" s="591"/>
      <c r="AM98" s="591"/>
      <c r="AN98" s="591"/>
      <c r="AO98" s="591"/>
      <c r="AP98" s="597"/>
      <c r="AQ98" s="591"/>
      <c r="AR98" s="591"/>
      <c r="AS98" s="591"/>
      <c r="AT98" s="591"/>
      <c r="AU98" s="597"/>
      <c r="AV98" s="591"/>
      <c r="AW98" s="591"/>
      <c r="AX98" s="591"/>
      <c r="AY98" s="591"/>
      <c r="AZ98" s="597"/>
      <c r="BA98" s="591"/>
      <c r="BB98" s="591"/>
      <c r="BC98" s="591"/>
      <c r="BD98" s="591"/>
      <c r="BE98" s="597"/>
      <c r="BF98" s="591"/>
      <c r="BG98" s="591"/>
      <c r="BH98" s="591"/>
      <c r="BI98" s="591"/>
      <c r="BJ98" s="597"/>
      <c r="BK98" s="591"/>
      <c r="BL98" s="594"/>
      <c r="BM98" s="591"/>
      <c r="BN98" s="591"/>
      <c r="BO98" s="597"/>
      <c r="BP98" s="591"/>
      <c r="BQ98" s="591"/>
      <c r="BR98" s="591"/>
      <c r="BS98" s="591"/>
      <c r="BT98" s="597"/>
      <c r="BU98" s="591"/>
      <c r="BV98" s="591"/>
      <c r="BW98" s="591"/>
      <c r="BX98" s="596"/>
      <c r="BY98" s="595"/>
      <c r="BZ98" s="2071"/>
      <c r="CA98" s="2071"/>
      <c r="CB98" s="2071"/>
      <c r="CC98" s="596"/>
      <c r="CD98" s="595"/>
      <c r="CE98" s="2071"/>
      <c r="CF98" s="2071"/>
      <c r="CG98" s="2071"/>
      <c r="CH98" s="2071"/>
      <c r="CI98" s="595"/>
      <c r="CJ98" s="595"/>
      <c r="CK98" s="595"/>
      <c r="CL98" s="595"/>
      <c r="CM98" s="509"/>
      <c r="CN98" s="524"/>
    </row>
    <row r="99" spans="1:92">
      <c r="A99" s="264"/>
      <c r="B99" s="592"/>
      <c r="C99" s="591" t="s">
        <v>352</v>
      </c>
      <c r="D99" s="591"/>
      <c r="E99" s="591"/>
      <c r="F99" s="591"/>
      <c r="G99" s="591"/>
      <c r="H99" s="591"/>
      <c r="I99" s="553">
        <f t="shared" ref="I99:AN99" si="102">I90+I91-I93</f>
        <v>5940</v>
      </c>
      <c r="J99" s="553">
        <f t="shared" si="102"/>
        <v>5910</v>
      </c>
      <c r="K99" s="553">
        <f t="shared" si="102"/>
        <v>5901</v>
      </c>
      <c r="L99" s="553">
        <f t="shared" si="102"/>
        <v>6995</v>
      </c>
      <c r="M99" s="552">
        <f t="shared" si="102"/>
        <v>6869</v>
      </c>
      <c r="N99" s="552">
        <f t="shared" si="102"/>
        <v>7173</v>
      </c>
      <c r="O99" s="552">
        <f t="shared" si="102"/>
        <v>7585</v>
      </c>
      <c r="P99" s="552">
        <f t="shared" si="102"/>
        <v>7903</v>
      </c>
      <c r="Q99" s="553">
        <f t="shared" si="102"/>
        <v>7903</v>
      </c>
      <c r="R99" s="552">
        <f t="shared" si="102"/>
        <v>8259</v>
      </c>
      <c r="S99" s="552">
        <f t="shared" si="102"/>
        <v>9273</v>
      </c>
      <c r="T99" s="552">
        <f t="shared" si="102"/>
        <v>9622</v>
      </c>
      <c r="U99" s="552">
        <f t="shared" si="102"/>
        <v>9079</v>
      </c>
      <c r="V99" s="553">
        <f t="shared" si="102"/>
        <v>9079</v>
      </c>
      <c r="W99" s="552">
        <f t="shared" si="102"/>
        <v>9583</v>
      </c>
      <c r="X99" s="552">
        <f t="shared" si="102"/>
        <v>10326</v>
      </c>
      <c r="Y99" s="552">
        <f t="shared" si="102"/>
        <v>10645</v>
      </c>
      <c r="Z99" s="552">
        <f t="shared" si="102"/>
        <v>10073</v>
      </c>
      <c r="AA99" s="553">
        <f t="shared" si="102"/>
        <v>10073</v>
      </c>
      <c r="AB99" s="552">
        <f t="shared" si="102"/>
        <v>10700</v>
      </c>
      <c r="AC99" s="552">
        <f t="shared" si="102"/>
        <v>11302</v>
      </c>
      <c r="AD99" s="552">
        <f t="shared" si="102"/>
        <v>12572</v>
      </c>
      <c r="AE99" s="552">
        <f t="shared" si="102"/>
        <v>11886</v>
      </c>
      <c r="AF99" s="553">
        <f t="shared" si="102"/>
        <v>11886</v>
      </c>
      <c r="AG99" s="552">
        <f t="shared" si="102"/>
        <v>13130</v>
      </c>
      <c r="AH99" s="552">
        <f t="shared" si="102"/>
        <v>13608</v>
      </c>
      <c r="AI99" s="552">
        <f t="shared" si="102"/>
        <v>13253</v>
      </c>
      <c r="AJ99" s="552">
        <f t="shared" si="102"/>
        <v>12226</v>
      </c>
      <c r="AK99" s="553">
        <f t="shared" si="102"/>
        <v>12226</v>
      </c>
      <c r="AL99" s="552">
        <f t="shared" si="102"/>
        <v>12585</v>
      </c>
      <c r="AM99" s="552">
        <f t="shared" si="102"/>
        <v>12462</v>
      </c>
      <c r="AN99" s="552">
        <f t="shared" si="102"/>
        <v>12116</v>
      </c>
      <c r="AO99" s="552">
        <f t="shared" ref="AO99:BU99" si="103">AO90+AO91-AO93</f>
        <v>11344</v>
      </c>
      <c r="AP99" s="553">
        <f t="shared" si="103"/>
        <v>11344</v>
      </c>
      <c r="AQ99" s="552">
        <f t="shared" si="103"/>
        <v>12108</v>
      </c>
      <c r="AR99" s="552">
        <f t="shared" si="103"/>
        <v>11907</v>
      </c>
      <c r="AS99" s="552">
        <f t="shared" si="103"/>
        <v>12197</v>
      </c>
      <c r="AT99" s="552">
        <f t="shared" si="103"/>
        <v>11485</v>
      </c>
      <c r="AU99" s="553">
        <f t="shared" si="103"/>
        <v>11485</v>
      </c>
      <c r="AV99" s="552">
        <f t="shared" si="103"/>
        <v>12452</v>
      </c>
      <c r="AW99" s="552">
        <f t="shared" si="103"/>
        <v>12910</v>
      </c>
      <c r="AX99" s="552">
        <f t="shared" si="103"/>
        <v>12523</v>
      </c>
      <c r="AY99" s="552">
        <f t="shared" si="103"/>
        <v>11773</v>
      </c>
      <c r="AZ99" s="553">
        <f t="shared" si="103"/>
        <v>11773</v>
      </c>
      <c r="BA99" s="552">
        <f t="shared" si="103"/>
        <v>11918</v>
      </c>
      <c r="BB99" s="552">
        <f t="shared" si="103"/>
        <v>12288</v>
      </c>
      <c r="BC99" s="552">
        <f t="shared" si="103"/>
        <v>14921</v>
      </c>
      <c r="BD99" s="552">
        <f t="shared" si="103"/>
        <v>14205</v>
      </c>
      <c r="BE99" s="553">
        <f t="shared" si="103"/>
        <v>14205</v>
      </c>
      <c r="BF99" s="552">
        <f t="shared" si="103"/>
        <v>14760</v>
      </c>
      <c r="BG99" s="552">
        <f t="shared" si="103"/>
        <v>14745</v>
      </c>
      <c r="BH99" s="552">
        <f t="shared" si="103"/>
        <v>15272</v>
      </c>
      <c r="BI99" s="552">
        <f t="shared" si="103"/>
        <v>14823</v>
      </c>
      <c r="BJ99" s="553">
        <f t="shared" si="103"/>
        <v>14823</v>
      </c>
      <c r="BK99" s="552">
        <f t="shared" si="103"/>
        <v>15580</v>
      </c>
      <c r="BL99" s="552">
        <f t="shared" si="103"/>
        <v>14394</v>
      </c>
      <c r="BM99" s="552">
        <f t="shared" si="103"/>
        <v>14375</v>
      </c>
      <c r="BN99" s="552">
        <f t="shared" si="103"/>
        <v>14215</v>
      </c>
      <c r="BO99" s="553">
        <f t="shared" si="103"/>
        <v>14215</v>
      </c>
      <c r="BP99" s="552">
        <f t="shared" si="103"/>
        <v>14919</v>
      </c>
      <c r="BQ99" s="552">
        <f t="shared" si="103"/>
        <v>14658</v>
      </c>
      <c r="BR99" s="552">
        <f>BR90+BR91-BR93</f>
        <v>12767</v>
      </c>
      <c r="BS99" s="552">
        <f>BS90+BS91-BS93</f>
        <v>11913</v>
      </c>
      <c r="BT99" s="553">
        <f t="shared" si="103"/>
        <v>11913</v>
      </c>
      <c r="BU99" s="552">
        <f t="shared" si="103"/>
        <v>12827</v>
      </c>
      <c r="BV99" s="552">
        <f t="shared" ref="BV99:CJ99" si="104">BV90+BV91-BV93</f>
        <v>13049</v>
      </c>
      <c r="BW99" s="552">
        <f t="shared" si="104"/>
        <v>13149</v>
      </c>
      <c r="BX99" s="552">
        <f t="shared" si="104"/>
        <v>12702</v>
      </c>
      <c r="BY99" s="553">
        <f t="shared" si="104"/>
        <v>12702</v>
      </c>
      <c r="BZ99" s="552">
        <f t="shared" ref="BZ99:CA99" si="105">BZ90+BZ91-BZ93</f>
        <v>13706</v>
      </c>
      <c r="CA99" s="552">
        <f t="shared" si="105"/>
        <v>13915</v>
      </c>
      <c r="CB99" s="552">
        <f t="shared" ref="CB99" si="106">CB90+CB91-CB93</f>
        <v>14212</v>
      </c>
      <c r="CC99" s="552">
        <f t="shared" si="104"/>
        <v>14047.539314919901</v>
      </c>
      <c r="CD99" s="553">
        <f t="shared" si="104"/>
        <v>14047.539314919901</v>
      </c>
      <c r="CE99" s="552">
        <f>CE90+CE91-CE93</f>
        <v>13903.609762974256</v>
      </c>
      <c r="CF99" s="552">
        <f>CF90+CF91-CF93</f>
        <v>14912.647395075863</v>
      </c>
      <c r="CG99" s="552">
        <f>CG90+CG91-CG93</f>
        <v>14324.331474998764</v>
      </c>
      <c r="CH99" s="552">
        <f>CH90+CH91-CH93</f>
        <v>13874.168292063987</v>
      </c>
      <c r="CI99" s="553">
        <f t="shared" ref="CI99" si="107">CI90+CI91-CI93</f>
        <v>13874.168292063987</v>
      </c>
      <c r="CJ99" s="553">
        <f t="shared" si="104"/>
        <v>13258.97085817629</v>
      </c>
      <c r="CK99" s="553">
        <f>CK90+CK91-CK93</f>
        <v>13189.079811187399</v>
      </c>
      <c r="CL99" s="553">
        <f>CL90+CL91-CL93</f>
        <v>13027.093779873316</v>
      </c>
      <c r="CM99" s="509"/>
      <c r="CN99" s="524"/>
    </row>
    <row r="100" spans="1:92">
      <c r="A100" s="264"/>
      <c r="B100" s="592"/>
      <c r="C100" s="264" t="s">
        <v>351</v>
      </c>
      <c r="D100" s="264"/>
      <c r="E100" s="264"/>
      <c r="F100" s="591"/>
      <c r="G100" s="591"/>
      <c r="H100" s="591"/>
      <c r="I100" s="593">
        <f>I99/I76</f>
        <v>0.22345107775646089</v>
      </c>
      <c r="J100" s="593">
        <f>J99/J76</f>
        <v>0.21185073663834822</v>
      </c>
      <c r="K100" s="593">
        <f>K99/K76</f>
        <v>0.20916631220757126</v>
      </c>
      <c r="L100" s="593">
        <f>L99/L76</f>
        <v>0.22539795063478765</v>
      </c>
      <c r="M100" s="594"/>
      <c r="N100" s="594"/>
      <c r="O100" s="594"/>
      <c r="P100" s="594"/>
      <c r="Q100" s="593">
        <f>Q99/Q76</f>
        <v>0.21105621578314862</v>
      </c>
      <c r="R100" s="594">
        <f>R99/SUM(R76,P76,O76,N76)</f>
        <v>0.2161702350416165</v>
      </c>
      <c r="S100" s="594">
        <f>S99/SUM(S76,R76,P76,O76)</f>
        <v>0.23336521038856453</v>
      </c>
      <c r="T100" s="594">
        <f>T99/SUM(T76,S76,R76,P76)</f>
        <v>0.23296692654108761</v>
      </c>
      <c r="U100" s="594">
        <f>U99/SUM(U76,T76,S76,R76)</f>
        <v>0.21249853715623171</v>
      </c>
      <c r="V100" s="593">
        <f>V99/V76</f>
        <v>0.21249853715623171</v>
      </c>
      <c r="W100" s="594">
        <f>W99/SUM(W76,U76,T76,S76)</f>
        <v>0.21812760339608039</v>
      </c>
      <c r="X100" s="594">
        <f>X99/SUM(X76,W76,U76,T76)</f>
        <v>0.22923742923742924</v>
      </c>
      <c r="Y100" s="594">
        <f>Y99/SUM(Y76,X76,W76,U76)</f>
        <v>0.22989871066669545</v>
      </c>
      <c r="Z100" s="594">
        <f>Z99/SUM(Z76,Y76,X76,W76)</f>
        <v>0.21060444500198625</v>
      </c>
      <c r="AA100" s="593">
        <f>AA99/AA76</f>
        <v>0.21060444500198625</v>
      </c>
      <c r="AB100" s="594">
        <f>AB99/SUM(AB76,Z76,Y76,X76)</f>
        <v>0.21619655701931625</v>
      </c>
      <c r="AC100" s="594">
        <f>AC99/SUM(AC76,AB76,Z76,Y76)</f>
        <v>0.22103575060627395</v>
      </c>
      <c r="AD100" s="594">
        <f>AD99/SUM(AD76,AC76,AB76,Z76)</f>
        <v>0.23796184130829801</v>
      </c>
      <c r="AE100" s="594">
        <f>AE99/SUM(AE76,AD76,AC76,AB76)</f>
        <v>0.21706020928066619</v>
      </c>
      <c r="AF100" s="593">
        <f>AF99/AF76</f>
        <v>0.21706020928066619</v>
      </c>
      <c r="AG100" s="594">
        <f>AG99/SUM(AG76,AE76,AD76,AC76)</f>
        <v>0.23264054997430855</v>
      </c>
      <c r="AH100" s="594">
        <f>AH99/SUM(AH76,AG76,AE76,AD76)</f>
        <v>0.23269891756014979</v>
      </c>
      <c r="AI100" s="594">
        <f>AI99/SUM(AI76,AH76,AG76,AE76)</f>
        <v>0.22198958141404668</v>
      </c>
      <c r="AJ100" s="594">
        <f>AJ99/SUM(AJ76,AI76,AH76,AG76)</f>
        <v>0.20459527754070653</v>
      </c>
      <c r="AK100" s="593">
        <f>AK99/AK76</f>
        <v>0.20459527754070653</v>
      </c>
      <c r="AL100" s="594">
        <f>AL99/SUM(AL76,AJ76,AI76,AH76)</f>
        <v>0.21699024104279457</v>
      </c>
      <c r="AM100" s="594">
        <f>AM99/SUM(AM76,AL76,AJ76,AI76)</f>
        <v>0.22611314729469825</v>
      </c>
      <c r="AN100" s="594">
        <f>AN99/SUM(AN76,AM76,AL76,AJ76)</f>
        <v>0.22767588695129284</v>
      </c>
      <c r="AO100" s="594">
        <f>AO99/SUM(AO76,AN76,AM76,AL76)</f>
        <v>0.21638531235097758</v>
      </c>
      <c r="AP100" s="593">
        <f>AP99/AP76</f>
        <v>0.21638531235097758</v>
      </c>
      <c r="AQ100" s="594">
        <f>AQ99/SUM(AQ76,AO76,AN76,AM76)</f>
        <v>0.23166111812650672</v>
      </c>
      <c r="AR100" s="594">
        <f>AR99/SUM(AR76,AQ76,AO76,AN76)</f>
        <v>0.22462647147600362</v>
      </c>
      <c r="AS100" s="594">
        <f>AS99/SUM(AS76,AR76,AQ76,AO76)</f>
        <v>0.22823300462191951</v>
      </c>
      <c r="AT100" s="594">
        <f>AT99/SUM(AT76,AS76,AR76,AQ76)</f>
        <v>0.21140890181496888</v>
      </c>
      <c r="AU100" s="593">
        <f>AU99/AU76</f>
        <v>0.21140890181496888</v>
      </c>
      <c r="AV100" s="594">
        <f>AV99/SUM(AV76,AT76,AS76,AR76)</f>
        <v>0.22656889681398862</v>
      </c>
      <c r="AW100" s="594">
        <f>AW99/SUM(AW76,AV76,AT76,AS76)</f>
        <v>0.23208571531298314</v>
      </c>
      <c r="AX100" s="594">
        <f>AX99/SUM(AX76,AW76,AV76,AT76)</f>
        <v>0.22266673778915738</v>
      </c>
      <c r="AY100" s="594">
        <f>AY99/SUM(AY76,AX76,AW76,AV76)</f>
        <v>0.21115973741794311</v>
      </c>
      <c r="AZ100" s="593">
        <f>AZ99/AZ76</f>
        <v>0.21115973741794311</v>
      </c>
      <c r="BA100" s="594">
        <f>BA99/SUM(BA76,AY76,AX76,AW76)</f>
        <v>0.21475034686559633</v>
      </c>
      <c r="BB100" s="594">
        <f>BB99/SUM(BB76,BA76,AY76,AX76)</f>
        <v>0.22409045317771498</v>
      </c>
      <c r="BC100" s="594">
        <f>BC99/SUM(BC76,BB76,BA76,AY76)</f>
        <v>0.26816074188562594</v>
      </c>
      <c r="BD100" s="594">
        <f>BD99/SUM(BD76,BC76,BB76,BA76)</f>
        <v>0.24615304637138699</v>
      </c>
      <c r="BE100" s="593">
        <f>BE99/BE76</f>
        <v>0.24615304637138699</v>
      </c>
      <c r="BF100" s="594">
        <f>BF99/SUM(BF76,BD76,BC76,BB76)</f>
        <v>0.24727345831029804</v>
      </c>
      <c r="BG100" s="594">
        <f>BG99/SUM(BG76,BF76,BD76,BC76)</f>
        <v>0.23824527387300048</v>
      </c>
      <c r="BH100" s="594">
        <f>BH99/SUM(BH76,BG76,BF76,BD76)</f>
        <v>0.24509709516931472</v>
      </c>
      <c r="BI100" s="594">
        <f>BI99/SUM(BI76,BH76,BG76,BF76)</f>
        <v>0.23669083128413118</v>
      </c>
      <c r="BJ100" s="593">
        <f>BJ99/BJ76</f>
        <v>0.23669083128413118</v>
      </c>
      <c r="BK100" s="594">
        <f>BK99/SUM(BK76,BI76,BH76,BG76)</f>
        <v>0.24741154798958268</v>
      </c>
      <c r="BL100" s="594">
        <f>BL99/SUM(BL76,BK76,BI76,BH76)</f>
        <v>0.22435587698926071</v>
      </c>
      <c r="BM100" s="594">
        <f>BM99/SUM(BM76,BL76,BK76,BI76)</f>
        <v>0.22162095493578773</v>
      </c>
      <c r="BN100" s="594">
        <f>BN99/SUM(BN76,BM76,BL76,BJ76)</f>
        <v>0.12581761535125374</v>
      </c>
      <c r="BO100" s="593">
        <f>BO99/BO76</f>
        <v>0.21835637480798772</v>
      </c>
      <c r="BP100" s="594">
        <f>BP99/SUM(BP76,BN76,BM76,BL76)</f>
        <v>0.23429917550058893</v>
      </c>
      <c r="BQ100" s="594">
        <f>BQ99/SUM(BQ76,BO76,BN76,BM76)</f>
        <v>0.12976159913598498</v>
      </c>
      <c r="BR100" s="594">
        <f>BR99/SUM(BR76,BP76,BO76,BN76)</f>
        <v>0.11690963700963335</v>
      </c>
      <c r="BS100" s="594">
        <f>BS99/SUM(BS76,BQ76,BP76,BO76)</f>
        <v>0.11090423303573922</v>
      </c>
      <c r="BT100" s="593">
        <f>BT99/BT76</f>
        <v>0.2125817746884659</v>
      </c>
      <c r="BU100" s="594">
        <f>BU99/SUM(BU76,BS76,BR76,BQ76)</f>
        <v>0.22847422606960921</v>
      </c>
      <c r="BV100" s="594">
        <f>BV99/SUM(BV76,BT76,BS76,BR76)</f>
        <v>0.13180593571070662</v>
      </c>
      <c r="BW100" s="594">
        <f>BW99/SUM(BW76,BV76,BU76,BS76)</f>
        <v>0.23115056693328645</v>
      </c>
      <c r="BX100" s="594">
        <f>BX99/SUM(BX76,BW76,BV76,BU76)</f>
        <v>0.22189225071623228</v>
      </c>
      <c r="BY100" s="593">
        <f>BY99/BY76</f>
        <v>0.22189225071623228</v>
      </c>
      <c r="BZ100" s="594">
        <f>BZ99/SUM(BZ76,BY76,BX76,BW76)</f>
        <v>0.13696138780078343</v>
      </c>
      <c r="CA100" s="594">
        <f>CA99/SUM(CA76,BZ76,BY76,BX76)</f>
        <v>0.13777500544565238</v>
      </c>
      <c r="CB100" s="594">
        <f>CB99/SUM(CB76,CA76,BZ76,BY76)</f>
        <v>0.14015640871391802</v>
      </c>
      <c r="CC100" s="594">
        <f>CC99/SUM(CC76,CB76,CA76,BZ76)</f>
        <v>0.23606029123184813</v>
      </c>
      <c r="CD100" s="593">
        <f>CD99/CD76</f>
        <v>0.23606029123184813</v>
      </c>
      <c r="CE100" s="594">
        <f>CE99/SUM(CE76,CC76,CB76,CA76)</f>
        <v>0.23034245373369475</v>
      </c>
      <c r="CF100" s="594">
        <f>CF99/SUM(CF76,CE76,CC76,CB76)</f>
        <v>0.24272154497628012</v>
      </c>
      <c r="CG100" s="594">
        <f>CG99/SUM(CG76,CF76,CE76,CC76)</f>
        <v>0.23037719147863445</v>
      </c>
      <c r="CH100" s="594">
        <f>CH99/SUM(CH76,CG76,CF76,CE76)</f>
        <v>0.22082278657378898</v>
      </c>
      <c r="CI100" s="593">
        <f>CI99/CI76</f>
        <v>0.22008791210927034</v>
      </c>
      <c r="CJ100" s="593">
        <f>CJ99/CJ76</f>
        <v>0.20159480762050244</v>
      </c>
      <c r="CK100" s="593">
        <f>CK99/CK76</f>
        <v>0.19216912670423686</v>
      </c>
      <c r="CL100" s="593">
        <f>CL99/CL76</f>
        <v>0.18321042920051769</v>
      </c>
      <c r="CM100" s="509"/>
      <c r="CN100" s="524"/>
    </row>
    <row r="101" spans="1:92">
      <c r="A101" s="264"/>
      <c r="B101" s="592"/>
      <c r="C101" s="264"/>
      <c r="D101" s="264"/>
      <c r="E101" s="264"/>
      <c r="F101" s="591"/>
      <c r="G101" s="591"/>
      <c r="H101" s="591"/>
      <c r="I101" s="586"/>
      <c r="J101" s="586"/>
      <c r="K101" s="586"/>
      <c r="L101" s="586"/>
      <c r="M101" s="589"/>
      <c r="N101" s="589"/>
      <c r="O101" s="589"/>
      <c r="P101" s="589"/>
      <c r="Q101" s="586"/>
      <c r="R101" s="587"/>
      <c r="S101" s="587"/>
      <c r="T101" s="590"/>
      <c r="U101" s="590"/>
      <c r="V101" s="586"/>
      <c r="W101" s="589"/>
      <c r="X101" s="589"/>
      <c r="Y101" s="589"/>
      <c r="Z101" s="589"/>
      <c r="AA101" s="586"/>
      <c r="AB101" s="589"/>
      <c r="AC101" s="589"/>
      <c r="AD101" s="589"/>
      <c r="AE101" s="589"/>
      <c r="AF101" s="586"/>
      <c r="AG101" s="589"/>
      <c r="AH101" s="589"/>
      <c r="AI101" s="587"/>
      <c r="AJ101" s="587"/>
      <c r="AK101" s="586"/>
      <c r="AL101" s="587"/>
      <c r="AM101" s="587"/>
      <c r="AN101" s="587"/>
      <c r="AO101" s="587"/>
      <c r="AP101" s="586"/>
      <c r="AQ101" s="587"/>
      <c r="AR101" s="587"/>
      <c r="AS101" s="587"/>
      <c r="AT101" s="587"/>
      <c r="AU101" s="586"/>
      <c r="AV101" s="587"/>
      <c r="AW101" s="587"/>
      <c r="AX101" s="587"/>
      <c r="AY101" s="587"/>
      <c r="AZ101" s="586"/>
      <c r="BA101" s="587"/>
      <c r="BB101" s="587"/>
      <c r="BC101" s="587"/>
      <c r="BD101" s="587"/>
      <c r="BE101" s="586"/>
      <c r="BF101" s="588"/>
      <c r="BG101" s="588"/>
      <c r="BH101" s="588"/>
      <c r="BI101" s="588"/>
      <c r="BJ101" s="586"/>
      <c r="BK101" s="588"/>
      <c r="BM101" s="588"/>
      <c r="BN101" s="588"/>
      <c r="BO101" s="586"/>
      <c r="BP101" s="588"/>
      <c r="BQ101" s="588"/>
      <c r="BR101" s="1954"/>
      <c r="BS101" s="1954"/>
      <c r="BT101" s="586"/>
      <c r="BU101" s="1954"/>
      <c r="BV101" s="1954"/>
      <c r="BW101" s="587"/>
      <c r="BX101" s="587"/>
      <c r="BY101" s="586"/>
      <c r="BZ101" s="587"/>
      <c r="CA101" s="587"/>
      <c r="CB101" s="587"/>
      <c r="CC101" s="587"/>
      <c r="CD101" s="586"/>
      <c r="CE101" s="587"/>
      <c r="CF101" s="587"/>
      <c r="CG101" s="587"/>
      <c r="CH101" s="587"/>
      <c r="CI101" s="586"/>
      <c r="CJ101" s="586"/>
      <c r="CK101" s="586"/>
      <c r="CL101" s="586"/>
      <c r="CM101" s="509"/>
      <c r="CN101" s="524"/>
    </row>
    <row r="102" spans="1:92">
      <c r="A102" s="264"/>
      <c r="B102" s="551" t="s">
        <v>350</v>
      </c>
      <c r="C102" s="265"/>
      <c r="D102" s="265"/>
      <c r="E102" s="265"/>
      <c r="F102" s="265"/>
      <c r="G102" s="265"/>
      <c r="H102" s="265"/>
      <c r="I102" s="559"/>
      <c r="J102" s="559"/>
      <c r="K102" s="559"/>
      <c r="L102" s="559"/>
      <c r="M102" s="550"/>
      <c r="N102" s="550"/>
      <c r="O102" s="550"/>
      <c r="P102" s="550"/>
      <c r="Q102" s="559"/>
      <c r="R102" s="550"/>
      <c r="S102" s="550"/>
      <c r="T102" s="560"/>
      <c r="U102" s="560"/>
      <c r="V102" s="559"/>
      <c r="W102" s="550"/>
      <c r="X102" s="550"/>
      <c r="Y102" s="550"/>
      <c r="Z102" s="550"/>
      <c r="AA102" s="559"/>
      <c r="AB102" s="550"/>
      <c r="AC102" s="550"/>
      <c r="AD102" s="550"/>
      <c r="AE102" s="550"/>
      <c r="AF102" s="559"/>
      <c r="AG102" s="550"/>
      <c r="AH102" s="550"/>
      <c r="AI102" s="550"/>
      <c r="AJ102" s="550"/>
      <c r="AK102" s="559"/>
      <c r="AL102" s="550"/>
      <c r="AM102" s="550"/>
      <c r="AN102" s="550"/>
      <c r="AO102" s="550"/>
      <c r="AP102" s="559"/>
      <c r="AQ102" s="550"/>
      <c r="AR102" s="550"/>
      <c r="AS102" s="550"/>
      <c r="AT102" s="550"/>
      <c r="AU102" s="559"/>
      <c r="AV102" s="550"/>
      <c r="AW102" s="550"/>
      <c r="AX102" s="550"/>
      <c r="AY102" s="550"/>
      <c r="AZ102" s="559"/>
      <c r="BA102" s="550"/>
      <c r="BB102" s="550"/>
      <c r="BC102" s="550"/>
      <c r="BD102" s="550"/>
      <c r="BE102" s="559"/>
      <c r="BF102" s="550"/>
      <c r="BG102" s="550"/>
      <c r="BH102" s="550"/>
      <c r="BI102" s="550"/>
      <c r="BJ102" s="559"/>
      <c r="BK102" s="550"/>
      <c r="BL102" s="550"/>
      <c r="BM102" s="550"/>
      <c r="BN102" s="550"/>
      <c r="BO102" s="559"/>
      <c r="BP102" s="550"/>
      <c r="BQ102" s="550"/>
      <c r="BR102" s="550"/>
      <c r="BS102" s="550"/>
      <c r="BT102" s="559"/>
      <c r="BU102" s="550"/>
      <c r="BV102" s="550"/>
      <c r="BW102" s="550"/>
      <c r="BX102" s="550"/>
      <c r="BY102" s="559"/>
      <c r="BZ102" s="550"/>
      <c r="CA102" s="550"/>
      <c r="CB102" s="550"/>
      <c r="CC102" s="550"/>
      <c r="CD102" s="559"/>
      <c r="CE102" s="550"/>
      <c r="CF102" s="550"/>
      <c r="CG102" s="550"/>
      <c r="CH102" s="550"/>
      <c r="CI102" s="559"/>
      <c r="CJ102" s="559"/>
      <c r="CK102" s="559"/>
      <c r="CL102" s="559"/>
      <c r="CM102" s="509"/>
      <c r="CN102" s="524"/>
    </row>
    <row r="103" spans="1:92">
      <c r="A103" s="264"/>
      <c r="B103" s="265"/>
      <c r="C103" s="265"/>
      <c r="D103" s="265"/>
      <c r="E103" s="265"/>
      <c r="F103" s="585"/>
      <c r="G103" s="585"/>
      <c r="H103" s="585"/>
      <c r="I103" s="559"/>
      <c r="J103" s="559"/>
      <c r="K103" s="559"/>
      <c r="L103" s="559"/>
      <c r="M103" s="550"/>
      <c r="N103" s="550"/>
      <c r="O103" s="550"/>
      <c r="P103" s="550"/>
      <c r="Q103" s="559"/>
      <c r="R103" s="550"/>
      <c r="S103" s="550"/>
      <c r="T103" s="560"/>
      <c r="U103" s="560"/>
      <c r="V103" s="559"/>
      <c r="W103" s="550"/>
      <c r="X103" s="550"/>
      <c r="Y103" s="550"/>
      <c r="Z103" s="550"/>
      <c r="AA103" s="559"/>
      <c r="AB103" s="550"/>
      <c r="AC103" s="550"/>
      <c r="AD103" s="550"/>
      <c r="AE103" s="550"/>
      <c r="AF103" s="559"/>
      <c r="AG103" s="550"/>
      <c r="AH103" s="550"/>
      <c r="AI103" s="550"/>
      <c r="AJ103" s="550"/>
      <c r="AK103" s="559"/>
      <c r="AL103" s="550"/>
      <c r="AM103" s="550"/>
      <c r="AN103" s="550"/>
      <c r="AO103" s="550"/>
      <c r="AP103" s="559"/>
      <c r="AQ103" s="550"/>
      <c r="AR103" s="550"/>
      <c r="AS103" s="550"/>
      <c r="AT103" s="550"/>
      <c r="AU103" s="559"/>
      <c r="AV103" s="550"/>
      <c r="AW103" s="550"/>
      <c r="AX103" s="550"/>
      <c r="AY103" s="550"/>
      <c r="AZ103" s="559"/>
      <c r="BA103" s="550"/>
      <c r="BB103" s="550"/>
      <c r="BC103" s="550"/>
      <c r="BD103" s="550"/>
      <c r="BE103" s="559"/>
      <c r="BF103" s="550"/>
      <c r="BG103" s="550"/>
      <c r="BH103" s="550"/>
      <c r="BI103" s="550"/>
      <c r="BJ103" s="559"/>
      <c r="BK103" s="550"/>
      <c r="BL103" s="550"/>
      <c r="BM103" s="550"/>
      <c r="BN103" s="550"/>
      <c r="BO103" s="559"/>
      <c r="BP103" s="550"/>
      <c r="BQ103" s="550"/>
      <c r="BR103" s="550"/>
      <c r="BS103" s="550"/>
      <c r="BT103" s="559"/>
      <c r="BU103" s="550"/>
      <c r="BV103" s="550"/>
      <c r="BW103" s="550"/>
      <c r="BX103" s="550"/>
      <c r="BY103" s="559"/>
      <c r="BZ103" s="550"/>
      <c r="CA103" s="550"/>
      <c r="CB103" s="550"/>
      <c r="CC103" s="550"/>
      <c r="CD103" s="559"/>
      <c r="CE103" s="550"/>
      <c r="CF103" s="550"/>
      <c r="CG103" s="550"/>
      <c r="CH103" s="550"/>
      <c r="CI103" s="559"/>
      <c r="CJ103" s="559"/>
      <c r="CK103" s="559"/>
      <c r="CL103" s="559"/>
      <c r="CM103" s="509"/>
      <c r="CN103" s="524"/>
    </row>
    <row r="104" spans="1:92">
      <c r="A104" s="264"/>
      <c r="B104" s="485" t="s">
        <v>53</v>
      </c>
      <c r="C104" s="485"/>
      <c r="D104" s="265"/>
      <c r="E104" s="265"/>
      <c r="F104" s="546"/>
      <c r="G104" s="546"/>
      <c r="H104" s="546"/>
      <c r="I104" s="582">
        <v>1.1410530821917808</v>
      </c>
      <c r="J104" s="582">
        <v>1.3454784374626687</v>
      </c>
      <c r="K104" s="582">
        <v>1.4869037074528659</v>
      </c>
      <c r="L104" s="582">
        <v>1.18945151542899</v>
      </c>
      <c r="M104" s="583">
        <v>1.192225392296719</v>
      </c>
      <c r="N104" s="583">
        <v>1.2422594509253575</v>
      </c>
      <c r="O104" s="583">
        <v>1.2576692373607541</v>
      </c>
      <c r="P104" s="583">
        <v>1.19663993890798</v>
      </c>
      <c r="Q104" s="582">
        <v>1.19663993890798</v>
      </c>
      <c r="R104" s="583">
        <v>1.2346898768917118</v>
      </c>
      <c r="S104" s="583">
        <v>1.2190737999577077</v>
      </c>
      <c r="T104" s="584">
        <v>1.1810211101369124</v>
      </c>
      <c r="U104" s="584">
        <v>1.1212772890192244</v>
      </c>
      <c r="V104" s="582">
        <v>1.1212772890192244</v>
      </c>
      <c r="W104" s="583">
        <f t="shared" ref="W104:BB104" si="108">W19/W39</f>
        <v>1.1330582129681737</v>
      </c>
      <c r="X104" s="583">
        <f t="shared" si="108"/>
        <v>1.2468068882252017</v>
      </c>
      <c r="Y104" s="583">
        <f t="shared" si="108"/>
        <v>1.2907534690701594</v>
      </c>
      <c r="Z104" s="583">
        <f t="shared" si="108"/>
        <v>1.2390846922672278</v>
      </c>
      <c r="AA104" s="582">
        <f t="shared" si="108"/>
        <v>1.2390846922672278</v>
      </c>
      <c r="AB104" s="583">
        <f t="shared" si="108"/>
        <v>1.2532282095852991</v>
      </c>
      <c r="AC104" s="583">
        <f t="shared" si="108"/>
        <v>1.2793589063696895</v>
      </c>
      <c r="AD104" s="583">
        <f t="shared" si="108"/>
        <v>1.2107438016528926</v>
      </c>
      <c r="AE104" s="583">
        <f t="shared" si="108"/>
        <v>1.2634380903314442</v>
      </c>
      <c r="AF104" s="582">
        <f t="shared" si="108"/>
        <v>1.2634380903314442</v>
      </c>
      <c r="AG104" s="583">
        <f t="shared" si="108"/>
        <v>1.219892884468248</v>
      </c>
      <c r="AH104" s="583">
        <f t="shared" si="108"/>
        <v>1.2084369665935137</v>
      </c>
      <c r="AI104" s="583">
        <f t="shared" si="108"/>
        <v>1.2177569622803042</v>
      </c>
      <c r="AJ104" s="583">
        <f t="shared" si="108"/>
        <v>1.2400432232170422</v>
      </c>
      <c r="AK104" s="582">
        <f t="shared" si="108"/>
        <v>1.2400432232170422</v>
      </c>
      <c r="AL104" s="583">
        <f t="shared" si="108"/>
        <v>1.2944980210714088</v>
      </c>
      <c r="AM104" s="583">
        <f t="shared" si="108"/>
        <v>1.2727370631629962</v>
      </c>
      <c r="AN104" s="583">
        <f t="shared" si="108"/>
        <v>1.3037912087912087</v>
      </c>
      <c r="AO104" s="583">
        <f t="shared" si="108"/>
        <v>1.2948138223636465</v>
      </c>
      <c r="AP104" s="582">
        <f t="shared" si="108"/>
        <v>1.2948138223636465</v>
      </c>
      <c r="AQ104" s="583">
        <f t="shared" si="108"/>
        <v>1.3026780931976434</v>
      </c>
      <c r="AR104" s="583">
        <f t="shared" si="108"/>
        <v>1.3005543119070462</v>
      </c>
      <c r="AS104" s="583">
        <f t="shared" si="108"/>
        <v>1.2913863404689092</v>
      </c>
      <c r="AT104" s="583">
        <f t="shared" si="108"/>
        <v>1.3258515677870517</v>
      </c>
      <c r="AU104" s="582">
        <f t="shared" si="108"/>
        <v>1.3258515677870517</v>
      </c>
      <c r="AV104" s="583">
        <f t="shared" si="108"/>
        <v>1.3218968069359271</v>
      </c>
      <c r="AW104" s="583">
        <f t="shared" si="108"/>
        <v>1.3074601761155635</v>
      </c>
      <c r="AX104" s="583">
        <f t="shared" si="108"/>
        <v>1.3169856459330143</v>
      </c>
      <c r="AY104" s="583">
        <f t="shared" si="108"/>
        <v>1.3836484744305972</v>
      </c>
      <c r="AZ104" s="582">
        <f t="shared" si="108"/>
        <v>1.3836484744305972</v>
      </c>
      <c r="BA104" s="583">
        <f t="shared" si="108"/>
        <v>1.519203491543917</v>
      </c>
      <c r="BB104" s="583">
        <f t="shared" si="108"/>
        <v>1.9775678270095489</v>
      </c>
      <c r="BC104" s="583">
        <f t="shared" ref="BC104:BY104" si="109">BC19/BC39</f>
        <v>1.1978300317556327</v>
      </c>
      <c r="BD104" s="583">
        <f t="shared" si="109"/>
        <v>1.2448499117127723</v>
      </c>
      <c r="BE104" s="582">
        <f t="shared" si="109"/>
        <v>1.2448499117127723</v>
      </c>
      <c r="BF104" s="583">
        <f t="shared" si="109"/>
        <v>1.2926548162595859</v>
      </c>
      <c r="BG104" s="583">
        <f t="shared" si="109"/>
        <v>1.2428768779140045</v>
      </c>
      <c r="BH104" s="583">
        <f t="shared" si="109"/>
        <v>1.2479697266040224</v>
      </c>
      <c r="BI104" s="583">
        <f t="shared" si="109"/>
        <v>1.2913157894736842</v>
      </c>
      <c r="BJ104" s="582">
        <f t="shared" si="109"/>
        <v>1.2913157894736842</v>
      </c>
      <c r="BK104" s="583">
        <f t="shared" si="109"/>
        <v>1.3004230081548995</v>
      </c>
      <c r="BL104" s="583">
        <f t="shared" si="109"/>
        <v>1.2182901767365393</v>
      </c>
      <c r="BM104" s="583">
        <f t="shared" si="109"/>
        <v>1.230174000334616</v>
      </c>
      <c r="BN104" s="583">
        <f t="shared" si="109"/>
        <v>1.2997597728761738</v>
      </c>
      <c r="BO104" s="582">
        <f t="shared" si="109"/>
        <v>1.2997597728761738</v>
      </c>
      <c r="BP104" s="583">
        <f t="shared" si="109"/>
        <v>1.164367056628707</v>
      </c>
      <c r="BQ104" s="583">
        <f t="shared" si="109"/>
        <v>1.292469130599688</v>
      </c>
      <c r="BR104" s="583">
        <f>BR19/BR39</f>
        <v>1.3659926548186923</v>
      </c>
      <c r="BS104" s="583">
        <f>BS19/BS39</f>
        <v>1.1807410027411795</v>
      </c>
      <c r="BT104" s="582">
        <f t="shared" si="109"/>
        <v>1.1807410027411795</v>
      </c>
      <c r="BU104" s="583">
        <f>BU19/BU39</f>
        <v>1.3412756419626761</v>
      </c>
      <c r="BV104" s="583">
        <f>BV19/BV39</f>
        <v>1.2608754451607087</v>
      </c>
      <c r="BW104" s="583">
        <f>BW19/BW39</f>
        <v>1.2664921698238765</v>
      </c>
      <c r="BX104" s="583">
        <f t="shared" si="109"/>
        <v>1.3032959006664842</v>
      </c>
      <c r="BY104" s="582">
        <f t="shared" si="109"/>
        <v>1.3032959006664842</v>
      </c>
      <c r="BZ104" s="583">
        <f t="shared" ref="BZ104:CA104" si="110">BZ19/BZ39</f>
        <v>1.2351428812273455</v>
      </c>
      <c r="CA104" s="583">
        <f t="shared" si="110"/>
        <v>1.3725072118399599</v>
      </c>
      <c r="CB104" s="583">
        <f t="shared" ref="CB104" si="111">CB19/CB39</f>
        <v>1.3055170501802051</v>
      </c>
      <c r="CC104" s="583">
        <f t="shared" ref="CC104:CH104" si="112">CC19/CC39</f>
        <v>1.3411100547955932</v>
      </c>
      <c r="CD104" s="582">
        <f t="shared" si="112"/>
        <v>1.3411100547955932</v>
      </c>
      <c r="CE104" s="583">
        <f t="shared" si="112"/>
        <v>1.427602589582033</v>
      </c>
      <c r="CF104" s="583">
        <f t="shared" si="112"/>
        <v>1.4684682107318152</v>
      </c>
      <c r="CG104" s="583">
        <f t="shared" si="112"/>
        <v>1.5266921167146694</v>
      </c>
      <c r="CH104" s="583">
        <f t="shared" si="112"/>
        <v>1.5705032901353932</v>
      </c>
      <c r="CI104" s="582">
        <f t="shared" ref="CI104" si="113">CI19/CI39</f>
        <v>1.5705032901353932</v>
      </c>
      <c r="CJ104" s="582">
        <f>CJ19/CJ39</f>
        <v>1.7537846375982038</v>
      </c>
      <c r="CK104" s="582">
        <f>CK19/CK39</f>
        <v>1.939851136679712</v>
      </c>
      <c r="CL104" s="582">
        <f>CL19/CL39</f>
        <v>2.1355040706595383</v>
      </c>
      <c r="CM104" s="509"/>
      <c r="CN104" s="524"/>
    </row>
    <row r="105" spans="1:92">
      <c r="A105" s="264"/>
      <c r="B105" s="485" t="s">
        <v>349</v>
      </c>
      <c r="C105" s="485"/>
      <c r="D105" s="265"/>
      <c r="E105" s="265"/>
      <c r="F105" s="546"/>
      <c r="G105" s="546"/>
      <c r="H105" s="546"/>
      <c r="I105" s="582">
        <v>0.55575770547945202</v>
      </c>
      <c r="J105" s="582">
        <v>0.67506868952335441</v>
      </c>
      <c r="K105" s="582">
        <v>0.80437808427179547</v>
      </c>
      <c r="L105" s="582">
        <v>0.6235692702133504</v>
      </c>
      <c r="M105" s="583">
        <v>0.63266761768901569</v>
      </c>
      <c r="N105" s="583">
        <v>0.70327164283834753</v>
      </c>
      <c r="O105" s="583">
        <v>0.72005141388174809</v>
      </c>
      <c r="P105" s="583">
        <v>0.65521191294387171</v>
      </c>
      <c r="Q105" s="582">
        <v>0.65521191294387171</v>
      </c>
      <c r="R105" s="583">
        <v>0.66862698972790713</v>
      </c>
      <c r="S105" s="583">
        <v>0.65968844716994435</v>
      </c>
      <c r="T105" s="584">
        <v>0.63667633371551902</v>
      </c>
      <c r="U105" s="584">
        <v>0.61824698598892147</v>
      </c>
      <c r="V105" s="582">
        <v>0.61824698598892147</v>
      </c>
      <c r="W105" s="583">
        <f t="shared" ref="W105:BB105" si="114">(W13+W14+W15)/W39</f>
        <v>0.59682361032951914</v>
      </c>
      <c r="X105" s="583">
        <f t="shared" si="114"/>
        <v>0.67948147677448056</v>
      </c>
      <c r="Y105" s="583">
        <f t="shared" si="114"/>
        <v>0.68778368564388537</v>
      </c>
      <c r="Z105" s="583">
        <f t="shared" si="114"/>
        <v>0.67234350341925297</v>
      </c>
      <c r="AA105" s="582">
        <f t="shared" si="114"/>
        <v>0.67234350341925297</v>
      </c>
      <c r="AB105" s="583">
        <f t="shared" si="114"/>
        <v>0.64930469332008944</v>
      </c>
      <c r="AC105" s="583">
        <f t="shared" si="114"/>
        <v>0.69058982970950444</v>
      </c>
      <c r="AD105" s="583">
        <f t="shared" si="114"/>
        <v>0.63373403456048083</v>
      </c>
      <c r="AE105" s="583">
        <f t="shared" si="114"/>
        <v>0.67250558131547311</v>
      </c>
      <c r="AF105" s="582">
        <f t="shared" si="114"/>
        <v>0.67250558131547311</v>
      </c>
      <c r="AG105" s="583">
        <f t="shared" si="114"/>
        <v>0.64764090793165008</v>
      </c>
      <c r="AH105" s="583">
        <f t="shared" si="114"/>
        <v>0.66057059253840522</v>
      </c>
      <c r="AI105" s="583">
        <f t="shared" si="114"/>
        <v>0.65271692602105047</v>
      </c>
      <c r="AJ105" s="583">
        <f t="shared" si="114"/>
        <v>0.69152001646598749</v>
      </c>
      <c r="AK105" s="582">
        <f t="shared" si="114"/>
        <v>0.69152001646598749</v>
      </c>
      <c r="AL105" s="583">
        <f t="shared" si="114"/>
        <v>0.67277997658732369</v>
      </c>
      <c r="AM105" s="583">
        <f t="shared" si="114"/>
        <v>0.67513865704593179</v>
      </c>
      <c r="AN105" s="583">
        <f t="shared" si="114"/>
        <v>0.71934065934065938</v>
      </c>
      <c r="AO105" s="583">
        <f t="shared" si="114"/>
        <v>0.72115223580639753</v>
      </c>
      <c r="AP105" s="582">
        <f t="shared" si="114"/>
        <v>0.72115223580639753</v>
      </c>
      <c r="AQ105" s="583">
        <f t="shared" si="114"/>
        <v>0.72442420996250667</v>
      </c>
      <c r="AR105" s="583">
        <f t="shared" si="114"/>
        <v>0.73968660057563163</v>
      </c>
      <c r="AS105" s="583">
        <f t="shared" si="114"/>
        <v>0.73710499490316006</v>
      </c>
      <c r="AT105" s="583">
        <f t="shared" si="114"/>
        <v>0.73358899165350777</v>
      </c>
      <c r="AU105" s="582">
        <f t="shared" si="114"/>
        <v>0.73358899165350777</v>
      </c>
      <c r="AV105" s="583">
        <f t="shared" si="114"/>
        <v>0.72425459928103197</v>
      </c>
      <c r="AW105" s="583">
        <f t="shared" si="114"/>
        <v>0.75180567923221531</v>
      </c>
      <c r="AX105" s="583">
        <f t="shared" si="114"/>
        <v>0.77098285486443385</v>
      </c>
      <c r="AY105" s="583">
        <f t="shared" si="114"/>
        <v>0.83293940696175328</v>
      </c>
      <c r="AZ105" s="582">
        <f t="shared" si="114"/>
        <v>0.83293940696175328</v>
      </c>
      <c r="BA105" s="583">
        <f t="shared" si="114"/>
        <v>0.82476813966175666</v>
      </c>
      <c r="BB105" s="583">
        <f t="shared" si="114"/>
        <v>1.3246602334158541</v>
      </c>
      <c r="BC105" s="583">
        <f t="shared" ref="BC105:BY105" si="115">(BC13+BC14+BC15)/BC39</f>
        <v>0.63707848177831539</v>
      </c>
      <c r="BD105" s="583">
        <f t="shared" si="115"/>
        <v>0.66921718658034135</v>
      </c>
      <c r="BE105" s="582">
        <f t="shared" si="115"/>
        <v>0.66921718658034135</v>
      </c>
      <c r="BF105" s="583">
        <f t="shared" si="115"/>
        <v>0.68965822953145084</v>
      </c>
      <c r="BG105" s="583">
        <f t="shared" si="115"/>
        <v>0.69361940942842337</v>
      </c>
      <c r="BH105" s="583">
        <f t="shared" si="115"/>
        <v>0.66992644245078448</v>
      </c>
      <c r="BI105" s="583">
        <f t="shared" si="115"/>
        <v>0.70513157894736844</v>
      </c>
      <c r="BJ105" s="582">
        <f t="shared" si="115"/>
        <v>0.70513157894736844</v>
      </c>
      <c r="BK105" s="583">
        <f t="shared" si="115"/>
        <v>0.69835593737734947</v>
      </c>
      <c r="BL105" s="583">
        <f t="shared" si="115"/>
        <v>0.68873818331278258</v>
      </c>
      <c r="BM105" s="583">
        <f t="shared" si="115"/>
        <v>0.67404216161954156</v>
      </c>
      <c r="BN105" s="583">
        <f t="shared" si="115"/>
        <v>0.72295260974011788</v>
      </c>
      <c r="BO105" s="582">
        <f t="shared" si="115"/>
        <v>0.72295260974011788</v>
      </c>
      <c r="BP105" s="583">
        <f t="shared" si="115"/>
        <v>0.65268762874577324</v>
      </c>
      <c r="BQ105" s="583">
        <f t="shared" si="115"/>
        <v>0.73534493657549838</v>
      </c>
      <c r="BR105" s="583">
        <f>(BR13+BR14+BR15)/BR39</f>
        <v>0.68065346785427838</v>
      </c>
      <c r="BS105" s="583">
        <f>(BS13+BS14+BS15)/BS39</f>
        <v>0.78380051286585906</v>
      </c>
      <c r="BT105" s="582">
        <f t="shared" si="115"/>
        <v>0.78380051286585906</v>
      </c>
      <c r="BU105" s="583">
        <f>(BU13+BU14+BU15)/BU39</f>
        <v>0.88261950007308876</v>
      </c>
      <c r="BV105" s="583">
        <f>(BV13+BV14+BV15)/BV39</f>
        <v>0.82626335482125957</v>
      </c>
      <c r="BW105" s="583">
        <f>(BW13+BW14+BW15)/BW39</f>
        <v>0.82547358147375893</v>
      </c>
      <c r="BX105" s="583">
        <f t="shared" si="115"/>
        <v>0.85081712772756324</v>
      </c>
      <c r="BY105" s="582">
        <f t="shared" si="115"/>
        <v>0.85081712772756324</v>
      </c>
      <c r="BZ105" s="583">
        <f t="shared" ref="BZ105:CA105" si="116">(BZ13+BZ14+BZ15)/BZ39</f>
        <v>0.80064064739104779</v>
      </c>
      <c r="CA105" s="583">
        <f t="shared" si="116"/>
        <v>0.91734604289476984</v>
      </c>
      <c r="CB105" s="583">
        <f t="shared" ref="CB105" si="117">(CB13+CB14+CB15)/CB39</f>
        <v>0.85749930690324372</v>
      </c>
      <c r="CC105" s="583">
        <f t="shared" ref="CC105:CH105" si="118">(CC13+CC14+CC15)/CC39</f>
        <v>0.89106520529802191</v>
      </c>
      <c r="CD105" s="582">
        <f t="shared" si="118"/>
        <v>0.89106520529802191</v>
      </c>
      <c r="CE105" s="583">
        <f t="shared" si="118"/>
        <v>0.95441426227847659</v>
      </c>
      <c r="CF105" s="583">
        <f t="shared" si="118"/>
        <v>1.0115554090461758</v>
      </c>
      <c r="CG105" s="583">
        <f t="shared" si="118"/>
        <v>1.0603124486188842</v>
      </c>
      <c r="CH105" s="583">
        <f t="shared" si="118"/>
        <v>1.1339765837371945</v>
      </c>
      <c r="CI105" s="582">
        <f t="shared" ref="CI105" si="119">(CI13+CI14+CI15)/CI39</f>
        <v>1.1339765837371945</v>
      </c>
      <c r="CJ105" s="582">
        <f>(CJ13+CJ14+CJ15)/CJ39</f>
        <v>1.3279731051450687</v>
      </c>
      <c r="CK105" s="582">
        <f>(CK13+CK14+CK15)/CK39</f>
        <v>1.5116071512979889</v>
      </c>
      <c r="CL105" s="582">
        <f>(CL13+CL14+CL15)/CL39</f>
        <v>1.7058885400233044</v>
      </c>
      <c r="CM105" s="509"/>
      <c r="CN105" s="524"/>
    </row>
    <row r="106" spans="1:92">
      <c r="A106" s="264"/>
      <c r="B106" s="485"/>
      <c r="C106" s="485"/>
      <c r="D106" s="265"/>
      <c r="E106" s="265"/>
      <c r="F106" s="546"/>
      <c r="G106" s="546"/>
      <c r="H106" s="546"/>
      <c r="I106" s="559"/>
      <c r="J106" s="559"/>
      <c r="K106" s="559"/>
      <c r="L106" s="559"/>
      <c r="M106" s="550"/>
      <c r="N106" s="550"/>
      <c r="O106" s="550"/>
      <c r="P106" s="550"/>
      <c r="Q106" s="559"/>
      <c r="R106" s="550"/>
      <c r="S106" s="550"/>
      <c r="T106" s="560"/>
      <c r="U106" s="560"/>
      <c r="V106" s="559"/>
      <c r="W106" s="550"/>
      <c r="X106" s="550"/>
      <c r="Y106" s="550"/>
      <c r="Z106" s="550"/>
      <c r="AA106" s="559"/>
      <c r="AB106" s="550"/>
      <c r="AC106" s="550"/>
      <c r="AD106" s="550"/>
      <c r="AE106" s="550"/>
      <c r="AF106" s="559"/>
      <c r="AG106" s="550"/>
      <c r="AH106" s="550"/>
      <c r="AI106" s="550"/>
      <c r="AJ106" s="550"/>
      <c r="AK106" s="559"/>
      <c r="AL106" s="550"/>
      <c r="AM106" s="550"/>
      <c r="AN106" s="550"/>
      <c r="AO106" s="550"/>
      <c r="AP106" s="559"/>
      <c r="AQ106" s="550"/>
      <c r="AR106" s="550"/>
      <c r="AS106" s="550"/>
      <c r="AT106" s="550"/>
      <c r="AU106" s="559"/>
      <c r="AV106" s="550"/>
      <c r="AW106" s="550"/>
      <c r="AX106" s="550"/>
      <c r="AY106" s="550"/>
      <c r="AZ106" s="559"/>
      <c r="BA106" s="550"/>
      <c r="BB106" s="550"/>
      <c r="BC106" s="550"/>
      <c r="BD106" s="550"/>
      <c r="BE106" s="559"/>
      <c r="BF106" s="550"/>
      <c r="BG106" s="550"/>
      <c r="BH106" s="550"/>
      <c r="BI106" s="550"/>
      <c r="BJ106" s="559"/>
      <c r="BK106" s="550"/>
      <c r="BL106" s="550"/>
      <c r="BM106" s="550"/>
      <c r="BN106" s="550"/>
      <c r="BO106" s="559"/>
      <c r="BP106" s="550"/>
      <c r="BQ106" s="550"/>
      <c r="BR106" s="550"/>
      <c r="BS106" s="550"/>
      <c r="BT106" s="559"/>
      <c r="BU106" s="550"/>
      <c r="BV106" s="550"/>
      <c r="BW106" s="550"/>
      <c r="BX106" s="550"/>
      <c r="BY106" s="559"/>
      <c r="BZ106" s="550"/>
      <c r="CA106" s="550"/>
      <c r="CB106" s="550"/>
      <c r="CC106" s="550"/>
      <c r="CD106" s="559"/>
      <c r="CE106" s="550"/>
      <c r="CF106" s="550"/>
      <c r="CG106" s="550"/>
      <c r="CH106" s="550"/>
      <c r="CI106" s="559"/>
      <c r="CJ106" s="559"/>
      <c r="CK106" s="559"/>
      <c r="CL106" s="559"/>
      <c r="CM106" s="509"/>
      <c r="CN106" s="524"/>
    </row>
    <row r="107" spans="1:92">
      <c r="A107" s="485"/>
      <c r="B107" s="485" t="s">
        <v>348</v>
      </c>
      <c r="C107" s="485"/>
      <c r="D107" s="485"/>
      <c r="E107" s="485"/>
      <c r="F107" s="485"/>
      <c r="G107" s="485"/>
      <c r="H107" s="485"/>
      <c r="I107" s="565">
        <v>1318</v>
      </c>
      <c r="J107" s="565">
        <v>2892</v>
      </c>
      <c r="K107" s="565">
        <v>3848</v>
      </c>
      <c r="L107" s="565">
        <v>2069</v>
      </c>
      <c r="M107" s="485">
        <v>2156</v>
      </c>
      <c r="N107" s="485">
        <v>2762</v>
      </c>
      <c r="O107" s="485">
        <v>3007</v>
      </c>
      <c r="P107" s="485">
        <v>2575</v>
      </c>
      <c r="Q107" s="565">
        <v>2575</v>
      </c>
      <c r="R107" s="485">
        <v>2993</v>
      </c>
      <c r="S107" s="485">
        <v>3108</v>
      </c>
      <c r="T107" s="485">
        <v>2684</v>
      </c>
      <c r="U107" s="485">
        <v>1861</v>
      </c>
      <c r="V107" s="565">
        <v>1861</v>
      </c>
      <c r="W107" s="485">
        <f t="shared" ref="W107:BB107" si="120">W19-W39</f>
        <v>2128</v>
      </c>
      <c r="X107" s="485">
        <f t="shared" si="120"/>
        <v>3884</v>
      </c>
      <c r="Y107" s="485">
        <f t="shared" si="120"/>
        <v>4484</v>
      </c>
      <c r="Z107" s="485">
        <f t="shared" si="120"/>
        <v>3636</v>
      </c>
      <c r="AA107" s="565">
        <f t="shared" si="120"/>
        <v>3636</v>
      </c>
      <c r="AB107" s="485">
        <f t="shared" si="120"/>
        <v>4079</v>
      </c>
      <c r="AC107" s="485">
        <f t="shared" si="120"/>
        <v>4741</v>
      </c>
      <c r="AD107" s="485">
        <f t="shared" si="120"/>
        <v>3927</v>
      </c>
      <c r="AE107" s="485">
        <f t="shared" si="120"/>
        <v>4602</v>
      </c>
      <c r="AF107" s="565">
        <f t="shared" si="120"/>
        <v>4602</v>
      </c>
      <c r="AG107" s="485">
        <f t="shared" si="120"/>
        <v>4311</v>
      </c>
      <c r="AH107" s="485">
        <f t="shared" si="120"/>
        <v>4274</v>
      </c>
      <c r="AI107" s="485">
        <f t="shared" si="120"/>
        <v>4324</v>
      </c>
      <c r="AJ107" s="485">
        <f t="shared" si="120"/>
        <v>4665</v>
      </c>
      <c r="AK107" s="565">
        <f t="shared" si="120"/>
        <v>4665</v>
      </c>
      <c r="AL107" s="485">
        <f t="shared" si="120"/>
        <v>5283</v>
      </c>
      <c r="AM107" s="485">
        <f t="shared" si="120"/>
        <v>5065</v>
      </c>
      <c r="AN107" s="485">
        <f t="shared" si="120"/>
        <v>5529</v>
      </c>
      <c r="AO107" s="485">
        <f t="shared" si="120"/>
        <v>5281</v>
      </c>
      <c r="AP107" s="565">
        <f t="shared" si="120"/>
        <v>5281</v>
      </c>
      <c r="AQ107" s="485">
        <f t="shared" si="120"/>
        <v>5651</v>
      </c>
      <c r="AR107" s="485">
        <f t="shared" si="120"/>
        <v>5639</v>
      </c>
      <c r="AS107" s="485">
        <f t="shared" si="120"/>
        <v>5717</v>
      </c>
      <c r="AT107" s="485">
        <f t="shared" si="120"/>
        <v>5778</v>
      </c>
      <c r="AU107" s="565">
        <f t="shared" si="120"/>
        <v>5778</v>
      </c>
      <c r="AV107" s="485">
        <f t="shared" si="120"/>
        <v>6089</v>
      </c>
      <c r="AW107" s="485">
        <f t="shared" si="120"/>
        <v>6215</v>
      </c>
      <c r="AX107" s="485">
        <f t="shared" si="120"/>
        <v>6360</v>
      </c>
      <c r="AY107" s="485">
        <f t="shared" si="120"/>
        <v>7142</v>
      </c>
      <c r="AZ107" s="565">
        <f t="shared" si="120"/>
        <v>7142</v>
      </c>
      <c r="BA107" s="485">
        <f t="shared" si="120"/>
        <v>9517</v>
      </c>
      <c r="BB107" s="485">
        <f t="shared" si="120"/>
        <v>19349</v>
      </c>
      <c r="BC107" s="485">
        <f t="shared" ref="BC107:BY107" si="121">BC19-BC39</f>
        <v>5233</v>
      </c>
      <c r="BD107" s="485">
        <f t="shared" si="121"/>
        <v>5824</v>
      </c>
      <c r="BE107" s="565">
        <f t="shared" si="121"/>
        <v>5824</v>
      </c>
      <c r="BF107" s="485">
        <f t="shared" si="121"/>
        <v>6602</v>
      </c>
      <c r="BG107" s="485">
        <f t="shared" si="121"/>
        <v>5626</v>
      </c>
      <c r="BH107" s="485">
        <f t="shared" si="121"/>
        <v>5832</v>
      </c>
      <c r="BI107" s="485">
        <f t="shared" si="121"/>
        <v>6642</v>
      </c>
      <c r="BJ107" s="565">
        <f t="shared" si="121"/>
        <v>6642</v>
      </c>
      <c r="BK107" s="485">
        <f t="shared" si="121"/>
        <v>6889</v>
      </c>
      <c r="BL107" s="485">
        <f t="shared" si="121"/>
        <v>5311</v>
      </c>
      <c r="BM107" s="485">
        <f t="shared" si="121"/>
        <v>5503</v>
      </c>
      <c r="BN107" s="485">
        <f t="shared" si="121"/>
        <v>6863</v>
      </c>
      <c r="BO107" s="565">
        <f t="shared" si="121"/>
        <v>6863</v>
      </c>
      <c r="BP107" s="485">
        <f t="shared" si="121"/>
        <v>4229</v>
      </c>
      <c r="BQ107" s="485">
        <f t="shared" si="121"/>
        <v>6940</v>
      </c>
      <c r="BR107" s="485">
        <f>BR19-BR39</f>
        <v>8670</v>
      </c>
      <c r="BS107" s="485">
        <f>BS19-BS39</f>
        <v>4088</v>
      </c>
      <c r="BT107" s="565">
        <f t="shared" si="121"/>
        <v>4088</v>
      </c>
      <c r="BU107" s="485">
        <f>BU19-BU39</f>
        <v>7004</v>
      </c>
      <c r="BV107" s="485">
        <f>BV19-BV39</f>
        <v>5787</v>
      </c>
      <c r="BW107" s="485">
        <f>BW19-BW39</f>
        <v>6007</v>
      </c>
      <c r="BX107" s="485">
        <f t="shared" si="121"/>
        <v>6644</v>
      </c>
      <c r="BY107" s="565">
        <f t="shared" si="121"/>
        <v>6644</v>
      </c>
      <c r="BZ107" s="485">
        <f t="shared" ref="BZ107:CA107" si="122">BZ19-BZ39</f>
        <v>5579</v>
      </c>
      <c r="CA107" s="485">
        <f t="shared" si="122"/>
        <v>8910</v>
      </c>
      <c r="CB107" s="485">
        <f t="shared" ref="CB107" si="123">CB19-CB39</f>
        <v>7714</v>
      </c>
      <c r="CC107" s="485">
        <f t="shared" ref="CC107:CH107" si="124">CC19-CC39</f>
        <v>8297.7360034313933</v>
      </c>
      <c r="CD107" s="565">
        <f t="shared" si="124"/>
        <v>8297.7360034313933</v>
      </c>
      <c r="CE107" s="485">
        <f t="shared" si="124"/>
        <v>10017.641516401309</v>
      </c>
      <c r="CF107" s="485">
        <f t="shared" si="124"/>
        <v>12033.844542181178</v>
      </c>
      <c r="CG107" s="485">
        <f t="shared" si="124"/>
        <v>13052.649367274622</v>
      </c>
      <c r="CH107" s="485">
        <f t="shared" si="124"/>
        <v>13852.918481436711</v>
      </c>
      <c r="CI107" s="565">
        <f t="shared" ref="CI107" si="125">CI19-CI39</f>
        <v>13852.918481436711</v>
      </c>
      <c r="CJ107" s="565">
        <f>CJ19-CJ39</f>
        <v>18131.513026612094</v>
      </c>
      <c r="CK107" s="565">
        <f>CK19-CK39</f>
        <v>22961.285632837233</v>
      </c>
      <c r="CL107" s="565">
        <f>CL19-CL39</f>
        <v>28018.024699771486</v>
      </c>
      <c r="CM107" s="509"/>
      <c r="CN107" s="530"/>
    </row>
    <row r="108" spans="1:92">
      <c r="A108" s="264"/>
      <c r="B108" s="485" t="s">
        <v>347</v>
      </c>
      <c r="C108" s="485"/>
      <c r="D108" s="265"/>
      <c r="E108" s="265"/>
      <c r="F108" s="581"/>
      <c r="G108" s="581"/>
      <c r="H108" s="581"/>
      <c r="I108" s="577">
        <v>61.032426738893278</v>
      </c>
      <c r="J108" s="577">
        <v>53.552174068896299</v>
      </c>
      <c r="K108" s="577">
        <v>55.334786615624559</v>
      </c>
      <c r="L108" s="577">
        <v>61.005832312947085</v>
      </c>
      <c r="M108" s="580">
        <v>56.622281980106408</v>
      </c>
      <c r="N108" s="580">
        <v>56.900852213676991</v>
      </c>
      <c r="O108" s="580">
        <v>59.240684227433341</v>
      </c>
      <c r="P108" s="580">
        <v>58.57326184183777</v>
      </c>
      <c r="Q108" s="577">
        <v>61.556282547736679</v>
      </c>
      <c r="R108" s="580">
        <v>63.672265334325502</v>
      </c>
      <c r="S108" s="578">
        <v>60.336935078909612</v>
      </c>
      <c r="T108" s="579">
        <v>61.402338376891329</v>
      </c>
      <c r="U108" s="579">
        <v>58.667081076280965</v>
      </c>
      <c r="V108" s="577">
        <v>61.851375073142187</v>
      </c>
      <c r="W108" s="578">
        <f t="shared" ref="W108:BB108" si="126">365*W79</f>
        <v>61.274611398963728</v>
      </c>
      <c r="X108" s="578">
        <f t="shared" si="126"/>
        <v>58.110119047619051</v>
      </c>
      <c r="Y108" s="578">
        <f t="shared" si="126"/>
        <v>57.714893529556846</v>
      </c>
      <c r="Z108" s="578">
        <f t="shared" si="126"/>
        <v>54.798525846562917</v>
      </c>
      <c r="AA108" s="577">
        <f t="shared" si="126"/>
        <v>58.601162474649271</v>
      </c>
      <c r="AB108" s="578">
        <f t="shared" si="126"/>
        <v>59.292433621110924</v>
      </c>
      <c r="AC108" s="578">
        <f t="shared" si="126"/>
        <v>55.311780782508635</v>
      </c>
      <c r="AD108" s="578">
        <f t="shared" si="126"/>
        <v>59.233841881266684</v>
      </c>
      <c r="AE108" s="578">
        <f t="shared" si="126"/>
        <v>54.846744596982461</v>
      </c>
      <c r="AF108" s="577">
        <f t="shared" si="126"/>
        <v>58.950309538158109</v>
      </c>
      <c r="AG108" s="578">
        <f t="shared" si="126"/>
        <v>62.485133973348624</v>
      </c>
      <c r="AH108" s="578">
        <f t="shared" si="126"/>
        <v>57.821045534370299</v>
      </c>
      <c r="AI108" s="578">
        <f t="shared" si="126"/>
        <v>56.534471329134902</v>
      </c>
      <c r="AJ108" s="578">
        <f t="shared" si="126"/>
        <v>56.294515910629656</v>
      </c>
      <c r="AK108" s="577">
        <f t="shared" si="126"/>
        <v>55.656743143062734</v>
      </c>
      <c r="AL108" s="578">
        <f t="shared" si="126"/>
        <v>65.802627264529875</v>
      </c>
      <c r="AM108" s="578">
        <f t="shared" si="126"/>
        <v>59.543070444104139</v>
      </c>
      <c r="AN108" s="578">
        <f t="shared" si="126"/>
        <v>58.540608174717526</v>
      </c>
      <c r="AO108" s="578">
        <f t="shared" si="126"/>
        <v>55.282656127047716</v>
      </c>
      <c r="AP108" s="577">
        <f t="shared" si="126"/>
        <v>58.963948497854076</v>
      </c>
      <c r="AQ108" s="578">
        <f t="shared" si="126"/>
        <v>66.216881229235881</v>
      </c>
      <c r="AR108" s="578">
        <f t="shared" si="126"/>
        <v>58.715494131285318</v>
      </c>
      <c r="AS108" s="578">
        <f t="shared" si="126"/>
        <v>58.49513582966226</v>
      </c>
      <c r="AT108" s="578">
        <f t="shared" si="126"/>
        <v>54.790517357373524</v>
      </c>
      <c r="AU108" s="577">
        <f t="shared" si="126"/>
        <v>59.964381695688985</v>
      </c>
      <c r="AV108" s="578">
        <f t="shared" si="126"/>
        <v>66.675215024066915</v>
      </c>
      <c r="AW108" s="578">
        <f t="shared" si="126"/>
        <v>61.810854240099523</v>
      </c>
      <c r="AX108" s="578">
        <f t="shared" si="126"/>
        <v>60.916666666666664</v>
      </c>
      <c r="AY108" s="578">
        <f t="shared" si="126"/>
        <v>60.58791820268484</v>
      </c>
      <c r="AZ108" s="577">
        <f t="shared" si="126"/>
        <v>62.493991462495963</v>
      </c>
      <c r="BA108" s="578">
        <f t="shared" si="126"/>
        <v>64.917143202319593</v>
      </c>
      <c r="BB108" s="578">
        <f t="shared" si="126"/>
        <v>63.036322155428401</v>
      </c>
      <c r="BC108" s="578">
        <f t="shared" ref="BC108:BY108" si="127">365*BC79</f>
        <v>64.363947613349282</v>
      </c>
      <c r="BD108" s="578">
        <f t="shared" si="127"/>
        <v>61.593611263151494</v>
      </c>
      <c r="BE108" s="577">
        <f t="shared" si="127"/>
        <v>70.20057877590628</v>
      </c>
      <c r="BF108" s="578">
        <f t="shared" si="127"/>
        <v>68.38521772345301</v>
      </c>
      <c r="BG108" s="578">
        <f t="shared" si="127"/>
        <v>63.611614394602022</v>
      </c>
      <c r="BH108" s="578">
        <f t="shared" si="127"/>
        <v>65.713927693700683</v>
      </c>
      <c r="BI108" s="578">
        <f t="shared" si="127"/>
        <v>62.386926427591149</v>
      </c>
      <c r="BJ108" s="577">
        <f t="shared" si="127"/>
        <v>66.780091335866899</v>
      </c>
      <c r="BK108" s="578">
        <f t="shared" si="127"/>
        <v>71.39716853170566</v>
      </c>
      <c r="BL108" s="578">
        <f t="shared" si="127"/>
        <v>62.607978011750333</v>
      </c>
      <c r="BM108" s="578">
        <f t="shared" si="127"/>
        <v>62.534017812963874</v>
      </c>
      <c r="BN108" s="578">
        <f t="shared" si="127"/>
        <v>60.759958225464814</v>
      </c>
      <c r="BO108" s="577">
        <f t="shared" si="127"/>
        <v>63.451689708141323</v>
      </c>
      <c r="BP108" s="578">
        <f t="shared" si="127"/>
        <v>78.864114114114116</v>
      </c>
      <c r="BQ108" s="578">
        <f t="shared" si="127"/>
        <v>71.499965979451588</v>
      </c>
      <c r="BR108" s="578">
        <f>365*BR79</f>
        <v>70.462630548302883</v>
      </c>
      <c r="BS108" s="578">
        <f>365*BS79</f>
        <v>67.978059440559434</v>
      </c>
      <c r="BT108" s="577">
        <f t="shared" si="127"/>
        <v>69.385652707212529</v>
      </c>
      <c r="BU108" s="578">
        <f>365*BU79</f>
        <v>74.457868533353306</v>
      </c>
      <c r="BV108" s="578">
        <f>365*BV79</f>
        <v>70.820895522388057</v>
      </c>
      <c r="BW108" s="578">
        <f>365*BW79</f>
        <v>73.106799498397649</v>
      </c>
      <c r="BX108" s="578">
        <f t="shared" si="127"/>
        <v>71.467443208950129</v>
      </c>
      <c r="BY108" s="577">
        <f t="shared" si="127"/>
        <v>73.205314094053534</v>
      </c>
      <c r="BZ108" s="578">
        <f t="shared" ref="BZ108:CA108" si="128">365*BZ79</f>
        <v>78.204849800941005</v>
      </c>
      <c r="CA108" s="578">
        <f t="shared" si="128"/>
        <v>75.227503272251312</v>
      </c>
      <c r="CB108" s="578">
        <f t="shared" ref="CB108" si="129">365*CB79</f>
        <v>79.533262514938258</v>
      </c>
      <c r="CC108" s="578">
        <f t="shared" ref="CC108:CH108" si="130">365*CC79</f>
        <v>71.467443208950129</v>
      </c>
      <c r="CD108" s="577">
        <f t="shared" si="130"/>
        <v>73.745445115108893</v>
      </c>
      <c r="CE108" s="578">
        <f t="shared" si="130"/>
        <v>73</v>
      </c>
      <c r="CF108" s="578">
        <f t="shared" si="130"/>
        <v>75.227503272251312</v>
      </c>
      <c r="CG108" s="578">
        <f t="shared" si="130"/>
        <v>73.106799498397649</v>
      </c>
      <c r="CH108" s="578">
        <f t="shared" si="130"/>
        <v>71.467443208950129</v>
      </c>
      <c r="CI108" s="577">
        <f t="shared" ref="CI108" si="131">365*CI79</f>
        <v>72.570107800907408</v>
      </c>
      <c r="CJ108" s="577">
        <f>365*CJ79</f>
        <v>68.941602410862032</v>
      </c>
      <c r="CK108" s="577">
        <f>365*CK79</f>
        <v>65.494522290318912</v>
      </c>
      <c r="CL108" s="577">
        <f>365*CL79</f>
        <v>62.219796175802969</v>
      </c>
      <c r="CM108" s="509"/>
      <c r="CN108" s="524"/>
    </row>
    <row r="109" spans="1:92">
      <c r="A109" s="264"/>
      <c r="B109" s="485" t="s">
        <v>346</v>
      </c>
      <c r="C109" s="485"/>
      <c r="D109" s="265"/>
      <c r="E109" s="265"/>
      <c r="F109" s="581"/>
      <c r="G109" s="581"/>
      <c r="H109" s="581"/>
      <c r="I109" s="577">
        <v>45.567058693611614</v>
      </c>
      <c r="J109" s="577">
        <v>41.024919195078724</v>
      </c>
      <c r="K109" s="577">
        <v>39.347277966450548</v>
      </c>
      <c r="L109" s="577">
        <v>43.916348058408957</v>
      </c>
      <c r="M109" s="580">
        <v>45.389780475636123</v>
      </c>
      <c r="N109" s="580">
        <v>44.362916418798335</v>
      </c>
      <c r="O109" s="580">
        <v>43.04245283018868</v>
      </c>
      <c r="P109" s="580">
        <v>45.927675223536198</v>
      </c>
      <c r="Q109" s="577">
        <v>48.540563197805128</v>
      </c>
      <c r="R109" s="580">
        <v>49.897366823493698</v>
      </c>
      <c r="S109" s="578">
        <v>46.784309299625953</v>
      </c>
      <c r="T109" s="579">
        <v>44.033569367951742</v>
      </c>
      <c r="U109" s="579">
        <v>43.664662407616184</v>
      </c>
      <c r="V109" s="577">
        <v>46.552702747821442</v>
      </c>
      <c r="W109" s="578">
        <f t="shared" ref="W109:BB109" si="132">365*W86</f>
        <v>49.627843216896828</v>
      </c>
      <c r="X109" s="578">
        <f t="shared" si="132"/>
        <v>46.487263763352509</v>
      </c>
      <c r="Y109" s="578">
        <f t="shared" si="132"/>
        <v>45.347254741278391</v>
      </c>
      <c r="Z109" s="578">
        <f t="shared" si="132"/>
        <v>42.008504319654428</v>
      </c>
      <c r="AA109" s="577">
        <f t="shared" si="132"/>
        <v>46.162369834159072</v>
      </c>
      <c r="AB109" s="578">
        <f t="shared" si="132"/>
        <v>50.09434503326451</v>
      </c>
      <c r="AC109" s="578">
        <f t="shared" si="132"/>
        <v>47.236601705237511</v>
      </c>
      <c r="AD109" s="578">
        <f t="shared" si="132"/>
        <v>46.531890368852466</v>
      </c>
      <c r="AE109" s="578">
        <f t="shared" si="132"/>
        <v>44.306915250983785</v>
      </c>
      <c r="AF109" s="577">
        <f t="shared" si="132"/>
        <v>47.653745903120083</v>
      </c>
      <c r="AG109" s="578">
        <f t="shared" si="132"/>
        <v>50.62493698961589</v>
      </c>
      <c r="AH109" s="578">
        <f t="shared" si="132"/>
        <v>44.995689655172413</v>
      </c>
      <c r="AI109" s="578">
        <f t="shared" si="132"/>
        <v>43.900461871995475</v>
      </c>
      <c r="AJ109" s="578">
        <f t="shared" si="132"/>
        <v>45.511786600496279</v>
      </c>
      <c r="AK109" s="577">
        <f t="shared" si="132"/>
        <v>45.077275734946589</v>
      </c>
      <c r="AL109" s="578">
        <f t="shared" si="132"/>
        <v>49.901857743438242</v>
      </c>
      <c r="AM109" s="578">
        <f t="shared" si="132"/>
        <v>45.134303075930305</v>
      </c>
      <c r="AN109" s="578">
        <f t="shared" si="132"/>
        <v>42.461922268907564</v>
      </c>
      <c r="AO109" s="578">
        <f t="shared" si="132"/>
        <v>42.353014823717949</v>
      </c>
      <c r="AP109" s="577">
        <f t="shared" si="132"/>
        <v>44.980719623434304</v>
      </c>
      <c r="AQ109" s="578">
        <f t="shared" si="132"/>
        <v>52.122694824509225</v>
      </c>
      <c r="AR109" s="578">
        <f t="shared" si="132"/>
        <v>47.690290409260029</v>
      </c>
      <c r="AS109" s="578">
        <f t="shared" si="132"/>
        <v>48.57533512064343</v>
      </c>
      <c r="AT109" s="578">
        <f t="shared" si="132"/>
        <v>44.597024033045436</v>
      </c>
      <c r="AU109" s="577">
        <f t="shared" si="132"/>
        <v>49.928792895054919</v>
      </c>
      <c r="AV109" s="578">
        <f t="shared" si="132"/>
        <v>58.193045495699415</v>
      </c>
      <c r="AW109" s="578">
        <f t="shared" si="132"/>
        <v>51.138133254484529</v>
      </c>
      <c r="AX109" s="578">
        <f t="shared" si="132"/>
        <v>51.001223287397643</v>
      </c>
      <c r="AY109" s="578">
        <f t="shared" si="132"/>
        <v>50.273244312561815</v>
      </c>
      <c r="AZ109" s="577">
        <f t="shared" si="132"/>
        <v>51.988185956119267</v>
      </c>
      <c r="BA109" s="578">
        <f t="shared" si="132"/>
        <v>55.968786295005806</v>
      </c>
      <c r="BB109" s="578">
        <f t="shared" si="132"/>
        <v>54.509294838508673</v>
      </c>
      <c r="BC109" s="578">
        <f t="shared" ref="BC109:BY109" si="133">365*BC86</f>
        <v>53.089027502126456</v>
      </c>
      <c r="BD109" s="578">
        <f t="shared" si="133"/>
        <v>49.693348293674319</v>
      </c>
      <c r="BE109" s="577">
        <f t="shared" si="133"/>
        <v>57.774372984813802</v>
      </c>
      <c r="BF109" s="578">
        <f t="shared" si="133"/>
        <v>56.383594451651533</v>
      </c>
      <c r="BG109" s="578">
        <f t="shared" si="133"/>
        <v>54.562786826239538</v>
      </c>
      <c r="BH109" s="578">
        <f t="shared" si="133"/>
        <v>57.229844814534445</v>
      </c>
      <c r="BI109" s="578">
        <f t="shared" si="133"/>
        <v>53.869829632141041</v>
      </c>
      <c r="BJ109" s="577">
        <f t="shared" si="133"/>
        <v>58.441954022988504</v>
      </c>
      <c r="BK109" s="578">
        <f t="shared" si="133"/>
        <v>62.026435488604122</v>
      </c>
      <c r="BL109" s="578">
        <f t="shared" si="133"/>
        <v>53.426241675359066</v>
      </c>
      <c r="BM109" s="578">
        <f t="shared" si="133"/>
        <v>58.540244013475373</v>
      </c>
      <c r="BN109" s="578">
        <f t="shared" si="133"/>
        <v>53.553933956701201</v>
      </c>
      <c r="BO109" s="577">
        <f t="shared" si="133"/>
        <v>55.840030742204654</v>
      </c>
      <c r="BP109" s="578">
        <f t="shared" si="133"/>
        <v>69.872778786102899</v>
      </c>
      <c r="BQ109" s="578">
        <f t="shared" si="133"/>
        <v>65.179172185117366</v>
      </c>
      <c r="BR109" s="578">
        <f>365*BR86</f>
        <v>62.04490551857419</v>
      </c>
      <c r="BS109" s="578">
        <f>365*BS86</f>
        <v>61.558605632420772</v>
      </c>
      <c r="BT109" s="577">
        <f t="shared" si="133"/>
        <v>65.174151111491241</v>
      </c>
      <c r="BU109" s="578">
        <f>365*BU86</f>
        <v>65.338893121462775</v>
      </c>
      <c r="BV109" s="578">
        <f>365*BV86</f>
        <v>64.490338635698251</v>
      </c>
      <c r="BW109" s="578">
        <f>365*BW86</f>
        <v>68.877716839325615</v>
      </c>
      <c r="BX109" s="578">
        <f t="shared" si="133"/>
        <v>66.832118038563181</v>
      </c>
      <c r="BY109" s="577">
        <f t="shared" si="133"/>
        <v>69.150210137222146</v>
      </c>
      <c r="BZ109" s="578">
        <f t="shared" ref="BZ109:CA109" si="134">365*BZ86</f>
        <v>71.74072138003136</v>
      </c>
      <c r="CA109" s="578">
        <f t="shared" si="134"/>
        <v>73.721507613733095</v>
      </c>
      <c r="CB109" s="578">
        <f t="shared" ref="CB109" si="135">365*CB86</f>
        <v>78.205595238095242</v>
      </c>
      <c r="CC109" s="578">
        <f t="shared" ref="CC109:CH109" si="136">365*CC86</f>
        <v>66.832118038563181</v>
      </c>
      <c r="CD109" s="577">
        <f t="shared" si="136"/>
        <v>69.553454164515685</v>
      </c>
      <c r="CE109" s="578">
        <f t="shared" si="136"/>
        <v>70.305906952430732</v>
      </c>
      <c r="CF109" s="578">
        <f t="shared" si="136"/>
        <v>73.721507613733095</v>
      </c>
      <c r="CG109" s="578">
        <f t="shared" si="136"/>
        <v>73.721507613733095</v>
      </c>
      <c r="CH109" s="578">
        <f t="shared" si="136"/>
        <v>66.832118038563181</v>
      </c>
      <c r="CI109" s="577">
        <f t="shared" ref="CI109" si="137">365*CI86</f>
        <v>68.011837185122005</v>
      </c>
      <c r="CJ109" s="577">
        <f>365*CJ86</f>
        <v>66.186837185122002</v>
      </c>
      <c r="CK109" s="577">
        <f>365*CK86</f>
        <v>64.361837185121999</v>
      </c>
      <c r="CL109" s="577">
        <f>365*CL86</f>
        <v>62.536837185121996</v>
      </c>
      <c r="CM109" s="509"/>
      <c r="CN109" s="524"/>
    </row>
    <row r="110" spans="1:92">
      <c r="A110" s="264"/>
      <c r="B110" s="485" t="s">
        <v>345</v>
      </c>
      <c r="C110" s="485"/>
      <c r="D110" s="265"/>
      <c r="E110" s="265"/>
      <c r="F110" s="575"/>
      <c r="G110" s="575"/>
      <c r="H110" s="575"/>
      <c r="I110" s="572">
        <v>15.465368045281664</v>
      </c>
      <c r="J110" s="572">
        <v>12.527254873817576</v>
      </c>
      <c r="K110" s="572">
        <v>15.987508649174011</v>
      </c>
      <c r="L110" s="572">
        <v>17.089484254538128</v>
      </c>
      <c r="M110" s="576">
        <v>11.232501504470285</v>
      </c>
      <c r="N110" s="576">
        <v>12.537935794878656</v>
      </c>
      <c r="O110" s="576">
        <v>16.198231397244662</v>
      </c>
      <c r="P110" s="576">
        <v>12.645586618301571</v>
      </c>
      <c r="Q110" s="572">
        <v>13.015719349931551</v>
      </c>
      <c r="R110" s="576">
        <v>13.774898510831804</v>
      </c>
      <c r="S110" s="573">
        <v>13.552625779283659</v>
      </c>
      <c r="T110" s="574">
        <v>17.368769008939587</v>
      </c>
      <c r="U110" s="574">
        <v>15.002418668664781</v>
      </c>
      <c r="V110" s="572">
        <v>15.298672325320744</v>
      </c>
      <c r="W110" s="573">
        <f t="shared" ref="W110:BB110" si="138">W108-W109</f>
        <v>11.6467681820669</v>
      </c>
      <c r="X110" s="573">
        <f t="shared" si="138"/>
        <v>11.622855284266542</v>
      </c>
      <c r="Y110" s="573">
        <f t="shared" si="138"/>
        <v>12.367638788278455</v>
      </c>
      <c r="Z110" s="573">
        <f t="shared" si="138"/>
        <v>12.79002152690849</v>
      </c>
      <c r="AA110" s="572">
        <f t="shared" si="138"/>
        <v>12.438792640490199</v>
      </c>
      <c r="AB110" s="573">
        <f t="shared" si="138"/>
        <v>9.1980885878464136</v>
      </c>
      <c r="AC110" s="573">
        <f t="shared" si="138"/>
        <v>8.0751790772711232</v>
      </c>
      <c r="AD110" s="573">
        <f t="shared" si="138"/>
        <v>12.701951512414219</v>
      </c>
      <c r="AE110" s="573">
        <f t="shared" si="138"/>
        <v>10.539829345998676</v>
      </c>
      <c r="AF110" s="572">
        <f t="shared" si="138"/>
        <v>11.296563635038027</v>
      </c>
      <c r="AG110" s="573">
        <f t="shared" si="138"/>
        <v>11.860196983732735</v>
      </c>
      <c r="AH110" s="573">
        <f t="shared" si="138"/>
        <v>12.825355879197886</v>
      </c>
      <c r="AI110" s="573">
        <f t="shared" si="138"/>
        <v>12.634009457139427</v>
      </c>
      <c r="AJ110" s="573">
        <f t="shared" si="138"/>
        <v>10.782729310133377</v>
      </c>
      <c r="AK110" s="572">
        <f t="shared" si="138"/>
        <v>10.579467408116145</v>
      </c>
      <c r="AL110" s="573">
        <f t="shared" si="138"/>
        <v>15.900769521091632</v>
      </c>
      <c r="AM110" s="573">
        <f t="shared" si="138"/>
        <v>14.408767368173834</v>
      </c>
      <c r="AN110" s="573">
        <f t="shared" si="138"/>
        <v>16.078685905809962</v>
      </c>
      <c r="AO110" s="573">
        <f t="shared" si="138"/>
        <v>12.929641303329767</v>
      </c>
      <c r="AP110" s="572">
        <f t="shared" si="138"/>
        <v>13.983228874419773</v>
      </c>
      <c r="AQ110" s="573">
        <f t="shared" si="138"/>
        <v>14.094186404726656</v>
      </c>
      <c r="AR110" s="573">
        <f t="shared" si="138"/>
        <v>11.025203722025289</v>
      </c>
      <c r="AS110" s="573">
        <f t="shared" si="138"/>
        <v>9.9198007090188298</v>
      </c>
      <c r="AT110" s="573">
        <f t="shared" si="138"/>
        <v>10.193493324328088</v>
      </c>
      <c r="AU110" s="572">
        <f t="shared" si="138"/>
        <v>10.035588800634066</v>
      </c>
      <c r="AV110" s="573">
        <f t="shared" si="138"/>
        <v>8.4821695283674998</v>
      </c>
      <c r="AW110" s="573">
        <f t="shared" si="138"/>
        <v>10.672720985614994</v>
      </c>
      <c r="AX110" s="573">
        <f t="shared" si="138"/>
        <v>9.9154433792690213</v>
      </c>
      <c r="AY110" s="573">
        <f t="shared" si="138"/>
        <v>10.314673890123025</v>
      </c>
      <c r="AZ110" s="572">
        <f t="shared" si="138"/>
        <v>10.505805506376696</v>
      </c>
      <c r="BA110" s="573">
        <f t="shared" si="138"/>
        <v>8.9483569073137872</v>
      </c>
      <c r="BB110" s="573">
        <f t="shared" si="138"/>
        <v>8.5270273169197282</v>
      </c>
      <c r="BC110" s="573">
        <f t="shared" ref="BC110:BY110" si="139">BC108-BC109</f>
        <v>11.274920111222826</v>
      </c>
      <c r="BD110" s="573">
        <f t="shared" si="139"/>
        <v>11.900262969477176</v>
      </c>
      <c r="BE110" s="572">
        <f t="shared" si="139"/>
        <v>12.426205791092478</v>
      </c>
      <c r="BF110" s="573">
        <f t="shared" si="139"/>
        <v>12.001623271801478</v>
      </c>
      <c r="BG110" s="573">
        <f t="shared" si="139"/>
        <v>9.0488275683624835</v>
      </c>
      <c r="BH110" s="573">
        <f t="shared" si="139"/>
        <v>8.4840828791662375</v>
      </c>
      <c r="BI110" s="573">
        <f t="shared" si="139"/>
        <v>8.517096795450108</v>
      </c>
      <c r="BJ110" s="572">
        <f t="shared" si="139"/>
        <v>8.3381373128783949</v>
      </c>
      <c r="BK110" s="573">
        <f t="shared" si="139"/>
        <v>9.3707330431015379</v>
      </c>
      <c r="BL110" s="573">
        <f t="shared" si="139"/>
        <v>9.1817363363912676</v>
      </c>
      <c r="BM110" s="573">
        <f t="shared" si="139"/>
        <v>3.9937737994885012</v>
      </c>
      <c r="BN110" s="573">
        <f t="shared" si="139"/>
        <v>7.2060242687636133</v>
      </c>
      <c r="BO110" s="572">
        <f t="shared" si="139"/>
        <v>7.6116589659366696</v>
      </c>
      <c r="BP110" s="573">
        <f t="shared" si="139"/>
        <v>8.9913353280112176</v>
      </c>
      <c r="BQ110" s="573">
        <f t="shared" si="139"/>
        <v>6.3207937943342216</v>
      </c>
      <c r="BR110" s="573">
        <f>BR108-BR109</f>
        <v>8.4177250297286932</v>
      </c>
      <c r="BS110" s="573">
        <f>BS108-BS109</f>
        <v>6.4194538081386625</v>
      </c>
      <c r="BT110" s="572">
        <f t="shared" si="139"/>
        <v>4.2115015957212876</v>
      </c>
      <c r="BU110" s="573">
        <f>BU108-BU109</f>
        <v>9.1189754118905313</v>
      </c>
      <c r="BV110" s="573">
        <f>BV108-BV109</f>
        <v>6.3305568866898057</v>
      </c>
      <c r="BW110" s="573">
        <f>BW108-BW109</f>
        <v>4.2290826590720343</v>
      </c>
      <c r="BX110" s="573">
        <f t="shared" si="139"/>
        <v>4.6353251703869489</v>
      </c>
      <c r="BY110" s="572">
        <f t="shared" si="139"/>
        <v>4.0551039568313882</v>
      </c>
      <c r="BZ110" s="573">
        <f t="shared" ref="BZ110:CA110" si="140">BZ108-BZ109</f>
        <v>6.4641284209096455</v>
      </c>
      <c r="CA110" s="573">
        <f t="shared" si="140"/>
        <v>1.5059956585182164</v>
      </c>
      <c r="CB110" s="573">
        <f t="shared" ref="CB110" si="141">CB108-CB109</f>
        <v>1.327667276843016</v>
      </c>
      <c r="CC110" s="573">
        <f t="shared" ref="CC110:CH110" si="142">CC108-CC109</f>
        <v>4.6353251703869489</v>
      </c>
      <c r="CD110" s="572">
        <f t="shared" si="142"/>
        <v>4.1919909505932083</v>
      </c>
      <c r="CE110" s="573">
        <f t="shared" si="142"/>
        <v>2.6940930475692682</v>
      </c>
      <c r="CF110" s="573">
        <f t="shared" si="142"/>
        <v>1.5059956585182164</v>
      </c>
      <c r="CG110" s="573">
        <f t="shared" si="142"/>
        <v>-0.61470811533544634</v>
      </c>
      <c r="CH110" s="573">
        <f t="shared" si="142"/>
        <v>4.6353251703869489</v>
      </c>
      <c r="CI110" s="572">
        <f t="shared" ref="CI110" si="143">CI108-CI109</f>
        <v>4.5582706157854034</v>
      </c>
      <c r="CJ110" s="572">
        <f>CJ108-CJ109</f>
        <v>2.7547652257400301</v>
      </c>
      <c r="CK110" s="572">
        <f>CK108-CK109</f>
        <v>1.1326851051969129</v>
      </c>
      <c r="CL110" s="572">
        <f>CL108-CL109</f>
        <v>-0.31704100931902701</v>
      </c>
      <c r="CM110" s="509"/>
      <c r="CN110" s="524"/>
    </row>
    <row r="111" spans="1:92">
      <c r="A111" s="264"/>
      <c r="B111" s="485"/>
      <c r="C111" s="485"/>
      <c r="D111" s="265"/>
      <c r="E111" s="265"/>
      <c r="F111" s="575"/>
      <c r="G111" s="575"/>
      <c r="H111" s="575"/>
      <c r="I111" s="572"/>
      <c r="J111" s="572"/>
      <c r="K111" s="572"/>
      <c r="L111" s="572"/>
      <c r="M111" s="550"/>
      <c r="N111" s="550"/>
      <c r="O111" s="550"/>
      <c r="P111" s="550"/>
      <c r="Q111" s="572"/>
      <c r="R111" s="550"/>
      <c r="S111" s="573"/>
      <c r="T111" s="574"/>
      <c r="U111" s="574"/>
      <c r="V111" s="572"/>
      <c r="W111" s="573"/>
      <c r="X111" s="573"/>
      <c r="Y111" s="573"/>
      <c r="Z111" s="573"/>
      <c r="AA111" s="572"/>
      <c r="AB111" s="573"/>
      <c r="AC111" s="573"/>
      <c r="AD111" s="573"/>
      <c r="AE111" s="573"/>
      <c r="AF111" s="572"/>
      <c r="AG111" s="573"/>
      <c r="AH111" s="573"/>
      <c r="AI111" s="573"/>
      <c r="AJ111" s="573"/>
      <c r="AK111" s="572"/>
      <c r="AL111" s="573"/>
      <c r="AM111" s="573"/>
      <c r="AN111" s="573"/>
      <c r="AO111" s="573"/>
      <c r="AP111" s="572"/>
      <c r="AQ111" s="573"/>
      <c r="AR111" s="573"/>
      <c r="AS111" s="573"/>
      <c r="AT111" s="573"/>
      <c r="AU111" s="572"/>
      <c r="AV111" s="573"/>
      <c r="AW111" s="573"/>
      <c r="AX111" s="573"/>
      <c r="AY111" s="573"/>
      <c r="AZ111" s="572"/>
      <c r="BA111" s="573"/>
      <c r="BB111" s="573"/>
      <c r="BC111" s="573"/>
      <c r="BD111" s="573"/>
      <c r="BE111" s="572"/>
      <c r="BF111" s="573"/>
      <c r="BG111" s="573"/>
      <c r="BH111" s="573"/>
      <c r="BI111" s="573"/>
      <c r="BJ111" s="572"/>
      <c r="BK111" s="573"/>
      <c r="BL111" s="573"/>
      <c r="BM111" s="573"/>
      <c r="BN111" s="573"/>
      <c r="BO111" s="572"/>
      <c r="BP111" s="573"/>
      <c r="BQ111" s="573"/>
      <c r="BR111" s="573"/>
      <c r="BS111" s="573"/>
      <c r="BT111" s="572"/>
      <c r="BU111" s="573"/>
      <c r="BV111" s="573"/>
      <c r="BW111" s="573"/>
      <c r="BX111" s="573"/>
      <c r="BY111" s="572"/>
      <c r="BZ111" s="573"/>
      <c r="CA111" s="573"/>
      <c r="CB111" s="573"/>
      <c r="CC111" s="573"/>
      <c r="CD111" s="572"/>
      <c r="CE111" s="573"/>
      <c r="CF111" s="573"/>
      <c r="CG111" s="573"/>
      <c r="CH111" s="573"/>
      <c r="CI111" s="572"/>
      <c r="CJ111" s="572"/>
      <c r="CK111" s="572"/>
      <c r="CL111" s="572"/>
      <c r="CM111" s="509"/>
      <c r="CN111" s="524"/>
    </row>
    <row r="112" spans="1:92">
      <c r="A112" s="485"/>
      <c r="B112" s="485" t="s">
        <v>344</v>
      </c>
      <c r="C112" s="485"/>
      <c r="D112" s="485"/>
      <c r="E112" s="485"/>
      <c r="F112" s="485"/>
      <c r="G112" s="485"/>
      <c r="H112" s="485"/>
      <c r="I112" s="565">
        <v>7662</v>
      </c>
      <c r="J112" s="565">
        <v>8369</v>
      </c>
      <c r="K112" s="565">
        <v>8355</v>
      </c>
      <c r="L112" s="565">
        <v>11707</v>
      </c>
      <c r="M112" s="485">
        <v>12085</v>
      </c>
      <c r="N112" s="485">
        <v>12480</v>
      </c>
      <c r="O112" s="485">
        <v>13038</v>
      </c>
      <c r="P112" s="485">
        <v>14266</v>
      </c>
      <c r="Q112" s="565">
        <v>14266</v>
      </c>
      <c r="R112" s="485">
        <v>14700</v>
      </c>
      <c r="S112" s="485">
        <v>15274</v>
      </c>
      <c r="T112" s="485">
        <v>15744</v>
      </c>
      <c r="U112" s="485">
        <v>16991</v>
      </c>
      <c r="V112" s="565">
        <v>16991</v>
      </c>
      <c r="W112" s="485">
        <f t="shared" ref="W112:BB112" si="144">W62</f>
        <v>17357</v>
      </c>
      <c r="X112" s="485">
        <f t="shared" si="144"/>
        <v>18448</v>
      </c>
      <c r="Y112" s="485">
        <f t="shared" si="144"/>
        <v>18934</v>
      </c>
      <c r="Z112" s="485">
        <f t="shared" si="144"/>
        <v>17297</v>
      </c>
      <c r="AA112" s="565">
        <f t="shared" si="144"/>
        <v>17297</v>
      </c>
      <c r="AB112" s="485">
        <f t="shared" si="144"/>
        <v>18106</v>
      </c>
      <c r="AC112" s="485">
        <f t="shared" si="144"/>
        <v>19195</v>
      </c>
      <c r="AD112" s="485">
        <f t="shared" si="144"/>
        <v>20278</v>
      </c>
      <c r="AE112" s="485">
        <f t="shared" si="144"/>
        <v>21355</v>
      </c>
      <c r="AF112" s="565">
        <f t="shared" si="144"/>
        <v>21355</v>
      </c>
      <c r="AG112" s="485">
        <f t="shared" si="144"/>
        <v>21586</v>
      </c>
      <c r="AH112" s="485">
        <f t="shared" si="144"/>
        <v>21912</v>
      </c>
      <c r="AI112" s="485">
        <f t="shared" si="144"/>
        <v>21083</v>
      </c>
      <c r="AJ112" s="485">
        <f t="shared" si="144"/>
        <v>15917</v>
      </c>
      <c r="AK112" s="565">
        <f t="shared" si="144"/>
        <v>15917</v>
      </c>
      <c r="AL112" s="485">
        <f t="shared" si="144"/>
        <v>15813</v>
      </c>
      <c r="AM112" s="485">
        <f t="shared" si="144"/>
        <v>17379</v>
      </c>
      <c r="AN112" s="485">
        <f t="shared" si="144"/>
        <v>18489</v>
      </c>
      <c r="AO112" s="485">
        <f t="shared" si="144"/>
        <v>20066</v>
      </c>
      <c r="AP112" s="565">
        <f t="shared" si="144"/>
        <v>20066</v>
      </c>
      <c r="AQ112" s="485">
        <f t="shared" si="144"/>
        <v>19964</v>
      </c>
      <c r="AR112" s="485">
        <f t="shared" si="144"/>
        <v>19933</v>
      </c>
      <c r="AS112" s="485">
        <f t="shared" si="144"/>
        <v>21254</v>
      </c>
      <c r="AT112" s="485">
        <f t="shared" si="144"/>
        <v>21385</v>
      </c>
      <c r="AU112" s="565">
        <f t="shared" si="144"/>
        <v>21385</v>
      </c>
      <c r="AV112" s="485">
        <f t="shared" si="144"/>
        <v>22126</v>
      </c>
      <c r="AW112" s="485">
        <f t="shared" si="144"/>
        <v>22723</v>
      </c>
      <c r="AX112" s="485">
        <f t="shared" si="144"/>
        <v>22590</v>
      </c>
      <c r="AY112" s="485">
        <f t="shared" si="144"/>
        <v>21880</v>
      </c>
      <c r="AZ112" s="565">
        <f t="shared" si="144"/>
        <v>21880</v>
      </c>
      <c r="BA112" s="485">
        <f t="shared" si="144"/>
        <v>22492</v>
      </c>
      <c r="BB112" s="485">
        <f t="shared" si="144"/>
        <v>22604</v>
      </c>
      <c r="BC112" s="485">
        <f t="shared" ref="BC112:BY112" si="145">BC62</f>
        <v>24955</v>
      </c>
      <c r="BD112" s="485">
        <f t="shared" si="145"/>
        <v>25914</v>
      </c>
      <c r="BE112" s="565">
        <f t="shared" si="145"/>
        <v>25914</v>
      </c>
      <c r="BF112" s="485">
        <f t="shared" si="145"/>
        <v>26194</v>
      </c>
      <c r="BG112" s="485">
        <f t="shared" si="145"/>
        <v>26987</v>
      </c>
      <c r="BH112" s="485">
        <f t="shared" si="145"/>
        <v>28577</v>
      </c>
      <c r="BI112" s="485">
        <f t="shared" si="145"/>
        <v>31866</v>
      </c>
      <c r="BJ112" s="565">
        <f t="shared" si="145"/>
        <v>31866</v>
      </c>
      <c r="BK112" s="485">
        <f t="shared" si="145"/>
        <v>32317</v>
      </c>
      <c r="BL112" s="485">
        <f t="shared" si="145"/>
        <v>33785</v>
      </c>
      <c r="BM112" s="485">
        <f t="shared" si="145"/>
        <v>34049</v>
      </c>
      <c r="BN112" s="485">
        <f t="shared" si="145"/>
        <v>31213</v>
      </c>
      <c r="BO112" s="565">
        <f t="shared" si="145"/>
        <v>31213</v>
      </c>
      <c r="BP112" s="485">
        <f t="shared" si="145"/>
        <v>28650</v>
      </c>
      <c r="BQ112" s="485">
        <f t="shared" si="145"/>
        <v>30377</v>
      </c>
      <c r="BR112" s="485">
        <f>BR62</f>
        <v>30525</v>
      </c>
      <c r="BS112" s="485">
        <f>BS62</f>
        <v>27358</v>
      </c>
      <c r="BT112" s="565">
        <f t="shared" si="145"/>
        <v>27358</v>
      </c>
      <c r="BU112" s="485">
        <f>BU62</f>
        <v>28353</v>
      </c>
      <c r="BV112" s="485">
        <f>BV62</f>
        <v>29090</v>
      </c>
      <c r="BW112" s="485">
        <f>BW62</f>
        <v>29187</v>
      </c>
      <c r="BX112" s="485">
        <f t="shared" si="145"/>
        <v>27579</v>
      </c>
      <c r="BY112" s="565">
        <f t="shared" si="145"/>
        <v>27579</v>
      </c>
      <c r="BZ112" s="485">
        <f t="shared" ref="BZ112:CA112" si="146">BZ62</f>
        <v>27594</v>
      </c>
      <c r="CA112" s="485">
        <f t="shared" si="146"/>
        <v>28442</v>
      </c>
      <c r="CB112" s="485">
        <f t="shared" ref="CB112" si="147">CB62</f>
        <v>29881</v>
      </c>
      <c r="CC112" s="485">
        <f t="shared" ref="CC112:CH112" si="148">CC62</f>
        <v>30512.742898348064</v>
      </c>
      <c r="CD112" s="565">
        <f t="shared" si="148"/>
        <v>30512.742898348064</v>
      </c>
      <c r="CE112" s="485">
        <f t="shared" si="148"/>
        <v>31244.420977449114</v>
      </c>
      <c r="CF112" s="485">
        <f t="shared" si="148"/>
        <v>32261.217905094025</v>
      </c>
      <c r="CG112" s="485">
        <f t="shared" si="148"/>
        <v>33267.730370148856</v>
      </c>
      <c r="CH112" s="485">
        <f t="shared" si="148"/>
        <v>34116.85078004704</v>
      </c>
      <c r="CI112" s="565">
        <f t="shared" ref="CI112" si="149">CI62</f>
        <v>34116.85078004704</v>
      </c>
      <c r="CJ112" s="565">
        <f>CJ62</f>
        <v>38383.544265114877</v>
      </c>
      <c r="CK112" s="565">
        <f>CK62</f>
        <v>43174.140382575089</v>
      </c>
      <c r="CL112" s="565">
        <f>CL62</f>
        <v>48235.252665235021</v>
      </c>
      <c r="CM112" s="509"/>
      <c r="CN112" s="530"/>
    </row>
    <row r="113" spans="1:98">
      <c r="A113" s="571"/>
      <c r="B113" s="485" t="s">
        <v>343</v>
      </c>
      <c r="C113" s="485"/>
      <c r="D113" s="570"/>
      <c r="E113" s="570"/>
      <c r="F113" s="570"/>
      <c r="G113" s="570"/>
      <c r="H113" s="570"/>
      <c r="I113" s="567">
        <v>8.1459336247809908</v>
      </c>
      <c r="J113" s="567">
        <v>8.8624806474090292</v>
      </c>
      <c r="K113" s="567">
        <v>8.8954899706145394</v>
      </c>
      <c r="L113" s="567">
        <v>11.385917136743824</v>
      </c>
      <c r="M113" s="568">
        <v>11.780957060190602</v>
      </c>
      <c r="N113" s="568">
        <v>12.166019372046231</v>
      </c>
      <c r="O113" s="568">
        <v>12.709980815123298</v>
      </c>
      <c r="P113" s="568">
        <v>13.939808481532149</v>
      </c>
      <c r="Q113" s="567">
        <v>13.956172960281744</v>
      </c>
      <c r="R113" s="568">
        <v>14.360517369387676</v>
      </c>
      <c r="S113" s="568">
        <v>14.904953354931887</v>
      </c>
      <c r="T113" s="569">
        <v>15.348619560131025</v>
      </c>
      <c r="U113" s="569">
        <v>16.758839792356486</v>
      </c>
      <c r="V113" s="567">
        <v>16.758839792356486</v>
      </c>
      <c r="W113" s="568">
        <f t="shared" ref="W113:BB113" si="150">W112/W134</f>
        <v>17.170386589488253</v>
      </c>
      <c r="X113" s="568">
        <f t="shared" si="150"/>
        <v>18.239527273848495</v>
      </c>
      <c r="Y113" s="568">
        <f t="shared" si="150"/>
        <v>18.8651258778862</v>
      </c>
      <c r="Z113" s="568">
        <f t="shared" si="150"/>
        <v>17.371698302701617</v>
      </c>
      <c r="AA113" s="567">
        <f t="shared" si="150"/>
        <v>17.371698302701617</v>
      </c>
      <c r="AB113" s="568">
        <f t="shared" si="150"/>
        <v>18.207408583692214</v>
      </c>
      <c r="AC113" s="568">
        <f t="shared" si="150"/>
        <v>19.354017777583373</v>
      </c>
      <c r="AD113" s="568">
        <f t="shared" si="150"/>
        <v>20.513741828693682</v>
      </c>
      <c r="AE113" s="568">
        <f t="shared" si="150"/>
        <v>21.712231342274443</v>
      </c>
      <c r="AF113" s="567">
        <f t="shared" si="150"/>
        <v>21.712231342274443</v>
      </c>
      <c r="AG113" s="568">
        <f t="shared" si="150"/>
        <v>22.180352625149027</v>
      </c>
      <c r="AH113" s="568">
        <f t="shared" si="150"/>
        <v>22.721880390814601</v>
      </c>
      <c r="AI113" s="568">
        <f t="shared" si="150"/>
        <v>22.178249591071232</v>
      </c>
      <c r="AJ113" s="568">
        <f t="shared" si="150"/>
        <v>16.862282706228459</v>
      </c>
      <c r="AK113" s="567">
        <f t="shared" si="150"/>
        <v>16.862282706228459</v>
      </c>
      <c r="AL113" s="568">
        <f t="shared" si="150"/>
        <v>16.785988617152871</v>
      </c>
      <c r="AM113" s="568">
        <f t="shared" si="150"/>
        <v>18.463285992716582</v>
      </c>
      <c r="AN113" s="568">
        <f t="shared" si="150"/>
        <v>19.720770844134012</v>
      </c>
      <c r="AO113" s="568">
        <f t="shared" si="150"/>
        <v>21.421052968693623</v>
      </c>
      <c r="AP113" s="567">
        <f t="shared" si="150"/>
        <v>21.421052968693623</v>
      </c>
      <c r="AQ113" s="568">
        <f t="shared" si="150"/>
        <v>21.395806332791718</v>
      </c>
      <c r="AR113" s="568">
        <f t="shared" si="150"/>
        <v>21.454794679799896</v>
      </c>
      <c r="AS113" s="568">
        <f t="shared" si="150"/>
        <v>23.016933850846069</v>
      </c>
      <c r="AT113" s="568">
        <f t="shared" si="150"/>
        <v>23.214058916054878</v>
      </c>
      <c r="AU113" s="567">
        <f t="shared" si="150"/>
        <v>23.214058916054878</v>
      </c>
      <c r="AV113" s="568">
        <f t="shared" si="150"/>
        <v>24.174500305725594</v>
      </c>
      <c r="AW113" s="568">
        <f t="shared" si="150"/>
        <v>25.005696766078042</v>
      </c>
      <c r="AX113" s="568">
        <f t="shared" si="150"/>
        <v>24.931362353635564</v>
      </c>
      <c r="AY113" s="568">
        <f t="shared" si="150"/>
        <v>24.117580922861219</v>
      </c>
      <c r="AZ113" s="567">
        <f t="shared" si="150"/>
        <v>24.117580922861219</v>
      </c>
      <c r="BA113" s="568">
        <f t="shared" si="150"/>
        <v>24.67964976298363</v>
      </c>
      <c r="BB113" s="568">
        <f t="shared" si="150"/>
        <v>24.790871304531919</v>
      </c>
      <c r="BC113" s="568">
        <f t="shared" ref="BC113:BY113" si="151">BC112/BC134</f>
        <v>27.227264183721143</v>
      </c>
      <c r="BD113" s="568">
        <f t="shared" si="151"/>
        <v>28.202675303559129</v>
      </c>
      <c r="BE113" s="567">
        <f t="shared" si="151"/>
        <v>28.202675303559129</v>
      </c>
      <c r="BF113" s="568">
        <f t="shared" si="151"/>
        <v>28.493396899475908</v>
      </c>
      <c r="BG113" s="568">
        <f t="shared" si="151"/>
        <v>29.413325356811228</v>
      </c>
      <c r="BH113" s="568">
        <f t="shared" si="151"/>
        <v>31.143811768357939</v>
      </c>
      <c r="BI113" s="568">
        <f t="shared" si="151"/>
        <v>34.762175925016855</v>
      </c>
      <c r="BJ113" s="567">
        <f t="shared" si="151"/>
        <v>34.762175925016855</v>
      </c>
      <c r="BK113" s="568">
        <f t="shared" si="151"/>
        <v>35.252422359397734</v>
      </c>
      <c r="BL113" s="568">
        <f t="shared" si="151"/>
        <v>36.93116538855211</v>
      </c>
      <c r="BM113" s="568">
        <f t="shared" si="151"/>
        <v>37.348422173405808</v>
      </c>
      <c r="BN113" s="568">
        <f t="shared" si="151"/>
        <v>34.323573883161515</v>
      </c>
      <c r="BO113" s="567">
        <f t="shared" si="151"/>
        <v>34.323573883161515</v>
      </c>
      <c r="BP113" s="568">
        <f t="shared" si="151"/>
        <v>32.183714066970303</v>
      </c>
      <c r="BQ113" s="568">
        <f t="shared" si="151"/>
        <v>34.108552565445805</v>
      </c>
      <c r="BR113" s="568">
        <f>BR112/BR134</f>
        <v>34.412941934875661</v>
      </c>
      <c r="BS113" s="568">
        <f>BS112/BS134</f>
        <v>32.707978261138045</v>
      </c>
      <c r="BT113" s="567">
        <f t="shared" si="151"/>
        <v>32.707978261138045</v>
      </c>
      <c r="BU113" s="568">
        <f>BU112/BU134</f>
        <v>33.879988798775983</v>
      </c>
      <c r="BV113" s="568">
        <f>BV112/BV134</f>
        <v>34.758111248249456</v>
      </c>
      <c r="BW113" s="568">
        <f>BW112/BW134</f>
        <v>35.446682553699681</v>
      </c>
      <c r="BX113" s="568">
        <f t="shared" si="151"/>
        <v>34.222992147511555</v>
      </c>
      <c r="BY113" s="567">
        <f t="shared" si="151"/>
        <v>34.222992147511555</v>
      </c>
      <c r="BZ113" s="568">
        <f t="shared" ref="BZ113:CA113" si="152">BZ112/BZ134</f>
        <v>34.439656479890388</v>
      </c>
      <c r="CA113" s="568">
        <f t="shared" si="152"/>
        <v>35.60712208192502</v>
      </c>
      <c r="CB113" s="568">
        <f t="shared" ref="CB113" si="153">CB112/CB134</f>
        <v>37.368216955655612</v>
      </c>
      <c r="CC113" s="568">
        <f t="shared" ref="CC113:CH113" si="154">CC112/CC134</f>
        <v>38.092644254459081</v>
      </c>
      <c r="CD113" s="567">
        <f t="shared" si="154"/>
        <v>38.092644254459081</v>
      </c>
      <c r="CE113" s="568">
        <f t="shared" si="154"/>
        <v>38.910296408528474</v>
      </c>
      <c r="CF113" s="568">
        <f t="shared" si="154"/>
        <v>40.078146022778817</v>
      </c>
      <c r="CG113" s="568">
        <f t="shared" si="154"/>
        <v>41.227542694082224</v>
      </c>
      <c r="CH113" s="568">
        <f t="shared" si="154"/>
        <v>42.17676045863147</v>
      </c>
      <c r="CI113" s="567">
        <f t="shared" ref="CI113" si="155">CI112/CI134</f>
        <v>42.176760458631463</v>
      </c>
      <c r="CJ113" s="567">
        <f>CJ112/CJ134</f>
        <v>46.993204923174901</v>
      </c>
      <c r="CK113" s="567">
        <f>CK112/CK134</f>
        <v>52.352798199788829</v>
      </c>
      <c r="CL113" s="567">
        <f>CL112/CL134</f>
        <v>57.935758568030018</v>
      </c>
      <c r="CM113" s="509"/>
      <c r="CN113" s="566"/>
    </row>
    <row r="114" spans="1:98">
      <c r="A114" s="485"/>
      <c r="B114" s="485" t="s">
        <v>342</v>
      </c>
      <c r="C114" s="485"/>
      <c r="D114" s="485"/>
      <c r="E114" s="485"/>
      <c r="F114" s="485"/>
      <c r="G114" s="485"/>
      <c r="H114" s="485"/>
      <c r="I114" s="565">
        <v>7662</v>
      </c>
      <c r="J114" s="565">
        <v>8369</v>
      </c>
      <c r="K114" s="565">
        <v>8355</v>
      </c>
      <c r="L114" s="565">
        <v>8781</v>
      </c>
      <c r="M114" s="485">
        <v>12085</v>
      </c>
      <c r="N114" s="485">
        <v>12480</v>
      </c>
      <c r="O114" s="485">
        <v>13038</v>
      </c>
      <c r="P114" s="485">
        <v>11160</v>
      </c>
      <c r="Q114" s="565">
        <v>11160</v>
      </c>
      <c r="R114" s="485">
        <v>11640</v>
      </c>
      <c r="S114" s="485">
        <v>12274</v>
      </c>
      <c r="T114" s="485">
        <v>11415</v>
      </c>
      <c r="U114" s="485">
        <v>12780</v>
      </c>
      <c r="V114" s="565">
        <v>12780</v>
      </c>
      <c r="W114" s="485">
        <f t="shared" ref="W114:BB114" si="156">W112-W27</f>
        <v>13103</v>
      </c>
      <c r="X114" s="485">
        <f t="shared" si="156"/>
        <v>14109</v>
      </c>
      <c r="Y114" s="485">
        <f t="shared" si="156"/>
        <v>14711</v>
      </c>
      <c r="Z114" s="485">
        <f t="shared" si="156"/>
        <v>13008</v>
      </c>
      <c r="AA114" s="565">
        <f t="shared" si="156"/>
        <v>13008</v>
      </c>
      <c r="AB114" s="485">
        <f t="shared" si="156"/>
        <v>13937</v>
      </c>
      <c r="AC114" s="485">
        <f t="shared" si="156"/>
        <v>15911</v>
      </c>
      <c r="AD114" s="485">
        <f t="shared" si="156"/>
        <v>16569</v>
      </c>
      <c r="AE114" s="485">
        <f t="shared" si="156"/>
        <v>16635</v>
      </c>
      <c r="AF114" s="565">
        <f t="shared" si="156"/>
        <v>16635</v>
      </c>
      <c r="AG114" s="485">
        <f t="shared" si="156"/>
        <v>16765</v>
      </c>
      <c r="AH114" s="485">
        <f t="shared" si="156"/>
        <v>17060</v>
      </c>
      <c r="AI114" s="485">
        <f t="shared" si="156"/>
        <v>16590</v>
      </c>
      <c r="AJ114" s="485">
        <f t="shared" si="156"/>
        <v>11472</v>
      </c>
      <c r="AK114" s="565">
        <f t="shared" si="156"/>
        <v>11472</v>
      </c>
      <c r="AL114" s="485">
        <f t="shared" si="156"/>
        <v>11499</v>
      </c>
      <c r="AM114" s="485">
        <f t="shared" si="156"/>
        <v>12894</v>
      </c>
      <c r="AN114" s="485">
        <f t="shared" si="156"/>
        <v>13894</v>
      </c>
      <c r="AO114" s="485">
        <f t="shared" si="156"/>
        <v>15481</v>
      </c>
      <c r="AP114" s="565">
        <f t="shared" si="156"/>
        <v>15481</v>
      </c>
      <c r="AQ114" s="485">
        <f t="shared" si="156"/>
        <v>14829</v>
      </c>
      <c r="AR114" s="485">
        <f t="shared" si="156"/>
        <v>14931</v>
      </c>
      <c r="AS114" s="485">
        <f t="shared" si="156"/>
        <v>16086</v>
      </c>
      <c r="AT114" s="485">
        <f t="shared" si="156"/>
        <v>16207</v>
      </c>
      <c r="AU114" s="565">
        <f t="shared" si="156"/>
        <v>16207</v>
      </c>
      <c r="AV114" s="485">
        <f t="shared" si="156"/>
        <v>16864</v>
      </c>
      <c r="AW114" s="485">
        <f t="shared" si="156"/>
        <v>17523</v>
      </c>
      <c r="AX114" s="485">
        <f t="shared" si="156"/>
        <v>17589</v>
      </c>
      <c r="AY114" s="485">
        <f t="shared" si="156"/>
        <v>16927</v>
      </c>
      <c r="AZ114" s="565">
        <f t="shared" si="156"/>
        <v>16927</v>
      </c>
      <c r="BA114" s="485">
        <f t="shared" si="156"/>
        <v>17697</v>
      </c>
      <c r="BB114" s="485">
        <f t="shared" si="156"/>
        <v>17810</v>
      </c>
      <c r="BC114" s="485">
        <f t="shared" ref="BC114:BY114" si="157">BC112-BC27</f>
        <v>10000</v>
      </c>
      <c r="BD114" s="485">
        <f t="shared" si="157"/>
        <v>11101</v>
      </c>
      <c r="BE114" s="565">
        <f t="shared" si="157"/>
        <v>11101</v>
      </c>
      <c r="BF114" s="485">
        <f t="shared" si="157"/>
        <v>12754</v>
      </c>
      <c r="BG114" s="485">
        <f t="shared" si="157"/>
        <v>13531</v>
      </c>
      <c r="BH114" s="485">
        <f t="shared" si="157"/>
        <v>15175</v>
      </c>
      <c r="BI114" s="485">
        <f t="shared" si="157"/>
        <v>18618</v>
      </c>
      <c r="BJ114" s="565">
        <f t="shared" si="157"/>
        <v>18618</v>
      </c>
      <c r="BK114" s="485">
        <f t="shared" si="157"/>
        <v>19205</v>
      </c>
      <c r="BL114" s="485">
        <f t="shared" si="157"/>
        <v>20648</v>
      </c>
      <c r="BM114" s="485">
        <f t="shared" si="157"/>
        <v>21088</v>
      </c>
      <c r="BN114" s="485">
        <f t="shared" si="157"/>
        <v>19999</v>
      </c>
      <c r="BO114" s="565">
        <f t="shared" si="157"/>
        <v>19999</v>
      </c>
      <c r="BP114" s="485">
        <f t="shared" si="157"/>
        <v>16050</v>
      </c>
      <c r="BQ114" s="485">
        <f t="shared" si="157"/>
        <v>17744</v>
      </c>
      <c r="BR114" s="485">
        <f>BR112-BR27</f>
        <v>18116</v>
      </c>
      <c r="BS114" s="485">
        <f>BS112-BS27</f>
        <v>11755</v>
      </c>
      <c r="BT114" s="565">
        <f t="shared" si="157"/>
        <v>11755</v>
      </c>
      <c r="BU114" s="485">
        <f>BU112-BU27</f>
        <v>12634</v>
      </c>
      <c r="BV114" s="485">
        <f>BV112-BV27</f>
        <v>13248</v>
      </c>
      <c r="BW114" s="485">
        <f>BW112-BW27</f>
        <v>13387</v>
      </c>
      <c r="BX114" s="485">
        <f t="shared" si="157"/>
        <v>11895</v>
      </c>
      <c r="BY114" s="565">
        <f t="shared" si="157"/>
        <v>11895</v>
      </c>
      <c r="BZ114" s="485">
        <f t="shared" ref="BZ114:CA114" si="158">BZ112-BZ27</f>
        <v>11814</v>
      </c>
      <c r="CA114" s="485">
        <f t="shared" si="158"/>
        <v>12561</v>
      </c>
      <c r="CB114" s="485">
        <f t="shared" ref="CB114" si="159">CB112-CB27</f>
        <v>13926</v>
      </c>
      <c r="CC114" s="485">
        <f t="shared" ref="CC114:CH114" si="160">CC112-CC27</f>
        <v>14557.742898348064</v>
      </c>
      <c r="CD114" s="565">
        <f t="shared" si="160"/>
        <v>14557.742898348064</v>
      </c>
      <c r="CE114" s="485">
        <f t="shared" si="160"/>
        <v>15289.420977449114</v>
      </c>
      <c r="CF114" s="485">
        <f t="shared" si="160"/>
        <v>16306.217905094025</v>
      </c>
      <c r="CG114" s="485">
        <f t="shared" si="160"/>
        <v>17312.730370148856</v>
      </c>
      <c r="CH114" s="485">
        <f t="shared" si="160"/>
        <v>18161.85078004704</v>
      </c>
      <c r="CI114" s="565">
        <f t="shared" ref="CI114" si="161">CI112-CI27</f>
        <v>18161.85078004704</v>
      </c>
      <c r="CJ114" s="565">
        <f>CJ112-CJ27</f>
        <v>22428.544265114877</v>
      </c>
      <c r="CK114" s="565">
        <f>CK112-CK27</f>
        <v>27219.140382575089</v>
      </c>
      <c r="CL114" s="565">
        <f>CL112-CL27</f>
        <v>32280.252665235021</v>
      </c>
      <c r="CM114" s="509"/>
      <c r="CN114" s="530"/>
    </row>
    <row r="115" spans="1:98">
      <c r="A115" s="264"/>
      <c r="B115" s="485" t="s">
        <v>341</v>
      </c>
      <c r="C115" s="485"/>
      <c r="D115" s="265"/>
      <c r="E115" s="265"/>
      <c r="F115" s="561"/>
      <c r="G115" s="561"/>
      <c r="H115" s="561"/>
      <c r="I115" s="562">
        <v>8.1459336247809908</v>
      </c>
      <c r="J115" s="562">
        <v>8.8624806474090292</v>
      </c>
      <c r="K115" s="562">
        <v>8.8954899706145394</v>
      </c>
      <c r="L115" s="562">
        <v>8.540167282629838</v>
      </c>
      <c r="M115" s="563">
        <v>11.780957060190602</v>
      </c>
      <c r="N115" s="563">
        <v>12.166019372046231</v>
      </c>
      <c r="O115" s="563">
        <v>12.709980815123298</v>
      </c>
      <c r="P115" s="563">
        <v>10.904827047097909</v>
      </c>
      <c r="Q115" s="562">
        <v>10.917628644100958</v>
      </c>
      <c r="R115" s="563">
        <v>11.371185182290649</v>
      </c>
      <c r="S115" s="563">
        <v>11.977438619774386</v>
      </c>
      <c r="T115" s="564">
        <v>11.128334113242865</v>
      </c>
      <c r="U115" s="564">
        <v>12.605377702684709</v>
      </c>
      <c r="V115" s="562">
        <v>12.605377702684709</v>
      </c>
      <c r="W115" s="563">
        <f t="shared" ref="W115:BB115" si="162">W114/W134</f>
        <v>12.962123378582968</v>
      </c>
      <c r="X115" s="563">
        <f t="shared" si="162"/>
        <v>13.949560402576346</v>
      </c>
      <c r="Y115" s="563">
        <f t="shared" si="162"/>
        <v>14.657487418906934</v>
      </c>
      <c r="Z115" s="563">
        <f t="shared" si="162"/>
        <v>13.064175956613438</v>
      </c>
      <c r="AA115" s="562">
        <f t="shared" si="162"/>
        <v>13.064175956613438</v>
      </c>
      <c r="AB115" s="563">
        <f t="shared" si="162"/>
        <v>14.015058733619705</v>
      </c>
      <c r="AC115" s="563">
        <f t="shared" si="162"/>
        <v>16.042812027045013</v>
      </c>
      <c r="AD115" s="563">
        <f t="shared" si="162"/>
        <v>16.761622860224165</v>
      </c>
      <c r="AE115" s="563">
        <f t="shared" si="162"/>
        <v>16.91327409874668</v>
      </c>
      <c r="AF115" s="562">
        <f t="shared" si="162"/>
        <v>16.91327409874668</v>
      </c>
      <c r="AG115" s="563">
        <f t="shared" si="162"/>
        <v>17.226610384537359</v>
      </c>
      <c r="AH115" s="563">
        <f t="shared" si="162"/>
        <v>17.690547620814947</v>
      </c>
      <c r="AI115" s="563">
        <f t="shared" si="162"/>
        <v>17.45184085357263</v>
      </c>
      <c r="AJ115" s="563">
        <f t="shared" si="162"/>
        <v>12.153301954253497</v>
      </c>
      <c r="AK115" s="562">
        <f t="shared" si="162"/>
        <v>12.153301954253497</v>
      </c>
      <c r="AL115" s="563">
        <f t="shared" si="162"/>
        <v>12.206544179386634</v>
      </c>
      <c r="AM115" s="563">
        <f t="shared" si="162"/>
        <v>13.698464214862053</v>
      </c>
      <c r="AN115" s="563">
        <f t="shared" si="162"/>
        <v>14.819643577716372</v>
      </c>
      <c r="AO115" s="563">
        <f t="shared" si="162"/>
        <v>16.526428835260937</v>
      </c>
      <c r="AP115" s="562">
        <f t="shared" si="162"/>
        <v>16.526428835260937</v>
      </c>
      <c r="AQ115" s="563">
        <f t="shared" si="162"/>
        <v>15.892527154326206</v>
      </c>
      <c r="AR115" s="563">
        <f t="shared" si="162"/>
        <v>16.070914531886434</v>
      </c>
      <c r="AS115" s="563">
        <f t="shared" si="162"/>
        <v>17.42026902816928</v>
      </c>
      <c r="AT115" s="563">
        <f t="shared" si="162"/>
        <v>17.593184608487324</v>
      </c>
      <c r="AU115" s="562">
        <f t="shared" si="162"/>
        <v>17.593184608487324</v>
      </c>
      <c r="AV115" s="563">
        <f t="shared" si="162"/>
        <v>18.425326455561621</v>
      </c>
      <c r="AW115" s="563">
        <f t="shared" si="162"/>
        <v>19.28331753870464</v>
      </c>
      <c r="AX115" s="563">
        <f t="shared" si="162"/>
        <v>19.41202888172182</v>
      </c>
      <c r="AY115" s="563">
        <f t="shared" si="162"/>
        <v>18.658057234061786</v>
      </c>
      <c r="AZ115" s="562">
        <f t="shared" si="162"/>
        <v>18.658057234061786</v>
      </c>
      <c r="BA115" s="563">
        <f t="shared" si="162"/>
        <v>19.418271467878416</v>
      </c>
      <c r="BB115" s="563">
        <f t="shared" si="162"/>
        <v>19.533065737644375</v>
      </c>
      <c r="BC115" s="563">
        <f t="shared" ref="BC115:BY115" si="163">BC114/BC134</f>
        <v>10.910544653865415</v>
      </c>
      <c r="BD115" s="563">
        <f t="shared" si="163"/>
        <v>12.081419253870877</v>
      </c>
      <c r="BE115" s="562">
        <f t="shared" si="163"/>
        <v>12.081419253870877</v>
      </c>
      <c r="BF115" s="563">
        <f t="shared" si="163"/>
        <v>13.873588762919589</v>
      </c>
      <c r="BG115" s="563">
        <f t="shared" si="163"/>
        <v>14.747534198058796</v>
      </c>
      <c r="BH115" s="563">
        <f t="shared" si="163"/>
        <v>16.538032109207816</v>
      </c>
      <c r="BI115" s="563">
        <f t="shared" si="163"/>
        <v>20.310117095712165</v>
      </c>
      <c r="BJ115" s="562">
        <f t="shared" si="163"/>
        <v>20.310117095712165</v>
      </c>
      <c r="BK115" s="563">
        <f t="shared" si="163"/>
        <v>20.949431302789044</v>
      </c>
      <c r="BL115" s="563">
        <f t="shared" si="163"/>
        <v>22.570806658067898</v>
      </c>
      <c r="BM115" s="563">
        <f t="shared" si="163"/>
        <v>23.13147307682404</v>
      </c>
      <c r="BN115" s="563">
        <f t="shared" si="163"/>
        <v>21.992027491408933</v>
      </c>
      <c r="BO115" s="562">
        <f t="shared" si="163"/>
        <v>21.992027491408933</v>
      </c>
      <c r="BP115" s="563">
        <f t="shared" si="163"/>
        <v>18.029619922334149</v>
      </c>
      <c r="BQ115" s="563">
        <f t="shared" si="163"/>
        <v>19.92369742638412</v>
      </c>
      <c r="BR115" s="563">
        <f>BR114/BR134</f>
        <v>20.423418708999424</v>
      </c>
      <c r="BS115" s="563">
        <f>BS114/BS134</f>
        <v>14.053742395631176</v>
      </c>
      <c r="BT115" s="562">
        <f t="shared" si="163"/>
        <v>14.053742395631176</v>
      </c>
      <c r="BU115" s="563">
        <f>BU114/BU134</f>
        <v>15.096807339037694</v>
      </c>
      <c r="BV115" s="563">
        <f>BV114/BV134</f>
        <v>15.829338529281843</v>
      </c>
      <c r="BW115" s="563">
        <f>BW114/BW134</f>
        <v>16.258085426606971</v>
      </c>
      <c r="BX115" s="563">
        <f t="shared" si="163"/>
        <v>14.760596526148516</v>
      </c>
      <c r="BY115" s="562">
        <f t="shared" si="163"/>
        <v>14.760596526148516</v>
      </c>
      <c r="BZ115" s="563">
        <f t="shared" ref="BZ115:CA115" si="164">BZ114/BZ134</f>
        <v>14.744875757535153</v>
      </c>
      <c r="CA115" s="563">
        <f t="shared" si="164"/>
        <v>15.725373056432746</v>
      </c>
      <c r="CB115" s="563">
        <f t="shared" ref="CB115" si="165">CB114/CB134</f>
        <v>17.415407426942206</v>
      </c>
      <c r="CC115" s="563">
        <f t="shared" ref="CC115:CH115" si="166">CC114/CC134</f>
        <v>18.174141971506383</v>
      </c>
      <c r="CD115" s="562">
        <f t="shared" si="166"/>
        <v>18.174141971506383</v>
      </c>
      <c r="CE115" s="563">
        <f t="shared" si="166"/>
        <v>19.040708182004813</v>
      </c>
      <c r="CF115" s="563">
        <f t="shared" si="166"/>
        <v>20.257232203760601</v>
      </c>
      <c r="CG115" s="563">
        <f t="shared" si="166"/>
        <v>21.455065390541467</v>
      </c>
      <c r="CH115" s="563">
        <f t="shared" si="166"/>
        <v>22.452483518304295</v>
      </c>
      <c r="CI115" s="562">
        <f t="shared" ref="CI115" si="167">CI114/CI134</f>
        <v>22.452483518304291</v>
      </c>
      <c r="CJ115" s="562">
        <f>CJ114/CJ134</f>
        <v>27.459402120323922</v>
      </c>
      <c r="CK115" s="562">
        <f>CK114/CK134</f>
        <v>33.005825964187586</v>
      </c>
      <c r="CL115" s="562">
        <f>CL114/CL134</f>
        <v>38.772076885501093</v>
      </c>
      <c r="CM115" s="509"/>
      <c r="CN115" s="524"/>
    </row>
    <row r="116" spans="1:98">
      <c r="A116" s="264"/>
      <c r="B116" s="485"/>
      <c r="C116" s="485"/>
      <c r="D116" s="265"/>
      <c r="E116" s="265"/>
      <c r="F116" s="561"/>
      <c r="G116" s="561"/>
      <c r="H116" s="561"/>
      <c r="I116" s="559"/>
      <c r="J116" s="559"/>
      <c r="K116" s="559"/>
      <c r="L116" s="559"/>
      <c r="M116" s="550"/>
      <c r="N116" s="550"/>
      <c r="O116" s="550"/>
      <c r="P116" s="550"/>
      <c r="Q116" s="559"/>
      <c r="R116" s="550"/>
      <c r="S116" s="550"/>
      <c r="T116" s="560"/>
      <c r="U116" s="560"/>
      <c r="V116" s="559"/>
      <c r="W116" s="550"/>
      <c r="X116" s="550"/>
      <c r="Y116" s="550"/>
      <c r="Z116" s="550"/>
      <c r="AA116" s="559"/>
      <c r="AB116" s="550"/>
      <c r="AC116" s="550"/>
      <c r="AD116" s="550"/>
      <c r="AE116" s="550"/>
      <c r="AF116" s="559"/>
      <c r="AG116" s="550"/>
      <c r="AH116" s="550"/>
      <c r="AI116" s="550"/>
      <c r="AJ116" s="550"/>
      <c r="AK116" s="559"/>
      <c r="AL116" s="550"/>
      <c r="AM116" s="550"/>
      <c r="AN116" s="550"/>
      <c r="AO116" s="550"/>
      <c r="AP116" s="559"/>
      <c r="AQ116" s="550"/>
      <c r="AR116" s="550"/>
      <c r="AS116" s="550"/>
      <c r="AT116" s="550"/>
      <c r="AU116" s="559"/>
      <c r="AV116" s="550"/>
      <c r="AW116" s="550"/>
      <c r="AX116" s="550"/>
      <c r="AY116" s="550"/>
      <c r="AZ116" s="559"/>
      <c r="BA116" s="550"/>
      <c r="BB116" s="550"/>
      <c r="BC116" s="550"/>
      <c r="BD116" s="550"/>
      <c r="BE116" s="559"/>
      <c r="BF116" s="550"/>
      <c r="BG116" s="550"/>
      <c r="BH116" s="550"/>
      <c r="BI116" s="550"/>
      <c r="BJ116" s="559"/>
      <c r="BK116" s="550"/>
      <c r="BL116" s="550"/>
      <c r="BM116" s="550"/>
      <c r="BN116" s="550"/>
      <c r="BO116" s="559"/>
      <c r="BP116" s="550"/>
      <c r="BQ116" s="550"/>
      <c r="BR116" s="550"/>
      <c r="BS116" s="550"/>
      <c r="BT116" s="559"/>
      <c r="BU116" s="550"/>
      <c r="BV116" s="550"/>
      <c r="BW116" s="550"/>
      <c r="BX116" s="550"/>
      <c r="BY116" s="559"/>
      <c r="BZ116" s="550"/>
      <c r="CA116" s="550"/>
      <c r="CB116" s="550"/>
      <c r="CC116" s="550"/>
      <c r="CD116" s="559"/>
      <c r="CE116" s="550"/>
      <c r="CF116" s="550"/>
      <c r="CG116" s="550"/>
      <c r="CH116" s="550"/>
      <c r="CI116" s="559"/>
      <c r="CJ116" s="559"/>
      <c r="CK116" s="559"/>
      <c r="CL116" s="559"/>
      <c r="CM116" s="509"/>
      <c r="CN116" s="524"/>
    </row>
    <row r="117" spans="1:98">
      <c r="A117" s="264"/>
      <c r="B117" s="485" t="s">
        <v>340</v>
      </c>
      <c r="C117" s="485"/>
      <c r="D117" s="265"/>
      <c r="E117" s="265"/>
      <c r="F117" s="310"/>
      <c r="G117" s="310"/>
      <c r="H117" s="310"/>
      <c r="I117" s="544">
        <v>0.10200929371734443</v>
      </c>
      <c r="J117" s="544">
        <v>0.14323804280695748</v>
      </c>
      <c r="K117" s="544">
        <v>0.16075212301781047</v>
      </c>
      <c r="L117" s="544">
        <v>9.5071438735663163E-2</v>
      </c>
      <c r="M117" s="545">
        <v>0.1046909516780726</v>
      </c>
      <c r="N117" s="545">
        <v>9.8357948847571694E-2</v>
      </c>
      <c r="O117" s="545">
        <v>9.6481936775818192E-2</v>
      </c>
      <c r="P117" s="545">
        <v>8.7509829232692266E-2</v>
      </c>
      <c r="Q117" s="544">
        <v>8.8176490562049667E-2</v>
      </c>
      <c r="R117" s="545">
        <v>8.1101266545714229E-2</v>
      </c>
      <c r="S117" s="545">
        <v>0.12478761907847552</v>
      </c>
      <c r="T117" s="549">
        <v>0.12280518294658598</v>
      </c>
      <c r="U117" s="549">
        <v>0.12174999007522912</v>
      </c>
      <c r="V117" s="544">
        <v>0.13796426900510841</v>
      </c>
      <c r="W117" s="545">
        <f t="shared" ref="W117:BB117" si="168">(W42+W34)/W136</f>
        <v>0.11346411952122805</v>
      </c>
      <c r="X117" s="545">
        <f t="shared" si="168"/>
        <v>0.12078908080548861</v>
      </c>
      <c r="Y117" s="545">
        <f t="shared" si="168"/>
        <v>0.11802217189569839</v>
      </c>
      <c r="Z117" s="545">
        <f t="shared" si="168"/>
        <v>0.11363644934616707</v>
      </c>
      <c r="AA117" s="544">
        <f t="shared" si="168"/>
        <v>0.11363644934616707</v>
      </c>
      <c r="AB117" s="545">
        <f t="shared" si="168"/>
        <v>0.10939389925590977</v>
      </c>
      <c r="AC117" s="545">
        <f t="shared" si="168"/>
        <v>0.10064364562567178</v>
      </c>
      <c r="AD117" s="545">
        <f t="shared" si="168"/>
        <v>8.9321708985508827E-2</v>
      </c>
      <c r="AE117" s="545">
        <f t="shared" si="168"/>
        <v>0.10710583169042416</v>
      </c>
      <c r="AF117" s="544">
        <f t="shared" si="168"/>
        <v>0.10710583169042416</v>
      </c>
      <c r="AG117" s="545">
        <f t="shared" si="168"/>
        <v>0.1203418521413193</v>
      </c>
      <c r="AH117" s="545">
        <f t="shared" si="168"/>
        <v>0.15223321648698918</v>
      </c>
      <c r="AI117" s="545">
        <f t="shared" si="168"/>
        <v>0.15875574171086881</v>
      </c>
      <c r="AJ117" s="545">
        <f t="shared" si="168"/>
        <v>0.20660050730087301</v>
      </c>
      <c r="AK117" s="544">
        <f t="shared" si="168"/>
        <v>0.20660050730087301</v>
      </c>
      <c r="AL117" s="545">
        <f t="shared" si="168"/>
        <v>0.24569824773577706</v>
      </c>
      <c r="AM117" s="545">
        <f t="shared" si="168"/>
        <v>0.19575306073190291</v>
      </c>
      <c r="AN117" s="545">
        <f t="shared" si="168"/>
        <v>0.16611153159404071</v>
      </c>
      <c r="AO117" s="545">
        <f t="shared" si="168"/>
        <v>0.145956770039188</v>
      </c>
      <c r="AP117" s="544">
        <f t="shared" si="168"/>
        <v>0.145956770039188</v>
      </c>
      <c r="AQ117" s="545">
        <f t="shared" si="168"/>
        <v>0.17085490676355178</v>
      </c>
      <c r="AR117" s="545">
        <f t="shared" si="168"/>
        <v>0.17648354654354775</v>
      </c>
      <c r="AS117" s="545">
        <f t="shared" si="168"/>
        <v>0.15454368245140065</v>
      </c>
      <c r="AT117" s="545">
        <f t="shared" si="168"/>
        <v>0.14028326461187801</v>
      </c>
      <c r="AU117" s="544">
        <f t="shared" si="168"/>
        <v>0.14028326461187801</v>
      </c>
      <c r="AV117" s="545">
        <f t="shared" si="168"/>
        <v>0.13089059708821998</v>
      </c>
      <c r="AW117" s="545">
        <f t="shared" si="168"/>
        <v>0.12592288591648237</v>
      </c>
      <c r="AX117" s="545">
        <f t="shared" si="168"/>
        <v>0.15899030314137508</v>
      </c>
      <c r="AY117" s="545">
        <f t="shared" si="168"/>
        <v>0.14522947580592729</v>
      </c>
      <c r="AZ117" s="544">
        <f t="shared" si="168"/>
        <v>0.14522947580592729</v>
      </c>
      <c r="BA117" s="545">
        <f t="shared" si="168"/>
        <v>0.12660734073161495</v>
      </c>
      <c r="BB117" s="545">
        <f t="shared" si="168"/>
        <v>0.29783370760475275</v>
      </c>
      <c r="BC117" s="545">
        <f t="shared" ref="BC117:BY117" si="169">(BC42+BC34)/BC136</f>
        <v>0.32716306798304839</v>
      </c>
      <c r="BD117" s="545">
        <f t="shared" si="169"/>
        <v>0.30148045550471797</v>
      </c>
      <c r="BE117" s="544">
        <f t="shared" si="169"/>
        <v>0.30148045550471797</v>
      </c>
      <c r="BF117" s="545">
        <f t="shared" si="169"/>
        <v>0.26374350936706037</v>
      </c>
      <c r="BG117" s="545">
        <f t="shared" si="169"/>
        <v>0.23389408313527585</v>
      </c>
      <c r="BH117" s="545">
        <f t="shared" si="169"/>
        <v>0.21677056600034844</v>
      </c>
      <c r="BI117" s="545">
        <f t="shared" si="169"/>
        <v>0.26259216534602914</v>
      </c>
      <c r="BJ117" s="544">
        <f t="shared" si="169"/>
        <v>0.26259216534602914</v>
      </c>
      <c r="BK117" s="545">
        <f t="shared" si="169"/>
        <v>0.23046061936265655</v>
      </c>
      <c r="BL117" s="545">
        <f t="shared" si="169"/>
        <v>0.20869140000967323</v>
      </c>
      <c r="BM117" s="545">
        <f t="shared" si="169"/>
        <v>0.18654649664573256</v>
      </c>
      <c r="BN117" s="545">
        <f t="shared" si="169"/>
        <v>0.18717198494518081</v>
      </c>
      <c r="BO117" s="544">
        <f t="shared" si="169"/>
        <v>0.18717198494518081</v>
      </c>
      <c r="BP117" s="545">
        <f t="shared" si="169"/>
        <v>0.21412369044800983</v>
      </c>
      <c r="BQ117" s="545">
        <f t="shared" si="169"/>
        <v>0.23075736617424097</v>
      </c>
      <c r="BR117" s="545">
        <f>(BR42+BR34)/BR136</f>
        <v>0.22754945021202336</v>
      </c>
      <c r="BS117" s="545">
        <f>(BS42+BS34)/BS136</f>
        <v>0.23861471306253154</v>
      </c>
      <c r="BT117" s="544">
        <f t="shared" si="169"/>
        <v>0.23861471306253154</v>
      </c>
      <c r="BU117" s="545">
        <f>(BU42+BU34)/BU136</f>
        <v>0.26134441702980205</v>
      </c>
      <c r="BV117" s="545">
        <f>(BV42+BV34)/BV136</f>
        <v>0.23896795246646638</v>
      </c>
      <c r="BW117" s="545">
        <f>(BW42+BW34)/BW136</f>
        <v>0.24001581247436399</v>
      </c>
      <c r="BX117" s="545">
        <f t="shared" si="169"/>
        <v>0.2596513035042719</v>
      </c>
      <c r="BY117" s="544">
        <f t="shared" si="169"/>
        <v>0.25998531076575787</v>
      </c>
      <c r="BZ117" s="545">
        <f t="shared" ref="BZ117:CA117" si="170">(BZ42+BZ34)/BZ136</f>
        <v>0.24813755160177933</v>
      </c>
      <c r="CA117" s="545">
        <f t="shared" si="170"/>
        <v>0.28024843418773943</v>
      </c>
      <c r="CB117" s="545">
        <f t="shared" ref="CB117" si="171">(CB42+CB34)/CB136</f>
        <v>0.27788720566526748</v>
      </c>
      <c r="CC117" s="545">
        <f t="shared" ref="CC117:CH117" si="172">(CC42+CC34)/CC136</f>
        <v>0.27330975472026781</v>
      </c>
      <c r="CD117" s="544">
        <f t="shared" si="172"/>
        <v>0.27366133178335017</v>
      </c>
      <c r="CE117" s="545">
        <f t="shared" si="172"/>
        <v>0.27977220160224459</v>
      </c>
      <c r="CF117" s="545">
        <f t="shared" si="172"/>
        <v>0.28593325905786621</v>
      </c>
      <c r="CG117" s="545">
        <f t="shared" si="172"/>
        <v>0.2810192333125428</v>
      </c>
      <c r="CH117" s="545">
        <f t="shared" si="172"/>
        <v>0.27619130894756772</v>
      </c>
      <c r="CI117" s="544">
        <f t="shared" ref="CI117" si="173">(CI42+CI34)/CI136</f>
        <v>0.27690233358089072</v>
      </c>
      <c r="CJ117" s="544">
        <f>(CJ42+CJ34)/CJ136</f>
        <v>0.25870597428160447</v>
      </c>
      <c r="CK117" s="544">
        <f>(CK42+CK34)/CK136</f>
        <v>0.24172791271285632</v>
      </c>
      <c r="CL117" s="544">
        <f>(CL42+CL34)/CL136</f>
        <v>0.22588473181734134</v>
      </c>
      <c r="CM117" s="509"/>
      <c r="CN117" s="524"/>
    </row>
    <row r="118" spans="1:98">
      <c r="A118" s="264"/>
      <c r="B118" s="485" t="s">
        <v>339</v>
      </c>
      <c r="C118" s="485"/>
      <c r="D118" s="265"/>
      <c r="E118" s="265"/>
      <c r="F118" s="310"/>
      <c r="G118" s="310"/>
      <c r="H118" s="310"/>
      <c r="I118" s="544">
        <v>9.4004322630299383E-2</v>
      </c>
      <c r="J118" s="544">
        <v>0.1388468513779636</v>
      </c>
      <c r="K118" s="544">
        <v>0.15923948541884048</v>
      </c>
      <c r="L118" s="544">
        <v>8.7374592983099769E-2</v>
      </c>
      <c r="M118" s="545">
        <v>9.6264165968983031E-2</v>
      </c>
      <c r="N118" s="545">
        <v>9.0514888137732813E-2</v>
      </c>
      <c r="O118" s="545">
        <v>8.8819337598859682E-2</v>
      </c>
      <c r="P118" s="545">
        <v>8.6690256961723486E-2</v>
      </c>
      <c r="Q118" s="544">
        <v>8.7350674682283344E-2</v>
      </c>
      <c r="R118" s="545">
        <v>8.0340288206087532E-2</v>
      </c>
      <c r="S118" s="545">
        <v>0.12385147790009235</v>
      </c>
      <c r="T118" s="549">
        <v>0.11731359463354837</v>
      </c>
      <c r="U118" s="549">
        <v>0.1090202460918052</v>
      </c>
      <c r="V118" s="544">
        <v>0.12353921794588389</v>
      </c>
      <c r="W118" s="545">
        <f t="shared" ref="W118:BB118" si="174">W42/W136</f>
        <v>0.10160405589252397</v>
      </c>
      <c r="X118" s="545">
        <f t="shared" si="174"/>
        <v>0.11007894935048465</v>
      </c>
      <c r="Y118" s="545">
        <f t="shared" si="174"/>
        <v>0.11114907899612214</v>
      </c>
      <c r="Z118" s="545">
        <f t="shared" si="174"/>
        <v>0.11304208284548736</v>
      </c>
      <c r="AA118" s="544">
        <f t="shared" si="174"/>
        <v>0.11304208284548736</v>
      </c>
      <c r="AB118" s="545">
        <f t="shared" si="174"/>
        <v>0.10883695110526449</v>
      </c>
      <c r="AC118" s="545">
        <f t="shared" si="174"/>
        <v>0.10014611347921719</v>
      </c>
      <c r="AD118" s="545">
        <f t="shared" si="174"/>
        <v>8.8730923688250321E-2</v>
      </c>
      <c r="AE118" s="545">
        <f t="shared" si="174"/>
        <v>0.10646821790881181</v>
      </c>
      <c r="AF118" s="544">
        <f t="shared" si="174"/>
        <v>0.10646821790881181</v>
      </c>
      <c r="AG118" s="545">
        <f t="shared" si="174"/>
        <v>0.1196550376005624</v>
      </c>
      <c r="AH118" s="545">
        <f t="shared" si="174"/>
        <v>0.13623343484693468</v>
      </c>
      <c r="AI118" s="545">
        <f t="shared" si="174"/>
        <v>0.14209899961388778</v>
      </c>
      <c r="AJ118" s="545">
        <f t="shared" si="174"/>
        <v>0.18454309161659344</v>
      </c>
      <c r="AK118" s="544">
        <f t="shared" si="174"/>
        <v>0.18454309161659344</v>
      </c>
      <c r="AL118" s="545">
        <f t="shared" si="174"/>
        <v>0.23006425187562962</v>
      </c>
      <c r="AM118" s="545">
        <f t="shared" si="174"/>
        <v>0.17831235039094687</v>
      </c>
      <c r="AN118" s="545">
        <f t="shared" si="174"/>
        <v>0.15280720405568357</v>
      </c>
      <c r="AO118" s="545">
        <f t="shared" si="174"/>
        <v>0.12699315597614072</v>
      </c>
      <c r="AP118" s="544">
        <f t="shared" si="174"/>
        <v>0.12699315597614072</v>
      </c>
      <c r="AQ118" s="545">
        <f t="shared" si="174"/>
        <v>0.14565253406583487</v>
      </c>
      <c r="AR118" s="545">
        <f t="shared" si="174"/>
        <v>0.16646794360149167</v>
      </c>
      <c r="AS118" s="545">
        <f t="shared" si="174"/>
        <v>0.15311455248087122</v>
      </c>
      <c r="AT118" s="545">
        <f t="shared" si="174"/>
        <v>0.13803553315294395</v>
      </c>
      <c r="AU118" s="544">
        <f t="shared" si="174"/>
        <v>0.13803553315294395</v>
      </c>
      <c r="AV118" s="545">
        <f t="shared" si="174"/>
        <v>0.12889000123488462</v>
      </c>
      <c r="AW118" s="545">
        <f t="shared" si="174"/>
        <v>0.11801540611367009</v>
      </c>
      <c r="AX118" s="545">
        <f t="shared" si="174"/>
        <v>0.14902988063794442</v>
      </c>
      <c r="AY118" s="545">
        <f t="shared" si="174"/>
        <v>0.14328403422971081</v>
      </c>
      <c r="AZ118" s="544">
        <f t="shared" si="174"/>
        <v>0.14328403422971081</v>
      </c>
      <c r="BA118" s="545">
        <f t="shared" si="174"/>
        <v>0.12556220176423799</v>
      </c>
      <c r="BB118" s="545">
        <f t="shared" si="174"/>
        <v>0.29694794600542118</v>
      </c>
      <c r="BC118" s="545">
        <f t="shared" ref="BC118:BY118" si="175">BC42/BC136</f>
        <v>0.32622935161080169</v>
      </c>
      <c r="BD118" s="545">
        <f t="shared" si="175"/>
        <v>0.28660416399046545</v>
      </c>
      <c r="BE118" s="544">
        <f t="shared" si="175"/>
        <v>0.28660416399046545</v>
      </c>
      <c r="BF118" s="545">
        <f t="shared" si="175"/>
        <v>0.25115768260566929</v>
      </c>
      <c r="BG118" s="545">
        <f t="shared" si="175"/>
        <v>0.22206859011562186</v>
      </c>
      <c r="BH118" s="545">
        <f t="shared" si="175"/>
        <v>0.20535339470035402</v>
      </c>
      <c r="BI118" s="545">
        <f t="shared" si="175"/>
        <v>0.26259216534602914</v>
      </c>
      <c r="BJ118" s="544">
        <f t="shared" si="175"/>
        <v>0.26259216534602914</v>
      </c>
      <c r="BK118" s="545">
        <f t="shared" si="175"/>
        <v>0.23046061936265655</v>
      </c>
      <c r="BL118" s="545">
        <f t="shared" si="175"/>
        <v>0.20869140000967323</v>
      </c>
      <c r="BM118" s="545">
        <f t="shared" si="175"/>
        <v>0.18654649664573256</v>
      </c>
      <c r="BN118" s="545">
        <f t="shared" si="175"/>
        <v>0.18717198494518081</v>
      </c>
      <c r="BO118" s="544">
        <f t="shared" si="175"/>
        <v>0.18717198494518081</v>
      </c>
      <c r="BP118" s="545">
        <f t="shared" si="175"/>
        <v>0.21412369044800983</v>
      </c>
      <c r="BQ118" s="545">
        <f t="shared" si="175"/>
        <v>0.23075736617424097</v>
      </c>
      <c r="BR118" s="545">
        <f>BR42/BR136</f>
        <v>0.22754945021202336</v>
      </c>
      <c r="BS118" s="545">
        <f>BS42/BS136</f>
        <v>0.2364242400311867</v>
      </c>
      <c r="BT118" s="544">
        <f t="shared" si="175"/>
        <v>0.2364242400311867</v>
      </c>
      <c r="BU118" s="545">
        <f>BU42/BU136</f>
        <v>0.26134441702980205</v>
      </c>
      <c r="BV118" s="545">
        <f>BV42/BV136</f>
        <v>0.23896795246646638</v>
      </c>
      <c r="BW118" s="545">
        <f>BW42/BW136</f>
        <v>0.24001581247436399</v>
      </c>
      <c r="BX118" s="545">
        <f t="shared" si="175"/>
        <v>0.2596513035042719</v>
      </c>
      <c r="BY118" s="544">
        <f t="shared" si="175"/>
        <v>0.25998531076575787</v>
      </c>
      <c r="BZ118" s="545">
        <f t="shared" ref="BZ118:CA118" si="176">BZ42/BZ136</f>
        <v>0.24813755160177933</v>
      </c>
      <c r="CA118" s="545">
        <f t="shared" si="176"/>
        <v>0.28024843418773943</v>
      </c>
      <c r="CB118" s="545">
        <f t="shared" ref="CB118" si="177">CB42/CB136</f>
        <v>0.27788720566526748</v>
      </c>
      <c r="CC118" s="545">
        <f t="shared" ref="CC118:CH118" si="178">CC42/CC136</f>
        <v>0.27330975472026781</v>
      </c>
      <c r="CD118" s="544">
        <f t="shared" si="178"/>
        <v>0.27366133178335017</v>
      </c>
      <c r="CE118" s="545">
        <f t="shared" si="178"/>
        <v>0.27977220160224459</v>
      </c>
      <c r="CF118" s="545">
        <f t="shared" si="178"/>
        <v>0.28593325905786621</v>
      </c>
      <c r="CG118" s="545">
        <f t="shared" si="178"/>
        <v>0.2810192333125428</v>
      </c>
      <c r="CH118" s="545">
        <f t="shared" si="178"/>
        <v>0.27619130894756772</v>
      </c>
      <c r="CI118" s="544">
        <f t="shared" ref="CI118" si="179">CI42/CI136</f>
        <v>0.27690233358089072</v>
      </c>
      <c r="CJ118" s="544">
        <f>CJ42/CJ136</f>
        <v>0.25870597428160447</v>
      </c>
      <c r="CK118" s="544">
        <f>CK42/CK136</f>
        <v>0.24172791271285632</v>
      </c>
      <c r="CL118" s="544">
        <f>CL42/CL136</f>
        <v>0.22588473181734134</v>
      </c>
      <c r="CM118" s="509"/>
      <c r="CN118" s="524"/>
    </row>
    <row r="119" spans="1:98">
      <c r="A119" s="264"/>
      <c r="B119" s="485"/>
      <c r="C119" s="485"/>
      <c r="D119" s="265"/>
      <c r="E119" s="265"/>
      <c r="F119" s="558"/>
      <c r="G119" s="558"/>
      <c r="H119" s="558"/>
      <c r="I119" s="544"/>
      <c r="J119" s="544"/>
      <c r="K119" s="544"/>
      <c r="L119" s="544"/>
      <c r="M119" s="550"/>
      <c r="N119" s="550"/>
      <c r="O119" s="550"/>
      <c r="P119" s="550"/>
      <c r="Q119" s="544"/>
      <c r="R119" s="550"/>
      <c r="S119" s="545"/>
      <c r="T119" s="549"/>
      <c r="U119" s="549"/>
      <c r="V119" s="544"/>
      <c r="W119" s="545"/>
      <c r="X119" s="545"/>
      <c r="Y119" s="545"/>
      <c r="Z119" s="545"/>
      <c r="AA119" s="544"/>
      <c r="AB119" s="545"/>
      <c r="AC119" s="545"/>
      <c r="AD119" s="545"/>
      <c r="AE119" s="545"/>
      <c r="AF119" s="544"/>
      <c r="AG119" s="545"/>
      <c r="AH119" s="545"/>
      <c r="AI119" s="545"/>
      <c r="AJ119" s="545"/>
      <c r="AK119" s="544"/>
      <c r="AL119" s="545"/>
      <c r="AM119" s="545"/>
      <c r="AN119" s="545"/>
      <c r="AO119" s="545"/>
      <c r="AP119" s="544"/>
      <c r="AQ119" s="545"/>
      <c r="AR119" s="545"/>
      <c r="AS119" s="545"/>
      <c r="AT119" s="545"/>
      <c r="AU119" s="544"/>
      <c r="AV119" s="545"/>
      <c r="AW119" s="545"/>
      <c r="AX119" s="545"/>
      <c r="AY119" s="545"/>
      <c r="AZ119" s="544"/>
      <c r="BA119" s="545"/>
      <c r="BB119" s="545"/>
      <c r="BC119" s="545"/>
      <c r="BD119" s="545"/>
      <c r="BE119" s="544"/>
      <c r="BF119" s="545"/>
      <c r="BG119" s="545"/>
      <c r="BH119" s="545"/>
      <c r="BI119" s="545"/>
      <c r="BJ119" s="544"/>
      <c r="BK119" s="545"/>
      <c r="BL119" s="545"/>
      <c r="BM119" s="545"/>
      <c r="BN119" s="545"/>
      <c r="BO119" s="544"/>
      <c r="BP119" s="545"/>
      <c r="BQ119" s="545"/>
      <c r="BR119" s="545"/>
      <c r="BS119" s="545"/>
      <c r="BT119" s="544"/>
      <c r="BU119" s="545"/>
      <c r="BV119" s="545"/>
      <c r="BW119" s="545"/>
      <c r="BX119" s="545"/>
      <c r="BY119" s="544"/>
      <c r="BZ119" s="545"/>
      <c r="CA119" s="545"/>
      <c r="CB119" s="545"/>
      <c r="CC119" s="545"/>
      <c r="CD119" s="544"/>
      <c r="CE119" s="545"/>
      <c r="CF119" s="545"/>
      <c r="CG119" s="545"/>
      <c r="CH119" s="545"/>
      <c r="CI119" s="544"/>
      <c r="CJ119" s="544"/>
      <c r="CK119" s="544"/>
      <c r="CL119" s="544"/>
      <c r="CM119" s="509"/>
      <c r="CN119" s="524"/>
    </row>
    <row r="120" spans="1:98">
      <c r="A120" s="264"/>
      <c r="B120" s="485" t="s">
        <v>338</v>
      </c>
      <c r="C120" s="485"/>
      <c r="D120" s="265"/>
      <c r="E120" s="265"/>
      <c r="F120" s="310"/>
      <c r="G120" s="310"/>
      <c r="H120" s="310"/>
      <c r="I120" s="556"/>
      <c r="J120" s="556">
        <f>(IS!O77)/((BS!J30+BS!I30)/2)</f>
        <v>7.406416601379627E-2</v>
      </c>
      <c r="K120" s="556">
        <f>(IS!T77)/((BS!K30+BS!J30)/2)</f>
        <v>7.9773096202215524E-2</v>
      </c>
      <c r="L120" s="556">
        <f>(IS!Y77)/((BS!L30+BS!K30)/2)</f>
        <v>7.3363992293828853E-2</v>
      </c>
      <c r="M120" s="557">
        <f>(IS!Z77*4)/((BS!M30+BS!L30)/2)</f>
        <v>6.190837336029887E-2</v>
      </c>
      <c r="N120" s="557">
        <f>(IS!AA77*4)/((BS!N30+BS!M30)/2)</f>
        <v>9.0002754062241813E-2</v>
      </c>
      <c r="O120" s="557">
        <f>(IS!AB77*4)/((BS!O30+BS!N30)/2)</f>
        <v>7.4593329117500634E-2</v>
      </c>
      <c r="P120" s="557">
        <f>(IS!AC77*4)/((BS!P30+BS!O30)/2)</f>
        <v>6.271134337534584E-2</v>
      </c>
      <c r="Q120" s="556">
        <f>(IS!AD77)/((BS!Q30+BS!L30)/2)</f>
        <v>7.3644588258601332E-2</v>
      </c>
      <c r="R120" s="557">
        <f>(IS!AE77*4)/((BS!R30+BS!Q30)/2)</f>
        <v>6.4315352697095429E-2</v>
      </c>
      <c r="S120" s="557">
        <f>(IS!AF77*4)/((BS!S30+BS!R30)/2)</f>
        <v>9.1039073670393544E-2</v>
      </c>
      <c r="T120" s="557">
        <f>(IS!AG77*4)/((BS!T30+BS!S30)/2)</f>
        <v>7.2287830594657654E-2</v>
      </c>
      <c r="U120" s="557">
        <f>(IS!AH77*4)/((BS!U30+BS!T30)/2)</f>
        <v>5.4438924700792451E-2</v>
      </c>
      <c r="V120" s="556">
        <f>(IS!AI77)/((BS!V30+BS!Q30)/2)</f>
        <v>7.1069633883704242E-2</v>
      </c>
      <c r="W120" s="557">
        <f>(IS!AJ77*4)/((BS!W30+BS!V30)/2)</f>
        <v>6.6095787254184774E-2</v>
      </c>
      <c r="X120" s="557">
        <f>(IS!AK77*4)/((BS!X30+BS!W30)/2)</f>
        <v>9.1728432279592917E-2</v>
      </c>
      <c r="Y120" s="557">
        <f>(IS!AL77*4)/((BS!Y30+BS!X30)/2)</f>
        <v>8.0678803588424691E-2</v>
      </c>
      <c r="Z120" s="557">
        <f>(IS!AM77*4)/((BS!Z30+BS!Y30)/2)</f>
        <v>7.1534159628683952E-2</v>
      </c>
      <c r="AA120" s="556">
        <f>(IS!AN77)/((BS!AA30+BS!V30)/2)</f>
        <v>8.0201147572690354E-2</v>
      </c>
      <c r="AB120" s="557">
        <f>(IS!AO77*4)/((BS!AB30+BS!AA30)/2)</f>
        <v>6.8446784505453176E-2</v>
      </c>
      <c r="AC120" s="557">
        <f>(IS!AP77*4)/((BS!AC30+BS!AB30)/2)</f>
        <v>9.2636675408513211E-2</v>
      </c>
      <c r="AD120" s="557">
        <f>(IS!AQ77*4)/((BS!AD30+BS!AC30)/2)</f>
        <v>9.2029138716435699E-2</v>
      </c>
      <c r="AE120" s="557">
        <f>(IS!AR77*4)/((BS!AE30+BS!AD30)/2)</f>
        <v>7.8466207713376271E-2</v>
      </c>
      <c r="AF120" s="556">
        <f>(IS!AS77)/((BS!AF30+BS!AA30)/2)</f>
        <v>8.3054779975618387E-2</v>
      </c>
      <c r="AG120" s="557">
        <f>(IS!AT77*4)/((BS!AG30+BS!AF30)/2)</f>
        <v>7.1666606944494213E-2</v>
      </c>
      <c r="AH120" s="557">
        <f>(IS!AU77*4)/((BS!AH30+BS!AG30)/2)</f>
        <v>8.8281878846103917E-2</v>
      </c>
      <c r="AI120" s="557">
        <f>(IS!AV77*4)/((BS!AI30+BS!AH30)/2)</f>
        <v>8.8051623646960869E-2</v>
      </c>
      <c r="AJ120" s="557">
        <f>(IS!AW77*4)/((BS!AJ30+BS!AI30)/2)</f>
        <v>8.0862295747667262E-2</v>
      </c>
      <c r="AK120" s="556">
        <f>(IS!AX77)/((BS!AK30+BS!AF30)/2)</f>
        <v>8.445300961780916E-2</v>
      </c>
      <c r="AL120" s="557">
        <f>(IS!AY77*4)/((BS!AL30+BS!AK30)/2)</f>
        <v>5.2118597607556598E-2</v>
      </c>
      <c r="AM120" s="557">
        <f>(IS!AZ77*4)/((BS!AM30+BS!AL30)/2)</f>
        <v>6.9953926156112192E-2</v>
      </c>
      <c r="AN120" s="557">
        <f>(IS!BA77*4)/((BS!AN30+BS!AM30)/2)</f>
        <v>7.4119275862673278E-2</v>
      </c>
      <c r="AO120" s="557">
        <f>(IS!BB77*4)/((BS!AO30+BS!AN30)/2)</f>
        <v>7.5766329330592297E-2</v>
      </c>
      <c r="AP120" s="556">
        <f>(IS!BC77)/((BS!AP30+BS!AK30)/2)</f>
        <v>6.8238454615926078E-2</v>
      </c>
      <c r="AQ120" s="557">
        <f>(IS!BD77*4)/((BS!AQ30+BS!AP30)/2)</f>
        <v>6.0692071835304423E-2</v>
      </c>
      <c r="AR120" s="557">
        <f>(IS!BE77*4)/((BS!AR30+BS!AQ30)/2)</f>
        <v>7.6072337254028496E-2</v>
      </c>
      <c r="AS120" s="557">
        <f>(IS!BF77*4)/((BS!AS30+BS!AR30)/2)</f>
        <v>8.0543229796961144E-2</v>
      </c>
      <c r="AT120" s="557">
        <f>(IS!BG77*4)/((BS!AT30+BS!AS30)/2)</f>
        <v>8.0508972486612609E-2</v>
      </c>
      <c r="AU120" s="556">
        <f>(IS!BH77)/((BS!AU30+BS!AP30)/2)</f>
        <v>7.6548072294429129E-2</v>
      </c>
      <c r="AV120" s="557">
        <f>(IS!BI77*4)/((BS!AV30+BS!AU30)/2)</f>
        <v>6.7943973077536357E-2</v>
      </c>
      <c r="AW120" s="557">
        <f>(IS!BJ77*4)/((BS!AW30+BS!AV30)/2)</f>
        <v>8.5855501543021392E-2</v>
      </c>
      <c r="AX120" s="557">
        <f>(IS!BK77*4)/((BS!AX30+BS!AW30)/2)</f>
        <v>8.5353962689874691E-2</v>
      </c>
      <c r="AY120" s="557">
        <f>(IS!BL77*4)/((BS!AY30+BS!AX30)/2)</f>
        <v>8.5899513776337116E-2</v>
      </c>
      <c r="AZ120" s="556">
        <f>(IS!BM77)/((BS!AZ30+BS!AU30)/2)</f>
        <v>8.3021384801367296E-2</v>
      </c>
      <c r="BA120" s="557">
        <f>(IS!BN77*4)/((BS!BA30+BS!AZ30)/2)</f>
        <v>2.1432746638955641E-2</v>
      </c>
      <c r="BB120" s="557">
        <f>(IS!BO77*4)/((BS!BB30+BS!BA30)/2)</f>
        <v>7.790169896683459E-2</v>
      </c>
      <c r="BC120" s="557">
        <f>(IS!BP77*4)/((BS!BC30+BS!BB30)/2)</f>
        <v>6.7947586720208411E-2</v>
      </c>
      <c r="BD120" s="557">
        <f>(IS!BQ77*4)/((BS!BD30+BS!BC30)/2)</f>
        <v>9.0739158005017778E-2</v>
      </c>
      <c r="BE120" s="556">
        <f>(IS!BR77)/((BS!BE30+BS!AZ30)/2)</f>
        <v>6.8009624753912548E-2</v>
      </c>
      <c r="BF120" s="557">
        <f>(IS!BS77*4)/((BS!BF30+BS!BE30)/2)</f>
        <v>5.7103674643945099E-2</v>
      </c>
      <c r="BG120" s="557">
        <f>(IS!BT77*4)/((BS!BG30+BS!BF30)/2)</f>
        <v>7.0045188624426685E-2</v>
      </c>
      <c r="BH120" s="557">
        <f>(IS!BU77*4)/((BS!BH30+BS!BG30)/2)</f>
        <v>6.3215502317529454E-2</v>
      </c>
      <c r="BI120" s="557">
        <f>(IS!BV77*4)/((BS!BI30+BS!BH30)/2)</f>
        <v>6.4072518240106124E-2</v>
      </c>
      <c r="BJ120" s="556">
        <f>(IS!BW77)/((BS!BJ30+BS!BE30)/2)</f>
        <v>6.3176724832363904E-2</v>
      </c>
      <c r="BK120" s="557">
        <f>(IS!BX77*4)/((BS!BK30+BS!BJ30)/2)</f>
        <v>5.3370585679479492E-2</v>
      </c>
      <c r="BL120" s="557">
        <f>(IS!BY77*4)/((BS!BL30+BS!BK30)/2)</f>
        <v>7.3294032316996688E-2</v>
      </c>
      <c r="BM120" s="557">
        <f>(IS!BZ77*4)/((BS!BM30+BS!BL30)/2)</f>
        <v>8.0645512081602477E-2</v>
      </c>
      <c r="BN120" s="557">
        <f>(IS!CA77*4)/((BS!BN30+BS!BM30)/2)</f>
        <v>6.4371282017666051E-2</v>
      </c>
      <c r="BO120" s="556">
        <f>(IS!CB77)/((BS!BO30+BS!BJ30)/2)</f>
        <v>6.8395616962552849E-2</v>
      </c>
      <c r="BP120" s="557">
        <f>(IS!CC77*4)/((BS!BP30+BS!BO30)/2)</f>
        <v>6.2469882157094668E-2</v>
      </c>
      <c r="BQ120" s="557">
        <f>(IS!CD77*4)/((BS!BQ30+BS!BP30)/2)</f>
        <v>6.7007061379684957E-2</v>
      </c>
      <c r="BR120" s="557">
        <f>(IS!CE77*4)/((BS!BR30+BS!BQ30)/2)</f>
        <v>5.8926601336881046E-2</v>
      </c>
      <c r="BS120" s="557">
        <f>(IS!CF77*4)/((BS!BS30+BS!BR30)/2)</f>
        <v>0.14599791781493049</v>
      </c>
      <c r="BT120" s="556">
        <f>(IS!CG77)/((BS!BT30+BS!BO30)/2)</f>
        <v>8.5113523854273301E-2</v>
      </c>
      <c r="BU120" s="557">
        <f>(IS!CH77*4)/((BS!BU30+BS!BT30)/2)</f>
        <v>5.3619607509017071E-2</v>
      </c>
      <c r="BV120" s="557">
        <f>(IS!CI77*4)/((BS!BV30+BS!BU30)/2)</f>
        <v>6.1690189889413709E-2</v>
      </c>
      <c r="BW120" s="557">
        <f>(IS!CJ77*4)/((BS!BW30+BS!BV30)/2)</f>
        <v>6.5945572623675799E-2</v>
      </c>
      <c r="BX120" s="557">
        <f>(IS!CK77*4)/((BS!BX30+BS!BW30)/2)</f>
        <v>4.5080325753193005E-2</v>
      </c>
      <c r="BY120" s="556">
        <f>(IS!CL77)/((BS!BY30+BS!BT30)/2)</f>
        <v>5.6955810147299508E-2</v>
      </c>
      <c r="BZ120" s="557">
        <f>(IS!CM77*4)/((BS!BZ30+BS!BY30)/2)</f>
        <v>6.1572976304843985E-2</v>
      </c>
      <c r="CA120" s="557">
        <f>(IS!CN77*4)/((BS!CA30+BS!BZ30)/2)</f>
        <v>6.2171240940561444E-2</v>
      </c>
      <c r="CB120" s="557">
        <f>(IS!CO77*4)/((BS!CB30+BS!CA30)/2)</f>
        <v>5.5664547856339432E-2</v>
      </c>
      <c r="CC120" s="557">
        <f>(IS!CP77*4)/((BS!CC30+BS!CB30)/2)</f>
        <v>4.8778912872118683E-2</v>
      </c>
      <c r="CD120" s="556">
        <f>(IS!CQ77)/((BS!CD30+BS!BY30)/2)</f>
        <v>5.7367844434964961E-2</v>
      </c>
      <c r="CE120" s="557">
        <f>(IS!CR77*4)/((BS!CE30+BS!CD30)/2)</f>
        <v>4.7576614923584164E-2</v>
      </c>
      <c r="CF120" s="557">
        <f>(IS!CS77*4)/((BS!CF30+BS!CE30)/2)</f>
        <v>5.7935597901955446E-2</v>
      </c>
      <c r="CG120" s="557">
        <f>(IS!CT77*4)/((BS!CG30+BS!CF30)/2)</f>
        <v>5.7356657107413361E-2</v>
      </c>
      <c r="CH120" s="557">
        <f>(IS!CU77*4)/((BS!CH30+BS!CG30)/2)</f>
        <v>5.1158807631595443E-2</v>
      </c>
      <c r="CI120" s="556">
        <f>(IS!CV77)/((BS!CI30+BS!CD30)/2)</f>
        <v>5.3928964223266991E-2</v>
      </c>
      <c r="CJ120" s="556">
        <f>(IS!CW77)/((BS!CJ30+BS!CI30)/2)</f>
        <v>5.8647805323372805E-2</v>
      </c>
      <c r="CK120" s="556">
        <f>(IS!CX77)/((BS!CK30+BS!CJ30)/2)</f>
        <v>6.1800767681357102E-2</v>
      </c>
      <c r="CL120" s="556">
        <f>(IS!CY77)/((BS!CL30+BS!CK30)/2)</f>
        <v>6.2116937485766785E-2</v>
      </c>
      <c r="CM120" s="509"/>
      <c r="CN120" s="524"/>
    </row>
    <row r="121" spans="1:98">
      <c r="A121" s="264"/>
      <c r="B121" s="485" t="s">
        <v>337</v>
      </c>
      <c r="C121" s="485"/>
      <c r="D121" s="265"/>
      <c r="E121" s="265"/>
      <c r="F121" s="310"/>
      <c r="G121" s="310"/>
      <c r="H121" s="310"/>
      <c r="I121" s="544"/>
      <c r="J121" s="544">
        <f>(IS!O77)/((BS!J62+BS!I62)/2)</f>
        <v>0.2417815482502651</v>
      </c>
      <c r="K121" s="544">
        <f>(IS!T77)/((BS!K62+BS!J62)/2)</f>
        <v>0.26740014350633817</v>
      </c>
      <c r="L121" s="544">
        <f>(IS!Y77)/((BS!L62+BS!K62)/2)</f>
        <v>0.23537035190908184</v>
      </c>
      <c r="M121" s="545">
        <f>(IS!Z77*4)/((BS!M62+BS!L62)/2)</f>
        <v>0.18527236045729656</v>
      </c>
      <c r="N121" s="545">
        <f>(IS!AA77*4)/((BS!N62+BS!M62)/2)</f>
        <v>0.26606961123549766</v>
      </c>
      <c r="O121" s="545">
        <f>(IS!AB77*4)/((BS!O62+BS!N62)/2)</f>
        <v>0.217258405831178</v>
      </c>
      <c r="P121" s="545">
        <f>(IS!AC77*4)/((BS!P62+BS!O62)/2)</f>
        <v>0.17931438617052448</v>
      </c>
      <c r="Q121" s="544">
        <f>(IS!AD77)/((BS!Q62+BS!L62)/2)</f>
        <v>0.21468448003696147</v>
      </c>
      <c r="R121" s="545">
        <f>(IS!AE77*4)/((BS!R62+BS!Q62)/2)</f>
        <v>0.17979700338327695</v>
      </c>
      <c r="S121" s="545">
        <f>(IS!AF77*4)/((BS!S62+BS!R62)/2)</f>
        <v>0.25915793687862815</v>
      </c>
      <c r="T121" s="545">
        <f>(IS!AG77*4)/((BS!T62+BS!S62)/2)</f>
        <v>0.21174801728028886</v>
      </c>
      <c r="U121" s="545">
        <f>(IS!AH77*4)/((BS!U62+BS!T62)/2)</f>
        <v>0.15298610050404765</v>
      </c>
      <c r="V121" s="544">
        <f>(IS!AI77)/((BS!V62+BS!Q62)/2)</f>
        <v>0.1963720126691621</v>
      </c>
      <c r="W121" s="545">
        <f>(IS!AJ77*4)/((BS!W62+BS!V62)/2)</f>
        <v>0.17887504367066495</v>
      </c>
      <c r="X121" s="545">
        <f>(IS!AK77*4)/((BS!X62+BS!W62)/2)</f>
        <v>0.24644602709118837</v>
      </c>
      <c r="Y121" s="545">
        <f>(IS!AL77*4)/((BS!Y62+BS!X62)/2)</f>
        <v>0.21315071424749879</v>
      </c>
      <c r="Z121" s="545">
        <f>(IS!AM77*4)/((BS!Z62+BS!Y62)/2)</f>
        <v>0.19099666031851179</v>
      </c>
      <c r="AA121" s="544">
        <f>(IS!AN77)/((BS!AA62+BS!V62)/2)</f>
        <v>0.21768548763415771</v>
      </c>
      <c r="AB121" s="545">
        <f>(IS!AO77*4)/((BS!AB62+BS!AA62)/2)</f>
        <v>0.18506906194390305</v>
      </c>
      <c r="AC121" s="545">
        <f>(IS!AP77*4)/((BS!AC62+BS!AB62)/2)</f>
        <v>0.24621323825098523</v>
      </c>
      <c r="AD121" s="545">
        <f>(IS!AQ77*4)/((BS!AD62+BS!AC62)/2)</f>
        <v>0.24259620500088669</v>
      </c>
      <c r="AE121" s="545">
        <f>(IS!AR77*4)/((BS!AE62+BS!AD62)/2)</f>
        <v>0.20368457713832777</v>
      </c>
      <c r="AF121" s="544">
        <f>(IS!AS77)/((BS!AF62+BS!AA62)/2)</f>
        <v>0.21856566283762807</v>
      </c>
      <c r="AG121" s="555">
        <f>(IS!AT77*4)/((BS!AG62+BS!AF62)/2)</f>
        <v>0.18630213548822802</v>
      </c>
      <c r="AH121" s="555">
        <f>(IS!AU77*4)/((BS!AH62+BS!AG62)/2)</f>
        <v>0.23449353993287048</v>
      </c>
      <c r="AI121" s="555">
        <f>(IS!AV77*4)/((BS!AI62+BS!AH62)/2)</f>
        <v>0.2361204791254797</v>
      </c>
      <c r="AJ121" s="555">
        <f>(IS!AW77*4)/((BS!AJ62+BS!AI62)/2)</f>
        <v>0.24756756756756756</v>
      </c>
      <c r="AK121" s="544">
        <f>(IS!AX77)/((BS!AK62+BS!AF62)/2)</f>
        <v>0.25160978750804891</v>
      </c>
      <c r="AL121" s="545">
        <f>(IS!AY77*4)/((BS!AL62+BS!AK62)/2)</f>
        <v>0.18276331547431451</v>
      </c>
      <c r="AM121" s="545">
        <f>(IS!AZ77*4)/((BS!AM62+BS!AL62)/2)</f>
        <v>0.23466136418414074</v>
      </c>
      <c r="AN121" s="545">
        <f>(IS!BA77*4)/((BS!AN62+BS!AM62)/2)</f>
        <v>0.23582692093230734</v>
      </c>
      <c r="AO121" s="545">
        <f>(IS!BB77*4)/((BS!AO62+BS!AN62)/2)</f>
        <v>0.22272805083646741</v>
      </c>
      <c r="AP121" s="544">
        <f>(IS!BC77)/((BS!AP62+BS!AK62)/2)</f>
        <v>0.21283578356446098</v>
      </c>
      <c r="AQ121" s="545">
        <f>(IS!BD77*4)/((BS!AQ62+BS!AP62)/2)</f>
        <v>0.173070197351986</v>
      </c>
      <c r="AR121" s="545">
        <f>(IS!BE77*4)/((BS!AR62+BS!AQ62)/2)</f>
        <v>0.22257312579893226</v>
      </c>
      <c r="AS121" s="545">
        <f>(IS!BF77*4)/((BS!AS62+BS!AR62)/2)</f>
        <v>0.23269478233423169</v>
      </c>
      <c r="AT121" s="545">
        <f>(IS!BG77*4)/((BS!AT62+BS!AS62)/2)</f>
        <v>0.2249583714439832</v>
      </c>
      <c r="AU121" s="544">
        <f>(IS!BH77)/((BS!AU62+BS!AP62)/2)</f>
        <v>0.21099611589587705</v>
      </c>
      <c r="AV121" s="545">
        <f>(IS!BI77*4)/((BS!AV62+BS!AU62)/2)</f>
        <v>0.18606789087816875</v>
      </c>
      <c r="AW121" s="545">
        <f>(IS!BJ77*4)/((BS!AW62+BS!AV62)/2)</f>
        <v>0.23510000222970412</v>
      </c>
      <c r="AX121" s="545">
        <f>(IS!BK77*4)/((BS!AX62+BS!AW62)/2)</f>
        <v>0.23375190342727253</v>
      </c>
      <c r="AY121" s="545">
        <f>(IS!BL77*4)/((BS!AY62+BS!AX62)/2)</f>
        <v>0.23836294130874747</v>
      </c>
      <c r="AZ121" s="544">
        <f>(IS!BM77)/((BS!AZ62+BS!AU62)/2)</f>
        <v>0.23016294926615047</v>
      </c>
      <c r="BA121" s="545">
        <f>(IS!BN77*4)/((BS!BA62+BS!AZ62)/2)</f>
        <v>5.9496980077526365E-2</v>
      </c>
      <c r="BB121" s="545">
        <f>(IS!BO77*4)/((BS!BB62+BS!BA62)/2)</f>
        <v>0.23558630477204187</v>
      </c>
      <c r="BC121" s="545">
        <f>(IS!BP77*4)/((BS!BC62+BS!BB62)/2)</f>
        <v>0.23802014340082844</v>
      </c>
      <c r="BD121" s="545">
        <f>(IS!BQ77*4)/((BS!BD62+BS!BC62)/2)</f>
        <v>0.3234976115119228</v>
      </c>
      <c r="BE121" s="544">
        <f>(IS!BR77)/((BS!BE62+BS!AZ62)/2)</f>
        <v>0.21467129765242499</v>
      </c>
      <c r="BF121" s="545">
        <f>(IS!BS77*4)/((BS!BF62+BS!BE62)/2)</f>
        <v>0.19497965763414446</v>
      </c>
      <c r="BG121" s="545">
        <f>(IS!BT77*4)/((BS!BG62+BS!BF62)/2)</f>
        <v>0.23346683966078111</v>
      </c>
      <c r="BH121" s="545">
        <f>(IS!BU77*4)/((BS!BH62+BS!BG62)/2)</f>
        <v>0.20372903318695559</v>
      </c>
      <c r="BI121" s="545">
        <f>(IS!BV77*4)/((BS!BI62+BS!BH62)/2)</f>
        <v>0.19178399483811193</v>
      </c>
      <c r="BJ121" s="544">
        <f>(IS!BW77)/((BS!BJ62+BS!BE62)/2)</f>
        <v>0.19681550709588091</v>
      </c>
      <c r="BK121" s="545">
        <f>(IS!BX77*4)/((BS!BK62+BS!BJ62)/2)</f>
        <v>0.15119268342084352</v>
      </c>
      <c r="BL121" s="545">
        <f>(IS!BY77*4)/((BS!BL62+BS!BK62)/2)</f>
        <v>0.20332213851320685</v>
      </c>
      <c r="BM121" s="545">
        <f>(IS!BZ77*4)/((BS!BM62+BS!BL62)/2)</f>
        <v>0.21865141374531946</v>
      </c>
      <c r="BN121" s="545">
        <f>(IS!CA77*4)/((BS!BN62+BS!BM62)/2)</f>
        <v>0.18056449388618184</v>
      </c>
      <c r="BO121" s="544">
        <f>(IS!CB77)/((BS!BO62+BS!BJ62)/2)</f>
        <v>0.19721301859572918</v>
      </c>
      <c r="BP121" s="545">
        <f>(IS!CC77*4)/((BS!BP62+BS!BO62)/2)</f>
        <v>0.19056846466097591</v>
      </c>
      <c r="BQ121" s="545">
        <f>(IS!CD77*4)/((BS!BQ62+BS!BP62)/2)</f>
        <v>0.2089891066799939</v>
      </c>
      <c r="BR121" s="545">
        <f>(IS!CE77*4)/((BS!BR62+BS!BQ62)/2)</f>
        <v>0.17891038061147418</v>
      </c>
      <c r="BS121" s="545">
        <f>(IS!CF77*4)/((BS!BS62+BS!BR62)/2)</f>
        <v>0.45305184596513659</v>
      </c>
      <c r="BT121" s="544">
        <f>(IS!CG77)/((BS!BT62+BS!BO62)/2)</f>
        <v>0.25978726673609809</v>
      </c>
      <c r="BU121" s="545">
        <f>(IS!CH77*4)/((BS!BU62+BS!BT62)/2)</f>
        <v>0.16944589039866453</v>
      </c>
      <c r="BV121" s="545">
        <f>(IS!CI77*4)/((BS!BV62+BS!BU62)/2)</f>
        <v>0.19121563985167905</v>
      </c>
      <c r="BW121" s="545">
        <f>(IS!CJ77*4)/((BS!BW62+BS!BV62)/2)</f>
        <v>0.20316763045455324</v>
      </c>
      <c r="BX121" s="545">
        <f>(IS!CK77*4)/((BS!BX62+BS!BW62)/2)</f>
        <v>0.14276151217277949</v>
      </c>
      <c r="BY121" s="544">
        <f>(IS!CL77)/((BS!BY62+BS!BT62)/2)</f>
        <v>0.18370133061506816</v>
      </c>
      <c r="BZ121" s="545">
        <f>(IS!CM77*4)/((BS!BZ62+BS!BY62)/2)</f>
        <v>0.20096786471643738</v>
      </c>
      <c r="CA121" s="545">
        <f>(IS!CN77*4)/((BS!CA62+BS!BZ62)/2)</f>
        <v>0.20543936041116426</v>
      </c>
      <c r="CB121" s="545">
        <f>(IS!CO77*4)/((BS!CB62+BS!CA62)/2)</f>
        <v>0.18243231658179448</v>
      </c>
      <c r="CC121" s="545">
        <f>(IS!CP77*4)/((BS!CC62+BS!CB62)/2)</f>
        <v>0.1553972027263065</v>
      </c>
      <c r="CD121" s="544">
        <f>(IS!CQ77)/((BS!CD62+BS!BY62)/2)</f>
        <v>0.18343837085058065</v>
      </c>
      <c r="CE121" s="545">
        <f>(IS!CR77*4)/((BS!CE62+BS!CD62)/2)</f>
        <v>0.14860808269881748</v>
      </c>
      <c r="CF121" s="545">
        <f>(IS!CS77*4)/((BS!CF62+BS!CE62)/2)</f>
        <v>0.18060769638840124</v>
      </c>
      <c r="CG121" s="545">
        <f>(IS!CT77*4)/((BS!CG62+BS!CF62)/2)</f>
        <v>0.17709982317293138</v>
      </c>
      <c r="CH121" s="545">
        <f>(IS!CU77*4)/((BS!CH62+BS!CG62)/2)</f>
        <v>0.1539426255592361</v>
      </c>
      <c r="CI121" s="544">
        <f>(IS!CV77)/((BS!CI62+BS!CD62)/2)</f>
        <v>0.16488242459895952</v>
      </c>
      <c r="CJ121" s="544">
        <f>(IS!CW77)/((BS!CJ62+BS!CI62)/2)</f>
        <v>0.16752815435700488</v>
      </c>
      <c r="CK121" s="544">
        <f>(IS!CX77)/((BS!CK62+BS!CJ62)/2)</f>
        <v>0.1638502958818733</v>
      </c>
      <c r="CL121" s="544">
        <f>(IS!CY77)/((BS!CL62+BS!CK62)/2)</f>
        <v>0.15401864991847997</v>
      </c>
      <c r="CM121" s="509"/>
      <c r="CN121" s="524"/>
    </row>
    <row r="122" spans="1:98">
      <c r="A122" s="264"/>
      <c r="B122" s="485" t="s">
        <v>336</v>
      </c>
      <c r="C122" s="485"/>
      <c r="D122" s="265"/>
      <c r="E122" s="265"/>
      <c r="F122" s="310"/>
      <c r="G122" s="310"/>
      <c r="H122" s="310"/>
      <c r="I122" s="544"/>
      <c r="J122" s="544">
        <f>(IS!W58)/((J62+J42+I62+I42+J33+I33+J34+I34-J13-I13-J14-I14)/2)</f>
        <v>8.9210470312832524E-2</v>
      </c>
      <c r="K122" s="544">
        <f>(IS!X58)/((K62+K42+J62+J42+K33+J33+K34+J34-K13-J13-K14-J14)/2)</f>
        <v>8.0897111440788899E-2</v>
      </c>
      <c r="L122" s="544">
        <f>(IS!Y58)/((L62+L42+K62+K42+L33+K33+L34+K34-L13-K13-L14-K14)/2)</f>
        <v>0.28982776165529717</v>
      </c>
      <c r="M122" s="545">
        <f>(IS!Z58*4)/((M62+M42+K62+K42+M33+M34+K33+K34-M13-M14-K13-K14)/2)</f>
        <v>0.27766250424416195</v>
      </c>
      <c r="N122" s="545">
        <f>(IS!AA58*4)/((N62+N42+M62+M42+N33+M33+N34+M34-N13-M13-N14-M14)/2)</f>
        <v>0.31624764503345676</v>
      </c>
      <c r="O122" s="545">
        <f>(IS!AB58*4)/((O62+O42+N62+N42+O33+N33+O34+N34-O13-N13-O14-N14)/2)</f>
        <v>0.28989225243714728</v>
      </c>
      <c r="P122" s="545">
        <f>(IS!AC58*4)/((P62+P42+O62+O42+P33+O33+P34+O34-P13-O13-P14-O14)/2)</f>
        <v>0.24804341959279139</v>
      </c>
      <c r="Q122" s="544">
        <f>(IS!AD58)/((Q62+Q42+L62+L42+Q33+L33+Q34+L34-Q13-Q14-L13-L14)/2)</f>
        <v>0.27109803802650334</v>
      </c>
      <c r="R122" s="545">
        <f>(IS!AE58*4)/((R62+R42+P62+P42+R33+R34+P33+P34-R13-R14-P13-P14)/2)</f>
        <v>0.24745550690851198</v>
      </c>
      <c r="S122" s="545">
        <f>(IS!AF58*4)/((S62+S42+R62+R42+S33+R33+S34+R34-S13-R13-S14-R14)/2)</f>
        <v>0.31278227076987714</v>
      </c>
      <c r="T122" s="545">
        <f>(IS!AG58*4)/((T62+T42+S62+S42+T33+S33+T34+S34-T13-S13-T14-S14)/2)</f>
        <v>0.26389550958146629</v>
      </c>
      <c r="U122" s="545">
        <f>(IS!AH58*4)/((U62+U42+T62+T42+U33+T33+U34+T34-U13-T13-U14-T14)/2)</f>
        <v>0.21981187272154462</v>
      </c>
      <c r="V122" s="544">
        <f>(IS!AI58)/((V62+V42+Q62+Q42+V33+Q33+V34+Q34-V13-V14-Q13-Q14)/2)</f>
        <v>0.25542192429022081</v>
      </c>
      <c r="W122" s="545">
        <f>(IS!AJ58*4)/((W62+W42+U62+U42+W33+W34+U33+U34-W13-W14-U13-U14)/2)</f>
        <v>0.22200575794965041</v>
      </c>
      <c r="X122" s="545">
        <f>(IS!AK58*4)/((X62+X42+W62+W42+X33+W33+X34+W34-X13-W13-X14-W14)/2)</f>
        <v>0.29299282664030124</v>
      </c>
      <c r="Y122" s="545">
        <f>(IS!AL58*4)/((Y62+Y42+X62+X42+Y33+X33+Y34+X34-Y13-X13-Y14-X14)/2)</f>
        <v>0.27091600699085022</v>
      </c>
      <c r="Z122" s="545">
        <f>(IS!AM58*4)/((Z62+Z42+Y62+Y42+Z33+Y33+Z34+Y34-Z13-Y13-Z14-Y14)/2)</f>
        <v>0.24310003617560061</v>
      </c>
      <c r="AA122" s="544">
        <f>(IS!AN58)/((AA62+AA42+V62+V42+AA33+V33+AA34+V34-AA13-AA14-V13-V14)/2)</f>
        <v>0.26706959225682125</v>
      </c>
      <c r="AB122" s="545">
        <f>(IS!AO58*4)/((AB62+AB42+Z62+Z42+AB33+AB34+Z33+Z34-AB13-AB14-Z13-Z14)/2)</f>
        <v>0.25835820575035967</v>
      </c>
      <c r="AC122" s="545">
        <f>(IS!AP58*4)/((AC62+AC42+AB62+AB42+AC33+AB33+AC34+AB34-AC13-AB13-AC14-AB14)/2)</f>
        <v>0.30836002893458714</v>
      </c>
      <c r="AD122" s="545">
        <f>(IS!AQ58*4)/((AD62+AD42+AC62+AC42+AD33+AC33+AD34+AC34-AD13-AC13-AD14-AC14)/2)</f>
        <v>0.29447661383088652</v>
      </c>
      <c r="AE122" s="545">
        <f>(IS!AR58*4)/((AE62+AE42+AD62+AD42+AE33+AD33+AE34+AD34-AE13-AD13-AE14-AD14)/2)</f>
        <v>0.26370555575982646</v>
      </c>
      <c r="AF122" s="544">
        <f>(IS!AS58)/((AF62+AF42+AA62+AA42+AF33+AA33+AF34+AA34-AF13-AF14-AA13-AA14)/2)</f>
        <v>0.28042401702432329</v>
      </c>
      <c r="AG122" s="545">
        <f>(IS!AT58*4)/((AG62+AG42+AE62+AE42+AG33+AG34+AE33+AE34-AG13-AG14-AE13-AE14)/2)</f>
        <v>0.23887412375363432</v>
      </c>
      <c r="AH122" s="545">
        <f>(IS!AU58*4)/((AH62+AH42+AG62+AG42+AH33+AG33+AH34+AG34-AH13-AG13-AH14-AG14)/2)</f>
        <v>0.29120421753607101</v>
      </c>
      <c r="AI122" s="545">
        <f>(IS!AV58*4)/((AI62+AI42+AH62+AH42+AI33+AH33+AI34+AH34-AI13-AH13-AI14-AH14)/2)</f>
        <v>0.28737727910238431</v>
      </c>
      <c r="AJ122" s="545">
        <f>(IS!AW58*4)/((AJ62+AJ42+AI62+AI42+AJ33+AI33+AJ34+AI34-AJ13-AI13-AJ14-AI14)/2)</f>
        <v>0.2833457745648843</v>
      </c>
      <c r="AK122" s="544">
        <f>(IS!AX58)/((AK62+AK42+AF62+AF42+AK33+AF33+AK34+AF34-AK13-AK14-AF13-AF14)/2)</f>
        <v>0.30099674331392479</v>
      </c>
      <c r="AL122" s="545">
        <f>(IS!AY58*4)/((AL62+AL42+AJ62+AJ42+AL33+AL34+AJ33+AJ34-AL13-AL14-AJ13-AJ14)/2)</f>
        <v>0.21555498126372916</v>
      </c>
      <c r="AM122" s="545">
        <f>(IS!AZ58*4)/((AM62+AM42+AL62+AL42+AM33+AL33+AM34+AL34-AM13-AL13-AM14-AL14)/2)</f>
        <v>0.27473615580373101</v>
      </c>
      <c r="AN122" s="545">
        <f>(IS!BA58*4)/((AN62+AN42+AM62+AM42+AN33+AM33+AN34+AM34-AN13-AM13-AN14-AM14)/2)</f>
        <v>0.29191714120656925</v>
      </c>
      <c r="AO122" s="545">
        <f>(IS!BB58*4)/((AO62+AO42+AN62+AN42+AO33+AN33+AO34+AN34-AO13-AN13-AO14-AN14)/2)</f>
        <v>0.29094219536757304</v>
      </c>
      <c r="AP122" s="544">
        <f>(IS!BC58)/((AP62+AP42+AK62+AK42+AP33+AK33+AP34+AK34-AP13-AP14-AK13-AK14)/2)</f>
        <v>0.26672042455654904</v>
      </c>
      <c r="AQ122" s="545">
        <f>(IS!BD58*4)/((AQ62+AQ42+AO62+AO42+AQ33+AQ34+AO33+AO34-AQ13-AQ14-AO13-AO14)/2)</f>
        <v>0.23608756120329974</v>
      </c>
      <c r="AR122" s="545">
        <f>(IS!BE58*4)/((AR62+AR42+AQ62+AQ42+AR33+AQ33+AR34+AQ34-AR13-AQ13-AR14-AQ14)/2)</f>
        <v>0.28199301668236987</v>
      </c>
      <c r="AS122" s="545">
        <f>(IS!BF58*4)/((AS62+AS42+AR62+AR42+AS33+AR33+AS34+AR34-AS13-AR13-AS14-AR14)/2)</f>
        <v>0.28512019844599279</v>
      </c>
      <c r="AT122" s="545">
        <f>(IS!BG58*4)/((AT62+AT42+AS62+AS42+AT33+AS33+AT34+AS34-AT13-AS13-AT14-AS14)/2)</f>
        <v>0.27096867330734808</v>
      </c>
      <c r="AU122" s="544">
        <f>(IS!BH58)/((AU62+AU42+AP62+AP42+AU33+AP33+AU34+AP34-AU13-AU14-AP13-AP14)/2)</f>
        <v>0.27526816739688775</v>
      </c>
      <c r="AV122" s="545">
        <f>(IS!BI58*4)/((AV62+AV42+AT62+AT42+AV33+AV34+AT33+AT34-AV13-AV14-AT13-AT14)/2)</f>
        <v>0.24632379312818306</v>
      </c>
      <c r="AW122" s="545">
        <f>(IS!BJ58*4)/((AW62+AW42+AV62+AV42+AW33+AV33+AW34+AV34-AW13-AV13-AW14-AV14)/2)</f>
        <v>0.30552919259024924</v>
      </c>
      <c r="AX122" s="545">
        <f>(IS!BK58*4)/((AX62+AX42+AW62+AW42+AX33+AW33+AX34+AW34-AX13-AW13-AX14-AW14)/2)</f>
        <v>0.30723114629802689</v>
      </c>
      <c r="AY122" s="545">
        <f>(IS!BL58*4)/((AY62+AY42+AX62+AX42+AY33+AX33+AY34+AX34-AY13-AX13-AY14-AX14)/2)</f>
        <v>0.28902673164968246</v>
      </c>
      <c r="AZ122" s="544">
        <f>(IS!BM58)/((AZ62+AZ42+AU62+AU42+AZ33+AU33+AZ34+AU34-AZ13-AZ14-AU13-AU14)/2)</f>
        <v>0.29848803258261886</v>
      </c>
      <c r="BA122" s="545">
        <f>(IS!BN58*4)/((BA62+BA42+AY62+AY42+BA33+BA34+AY33+AY34-BA13-BA14-AY13-AY14)/2)</f>
        <v>0.26800567288895705</v>
      </c>
      <c r="BB122" s="545">
        <f>(IS!BO58*4)/((BB62+BB42+BA62+BA42+BB33+BA33+BB34+BA34-BB13-BA13-BB14-BA14)/2)</f>
        <v>0.3344857718171802</v>
      </c>
      <c r="BC122" s="545">
        <f>(IS!BP58*4)/((BC62+BC42+BB62+BB42+BC33+BB33+BC34+BB34-BC13-BB13-BC14-BB14)/2)</f>
        <v>0.225231915956628</v>
      </c>
      <c r="BD122" s="545">
        <f>(IS!BQ58*4)/((BD62+BD42+BC62+BC42+BD33+BC33+BD34+BC34-BD13-BC13-BD14-BC14)/2)</f>
        <v>0.15436775719783274</v>
      </c>
      <c r="BE122" s="544">
        <f>(IS!BR58)/((BE62+BE42+AZ62+AZ42+BE33+AZ33+BE34+AZ34-BE13-BE14-AZ13-AZ14)/2)</f>
        <v>0.2214026327734907</v>
      </c>
      <c r="BF122" s="545">
        <f>(IS!BS58*4)/((BF62+BF42+BD62+BD42+BF33+BF34+BD33+BD34-BF13-BF14-BD13-BD14)/2)</f>
        <v>0.18291237142502287</v>
      </c>
      <c r="BG122" s="545">
        <f>(IS!BT58*4)/((BG62+BG42+BF62+BF42+BG33+BF33+BG34+BF34-BG13-BF13-BG14-BF14)/2)</f>
        <v>0.23294879809058361</v>
      </c>
      <c r="BH122" s="545">
        <f>(IS!BU58*4)/((BH62+BH42+BG62+BG42+BH33+BG33+BH34+BG34-BH13-BG13-BH14-BG14)/2)</f>
        <v>0.21494633092553839</v>
      </c>
      <c r="BI122" s="545">
        <f>(IS!BV58*4)/((BI62+BI42+BH62+BH42+BI33+BH33+BI34+BH34-BI13-BH13-BI14-BH14)/2)</f>
        <v>0.20476725105794974</v>
      </c>
      <c r="BJ122" s="544">
        <f>(IS!BW58)/((BJ62+BJ42+BE62+BE42+BJ33+BE33+BJ34+BE34-BJ13-BJ14-BE13-BE14)/2)</f>
        <v>0.20360768593961048</v>
      </c>
      <c r="BK122" s="545">
        <f>(IS!BX58*4)/((BK62+BK42+BI62+BI42+BK33+BK34+BI33+BI34-BK13-BK14-BI13-BI14)/2)</f>
        <v>0.17749630390789653</v>
      </c>
      <c r="BL122" s="545">
        <f>(IS!BY58*4)/((BL62+BL42+BJ62+BJ42+BL33+BL34+BJ33+BJ34-BL13-BL14-BJ13-BJ14)/2)</f>
        <v>0.19870724090347883</v>
      </c>
      <c r="BM122" s="545">
        <f>(IS!BZ58*4)/((BM62+BM42+BL62+BL42+BM33+BL33+BM34+BL34-BM13-BL13-BM14-BL14)/2)</f>
        <v>0.22854341364764522</v>
      </c>
      <c r="BN122" s="545">
        <f>(IS!CA58*4)/((BN62+BN42+BM62+BM42+BN33+BM33+BN34+BM34-BN13-BM13-BN14-BM14)/2)</f>
        <v>0.22586090479405807</v>
      </c>
      <c r="BO122" s="544">
        <f>(IS!CB58)/((BO62+BO42+BJ62+BJ42+BO33+BJ33+BO34+BJ34-BO13-BO14-BJ13-BJ14)/2)</f>
        <v>0.21408964186146257</v>
      </c>
      <c r="BP122" s="545">
        <f>(IS!CC58*4)/((BP62+BP42+BN62+BN42+BP33+BP34+BN33+BN34-BP13-BP14-BN13-BN14)/2)</f>
        <v>0.19347334693967125</v>
      </c>
      <c r="BQ122" s="545">
        <f>(IS!CD58*4)/((BQ62+BQ42+BP62+BP42+BQ33+BP33+BQ34+BP34-BQ13-BP13-BQ14-BP14)/2)</f>
        <v>0.21246842784203623</v>
      </c>
      <c r="BR122" s="545">
        <f>(IS!CE58*4)/((BR62+BR42+BQ62+BQ42+BR33+BQ33+BR34+BQ34-BR13-BQ13-BR14-BQ14)/2)</f>
        <v>0.19796621635906217</v>
      </c>
      <c r="BS122" s="545">
        <f>(IS!CF58*4)/((BS62+BS42+BR62+BR42+BS33+BR33+BS34+BR34-BS13-BR13-BS14-BR14)/2)</f>
        <v>3.8361059905228277E-2</v>
      </c>
      <c r="BT122" s="544">
        <f>(IS!CG58)/((BT62+BT42+BO62+BO42+BT33+BO33+BT34+BO34-BT13-BT14-BO13-BO14)/2)</f>
        <v>0.171577243293247</v>
      </c>
      <c r="BU122" s="545">
        <f>(IS!CH58*4)/((BU62+BU42+BT62+BT42+BU33+BT33+BU34+BT34-BU13-BT13-BU14-BT14)/2)</f>
        <v>0.18497708988539052</v>
      </c>
      <c r="BV122" s="545">
        <f>(IS!CI58*4)/((BV62+BV42+BU62+BU42+BV33+BU33+BV34+BU34-BV13-BU13-BV14-BU14)/2)</f>
        <v>0.21206096752816433</v>
      </c>
      <c r="BW122" s="545">
        <f>(IS!CJ58*4)/((BW62+BW42+BV62+BV42+BW33+BV33+BW34+BV34-BW13-BV13-BW14-BV14)/2)</f>
        <v>0.20342237154944356</v>
      </c>
      <c r="BX122" s="545">
        <f>(IS!CK58*4)/((BX62+BX42+BW62+BW42+BX33+BW33+BX34+BW34-BX13-BW13-BX14-BW14)/2)</f>
        <v>0.15206359186239726</v>
      </c>
      <c r="BY122" s="544">
        <f>(IS!CL58)/((BY62+BY42+BT62+BT42+BY33+BT33+BY34+BT34-BY13-BT13-BY14-BT14)/2)</f>
        <v>0.19508179369876869</v>
      </c>
      <c r="BZ122" s="545">
        <f>(IS!CM58*4)/((BZ62+BZ42+BY62+BY42+BZ33+BY33+BZ34+BY34-BZ13-BY13-BZ14-BY14)/2)</f>
        <v>0.20505243835555109</v>
      </c>
      <c r="CA122" s="545">
        <f>(IS!CN58*4)/((CA62+CA42+BZ62+BZ42+CA33+BZ33+CA34+BZ34-CA13-BZ13-CA14-BZ14)/2)</f>
        <v>0.20409287768753512</v>
      </c>
      <c r="CB122" s="545">
        <f>(IS!CO58*4)/((CB62+CB42+CA62+CA42+CB33+CA33+CB34+CA34-CB13-CA13-CB14-CA14)/2)</f>
        <v>0.18618818360891953</v>
      </c>
      <c r="CC122" s="545">
        <f>(IS!CP58*4)/((CC62+CC42+CB62+CB42+CC33+CB33+CC34+CB34-CC13-CB13-CC14-CB14)/2)</f>
        <v>0.16527312377528125</v>
      </c>
      <c r="CD122" s="544">
        <f>(IS!CQ58)/((CD62+CD42+BY62+BY42+CD33+BY33+CD34+BY34-CD13-BY13-CD14-BY14)/2)</f>
        <v>0.19036940594632656</v>
      </c>
      <c r="CE122" s="545">
        <f>(IS!CR58*4)/((CE62+CE42+CC62+CC42+CE33+CE34+CC33+CC34-CE13-CE14-CC13-CC14)/2)</f>
        <v>0.16048440957951118</v>
      </c>
      <c r="CF122" s="545">
        <f>(IS!CS58*4)/((CF62+CF42+CE62+CE42+CF33+CE33+CF34+CE34-CF13-CE13-CF14-CE14)/2)</f>
        <v>0.19310106567228363</v>
      </c>
      <c r="CG122" s="545">
        <f>(IS!CT58*4)/((CG62+CG42+CF62+CF42+CG33+CF33+CG34+CF34-CG13-CF13-CG14-CF14)/2)</f>
        <v>0.19715366898726447</v>
      </c>
      <c r="CH122" s="545">
        <f>(IS!CU58*4)/((CH62+CH42+CG62+CG42+CH33+CG33+CH34+CG34-CH13-CG13-CH14-CG14)/2)</f>
        <v>0.17978369818789469</v>
      </c>
      <c r="CI122" s="544">
        <f>(IS!CV58)/((CI62+CI42+CD62+CD42+CI33+CD33+CI34+CD34-CI13-CD13-CI14-CD14)/2)</f>
        <v>0.18464538804087538</v>
      </c>
      <c r="CJ122" s="544">
        <f>(IS!CW58)/((CJ62+CJ42+CI62+CI42+CJ33+CI33+CJ34+CI34-CJ13-CI13-CJ14-CI14)/2)</f>
        <v>0.20693516238045115</v>
      </c>
      <c r="CK122" s="544">
        <f>(IS!CX58)/((CK62+CK42+CJ62+CJ42+CK33+CJ33+CK34+CJ34-CK13-CJ13-CK14-CJ14)/2)</f>
        <v>0.22590107489149405</v>
      </c>
      <c r="CL122" s="544">
        <f>(IS!CY58)/((CL62+CL42+CK62+CK42+CL33+CK33+CL34+CK34-CL13-CK13-CL14-CK14)/2)</f>
        <v>0.23775794345652762</v>
      </c>
      <c r="CM122" s="509"/>
      <c r="CN122" s="524"/>
    </row>
    <row r="123" spans="1:98">
      <c r="A123" s="264"/>
      <c r="B123" s="265"/>
      <c r="C123" s="265"/>
      <c r="D123" s="265"/>
      <c r="E123" s="265"/>
      <c r="F123" s="310"/>
      <c r="G123" s="310"/>
      <c r="H123" s="310"/>
      <c r="I123" s="544"/>
      <c r="J123" s="553"/>
      <c r="K123" s="553"/>
      <c r="L123" s="553"/>
      <c r="M123" s="550"/>
      <c r="N123" s="550"/>
      <c r="O123" s="550"/>
      <c r="P123" s="550"/>
      <c r="Q123" s="553"/>
      <c r="R123" s="550"/>
      <c r="S123" s="545"/>
      <c r="T123" s="549"/>
      <c r="U123" s="549"/>
      <c r="V123" s="553"/>
      <c r="W123" s="553"/>
      <c r="X123" s="553"/>
      <c r="Y123" s="553"/>
      <c r="Z123" s="553"/>
      <c r="AA123" s="553"/>
      <c r="AB123" s="553"/>
      <c r="AC123" s="553"/>
      <c r="AD123" s="553"/>
      <c r="AE123" s="553"/>
      <c r="AF123" s="553"/>
      <c r="AG123" s="554"/>
      <c r="AH123" s="554"/>
      <c r="AI123" s="554"/>
      <c r="AJ123" s="554"/>
      <c r="AK123" s="553"/>
      <c r="AL123" s="553"/>
      <c r="AM123" s="553"/>
      <c r="AN123" s="553"/>
      <c r="AO123" s="553"/>
      <c r="AP123" s="553"/>
      <c r="AQ123" s="553"/>
      <c r="AR123" s="553"/>
      <c r="AS123" s="553"/>
      <c r="AT123" s="553"/>
      <c r="AU123" s="553"/>
      <c r="AV123" s="553"/>
      <c r="AW123" s="553"/>
      <c r="AX123" s="553"/>
      <c r="AY123" s="553"/>
      <c r="AZ123" s="553"/>
      <c r="BA123" s="552"/>
      <c r="BB123" s="552"/>
      <c r="BC123" s="552"/>
      <c r="BD123" s="552"/>
      <c r="BE123" s="553"/>
      <c r="BF123" s="552"/>
      <c r="BG123" s="552"/>
      <c r="BH123" s="552"/>
      <c r="BI123" s="552"/>
      <c r="BJ123" s="553"/>
      <c r="BK123" s="552"/>
      <c r="BL123" s="545"/>
      <c r="BM123" s="552"/>
      <c r="BN123" s="552"/>
      <c r="BO123" s="544"/>
      <c r="BP123" s="552"/>
      <c r="BQ123" s="552"/>
      <c r="BR123" s="552"/>
      <c r="BS123" s="552"/>
      <c r="BT123" s="544"/>
      <c r="BU123" s="552"/>
      <c r="BV123" s="552"/>
      <c r="BW123" s="552"/>
      <c r="BX123" s="545"/>
      <c r="BY123" s="544"/>
      <c r="BZ123" s="545"/>
      <c r="CA123" s="545"/>
      <c r="CB123" s="545"/>
      <c r="CC123" s="545"/>
      <c r="CD123" s="544"/>
      <c r="CE123" s="545"/>
      <c r="CF123" s="545"/>
      <c r="CG123" s="545"/>
      <c r="CH123" s="545"/>
      <c r="CI123" s="544"/>
      <c r="CJ123" s="544"/>
      <c r="CK123" s="544"/>
      <c r="CL123" s="544"/>
      <c r="CM123" s="509"/>
      <c r="CN123" s="524"/>
    </row>
    <row r="124" spans="1:98" s="2029" customFormat="1">
      <c r="A124" s="264"/>
      <c r="B124" s="265" t="s">
        <v>1446</v>
      </c>
      <c r="C124" s="265"/>
      <c r="D124" s="265"/>
      <c r="E124" s="265"/>
      <c r="F124" s="310"/>
      <c r="G124" s="310"/>
      <c r="H124" s="310"/>
      <c r="I124" s="544"/>
      <c r="J124" s="553"/>
      <c r="K124" s="553"/>
      <c r="L124" s="553"/>
      <c r="M124" s="550"/>
      <c r="N124" s="550"/>
      <c r="O124" s="550"/>
      <c r="P124" s="550"/>
      <c r="Q124" s="553"/>
      <c r="R124" s="550"/>
      <c r="S124" s="545"/>
      <c r="T124" s="549"/>
      <c r="U124" s="549"/>
      <c r="V124" s="553"/>
      <c r="W124" s="553"/>
      <c r="X124" s="553"/>
      <c r="Y124" s="553"/>
      <c r="Z124" s="553"/>
      <c r="AA124" s="2283">
        <f>+(AA62+AA42+AA33+AA34-AA13-AA14)</f>
        <v>22682</v>
      </c>
      <c r="AB124" s="553"/>
      <c r="AC124" s="553"/>
      <c r="AD124" s="553"/>
      <c r="AE124" s="553"/>
      <c r="AF124" s="2283">
        <f>+(AF62+AF42+AF33+AF34-AF13-AF14)</f>
        <v>27599</v>
      </c>
      <c r="AG124" s="554"/>
      <c r="AH124" s="554"/>
      <c r="AI124" s="554"/>
      <c r="AJ124" s="554"/>
      <c r="AK124" s="2283">
        <f>+(AK62+AK42+AK33+AK34-AK13-AK14)</f>
        <v>23066</v>
      </c>
      <c r="AL124" s="553"/>
      <c r="AM124" s="553"/>
      <c r="AN124" s="553"/>
      <c r="AO124" s="553"/>
      <c r="AP124" s="2283">
        <f>+(AP62+AP42+AP33+AP34-AP13-AP14)</f>
        <v>25361</v>
      </c>
      <c r="AQ124" s="553"/>
      <c r="AR124" s="553"/>
      <c r="AS124" s="553"/>
      <c r="AT124" s="553"/>
      <c r="AU124" s="2283">
        <f>+(AU62+AU42+AU33+AU34-AU13-AU14)</f>
        <v>27591</v>
      </c>
      <c r="AV124" s="553"/>
      <c r="AW124" s="553"/>
      <c r="AX124" s="553"/>
      <c r="AY124" s="553"/>
      <c r="AZ124" s="2283">
        <f>+(AZ62+AZ42+AZ33+AZ34-AZ13-AZ14)</f>
        <v>26180</v>
      </c>
      <c r="BA124" s="552"/>
      <c r="BB124" s="552"/>
      <c r="BC124" s="552"/>
      <c r="BD124" s="552"/>
      <c r="BE124" s="2283">
        <f>+(BE62+BE42+BE33+BE34-BE13-BE14)</f>
        <v>44316</v>
      </c>
      <c r="BF124" s="552"/>
      <c r="BG124" s="552"/>
      <c r="BH124" s="552"/>
      <c r="BI124" s="552"/>
      <c r="BJ124" s="2283">
        <f>+(BJ62+BJ42+BJ33+BJ34-BJ13-BJ14)</f>
        <v>47488</v>
      </c>
      <c r="BK124" s="552"/>
      <c r="BL124" s="545"/>
      <c r="BM124" s="552"/>
      <c r="BN124" s="552"/>
      <c r="BO124" s="2283">
        <f>+(BO62+BO42+BO33+BO34-BO13-BO14)</f>
        <v>45772</v>
      </c>
      <c r="BP124" s="552"/>
      <c r="BQ124" s="552"/>
      <c r="BR124" s="552"/>
      <c r="BS124" s="552"/>
      <c r="BT124" s="2283">
        <f>+(BT62+BT42+BT33+BT34-BT13-BT14)</f>
        <v>40708</v>
      </c>
      <c r="BU124" s="552"/>
      <c r="BV124" s="552"/>
      <c r="BW124" s="552"/>
      <c r="BX124" s="545"/>
      <c r="BY124" s="2283">
        <f>+(BY62+BY42+BY33+BY34-BY13-BY14)</f>
        <v>44323</v>
      </c>
      <c r="BZ124" s="545"/>
      <c r="CA124" s="545"/>
      <c r="CB124" s="545"/>
      <c r="CC124" s="545"/>
      <c r="CD124" s="2283">
        <f>+(CD62+CD42+CD33+CD34-CD13-CD14)</f>
        <v>48120.159176989058</v>
      </c>
      <c r="CE124" s="545"/>
      <c r="CF124" s="545"/>
      <c r="CG124" s="545"/>
      <c r="CH124" s="545"/>
      <c r="CI124" s="2283">
        <f>+(CI62+CI42+CI33+CI34-CI13-CI14)</f>
        <v>48375.311082585904</v>
      </c>
      <c r="CJ124" s="544"/>
      <c r="CK124" s="544"/>
      <c r="CL124" s="544"/>
      <c r="CM124" s="509"/>
      <c r="CN124" s="524"/>
      <c r="CO124"/>
      <c r="CP124"/>
      <c r="CQ124"/>
      <c r="CR124"/>
      <c r="CS124"/>
      <c r="CT124"/>
    </row>
    <row r="125" spans="1:98" s="2029" customFormat="1">
      <c r="A125" s="264"/>
      <c r="B125" s="265" t="s">
        <v>1447</v>
      </c>
      <c r="C125" s="265"/>
      <c r="D125" s="265"/>
      <c r="E125" s="265"/>
      <c r="F125" s="310"/>
      <c r="G125" s="310"/>
      <c r="H125" s="310"/>
      <c r="I125" s="544"/>
      <c r="J125" s="553"/>
      <c r="K125" s="553"/>
      <c r="L125" s="553"/>
      <c r="M125" s="550"/>
      <c r="N125" s="550"/>
      <c r="O125" s="550"/>
      <c r="P125" s="550"/>
      <c r="Q125" s="553"/>
      <c r="R125" s="550"/>
      <c r="S125" s="545"/>
      <c r="T125" s="549"/>
      <c r="U125" s="549"/>
      <c r="V125" s="553"/>
      <c r="W125" s="553"/>
      <c r="X125" s="553"/>
      <c r="Y125" s="553"/>
      <c r="Z125" s="553"/>
      <c r="AA125" s="553"/>
      <c r="AB125" s="553"/>
      <c r="AC125" s="553"/>
      <c r="AD125" s="553"/>
      <c r="AE125" s="553"/>
      <c r="AF125" s="2283">
        <f>AVERAGE(AF124,AA124)</f>
        <v>25140.5</v>
      </c>
      <c r="AG125" s="554"/>
      <c r="AH125" s="554"/>
      <c r="AI125" s="554"/>
      <c r="AJ125" s="554"/>
      <c r="AK125" s="2283">
        <f>AVERAGE(AK124,AF124)</f>
        <v>25332.5</v>
      </c>
      <c r="AL125" s="553"/>
      <c r="AM125" s="553"/>
      <c r="AN125" s="553"/>
      <c r="AO125" s="553"/>
      <c r="AP125" s="2283">
        <f>AVERAGE(AP124,AK124)</f>
        <v>24213.5</v>
      </c>
      <c r="AQ125" s="553"/>
      <c r="AR125" s="553"/>
      <c r="AS125" s="553"/>
      <c r="AT125" s="553"/>
      <c r="AU125" s="2283">
        <f>AVERAGE(AU124,AP124)</f>
        <v>26476</v>
      </c>
      <c r="AV125" s="553"/>
      <c r="AW125" s="553"/>
      <c r="AX125" s="553"/>
      <c r="AY125" s="553"/>
      <c r="AZ125" s="2283">
        <f>AVERAGE(AZ124,AU124)</f>
        <v>26885.5</v>
      </c>
      <c r="BA125" s="552"/>
      <c r="BB125" s="552"/>
      <c r="BC125" s="552"/>
      <c r="BD125" s="552"/>
      <c r="BE125" s="2283">
        <f>AVERAGE(BE124,AZ124)</f>
        <v>35248</v>
      </c>
      <c r="BF125" s="552"/>
      <c r="BG125" s="552"/>
      <c r="BH125" s="552"/>
      <c r="BI125" s="552"/>
      <c r="BJ125" s="2283">
        <f>AVERAGE(BJ124,BE124)</f>
        <v>45902</v>
      </c>
      <c r="BK125" s="552"/>
      <c r="BL125" s="545"/>
      <c r="BM125" s="552"/>
      <c r="BN125" s="552"/>
      <c r="BO125" s="2283">
        <f>AVERAGE(BO124,BJ124)</f>
        <v>46630</v>
      </c>
      <c r="BP125" s="552"/>
      <c r="BQ125" s="552"/>
      <c r="BR125" s="552"/>
      <c r="BS125" s="552"/>
      <c r="BT125" s="2283">
        <f>AVERAGE(BT124,BO124)</f>
        <v>43240</v>
      </c>
      <c r="BU125" s="552"/>
      <c r="BV125" s="552"/>
      <c r="BW125" s="552"/>
      <c r="BX125" s="545"/>
      <c r="BY125" s="2283">
        <f>AVERAGE(BY124,BT124)</f>
        <v>42515.5</v>
      </c>
      <c r="BZ125" s="545"/>
      <c r="CA125" s="545"/>
      <c r="CB125" s="545"/>
      <c r="CC125" s="545"/>
      <c r="CD125" s="2283">
        <f>AVERAGE(CD124,BY124)</f>
        <v>46221.579588494526</v>
      </c>
      <c r="CE125" s="545"/>
      <c r="CF125" s="545"/>
      <c r="CG125" s="545"/>
      <c r="CH125" s="545"/>
      <c r="CI125" s="2283">
        <f>AVERAGE(CI124,CD124)</f>
        <v>48247.735129787485</v>
      </c>
      <c r="CJ125" s="544"/>
      <c r="CK125" s="544"/>
      <c r="CL125" s="544"/>
      <c r="CM125" s="509"/>
      <c r="CN125" s="524"/>
      <c r="CO125"/>
      <c r="CP125"/>
      <c r="CQ125"/>
      <c r="CR125"/>
      <c r="CS125"/>
      <c r="CT125"/>
    </row>
    <row r="126" spans="1:98">
      <c r="A126" s="264"/>
      <c r="B126" s="551" t="s">
        <v>335</v>
      </c>
      <c r="C126" s="265"/>
      <c r="D126" s="265"/>
      <c r="E126" s="265"/>
      <c r="F126" s="265"/>
      <c r="G126" s="265"/>
      <c r="H126" s="265"/>
      <c r="I126" s="544"/>
      <c r="J126" s="544"/>
      <c r="K126" s="544"/>
      <c r="L126" s="544"/>
      <c r="M126" s="550"/>
      <c r="N126" s="550"/>
      <c r="O126" s="550"/>
      <c r="P126" s="550"/>
      <c r="Q126" s="544"/>
      <c r="R126" s="550"/>
      <c r="S126" s="545"/>
      <c r="T126" s="549"/>
      <c r="U126" s="549"/>
      <c r="V126" s="544"/>
      <c r="W126" s="545"/>
      <c r="X126" s="545"/>
      <c r="Y126" s="545"/>
      <c r="Z126" s="545"/>
      <c r="AA126" s="544"/>
      <c r="AB126" s="545"/>
      <c r="AC126" s="545"/>
      <c r="AD126" s="545"/>
      <c r="AE126" s="545"/>
      <c r="AF126" s="544"/>
      <c r="AG126" s="545"/>
      <c r="AH126" s="545"/>
      <c r="AI126" s="545"/>
      <c r="AJ126" s="545"/>
      <c r="AK126" s="544"/>
      <c r="AL126" s="545"/>
      <c r="AM126" s="545"/>
      <c r="AN126" s="545"/>
      <c r="AO126" s="545"/>
      <c r="AP126" s="544"/>
      <c r="AQ126" s="545"/>
      <c r="AR126" s="545"/>
      <c r="AS126" s="545"/>
      <c r="AT126" s="545"/>
      <c r="AU126" s="544"/>
      <c r="AV126" s="545"/>
      <c r="AW126" s="545"/>
      <c r="AX126" s="545"/>
      <c r="AY126" s="545"/>
      <c r="AZ126" s="544"/>
      <c r="BA126" s="545"/>
      <c r="BB126" s="545"/>
      <c r="BC126" s="545"/>
      <c r="BD126" s="545"/>
      <c r="BE126" s="544"/>
      <c r="BF126" s="545"/>
      <c r="BG126" s="545"/>
      <c r="BH126" s="545"/>
      <c r="BI126" s="545"/>
      <c r="BJ126" s="544"/>
      <c r="BK126" s="545"/>
      <c r="BL126" s="545"/>
      <c r="BM126" s="545"/>
      <c r="BN126" s="545"/>
      <c r="BO126" s="544"/>
      <c r="BP126" s="545"/>
      <c r="BQ126" s="545"/>
      <c r="BR126" s="545"/>
      <c r="BS126" s="545"/>
      <c r="BT126" s="544"/>
      <c r="BU126" s="545"/>
      <c r="BV126" s="545"/>
      <c r="BW126" s="545"/>
      <c r="BX126" s="545"/>
      <c r="BY126" s="544"/>
      <c r="BZ126" s="545"/>
      <c r="CA126" s="545"/>
      <c r="CB126" s="545"/>
      <c r="CC126" s="545"/>
      <c r="CD126" s="544"/>
      <c r="CE126" s="545"/>
      <c r="CF126" s="545"/>
      <c r="CG126" s="545"/>
      <c r="CH126" s="545"/>
      <c r="CI126" s="544"/>
      <c r="CJ126" s="544"/>
      <c r="CK126" s="544"/>
      <c r="CL126" s="544"/>
      <c r="CM126" s="509"/>
      <c r="CN126" s="524"/>
    </row>
    <row r="127" spans="1:98">
      <c r="A127" s="264"/>
      <c r="B127" s="265"/>
      <c r="C127" s="265"/>
      <c r="D127" s="265"/>
      <c r="E127" s="265"/>
      <c r="F127" s="265"/>
      <c r="G127" s="265"/>
      <c r="H127" s="265"/>
      <c r="I127" s="544"/>
      <c r="J127" s="544"/>
      <c r="K127" s="544"/>
      <c r="L127" s="544"/>
      <c r="M127" s="550"/>
      <c r="N127" s="550"/>
      <c r="O127" s="550"/>
      <c r="P127" s="550"/>
      <c r="Q127" s="544"/>
      <c r="R127" s="550"/>
      <c r="S127" s="545"/>
      <c r="T127" s="549"/>
      <c r="U127" s="549"/>
      <c r="V127" s="544"/>
      <c r="W127" s="545"/>
      <c r="X127" s="545"/>
      <c r="Y127" s="545"/>
      <c r="Z127" s="545"/>
      <c r="AA127" s="544"/>
      <c r="AB127" s="545"/>
      <c r="AC127" s="545"/>
      <c r="AD127" s="545"/>
      <c r="AE127" s="545"/>
      <c r="AF127" s="544"/>
      <c r="AG127" s="545"/>
      <c r="AH127" s="545"/>
      <c r="AI127" s="545"/>
      <c r="AJ127" s="545"/>
      <c r="AK127" s="544"/>
      <c r="AL127" s="545"/>
      <c r="AM127" s="545"/>
      <c r="AN127" s="545"/>
      <c r="AO127" s="545"/>
      <c r="AP127" s="544"/>
      <c r="AQ127" s="545"/>
      <c r="AR127" s="545"/>
      <c r="AS127" s="545"/>
      <c r="AT127" s="545"/>
      <c r="AU127" s="544"/>
      <c r="AV127" s="545"/>
      <c r="AW127" s="545"/>
      <c r="AX127" s="545"/>
      <c r="AY127" s="545"/>
      <c r="AZ127" s="544"/>
      <c r="BA127" s="545"/>
      <c r="BB127" s="545"/>
      <c r="BC127" s="545"/>
      <c r="BD127" s="545"/>
      <c r="BE127" s="544"/>
      <c r="BF127" s="545"/>
      <c r="BG127" s="545"/>
      <c r="BH127" s="545"/>
      <c r="BI127" s="545"/>
      <c r="BJ127" s="544"/>
      <c r="BK127" s="545"/>
      <c r="BL127" s="545"/>
      <c r="BM127" s="545"/>
      <c r="BN127" s="545"/>
      <c r="BO127" s="544"/>
      <c r="BP127" s="545"/>
      <c r="BQ127" s="545"/>
      <c r="BR127" s="545"/>
      <c r="BS127" s="545"/>
      <c r="BT127" s="544"/>
      <c r="BU127" s="545"/>
      <c r="BV127" s="545"/>
      <c r="BW127" s="545"/>
      <c r="BX127" s="545"/>
      <c r="BY127" s="544"/>
      <c r="BZ127" s="545"/>
      <c r="CA127" s="545"/>
      <c r="CB127" s="545"/>
      <c r="CC127" s="545"/>
      <c r="CD127" s="544"/>
      <c r="CE127" s="545"/>
      <c r="CF127" s="545"/>
      <c r="CG127" s="545"/>
      <c r="CH127" s="545"/>
      <c r="CI127" s="544"/>
      <c r="CJ127" s="544"/>
      <c r="CK127" s="544"/>
      <c r="CL127" s="544"/>
      <c r="CM127" s="509"/>
      <c r="CN127" s="524"/>
    </row>
    <row r="128" spans="1:98">
      <c r="A128" s="264"/>
      <c r="B128" s="547" t="s">
        <v>334</v>
      </c>
      <c r="C128" s="265"/>
      <c r="D128" s="265"/>
      <c r="E128" s="265"/>
      <c r="F128" s="310"/>
      <c r="G128" s="310"/>
      <c r="H128" s="310"/>
      <c r="I128" s="544"/>
      <c r="J128" s="544">
        <f>IS!O77/IS!O21</f>
        <v>6.9469835466179158E-2</v>
      </c>
      <c r="K128" s="544">
        <f>IS!T77/IS!T21</f>
        <v>7.9257053735998867E-2</v>
      </c>
      <c r="L128" s="544">
        <f>IS!Y77/IS!Y21</f>
        <v>7.6077850099890446E-2</v>
      </c>
      <c r="M128" s="545">
        <f>IS!Z77/IS!Z21</f>
        <v>6.3728891973166779E-2</v>
      </c>
      <c r="N128" s="545">
        <f>IS!AA77/IS!AA21</f>
        <v>8.4909582207441284E-2</v>
      </c>
      <c r="O128" s="545">
        <f>IS!AB77/IS!AB21</f>
        <v>7.4204946996466431E-2</v>
      </c>
      <c r="P128" s="545">
        <f>IS!AC77/IS!AC21</f>
        <v>6.2207765806058142E-2</v>
      </c>
      <c r="Q128" s="544">
        <f>IS!AD77/IS!AD21</f>
        <v>7.4455868607290698E-2</v>
      </c>
      <c r="R128" s="545">
        <f>IS!AE77/IS!AE21</f>
        <v>6.9203784415860531E-2</v>
      </c>
      <c r="S128" s="545">
        <f>IS!AF77/IS!AF21</f>
        <v>8.7069583931133426E-2</v>
      </c>
      <c r="T128" s="545">
        <f>IS!AG77/IS!AG21</f>
        <v>7.5286565795506646E-2</v>
      </c>
      <c r="U128" s="545">
        <f>IS!AH77/IS!AH21</f>
        <v>5.5590089690080807E-2</v>
      </c>
      <c r="V128" s="544">
        <f>IS!AI77/IS!AI21</f>
        <v>7.1831480397893499E-2</v>
      </c>
      <c r="W128" s="545">
        <f>IS!AJ77/IS!AJ21</f>
        <v>7.2350447479981164E-2</v>
      </c>
      <c r="X128" s="545">
        <f>IS!AK77/IS!AK21</f>
        <v>8.9938030006523159E-2</v>
      </c>
      <c r="Y128" s="545">
        <f>IS!AL77/IS!AL21</f>
        <v>8.1887692181205299E-2</v>
      </c>
      <c r="Z128" s="545">
        <f>IS!AM77/IS!AM21</f>
        <v>6.7646828810510679E-2</v>
      </c>
      <c r="AA128" s="544">
        <f>IS!AN77/IS!AN21</f>
        <v>7.8027974659725274E-2</v>
      </c>
      <c r="AB128" s="545">
        <f>IS!AO77/IS!AO21</f>
        <v>6.6704675028506272E-2</v>
      </c>
      <c r="AC128" s="545">
        <f>IS!AP77/IS!AP21</f>
        <v>8.2566168009205979E-2</v>
      </c>
      <c r="AD128" s="545">
        <f>IS!AQ77/IS!AQ21</f>
        <v>8.6344946981172913E-2</v>
      </c>
      <c r="AE128" s="545">
        <f>IS!AR77/IS!AR21</f>
        <v>7.20402337909474E-2</v>
      </c>
      <c r="AF128" s="544">
        <f>IS!AS77/IS!AS21</f>
        <v>7.713800471155427E-2</v>
      </c>
      <c r="AG128" s="545">
        <f>IS!AT77/IS!AT21</f>
        <v>7.1643501934374548E-2</v>
      </c>
      <c r="AH128" s="545">
        <f>IS!AU77/IS!AU21</f>
        <v>7.9967385850476663E-2</v>
      </c>
      <c r="AI128" s="545">
        <f>IS!AV77/IS!AV21</f>
        <v>8.412330129267484E-2</v>
      </c>
      <c r="AJ128" s="545">
        <f>IS!AW77/IS!AW21</f>
        <v>7.7522004062288416E-2</v>
      </c>
      <c r="AK128" s="544">
        <f>IS!AX77/IS!AX21</f>
        <v>7.8467794568000404E-2</v>
      </c>
      <c r="AL128" s="545">
        <f>IS!AY77/IS!AY21</f>
        <v>5.9421673907697349E-2</v>
      </c>
      <c r="AM128" s="545">
        <f>IS!AZ77/IS!AZ21</f>
        <v>7.4549004594180693E-2</v>
      </c>
      <c r="AN128" s="545">
        <f>IS!BA77/IS!BA21</f>
        <v>8.0179722453931901E-2</v>
      </c>
      <c r="AO128" s="545">
        <f>IS!BB77/IS!BB21</f>
        <v>7.6787323842907221E-2</v>
      </c>
      <c r="AP128" s="544">
        <f>IS!BC77/IS!BC21</f>
        <v>7.304215546018121E-2</v>
      </c>
      <c r="AQ128" s="545">
        <f>IS!BD77/IS!BD21</f>
        <v>7.1926910299003319E-2</v>
      </c>
      <c r="AR128" s="545">
        <f>IS!BE77/IS!BE21</f>
        <v>8.042312708303144E-2</v>
      </c>
      <c r="AS128" s="545">
        <f>IS!BF77/IS!BF21</f>
        <v>8.7958883994126283E-2</v>
      </c>
      <c r="AT128" s="545">
        <f>IS!BG77/IS!BG21</f>
        <v>8.0664693218514535E-2</v>
      </c>
      <c r="AU128" s="544">
        <f>IS!BH77/IS!BH21</f>
        <v>8.0495527003644665E-2</v>
      </c>
      <c r="AV128" s="545">
        <f>IS!BI77/IS!BI21</f>
        <v>7.985480943738657E-2</v>
      </c>
      <c r="AW128" s="545">
        <f>IS!BJ77/IS!BJ21</f>
        <v>9.1091298638468446E-2</v>
      </c>
      <c r="AX128" s="545">
        <f>IS!BK77/IS!BK21</f>
        <v>9.3010186160871089E-2</v>
      </c>
      <c r="AY128" s="545">
        <f>IS!BL77/IS!BL21</f>
        <v>9.2161090630868747E-2</v>
      </c>
      <c r="AZ128" s="544">
        <f>IS!BM77/IS!BM21</f>
        <v>8.9303009649531875E-2</v>
      </c>
      <c r="BA128" s="545">
        <f>IS!BN77/IS!BN21</f>
        <v>2.657860824742268E-2</v>
      </c>
      <c r="BB128" s="545">
        <f>IS!BO77/IS!BO21</f>
        <v>9.6183095531252261E-2</v>
      </c>
      <c r="BC128" s="545">
        <f>IS!BP77/IS!BP21</f>
        <v>9.4069937508310067E-2</v>
      </c>
      <c r="BD128" s="545">
        <f>IS!BQ77/IS!BQ21</f>
        <v>0.12509882624825153</v>
      </c>
      <c r="BE128" s="544">
        <f>IS!BR77/IS!BR21</f>
        <v>8.8895820336868367E-2</v>
      </c>
      <c r="BF128" s="545">
        <f>IS!BS77/IS!BS21</f>
        <v>8.820056948399195E-2</v>
      </c>
      <c r="BG128" s="545">
        <f>IS!BT77/IS!BT21</f>
        <v>9.696363863551169E-2</v>
      </c>
      <c r="BH128" s="545">
        <f>IS!BU77/IS!BU21</f>
        <v>9.1514681153796407E-2</v>
      </c>
      <c r="BI128" s="545">
        <f>IS!BV77/IS!BV21</f>
        <v>8.6461006026612566E-2</v>
      </c>
      <c r="BJ128" s="544">
        <f>IS!BW77/IS!BW21</f>
        <v>9.0792961389838084E-2</v>
      </c>
      <c r="BK128" s="545">
        <f>IS!BX77/IS!BX21</f>
        <v>8.2265174635469646E-2</v>
      </c>
      <c r="BL128" s="545">
        <f>IS!BY77/IS!BY21</f>
        <v>9.7725554068989584E-2</v>
      </c>
      <c r="BM128" s="545">
        <f>IS!BZ77/IS!BZ21</f>
        <v>0.11467095497278575</v>
      </c>
      <c r="BN128" s="545">
        <f>IS!CA77/IS!CA21</f>
        <v>8.6667451164979994E-2</v>
      </c>
      <c r="BO128" s="544">
        <f>IS!CB77/IS!CB21</f>
        <v>9.5545314900153611E-2</v>
      </c>
      <c r="BP128" s="545">
        <f>IS!CC77/IS!CC21</f>
        <v>0.10705705705705705</v>
      </c>
      <c r="BQ128" s="545">
        <f>IS!CD77/IS!CD21</f>
        <v>0.10491937130026537</v>
      </c>
      <c r="BR128" s="545">
        <f>IS!CE77/IS!CE21</f>
        <v>9.878154917319408E-2</v>
      </c>
      <c r="BS128" s="545">
        <f>IS!CF77/IS!CF21</f>
        <v>0.22923076923076924</v>
      </c>
      <c r="BT128" s="544">
        <f>IS!CG77/IS!CG21</f>
        <v>0.13576111322335671</v>
      </c>
      <c r="BU128" s="545">
        <f>IS!CH77/IS!CH21</f>
        <v>8.8343190836265628E-2</v>
      </c>
      <c r="BV128" s="545">
        <f>IS!CI77/IS!CI21</f>
        <v>9.2308726637084851E-2</v>
      </c>
      <c r="BW128" s="545">
        <f>IS!CJ77/IS!CJ21</f>
        <v>0.10310714783335656</v>
      </c>
      <c r="BX128" s="545">
        <f>IS!CK77/IS!CK21</f>
        <v>6.9104304522818752E-2</v>
      </c>
      <c r="BY128" s="544">
        <f>IS!CL77/IS!CL21</f>
        <v>8.814897631192789E-2</v>
      </c>
      <c r="BZ128" s="545">
        <f>IS!CM77/IS!CM21</f>
        <v>0.1003257328990228</v>
      </c>
      <c r="CA128" s="545">
        <f>IS!CN77/IS!CN21</f>
        <v>9.4175392670157065E-2</v>
      </c>
      <c r="CB128" s="545">
        <f>IS!CO77/IS!CO21</f>
        <v>8.8301686363032802E-2</v>
      </c>
      <c r="CC128" s="545">
        <f>IS!CP77/IS!CP21</f>
        <v>7.6418916068250131E-2</v>
      </c>
      <c r="CD128" s="544">
        <f>IS!CQ77/IS!CQ21</f>
        <v>8.9535915370443739E-2</v>
      </c>
      <c r="CE128" s="545">
        <f>IS!CR77/IS!CR21</f>
        <v>7.8214731727979617E-2</v>
      </c>
      <c r="CF128" s="545">
        <f>IS!CS77/IS!CS21</f>
        <v>8.7641394436935E-2</v>
      </c>
      <c r="CG128" s="545">
        <f>IS!CT77/IS!CT21</f>
        <v>9.1810633535867936E-2</v>
      </c>
      <c r="CH128" s="545">
        <f>IS!CU77/IS!CU21</f>
        <v>8.1026883704292549E-2</v>
      </c>
      <c r="CI128" s="544">
        <f>IS!CV77/IS!CV21</f>
        <v>8.45210779659121E-2</v>
      </c>
      <c r="CJ128" s="544">
        <f>IS!CW77/IS!CW21</f>
        <v>9.2335287802466803E-2</v>
      </c>
      <c r="CK128" s="544">
        <f>IS!CX77/IS!CX21</f>
        <v>9.7353426676742696E-2</v>
      </c>
      <c r="CL128" s="544">
        <f>IS!CY77/IS!CY21</f>
        <v>9.9000364669388635E-2</v>
      </c>
      <c r="CM128" s="509"/>
      <c r="CN128" s="524"/>
    </row>
    <row r="129" spans="1:92">
      <c r="A129" s="264"/>
      <c r="B129" s="265" t="s">
        <v>333</v>
      </c>
      <c r="C129" s="265"/>
      <c r="D129" s="265"/>
      <c r="E129" s="265"/>
      <c r="F129" s="548"/>
      <c r="G129" s="548"/>
      <c r="H129" s="548"/>
      <c r="I129" s="544"/>
      <c r="J129" s="544">
        <f>(IS!O21)/((J30+I30)/2)</f>
        <v>1.0661341791985937</v>
      </c>
      <c r="K129" s="544">
        <f>(IS!T21)/((K30+J30)/2)</f>
        <v>1.006510997342086</v>
      </c>
      <c r="L129" s="544">
        <f>(IS!Y21)/((L30+K30)/2)</f>
        <v>0.96432788515319123</v>
      </c>
      <c r="M129" s="545">
        <f>(IS!Z21*4)/((M30+L30)/2)</f>
        <v>0.97143338670262069</v>
      </c>
      <c r="N129" s="545">
        <f>(IS!AA21*4)/((N30+M30)/2)</f>
        <v>1.0599834756265492</v>
      </c>
      <c r="O129" s="545">
        <f>(IS!AB21*4)/((O30+N30)/2)</f>
        <v>1.0052339114406039</v>
      </c>
      <c r="P129" s="545">
        <f>(IS!AC21*4)/((P30+O30)/2)</f>
        <v>1.0080950917102163</v>
      </c>
      <c r="Q129" s="544">
        <f>(IS!AD21)/((Q30+L30)/2)</f>
        <v>0.9891038763785247</v>
      </c>
      <c r="R129" s="545">
        <f>(IS!AE21*4)/((R30+Q30)/2)</f>
        <v>0.92936178620825927</v>
      </c>
      <c r="S129" s="545">
        <f>(IS!AF21*4)/((S30+R30)/2)</f>
        <v>1.0455898553781966</v>
      </c>
      <c r="T129" s="545">
        <f>(IS!AG21*4)/((T30+S30)/2)</f>
        <v>0.96016905314828471</v>
      </c>
      <c r="U129" s="545">
        <f>(IS!AH21*4)/((U30+T30)/2)</f>
        <v>0.9792919026447664</v>
      </c>
      <c r="V129" s="544">
        <f>(IS!AI21)/((V30+Q30)/2)</f>
        <v>0.98939397448069843</v>
      </c>
      <c r="W129" s="545">
        <f>(IS!AJ21*4)/((W30+V30)/2)</f>
        <v>0.91355049700933777</v>
      </c>
      <c r="X129" s="545">
        <f>(IS!AK21*4)/((X30+W30)/2)</f>
        <v>1.0199070657089098</v>
      </c>
      <c r="Y129" s="545">
        <f>(IS!AL21*4)/((Y30+X30)/2)</f>
        <v>0.98523723699398558</v>
      </c>
      <c r="Z129" s="545">
        <f>(IS!AM21*4)/((Z30+Y30)/2)</f>
        <v>1.0574650857479557</v>
      </c>
      <c r="AA129" s="544">
        <f>(IS!AN21)/((AA30+V30)/2)</f>
        <v>1.0278512023725099</v>
      </c>
      <c r="AB129" s="545">
        <f>(IS!AO21*4)/((AB30+AA30)/2)</f>
        <v>1.0261167523296144</v>
      </c>
      <c r="AC129" s="545">
        <f>(IS!AP21*4)/((AC30+AB30)/2)</f>
        <v>1.1219689328222715</v>
      </c>
      <c r="AD129" s="545">
        <f>(IS!AQ21*4)/((AD30+AC30)/2)</f>
        <v>1.0658312030291963</v>
      </c>
      <c r="AE129" s="545">
        <f>(IS!AR21*4)/((AE30+AD30)/2)</f>
        <v>1.0891997927307722</v>
      </c>
      <c r="AF129" s="544">
        <f>(IS!AS21)/((AF30+AA30)/2)</f>
        <v>1.0767037634197176</v>
      </c>
      <c r="AG129" s="545">
        <f>(IS!AT21*4)/((AG30+AF30)/2)</f>
        <v>1.0003224997312503</v>
      </c>
      <c r="AH129" s="545">
        <f>(IS!AU21*4)/((AH30+AG30)/2)</f>
        <v>1.1039735500566907</v>
      </c>
      <c r="AI129" s="545">
        <f>(IS!AV21*4)/((AI30+AH30)/2)</f>
        <v>1.0466971967804608</v>
      </c>
      <c r="AJ129" s="545">
        <f>(IS!AW21*4)/((AJ30+AI30)/2)</f>
        <v>1.0430883040987298</v>
      </c>
      <c r="AK129" s="544">
        <f>(IS!AX21)/((AK30+AF30)/2)</f>
        <v>1.0762760707467309</v>
      </c>
      <c r="AL129" s="545">
        <f>(IS!AY21*4)/((AL30+AK30)/2)</f>
        <v>0.87709743230247961</v>
      </c>
      <c r="AM129" s="545">
        <f>(IS!AZ21*4)/((AM30+AL30)/2)</f>
        <v>0.93836163925886673</v>
      </c>
      <c r="AN129" s="545">
        <f>(IS!BA21*4)/((AN30+AM30)/2)</f>
        <v>0.92441422337498469</v>
      </c>
      <c r="AO129" s="545">
        <f>(IS!BB21*4)/((AO30+AN30)/2)</f>
        <v>0.9867036059961708</v>
      </c>
      <c r="AP129" s="544">
        <f>(IS!BC21)/((AP30+AK30)/2)</f>
        <v>0.93423385695574301</v>
      </c>
      <c r="AQ129" s="545">
        <f>(IS!BD21*4)/((AQ30+AP30)/2)</f>
        <v>0.84380201489268503</v>
      </c>
      <c r="AR129" s="545">
        <f>(IS!BE21*4)/((AR30+AQ30)/2)</f>
        <v>0.9459012601622534</v>
      </c>
      <c r="AS129" s="545">
        <f>(IS!BF21*4)/((AS30+AR30)/2)</f>
        <v>0.91569181121419929</v>
      </c>
      <c r="AT129" s="545">
        <f>(IS!BG21*4)/((AT30+AS30)/2)</f>
        <v>0.99806953047623848</v>
      </c>
      <c r="AU129" s="544">
        <f>(IS!BH21)/((AU30+AP30)/2)</f>
        <v>0.95096057065336315</v>
      </c>
      <c r="AV129" s="545">
        <f>(IS!BI21*4)/((AV30+AU30)/2)</f>
        <v>0.85084384467551211</v>
      </c>
      <c r="AW129" s="545">
        <f>(IS!BJ21*4)/((AW30+AV30)/2)</f>
        <v>0.94252143537630995</v>
      </c>
      <c r="AX129" s="545">
        <f>(IS!BK21*4)/((AX30+AW30)/2)</f>
        <v>0.91768403239453644</v>
      </c>
      <c r="AY129" s="545">
        <f>(IS!BL21*4)/((AY30+AX30)/2)</f>
        <v>0.93205834683954614</v>
      </c>
      <c r="AZ129" s="544">
        <f>(IS!BM21)/((AZ30+AU30)/2)</f>
        <v>0.92965942723748385</v>
      </c>
      <c r="BA129" s="545">
        <f>(IS!BN21*4)/((BA30+AZ30)/2)</f>
        <v>0.80639085536143407</v>
      </c>
      <c r="BB129" s="545">
        <f>(IS!BO21*4)/((BB30+BA30)/2)</f>
        <v>0.80993129339991343</v>
      </c>
      <c r="BC129" s="545">
        <f>(IS!BP21*4)/((BC30+BB30)/2)</f>
        <v>0.72230925755856878</v>
      </c>
      <c r="BD129" s="545">
        <f>(IS!BQ21*4)/((BD30+BC30)/2)</f>
        <v>0.72533980314852087</v>
      </c>
      <c r="BE129" s="544">
        <f>(IS!BR21)/((BE30+AZ30)/2)</f>
        <v>0.7650486209159425</v>
      </c>
      <c r="BF129" s="545">
        <f>(IS!BS21*4)/((BF30+BE30)/2)</f>
        <v>0.64742977259698065</v>
      </c>
      <c r="BG129" s="545">
        <f>(IS!BT21*4)/((BG30+BF30)/2)</f>
        <v>0.72238613989856537</v>
      </c>
      <c r="BH129" s="545">
        <f>(IS!BU21*4)/((BH30+BG30)/2)</f>
        <v>0.69076897302730778</v>
      </c>
      <c r="BI129" s="545">
        <f>(IS!BV21*4)/((BI30+BH30)/2)</f>
        <v>0.74105682069422951</v>
      </c>
      <c r="BJ129" s="544">
        <f>IS!BW21/(BJ30+BE30)*2</f>
        <v>0.6958328472303239</v>
      </c>
      <c r="BK129" s="545">
        <f>(IS!BX21*4)/((BK30+BJ30)/2)</f>
        <v>0.6487628077855937</v>
      </c>
      <c r="BL129" s="545">
        <f>(IS!BY21*4)/((BL30+BK30)/2)</f>
        <v>0.74999863664374411</v>
      </c>
      <c r="BM129" s="545">
        <f>(IS!BZ21*4)/((BM30+BL30)/2)</f>
        <v>0.70327758324452472</v>
      </c>
      <c r="BN129" s="545">
        <f>(IS!CA21*4)/((BN30+BM30)/2)</f>
        <v>0.74273883854192269</v>
      </c>
      <c r="BO129" s="544">
        <f>IS!CB21/(BO30+BJ30)*2</f>
        <v>0.7158448013283264</v>
      </c>
      <c r="BP129" s="545">
        <f>(IS!CC21*4)/((BP30+BO30)/2)</f>
        <v>0.58351951636220267</v>
      </c>
      <c r="BQ129" s="545">
        <f>(IS!CD21*4)/((BQ30+BP30)/2)</f>
        <v>0.63865290602933189</v>
      </c>
      <c r="BR129" s="545">
        <f>(IS!CE21*4)/((BR30+BQ30)/2)</f>
        <v>0.59653449282886628</v>
      </c>
      <c r="BS129" s="545">
        <f>(IS!CF21*4)/((BS30+BR30)/2)</f>
        <v>0.63690366832016654</v>
      </c>
      <c r="BT129" s="544">
        <f>IS!CG21/(BT30+BO30)*2</f>
        <v>0.6269359600362362</v>
      </c>
      <c r="BU129" s="545">
        <f>(IS!CH21*4)/((BU30+BT30)/2)</f>
        <v>0.60694669279486524</v>
      </c>
      <c r="BV129" s="545">
        <f>(IS!CI21*4)/((BV30+BU30)/2)</f>
        <v>0.66830290197752329</v>
      </c>
      <c r="BW129" s="545">
        <f>(IS!CJ21*4)/((BW30+BV30)/2)</f>
        <v>0.63958293881097461</v>
      </c>
      <c r="BX129" s="545">
        <f>(IS!CK21*4)/((BX30+BW30)/2)</f>
        <v>0.65235192025277022</v>
      </c>
      <c r="BY129" s="544">
        <f>IS!CL21/(BY30+BT30)*2</f>
        <v>0.64613127151645122</v>
      </c>
      <c r="BZ129" s="545">
        <f>(IS!CM21*4)/((BZ30+BY30)/2)</f>
        <v>0.61373064044113967</v>
      </c>
      <c r="CA129" s="545">
        <f>(IS!CN21*4)/((CA30+BZ30)/2)</f>
        <v>0.66016439303111807</v>
      </c>
      <c r="CB129" s="545">
        <f>(IS!CO21*4)/((CB30+CA30)/2)</f>
        <v>0.63039054121216875</v>
      </c>
      <c r="CC129" s="545">
        <f>(IS!CP21*4)/((CC30+CB30)/2)</f>
        <v>0.63830940533825398</v>
      </c>
      <c r="CD129" s="544">
        <f>IS!CQ21/(CD30+BY30)*2</f>
        <v>0.64072438638296847</v>
      </c>
      <c r="CE129" s="545">
        <f>(IS!CR21*4)/((CE30+CD30)/2)</f>
        <v>0.60828201890469025</v>
      </c>
      <c r="CF129" s="545">
        <f>(IS!CS21*4)/((CF30+CE30)/2)</f>
        <v>0.66105289942236989</v>
      </c>
      <c r="CG129" s="545">
        <f>(IS!CT21*4)/((CG30+CF30)/2)</f>
        <v>0.62472782180514708</v>
      </c>
      <c r="CH129" s="545">
        <f>(IS!CU21*4)/((CH30+CG30)/2)</f>
        <v>0.63138066395715531</v>
      </c>
      <c r="CI129" s="544">
        <f>IS!CV21/(CI30+CD30)*2</f>
        <v>0.63805343615017418</v>
      </c>
      <c r="CJ129" s="544">
        <f>IS!CW21/(CJ30+CI30)*2</f>
        <v>0.63516134209532393</v>
      </c>
      <c r="CK129" s="544">
        <f>IS!CX21/(CK30+CJ30)*2</f>
        <v>0.63480834512958173</v>
      </c>
      <c r="CL129" s="544">
        <f>IS!CY21/(CL30+CK30)*2</f>
        <v>0.62744150178846392</v>
      </c>
      <c r="CM129" s="509"/>
      <c r="CN129" s="524"/>
    </row>
    <row r="130" spans="1:92">
      <c r="A130" s="264"/>
      <c r="B130" s="547" t="s">
        <v>332</v>
      </c>
      <c r="C130" s="265"/>
      <c r="D130" s="265"/>
      <c r="E130" s="265"/>
      <c r="F130" s="546"/>
      <c r="G130" s="546"/>
      <c r="H130" s="546"/>
      <c r="I130" s="544"/>
      <c r="J130" s="544">
        <f>(J30+I30)/(J62+I62)</f>
        <v>3.2644875553614869</v>
      </c>
      <c r="K130" s="544">
        <f>(K30+J30)/(K62+J62)</f>
        <v>3.3520090887347527</v>
      </c>
      <c r="L130" s="544">
        <f>(L30+K30)/(L62+K62)</f>
        <v>3.208254411324893</v>
      </c>
      <c r="M130" s="545">
        <f>(M30+K30)/(M62+K62)</f>
        <v>3.1809197651663403</v>
      </c>
      <c r="N130" s="545">
        <f>(N30+M30)/(N62+M62)</f>
        <v>2.9562385507836351</v>
      </c>
      <c r="O130" s="545">
        <f>(O30+N30)/(O62+N62)</f>
        <v>2.912571518144055</v>
      </c>
      <c r="P130" s="545">
        <f>(P30+O30)/(P62+O62)</f>
        <v>2.8593612657486083</v>
      </c>
      <c r="Q130" s="544">
        <f>(Q30+L30)/(Q62+L62)</f>
        <v>2.9151426481346014</v>
      </c>
      <c r="R130" s="545">
        <f>(R30+P30)/(R62+P62)</f>
        <v>2.7955534074432093</v>
      </c>
      <c r="S130" s="545">
        <f>(S30+R30)/(S62+R62)</f>
        <v>2.8466671114966302</v>
      </c>
      <c r="T130" s="545">
        <f>(T30+S30)/(T62+S62)</f>
        <v>2.929234637952157</v>
      </c>
      <c r="U130" s="545">
        <f>(U30+T30)/(U62+T62)</f>
        <v>2.8102336948220561</v>
      </c>
      <c r="V130" s="544">
        <f>(V30+Q30)/(V62+Q62)</f>
        <v>2.7630930671529579</v>
      </c>
      <c r="W130" s="545">
        <f>(W30+U30)/(W62+U62)</f>
        <v>2.7063002212647023</v>
      </c>
      <c r="X130" s="545">
        <f>(X30+W30)/(X62+W62)</f>
        <v>2.6866918028208349</v>
      </c>
      <c r="Y130" s="545">
        <f>(Y30+X30)/(Y62+X62)</f>
        <v>2.6419667219517415</v>
      </c>
      <c r="Z130" s="545">
        <f>(Z30+Y30)/(Z62+Y62)</f>
        <v>2.670006348154895</v>
      </c>
      <c r="AA130" s="544">
        <f>(AA30+V30)/(AA62+V62)</f>
        <v>2.7142440503966401</v>
      </c>
      <c r="AB130" s="545">
        <f>(AB30+Z30)/(AB62+Z62)</f>
        <v>2.7038386577408695</v>
      </c>
      <c r="AC130" s="545">
        <f>(AC30+AB30)/(AC62+AB62)</f>
        <v>2.657837591485483</v>
      </c>
      <c r="AD130" s="545">
        <f>(AD30+AC30)/(AD62+AC62)</f>
        <v>2.6360803587262178</v>
      </c>
      <c r="AE130" s="545">
        <f>(AE30+AD30)/(AE62+AD62)</f>
        <v>2.5958254269449714</v>
      </c>
      <c r="AF130" s="544">
        <f>(AF30+AA30)/(AF62+AA62)</f>
        <v>2.6315843940805133</v>
      </c>
      <c r="AG130" s="545">
        <f>(AG30+AE30)/(AG62+AE62)</f>
        <v>2.59956684753499</v>
      </c>
      <c r="AH130" s="545">
        <f>(AH30+AG30)/(AH62+AG62)</f>
        <v>2.6561910892454828</v>
      </c>
      <c r="AI130" s="545">
        <f>(AI30+AH30)/(AI62+AH62)</f>
        <v>2.6816141411792067</v>
      </c>
      <c r="AJ130" s="545">
        <f>(AJ30+AI30)/(AJ62+AI62)</f>
        <v>3.0615945945945944</v>
      </c>
      <c r="AK130" s="544">
        <f>(AK30+AF30)/(AK62+AF62)</f>
        <v>2.9792874007297705</v>
      </c>
      <c r="AL130" s="545">
        <f>(AL30+AJ30)/(AL62+AJ62)</f>
        <v>3.5066813740939176</v>
      </c>
      <c r="AM130" s="545">
        <f>(AM30+AL30)/(AM62+AL62)</f>
        <v>3.3545131356953481</v>
      </c>
      <c r="AN130" s="545">
        <f>(AN30+AM30)/(AN62+AM62)</f>
        <v>3.1817218690754991</v>
      </c>
      <c r="AO130" s="545">
        <f>(AO30+AN30)/(AO62+AN62)</f>
        <v>2.9396706004409285</v>
      </c>
      <c r="AP130" s="544">
        <f>(AP30+AK30)/(AP62+AK62)</f>
        <v>3.119000639190729</v>
      </c>
      <c r="AQ130" s="545">
        <f>(AQ30+AO30)/(AQ62+AO62)</f>
        <v>2.8516112915313516</v>
      </c>
      <c r="AR130" s="545">
        <f>(AR30+AQ30)/(AR62+AQ62)</f>
        <v>2.9258089580670226</v>
      </c>
      <c r="AS130" s="545">
        <f>(AS30+AR30)/(AS62+AR62)</f>
        <v>2.8890669385971304</v>
      </c>
      <c r="AT130" s="545">
        <f>(AT30+AS30)/(AT62+AS62)</f>
        <v>2.7942024906775487</v>
      </c>
      <c r="AU130" s="544">
        <f>(AU30+AP30)/(AU62+AP62)</f>
        <v>2.7563870594195556</v>
      </c>
      <c r="AV130" s="545">
        <f>(AV30+AT30)/(AV62+AT62)</f>
        <v>2.7385488726988578</v>
      </c>
      <c r="AW130" s="545">
        <f>(AW30+AV30)/(AW62+AV62)</f>
        <v>2.7383219246805948</v>
      </c>
      <c r="AX130" s="545">
        <f>(AX30+AW30)/(AX62+AW62)</f>
        <v>2.7386180566283405</v>
      </c>
      <c r="AY130" s="545">
        <f>(AY30+AX30)/(AY62+AX62)</f>
        <v>2.7749044299527772</v>
      </c>
      <c r="AZ130" s="544">
        <f>(AZ30+AU30)/(AZ62+AU62)</f>
        <v>2.7723332948110482</v>
      </c>
      <c r="BA130" s="545">
        <f>(BA30+AY30)/(BA62+AY62)</f>
        <v>2.7759848553141619</v>
      </c>
      <c r="BB130" s="545">
        <f>(BB30+BA30)/(BB62+BA62)</f>
        <v>3.0241484832357637</v>
      </c>
      <c r="BC130" s="545">
        <f>(BC30+BB30)/(BC62+BB62)</f>
        <v>3.502996278306945</v>
      </c>
      <c r="BD130" s="545">
        <f>(BD30+BC30)/(BD62+BC62)</f>
        <v>3.5651379032416601</v>
      </c>
      <c r="BE130" s="544">
        <f>(BE30+AZ30)/(BE62+AZ62)</f>
        <v>3.1564840774992677</v>
      </c>
      <c r="BF130" s="545">
        <f>(BF30+BD30)/(BF62+BD62)</f>
        <v>3.4144852997620325</v>
      </c>
      <c r="BG130" s="545">
        <f>(BG30+BF30)/(BG62+BF62)</f>
        <v>3.3330888851281473</v>
      </c>
      <c r="BH130" s="545">
        <f>(BH30+BG30)/(BH62+BG62)</f>
        <v>3.2227701389388814</v>
      </c>
      <c r="BI130" s="545">
        <f>(BI30+BH30)/(BI62+BH62)</f>
        <v>2.993233294177986</v>
      </c>
      <c r="BJ130" s="544">
        <f>(BJ30+BE30)/(BJ62+BE62)</f>
        <v>3.1153167185877466</v>
      </c>
      <c r="BK130" s="545">
        <f>(BK30+BI30)/(BK62+BI62)</f>
        <v>2.8328840970350404</v>
      </c>
      <c r="BL130" s="545">
        <f>(BL30+BJ30)/(BL62+BJ62)</f>
        <v>2.7834457967129214</v>
      </c>
      <c r="BM130" s="545">
        <f>(BM30+BL30)/(BM62+BL62)</f>
        <v>2.7112657369460744</v>
      </c>
      <c r="BN130" s="545">
        <f>(BN30+BM30)/(BN62+BM62)</f>
        <v>2.8050473476142317</v>
      </c>
      <c r="BO130" s="544">
        <f>(BO30+BJ30)/(BO62+BJ62)</f>
        <v>2.8834160338622996</v>
      </c>
      <c r="BP130" s="545">
        <f>(BP30+BN30)/(BP62+BN62)</f>
        <v>3.0505654577952992</v>
      </c>
      <c r="BQ130" s="545">
        <f>(BQ30+BP30)/(BQ62+BP62)</f>
        <v>3.118911684483372</v>
      </c>
      <c r="BR130" s="545">
        <f>(BR30+BQ30)/(BR62+BQ62)</f>
        <v>3.0361564480641028</v>
      </c>
      <c r="BS130" s="545">
        <f>(BS30+BR30)/(BS62+BR62)</f>
        <v>3.1031390909247967</v>
      </c>
      <c r="BT130" s="544">
        <f>(BT30+BO30)/(BT62+BO62)</f>
        <v>3.0522442847142783</v>
      </c>
      <c r="BU130" s="545">
        <f>(BU30+BT30)/(BU62+BT62)</f>
        <v>3.1601479061585684</v>
      </c>
      <c r="BV130" s="545">
        <f>(BV30+BU30)/(BV62+BU62)</f>
        <v>3.0996117890778687</v>
      </c>
      <c r="BW130" s="545">
        <f>(BW30+BV30)/(BW62+BV62)</f>
        <v>3.080838066475625</v>
      </c>
      <c r="BX130" s="545">
        <f>(BX30+BW30)/(BX62+BW62)</f>
        <v>3.1668252122749534</v>
      </c>
      <c r="BY130" s="544">
        <f>(BY30+BT30)/(BY62+BT62)</f>
        <v>3.2253308335001911</v>
      </c>
      <c r="BZ130" s="545">
        <f>(BZ30+BY30)/(BZ62+BY62)</f>
        <v>3.2638971960922913</v>
      </c>
      <c r="CA130" s="545">
        <f>(CA30+BZ30)/(CA62+BZ62)</f>
        <v>3.304411449782283</v>
      </c>
      <c r="CB130" s="545">
        <f>(CB30+CA30)/(CB62+CA62)</f>
        <v>3.2773519880664574</v>
      </c>
      <c r="CC130" s="545">
        <f>(CC30+CB30)/(CC62+CB62)</f>
        <v>3.1857455112561412</v>
      </c>
      <c r="CD130" s="544">
        <f>(CD30+BY30)/(CD62+BY62)</f>
        <v>3.1975817229551913</v>
      </c>
      <c r="CE130" s="545">
        <f>(CE30+CC30)/(CE62+CC62)</f>
        <v>3.1235530929955058</v>
      </c>
      <c r="CF130" s="545">
        <f>(CF30+CE30)/(CF62+CE62)</f>
        <v>3.1173872874160042</v>
      </c>
      <c r="CG130" s="545">
        <f>(CG30+CF30)/(CG62+CF62)</f>
        <v>3.0876942992209564</v>
      </c>
      <c r="CH130" s="545">
        <f>(CH30+CG30)/(CH62+CG62)</f>
        <v>3.0091128524301616</v>
      </c>
      <c r="CI130" s="544">
        <f>(CI30+CD30)/(CI62+CD62)</f>
        <v>3.0574001739833716</v>
      </c>
      <c r="CJ130" s="544">
        <f>(CJ30+CI30)/(CJ62+CI62)</f>
        <v>2.8565119092400235</v>
      </c>
      <c r="CK130" s="544">
        <f>(CK30+CJ30)/(CK62+CJ62)</f>
        <v>2.6512663520084492</v>
      </c>
      <c r="CL130" s="544">
        <f>(CL30+CK30)/(CL62+CK62)</f>
        <v>2.4794952254974119</v>
      </c>
      <c r="CM130" s="509"/>
      <c r="CN130" s="524"/>
    </row>
    <row r="131" spans="1:92">
      <c r="A131" s="264"/>
      <c r="B131" s="265"/>
      <c r="C131" s="265"/>
      <c r="D131" s="265"/>
      <c r="E131" s="265"/>
      <c r="F131" s="546"/>
      <c r="G131" s="546"/>
      <c r="H131" s="546"/>
      <c r="I131" s="544"/>
      <c r="J131" s="544"/>
      <c r="K131" s="544"/>
      <c r="L131" s="544"/>
      <c r="M131" s="545"/>
      <c r="N131" s="545"/>
      <c r="O131" s="545"/>
      <c r="P131" s="545"/>
      <c r="Q131" s="544"/>
      <c r="R131" s="545"/>
      <c r="S131" s="545"/>
      <c r="T131" s="545"/>
      <c r="U131" s="545"/>
      <c r="V131" s="544"/>
      <c r="W131" s="545"/>
      <c r="X131" s="545"/>
      <c r="Y131" s="545"/>
      <c r="Z131" s="545"/>
      <c r="AA131" s="544"/>
      <c r="AB131" s="545"/>
      <c r="AC131" s="545"/>
      <c r="AD131" s="545"/>
      <c r="AE131" s="545"/>
      <c r="AF131" s="544"/>
      <c r="AG131" s="545"/>
      <c r="AH131" s="545"/>
      <c r="AI131" s="545"/>
      <c r="AJ131" s="545"/>
      <c r="AK131" s="544"/>
      <c r="AL131" s="545"/>
      <c r="AM131" s="545"/>
      <c r="AN131" s="545"/>
      <c r="AO131" s="545"/>
      <c r="AP131" s="544"/>
      <c r="AQ131" s="545"/>
      <c r="AR131" s="545"/>
      <c r="AS131" s="545"/>
      <c r="AT131" s="545"/>
      <c r="AU131" s="544"/>
      <c r="AV131" s="545"/>
      <c r="AW131" s="545"/>
      <c r="AX131" s="545"/>
      <c r="AY131" s="545"/>
      <c r="AZ131" s="544"/>
      <c r="BA131" s="545"/>
      <c r="BB131" s="545"/>
      <c r="BC131" s="545"/>
      <c r="BD131" s="545"/>
      <c r="BE131" s="544"/>
      <c r="BF131" s="545"/>
      <c r="BG131" s="545"/>
      <c r="BH131" s="545"/>
      <c r="BI131" s="545"/>
      <c r="BJ131" s="544"/>
      <c r="BK131" s="545"/>
      <c r="BL131" s="545"/>
      <c r="BM131" s="545"/>
      <c r="BN131" s="545"/>
      <c r="BO131" s="544"/>
      <c r="BP131" s="545"/>
      <c r="BQ131" s="545"/>
      <c r="BR131" s="545"/>
      <c r="BS131" s="545"/>
      <c r="BT131" s="544"/>
      <c r="BU131" s="545"/>
      <c r="BV131" s="545"/>
      <c r="BW131" s="545"/>
      <c r="BX131" s="545"/>
      <c r="BY131" s="544"/>
      <c r="BZ131" s="545"/>
      <c r="CA131" s="545"/>
      <c r="CB131" s="545"/>
      <c r="CC131" s="545"/>
      <c r="CD131" s="544"/>
      <c r="CE131" s="545"/>
      <c r="CF131" s="545"/>
      <c r="CG131" s="545"/>
      <c r="CH131" s="545"/>
      <c r="CI131" s="544"/>
      <c r="CJ131" s="544"/>
      <c r="CK131" s="544"/>
      <c r="CL131" s="544"/>
      <c r="CM131" s="509"/>
      <c r="CN131" s="524"/>
    </row>
    <row r="132" spans="1:92">
      <c r="A132" s="264"/>
      <c r="B132" s="265" t="s">
        <v>125</v>
      </c>
      <c r="C132" s="265"/>
      <c r="D132" s="265"/>
      <c r="E132" s="265"/>
      <c r="F132" s="310"/>
      <c r="G132" s="310"/>
      <c r="H132" s="310"/>
      <c r="I132" s="544"/>
      <c r="J132" s="544">
        <f t="shared" ref="J132:AO132" si="180">J128*J129*J130</f>
        <v>0.2417815482502651</v>
      </c>
      <c r="K132" s="544">
        <f t="shared" si="180"/>
        <v>0.26740014350633823</v>
      </c>
      <c r="L132" s="544">
        <f t="shared" si="180"/>
        <v>0.23537035190908187</v>
      </c>
      <c r="M132" s="545">
        <f t="shared" si="180"/>
        <v>0.19692556845107198</v>
      </c>
      <c r="N132" s="545">
        <f t="shared" si="180"/>
        <v>0.26606961123549766</v>
      </c>
      <c r="O132" s="545">
        <f t="shared" si="180"/>
        <v>0.217258405831178</v>
      </c>
      <c r="P132" s="545">
        <f t="shared" si="180"/>
        <v>0.17931438617052448</v>
      </c>
      <c r="Q132" s="544">
        <f t="shared" si="180"/>
        <v>0.21468448003696147</v>
      </c>
      <c r="R132" s="545">
        <f t="shared" si="180"/>
        <v>0.17979700338327698</v>
      </c>
      <c r="S132" s="545">
        <f t="shared" si="180"/>
        <v>0.25915793687862809</v>
      </c>
      <c r="T132" s="545">
        <f t="shared" si="180"/>
        <v>0.21174801728028886</v>
      </c>
      <c r="U132" s="545">
        <f t="shared" si="180"/>
        <v>0.15298610050404765</v>
      </c>
      <c r="V132" s="544">
        <f t="shared" si="180"/>
        <v>0.1963720126691621</v>
      </c>
      <c r="W132" s="545">
        <f t="shared" si="180"/>
        <v>0.17887504367066498</v>
      </c>
      <c r="X132" s="545">
        <f t="shared" si="180"/>
        <v>0.24644602709118835</v>
      </c>
      <c r="Y132" s="545">
        <f t="shared" si="180"/>
        <v>0.21315071424749882</v>
      </c>
      <c r="Z132" s="545">
        <f t="shared" si="180"/>
        <v>0.19099666031851176</v>
      </c>
      <c r="AA132" s="544">
        <f t="shared" si="180"/>
        <v>0.21768548763415774</v>
      </c>
      <c r="AB132" s="545">
        <f t="shared" si="180"/>
        <v>0.1850690619439031</v>
      </c>
      <c r="AC132" s="545">
        <f t="shared" si="180"/>
        <v>0.24621323825098523</v>
      </c>
      <c r="AD132" s="545">
        <f t="shared" si="180"/>
        <v>0.24259620500088669</v>
      </c>
      <c r="AE132" s="545">
        <f t="shared" si="180"/>
        <v>0.20368457713832777</v>
      </c>
      <c r="AF132" s="544">
        <f t="shared" si="180"/>
        <v>0.21856566283762807</v>
      </c>
      <c r="AG132" s="545">
        <f t="shared" si="180"/>
        <v>0.18630213548822805</v>
      </c>
      <c r="AH132" s="545">
        <f t="shared" si="180"/>
        <v>0.23449353993287048</v>
      </c>
      <c r="AI132" s="545">
        <f t="shared" si="180"/>
        <v>0.2361204791254797</v>
      </c>
      <c r="AJ132" s="545">
        <f t="shared" si="180"/>
        <v>0.24756756756756754</v>
      </c>
      <c r="AK132" s="544">
        <f t="shared" si="180"/>
        <v>0.25160978750804891</v>
      </c>
      <c r="AL132" s="545">
        <f t="shared" si="180"/>
        <v>0.18276331547431454</v>
      </c>
      <c r="AM132" s="545">
        <f t="shared" si="180"/>
        <v>0.23466136418414069</v>
      </c>
      <c r="AN132" s="545">
        <f t="shared" si="180"/>
        <v>0.23582692093230737</v>
      </c>
      <c r="AO132" s="545">
        <f t="shared" si="180"/>
        <v>0.22272805083646741</v>
      </c>
      <c r="AP132" s="544">
        <f t="shared" ref="AP132:BT132" si="181">AP128*AP129*AP130</f>
        <v>0.21283578356446098</v>
      </c>
      <c r="AQ132" s="545">
        <f t="shared" si="181"/>
        <v>0.173070197351986</v>
      </c>
      <c r="AR132" s="545">
        <f t="shared" si="181"/>
        <v>0.22257312579893221</v>
      </c>
      <c r="AS132" s="545">
        <f t="shared" si="181"/>
        <v>0.23269478233423171</v>
      </c>
      <c r="AT132" s="545">
        <f t="shared" si="181"/>
        <v>0.22495837144398323</v>
      </c>
      <c r="AU132" s="544">
        <f t="shared" si="181"/>
        <v>0.21099611589587705</v>
      </c>
      <c r="AV132" s="545">
        <f t="shared" si="181"/>
        <v>0.18606789087816875</v>
      </c>
      <c r="AW132" s="545">
        <f t="shared" si="181"/>
        <v>0.23510000222970412</v>
      </c>
      <c r="AX132" s="545">
        <f t="shared" si="181"/>
        <v>0.23375190342727251</v>
      </c>
      <c r="AY132" s="545">
        <f t="shared" si="181"/>
        <v>0.23836294130874744</v>
      </c>
      <c r="AZ132" s="544">
        <f t="shared" si="181"/>
        <v>0.23016294926615047</v>
      </c>
      <c r="BA132" s="545">
        <f t="shared" si="181"/>
        <v>5.9496980077526365E-2</v>
      </c>
      <c r="BB132" s="545">
        <f t="shared" si="181"/>
        <v>0.23558630477204184</v>
      </c>
      <c r="BC132" s="545">
        <f t="shared" si="181"/>
        <v>0.23802014340082847</v>
      </c>
      <c r="BD132" s="545">
        <f t="shared" si="181"/>
        <v>0.3234976115119228</v>
      </c>
      <c r="BE132" s="544">
        <f t="shared" si="181"/>
        <v>0.21467129765242496</v>
      </c>
      <c r="BF132" s="545">
        <f t="shared" si="181"/>
        <v>0.19497965763414446</v>
      </c>
      <c r="BG132" s="545">
        <f t="shared" si="181"/>
        <v>0.23346683966078113</v>
      </c>
      <c r="BH132" s="545">
        <f t="shared" si="181"/>
        <v>0.20372903318695562</v>
      </c>
      <c r="BI132" s="545">
        <f t="shared" si="181"/>
        <v>0.19178399483811195</v>
      </c>
      <c r="BJ132" s="544">
        <f t="shared" si="181"/>
        <v>0.19681550709588091</v>
      </c>
      <c r="BK132" s="545">
        <f t="shared" si="181"/>
        <v>0.15119268342084352</v>
      </c>
      <c r="BL132" s="545">
        <f t="shared" si="181"/>
        <v>0.20400996617688544</v>
      </c>
      <c r="BM132" s="545">
        <f t="shared" si="181"/>
        <v>0.21865141374531949</v>
      </c>
      <c r="BN132" s="545">
        <f t="shared" si="181"/>
        <v>0.18056449388618184</v>
      </c>
      <c r="BO132" s="544">
        <f t="shared" si="181"/>
        <v>0.19721301859572915</v>
      </c>
      <c r="BP132" s="545">
        <f t="shared" si="181"/>
        <v>0.19056846466097588</v>
      </c>
      <c r="BQ132" s="545">
        <f t="shared" si="181"/>
        <v>0.2089891066799939</v>
      </c>
      <c r="BR132" s="545">
        <f>BR128*BR129*BR130</f>
        <v>0.17891038061147416</v>
      </c>
      <c r="BS132" s="545">
        <f>BS128*BS129*BS130</f>
        <v>0.45305184596513659</v>
      </c>
      <c r="BT132" s="544">
        <f t="shared" si="181"/>
        <v>0.25978726673609809</v>
      </c>
      <c r="BU132" s="545">
        <f t="shared" ref="BU132:CL132" si="182">BU128*BU129*BU130</f>
        <v>0.16944589039866456</v>
      </c>
      <c r="BV132" s="545">
        <f t="shared" si="182"/>
        <v>0.19121563985167908</v>
      </c>
      <c r="BW132" s="545">
        <f t="shared" si="182"/>
        <v>0.20316763045455324</v>
      </c>
      <c r="BX132" s="545">
        <f t="shared" si="182"/>
        <v>0.14276151217277949</v>
      </c>
      <c r="BY132" s="544">
        <f t="shared" si="182"/>
        <v>0.18370133061506816</v>
      </c>
      <c r="BZ132" s="545">
        <f t="shared" ref="BZ132:CA132" si="183">BZ128*BZ129*BZ130</f>
        <v>0.20096786471643735</v>
      </c>
      <c r="CA132" s="545">
        <f t="shared" si="183"/>
        <v>0.20543936041116426</v>
      </c>
      <c r="CB132" s="545">
        <f t="shared" ref="CB132" si="184">CB128*CB129*CB130</f>
        <v>0.18243231658179448</v>
      </c>
      <c r="CC132" s="545">
        <f t="shared" si="182"/>
        <v>0.1553972027263065</v>
      </c>
      <c r="CD132" s="544">
        <f t="shared" si="182"/>
        <v>0.18343837085058065</v>
      </c>
      <c r="CE132" s="545">
        <f t="shared" si="182"/>
        <v>0.14860808269881748</v>
      </c>
      <c r="CF132" s="545">
        <f t="shared" si="182"/>
        <v>0.18060769638840121</v>
      </c>
      <c r="CG132" s="545">
        <f t="shared" si="182"/>
        <v>0.17709982317293138</v>
      </c>
      <c r="CH132" s="545">
        <f t="shared" si="182"/>
        <v>0.15394262555923607</v>
      </c>
      <c r="CI132" s="544">
        <f t="shared" ref="CI132" si="185">CI128*CI129*CI130</f>
        <v>0.16488242459895952</v>
      </c>
      <c r="CJ132" s="544">
        <f t="shared" si="182"/>
        <v>0.16752815435700488</v>
      </c>
      <c r="CK132" s="544">
        <f t="shared" si="182"/>
        <v>0.16385029588187333</v>
      </c>
      <c r="CL132" s="544">
        <f t="shared" si="182"/>
        <v>0.15401864991847997</v>
      </c>
      <c r="CM132" s="509"/>
      <c r="CN132" s="524"/>
    </row>
    <row r="133" spans="1:92">
      <c r="A133" s="264"/>
      <c r="B133" s="265"/>
      <c r="C133" s="265"/>
      <c r="D133" s="265"/>
      <c r="E133" s="265"/>
      <c r="F133" s="310"/>
      <c r="G133" s="310"/>
      <c r="H133" s="310"/>
      <c r="I133" s="286"/>
      <c r="J133" s="286"/>
      <c r="K133" s="286"/>
      <c r="L133" s="286"/>
      <c r="M133" s="524"/>
      <c r="N133" s="524"/>
      <c r="O133" s="524"/>
      <c r="P133" s="524"/>
      <c r="Q133" s="286"/>
      <c r="R133" s="524"/>
      <c r="S133" s="543"/>
      <c r="T133" s="542"/>
      <c r="U133" s="542"/>
      <c r="V133" s="286"/>
      <c r="W133" s="287"/>
      <c r="X133" s="287"/>
      <c r="Y133" s="287"/>
      <c r="Z133" s="287"/>
      <c r="AA133" s="286"/>
      <c r="AB133" s="287"/>
      <c r="AC133" s="287"/>
      <c r="AD133" s="287"/>
      <c r="AE133" s="287"/>
      <c r="AF133" s="286"/>
      <c r="AG133" s="287"/>
      <c r="AH133" s="287"/>
      <c r="AI133" s="287"/>
      <c r="AJ133" s="287"/>
      <c r="AK133" s="286"/>
      <c r="AL133" s="287"/>
      <c r="AM133" s="287"/>
      <c r="AN133" s="287"/>
      <c r="AO133" s="287"/>
      <c r="AP133" s="286"/>
      <c r="AQ133" s="287"/>
      <c r="AR133" s="287"/>
      <c r="AS133" s="287"/>
      <c r="AT133" s="287"/>
      <c r="AU133" s="286"/>
      <c r="AV133" s="287"/>
      <c r="AW133" s="287"/>
      <c r="AX133" s="287"/>
      <c r="AY133" s="287"/>
      <c r="AZ133" s="286"/>
      <c r="BA133" s="287"/>
      <c r="BB133" s="287"/>
      <c r="BC133" s="287"/>
      <c r="BD133" s="287"/>
      <c r="BE133" s="286"/>
      <c r="BF133" s="287"/>
      <c r="BG133" s="287"/>
      <c r="BH133" s="287"/>
      <c r="BI133" s="287"/>
      <c r="BJ133" s="286"/>
      <c r="BK133" s="287"/>
      <c r="BL133" s="287"/>
      <c r="BM133" s="287"/>
      <c r="BN133" s="287"/>
      <c r="BO133" s="286"/>
      <c r="BP133" s="287"/>
      <c r="BQ133" s="287"/>
      <c r="BR133" s="287"/>
      <c r="BS133" s="287"/>
      <c r="BT133" s="286"/>
      <c r="BU133" s="287"/>
      <c r="BV133" s="287"/>
      <c r="BW133" s="287"/>
      <c r="BX133" s="287"/>
      <c r="BY133" s="286"/>
      <c r="BZ133" s="287"/>
      <c r="CA133" s="287"/>
      <c r="CB133" s="287"/>
      <c r="CC133" s="287"/>
      <c r="CD133" s="286"/>
      <c r="CE133" s="287"/>
      <c r="CF133" s="287"/>
      <c r="CG133" s="287"/>
      <c r="CH133" s="287"/>
      <c r="CI133" s="286"/>
      <c r="CJ133" s="286"/>
      <c r="CK133" s="286"/>
      <c r="CL133" s="286"/>
      <c r="CM133" s="509"/>
      <c r="CN133" s="524"/>
    </row>
    <row r="134" spans="1:92">
      <c r="A134" s="485"/>
      <c r="B134" s="485" t="s">
        <v>331</v>
      </c>
      <c r="C134" s="485"/>
      <c r="D134" s="485"/>
      <c r="E134" s="485"/>
      <c r="F134" s="485"/>
      <c r="G134" s="485"/>
      <c r="H134" s="485"/>
      <c r="I134" s="383">
        <v>940.59199999999987</v>
      </c>
      <c r="J134" s="383">
        <v>944.31799999999998</v>
      </c>
      <c r="K134" s="383">
        <v>939.24</v>
      </c>
      <c r="L134" s="383">
        <v>1028.2</v>
      </c>
      <c r="M134" s="487">
        <v>1025.808</v>
      </c>
      <c r="N134" s="487">
        <v>1025.808</v>
      </c>
      <c r="O134" s="487">
        <v>1025.808</v>
      </c>
      <c r="P134" s="487">
        <v>1023.4</v>
      </c>
      <c r="Q134" s="383">
        <v>1022.2</v>
      </c>
      <c r="R134" s="487">
        <v>1023.64</v>
      </c>
      <c r="S134" s="313">
        <v>1024.76</v>
      </c>
      <c r="T134" s="314">
        <v>1025.76</v>
      </c>
      <c r="U134" s="314">
        <v>1013.853</v>
      </c>
      <c r="V134" s="383">
        <v>1013.853</v>
      </c>
      <c r="W134" s="384">
        <f>CF!V79</f>
        <v>1010.868329</v>
      </c>
      <c r="X134" s="384">
        <f>CF!W79</f>
        <v>1011.429722</v>
      </c>
      <c r="Y134" s="384">
        <f>CF!X79</f>
        <v>1003.6508700000001</v>
      </c>
      <c r="Z134" s="384">
        <f>CF!Y79</f>
        <v>995.7</v>
      </c>
      <c r="AA134" s="383">
        <f>CF!Z79</f>
        <v>995.7</v>
      </c>
      <c r="AB134" s="384">
        <f>CF!AA79</f>
        <v>994.43036700000005</v>
      </c>
      <c r="AC134" s="384">
        <f>CF!AB79</f>
        <v>991.78373299999998</v>
      </c>
      <c r="AD134" s="384">
        <f>CF!AC79</f>
        <v>988.50810200000001</v>
      </c>
      <c r="AE134" s="384">
        <f>CF!AD79</f>
        <v>983.54699999999991</v>
      </c>
      <c r="AF134" s="383">
        <f>CF!AE79</f>
        <v>983.54699999999991</v>
      </c>
      <c r="AG134" s="384">
        <f>CF!AF79</f>
        <v>973.20364400000005</v>
      </c>
      <c r="AH134" s="384">
        <f>CF!AG79</f>
        <v>964.35680600000001</v>
      </c>
      <c r="AI134" s="384">
        <f>CF!AH79</f>
        <v>950.61604899999998</v>
      </c>
      <c r="AJ134" s="384">
        <f>CF!AI79</f>
        <v>943.94100000000003</v>
      </c>
      <c r="AK134" s="383">
        <f>CF!AJ79</f>
        <v>943.94100000000003</v>
      </c>
      <c r="AL134" s="384">
        <f>CF!AK79</f>
        <v>942.03566799999999</v>
      </c>
      <c r="AM134" s="384">
        <f>CF!AL79</f>
        <v>941.27340100000004</v>
      </c>
      <c r="AN134" s="384">
        <f>CF!AM79</f>
        <v>937.53941699999996</v>
      </c>
      <c r="AO134" s="384">
        <f>CF!AN79</f>
        <v>936.74199999999996</v>
      </c>
      <c r="AP134" s="383">
        <f>CF!AO79</f>
        <v>936.74199999999996</v>
      </c>
      <c r="AQ134" s="384">
        <f>CF!AP79</f>
        <v>933.08004800000003</v>
      </c>
      <c r="AR134" s="384">
        <f>CF!AQ79</f>
        <v>929.06971599999997</v>
      </c>
      <c r="AS134" s="384">
        <f>CF!AR79</f>
        <v>923.40709400000003</v>
      </c>
      <c r="AT134" s="384">
        <f>CF!AS79</f>
        <v>921.20900000000006</v>
      </c>
      <c r="AU134" s="383">
        <f>CF!AT79</f>
        <v>921.20900000000006</v>
      </c>
      <c r="AV134" s="384">
        <f>CF!AU79</f>
        <v>915.26193799999999</v>
      </c>
      <c r="AW134" s="384">
        <f>CF!AV79</f>
        <v>908.71293100000003</v>
      </c>
      <c r="AX134" s="384">
        <f>CF!AW79</f>
        <v>906.08766900000001</v>
      </c>
      <c r="AY134" s="384">
        <f>CF!AX79</f>
        <v>907.22199999999998</v>
      </c>
      <c r="AZ134" s="383">
        <f>CF!AY79</f>
        <v>907.22199999999998</v>
      </c>
      <c r="BA134" s="384">
        <f>CF!AZ79</f>
        <v>911.35815200000002</v>
      </c>
      <c r="BB134" s="384">
        <f>CF!BA79</f>
        <v>911.78723500000001</v>
      </c>
      <c r="BC134" s="384">
        <f>CF!BB79</f>
        <v>916.54452800000001</v>
      </c>
      <c r="BD134" s="384">
        <f>CF!BC79</f>
        <v>918.84899999999993</v>
      </c>
      <c r="BE134" s="383">
        <f>CF!BD79</f>
        <v>918.84899999999993</v>
      </c>
      <c r="BF134" s="384">
        <f>CF!BE79</f>
        <v>919.30070999999998</v>
      </c>
      <c r="BG134" s="384">
        <f>CF!BF79</f>
        <v>917.50931500000002</v>
      </c>
      <c r="BH134" s="384">
        <f>CF!BG79</f>
        <v>917.58196499999997</v>
      </c>
      <c r="BI134" s="384">
        <f>CF!BH79</f>
        <v>916.68599999999992</v>
      </c>
      <c r="BJ134" s="383">
        <f>CF!BI79</f>
        <v>916.68599999999992</v>
      </c>
      <c r="BK134" s="384">
        <f>CF!BJ79</f>
        <v>916.73132899999996</v>
      </c>
      <c r="BL134" s="384">
        <f>CF!BK79</f>
        <v>914.81001600000002</v>
      </c>
      <c r="BM134" s="384">
        <f>CF!BL79</f>
        <v>911.65832499999999</v>
      </c>
      <c r="BN134" s="384">
        <f>CF!BM79</f>
        <v>909.375</v>
      </c>
      <c r="BO134" s="383">
        <f>CF!BN79</f>
        <v>909.375</v>
      </c>
      <c r="BP134" s="384">
        <f>CF!BO79</f>
        <v>890.20179399999995</v>
      </c>
      <c r="BQ134" s="384">
        <f>CF!BP79</f>
        <v>890.59774500000003</v>
      </c>
      <c r="BR134" s="384">
        <f>CF!BQ79</f>
        <v>887.020937</v>
      </c>
      <c r="BS134" s="384">
        <f>CF!BR79</f>
        <v>836.43200999999999</v>
      </c>
      <c r="BT134" s="383">
        <f>CF!BS79</f>
        <v>836.43200999999999</v>
      </c>
      <c r="BU134" s="384">
        <f>CF!BT79</f>
        <v>836.86568399999999</v>
      </c>
      <c r="BV134" s="384">
        <f>CF!BU79</f>
        <v>836.92694900000004</v>
      </c>
      <c r="BW134" s="384">
        <f>CF!BV79</f>
        <v>823.40568699999994</v>
      </c>
      <c r="BX134" s="384">
        <f>CF!BW79</f>
        <v>805.86174000000005</v>
      </c>
      <c r="BY134" s="383">
        <f>CF!BX79</f>
        <v>805.86174000000005</v>
      </c>
      <c r="BZ134" s="384">
        <f>CF!BY79</f>
        <v>801.22750399999995</v>
      </c>
      <c r="CA134" s="384">
        <f>CF!BZ79</f>
        <v>798.772783</v>
      </c>
      <c r="CB134" s="384">
        <f>CF!CA79</f>
        <v>799.6367617823297</v>
      </c>
      <c r="CC134" s="384">
        <f>CF!CB79</f>
        <v>801.01404078232974</v>
      </c>
      <c r="CD134" s="383">
        <f>CF!CC79</f>
        <v>801.01404078232974</v>
      </c>
      <c r="CE134" s="384">
        <f>CF!CD79</f>
        <v>802.98594103232972</v>
      </c>
      <c r="CF134" s="384">
        <f>CF!CE79</f>
        <v>804.9578412823297</v>
      </c>
      <c r="CG134" s="384">
        <f>CF!CF79</f>
        <v>806.92974153232967</v>
      </c>
      <c r="CH134" s="384">
        <f>CF!CG79</f>
        <v>808.90164178232965</v>
      </c>
      <c r="CI134" s="383">
        <f>CF!CH79</f>
        <v>808.90164178232976</v>
      </c>
      <c r="CJ134" s="383">
        <f>CF!CI79</f>
        <v>816.78924278232978</v>
      </c>
      <c r="CK134" s="383">
        <f>CF!CJ79</f>
        <v>824.6768437823298</v>
      </c>
      <c r="CL134" s="383">
        <f>CF!CK79</f>
        <v>832.56444478232982</v>
      </c>
      <c r="CM134" s="509"/>
      <c r="CN134" s="530"/>
    </row>
    <row r="135" spans="1:92">
      <c r="A135" s="541"/>
      <c r="B135" s="541" t="s">
        <v>330</v>
      </c>
      <c r="C135" s="541"/>
      <c r="D135" s="541"/>
      <c r="E135" s="541"/>
      <c r="F135" s="541"/>
      <c r="G135" s="541"/>
      <c r="H135" s="541"/>
      <c r="I135" s="537">
        <v>39.3125</v>
      </c>
      <c r="J135" s="537">
        <v>32.314999999999998</v>
      </c>
      <c r="K135" s="537">
        <v>30.97</v>
      </c>
      <c r="L135" s="537">
        <v>47.384999999999998</v>
      </c>
      <c r="M135" s="540">
        <v>43.15</v>
      </c>
      <c r="N135" s="540">
        <v>45.74</v>
      </c>
      <c r="O135" s="540">
        <v>46.69</v>
      </c>
      <c r="P135" s="540">
        <v>47.69</v>
      </c>
      <c r="Q135" s="537">
        <v>47.384999999999998</v>
      </c>
      <c r="R135" s="538">
        <v>51.35</v>
      </c>
      <c r="S135" s="538">
        <v>52.120249999999999</v>
      </c>
      <c r="T135" s="539">
        <v>52.902053749999993</v>
      </c>
      <c r="U135" s="539">
        <v>53.69558455624999</v>
      </c>
      <c r="V135" s="537">
        <v>47.384999999999998</v>
      </c>
      <c r="W135" s="538">
        <v>57.969985999999999</v>
      </c>
      <c r="X135" s="538">
        <v>63.419998</v>
      </c>
      <c r="Y135" s="538">
        <v>63.349991000000003</v>
      </c>
      <c r="Z135" s="538">
        <v>62.519989000000002</v>
      </c>
      <c r="AA135" s="537">
        <v>62.519989000000002</v>
      </c>
      <c r="AB135" s="538">
        <v>65</v>
      </c>
      <c r="AC135" s="538">
        <v>70.929992999999996</v>
      </c>
      <c r="AD135" s="538">
        <v>80.479996</v>
      </c>
      <c r="AE135" s="538">
        <v>76.539993999999993</v>
      </c>
      <c r="AF135" s="537">
        <v>76.539993999999993</v>
      </c>
      <c r="AG135" s="538">
        <v>68.819992999999997</v>
      </c>
      <c r="AH135" s="538">
        <v>61.699997000000003</v>
      </c>
      <c r="AI135" s="538">
        <v>60.059998</v>
      </c>
      <c r="AJ135" s="538">
        <v>53.599991000000003</v>
      </c>
      <c r="AK135" s="537">
        <v>53.599991000000003</v>
      </c>
      <c r="AL135" s="538">
        <v>42.979996</v>
      </c>
      <c r="AM135" s="538">
        <v>51.959992</v>
      </c>
      <c r="AN135" s="538">
        <v>60.929993000000003</v>
      </c>
      <c r="AO135" s="538">
        <v>69.409988999999996</v>
      </c>
      <c r="AP135" s="537">
        <v>69.409988999999996</v>
      </c>
      <c r="AQ135" s="538">
        <v>73.609986000000006</v>
      </c>
      <c r="AR135" s="538">
        <v>64.909988999999996</v>
      </c>
      <c r="AS135" s="538">
        <v>71.229996</v>
      </c>
      <c r="AT135" s="538">
        <v>78.719986000000006</v>
      </c>
      <c r="AU135" s="537">
        <v>78.719986000000006</v>
      </c>
      <c r="AV135" s="538">
        <v>84.649994000000007</v>
      </c>
      <c r="AW135" s="538">
        <v>88.509995000000004</v>
      </c>
      <c r="AX135" s="538">
        <v>70.359986000000006</v>
      </c>
      <c r="AY135" s="538">
        <v>73.089996999999997</v>
      </c>
      <c r="AZ135" s="537">
        <v>73.089996999999997</v>
      </c>
      <c r="BA135" s="538">
        <v>82.939988</v>
      </c>
      <c r="BB135" s="538">
        <v>75.529999000000004</v>
      </c>
      <c r="BC135" s="538">
        <v>78.289993999999993</v>
      </c>
      <c r="BD135" s="538">
        <v>82.009995000000004</v>
      </c>
      <c r="BE135" s="537">
        <v>82.009995000000004</v>
      </c>
      <c r="BF135" s="538">
        <v>93.43</v>
      </c>
      <c r="BG135" s="538">
        <v>100</v>
      </c>
      <c r="BH135" s="538">
        <v>105</v>
      </c>
      <c r="BI135" s="538">
        <v>82.009995000000004</v>
      </c>
      <c r="BJ135" s="537">
        <f>+BI135</f>
        <v>82.009995000000004</v>
      </c>
      <c r="BK135" s="538">
        <v>93.43</v>
      </c>
      <c r="BL135" s="538">
        <v>93.43</v>
      </c>
      <c r="BM135" s="538">
        <v>105</v>
      </c>
      <c r="BN135" s="538">
        <v>105</v>
      </c>
      <c r="BO135" s="537">
        <f>+BN135</f>
        <v>105</v>
      </c>
      <c r="BP135" s="538">
        <v>93.43</v>
      </c>
      <c r="BQ135" s="538">
        <f>BP135*1.015</f>
        <v>94.831450000000004</v>
      </c>
      <c r="BR135" s="538">
        <f>BQ135*1.015</f>
        <v>96.253921749999989</v>
      </c>
      <c r="BS135" s="538">
        <f>BR135*1.015</f>
        <v>97.697730576249981</v>
      </c>
      <c r="BT135" s="537">
        <f>+BS135</f>
        <v>97.697730576249981</v>
      </c>
      <c r="BU135" s="538">
        <f>BT135*1.015</f>
        <v>99.163196534893714</v>
      </c>
      <c r="BV135" s="538">
        <f>BU135*1.015</f>
        <v>100.65064448291712</v>
      </c>
      <c r="BW135" s="538">
        <f>BV135*1.015</f>
        <v>102.16040415016086</v>
      </c>
      <c r="BX135" s="538">
        <f>BW135*1.015</f>
        <v>103.69281021241326</v>
      </c>
      <c r="BY135" s="537">
        <f>BT135*1.06</f>
        <v>103.55959441082499</v>
      </c>
      <c r="BZ135" s="538">
        <f>BY135*1.015</f>
        <v>105.11298832698735</v>
      </c>
      <c r="CA135" s="538">
        <f>BZ135*1.015</f>
        <v>106.68968315189215</v>
      </c>
      <c r="CB135" s="538">
        <f>CA135*1.015</f>
        <v>108.29002839917052</v>
      </c>
      <c r="CC135" s="538">
        <f>CB135*1.015</f>
        <v>109.91437882515807</v>
      </c>
      <c r="CD135" s="537">
        <f>BY135*1.06</f>
        <v>109.7731700754745</v>
      </c>
      <c r="CE135" s="538">
        <f>CC135*1.015</f>
        <v>111.56309450753542</v>
      </c>
      <c r="CF135" s="538">
        <f>CE135*1.015</f>
        <v>113.23654092514845</v>
      </c>
      <c r="CG135" s="538">
        <f>CF135*1.015</f>
        <v>114.93508903902566</v>
      </c>
      <c r="CH135" s="538">
        <f>CG135*1.015</f>
        <v>116.65911537461103</v>
      </c>
      <c r="CI135" s="537">
        <f>CD135*1.06</f>
        <v>116.35956028000297</v>
      </c>
      <c r="CJ135" s="537">
        <f>CI135*1.06</f>
        <v>123.34113389680316</v>
      </c>
      <c r="CK135" s="537">
        <f>CJ135*1.06</f>
        <v>130.74160193061135</v>
      </c>
      <c r="CL135" s="537">
        <f>CK135*1.06</f>
        <v>138.58609804644803</v>
      </c>
      <c r="CM135" s="509"/>
      <c r="CN135" s="536"/>
    </row>
    <row r="136" spans="1:92">
      <c r="A136" s="485"/>
      <c r="B136" s="535" t="s">
        <v>329</v>
      </c>
      <c r="C136" s="534"/>
      <c r="D136" s="534"/>
      <c r="E136" s="534"/>
      <c r="F136" s="534"/>
      <c r="G136" s="534"/>
      <c r="H136" s="534"/>
      <c r="I136" s="531">
        <v>36977.022999999994</v>
      </c>
      <c r="J136" s="531">
        <v>30515.636169999998</v>
      </c>
      <c r="K136" s="531">
        <v>29088.2628</v>
      </c>
      <c r="L136" s="531">
        <v>48721.256999999998</v>
      </c>
      <c r="M136" s="532">
        <v>44263.6152</v>
      </c>
      <c r="N136" s="532">
        <v>46920.457920000001</v>
      </c>
      <c r="O136" s="532">
        <v>47894.97552</v>
      </c>
      <c r="P136" s="532">
        <v>48805.945999999996</v>
      </c>
      <c r="Q136" s="531">
        <v>48436.947</v>
      </c>
      <c r="R136" s="532">
        <v>52563.914000000004</v>
      </c>
      <c r="S136" s="532">
        <v>53410.747389999997</v>
      </c>
      <c r="T136" s="533">
        <v>54264.810654599991</v>
      </c>
      <c r="U136" s="533">
        <v>54439.429489107715</v>
      </c>
      <c r="V136" s="531">
        <v>48041.424404999998</v>
      </c>
      <c r="W136" s="532">
        <f t="shared" ref="W136:BB136" si="186">W134*W135</f>
        <v>58600.022879973396</v>
      </c>
      <c r="X136" s="532">
        <f t="shared" si="186"/>
        <v>64144.870946380557</v>
      </c>
      <c r="Y136" s="532">
        <f t="shared" si="186"/>
        <v>63581.273581642177</v>
      </c>
      <c r="Z136" s="532">
        <f t="shared" si="186"/>
        <v>62251.153047300002</v>
      </c>
      <c r="AA136" s="531">
        <f t="shared" si="186"/>
        <v>62251.153047300002</v>
      </c>
      <c r="AB136" s="532">
        <f t="shared" si="186"/>
        <v>64637.973855000004</v>
      </c>
      <c r="AC136" s="532">
        <f t="shared" si="186"/>
        <v>70347.213239203862</v>
      </c>
      <c r="AD136" s="532">
        <f t="shared" si="186"/>
        <v>79555.128094927597</v>
      </c>
      <c r="AE136" s="532">
        <f t="shared" si="186"/>
        <v>75280.68147871799</v>
      </c>
      <c r="AF136" s="531">
        <f t="shared" si="186"/>
        <v>75280.68147871799</v>
      </c>
      <c r="AG136" s="532">
        <f t="shared" si="186"/>
        <v>66975.867967654485</v>
      </c>
      <c r="AH136" s="532">
        <f t="shared" si="186"/>
        <v>59500.812037129588</v>
      </c>
      <c r="AI136" s="532">
        <f t="shared" si="186"/>
        <v>57093.9980017079</v>
      </c>
      <c r="AJ136" s="532">
        <f t="shared" si="186"/>
        <v>50595.229104531005</v>
      </c>
      <c r="AK136" s="531">
        <f t="shared" si="186"/>
        <v>50595.229104531005</v>
      </c>
      <c r="AL136" s="532">
        <f t="shared" si="186"/>
        <v>40488.689242497327</v>
      </c>
      <c r="AM136" s="532">
        <f t="shared" si="186"/>
        <v>48908.558385772791</v>
      </c>
      <c r="AN136" s="532">
        <f t="shared" si="186"/>
        <v>57124.27011503408</v>
      </c>
      <c r="AO136" s="532">
        <f t="shared" si="186"/>
        <v>65019.251915837995</v>
      </c>
      <c r="AP136" s="531">
        <f t="shared" si="186"/>
        <v>65019.251915837995</v>
      </c>
      <c r="AQ136" s="532">
        <f t="shared" si="186"/>
        <v>68684.009270159338</v>
      </c>
      <c r="AR136" s="532">
        <f t="shared" si="186"/>
        <v>60305.905045793115</v>
      </c>
      <c r="AS136" s="532">
        <f t="shared" si="186"/>
        <v>65774.283611991632</v>
      </c>
      <c r="AT136" s="532">
        <f t="shared" si="186"/>
        <v>72517.559583074006</v>
      </c>
      <c r="AU136" s="531">
        <f t="shared" si="186"/>
        <v>72517.559583074006</v>
      </c>
      <c r="AV136" s="532">
        <f t="shared" si="186"/>
        <v>77476.917560128379</v>
      </c>
      <c r="AW136" s="532">
        <f t="shared" si="186"/>
        <v>80430.176979245356</v>
      </c>
      <c r="AX136" s="532">
        <f t="shared" si="186"/>
        <v>63752.315705612637</v>
      </c>
      <c r="AY136" s="532">
        <f t="shared" si="186"/>
        <v>66308.853258333998</v>
      </c>
      <c r="AZ136" s="531">
        <f t="shared" si="186"/>
        <v>66308.853258333998</v>
      </c>
      <c r="BA136" s="532">
        <f t="shared" si="186"/>
        <v>75588.034190582184</v>
      </c>
      <c r="BB136" s="532">
        <f t="shared" si="186"/>
        <v>68867.288947762776</v>
      </c>
      <c r="BC136" s="532">
        <f t="shared" ref="BC136:BY136" si="187">BC134*BC135</f>
        <v>71756.26559785282</v>
      </c>
      <c r="BD136" s="532">
        <f t="shared" si="187"/>
        <v>75354.801895754994</v>
      </c>
      <c r="BE136" s="531">
        <f t="shared" si="187"/>
        <v>75354.801895754994</v>
      </c>
      <c r="BF136" s="532">
        <f t="shared" si="187"/>
        <v>85890.265335300006</v>
      </c>
      <c r="BG136" s="532">
        <f t="shared" si="187"/>
        <v>91750.931500000006</v>
      </c>
      <c r="BH136" s="532">
        <f t="shared" si="187"/>
        <v>96346.106325000001</v>
      </c>
      <c r="BI136" s="532">
        <f t="shared" si="187"/>
        <v>75177.414276569994</v>
      </c>
      <c r="BJ136" s="531">
        <f t="shared" si="187"/>
        <v>75177.414276569994</v>
      </c>
      <c r="BK136" s="532">
        <f t="shared" si="187"/>
        <v>85650.208068470005</v>
      </c>
      <c r="BL136" s="532">
        <f t="shared" si="187"/>
        <v>85470.699794880013</v>
      </c>
      <c r="BM136" s="532">
        <f t="shared" si="187"/>
        <v>95724.124125000002</v>
      </c>
      <c r="BN136" s="532">
        <f t="shared" si="187"/>
        <v>95484.375</v>
      </c>
      <c r="BO136" s="531">
        <f t="shared" si="187"/>
        <v>95484.375</v>
      </c>
      <c r="BP136" s="532">
        <f t="shared" si="187"/>
        <v>83171.553613420008</v>
      </c>
      <c r="BQ136" s="532">
        <f t="shared" si="187"/>
        <v>84456.675525080253</v>
      </c>
      <c r="BR136" s="532">
        <f>BR134*BR135</f>
        <v>85379.243860609669</v>
      </c>
      <c r="BS136" s="532">
        <f>BS134*BS135</f>
        <v>81717.509158331231</v>
      </c>
      <c r="BT136" s="531">
        <f t="shared" si="187"/>
        <v>81717.509158331231</v>
      </c>
      <c r="BU136" s="532">
        <f>BU134*BU135</f>
        <v>82986.276295800257</v>
      </c>
      <c r="BV136" s="532">
        <f>BV134*BV135</f>
        <v>84237.236801971507</v>
      </c>
      <c r="BW136" s="532">
        <f>BW134*BW135</f>
        <v>84119.457763460843</v>
      </c>
      <c r="BX136" s="532">
        <f t="shared" si="187"/>
        <v>83562.068463265125</v>
      </c>
      <c r="BY136" s="531">
        <f t="shared" si="187"/>
        <v>83454.714945601707</v>
      </c>
      <c r="BZ136" s="532">
        <f t="shared" ref="BZ136:CA136" si="188">BZ134*BZ135</f>
        <v>84219.4172752132</v>
      </c>
      <c r="CA136" s="532">
        <f t="shared" si="188"/>
        <v>85220.815128625109</v>
      </c>
      <c r="CB136" s="532">
        <f t="shared" ref="CB136" si="189">CB134*CB135</f>
        <v>86592.687642429242</v>
      </c>
      <c r="CC136" s="532">
        <f t="shared" ref="CC136:CH136" si="190">CC134*CC135</f>
        <v>88042.960722819611</v>
      </c>
      <c r="CD136" s="531">
        <f t="shared" si="190"/>
        <v>87929.850531641743</v>
      </c>
      <c r="CE136" s="532">
        <f t="shared" si="190"/>
        <v>89583.596427612065</v>
      </c>
      <c r="CF136" s="532">
        <f t="shared" si="190"/>
        <v>91150.641537385673</v>
      </c>
      <c r="CG136" s="532">
        <f t="shared" si="190"/>
        <v>92744.541691256265</v>
      </c>
      <c r="CH136" s="532">
        <f t="shared" si="190"/>
        <v>94365.749955397085</v>
      </c>
      <c r="CI136" s="531">
        <f t="shared" ref="CI136" si="191">CI134*CI135</f>
        <v>94123.439347564359</v>
      </c>
      <c r="CJ136" s="531">
        <f>CJ134*CJ135</f>
        <v>100743.7113594838</v>
      </c>
      <c r="CK136" s="531">
        <f>CK134*CK135</f>
        <v>107819.57163118232</v>
      </c>
      <c r="CL136" s="531">
        <f>CL134*CL135</f>
        <v>115381.85777459052</v>
      </c>
      <c r="CM136" s="509"/>
      <c r="CN136" s="530"/>
    </row>
    <row r="137" spans="1:92">
      <c r="A137" s="264"/>
      <c r="B137" s="264"/>
      <c r="C137" s="264"/>
      <c r="D137" s="264"/>
      <c r="E137" s="264"/>
      <c r="F137" s="264"/>
      <c r="G137" s="264"/>
      <c r="H137" s="264"/>
      <c r="I137" s="264"/>
      <c r="J137" s="264"/>
      <c r="K137" s="525"/>
      <c r="L137" s="525"/>
      <c r="M137" s="525"/>
      <c r="N137" s="525"/>
      <c r="O137" s="525"/>
      <c r="P137" s="525"/>
      <c r="Q137" s="524"/>
      <c r="R137" s="525"/>
      <c r="S137" s="525"/>
      <c r="T137" s="526"/>
      <c r="U137" s="526"/>
      <c r="V137" s="524"/>
      <c r="W137" s="525"/>
      <c r="X137" s="525"/>
      <c r="Y137" s="525"/>
      <c r="Z137" s="525"/>
      <c r="AA137" s="524"/>
      <c r="AB137" s="524"/>
      <c r="AC137" s="524"/>
      <c r="AD137" s="524"/>
      <c r="AE137" s="525"/>
      <c r="AF137" s="525"/>
      <c r="AG137" s="525"/>
      <c r="AH137" s="525"/>
      <c r="AI137" s="525"/>
      <c r="AJ137" s="525"/>
      <c r="AK137" s="525"/>
      <c r="AL137" s="525"/>
      <c r="AM137" s="525"/>
      <c r="AN137" s="525"/>
      <c r="AO137" s="525"/>
      <c r="AP137" s="525"/>
      <c r="AQ137" s="525"/>
      <c r="AR137" s="525"/>
      <c r="AS137" s="525"/>
      <c r="AT137" s="525"/>
      <c r="AU137" s="525"/>
      <c r="AV137" s="525"/>
      <c r="AW137" s="525"/>
      <c r="AX137" s="525"/>
      <c r="AY137" s="525"/>
      <c r="AZ137" s="525"/>
      <c r="BA137" s="525"/>
      <c r="BB137" s="525"/>
      <c r="BC137" s="525"/>
      <c r="BD137" s="525"/>
      <c r="BE137" s="525"/>
      <c r="BF137" s="524"/>
      <c r="BG137" s="524"/>
      <c r="BH137" s="524"/>
      <c r="BI137" s="524"/>
      <c r="BJ137" s="524"/>
      <c r="BK137" s="524"/>
      <c r="BL137" s="524"/>
      <c r="BM137" s="524"/>
      <c r="BN137" s="524"/>
      <c r="BO137" s="524"/>
      <c r="BP137" s="524"/>
      <c r="BQ137" s="524"/>
      <c r="BR137" s="524"/>
      <c r="BS137" s="524"/>
      <c r="BT137" s="524"/>
      <c r="BU137" s="524"/>
      <c r="BV137" s="524"/>
      <c r="BW137" s="524"/>
      <c r="BX137" s="524"/>
      <c r="BY137" s="524"/>
      <c r="BZ137" s="524"/>
      <c r="CA137" s="524"/>
      <c r="CB137" s="524"/>
      <c r="CC137" s="524"/>
      <c r="CD137" s="524"/>
      <c r="CE137" s="524"/>
      <c r="CF137" s="524"/>
      <c r="CG137" s="524"/>
      <c r="CH137" s="524"/>
      <c r="CI137" s="524"/>
      <c r="CJ137" s="524"/>
      <c r="CK137" s="524"/>
      <c r="CL137" s="524"/>
      <c r="CM137" s="509"/>
      <c r="CN137" s="524"/>
    </row>
    <row r="138" spans="1:92">
      <c r="A138" s="264"/>
      <c r="B138" s="264" t="s">
        <v>328</v>
      </c>
      <c r="C138" s="264"/>
      <c r="D138" s="264"/>
      <c r="E138" s="264"/>
      <c r="F138" s="264"/>
      <c r="G138" s="264"/>
      <c r="H138" s="264"/>
      <c r="I138" s="264"/>
      <c r="J138" s="264"/>
      <c r="K138" s="525"/>
      <c r="L138" s="525"/>
      <c r="M138" s="525"/>
      <c r="N138" s="525"/>
      <c r="O138" s="525"/>
      <c r="P138" s="525"/>
      <c r="Q138" s="524"/>
      <c r="R138" s="525"/>
      <c r="S138" s="525"/>
      <c r="T138" s="526"/>
      <c r="U138" s="526"/>
      <c r="V138" s="524"/>
      <c r="W138" s="528">
        <v>38807</v>
      </c>
      <c r="X138" s="528">
        <v>38898</v>
      </c>
      <c r="Y138" s="528">
        <v>38990</v>
      </c>
      <c r="Z138" s="528">
        <v>39082</v>
      </c>
      <c r="AA138" s="528">
        <f>Z138</f>
        <v>39082</v>
      </c>
      <c r="AB138" s="528">
        <v>39172</v>
      </c>
      <c r="AC138" s="528">
        <v>39263</v>
      </c>
      <c r="AD138" s="528">
        <v>39355</v>
      </c>
      <c r="AE138" s="528">
        <v>39447</v>
      </c>
      <c r="AF138" s="528">
        <f>AE138</f>
        <v>39447</v>
      </c>
      <c r="AG138" s="528">
        <v>39538</v>
      </c>
      <c r="AH138" s="528">
        <v>39629</v>
      </c>
      <c r="AI138" s="528">
        <v>39721</v>
      </c>
      <c r="AJ138" s="528">
        <v>39813</v>
      </c>
      <c r="AK138" s="528">
        <f>AJ138</f>
        <v>39813</v>
      </c>
      <c r="AL138" s="528">
        <v>39903</v>
      </c>
      <c r="AM138" s="528">
        <v>39994</v>
      </c>
      <c r="AN138" s="528">
        <v>40086</v>
      </c>
      <c r="AO138" s="528">
        <v>40178</v>
      </c>
      <c r="AP138" s="528">
        <f>AO138</f>
        <v>40178</v>
      </c>
      <c r="AQ138" s="528">
        <v>40268</v>
      </c>
      <c r="AR138" s="528">
        <v>40359</v>
      </c>
      <c r="AS138" s="528">
        <v>40451</v>
      </c>
      <c r="AT138" s="528">
        <v>40543</v>
      </c>
      <c r="AU138" s="528">
        <f>AT138</f>
        <v>40543</v>
      </c>
      <c r="AV138" s="528">
        <v>40633</v>
      </c>
      <c r="AW138" s="528">
        <v>40724</v>
      </c>
      <c r="AX138" s="528">
        <v>40816</v>
      </c>
      <c r="AY138" s="528">
        <v>40908</v>
      </c>
      <c r="AZ138" s="528">
        <f>AY138</f>
        <v>40908</v>
      </c>
      <c r="BA138" s="528">
        <v>40999</v>
      </c>
      <c r="BB138" s="528">
        <v>41090</v>
      </c>
      <c r="BC138" s="528">
        <v>41182</v>
      </c>
      <c r="BD138" s="528">
        <v>41274</v>
      </c>
      <c r="BE138" s="528">
        <f>BD138</f>
        <v>41274</v>
      </c>
      <c r="BF138" s="528">
        <v>41364</v>
      </c>
      <c r="BG138" s="528">
        <v>41455</v>
      </c>
      <c r="BH138" s="528">
        <v>41547</v>
      </c>
      <c r="BI138" s="528">
        <v>41639</v>
      </c>
      <c r="BJ138" s="529">
        <f>BI138</f>
        <v>41639</v>
      </c>
      <c r="BK138" s="528"/>
      <c r="BL138" s="528"/>
      <c r="BM138" s="528"/>
      <c r="BN138" s="528"/>
      <c r="BO138" s="529"/>
      <c r="BP138" s="528"/>
      <c r="BQ138" s="528"/>
      <c r="BR138" s="528"/>
      <c r="BS138" s="528"/>
      <c r="BT138" s="524"/>
      <c r="BU138" s="528"/>
      <c r="BV138" s="528"/>
      <c r="BW138" s="528"/>
      <c r="BX138" s="528"/>
      <c r="BY138" s="524"/>
      <c r="BZ138" s="528"/>
      <c r="CA138" s="528"/>
      <c r="CB138" s="528"/>
      <c r="CC138" s="528"/>
      <c r="CD138" s="524"/>
      <c r="CE138" s="528"/>
      <c r="CF138" s="528"/>
      <c r="CG138" s="528"/>
      <c r="CH138" s="528"/>
      <c r="CI138" s="524"/>
      <c r="CJ138" s="524"/>
      <c r="CK138" s="524"/>
      <c r="CL138" s="524"/>
      <c r="CM138" s="509"/>
      <c r="CN138" s="524"/>
    </row>
    <row r="139" spans="1:92">
      <c r="A139" s="264"/>
      <c r="B139" s="264"/>
      <c r="C139" s="527"/>
      <c r="D139" s="264"/>
      <c r="E139" s="264"/>
      <c r="F139" s="264"/>
      <c r="G139" s="264"/>
      <c r="H139" s="264"/>
      <c r="I139" s="264"/>
      <c r="J139" s="264"/>
      <c r="K139" s="525"/>
      <c r="L139" s="525"/>
      <c r="M139" s="525"/>
      <c r="N139" s="525"/>
      <c r="O139" s="525"/>
      <c r="P139" s="525"/>
      <c r="Q139" s="524"/>
      <c r="R139" s="525"/>
      <c r="S139" s="525"/>
      <c r="T139" s="526"/>
      <c r="U139" s="526"/>
      <c r="V139" s="524"/>
      <c r="W139" s="525"/>
      <c r="X139" s="525"/>
      <c r="Y139" s="525"/>
      <c r="Z139" s="525"/>
      <c r="AA139" s="524"/>
      <c r="AB139" s="524"/>
      <c r="AC139" s="524"/>
      <c r="AD139" s="524"/>
      <c r="AE139" s="525"/>
      <c r="AF139" s="525"/>
      <c r="AG139" s="525"/>
      <c r="AH139" s="525"/>
      <c r="AI139" s="525"/>
      <c r="AJ139" s="525"/>
      <c r="AK139" s="525"/>
      <c r="AL139" s="525"/>
      <c r="AM139" s="525"/>
      <c r="AN139" s="525"/>
      <c r="AO139" s="525"/>
      <c r="AP139" s="525"/>
      <c r="AQ139" s="525"/>
      <c r="AR139" s="525"/>
      <c r="AS139" s="525"/>
      <c r="AT139" s="525"/>
      <c r="AU139" s="525"/>
      <c r="AV139" s="525"/>
      <c r="AW139" s="525"/>
      <c r="AX139" s="525"/>
      <c r="AY139" s="525"/>
      <c r="AZ139" s="525"/>
      <c r="BA139" s="524"/>
      <c r="BB139" s="524"/>
      <c r="BC139" s="524"/>
      <c r="BD139" s="524"/>
      <c r="BE139" s="524"/>
      <c r="BF139" s="524"/>
      <c r="BG139" s="524"/>
      <c r="BH139" s="524"/>
      <c r="BI139" s="524"/>
      <c r="BJ139" s="524"/>
      <c r="BK139" s="524"/>
      <c r="BL139" s="524"/>
      <c r="BM139" s="524"/>
      <c r="BN139" s="524"/>
      <c r="BO139" s="524"/>
      <c r="BP139" s="524"/>
      <c r="BQ139" s="524"/>
      <c r="BR139" s="524"/>
      <c r="BS139" s="524"/>
      <c r="BT139" s="524"/>
      <c r="BU139" s="524"/>
      <c r="BV139" s="524"/>
      <c r="BW139" s="524"/>
      <c r="BX139" s="524"/>
      <c r="BY139" s="524"/>
      <c r="BZ139" s="524"/>
      <c r="CA139" s="524"/>
      <c r="CB139" s="524"/>
      <c r="CC139" s="524"/>
      <c r="CD139" s="524"/>
      <c r="CE139" s="524"/>
      <c r="CF139" s="524"/>
      <c r="CG139" s="524"/>
      <c r="CH139" s="524"/>
      <c r="CI139" s="524"/>
      <c r="CJ139" s="524"/>
      <c r="CK139" s="524"/>
      <c r="CL139" s="524"/>
      <c r="CM139" s="509"/>
      <c r="CN139" s="524"/>
    </row>
    <row r="140" spans="1:92">
      <c r="BR140"/>
      <c r="BS140"/>
      <c r="CE140"/>
      <c r="CF140"/>
      <c r="CG140"/>
      <c r="CH140"/>
      <c r="CK140"/>
      <c r="CL140"/>
      <c r="CM140"/>
    </row>
  </sheetData>
  <hyperlinks>
    <hyperlink ref="AP6" r:id="rId1" display="nigel.coe@db.com"/>
    <hyperlink ref="AU6" r:id="rId2" display="nigel.coe@db.com"/>
    <hyperlink ref="CI4" r:id="rId3"/>
    <hyperlink ref="CJ4" r:id="rId4"/>
    <hyperlink ref="CK4" r:id="rId5"/>
    <hyperlink ref="CL4" r:id="rId6"/>
  </hyperlinks>
  <pageMargins left="0.75" right="0.5" top="0.75" bottom="0.75" header="0.511811023622047" footer="0.511811023622047"/>
  <pageSetup scale="23" orientation="landscape" errors="dash" r:id="rId7"/>
  <headerFooter alignWithMargins="0"/>
  <legacyDrawing r:id="rId8"/>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CU130"/>
  <sheetViews>
    <sheetView showGridLines="0" zoomScale="85" zoomScaleNormal="85" zoomScaleSheetLayoutView="40" workbookViewId="0">
      <pane xSplit="4" ySplit="10" topLeftCell="BW11" activePane="bottomRight" state="frozen"/>
      <selection activeCell="BN5" sqref="BN5"/>
      <selection pane="topRight" activeCell="BN5" sqref="BN5"/>
      <selection pane="bottomLeft" activeCell="BN5" sqref="BN5"/>
      <selection pane="bottomRight" activeCell="CA25" sqref="CA25"/>
    </sheetView>
  </sheetViews>
  <sheetFormatPr defaultRowHeight="12.75" outlineLevelRow="1" outlineLevelCol="1"/>
  <cols>
    <col min="1" max="1" width="3.42578125" customWidth="1"/>
    <col min="2" max="2" width="1.7109375" customWidth="1"/>
    <col min="3" max="3" width="26.85546875" bestFit="1" customWidth="1"/>
    <col min="4" max="4" width="2.140625" customWidth="1"/>
    <col min="5" max="5" width="1.42578125" customWidth="1"/>
    <col min="6" max="7" width="9.140625" customWidth="1"/>
    <col min="8" max="11" width="8.7109375" customWidth="1"/>
    <col min="12" max="15" width="8.7109375" hidden="1" customWidth="1" outlineLevel="1"/>
    <col min="16" max="16" width="10" customWidth="1" collapsed="1"/>
    <col min="17" max="20" width="8.7109375" hidden="1" customWidth="1" outlineLevel="1"/>
    <col min="21" max="21" width="8.7109375" customWidth="1" collapsed="1"/>
    <col min="22" max="25" width="8.7109375" hidden="1" customWidth="1" outlineLevel="1"/>
    <col min="26" max="26" width="9.28515625" customWidth="1" collapsed="1"/>
    <col min="27" max="30" width="8.7109375" hidden="1" customWidth="1" outlineLevel="1"/>
    <col min="31" max="31" width="8.7109375" customWidth="1" collapsed="1"/>
    <col min="32" max="35" width="8.7109375" hidden="1" customWidth="1" outlineLevel="1"/>
    <col min="36" max="36" width="8.7109375" customWidth="1" collapsed="1"/>
    <col min="37" max="40" width="8.7109375" hidden="1" customWidth="1" outlineLevel="1"/>
    <col min="41" max="41" width="8.7109375" customWidth="1" collapsed="1"/>
    <col min="42" max="45" width="8.7109375" hidden="1" customWidth="1" outlineLevel="1"/>
    <col min="46" max="46" width="8.7109375" customWidth="1" collapsed="1"/>
    <col min="47" max="50" width="0" hidden="1" customWidth="1" outlineLevel="1"/>
    <col min="51" max="51" width="9.140625" collapsed="1"/>
    <col min="52" max="55" width="9.140625" hidden="1" customWidth="1" outlineLevel="1"/>
    <col min="56" max="56" width="9.140625" collapsed="1"/>
    <col min="57" max="60" width="10" hidden="1" customWidth="1" outlineLevel="1"/>
    <col min="61" max="61" width="10" customWidth="1" collapsed="1"/>
    <col min="62" max="65" width="10" customWidth="1" outlineLevel="1"/>
    <col min="66" max="66" width="10" customWidth="1"/>
    <col min="67" max="70" width="10" customWidth="1" outlineLevel="1"/>
    <col min="71" max="71" width="10" customWidth="1"/>
    <col min="72" max="72" width="10" customWidth="1" outlineLevel="1"/>
    <col min="73" max="73" width="10" style="1126" customWidth="1" outlineLevel="1"/>
    <col min="74" max="75" width="10" customWidth="1" outlineLevel="1"/>
    <col min="76" max="76" width="10.5703125" customWidth="1"/>
    <col min="77" max="80" width="10" customWidth="1" outlineLevel="1"/>
    <col min="81" max="81" width="10" customWidth="1"/>
    <col min="82" max="85" width="10" style="2029" customWidth="1" outlineLevel="1"/>
    <col min="86" max="87" width="10" customWidth="1"/>
    <col min="88" max="89" width="10" style="2029" customWidth="1"/>
    <col min="90" max="90" width="10" customWidth="1"/>
    <col min="91" max="91" width="15.85546875" style="732" customWidth="1"/>
    <col min="94" max="94" width="25.7109375" customWidth="1" outlineLevel="1"/>
    <col min="95" max="99" width="9.140625" customWidth="1" outlineLevel="1"/>
  </cols>
  <sheetData>
    <row r="1" spans="1:93" ht="12" hidden="1" customHeight="1" outlineLevel="1">
      <c r="A1" s="268"/>
      <c r="B1" s="116"/>
      <c r="C1" s="116"/>
      <c r="D1" s="116"/>
      <c r="E1" s="116"/>
      <c r="F1" s="116"/>
      <c r="G1" s="116"/>
      <c r="H1" s="630"/>
      <c r="I1" s="627"/>
      <c r="J1" s="630"/>
      <c r="K1" s="630"/>
      <c r="L1" s="524"/>
      <c r="M1" s="626"/>
      <c r="N1" s="524"/>
      <c r="O1" s="524"/>
      <c r="P1" s="630"/>
      <c r="Q1" s="524"/>
      <c r="R1" s="524"/>
      <c r="S1" s="630"/>
      <c r="T1" s="524"/>
      <c r="U1" s="524"/>
      <c r="V1" s="524"/>
      <c r="W1" s="524"/>
      <c r="X1" s="524"/>
      <c r="Y1" s="524"/>
      <c r="Z1" s="524"/>
      <c r="AA1" s="524"/>
      <c r="AB1" s="524"/>
      <c r="AC1" s="524"/>
      <c r="AD1" s="524"/>
      <c r="AE1" s="626"/>
      <c r="AF1" s="626"/>
      <c r="AG1" s="626"/>
      <c r="AH1" s="626"/>
      <c r="AI1" s="626"/>
      <c r="AJ1" s="524"/>
      <c r="AK1" s="626"/>
      <c r="AL1" s="626"/>
      <c r="AM1" s="626"/>
      <c r="AN1" s="626"/>
      <c r="AO1" s="524"/>
      <c r="AP1" s="626"/>
      <c r="AQ1" s="626"/>
      <c r="AR1" s="626"/>
      <c r="AS1" s="626"/>
      <c r="AT1" s="524"/>
      <c r="AU1" s="524"/>
      <c r="AV1" s="524"/>
      <c r="AW1" s="524"/>
      <c r="AX1" s="524"/>
      <c r="AY1" s="524"/>
      <c r="AZ1" s="626"/>
      <c r="BA1" s="626"/>
      <c r="BB1" s="626"/>
      <c r="BC1" s="626"/>
      <c r="BD1" s="626"/>
      <c r="BE1" s="626"/>
      <c r="BF1" s="626"/>
      <c r="BG1" s="626"/>
      <c r="BH1" s="626"/>
      <c r="BI1" s="524"/>
      <c r="BJ1" s="626"/>
      <c r="BK1" s="626"/>
      <c r="BL1" s="626"/>
      <c r="BM1" s="626"/>
      <c r="BN1" s="524"/>
      <c r="BO1" s="626"/>
      <c r="BP1" s="626"/>
      <c r="BQ1" s="626"/>
      <c r="BR1" s="626"/>
      <c r="BS1" s="524"/>
      <c r="BT1" s="626"/>
      <c r="BU1" s="626"/>
      <c r="BV1" s="626"/>
      <c r="BW1" s="626"/>
      <c r="BX1" s="524"/>
      <c r="BY1" s="626"/>
      <c r="BZ1" s="626"/>
      <c r="CA1" s="626"/>
      <c r="CB1" s="626"/>
      <c r="CC1" s="626"/>
      <c r="CD1" s="626"/>
      <c r="CE1" s="626"/>
      <c r="CF1" s="626"/>
      <c r="CG1" s="626"/>
      <c r="CH1" s="626"/>
      <c r="CI1" s="626"/>
      <c r="CJ1" s="626"/>
      <c r="CK1" s="626"/>
      <c r="CL1" s="626"/>
      <c r="CM1" s="547"/>
      <c r="CN1" s="524"/>
      <c r="CO1" s="116"/>
    </row>
    <row r="2" spans="1:93" hidden="1" outlineLevel="1">
      <c r="A2" s="268"/>
      <c r="B2" s="520" t="s">
        <v>0</v>
      </c>
      <c r="C2" s="518"/>
      <c r="D2" s="518"/>
      <c r="E2" s="518"/>
      <c r="F2" s="518"/>
      <c r="G2" s="518"/>
      <c r="H2" s="993"/>
      <c r="I2" s="994"/>
      <c r="J2" s="994"/>
      <c r="K2" s="994"/>
      <c r="L2" s="995"/>
      <c r="M2" s="995"/>
      <c r="N2" s="995"/>
      <c r="O2" s="995"/>
      <c r="P2" s="994"/>
      <c r="Q2" s="517"/>
      <c r="R2" s="517"/>
      <c r="S2" s="993"/>
      <c r="T2" s="517"/>
      <c r="U2" s="517"/>
      <c r="V2" s="517"/>
      <c r="W2" s="517"/>
      <c r="X2" s="517"/>
      <c r="Y2" s="517"/>
      <c r="Z2" s="517"/>
      <c r="AA2" s="517"/>
      <c r="AB2" s="517"/>
      <c r="AC2" s="517"/>
      <c r="AD2" s="517"/>
      <c r="AE2" s="729"/>
      <c r="AF2" s="729"/>
      <c r="AG2" s="729"/>
      <c r="AH2" s="729"/>
      <c r="AI2" s="729"/>
      <c r="AJ2" s="729"/>
      <c r="AK2" s="729"/>
      <c r="AL2" s="729"/>
      <c r="AM2" s="729"/>
      <c r="AN2" s="729"/>
      <c r="AO2" s="729"/>
      <c r="AP2" s="729"/>
      <c r="AQ2" s="729"/>
      <c r="AR2" s="729"/>
      <c r="AS2" s="729"/>
      <c r="AT2" s="729"/>
      <c r="AU2" s="729"/>
      <c r="AV2" s="729"/>
      <c r="AW2" s="729"/>
      <c r="AX2" s="729"/>
      <c r="AY2" s="729"/>
      <c r="AZ2" s="729"/>
      <c r="BA2" s="729"/>
      <c r="BB2" s="729"/>
      <c r="BC2" s="729"/>
      <c r="BD2" s="729"/>
      <c r="BE2" s="729"/>
      <c r="BF2" s="729"/>
      <c r="BG2" s="729"/>
      <c r="BH2" s="729"/>
      <c r="BI2" s="729"/>
      <c r="BJ2" s="729"/>
      <c r="BK2" s="729"/>
      <c r="BL2" s="729"/>
      <c r="BM2" s="729"/>
      <c r="BN2" s="729"/>
      <c r="BO2" s="729"/>
      <c r="BP2" s="729"/>
      <c r="BQ2" s="729"/>
      <c r="BR2" s="729"/>
      <c r="BS2" s="518"/>
      <c r="BT2" s="729"/>
      <c r="BU2" s="729"/>
      <c r="BV2" s="729"/>
      <c r="BW2" s="729"/>
      <c r="BX2" s="517"/>
      <c r="BY2" s="729"/>
      <c r="BZ2" s="729"/>
      <c r="CA2" s="729"/>
      <c r="CB2" s="729"/>
      <c r="CC2" s="141" t="s">
        <v>1</v>
      </c>
      <c r="CD2" s="729"/>
      <c r="CE2" s="729"/>
      <c r="CF2" s="729"/>
      <c r="CG2" s="729"/>
      <c r="CH2" s="141" t="s">
        <v>1</v>
      </c>
      <c r="CI2" s="141" t="s">
        <v>1</v>
      </c>
      <c r="CJ2" s="141" t="s">
        <v>1</v>
      </c>
      <c r="CK2" s="141" t="s">
        <v>1</v>
      </c>
      <c r="CL2" s="1956"/>
      <c r="CM2" s="547"/>
      <c r="CN2" s="524"/>
      <c r="CO2" s="116"/>
    </row>
    <row r="3" spans="1:93" ht="15.75" hidden="1" outlineLevel="1">
      <c r="A3" s="268"/>
      <c r="B3" s="992" t="str">
        <f>IS!B3</f>
        <v>Morgan Stanley Research</v>
      </c>
      <c r="C3" s="991"/>
      <c r="D3" s="991"/>
      <c r="E3" s="991"/>
      <c r="F3" s="991"/>
      <c r="G3" s="991"/>
      <c r="H3" s="989"/>
      <c r="I3" s="990"/>
      <c r="J3" s="989"/>
      <c r="K3" s="989"/>
      <c r="L3" s="988"/>
      <c r="M3" s="987"/>
      <c r="N3" s="524"/>
      <c r="O3" s="524"/>
      <c r="P3" s="630"/>
      <c r="Q3" s="524"/>
      <c r="R3" s="524"/>
      <c r="S3" s="630"/>
      <c r="T3" s="524"/>
      <c r="U3" s="524"/>
      <c r="V3" s="524"/>
      <c r="W3" s="524"/>
      <c r="X3" s="524"/>
      <c r="Y3" s="524"/>
      <c r="Z3" s="524"/>
      <c r="AA3" s="524"/>
      <c r="AB3" s="524"/>
      <c r="AC3" s="524"/>
      <c r="AD3" s="524"/>
      <c r="AE3" s="626"/>
      <c r="AF3" s="626"/>
      <c r="AG3" s="626"/>
      <c r="AH3" s="626"/>
      <c r="AI3" s="626"/>
      <c r="AJ3" s="268"/>
      <c r="AK3" s="626"/>
      <c r="AL3" s="626"/>
      <c r="AM3" s="626"/>
      <c r="AN3" s="626"/>
      <c r="AO3" s="268"/>
      <c r="AP3" s="626"/>
      <c r="AQ3" s="626"/>
      <c r="AR3" s="626"/>
      <c r="AS3" s="626"/>
      <c r="AT3" s="268"/>
      <c r="AU3" s="626"/>
      <c r="AV3" s="626"/>
      <c r="AW3" s="626"/>
      <c r="AX3" s="626"/>
      <c r="AY3" s="626"/>
      <c r="AZ3" s="626"/>
      <c r="BA3" s="626"/>
      <c r="BB3" s="626"/>
      <c r="BC3" s="626"/>
      <c r="BD3" s="626"/>
      <c r="BE3" s="626"/>
      <c r="BF3" s="626"/>
      <c r="BG3" s="626"/>
      <c r="BH3" s="626"/>
      <c r="BI3" s="626"/>
      <c r="BJ3" s="626"/>
      <c r="BK3" s="626"/>
      <c r="BL3" s="626"/>
      <c r="BM3" s="626"/>
      <c r="BN3" s="626"/>
      <c r="BO3" s="626"/>
      <c r="BP3" s="626"/>
      <c r="BQ3" s="626"/>
      <c r="BR3" s="626"/>
      <c r="BS3" s="116"/>
      <c r="BT3" s="626"/>
      <c r="BU3" s="626"/>
      <c r="BV3" s="626"/>
      <c r="BW3" s="626"/>
      <c r="BX3" s="524"/>
      <c r="BY3" s="626"/>
      <c r="BZ3" s="626"/>
      <c r="CA3" s="626"/>
      <c r="CB3" s="626"/>
      <c r="CC3" s="140" t="s">
        <v>5</v>
      </c>
      <c r="CD3" s="626"/>
      <c r="CE3" s="626"/>
      <c r="CF3" s="626"/>
      <c r="CG3" s="626"/>
      <c r="CH3" s="140" t="s">
        <v>5</v>
      </c>
      <c r="CI3" s="140" t="s">
        <v>5</v>
      </c>
      <c r="CJ3" s="140" t="s">
        <v>5</v>
      </c>
      <c r="CK3" s="140" t="s">
        <v>5</v>
      </c>
      <c r="CL3" s="1527"/>
      <c r="CM3" s="547"/>
      <c r="CN3" s="524"/>
      <c r="CO3" s="116"/>
    </row>
    <row r="4" spans="1:93" ht="12" hidden="1" customHeight="1" outlineLevel="1">
      <c r="A4" s="268"/>
      <c r="B4" s="986" t="str">
        <f>IS!B4</f>
        <v>YE 31 December ($ million)</v>
      </c>
      <c r="C4" s="116"/>
      <c r="D4" s="116"/>
      <c r="E4" s="116"/>
      <c r="F4" s="116"/>
      <c r="G4" s="116"/>
      <c r="H4" s="630"/>
      <c r="I4" s="627"/>
      <c r="J4" s="630"/>
      <c r="K4" s="630"/>
      <c r="L4" s="524"/>
      <c r="M4" s="626"/>
      <c r="N4" s="524"/>
      <c r="O4" s="524"/>
      <c r="P4" s="630"/>
      <c r="Q4" s="524"/>
      <c r="R4" s="524"/>
      <c r="S4" s="630"/>
      <c r="T4" s="524"/>
      <c r="U4" s="524"/>
      <c r="V4" s="524"/>
      <c r="W4" s="524"/>
      <c r="X4" s="524"/>
      <c r="Y4" s="524"/>
      <c r="Z4" s="524"/>
      <c r="AA4" s="524"/>
      <c r="AB4" s="524"/>
      <c r="AC4" s="524"/>
      <c r="AD4" s="524"/>
      <c r="AE4" s="626"/>
      <c r="AF4" s="626"/>
      <c r="AG4" s="626"/>
      <c r="AH4" s="626"/>
      <c r="AI4" s="626"/>
      <c r="AJ4" s="268"/>
      <c r="AK4" s="626"/>
      <c r="AL4" s="626"/>
      <c r="AM4" s="626"/>
      <c r="AN4" s="626"/>
      <c r="AO4" s="268"/>
      <c r="AP4" s="626"/>
      <c r="AQ4" s="626"/>
      <c r="AR4" s="626"/>
      <c r="AS4" s="626"/>
      <c r="AT4" s="268"/>
      <c r="AU4" s="626"/>
      <c r="AV4" s="626"/>
      <c r="AW4" s="626"/>
      <c r="AX4" s="626"/>
      <c r="AY4" s="626"/>
      <c r="AZ4" s="626"/>
      <c r="BA4" s="626"/>
      <c r="BB4" s="626"/>
      <c r="BC4" s="626"/>
      <c r="BD4" s="626"/>
      <c r="BE4" s="626"/>
      <c r="BF4" s="626"/>
      <c r="BG4" s="626"/>
      <c r="BH4" s="626"/>
      <c r="BI4" s="626"/>
      <c r="BJ4" s="626"/>
      <c r="BK4" s="626"/>
      <c r="BL4" s="626"/>
      <c r="BM4" s="626"/>
      <c r="BN4" s="626"/>
      <c r="BO4" s="626"/>
      <c r="BP4" s="626"/>
      <c r="BQ4" s="626"/>
      <c r="BR4" s="626"/>
      <c r="BS4" s="116"/>
      <c r="BT4" s="626"/>
      <c r="BU4" s="626"/>
      <c r="BV4" s="626"/>
      <c r="BW4" s="626"/>
      <c r="BX4" s="524"/>
      <c r="BY4" s="626"/>
      <c r="BZ4" s="626"/>
      <c r="CA4" s="626"/>
      <c r="CB4" s="626"/>
      <c r="CC4" s="985" t="s">
        <v>6</v>
      </c>
      <c r="CD4" s="626"/>
      <c r="CE4" s="626"/>
      <c r="CF4" s="626"/>
      <c r="CG4" s="626"/>
      <c r="CH4" s="985" t="s">
        <v>6</v>
      </c>
      <c r="CI4" s="985" t="s">
        <v>6</v>
      </c>
      <c r="CJ4" s="985" t="s">
        <v>6</v>
      </c>
      <c r="CK4" s="985" t="s">
        <v>6</v>
      </c>
      <c r="CL4" s="1957"/>
      <c r="CM4" s="547"/>
      <c r="CN4" s="524"/>
      <c r="CO4" s="116"/>
    </row>
    <row r="5" spans="1:93" ht="12" hidden="1" customHeight="1" outlineLevel="1">
      <c r="A5" s="268"/>
      <c r="B5" s="508"/>
      <c r="C5" s="507"/>
      <c r="D5" s="507"/>
      <c r="E5" s="507"/>
      <c r="F5" s="507"/>
      <c r="G5" s="507"/>
      <c r="H5" s="984"/>
      <c r="I5" s="984"/>
      <c r="J5" s="984"/>
      <c r="K5" s="726"/>
      <c r="L5" s="724"/>
      <c r="M5" s="725"/>
      <c r="N5" s="724"/>
      <c r="O5" s="724"/>
      <c r="P5" s="726"/>
      <c r="Q5" s="724"/>
      <c r="R5" s="724"/>
      <c r="S5" s="726"/>
      <c r="T5" s="724"/>
      <c r="U5" s="724"/>
      <c r="V5" s="724"/>
      <c r="W5" s="724"/>
      <c r="X5" s="724"/>
      <c r="Y5" s="724"/>
      <c r="Z5" s="724"/>
      <c r="AA5" s="724"/>
      <c r="AB5" s="724"/>
      <c r="AC5" s="724"/>
      <c r="AD5" s="724"/>
      <c r="AE5" s="725"/>
      <c r="AF5" s="725"/>
      <c r="AG5" s="725"/>
      <c r="AH5" s="725"/>
      <c r="AI5" s="725"/>
      <c r="AJ5" s="725"/>
      <c r="AK5" s="725"/>
      <c r="AL5" s="725"/>
      <c r="AM5" s="725"/>
      <c r="AN5" s="725"/>
      <c r="AO5" s="725"/>
      <c r="AP5" s="725"/>
      <c r="AQ5" s="725"/>
      <c r="AR5" s="725"/>
      <c r="AS5" s="725"/>
      <c r="AT5" s="725"/>
      <c r="AU5" s="725"/>
      <c r="AV5" s="725"/>
      <c r="AW5" s="725"/>
      <c r="AX5" s="725"/>
      <c r="AY5" s="725"/>
      <c r="AZ5" s="725"/>
      <c r="BA5" s="725"/>
      <c r="BB5" s="725"/>
      <c r="BC5" s="725"/>
      <c r="BD5" s="725"/>
      <c r="BE5" s="725"/>
      <c r="BF5" s="725"/>
      <c r="BG5" s="725"/>
      <c r="BH5" s="725"/>
      <c r="BI5" s="725"/>
      <c r="BJ5" s="725"/>
      <c r="BK5" s="725"/>
      <c r="BL5" s="725"/>
      <c r="BM5" s="725"/>
      <c r="BN5" s="725"/>
      <c r="BO5" s="725"/>
      <c r="BP5" s="725"/>
      <c r="BQ5" s="725"/>
      <c r="BR5" s="725"/>
      <c r="BS5" s="126"/>
      <c r="BT5" s="725"/>
      <c r="BU5" s="725"/>
      <c r="BV5" s="725"/>
      <c r="BW5" s="725"/>
      <c r="BX5" s="724"/>
      <c r="BY5" s="725"/>
      <c r="BZ5" s="725"/>
      <c r="CA5" s="725"/>
      <c r="CB5" s="725"/>
      <c r="CC5" s="983"/>
      <c r="CD5" s="725"/>
      <c r="CE5" s="725"/>
      <c r="CF5" s="725"/>
      <c r="CG5" s="725"/>
      <c r="CH5" s="983"/>
      <c r="CI5" s="983"/>
      <c r="CJ5" s="983"/>
      <c r="CK5" s="983"/>
      <c r="CL5" s="626"/>
      <c r="CM5" s="547"/>
      <c r="CN5" s="524"/>
      <c r="CO5" s="116"/>
    </row>
    <row r="6" spans="1:93" ht="12" hidden="1" customHeight="1" outlineLevel="1">
      <c r="A6" s="268"/>
      <c r="B6" s="118"/>
      <c r="C6" s="722"/>
      <c r="D6" s="722"/>
      <c r="E6" s="117"/>
      <c r="F6" s="117"/>
      <c r="G6" s="117"/>
      <c r="H6" s="630"/>
      <c r="I6" s="627"/>
      <c r="J6" s="630"/>
      <c r="K6" s="630"/>
      <c r="L6" s="524"/>
      <c r="M6" s="626"/>
      <c r="N6" s="524"/>
      <c r="O6" s="524"/>
      <c r="P6" s="630"/>
      <c r="Q6" s="524"/>
      <c r="R6" s="524"/>
      <c r="S6" s="630"/>
      <c r="T6" s="524"/>
      <c r="U6" s="524"/>
      <c r="V6" s="524"/>
      <c r="W6" s="524"/>
      <c r="X6" s="524"/>
      <c r="Y6" s="524"/>
      <c r="Z6" s="524"/>
      <c r="AA6" s="524"/>
      <c r="AB6" s="524"/>
      <c r="AC6" s="524"/>
      <c r="AD6" s="524"/>
      <c r="AE6" s="626"/>
      <c r="AF6" s="626"/>
      <c r="AG6" s="626"/>
      <c r="AH6" s="626"/>
      <c r="AI6" s="626"/>
      <c r="AJ6" s="268"/>
      <c r="AK6" s="626"/>
      <c r="AL6" s="626"/>
      <c r="AM6" s="626"/>
      <c r="AN6" s="626"/>
      <c r="AO6" s="268"/>
      <c r="AP6" s="626"/>
      <c r="AQ6" s="626"/>
      <c r="AR6" s="626"/>
      <c r="AS6" s="626"/>
      <c r="AT6" s="268"/>
      <c r="AU6" s="626"/>
      <c r="AV6" s="626"/>
      <c r="AW6" s="626"/>
      <c r="AX6" s="626"/>
      <c r="AY6" s="626"/>
      <c r="AZ6" s="626"/>
      <c r="BA6" s="626"/>
      <c r="BB6" s="626"/>
      <c r="BC6" s="626"/>
      <c r="BD6" s="626"/>
      <c r="BE6" s="626"/>
      <c r="BF6" s="626"/>
      <c r="BG6" s="626"/>
      <c r="BH6" s="626"/>
      <c r="BI6" s="524"/>
      <c r="BJ6" s="626"/>
      <c r="BK6" s="626"/>
      <c r="BL6" s="626"/>
      <c r="BM6" s="626"/>
      <c r="BN6" s="524"/>
      <c r="BO6" s="626"/>
      <c r="BP6" s="626"/>
      <c r="BQ6" s="626"/>
      <c r="BR6" s="626"/>
      <c r="BS6" s="268"/>
      <c r="BT6" s="626"/>
      <c r="BU6" s="626"/>
      <c r="BV6" s="626"/>
      <c r="BW6" s="626"/>
      <c r="BX6" s="510"/>
      <c r="BY6" s="626"/>
      <c r="BZ6" s="626"/>
      <c r="CA6" s="626"/>
      <c r="CB6" s="626"/>
      <c r="CC6" s="626"/>
      <c r="CD6" s="626"/>
      <c r="CE6" s="626"/>
      <c r="CF6" s="626"/>
      <c r="CG6" s="626"/>
      <c r="CH6" s="626"/>
      <c r="CI6" s="626"/>
      <c r="CJ6" s="626"/>
      <c r="CK6" s="626"/>
      <c r="CL6" s="626"/>
      <c r="CM6" s="981"/>
      <c r="CN6" s="510"/>
      <c r="CO6" s="980"/>
    </row>
    <row r="7" spans="1:93" ht="13.5" hidden="1" outlineLevel="1" thickBot="1">
      <c r="A7" s="623"/>
      <c r="B7" s="979"/>
      <c r="C7" s="979"/>
      <c r="D7" s="979"/>
      <c r="E7" s="979"/>
      <c r="F7" s="979"/>
      <c r="G7" s="979"/>
      <c r="H7" s="978"/>
      <c r="I7" s="978"/>
      <c r="J7" s="978"/>
      <c r="K7" s="978"/>
      <c r="L7" s="977"/>
      <c r="M7" s="977"/>
      <c r="N7" s="977"/>
      <c r="O7" s="977"/>
      <c r="P7" s="978"/>
      <c r="Q7" s="977"/>
      <c r="R7" s="977"/>
      <c r="S7" s="978"/>
      <c r="T7" s="977"/>
      <c r="U7" s="977"/>
      <c r="V7" s="977"/>
      <c r="W7" s="977"/>
      <c r="X7" s="977"/>
      <c r="Y7" s="977"/>
      <c r="Z7" s="977"/>
      <c r="AA7" s="977"/>
      <c r="AB7" s="977"/>
      <c r="AC7" s="977"/>
      <c r="AD7" s="977"/>
      <c r="AE7" s="977"/>
      <c r="AF7" s="977"/>
      <c r="AG7" s="977"/>
      <c r="AH7" s="977"/>
      <c r="AI7" s="977"/>
      <c r="AJ7" s="977"/>
      <c r="AK7" s="977"/>
      <c r="AL7" s="977"/>
      <c r="AM7" s="977"/>
      <c r="AN7" s="977"/>
      <c r="AO7" s="977"/>
      <c r="AP7" s="977"/>
      <c r="AQ7" s="977"/>
      <c r="AR7" s="977"/>
      <c r="AS7" s="977"/>
      <c r="AT7" s="977"/>
      <c r="AU7" s="977"/>
      <c r="AV7" s="977"/>
      <c r="AW7" s="977"/>
      <c r="AX7" s="977"/>
      <c r="AY7" s="977"/>
      <c r="AZ7" s="977"/>
      <c r="BA7" s="977"/>
      <c r="BB7" s="977"/>
      <c r="BC7" s="977"/>
      <c r="BD7" s="977"/>
      <c r="BE7" s="977"/>
      <c r="BF7" s="977"/>
      <c r="BG7" s="977"/>
      <c r="BH7" s="977"/>
      <c r="BI7" s="977"/>
      <c r="BJ7" s="977"/>
      <c r="BK7" s="977"/>
      <c r="BL7" s="977"/>
      <c r="BM7" s="977"/>
      <c r="BN7" s="977"/>
      <c r="BO7" s="977"/>
      <c r="BP7" s="977"/>
      <c r="BQ7" s="977"/>
      <c r="BR7" s="977"/>
      <c r="BS7" s="977"/>
      <c r="BT7" s="977"/>
      <c r="BU7" s="977"/>
      <c r="BV7" s="977"/>
      <c r="BW7" s="977"/>
      <c r="BX7" s="977"/>
      <c r="BY7" s="977"/>
      <c r="BZ7" s="977"/>
      <c r="CA7" s="977"/>
      <c r="CB7" s="977"/>
      <c r="CC7" s="977"/>
      <c r="CD7" s="977"/>
      <c r="CE7" s="977"/>
      <c r="CF7" s="977"/>
      <c r="CG7" s="977"/>
      <c r="CH7" s="977"/>
      <c r="CI7" s="977"/>
      <c r="CJ7" s="977"/>
      <c r="CK7" s="977"/>
      <c r="CL7" s="1958"/>
      <c r="CM7" s="738"/>
      <c r="CN7" s="618"/>
      <c r="CO7" s="736"/>
    </row>
    <row r="8" spans="1:93" collapsed="1">
      <c r="A8" s="623"/>
      <c r="B8" s="623"/>
      <c r="C8" s="623"/>
      <c r="D8" s="623"/>
      <c r="E8" s="623"/>
      <c r="F8" s="623"/>
      <c r="G8" s="623"/>
      <c r="H8" s="976"/>
      <c r="I8" s="976"/>
      <c r="J8" s="976"/>
      <c r="K8" s="976"/>
      <c r="L8" s="975"/>
      <c r="M8" s="975"/>
      <c r="N8" s="975"/>
      <c r="O8" s="975"/>
      <c r="P8" s="740"/>
      <c r="Q8" s="975"/>
      <c r="R8" s="975"/>
      <c r="S8" s="976"/>
      <c r="T8" s="975"/>
      <c r="U8" s="618"/>
      <c r="V8" s="975"/>
      <c r="W8" s="975"/>
      <c r="X8" s="975"/>
      <c r="Y8" s="975"/>
      <c r="Z8" s="618"/>
      <c r="AA8" s="618"/>
      <c r="AB8" s="618"/>
      <c r="AC8" s="618"/>
      <c r="AD8" s="618"/>
      <c r="AE8" s="736"/>
      <c r="AF8" s="736"/>
      <c r="AG8" s="736"/>
      <c r="AH8" s="736"/>
      <c r="AI8" s="736"/>
      <c r="AJ8" s="736"/>
      <c r="AK8" s="736"/>
      <c r="AL8" s="736"/>
      <c r="AM8" s="736"/>
      <c r="AN8" s="736"/>
      <c r="AO8" s="736"/>
      <c r="AP8" s="736"/>
      <c r="AQ8" s="736"/>
      <c r="AR8" s="736"/>
      <c r="AS8" s="736"/>
      <c r="AT8" s="736"/>
      <c r="AU8" s="736"/>
      <c r="AV8" s="736"/>
      <c r="AW8" s="736"/>
      <c r="AX8" s="736"/>
      <c r="AY8" s="736"/>
      <c r="AZ8" s="736"/>
      <c r="BA8" s="736"/>
      <c r="BB8" s="736"/>
      <c r="BC8" s="736"/>
      <c r="BD8" s="736"/>
      <c r="BE8" s="736"/>
      <c r="BF8" s="736"/>
      <c r="BG8" s="736"/>
      <c r="BH8" s="736"/>
      <c r="BI8" s="736"/>
      <c r="BJ8" s="736"/>
      <c r="BK8" s="736"/>
      <c r="BL8" s="736"/>
      <c r="BM8" s="736"/>
      <c r="BN8" s="736"/>
      <c r="BO8" s="736"/>
      <c r="BP8" s="736"/>
      <c r="BQ8" s="736"/>
      <c r="BR8" s="736"/>
      <c r="BS8" s="618"/>
      <c r="BT8" s="736"/>
      <c r="BU8" s="736"/>
      <c r="BV8" s="736"/>
      <c r="BW8" s="736"/>
      <c r="BX8" s="618"/>
      <c r="BY8" s="736"/>
      <c r="BZ8" s="736"/>
      <c r="CA8" s="736"/>
      <c r="CB8" s="736"/>
      <c r="CC8" s="618"/>
      <c r="CD8" s="736"/>
      <c r="CE8" s="736"/>
      <c r="CF8" s="736"/>
      <c r="CG8" s="736"/>
      <c r="CH8" s="618"/>
      <c r="CI8" s="618"/>
      <c r="CJ8" s="618"/>
      <c r="CK8" s="618"/>
      <c r="CL8" s="618"/>
      <c r="CM8" s="738"/>
      <c r="CN8" s="618"/>
      <c r="CO8" s="736"/>
    </row>
    <row r="9" spans="1:93" ht="13.5" thickBot="1">
      <c r="A9" s="264"/>
      <c r="B9" s="264"/>
      <c r="C9" s="974"/>
      <c r="D9" s="504"/>
      <c r="E9" s="504"/>
      <c r="F9" s="504"/>
      <c r="G9" s="504"/>
      <c r="H9" s="973" t="s">
        <v>481</v>
      </c>
      <c r="I9" s="973" t="s">
        <v>481</v>
      </c>
      <c r="J9" s="973" t="s">
        <v>405</v>
      </c>
      <c r="K9" s="973" t="s">
        <v>405</v>
      </c>
      <c r="L9" s="973"/>
      <c r="M9" s="973"/>
      <c r="N9" s="973"/>
      <c r="O9" s="973"/>
      <c r="P9" s="973" t="s">
        <v>405</v>
      </c>
      <c r="Q9" s="719"/>
      <c r="R9" s="719"/>
      <c r="S9" s="720"/>
      <c r="T9" s="719"/>
      <c r="U9" s="719"/>
      <c r="V9" s="719"/>
      <c r="W9" s="719"/>
      <c r="X9" s="719"/>
      <c r="Y9" s="719"/>
      <c r="Z9" s="719"/>
      <c r="AA9" s="719"/>
      <c r="AB9" s="719"/>
      <c r="AC9" s="719"/>
      <c r="AD9" s="719"/>
      <c r="AE9" s="718"/>
      <c r="AF9" s="718"/>
      <c r="AG9" s="718"/>
      <c r="AH9" s="718"/>
      <c r="AI9" s="718"/>
      <c r="AJ9" s="718"/>
      <c r="AK9" s="718"/>
      <c r="AL9" s="718"/>
      <c r="AM9" s="718"/>
      <c r="AN9" s="718"/>
      <c r="AO9" s="972"/>
      <c r="AP9" s="718"/>
      <c r="AQ9" s="718"/>
      <c r="AR9" s="718"/>
      <c r="AS9" s="718"/>
      <c r="AT9" s="718"/>
      <c r="AU9" s="718"/>
      <c r="AV9" s="718"/>
      <c r="AW9" s="718"/>
      <c r="AX9" s="718"/>
      <c r="AY9" s="718"/>
      <c r="AZ9" s="718"/>
      <c r="BA9" s="718"/>
      <c r="BB9" s="718"/>
      <c r="BC9" s="718"/>
      <c r="BD9" s="718"/>
      <c r="BE9" s="718"/>
      <c r="BF9" s="718"/>
      <c r="BG9" s="718"/>
      <c r="BH9" s="718"/>
      <c r="BI9" s="718"/>
      <c r="BJ9" s="718"/>
      <c r="BK9" s="718"/>
      <c r="BL9" s="718"/>
      <c r="BM9" s="718"/>
      <c r="BN9" s="718"/>
      <c r="BO9" s="718"/>
      <c r="BP9" s="718"/>
      <c r="BQ9" s="718"/>
      <c r="BR9" s="718"/>
      <c r="BS9" s="524"/>
      <c r="BT9" s="718"/>
      <c r="BU9" s="718"/>
      <c r="BV9" s="718"/>
      <c r="BW9" s="718"/>
      <c r="BX9" s="524"/>
      <c r="BY9" s="718"/>
      <c r="BZ9" s="718"/>
      <c r="CA9" s="718"/>
      <c r="CB9" s="718"/>
      <c r="CC9" s="524"/>
      <c r="CD9" s="718"/>
      <c r="CE9" s="718"/>
      <c r="CF9" s="718"/>
      <c r="CG9" s="718"/>
      <c r="CH9" s="524"/>
      <c r="CI9" s="524"/>
      <c r="CJ9" s="524"/>
      <c r="CK9" s="524"/>
      <c r="CL9" s="524"/>
      <c r="CM9" s="547"/>
      <c r="CN9" s="524"/>
      <c r="CO9" s="265"/>
    </row>
    <row r="10" spans="1:93">
      <c r="A10" s="623"/>
      <c r="B10" s="623"/>
      <c r="C10" s="971" t="s">
        <v>480</v>
      </c>
      <c r="D10" s="970"/>
      <c r="E10" s="970"/>
      <c r="F10" s="967">
        <v>1997</v>
      </c>
      <c r="G10" s="967">
        <v>1998</v>
      </c>
      <c r="H10" s="965">
        <v>2000</v>
      </c>
      <c r="I10" s="965">
        <f>+H10+1</f>
        <v>2001</v>
      </c>
      <c r="J10" s="965">
        <v>2002</v>
      </c>
      <c r="K10" s="965">
        <v>2003</v>
      </c>
      <c r="L10" s="969" t="s">
        <v>121</v>
      </c>
      <c r="M10" s="969" t="s">
        <v>120</v>
      </c>
      <c r="N10" s="969" t="s">
        <v>119</v>
      </c>
      <c r="O10" s="969" t="s">
        <v>118</v>
      </c>
      <c r="P10" s="965">
        <v>2004</v>
      </c>
      <c r="Q10" s="969" t="s">
        <v>117</v>
      </c>
      <c r="R10" s="969" t="s">
        <v>116</v>
      </c>
      <c r="S10" s="969" t="s">
        <v>115</v>
      </c>
      <c r="T10" s="969" t="s">
        <v>114</v>
      </c>
      <c r="U10" s="965">
        <v>2005</v>
      </c>
      <c r="V10" s="969" t="s">
        <v>206</v>
      </c>
      <c r="W10" s="969" t="s">
        <v>205</v>
      </c>
      <c r="X10" s="969" t="s">
        <v>204</v>
      </c>
      <c r="Y10" s="969" t="s">
        <v>203</v>
      </c>
      <c r="Z10" s="965">
        <v>2006</v>
      </c>
      <c r="AA10" s="968" t="s">
        <v>202</v>
      </c>
      <c r="AB10" s="968" t="s">
        <v>201</v>
      </c>
      <c r="AC10" s="968" t="s">
        <v>200</v>
      </c>
      <c r="AD10" s="968" t="s">
        <v>199</v>
      </c>
      <c r="AE10" s="965">
        <v>2007</v>
      </c>
      <c r="AF10" s="968" t="s">
        <v>198</v>
      </c>
      <c r="AG10" s="967" t="s">
        <v>197</v>
      </c>
      <c r="AH10" s="967" t="s">
        <v>196</v>
      </c>
      <c r="AI10" s="967" t="s">
        <v>195</v>
      </c>
      <c r="AJ10" s="965">
        <v>2008</v>
      </c>
      <c r="AK10" s="967" t="s">
        <v>194</v>
      </c>
      <c r="AL10" s="967" t="s">
        <v>193</v>
      </c>
      <c r="AM10" s="967" t="s">
        <v>192</v>
      </c>
      <c r="AN10" s="967" t="s">
        <v>191</v>
      </c>
      <c r="AO10" s="965">
        <v>2009</v>
      </c>
      <c r="AP10" s="967" t="s">
        <v>190</v>
      </c>
      <c r="AQ10" s="967" t="s">
        <v>189</v>
      </c>
      <c r="AR10" s="967" t="s">
        <v>188</v>
      </c>
      <c r="AS10" s="967" t="s">
        <v>187</v>
      </c>
      <c r="AT10" s="965">
        <v>2010</v>
      </c>
      <c r="AU10" s="967" t="s">
        <v>186</v>
      </c>
      <c r="AV10" s="967" t="s">
        <v>185</v>
      </c>
      <c r="AW10" s="967" t="s">
        <v>184</v>
      </c>
      <c r="AX10" s="967" t="s">
        <v>183</v>
      </c>
      <c r="AY10" s="965">
        <v>2011</v>
      </c>
      <c r="AZ10" s="967" t="s">
        <v>182</v>
      </c>
      <c r="BA10" s="967" t="s">
        <v>181</v>
      </c>
      <c r="BB10" s="967" t="s">
        <v>180</v>
      </c>
      <c r="BC10" s="967" t="s">
        <v>179</v>
      </c>
      <c r="BD10" s="965">
        <v>2012</v>
      </c>
      <c r="BE10" s="966" t="s">
        <v>178</v>
      </c>
      <c r="BF10" s="966" t="s">
        <v>177</v>
      </c>
      <c r="BG10" s="966" t="s">
        <v>176</v>
      </c>
      <c r="BH10" s="966" t="s">
        <v>175</v>
      </c>
      <c r="BI10" s="965">
        <v>2013</v>
      </c>
      <c r="BJ10" s="966" t="s">
        <v>174</v>
      </c>
      <c r="BK10" s="966" t="s">
        <v>152</v>
      </c>
      <c r="BL10" s="966" t="s">
        <v>140</v>
      </c>
      <c r="BM10" s="966" t="s">
        <v>132</v>
      </c>
      <c r="BN10" s="965">
        <v>2014</v>
      </c>
      <c r="BO10" s="966" t="str">
        <f>IS!CC9</f>
        <v>1Q15</v>
      </c>
      <c r="BP10" s="966" t="str">
        <f>IS!CD9</f>
        <v>2Q15</v>
      </c>
      <c r="BQ10" s="966" t="str">
        <f>IS!CE9</f>
        <v>3Q15</v>
      </c>
      <c r="BR10" s="966" t="str">
        <f>IS!CF9</f>
        <v>4Q15</v>
      </c>
      <c r="BS10" s="965">
        <f>IS!CG9</f>
        <v>2015</v>
      </c>
      <c r="BT10" s="966" t="str">
        <f>IS!CH9</f>
        <v>1Q16</v>
      </c>
      <c r="BU10" s="966" t="str">
        <f>IS!CI9</f>
        <v>2Q16</v>
      </c>
      <c r="BV10" s="966" t="str">
        <f>IS!CJ9</f>
        <v>3Q16</v>
      </c>
      <c r="BW10" s="966" t="str">
        <f>IS!CK9</f>
        <v>4Q16</v>
      </c>
      <c r="BX10" s="965">
        <f>IS!CL9</f>
        <v>2016</v>
      </c>
      <c r="BY10" s="966" t="str">
        <f>IS!CM9</f>
        <v>1Q17</v>
      </c>
      <c r="BZ10" s="966" t="str">
        <f>IS!CN9</f>
        <v>2Q17</v>
      </c>
      <c r="CA10" s="966" t="str">
        <f>IS!CO9</f>
        <v>3Q17</v>
      </c>
      <c r="CB10" s="966" t="str">
        <f>IS!CP9</f>
        <v>4Q17E</v>
      </c>
      <c r="CC10" s="965" t="str">
        <f>IS!CQ9</f>
        <v>2017E</v>
      </c>
      <c r="CD10" s="966" t="str">
        <f>IS!CR9</f>
        <v>1Q18E</v>
      </c>
      <c r="CE10" s="966" t="str">
        <f>IS!CS9</f>
        <v>2Q18E</v>
      </c>
      <c r="CF10" s="966" t="str">
        <f>IS!CT9</f>
        <v>3Q18E</v>
      </c>
      <c r="CG10" s="966" t="str">
        <f>IS!CU9</f>
        <v>4Q18E</v>
      </c>
      <c r="CH10" s="965" t="str">
        <f>IS!CV9</f>
        <v>2018E</v>
      </c>
      <c r="CI10" s="965" t="str">
        <f>IS!CW9</f>
        <v>2019E</v>
      </c>
      <c r="CJ10" s="965" t="str">
        <f>IS!CX9</f>
        <v>2020E</v>
      </c>
      <c r="CK10" s="965" t="str">
        <f>IS!CY9</f>
        <v>2021E</v>
      </c>
      <c r="CL10" s="1959"/>
      <c r="CM10" s="738"/>
      <c r="CN10" s="618"/>
      <c r="CO10" s="736"/>
    </row>
    <row r="11" spans="1:93">
      <c r="A11" s="623"/>
      <c r="B11" s="623"/>
      <c r="C11" s="623"/>
      <c r="D11" s="623"/>
      <c r="E11" s="623"/>
      <c r="F11" s="623"/>
      <c r="G11" s="623"/>
      <c r="H11" s="960"/>
      <c r="I11" s="960"/>
      <c r="J11" s="960"/>
      <c r="K11" s="960"/>
      <c r="L11" s="964"/>
      <c r="M11" s="964"/>
      <c r="N11" s="964"/>
      <c r="O11" s="964"/>
      <c r="P11" s="960"/>
      <c r="Q11" s="964"/>
      <c r="R11" s="964"/>
      <c r="S11" s="964"/>
      <c r="T11" s="964"/>
      <c r="U11" s="960"/>
      <c r="V11" s="964"/>
      <c r="W11" s="964"/>
      <c r="X11" s="964"/>
      <c r="Y11" s="964"/>
      <c r="Z11" s="960"/>
      <c r="AA11" s="744"/>
      <c r="AB11" s="744"/>
      <c r="AC11" s="744"/>
      <c r="AD11" s="744"/>
      <c r="AE11" s="960"/>
      <c r="AF11" s="963"/>
      <c r="AG11" s="962"/>
      <c r="AH11" s="962"/>
      <c r="AI11" s="962"/>
      <c r="AJ11" s="960"/>
      <c r="AK11" s="962"/>
      <c r="AL11" s="962"/>
      <c r="AM11" s="962"/>
      <c r="AN11" s="962"/>
      <c r="AO11" s="960"/>
      <c r="AP11" s="962"/>
      <c r="AQ11" s="962"/>
      <c r="AR11" s="962"/>
      <c r="AS11" s="962"/>
      <c r="AT11" s="960"/>
      <c r="AU11" s="962"/>
      <c r="AV11" s="962"/>
      <c r="AW11" s="962"/>
      <c r="AX11" s="962"/>
      <c r="AY11" s="960"/>
      <c r="AZ11" s="961"/>
      <c r="BA11" s="961"/>
      <c r="BB11" s="961"/>
      <c r="BC11" s="961"/>
      <c r="BD11" s="960"/>
      <c r="BE11" s="961"/>
      <c r="BF11" s="961"/>
      <c r="BG11" s="961"/>
      <c r="BH11" s="961"/>
      <c r="BI11" s="960"/>
      <c r="BJ11" s="961"/>
      <c r="BK11" s="961"/>
      <c r="BL11" s="961"/>
      <c r="BM11" s="961"/>
      <c r="BN11" s="960"/>
      <c r="BO11" s="961"/>
      <c r="BP11" s="961"/>
      <c r="BQ11" s="961"/>
      <c r="BR11" s="961"/>
      <c r="BS11" s="960"/>
      <c r="BT11" s="961"/>
      <c r="BU11" s="961"/>
      <c r="BV11" s="961"/>
      <c r="BW11" s="961"/>
      <c r="BX11" s="960"/>
      <c r="BY11" s="961"/>
      <c r="BZ11" s="961"/>
      <c r="CA11" s="961"/>
      <c r="CB11" s="961"/>
      <c r="CC11" s="960"/>
      <c r="CD11" s="961"/>
      <c r="CE11" s="961"/>
      <c r="CF11" s="961"/>
      <c r="CG11" s="961"/>
      <c r="CH11" s="960"/>
      <c r="CI11" s="960"/>
      <c r="CJ11" s="960"/>
      <c r="CK11" s="960"/>
      <c r="CL11" s="960"/>
      <c r="CM11" s="738"/>
      <c r="CN11" s="618"/>
      <c r="CO11" s="736"/>
    </row>
    <row r="12" spans="1:93">
      <c r="A12" s="914"/>
      <c r="B12" s="914"/>
      <c r="C12" s="914" t="s">
        <v>479</v>
      </c>
      <c r="D12" s="914"/>
      <c r="E12" s="914"/>
      <c r="F12" s="914"/>
      <c r="G12" s="914"/>
      <c r="H12" s="946">
        <v>1808</v>
      </c>
      <c r="I12" s="946">
        <v>1938</v>
      </c>
      <c r="J12" s="946">
        <v>2236</v>
      </c>
      <c r="K12" s="946">
        <v>2361</v>
      </c>
      <c r="L12" s="953">
        <v>551</v>
      </c>
      <c r="M12" s="953">
        <v>817</v>
      </c>
      <c r="N12" s="953">
        <v>693</v>
      </c>
      <c r="O12" s="953">
        <v>698</v>
      </c>
      <c r="P12" s="946">
        <v>2788</v>
      </c>
      <c r="Q12" s="953">
        <v>651</v>
      </c>
      <c r="R12" s="953">
        <v>971</v>
      </c>
      <c r="S12" s="953">
        <v>821</v>
      </c>
      <c r="T12" s="953">
        <v>626</v>
      </c>
      <c r="U12" s="946">
        <v>3069</v>
      </c>
      <c r="V12" s="951">
        <f>IS!AJ70</f>
        <v>768</v>
      </c>
      <c r="W12" s="951">
        <f>IS!AK70</f>
        <v>1103</v>
      </c>
      <c r="X12" s="951">
        <f>IS!AL70</f>
        <v>996</v>
      </c>
      <c r="Y12" s="951">
        <f>IS!AM70</f>
        <v>865</v>
      </c>
      <c r="Z12" s="946">
        <f>IS!AN70</f>
        <v>3732</v>
      </c>
      <c r="AA12" s="951">
        <f>IS!AO70</f>
        <v>819</v>
      </c>
      <c r="AB12" s="951">
        <f>IS!AP70</f>
        <v>1148</v>
      </c>
      <c r="AC12" s="951">
        <f>IS!AQ70</f>
        <v>1197</v>
      </c>
      <c r="AD12" s="951">
        <f>IS!AR70</f>
        <v>1060</v>
      </c>
      <c r="AE12" s="946">
        <f>IS!AS70</f>
        <v>4224</v>
      </c>
      <c r="AF12" s="951">
        <f>IS!AT70</f>
        <v>1000</v>
      </c>
      <c r="AG12" s="951">
        <f>IS!AU70</f>
        <v>1275</v>
      </c>
      <c r="AH12" s="951">
        <f>IS!AV70</f>
        <v>1269</v>
      </c>
      <c r="AI12" s="951">
        <f>IS!AW70</f>
        <v>1145</v>
      </c>
      <c r="AJ12" s="946">
        <f>IS!AX70</f>
        <v>4689</v>
      </c>
      <c r="AK12" s="951">
        <f>IS!AY70</f>
        <v>724.88499999999999</v>
      </c>
      <c r="AL12" s="951">
        <f>IS!AZ70</f>
        <v>973.6099999999999</v>
      </c>
      <c r="AM12" s="951">
        <f>IS!BA70</f>
        <v>1057.33</v>
      </c>
      <c r="AN12" s="951">
        <f>IS!BB70</f>
        <v>1073.4100000000001</v>
      </c>
      <c r="AO12" s="946">
        <f>IS!BC70</f>
        <v>3829.2349999999997</v>
      </c>
      <c r="AP12" s="951">
        <f>IS!BD70</f>
        <v>866</v>
      </c>
      <c r="AQ12" s="951">
        <f>IS!BE70</f>
        <v>1110</v>
      </c>
      <c r="AR12" s="951">
        <f>IS!BF70</f>
        <v>1198</v>
      </c>
      <c r="AS12" s="951">
        <f>IS!BG70</f>
        <v>1199</v>
      </c>
      <c r="AT12" s="946">
        <f>IS!BH70</f>
        <v>4373</v>
      </c>
      <c r="AU12" s="951">
        <f>IS!BI70</f>
        <v>971</v>
      </c>
      <c r="AV12" s="951">
        <f>IS!BJ70</f>
        <v>1285</v>
      </c>
      <c r="AW12" s="951">
        <f>IS!BK70</f>
        <v>1287</v>
      </c>
      <c r="AX12" s="951">
        <f>IS!BL70</f>
        <v>1278</v>
      </c>
      <c r="AY12" s="946">
        <f>IS!BM70</f>
        <v>4821</v>
      </c>
      <c r="AZ12" s="951">
        <f>IS!BN70</f>
        <v>1187</v>
      </c>
      <c r="BA12" s="951">
        <f>IS!BO70</f>
        <v>1464</v>
      </c>
      <c r="BB12" s="951">
        <f>IS!BP70</f>
        <v>1245</v>
      </c>
      <c r="BC12" s="951">
        <f>IS!BQ70</f>
        <v>944</v>
      </c>
      <c r="BD12" s="946">
        <f>IS!BR70</f>
        <v>4840</v>
      </c>
      <c r="BE12" s="951">
        <f>IS!BS70</f>
        <v>1270</v>
      </c>
      <c r="BF12" s="951">
        <f>IS!BT70</f>
        <v>1552</v>
      </c>
      <c r="BG12" s="951">
        <f>IS!BU70</f>
        <v>1415</v>
      </c>
      <c r="BH12" s="951">
        <f>IS!BV70</f>
        <v>1449</v>
      </c>
      <c r="BI12" s="946">
        <f>IS!BW70</f>
        <v>5686</v>
      </c>
      <c r="BJ12" s="951">
        <f>IS!BX70</f>
        <v>1213</v>
      </c>
      <c r="BK12" s="951">
        <f>IS!BY70</f>
        <v>1680</v>
      </c>
      <c r="BL12" s="951">
        <f>IS!BZ70</f>
        <v>1854</v>
      </c>
      <c r="BM12" s="951">
        <f>IS!CA70</f>
        <v>1473</v>
      </c>
      <c r="BN12" s="946">
        <f>IS!CB70</f>
        <v>6220</v>
      </c>
      <c r="BO12" s="951">
        <f>IS!CC70</f>
        <v>1366.74</v>
      </c>
      <c r="BP12" s="951">
        <f>IS!CD70</f>
        <v>1467.26</v>
      </c>
      <c r="BQ12" s="951">
        <f>IS!CE70</f>
        <v>1426</v>
      </c>
      <c r="BR12" s="951">
        <f>IS!CF70</f>
        <v>-256</v>
      </c>
      <c r="BS12" s="946">
        <f>IS!CG70</f>
        <v>4004</v>
      </c>
      <c r="BT12" s="951">
        <f>IS!CH70</f>
        <v>1180</v>
      </c>
      <c r="BU12" s="951">
        <f>IS!CI70</f>
        <v>1420</v>
      </c>
      <c r="BV12" s="951">
        <f>IS!CJ70</f>
        <v>1443</v>
      </c>
      <c r="BW12" s="951">
        <f>IS!CK70</f>
        <v>1024</v>
      </c>
      <c r="BX12" s="946">
        <f>IS!CL70</f>
        <v>5067</v>
      </c>
      <c r="BY12" s="951">
        <f>IS!CM70</f>
        <v>1386</v>
      </c>
      <c r="BZ12" s="951">
        <f>IS!CN70</f>
        <v>1439</v>
      </c>
      <c r="CA12" s="951">
        <f>IS!CO70</f>
        <v>1330</v>
      </c>
      <c r="CB12" s="951">
        <f>IS!CP70</f>
        <v>1173.1273385718785</v>
      </c>
      <c r="CC12" s="946">
        <f>IS!CQ70</f>
        <v>5328.1273385718787</v>
      </c>
      <c r="CD12" s="951">
        <f>IS!CR70</f>
        <v>1147.2017145623613</v>
      </c>
      <c r="CE12" s="951">
        <f>IS!CS70</f>
        <v>1433.7008932812248</v>
      </c>
      <c r="CF12" s="951">
        <f>IS!CT70</f>
        <v>1450.6456440317102</v>
      </c>
      <c r="CG12" s="951">
        <f>IS!CU70</f>
        <v>1296.6699180588207</v>
      </c>
      <c r="CH12" s="2086">
        <f>IS!CV70</f>
        <v>5328.1420532696857</v>
      </c>
      <c r="CI12" s="2078">
        <f>IS!CW70</f>
        <v>6072.9286860348584</v>
      </c>
      <c r="CJ12" s="2078">
        <f>IS!CX70</f>
        <v>6681.6253804822582</v>
      </c>
      <c r="CK12" s="2078">
        <f>IS!CY70</f>
        <v>7039.3756535457005</v>
      </c>
      <c r="CL12" s="946"/>
      <c r="CM12" s="907"/>
      <c r="CN12" s="906"/>
      <c r="CO12" s="905"/>
    </row>
    <row r="13" spans="1:93">
      <c r="A13" s="924"/>
      <c r="B13" s="954" t="s">
        <v>364</v>
      </c>
      <c r="C13" s="924" t="s">
        <v>224</v>
      </c>
      <c r="D13" s="924"/>
      <c r="E13" s="924"/>
      <c r="F13" s="958"/>
      <c r="G13" s="958"/>
      <c r="H13" s="959">
        <v>859</v>
      </c>
      <c r="I13" s="959">
        <v>905</v>
      </c>
      <c r="J13" s="959">
        <v>727</v>
      </c>
      <c r="K13" s="959">
        <v>799</v>
      </c>
      <c r="L13" s="810">
        <v>262</v>
      </c>
      <c r="M13" s="810">
        <v>252</v>
      </c>
      <c r="N13" s="810">
        <v>230</v>
      </c>
      <c r="O13" s="810">
        <v>234</v>
      </c>
      <c r="P13" s="959">
        <v>978</v>
      </c>
      <c r="Q13" s="950">
        <v>226</v>
      </c>
      <c r="R13" s="950">
        <v>237</v>
      </c>
      <c r="S13" s="950">
        <v>265</v>
      </c>
      <c r="T13" s="950">
        <v>256</v>
      </c>
      <c r="U13" s="959">
        <v>984</v>
      </c>
      <c r="V13" s="955">
        <v>264</v>
      </c>
      <c r="W13" s="955">
        <v>256</v>
      </c>
      <c r="X13" s="955">
        <v>252</v>
      </c>
      <c r="Y13" s="955">
        <v>261</v>
      </c>
      <c r="Z13" s="959">
        <v>1033</v>
      </c>
      <c r="AA13" s="955">
        <v>278</v>
      </c>
      <c r="AB13" s="955">
        <f>555-AA13</f>
        <v>277</v>
      </c>
      <c r="AC13" s="955">
        <v>308</v>
      </c>
      <c r="AD13" s="955">
        <v>310</v>
      </c>
      <c r="AE13" s="959">
        <v>1173</v>
      </c>
      <c r="AF13" s="955">
        <v>319</v>
      </c>
      <c r="AG13" s="955">
        <v>326</v>
      </c>
      <c r="AH13" s="955">
        <v>326</v>
      </c>
      <c r="AI13" s="955">
        <v>350</v>
      </c>
      <c r="AJ13" s="959">
        <f>SUM(AF13:AI13)</f>
        <v>1321</v>
      </c>
      <c r="AK13" s="955">
        <v>306</v>
      </c>
      <c r="AL13" s="955">
        <v>303</v>
      </c>
      <c r="AM13" s="955">
        <v>316</v>
      </c>
      <c r="AN13" s="955">
        <v>333</v>
      </c>
      <c r="AO13" s="959">
        <f>SUM(AK13:AN13)</f>
        <v>1258</v>
      </c>
      <c r="AP13" s="955">
        <v>327</v>
      </c>
      <c r="AQ13" s="955">
        <f>666-AP13</f>
        <v>339</v>
      </c>
      <c r="AR13" s="955">
        <f>1008-AQ13-AP13</f>
        <v>342</v>
      </c>
      <c r="AS13" s="955">
        <v>348</v>
      </c>
      <c r="AT13" s="959">
        <f>SUM(AP13:AS13)</f>
        <v>1356</v>
      </c>
      <c r="AU13" s="955">
        <v>316</v>
      </c>
      <c r="AV13" s="955">
        <f>638-AU13</f>
        <v>322</v>
      </c>
      <c r="AW13" s="955">
        <f>962-AU13-AV13</f>
        <v>324</v>
      </c>
      <c r="AX13" s="955">
        <f>1263-AU13-AV13-AW13</f>
        <v>301</v>
      </c>
      <c r="AY13" s="959">
        <f t="shared" ref="AY13:AY20" si="0">SUM(AU13:AX13)</f>
        <v>1263</v>
      </c>
      <c r="AZ13" s="955">
        <v>320</v>
      </c>
      <c r="BA13" s="955">
        <f>625-AZ13</f>
        <v>305</v>
      </c>
      <c r="BB13" s="955">
        <f>1047-AZ13-BA13</f>
        <v>422</v>
      </c>
      <c r="BC13" s="955">
        <f>1524-BB13-BA13-AZ13</f>
        <v>477</v>
      </c>
      <c r="BD13" s="959">
        <f t="shared" ref="BD13:BD20" si="1">SUM(AZ13:BC13)</f>
        <v>1524</v>
      </c>
      <c r="BE13" s="955">
        <v>444</v>
      </c>
      <c r="BF13" s="955">
        <f>883-BE13</f>
        <v>439</v>
      </c>
      <c r="BG13" s="955">
        <f>1335-SUM(BE13:BF13)</f>
        <v>452</v>
      </c>
      <c r="BH13" s="955">
        <v>486</v>
      </c>
      <c r="BI13" s="959">
        <f>SUM(BE13:BH13)</f>
        <v>1821</v>
      </c>
      <c r="BJ13" s="955">
        <v>467</v>
      </c>
      <c r="BK13" s="955">
        <v>468</v>
      </c>
      <c r="BL13" s="955">
        <v>483</v>
      </c>
      <c r="BM13" s="956">
        <v>489</v>
      </c>
      <c r="BN13" s="959">
        <f t="shared" ref="BN13:BN20" si="2">SUM(BJ13:BM13)</f>
        <v>1907</v>
      </c>
      <c r="BO13" s="955">
        <v>457.10769910079182</v>
      </c>
      <c r="BP13" s="955">
        <f>1401-BQ13-BO13</f>
        <v>457.89230089920818</v>
      </c>
      <c r="BQ13" s="955">
        <v>486</v>
      </c>
      <c r="BR13" s="955">
        <v>462</v>
      </c>
      <c r="BS13" s="959">
        <f t="shared" ref="BS13:BS20" si="3">SUM(BO13:BR13)</f>
        <v>1863</v>
      </c>
      <c r="BT13" s="955">
        <v>466</v>
      </c>
      <c r="BU13" s="955">
        <f>494</f>
        <v>494</v>
      </c>
      <c r="BV13" s="955">
        <f>496</f>
        <v>496</v>
      </c>
      <c r="BW13" s="955">
        <v>506</v>
      </c>
      <c r="BX13" s="959">
        <f>'Divisional Summary'!CL75</f>
        <v>1962</v>
      </c>
      <c r="BY13" s="2288">
        <v>512</v>
      </c>
      <c r="BZ13" s="2288">
        <v>527</v>
      </c>
      <c r="CA13" s="2288">
        <f>543</f>
        <v>543</v>
      </c>
      <c r="CB13" s="955">
        <f>'Divisional Summary'!CP75</f>
        <v>520.11578397840003</v>
      </c>
      <c r="CC13" s="959">
        <f>'Divisional Summary'!CQ75</f>
        <v>2102.1157839784</v>
      </c>
      <c r="CD13" s="955">
        <f>'Divisional Summary'!CR75</f>
        <v>543.5908542005468</v>
      </c>
      <c r="CE13" s="955">
        <f>'Divisional Summary'!CS75</f>
        <v>543.5908542005468</v>
      </c>
      <c r="CF13" s="955">
        <f>'Divisional Summary'!CT75</f>
        <v>543.5908542005468</v>
      </c>
      <c r="CG13" s="955">
        <f>'Divisional Summary'!CU75</f>
        <v>494.32194495158967</v>
      </c>
      <c r="CH13" s="2087">
        <f>'Divisional Summary'!CV75</f>
        <v>2125.09450755323</v>
      </c>
      <c r="CI13" s="959">
        <f>'Divisional Summary'!CW75</f>
        <v>2120.4848446520627</v>
      </c>
      <c r="CJ13" s="959">
        <f>'Divisional Summary'!CX75</f>
        <v>2116.7573284030182</v>
      </c>
      <c r="CK13" s="959">
        <f>'Divisional Summary'!CY75</f>
        <v>2122.2463536474265</v>
      </c>
      <c r="CL13" s="959"/>
      <c r="CM13" s="917"/>
      <c r="CN13" s="916"/>
      <c r="CO13" s="915"/>
    </row>
    <row r="14" spans="1:93">
      <c r="A14" s="924"/>
      <c r="B14" s="954"/>
      <c r="C14" s="924" t="s">
        <v>478</v>
      </c>
      <c r="D14" s="924"/>
      <c r="E14" s="924"/>
      <c r="F14" s="958"/>
      <c r="G14" s="958"/>
      <c r="H14" s="757">
        <v>97</v>
      </c>
      <c r="I14" s="757">
        <v>114</v>
      </c>
      <c r="J14" s="757">
        <v>153</v>
      </c>
      <c r="K14" s="757">
        <v>168</v>
      </c>
      <c r="L14" s="810">
        <v>52</v>
      </c>
      <c r="M14" s="810">
        <v>61</v>
      </c>
      <c r="N14" s="810">
        <v>61</v>
      </c>
      <c r="O14" s="810">
        <v>60</v>
      </c>
      <c r="P14" s="757">
        <v>234</v>
      </c>
      <c r="Q14" s="950">
        <v>0</v>
      </c>
      <c r="R14" s="950">
        <v>0</v>
      </c>
      <c r="S14" s="950">
        <v>0</v>
      </c>
      <c r="T14" s="950">
        <v>0</v>
      </c>
      <c r="U14" s="757">
        <v>0</v>
      </c>
      <c r="V14" s="955">
        <v>53</v>
      </c>
      <c r="W14" s="955">
        <f>121-V14</f>
        <v>68</v>
      </c>
      <c r="X14" s="955">
        <f>193-W14-V14</f>
        <v>72</v>
      </c>
      <c r="Y14" s="758">
        <f>Z14-SUM(V14:X14)</f>
        <v>73</v>
      </c>
      <c r="Z14" s="757">
        <v>266</v>
      </c>
      <c r="AA14" s="955">
        <v>93</v>
      </c>
      <c r="AB14" s="955">
        <f>168-AA14</f>
        <v>75</v>
      </c>
      <c r="AC14" s="955">
        <f>246-AB14-AA14</f>
        <v>78</v>
      </c>
      <c r="AD14" s="955">
        <f>AE14-AC14-AB14-AA14</f>
        <v>78</v>
      </c>
      <c r="AE14" s="757">
        <v>324</v>
      </c>
      <c r="AF14" s="955">
        <v>79</v>
      </c>
      <c r="AG14" s="955">
        <f>179-AF14</f>
        <v>100</v>
      </c>
      <c r="AH14" s="955">
        <f>280-AF14-AG14</f>
        <v>101</v>
      </c>
      <c r="AI14" s="955">
        <v>84</v>
      </c>
      <c r="AJ14" s="757">
        <f>SUM(AF14:AI14)</f>
        <v>364</v>
      </c>
      <c r="AK14" s="955">
        <v>77</v>
      </c>
      <c r="AL14" s="955">
        <v>90</v>
      </c>
      <c r="AM14" s="955">
        <v>87</v>
      </c>
      <c r="AN14" s="955">
        <v>96</v>
      </c>
      <c r="AO14" s="757">
        <f>SUM(AK14:AN14)</f>
        <v>350</v>
      </c>
      <c r="AP14" s="955">
        <v>81</v>
      </c>
      <c r="AQ14" s="955">
        <f>183-AP14</f>
        <v>102</v>
      </c>
      <c r="AR14" s="955">
        <f>284-AQ14-AP14</f>
        <v>101</v>
      </c>
      <c r="AS14" s="955">
        <v>54</v>
      </c>
      <c r="AT14" s="757">
        <f>SUM(AP14:AS14)</f>
        <v>338</v>
      </c>
      <c r="AU14" s="955">
        <f>-IS!BI68</f>
        <v>89</v>
      </c>
      <c r="AV14" s="955">
        <f>-IS!BJ68</f>
        <v>112</v>
      </c>
      <c r="AW14" s="955">
        <f>-IS!BK68</f>
        <v>97</v>
      </c>
      <c r="AX14" s="955">
        <f>-IS!BL68</f>
        <v>97</v>
      </c>
      <c r="AY14" s="757">
        <f t="shared" si="0"/>
        <v>395</v>
      </c>
      <c r="AZ14" s="955">
        <f>-IS!BN68</f>
        <v>77</v>
      </c>
      <c r="BA14" s="955">
        <f>-IS!BO68</f>
        <v>94</v>
      </c>
      <c r="BB14" s="955">
        <f>-IS!BP68</f>
        <v>96</v>
      </c>
      <c r="BC14" s="955">
        <f>-IS!BQ68</f>
        <v>93</v>
      </c>
      <c r="BD14" s="757">
        <f t="shared" si="1"/>
        <v>360</v>
      </c>
      <c r="BE14" s="955">
        <f>-IS!BS68</f>
        <v>82</v>
      </c>
      <c r="BF14" s="955">
        <f>-IS!BT68</f>
        <v>93</v>
      </c>
      <c r="BG14" s="955">
        <f>216-SUM(BE14:BF14)</f>
        <v>41</v>
      </c>
      <c r="BH14" s="955">
        <v>59</v>
      </c>
      <c r="BI14" s="757">
        <f>SUM(BE14:BH14)</f>
        <v>275</v>
      </c>
      <c r="BJ14" s="955">
        <f>-IS!BX68</f>
        <v>93</v>
      </c>
      <c r="BK14" s="955">
        <f>-IS!BY68</f>
        <v>110</v>
      </c>
      <c r="BL14" s="955">
        <f>-IS!BZ68</f>
        <v>98</v>
      </c>
      <c r="BM14" s="955">
        <f>-IS!CA68</f>
        <v>102</v>
      </c>
      <c r="BN14" s="757">
        <f t="shared" si="2"/>
        <v>403</v>
      </c>
      <c r="BO14" s="955">
        <f>-IS!CC68</f>
        <v>72</v>
      </c>
      <c r="BP14" s="955">
        <f>-IS!CD68</f>
        <v>109</v>
      </c>
      <c r="BQ14" s="955">
        <f>-IS!CE68</f>
        <v>100</v>
      </c>
      <c r="BR14" s="955">
        <f>-IS!CF68</f>
        <v>79</v>
      </c>
      <c r="BS14" s="757">
        <f t="shared" si="3"/>
        <v>360</v>
      </c>
      <c r="BT14" s="955">
        <f>-IS!CH68</f>
        <v>81</v>
      </c>
      <c r="BU14" s="955">
        <f>-IS!CI68</f>
        <v>99</v>
      </c>
      <c r="BV14" s="955">
        <f>-IS!CJ68</f>
        <v>91</v>
      </c>
      <c r="BW14" s="955">
        <f>-IS!CK68</f>
        <v>100</v>
      </c>
      <c r="BX14" s="2072">
        <f t="shared" ref="BX14:BX20" si="4">SUM(BT14:BW14)</f>
        <v>371</v>
      </c>
      <c r="BY14" s="955">
        <f>-IS!CM68</f>
        <v>82</v>
      </c>
      <c r="BZ14" s="955">
        <f>-IS!CN68</f>
        <v>93</v>
      </c>
      <c r="CA14" s="955">
        <f>-IS!CO68</f>
        <v>104</v>
      </c>
      <c r="CB14" s="955">
        <f>-IS!CP68</f>
        <v>96.979185390892525</v>
      </c>
      <c r="CC14" s="2072">
        <f t="shared" ref="CC14" si="5">SUM(BY14:CB14)</f>
        <v>375.97918539089255</v>
      </c>
      <c r="CD14" s="955">
        <f>-IS!CR68</f>
        <v>84.452178034080163</v>
      </c>
      <c r="CE14" s="955">
        <f>-IS!CS68</f>
        <v>95.630842300158534</v>
      </c>
      <c r="CF14" s="955">
        <f>-IS!CT68</f>
        <v>108.51710420381875</v>
      </c>
      <c r="CG14" s="955">
        <f>-IS!CU68</f>
        <v>96.642357678058886</v>
      </c>
      <c r="CH14" s="2088">
        <f>-IS!CV68</f>
        <v>385.31859888055311</v>
      </c>
      <c r="CI14" s="2072">
        <f>-IS!CW68</f>
        <v>397.88287125568939</v>
      </c>
      <c r="CJ14" s="2072">
        <f>-IS!CX68</f>
        <v>411.38777822226632</v>
      </c>
      <c r="CK14" s="2072">
        <f>-IS!CY68</f>
        <v>416.85636494069911</v>
      </c>
      <c r="CL14" s="757"/>
      <c r="CM14" s="917"/>
      <c r="CN14" s="916"/>
      <c r="CO14" s="915"/>
    </row>
    <row r="15" spans="1:93">
      <c r="A15" s="924"/>
      <c r="B15" s="954"/>
      <c r="C15" s="924" t="s">
        <v>477</v>
      </c>
      <c r="D15" s="924"/>
      <c r="E15" s="924"/>
      <c r="F15" s="958"/>
      <c r="G15" s="958"/>
      <c r="H15" s="757">
        <v>0</v>
      </c>
      <c r="I15" s="757">
        <v>0</v>
      </c>
      <c r="J15" s="757">
        <v>0</v>
      </c>
      <c r="K15" s="757">
        <v>0</v>
      </c>
      <c r="L15" s="810">
        <v>0</v>
      </c>
      <c r="M15" s="810">
        <v>0</v>
      </c>
      <c r="N15" s="810">
        <v>0</v>
      </c>
      <c r="O15" s="810">
        <v>0</v>
      </c>
      <c r="P15" s="757">
        <v>0</v>
      </c>
      <c r="Q15" s="950">
        <v>0</v>
      </c>
      <c r="R15" s="950">
        <v>0</v>
      </c>
      <c r="S15" s="950">
        <v>0</v>
      </c>
      <c r="T15" s="810">
        <v>0</v>
      </c>
      <c r="U15" s="757">
        <v>0</v>
      </c>
      <c r="V15" s="955">
        <f>U15</f>
        <v>0</v>
      </c>
      <c r="W15" s="955">
        <f>V15</f>
        <v>0</v>
      </c>
      <c r="X15" s="955">
        <f>W15</f>
        <v>0</v>
      </c>
      <c r="Y15" s="758">
        <v>0</v>
      </c>
      <c r="Z15" s="757">
        <f>SUM(V15:Y15)</f>
        <v>0</v>
      </c>
      <c r="AA15" s="955">
        <v>0</v>
      </c>
      <c r="AB15" s="955">
        <f>AA15</f>
        <v>0</v>
      </c>
      <c r="AC15" s="955">
        <f>AB15</f>
        <v>0</v>
      </c>
      <c r="AD15" s="758">
        <v>0</v>
      </c>
      <c r="AE15" s="757">
        <f>SUM(AA15:AD15)</f>
        <v>0</v>
      </c>
      <c r="AF15" s="955">
        <v>0</v>
      </c>
      <c r="AG15" s="955">
        <v>0</v>
      </c>
      <c r="AH15" s="955">
        <v>0</v>
      </c>
      <c r="AI15" s="758">
        <v>0</v>
      </c>
      <c r="AJ15" s="757">
        <f>SUM(AF15:AI15)</f>
        <v>0</v>
      </c>
      <c r="AK15" s="955">
        <v>0</v>
      </c>
      <c r="AL15" s="955">
        <v>0</v>
      </c>
      <c r="AM15" s="955">
        <v>0</v>
      </c>
      <c r="AN15" s="758">
        <v>0</v>
      </c>
      <c r="AO15" s="757">
        <f>SUM(AK15:AN15)</f>
        <v>0</v>
      </c>
      <c r="AP15" s="955">
        <v>0</v>
      </c>
      <c r="AQ15" s="955">
        <v>0</v>
      </c>
      <c r="AR15" s="955">
        <v>0</v>
      </c>
      <c r="AS15" s="758">
        <v>0</v>
      </c>
      <c r="AT15" s="757">
        <v>0</v>
      </c>
      <c r="AU15" s="955">
        <v>0</v>
      </c>
      <c r="AV15" s="955">
        <f>AU15</f>
        <v>0</v>
      </c>
      <c r="AW15" s="955">
        <f>0-AU15-AV15</f>
        <v>0</v>
      </c>
      <c r="AX15" s="758">
        <f>0-AU15-AV15-AW15</f>
        <v>0</v>
      </c>
      <c r="AY15" s="757">
        <f t="shared" si="0"/>
        <v>0</v>
      </c>
      <c r="AZ15" s="955">
        <v>0</v>
      </c>
      <c r="BA15" s="955">
        <f>0-AZ15</f>
        <v>0</v>
      </c>
      <c r="BB15" s="955">
        <f>0-AZ15-BA15</f>
        <v>0</v>
      </c>
      <c r="BC15" s="758">
        <f>0-AZ15-BA15-BB15</f>
        <v>0</v>
      </c>
      <c r="BD15" s="757">
        <f t="shared" si="1"/>
        <v>0</v>
      </c>
      <c r="BE15" s="758">
        <v>0</v>
      </c>
      <c r="BF15" s="758">
        <v>0</v>
      </c>
      <c r="BG15" s="758"/>
      <c r="BH15" s="758">
        <v>0</v>
      </c>
      <c r="BI15" s="757">
        <f>SUM(BE15:BH15)</f>
        <v>0</v>
      </c>
      <c r="BJ15" s="758">
        <v>0</v>
      </c>
      <c r="BK15" s="758">
        <v>0</v>
      </c>
      <c r="BL15" s="758">
        <v>0</v>
      </c>
      <c r="BM15" s="758">
        <v>0</v>
      </c>
      <c r="BN15" s="757">
        <f t="shared" si="2"/>
        <v>0</v>
      </c>
      <c r="BO15" s="758">
        <v>0</v>
      </c>
      <c r="BP15" s="758">
        <v>0</v>
      </c>
      <c r="BQ15" s="758">
        <v>0</v>
      </c>
      <c r="BR15" s="758">
        <v>0</v>
      </c>
      <c r="BS15" s="757">
        <f t="shared" si="3"/>
        <v>0</v>
      </c>
      <c r="BT15" s="758">
        <v>0</v>
      </c>
      <c r="BU15" s="758">
        <v>0</v>
      </c>
      <c r="BV15" s="758">
        <v>0</v>
      </c>
      <c r="BW15" s="758">
        <v>0</v>
      </c>
      <c r="BX15" s="2072">
        <f t="shared" si="4"/>
        <v>0</v>
      </c>
      <c r="BY15" s="758">
        <v>0</v>
      </c>
      <c r="BZ15" s="758">
        <v>0</v>
      </c>
      <c r="CA15" s="758">
        <v>0</v>
      </c>
      <c r="CB15" s="758">
        <v>0</v>
      </c>
      <c r="CC15" s="757">
        <f>BX15</f>
        <v>0</v>
      </c>
      <c r="CD15" s="758">
        <v>0</v>
      </c>
      <c r="CE15" s="758">
        <v>0</v>
      </c>
      <c r="CF15" s="758">
        <v>0</v>
      </c>
      <c r="CG15" s="758">
        <v>0</v>
      </c>
      <c r="CH15" s="2088">
        <f>CC15</f>
        <v>0</v>
      </c>
      <c r="CI15" s="757">
        <f>CH15</f>
        <v>0</v>
      </c>
      <c r="CJ15" s="2072">
        <f>CI15</f>
        <v>0</v>
      </c>
      <c r="CK15" s="2072">
        <f>CJ15</f>
        <v>0</v>
      </c>
      <c r="CL15" s="757"/>
      <c r="CM15" s="917"/>
      <c r="CN15" s="916"/>
      <c r="CO15" s="915"/>
    </row>
    <row r="16" spans="1:93">
      <c r="A16" s="924"/>
      <c r="B16" s="954"/>
      <c r="C16" s="924" t="s">
        <v>476</v>
      </c>
      <c r="D16" s="924"/>
      <c r="E16" s="924"/>
      <c r="F16" s="958"/>
      <c r="G16" s="958"/>
      <c r="H16" s="757">
        <v>108</v>
      </c>
      <c r="I16" s="757">
        <v>-5</v>
      </c>
      <c r="J16" s="757">
        <v>318</v>
      </c>
      <c r="K16" s="757">
        <v>254</v>
      </c>
      <c r="L16" s="810">
        <v>19</v>
      </c>
      <c r="M16" s="810">
        <v>142</v>
      </c>
      <c r="N16" s="810">
        <v>106</v>
      </c>
      <c r="O16" s="810">
        <v>-58</v>
      </c>
      <c r="P16" s="757">
        <v>209</v>
      </c>
      <c r="Q16" s="957">
        <v>38</v>
      </c>
      <c r="R16" s="957">
        <v>156</v>
      </c>
      <c r="S16" s="957">
        <v>19</v>
      </c>
      <c r="T16" s="957">
        <v>112</v>
      </c>
      <c r="U16" s="757">
        <v>529</v>
      </c>
      <c r="V16" s="955">
        <v>-21</v>
      </c>
      <c r="W16" s="955">
        <f>-1-V16</f>
        <v>20</v>
      </c>
      <c r="X16" s="955">
        <f>16-W16-V16</f>
        <v>17</v>
      </c>
      <c r="Y16" s="758">
        <f>Z16-V16-W16-X16</f>
        <v>-230</v>
      </c>
      <c r="Z16" s="757">
        <v>-214</v>
      </c>
      <c r="AA16" s="955">
        <v>-150</v>
      </c>
      <c r="AB16" s="955">
        <f>-160-AA16</f>
        <v>-10</v>
      </c>
      <c r="AC16" s="955">
        <f>-148-AB16-AA16</f>
        <v>12</v>
      </c>
      <c r="AD16" s="955">
        <f>AE16-AC16-AB16-AA16</f>
        <v>206</v>
      </c>
      <c r="AE16" s="757">
        <v>58</v>
      </c>
      <c r="AF16" s="955">
        <v>-38</v>
      </c>
      <c r="AG16" s="955">
        <f>-133-AF16</f>
        <v>-95</v>
      </c>
      <c r="AH16" s="955">
        <f>-143-AF16-AG16</f>
        <v>-10</v>
      </c>
      <c r="AI16" s="955">
        <f>AJ16-AF16-AG16-AH16</f>
        <v>188</v>
      </c>
      <c r="AJ16" s="757">
        <v>45</v>
      </c>
      <c r="AK16" s="955">
        <v>14</v>
      </c>
      <c r="AL16" s="955">
        <v>9</v>
      </c>
      <c r="AM16" s="955">
        <v>13</v>
      </c>
      <c r="AN16" s="955">
        <v>415</v>
      </c>
      <c r="AO16" s="757">
        <f>SUM(AK16:AN16)</f>
        <v>451</v>
      </c>
      <c r="AP16" s="955">
        <v>-59</v>
      </c>
      <c r="AQ16" s="955">
        <f>-128-AP16</f>
        <v>-69</v>
      </c>
      <c r="AR16" s="955">
        <f>-123-AQ16-AP16</f>
        <v>5</v>
      </c>
      <c r="AS16" s="955">
        <v>536</v>
      </c>
      <c r="AT16" s="757">
        <f>SUM(AP16:AS16)</f>
        <v>413</v>
      </c>
      <c r="AU16" s="955">
        <v>122</v>
      </c>
      <c r="AV16" s="955">
        <f>289-AU16</f>
        <v>167</v>
      </c>
      <c r="AW16" s="955">
        <f>337-AU16-AV16</f>
        <v>48</v>
      </c>
      <c r="AX16" s="955">
        <f>334-AU16-AV16-AW16</f>
        <v>-3</v>
      </c>
      <c r="AY16" s="757">
        <f t="shared" si="0"/>
        <v>334</v>
      </c>
      <c r="AZ16" s="955">
        <v>159</v>
      </c>
      <c r="BA16" s="955">
        <f>11-AZ16</f>
        <v>-148</v>
      </c>
      <c r="BB16" s="955">
        <f>29-AZ16-BA16</f>
        <v>18</v>
      </c>
      <c r="BC16" s="955">
        <f>120-BB16-BA16-AZ16</f>
        <v>91</v>
      </c>
      <c r="BD16" s="757">
        <f t="shared" si="1"/>
        <v>120</v>
      </c>
      <c r="BE16" s="955">
        <v>-40</v>
      </c>
      <c r="BF16" s="955">
        <f>10-BE16</f>
        <v>50</v>
      </c>
      <c r="BG16" s="955">
        <f>13-SUM(BE16:BF16)</f>
        <v>3</v>
      </c>
      <c r="BH16" s="955">
        <v>228</v>
      </c>
      <c r="BI16" s="757">
        <f>SUM(BE16:BH16)</f>
        <v>241</v>
      </c>
      <c r="BJ16" s="955">
        <v>44</v>
      </c>
      <c r="BK16" s="955">
        <v>-8</v>
      </c>
      <c r="BL16" s="955">
        <v>82</v>
      </c>
      <c r="BM16" s="956">
        <v>258</v>
      </c>
      <c r="BN16" s="757">
        <f t="shared" si="2"/>
        <v>376</v>
      </c>
      <c r="BO16" s="955">
        <v>145</v>
      </c>
      <c r="BP16" s="955">
        <v>180</v>
      </c>
      <c r="BQ16" s="955">
        <f>109</f>
        <v>109</v>
      </c>
      <c r="BR16" s="955">
        <v>218</v>
      </c>
      <c r="BS16" s="757">
        <f t="shared" si="3"/>
        <v>652</v>
      </c>
      <c r="BT16" s="955">
        <v>134</v>
      </c>
      <c r="BU16" s="955">
        <v>74</v>
      </c>
      <c r="BV16" s="955">
        <v>53</v>
      </c>
      <c r="BW16" s="955">
        <v>125</v>
      </c>
      <c r="BX16" s="2072">
        <f t="shared" si="4"/>
        <v>386</v>
      </c>
      <c r="BY16" s="2288">
        <v>109</v>
      </c>
      <c r="BZ16" s="2288">
        <f>502-BY16</f>
        <v>393</v>
      </c>
      <c r="CA16" s="2288">
        <v>222</v>
      </c>
      <c r="CB16" s="955">
        <f>(BS!CB17+BS!CB24-BS!CB44)-(BS!CC17+BS!CC24-BS!CC44)</f>
        <v>0</v>
      </c>
      <c r="CC16" s="757">
        <f>SUM(BY16:CB16)</f>
        <v>724</v>
      </c>
      <c r="CD16" s="955">
        <f>(BS!CD17+BS!CD24-BS!CD44)-(BS!CE17+BS!CE24-BS!CE44)</f>
        <v>0</v>
      </c>
      <c r="CE16" s="955">
        <f>(BS!CE17+BS!CE24-BS!CE44)-(BS!CF17+BS!CF24-BS!CF44)</f>
        <v>0</v>
      </c>
      <c r="CF16" s="955">
        <f>(BS!CF17+BS!CF24-BS!CF44)-(BS!CG17+BS!CG24-BS!CG44)</f>
        <v>0</v>
      </c>
      <c r="CG16" s="955">
        <f>(BS!CG17+BS!CG24-BS!CG44)-(BS!CH17+BS!CH24-BS!CH44)</f>
        <v>0</v>
      </c>
      <c r="CH16" s="2088">
        <f>(BS!CD17+BS!CD24-BS!CD44)-(BS!CI17+BS!CI24-BS!CI44)</f>
        <v>0</v>
      </c>
      <c r="CI16" s="757">
        <f>(BS!CI17+BS!CI24-BS!CI44)-(BS!CJ17+BS!CJ24-BS!CJ44)</f>
        <v>0</v>
      </c>
      <c r="CJ16" s="2072">
        <f>(BS!CJ17+BS!CJ24-BS!CJ44)-(BS!CK17+BS!CK24-BS!CK44)</f>
        <v>0</v>
      </c>
      <c r="CK16" s="2072">
        <f>(BS!CK17+BS!CK24-BS!CK44)-(BS!CL17+BS!CL24-BS!CL44)</f>
        <v>0</v>
      </c>
      <c r="CL16" s="757"/>
      <c r="CM16" s="917"/>
      <c r="CN16" s="916"/>
      <c r="CO16" s="915"/>
    </row>
    <row r="17" spans="1:99">
      <c r="A17" s="924"/>
      <c r="B17" s="954"/>
      <c r="C17" s="924" t="s">
        <v>377</v>
      </c>
      <c r="D17" s="924"/>
      <c r="E17" s="924"/>
      <c r="F17" s="958"/>
      <c r="G17" s="958"/>
      <c r="H17" s="757">
        <v>0</v>
      </c>
      <c r="I17" s="757">
        <v>0</v>
      </c>
      <c r="J17" s="757">
        <v>0</v>
      </c>
      <c r="K17" s="757">
        <v>0</v>
      </c>
      <c r="L17" s="810">
        <v>0</v>
      </c>
      <c r="M17" s="810">
        <v>0</v>
      </c>
      <c r="N17" s="810">
        <v>0</v>
      </c>
      <c r="O17" s="810">
        <v>0</v>
      </c>
      <c r="P17" s="757">
        <v>0</v>
      </c>
      <c r="Q17" s="957">
        <v>0</v>
      </c>
      <c r="R17" s="957">
        <v>0</v>
      </c>
      <c r="S17" s="957">
        <v>0</v>
      </c>
      <c r="T17" s="957">
        <v>0</v>
      </c>
      <c r="U17" s="757">
        <v>0</v>
      </c>
      <c r="V17" s="955">
        <f>BS!W45-BS!V45</f>
        <v>0</v>
      </c>
      <c r="W17" s="955">
        <f>BS!X45-BS!W45</f>
        <v>0</v>
      </c>
      <c r="X17" s="955">
        <f>BS!Y45-BS!X45</f>
        <v>0</v>
      </c>
      <c r="Y17" s="955">
        <v>0</v>
      </c>
      <c r="Z17" s="757">
        <f>SUM(V17:Y17)</f>
        <v>0</v>
      </c>
      <c r="AA17" s="955">
        <v>0</v>
      </c>
      <c r="AB17" s="955">
        <v>0</v>
      </c>
      <c r="AC17" s="955">
        <v>0</v>
      </c>
      <c r="AD17" s="955">
        <f>BS!AE45-BS!AD45</f>
        <v>0</v>
      </c>
      <c r="AE17" s="757">
        <f>SUM(AA17:AD17)</f>
        <v>0</v>
      </c>
      <c r="AF17" s="955">
        <v>0</v>
      </c>
      <c r="AG17" s="955">
        <v>0</v>
      </c>
      <c r="AH17" s="955">
        <v>0</v>
      </c>
      <c r="AI17" s="955">
        <v>0</v>
      </c>
      <c r="AJ17" s="757">
        <f>SUM(AF17:AI17)</f>
        <v>0</v>
      </c>
      <c r="AK17" s="955">
        <v>0</v>
      </c>
      <c r="AL17" s="955">
        <v>0</v>
      </c>
      <c r="AM17" s="955">
        <v>0</v>
      </c>
      <c r="AN17" s="955">
        <v>0</v>
      </c>
      <c r="AO17" s="757">
        <f>SUM(AK17:AN17)</f>
        <v>0</v>
      </c>
      <c r="AP17" s="955">
        <v>0</v>
      </c>
      <c r="AQ17" s="955">
        <v>0</v>
      </c>
      <c r="AR17" s="955">
        <v>0</v>
      </c>
      <c r="AS17" s="955">
        <v>0</v>
      </c>
      <c r="AT17" s="757">
        <f>SUM(AP17:AS17)</f>
        <v>0</v>
      </c>
      <c r="AU17" s="955">
        <v>0</v>
      </c>
      <c r="AV17" s="955">
        <f>0-AU17</f>
        <v>0</v>
      </c>
      <c r="AW17" s="955">
        <f>0-AU17-AV17</f>
        <v>0</v>
      </c>
      <c r="AX17" s="758">
        <f>0-AU17-AV17-AW17</f>
        <v>0</v>
      </c>
      <c r="AY17" s="757">
        <f t="shared" si="0"/>
        <v>0</v>
      </c>
      <c r="AZ17" s="955">
        <v>0</v>
      </c>
      <c r="BA17" s="955">
        <f>0-AZ17</f>
        <v>0</v>
      </c>
      <c r="BB17" s="955">
        <f>0-AZ17-BA17</f>
        <v>0</v>
      </c>
      <c r="BC17" s="758">
        <f>0-AZ17-BA17-BB17</f>
        <v>0</v>
      </c>
      <c r="BD17" s="757">
        <f t="shared" si="1"/>
        <v>0</v>
      </c>
      <c r="BE17" s="758">
        <f>BS!BF45-BS!BE45</f>
        <v>0</v>
      </c>
      <c r="BF17" s="758">
        <f>0-BE17</f>
        <v>0</v>
      </c>
      <c r="BG17" s="758"/>
      <c r="BH17" s="758">
        <f>BS!BI45-BS!BH45</f>
        <v>0</v>
      </c>
      <c r="BI17" s="757">
        <f>SUM(BE17:BH17)</f>
        <v>0</v>
      </c>
      <c r="BJ17" s="758">
        <f>BS!BK45-BS!BJ45</f>
        <v>0</v>
      </c>
      <c r="BK17" s="758">
        <f>BS!BL45-BS!BK45</f>
        <v>0</v>
      </c>
      <c r="BL17" s="758">
        <f>BS!BM45-BS!BL45</f>
        <v>0</v>
      </c>
      <c r="BM17" s="758">
        <f>BS!BN45-BS!BM45</f>
        <v>0</v>
      </c>
      <c r="BN17" s="757">
        <f t="shared" si="2"/>
        <v>0</v>
      </c>
      <c r="BO17" s="758">
        <f>BS!BP45-BS!BO45</f>
        <v>0</v>
      </c>
      <c r="BP17" s="758">
        <f>BS!BQ45-BS!BP45</f>
        <v>0</v>
      </c>
      <c r="BQ17" s="758">
        <f>BS!BR45-BS!BQ45</f>
        <v>0</v>
      </c>
      <c r="BR17" s="758">
        <f>BS!BS45-BS!BR45</f>
        <v>0</v>
      </c>
      <c r="BS17" s="757">
        <f t="shared" si="3"/>
        <v>0</v>
      </c>
      <c r="BT17" s="758">
        <f>BS!BU45-BS!BT45</f>
        <v>0</v>
      </c>
      <c r="BU17" s="758">
        <f>BS!BV45-BS!BU45</f>
        <v>0</v>
      </c>
      <c r="BV17" s="758">
        <f>BS!BW45-BS!BV45</f>
        <v>0</v>
      </c>
      <c r="BW17" s="758">
        <f>BS!BX45-BS!BW45</f>
        <v>0</v>
      </c>
      <c r="BX17" s="2072">
        <f t="shared" si="4"/>
        <v>0</v>
      </c>
      <c r="BY17" s="758">
        <f>BS!BZ45-BS!BY45</f>
        <v>0</v>
      </c>
      <c r="BZ17" s="758">
        <f>BS!CA45-BS!BZ45</f>
        <v>0</v>
      </c>
      <c r="CA17" s="758">
        <f>BS!CB45-BS!CA45</f>
        <v>0</v>
      </c>
      <c r="CB17" s="758">
        <f>BS!CC45-BS!CB45</f>
        <v>0</v>
      </c>
      <c r="CC17" s="757">
        <f>BS!CD45-BS!BY45</f>
        <v>0</v>
      </c>
      <c r="CD17" s="758">
        <f>BS!CE45-BS!CD45</f>
        <v>0</v>
      </c>
      <c r="CE17" s="758">
        <f>BS!CF45-BS!CE45</f>
        <v>0</v>
      </c>
      <c r="CF17" s="758">
        <f>BS!CG45-BS!CF45</f>
        <v>0</v>
      </c>
      <c r="CG17" s="758">
        <f>BS!CH45-BS!CG45</f>
        <v>0</v>
      </c>
      <c r="CH17" s="2088">
        <f>BS!CI45-BS!CD45</f>
        <v>0</v>
      </c>
      <c r="CI17" s="757">
        <f>BS!CJ45-BS!CI45</f>
        <v>0</v>
      </c>
      <c r="CJ17" s="2072">
        <f>BS!CK45-BS!CJ45</f>
        <v>0</v>
      </c>
      <c r="CK17" s="2072">
        <f>BS!CL45-BS!CK45</f>
        <v>0</v>
      </c>
      <c r="CL17" s="757"/>
      <c r="CM17" s="917"/>
      <c r="CN17" s="916"/>
      <c r="CO17" s="915"/>
    </row>
    <row r="18" spans="1:99">
      <c r="A18" s="924"/>
      <c r="B18" s="954"/>
      <c r="C18" s="924" t="s">
        <v>475</v>
      </c>
      <c r="D18" s="924"/>
      <c r="E18" s="924"/>
      <c r="F18" s="958"/>
      <c r="G18" s="958"/>
      <c r="H18" s="757"/>
      <c r="I18" s="757"/>
      <c r="J18" s="757"/>
      <c r="K18" s="757"/>
      <c r="L18" s="810"/>
      <c r="M18" s="810"/>
      <c r="N18" s="810"/>
      <c r="O18" s="810"/>
      <c r="P18" s="757"/>
      <c r="Q18" s="957"/>
      <c r="R18" s="957">
        <v>-100</v>
      </c>
      <c r="S18" s="957">
        <v>-265</v>
      </c>
      <c r="T18" s="957">
        <v>-298</v>
      </c>
      <c r="U18" s="757">
        <v>-663</v>
      </c>
      <c r="V18" s="955">
        <v>0</v>
      </c>
      <c r="W18" s="955">
        <v>0</v>
      </c>
      <c r="X18" s="955">
        <v>-31</v>
      </c>
      <c r="Y18" s="955">
        <v>-159</v>
      </c>
      <c r="Z18" s="757">
        <v>-190</v>
      </c>
      <c r="AA18" s="955">
        <v>0</v>
      </c>
      <c r="AB18" s="955">
        <v>0</v>
      </c>
      <c r="AC18" s="955">
        <v>0</v>
      </c>
      <c r="AD18" s="955">
        <f>AE18-AC18-AB18-AA18</f>
        <v>198</v>
      </c>
      <c r="AE18" s="757">
        <v>198</v>
      </c>
      <c r="AF18" s="955">
        <v>0</v>
      </c>
      <c r="AG18" s="955">
        <v>0</v>
      </c>
      <c r="AH18" s="955">
        <v>0</v>
      </c>
      <c r="AI18" s="955">
        <v>0</v>
      </c>
      <c r="AJ18" s="757">
        <f>SUM(AF18:AI18)</f>
        <v>0</v>
      </c>
      <c r="AK18" s="955">
        <v>-23</v>
      </c>
      <c r="AL18" s="955">
        <v>-401</v>
      </c>
      <c r="AM18" s="955">
        <v>-150</v>
      </c>
      <c r="AN18" s="955">
        <f>AO18-SUM(AK18:AM18)</f>
        <v>-696</v>
      </c>
      <c r="AO18" s="757">
        <v>-1270</v>
      </c>
      <c r="AP18" s="955">
        <v>-42</v>
      </c>
      <c r="AQ18" s="955">
        <f>-261-AP18</f>
        <v>-219</v>
      </c>
      <c r="AR18" s="955">
        <f>-699-AQ18-AP18</f>
        <v>-438</v>
      </c>
      <c r="AS18" s="955">
        <v>-600</v>
      </c>
      <c r="AT18" s="757">
        <f>SUM(AP18:AS18)</f>
        <v>-1299</v>
      </c>
      <c r="AU18" s="955">
        <v>-29</v>
      </c>
      <c r="AV18" s="955">
        <f>-70-AU18</f>
        <v>-41</v>
      </c>
      <c r="AW18" s="955">
        <f>-246-AU18-AV18</f>
        <v>-176</v>
      </c>
      <c r="AX18" s="955">
        <f>-551-AU18-AV18-AW18</f>
        <v>-305</v>
      </c>
      <c r="AY18" s="757">
        <f t="shared" si="0"/>
        <v>-551</v>
      </c>
      <c r="AZ18" s="955">
        <v>-13</v>
      </c>
      <c r="BA18" s="955">
        <f>-24-AZ18</f>
        <v>-11</v>
      </c>
      <c r="BB18" s="955">
        <f>-233-AZ18-BA18</f>
        <v>-209</v>
      </c>
      <c r="BC18" s="955">
        <f>-430-BB18-BA18-AZ18</f>
        <v>-197</v>
      </c>
      <c r="BD18" s="757">
        <f t="shared" si="1"/>
        <v>-430</v>
      </c>
      <c r="BE18" s="955">
        <v>-29</v>
      </c>
      <c r="BF18" s="955">
        <f>-51-BE18</f>
        <v>-22</v>
      </c>
      <c r="BG18" s="955">
        <v>-21</v>
      </c>
      <c r="BH18" s="955">
        <f>BI18-SUM(BE18:BG18)</f>
        <v>-36</v>
      </c>
      <c r="BI18" s="757">
        <v>-108</v>
      </c>
      <c r="BJ18" s="955">
        <v>-84</v>
      </c>
      <c r="BK18" s="955">
        <v>-60</v>
      </c>
      <c r="BL18" s="955">
        <v>-60</v>
      </c>
      <c r="BM18" s="956">
        <v>-314</v>
      </c>
      <c r="BN18" s="757">
        <f t="shared" si="2"/>
        <v>-518</v>
      </c>
      <c r="BO18" s="955">
        <v>-45</v>
      </c>
      <c r="BP18" s="955">
        <v>-26</v>
      </c>
      <c r="BQ18" s="955">
        <v>-23</v>
      </c>
      <c r="BR18" s="955">
        <v>-54</v>
      </c>
      <c r="BS18" s="757">
        <f t="shared" si="3"/>
        <v>-148</v>
      </c>
      <c r="BT18" s="955">
        <v>-75</v>
      </c>
      <c r="BU18" s="955">
        <v>-32</v>
      </c>
      <c r="BV18" s="955">
        <v>-18</v>
      </c>
      <c r="BW18" s="955">
        <v>-178</v>
      </c>
      <c r="BX18" s="2072">
        <f t="shared" si="4"/>
        <v>-303</v>
      </c>
      <c r="BY18" s="2288">
        <v>-46</v>
      </c>
      <c r="BZ18" s="2288">
        <v>-33</v>
      </c>
      <c r="CA18" s="2288">
        <v>-1929</v>
      </c>
      <c r="CB18" s="955">
        <f>BS!CC43-BS!CB43</f>
        <v>-50</v>
      </c>
      <c r="CC18" s="2072">
        <f t="shared" ref="CC18:CC20" si="6">SUM(BY18:CB18)</f>
        <v>-2058</v>
      </c>
      <c r="CD18" s="955">
        <f>BS!CE43-BS!CD43</f>
        <v>-50</v>
      </c>
      <c r="CE18" s="955">
        <f>BS!CF43-BS!CE43</f>
        <v>-50</v>
      </c>
      <c r="CF18" s="955">
        <f>BS!CG43-BS!CF43</f>
        <v>-50</v>
      </c>
      <c r="CG18" s="955">
        <f>BS!CH43-BS!CG43</f>
        <v>-50</v>
      </c>
      <c r="CH18" s="2088">
        <f>BS!CI43-BS!CD43</f>
        <v>-200</v>
      </c>
      <c r="CI18" s="2072">
        <f>BS!CJ43-BS!CI43</f>
        <v>-200</v>
      </c>
      <c r="CJ18" s="2072">
        <f>BS!CK43-BS!CJ43</f>
        <v>-200</v>
      </c>
      <c r="CK18" s="2072">
        <f>BS!CL43-BS!CK43</f>
        <v>-200</v>
      </c>
      <c r="CL18" s="757"/>
      <c r="CM18" s="917"/>
      <c r="CN18" s="916"/>
      <c r="CO18" s="915"/>
    </row>
    <row r="19" spans="1:99">
      <c r="A19" s="924"/>
      <c r="B19" s="954"/>
      <c r="C19" s="924" t="s">
        <v>474</v>
      </c>
      <c r="D19" s="924"/>
      <c r="E19" s="924"/>
      <c r="F19" s="958"/>
      <c r="G19" s="958"/>
      <c r="H19" s="757">
        <v>-418</v>
      </c>
      <c r="I19" s="757">
        <v>-218</v>
      </c>
      <c r="J19" s="757">
        <v>-414</v>
      </c>
      <c r="K19" s="757">
        <v>-938</v>
      </c>
      <c r="L19" s="810">
        <v>290</v>
      </c>
      <c r="M19" s="810">
        <v>-363</v>
      </c>
      <c r="N19" s="810">
        <v>-204</v>
      </c>
      <c r="O19" s="810">
        <v>-716</v>
      </c>
      <c r="P19" s="757">
        <v>-993</v>
      </c>
      <c r="Q19" s="957">
        <v>-164</v>
      </c>
      <c r="R19" s="957">
        <v>-122</v>
      </c>
      <c r="S19" s="957">
        <v>-186</v>
      </c>
      <c r="T19" s="957">
        <v>101</v>
      </c>
      <c r="U19" s="757">
        <v>-437</v>
      </c>
      <c r="V19" s="955">
        <f>135-781+503-31</f>
        <v>-174</v>
      </c>
      <c r="W19" s="955">
        <v>-567</v>
      </c>
      <c r="X19" s="955">
        <v>60</v>
      </c>
      <c r="Y19" s="955">
        <v>872</v>
      </c>
      <c r="Z19" s="757">
        <f>990-789-35+25</f>
        <v>191</v>
      </c>
      <c r="AA19" s="955">
        <f>-289+1075-846-217</f>
        <v>-277</v>
      </c>
      <c r="AB19" s="955">
        <f>(-606-1199+1408+2)-AA19</f>
        <v>-118</v>
      </c>
      <c r="AC19" s="955">
        <f>(-787-1616+1849-19)-AB19-AA19</f>
        <v>-178</v>
      </c>
      <c r="AD19" s="955">
        <v>605</v>
      </c>
      <c r="AE19" s="757">
        <f>SUM(AA19:AD19)</f>
        <v>32</v>
      </c>
      <c r="AF19" s="955">
        <f>-332-803-40+694</f>
        <v>-481</v>
      </c>
      <c r="AG19" s="955">
        <f>-905-822-16+1004-AF19</f>
        <v>-258</v>
      </c>
      <c r="AH19" s="955">
        <f>(-706-1072-53+1141)-AF19-AG19</f>
        <v>49</v>
      </c>
      <c r="AI19" s="955">
        <f>AJ19-AF19-AG19-AH19</f>
        <v>460</v>
      </c>
      <c r="AJ19" s="757">
        <f>-491-562+35+788</f>
        <v>-230</v>
      </c>
      <c r="AK19" s="955">
        <f>325-504-59-480</f>
        <v>-718</v>
      </c>
      <c r="AL19" s="955">
        <v>522</v>
      </c>
      <c r="AM19" s="955">
        <v>480</v>
      </c>
      <c r="AN19" s="955">
        <f>AO19-SUM(AK19:AM19)</f>
        <v>781</v>
      </c>
      <c r="AO19" s="757">
        <f>955+695-3-582</f>
        <v>1065</v>
      </c>
      <c r="AP19" s="955">
        <f>-147-511-58+522</f>
        <v>-194</v>
      </c>
      <c r="AQ19" s="955">
        <f>-552-653-26+834-AP19</f>
        <v>-203</v>
      </c>
      <c r="AR19" s="955">
        <f>-169-932-46+1178-AQ19-AP19</f>
        <v>428</v>
      </c>
      <c r="AS19" s="955">
        <v>494</v>
      </c>
      <c r="AT19" s="757">
        <f>SUM(AP19:AS19)</f>
        <v>525</v>
      </c>
      <c r="AU19" s="955">
        <f>-41-817-70+656</f>
        <v>-272</v>
      </c>
      <c r="AV19" s="955">
        <f>-582-782-24+597-AU19</f>
        <v>-519</v>
      </c>
      <c r="AW19" s="955">
        <f>-542-880-30+900-AU19-AV19</f>
        <v>239</v>
      </c>
      <c r="AX19" s="955">
        <f>-697-330-24+760-AU19-AV19-AW19</f>
        <v>261</v>
      </c>
      <c r="AY19" s="757">
        <f t="shared" si="0"/>
        <v>-291</v>
      </c>
      <c r="AZ19" s="955">
        <f>477-719-13+64</f>
        <v>-191</v>
      </c>
      <c r="BA19" s="955">
        <f>262-1049-58+744-AZ19</f>
        <v>90</v>
      </c>
      <c r="BB19" s="955">
        <f>406-1162-101+708-AZ19-BA19</f>
        <v>-48</v>
      </c>
      <c r="BC19" s="955">
        <f>-165-539-4+811-AZ19-BA19-BB19</f>
        <v>252</v>
      </c>
      <c r="BD19" s="757">
        <f t="shared" si="1"/>
        <v>103</v>
      </c>
      <c r="BE19" s="955">
        <v>-198</v>
      </c>
      <c r="BF19" s="955">
        <f>-282-974+68+924-BE19</f>
        <v>-66</v>
      </c>
      <c r="BG19" s="955">
        <v>-200</v>
      </c>
      <c r="BH19" s="955">
        <v>264</v>
      </c>
      <c r="BI19" s="757">
        <f>SUM(BE19:BH19)</f>
        <v>-200</v>
      </c>
      <c r="BJ19" s="955">
        <f>-66-712-5+262</f>
        <v>-521</v>
      </c>
      <c r="BK19" s="955">
        <v>-478</v>
      </c>
      <c r="BL19" s="955">
        <v>-398</v>
      </c>
      <c r="BM19" s="956">
        <v>149</v>
      </c>
      <c r="BN19" s="757">
        <f t="shared" si="2"/>
        <v>-1248</v>
      </c>
      <c r="BO19" s="955">
        <v>-639</v>
      </c>
      <c r="BP19" s="955">
        <f>(BS!BP15+BS!BP16-BS!BP35)-(BS!BQ15+BS!BQ16-BS!BQ35)</f>
        <v>261</v>
      </c>
      <c r="BQ19" s="955">
        <v>-966</v>
      </c>
      <c r="BR19" s="955">
        <v>841</v>
      </c>
      <c r="BS19" s="757">
        <f t="shared" si="3"/>
        <v>-503</v>
      </c>
      <c r="BT19" s="955">
        <v>-640</v>
      </c>
      <c r="BU19" s="955">
        <v>3</v>
      </c>
      <c r="BV19" s="955">
        <f>-116</f>
        <v>-116</v>
      </c>
      <c r="BW19" s="955">
        <v>-462</v>
      </c>
      <c r="BX19" s="2072">
        <f t="shared" si="4"/>
        <v>-1215</v>
      </c>
      <c r="BY19" s="2288">
        <v>-475</v>
      </c>
      <c r="BZ19" s="2288">
        <v>-79</v>
      </c>
      <c r="CA19" s="2288">
        <v>196</v>
      </c>
      <c r="CB19" s="955">
        <f>(BS!CB15+BS!CB16-BS!CB35)-(BS!CC15+BS!CC16-BS!CC35)</f>
        <v>164.46068508009921</v>
      </c>
      <c r="CC19" s="2072">
        <f t="shared" si="6"/>
        <v>-193.53931491990079</v>
      </c>
      <c r="CD19" s="955">
        <f>(BS!CD15+BS!CD16-BS!CD35)-(BS!CE15+BS!CE16-BS!CE35)</f>
        <v>143.92955194564456</v>
      </c>
      <c r="CE19" s="955">
        <f>(BS!CE15+BS!CE16-BS!CE35)-(BS!CF15+BS!CF16-BS!CF35)</f>
        <v>-1009.0376321016065</v>
      </c>
      <c r="CF19" s="955">
        <f>(BS!CF15+BS!CF16-BS!CF35)-(BS!CG15+BS!CG16-BS!CG35)</f>
        <v>588.31592007709878</v>
      </c>
      <c r="CG19" s="955">
        <f>(BS!CG15+BS!CG16-BS!CG35)-(BS!CH15+BS!CH16-BS!CH35)</f>
        <v>450.16318293477707</v>
      </c>
      <c r="CH19" s="2088">
        <f>(BS!CD15+BS!CD16-BS!CD35)-(BS!CI15+BS!CI16-BS!CI35)</f>
        <v>173.37102285591391</v>
      </c>
      <c r="CI19" s="2072">
        <f>(BS!CI15+BS!CI16-BS!CI35)-(BS!CJ15+BS!CJ16-BS!CJ35)</f>
        <v>615.19743388769712</v>
      </c>
      <c r="CJ19" s="2072">
        <f>(BS!CJ15+BS!CJ16-BS!CJ35)-(BS!CK15+BS!CK16-BS!CK35)</f>
        <v>69.891046988890594</v>
      </c>
      <c r="CK19" s="2072">
        <f>(BS!CK15+BS!CK16-BS!CK35)-(BS!CL15+BS!CL16-BS!CL35)</f>
        <v>161.98603131408345</v>
      </c>
      <c r="CL19" s="757"/>
      <c r="CM19" s="917"/>
      <c r="CN19" s="916"/>
      <c r="CO19" s="915"/>
    </row>
    <row r="20" spans="1:99">
      <c r="A20" s="924"/>
      <c r="B20" s="954"/>
      <c r="C20" s="922" t="s">
        <v>8</v>
      </c>
      <c r="D20" s="922"/>
      <c r="E20" s="922"/>
      <c r="F20" s="922"/>
      <c r="G20" s="922"/>
      <c r="H20" s="918">
        <v>49</v>
      </c>
      <c r="I20" s="918">
        <v>151</v>
      </c>
      <c r="J20" s="918">
        <v>-167</v>
      </c>
      <c r="K20" s="918">
        <v>231</v>
      </c>
      <c r="L20" s="920">
        <v>-414</v>
      </c>
      <c r="M20" s="920">
        <v>185</v>
      </c>
      <c r="N20" s="920">
        <v>35</v>
      </c>
      <c r="O20" s="920">
        <v>677</v>
      </c>
      <c r="P20" s="918">
        <v>483</v>
      </c>
      <c r="Q20" s="929">
        <v>95</v>
      </c>
      <c r="R20" s="929">
        <v>46</v>
      </c>
      <c r="S20" s="929">
        <v>501</v>
      </c>
      <c r="T20" s="929">
        <v>348</v>
      </c>
      <c r="U20" s="918">
        <v>852</v>
      </c>
      <c r="V20" s="919">
        <f>V21-SUM(V12:V19)</f>
        <v>85</v>
      </c>
      <c r="W20" s="919">
        <f>W21-SUM(W12:W19)</f>
        <v>-68</v>
      </c>
      <c r="X20" s="919">
        <f>X21-SUM(X12:X19)</f>
        <v>-5</v>
      </c>
      <c r="Y20" s="919">
        <f>Y21-SUM(Y12:Y19)</f>
        <v>-27</v>
      </c>
      <c r="Z20" s="918">
        <f>SUM(V20:Y20)</f>
        <v>-15</v>
      </c>
      <c r="AA20" s="919">
        <f>AA21-SUM(AA12:AA19)</f>
        <v>-310</v>
      </c>
      <c r="AB20" s="919">
        <f>AB21-SUM(AB12:AB19)</f>
        <v>77</v>
      </c>
      <c r="AC20" s="919">
        <f>AC21-SUM(AC12:AC19)</f>
        <v>-34</v>
      </c>
      <c r="AD20" s="919">
        <f>AD21-SUM(AD12:AD19)</f>
        <v>-412</v>
      </c>
      <c r="AE20" s="918">
        <f>SUM(AA20:AD20)</f>
        <v>-679</v>
      </c>
      <c r="AF20" s="919">
        <f>AF21-SUM(AF12:AF19)</f>
        <v>9</v>
      </c>
      <c r="AG20" s="919">
        <f>AG21-SUM(AG12:AG19)</f>
        <v>70</v>
      </c>
      <c r="AH20" s="919">
        <f>AH21-SUM(AH12:AH19)</f>
        <v>100</v>
      </c>
      <c r="AI20" s="919">
        <f>AI21-SUM(AI12:AI19)</f>
        <v>-207</v>
      </c>
      <c r="AJ20" s="918">
        <f>-239+211</f>
        <v>-28</v>
      </c>
      <c r="AK20" s="919">
        <f>AK21-AK12-AK13-AK14-AK15-AK16-AK17-AK18-AK19</f>
        <v>104.11500000000001</v>
      </c>
      <c r="AL20" s="919">
        <f>AL21-AL12-AL13-AL14-AL15-AL16-AL17-AL18-AL19</f>
        <v>43.3900000000001</v>
      </c>
      <c r="AM20" s="919">
        <f>AM21-AM12-AM13-AM14-AM15-AM16-AM17-AM18-AM19</f>
        <v>49.670000000000073</v>
      </c>
      <c r="AN20" s="919">
        <f>AN21-AN12-AN13-AN14-AN15-AN16-AN17-AN18-AN19</f>
        <v>-527.41000000000008</v>
      </c>
      <c r="AO20" s="918">
        <f>SUM(AK20:AN20)</f>
        <v>-330.2349999999999</v>
      </c>
      <c r="AP20" s="919">
        <f>AP21-AP12-AP13-AP14-AP15-AP16-AP17-AP18-AP19</f>
        <v>175</v>
      </c>
      <c r="AQ20" s="919">
        <f>AQ21-AQ12-AQ13-AQ14-AQ15-AQ16-AQ17-AQ18-AQ19</f>
        <v>340</v>
      </c>
      <c r="AR20" s="919">
        <f>AR21-AR12-AR13-AR14-AR15-AR16-AR17-AR18-AR19</f>
        <v>40</v>
      </c>
      <c r="AS20" s="919">
        <f>AS21-(SUM(AS12:AS19))</f>
        <v>-355</v>
      </c>
      <c r="AT20" s="918">
        <f>SUM(AP20:AS20)</f>
        <v>200</v>
      </c>
      <c r="AU20" s="919">
        <f>AU21-(SUM(AU12:AU19))</f>
        <v>123</v>
      </c>
      <c r="AV20" s="919">
        <f>AV21-(SUM(AV12:AV19))</f>
        <v>-3</v>
      </c>
      <c r="AW20" s="919">
        <f>AW21-(SUM(AW12:AW19))</f>
        <v>88</v>
      </c>
      <c r="AX20" s="919">
        <f>AX21-(SUM(AX12:AX19))</f>
        <v>281</v>
      </c>
      <c r="AY20" s="918">
        <f t="shared" si="0"/>
        <v>489</v>
      </c>
      <c r="AZ20" s="919">
        <f>AZ21-(SUM(AZ12:AZ19))</f>
        <v>-227</v>
      </c>
      <c r="BA20" s="919">
        <f>BA21-(SUM(BA12:BA19))</f>
        <v>-80</v>
      </c>
      <c r="BB20" s="919">
        <f>BB21-(SUM(BB12:BB19))</f>
        <v>101</v>
      </c>
      <c r="BC20" s="919">
        <f>BC21-(SUM(BC12:BC19))</f>
        <v>294</v>
      </c>
      <c r="BD20" s="918">
        <f t="shared" si="1"/>
        <v>88</v>
      </c>
      <c r="BE20" s="919">
        <f>BE21-(SUM(BE12:BE19))</f>
        <v>-120</v>
      </c>
      <c r="BF20" s="919">
        <f>BF21-(SUM(BF12:BF19))</f>
        <v>-107</v>
      </c>
      <c r="BG20" s="919">
        <f>BG21-(SUM(BG12:BG19))</f>
        <v>-147</v>
      </c>
      <c r="BH20" s="919">
        <f>BH21-(SUM(BH12:BH19))</f>
        <v>163</v>
      </c>
      <c r="BI20" s="918">
        <f>SUM(BE20:BH20)</f>
        <v>-211</v>
      </c>
      <c r="BJ20" s="919">
        <f>BJ21-(SUM(BJ12:BJ19))</f>
        <v>123</v>
      </c>
      <c r="BK20" s="919">
        <f>BK21-(SUM(BK12:BK19))</f>
        <v>30</v>
      </c>
      <c r="BL20" s="919">
        <f>BL21-(SUM(BL12:BL19))</f>
        <v>-111</v>
      </c>
      <c r="BM20" s="919">
        <f>BM21-(SUM(BM12:BM19))</f>
        <v>153</v>
      </c>
      <c r="BN20" s="918">
        <f t="shared" si="2"/>
        <v>195</v>
      </c>
      <c r="BO20" s="919">
        <f>BO21-(SUM(BO12:BO19))</f>
        <v>-46.847699100791942</v>
      </c>
      <c r="BP20" s="919">
        <f>BP21-SUM(BP12:BP19)</f>
        <v>-913.15230089920806</v>
      </c>
      <c r="BQ20" s="919">
        <f>BQ21-(SUM(BQ12:BQ19))</f>
        <v>-111</v>
      </c>
      <c r="BR20" s="919">
        <f>BR21-(SUM(BR12:BR19))</f>
        <v>1364</v>
      </c>
      <c r="BS20" s="918">
        <f t="shared" si="3"/>
        <v>293</v>
      </c>
      <c r="BT20" s="919">
        <f>BT21-(SUM(BT12:BT19))</f>
        <v>-351</v>
      </c>
      <c r="BU20" s="919">
        <f>BU21-(SUM(BU12:BU19))</f>
        <v>-282</v>
      </c>
      <c r="BV20" s="919">
        <f>BV21-(SUM(BV12:BV19))</f>
        <v>2</v>
      </c>
      <c r="BW20" s="919">
        <f>BW21-(SUM(BW12:BW19))</f>
        <v>730</v>
      </c>
      <c r="BX20" s="2076">
        <f t="shared" si="4"/>
        <v>99</v>
      </c>
      <c r="BY20" s="919">
        <f>BY21-(SUM(BY12:BY19))</f>
        <v>-575</v>
      </c>
      <c r="BZ20" s="919">
        <f>BZ21-(SUM(BZ12:BZ19))</f>
        <v>-194</v>
      </c>
      <c r="CA20" s="919">
        <f>CA21-(SUM(CA12:CA19))</f>
        <v>-495</v>
      </c>
      <c r="CB20" s="919">
        <f>+BS!CC47-BS!CB47+BS!CC25-BS!CB25+BS!CB18-BS!CB36-BS!CB38-BS!CC18+BS!CC36+BS!CC38</f>
        <v>321.07453284751318</v>
      </c>
      <c r="CC20" s="918">
        <f t="shared" si="6"/>
        <v>-942.92546715248682</v>
      </c>
      <c r="CD20" s="919">
        <f>+BS!CE47-BS!CD47+BS!CE25-BS!CD25+BS!CD18-BS!CD36-BS!CD38-BS!CE18+BS!CE36+BS!CE38</f>
        <v>-951.10010347396383</v>
      </c>
      <c r="CE20" s="919">
        <f>+BS!CF47-BS!CE47+BS!CF25-BS!CE25+BS!CE18-BS!CE36-BS!CE38-BS!CF18+BS!CF36+BS!CF38</f>
        <v>805.05866037266969</v>
      </c>
      <c r="CF20" s="919">
        <f>+BS!CG47-BS!CF47+BS!CG25-BS!CF25+BS!CF18-BS!CF36-BS!CF38-BS!CG18+BS!CG36+BS!CG38</f>
        <v>-547.42585850385331</v>
      </c>
      <c r="CG20" s="919">
        <f>+BS!CH47-BS!CG47+BS!CH25-BS!CG25+BS!CG18-BS!CG36-BS!CG38-BS!CH18+BS!CH36+BS!CH38</f>
        <v>72.619776846046079</v>
      </c>
      <c r="CH20" s="2089">
        <f>+BS!CI47-BS!CD47+BS!CI25-BS!CD25+BS!CD18-BS!CD36-BS!CD38-BS!CI18+BS!CI36+BS!CI38</f>
        <v>-620.84752475910136</v>
      </c>
      <c r="CI20" s="2076">
        <f>+BS!CJ47-BS!CI47+BS!CJ25-BS!CI25+BS!CI18-BS!CI36-BS!CI38-BS!CJ18+BS!CJ36+BS!CJ38</f>
        <v>-616.34190614351064</v>
      </c>
      <c r="CJ20" s="2076">
        <f>+BS!CK47-BS!CJ47+BS!CK25-BS!CJ25+BS!CJ18-BS!CJ36-BS!CJ38-BS!CK18+BS!CK36+BS!CK38</f>
        <v>-46.672146941051324</v>
      </c>
      <c r="CK20" s="2076">
        <f>+BS!CL47-BS!CK47+BS!CL25-BS!CK25+BS!CK18-BS!CK36-BS!CK38-BS!CL18+BS!CL36+BS!CL38</f>
        <v>-103.31499429981523</v>
      </c>
      <c r="CL20" s="757"/>
      <c r="CM20" s="917"/>
      <c r="CN20" s="916"/>
      <c r="CO20" s="915"/>
    </row>
    <row r="21" spans="1:99">
      <c r="A21" s="914"/>
      <c r="B21" s="914"/>
      <c r="C21" s="914" t="s">
        <v>104</v>
      </c>
      <c r="D21" s="905"/>
      <c r="E21" s="905"/>
      <c r="F21" s="905"/>
      <c r="G21" s="905"/>
      <c r="H21" s="946">
        <v>2503</v>
      </c>
      <c r="I21" s="946">
        <v>2885</v>
      </c>
      <c r="J21" s="946">
        <v>2853</v>
      </c>
      <c r="K21" s="946">
        <v>2875</v>
      </c>
      <c r="L21" s="953">
        <v>760</v>
      </c>
      <c r="M21" s="953">
        <v>1094</v>
      </c>
      <c r="N21" s="953">
        <v>921</v>
      </c>
      <c r="O21" s="953">
        <v>895</v>
      </c>
      <c r="P21" s="946">
        <v>3699</v>
      </c>
      <c r="Q21" s="953">
        <v>846</v>
      </c>
      <c r="R21" s="953">
        <v>1188</v>
      </c>
      <c r="S21" s="953">
        <v>1155</v>
      </c>
      <c r="T21" s="953">
        <v>1145</v>
      </c>
      <c r="U21" s="946">
        <v>4334</v>
      </c>
      <c r="V21" s="951">
        <v>975</v>
      </c>
      <c r="W21" s="951">
        <f>1787-V21</f>
        <v>812</v>
      </c>
      <c r="X21" s="951">
        <f>3148-W21-V21</f>
        <v>1361</v>
      </c>
      <c r="Y21" s="951">
        <v>1655</v>
      </c>
      <c r="Z21" s="946">
        <f>SUM(Z12:Z20)</f>
        <v>4803</v>
      </c>
      <c r="AA21" s="951">
        <v>453</v>
      </c>
      <c r="AB21" s="951">
        <f>1902-AA21</f>
        <v>1449</v>
      </c>
      <c r="AC21" s="951">
        <f>3285-AB21-AA21</f>
        <v>1383</v>
      </c>
      <c r="AD21" s="951">
        <v>2045</v>
      </c>
      <c r="AE21" s="946">
        <f>SUM(AE12:AE20)</f>
        <v>5330</v>
      </c>
      <c r="AF21" s="951">
        <v>888</v>
      </c>
      <c r="AG21" s="951">
        <f>2306-AF21</f>
        <v>1418</v>
      </c>
      <c r="AH21" s="951">
        <v>1835</v>
      </c>
      <c r="AI21" s="951">
        <v>2020</v>
      </c>
      <c r="AJ21" s="946">
        <f>SUM(AJ12:AJ20)</f>
        <v>6161</v>
      </c>
      <c r="AK21" s="951">
        <v>485</v>
      </c>
      <c r="AL21" s="951">
        <v>1540</v>
      </c>
      <c r="AM21" s="951">
        <v>1853</v>
      </c>
      <c r="AN21" s="951">
        <v>1475</v>
      </c>
      <c r="AO21" s="946">
        <f>SUM(AO12:AO20)</f>
        <v>5353</v>
      </c>
      <c r="AP21" s="951">
        <v>1154</v>
      </c>
      <c r="AQ21" s="951">
        <f>2554-AP21</f>
        <v>1400</v>
      </c>
      <c r="AR21" s="951">
        <f>4230-AQ21-AP21</f>
        <v>1676</v>
      </c>
      <c r="AS21" s="951">
        <v>1676</v>
      </c>
      <c r="AT21" s="946">
        <f>SUM(AT12:AT20)</f>
        <v>5906</v>
      </c>
      <c r="AU21" s="951">
        <v>1320</v>
      </c>
      <c r="AV21" s="951">
        <f>2643-AU21</f>
        <v>1323</v>
      </c>
      <c r="AW21" s="951">
        <f>4550-AU21-AV21</f>
        <v>1907</v>
      </c>
      <c r="AX21" s="951">
        <f>6460-AU21-AV21-AW21</f>
        <v>1910</v>
      </c>
      <c r="AY21" s="946">
        <f>SUM(AY12:AY20)</f>
        <v>6460</v>
      </c>
      <c r="AZ21" s="951">
        <v>1312</v>
      </c>
      <c r="BA21" s="951">
        <f>3026-AZ21</f>
        <v>1714</v>
      </c>
      <c r="BB21" s="951">
        <f>4651-AZ21-BA21</f>
        <v>1625</v>
      </c>
      <c r="BC21" s="951">
        <f>6605-BB21-BA21-AZ21</f>
        <v>1954</v>
      </c>
      <c r="BD21" s="946">
        <f>SUM(BD12:BD20)</f>
        <v>6605</v>
      </c>
      <c r="BE21" s="951">
        <v>1409</v>
      </c>
      <c r="BF21" s="951">
        <f>3348-BE21</f>
        <v>1939</v>
      </c>
      <c r="BG21" s="951">
        <f>4891-SUM(BE21:BF21)</f>
        <v>1543</v>
      </c>
      <c r="BH21" s="951">
        <v>2613</v>
      </c>
      <c r="BI21" s="946">
        <f>SUM(BI12:BI20)</f>
        <v>7504</v>
      </c>
      <c r="BJ21" s="951">
        <v>1335</v>
      </c>
      <c r="BK21" s="951">
        <v>1742</v>
      </c>
      <c r="BL21" s="951">
        <v>1948</v>
      </c>
      <c r="BM21" s="952">
        <v>2310</v>
      </c>
      <c r="BN21" s="946">
        <f>SUM(BN12:BN20)</f>
        <v>7335</v>
      </c>
      <c r="BO21" s="951">
        <v>1310</v>
      </c>
      <c r="BP21" s="951">
        <v>1536</v>
      </c>
      <c r="BQ21" s="951">
        <v>1021</v>
      </c>
      <c r="BR21" s="951">
        <v>2654</v>
      </c>
      <c r="BS21" s="946">
        <f>SUM(BS12:BS20)</f>
        <v>6521</v>
      </c>
      <c r="BT21" s="951">
        <v>795</v>
      </c>
      <c r="BU21" s="951">
        <v>1776</v>
      </c>
      <c r="BV21" s="951">
        <v>1951</v>
      </c>
      <c r="BW21" s="951">
        <v>1845</v>
      </c>
      <c r="BX21" s="2078">
        <v>6412</v>
      </c>
      <c r="BY21" s="951">
        <v>993</v>
      </c>
      <c r="BZ21" s="2304">
        <v>2146</v>
      </c>
      <c r="CA21" s="2304">
        <v>-29</v>
      </c>
      <c r="CB21" s="951">
        <f t="shared" ref="CB21:CI21" si="7">SUM(CB12:CB20)</f>
        <v>2225.7575258687834</v>
      </c>
      <c r="CC21" s="946">
        <f t="shared" si="7"/>
        <v>5335.757525868783</v>
      </c>
      <c r="CD21" s="951">
        <f>SUM(CD12:CD20)</f>
        <v>918.07419526866897</v>
      </c>
      <c r="CE21" s="951">
        <f>SUM(CE12:CE20)</f>
        <v>1818.9436180529933</v>
      </c>
      <c r="CF21" s="951">
        <f>SUM(CF12:CF20)</f>
        <v>2093.6436640093211</v>
      </c>
      <c r="CG21" s="951">
        <f>SUM(CG12:CG20)</f>
        <v>2360.4171804692924</v>
      </c>
      <c r="CH21" s="2086">
        <f t="shared" si="7"/>
        <v>7191.0786578002817</v>
      </c>
      <c r="CI21" s="2078">
        <f t="shared" si="7"/>
        <v>8390.1519296867973</v>
      </c>
      <c r="CJ21" s="2078">
        <f>SUM(CJ12:CJ20)</f>
        <v>9032.9893871553813</v>
      </c>
      <c r="CK21" s="2078">
        <f>SUM(CK12:CK20)</f>
        <v>9437.1494091480945</v>
      </c>
      <c r="CL21" s="946"/>
      <c r="CM21" s="907"/>
      <c r="CN21" s="906"/>
      <c r="CO21" s="905"/>
    </row>
    <row r="22" spans="1:99">
      <c r="A22" s="924"/>
      <c r="B22" s="930"/>
      <c r="C22" s="915"/>
      <c r="D22" s="915"/>
      <c r="E22" s="915"/>
      <c r="F22" s="915"/>
      <c r="G22" s="915"/>
      <c r="H22" s="757">
        <v>0</v>
      </c>
      <c r="I22" s="757">
        <v>0</v>
      </c>
      <c r="J22" s="757">
        <v>0</v>
      </c>
      <c r="K22" s="757">
        <v>0</v>
      </c>
      <c r="L22" s="950">
        <v>0</v>
      </c>
      <c r="M22" s="810"/>
      <c r="N22" s="810"/>
      <c r="O22" s="810"/>
      <c r="P22" s="757"/>
      <c r="Q22" s="810"/>
      <c r="R22" s="810"/>
      <c r="S22" s="810"/>
      <c r="T22" s="810"/>
      <c r="U22" s="757"/>
      <c r="V22" s="758"/>
      <c r="W22" s="758"/>
      <c r="X22" s="758"/>
      <c r="Y22" s="758"/>
      <c r="Z22" s="757"/>
      <c r="AA22" s="758"/>
      <c r="AB22" s="758"/>
      <c r="AC22" s="758"/>
      <c r="AD22" s="758"/>
      <c r="AE22" s="757"/>
      <c r="AF22" s="758"/>
      <c r="AG22" s="758"/>
      <c r="AH22" s="758"/>
      <c r="AI22" s="758"/>
      <c r="AJ22" s="757"/>
      <c r="AK22" s="758"/>
      <c r="AL22" s="758"/>
      <c r="AM22" s="758"/>
      <c r="AN22" s="758"/>
      <c r="AO22" s="757"/>
      <c r="AP22" s="758"/>
      <c r="AQ22" s="758"/>
      <c r="AR22" s="758"/>
      <c r="AS22" s="758"/>
      <c r="AT22" s="757"/>
      <c r="AU22" s="758"/>
      <c r="AV22" s="758"/>
      <c r="AW22" s="758"/>
      <c r="AX22" s="758"/>
      <c r="AY22" s="757"/>
      <c r="AZ22" s="758"/>
      <c r="BA22" s="758"/>
      <c r="BB22" s="758"/>
      <c r="BC22" s="758"/>
      <c r="BD22" s="757"/>
      <c r="BE22" s="758"/>
      <c r="BF22" s="758"/>
      <c r="BG22" s="949"/>
      <c r="BH22" s="949"/>
      <c r="BI22" s="948"/>
      <c r="BJ22" s="758"/>
      <c r="BK22" s="758"/>
      <c r="BL22" s="758"/>
      <c r="BM22" s="758"/>
      <c r="BN22" s="757"/>
      <c r="BO22" s="758"/>
      <c r="BP22" s="758"/>
      <c r="BQ22" s="758"/>
      <c r="BR22" s="758"/>
      <c r="BS22" s="757"/>
      <c r="BT22" s="758"/>
      <c r="BU22" s="758"/>
      <c r="BV22" s="758"/>
      <c r="BW22" s="758"/>
      <c r="BX22" s="2072"/>
      <c r="BY22" s="758"/>
      <c r="BZ22" s="758"/>
      <c r="CA22" s="758"/>
      <c r="CB22" s="758"/>
      <c r="CC22" s="757"/>
      <c r="CD22" s="758"/>
      <c r="CE22" s="758"/>
      <c r="CF22" s="758"/>
      <c r="CG22" s="758"/>
      <c r="CH22" s="2088"/>
      <c r="CI22" s="757"/>
      <c r="CJ22" s="2072"/>
      <c r="CK22" s="2072"/>
      <c r="CL22" s="757"/>
      <c r="CM22" s="917"/>
      <c r="CN22" s="916"/>
      <c r="CO22" s="915"/>
    </row>
    <row r="23" spans="1:99">
      <c r="A23" s="924"/>
      <c r="B23" s="930"/>
      <c r="C23" s="915" t="s">
        <v>425</v>
      </c>
      <c r="D23" s="915"/>
      <c r="E23" s="915"/>
      <c r="F23" s="925"/>
      <c r="G23" s="925"/>
      <c r="H23" s="757">
        <v>-937</v>
      </c>
      <c r="I23" s="757">
        <v>-793</v>
      </c>
      <c r="J23" s="757">
        <v>-586</v>
      </c>
      <c r="K23" s="757">
        <v>-530</v>
      </c>
      <c r="L23" s="810">
        <v>-123</v>
      </c>
      <c r="M23" s="810">
        <v>-148</v>
      </c>
      <c r="N23" s="810">
        <v>-180</v>
      </c>
      <c r="O23" s="810">
        <v>-344</v>
      </c>
      <c r="P23" s="757">
        <v>-795</v>
      </c>
      <c r="Q23" s="810">
        <v>-152</v>
      </c>
      <c r="R23" s="810">
        <v>-183</v>
      </c>
      <c r="S23" s="810">
        <v>-249</v>
      </c>
      <c r="T23" s="810">
        <v>-345</v>
      </c>
      <c r="U23" s="757">
        <v>-929</v>
      </c>
      <c r="V23" s="758">
        <v>-201</v>
      </c>
      <c r="W23" s="758">
        <v>-218</v>
      </c>
      <c r="X23" s="758">
        <v>-184</v>
      </c>
      <c r="Y23" s="758">
        <v>-351</v>
      </c>
      <c r="Z23" s="757">
        <v>-954</v>
      </c>
      <c r="AA23" s="758">
        <v>-208</v>
      </c>
      <c r="AB23" s="758">
        <f>-459-AA23</f>
        <v>-251</v>
      </c>
      <c r="AC23" s="758">
        <f>-697-AB23-AA23</f>
        <v>-238</v>
      </c>
      <c r="AD23" s="758">
        <v>-456</v>
      </c>
      <c r="AE23" s="757">
        <v>-1153</v>
      </c>
      <c r="AF23" s="758">
        <v>-237</v>
      </c>
      <c r="AG23" s="758">
        <v>-305</v>
      </c>
      <c r="AH23" s="758">
        <v>-268</v>
      </c>
      <c r="AI23" s="758">
        <v>-406</v>
      </c>
      <c r="AJ23" s="757">
        <f>SUM(AF23:AI23)</f>
        <v>-1216</v>
      </c>
      <c r="AK23" s="758">
        <v>-167</v>
      </c>
      <c r="AL23" s="758">
        <v>-173</v>
      </c>
      <c r="AM23" s="758">
        <v>-161</v>
      </c>
      <c r="AN23" s="758">
        <v>-325</v>
      </c>
      <c r="AO23" s="757">
        <f>SUM(AK23:AN23)</f>
        <v>-826</v>
      </c>
      <c r="AP23" s="758">
        <v>-147</v>
      </c>
      <c r="AQ23" s="758">
        <f>-302-AP23</f>
        <v>-155</v>
      </c>
      <c r="AR23" s="758">
        <f>-479-AQ23-AP23</f>
        <v>-177</v>
      </c>
      <c r="AS23" s="758">
        <v>-386</v>
      </c>
      <c r="AT23" s="757">
        <f>SUM(AP23:AS23)</f>
        <v>-865</v>
      </c>
      <c r="AU23" s="758">
        <v>-171</v>
      </c>
      <c r="AV23" s="758">
        <f>-371-AU23</f>
        <v>-200</v>
      </c>
      <c r="AW23" s="758">
        <f>-570-AU23-AV23</f>
        <v>-199</v>
      </c>
      <c r="AX23" s="758">
        <f>-929-AU23-AV23-AW23</f>
        <v>-359</v>
      </c>
      <c r="AY23" s="757">
        <f>SUM(AU23:AX23)</f>
        <v>-929</v>
      </c>
      <c r="AZ23" s="758">
        <v>-188</v>
      </c>
      <c r="BA23" s="758">
        <f>-431-AZ23</f>
        <v>-243</v>
      </c>
      <c r="BB23" s="758">
        <f>-748-AZ23-BA23</f>
        <v>-317</v>
      </c>
      <c r="BC23" s="758">
        <f>-1389-BB23-BA23-AZ23</f>
        <v>-641</v>
      </c>
      <c r="BD23" s="757">
        <f>SUM(AZ23:BC23)</f>
        <v>-1389</v>
      </c>
      <c r="BE23" s="758">
        <v>-295</v>
      </c>
      <c r="BF23" s="758">
        <f>-664-BE23</f>
        <v>-369</v>
      </c>
      <c r="BG23" s="758">
        <v>-383</v>
      </c>
      <c r="BH23" s="758">
        <v>-641</v>
      </c>
      <c r="BI23" s="757">
        <f>SUM(BE23:BH23)</f>
        <v>-1688</v>
      </c>
      <c r="BJ23" s="758">
        <v>-333</v>
      </c>
      <c r="BK23" s="758">
        <v>-406</v>
      </c>
      <c r="BL23" s="758">
        <v>-415</v>
      </c>
      <c r="BM23" s="931">
        <v>-557</v>
      </c>
      <c r="BN23" s="757">
        <f>SUM(BJ23:BM23)</f>
        <v>-1711</v>
      </c>
      <c r="BO23" s="758">
        <v>-348</v>
      </c>
      <c r="BP23" s="758">
        <v>-358</v>
      </c>
      <c r="BQ23" s="758">
        <v>-390</v>
      </c>
      <c r="BR23" s="758">
        <v>-608</v>
      </c>
      <c r="BS23" s="757">
        <f>SUM(BO23:BR23)</f>
        <v>-1704</v>
      </c>
      <c r="BT23" s="758">
        <v>-286</v>
      </c>
      <c r="BU23" s="758">
        <v>-363</v>
      </c>
      <c r="BV23" s="758">
        <v>-394</v>
      </c>
      <c r="BW23" s="758">
        <v>-656</v>
      </c>
      <c r="BX23" s="2072">
        <f>SUM(BT23:BW23)</f>
        <v>-1699</v>
      </c>
      <c r="BY23" s="1886">
        <v>-325</v>
      </c>
      <c r="BZ23" s="1886">
        <v>-446</v>
      </c>
      <c r="CA23" s="1886">
        <v>-443</v>
      </c>
      <c r="CB23" s="758">
        <f>-'Divisional Summary'!CP166</f>
        <v>-459.7893642859608</v>
      </c>
      <c r="CC23" s="757">
        <f>-'Divisional Summary'!CQ166</f>
        <v>-1673.7893642859606</v>
      </c>
      <c r="CD23" s="758">
        <f>-'Divisional Summary'!CR166</f>
        <v>-433.02519047101589</v>
      </c>
      <c r="CE23" s="758">
        <f>-'Divisional Summary'!CS166</f>
        <v>-433.02519047101589</v>
      </c>
      <c r="CF23" s="758">
        <f>-'Divisional Summary'!CT166</f>
        <v>-433.02519047101589</v>
      </c>
      <c r="CG23" s="758">
        <f>-'Divisional Summary'!CU166</f>
        <v>-433.02519047101589</v>
      </c>
      <c r="CH23" s="2088">
        <f>-'Divisional Summary'!CV166</f>
        <v>-1732.1007618840636</v>
      </c>
      <c r="CI23" s="757">
        <f>-'Divisional Summary'!CW166</f>
        <v>-1679.3050242212528</v>
      </c>
      <c r="CJ23" s="2072">
        <f>-'Divisional Summary'!CX166</f>
        <v>-1665.6661025972023</v>
      </c>
      <c r="CK23" s="2072">
        <f>-'Divisional Summary'!CY166</f>
        <v>-1731.6349945085376</v>
      </c>
      <c r="CL23" s="757"/>
      <c r="CM23" s="917"/>
      <c r="CN23" s="916"/>
      <c r="CO23" s="915"/>
    </row>
    <row r="24" spans="1:99">
      <c r="A24" s="924"/>
      <c r="B24" s="930"/>
      <c r="C24" s="922" t="s">
        <v>473</v>
      </c>
      <c r="D24" s="922"/>
      <c r="E24" s="922"/>
      <c r="F24" s="921"/>
      <c r="G24" s="921"/>
      <c r="H24" s="918">
        <v>0</v>
      </c>
      <c r="I24" s="918">
        <v>0</v>
      </c>
      <c r="J24" s="918">
        <v>0</v>
      </c>
      <c r="K24" s="918">
        <v>0</v>
      </c>
      <c r="L24" s="920">
        <v>0</v>
      </c>
      <c r="M24" s="920"/>
      <c r="N24" s="920"/>
      <c r="O24" s="920">
        <v>0</v>
      </c>
      <c r="P24" s="918"/>
      <c r="Q24" s="920"/>
      <c r="R24" s="920"/>
      <c r="S24" s="920"/>
      <c r="T24" s="920">
        <v>0</v>
      </c>
      <c r="U24" s="918"/>
      <c r="V24" s="919"/>
      <c r="W24" s="919"/>
      <c r="X24" s="919"/>
      <c r="Y24" s="919">
        <f>Z24-SUM(V24:X24)</f>
        <v>0</v>
      </c>
      <c r="Z24" s="918"/>
      <c r="AA24" s="919"/>
      <c r="AB24" s="919"/>
      <c r="AC24" s="919"/>
      <c r="AD24" s="919">
        <f>AE24-SUM(AA24:AC24)</f>
        <v>0</v>
      </c>
      <c r="AE24" s="918"/>
      <c r="AF24" s="919"/>
      <c r="AG24" s="919"/>
      <c r="AH24" s="919"/>
      <c r="AI24" s="919"/>
      <c r="AJ24" s="918"/>
      <c r="AK24" s="919"/>
      <c r="AL24" s="919"/>
      <c r="AM24" s="919"/>
      <c r="AN24" s="919"/>
      <c r="AO24" s="918"/>
      <c r="AP24" s="919"/>
      <c r="AQ24" s="919"/>
      <c r="AR24" s="919"/>
      <c r="AS24" s="919"/>
      <c r="AT24" s="918"/>
      <c r="AU24" s="919"/>
      <c r="AV24" s="919"/>
      <c r="AW24" s="919"/>
      <c r="AX24" s="919"/>
      <c r="AY24" s="918"/>
      <c r="AZ24" s="919">
        <v>0</v>
      </c>
      <c r="BA24" s="919">
        <v>0</v>
      </c>
      <c r="BB24" s="919">
        <v>0</v>
      </c>
      <c r="BC24" s="919">
        <f>0-BB24-BA24-AZ24</f>
        <v>0</v>
      </c>
      <c r="BD24" s="918">
        <f>SUM(AZ24:BC24)</f>
        <v>0</v>
      </c>
      <c r="BE24" s="919">
        <v>0</v>
      </c>
      <c r="BF24" s="919">
        <v>0</v>
      </c>
      <c r="BG24" s="919">
        <v>0</v>
      </c>
      <c r="BH24" s="919">
        <v>0</v>
      </c>
      <c r="BI24" s="918">
        <f>SUM(BE24:BH24)</f>
        <v>0</v>
      </c>
      <c r="BJ24" s="919">
        <v>0</v>
      </c>
      <c r="BK24" s="919">
        <v>0</v>
      </c>
      <c r="BL24" s="919">
        <v>0</v>
      </c>
      <c r="BM24" s="919">
        <v>0</v>
      </c>
      <c r="BN24" s="918">
        <f>SUM(BJ24:BM24)</f>
        <v>0</v>
      </c>
      <c r="BO24" s="919"/>
      <c r="BP24" s="919"/>
      <c r="BQ24" s="919"/>
      <c r="BR24" s="919"/>
      <c r="BS24" s="918"/>
      <c r="BT24" s="919"/>
      <c r="BU24" s="919"/>
      <c r="BV24" s="919"/>
      <c r="BW24" s="919"/>
      <c r="BX24" s="2076"/>
      <c r="BY24" s="919"/>
      <c r="BZ24" s="919"/>
      <c r="CA24" s="919"/>
      <c r="CB24" s="919"/>
      <c r="CC24" s="918"/>
      <c r="CD24" s="919"/>
      <c r="CE24" s="919"/>
      <c r="CF24" s="919"/>
      <c r="CG24" s="919"/>
      <c r="CH24" s="2089"/>
      <c r="CI24" s="918"/>
      <c r="CJ24" s="2076"/>
      <c r="CK24" s="2076"/>
      <c r="CL24" s="757"/>
      <c r="CM24" s="917"/>
      <c r="CN24" s="916"/>
      <c r="CO24" s="915"/>
    </row>
    <row r="25" spans="1:99">
      <c r="A25" s="914"/>
      <c r="B25" s="914"/>
      <c r="C25" s="914" t="s">
        <v>472</v>
      </c>
      <c r="D25" s="905"/>
      <c r="E25" s="905"/>
      <c r="F25" s="926"/>
      <c r="G25" s="926"/>
      <c r="H25" s="814">
        <v>1566</v>
      </c>
      <c r="I25" s="814">
        <v>2092</v>
      </c>
      <c r="J25" s="814">
        <v>2267</v>
      </c>
      <c r="K25" s="814">
        <v>2345</v>
      </c>
      <c r="L25" s="816">
        <v>637</v>
      </c>
      <c r="M25" s="816">
        <v>946</v>
      </c>
      <c r="N25" s="816">
        <v>741</v>
      </c>
      <c r="O25" s="816">
        <v>551</v>
      </c>
      <c r="P25" s="814">
        <v>2904</v>
      </c>
      <c r="Q25" s="816">
        <v>694</v>
      </c>
      <c r="R25" s="816">
        <v>1005</v>
      </c>
      <c r="S25" s="816">
        <v>906</v>
      </c>
      <c r="T25" s="816">
        <v>800</v>
      </c>
      <c r="U25" s="814">
        <v>3405</v>
      </c>
      <c r="V25" s="815">
        <f t="shared" ref="V25:BA25" si="8">V21+V23+V24</f>
        <v>774</v>
      </c>
      <c r="W25" s="815">
        <f t="shared" si="8"/>
        <v>594</v>
      </c>
      <c r="X25" s="815">
        <f t="shared" si="8"/>
        <v>1177</v>
      </c>
      <c r="Y25" s="815">
        <f t="shared" si="8"/>
        <v>1304</v>
      </c>
      <c r="Z25" s="814">
        <f t="shared" si="8"/>
        <v>3849</v>
      </c>
      <c r="AA25" s="815">
        <f t="shared" si="8"/>
        <v>245</v>
      </c>
      <c r="AB25" s="815">
        <f t="shared" si="8"/>
        <v>1198</v>
      </c>
      <c r="AC25" s="815">
        <f t="shared" si="8"/>
        <v>1145</v>
      </c>
      <c r="AD25" s="815">
        <f t="shared" si="8"/>
        <v>1589</v>
      </c>
      <c r="AE25" s="814">
        <f t="shared" si="8"/>
        <v>4177</v>
      </c>
      <c r="AF25" s="815">
        <f t="shared" si="8"/>
        <v>651</v>
      </c>
      <c r="AG25" s="815">
        <f t="shared" si="8"/>
        <v>1113</v>
      </c>
      <c r="AH25" s="815">
        <f t="shared" si="8"/>
        <v>1567</v>
      </c>
      <c r="AI25" s="815">
        <f t="shared" si="8"/>
        <v>1614</v>
      </c>
      <c r="AJ25" s="814">
        <f t="shared" si="8"/>
        <v>4945</v>
      </c>
      <c r="AK25" s="815">
        <f t="shared" si="8"/>
        <v>318</v>
      </c>
      <c r="AL25" s="815">
        <f t="shared" si="8"/>
        <v>1367</v>
      </c>
      <c r="AM25" s="815">
        <f t="shared" si="8"/>
        <v>1692</v>
      </c>
      <c r="AN25" s="815">
        <f t="shared" si="8"/>
        <v>1150</v>
      </c>
      <c r="AO25" s="814">
        <f t="shared" si="8"/>
        <v>4527</v>
      </c>
      <c r="AP25" s="815">
        <f t="shared" si="8"/>
        <v>1007</v>
      </c>
      <c r="AQ25" s="815">
        <f t="shared" si="8"/>
        <v>1245</v>
      </c>
      <c r="AR25" s="815">
        <f t="shared" si="8"/>
        <v>1499</v>
      </c>
      <c r="AS25" s="815">
        <f t="shared" si="8"/>
        <v>1290</v>
      </c>
      <c r="AT25" s="814">
        <f t="shared" si="8"/>
        <v>5041</v>
      </c>
      <c r="AU25" s="815">
        <f t="shared" si="8"/>
        <v>1149</v>
      </c>
      <c r="AV25" s="815">
        <f t="shared" si="8"/>
        <v>1123</v>
      </c>
      <c r="AW25" s="815">
        <f t="shared" si="8"/>
        <v>1708</v>
      </c>
      <c r="AX25" s="815">
        <f t="shared" si="8"/>
        <v>1551</v>
      </c>
      <c r="AY25" s="814">
        <f t="shared" si="8"/>
        <v>5531</v>
      </c>
      <c r="AZ25" s="815">
        <f t="shared" si="8"/>
        <v>1124</v>
      </c>
      <c r="BA25" s="815">
        <f t="shared" si="8"/>
        <v>1471</v>
      </c>
      <c r="BB25" s="815">
        <f t="shared" ref="BB25:CH25" si="9">BB21+BB23+BB24</f>
        <v>1308</v>
      </c>
      <c r="BC25" s="815">
        <f t="shared" si="9"/>
        <v>1313</v>
      </c>
      <c r="BD25" s="814">
        <f t="shared" si="9"/>
        <v>5216</v>
      </c>
      <c r="BE25" s="815">
        <f t="shared" si="9"/>
        <v>1114</v>
      </c>
      <c r="BF25" s="815">
        <f t="shared" si="9"/>
        <v>1570</v>
      </c>
      <c r="BG25" s="815">
        <f t="shared" si="9"/>
        <v>1160</v>
      </c>
      <c r="BH25" s="815">
        <f t="shared" si="9"/>
        <v>1972</v>
      </c>
      <c r="BI25" s="814">
        <f t="shared" si="9"/>
        <v>5816</v>
      </c>
      <c r="BJ25" s="815">
        <f t="shared" si="9"/>
        <v>1002</v>
      </c>
      <c r="BK25" s="815">
        <f t="shared" si="9"/>
        <v>1336</v>
      </c>
      <c r="BL25" s="815">
        <f t="shared" si="9"/>
        <v>1533</v>
      </c>
      <c r="BM25" s="815">
        <f t="shared" si="9"/>
        <v>1753</v>
      </c>
      <c r="BN25" s="814">
        <f t="shared" si="9"/>
        <v>5624</v>
      </c>
      <c r="BO25" s="815">
        <f t="shared" si="9"/>
        <v>962</v>
      </c>
      <c r="BP25" s="815">
        <f t="shared" si="9"/>
        <v>1178</v>
      </c>
      <c r="BQ25" s="815">
        <f t="shared" si="9"/>
        <v>631</v>
      </c>
      <c r="BR25" s="815">
        <f t="shared" si="9"/>
        <v>2046</v>
      </c>
      <c r="BS25" s="814">
        <f t="shared" si="9"/>
        <v>4817</v>
      </c>
      <c r="BT25" s="815">
        <f t="shared" si="9"/>
        <v>509</v>
      </c>
      <c r="BU25" s="815">
        <f t="shared" si="9"/>
        <v>1413</v>
      </c>
      <c r="BV25" s="815">
        <f t="shared" si="9"/>
        <v>1557</v>
      </c>
      <c r="BW25" s="815">
        <f t="shared" si="9"/>
        <v>1189</v>
      </c>
      <c r="BX25" s="2075">
        <f>BX21+BX23+BX24</f>
        <v>4713</v>
      </c>
      <c r="BY25" s="815">
        <f>BY21+BY23+BY24</f>
        <v>668</v>
      </c>
      <c r="BZ25" s="815">
        <f>BZ21+BZ23+BZ24</f>
        <v>1700</v>
      </c>
      <c r="CA25" s="815">
        <f>CA21+CA23+CA24</f>
        <v>-472</v>
      </c>
      <c r="CB25" s="815">
        <f>CB21+CB23+CB24</f>
        <v>1765.9681615828226</v>
      </c>
      <c r="CC25" s="814">
        <f t="shared" si="9"/>
        <v>3661.9681615828222</v>
      </c>
      <c r="CD25" s="815">
        <f>CD21+CD23+CD24</f>
        <v>485.04900479765308</v>
      </c>
      <c r="CE25" s="815">
        <f>CE21+CE23+CE24</f>
        <v>1385.9184275819775</v>
      </c>
      <c r="CF25" s="815">
        <f>CF21+CF23+CF24</f>
        <v>1660.6184735383054</v>
      </c>
      <c r="CG25" s="815">
        <f>CG21+CG23+CG24</f>
        <v>1927.3919899982766</v>
      </c>
      <c r="CH25" s="2090">
        <f t="shared" si="9"/>
        <v>5458.9778959162177</v>
      </c>
      <c r="CI25" s="2075">
        <f>CI21+CI23+CI24</f>
        <v>6710.8469054655443</v>
      </c>
      <c r="CJ25" s="2075">
        <f>CJ21+CJ23+CJ24</f>
        <v>7367.3232845581788</v>
      </c>
      <c r="CK25" s="2075">
        <f>CK21+CK23+CK24</f>
        <v>7705.5144146395569</v>
      </c>
      <c r="CL25" s="814"/>
      <c r="CM25" s="907"/>
      <c r="CN25" s="906"/>
      <c r="CO25" s="905"/>
    </row>
    <row r="26" spans="1:99" s="167" customFormat="1" ht="13.5">
      <c r="A26" s="945"/>
      <c r="B26" s="945"/>
      <c r="C26" s="166" t="s">
        <v>219</v>
      </c>
      <c r="D26" s="936"/>
      <c r="E26" s="936"/>
      <c r="F26" s="944"/>
      <c r="G26" s="944"/>
      <c r="H26" s="942"/>
      <c r="I26" s="942"/>
      <c r="J26" s="942"/>
      <c r="K26" s="942"/>
      <c r="L26" s="943"/>
      <c r="M26" s="943"/>
      <c r="N26" s="943"/>
      <c r="O26" s="943"/>
      <c r="P26" s="942"/>
      <c r="Q26" s="943"/>
      <c r="R26" s="943"/>
      <c r="S26" s="943"/>
      <c r="T26" s="943"/>
      <c r="U26" s="942"/>
      <c r="V26" s="941"/>
      <c r="W26" s="941"/>
      <c r="X26" s="941"/>
      <c r="Y26" s="941"/>
      <c r="Z26" s="942"/>
      <c r="AA26" s="941"/>
      <c r="AB26" s="941"/>
      <c r="AC26" s="941"/>
      <c r="AD26" s="941"/>
      <c r="AE26" s="942"/>
      <c r="AF26" s="941"/>
      <c r="AG26" s="941"/>
      <c r="AH26" s="941"/>
      <c r="AI26" s="941"/>
      <c r="AJ26" s="939">
        <f>AJ25/CF!AJ12</f>
        <v>1.0545958626572831</v>
      </c>
      <c r="AK26" s="940">
        <f>AK25/CF!AK12</f>
        <v>0.43869027500913937</v>
      </c>
      <c r="AL26" s="940">
        <f>AL25/CF!AL12</f>
        <v>1.4040529575497378</v>
      </c>
      <c r="AM26" s="940">
        <f>AM25/CF!AM12</f>
        <v>1.6002572517567837</v>
      </c>
      <c r="AN26" s="940">
        <f>AN25/CF!AN12</f>
        <v>1.0713520462824082</v>
      </c>
      <c r="AO26" s="939">
        <f>AO25/CF!AO12</f>
        <v>1.1822204696238283</v>
      </c>
      <c r="AP26" s="940">
        <f>AP25/CF!AP12</f>
        <v>1.1628175519630486</v>
      </c>
      <c r="AQ26" s="940">
        <f>AQ25/CF!AQ12</f>
        <v>1.1216216216216217</v>
      </c>
      <c r="AR26" s="940">
        <f>AR25/CF!AR12</f>
        <v>1.2512520868113524</v>
      </c>
      <c r="AS26" s="940">
        <f>AS25/CF!AS12</f>
        <v>1.0758965804837364</v>
      </c>
      <c r="AT26" s="939">
        <f>AT25/CF!AT12</f>
        <v>1.1527555453921794</v>
      </c>
      <c r="AU26" s="940">
        <f>AU25/CF!AU12</f>
        <v>1.1833161688980434</v>
      </c>
      <c r="AV26" s="940">
        <f>AV25/CF!AV12</f>
        <v>0.87392996108949417</v>
      </c>
      <c r="AW26" s="940">
        <f>AW25/CF!AW12</f>
        <v>1.3271173271173271</v>
      </c>
      <c r="AX26" s="940">
        <f>AX25/CF!AX12</f>
        <v>1.2136150234741785</v>
      </c>
      <c r="AY26" s="939">
        <f>AY25/CF!AY12</f>
        <v>1.1472723501348268</v>
      </c>
      <c r="AZ26" s="940">
        <f>AZ25/CF!AZ12</f>
        <v>0.94692502106149956</v>
      </c>
      <c r="BA26" s="940">
        <f>BA25/CF!BA12</f>
        <v>1.0047814207650274</v>
      </c>
      <c r="BB26" s="940">
        <f>BB25/CF!BB12</f>
        <v>1.0506024096385542</v>
      </c>
      <c r="BC26" s="940">
        <f>BC25/CF!BC12</f>
        <v>1.3908898305084745</v>
      </c>
      <c r="BD26" s="939">
        <f>BD25/CF!BD12</f>
        <v>1.0776859504132232</v>
      </c>
      <c r="BE26" s="940">
        <f>BE25/CF!BE12</f>
        <v>0.87716535433070864</v>
      </c>
      <c r="BF26" s="940">
        <f>BF25/CF!BF12</f>
        <v>1.0115979381443299</v>
      </c>
      <c r="BG26" s="940">
        <f>BG25/CF!BG12</f>
        <v>0.81978798586572443</v>
      </c>
      <c r="BH26" s="940">
        <f>BH25/CF!BH12</f>
        <v>1.3609385783298826</v>
      </c>
      <c r="BI26" s="939">
        <f>BI25/CF!BI12</f>
        <v>1.0228631727048891</v>
      </c>
      <c r="BJ26" s="940">
        <f>BJ25/CF!BJ12</f>
        <v>0.82605111294311628</v>
      </c>
      <c r="BK26" s="940">
        <f>BK25/CF!BK12</f>
        <v>0.79523809523809519</v>
      </c>
      <c r="BL26" s="940">
        <f>BL25/CF!BL12</f>
        <v>0.82686084142394822</v>
      </c>
      <c r="BM26" s="940">
        <f>BM25/CF!BM12</f>
        <v>1.1900882552613714</v>
      </c>
      <c r="BN26" s="939">
        <f>BN25/IS!CB70</f>
        <v>0.9041800643086817</v>
      </c>
      <c r="BO26" s="940">
        <f>BO25/IS!CC81</f>
        <v>0.73787718410112446</v>
      </c>
      <c r="BP26" s="940">
        <f>BP25/IS!CD81</f>
        <v>0.77948202162433999</v>
      </c>
      <c r="BQ26" s="940">
        <f>BQ25/IS!CE81</f>
        <v>0.42675623773416455</v>
      </c>
      <c r="BR26" s="940">
        <f>BR25/IS!CF81</f>
        <v>1.576271186440678</v>
      </c>
      <c r="BS26" s="939">
        <f>BS25/IS!CG81</f>
        <v>0.86147141771510594</v>
      </c>
      <c r="BT26" s="940">
        <f>BT25/IS!CH70</f>
        <v>0.43135593220338986</v>
      </c>
      <c r="BU26" s="940">
        <f>BU25/IS!CI70</f>
        <v>0.99507042253521127</v>
      </c>
      <c r="BV26" s="940">
        <f>BV25/IS!CJ70</f>
        <v>1.0790020790020789</v>
      </c>
      <c r="BW26" s="940">
        <f>BW25/IS!CK70</f>
        <v>1.1611328125</v>
      </c>
      <c r="BX26" s="2077">
        <f>BX25/IS!CL70</f>
        <v>0.93013617525162817</v>
      </c>
      <c r="BY26" s="940">
        <f>BY25/CF!BY12</f>
        <v>0.48196248196248198</v>
      </c>
      <c r="BZ26" s="940">
        <f>BZ25/CF!BZ12</f>
        <v>1.1813759555246699</v>
      </c>
      <c r="CA26" s="940">
        <f>CA25/CF!CA12</f>
        <v>-0.35488721804511281</v>
      </c>
      <c r="CB26" s="940">
        <f>CB25/CF!CB12</f>
        <v>1.5053507863286577</v>
      </c>
      <c r="CC26" s="939">
        <f>CC25/IS!CQ70</f>
        <v>0.68728991048557697</v>
      </c>
      <c r="CD26" s="940">
        <f>CD25/CF!CD12</f>
        <v>0.42281056473376294</v>
      </c>
      <c r="CE26" s="940">
        <f>CE25/CF!CE12</f>
        <v>0.96667194257660649</v>
      </c>
      <c r="CF26" s="940">
        <f>CF25/CF!CF12</f>
        <v>1.1447443973450524</v>
      </c>
      <c r="CG26" s="940">
        <f>CG25/CF!CG12</f>
        <v>1.4864168306485264</v>
      </c>
      <c r="CH26" s="2091">
        <f>CH25/IS!CV70</f>
        <v>1.0245556220796033</v>
      </c>
      <c r="CI26" s="2077">
        <f>CI25/IS!CW70</f>
        <v>1.1050429294349571</v>
      </c>
      <c r="CJ26" s="2077">
        <f>CJ25/IS!CX70</f>
        <v>1.1026244162204779</v>
      </c>
      <c r="CK26" s="2077">
        <f>CK25/IS!CY70</f>
        <v>1.0946303754592674</v>
      </c>
      <c r="CL26" s="939"/>
      <c r="CM26" s="938"/>
      <c r="CN26" s="937"/>
      <c r="CO26" s="936"/>
      <c r="CP26"/>
      <c r="CQ26"/>
      <c r="CR26"/>
      <c r="CS26"/>
      <c r="CT26"/>
      <c r="CU26"/>
    </row>
    <row r="27" spans="1:99">
      <c r="A27" s="924"/>
      <c r="B27" s="930"/>
      <c r="C27" s="915"/>
      <c r="D27" s="915"/>
      <c r="E27" s="915"/>
      <c r="F27" s="925"/>
      <c r="G27" s="925"/>
      <c r="H27" s="757"/>
      <c r="I27" s="757"/>
      <c r="J27" s="757"/>
      <c r="K27" s="757"/>
      <c r="L27" s="810"/>
      <c r="M27" s="810"/>
      <c r="N27" s="810"/>
      <c r="O27" s="810"/>
      <c r="P27" s="757"/>
      <c r="Q27" s="810"/>
      <c r="R27" s="810"/>
      <c r="S27" s="810"/>
      <c r="T27" s="810"/>
      <c r="U27" s="757"/>
      <c r="V27" s="758"/>
      <c r="W27" s="758"/>
      <c r="X27" s="758"/>
      <c r="Y27" s="758"/>
      <c r="Z27" s="757"/>
      <c r="AA27" s="758"/>
      <c r="AB27" s="758"/>
      <c r="AC27" s="758"/>
      <c r="AD27" s="758"/>
      <c r="AE27" s="757"/>
      <c r="AF27" s="758"/>
      <c r="AG27" s="758"/>
      <c r="AH27" s="819"/>
      <c r="AI27" s="819"/>
      <c r="AJ27" s="757"/>
      <c r="AK27" s="819"/>
      <c r="AL27" s="819"/>
      <c r="AM27" s="819"/>
      <c r="AN27" s="758"/>
      <c r="AO27" s="757"/>
      <c r="AP27" s="819"/>
      <c r="AQ27" s="758"/>
      <c r="AR27" s="758"/>
      <c r="AS27" s="758"/>
      <c r="AT27" s="757"/>
      <c r="AU27" s="758"/>
      <c r="AV27" s="758"/>
      <c r="AW27" s="758"/>
      <c r="AX27" s="758"/>
      <c r="AY27" s="757"/>
      <c r="AZ27" s="758"/>
      <c r="BA27" s="758"/>
      <c r="BB27" s="758"/>
      <c r="BC27" s="758"/>
      <c r="BD27" s="757"/>
      <c r="BE27" s="758"/>
      <c r="BF27" s="758"/>
      <c r="BG27" s="758"/>
      <c r="BH27" s="758"/>
      <c r="BI27" s="788"/>
      <c r="BJ27" s="758"/>
      <c r="BK27" s="758"/>
      <c r="BL27" s="758"/>
      <c r="BM27" s="758"/>
      <c r="BN27" s="935"/>
      <c r="BO27" s="758"/>
      <c r="BP27" s="758"/>
      <c r="BQ27" s="947"/>
      <c r="BR27" s="758"/>
      <c r="BS27" s="935"/>
      <c r="BT27" s="758"/>
      <c r="BU27" s="758"/>
      <c r="BV27" s="947"/>
      <c r="BW27" s="758"/>
      <c r="BX27" s="935"/>
      <c r="BY27" s="758"/>
      <c r="BZ27" s="758"/>
      <c r="CA27" s="758"/>
      <c r="CB27" s="758"/>
      <c r="CC27" s="757"/>
      <c r="CD27" s="758"/>
      <c r="CE27" s="758"/>
      <c r="CF27" s="758"/>
      <c r="CG27" s="758"/>
      <c r="CH27" s="2088"/>
      <c r="CI27" s="757"/>
      <c r="CJ27" s="2072"/>
      <c r="CK27" s="2072"/>
      <c r="CL27" s="757"/>
      <c r="CM27" s="917"/>
      <c r="CN27" s="916"/>
      <c r="CO27" s="915"/>
    </row>
    <row r="28" spans="1:99">
      <c r="A28" s="924"/>
      <c r="B28" s="930"/>
      <c r="C28" s="922" t="s">
        <v>221</v>
      </c>
      <c r="D28" s="922"/>
      <c r="E28" s="922"/>
      <c r="F28" s="921"/>
      <c r="G28" s="921"/>
      <c r="H28" s="918"/>
      <c r="I28" s="918"/>
      <c r="J28" s="918"/>
      <c r="K28" s="918"/>
      <c r="L28" s="920"/>
      <c r="M28" s="920"/>
      <c r="N28" s="920"/>
      <c r="O28" s="920"/>
      <c r="P28" s="918"/>
      <c r="Q28" s="920"/>
      <c r="R28" s="920"/>
      <c r="S28" s="920"/>
      <c r="T28" s="920"/>
      <c r="U28" s="918"/>
      <c r="V28" s="919"/>
      <c r="W28" s="919"/>
      <c r="X28" s="919"/>
      <c r="Y28" s="919"/>
      <c r="Z28" s="918"/>
      <c r="AA28" s="919"/>
      <c r="AB28" s="919"/>
      <c r="AC28" s="919"/>
      <c r="AD28" s="919"/>
      <c r="AE28" s="918"/>
      <c r="AF28" s="919"/>
      <c r="AG28" s="919"/>
      <c r="AH28" s="927"/>
      <c r="AI28" s="927"/>
      <c r="AJ28" s="918"/>
      <c r="AK28" s="927"/>
      <c r="AL28" s="927"/>
      <c r="AM28" s="927"/>
      <c r="AN28" s="919"/>
      <c r="AO28" s="918"/>
      <c r="AP28" s="927"/>
      <c r="AQ28" s="919"/>
      <c r="AR28" s="919"/>
      <c r="AS28" s="919"/>
      <c r="AT28" s="918"/>
      <c r="AU28" s="919"/>
      <c r="AV28" s="919"/>
      <c r="AW28" s="919"/>
      <c r="AX28" s="919"/>
      <c r="AY28" s="918"/>
      <c r="AZ28" s="919">
        <v>0</v>
      </c>
      <c r="BA28" s="919">
        <v>-1244</v>
      </c>
      <c r="BB28" s="919">
        <f>-1394-SUM(AZ28:BA28)</f>
        <v>-150</v>
      </c>
      <c r="BC28" s="919">
        <v>-149</v>
      </c>
      <c r="BD28" s="918">
        <f>SUM(AZ28:BC28)</f>
        <v>-1543</v>
      </c>
      <c r="BE28" s="919">
        <v>-157</v>
      </c>
      <c r="BF28" s="919">
        <f>-300-BE28</f>
        <v>-143</v>
      </c>
      <c r="BG28" s="919">
        <f>-547-BF28-BE28</f>
        <v>-247</v>
      </c>
      <c r="BH28" s="919">
        <f>-722-SUM(BE28:BG28)</f>
        <v>-175</v>
      </c>
      <c r="BI28" s="918">
        <f>SUM(BE28:BH28)</f>
        <v>-722</v>
      </c>
      <c r="BJ28" s="919">
        <v>-142</v>
      </c>
      <c r="BK28" s="919">
        <v>-165</v>
      </c>
      <c r="BL28" s="919">
        <f>-459-SUM(BJ28:BK28)</f>
        <v>-152</v>
      </c>
      <c r="BM28" s="928">
        <v>-134</v>
      </c>
      <c r="BN28" s="918">
        <f>SUM(BJ28:BM28)</f>
        <v>-593</v>
      </c>
      <c r="BO28" s="919">
        <v>-132</v>
      </c>
      <c r="BP28" s="919">
        <v>-115</v>
      </c>
      <c r="BQ28" s="919">
        <v>-84</v>
      </c>
      <c r="BR28" s="919">
        <v>-106</v>
      </c>
      <c r="BS28" s="2076">
        <f>SUM(BO28:BR28)</f>
        <v>-437</v>
      </c>
      <c r="BT28" s="919">
        <v>-98</v>
      </c>
      <c r="BU28" s="919">
        <v>-101</v>
      </c>
      <c r="BV28" s="919">
        <v>-102</v>
      </c>
      <c r="BW28" s="919">
        <v>-79</v>
      </c>
      <c r="BX28" s="2076">
        <f>SUM(BT28:BW28)</f>
        <v>-380</v>
      </c>
      <c r="BY28" s="2289">
        <v>-101</v>
      </c>
      <c r="BZ28" s="2289">
        <v>-94</v>
      </c>
      <c r="CA28" s="2289">
        <v>-95</v>
      </c>
      <c r="CB28" s="919">
        <f>-Pratt!CT159</f>
        <v>-95</v>
      </c>
      <c r="CC28" s="918">
        <f>-Pratt!CU159</f>
        <v>-385</v>
      </c>
      <c r="CD28" s="919">
        <f>CH28/4</f>
        <v>-96.477907894736845</v>
      </c>
      <c r="CE28" s="919">
        <f>CD28</f>
        <v>-96.477907894736845</v>
      </c>
      <c r="CF28" s="919">
        <f>CE28</f>
        <v>-96.477907894736845</v>
      </c>
      <c r="CG28" s="919">
        <f>CF28</f>
        <v>-96.477907894736845</v>
      </c>
      <c r="CH28" s="2089">
        <f>-Pratt!CZ$159</f>
        <v>-385.91163157894738</v>
      </c>
      <c r="CI28" s="2076">
        <f>-Pratt!DA$159</f>
        <v>-385.91163157894738</v>
      </c>
      <c r="CJ28" s="2076">
        <f>-Pratt!DB$159</f>
        <v>-382.05251526315789</v>
      </c>
      <c r="CK28" s="2076">
        <f>-Pratt!DC$159</f>
        <v>-370.59093980526313</v>
      </c>
      <c r="CL28" s="757"/>
      <c r="CM28" s="917"/>
      <c r="CN28" s="916"/>
      <c r="CO28" s="915"/>
    </row>
    <row r="29" spans="1:99">
      <c r="A29" s="924"/>
      <c r="B29" s="930"/>
      <c r="C29" s="905" t="s">
        <v>220</v>
      </c>
      <c r="D29" s="915"/>
      <c r="E29" s="915"/>
      <c r="F29" s="925"/>
      <c r="G29" s="925"/>
      <c r="H29" s="757"/>
      <c r="I29" s="757"/>
      <c r="J29" s="757"/>
      <c r="K29" s="757"/>
      <c r="L29" s="810"/>
      <c r="M29" s="810"/>
      <c r="N29" s="810"/>
      <c r="O29" s="810"/>
      <c r="P29" s="757"/>
      <c r="Q29" s="810"/>
      <c r="R29" s="810"/>
      <c r="S29" s="810"/>
      <c r="T29" s="810"/>
      <c r="U29" s="757"/>
      <c r="V29" s="758"/>
      <c r="W29" s="758"/>
      <c r="X29" s="758"/>
      <c r="Y29" s="758"/>
      <c r="Z29" s="757"/>
      <c r="AA29" s="758"/>
      <c r="AB29" s="758"/>
      <c r="AC29" s="758"/>
      <c r="AD29" s="758"/>
      <c r="AE29" s="757"/>
      <c r="AF29" s="758"/>
      <c r="AG29" s="758"/>
      <c r="AH29" s="819"/>
      <c r="AI29" s="819"/>
      <c r="AJ29" s="757"/>
      <c r="AK29" s="819"/>
      <c r="AL29" s="819"/>
      <c r="AM29" s="819"/>
      <c r="AN29" s="758"/>
      <c r="AO29" s="757"/>
      <c r="AP29" s="819"/>
      <c r="AQ29" s="758"/>
      <c r="AR29" s="758"/>
      <c r="AS29" s="758"/>
      <c r="AT29" s="757"/>
      <c r="AU29" s="758"/>
      <c r="AV29" s="758"/>
      <c r="AW29" s="758"/>
      <c r="AX29" s="758"/>
      <c r="AY29" s="757"/>
      <c r="AZ29" s="815">
        <f t="shared" ref="AZ29:BH29" si="10">AZ28+AZ25</f>
        <v>1124</v>
      </c>
      <c r="BA29" s="815">
        <f t="shared" si="10"/>
        <v>227</v>
      </c>
      <c r="BB29" s="815">
        <f t="shared" si="10"/>
        <v>1158</v>
      </c>
      <c r="BC29" s="815">
        <f t="shared" si="10"/>
        <v>1164</v>
      </c>
      <c r="BD29" s="814">
        <f t="shared" si="10"/>
        <v>3673</v>
      </c>
      <c r="BE29" s="815">
        <f t="shared" si="10"/>
        <v>957</v>
      </c>
      <c r="BF29" s="815">
        <f t="shared" si="10"/>
        <v>1427</v>
      </c>
      <c r="BG29" s="815">
        <f t="shared" si="10"/>
        <v>913</v>
      </c>
      <c r="BH29" s="815">
        <f t="shared" si="10"/>
        <v>1797</v>
      </c>
      <c r="BI29" s="814">
        <f>BI25+BI28</f>
        <v>5094</v>
      </c>
      <c r="BJ29" s="815">
        <f>BJ28+BJ25</f>
        <v>860</v>
      </c>
      <c r="BK29" s="815">
        <f>BK28+BK25</f>
        <v>1171</v>
      </c>
      <c r="BL29" s="815">
        <f>BL28+BL25</f>
        <v>1381</v>
      </c>
      <c r="BM29" s="815">
        <f>BM28+BM25</f>
        <v>1619</v>
      </c>
      <c r="BN29" s="946">
        <f>SUM(BJ29:BM29)</f>
        <v>5031</v>
      </c>
      <c r="BO29" s="815">
        <f>BO28+BO25</f>
        <v>830</v>
      </c>
      <c r="BP29" s="815">
        <f>BP28+BP25</f>
        <v>1063</v>
      </c>
      <c r="BQ29" s="815">
        <f>BQ28+BQ25</f>
        <v>547</v>
      </c>
      <c r="BR29" s="815">
        <f>BR28+BR25</f>
        <v>1940</v>
      </c>
      <c r="BS29" s="946">
        <f>SUM(BO29:BR29)</f>
        <v>4380</v>
      </c>
      <c r="BT29" s="815">
        <f>BT28+BT25</f>
        <v>411</v>
      </c>
      <c r="BU29" s="815">
        <f>BU28+BU25</f>
        <v>1312</v>
      </c>
      <c r="BV29" s="815">
        <f>BV28+BV25</f>
        <v>1455</v>
      </c>
      <c r="BW29" s="815">
        <f>BW28+BW25</f>
        <v>1110</v>
      </c>
      <c r="BX29" s="2078">
        <f>SUM(BT29:BW29)</f>
        <v>4288</v>
      </c>
      <c r="BY29" s="815">
        <f t="shared" ref="BY29:CK29" si="11">BY28+BY25</f>
        <v>567</v>
      </c>
      <c r="BZ29" s="815">
        <f t="shared" si="11"/>
        <v>1606</v>
      </c>
      <c r="CA29" s="815">
        <f t="shared" si="11"/>
        <v>-567</v>
      </c>
      <c r="CB29" s="815">
        <f t="shared" si="11"/>
        <v>1670.9681615828226</v>
      </c>
      <c r="CC29" s="946">
        <f t="shared" si="11"/>
        <v>3276.9681615828222</v>
      </c>
      <c r="CD29" s="815">
        <f t="shared" si="11"/>
        <v>388.57109690291622</v>
      </c>
      <c r="CE29" s="815">
        <f t="shared" si="11"/>
        <v>1289.4405196872408</v>
      </c>
      <c r="CF29" s="815">
        <f t="shared" si="11"/>
        <v>1564.1405656435686</v>
      </c>
      <c r="CG29" s="815">
        <f t="shared" si="11"/>
        <v>1830.9140821035398</v>
      </c>
      <c r="CH29" s="2086">
        <f t="shared" si="11"/>
        <v>5073.0662643372707</v>
      </c>
      <c r="CI29" s="946">
        <f t="shared" si="11"/>
        <v>6324.9352738865973</v>
      </c>
      <c r="CJ29" s="2078">
        <f t="shared" si="11"/>
        <v>6985.2707692950207</v>
      </c>
      <c r="CK29" s="2078">
        <f t="shared" si="11"/>
        <v>7334.9234748342933</v>
      </c>
      <c r="CL29" s="946"/>
      <c r="CM29" s="917"/>
      <c r="CN29" s="916"/>
      <c r="CO29" s="915"/>
    </row>
    <row r="30" spans="1:99" s="167" customFormat="1" ht="13.5">
      <c r="A30" s="945"/>
      <c r="B30" s="945"/>
      <c r="C30" s="166" t="s">
        <v>219</v>
      </c>
      <c r="D30" s="936"/>
      <c r="E30" s="936"/>
      <c r="F30" s="944"/>
      <c r="G30" s="944"/>
      <c r="H30" s="942"/>
      <c r="I30" s="942"/>
      <c r="J30" s="942"/>
      <c r="K30" s="942"/>
      <c r="L30" s="943"/>
      <c r="M30" s="943"/>
      <c r="N30" s="943"/>
      <c r="O30" s="943"/>
      <c r="P30" s="942"/>
      <c r="Q30" s="943"/>
      <c r="R30" s="943"/>
      <c r="S30" s="943"/>
      <c r="T30" s="943"/>
      <c r="U30" s="942"/>
      <c r="V30" s="941"/>
      <c r="W30" s="941"/>
      <c r="X30" s="941"/>
      <c r="Y30" s="941"/>
      <c r="Z30" s="942"/>
      <c r="AA30" s="941"/>
      <c r="AB30" s="941"/>
      <c r="AC30" s="941"/>
      <c r="AD30" s="941"/>
      <c r="AE30" s="942"/>
      <c r="AF30" s="941"/>
      <c r="AG30" s="941"/>
      <c r="AH30" s="941"/>
      <c r="AI30" s="941"/>
      <c r="AJ30" s="939"/>
      <c r="AK30" s="940"/>
      <c r="AL30" s="940"/>
      <c r="AM30" s="940"/>
      <c r="AN30" s="940"/>
      <c r="AO30" s="939"/>
      <c r="AP30" s="940"/>
      <c r="AQ30" s="940"/>
      <c r="AR30" s="940"/>
      <c r="AS30" s="940"/>
      <c r="AT30" s="939"/>
      <c r="AU30" s="940"/>
      <c r="AV30" s="940"/>
      <c r="AW30" s="940"/>
      <c r="AX30" s="940"/>
      <c r="AY30" s="939"/>
      <c r="AZ30" s="940">
        <f>AZ29/CF!AZ12</f>
        <v>0.94692502106149956</v>
      </c>
      <c r="BA30" s="940">
        <f>BA29/CF!BA12</f>
        <v>0.15505464480874318</v>
      </c>
      <c r="BB30" s="940">
        <f>BB29/CF!BB12</f>
        <v>0.9301204819277108</v>
      </c>
      <c r="BC30" s="940">
        <f>BC29/CF!BC12</f>
        <v>1.2330508474576272</v>
      </c>
      <c r="BD30" s="939">
        <f>BD29/CF!BD12</f>
        <v>0.75888429752066111</v>
      </c>
      <c r="BE30" s="940">
        <f>BE29/CF!BE12</f>
        <v>0.75354330708661421</v>
      </c>
      <c r="BF30" s="940">
        <f>BF29/CF!BF12</f>
        <v>0.91945876288659789</v>
      </c>
      <c r="BG30" s="940">
        <f>BG29/CF!BG12</f>
        <v>0.6452296819787986</v>
      </c>
      <c r="BH30" s="940">
        <f>BH29/CF!BH12</f>
        <v>1.2401656314699794</v>
      </c>
      <c r="BI30" s="939">
        <f>BI29/CF!BI12</f>
        <v>0.89588462891311993</v>
      </c>
      <c r="BJ30" s="940">
        <f>BJ29/CF!BJ12</f>
        <v>0.7089859851607585</v>
      </c>
      <c r="BK30" s="940">
        <f>BK29/CF!BK12</f>
        <v>0.69702380952380949</v>
      </c>
      <c r="BL30" s="940">
        <f>BL29/CF!BL12</f>
        <v>0.74487594390507017</v>
      </c>
      <c r="BM30" s="940">
        <f>BM29/CF!BM12</f>
        <v>1.0991174473862866</v>
      </c>
      <c r="BN30" s="939">
        <f>BN29/CF!BN12</f>
        <v>0.80884244372990355</v>
      </c>
      <c r="BO30" s="940">
        <f>BO29/IS!CC81</f>
        <v>0.63663000291469163</v>
      </c>
      <c r="BP30" s="940">
        <f>BP29/IS!CD81</f>
        <v>0.7033865780871591</v>
      </c>
      <c r="BQ30" s="940">
        <f>BQ29/IS!CE81</f>
        <v>0.36994558168080505</v>
      </c>
      <c r="BR30" s="940">
        <f>BR29/IS!CF81</f>
        <v>1.4946070878274269</v>
      </c>
      <c r="BS30" s="939">
        <f>BS29/IS!CG81</f>
        <v>0.78331841594190665</v>
      </c>
      <c r="BT30" s="940">
        <f>BT29/CF!BT12</f>
        <v>0.34830508474576272</v>
      </c>
      <c r="BU30" s="940">
        <f>BU29/CF!BU12</f>
        <v>0.92394366197183098</v>
      </c>
      <c r="BV30" s="940">
        <f>BV29/CF!BV12</f>
        <v>1.0083160083160083</v>
      </c>
      <c r="BW30" s="940">
        <f>BW29/CF!BW12</f>
        <v>1.083984375</v>
      </c>
      <c r="BX30" s="2077">
        <f>BX29/IS!CL81</f>
        <v>0.78538466540103979</v>
      </c>
      <c r="BY30" s="940">
        <f>BY29/CF!BY12</f>
        <v>0.40909090909090912</v>
      </c>
      <c r="BZ30" s="940">
        <f>BZ29/CF!BZ12</f>
        <v>1.1160528144544823</v>
      </c>
      <c r="CA30" s="940">
        <f>CA29/CF!CA12</f>
        <v>-0.4263157894736842</v>
      </c>
      <c r="CB30" s="940">
        <f>CB29/CF!CB12</f>
        <v>1.4243706600657666</v>
      </c>
      <c r="CC30" s="939">
        <f>CC29/CF!CC12</f>
        <v>0.61503187768428269</v>
      </c>
      <c r="CD30" s="940">
        <f>CD29/CF!CD12</f>
        <v>0.33871209567634736</v>
      </c>
      <c r="CE30" s="940">
        <f>CE29/CF!CE12</f>
        <v>0.89937903068203862</v>
      </c>
      <c r="CF30" s="940">
        <f>CF29/CF!CF12</f>
        <v>1.0782375227739474</v>
      </c>
      <c r="CG30" s="940">
        <f>CG29/CF!CG12</f>
        <v>1.4120124610004905</v>
      </c>
      <c r="CH30" s="2091">
        <f>CH29/CF!CH12</f>
        <v>0.95212669137154771</v>
      </c>
      <c r="CI30" s="2077">
        <f>CI29/CF!CI12</f>
        <v>1.0414967144981047</v>
      </c>
      <c r="CJ30" s="2077">
        <f>CJ29/CF!CJ12</f>
        <v>1.0454448388710542</v>
      </c>
      <c r="CK30" s="2077">
        <f>CK29/CF!CK12</f>
        <v>1.0419849480741559</v>
      </c>
      <c r="CL30" s="939"/>
      <c r="CM30" s="938"/>
      <c r="CN30" s="937"/>
      <c r="CO30" s="936"/>
      <c r="CP30"/>
      <c r="CQ30"/>
      <c r="CR30"/>
      <c r="CS30"/>
      <c r="CT30"/>
      <c r="CU30"/>
    </row>
    <row r="31" spans="1:99">
      <c r="A31" s="924"/>
      <c r="B31" s="930"/>
      <c r="C31" s="915"/>
      <c r="D31" s="915"/>
      <c r="E31" s="915"/>
      <c r="F31" s="925"/>
      <c r="G31" s="925"/>
      <c r="H31" s="757"/>
      <c r="I31" s="757"/>
      <c r="J31" s="757"/>
      <c r="K31" s="757"/>
      <c r="L31" s="810"/>
      <c r="M31" s="810"/>
      <c r="N31" s="810"/>
      <c r="O31" s="810"/>
      <c r="P31" s="757"/>
      <c r="Q31" s="810"/>
      <c r="R31" s="810"/>
      <c r="S31" s="810"/>
      <c r="T31" s="810"/>
      <c r="U31" s="757"/>
      <c r="V31" s="758"/>
      <c r="W31" s="758"/>
      <c r="X31" s="758"/>
      <c r="Y31" s="758"/>
      <c r="Z31" s="757"/>
      <c r="AA31" s="758"/>
      <c r="AB31" s="758"/>
      <c r="AC31" s="758"/>
      <c r="AD31" s="758"/>
      <c r="AE31" s="757"/>
      <c r="AF31" s="758"/>
      <c r="AG31" s="758"/>
      <c r="AH31" s="819"/>
      <c r="AI31" s="819"/>
      <c r="AJ31" s="757"/>
      <c r="AK31" s="819"/>
      <c r="AL31" s="819"/>
      <c r="AM31" s="819"/>
      <c r="AN31" s="758"/>
      <c r="AO31" s="757"/>
      <c r="AP31" s="819"/>
      <c r="AQ31" s="758"/>
      <c r="AR31" s="758"/>
      <c r="AS31" s="758"/>
      <c r="AT31" s="757"/>
      <c r="AU31" s="758"/>
      <c r="AV31" s="758"/>
      <c r="AW31" s="758"/>
      <c r="AX31" s="758"/>
      <c r="AY31" s="757"/>
      <c r="AZ31" s="758"/>
      <c r="BA31" s="758"/>
      <c r="BB31" s="758"/>
      <c r="BC31" s="758"/>
      <c r="BD31" s="757"/>
      <c r="BE31" s="758"/>
      <c r="BF31" s="758"/>
      <c r="BG31" s="758"/>
      <c r="BH31" s="758"/>
      <c r="BI31" s="788"/>
      <c r="BJ31" s="758"/>
      <c r="BK31" s="758"/>
      <c r="BL31" s="758"/>
      <c r="BM31" s="758"/>
      <c r="BN31" s="935"/>
      <c r="BO31" s="758"/>
      <c r="BP31" s="758"/>
      <c r="BQ31" s="758"/>
      <c r="BR31" s="758"/>
      <c r="BS31" s="935"/>
      <c r="BT31" s="758"/>
      <c r="BU31" s="758"/>
      <c r="BV31" s="758"/>
      <c r="BW31" s="758"/>
      <c r="BX31" s="935"/>
      <c r="BY31" s="758"/>
      <c r="BZ31" s="758"/>
      <c r="CA31" s="758"/>
      <c r="CB31" s="758"/>
      <c r="CC31" s="757"/>
      <c r="CD31" s="758"/>
      <c r="CE31" s="758"/>
      <c r="CF31" s="758"/>
      <c r="CG31" s="758"/>
      <c r="CH31" s="2088"/>
      <c r="CI31" s="757"/>
      <c r="CJ31" s="2072"/>
      <c r="CK31" s="2072"/>
      <c r="CL31" s="757"/>
      <c r="CM31" s="917"/>
      <c r="CN31" s="916"/>
      <c r="CO31" s="915"/>
    </row>
    <row r="32" spans="1:99">
      <c r="A32" s="924"/>
      <c r="B32" s="930"/>
      <c r="C32" s="915" t="s">
        <v>471</v>
      </c>
      <c r="D32" s="915"/>
      <c r="E32" s="915"/>
      <c r="F32" s="925"/>
      <c r="G32" s="925"/>
      <c r="H32" s="757">
        <v>-1168</v>
      </c>
      <c r="I32" s="757">
        <v>-439</v>
      </c>
      <c r="J32" s="757">
        <v>-402</v>
      </c>
      <c r="K32" s="757">
        <v>-1097</v>
      </c>
      <c r="L32" s="810">
        <v>-44</v>
      </c>
      <c r="M32" s="810">
        <v>-165</v>
      </c>
      <c r="N32" s="810">
        <v>-132</v>
      </c>
      <c r="O32" s="810">
        <v>-734</v>
      </c>
      <c r="P32" s="757">
        <v>-1075</v>
      </c>
      <c r="Q32" s="810">
        <v>-125</v>
      </c>
      <c r="R32" s="810">
        <v>-2241</v>
      </c>
      <c r="S32" s="810">
        <v>-1204</v>
      </c>
      <c r="T32" s="810">
        <v>-493</v>
      </c>
      <c r="U32" s="757">
        <v>-4063</v>
      </c>
      <c r="V32" s="758">
        <v>-119</v>
      </c>
      <c r="W32" s="758">
        <f>-372-V32</f>
        <v>-253</v>
      </c>
      <c r="X32" s="758">
        <f>-518-(V32+W32)</f>
        <v>-146</v>
      </c>
      <c r="Y32" s="758">
        <f>Z32-V32-W32-X32</f>
        <v>-393</v>
      </c>
      <c r="Z32" s="757">
        <v>-911</v>
      </c>
      <c r="AA32" s="758">
        <v>-240</v>
      </c>
      <c r="AB32" s="758">
        <f>-370-AA32</f>
        <v>-130</v>
      </c>
      <c r="AC32" s="758">
        <f>-1634-AB32-AA32</f>
        <v>-1264</v>
      </c>
      <c r="AD32" s="758">
        <f>AE32-AA32-AB32-AC32</f>
        <v>-403</v>
      </c>
      <c r="AE32" s="757">
        <v>-2037</v>
      </c>
      <c r="AF32" s="758">
        <v>-157</v>
      </c>
      <c r="AG32" s="758">
        <f>-546-AF32</f>
        <v>-389</v>
      </c>
      <c r="AH32" s="758">
        <f>-708-AF32-AG32</f>
        <v>-162</v>
      </c>
      <c r="AI32" s="758">
        <f>AJ32-AF32-AG32-AH32</f>
        <v>-544</v>
      </c>
      <c r="AJ32" s="757">
        <v>-1252</v>
      </c>
      <c r="AK32" s="758">
        <v>-122</v>
      </c>
      <c r="AL32" s="758">
        <f>-31-AL33</f>
        <v>-71</v>
      </c>
      <c r="AM32" s="758">
        <v>-297</v>
      </c>
      <c r="AN32" s="758">
        <f>AO32-SUM(AK32:AM32)</f>
        <v>-213</v>
      </c>
      <c r="AO32" s="757">
        <v>-703</v>
      </c>
      <c r="AP32" s="758">
        <v>-2108</v>
      </c>
      <c r="AQ32" s="758">
        <f>-2368-AP32</f>
        <v>-260</v>
      </c>
      <c r="AR32" s="758">
        <f>-2551-AQ32-AP32</f>
        <v>-183</v>
      </c>
      <c r="AS32" s="758">
        <f>AT32-SUM(AP32:AR32)</f>
        <v>-207</v>
      </c>
      <c r="AT32" s="757">
        <v>-2758</v>
      </c>
      <c r="AU32" s="758">
        <v>-106</v>
      </c>
      <c r="AV32" s="758">
        <f>-184-AU32</f>
        <v>-78</v>
      </c>
      <c r="AW32" s="758">
        <f>-229-AU32-AV32</f>
        <v>-45</v>
      </c>
      <c r="AX32" s="758">
        <f>-357-AU32-AV32-AW32</f>
        <v>-128</v>
      </c>
      <c r="AY32" s="757">
        <f>SUM(AU32:AX32)</f>
        <v>-357</v>
      </c>
      <c r="AZ32" s="758">
        <v>-72</v>
      </c>
      <c r="BA32" s="758">
        <f>-209-AZ32</f>
        <v>-137</v>
      </c>
      <c r="BB32" s="758">
        <f>-16008-AZ32-BA32</f>
        <v>-15799</v>
      </c>
      <c r="BC32" s="758">
        <f>-16026-BB32-BA32-AZ32</f>
        <v>-18</v>
      </c>
      <c r="BD32" s="757">
        <f>SUM(AZ32:BC32)</f>
        <v>-16026</v>
      </c>
      <c r="BE32" s="758">
        <v>0</v>
      </c>
      <c r="BF32" s="758">
        <v>0</v>
      </c>
      <c r="BG32" s="758">
        <v>0</v>
      </c>
      <c r="BH32" s="758">
        <v>0</v>
      </c>
      <c r="BI32" s="757">
        <f>SUM(BE32:BH32)</f>
        <v>0</v>
      </c>
      <c r="BJ32" s="758">
        <v>0</v>
      </c>
      <c r="BK32" s="758">
        <v>0</v>
      </c>
      <c r="BL32" s="758">
        <v>-207</v>
      </c>
      <c r="BM32" s="931">
        <f>-402-SUM(BJ32:BL32)</f>
        <v>-195</v>
      </c>
      <c r="BN32" s="757">
        <f>SUM(BJ32:BM32)</f>
        <v>-402</v>
      </c>
      <c r="BO32" s="758">
        <v>-230</v>
      </c>
      <c r="BP32" s="758">
        <v>-19</v>
      </c>
      <c r="BQ32" s="758">
        <v>-67</v>
      </c>
      <c r="BR32" s="758">
        <v>-181</v>
      </c>
      <c r="BS32" s="757">
        <f>SUM(BO32:BR32)</f>
        <v>-497</v>
      </c>
      <c r="BT32" s="758">
        <v>-63</v>
      </c>
      <c r="BU32" s="758">
        <v>-425</v>
      </c>
      <c r="BV32" s="758">
        <v>0</v>
      </c>
      <c r="BW32" s="758">
        <v>-112</v>
      </c>
      <c r="BX32" s="2072">
        <f>SUM(BT32:BW32)</f>
        <v>-600</v>
      </c>
      <c r="BY32" s="1886">
        <v>-100</v>
      </c>
      <c r="BZ32" s="1886">
        <v>-49</v>
      </c>
      <c r="CA32" s="1886">
        <v>-10</v>
      </c>
      <c r="CB32" s="819">
        <v>0</v>
      </c>
      <c r="CC32" s="757">
        <f>SUM(BY32:CB32)</f>
        <v>-159</v>
      </c>
      <c r="CD32" s="819">
        <v>0</v>
      </c>
      <c r="CE32" s="819">
        <v>0</v>
      </c>
      <c r="CF32" s="819">
        <v>0</v>
      </c>
      <c r="CG32" s="819">
        <v>0</v>
      </c>
      <c r="CH32" s="2088">
        <v>0</v>
      </c>
      <c r="CI32" s="757">
        <v>0</v>
      </c>
      <c r="CJ32" s="2072">
        <v>0</v>
      </c>
      <c r="CK32" s="2072">
        <v>0</v>
      </c>
      <c r="CL32" s="757"/>
      <c r="CM32" s="917"/>
      <c r="CN32" s="916"/>
      <c r="CO32" s="915"/>
    </row>
    <row r="33" spans="1:93">
      <c r="A33" s="924"/>
      <c r="B33" s="930"/>
      <c r="C33" s="915" t="s">
        <v>470</v>
      </c>
      <c r="D33" s="915"/>
      <c r="E33" s="915"/>
      <c r="F33" s="915"/>
      <c r="G33" s="915"/>
      <c r="H33" s="757">
        <v>0</v>
      </c>
      <c r="I33" s="757">
        <v>17</v>
      </c>
      <c r="J33" s="757">
        <v>26</v>
      </c>
      <c r="K33" s="757">
        <v>15</v>
      </c>
      <c r="L33" s="810">
        <v>3</v>
      </c>
      <c r="M33" s="810">
        <v>3</v>
      </c>
      <c r="N33" s="810">
        <v>1</v>
      </c>
      <c r="O33" s="810">
        <v>20</v>
      </c>
      <c r="P33" s="757">
        <v>27</v>
      </c>
      <c r="Q33" s="810">
        <v>5</v>
      </c>
      <c r="R33" s="810">
        <v>0</v>
      </c>
      <c r="S33" s="810">
        <v>303</v>
      </c>
      <c r="T33" s="810">
        <v>0</v>
      </c>
      <c r="U33" s="757">
        <v>308</v>
      </c>
      <c r="V33" s="758">
        <v>29</v>
      </c>
      <c r="W33" s="758">
        <f>215-V33</f>
        <v>186</v>
      </c>
      <c r="X33" s="758">
        <f>345-V33-W33</f>
        <v>130</v>
      </c>
      <c r="Y33" s="758">
        <f>Z33-V33-W33-X33</f>
        <v>106</v>
      </c>
      <c r="Z33" s="757">
        <v>451</v>
      </c>
      <c r="AA33" s="758">
        <v>130</v>
      </c>
      <c r="AB33" s="758">
        <f>162-AA33</f>
        <v>32</v>
      </c>
      <c r="AC33" s="758">
        <f>190-AB33-AA33</f>
        <v>28</v>
      </c>
      <c r="AD33" s="758">
        <f>AE33-AA33-AB33-AC33</f>
        <v>108</v>
      </c>
      <c r="AE33" s="757">
        <v>298</v>
      </c>
      <c r="AF33" s="758">
        <v>31</v>
      </c>
      <c r="AG33" s="758">
        <f>85-AF33</f>
        <v>54</v>
      </c>
      <c r="AH33" s="758">
        <f>270-AF33-AG33</f>
        <v>185</v>
      </c>
      <c r="AI33" s="758">
        <f>AJ33-AF33-AG33-AH33</f>
        <v>67</v>
      </c>
      <c r="AJ33" s="757">
        <v>337</v>
      </c>
      <c r="AK33" s="758">
        <v>0</v>
      </c>
      <c r="AL33" s="758">
        <v>40</v>
      </c>
      <c r="AM33" s="758">
        <v>0</v>
      </c>
      <c r="AN33" s="758">
        <f>AO33-SUM(AK33:AM33)</f>
        <v>118</v>
      </c>
      <c r="AO33" s="757">
        <v>158</v>
      </c>
      <c r="AP33" s="758">
        <v>41</v>
      </c>
      <c r="AQ33" s="758">
        <f>132-AP33</f>
        <v>91</v>
      </c>
      <c r="AR33" s="758">
        <f>200-AQ33-AP33</f>
        <v>68</v>
      </c>
      <c r="AS33" s="758">
        <f>AT33-SUM(AP33:AR33)</f>
        <v>8</v>
      </c>
      <c r="AT33" s="757">
        <v>208</v>
      </c>
      <c r="AU33" s="758">
        <v>49</v>
      </c>
      <c r="AV33" s="758">
        <f>145-AU33</f>
        <v>96</v>
      </c>
      <c r="AW33" s="758">
        <f>382-AU33-AV33</f>
        <v>237</v>
      </c>
      <c r="AX33" s="758">
        <f>494-AU33-AV33-AW33</f>
        <v>112</v>
      </c>
      <c r="AY33" s="757">
        <f>SUM(AU33:AX33)</f>
        <v>494</v>
      </c>
      <c r="AZ33" s="758">
        <v>52</v>
      </c>
      <c r="BA33" s="758">
        <f>284-AZ33</f>
        <v>232</v>
      </c>
      <c r="BB33" s="758">
        <f>362-AZ33-BA33</f>
        <v>78</v>
      </c>
      <c r="BC33" s="758">
        <f>425-AZ33-BA33-BB33</f>
        <v>63</v>
      </c>
      <c r="BD33" s="757">
        <f>SUM(AZ33:BC33)</f>
        <v>425</v>
      </c>
      <c r="BE33" s="758">
        <f>746-24</f>
        <v>722</v>
      </c>
      <c r="BF33" s="758">
        <f>1299-BE33</f>
        <v>577</v>
      </c>
      <c r="BG33" s="758">
        <f>1465-SUM(BE33:BF33)</f>
        <v>166</v>
      </c>
      <c r="BH33" s="758">
        <v>65</v>
      </c>
      <c r="BI33" s="757">
        <f>SUM(BE33:BH33)</f>
        <v>1530</v>
      </c>
      <c r="BJ33" s="758">
        <f>123-17</f>
        <v>106</v>
      </c>
      <c r="BK33" s="758">
        <v>-34</v>
      </c>
      <c r="BL33" s="758">
        <v>0</v>
      </c>
      <c r="BM33" s="931">
        <v>76</v>
      </c>
      <c r="BN33" s="757">
        <f>SUM(BJ33:BM33)</f>
        <v>148</v>
      </c>
      <c r="BO33" s="758">
        <v>158</v>
      </c>
      <c r="BP33" s="758">
        <v>0</v>
      </c>
      <c r="BQ33" s="758">
        <v>0</v>
      </c>
      <c r="BR33" s="758">
        <v>0</v>
      </c>
      <c r="BS33" s="757">
        <f>SUM(BO33:BR33)</f>
        <v>158</v>
      </c>
      <c r="BT33" s="758">
        <v>0</v>
      </c>
      <c r="BU33" s="758">
        <v>0</v>
      </c>
      <c r="BV33" s="758">
        <v>101</v>
      </c>
      <c r="BW33" s="758">
        <v>0</v>
      </c>
      <c r="BX33" s="2072">
        <f>SUM(BT33:BW33)</f>
        <v>101</v>
      </c>
      <c r="BY33" s="1886">
        <v>596</v>
      </c>
      <c r="BZ33" s="819">
        <v>0</v>
      </c>
      <c r="CA33" s="819">
        <v>0</v>
      </c>
      <c r="CB33" s="819">
        <v>0</v>
      </c>
      <c r="CC33" s="2072">
        <f>SUM(BY33:CB33)</f>
        <v>596</v>
      </c>
      <c r="CD33" s="819">
        <v>0</v>
      </c>
      <c r="CE33" s="819">
        <v>0</v>
      </c>
      <c r="CF33" s="819">
        <v>0</v>
      </c>
      <c r="CG33" s="819">
        <v>0</v>
      </c>
      <c r="CH33" s="2088">
        <v>0</v>
      </c>
      <c r="CI33" s="757">
        <v>0</v>
      </c>
      <c r="CJ33" s="2072">
        <v>0</v>
      </c>
      <c r="CK33" s="2072">
        <v>0</v>
      </c>
      <c r="CL33" s="757"/>
      <c r="CM33" s="917"/>
      <c r="CN33" s="916"/>
      <c r="CO33" s="915"/>
    </row>
    <row r="34" spans="1:93">
      <c r="A34" s="924"/>
      <c r="B34" s="930"/>
      <c r="C34" s="915" t="s">
        <v>469</v>
      </c>
      <c r="D34" s="915"/>
      <c r="E34" s="915"/>
      <c r="F34" s="915"/>
      <c r="G34" s="915"/>
      <c r="H34" s="757">
        <v>0</v>
      </c>
      <c r="I34" s="757">
        <v>0</v>
      </c>
      <c r="J34" s="757">
        <v>0</v>
      </c>
      <c r="K34" s="757">
        <v>0</v>
      </c>
      <c r="L34" s="810">
        <v>0</v>
      </c>
      <c r="M34" s="810">
        <v>0</v>
      </c>
      <c r="N34" s="810">
        <v>0</v>
      </c>
      <c r="O34" s="810">
        <v>0</v>
      </c>
      <c r="P34" s="757">
        <v>0</v>
      </c>
      <c r="Q34" s="810">
        <v>0</v>
      </c>
      <c r="R34" s="810">
        <v>0</v>
      </c>
      <c r="S34" s="810">
        <v>0</v>
      </c>
      <c r="T34" s="810">
        <v>0</v>
      </c>
      <c r="U34" s="757">
        <v>0</v>
      </c>
      <c r="V34" s="758">
        <v>0</v>
      </c>
      <c r="W34" s="758">
        <v>0</v>
      </c>
      <c r="X34" s="758">
        <v>0</v>
      </c>
      <c r="Y34" s="758">
        <v>0</v>
      </c>
      <c r="Z34" s="757">
        <f>SUM(V34:Y34)</f>
        <v>0</v>
      </c>
      <c r="AA34" s="758">
        <v>0</v>
      </c>
      <c r="AB34" s="758">
        <v>0</v>
      </c>
      <c r="AC34" s="758">
        <v>0</v>
      </c>
      <c r="AD34" s="758">
        <v>0</v>
      </c>
      <c r="AE34" s="757">
        <f>SUM(AA34:AD34)</f>
        <v>0</v>
      </c>
      <c r="AF34" s="758">
        <v>0</v>
      </c>
      <c r="AG34" s="758">
        <v>0</v>
      </c>
      <c r="AH34" s="758">
        <v>0</v>
      </c>
      <c r="AI34" s="758">
        <v>0</v>
      </c>
      <c r="AJ34" s="757">
        <f>SUM(AF34:AI34)</f>
        <v>0</v>
      </c>
      <c r="AK34" s="758">
        <v>0</v>
      </c>
      <c r="AL34" s="758">
        <v>0</v>
      </c>
      <c r="AM34" s="758">
        <v>0</v>
      </c>
      <c r="AN34" s="758">
        <v>0</v>
      </c>
      <c r="AO34" s="757">
        <f>SUM(AK34:AN34)</f>
        <v>0</v>
      </c>
      <c r="AP34" s="758">
        <v>0</v>
      </c>
      <c r="AQ34" s="758">
        <v>0</v>
      </c>
      <c r="AR34" s="758">
        <v>0</v>
      </c>
      <c r="AS34" s="758">
        <v>0</v>
      </c>
      <c r="AT34" s="757">
        <f>SUM(AP34:AS34)</f>
        <v>0</v>
      </c>
      <c r="AU34" s="758">
        <v>0</v>
      </c>
      <c r="AV34" s="758">
        <f>9-AU34</f>
        <v>9</v>
      </c>
      <c r="AW34" s="758">
        <f>8-AU34-AV34</f>
        <v>-1</v>
      </c>
      <c r="AX34" s="758">
        <f>0-AU34-AV34-AW34</f>
        <v>-8</v>
      </c>
      <c r="AY34" s="757">
        <f>SUM(AU34:AX34)</f>
        <v>0</v>
      </c>
      <c r="AZ34" s="758">
        <v>0</v>
      </c>
      <c r="BA34" s="758">
        <f>-10696-AZ34</f>
        <v>-10696</v>
      </c>
      <c r="BB34" s="758">
        <f>-16133+15942-AZ34-BA34</f>
        <v>10505</v>
      </c>
      <c r="BC34" s="758">
        <f>0-AZ34-BA34-BB34</f>
        <v>191</v>
      </c>
      <c r="BD34" s="757">
        <f>SUM(AZ34:BC34)</f>
        <v>0</v>
      </c>
      <c r="BE34" s="758">
        <v>0</v>
      </c>
      <c r="BF34" s="758">
        <f>BE34</f>
        <v>0</v>
      </c>
      <c r="BG34" s="758">
        <f>BF34</f>
        <v>0</v>
      </c>
      <c r="BH34" s="758">
        <f>BG34</f>
        <v>0</v>
      </c>
      <c r="BI34" s="757">
        <f>SUM(BE34:BH34)</f>
        <v>0</v>
      </c>
      <c r="BJ34" s="758">
        <v>0</v>
      </c>
      <c r="BK34" s="758">
        <v>0</v>
      </c>
      <c r="BL34" s="758">
        <v>0</v>
      </c>
      <c r="BM34" s="758">
        <v>0</v>
      </c>
      <c r="BN34" s="757">
        <f>SUM(BJ34:BM34)</f>
        <v>0</v>
      </c>
      <c r="BO34" s="758">
        <v>0</v>
      </c>
      <c r="BP34" s="758">
        <v>0</v>
      </c>
      <c r="BQ34" s="758">
        <v>0</v>
      </c>
      <c r="BR34" s="758">
        <f>BQ34</f>
        <v>0</v>
      </c>
      <c r="BS34" s="757">
        <f>SUM(BO34:BR34)</f>
        <v>0</v>
      </c>
      <c r="BT34" s="758">
        <v>0</v>
      </c>
      <c r="BU34" s="758">
        <f>BT34</f>
        <v>0</v>
      </c>
      <c r="BV34" s="758">
        <f>BU34</f>
        <v>0</v>
      </c>
      <c r="BW34" s="758">
        <v>0</v>
      </c>
      <c r="BX34" s="2072">
        <f>SUM(BT34:BW34)</f>
        <v>0</v>
      </c>
      <c r="BY34" s="1886">
        <v>0</v>
      </c>
      <c r="BZ34" s="819">
        <f>BY34</f>
        <v>0</v>
      </c>
      <c r="CA34" s="819">
        <f>BZ34</f>
        <v>0</v>
      </c>
      <c r="CB34" s="819">
        <f>CA34</f>
        <v>0</v>
      </c>
      <c r="CC34" s="2072">
        <f>SUM(BY34:CB34)</f>
        <v>0</v>
      </c>
      <c r="CD34" s="819">
        <v>0</v>
      </c>
      <c r="CE34" s="819">
        <f>CD34</f>
        <v>0</v>
      </c>
      <c r="CF34" s="819">
        <f>CE34</f>
        <v>0</v>
      </c>
      <c r="CG34" s="819">
        <f>CF34</f>
        <v>0</v>
      </c>
      <c r="CH34" s="2088">
        <v>0</v>
      </c>
      <c r="CI34" s="757">
        <v>0</v>
      </c>
      <c r="CJ34" s="2072">
        <v>0</v>
      </c>
      <c r="CK34" s="2072">
        <v>0</v>
      </c>
      <c r="CL34" s="757"/>
      <c r="CM34" s="917"/>
      <c r="CN34" s="916"/>
      <c r="CO34" s="915"/>
    </row>
    <row r="35" spans="1:93">
      <c r="A35" s="924"/>
      <c r="B35" s="930"/>
      <c r="C35" s="922" t="s">
        <v>8</v>
      </c>
      <c r="D35" s="922"/>
      <c r="E35" s="922"/>
      <c r="F35" s="922"/>
      <c r="G35" s="922"/>
      <c r="H35" s="918">
        <v>4</v>
      </c>
      <c r="I35" s="918">
        <v>-62</v>
      </c>
      <c r="J35" s="918">
        <v>-126</v>
      </c>
      <c r="K35" s="918">
        <v>-149</v>
      </c>
      <c r="L35" s="920">
        <v>68</v>
      </c>
      <c r="M35" s="920">
        <v>-35</v>
      </c>
      <c r="N35" s="920">
        <v>-38</v>
      </c>
      <c r="O35" s="920">
        <v>86</v>
      </c>
      <c r="P35" s="918">
        <v>81</v>
      </c>
      <c r="Q35" s="929">
        <v>98</v>
      </c>
      <c r="R35" s="929">
        <v>-128</v>
      </c>
      <c r="S35" s="929">
        <v>58</v>
      </c>
      <c r="T35" s="929">
        <v>7</v>
      </c>
      <c r="U35" s="918">
        <v>105</v>
      </c>
      <c r="V35" s="919">
        <f>-84+48</f>
        <v>-36</v>
      </c>
      <c r="W35" s="919">
        <f>-99+15-V35</f>
        <v>-48</v>
      </c>
      <c r="X35" s="919">
        <f>(47+62)-W35-V35</f>
        <v>193</v>
      </c>
      <c r="Y35" s="919">
        <f>Z35-V35-W35-X35</f>
        <v>44</v>
      </c>
      <c r="Z35" s="918">
        <f>85+382-314</f>
        <v>153</v>
      </c>
      <c r="AA35" s="919">
        <f>160-2</f>
        <v>158</v>
      </c>
      <c r="AB35" s="919">
        <f>130-AA35</f>
        <v>-28</v>
      </c>
      <c r="AC35" s="919">
        <f>(-23+8)-AB35-AA35</f>
        <v>-145</v>
      </c>
      <c r="AD35" s="919">
        <f>AE35-AA35-AB35-AC35</f>
        <v>-275</v>
      </c>
      <c r="AE35" s="918">
        <f>-151-411+272</f>
        <v>-290</v>
      </c>
      <c r="AF35" s="919">
        <f>-22-47</f>
        <v>-69</v>
      </c>
      <c r="AG35" s="919">
        <f>-92-136-AF35</f>
        <v>-159</v>
      </c>
      <c r="AH35" s="919">
        <f>-23+8-AF35-AG35</f>
        <v>213</v>
      </c>
      <c r="AI35" s="919">
        <f>AJ35-AF35-AG35-AH35</f>
        <v>-190</v>
      </c>
      <c r="AJ35" s="918">
        <f>-285+138-58</f>
        <v>-205</v>
      </c>
      <c r="AK35" s="919">
        <f>83-15</f>
        <v>68</v>
      </c>
      <c r="AL35" s="919">
        <v>-102</v>
      </c>
      <c r="AM35" s="919">
        <v>254</v>
      </c>
      <c r="AN35" s="919">
        <f>AO35-SUM(AK35:AM35)</f>
        <v>47</v>
      </c>
      <c r="AO35" s="918">
        <f>-171+80+358</f>
        <v>267</v>
      </c>
      <c r="AP35" s="919">
        <f>-50+140</f>
        <v>90</v>
      </c>
      <c r="AQ35" s="919">
        <f>-28+207-AP35</f>
        <v>89</v>
      </c>
      <c r="AR35" s="919">
        <f>-29+173-AQ35-AP35</f>
        <v>-35</v>
      </c>
      <c r="AS35" s="919">
        <f>AT35-SUM(AP35:AR35)</f>
        <v>84</v>
      </c>
      <c r="AT35" s="918">
        <f>-217+162+283</f>
        <v>228</v>
      </c>
      <c r="AU35" s="919">
        <f>18+8</f>
        <v>26</v>
      </c>
      <c r="AV35" s="919">
        <f>29+70-AU35</f>
        <v>73</v>
      </c>
      <c r="AW35" s="919">
        <f>43+78-AU35-AV35</f>
        <v>22</v>
      </c>
      <c r="AX35" s="919">
        <f>-42+92+70-AU35-AV35-AW35</f>
        <v>-1</v>
      </c>
      <c r="AY35" s="918">
        <f>SUM(AU35:AX35)</f>
        <v>120</v>
      </c>
      <c r="AZ35" s="919">
        <f>16+80</f>
        <v>96</v>
      </c>
      <c r="BA35" s="919">
        <f>26-1244-2-AZ35-BA28-AZ28</f>
        <v>-72</v>
      </c>
      <c r="BB35" s="919">
        <f>1-1394-17-AZ35-BA35-SUM(AZ28:BB28)</f>
        <v>-40</v>
      </c>
      <c r="BC35" s="919">
        <f>-100+75-1543-237-AZ35-BA35-BB35-SUM(AZ28:BC28)</f>
        <v>-246</v>
      </c>
      <c r="BD35" s="918">
        <f>SUM(AZ35:BC35)</f>
        <v>-262</v>
      </c>
      <c r="BE35" s="919">
        <f>-157+69-BE28</f>
        <v>69</v>
      </c>
      <c r="BF35" s="919">
        <f>-66-27-2-300-132-BE35-BF28-BE28</f>
        <v>-296</v>
      </c>
      <c r="BG35" s="919">
        <f>+-120-121+3-547-232-SUM(BE35:BF35)-SUM(BE28:BG28)</f>
        <v>-243</v>
      </c>
      <c r="BH35" s="919">
        <f>-175-8-105-BH28</f>
        <v>-113</v>
      </c>
      <c r="BI35" s="918">
        <f>SUM(BE35:BH35)</f>
        <v>-583</v>
      </c>
      <c r="BJ35" s="919">
        <f>12-142-85-BJ28</f>
        <v>-73</v>
      </c>
      <c r="BK35" s="919">
        <f>-165+176-BK28</f>
        <v>176</v>
      </c>
      <c r="BL35" s="919">
        <v>170</v>
      </c>
      <c r="BM35" s="928">
        <v>-212</v>
      </c>
      <c r="BN35" s="918">
        <f>SUM(BJ35:BM35)</f>
        <v>61</v>
      </c>
      <c r="BO35" s="919">
        <f>170+569-14</f>
        <v>725</v>
      </c>
      <c r="BP35" s="919">
        <f>-154-83</f>
        <v>-237</v>
      </c>
      <c r="BQ35" s="919">
        <f>-268-111</f>
        <v>-379</v>
      </c>
      <c r="BR35" s="919">
        <f>13-229</f>
        <v>-216</v>
      </c>
      <c r="BS35" s="918">
        <f>SUM(BO35:BR35)</f>
        <v>-107</v>
      </c>
      <c r="BT35" s="919">
        <f>42-78</f>
        <v>-36</v>
      </c>
      <c r="BU35" s="919">
        <f>44-14</f>
        <v>30</v>
      </c>
      <c r="BV35" s="919">
        <f>-115+3</f>
        <v>-112</v>
      </c>
      <c r="BW35" s="919">
        <f>-BW108</f>
        <v>8</v>
      </c>
      <c r="BX35" s="2076">
        <f>SUM(BT35:BW35)</f>
        <v>-110</v>
      </c>
      <c r="BY35" s="2289">
        <f>-113-96</f>
        <v>-209</v>
      </c>
      <c r="BZ35" s="2289">
        <f>-181-81</f>
        <v>-262</v>
      </c>
      <c r="CA35" s="2289">
        <f>111-231</f>
        <v>-120</v>
      </c>
      <c r="CB35" s="927">
        <f t="shared" ref="CB35:CI35" si="12">-CB108</f>
        <v>0</v>
      </c>
      <c r="CC35" s="2072">
        <f>SUM(BY35:CB35)</f>
        <v>-591</v>
      </c>
      <c r="CD35" s="927">
        <f>-CD108</f>
        <v>0</v>
      </c>
      <c r="CE35" s="927">
        <f>-CE108</f>
        <v>0</v>
      </c>
      <c r="CF35" s="927">
        <f>-CF108</f>
        <v>0</v>
      </c>
      <c r="CG35" s="927">
        <f>-CG108</f>
        <v>0</v>
      </c>
      <c r="CH35" s="2089">
        <f t="shared" si="12"/>
        <v>0</v>
      </c>
      <c r="CI35" s="918">
        <f t="shared" si="12"/>
        <v>0</v>
      </c>
      <c r="CJ35" s="2076">
        <f>-CJ108</f>
        <v>0</v>
      </c>
      <c r="CK35" s="2076">
        <f>-CK108</f>
        <v>0</v>
      </c>
      <c r="CL35" s="757"/>
      <c r="CM35" s="917"/>
      <c r="CN35" s="916"/>
      <c r="CO35" s="915"/>
    </row>
    <row r="36" spans="1:93">
      <c r="A36" s="914"/>
      <c r="B36" s="914"/>
      <c r="C36" s="914" t="s">
        <v>468</v>
      </c>
      <c r="D36" s="905"/>
      <c r="E36" s="905"/>
      <c r="F36" s="905"/>
      <c r="G36" s="905"/>
      <c r="H36" s="934">
        <v>402</v>
      </c>
      <c r="I36" s="934">
        <v>1608</v>
      </c>
      <c r="J36" s="934">
        <v>1765</v>
      </c>
      <c r="K36" s="934">
        <v>1114</v>
      </c>
      <c r="L36" s="816">
        <v>664</v>
      </c>
      <c r="M36" s="816">
        <v>749</v>
      </c>
      <c r="N36" s="816">
        <v>572</v>
      </c>
      <c r="O36" s="816">
        <v>-77</v>
      </c>
      <c r="P36" s="934">
        <v>1937</v>
      </c>
      <c r="Q36" s="839">
        <v>672</v>
      </c>
      <c r="R36" s="839">
        <v>-1364</v>
      </c>
      <c r="S36" s="839">
        <v>63</v>
      </c>
      <c r="T36" s="839">
        <v>314</v>
      </c>
      <c r="U36" s="934">
        <v>-245</v>
      </c>
      <c r="V36" s="815">
        <f t="shared" ref="V36:AZ36" si="13">V25+V32+V33+V34+V35</f>
        <v>648</v>
      </c>
      <c r="W36" s="815">
        <f t="shared" si="13"/>
        <v>479</v>
      </c>
      <c r="X36" s="815">
        <f t="shared" si="13"/>
        <v>1354</v>
      </c>
      <c r="Y36" s="815">
        <f t="shared" si="13"/>
        <v>1061</v>
      </c>
      <c r="Z36" s="934">
        <f t="shared" si="13"/>
        <v>3542</v>
      </c>
      <c r="AA36" s="815">
        <f t="shared" si="13"/>
        <v>293</v>
      </c>
      <c r="AB36" s="815">
        <f t="shared" si="13"/>
        <v>1072</v>
      </c>
      <c r="AC36" s="815">
        <f t="shared" si="13"/>
        <v>-236</v>
      </c>
      <c r="AD36" s="815">
        <f t="shared" si="13"/>
        <v>1019</v>
      </c>
      <c r="AE36" s="934">
        <f t="shared" si="13"/>
        <v>2148</v>
      </c>
      <c r="AF36" s="815">
        <f t="shared" si="13"/>
        <v>456</v>
      </c>
      <c r="AG36" s="815">
        <f t="shared" si="13"/>
        <v>619</v>
      </c>
      <c r="AH36" s="815">
        <f t="shared" si="13"/>
        <v>1803</v>
      </c>
      <c r="AI36" s="815">
        <f t="shared" si="13"/>
        <v>947</v>
      </c>
      <c r="AJ36" s="934">
        <f t="shared" si="13"/>
        <v>3825</v>
      </c>
      <c r="AK36" s="815">
        <f t="shared" si="13"/>
        <v>264</v>
      </c>
      <c r="AL36" s="815">
        <f t="shared" si="13"/>
        <v>1234</v>
      </c>
      <c r="AM36" s="815">
        <f t="shared" si="13"/>
        <v>1649</v>
      </c>
      <c r="AN36" s="815">
        <f t="shared" si="13"/>
        <v>1102</v>
      </c>
      <c r="AO36" s="934">
        <f t="shared" si="13"/>
        <v>4249</v>
      </c>
      <c r="AP36" s="815">
        <f t="shared" si="13"/>
        <v>-970</v>
      </c>
      <c r="AQ36" s="815">
        <f t="shared" si="13"/>
        <v>1165</v>
      </c>
      <c r="AR36" s="815">
        <f t="shared" si="13"/>
        <v>1349</v>
      </c>
      <c r="AS36" s="815">
        <f t="shared" si="13"/>
        <v>1175</v>
      </c>
      <c r="AT36" s="934">
        <f t="shared" si="13"/>
        <v>2719</v>
      </c>
      <c r="AU36" s="815">
        <f t="shared" si="13"/>
        <v>1118</v>
      </c>
      <c r="AV36" s="815">
        <f t="shared" si="13"/>
        <v>1223</v>
      </c>
      <c r="AW36" s="815">
        <f t="shared" si="13"/>
        <v>1921</v>
      </c>
      <c r="AX36" s="815">
        <f t="shared" si="13"/>
        <v>1526</v>
      </c>
      <c r="AY36" s="934">
        <f t="shared" si="13"/>
        <v>5788</v>
      </c>
      <c r="AZ36" s="815">
        <f t="shared" si="13"/>
        <v>1200</v>
      </c>
      <c r="BA36" s="815">
        <f>BA29+BA32+BA33+BA34+BA35</f>
        <v>-10446</v>
      </c>
      <c r="BB36" s="815">
        <f>BB25+BB32+BB33+BB34+BB35</f>
        <v>-3948</v>
      </c>
      <c r="BC36" s="815">
        <f t="shared" ref="BC36:CH36" si="14">BC29+BC32+BC33+BC34+BC35</f>
        <v>1154</v>
      </c>
      <c r="BD36" s="934">
        <f t="shared" si="14"/>
        <v>-12190</v>
      </c>
      <c r="BE36" s="815">
        <f t="shared" si="14"/>
        <v>1748</v>
      </c>
      <c r="BF36" s="815">
        <f t="shared" si="14"/>
        <v>1708</v>
      </c>
      <c r="BG36" s="815">
        <f t="shared" si="14"/>
        <v>836</v>
      </c>
      <c r="BH36" s="815">
        <f t="shared" si="14"/>
        <v>1749</v>
      </c>
      <c r="BI36" s="934">
        <f t="shared" si="14"/>
        <v>6041</v>
      </c>
      <c r="BJ36" s="815">
        <f t="shared" si="14"/>
        <v>893</v>
      </c>
      <c r="BK36" s="815">
        <f t="shared" si="14"/>
        <v>1313</v>
      </c>
      <c r="BL36" s="815">
        <f t="shared" si="14"/>
        <v>1344</v>
      </c>
      <c r="BM36" s="815">
        <f t="shared" si="14"/>
        <v>1288</v>
      </c>
      <c r="BN36" s="934">
        <f t="shared" si="14"/>
        <v>4838</v>
      </c>
      <c r="BO36" s="815">
        <f t="shared" si="14"/>
        <v>1483</v>
      </c>
      <c r="BP36" s="815">
        <f t="shared" si="14"/>
        <v>807</v>
      </c>
      <c r="BQ36" s="815">
        <f t="shared" si="14"/>
        <v>101</v>
      </c>
      <c r="BR36" s="815">
        <f t="shared" si="14"/>
        <v>1543</v>
      </c>
      <c r="BS36" s="934">
        <f t="shared" si="14"/>
        <v>3934</v>
      </c>
      <c r="BT36" s="815">
        <f t="shared" si="14"/>
        <v>312</v>
      </c>
      <c r="BU36" s="815">
        <f t="shared" si="14"/>
        <v>917</v>
      </c>
      <c r="BV36" s="815">
        <f t="shared" si="14"/>
        <v>1444</v>
      </c>
      <c r="BW36" s="815">
        <f t="shared" si="14"/>
        <v>1006</v>
      </c>
      <c r="BX36" s="934">
        <f>BX29+BX32+BX33+BX34+BX35</f>
        <v>3679</v>
      </c>
      <c r="BY36" s="815">
        <f>BY29+BY32+BY33+BY34+BY35</f>
        <v>854</v>
      </c>
      <c r="BZ36" s="815">
        <f>BZ29+BZ32+BZ33+BZ34+BZ35</f>
        <v>1295</v>
      </c>
      <c r="CA36" s="815">
        <f>CA29+CA32+CA33+CA34+CA35</f>
        <v>-697</v>
      </c>
      <c r="CB36" s="815">
        <f>CB29+CB32+CB33+CB34+CB35</f>
        <v>1670.9681615828226</v>
      </c>
      <c r="CC36" s="934">
        <f t="shared" si="14"/>
        <v>3122.9681615828222</v>
      </c>
      <c r="CD36" s="815">
        <f>CD29+CD32+CD33+CD34+CD35</f>
        <v>388.57109690291622</v>
      </c>
      <c r="CE36" s="815">
        <f>CE29+CE32+CE33+CE34+CE35</f>
        <v>1289.4405196872408</v>
      </c>
      <c r="CF36" s="815">
        <f>CF29+CF32+CF33+CF34+CF35</f>
        <v>1564.1405656435686</v>
      </c>
      <c r="CG36" s="815">
        <f>CG29+CG32+CG33+CG34+CG35</f>
        <v>1830.9140821035398</v>
      </c>
      <c r="CH36" s="2092">
        <f t="shared" si="14"/>
        <v>5073.0662643372707</v>
      </c>
      <c r="CI36" s="934">
        <f>CI29+CI32+CI33+CI34+CI35</f>
        <v>6324.9352738865973</v>
      </c>
      <c r="CJ36" s="934">
        <f>CJ29+CJ32+CJ33+CJ34+CJ35</f>
        <v>6985.2707692950207</v>
      </c>
      <c r="CK36" s="934">
        <f>CK29+CK32+CK33+CK34+CK35</f>
        <v>7334.9234748342933</v>
      </c>
      <c r="CL36" s="814"/>
      <c r="CM36" s="907"/>
      <c r="CN36" s="906"/>
      <c r="CO36" s="905"/>
    </row>
    <row r="37" spans="1:93">
      <c r="A37" s="924"/>
      <c r="B37" s="915"/>
      <c r="C37" s="915"/>
      <c r="D37" s="915"/>
      <c r="E37" s="915"/>
      <c r="F37" s="915"/>
      <c r="G37" s="915"/>
      <c r="H37" s="757"/>
      <c r="I37" s="757"/>
      <c r="J37" s="757"/>
      <c r="K37" s="757"/>
      <c r="L37" s="810"/>
      <c r="M37" s="810"/>
      <c r="N37" s="810"/>
      <c r="O37" s="810"/>
      <c r="P37" s="757"/>
      <c r="Q37" s="810"/>
      <c r="R37" s="810"/>
      <c r="S37" s="810"/>
      <c r="T37" s="810"/>
      <c r="U37" s="757"/>
      <c r="V37" s="758"/>
      <c r="W37" s="758"/>
      <c r="X37" s="758"/>
      <c r="Y37" s="758"/>
      <c r="Z37" s="757"/>
      <c r="AA37" s="758"/>
      <c r="AB37" s="758"/>
      <c r="AC37" s="758"/>
      <c r="AD37" s="758"/>
      <c r="AE37" s="757"/>
      <c r="AF37" s="758"/>
      <c r="AG37" s="758"/>
      <c r="AH37" s="758"/>
      <c r="AI37" s="758"/>
      <c r="AJ37" s="757"/>
      <c r="AK37" s="758"/>
      <c r="AL37" s="758"/>
      <c r="AM37" s="758"/>
      <c r="AN37" s="758"/>
      <c r="AO37" s="757"/>
      <c r="AP37" s="758"/>
      <c r="AQ37" s="758"/>
      <c r="AR37" s="758"/>
      <c r="AS37" s="758"/>
      <c r="AT37" s="757"/>
      <c r="AU37" s="758"/>
      <c r="AV37" s="758"/>
      <c r="AW37" s="758"/>
      <c r="AX37" s="758"/>
      <c r="AY37" s="757"/>
      <c r="AZ37" s="758"/>
      <c r="BA37" s="758"/>
      <c r="BB37" s="758"/>
      <c r="BC37" s="758"/>
      <c r="BD37" s="757"/>
      <c r="BE37" s="758"/>
      <c r="BF37" s="758"/>
      <c r="BG37" s="758"/>
      <c r="BH37" s="758"/>
      <c r="BI37" s="757"/>
      <c r="BJ37" s="758"/>
      <c r="BK37" s="758"/>
      <c r="BL37" s="758"/>
      <c r="BM37" s="758"/>
      <c r="BN37" s="757"/>
      <c r="BO37" s="758"/>
      <c r="BP37" s="758"/>
      <c r="BQ37" s="758"/>
      <c r="BR37" s="758"/>
      <c r="BS37" s="757"/>
      <c r="BT37" s="758"/>
      <c r="BU37" s="758"/>
      <c r="BV37" s="758"/>
      <c r="BW37" s="758"/>
      <c r="BX37" s="2072"/>
      <c r="BY37" s="758"/>
      <c r="BZ37" s="758"/>
      <c r="CA37" s="758"/>
      <c r="CB37" s="758"/>
      <c r="CC37" s="757"/>
      <c r="CD37" s="758"/>
      <c r="CE37" s="758"/>
      <c r="CF37" s="758"/>
      <c r="CG37" s="758"/>
      <c r="CH37" s="2088"/>
      <c r="CI37" s="757"/>
      <c r="CJ37" s="2072"/>
      <c r="CK37" s="2072"/>
      <c r="CL37" s="757"/>
      <c r="CM37" s="917"/>
      <c r="CN37" s="916"/>
      <c r="CO37" s="915"/>
    </row>
    <row r="38" spans="1:93">
      <c r="A38" s="924"/>
      <c r="B38" s="930"/>
      <c r="C38" s="915" t="s">
        <v>467</v>
      </c>
      <c r="D38" s="915"/>
      <c r="E38" s="915"/>
      <c r="F38" s="925"/>
      <c r="G38" s="925"/>
      <c r="H38" s="757">
        <v>438</v>
      </c>
      <c r="I38" s="757">
        <v>315</v>
      </c>
      <c r="J38" s="757">
        <v>183</v>
      </c>
      <c r="K38" s="757">
        <v>331</v>
      </c>
      <c r="L38" s="933">
        <v>119</v>
      </c>
      <c r="M38" s="933">
        <v>44</v>
      </c>
      <c r="N38" s="933">
        <v>89</v>
      </c>
      <c r="O38" s="810">
        <v>179</v>
      </c>
      <c r="P38" s="757">
        <v>431</v>
      </c>
      <c r="Q38" s="760">
        <v>86</v>
      </c>
      <c r="R38" s="760">
        <v>76</v>
      </c>
      <c r="S38" s="760">
        <v>58</v>
      </c>
      <c r="T38" s="760">
        <v>62</v>
      </c>
      <c r="U38" s="757">
        <v>282</v>
      </c>
      <c r="V38" s="758">
        <v>104</v>
      </c>
      <c r="W38" s="758">
        <f>215-V38</f>
        <v>111</v>
      </c>
      <c r="X38" s="758">
        <f>258-V38-W38</f>
        <v>43</v>
      </c>
      <c r="Y38" s="758">
        <f>Z38-V38-W38-X38</f>
        <v>88</v>
      </c>
      <c r="Z38" s="757">
        <v>346</v>
      </c>
      <c r="AA38" s="758">
        <v>121</v>
      </c>
      <c r="AB38" s="758">
        <f>264-AA38</f>
        <v>143</v>
      </c>
      <c r="AC38" s="758">
        <f>372-AB38-AA38</f>
        <v>108</v>
      </c>
      <c r="AD38" s="758">
        <f>AE38-AA38-AB38-AC38</f>
        <v>43</v>
      </c>
      <c r="AE38" s="757">
        <v>415</v>
      </c>
      <c r="AF38" s="758">
        <v>42</v>
      </c>
      <c r="AG38" s="758">
        <f>102-AF38</f>
        <v>60</v>
      </c>
      <c r="AH38" s="758">
        <f>131-AF38-AG38</f>
        <v>29</v>
      </c>
      <c r="AI38" s="758">
        <f>AJ38-AF38-AG38-AH38</f>
        <v>32</v>
      </c>
      <c r="AJ38" s="757">
        <v>163</v>
      </c>
      <c r="AK38" s="758">
        <v>36</v>
      </c>
      <c r="AL38" s="758">
        <f>101-AK38</f>
        <v>65</v>
      </c>
      <c r="AM38" s="758">
        <f>212-AL38-AK38</f>
        <v>111</v>
      </c>
      <c r="AN38" s="758">
        <f>AO38-SUM(AK38:AM38)</f>
        <v>130</v>
      </c>
      <c r="AO38" s="757">
        <v>342</v>
      </c>
      <c r="AP38" s="758">
        <v>99</v>
      </c>
      <c r="AQ38" s="758">
        <f>162-AP38</f>
        <v>63</v>
      </c>
      <c r="AR38" s="759">
        <f>211-AQ38-AP38</f>
        <v>49</v>
      </c>
      <c r="AS38" s="758">
        <f>AT38-SUM(AP38:AR38)</f>
        <v>175</v>
      </c>
      <c r="AT38" s="757">
        <v>386</v>
      </c>
      <c r="AU38" s="758">
        <v>89</v>
      </c>
      <c r="AV38" s="758">
        <f>168-AU38</f>
        <v>79</v>
      </c>
      <c r="AW38" s="758">
        <f>196-AU38-AV38</f>
        <v>28</v>
      </c>
      <c r="AX38" s="758">
        <f>226-AU38-AV38-AW38</f>
        <v>30</v>
      </c>
      <c r="AY38" s="757">
        <f t="shared" ref="AY38:AY43" si="15">SUM(AU38:AX38)</f>
        <v>226</v>
      </c>
      <c r="AZ38" s="758">
        <v>120</v>
      </c>
      <c r="BA38" s="758">
        <f>138-AZ38</f>
        <v>18</v>
      </c>
      <c r="BB38" s="758">
        <f>460-AZ38-BA38</f>
        <v>322</v>
      </c>
      <c r="BC38" s="758">
        <f>522-AZ38-BA38-BB38</f>
        <v>62</v>
      </c>
      <c r="BD38" s="757">
        <f t="shared" ref="BD38:BD43" si="16">SUM(AZ38:BC38)</f>
        <v>522</v>
      </c>
      <c r="BE38" s="758">
        <v>153</v>
      </c>
      <c r="BF38" s="758">
        <f>222-BE38</f>
        <v>69</v>
      </c>
      <c r="BG38" s="758">
        <f>336-SUM(BE38:BF38)</f>
        <v>114</v>
      </c>
      <c r="BH38" s="758">
        <f>378-SUM(BE38:BG38)</f>
        <v>42</v>
      </c>
      <c r="BI38" s="757">
        <f t="shared" ref="BI38:BI43" si="17">SUM(BE38:BH38)</f>
        <v>378</v>
      </c>
      <c r="BJ38" s="758">
        <v>86</v>
      </c>
      <c r="BK38" s="758">
        <f>113-BJ38</f>
        <v>27</v>
      </c>
      <c r="BL38" s="758">
        <f>131-SUM(BJ38:BK38)</f>
        <v>18</v>
      </c>
      <c r="BM38" s="758">
        <f>187-SUM(BJ38:BL38)</f>
        <v>56</v>
      </c>
      <c r="BN38" s="757">
        <f t="shared" ref="BN38:BN43" si="18">SUM(BJ38:BM38)</f>
        <v>187</v>
      </c>
      <c r="BO38" s="758">
        <v>24</v>
      </c>
      <c r="BP38" s="758">
        <f>26-BO38</f>
        <v>2</v>
      </c>
      <c r="BQ38" s="758">
        <v>1100</v>
      </c>
      <c r="BR38" s="758">
        <v>0</v>
      </c>
      <c r="BS38" s="757">
        <f t="shared" ref="BS38:BS43" si="19">SUM(BO38:BR38)</f>
        <v>1126</v>
      </c>
      <c r="BT38" s="758">
        <v>2</v>
      </c>
      <c r="BU38" s="758">
        <f>5-BT38</f>
        <v>3</v>
      </c>
      <c r="BV38" s="758">
        <v>6</v>
      </c>
      <c r="BW38" s="758">
        <f>BX38-SUM(BT38:BV38)</f>
        <v>2</v>
      </c>
      <c r="BX38" s="2072">
        <v>13</v>
      </c>
      <c r="BY38" s="758">
        <v>11</v>
      </c>
      <c r="BZ38" s="758">
        <f>22-BY38</f>
        <v>11</v>
      </c>
      <c r="CA38" s="758">
        <f t="shared" ref="CA38:CI38" si="20">CA84</f>
        <v>15.97352460902925</v>
      </c>
      <c r="CB38" s="758">
        <f t="shared" si="20"/>
        <v>11</v>
      </c>
      <c r="CC38" s="757">
        <f t="shared" si="20"/>
        <v>48.973524609029248</v>
      </c>
      <c r="CD38" s="758">
        <f>CD84</f>
        <v>138.03301750000088</v>
      </c>
      <c r="CE38" s="758">
        <f>CE84</f>
        <v>138.03301750000088</v>
      </c>
      <c r="CF38" s="758">
        <f>CF84</f>
        <v>140</v>
      </c>
      <c r="CG38" s="758">
        <f>CG84</f>
        <v>138.03301750000088</v>
      </c>
      <c r="CH38" s="2088">
        <f t="shared" si="20"/>
        <v>554.0990525000027</v>
      </c>
      <c r="CI38" s="757">
        <f t="shared" si="20"/>
        <v>609.50895775000311</v>
      </c>
      <c r="CJ38" s="2072">
        <f>CJ84</f>
        <v>670.4598535250035</v>
      </c>
      <c r="CK38" s="2072">
        <f>CK84</f>
        <v>737.50583887750395</v>
      </c>
      <c r="CL38" s="757"/>
      <c r="CM38" s="917"/>
      <c r="CN38" s="916"/>
      <c r="CO38" s="915"/>
    </row>
    <row r="39" spans="1:93">
      <c r="A39" s="924"/>
      <c r="B39" s="930"/>
      <c r="C39" s="915" t="s">
        <v>466</v>
      </c>
      <c r="D39" s="915"/>
      <c r="E39" s="915"/>
      <c r="F39" s="925"/>
      <c r="G39" s="925"/>
      <c r="H39" s="757">
        <v>-800</v>
      </c>
      <c r="I39" s="757">
        <v>-599</v>
      </c>
      <c r="J39" s="757">
        <v>-700</v>
      </c>
      <c r="K39" s="757">
        <v>-401</v>
      </c>
      <c r="L39" s="810">
        <v>-216</v>
      </c>
      <c r="M39" s="810">
        <v>-264</v>
      </c>
      <c r="N39" s="810">
        <v>-208</v>
      </c>
      <c r="O39" s="810">
        <v>-304</v>
      </c>
      <c r="P39" s="757">
        <v>-992</v>
      </c>
      <c r="Q39" s="760">
        <v>-115</v>
      </c>
      <c r="R39" s="760">
        <v>-260</v>
      </c>
      <c r="S39" s="760">
        <v>-385</v>
      </c>
      <c r="T39" s="760">
        <v>-421</v>
      </c>
      <c r="U39" s="757">
        <v>-1181</v>
      </c>
      <c r="V39" s="758">
        <v>-375</v>
      </c>
      <c r="W39" s="758">
        <v>-375</v>
      </c>
      <c r="X39" s="758">
        <v>-580</v>
      </c>
      <c r="Y39" s="758">
        <v>-738</v>
      </c>
      <c r="Z39" s="757">
        <v>-2068</v>
      </c>
      <c r="AA39" s="758">
        <v>-500</v>
      </c>
      <c r="AB39" s="758">
        <v>-500</v>
      </c>
      <c r="AC39" s="758">
        <v>-500</v>
      </c>
      <c r="AD39" s="758">
        <v>-501</v>
      </c>
      <c r="AE39" s="757">
        <v>-2001</v>
      </c>
      <c r="AF39" s="758">
        <v>-801</v>
      </c>
      <c r="AG39" s="758">
        <f>-1520-AF39</f>
        <v>-719</v>
      </c>
      <c r="AH39" s="758">
        <f>-2470-AF39-AG39</f>
        <v>-950</v>
      </c>
      <c r="AI39" s="758">
        <v>-690</v>
      </c>
      <c r="AJ39" s="757">
        <f>SUM(AF39:AI39)</f>
        <v>-3160</v>
      </c>
      <c r="AK39" s="758">
        <v>-200</v>
      </c>
      <c r="AL39" s="758">
        <f>-350-AK39</f>
        <v>-150</v>
      </c>
      <c r="AM39" s="758">
        <v>-430</v>
      </c>
      <c r="AN39" s="758">
        <v>-320</v>
      </c>
      <c r="AO39" s="757">
        <f>SUM(AK39:AN39)</f>
        <v>-1100</v>
      </c>
      <c r="AP39" s="758">
        <v>-500</v>
      </c>
      <c r="AQ39" s="758">
        <f>-1150-AP39</f>
        <v>-650</v>
      </c>
      <c r="AR39" s="758">
        <f>-1644-AQ39-AP39</f>
        <v>-494</v>
      </c>
      <c r="AS39" s="758">
        <v>-556</v>
      </c>
      <c r="AT39" s="757">
        <f>SUM(AP39:AS39)</f>
        <v>-2200</v>
      </c>
      <c r="AU39" s="758">
        <v>-727</v>
      </c>
      <c r="AV39" s="758">
        <f>-1500-AU39</f>
        <v>-773</v>
      </c>
      <c r="AW39" s="758">
        <f>-2175-AU39-AV39</f>
        <v>-675</v>
      </c>
      <c r="AX39" s="758">
        <f>-2175-AU39-AV39-AW39</f>
        <v>0</v>
      </c>
      <c r="AY39" s="757">
        <f t="shared" si="15"/>
        <v>-2175</v>
      </c>
      <c r="AZ39" s="758">
        <v>0</v>
      </c>
      <c r="BA39" s="758">
        <f>0-AZ39</f>
        <v>0</v>
      </c>
      <c r="BB39" s="758">
        <f>0-AZ39-BA39</f>
        <v>0</v>
      </c>
      <c r="BC39" s="758">
        <f>0-AZ39-BA39-BB39</f>
        <v>0</v>
      </c>
      <c r="BD39" s="757">
        <f t="shared" si="16"/>
        <v>0</v>
      </c>
      <c r="BE39" s="758">
        <v>-335</v>
      </c>
      <c r="BF39" s="758">
        <f>-670-BE39</f>
        <v>-335</v>
      </c>
      <c r="BG39" s="758">
        <f>-1000-SUM(BE39:BF39)</f>
        <v>-330</v>
      </c>
      <c r="BH39" s="758">
        <v>-200</v>
      </c>
      <c r="BI39" s="757">
        <f t="shared" si="17"/>
        <v>-1200</v>
      </c>
      <c r="BJ39" s="758">
        <v>-335</v>
      </c>
      <c r="BK39" s="758">
        <v>-335</v>
      </c>
      <c r="BL39" s="758">
        <v>-425</v>
      </c>
      <c r="BM39" s="931">
        <v>-405</v>
      </c>
      <c r="BN39" s="757">
        <f t="shared" si="18"/>
        <v>-1500</v>
      </c>
      <c r="BO39" s="758">
        <v>-3000</v>
      </c>
      <c r="BP39" s="758">
        <v>0</v>
      </c>
      <c r="BQ39" s="758">
        <v>-1000</v>
      </c>
      <c r="BR39" s="758">
        <v>-6000</v>
      </c>
      <c r="BS39" s="757">
        <f t="shared" si="19"/>
        <v>-10000</v>
      </c>
      <c r="BT39" s="758">
        <v>0</v>
      </c>
      <c r="BU39" s="758">
        <v>-36</v>
      </c>
      <c r="BV39" s="758">
        <v>-492</v>
      </c>
      <c r="BW39" s="758">
        <v>-1726</v>
      </c>
      <c r="BX39" s="2072">
        <f t="shared" ref="BX39:BX43" si="21">SUM(BT39:BW39)</f>
        <v>-2254</v>
      </c>
      <c r="BY39" s="1886">
        <v>-933</v>
      </c>
      <c r="BZ39" s="758">
        <v>-437</v>
      </c>
      <c r="CA39" s="758">
        <v>-60</v>
      </c>
      <c r="CB39" s="758">
        <f t="shared" ref="CB39:CK39" si="22">CB88</f>
        <v>0</v>
      </c>
      <c r="CC39" s="757">
        <f t="shared" si="22"/>
        <v>-1430</v>
      </c>
      <c r="CD39" s="758">
        <f t="shared" si="22"/>
        <v>0</v>
      </c>
      <c r="CE39" s="758">
        <f t="shared" si="22"/>
        <v>0</v>
      </c>
      <c r="CF39" s="758">
        <f t="shared" si="22"/>
        <v>0</v>
      </c>
      <c r="CG39" s="758">
        <f t="shared" si="22"/>
        <v>0</v>
      </c>
      <c r="CH39" s="2088">
        <f t="shared" si="22"/>
        <v>0</v>
      </c>
      <c r="CI39" s="757">
        <f t="shared" si="22"/>
        <v>0</v>
      </c>
      <c r="CJ39" s="2072">
        <f t="shared" si="22"/>
        <v>0</v>
      </c>
      <c r="CK39" s="2072">
        <f t="shared" si="22"/>
        <v>0</v>
      </c>
      <c r="CL39" s="757"/>
      <c r="CM39" s="917"/>
      <c r="CN39" s="916"/>
      <c r="CO39" s="915"/>
    </row>
    <row r="40" spans="1:93">
      <c r="A40" s="924"/>
      <c r="B40" s="930"/>
      <c r="C40" s="915" t="s">
        <v>465</v>
      </c>
      <c r="D40" s="915"/>
      <c r="E40" s="915"/>
      <c r="F40" s="925"/>
      <c r="G40" s="925"/>
      <c r="H40" s="757">
        <v>0</v>
      </c>
      <c r="I40" s="757">
        <v>0</v>
      </c>
      <c r="J40" s="757">
        <v>0</v>
      </c>
      <c r="K40" s="757">
        <v>0</v>
      </c>
      <c r="L40" s="810">
        <v>0</v>
      </c>
      <c r="M40" s="810">
        <v>0</v>
      </c>
      <c r="N40" s="810">
        <v>0</v>
      </c>
      <c r="O40" s="810">
        <v>0</v>
      </c>
      <c r="P40" s="757"/>
      <c r="Q40" s="760">
        <v>0</v>
      </c>
      <c r="R40" s="760">
        <v>0</v>
      </c>
      <c r="S40" s="760">
        <v>0</v>
      </c>
      <c r="T40" s="760">
        <v>0</v>
      </c>
      <c r="U40" s="757">
        <v>0</v>
      </c>
      <c r="V40" s="758">
        <f>BS!W55-BS!V55</f>
        <v>0</v>
      </c>
      <c r="W40" s="758">
        <f>BS!X55-BS!W55</f>
        <v>0</v>
      </c>
      <c r="X40" s="758">
        <f>BS!Y55-BS!X55</f>
        <v>0</v>
      </c>
      <c r="Y40" s="758">
        <f>Z40-SUM(V40:X40)</f>
        <v>0</v>
      </c>
      <c r="Z40" s="757">
        <f>BS!AA55-BS!Y55</f>
        <v>0</v>
      </c>
      <c r="AA40" s="758">
        <f>BS!AB55-BS!AA55</f>
        <v>0</v>
      </c>
      <c r="AB40" s="758">
        <f>BS!AC55-BS!AB55</f>
        <v>0</v>
      </c>
      <c r="AC40" s="758">
        <f>BS!AD55-BS!AC55</f>
        <v>0</v>
      </c>
      <c r="AD40" s="758">
        <f>BS!AE55-BS!AD55</f>
        <v>0</v>
      </c>
      <c r="AE40" s="757">
        <f>SUM(AA40:AD40)</f>
        <v>0</v>
      </c>
      <c r="AF40" s="758">
        <v>0</v>
      </c>
      <c r="AG40" s="758">
        <f>BS!AI55-BS!AH55</f>
        <v>0</v>
      </c>
      <c r="AH40" s="758">
        <f>BS!AJ55-BS!AI55</f>
        <v>0</v>
      </c>
      <c r="AI40" s="758">
        <f>BS!AP55-BS!AJ55</f>
        <v>0</v>
      </c>
      <c r="AJ40" s="757">
        <f>SUM(AF40:AI40)</f>
        <v>0</v>
      </c>
      <c r="AK40" s="758">
        <v>0</v>
      </c>
      <c r="AL40" s="758">
        <v>0</v>
      </c>
      <c r="AM40" s="758">
        <v>0</v>
      </c>
      <c r="AN40" s="758">
        <v>0</v>
      </c>
      <c r="AO40" s="757">
        <f>SUM(AK40:AN40)</f>
        <v>0</v>
      </c>
      <c r="AP40" s="758">
        <v>0</v>
      </c>
      <c r="AQ40" s="758">
        <v>0</v>
      </c>
      <c r="AR40" s="758">
        <v>0</v>
      </c>
      <c r="AS40" s="758">
        <v>0</v>
      </c>
      <c r="AT40" s="757">
        <f>SUM(AP40:AS40)</f>
        <v>0</v>
      </c>
      <c r="AU40" s="758">
        <v>0</v>
      </c>
      <c r="AV40" s="758">
        <f>0-AU40</f>
        <v>0</v>
      </c>
      <c r="AW40" s="758">
        <f>0-AU40-AV40</f>
        <v>0</v>
      </c>
      <c r="AX40" s="758">
        <f>0-AU40-AV40-AW40</f>
        <v>0</v>
      </c>
      <c r="AY40" s="757">
        <f t="shared" si="15"/>
        <v>0</v>
      </c>
      <c r="AZ40" s="758">
        <v>0</v>
      </c>
      <c r="BA40" s="758">
        <f>0-AZ40</f>
        <v>0</v>
      </c>
      <c r="BB40" s="758">
        <f>0-AZ40-BA40</f>
        <v>0</v>
      </c>
      <c r="BC40" s="758">
        <f>0-AZ40-BA40-BB40</f>
        <v>0</v>
      </c>
      <c r="BD40" s="757">
        <f t="shared" si="16"/>
        <v>0</v>
      </c>
      <c r="BE40" s="758">
        <f>BS!BF55-BS!BE55</f>
        <v>0</v>
      </c>
      <c r="BF40" s="758">
        <v>0</v>
      </c>
      <c r="BG40" s="758">
        <v>0</v>
      </c>
      <c r="BH40" s="758">
        <f>BS!BI55-BS!BH55</f>
        <v>0</v>
      </c>
      <c r="BI40" s="757">
        <f t="shared" si="17"/>
        <v>0</v>
      </c>
      <c r="BJ40" s="758">
        <v>0</v>
      </c>
      <c r="BK40" s="758">
        <v>0</v>
      </c>
      <c r="BL40" s="758">
        <v>0</v>
      </c>
      <c r="BM40" s="758">
        <v>0</v>
      </c>
      <c r="BN40" s="757">
        <f t="shared" si="18"/>
        <v>0</v>
      </c>
      <c r="BO40" s="758">
        <v>0</v>
      </c>
      <c r="BP40" s="758">
        <v>0</v>
      </c>
      <c r="BQ40" s="758">
        <f>BS!BR55-BS!BQ55</f>
        <v>0</v>
      </c>
      <c r="BR40" s="758">
        <f>BS!BS55-BS!BR55</f>
        <v>0</v>
      </c>
      <c r="BS40" s="757">
        <f t="shared" si="19"/>
        <v>0</v>
      </c>
      <c r="BT40" s="758">
        <f>BS!BU55-BS!BT55</f>
        <v>0</v>
      </c>
      <c r="BU40" s="758">
        <f>BS!BV55-BS!BU55</f>
        <v>0</v>
      </c>
      <c r="BV40" s="758">
        <f>BS!BW55-BS!BV55</f>
        <v>0</v>
      </c>
      <c r="BW40" s="758">
        <f>BS!BX55-BS!BW55</f>
        <v>0</v>
      </c>
      <c r="BX40" s="2072">
        <f t="shared" si="21"/>
        <v>0</v>
      </c>
      <c r="BY40" s="1886">
        <f>BS!BZ55-BS!BY55</f>
        <v>0</v>
      </c>
      <c r="BZ40" s="758">
        <f>BS!CA55-BS!BZ55</f>
        <v>0</v>
      </c>
      <c r="CA40" s="758">
        <f>BS!CB55-BS!CA55</f>
        <v>0</v>
      </c>
      <c r="CB40" s="758">
        <f>BS!CC55-BS!CB55</f>
        <v>0</v>
      </c>
      <c r="CC40" s="757">
        <f>BS!CD55-BS!BY55</f>
        <v>0</v>
      </c>
      <c r="CD40" s="758">
        <f>BS!CE55-BS!CD55</f>
        <v>0</v>
      </c>
      <c r="CE40" s="758">
        <f>BS!CF55-BS!CE55</f>
        <v>0</v>
      </c>
      <c r="CF40" s="758">
        <f>BS!CG55-BS!CF55</f>
        <v>0</v>
      </c>
      <c r="CG40" s="758">
        <f>BS!CH55-BS!CG55</f>
        <v>0</v>
      </c>
      <c r="CH40" s="2088">
        <f>BS!CI55-BS!CD55</f>
        <v>0</v>
      </c>
      <c r="CI40" s="757">
        <f>BS!CJ55-BS!CI55</f>
        <v>0</v>
      </c>
      <c r="CJ40" s="2072">
        <f>BS!CK55-BS!CJ55</f>
        <v>0</v>
      </c>
      <c r="CK40" s="2072">
        <f>BS!CL55-BS!CK55</f>
        <v>0</v>
      </c>
      <c r="CL40" s="757"/>
      <c r="CM40" s="917"/>
      <c r="CN40" s="916"/>
      <c r="CO40" s="915"/>
    </row>
    <row r="41" spans="1:93">
      <c r="A41" s="924"/>
      <c r="B41" s="930"/>
      <c r="C41" s="915" t="s">
        <v>464</v>
      </c>
      <c r="D41" s="915"/>
      <c r="E41" s="915"/>
      <c r="F41" s="925"/>
      <c r="G41" s="925"/>
      <c r="H41" s="757">
        <v>0</v>
      </c>
      <c r="I41" s="757">
        <v>0</v>
      </c>
      <c r="J41" s="757">
        <v>0</v>
      </c>
      <c r="K41" s="757">
        <v>0</v>
      </c>
      <c r="L41" s="810">
        <v>0</v>
      </c>
      <c r="M41" s="810">
        <v>0</v>
      </c>
      <c r="N41" s="810">
        <v>0</v>
      </c>
      <c r="O41" s="810">
        <v>0</v>
      </c>
      <c r="P41" s="757">
        <v>0</v>
      </c>
      <c r="Q41" s="932"/>
      <c r="R41" s="932"/>
      <c r="S41" s="932"/>
      <c r="T41" s="932"/>
      <c r="U41" s="757"/>
      <c r="V41" s="875"/>
      <c r="W41" s="875"/>
      <c r="X41" s="875"/>
      <c r="Y41" s="875"/>
      <c r="Z41" s="757"/>
      <c r="AA41" s="875"/>
      <c r="AB41" s="875"/>
      <c r="AC41" s="875"/>
      <c r="AD41" s="875"/>
      <c r="AE41" s="757">
        <f>SUM(AA41:AD41)</f>
        <v>0</v>
      </c>
      <c r="AF41" s="875"/>
      <c r="AG41" s="875"/>
      <c r="AH41" s="875"/>
      <c r="AI41" s="875"/>
      <c r="AJ41" s="757">
        <f>SUM(AF41:AI41)</f>
        <v>0</v>
      </c>
      <c r="AK41" s="875"/>
      <c r="AL41" s="875"/>
      <c r="AM41" s="875"/>
      <c r="AN41" s="875"/>
      <c r="AO41" s="757">
        <f>SUM(AK41:AN41)</f>
        <v>0</v>
      </c>
      <c r="AP41" s="875"/>
      <c r="AQ41" s="875"/>
      <c r="AR41" s="875"/>
      <c r="AS41" s="875"/>
      <c r="AT41" s="757">
        <f>SUM(AP41:AS41)</f>
        <v>0</v>
      </c>
      <c r="AU41" s="875"/>
      <c r="AV41" s="875"/>
      <c r="AW41" s="875"/>
      <c r="AX41" s="875"/>
      <c r="AY41" s="757">
        <f t="shared" si="15"/>
        <v>0</v>
      </c>
      <c r="AZ41" s="875"/>
      <c r="BA41" s="875"/>
      <c r="BB41" s="875"/>
      <c r="BC41" s="875"/>
      <c r="BD41" s="757">
        <f t="shared" si="16"/>
        <v>0</v>
      </c>
      <c r="BE41" s="875">
        <v>0</v>
      </c>
      <c r="BF41" s="875">
        <v>0</v>
      </c>
      <c r="BG41" s="875">
        <v>0</v>
      </c>
      <c r="BH41" s="875">
        <v>0</v>
      </c>
      <c r="BI41" s="757">
        <f t="shared" si="17"/>
        <v>0</v>
      </c>
      <c r="BJ41" s="875">
        <v>0</v>
      </c>
      <c r="BK41" s="875">
        <v>0</v>
      </c>
      <c r="BL41" s="875">
        <v>0</v>
      </c>
      <c r="BM41" s="875">
        <v>0</v>
      </c>
      <c r="BN41" s="757">
        <f t="shared" si="18"/>
        <v>0</v>
      </c>
      <c r="BO41" s="875">
        <v>0</v>
      </c>
      <c r="BP41" s="875">
        <v>0</v>
      </c>
      <c r="BQ41" s="875">
        <v>0</v>
      </c>
      <c r="BR41" s="875">
        <v>0</v>
      </c>
      <c r="BS41" s="757">
        <f t="shared" si="19"/>
        <v>0</v>
      </c>
      <c r="BT41" s="875">
        <v>0</v>
      </c>
      <c r="BU41" s="875">
        <v>0</v>
      </c>
      <c r="BV41" s="875">
        <v>0</v>
      </c>
      <c r="BW41" s="875">
        <v>0</v>
      </c>
      <c r="BX41" s="2072">
        <f t="shared" si="21"/>
        <v>0</v>
      </c>
      <c r="BY41" s="2290">
        <v>0</v>
      </c>
      <c r="BZ41" s="875">
        <v>0</v>
      </c>
      <c r="CA41" s="875">
        <v>0</v>
      </c>
      <c r="CB41" s="875">
        <v>0</v>
      </c>
      <c r="CC41" s="757">
        <v>0</v>
      </c>
      <c r="CD41" s="875">
        <v>0</v>
      </c>
      <c r="CE41" s="875">
        <v>0</v>
      </c>
      <c r="CF41" s="875">
        <v>0</v>
      </c>
      <c r="CG41" s="875">
        <v>0</v>
      </c>
      <c r="CH41" s="2088">
        <v>0</v>
      </c>
      <c r="CI41" s="757">
        <v>0</v>
      </c>
      <c r="CJ41" s="2072">
        <v>0</v>
      </c>
      <c r="CK41" s="2072">
        <v>0</v>
      </c>
      <c r="CL41" s="757"/>
      <c r="CM41" s="917"/>
      <c r="CN41" s="916"/>
      <c r="CO41" s="915"/>
    </row>
    <row r="42" spans="1:93">
      <c r="A42" s="924"/>
      <c r="B42" s="930"/>
      <c r="C42" s="915" t="s">
        <v>214</v>
      </c>
      <c r="D42" s="915"/>
      <c r="E42" s="915"/>
      <c r="F42" s="915"/>
      <c r="G42" s="915"/>
      <c r="H42" s="757">
        <v>-580</v>
      </c>
      <c r="I42" s="757">
        <v>-570</v>
      </c>
      <c r="J42" s="757">
        <v>-646</v>
      </c>
      <c r="K42" s="757">
        <v>-820</v>
      </c>
      <c r="L42" s="810">
        <v>-166</v>
      </c>
      <c r="M42" s="810">
        <v>-165</v>
      </c>
      <c r="N42" s="810">
        <v>-165</v>
      </c>
      <c r="O42" s="810">
        <v>-387</v>
      </c>
      <c r="P42" s="757">
        <v>-883</v>
      </c>
      <c r="Q42" s="760">
        <v>-208</v>
      </c>
      <c r="R42" s="760">
        <v>-209</v>
      </c>
      <c r="S42" s="760">
        <v>-208</v>
      </c>
      <c r="T42" s="760">
        <v>-207</v>
      </c>
      <c r="U42" s="757">
        <v>-832</v>
      </c>
      <c r="V42" s="758">
        <v>-207</v>
      </c>
      <c r="W42" s="758">
        <v>-249</v>
      </c>
      <c r="X42" s="758">
        <v>-249</v>
      </c>
      <c r="Y42" s="758">
        <v>-246</v>
      </c>
      <c r="Z42" s="757">
        <v>-951</v>
      </c>
      <c r="AA42" s="758">
        <v>-245</v>
      </c>
      <c r="AB42" s="758">
        <v>-245</v>
      </c>
      <c r="AC42" s="758">
        <v>-296</v>
      </c>
      <c r="AD42" s="758">
        <v>-294</v>
      </c>
      <c r="AE42" s="757">
        <v>-1080</v>
      </c>
      <c r="AF42" s="758">
        <v>-293</v>
      </c>
      <c r="AG42" s="758">
        <f>-583-AF42</f>
        <v>-290</v>
      </c>
      <c r="AH42" s="758">
        <f>-869-AF42-AG42</f>
        <v>-286</v>
      </c>
      <c r="AI42" s="758">
        <v>-341</v>
      </c>
      <c r="AJ42" s="757">
        <f>SUM(AF42:AI42)</f>
        <v>-1210</v>
      </c>
      <c r="AK42" s="758">
        <v>-339</v>
      </c>
      <c r="AL42" s="758">
        <f>-679-AK42</f>
        <v>-340</v>
      </c>
      <c r="AM42" s="758">
        <v>-339</v>
      </c>
      <c r="AN42" s="758">
        <v>-338</v>
      </c>
      <c r="AO42" s="757">
        <f>SUM(AK42:AN42)</f>
        <v>-1356</v>
      </c>
      <c r="AP42" s="810">
        <v>-373</v>
      </c>
      <c r="AQ42" s="758">
        <f>-744-AP42</f>
        <v>-371</v>
      </c>
      <c r="AR42" s="758">
        <f>-1114-AQ42-AP42</f>
        <v>-370</v>
      </c>
      <c r="AS42" s="758">
        <v>-368</v>
      </c>
      <c r="AT42" s="757">
        <f>SUM(AP42:AS42)</f>
        <v>-1482</v>
      </c>
      <c r="AU42" s="758">
        <v>-368</v>
      </c>
      <c r="AV42" s="758">
        <f>-781-AU42</f>
        <v>-413</v>
      </c>
      <c r="AW42" s="758">
        <f>-1192-AU42-AV42</f>
        <v>-411</v>
      </c>
      <c r="AX42" s="810">
        <f>-1602-AU42-AV42-AW42</f>
        <v>-410</v>
      </c>
      <c r="AY42" s="757">
        <f t="shared" si="15"/>
        <v>-1602</v>
      </c>
      <c r="AZ42" s="758">
        <v>-412</v>
      </c>
      <c r="BA42" s="810">
        <f>-825-AZ42</f>
        <v>-413</v>
      </c>
      <c r="BB42" s="758">
        <f>-1288-AZ42-BA42</f>
        <v>-463</v>
      </c>
      <c r="BC42" s="810">
        <f>-1752-BB42-BA42-AZ42</f>
        <v>-464</v>
      </c>
      <c r="BD42" s="757">
        <f t="shared" si="16"/>
        <v>-1752</v>
      </c>
      <c r="BE42" s="758">
        <v>-465</v>
      </c>
      <c r="BF42" s="758">
        <f>-930-BE42</f>
        <v>-465</v>
      </c>
      <c r="BG42" s="758">
        <f>-1395-SUM(BE42:BF42)</f>
        <v>-465</v>
      </c>
      <c r="BH42" s="758">
        <v>-512</v>
      </c>
      <c r="BI42" s="757">
        <f t="shared" si="17"/>
        <v>-1907</v>
      </c>
      <c r="BJ42" s="810">
        <v>-514</v>
      </c>
      <c r="BK42" s="810">
        <v>-513</v>
      </c>
      <c r="BL42" s="810">
        <v>-511</v>
      </c>
      <c r="BM42" s="931">
        <v>-510</v>
      </c>
      <c r="BN42" s="757">
        <f t="shared" si="18"/>
        <v>-2048</v>
      </c>
      <c r="BO42" s="758">
        <v>-553</v>
      </c>
      <c r="BP42">
        <f>-1096-BO42</f>
        <v>-543</v>
      </c>
      <c r="BQ42" s="758">
        <v>-547</v>
      </c>
      <c r="BR42" s="758">
        <v>-541</v>
      </c>
      <c r="BS42" s="757">
        <f t="shared" si="19"/>
        <v>-2184</v>
      </c>
      <c r="BT42" s="758">
        <v>-509</v>
      </c>
      <c r="BU42" s="2029">
        <v>-526</v>
      </c>
      <c r="BV42" s="758">
        <v>-526</v>
      </c>
      <c r="BW42" s="758">
        <v>-508</v>
      </c>
      <c r="BX42" s="2072">
        <f t="shared" si="21"/>
        <v>-2069</v>
      </c>
      <c r="BY42" s="1886">
        <v>-505</v>
      </c>
      <c r="BZ42" s="1886">
        <v>-503</v>
      </c>
      <c r="CA42" s="810">
        <v>-533</v>
      </c>
      <c r="CB42" s="810">
        <f t="shared" ref="CB42:CK42" si="23">-CB92</f>
        <v>-552.38444022381532</v>
      </c>
      <c r="CC42" s="757">
        <f t="shared" si="23"/>
        <v>-2093.3844402238155</v>
      </c>
      <c r="CD42" s="810">
        <f t="shared" si="23"/>
        <v>-553.55665296131531</v>
      </c>
      <c r="CE42" s="810">
        <f t="shared" si="23"/>
        <v>-554.93698313631535</v>
      </c>
      <c r="CF42" s="810">
        <f t="shared" si="23"/>
        <v>-584.13317897688114</v>
      </c>
      <c r="CG42" s="810">
        <f t="shared" si="23"/>
        <v>-585.58252566063118</v>
      </c>
      <c r="CH42" s="2088">
        <f t="shared" si="23"/>
        <v>-2278.2093407351431</v>
      </c>
      <c r="CI42" s="757">
        <f t="shared" si="23"/>
        <v>-2415.7441587170242</v>
      </c>
      <c r="CJ42" s="2072">
        <f t="shared" si="23"/>
        <v>-2561.4891165470513</v>
      </c>
      <c r="CK42" s="2072">
        <f t="shared" si="23"/>
        <v>-2715.7692097632871</v>
      </c>
      <c r="CL42" s="757"/>
      <c r="CM42" s="917"/>
      <c r="CN42" s="916"/>
      <c r="CO42" s="915"/>
    </row>
    <row r="43" spans="1:93">
      <c r="A43" s="924"/>
      <c r="B43" s="930"/>
      <c r="C43" s="922" t="s">
        <v>8</v>
      </c>
      <c r="D43" s="922"/>
      <c r="E43" s="922"/>
      <c r="F43" s="922"/>
      <c r="G43" s="922"/>
      <c r="H43" s="918">
        <v>0</v>
      </c>
      <c r="I43" s="918">
        <v>0</v>
      </c>
      <c r="J43" s="918">
        <v>0</v>
      </c>
      <c r="K43" s="918">
        <v>0</v>
      </c>
      <c r="L43" s="920">
        <v>-15</v>
      </c>
      <c r="M43" s="920">
        <v>-40</v>
      </c>
      <c r="N43" s="920">
        <v>-57</v>
      </c>
      <c r="O43" s="920">
        <v>112</v>
      </c>
      <c r="P43" s="918">
        <v>0</v>
      </c>
      <c r="Q43" s="929">
        <v>-4</v>
      </c>
      <c r="R43" s="929">
        <v>75</v>
      </c>
      <c r="S43" s="929">
        <v>-77</v>
      </c>
      <c r="T43" s="929">
        <v>-45</v>
      </c>
      <c r="U43" s="918">
        <v>-78</v>
      </c>
      <c r="V43" s="919">
        <v>8</v>
      </c>
      <c r="W43" s="919">
        <f>23-V43</f>
        <v>15</v>
      </c>
      <c r="X43" s="919">
        <v>-43</v>
      </c>
      <c r="Y43" s="919">
        <f>Z43-V43-W43-X43</f>
        <v>255</v>
      </c>
      <c r="Z43" s="918">
        <f>--136+99</f>
        <v>235</v>
      </c>
      <c r="AA43" s="919">
        <v>-39</v>
      </c>
      <c r="AB43" s="919">
        <f>-59-AA43</f>
        <v>-20</v>
      </c>
      <c r="AC43" s="919">
        <f>-153-AB43-AA43</f>
        <v>-94</v>
      </c>
      <c r="AD43" s="919">
        <f>AE43-AA43-AB43-AC43</f>
        <v>136</v>
      </c>
      <c r="AE43" s="918">
        <f>-182+165</f>
        <v>-17</v>
      </c>
      <c r="AF43" s="919">
        <v>-109</v>
      </c>
      <c r="AG43" s="919">
        <f>-191-AF43</f>
        <v>-82</v>
      </c>
      <c r="AH43" s="919">
        <f>-280-AF43-AG43</f>
        <v>-89</v>
      </c>
      <c r="AI43" s="919">
        <f>AJ43-AH43-AG43-AF43</f>
        <v>-42</v>
      </c>
      <c r="AJ43" s="918">
        <v>-322</v>
      </c>
      <c r="AK43" s="919">
        <v>-109</v>
      </c>
      <c r="AL43" s="919">
        <f>-229-AK43</f>
        <v>-120</v>
      </c>
      <c r="AM43" s="919">
        <f>-285-AL43-AK43</f>
        <v>-56</v>
      </c>
      <c r="AN43" s="919">
        <f>AO43-SUM(AK43:AM43)</f>
        <v>-55</v>
      </c>
      <c r="AO43" s="918">
        <v>-340</v>
      </c>
      <c r="AP43" s="919">
        <v>-80</v>
      </c>
      <c r="AQ43" s="919">
        <f>-143-AP43</f>
        <v>-63</v>
      </c>
      <c r="AR43" s="919">
        <f>-253-AQ43-AP43</f>
        <v>-110</v>
      </c>
      <c r="AS43" s="919">
        <f>AT43-SUM(AP43:AR43)</f>
        <v>-74</v>
      </c>
      <c r="AT43" s="918">
        <v>-327</v>
      </c>
      <c r="AU43" s="919">
        <v>-58</v>
      </c>
      <c r="AV43" s="919">
        <f>-88-AU43</f>
        <v>-30</v>
      </c>
      <c r="AW43" s="919">
        <f>-299-AU43-AV43</f>
        <v>-211</v>
      </c>
      <c r="AX43" s="919">
        <f>-437-AU43-AV43-AW43</f>
        <v>-138</v>
      </c>
      <c r="AY43" s="918">
        <f t="shared" si="15"/>
        <v>-437</v>
      </c>
      <c r="AZ43" s="919">
        <v>-78</v>
      </c>
      <c r="BA43" s="919">
        <f>-302-AZ43</f>
        <v>-224</v>
      </c>
      <c r="BB43" s="919">
        <f>-493-AZ43-BA43</f>
        <v>-191</v>
      </c>
      <c r="BC43" s="919">
        <f>-592-AZ43-BA43-BB43</f>
        <v>-99</v>
      </c>
      <c r="BD43" s="918">
        <f t="shared" si="16"/>
        <v>-592</v>
      </c>
      <c r="BE43" s="919">
        <v>156</v>
      </c>
      <c r="BF43" s="919">
        <f>-83-BE43</f>
        <v>-239</v>
      </c>
      <c r="BG43" s="919">
        <f>-168-SUM(BE43:BF43)</f>
        <v>-85</v>
      </c>
      <c r="BH43" s="919">
        <v>-116</v>
      </c>
      <c r="BI43" s="918">
        <f t="shared" si="17"/>
        <v>-284</v>
      </c>
      <c r="BJ43" s="919">
        <v>-38</v>
      </c>
      <c r="BK43" s="919">
        <f>-41-BK38</f>
        <v>-68</v>
      </c>
      <c r="BL43" s="919">
        <v>-97</v>
      </c>
      <c r="BM43" s="928">
        <v>-69</v>
      </c>
      <c r="BN43" s="918">
        <f t="shared" si="18"/>
        <v>-272</v>
      </c>
      <c r="BO43" s="919">
        <v>-42</v>
      </c>
      <c r="BP43" s="919">
        <f>-124-BO43</f>
        <v>-82</v>
      </c>
      <c r="BQ43" s="919">
        <v>-122</v>
      </c>
      <c r="BR43" s="919">
        <v>-254</v>
      </c>
      <c r="BS43" s="918">
        <f t="shared" si="19"/>
        <v>-500</v>
      </c>
      <c r="BT43" s="919">
        <v>-83</v>
      </c>
      <c r="BU43" s="919">
        <v>-62</v>
      </c>
      <c r="BV43" s="919">
        <v>-173</v>
      </c>
      <c r="BW43" s="919">
        <v>-219</v>
      </c>
      <c r="BX43" s="2076">
        <f t="shared" si="21"/>
        <v>-537</v>
      </c>
      <c r="BY43" s="2289">
        <v>-42</v>
      </c>
      <c r="BZ43" s="2289">
        <v>-77</v>
      </c>
      <c r="CA43" s="2289">
        <f>-71-CA38</f>
        <v>-86.973524609029255</v>
      </c>
      <c r="CB43" s="927">
        <v>0</v>
      </c>
      <c r="CC43" s="918">
        <f>SUM(BY43:CB43)</f>
        <v>-205.97352460902925</v>
      </c>
      <c r="CD43" s="927">
        <v>0</v>
      </c>
      <c r="CE43" s="927">
        <v>0</v>
      </c>
      <c r="CF43" s="927">
        <v>0</v>
      </c>
      <c r="CG43" s="927">
        <v>0</v>
      </c>
      <c r="CH43" s="2089">
        <v>0</v>
      </c>
      <c r="CI43" s="918">
        <v>0</v>
      </c>
      <c r="CJ43" s="2076">
        <v>0</v>
      </c>
      <c r="CK43" s="2076">
        <v>0</v>
      </c>
      <c r="CL43" s="757"/>
      <c r="CM43" s="917"/>
      <c r="CN43" s="916"/>
      <c r="CO43" s="915"/>
    </row>
    <row r="44" spans="1:93">
      <c r="A44" s="914"/>
      <c r="B44" s="914"/>
      <c r="C44" s="914" t="s">
        <v>463</v>
      </c>
      <c r="D44" s="905"/>
      <c r="E44" s="905"/>
      <c r="F44" s="926"/>
      <c r="G44" s="926"/>
      <c r="H44" s="814">
        <v>-540</v>
      </c>
      <c r="I44" s="814">
        <v>754</v>
      </c>
      <c r="J44" s="814">
        <v>602</v>
      </c>
      <c r="K44" s="814">
        <v>224</v>
      </c>
      <c r="L44" s="816">
        <v>386</v>
      </c>
      <c r="M44" s="816">
        <v>324</v>
      </c>
      <c r="N44" s="816">
        <v>231</v>
      </c>
      <c r="O44" s="816">
        <v>-477</v>
      </c>
      <c r="P44" s="814">
        <v>493</v>
      </c>
      <c r="Q44" s="839">
        <v>431</v>
      </c>
      <c r="R44" s="839">
        <v>-1682</v>
      </c>
      <c r="S44" s="839">
        <v>-549</v>
      </c>
      <c r="T44" s="839">
        <v>-297</v>
      </c>
      <c r="U44" s="814">
        <v>-2054</v>
      </c>
      <c r="V44" s="815">
        <f t="shared" ref="V44:BA44" si="24">V36+V39+V40+V38+V42+V43+V41</f>
        <v>178</v>
      </c>
      <c r="W44" s="815">
        <f t="shared" si="24"/>
        <v>-19</v>
      </c>
      <c r="X44" s="815">
        <f t="shared" si="24"/>
        <v>525</v>
      </c>
      <c r="Y44" s="815">
        <f t="shared" si="24"/>
        <v>420</v>
      </c>
      <c r="Z44" s="814">
        <f t="shared" si="24"/>
        <v>1104</v>
      </c>
      <c r="AA44" s="815">
        <f t="shared" si="24"/>
        <v>-370</v>
      </c>
      <c r="AB44" s="815">
        <f t="shared" si="24"/>
        <v>450</v>
      </c>
      <c r="AC44" s="815">
        <f t="shared" si="24"/>
        <v>-1018</v>
      </c>
      <c r="AD44" s="815">
        <f t="shared" si="24"/>
        <v>403</v>
      </c>
      <c r="AE44" s="814">
        <f t="shared" si="24"/>
        <v>-535</v>
      </c>
      <c r="AF44" s="815">
        <f t="shared" si="24"/>
        <v>-705</v>
      </c>
      <c r="AG44" s="815">
        <f t="shared" si="24"/>
        <v>-412</v>
      </c>
      <c r="AH44" s="815">
        <f t="shared" si="24"/>
        <v>507</v>
      </c>
      <c r="AI44" s="815">
        <f t="shared" si="24"/>
        <v>-94</v>
      </c>
      <c r="AJ44" s="814">
        <f t="shared" si="24"/>
        <v>-704</v>
      </c>
      <c r="AK44" s="815">
        <f t="shared" si="24"/>
        <v>-348</v>
      </c>
      <c r="AL44" s="815">
        <f t="shared" si="24"/>
        <v>689</v>
      </c>
      <c r="AM44" s="815">
        <f t="shared" si="24"/>
        <v>935</v>
      </c>
      <c r="AN44" s="815">
        <f t="shared" si="24"/>
        <v>519</v>
      </c>
      <c r="AO44" s="814">
        <f t="shared" si="24"/>
        <v>1795</v>
      </c>
      <c r="AP44" s="815">
        <f t="shared" si="24"/>
        <v>-1824</v>
      </c>
      <c r="AQ44" s="815">
        <f t="shared" si="24"/>
        <v>144</v>
      </c>
      <c r="AR44" s="815">
        <f t="shared" si="24"/>
        <v>424</v>
      </c>
      <c r="AS44" s="815">
        <f t="shared" si="24"/>
        <v>352</v>
      </c>
      <c r="AT44" s="814">
        <f t="shared" si="24"/>
        <v>-904</v>
      </c>
      <c r="AU44" s="815">
        <f t="shared" si="24"/>
        <v>54</v>
      </c>
      <c r="AV44" s="815">
        <f t="shared" si="24"/>
        <v>86</v>
      </c>
      <c r="AW44" s="815">
        <f t="shared" si="24"/>
        <v>652</v>
      </c>
      <c r="AX44" s="815">
        <f t="shared" si="24"/>
        <v>1008</v>
      </c>
      <c r="AY44" s="814">
        <f t="shared" si="24"/>
        <v>1800</v>
      </c>
      <c r="AZ44" s="815">
        <f t="shared" si="24"/>
        <v>830</v>
      </c>
      <c r="BA44" s="815">
        <f t="shared" si="24"/>
        <v>-11065</v>
      </c>
      <c r="BB44" s="815">
        <f t="shared" ref="BB44:CH44" si="25">BB36+BB39+BB40+BB38+BB42+BB43+BB41</f>
        <v>-4280</v>
      </c>
      <c r="BC44" s="815">
        <f t="shared" si="25"/>
        <v>653</v>
      </c>
      <c r="BD44" s="814">
        <f t="shared" si="25"/>
        <v>-14012</v>
      </c>
      <c r="BE44" s="815">
        <f t="shared" si="25"/>
        <v>1257</v>
      </c>
      <c r="BF44" s="815">
        <f t="shared" si="25"/>
        <v>738</v>
      </c>
      <c r="BG44" s="815">
        <f t="shared" si="25"/>
        <v>70</v>
      </c>
      <c r="BH44" s="815">
        <f t="shared" si="25"/>
        <v>963</v>
      </c>
      <c r="BI44" s="814">
        <f t="shared" si="25"/>
        <v>3028</v>
      </c>
      <c r="BJ44" s="815">
        <f t="shared" si="25"/>
        <v>92</v>
      </c>
      <c r="BK44" s="815">
        <f t="shared" si="25"/>
        <v>424</v>
      </c>
      <c r="BL44" s="815">
        <f t="shared" si="25"/>
        <v>329</v>
      </c>
      <c r="BM44" s="815">
        <f t="shared" si="25"/>
        <v>360</v>
      </c>
      <c r="BN44" s="814">
        <f t="shared" si="25"/>
        <v>1205</v>
      </c>
      <c r="BO44" s="815">
        <f t="shared" si="25"/>
        <v>-2088</v>
      </c>
      <c r="BP44" s="815">
        <f t="shared" si="25"/>
        <v>184</v>
      </c>
      <c r="BQ44" s="815">
        <f t="shared" si="25"/>
        <v>-468</v>
      </c>
      <c r="BR44" s="815">
        <f t="shared" si="25"/>
        <v>-5252</v>
      </c>
      <c r="BS44" s="814">
        <f t="shared" si="25"/>
        <v>-7624</v>
      </c>
      <c r="BT44" s="815">
        <f t="shared" si="25"/>
        <v>-278</v>
      </c>
      <c r="BU44" s="815">
        <f t="shared" si="25"/>
        <v>296</v>
      </c>
      <c r="BV44" s="815">
        <f t="shared" si="25"/>
        <v>259</v>
      </c>
      <c r="BW44" s="815">
        <f t="shared" si="25"/>
        <v>-1445</v>
      </c>
      <c r="BX44" s="2075">
        <f>BX36+BX39+BX40+BX38+BX42+BX43+BX41</f>
        <v>-1168</v>
      </c>
      <c r="BY44" s="815">
        <f>BY36+BY39+BY40+BY38+BY42+BY43+BY41</f>
        <v>-615</v>
      </c>
      <c r="BZ44" s="815">
        <f>BZ36+BZ39+BZ40+BZ38+BZ42+BZ43+BZ41</f>
        <v>289</v>
      </c>
      <c r="CA44" s="815">
        <f>CA36+CA39+CA40+CA38+CA42+CA43+CA41</f>
        <v>-1361</v>
      </c>
      <c r="CB44" s="815">
        <f>CB36+CB39+CB40+CB38+CB42+CB43+CB41</f>
        <v>1129.5837213590073</v>
      </c>
      <c r="CC44" s="814">
        <f t="shared" si="25"/>
        <v>-557.41627864099337</v>
      </c>
      <c r="CD44" s="815">
        <f>CD36+CD39+CD40+CD38+CD42+CD43+CD41</f>
        <v>-26.95253855839826</v>
      </c>
      <c r="CE44" s="815">
        <f>CE36+CE39+CE40+CE38+CE42+CE43+CE41</f>
        <v>872.53655405092627</v>
      </c>
      <c r="CF44" s="815">
        <f>CF36+CF39+CF40+CF38+CF42+CF43+CF41</f>
        <v>1120.0073866666876</v>
      </c>
      <c r="CG44" s="815">
        <f>CG36+CG39+CG40+CG38+CG42+CG43+CG41</f>
        <v>1383.3645739429094</v>
      </c>
      <c r="CH44" s="814">
        <f t="shared" si="25"/>
        <v>3348.9559761021301</v>
      </c>
      <c r="CI44" s="814">
        <f>CI36+CI39+CI40+CI38+CI42+CI43+CI41</f>
        <v>4518.7000729195761</v>
      </c>
      <c r="CJ44" s="2075">
        <f>CJ36+CJ39+CJ40+CJ38+CJ42+CJ43+CJ41</f>
        <v>5094.2415062729724</v>
      </c>
      <c r="CK44" s="2075">
        <f>CK36+CK39+CK40+CK38+CK42+CK43+CK41</f>
        <v>5356.6601039485104</v>
      </c>
      <c r="CL44" s="814"/>
      <c r="CM44" s="907"/>
      <c r="CN44" s="906"/>
      <c r="CO44" s="905"/>
    </row>
    <row r="45" spans="1:93">
      <c r="A45" s="924"/>
      <c r="B45" s="923"/>
      <c r="C45" s="915"/>
      <c r="D45" s="915"/>
      <c r="E45" s="915"/>
      <c r="F45" s="925"/>
      <c r="G45" s="925"/>
      <c r="H45" s="757"/>
      <c r="I45" s="757"/>
      <c r="J45" s="757"/>
      <c r="K45" s="757"/>
      <c r="L45" s="810"/>
      <c r="M45" s="810"/>
      <c r="N45" s="810"/>
      <c r="O45" s="810"/>
      <c r="P45" s="757"/>
      <c r="Q45" s="810"/>
      <c r="R45" s="810"/>
      <c r="S45" s="810"/>
      <c r="T45" s="810"/>
      <c r="U45" s="757"/>
      <c r="V45" s="758"/>
      <c r="W45" s="758"/>
      <c r="X45" s="758"/>
      <c r="Y45" s="758"/>
      <c r="Z45" s="757"/>
      <c r="AA45" s="758"/>
      <c r="AB45" s="758"/>
      <c r="AC45" s="758"/>
      <c r="AD45" s="758"/>
      <c r="AE45" s="757"/>
      <c r="AF45" s="758"/>
      <c r="AG45" s="758"/>
      <c r="AH45" s="758"/>
      <c r="AI45" s="758"/>
      <c r="AJ45" s="757"/>
      <c r="AK45" s="758"/>
      <c r="AL45" s="758"/>
      <c r="AM45" s="758"/>
      <c r="AN45" s="758"/>
      <c r="AO45" s="757"/>
      <c r="AP45" s="758"/>
      <c r="AQ45" s="758"/>
      <c r="AR45" s="758"/>
      <c r="AS45" s="758"/>
      <c r="AT45" s="757"/>
      <c r="AU45" s="758"/>
      <c r="AV45" s="758"/>
      <c r="AW45" s="758"/>
      <c r="AX45" s="758"/>
      <c r="AY45" s="757"/>
      <c r="AZ45" s="758"/>
      <c r="BA45" s="758"/>
      <c r="BB45" s="758"/>
      <c r="BC45" s="758"/>
      <c r="BD45" s="757"/>
      <c r="BE45" s="758"/>
      <c r="BF45" s="758"/>
      <c r="BG45" s="758"/>
      <c r="BH45" s="758"/>
      <c r="BI45" s="757"/>
      <c r="BJ45" s="758"/>
      <c r="BK45" s="758"/>
      <c r="BL45" s="758"/>
      <c r="BM45" s="758"/>
      <c r="BN45" s="757"/>
      <c r="BO45" s="758"/>
      <c r="BP45" s="758"/>
      <c r="BQ45" s="758"/>
      <c r="BR45" s="758"/>
      <c r="BS45" s="757"/>
      <c r="BT45" s="758"/>
      <c r="BU45" s="758"/>
      <c r="BV45" s="758"/>
      <c r="BW45" s="758"/>
      <c r="BX45" s="2072"/>
      <c r="BY45" s="758"/>
      <c r="BZ45" s="758"/>
      <c r="CA45" s="758"/>
      <c r="CB45" s="758"/>
      <c r="CC45" s="757"/>
      <c r="CD45" s="758"/>
      <c r="CE45" s="758"/>
      <c r="CF45" s="758"/>
      <c r="CG45" s="758"/>
      <c r="CH45" s="757"/>
      <c r="CI45" s="757"/>
      <c r="CJ45" s="2072"/>
      <c r="CK45" s="2072"/>
      <c r="CL45" s="757"/>
      <c r="CM45" s="917"/>
      <c r="CN45" s="916"/>
      <c r="CO45" s="915"/>
    </row>
    <row r="46" spans="1:93">
      <c r="A46" s="924"/>
      <c r="B46" s="923"/>
      <c r="C46" s="915" t="s">
        <v>290</v>
      </c>
      <c r="D46" s="915"/>
      <c r="E46" s="915"/>
      <c r="F46" s="925"/>
      <c r="G46" s="925"/>
      <c r="H46" s="757">
        <v>0</v>
      </c>
      <c r="I46" s="757">
        <v>0</v>
      </c>
      <c r="J46" s="757">
        <v>0</v>
      </c>
      <c r="K46" s="757">
        <v>0</v>
      </c>
      <c r="L46" s="810">
        <v>0</v>
      </c>
      <c r="M46" s="810">
        <v>0</v>
      </c>
      <c r="N46" s="810">
        <v>0</v>
      </c>
      <c r="O46" s="810">
        <v>0</v>
      </c>
      <c r="P46" s="757">
        <v>0</v>
      </c>
      <c r="Q46" s="810">
        <v>0</v>
      </c>
      <c r="R46" s="810">
        <v>0</v>
      </c>
      <c r="S46" s="810">
        <v>0</v>
      </c>
      <c r="T46" s="810">
        <v>0</v>
      </c>
      <c r="U46" s="757">
        <v>0</v>
      </c>
      <c r="V46" s="758">
        <v>0</v>
      </c>
      <c r="W46" s="758">
        <v>0</v>
      </c>
      <c r="X46" s="758">
        <v>0</v>
      </c>
      <c r="Y46" s="758">
        <v>0</v>
      </c>
      <c r="Z46" s="757">
        <f>SUM(V46:Y46)</f>
        <v>0</v>
      </c>
      <c r="AA46" s="758">
        <v>0</v>
      </c>
      <c r="AB46" s="758">
        <v>0</v>
      </c>
      <c r="AC46" s="758">
        <v>0</v>
      </c>
      <c r="AD46" s="758">
        <v>0</v>
      </c>
      <c r="AE46" s="757">
        <f>SUM(AA46:AD46)</f>
        <v>0</v>
      </c>
      <c r="AF46" s="758">
        <v>0</v>
      </c>
      <c r="AG46" s="758">
        <v>0</v>
      </c>
      <c r="AH46" s="758">
        <v>0</v>
      </c>
      <c r="AI46" s="758">
        <v>0</v>
      </c>
      <c r="AJ46" s="757">
        <f>SUM(AF46:AI46)</f>
        <v>0</v>
      </c>
      <c r="AK46" s="758">
        <v>0</v>
      </c>
      <c r="AL46" s="758">
        <v>0</v>
      </c>
      <c r="AM46" s="758">
        <v>0</v>
      </c>
      <c r="AN46" s="758">
        <v>0</v>
      </c>
      <c r="AO46" s="757">
        <f>SUM(AK46:AN46)</f>
        <v>0</v>
      </c>
      <c r="AP46" s="758">
        <v>0</v>
      </c>
      <c r="AQ46" s="758">
        <v>0</v>
      </c>
      <c r="AR46" s="758">
        <v>0</v>
      </c>
      <c r="AS46" s="758">
        <v>0</v>
      </c>
      <c r="AT46" s="757">
        <f>SUM(AP46:AS46)</f>
        <v>0</v>
      </c>
      <c r="AU46" s="758">
        <v>34</v>
      </c>
      <c r="AV46" s="758">
        <f>-39-AU46</f>
        <v>-73</v>
      </c>
      <c r="AW46" s="758">
        <f>-2-AU46-AV46</f>
        <v>37</v>
      </c>
      <c r="AX46" s="758">
        <f>73-AU46-AV46-AW46</f>
        <v>75</v>
      </c>
      <c r="AY46" s="757">
        <f>SUM(AU46:AX46)</f>
        <v>73</v>
      </c>
      <c r="AZ46" s="758">
        <v>-11</v>
      </c>
      <c r="BA46" s="758">
        <f>-4-AZ46</f>
        <v>7</v>
      </c>
      <c r="BB46" s="758">
        <f>-330-AZ46-BA46</f>
        <v>-326</v>
      </c>
      <c r="BC46" s="758">
        <f>3015-AZ46-BA46-BB46</f>
        <v>3345</v>
      </c>
      <c r="BD46" s="757">
        <f>SUM(AZ46:BC46)</f>
        <v>3015</v>
      </c>
      <c r="BE46" s="758">
        <v>14</v>
      </c>
      <c r="BF46" s="758">
        <f>-343-BE46</f>
        <v>-357</v>
      </c>
      <c r="BG46" s="758">
        <v>91</v>
      </c>
      <c r="BH46" s="758">
        <v>-25</v>
      </c>
      <c r="BI46" s="757">
        <f>SUM(BE46:BH46)</f>
        <v>-277</v>
      </c>
      <c r="BJ46" s="758">
        <v>0</v>
      </c>
      <c r="BK46" s="758">
        <v>0</v>
      </c>
      <c r="BL46" s="758">
        <v>0</v>
      </c>
      <c r="BM46" s="758">
        <v>0</v>
      </c>
      <c r="BN46" s="757">
        <f>SUM(BJ46:BM46)</f>
        <v>0</v>
      </c>
      <c r="BO46" s="758">
        <v>0</v>
      </c>
      <c r="BP46" s="758">
        <v>0</v>
      </c>
      <c r="BQ46" s="758">
        <v>0</v>
      </c>
      <c r="BR46" s="758">
        <v>0</v>
      </c>
      <c r="BS46" s="757">
        <v>0</v>
      </c>
      <c r="BT46" s="758">
        <v>0</v>
      </c>
      <c r="BU46" s="758">
        <v>0</v>
      </c>
      <c r="BV46" s="758">
        <v>0</v>
      </c>
      <c r="BW46" s="758">
        <v>0</v>
      </c>
      <c r="BX46" s="2072">
        <v>0</v>
      </c>
      <c r="BY46" s="758">
        <v>0</v>
      </c>
      <c r="BZ46" s="758">
        <v>0</v>
      </c>
      <c r="CA46" s="758">
        <v>0</v>
      </c>
      <c r="CB46" s="758">
        <v>0</v>
      </c>
      <c r="CC46" s="757">
        <v>0</v>
      </c>
      <c r="CD46" s="758">
        <v>0</v>
      </c>
      <c r="CE46" s="758">
        <v>0</v>
      </c>
      <c r="CF46" s="758">
        <v>0</v>
      </c>
      <c r="CG46" s="758">
        <v>0</v>
      </c>
      <c r="CH46" s="757">
        <v>0</v>
      </c>
      <c r="CI46" s="757">
        <v>0</v>
      </c>
      <c r="CJ46" s="2072">
        <v>0</v>
      </c>
      <c r="CK46" s="2072">
        <v>0</v>
      </c>
      <c r="CL46" s="757"/>
      <c r="CM46" s="917"/>
      <c r="CN46" s="916"/>
      <c r="CO46" s="915"/>
    </row>
    <row r="47" spans="1:93">
      <c r="A47" s="924"/>
      <c r="B47" s="923"/>
      <c r="C47" s="922" t="s">
        <v>8</v>
      </c>
      <c r="D47" s="922"/>
      <c r="E47" s="922"/>
      <c r="F47" s="921"/>
      <c r="G47" s="921"/>
      <c r="H47" s="918">
        <v>-159</v>
      </c>
      <c r="I47" s="918">
        <v>-92</v>
      </c>
      <c r="J47" s="918">
        <v>6</v>
      </c>
      <c r="K47" s="918">
        <v>-1109</v>
      </c>
      <c r="L47" s="920">
        <v>18</v>
      </c>
      <c r="M47" s="920">
        <v>3</v>
      </c>
      <c r="N47" s="920">
        <v>-3</v>
      </c>
      <c r="O47" s="920">
        <v>-130</v>
      </c>
      <c r="P47" s="918">
        <v>-141</v>
      </c>
      <c r="Q47" s="920">
        <v>13</v>
      </c>
      <c r="R47" s="920">
        <v>-664</v>
      </c>
      <c r="S47" s="920">
        <v>67</v>
      </c>
      <c r="T47" s="920">
        <v>14</v>
      </c>
      <c r="U47" s="918">
        <v>-613</v>
      </c>
      <c r="V47" s="919">
        <f>V48-V44</f>
        <v>-41</v>
      </c>
      <c r="W47" s="919">
        <f>W48-W44</f>
        <v>-1</v>
      </c>
      <c r="X47" s="919">
        <f>X48-X44</f>
        <v>-26</v>
      </c>
      <c r="Y47" s="919">
        <f>Y48-Y44</f>
        <v>-428</v>
      </c>
      <c r="Z47" s="918">
        <f>SUM(V47:Y47)</f>
        <v>-496</v>
      </c>
      <c r="AA47" s="919">
        <f>AA48-AA44</f>
        <v>-28</v>
      </c>
      <c r="AB47" s="919">
        <f>AB48-AB44</f>
        <v>32</v>
      </c>
      <c r="AC47" s="919">
        <f>AC48-AC44</f>
        <v>-198</v>
      </c>
      <c r="AD47" s="919">
        <f>AD48-AD44</f>
        <v>-130</v>
      </c>
      <c r="AE47" s="918">
        <f>SUM(AA47:AD47)</f>
        <v>-324</v>
      </c>
      <c r="AF47" s="919">
        <f>AF48-AF44</f>
        <v>71</v>
      </c>
      <c r="AG47" s="919">
        <f>AG48-AG44</f>
        <v>2</v>
      </c>
      <c r="AH47" s="919">
        <f>AH48-AH44</f>
        <v>24</v>
      </c>
      <c r="AI47" s="919">
        <f>AI48-AI44</f>
        <v>-298</v>
      </c>
      <c r="AJ47" s="918">
        <f>SUM(AF47:AI47)</f>
        <v>-201</v>
      </c>
      <c r="AK47" s="919">
        <f>AK48-AK44</f>
        <v>-58</v>
      </c>
      <c r="AL47" s="919">
        <f>AL48-AL44</f>
        <v>66</v>
      </c>
      <c r="AM47" s="919">
        <f>AM48-AM44</f>
        <v>65</v>
      </c>
      <c r="AN47" s="919">
        <f>AN48-AN44</f>
        <v>-14</v>
      </c>
      <c r="AO47" s="918">
        <f>SUM(AK47:AN47)</f>
        <v>59</v>
      </c>
      <c r="AP47" s="919">
        <f>AP48-AP44</f>
        <v>-45</v>
      </c>
      <c r="AQ47" s="919">
        <f>AQ48-AQ44</f>
        <v>-48</v>
      </c>
      <c r="AR47" s="919">
        <f>AR48-AR44</f>
        <v>73</v>
      </c>
      <c r="AS47" s="919">
        <f>AS48-AS44</f>
        <v>13</v>
      </c>
      <c r="AT47" s="918">
        <f>SUM(AP47:AS47)</f>
        <v>-7</v>
      </c>
      <c r="AU47" s="919">
        <f t="shared" ref="AU47:BH47" si="26">AU48-AU44-AU46</f>
        <v>71</v>
      </c>
      <c r="AV47" s="919">
        <f t="shared" si="26"/>
        <v>32</v>
      </c>
      <c r="AW47" s="919">
        <f t="shared" si="26"/>
        <v>-85</v>
      </c>
      <c r="AX47" s="919">
        <f t="shared" si="26"/>
        <v>15</v>
      </c>
      <c r="AY47" s="918">
        <f t="shared" si="26"/>
        <v>33</v>
      </c>
      <c r="AZ47" s="919">
        <f t="shared" si="26"/>
        <v>-25</v>
      </c>
      <c r="BA47" s="919">
        <f t="shared" si="26"/>
        <v>-191</v>
      </c>
      <c r="BB47" s="919">
        <f t="shared" si="26"/>
        <v>-3097</v>
      </c>
      <c r="BC47" s="919">
        <f t="shared" si="26"/>
        <v>58</v>
      </c>
      <c r="BD47" s="918">
        <f t="shared" si="26"/>
        <v>-3105</v>
      </c>
      <c r="BE47" s="919">
        <f t="shared" si="26"/>
        <v>-926</v>
      </c>
      <c r="BF47" s="919">
        <f t="shared" si="26"/>
        <v>929</v>
      </c>
      <c r="BG47" s="919">
        <f t="shared" si="26"/>
        <v>19</v>
      </c>
      <c r="BH47" s="919">
        <f t="shared" si="26"/>
        <v>7</v>
      </c>
      <c r="BI47" s="757">
        <f>SUM(BE47:BH47)</f>
        <v>29</v>
      </c>
      <c r="BJ47" s="919">
        <f>BJ48-BJ44-BJ46</f>
        <v>-36</v>
      </c>
      <c r="BK47" s="919">
        <f>BK48-BK44-BK46</f>
        <v>32</v>
      </c>
      <c r="BL47" s="919">
        <f>BL48-BL44-BL46</f>
        <v>-182</v>
      </c>
      <c r="BM47" s="919">
        <f>BM48-BM44-BM46</f>
        <v>44</v>
      </c>
      <c r="BN47" s="757">
        <f>SUM(BJ47:BM47)</f>
        <v>-142</v>
      </c>
      <c r="BO47" s="919">
        <f>BO48-BO44-BO46</f>
        <v>-65</v>
      </c>
      <c r="BP47" s="919">
        <f>BP48-BP44-BP46</f>
        <v>18</v>
      </c>
      <c r="BQ47" s="919">
        <f>BQ48-BQ44-BQ46</f>
        <v>-212</v>
      </c>
      <c r="BR47" s="919">
        <f>BR48-BR44-BR46</f>
        <v>9092</v>
      </c>
      <c r="BS47" s="918">
        <f>SUM(BO47:BR47)</f>
        <v>8833</v>
      </c>
      <c r="BT47" s="919">
        <f>BT48-BT44-BT46</f>
        <v>-2208</v>
      </c>
      <c r="BU47" s="919">
        <f>BU48-BU44-BU46</f>
        <v>-212</v>
      </c>
      <c r="BV47" s="919">
        <f>BV48-BV44-BV46</f>
        <v>-65</v>
      </c>
      <c r="BW47" s="919">
        <f>BW48-BW44-BW46</f>
        <v>259</v>
      </c>
      <c r="BX47" s="2076">
        <f>SUM(BT47:BW47)</f>
        <v>-2226</v>
      </c>
      <c r="BY47" s="919">
        <f>BY48-BY44-BY46</f>
        <v>-67</v>
      </c>
      <c r="BZ47" s="919">
        <f>BZ48-BZ44-BZ46</f>
        <v>-144</v>
      </c>
      <c r="CA47" s="919">
        <f>CA48-CA44-CA46</f>
        <v>-95</v>
      </c>
      <c r="CB47" s="919">
        <v>0</v>
      </c>
      <c r="CC47" s="918">
        <f>SUM(BY47:CB47)</f>
        <v>-306</v>
      </c>
      <c r="CD47" s="919">
        <v>0</v>
      </c>
      <c r="CE47" s="919">
        <v>0</v>
      </c>
      <c r="CF47" s="919">
        <v>0</v>
      </c>
      <c r="CG47" s="919">
        <v>0</v>
      </c>
      <c r="CH47" s="918">
        <v>0</v>
      </c>
      <c r="CI47" s="918">
        <v>0</v>
      </c>
      <c r="CJ47" s="2076">
        <v>0</v>
      </c>
      <c r="CK47" s="2076">
        <v>0</v>
      </c>
      <c r="CL47" s="757"/>
      <c r="CM47" s="917"/>
      <c r="CN47" s="916"/>
      <c r="CO47" s="915"/>
    </row>
    <row r="48" spans="1:93" ht="13.5" thickBot="1">
      <c r="A48" s="914"/>
      <c r="B48" s="914"/>
      <c r="C48" s="913" t="s">
        <v>462</v>
      </c>
      <c r="D48" s="913"/>
      <c r="E48" s="913"/>
      <c r="F48" s="912"/>
      <c r="G48" s="912"/>
      <c r="H48" s="908">
        <v>-699</v>
      </c>
      <c r="I48" s="908">
        <v>662</v>
      </c>
      <c r="J48" s="908">
        <v>608</v>
      </c>
      <c r="K48" s="908">
        <v>-885</v>
      </c>
      <c r="L48" s="911">
        <v>404</v>
      </c>
      <c r="M48" s="911">
        <v>327</v>
      </c>
      <c r="N48" s="911">
        <v>228</v>
      </c>
      <c r="O48" s="911">
        <v>-607</v>
      </c>
      <c r="P48" s="908">
        <v>352</v>
      </c>
      <c r="Q48" s="911">
        <v>444</v>
      </c>
      <c r="R48" s="911">
        <v>-2346</v>
      </c>
      <c r="S48" s="911">
        <v>-482</v>
      </c>
      <c r="T48" s="911">
        <v>-283</v>
      </c>
      <c r="U48" s="908">
        <v>-2667</v>
      </c>
      <c r="V48" s="910">
        <f>V54</f>
        <v>137</v>
      </c>
      <c r="W48" s="910">
        <f>W54</f>
        <v>-20</v>
      </c>
      <c r="X48" s="910">
        <f>X54</f>
        <v>499</v>
      </c>
      <c r="Y48" s="910">
        <f>Y54</f>
        <v>-8</v>
      </c>
      <c r="Z48" s="908">
        <f>Z44+Z46+Z47</f>
        <v>608</v>
      </c>
      <c r="AA48" s="910">
        <f t="shared" ref="AA48:BH48" si="27">AA54</f>
        <v>-398</v>
      </c>
      <c r="AB48" s="910">
        <f t="shared" si="27"/>
        <v>482</v>
      </c>
      <c r="AC48" s="910">
        <f t="shared" si="27"/>
        <v>-1216</v>
      </c>
      <c r="AD48" s="910">
        <f t="shared" si="27"/>
        <v>273</v>
      </c>
      <c r="AE48" s="908">
        <f t="shared" si="27"/>
        <v>-859</v>
      </c>
      <c r="AF48" s="909">
        <f t="shared" si="27"/>
        <v>-634</v>
      </c>
      <c r="AG48" s="909">
        <f t="shared" si="27"/>
        <v>-410</v>
      </c>
      <c r="AH48" s="909">
        <f t="shared" si="27"/>
        <v>531</v>
      </c>
      <c r="AI48" s="909">
        <f t="shared" si="27"/>
        <v>-392</v>
      </c>
      <c r="AJ48" s="908">
        <f t="shared" si="27"/>
        <v>-905</v>
      </c>
      <c r="AK48" s="909">
        <f t="shared" si="27"/>
        <v>-406</v>
      </c>
      <c r="AL48" s="909">
        <f t="shared" si="27"/>
        <v>755</v>
      </c>
      <c r="AM48" s="909">
        <f t="shared" si="27"/>
        <v>1000</v>
      </c>
      <c r="AN48" s="909">
        <f t="shared" si="27"/>
        <v>505</v>
      </c>
      <c r="AO48" s="908">
        <f t="shared" si="27"/>
        <v>1854</v>
      </c>
      <c r="AP48" s="909">
        <f t="shared" si="27"/>
        <v>-1869</v>
      </c>
      <c r="AQ48" s="909">
        <f t="shared" si="27"/>
        <v>96</v>
      </c>
      <c r="AR48" s="909">
        <f t="shared" si="27"/>
        <v>497</v>
      </c>
      <c r="AS48" s="909">
        <f t="shared" si="27"/>
        <v>365</v>
      </c>
      <c r="AT48" s="908">
        <f t="shared" si="27"/>
        <v>-911</v>
      </c>
      <c r="AU48" s="909">
        <f t="shared" si="27"/>
        <v>159</v>
      </c>
      <c r="AV48" s="909">
        <f t="shared" si="27"/>
        <v>45</v>
      </c>
      <c r="AW48" s="909">
        <f t="shared" si="27"/>
        <v>604</v>
      </c>
      <c r="AX48" s="909">
        <f t="shared" si="27"/>
        <v>1098</v>
      </c>
      <c r="AY48" s="908">
        <f t="shared" si="27"/>
        <v>1906</v>
      </c>
      <c r="AZ48" s="909">
        <f t="shared" si="27"/>
        <v>794</v>
      </c>
      <c r="BA48" s="909">
        <f t="shared" si="27"/>
        <v>-11249</v>
      </c>
      <c r="BB48" s="909">
        <f t="shared" si="27"/>
        <v>-7703</v>
      </c>
      <c r="BC48" s="909">
        <f t="shared" si="27"/>
        <v>4056</v>
      </c>
      <c r="BD48" s="908">
        <f t="shared" si="27"/>
        <v>-14102</v>
      </c>
      <c r="BE48" s="909">
        <f t="shared" si="27"/>
        <v>345</v>
      </c>
      <c r="BF48" s="909">
        <f t="shared" si="27"/>
        <v>1310</v>
      </c>
      <c r="BG48" s="909">
        <f t="shared" si="27"/>
        <v>180</v>
      </c>
      <c r="BH48" s="909">
        <f t="shared" si="27"/>
        <v>945</v>
      </c>
      <c r="BI48" s="908">
        <f>BI44+BI46+BI47</f>
        <v>2780</v>
      </c>
      <c r="BJ48" s="909">
        <f>BJ54</f>
        <v>56</v>
      </c>
      <c r="BK48" s="909">
        <f>BK54</f>
        <v>456</v>
      </c>
      <c r="BL48" s="909">
        <f>BL54</f>
        <v>147</v>
      </c>
      <c r="BM48" s="909">
        <f>BM54</f>
        <v>404</v>
      </c>
      <c r="BN48" s="908">
        <f>BN44+BN46+BN47</f>
        <v>1063</v>
      </c>
      <c r="BO48" s="909">
        <f>BO54</f>
        <v>-2153</v>
      </c>
      <c r="BP48" s="909">
        <f>BP54</f>
        <v>202</v>
      </c>
      <c r="BQ48" s="909">
        <f>BQ54</f>
        <v>-680</v>
      </c>
      <c r="BR48" s="909">
        <f>BR54</f>
        <v>3840</v>
      </c>
      <c r="BS48" s="908">
        <f>BS44+BS46+BS47</f>
        <v>1209</v>
      </c>
      <c r="BT48" s="909">
        <f>BT54</f>
        <v>-2486</v>
      </c>
      <c r="BU48" s="909">
        <f>BU54</f>
        <v>84</v>
      </c>
      <c r="BV48" s="909">
        <f>BV54</f>
        <v>194</v>
      </c>
      <c r="BW48" s="909">
        <f>BW54</f>
        <v>-1186</v>
      </c>
      <c r="BX48" s="908">
        <f>BX44+BX46+BX47</f>
        <v>-3394</v>
      </c>
      <c r="BY48" s="909">
        <f>BY54</f>
        <v>-682</v>
      </c>
      <c r="BZ48" s="909">
        <f>BZ54</f>
        <v>145</v>
      </c>
      <c r="CA48" s="909">
        <f>CA54</f>
        <v>-1456</v>
      </c>
      <c r="CB48" s="909">
        <f t="shared" ref="CB48:CI48" si="28">CB44+CB46+CB47</f>
        <v>1129.5837213590073</v>
      </c>
      <c r="CC48" s="908">
        <f t="shared" si="28"/>
        <v>-863.41627864099337</v>
      </c>
      <c r="CD48" s="909">
        <f>CD44+CD46+CD47</f>
        <v>-26.95253855839826</v>
      </c>
      <c r="CE48" s="909">
        <f>CE44+CE46+CE47</f>
        <v>872.53655405092627</v>
      </c>
      <c r="CF48" s="909">
        <f>CF44+CF46+CF47</f>
        <v>1120.0073866666876</v>
      </c>
      <c r="CG48" s="909">
        <f>CG44+CG46+CG47</f>
        <v>1383.3645739429094</v>
      </c>
      <c r="CH48" s="908">
        <f t="shared" si="28"/>
        <v>3348.9559761021301</v>
      </c>
      <c r="CI48" s="908">
        <f t="shared" si="28"/>
        <v>4518.7000729195761</v>
      </c>
      <c r="CJ48" s="908">
        <f>CJ44+CJ46+CJ47</f>
        <v>5094.2415062729724</v>
      </c>
      <c r="CK48" s="908">
        <f>CK44+CK46+CK47</f>
        <v>5356.6601039485104</v>
      </c>
      <c r="CL48" s="814"/>
      <c r="CM48" s="907"/>
      <c r="CN48" s="906"/>
      <c r="CO48" s="905"/>
    </row>
    <row r="49" spans="1:93" ht="13.5" thickTop="1">
      <c r="A49" s="623"/>
      <c r="B49" s="899"/>
      <c r="C49" s="898"/>
      <c r="D49" s="898"/>
      <c r="E49" s="898"/>
      <c r="F49" s="904"/>
      <c r="G49" s="904"/>
      <c r="H49" s="897"/>
      <c r="I49" s="897"/>
      <c r="J49" s="897"/>
      <c r="K49" s="897"/>
      <c r="L49" s="903"/>
      <c r="M49" s="902"/>
      <c r="N49" s="902"/>
      <c r="O49" s="902"/>
      <c r="P49" s="897"/>
      <c r="Q49" s="901"/>
      <c r="R49" s="900"/>
      <c r="S49" s="900"/>
      <c r="T49" s="900"/>
      <c r="U49" s="897"/>
      <c r="V49" s="899"/>
      <c r="W49" s="898"/>
      <c r="X49" s="898"/>
      <c r="Y49" s="898"/>
      <c r="Z49" s="897"/>
      <c r="AA49" s="899"/>
      <c r="AB49" s="898"/>
      <c r="AC49" s="898"/>
      <c r="AD49" s="898"/>
      <c r="AE49" s="897"/>
      <c r="AF49" s="899"/>
      <c r="AG49" s="898"/>
      <c r="AH49" s="898"/>
      <c r="AI49" s="898"/>
      <c r="AJ49" s="897"/>
      <c r="AK49" s="899"/>
      <c r="AL49" s="898"/>
      <c r="AM49" s="898"/>
      <c r="AN49" s="898"/>
      <c r="AO49" s="897"/>
      <c r="AP49" s="899"/>
      <c r="AQ49" s="898"/>
      <c r="AR49" s="898"/>
      <c r="AS49" s="898"/>
      <c r="AT49" s="897"/>
      <c r="AU49" s="899"/>
      <c r="AV49" s="898"/>
      <c r="AW49" s="898"/>
      <c r="AX49" s="898"/>
      <c r="AY49" s="897"/>
      <c r="AZ49" s="899"/>
      <c r="BA49" s="899"/>
      <c r="BB49" s="898"/>
      <c r="BC49" s="898"/>
      <c r="BD49" s="897"/>
      <c r="BE49" s="898"/>
      <c r="BF49" s="898"/>
      <c r="BG49" s="898"/>
      <c r="BH49" s="898"/>
      <c r="BI49" s="897"/>
      <c r="BJ49" s="898"/>
      <c r="BK49" s="898"/>
      <c r="BL49" s="898"/>
      <c r="BM49" s="898"/>
      <c r="BN49" s="897"/>
      <c r="BO49" s="898"/>
      <c r="BP49" s="898"/>
      <c r="BQ49" s="898"/>
      <c r="BR49" s="898"/>
      <c r="BS49" s="897"/>
      <c r="BT49" s="898"/>
      <c r="BU49" s="898"/>
      <c r="BV49" s="898"/>
      <c r="BW49" s="898"/>
      <c r="BX49" s="897"/>
      <c r="BY49" s="898"/>
      <c r="BZ49" s="898"/>
      <c r="CA49" s="898"/>
      <c r="CB49" s="898"/>
      <c r="CC49" s="897"/>
      <c r="CD49" s="898"/>
      <c r="CE49" s="898"/>
      <c r="CF49" s="898"/>
      <c r="CG49" s="898"/>
      <c r="CH49" s="897"/>
      <c r="CI49" s="897"/>
      <c r="CJ49" s="897"/>
      <c r="CK49" s="897"/>
      <c r="CL49" s="1960"/>
      <c r="CM49" s="738"/>
      <c r="CN49" s="618"/>
      <c r="CO49" s="736"/>
    </row>
    <row r="50" spans="1:93">
      <c r="A50" s="623"/>
      <c r="B50" s="741"/>
      <c r="C50" s="736"/>
      <c r="D50" s="736"/>
      <c r="E50" s="736"/>
      <c r="F50" s="616"/>
      <c r="G50" s="616"/>
      <c r="H50" s="894"/>
      <c r="I50" s="894"/>
      <c r="J50" s="894"/>
      <c r="K50" s="894"/>
      <c r="L50" s="896"/>
      <c r="M50" s="896"/>
      <c r="N50" s="896"/>
      <c r="O50" s="896"/>
      <c r="P50" s="894"/>
      <c r="Q50" s="896"/>
      <c r="R50" s="896"/>
      <c r="S50" s="896"/>
      <c r="T50" s="896"/>
      <c r="U50" s="894"/>
      <c r="V50" s="895"/>
      <c r="W50" s="895"/>
      <c r="X50" s="895"/>
      <c r="Y50" s="895"/>
      <c r="Z50" s="894"/>
      <c r="AA50" s="895"/>
      <c r="AB50" s="895"/>
      <c r="AC50" s="895"/>
      <c r="AD50" s="895"/>
      <c r="AE50" s="894"/>
      <c r="AF50" s="895"/>
      <c r="AG50" s="895"/>
      <c r="AH50" s="895"/>
      <c r="AI50" s="895"/>
      <c r="AJ50" s="894"/>
      <c r="AK50" s="895"/>
      <c r="AL50" s="895"/>
      <c r="AM50" s="895"/>
      <c r="AN50" s="895"/>
      <c r="AO50" s="894"/>
      <c r="AP50" s="895"/>
      <c r="AQ50" s="895"/>
      <c r="AR50" s="895"/>
      <c r="AS50" s="895"/>
      <c r="AT50" s="894"/>
      <c r="AU50" s="895"/>
      <c r="AV50" s="895"/>
      <c r="AW50" s="895"/>
      <c r="AX50" s="895"/>
      <c r="AY50" s="894"/>
      <c r="AZ50" s="895"/>
      <c r="BA50" s="895"/>
      <c r="BB50" s="895"/>
      <c r="BC50" s="895"/>
      <c r="BD50" s="894"/>
      <c r="BE50" s="895"/>
      <c r="BF50" s="895"/>
      <c r="BG50" s="895"/>
      <c r="BH50" s="895"/>
      <c r="BI50" s="894"/>
      <c r="BJ50" s="895"/>
      <c r="BK50" s="895"/>
      <c r="BL50" s="895"/>
      <c r="BM50" s="895"/>
      <c r="BN50" s="894"/>
      <c r="BO50" s="895"/>
      <c r="BP50" s="895"/>
      <c r="BQ50" s="895"/>
      <c r="BR50" s="895"/>
      <c r="BS50" s="894"/>
      <c r="BT50" s="895"/>
      <c r="BU50" s="895"/>
      <c r="BV50" s="895"/>
      <c r="BW50" s="895"/>
      <c r="BX50" s="894"/>
      <c r="BY50" s="895"/>
      <c r="BZ50" s="895"/>
      <c r="CA50" s="895"/>
      <c r="CB50" s="895"/>
      <c r="CC50" s="894"/>
      <c r="CD50" s="895"/>
      <c r="CE50" s="895"/>
      <c r="CF50" s="895"/>
      <c r="CG50" s="895"/>
      <c r="CH50" s="894"/>
      <c r="CI50" s="894"/>
      <c r="CJ50" s="894"/>
      <c r="CK50" s="894"/>
      <c r="CL50" s="894"/>
      <c r="CM50" s="738"/>
      <c r="CN50" s="618"/>
      <c r="CO50" s="736"/>
    </row>
    <row r="51" spans="1:93">
      <c r="A51" s="623"/>
      <c r="B51" s="769" t="s">
        <v>461</v>
      </c>
      <c r="C51" s="736"/>
      <c r="D51" s="736"/>
      <c r="E51" s="736"/>
      <c r="F51" s="616"/>
      <c r="G51" s="616"/>
      <c r="H51" s="894"/>
      <c r="I51" s="894"/>
      <c r="J51" s="894"/>
      <c r="K51" s="894"/>
      <c r="L51" s="896"/>
      <c r="M51" s="896"/>
      <c r="N51" s="896"/>
      <c r="O51" s="896"/>
      <c r="P51" s="894"/>
      <c r="Q51" s="896"/>
      <c r="R51" s="896"/>
      <c r="S51" s="896"/>
      <c r="T51" s="896"/>
      <c r="U51" s="894"/>
      <c r="V51" s="895"/>
      <c r="W51" s="895"/>
      <c r="X51" s="895"/>
      <c r="Y51" s="895"/>
      <c r="Z51" s="894"/>
      <c r="AA51" s="895"/>
      <c r="AB51" s="895"/>
      <c r="AC51" s="895"/>
      <c r="AD51" s="895"/>
      <c r="AE51" s="894"/>
      <c r="AF51" s="895"/>
      <c r="AG51" s="895"/>
      <c r="AH51" s="895"/>
      <c r="AI51" s="895"/>
      <c r="AJ51" s="894"/>
      <c r="AK51" s="895"/>
      <c r="AL51" s="895"/>
      <c r="AM51" s="895"/>
      <c r="AN51" s="895"/>
      <c r="AO51" s="894"/>
      <c r="AP51" s="895"/>
      <c r="AQ51" s="895"/>
      <c r="AR51" s="895"/>
      <c r="AS51" s="895"/>
      <c r="AT51" s="894"/>
      <c r="AU51" s="895"/>
      <c r="AV51" s="895"/>
      <c r="AW51" s="895"/>
      <c r="AX51" s="895"/>
      <c r="AY51" s="894"/>
      <c r="AZ51" s="895"/>
      <c r="BA51" s="895"/>
      <c r="BB51" s="895"/>
      <c r="BC51" s="895"/>
      <c r="BD51" s="894"/>
      <c r="BE51" s="895"/>
      <c r="BF51" s="895"/>
      <c r="BG51" s="895"/>
      <c r="BH51" s="895"/>
      <c r="BI51" s="894"/>
      <c r="BJ51" s="895"/>
      <c r="BK51" s="895"/>
      <c r="BL51" s="895"/>
      <c r="BM51" s="895"/>
      <c r="BN51" s="894"/>
      <c r="BO51" s="895"/>
      <c r="BP51" s="895"/>
      <c r="BQ51" s="895"/>
      <c r="BR51" s="895"/>
      <c r="BS51" s="894"/>
      <c r="BT51" s="895"/>
      <c r="BU51" s="895"/>
      <c r="BV51" s="895"/>
      <c r="BW51" s="895"/>
      <c r="BX51" s="894"/>
      <c r="BY51" s="895"/>
      <c r="BZ51" s="895"/>
      <c r="CA51" s="895"/>
      <c r="CB51" s="895"/>
      <c r="CC51" s="894"/>
      <c r="CD51" s="895"/>
      <c r="CE51" s="895"/>
      <c r="CF51" s="895"/>
      <c r="CG51" s="895"/>
      <c r="CH51" s="894"/>
      <c r="CI51" s="894"/>
      <c r="CJ51" s="894"/>
      <c r="CK51" s="894"/>
      <c r="CL51" s="894"/>
      <c r="CM51" s="738"/>
      <c r="CN51" s="618"/>
      <c r="CO51" s="736"/>
    </row>
    <row r="52" spans="1:93">
      <c r="A52" s="623"/>
      <c r="B52" s="741"/>
      <c r="C52" s="736"/>
      <c r="D52" s="736"/>
      <c r="E52" s="736"/>
      <c r="F52" s="616"/>
      <c r="G52" s="616"/>
      <c r="H52" s="877"/>
      <c r="I52" s="877"/>
      <c r="J52" s="877"/>
      <c r="K52" s="877"/>
      <c r="L52" s="879"/>
      <c r="M52" s="879"/>
      <c r="N52" s="879"/>
      <c r="O52" s="879"/>
      <c r="P52" s="877"/>
      <c r="Q52" s="879"/>
      <c r="R52" s="879"/>
      <c r="S52" s="879"/>
      <c r="T52" s="879"/>
      <c r="U52" s="877"/>
      <c r="V52" s="878"/>
      <c r="W52" s="878"/>
      <c r="X52" s="878"/>
      <c r="Y52" s="878"/>
      <c r="Z52" s="877"/>
      <c r="AA52" s="878"/>
      <c r="AB52" s="878"/>
      <c r="AC52" s="878"/>
      <c r="AD52" s="878"/>
      <c r="AE52" s="877"/>
      <c r="AF52" s="878"/>
      <c r="AG52" s="878"/>
      <c r="AH52" s="878"/>
      <c r="AI52" s="878"/>
      <c r="AJ52" s="877"/>
      <c r="AK52" s="878"/>
      <c r="AL52" s="878"/>
      <c r="AM52" s="878"/>
      <c r="AN52" s="878"/>
      <c r="AO52" s="877"/>
      <c r="AP52" s="878"/>
      <c r="AQ52" s="878"/>
      <c r="AR52" s="878"/>
      <c r="AS52" s="878"/>
      <c r="AT52" s="877"/>
      <c r="AU52" s="878"/>
      <c r="AV52" s="878"/>
      <c r="AW52" s="878"/>
      <c r="AX52" s="878"/>
      <c r="AY52" s="877"/>
      <c r="AZ52" s="878"/>
      <c r="BA52" s="878"/>
      <c r="BB52" s="878"/>
      <c r="BC52" s="878"/>
      <c r="BD52" s="877"/>
      <c r="BE52" s="878"/>
      <c r="BF52" s="878"/>
      <c r="BG52" s="878"/>
      <c r="BH52" s="878"/>
      <c r="BI52" s="877"/>
      <c r="BJ52" s="878"/>
      <c r="BK52" s="878"/>
      <c r="BL52" s="878"/>
      <c r="BM52" s="878"/>
      <c r="BN52" s="877"/>
      <c r="BO52" s="878"/>
      <c r="BP52" s="878"/>
      <c r="BQ52" s="878"/>
      <c r="BR52" s="878"/>
      <c r="BS52" s="877"/>
      <c r="BT52" s="878"/>
      <c r="BU52" s="878"/>
      <c r="BV52" s="878"/>
      <c r="BW52" s="878"/>
      <c r="BX52" s="877"/>
      <c r="BY52" s="878"/>
      <c r="BZ52" s="878"/>
      <c r="CA52" s="878"/>
      <c r="CB52" s="878"/>
      <c r="CC52" s="877"/>
      <c r="CD52" s="878"/>
      <c r="CE52" s="878"/>
      <c r="CF52" s="878"/>
      <c r="CG52" s="878"/>
      <c r="CH52" s="877"/>
      <c r="CI52" s="877"/>
      <c r="CJ52" s="877"/>
      <c r="CK52" s="877"/>
      <c r="CL52" s="877"/>
      <c r="CM52" s="738"/>
      <c r="CN52" s="618"/>
      <c r="CO52" s="736"/>
    </row>
    <row r="53" spans="1:93">
      <c r="A53" s="875"/>
      <c r="B53" s="755" t="s">
        <v>460</v>
      </c>
      <c r="C53" s="755"/>
      <c r="D53" s="755"/>
      <c r="E53" s="755"/>
      <c r="F53" s="893"/>
      <c r="G53" s="893"/>
      <c r="H53" s="868">
        <v>-3364</v>
      </c>
      <c r="I53" s="868">
        <v>-4063</v>
      </c>
      <c r="J53" s="868">
        <v>-3401</v>
      </c>
      <c r="K53" s="868">
        <v>-2793</v>
      </c>
      <c r="L53" s="870">
        <v>-3678</v>
      </c>
      <c r="M53" s="870">
        <v>-3274</v>
      </c>
      <c r="N53" s="870">
        <v>-2947</v>
      </c>
      <c r="O53" s="870">
        <v>-2719</v>
      </c>
      <c r="P53" s="868">
        <v>-3678</v>
      </c>
      <c r="Q53" s="870">
        <v>-3326</v>
      </c>
      <c r="R53" s="870">
        <v>-2882</v>
      </c>
      <c r="S53" s="870">
        <v>-5228</v>
      </c>
      <c r="T53" s="870">
        <v>-5710</v>
      </c>
      <c r="U53" s="868">
        <v>-3326</v>
      </c>
      <c r="V53" s="869">
        <f t="shared" ref="V53:BA53" si="29">V59+V63</f>
        <v>-5993</v>
      </c>
      <c r="W53" s="869">
        <f t="shared" si="29"/>
        <v>-5856</v>
      </c>
      <c r="X53" s="869">
        <f t="shared" si="29"/>
        <v>-5876</v>
      </c>
      <c r="Y53" s="869">
        <f t="shared" si="29"/>
        <v>-5377</v>
      </c>
      <c r="Z53" s="868">
        <f t="shared" si="29"/>
        <v>-5993</v>
      </c>
      <c r="AA53" s="869">
        <f t="shared" si="29"/>
        <v>-5385</v>
      </c>
      <c r="AB53" s="869">
        <f t="shared" si="29"/>
        <v>-5783</v>
      </c>
      <c r="AC53" s="869">
        <f t="shared" si="29"/>
        <v>-5301</v>
      </c>
      <c r="AD53" s="869">
        <f t="shared" si="29"/>
        <v>-6517</v>
      </c>
      <c r="AE53" s="868">
        <f t="shared" si="29"/>
        <v>-5385</v>
      </c>
      <c r="AF53" s="869">
        <f t="shared" si="29"/>
        <v>-6244</v>
      </c>
      <c r="AG53" s="869">
        <f t="shared" si="29"/>
        <v>-6878</v>
      </c>
      <c r="AH53" s="869">
        <f t="shared" si="29"/>
        <v>-7288</v>
      </c>
      <c r="AI53" s="869">
        <f t="shared" si="29"/>
        <v>-6757</v>
      </c>
      <c r="AJ53" s="868">
        <f t="shared" si="29"/>
        <v>-6244</v>
      </c>
      <c r="AK53" s="869">
        <f t="shared" si="29"/>
        <v>-7149</v>
      </c>
      <c r="AL53" s="869">
        <f t="shared" si="29"/>
        <v>-7555</v>
      </c>
      <c r="AM53" s="869">
        <f t="shared" si="29"/>
        <v>-6800</v>
      </c>
      <c r="AN53" s="869">
        <f t="shared" si="29"/>
        <v>-5800</v>
      </c>
      <c r="AO53" s="868">
        <f t="shared" si="29"/>
        <v>-7149</v>
      </c>
      <c r="AP53" s="869">
        <f t="shared" si="29"/>
        <v>-5295</v>
      </c>
      <c r="AQ53" s="869">
        <f t="shared" si="29"/>
        <v>-7164</v>
      </c>
      <c r="AR53" s="869">
        <f t="shared" si="29"/>
        <v>-7068</v>
      </c>
      <c r="AS53" s="869">
        <f t="shared" si="29"/>
        <v>-6571</v>
      </c>
      <c r="AT53" s="868">
        <f t="shared" si="29"/>
        <v>-5295</v>
      </c>
      <c r="AU53" s="869">
        <f t="shared" si="29"/>
        <v>-6206</v>
      </c>
      <c r="AV53" s="869">
        <f t="shared" si="29"/>
        <v>-6047</v>
      </c>
      <c r="AW53" s="869">
        <f t="shared" si="29"/>
        <v>-6002</v>
      </c>
      <c r="AX53" s="869">
        <f t="shared" si="29"/>
        <v>-5398</v>
      </c>
      <c r="AY53" s="868">
        <f t="shared" si="29"/>
        <v>-6206</v>
      </c>
      <c r="AZ53" s="869">
        <f t="shared" si="29"/>
        <v>-4300</v>
      </c>
      <c r="BA53" s="869">
        <f t="shared" si="29"/>
        <v>-3506</v>
      </c>
      <c r="BB53" s="869">
        <f t="shared" ref="BB53:CH53" si="30">BB59+BB63</f>
        <v>-14755</v>
      </c>
      <c r="BC53" s="869">
        <f t="shared" si="30"/>
        <v>-22458</v>
      </c>
      <c r="BD53" s="868">
        <f t="shared" si="30"/>
        <v>-4300</v>
      </c>
      <c r="BE53" s="869">
        <f t="shared" si="30"/>
        <v>-18402</v>
      </c>
      <c r="BF53" s="869">
        <f t="shared" si="30"/>
        <v>-18057</v>
      </c>
      <c r="BG53" s="869">
        <f t="shared" si="30"/>
        <v>-16747</v>
      </c>
      <c r="BH53" s="869">
        <f t="shared" si="30"/>
        <v>-16567</v>
      </c>
      <c r="BI53" s="868">
        <f t="shared" si="30"/>
        <v>-18402</v>
      </c>
      <c r="BJ53" s="869">
        <f t="shared" si="30"/>
        <v>-15622</v>
      </c>
      <c r="BK53" s="869">
        <f t="shared" si="30"/>
        <v>-15566</v>
      </c>
      <c r="BL53" s="869">
        <f t="shared" si="30"/>
        <v>-15110</v>
      </c>
      <c r="BM53" s="869">
        <f t="shared" si="30"/>
        <v>-14963</v>
      </c>
      <c r="BN53" s="868">
        <f t="shared" si="30"/>
        <v>-15622</v>
      </c>
      <c r="BO53" s="869">
        <f t="shared" si="30"/>
        <v>-14559</v>
      </c>
      <c r="BP53" s="869">
        <f t="shared" si="30"/>
        <v>-16712</v>
      </c>
      <c r="BQ53" s="869">
        <f>BQ59+BQ63</f>
        <v>-16510</v>
      </c>
      <c r="BR53" s="869">
        <f>BR59+BR63</f>
        <v>-17190</v>
      </c>
      <c r="BS53" s="868">
        <f t="shared" si="30"/>
        <v>-14559</v>
      </c>
      <c r="BT53" s="869">
        <f t="shared" si="30"/>
        <v>-13350</v>
      </c>
      <c r="BU53" s="869">
        <f t="shared" si="30"/>
        <v>-15836</v>
      </c>
      <c r="BV53" s="869">
        <f>BV59+BV63</f>
        <v>-15752</v>
      </c>
      <c r="BW53" s="869">
        <f t="shared" si="30"/>
        <v>-15558</v>
      </c>
      <c r="BX53" s="868">
        <f>BX59+BX63</f>
        <v>-13350</v>
      </c>
      <c r="BY53" s="869">
        <f t="shared" ref="BY53:BZ53" si="31">BY59+BY63</f>
        <v>-16744</v>
      </c>
      <c r="BZ53" s="869">
        <f t="shared" si="31"/>
        <v>-17426</v>
      </c>
      <c r="CA53" s="869">
        <f t="shared" ref="CA53" si="32">CA59+CA63</f>
        <v>-17281</v>
      </c>
      <c r="CB53" s="869">
        <f>CB59+CB63</f>
        <v>-18737</v>
      </c>
      <c r="CC53" s="868">
        <f t="shared" si="30"/>
        <v>-16744</v>
      </c>
      <c r="CD53" s="869">
        <f>CD59+CD63</f>
        <v>-17607.416278640994</v>
      </c>
      <c r="CE53" s="869">
        <f>CE59+CE63</f>
        <v>-17634.368817199393</v>
      </c>
      <c r="CF53" s="869">
        <f>CF59+CF63</f>
        <v>-16761.832263148466</v>
      </c>
      <c r="CG53" s="869">
        <f>CG59+CG63</f>
        <v>-15641.824876481778</v>
      </c>
      <c r="CH53" s="868">
        <f t="shared" si="30"/>
        <v>-17607.416278640994</v>
      </c>
      <c r="CI53" s="868">
        <f>CI59+CI63</f>
        <v>-14258.460302538864</v>
      </c>
      <c r="CJ53" s="868">
        <f>CJ59+CJ63</f>
        <v>-9739.760229619289</v>
      </c>
      <c r="CK53" s="868">
        <f>CK59+CK63</f>
        <v>-4645.5187233463148</v>
      </c>
      <c r="CL53" s="868"/>
      <c r="CM53" s="756"/>
      <c r="CN53" s="739"/>
      <c r="CO53" s="755"/>
    </row>
    <row r="54" spans="1:93">
      <c r="A54" s="875"/>
      <c r="B54" s="755" t="s">
        <v>459</v>
      </c>
      <c r="C54" s="755"/>
      <c r="D54" s="755"/>
      <c r="E54" s="755"/>
      <c r="F54" s="893"/>
      <c r="G54" s="893"/>
      <c r="H54" s="868">
        <v>-699</v>
      </c>
      <c r="I54" s="868">
        <v>662</v>
      </c>
      <c r="J54" s="868">
        <v>608</v>
      </c>
      <c r="K54" s="868">
        <v>-885</v>
      </c>
      <c r="L54" s="870">
        <v>404</v>
      </c>
      <c r="M54" s="870">
        <v>327</v>
      </c>
      <c r="N54" s="870">
        <v>228</v>
      </c>
      <c r="O54" s="870">
        <v>-607</v>
      </c>
      <c r="P54" s="868">
        <v>352</v>
      </c>
      <c r="Q54" s="870">
        <v>444</v>
      </c>
      <c r="R54" s="870">
        <v>-2346</v>
      </c>
      <c r="S54" s="870">
        <v>-482</v>
      </c>
      <c r="T54" s="870">
        <v>-283</v>
      </c>
      <c r="U54" s="868">
        <v>-2667</v>
      </c>
      <c r="V54" s="869">
        <f>(V60+V64)-(V59+V63)</f>
        <v>137</v>
      </c>
      <c r="W54" s="869">
        <f>(W60+W64)-(W59+W63)</f>
        <v>-20</v>
      </c>
      <c r="X54" s="869">
        <f>(X60+X64)-(X59+X63)</f>
        <v>499</v>
      </c>
      <c r="Y54" s="869">
        <f>(Y60+Y64)-(Y59+Y63)</f>
        <v>-8</v>
      </c>
      <c r="Z54" s="868">
        <f>Z48</f>
        <v>608</v>
      </c>
      <c r="AA54" s="869">
        <f t="shared" ref="AA54:BH54" si="33">(AA60+AA64)-(AA59+AA63)</f>
        <v>-398</v>
      </c>
      <c r="AB54" s="869">
        <f t="shared" si="33"/>
        <v>482</v>
      </c>
      <c r="AC54" s="869">
        <f t="shared" si="33"/>
        <v>-1216</v>
      </c>
      <c r="AD54" s="869">
        <f t="shared" si="33"/>
        <v>273</v>
      </c>
      <c r="AE54" s="868">
        <f t="shared" si="33"/>
        <v>-859</v>
      </c>
      <c r="AF54" s="869">
        <f t="shared" si="33"/>
        <v>-634</v>
      </c>
      <c r="AG54" s="869">
        <f t="shared" si="33"/>
        <v>-410</v>
      </c>
      <c r="AH54" s="869">
        <f t="shared" si="33"/>
        <v>531</v>
      </c>
      <c r="AI54" s="869">
        <f t="shared" si="33"/>
        <v>-392</v>
      </c>
      <c r="AJ54" s="868">
        <f t="shared" si="33"/>
        <v>-905</v>
      </c>
      <c r="AK54" s="869">
        <f t="shared" si="33"/>
        <v>-406</v>
      </c>
      <c r="AL54" s="869">
        <f t="shared" si="33"/>
        <v>755</v>
      </c>
      <c r="AM54" s="869">
        <f t="shared" si="33"/>
        <v>1000</v>
      </c>
      <c r="AN54" s="869">
        <f t="shared" si="33"/>
        <v>505</v>
      </c>
      <c r="AO54" s="868">
        <f t="shared" si="33"/>
        <v>1854</v>
      </c>
      <c r="AP54" s="869">
        <f t="shared" si="33"/>
        <v>-1869</v>
      </c>
      <c r="AQ54" s="869">
        <f t="shared" si="33"/>
        <v>96</v>
      </c>
      <c r="AR54" s="869">
        <f t="shared" si="33"/>
        <v>497</v>
      </c>
      <c r="AS54" s="869">
        <f t="shared" si="33"/>
        <v>365</v>
      </c>
      <c r="AT54" s="868">
        <f t="shared" si="33"/>
        <v>-911</v>
      </c>
      <c r="AU54" s="869">
        <f t="shared" si="33"/>
        <v>159</v>
      </c>
      <c r="AV54" s="869">
        <f t="shared" si="33"/>
        <v>45</v>
      </c>
      <c r="AW54" s="869">
        <f t="shared" si="33"/>
        <v>604</v>
      </c>
      <c r="AX54" s="869">
        <f t="shared" si="33"/>
        <v>1098</v>
      </c>
      <c r="AY54" s="868">
        <f t="shared" si="33"/>
        <v>1906</v>
      </c>
      <c r="AZ54" s="869">
        <f t="shared" si="33"/>
        <v>794</v>
      </c>
      <c r="BA54" s="869">
        <f t="shared" si="33"/>
        <v>-11249</v>
      </c>
      <c r="BB54" s="869">
        <f t="shared" si="33"/>
        <v>-7703</v>
      </c>
      <c r="BC54" s="869">
        <f t="shared" si="33"/>
        <v>4056</v>
      </c>
      <c r="BD54" s="868">
        <f t="shared" si="33"/>
        <v>-14102</v>
      </c>
      <c r="BE54" s="869">
        <f t="shared" si="33"/>
        <v>345</v>
      </c>
      <c r="BF54" s="869">
        <f t="shared" si="33"/>
        <v>1310</v>
      </c>
      <c r="BG54" s="869">
        <f t="shared" si="33"/>
        <v>180</v>
      </c>
      <c r="BH54" s="869">
        <f t="shared" si="33"/>
        <v>945</v>
      </c>
      <c r="BI54" s="868">
        <f>BI48</f>
        <v>2780</v>
      </c>
      <c r="BJ54" s="869">
        <f>(BJ60+BJ64)-(BJ59+BJ63)</f>
        <v>56</v>
      </c>
      <c r="BK54" s="869">
        <f>(BK60+BK64)-(BK59+BK63)</f>
        <v>456</v>
      </c>
      <c r="BL54" s="869">
        <f>(BL60+BL64)-(BL59+BL63)</f>
        <v>147</v>
      </c>
      <c r="BM54" s="869">
        <f>(BM60+BM64)-(BM59+BM63)</f>
        <v>404</v>
      </c>
      <c r="BN54" s="868">
        <f>BN48</f>
        <v>1063</v>
      </c>
      <c r="BO54" s="869">
        <f>(BO60+BO64)-(BO59+BO63)</f>
        <v>-2153</v>
      </c>
      <c r="BP54" s="869">
        <f>(BP60+BP64)-(BP59+BP63)</f>
        <v>202</v>
      </c>
      <c r="BQ54" s="869">
        <f>(BQ60+BQ64)-(BQ59+BQ63)</f>
        <v>-680</v>
      </c>
      <c r="BR54" s="869">
        <f>(BR60+BR64)-(BR59+BR63)</f>
        <v>3840</v>
      </c>
      <c r="BS54" s="868">
        <f>BS48</f>
        <v>1209</v>
      </c>
      <c r="BT54" s="869">
        <f>(BT60+BT64)-(BT59+BT63)</f>
        <v>-2486</v>
      </c>
      <c r="BU54" s="869">
        <f>(BU60+BU64)-(BU59+BU63)</f>
        <v>84</v>
      </c>
      <c r="BV54" s="869">
        <f>(BV60+BV64)-(BV59+BV63)</f>
        <v>194</v>
      </c>
      <c r="BW54" s="869">
        <f>(BW60+BW64)-(BW59+BW63)</f>
        <v>-1186</v>
      </c>
      <c r="BX54" s="868">
        <f>BX48</f>
        <v>-3394</v>
      </c>
      <c r="BY54" s="869">
        <f>(BY60+BY64)-(BY59+BY63)</f>
        <v>-682</v>
      </c>
      <c r="BZ54" s="869">
        <f>(BZ60+BZ64)-(BZ59+BZ63)</f>
        <v>145</v>
      </c>
      <c r="CA54" s="869">
        <f>(CA60+CA64)-(CA59+CA63)</f>
        <v>-1456</v>
      </c>
      <c r="CB54" s="869">
        <f t="shared" ref="CB54:CI54" si="34">CB48</f>
        <v>1129.5837213590073</v>
      </c>
      <c r="CC54" s="868">
        <f t="shared" si="34"/>
        <v>-863.41627864099337</v>
      </c>
      <c r="CD54" s="869">
        <f>CD48</f>
        <v>-26.95253855839826</v>
      </c>
      <c r="CE54" s="869">
        <f>CE48</f>
        <v>872.53655405092627</v>
      </c>
      <c r="CF54" s="869">
        <f>CF48</f>
        <v>1120.0073866666876</v>
      </c>
      <c r="CG54" s="869">
        <f>CG48</f>
        <v>1383.3645739429094</v>
      </c>
      <c r="CH54" s="868">
        <f t="shared" si="34"/>
        <v>3348.9559761021301</v>
      </c>
      <c r="CI54" s="868">
        <f t="shared" si="34"/>
        <v>4518.7000729195761</v>
      </c>
      <c r="CJ54" s="868">
        <f>CJ48</f>
        <v>5094.2415062729724</v>
      </c>
      <c r="CK54" s="868">
        <f>CK48</f>
        <v>5356.6601039485104</v>
      </c>
      <c r="CL54" s="868"/>
      <c r="CM54" s="756"/>
      <c r="CN54" s="739"/>
      <c r="CO54" s="755"/>
    </row>
    <row r="55" spans="1:93">
      <c r="A55" s="875"/>
      <c r="B55" s="777" t="s">
        <v>458</v>
      </c>
      <c r="C55" s="755"/>
      <c r="D55" s="755"/>
      <c r="E55" s="755"/>
      <c r="F55" s="892"/>
      <c r="G55" s="892"/>
      <c r="H55" s="871">
        <v>-4063</v>
      </c>
      <c r="I55" s="871">
        <v>-3401</v>
      </c>
      <c r="J55" s="871">
        <v>-2793</v>
      </c>
      <c r="K55" s="871">
        <v>-3678</v>
      </c>
      <c r="L55" s="862">
        <v>-3274</v>
      </c>
      <c r="M55" s="862">
        <v>-2947</v>
      </c>
      <c r="N55" s="862">
        <v>-2719</v>
      </c>
      <c r="O55" s="862">
        <v>-3326</v>
      </c>
      <c r="P55" s="871">
        <v>-3326</v>
      </c>
      <c r="Q55" s="862">
        <v>-2882</v>
      </c>
      <c r="R55" s="862">
        <v>-5228</v>
      </c>
      <c r="S55" s="862">
        <v>-5710</v>
      </c>
      <c r="T55" s="862">
        <v>-5993</v>
      </c>
      <c r="U55" s="871">
        <v>-5993</v>
      </c>
      <c r="V55" s="854">
        <f t="shared" ref="V55:BA55" si="35">SUM(V53:V54)</f>
        <v>-5856</v>
      </c>
      <c r="W55" s="854">
        <f t="shared" si="35"/>
        <v>-5876</v>
      </c>
      <c r="X55" s="854">
        <f t="shared" si="35"/>
        <v>-5377</v>
      </c>
      <c r="Y55" s="854">
        <f t="shared" si="35"/>
        <v>-5385</v>
      </c>
      <c r="Z55" s="871">
        <f t="shared" si="35"/>
        <v>-5385</v>
      </c>
      <c r="AA55" s="854">
        <f t="shared" si="35"/>
        <v>-5783</v>
      </c>
      <c r="AB55" s="854">
        <f t="shared" si="35"/>
        <v>-5301</v>
      </c>
      <c r="AC55" s="854">
        <f t="shared" si="35"/>
        <v>-6517</v>
      </c>
      <c r="AD55" s="854">
        <f t="shared" si="35"/>
        <v>-6244</v>
      </c>
      <c r="AE55" s="871">
        <f t="shared" si="35"/>
        <v>-6244</v>
      </c>
      <c r="AF55" s="854">
        <f t="shared" si="35"/>
        <v>-6878</v>
      </c>
      <c r="AG55" s="854">
        <f t="shared" si="35"/>
        <v>-7288</v>
      </c>
      <c r="AH55" s="854">
        <f t="shared" si="35"/>
        <v>-6757</v>
      </c>
      <c r="AI55" s="854">
        <f t="shared" si="35"/>
        <v>-7149</v>
      </c>
      <c r="AJ55" s="871">
        <f t="shared" si="35"/>
        <v>-7149</v>
      </c>
      <c r="AK55" s="854">
        <f t="shared" si="35"/>
        <v>-7555</v>
      </c>
      <c r="AL55" s="854">
        <f t="shared" si="35"/>
        <v>-6800</v>
      </c>
      <c r="AM55" s="854">
        <f t="shared" si="35"/>
        <v>-5800</v>
      </c>
      <c r="AN55" s="854">
        <f t="shared" si="35"/>
        <v>-5295</v>
      </c>
      <c r="AO55" s="871">
        <f t="shared" si="35"/>
        <v>-5295</v>
      </c>
      <c r="AP55" s="854">
        <f t="shared" si="35"/>
        <v>-7164</v>
      </c>
      <c r="AQ55" s="854">
        <f t="shared" si="35"/>
        <v>-7068</v>
      </c>
      <c r="AR55" s="854">
        <f t="shared" si="35"/>
        <v>-6571</v>
      </c>
      <c r="AS55" s="854">
        <f t="shared" si="35"/>
        <v>-6206</v>
      </c>
      <c r="AT55" s="871">
        <f t="shared" si="35"/>
        <v>-6206</v>
      </c>
      <c r="AU55" s="854">
        <f t="shared" si="35"/>
        <v>-6047</v>
      </c>
      <c r="AV55" s="854">
        <f t="shared" si="35"/>
        <v>-6002</v>
      </c>
      <c r="AW55" s="854">
        <f t="shared" si="35"/>
        <v>-5398</v>
      </c>
      <c r="AX55" s="854">
        <f t="shared" si="35"/>
        <v>-4300</v>
      </c>
      <c r="AY55" s="871">
        <f t="shared" si="35"/>
        <v>-4300</v>
      </c>
      <c r="AZ55" s="854">
        <f t="shared" si="35"/>
        <v>-3506</v>
      </c>
      <c r="BA55" s="854">
        <f t="shared" si="35"/>
        <v>-14755</v>
      </c>
      <c r="BB55" s="854">
        <f t="shared" ref="BB55:CH55" si="36">SUM(BB53:BB54)</f>
        <v>-22458</v>
      </c>
      <c r="BC55" s="854">
        <f t="shared" si="36"/>
        <v>-18402</v>
      </c>
      <c r="BD55" s="871">
        <f t="shared" si="36"/>
        <v>-18402</v>
      </c>
      <c r="BE55" s="854">
        <f t="shared" si="36"/>
        <v>-18057</v>
      </c>
      <c r="BF55" s="854">
        <f t="shared" si="36"/>
        <v>-16747</v>
      </c>
      <c r="BG55" s="854">
        <f t="shared" si="36"/>
        <v>-16567</v>
      </c>
      <c r="BH55" s="854">
        <f t="shared" si="36"/>
        <v>-15622</v>
      </c>
      <c r="BI55" s="871">
        <f t="shared" si="36"/>
        <v>-15622</v>
      </c>
      <c r="BJ55" s="854">
        <f t="shared" si="36"/>
        <v>-15566</v>
      </c>
      <c r="BK55" s="854">
        <f t="shared" si="36"/>
        <v>-15110</v>
      </c>
      <c r="BL55" s="854">
        <f t="shared" si="36"/>
        <v>-14963</v>
      </c>
      <c r="BM55" s="854">
        <f t="shared" si="36"/>
        <v>-14559</v>
      </c>
      <c r="BN55" s="871">
        <f t="shared" si="36"/>
        <v>-14559</v>
      </c>
      <c r="BO55" s="854">
        <f t="shared" si="36"/>
        <v>-16712</v>
      </c>
      <c r="BP55" s="854">
        <f t="shared" si="36"/>
        <v>-16510</v>
      </c>
      <c r="BQ55" s="854">
        <f>SUM(BQ53:BQ54)</f>
        <v>-17190</v>
      </c>
      <c r="BR55" s="854">
        <f>SUM(BR53:BR54)</f>
        <v>-13350</v>
      </c>
      <c r="BS55" s="871">
        <f t="shared" si="36"/>
        <v>-13350</v>
      </c>
      <c r="BT55" s="854">
        <f t="shared" si="36"/>
        <v>-15836</v>
      </c>
      <c r="BU55" s="854">
        <f t="shared" si="36"/>
        <v>-15752</v>
      </c>
      <c r="BV55" s="854">
        <f>SUM(BV53:BV54)</f>
        <v>-15558</v>
      </c>
      <c r="BW55" s="854">
        <f t="shared" si="36"/>
        <v>-16744</v>
      </c>
      <c r="BX55" s="871">
        <f>SUM(BX53:BX54)</f>
        <v>-16744</v>
      </c>
      <c r="BY55" s="854">
        <f t="shared" ref="BY55:BZ55" si="37">SUM(BY53:BY54)</f>
        <v>-17426</v>
      </c>
      <c r="BZ55" s="854">
        <f t="shared" si="37"/>
        <v>-17281</v>
      </c>
      <c r="CA55" s="854">
        <f t="shared" ref="CA55" si="38">SUM(CA53:CA54)</f>
        <v>-18737</v>
      </c>
      <c r="CB55" s="854">
        <f>SUM(CB53:CB54)</f>
        <v>-17607.416278640994</v>
      </c>
      <c r="CC55" s="871">
        <f t="shared" si="36"/>
        <v>-17607.416278640994</v>
      </c>
      <c r="CD55" s="854">
        <f>SUM(CD53:CD54)</f>
        <v>-17634.368817199393</v>
      </c>
      <c r="CE55" s="854">
        <f>SUM(CE53:CE54)</f>
        <v>-16761.832263148466</v>
      </c>
      <c r="CF55" s="854">
        <f>SUM(CF53:CF54)</f>
        <v>-15641.824876481778</v>
      </c>
      <c r="CG55" s="854">
        <f>SUM(CG53:CG54)</f>
        <v>-14258.460302538868</v>
      </c>
      <c r="CH55" s="871">
        <f t="shared" si="36"/>
        <v>-14258.460302538864</v>
      </c>
      <c r="CI55" s="871">
        <f>SUM(CI53:CI54)</f>
        <v>-9739.760229619289</v>
      </c>
      <c r="CJ55" s="871">
        <f>SUM(CJ53:CJ54)</f>
        <v>-4645.5187233463166</v>
      </c>
      <c r="CK55" s="871">
        <f>SUM(CK53:CK54)</f>
        <v>711.14138060219557</v>
      </c>
      <c r="CL55" s="871"/>
      <c r="CM55" s="756"/>
      <c r="CN55" s="739"/>
      <c r="CO55" s="755"/>
    </row>
    <row r="56" spans="1:93">
      <c r="A56" s="623"/>
      <c r="B56" s="741"/>
      <c r="C56" s="736"/>
      <c r="D56" s="736"/>
      <c r="E56" s="736"/>
      <c r="F56" s="616"/>
      <c r="G56" s="616"/>
      <c r="H56" s="877"/>
      <c r="I56" s="877"/>
      <c r="J56" s="877"/>
      <c r="K56" s="877"/>
      <c r="L56" s="879"/>
      <c r="M56" s="879"/>
      <c r="N56" s="879"/>
      <c r="O56" s="879"/>
      <c r="P56" s="877"/>
      <c r="Q56" s="879"/>
      <c r="R56" s="879"/>
      <c r="S56" s="879"/>
      <c r="T56" s="879"/>
      <c r="U56" s="877"/>
      <c r="V56" s="878"/>
      <c r="W56" s="878"/>
      <c r="X56" s="878"/>
      <c r="Y56" s="878"/>
      <c r="Z56" s="877"/>
      <c r="AA56" s="878"/>
      <c r="AB56" s="878"/>
      <c r="AC56" s="878"/>
      <c r="AD56" s="878"/>
      <c r="AE56" s="877"/>
      <c r="AF56" s="878"/>
      <c r="AG56" s="878"/>
      <c r="AH56" s="878"/>
      <c r="AI56" s="878"/>
      <c r="AJ56" s="877"/>
      <c r="AK56" s="878"/>
      <c r="AL56" s="878"/>
      <c r="AM56" s="878"/>
      <c r="AN56" s="878"/>
      <c r="AO56" s="877"/>
      <c r="AP56" s="878"/>
      <c r="AQ56" s="878"/>
      <c r="AR56" s="878"/>
      <c r="AS56" s="878"/>
      <c r="AT56" s="877"/>
      <c r="AU56" s="878"/>
      <c r="AV56" s="878"/>
      <c r="AW56" s="878"/>
      <c r="AX56" s="878"/>
      <c r="AY56" s="877"/>
      <c r="AZ56" s="878"/>
      <c r="BA56" s="878"/>
      <c r="BB56" s="878"/>
      <c r="BC56" s="878"/>
      <c r="BD56" s="877"/>
      <c r="BE56" s="878"/>
      <c r="BF56" s="878"/>
      <c r="BG56" s="878"/>
      <c r="BH56" s="878"/>
      <c r="BI56" s="877"/>
      <c r="BJ56" s="878"/>
      <c r="BK56" s="878"/>
      <c r="BL56" s="878"/>
      <c r="BM56" s="878"/>
      <c r="BN56" s="877"/>
      <c r="BO56" s="878"/>
      <c r="BP56" s="878"/>
      <c r="BQ56" s="878"/>
      <c r="BR56" s="878"/>
      <c r="BS56" s="877"/>
      <c r="BT56" s="878"/>
      <c r="BU56" s="878"/>
      <c r="BV56" s="878"/>
      <c r="BW56" s="878"/>
      <c r="BX56" s="877"/>
      <c r="BY56" s="878"/>
      <c r="BZ56" s="878"/>
      <c r="CA56" s="878"/>
      <c r="CB56" s="878"/>
      <c r="CC56" s="877"/>
      <c r="CD56" s="878"/>
      <c r="CE56" s="878"/>
      <c r="CF56" s="878"/>
      <c r="CG56" s="878"/>
      <c r="CH56" s="877"/>
      <c r="CI56" s="877"/>
      <c r="CJ56" s="877"/>
      <c r="CK56" s="877"/>
      <c r="CL56" s="877"/>
      <c r="CM56" s="738"/>
      <c r="CN56" s="618"/>
      <c r="CO56" s="736"/>
    </row>
    <row r="57" spans="1:93">
      <c r="A57" s="891"/>
      <c r="B57" s="890" t="s">
        <v>457</v>
      </c>
      <c r="C57" s="880"/>
      <c r="D57" s="880"/>
      <c r="E57" s="880"/>
      <c r="F57" s="889"/>
      <c r="G57" s="889"/>
      <c r="H57" s="883">
        <v>0</v>
      </c>
      <c r="I57" s="883">
        <v>0</v>
      </c>
      <c r="J57" s="883">
        <v>0</v>
      </c>
      <c r="K57" s="883">
        <v>0</v>
      </c>
      <c r="L57" s="886">
        <v>0</v>
      </c>
      <c r="M57" s="886">
        <v>0</v>
      </c>
      <c r="N57" s="888">
        <v>0</v>
      </c>
      <c r="O57" s="886">
        <v>0</v>
      </c>
      <c r="P57" s="883">
        <v>0</v>
      </c>
      <c r="Q57" s="886">
        <v>0</v>
      </c>
      <c r="R57" s="887">
        <v>0</v>
      </c>
      <c r="S57" s="886">
        <v>0</v>
      </c>
      <c r="T57" s="886">
        <v>0</v>
      </c>
      <c r="U57" s="883">
        <v>0</v>
      </c>
      <c r="V57" s="885">
        <f t="shared" ref="V57:BA57" si="39">V54-V48</f>
        <v>0</v>
      </c>
      <c r="W57" s="885">
        <f t="shared" si="39"/>
        <v>0</v>
      </c>
      <c r="X57" s="885">
        <f t="shared" si="39"/>
        <v>0</v>
      </c>
      <c r="Y57" s="885">
        <f t="shared" si="39"/>
        <v>0</v>
      </c>
      <c r="Z57" s="883">
        <f t="shared" si="39"/>
        <v>0</v>
      </c>
      <c r="AA57" s="885">
        <f t="shared" si="39"/>
        <v>0</v>
      </c>
      <c r="AB57" s="885">
        <f t="shared" si="39"/>
        <v>0</v>
      </c>
      <c r="AC57" s="885">
        <f t="shared" si="39"/>
        <v>0</v>
      </c>
      <c r="AD57" s="885">
        <f t="shared" si="39"/>
        <v>0</v>
      </c>
      <c r="AE57" s="883">
        <f t="shared" si="39"/>
        <v>0</v>
      </c>
      <c r="AF57" s="885">
        <f t="shared" si="39"/>
        <v>0</v>
      </c>
      <c r="AG57" s="885">
        <f t="shared" si="39"/>
        <v>0</v>
      </c>
      <c r="AH57" s="884">
        <f t="shared" si="39"/>
        <v>0</v>
      </c>
      <c r="AI57" s="884">
        <f t="shared" si="39"/>
        <v>0</v>
      </c>
      <c r="AJ57" s="883">
        <f t="shared" si="39"/>
        <v>0</v>
      </c>
      <c r="AK57" s="884">
        <f t="shared" si="39"/>
        <v>0</v>
      </c>
      <c r="AL57" s="884">
        <f t="shared" si="39"/>
        <v>0</v>
      </c>
      <c r="AM57" s="884">
        <f t="shared" si="39"/>
        <v>0</v>
      </c>
      <c r="AN57" s="884">
        <f t="shared" si="39"/>
        <v>0</v>
      </c>
      <c r="AO57" s="883">
        <f t="shared" si="39"/>
        <v>0</v>
      </c>
      <c r="AP57" s="884">
        <f t="shared" si="39"/>
        <v>0</v>
      </c>
      <c r="AQ57" s="884">
        <f t="shared" si="39"/>
        <v>0</v>
      </c>
      <c r="AR57" s="884">
        <f t="shared" si="39"/>
        <v>0</v>
      </c>
      <c r="AS57" s="884">
        <f t="shared" si="39"/>
        <v>0</v>
      </c>
      <c r="AT57" s="883">
        <f t="shared" si="39"/>
        <v>0</v>
      </c>
      <c r="AU57" s="884">
        <f t="shared" si="39"/>
        <v>0</v>
      </c>
      <c r="AV57" s="884">
        <f t="shared" si="39"/>
        <v>0</v>
      </c>
      <c r="AW57" s="884">
        <f t="shared" si="39"/>
        <v>0</v>
      </c>
      <c r="AX57" s="884">
        <f t="shared" si="39"/>
        <v>0</v>
      </c>
      <c r="AY57" s="883">
        <f t="shared" si="39"/>
        <v>0</v>
      </c>
      <c r="AZ57" s="884">
        <f t="shared" si="39"/>
        <v>0</v>
      </c>
      <c r="BA57" s="884">
        <f t="shared" si="39"/>
        <v>0</v>
      </c>
      <c r="BB57" s="884">
        <f t="shared" ref="BB57:CH57" si="40">BB54-BB48</f>
        <v>0</v>
      </c>
      <c r="BC57" s="884">
        <f t="shared" si="40"/>
        <v>0</v>
      </c>
      <c r="BD57" s="883">
        <f t="shared" si="40"/>
        <v>0</v>
      </c>
      <c r="BE57" s="884">
        <f t="shared" si="40"/>
        <v>0</v>
      </c>
      <c r="BF57" s="884">
        <f t="shared" si="40"/>
        <v>0</v>
      </c>
      <c r="BG57" s="884">
        <f t="shared" si="40"/>
        <v>0</v>
      </c>
      <c r="BH57" s="884">
        <f t="shared" si="40"/>
        <v>0</v>
      </c>
      <c r="BI57" s="883">
        <f t="shared" si="40"/>
        <v>0</v>
      </c>
      <c r="BJ57" s="884">
        <f t="shared" si="40"/>
        <v>0</v>
      </c>
      <c r="BK57" s="884">
        <f t="shared" si="40"/>
        <v>0</v>
      </c>
      <c r="BL57" s="884">
        <f t="shared" si="40"/>
        <v>0</v>
      </c>
      <c r="BM57" s="884">
        <f t="shared" si="40"/>
        <v>0</v>
      </c>
      <c r="BN57" s="883">
        <f t="shared" si="40"/>
        <v>0</v>
      </c>
      <c r="BO57" s="884">
        <f t="shared" si="40"/>
        <v>0</v>
      </c>
      <c r="BP57" s="884">
        <f t="shared" si="40"/>
        <v>0</v>
      </c>
      <c r="BQ57" s="885">
        <f>BQ54-BQ48</f>
        <v>0</v>
      </c>
      <c r="BR57" s="885">
        <f>BR54-BR48</f>
        <v>0</v>
      </c>
      <c r="BS57" s="883">
        <f t="shared" si="40"/>
        <v>0</v>
      </c>
      <c r="BT57" s="885">
        <f t="shared" si="40"/>
        <v>0</v>
      </c>
      <c r="BU57" s="885">
        <f t="shared" si="40"/>
        <v>0</v>
      </c>
      <c r="BV57" s="885">
        <f>BV54-BV48</f>
        <v>0</v>
      </c>
      <c r="BW57" s="884">
        <f t="shared" si="40"/>
        <v>0</v>
      </c>
      <c r="BX57" s="883">
        <f>BX54-BX48</f>
        <v>0</v>
      </c>
      <c r="BY57" s="884">
        <f t="shared" ref="BY57:BZ57" si="41">BY54-BY48</f>
        <v>0</v>
      </c>
      <c r="BZ57" s="884">
        <f t="shared" si="41"/>
        <v>0</v>
      </c>
      <c r="CA57" s="884">
        <f t="shared" ref="CA57" si="42">CA54-CA48</f>
        <v>0</v>
      </c>
      <c r="CB57" s="884">
        <f>CB54-CB48</f>
        <v>0</v>
      </c>
      <c r="CC57" s="883">
        <f t="shared" si="40"/>
        <v>0</v>
      </c>
      <c r="CD57" s="884">
        <f>CD54-CD48</f>
        <v>0</v>
      </c>
      <c r="CE57" s="884">
        <f>CE54-CE48</f>
        <v>0</v>
      </c>
      <c r="CF57" s="884">
        <f>CF54-CF48</f>
        <v>0</v>
      </c>
      <c r="CG57" s="884">
        <f>CG54-CG48</f>
        <v>0</v>
      </c>
      <c r="CH57" s="883">
        <f t="shared" si="40"/>
        <v>0</v>
      </c>
      <c r="CI57" s="883">
        <f>CI54-CI48</f>
        <v>0</v>
      </c>
      <c r="CJ57" s="883">
        <f>CJ54-CJ48</f>
        <v>0</v>
      </c>
      <c r="CK57" s="883">
        <f>CK54-CK48</f>
        <v>0</v>
      </c>
      <c r="CL57" s="883"/>
      <c r="CM57" s="882"/>
      <c r="CN57" s="881"/>
      <c r="CO57" s="880"/>
    </row>
    <row r="58" spans="1:93">
      <c r="A58" s="623"/>
      <c r="B58" s="741"/>
      <c r="C58" s="736"/>
      <c r="D58" s="736"/>
      <c r="E58" s="736"/>
      <c r="F58" s="616"/>
      <c r="G58" s="616"/>
      <c r="H58" s="877"/>
      <c r="I58" s="877"/>
      <c r="J58" s="877"/>
      <c r="K58" s="877"/>
      <c r="L58" s="879"/>
      <c r="M58" s="879"/>
      <c r="N58" s="879"/>
      <c r="O58" s="879"/>
      <c r="P58" s="877"/>
      <c r="Q58" s="879"/>
      <c r="R58" s="879"/>
      <c r="S58" s="879"/>
      <c r="T58" s="879"/>
      <c r="U58" s="877"/>
      <c r="V58" s="878"/>
      <c r="W58" s="878"/>
      <c r="X58" s="878"/>
      <c r="Y58" s="878"/>
      <c r="Z58" s="877"/>
      <c r="AA58" s="878"/>
      <c r="AB58" s="878"/>
      <c r="AC58" s="878"/>
      <c r="AD58" s="878"/>
      <c r="AE58" s="877"/>
      <c r="AF58" s="878"/>
      <c r="AG58" s="878"/>
      <c r="AH58" s="878"/>
      <c r="AI58" s="878"/>
      <c r="AJ58" s="877"/>
      <c r="AK58" s="878"/>
      <c r="AL58" s="878"/>
      <c r="AM58" s="878"/>
      <c r="AN58" s="878"/>
      <c r="AO58" s="877"/>
      <c r="AP58" s="878"/>
      <c r="AQ58" s="878"/>
      <c r="AR58" s="878"/>
      <c r="AS58" s="878"/>
      <c r="AT58" s="877"/>
      <c r="AU58" s="878"/>
      <c r="AV58" s="878"/>
      <c r="AW58" s="878"/>
      <c r="AX58" s="878"/>
      <c r="AY58" s="877"/>
      <c r="AZ58" s="878"/>
      <c r="BA58" s="878"/>
      <c r="BB58" s="878"/>
      <c r="BC58" s="878"/>
      <c r="BD58" s="877"/>
      <c r="BE58" s="878"/>
      <c r="BF58" s="878"/>
      <c r="BG58" s="878"/>
      <c r="BH58" s="878"/>
      <c r="BI58" s="877"/>
      <c r="BJ58" s="878"/>
      <c r="BK58" s="878"/>
      <c r="BL58" s="878"/>
      <c r="BM58" s="878"/>
      <c r="BN58" s="877"/>
      <c r="BO58" s="878"/>
      <c r="BP58" s="878"/>
      <c r="BQ58" s="878"/>
      <c r="BR58" s="878"/>
      <c r="BS58" s="877"/>
      <c r="BT58" s="878"/>
      <c r="BU58" s="878"/>
      <c r="BV58" s="878"/>
      <c r="BW58" s="878"/>
      <c r="BX58" s="877"/>
      <c r="BY58" s="878"/>
      <c r="BZ58" s="878"/>
      <c r="CA58" s="878"/>
      <c r="CB58" s="878"/>
      <c r="CC58" s="877"/>
      <c r="CD58" s="878"/>
      <c r="CE58" s="878"/>
      <c r="CF58" s="878"/>
      <c r="CG58" s="878"/>
      <c r="CH58" s="877"/>
      <c r="CI58" s="877"/>
      <c r="CJ58" s="877"/>
      <c r="CK58" s="877"/>
      <c r="CL58" s="877"/>
      <c r="CM58" s="738"/>
      <c r="CN58" s="618"/>
      <c r="CO58" s="736"/>
    </row>
    <row r="59" spans="1:93">
      <c r="A59" s="755"/>
      <c r="B59" s="755" t="s">
        <v>456</v>
      </c>
      <c r="C59" s="755"/>
      <c r="D59" s="755"/>
      <c r="E59" s="755"/>
      <c r="F59" s="876"/>
      <c r="G59" s="876"/>
      <c r="H59" s="863">
        <v>957</v>
      </c>
      <c r="I59" s="863">
        <v>748</v>
      </c>
      <c r="J59" s="863">
        <v>1558</v>
      </c>
      <c r="K59" s="863">
        <v>2080</v>
      </c>
      <c r="L59" s="866">
        <v>1623</v>
      </c>
      <c r="M59" s="866">
        <v>1731</v>
      </c>
      <c r="N59" s="866">
        <v>2018</v>
      </c>
      <c r="O59" s="866">
        <v>2340</v>
      </c>
      <c r="P59" s="863">
        <v>1623</v>
      </c>
      <c r="Q59" s="866">
        <v>2265</v>
      </c>
      <c r="R59" s="866">
        <v>1963</v>
      </c>
      <c r="S59" s="866">
        <v>1985</v>
      </c>
      <c r="T59" s="866">
        <v>2102</v>
      </c>
      <c r="U59" s="863">
        <v>2265</v>
      </c>
      <c r="V59" s="864">
        <f>U60</f>
        <v>2247</v>
      </c>
      <c r="W59" s="864">
        <f>BS!W13</f>
        <v>2417</v>
      </c>
      <c r="X59" s="864">
        <f>BS!X13</f>
        <v>2883</v>
      </c>
      <c r="Y59" s="864">
        <f>X60</f>
        <v>2914</v>
      </c>
      <c r="Z59" s="863">
        <f>V59</f>
        <v>2247</v>
      </c>
      <c r="AA59" s="864">
        <f>BS!AA13</f>
        <v>2546</v>
      </c>
      <c r="AB59" s="864">
        <f>BS!AB13</f>
        <v>2481</v>
      </c>
      <c r="AC59" s="864">
        <f>BS!AC13</f>
        <v>3292</v>
      </c>
      <c r="AD59" s="864">
        <f>BS!AD13</f>
        <v>2810</v>
      </c>
      <c r="AE59" s="863">
        <f>AA59</f>
        <v>2546</v>
      </c>
      <c r="AF59" s="864">
        <f>BS!AE13</f>
        <v>2904</v>
      </c>
      <c r="AG59" s="864">
        <f>BS!AG13</f>
        <v>3139</v>
      </c>
      <c r="AH59" s="864">
        <f>BS!AH13</f>
        <v>3442</v>
      </c>
      <c r="AI59" s="864">
        <f>BS!AI13</f>
        <v>3615</v>
      </c>
      <c r="AJ59" s="863">
        <f>AF59</f>
        <v>2904</v>
      </c>
      <c r="AK59" s="864">
        <f>BS!AK13</f>
        <v>4327</v>
      </c>
      <c r="AL59" s="864">
        <f>BS!AL13</f>
        <v>3272</v>
      </c>
      <c r="AM59" s="864">
        <f>BS!AM13</f>
        <v>4016</v>
      </c>
      <c r="AN59" s="864">
        <f>BS!AN13</f>
        <v>4632</v>
      </c>
      <c r="AO59" s="863">
        <f>AK59</f>
        <v>4327</v>
      </c>
      <c r="AP59" s="864">
        <f>BS!AP13</f>
        <v>4449</v>
      </c>
      <c r="AQ59" s="864">
        <f>BS!AQ13</f>
        <v>4788</v>
      </c>
      <c r="AR59" s="864">
        <f>BS!AR13</f>
        <v>4997</v>
      </c>
      <c r="AS59" s="864">
        <f>BS!AS13</f>
        <v>5731</v>
      </c>
      <c r="AT59" s="863">
        <f>AP59</f>
        <v>4449</v>
      </c>
      <c r="AU59" s="864">
        <f>BS!AU13</f>
        <v>4083</v>
      </c>
      <c r="AV59" s="864">
        <f>BS!AV13</f>
        <v>4440</v>
      </c>
      <c r="AW59" s="864">
        <f>BS!AW13</f>
        <v>5396</v>
      </c>
      <c r="AX59" s="864">
        <f>BS!AX13</f>
        <v>5966</v>
      </c>
      <c r="AY59" s="863">
        <f>AU59</f>
        <v>4083</v>
      </c>
      <c r="AZ59" s="864">
        <f>BS!AZ13</f>
        <v>5960</v>
      </c>
      <c r="BA59" s="864">
        <f>BS!BA13</f>
        <v>6285</v>
      </c>
      <c r="BB59" s="864">
        <f>BS!BB13</f>
        <v>5966</v>
      </c>
      <c r="BC59" s="864">
        <f>BS!BC13</f>
        <v>6242</v>
      </c>
      <c r="BD59" s="863">
        <f>AZ59</f>
        <v>5960</v>
      </c>
      <c r="BE59" s="864">
        <f>BS!BE13</f>
        <v>4819</v>
      </c>
      <c r="BF59" s="864">
        <f>BS!BF13</f>
        <v>4767</v>
      </c>
      <c r="BG59" s="864">
        <f>BS!BG13</f>
        <v>4909</v>
      </c>
      <c r="BH59" s="864">
        <f>BS!BH13</f>
        <v>4621</v>
      </c>
      <c r="BI59" s="863">
        <f>BD60</f>
        <v>4819</v>
      </c>
      <c r="BJ59" s="864">
        <f>BS!BJ13</f>
        <v>4619</v>
      </c>
      <c r="BK59" s="864">
        <f>BS!BK13</f>
        <v>4477</v>
      </c>
      <c r="BL59" s="864">
        <f>BS!BL13</f>
        <v>4962</v>
      </c>
      <c r="BM59" s="864">
        <f>BS!BM13</f>
        <v>5035</v>
      </c>
      <c r="BN59" s="863">
        <f>BI60</f>
        <v>4619</v>
      </c>
      <c r="BO59" s="864">
        <f>BS!BO13</f>
        <v>5235</v>
      </c>
      <c r="BP59" s="864">
        <f>BS!BP13</f>
        <v>5281</v>
      </c>
      <c r="BQ59" s="864">
        <f>BS!BQ13</f>
        <v>5933</v>
      </c>
      <c r="BR59" s="864">
        <f>BS!BR13</f>
        <v>5477</v>
      </c>
      <c r="BS59" s="863">
        <f>BN60</f>
        <v>5235</v>
      </c>
      <c r="BT59" s="864">
        <f>BS!BT13</f>
        <v>7075</v>
      </c>
      <c r="BU59" s="864">
        <f>BS!BU13</f>
        <v>7215</v>
      </c>
      <c r="BV59" s="864">
        <f>BS!BV13</f>
        <v>6785</v>
      </c>
      <c r="BW59" s="864">
        <f>BS!BW13</f>
        <v>7107</v>
      </c>
      <c r="BX59" s="863">
        <f>BS60</f>
        <v>7075</v>
      </c>
      <c r="BY59" s="864">
        <f>BS!BY13</f>
        <v>7157</v>
      </c>
      <c r="BZ59" s="864">
        <f>BS!BZ13</f>
        <v>7156</v>
      </c>
      <c r="CA59" s="864">
        <f>BS!CA13</f>
        <v>9345</v>
      </c>
      <c r="CB59" s="864">
        <f>CA60</f>
        <v>8523</v>
      </c>
      <c r="CC59" s="863">
        <f>BX60</f>
        <v>7157</v>
      </c>
      <c r="CD59" s="864">
        <f>CC60</f>
        <v>9652.5837213590057</v>
      </c>
      <c r="CE59" s="864">
        <f>CD60</f>
        <v>10625.631182800607</v>
      </c>
      <c r="CF59" s="864">
        <f>CE60</f>
        <v>12498.167736851534</v>
      </c>
      <c r="CG59" s="864">
        <f>CF60</f>
        <v>13618.175123518222</v>
      </c>
      <c r="CH59" s="863">
        <f>CC60</f>
        <v>9652.5837213590057</v>
      </c>
      <c r="CI59" s="863">
        <f>CH60</f>
        <v>15001.539697461136</v>
      </c>
      <c r="CJ59" s="863">
        <f>CI60</f>
        <v>19520.239770380711</v>
      </c>
      <c r="CK59" s="863">
        <f>CJ60</f>
        <v>24614.481276653685</v>
      </c>
      <c r="CL59" s="863"/>
      <c r="CM59" s="756"/>
      <c r="CN59" s="739"/>
      <c r="CO59" s="755"/>
    </row>
    <row r="60" spans="1:93">
      <c r="A60" s="777"/>
      <c r="B60" s="777" t="s">
        <v>455</v>
      </c>
      <c r="C60" s="777"/>
      <c r="D60" s="777"/>
      <c r="E60" s="777"/>
      <c r="F60" s="777"/>
      <c r="G60" s="777"/>
      <c r="H60" s="852">
        <v>748</v>
      </c>
      <c r="I60" s="852">
        <v>1558</v>
      </c>
      <c r="J60" s="852">
        <v>2080</v>
      </c>
      <c r="K60" s="852">
        <v>1623</v>
      </c>
      <c r="L60" s="855">
        <v>1731</v>
      </c>
      <c r="M60" s="855">
        <v>2018</v>
      </c>
      <c r="N60" s="855">
        <v>2340</v>
      </c>
      <c r="O60" s="855">
        <v>2265</v>
      </c>
      <c r="P60" s="852">
        <v>2265</v>
      </c>
      <c r="Q60" s="855">
        <v>1963</v>
      </c>
      <c r="R60" s="855">
        <v>1985</v>
      </c>
      <c r="S60" s="855">
        <v>2102</v>
      </c>
      <c r="T60" s="855">
        <v>2247</v>
      </c>
      <c r="U60" s="852">
        <v>2247</v>
      </c>
      <c r="V60" s="853">
        <f>BS!W13</f>
        <v>2417</v>
      </c>
      <c r="W60" s="853">
        <f>BS!X13</f>
        <v>2883</v>
      </c>
      <c r="X60" s="853">
        <f>BS!Y13</f>
        <v>2914</v>
      </c>
      <c r="Y60" s="853">
        <f>BS!AA13</f>
        <v>2546</v>
      </c>
      <c r="Z60" s="852">
        <f>Z55-Z64</f>
        <v>2546</v>
      </c>
      <c r="AA60" s="853">
        <f>BS!AB13</f>
        <v>2481</v>
      </c>
      <c r="AB60" s="853">
        <f>BS!AC13</f>
        <v>3292</v>
      </c>
      <c r="AC60" s="853">
        <f>BS!AD13</f>
        <v>2810</v>
      </c>
      <c r="AD60" s="853">
        <f>BS!AE13</f>
        <v>2904</v>
      </c>
      <c r="AE60" s="852">
        <f>BS!AF13</f>
        <v>2904</v>
      </c>
      <c r="AF60" s="853">
        <f>BS!AG13</f>
        <v>3139</v>
      </c>
      <c r="AG60" s="853">
        <f>BS!AH13</f>
        <v>3442</v>
      </c>
      <c r="AH60" s="853">
        <f>BS!AI13</f>
        <v>3615</v>
      </c>
      <c r="AI60" s="853">
        <f>BS!AJ13</f>
        <v>4327</v>
      </c>
      <c r="AJ60" s="852">
        <f>BS!AK13</f>
        <v>4327</v>
      </c>
      <c r="AK60" s="853">
        <f>BS!AL13</f>
        <v>3272</v>
      </c>
      <c r="AL60" s="853">
        <f>BS!AM13</f>
        <v>4016</v>
      </c>
      <c r="AM60" s="853">
        <f>BS!AN13</f>
        <v>4632</v>
      </c>
      <c r="AN60" s="853">
        <f>BS!AO13</f>
        <v>4449</v>
      </c>
      <c r="AO60" s="852">
        <f>BS!AP13</f>
        <v>4449</v>
      </c>
      <c r="AP60" s="853">
        <f>BS!AQ13</f>
        <v>4788</v>
      </c>
      <c r="AQ60" s="853">
        <f>BS!AR13</f>
        <v>4997</v>
      </c>
      <c r="AR60" s="853">
        <f>BS!AS13</f>
        <v>5731</v>
      </c>
      <c r="AS60" s="853">
        <f>BS!AT13</f>
        <v>4083</v>
      </c>
      <c r="AT60" s="852">
        <f>BS!AU13</f>
        <v>4083</v>
      </c>
      <c r="AU60" s="853">
        <f>BS!AV13</f>
        <v>4440</v>
      </c>
      <c r="AV60" s="853">
        <f>BS!AW13</f>
        <v>5396</v>
      </c>
      <c r="AW60" s="853">
        <f>BS!AX13</f>
        <v>5966</v>
      </c>
      <c r="AX60" s="853">
        <f>BS!AY13</f>
        <v>5960</v>
      </c>
      <c r="AY60" s="852">
        <f>BS!AZ13</f>
        <v>5960</v>
      </c>
      <c r="AZ60" s="853">
        <f>BS!BA13</f>
        <v>6285</v>
      </c>
      <c r="BA60" s="853">
        <f>BS!BB13</f>
        <v>5966</v>
      </c>
      <c r="BB60" s="853">
        <f>BS!BC13</f>
        <v>6242</v>
      </c>
      <c r="BC60" s="853">
        <f>BS!BD13</f>
        <v>4819</v>
      </c>
      <c r="BD60" s="852">
        <f>BS!BE13</f>
        <v>4819</v>
      </c>
      <c r="BE60" s="853">
        <f>BS!BF13</f>
        <v>4767</v>
      </c>
      <c r="BF60" s="853">
        <f>BS!BG13</f>
        <v>4909</v>
      </c>
      <c r="BG60" s="853">
        <f>BS!BH13</f>
        <v>4621</v>
      </c>
      <c r="BH60" s="853">
        <f>BS!BI13</f>
        <v>4619</v>
      </c>
      <c r="BI60" s="852">
        <f>BI55-BI64</f>
        <v>4619</v>
      </c>
      <c r="BJ60" s="853">
        <f>BS!BK13</f>
        <v>4477</v>
      </c>
      <c r="BK60" s="853">
        <f>BS!BL13</f>
        <v>4962</v>
      </c>
      <c r="BL60" s="853">
        <f>BS!BM13</f>
        <v>5035</v>
      </c>
      <c r="BM60" s="853">
        <f>BS!BN13</f>
        <v>5235</v>
      </c>
      <c r="BN60" s="852">
        <f>BN55-BN64</f>
        <v>5235</v>
      </c>
      <c r="BO60" s="853">
        <f>BS!BP13</f>
        <v>5281</v>
      </c>
      <c r="BP60" s="853">
        <f>BS!BQ13</f>
        <v>5933</v>
      </c>
      <c r="BQ60" s="853">
        <f>BS!BR13</f>
        <v>5477</v>
      </c>
      <c r="BR60" s="853">
        <f>BS!BS13</f>
        <v>7075</v>
      </c>
      <c r="BS60" s="852">
        <f>BS55-BS64</f>
        <v>7075</v>
      </c>
      <c r="BT60" s="853">
        <f>BS!BU13</f>
        <v>7215</v>
      </c>
      <c r="BU60" s="853">
        <f>BS!BV13</f>
        <v>6785</v>
      </c>
      <c r="BV60" s="853">
        <f>BS!BW13</f>
        <v>7107</v>
      </c>
      <c r="BW60" s="853">
        <f>BS!BX13</f>
        <v>7157</v>
      </c>
      <c r="BX60" s="852">
        <f>BX55-BX64</f>
        <v>7157</v>
      </c>
      <c r="BY60" s="853">
        <f>BS!BZ13</f>
        <v>7156</v>
      </c>
      <c r="BZ60" s="853">
        <f>BS!CA13</f>
        <v>9345</v>
      </c>
      <c r="CA60" s="853">
        <f>BS!CB13</f>
        <v>8523</v>
      </c>
      <c r="CB60" s="853">
        <f t="shared" ref="CB60:CI60" si="43">CB55-CB64</f>
        <v>9652.5837213590057</v>
      </c>
      <c r="CC60" s="852">
        <f t="shared" si="43"/>
        <v>9652.5837213590057</v>
      </c>
      <c r="CD60" s="853">
        <f>CD55-CD64</f>
        <v>10625.631182800607</v>
      </c>
      <c r="CE60" s="853">
        <f>CE55-CE64</f>
        <v>12498.167736851534</v>
      </c>
      <c r="CF60" s="853">
        <f>CF55-CF64</f>
        <v>13618.175123518222</v>
      </c>
      <c r="CG60" s="853">
        <f>CG55-CG64</f>
        <v>15001.539697461132</v>
      </c>
      <c r="CH60" s="852">
        <f t="shared" si="43"/>
        <v>15001.539697461136</v>
      </c>
      <c r="CI60" s="852">
        <f t="shared" si="43"/>
        <v>19520.239770380711</v>
      </c>
      <c r="CJ60" s="852">
        <f>CJ55-CJ64</f>
        <v>24614.481276653685</v>
      </c>
      <c r="CK60" s="852">
        <f>CK55-CK64</f>
        <v>29971.141380602196</v>
      </c>
      <c r="CL60" s="852"/>
      <c r="CM60" s="778"/>
      <c r="CN60" s="749"/>
      <c r="CO60" s="777"/>
    </row>
    <row r="61" spans="1:93">
      <c r="A61" s="755"/>
      <c r="B61" s="755" t="s">
        <v>454</v>
      </c>
      <c r="C61" s="755"/>
      <c r="D61" s="755"/>
      <c r="E61" s="755"/>
      <c r="F61" s="755"/>
      <c r="G61" s="755"/>
      <c r="H61" s="863">
        <v>852.5</v>
      </c>
      <c r="I61" s="863">
        <v>1153</v>
      </c>
      <c r="J61" s="863">
        <v>1819</v>
      </c>
      <c r="K61" s="863">
        <v>1851.5</v>
      </c>
      <c r="L61" s="866">
        <v>1677</v>
      </c>
      <c r="M61" s="866">
        <v>1874.5</v>
      </c>
      <c r="N61" s="866">
        <v>2179</v>
      </c>
      <c r="O61" s="866">
        <v>2302.5</v>
      </c>
      <c r="P61" s="863">
        <v>1944</v>
      </c>
      <c r="Q61" s="866">
        <v>2114</v>
      </c>
      <c r="R61" s="866">
        <v>1974</v>
      </c>
      <c r="S61" s="866">
        <v>2043.5</v>
      </c>
      <c r="T61" s="866">
        <v>2174.5</v>
      </c>
      <c r="U61" s="863">
        <v>2256</v>
      </c>
      <c r="V61" s="864">
        <f>(V59+V60)/2</f>
        <v>2332</v>
      </c>
      <c r="W61" s="864">
        <f>(W59+W60)/2</f>
        <v>2650</v>
      </c>
      <c r="X61" s="864">
        <f>(X59+X60)/2</f>
        <v>2898.5</v>
      </c>
      <c r="Y61" s="864">
        <f>Z61</f>
        <v>2396.5</v>
      </c>
      <c r="Z61" s="863">
        <f t="shared" ref="Z61:BE61" si="44">(Z59+Z60)/2</f>
        <v>2396.5</v>
      </c>
      <c r="AA61" s="864">
        <f t="shared" si="44"/>
        <v>2513.5</v>
      </c>
      <c r="AB61" s="864">
        <f t="shared" si="44"/>
        <v>2886.5</v>
      </c>
      <c r="AC61" s="864">
        <f t="shared" si="44"/>
        <v>3051</v>
      </c>
      <c r="AD61" s="864">
        <f t="shared" si="44"/>
        <v>2857</v>
      </c>
      <c r="AE61" s="863">
        <f t="shared" si="44"/>
        <v>2725</v>
      </c>
      <c r="AF61" s="864">
        <f t="shared" si="44"/>
        <v>3021.5</v>
      </c>
      <c r="AG61" s="864">
        <f t="shared" si="44"/>
        <v>3290.5</v>
      </c>
      <c r="AH61" s="864">
        <f t="shared" si="44"/>
        <v>3528.5</v>
      </c>
      <c r="AI61" s="864">
        <f t="shared" si="44"/>
        <v>3971</v>
      </c>
      <c r="AJ61" s="863">
        <f t="shared" si="44"/>
        <v>3615.5</v>
      </c>
      <c r="AK61" s="864">
        <f t="shared" si="44"/>
        <v>3799.5</v>
      </c>
      <c r="AL61" s="864">
        <f t="shared" si="44"/>
        <v>3644</v>
      </c>
      <c r="AM61" s="864">
        <f t="shared" si="44"/>
        <v>4324</v>
      </c>
      <c r="AN61" s="864">
        <f t="shared" si="44"/>
        <v>4540.5</v>
      </c>
      <c r="AO61" s="863">
        <f t="shared" si="44"/>
        <v>4388</v>
      </c>
      <c r="AP61" s="864">
        <f t="shared" si="44"/>
        <v>4618.5</v>
      </c>
      <c r="AQ61" s="864">
        <f t="shared" si="44"/>
        <v>4892.5</v>
      </c>
      <c r="AR61" s="864">
        <f t="shared" si="44"/>
        <v>5364</v>
      </c>
      <c r="AS61" s="864">
        <f t="shared" si="44"/>
        <v>4907</v>
      </c>
      <c r="AT61" s="863">
        <f t="shared" si="44"/>
        <v>4266</v>
      </c>
      <c r="AU61" s="864">
        <f t="shared" si="44"/>
        <v>4261.5</v>
      </c>
      <c r="AV61" s="864">
        <f t="shared" si="44"/>
        <v>4918</v>
      </c>
      <c r="AW61" s="864">
        <f t="shared" si="44"/>
        <v>5681</v>
      </c>
      <c r="AX61" s="864">
        <f t="shared" si="44"/>
        <v>5963</v>
      </c>
      <c r="AY61" s="863">
        <f t="shared" si="44"/>
        <v>5021.5</v>
      </c>
      <c r="AZ61" s="864">
        <f t="shared" si="44"/>
        <v>6122.5</v>
      </c>
      <c r="BA61" s="864">
        <f t="shared" si="44"/>
        <v>6125.5</v>
      </c>
      <c r="BB61" s="864">
        <f t="shared" si="44"/>
        <v>6104</v>
      </c>
      <c r="BC61" s="864">
        <f t="shared" si="44"/>
        <v>5530.5</v>
      </c>
      <c r="BD61" s="863">
        <f t="shared" si="44"/>
        <v>5389.5</v>
      </c>
      <c r="BE61" s="864">
        <f t="shared" si="44"/>
        <v>4793</v>
      </c>
      <c r="BF61" s="864">
        <f t="shared" ref="BF61:CH61" si="45">(BF59+BF60)/2</f>
        <v>4838</v>
      </c>
      <c r="BG61" s="864">
        <f t="shared" si="45"/>
        <v>4765</v>
      </c>
      <c r="BH61" s="864">
        <f t="shared" si="45"/>
        <v>4620</v>
      </c>
      <c r="BI61" s="863">
        <f t="shared" si="45"/>
        <v>4719</v>
      </c>
      <c r="BJ61" s="864">
        <f t="shared" si="45"/>
        <v>4548</v>
      </c>
      <c r="BK61" s="864">
        <f t="shared" si="45"/>
        <v>4719.5</v>
      </c>
      <c r="BL61" s="864">
        <f t="shared" si="45"/>
        <v>4998.5</v>
      </c>
      <c r="BM61" s="864">
        <f t="shared" si="45"/>
        <v>5135</v>
      </c>
      <c r="BN61" s="863">
        <f t="shared" si="45"/>
        <v>4927</v>
      </c>
      <c r="BO61" s="864">
        <f t="shared" si="45"/>
        <v>5258</v>
      </c>
      <c r="BP61" s="864">
        <f t="shared" si="45"/>
        <v>5607</v>
      </c>
      <c r="BQ61" s="864">
        <f>(BQ59+BQ60)/2</f>
        <v>5705</v>
      </c>
      <c r="BR61" s="864">
        <f>(BR59+BR60)/2</f>
        <v>6276</v>
      </c>
      <c r="BS61" s="863">
        <f t="shared" si="45"/>
        <v>6155</v>
      </c>
      <c r="BT61" s="864">
        <f t="shared" si="45"/>
        <v>7145</v>
      </c>
      <c r="BU61" s="864">
        <f t="shared" si="45"/>
        <v>7000</v>
      </c>
      <c r="BV61" s="864">
        <f>(BV59+BV60)/2</f>
        <v>6946</v>
      </c>
      <c r="BW61" s="864">
        <f t="shared" si="45"/>
        <v>7132</v>
      </c>
      <c r="BX61" s="863">
        <f>(BX59+BX60)/2</f>
        <v>7116</v>
      </c>
      <c r="BY61" s="864">
        <f t="shared" ref="BY61:BZ61" si="46">(BY59+BY60)/2</f>
        <v>7156.5</v>
      </c>
      <c r="BZ61" s="864">
        <f t="shared" si="46"/>
        <v>8250.5</v>
      </c>
      <c r="CA61" s="864">
        <f t="shared" ref="CA61" si="47">(CA59+CA60)/2</f>
        <v>8934</v>
      </c>
      <c r="CB61" s="864">
        <f>(CB59+CB60)/2</f>
        <v>9087.7918606795029</v>
      </c>
      <c r="CC61" s="863">
        <f t="shared" si="45"/>
        <v>8404.7918606795029</v>
      </c>
      <c r="CD61" s="864">
        <f>(CD59+CD60)/2</f>
        <v>10139.107452079807</v>
      </c>
      <c r="CE61" s="864">
        <f>(CE59+CE60)/2</f>
        <v>11561.899459826071</v>
      </c>
      <c r="CF61" s="864">
        <f>(CF59+CF60)/2</f>
        <v>13058.171430184877</v>
      </c>
      <c r="CG61" s="864">
        <f>(CG59+CG60)/2</f>
        <v>14309.857410489676</v>
      </c>
      <c r="CH61" s="863">
        <f t="shared" si="45"/>
        <v>12327.061709410071</v>
      </c>
      <c r="CI61" s="863">
        <f>(CI59+CI60)/2</f>
        <v>17260.889733920922</v>
      </c>
      <c r="CJ61" s="863">
        <f>(CJ59+CJ60)/2</f>
        <v>22067.3605235172</v>
      </c>
      <c r="CK61" s="863">
        <f>(CK59+CK60)/2</f>
        <v>27292.81132862794</v>
      </c>
      <c r="CL61" s="863"/>
      <c r="CM61" s="756"/>
      <c r="CN61" s="739"/>
      <c r="CO61" s="755"/>
    </row>
    <row r="62" spans="1:93">
      <c r="A62" s="875"/>
      <c r="B62" s="875"/>
      <c r="C62" s="875"/>
      <c r="D62" s="875"/>
      <c r="E62" s="875"/>
      <c r="F62" s="875"/>
      <c r="G62" s="875"/>
      <c r="H62" s="872"/>
      <c r="I62" s="872"/>
      <c r="J62" s="872"/>
      <c r="K62" s="872"/>
      <c r="L62" s="874"/>
      <c r="M62" s="874"/>
      <c r="N62" s="874"/>
      <c r="O62" s="874"/>
      <c r="P62" s="872"/>
      <c r="Q62" s="874"/>
      <c r="R62" s="874"/>
      <c r="S62" s="874"/>
      <c r="T62" s="874"/>
      <c r="U62" s="872"/>
      <c r="V62" s="873"/>
      <c r="W62" s="873"/>
      <c r="X62" s="873"/>
      <c r="Y62" s="873"/>
      <c r="Z62" s="872"/>
      <c r="AA62" s="873"/>
      <c r="AB62" s="873"/>
      <c r="AC62" s="873"/>
      <c r="AD62" s="873"/>
      <c r="AE62" s="872"/>
      <c r="AF62" s="873"/>
      <c r="AG62" s="873"/>
      <c r="AH62" s="873"/>
      <c r="AI62" s="873"/>
      <c r="AJ62" s="872"/>
      <c r="AK62" s="873"/>
      <c r="AL62" s="873"/>
      <c r="AM62" s="873"/>
      <c r="AN62" s="873"/>
      <c r="AO62" s="872"/>
      <c r="AP62" s="873"/>
      <c r="AQ62" s="873"/>
      <c r="AR62" s="873"/>
      <c r="AS62" s="873"/>
      <c r="AT62" s="872"/>
      <c r="AU62" s="873"/>
      <c r="AV62" s="873"/>
      <c r="AW62" s="873"/>
      <c r="AX62" s="873"/>
      <c r="AY62" s="872"/>
      <c r="AZ62" s="873"/>
      <c r="BA62" s="873"/>
      <c r="BB62" s="873"/>
      <c r="BC62" s="873"/>
      <c r="BD62" s="872"/>
      <c r="BE62" s="873"/>
      <c r="BF62" s="873"/>
      <c r="BG62" s="873"/>
      <c r="BH62" s="873"/>
      <c r="BI62" s="872"/>
      <c r="BJ62" s="873"/>
      <c r="BK62" s="873"/>
      <c r="BL62" s="873"/>
      <c r="BM62" s="873"/>
      <c r="BN62" s="872"/>
      <c r="BO62" s="873"/>
      <c r="BP62" s="873"/>
      <c r="BQ62" s="873"/>
      <c r="BR62" s="873"/>
      <c r="BS62" s="872"/>
      <c r="BT62" s="873"/>
      <c r="BU62" s="873"/>
      <c r="BV62" s="873"/>
      <c r="BW62" s="1946"/>
      <c r="BX62" s="872"/>
      <c r="BY62" s="1946"/>
      <c r="BZ62" s="1946"/>
      <c r="CA62" s="1946"/>
      <c r="CB62" s="1946"/>
      <c r="CC62" s="872"/>
      <c r="CD62" s="1946"/>
      <c r="CE62" s="1946"/>
      <c r="CF62" s="1946"/>
      <c r="CG62" s="1946"/>
      <c r="CH62" s="872"/>
      <c r="CI62" s="872"/>
      <c r="CJ62" s="872"/>
      <c r="CK62" s="872"/>
      <c r="CL62" s="872"/>
      <c r="CM62" s="756"/>
      <c r="CN62" s="739"/>
      <c r="CO62" s="755"/>
    </row>
    <row r="63" spans="1:93">
      <c r="A63" s="755"/>
      <c r="B63" s="755" t="s">
        <v>453</v>
      </c>
      <c r="C63" s="755"/>
      <c r="D63" s="755"/>
      <c r="E63" s="755"/>
      <c r="F63" s="755"/>
      <c r="G63" s="755"/>
      <c r="H63" s="868">
        <v>-4321</v>
      </c>
      <c r="I63" s="868">
        <v>-4811</v>
      </c>
      <c r="J63" s="868">
        <v>-4959</v>
      </c>
      <c r="K63" s="868">
        <v>-4873</v>
      </c>
      <c r="L63" s="870">
        <v>-5301</v>
      </c>
      <c r="M63" s="870">
        <v>-5005</v>
      </c>
      <c r="N63" s="870">
        <v>-4965</v>
      </c>
      <c r="O63" s="870">
        <v>-5059</v>
      </c>
      <c r="P63" s="868">
        <v>-5301</v>
      </c>
      <c r="Q63" s="870">
        <v>-5591</v>
      </c>
      <c r="R63" s="870">
        <v>-4845</v>
      </c>
      <c r="S63" s="870">
        <v>-7213</v>
      </c>
      <c r="T63" s="870">
        <v>-7812</v>
      </c>
      <c r="U63" s="868">
        <v>-5591</v>
      </c>
      <c r="V63" s="869">
        <f>U64</f>
        <v>-8240</v>
      </c>
      <c r="W63" s="869">
        <f>(BS!W33+BS!W34+BS!W42)*-1</f>
        <v>-8273</v>
      </c>
      <c r="X63" s="869">
        <f>(BS!X33+BS!X34+BS!X42)*-1</f>
        <v>-8759</v>
      </c>
      <c r="Y63" s="869">
        <f>X64</f>
        <v>-8291</v>
      </c>
      <c r="Z63" s="868">
        <f>V63</f>
        <v>-8240</v>
      </c>
      <c r="AA63" s="869">
        <f>(BS!AA33+BS!AA34+BS!AA42)*-1</f>
        <v>-7931</v>
      </c>
      <c r="AB63" s="869">
        <f>(BS!AB33+BS!AB34+BS!AB42)*-1</f>
        <v>-8264</v>
      </c>
      <c r="AC63" s="869">
        <f>(BS!AC33+BS!AC34+BS!AC42)*-1</f>
        <v>-8593</v>
      </c>
      <c r="AD63" s="869">
        <f>(BS!AD33+BS!AD34+BS!AD42)*-1</f>
        <v>-9327</v>
      </c>
      <c r="AE63" s="868">
        <f>AA63</f>
        <v>-7931</v>
      </c>
      <c r="AF63" s="869">
        <f>(BS!AE33+BS!AE34+BS!AE42)*-1</f>
        <v>-9148</v>
      </c>
      <c r="AG63" s="869">
        <f>AF64</f>
        <v>-10017</v>
      </c>
      <c r="AH63" s="869">
        <f>AG64</f>
        <v>-10730</v>
      </c>
      <c r="AI63" s="869">
        <f>AH64</f>
        <v>-10372</v>
      </c>
      <c r="AJ63" s="868">
        <f>AF63</f>
        <v>-9148</v>
      </c>
      <c r="AK63" s="869">
        <f>AJ64</f>
        <v>-11476</v>
      </c>
      <c r="AL63" s="869">
        <f>AK64</f>
        <v>-10827</v>
      </c>
      <c r="AM63" s="869">
        <f>AL64</f>
        <v>-10816</v>
      </c>
      <c r="AN63" s="869">
        <f>AM64</f>
        <v>-10432</v>
      </c>
      <c r="AO63" s="868">
        <f>AK63</f>
        <v>-11476</v>
      </c>
      <c r="AP63" s="869">
        <f>AO64</f>
        <v>-9744</v>
      </c>
      <c r="AQ63" s="869">
        <f>AP64</f>
        <v>-11952</v>
      </c>
      <c r="AR63" s="869">
        <f>AQ64</f>
        <v>-12065</v>
      </c>
      <c r="AS63" s="869">
        <f>AR64</f>
        <v>-12302</v>
      </c>
      <c r="AT63" s="868">
        <f>AP63</f>
        <v>-9744</v>
      </c>
      <c r="AU63" s="869">
        <f>AT64</f>
        <v>-10289</v>
      </c>
      <c r="AV63" s="869">
        <f>AU64</f>
        <v>-10487</v>
      </c>
      <c r="AW63" s="869">
        <f>AV64</f>
        <v>-11398</v>
      </c>
      <c r="AX63" s="869">
        <f>AW64</f>
        <v>-11364</v>
      </c>
      <c r="AY63" s="868">
        <f>AU63</f>
        <v>-10289</v>
      </c>
      <c r="AZ63" s="869">
        <f>AY64</f>
        <v>-10260</v>
      </c>
      <c r="BA63" s="869">
        <f>AZ64</f>
        <v>-9791</v>
      </c>
      <c r="BB63" s="869">
        <f>BA64</f>
        <v>-20721</v>
      </c>
      <c r="BC63" s="869">
        <f>BB64</f>
        <v>-28700</v>
      </c>
      <c r="BD63" s="868">
        <f>AZ63</f>
        <v>-10260</v>
      </c>
      <c r="BE63" s="869">
        <f>BD64</f>
        <v>-23221</v>
      </c>
      <c r="BF63" s="869">
        <f>BE64</f>
        <v>-22824</v>
      </c>
      <c r="BG63" s="869">
        <f>BF64</f>
        <v>-21656</v>
      </c>
      <c r="BH63" s="869">
        <f>BG64</f>
        <v>-21188</v>
      </c>
      <c r="BI63" s="868">
        <f>BD64</f>
        <v>-23221</v>
      </c>
      <c r="BJ63" s="869">
        <f>BI64</f>
        <v>-20241</v>
      </c>
      <c r="BK63" s="869">
        <f>BJ64</f>
        <v>-20043</v>
      </c>
      <c r="BL63" s="869">
        <f>BK64</f>
        <v>-20072</v>
      </c>
      <c r="BM63" s="869">
        <f>BL64</f>
        <v>-19998</v>
      </c>
      <c r="BN63" s="868">
        <f>BI64</f>
        <v>-20241</v>
      </c>
      <c r="BO63" s="869">
        <f>BN64</f>
        <v>-19794</v>
      </c>
      <c r="BP63" s="869">
        <f>BO64</f>
        <v>-21993</v>
      </c>
      <c r="BQ63" s="869">
        <f>BP64</f>
        <v>-22443</v>
      </c>
      <c r="BR63" s="869">
        <f>BQ64</f>
        <v>-22667</v>
      </c>
      <c r="BS63" s="868">
        <f>BN64</f>
        <v>-19794</v>
      </c>
      <c r="BT63" s="869">
        <f>BS64</f>
        <v>-20425</v>
      </c>
      <c r="BU63" s="869">
        <f>BT64</f>
        <v>-23051</v>
      </c>
      <c r="BV63" s="869">
        <f>BU64</f>
        <v>-22537</v>
      </c>
      <c r="BW63" s="869">
        <f>BV64</f>
        <v>-22665</v>
      </c>
      <c r="BX63" s="868">
        <f>BS64</f>
        <v>-20425</v>
      </c>
      <c r="BY63" s="869">
        <f>BX64</f>
        <v>-23901</v>
      </c>
      <c r="BZ63" s="869">
        <f>BY64</f>
        <v>-24582</v>
      </c>
      <c r="CA63" s="869">
        <f>BZ64</f>
        <v>-26626</v>
      </c>
      <c r="CB63" s="869">
        <f>CA64</f>
        <v>-27260</v>
      </c>
      <c r="CC63" s="868">
        <f>BX64</f>
        <v>-23901</v>
      </c>
      <c r="CD63" s="869">
        <f>CC64</f>
        <v>-27260</v>
      </c>
      <c r="CE63" s="869">
        <f>CD64</f>
        <v>-28260</v>
      </c>
      <c r="CF63" s="869">
        <f>CE64</f>
        <v>-29260</v>
      </c>
      <c r="CG63" s="869">
        <f>CF64</f>
        <v>-29260</v>
      </c>
      <c r="CH63" s="868">
        <f>CC64</f>
        <v>-27260</v>
      </c>
      <c r="CI63" s="868">
        <f>CH64</f>
        <v>-29260</v>
      </c>
      <c r="CJ63" s="868">
        <f>CI64</f>
        <v>-29260</v>
      </c>
      <c r="CK63" s="868">
        <f>CJ64</f>
        <v>-29260</v>
      </c>
      <c r="CL63" s="868"/>
      <c r="CM63" s="756"/>
      <c r="CN63" s="739"/>
      <c r="CO63" s="755"/>
    </row>
    <row r="64" spans="1:93">
      <c r="A64" s="777"/>
      <c r="B64" s="777" t="s">
        <v>452</v>
      </c>
      <c r="C64" s="777"/>
      <c r="D64" s="777"/>
      <c r="E64" s="777"/>
      <c r="F64" s="777"/>
      <c r="G64" s="777"/>
      <c r="H64" s="871">
        <v>-4811</v>
      </c>
      <c r="I64" s="871">
        <v>-4959</v>
      </c>
      <c r="J64" s="871">
        <v>-4873</v>
      </c>
      <c r="K64" s="871">
        <v>-5301</v>
      </c>
      <c r="L64" s="862">
        <v>-5005</v>
      </c>
      <c r="M64" s="862">
        <v>-4965</v>
      </c>
      <c r="N64" s="862">
        <v>-5059</v>
      </c>
      <c r="O64" s="862">
        <v>-5591</v>
      </c>
      <c r="P64" s="871">
        <v>-5591</v>
      </c>
      <c r="Q64" s="862">
        <v>-4845</v>
      </c>
      <c r="R64" s="862">
        <v>-7213</v>
      </c>
      <c r="S64" s="862">
        <v>-7812</v>
      </c>
      <c r="T64" s="862">
        <v>-8240</v>
      </c>
      <c r="U64" s="871">
        <v>-8240</v>
      </c>
      <c r="V64" s="854">
        <f>(BS!W33+BS!W34+BS!W42)*-1</f>
        <v>-8273</v>
      </c>
      <c r="W64" s="854">
        <f>(BS!X33+BS!X34+BS!X42)*-1</f>
        <v>-8759</v>
      </c>
      <c r="X64" s="854">
        <f>(BS!Y33+BS!Y34+BS!Y42)*-1</f>
        <v>-8291</v>
      </c>
      <c r="Y64" s="854">
        <f>(BS!AA33+BS!AA34+BS!AA42)*-1</f>
        <v>-7931</v>
      </c>
      <c r="Z64" s="871">
        <f>(BS!AA33+BS!AA34+BS!AA42)*-1</f>
        <v>-7931</v>
      </c>
      <c r="AA64" s="854">
        <f>(BS!AB33+BS!AB34+BS!AB42)*-1</f>
        <v>-8264</v>
      </c>
      <c r="AB64" s="854">
        <f>(BS!AC33+BS!AC34+BS!AC42)*-1</f>
        <v>-8593</v>
      </c>
      <c r="AC64" s="854">
        <f>(BS!AD33+BS!AD34+BS!AD42)*-1</f>
        <v>-9327</v>
      </c>
      <c r="AD64" s="854">
        <f>(BS!AE33+BS!AE34+BS!AE42)*-1</f>
        <v>-9148</v>
      </c>
      <c r="AE64" s="871">
        <f>(BS!AE33+BS!AE34+BS!AE42)*-1</f>
        <v>-9148</v>
      </c>
      <c r="AF64" s="854">
        <f>(BS!AG33+BS!AG34+BS!AG42)*-1</f>
        <v>-10017</v>
      </c>
      <c r="AG64" s="854">
        <f>(BS!AH33+BS!AH34+BS!AH42)*-1</f>
        <v>-10730</v>
      </c>
      <c r="AH64" s="854">
        <f>(BS!AI33+BS!AI34+BS!AI42)*-1</f>
        <v>-10372</v>
      </c>
      <c r="AI64" s="854">
        <f>(BS!AJ33+BS!AJ34+BS!AJ42)*-1</f>
        <v>-11476</v>
      </c>
      <c r="AJ64" s="871">
        <f>(BS!AJ33+BS!AJ34+BS!AJ42)*-1</f>
        <v>-11476</v>
      </c>
      <c r="AK64" s="854">
        <f>(BS!AL33+BS!AL34+BS!AL42)*-1</f>
        <v>-10827</v>
      </c>
      <c r="AL64" s="854">
        <f>(BS!AM33+BS!AM34+BS!AM42)*-1</f>
        <v>-10816</v>
      </c>
      <c r="AM64" s="854">
        <f>(BS!AN33+BS!AN34+BS!AN42)*-1</f>
        <v>-10432</v>
      </c>
      <c r="AN64" s="854">
        <f>(BS!AO33+BS!AO34+BS!AO42)*-1</f>
        <v>-9744</v>
      </c>
      <c r="AO64" s="871">
        <f>(BS!AO33+BS!AO34+BS!AO42)*-1</f>
        <v>-9744</v>
      </c>
      <c r="AP64" s="854">
        <f>(BS!AQ33+BS!AQ34+BS!AQ42)*-1</f>
        <v>-11952</v>
      </c>
      <c r="AQ64" s="854">
        <f>(BS!AR33+BS!AR34+BS!AR42)*-1</f>
        <v>-12065</v>
      </c>
      <c r="AR64" s="854">
        <f>(BS!AS33+BS!AS34+BS!AS42)*-1</f>
        <v>-12302</v>
      </c>
      <c r="AS64" s="854">
        <f>(BS!AT33+BS!AT34+BS!AT42)*-1</f>
        <v>-10289</v>
      </c>
      <c r="AT64" s="871">
        <f>(BS!AT33+BS!AT34+BS!AT42)*-1</f>
        <v>-10289</v>
      </c>
      <c r="AU64" s="854">
        <f>(BS!AV33+BS!AV34+BS!AV42)*-1</f>
        <v>-10487</v>
      </c>
      <c r="AV64" s="854">
        <f>(BS!AW33+BS!AW34+BS!AW42)*-1</f>
        <v>-11398</v>
      </c>
      <c r="AW64" s="854">
        <f>(BS!AX33+BS!AX34+BS!AX42)*-1</f>
        <v>-11364</v>
      </c>
      <c r="AX64" s="854">
        <f>(BS!AY33+BS!AY34+BS!AY42)*-1</f>
        <v>-10260</v>
      </c>
      <c r="AY64" s="871">
        <f>(BS!AY33+BS!AY34+BS!AY42)*-1</f>
        <v>-10260</v>
      </c>
      <c r="AZ64" s="854">
        <f>(BS!BA33+BS!BA34+BS!BA42)*-1</f>
        <v>-9791</v>
      </c>
      <c r="BA64" s="854">
        <f>(BS!BB33+BS!BB34+BS!BB42)*-1</f>
        <v>-20721</v>
      </c>
      <c r="BB64" s="854">
        <f>(BS!BC33+BS!BC34+BS!BC42)*-1</f>
        <v>-28700</v>
      </c>
      <c r="BC64" s="854">
        <f>(BS!BD33+BS!BD34+BS!BD42)*-1</f>
        <v>-23221</v>
      </c>
      <c r="BD64" s="871">
        <f>BC64</f>
        <v>-23221</v>
      </c>
      <c r="BE64" s="854">
        <f>(BS!BF33+BS!BF34+BS!BF42)*-1</f>
        <v>-22824</v>
      </c>
      <c r="BF64" s="854">
        <f>(BS!BG33+BS!BG34+BS!BG42)*-1</f>
        <v>-21656</v>
      </c>
      <c r="BG64" s="854">
        <f>(BS!BH33+BS!BH34+BS!BH42)*-1</f>
        <v>-21188</v>
      </c>
      <c r="BH64" s="854">
        <f>(BS!BI33+BS!BI34+BS!BI42)*-1</f>
        <v>-20241</v>
      </c>
      <c r="BI64" s="871">
        <f>(BS!BJ33+BS!BJ34+BS!BJ42)*-1</f>
        <v>-20241</v>
      </c>
      <c r="BJ64" s="854">
        <f>(BS!BK33+BS!BK34+BS!BK42)*-1</f>
        <v>-20043</v>
      </c>
      <c r="BK64" s="854">
        <f>(BS!BL33+BS!BL34+BS!BL42)*-1</f>
        <v>-20072</v>
      </c>
      <c r="BL64" s="854">
        <f>(BS!BM33+BS!BM34+BS!BM42)*-1</f>
        <v>-19998</v>
      </c>
      <c r="BM64" s="854">
        <f>(BS!BN33+BS!BN34+BS!BN42)*-1</f>
        <v>-19794</v>
      </c>
      <c r="BN64" s="871">
        <f>(BS!BO33+BS!BO34+BS!BO42)*-1</f>
        <v>-19794</v>
      </c>
      <c r="BO64" s="854">
        <f>(BS!BP33+BS!BP34+BS!BP42)*-1</f>
        <v>-21993</v>
      </c>
      <c r="BP64" s="854">
        <f>(BS!BQ33+BS!BQ34+BS!BQ42)*-1</f>
        <v>-22443</v>
      </c>
      <c r="BQ64" s="854">
        <f>(BS!BR33+BS!BR34+BS!BR42)*-1</f>
        <v>-22667</v>
      </c>
      <c r="BR64" s="854">
        <f>(BS!BS33+BS!BS34+BS!BS42)*-1</f>
        <v>-20425</v>
      </c>
      <c r="BS64" s="871">
        <f>(BS!BT33+BS!BT34+BS!BT42)*-1</f>
        <v>-20425</v>
      </c>
      <c r="BT64" s="854">
        <f>(BS!BU33+BS!BU34+BS!BU42)*-1</f>
        <v>-23051</v>
      </c>
      <c r="BU64" s="854">
        <f>(BS!BV33+BS!BV34+BS!BV42)*-1</f>
        <v>-22537</v>
      </c>
      <c r="BV64" s="854">
        <f>(BS!BW33+BS!BW34+BS!BW42)*-1</f>
        <v>-22665</v>
      </c>
      <c r="BW64" s="854">
        <f>(BS!BX33+BS!BX34+BS!BX42)*-1</f>
        <v>-23901</v>
      </c>
      <c r="BX64" s="871">
        <f>(BS!BY33+BS!BY34+BS!BY42)*-1</f>
        <v>-23901</v>
      </c>
      <c r="BY64" s="854">
        <f>(BS!BZ33+BS!BZ34+BS!BZ42)*-1</f>
        <v>-24582</v>
      </c>
      <c r="BZ64" s="854">
        <f>(BS!CA33+BS!CA34+BS!CA42)*-1</f>
        <v>-26626</v>
      </c>
      <c r="CA64" s="854">
        <f>(BS!CB33+BS!CB34+BS!CB42)*-1</f>
        <v>-27260</v>
      </c>
      <c r="CB64" s="854">
        <f>(BS!CC33+BS!CC34+BS!CC42)*-1</f>
        <v>-27260</v>
      </c>
      <c r="CC64" s="871">
        <f>(BS!CD33+BS!CD34+BS!CD42)*-1</f>
        <v>-27260</v>
      </c>
      <c r="CD64" s="854">
        <f>(BS!CE33+BS!CE34+BS!CE42)*-1</f>
        <v>-28260</v>
      </c>
      <c r="CE64" s="854">
        <f>(BS!CF33+BS!CF34+BS!CF42)*-1</f>
        <v>-29260</v>
      </c>
      <c r="CF64" s="854">
        <f>(BS!CG33+BS!CG34+BS!CG42)*-1</f>
        <v>-29260</v>
      </c>
      <c r="CG64" s="854">
        <f>(BS!CH33+BS!CH34+BS!CH42)*-1</f>
        <v>-29260</v>
      </c>
      <c r="CH64" s="871">
        <f>(BS!CI33+BS!CI34+BS!CI42)*-1</f>
        <v>-29260</v>
      </c>
      <c r="CI64" s="871">
        <f>(BS!CJ33+BS!CJ34+BS!CJ42)*-1</f>
        <v>-29260</v>
      </c>
      <c r="CJ64" s="871">
        <f>(BS!CK33+BS!CK34+BS!CK42)*-1</f>
        <v>-29260</v>
      </c>
      <c r="CK64" s="871">
        <f>(BS!CL33+BS!CL34+BS!CL42)*-1</f>
        <v>-29260</v>
      </c>
      <c r="CL64" s="871"/>
      <c r="CM64" s="778"/>
      <c r="CN64" s="749"/>
      <c r="CO64" s="777"/>
    </row>
    <row r="65" spans="1:99">
      <c r="A65" s="755"/>
      <c r="B65" s="755" t="s">
        <v>451</v>
      </c>
      <c r="C65" s="755"/>
      <c r="D65" s="755"/>
      <c r="E65" s="755"/>
      <c r="F65" s="755"/>
      <c r="G65" s="755"/>
      <c r="H65" s="868">
        <v>-4566</v>
      </c>
      <c r="I65" s="868">
        <v>-4885</v>
      </c>
      <c r="J65" s="868">
        <v>-4916</v>
      </c>
      <c r="K65" s="868">
        <v>-5087</v>
      </c>
      <c r="L65" s="870">
        <v>-5153</v>
      </c>
      <c r="M65" s="870">
        <v>-4985</v>
      </c>
      <c r="N65" s="870">
        <v>-5012</v>
      </c>
      <c r="O65" s="870">
        <v>-5325</v>
      </c>
      <c r="P65" s="868">
        <v>-5446</v>
      </c>
      <c r="Q65" s="870">
        <v>-5218</v>
      </c>
      <c r="R65" s="870">
        <v>-6029</v>
      </c>
      <c r="S65" s="870">
        <v>-7512.5</v>
      </c>
      <c r="T65" s="870">
        <v>-8026</v>
      </c>
      <c r="U65" s="868">
        <v>-6915.5</v>
      </c>
      <c r="V65" s="869">
        <f>(V63+V64)/2</f>
        <v>-8256.5</v>
      </c>
      <c r="W65" s="869">
        <f>(W63+W64)/2</f>
        <v>-8516</v>
      </c>
      <c r="X65" s="869">
        <f>(X63+X64)/2</f>
        <v>-8525</v>
      </c>
      <c r="Y65" s="869">
        <f>Z65</f>
        <v>-8085.5</v>
      </c>
      <c r="Z65" s="868">
        <f t="shared" ref="Z65:BE65" si="48">(Z63+Z64)/2</f>
        <v>-8085.5</v>
      </c>
      <c r="AA65" s="869">
        <f t="shared" si="48"/>
        <v>-8097.5</v>
      </c>
      <c r="AB65" s="869">
        <f t="shared" si="48"/>
        <v>-8428.5</v>
      </c>
      <c r="AC65" s="869">
        <f t="shared" si="48"/>
        <v>-8960</v>
      </c>
      <c r="AD65" s="869">
        <f t="shared" si="48"/>
        <v>-9237.5</v>
      </c>
      <c r="AE65" s="868">
        <f t="shared" si="48"/>
        <v>-8539.5</v>
      </c>
      <c r="AF65" s="869">
        <f t="shared" si="48"/>
        <v>-9582.5</v>
      </c>
      <c r="AG65" s="869">
        <f t="shared" si="48"/>
        <v>-10373.5</v>
      </c>
      <c r="AH65" s="869">
        <f t="shared" si="48"/>
        <v>-10551</v>
      </c>
      <c r="AI65" s="869">
        <f t="shared" si="48"/>
        <v>-10924</v>
      </c>
      <c r="AJ65" s="868">
        <f t="shared" si="48"/>
        <v>-10312</v>
      </c>
      <c r="AK65" s="869">
        <f t="shared" si="48"/>
        <v>-11151.5</v>
      </c>
      <c r="AL65" s="869">
        <f t="shared" si="48"/>
        <v>-10821.5</v>
      </c>
      <c r="AM65" s="869">
        <f t="shared" si="48"/>
        <v>-10624</v>
      </c>
      <c r="AN65" s="869">
        <f t="shared" si="48"/>
        <v>-10088</v>
      </c>
      <c r="AO65" s="868">
        <f t="shared" si="48"/>
        <v>-10610</v>
      </c>
      <c r="AP65" s="869">
        <f t="shared" si="48"/>
        <v>-10848</v>
      </c>
      <c r="AQ65" s="869">
        <f t="shared" si="48"/>
        <v>-12008.5</v>
      </c>
      <c r="AR65" s="869">
        <f t="shared" si="48"/>
        <v>-12183.5</v>
      </c>
      <c r="AS65" s="869">
        <f t="shared" si="48"/>
        <v>-11295.5</v>
      </c>
      <c r="AT65" s="868">
        <f t="shared" si="48"/>
        <v>-10016.5</v>
      </c>
      <c r="AU65" s="869">
        <f t="shared" si="48"/>
        <v>-10388</v>
      </c>
      <c r="AV65" s="869">
        <f t="shared" si="48"/>
        <v>-10942.5</v>
      </c>
      <c r="AW65" s="869">
        <f t="shared" si="48"/>
        <v>-11381</v>
      </c>
      <c r="AX65" s="869">
        <f t="shared" si="48"/>
        <v>-10812</v>
      </c>
      <c r="AY65" s="868">
        <f t="shared" si="48"/>
        <v>-10274.5</v>
      </c>
      <c r="AZ65" s="869">
        <f t="shared" si="48"/>
        <v>-10025.5</v>
      </c>
      <c r="BA65" s="869">
        <f t="shared" si="48"/>
        <v>-15256</v>
      </c>
      <c r="BB65" s="869">
        <f t="shared" si="48"/>
        <v>-24710.5</v>
      </c>
      <c r="BC65" s="869">
        <f t="shared" si="48"/>
        <v>-25960.5</v>
      </c>
      <c r="BD65" s="868">
        <f t="shared" si="48"/>
        <v>-16740.5</v>
      </c>
      <c r="BE65" s="869">
        <f t="shared" si="48"/>
        <v>-23022.5</v>
      </c>
      <c r="BF65" s="869">
        <f t="shared" ref="BF65:CH65" si="49">(BF63+BF64)/2</f>
        <v>-22240</v>
      </c>
      <c r="BG65" s="869">
        <f t="shared" si="49"/>
        <v>-21422</v>
      </c>
      <c r="BH65" s="869">
        <f t="shared" si="49"/>
        <v>-20714.5</v>
      </c>
      <c r="BI65" s="868">
        <f t="shared" si="49"/>
        <v>-21731</v>
      </c>
      <c r="BJ65" s="869">
        <f t="shared" si="49"/>
        <v>-20142</v>
      </c>
      <c r="BK65" s="869">
        <f t="shared" si="49"/>
        <v>-20057.5</v>
      </c>
      <c r="BL65" s="869">
        <f t="shared" si="49"/>
        <v>-20035</v>
      </c>
      <c r="BM65" s="869">
        <f t="shared" si="49"/>
        <v>-19896</v>
      </c>
      <c r="BN65" s="868">
        <f t="shared" si="49"/>
        <v>-20017.5</v>
      </c>
      <c r="BO65" s="869">
        <f t="shared" si="49"/>
        <v>-20893.5</v>
      </c>
      <c r="BP65" s="869">
        <f t="shared" si="49"/>
        <v>-22218</v>
      </c>
      <c r="BQ65" s="869">
        <f>(BQ63+BQ64)/2</f>
        <v>-22555</v>
      </c>
      <c r="BR65" s="869">
        <f>(BR63+BR64)/2</f>
        <v>-21546</v>
      </c>
      <c r="BS65" s="868">
        <f t="shared" si="49"/>
        <v>-20109.5</v>
      </c>
      <c r="BT65" s="869">
        <f t="shared" si="49"/>
        <v>-21738</v>
      </c>
      <c r="BU65" s="869">
        <f t="shared" si="49"/>
        <v>-22794</v>
      </c>
      <c r="BV65" s="869">
        <f>(BV63+BV64)/2</f>
        <v>-22601</v>
      </c>
      <c r="BW65" s="869">
        <f t="shared" si="49"/>
        <v>-23283</v>
      </c>
      <c r="BX65" s="868">
        <f>(BX63+BX64)/2</f>
        <v>-22163</v>
      </c>
      <c r="BY65" s="869">
        <f t="shared" ref="BY65:BZ65" si="50">(BY63+BY64)/2</f>
        <v>-24241.5</v>
      </c>
      <c r="BZ65" s="869">
        <f t="shared" si="50"/>
        <v>-25604</v>
      </c>
      <c r="CA65" s="869">
        <f t="shared" ref="CA65" si="51">(CA63+CA64)/2</f>
        <v>-26943</v>
      </c>
      <c r="CB65" s="869">
        <f>(CB63+CB64)/2</f>
        <v>-27260</v>
      </c>
      <c r="CC65" s="868">
        <f t="shared" si="49"/>
        <v>-25580.5</v>
      </c>
      <c r="CD65" s="869">
        <f>(CD63+CD64)/2</f>
        <v>-27760</v>
      </c>
      <c r="CE65" s="869">
        <f>(CE63+CE64)/2</f>
        <v>-28760</v>
      </c>
      <c r="CF65" s="869">
        <f>(CF63+CF64)/2</f>
        <v>-29260</v>
      </c>
      <c r="CG65" s="869">
        <f>(CG63+CG64)/2</f>
        <v>-29260</v>
      </c>
      <c r="CH65" s="868">
        <f t="shared" si="49"/>
        <v>-28260</v>
      </c>
      <c r="CI65" s="868">
        <f>(CI63+CI64)/2</f>
        <v>-29260</v>
      </c>
      <c r="CJ65" s="868">
        <f>(CJ63+CJ64)/2</f>
        <v>-29260</v>
      </c>
      <c r="CK65" s="868">
        <f>(CK63+CK64)/2</f>
        <v>-29260</v>
      </c>
      <c r="CL65" s="868"/>
      <c r="CM65" s="756"/>
      <c r="CN65" s="739"/>
      <c r="CO65" s="755"/>
    </row>
    <row r="66" spans="1:99">
      <c r="A66" s="755"/>
      <c r="B66" s="867"/>
      <c r="C66" s="755"/>
      <c r="D66" s="755"/>
      <c r="E66" s="755"/>
      <c r="F66" s="755"/>
      <c r="G66" s="755"/>
      <c r="H66" s="863"/>
      <c r="I66" s="863"/>
      <c r="J66" s="863"/>
      <c r="K66" s="863"/>
      <c r="L66" s="866"/>
      <c r="M66" s="866"/>
      <c r="N66" s="866"/>
      <c r="O66" s="866"/>
      <c r="P66" s="863"/>
      <c r="Q66" s="866"/>
      <c r="R66" s="866"/>
      <c r="S66" s="866"/>
      <c r="T66" s="866"/>
      <c r="U66" s="863"/>
      <c r="V66" s="864"/>
      <c r="W66" s="864"/>
      <c r="X66" s="864"/>
      <c r="Y66" s="864"/>
      <c r="Z66" s="863"/>
      <c r="AA66" s="864"/>
      <c r="AB66" s="864"/>
      <c r="AC66" s="864"/>
      <c r="AD66" s="864"/>
      <c r="AE66" s="863"/>
      <c r="AF66" s="864"/>
      <c r="AG66" s="864"/>
      <c r="AH66" s="864"/>
      <c r="AI66" s="864"/>
      <c r="AJ66" s="863"/>
      <c r="AK66" s="864"/>
      <c r="AL66" s="864"/>
      <c r="AM66" s="864"/>
      <c r="AN66" s="864"/>
      <c r="AO66" s="863"/>
      <c r="AP66" s="864"/>
      <c r="AQ66" s="864"/>
      <c r="AR66" s="864"/>
      <c r="AS66" s="864"/>
      <c r="AT66" s="863"/>
      <c r="AU66" s="864"/>
      <c r="AV66" s="864"/>
      <c r="AW66" s="864"/>
      <c r="AX66" s="864"/>
      <c r="AY66" s="863"/>
      <c r="AZ66" s="864"/>
      <c r="BA66" s="864"/>
      <c r="BB66" s="865"/>
      <c r="BC66" s="864"/>
      <c r="BD66" s="863"/>
      <c r="BE66" s="864"/>
      <c r="BF66" s="864"/>
      <c r="BG66" s="865"/>
      <c r="BH66" s="864"/>
      <c r="BI66" s="863"/>
      <c r="BJ66" s="864"/>
      <c r="BK66" s="864"/>
      <c r="BL66" s="864"/>
      <c r="BM66" s="864"/>
      <c r="BN66" s="863"/>
      <c r="BO66" s="864"/>
      <c r="BP66" s="864"/>
      <c r="BQ66" s="864"/>
      <c r="BR66" s="864"/>
      <c r="BS66" s="863"/>
      <c r="BT66" s="1946"/>
      <c r="BU66" s="1946"/>
      <c r="BV66" s="1946">
        <v>-23845</v>
      </c>
      <c r="BW66" s="1946">
        <v>-24755.5</v>
      </c>
      <c r="BX66" s="863"/>
      <c r="BY66" s="864"/>
      <c r="BZ66" s="864"/>
      <c r="CA66" s="864"/>
      <c r="CB66" s="864"/>
      <c r="CC66" s="863"/>
      <c r="CD66" s="864"/>
      <c r="CE66" s="864"/>
      <c r="CF66" s="864"/>
      <c r="CG66" s="864"/>
      <c r="CH66" s="863"/>
      <c r="CI66" s="863"/>
      <c r="CJ66" s="863"/>
      <c r="CK66" s="863"/>
      <c r="CL66" s="863"/>
      <c r="CM66" s="756"/>
      <c r="CN66" s="739"/>
      <c r="CO66" s="755"/>
    </row>
    <row r="67" spans="1:99">
      <c r="A67" s="777"/>
      <c r="B67" s="777" t="s">
        <v>138</v>
      </c>
      <c r="C67" s="777"/>
      <c r="D67" s="777"/>
      <c r="E67" s="777"/>
      <c r="F67" s="856"/>
      <c r="G67" s="856"/>
      <c r="H67" s="861">
        <v>0</v>
      </c>
      <c r="I67" s="861"/>
      <c r="J67" s="861"/>
      <c r="K67" s="861"/>
      <c r="L67" s="855"/>
      <c r="M67" s="855"/>
      <c r="N67" s="855"/>
      <c r="O67" s="855"/>
      <c r="P67" s="861"/>
      <c r="Q67" s="862">
        <v>14.15625</v>
      </c>
      <c r="R67" s="862">
        <v>13.495625</v>
      </c>
      <c r="S67" s="862">
        <v>14.887499999999999</v>
      </c>
      <c r="T67" s="862">
        <v>17.078749999999999</v>
      </c>
      <c r="U67" s="861">
        <v>59.618124999999999</v>
      </c>
      <c r="V67" s="854">
        <f>V59*V68/4</f>
        <v>23.818200000000001</v>
      </c>
      <c r="W67" s="854">
        <f>W59*W68/4</f>
        <v>27.19125</v>
      </c>
      <c r="X67" s="854">
        <f>X59*X68/4</f>
        <v>32.267154159544859</v>
      </c>
      <c r="Y67" s="854">
        <f>Y59*Y68/4</f>
        <v>32.727374294013245</v>
      </c>
      <c r="Z67" s="861">
        <f>SUM(V67:Y67)</f>
        <v>116.0039784535581</v>
      </c>
      <c r="AA67" s="854">
        <f>AA59*AA68/4</f>
        <v>25.46</v>
      </c>
      <c r="AB67" s="854">
        <f>AB59*AB68/4</f>
        <v>24.810000000000002</v>
      </c>
      <c r="AC67" s="854">
        <f>AC59*AC68/4</f>
        <v>32.92</v>
      </c>
      <c r="AD67" s="854">
        <f>AD59*AD68/4</f>
        <v>28.04806545350224</v>
      </c>
      <c r="AE67" s="861">
        <f>SUM(AA67:AD67)</f>
        <v>111.23806545350223</v>
      </c>
      <c r="AF67" s="854">
        <f>AF59*AF68/4</f>
        <v>21.779999999999998</v>
      </c>
      <c r="AG67" s="854">
        <f>AG59*AG68/4</f>
        <v>23.5425</v>
      </c>
      <c r="AH67" s="854">
        <f>AH59*AH68/4</f>
        <v>25.814999999999998</v>
      </c>
      <c r="AI67" s="854">
        <f>AI59*AI68/4</f>
        <v>22.59375</v>
      </c>
      <c r="AJ67" s="861">
        <f>SUM(AF67:AI67)</f>
        <v>93.731249999999989</v>
      </c>
      <c r="AK67" s="854">
        <f>AK59*AK68/4</f>
        <v>21.635000000000002</v>
      </c>
      <c r="AL67" s="854">
        <f>AL59*AL68/4</f>
        <v>16.36</v>
      </c>
      <c r="AM67" s="854">
        <f>AM59*AM68/4</f>
        <v>20.080000000000002</v>
      </c>
      <c r="AN67" s="854">
        <f>AN59*AN68/4</f>
        <v>23.16</v>
      </c>
      <c r="AO67" s="861">
        <f>SUM(AK67:AN67)</f>
        <v>81.234999999999999</v>
      </c>
      <c r="AP67" s="854">
        <v>26</v>
      </c>
      <c r="AQ67" s="854">
        <v>26</v>
      </c>
      <c r="AR67" s="854">
        <v>26</v>
      </c>
      <c r="AS67" s="854">
        <f>AT67-SUM(AP67:AR67)</f>
        <v>24</v>
      </c>
      <c r="AT67" s="861">
        <v>102</v>
      </c>
      <c r="AU67" s="854">
        <f>40-AV67</f>
        <v>17</v>
      </c>
      <c r="AV67" s="854">
        <v>23</v>
      </c>
      <c r="AW67" s="854">
        <v>27</v>
      </c>
      <c r="AX67" s="854">
        <f>179-AU67-AV67-AW67</f>
        <v>112</v>
      </c>
      <c r="AY67" s="861">
        <f>SUM(AU67:AX67)</f>
        <v>179</v>
      </c>
      <c r="AZ67" s="854">
        <f>57-BA67</f>
        <v>35</v>
      </c>
      <c r="BA67" s="854">
        <v>22</v>
      </c>
      <c r="BB67" s="854">
        <v>44</v>
      </c>
      <c r="BC67" s="854">
        <f>120-AZ67-BA67-BB67</f>
        <v>19</v>
      </c>
      <c r="BD67" s="861">
        <f>SUM(AZ67:BC67)</f>
        <v>120</v>
      </c>
      <c r="BE67" s="854">
        <v>19</v>
      </c>
      <c r="BF67" s="854">
        <v>55</v>
      </c>
      <c r="BG67" s="854">
        <v>22</v>
      </c>
      <c r="BH67" s="854">
        <f>+BI67-SUM(BE67:BG67)</f>
        <v>41</v>
      </c>
      <c r="BI67" s="861">
        <v>137</v>
      </c>
      <c r="BJ67" s="854">
        <v>22</v>
      </c>
      <c r="BK67" s="854">
        <v>39</v>
      </c>
      <c r="BL67" s="854">
        <v>51</v>
      </c>
      <c r="BM67" s="854">
        <f>BN67-SUM(BJ67:BL67)</f>
        <v>106</v>
      </c>
      <c r="BN67" s="861">
        <v>218</v>
      </c>
      <c r="BO67" s="854">
        <v>22</v>
      </c>
      <c r="BP67" s="1068">
        <v>28</v>
      </c>
      <c r="BQ67" s="854">
        <v>39</v>
      </c>
      <c r="BR67" s="854">
        <f>121-SUM(BO67:BQ67)</f>
        <v>32</v>
      </c>
      <c r="BS67" s="861">
        <f>SUM(BO67:BR67)</f>
        <v>121</v>
      </c>
      <c r="BT67" s="854">
        <v>18</v>
      </c>
      <c r="BU67" s="854">
        <v>23</v>
      </c>
      <c r="BV67" s="854">
        <v>27</v>
      </c>
      <c r="BW67" s="854">
        <f>BX67-SUM(BT67:BV67)</f>
        <v>54</v>
      </c>
      <c r="BX67" s="861">
        <v>122</v>
      </c>
      <c r="BY67" s="854">
        <v>23</v>
      </c>
      <c r="BZ67" s="854">
        <v>25</v>
      </c>
      <c r="CA67" s="854">
        <f>CA59*CA68/4</f>
        <v>32.647428731134717</v>
      </c>
      <c r="CB67" s="854">
        <f>CB59*CB68/4</f>
        <v>29.775712688652881</v>
      </c>
      <c r="CC67" s="861">
        <f>SUM(BY67:CB67)</f>
        <v>110.42314141978758</v>
      </c>
      <c r="CD67" s="854">
        <f>CD59*CD68/4</f>
        <v>36.197188955096273</v>
      </c>
      <c r="CE67" s="854">
        <f>CE59*CE68/4</f>
        <v>39.846116935502273</v>
      </c>
      <c r="CF67" s="854">
        <f>CF59*CF68/4</f>
        <v>46.868129013193247</v>
      </c>
      <c r="CG67" s="854">
        <f>CG59*CG68/4</f>
        <v>51.068156713193332</v>
      </c>
      <c r="CH67" s="861">
        <f>SUM(CD67:CG67)</f>
        <v>173.97959161698512</v>
      </c>
      <c r="CI67" s="861">
        <f>CI59*CI68</f>
        <v>262.52694470556992</v>
      </c>
      <c r="CJ67" s="861">
        <f>CJ59*CJ68</f>
        <v>390.40479540761424</v>
      </c>
      <c r="CK67" s="861">
        <f>CK59*CK68</f>
        <v>492.28962553307372</v>
      </c>
      <c r="CL67" s="861"/>
      <c r="CM67" s="778"/>
      <c r="CN67" s="749"/>
      <c r="CO67" s="777"/>
    </row>
    <row r="68" spans="1:99">
      <c r="A68" s="736"/>
      <c r="B68" s="851"/>
      <c r="C68" s="736" t="s">
        <v>450</v>
      </c>
      <c r="D68" s="736"/>
      <c r="E68" s="736"/>
      <c r="F68" s="850"/>
      <c r="G68" s="850"/>
      <c r="H68" s="846">
        <v>0</v>
      </c>
      <c r="I68" s="846">
        <v>0</v>
      </c>
      <c r="J68" s="846">
        <v>0</v>
      </c>
      <c r="K68" s="846">
        <v>0</v>
      </c>
      <c r="L68" s="849">
        <v>0</v>
      </c>
      <c r="M68" s="849">
        <v>0</v>
      </c>
      <c r="N68" s="849">
        <v>0</v>
      </c>
      <c r="O68" s="849">
        <v>0</v>
      </c>
      <c r="P68" s="846">
        <v>0</v>
      </c>
      <c r="Q68" s="849">
        <v>2.5000000000000001E-2</v>
      </c>
      <c r="R68" s="849">
        <v>2.75E-2</v>
      </c>
      <c r="S68" s="849">
        <v>0.03</v>
      </c>
      <c r="T68" s="849">
        <v>3.2500000000000001E-2</v>
      </c>
      <c r="U68" s="846">
        <v>2.6426473847517729E-2</v>
      </c>
      <c r="V68" s="848">
        <v>4.24E-2</v>
      </c>
      <c r="W68" s="848">
        <v>4.4999999999999998E-2</v>
      </c>
      <c r="X68" s="848">
        <v>4.4768857661525996E-2</v>
      </c>
      <c r="Y68" s="848">
        <v>4.4924329847650303E-2</v>
      </c>
      <c r="Z68" s="846">
        <f>Z67/Z61</f>
        <v>4.8405582496790361E-2</v>
      </c>
      <c r="AA68" s="848">
        <v>0.04</v>
      </c>
      <c r="AB68" s="848">
        <v>0.04</v>
      </c>
      <c r="AC68" s="848">
        <v>0.04</v>
      </c>
      <c r="AD68" s="848">
        <v>3.9926071819932012E-2</v>
      </c>
      <c r="AE68" s="846">
        <f>AE67/AE61</f>
        <v>4.0821308423303573E-2</v>
      </c>
      <c r="AF68" s="848">
        <v>0.03</v>
      </c>
      <c r="AG68" s="848">
        <v>0.03</v>
      </c>
      <c r="AH68" s="848">
        <v>0.03</v>
      </c>
      <c r="AI68" s="848">
        <v>2.5000000000000001E-2</v>
      </c>
      <c r="AJ68" s="846">
        <f>AJ67/AJ61</f>
        <v>2.5924837505186E-2</v>
      </c>
      <c r="AK68" s="848">
        <v>0.02</v>
      </c>
      <c r="AL68" s="848">
        <v>0.02</v>
      </c>
      <c r="AM68" s="848">
        <v>0.02</v>
      </c>
      <c r="AN68" s="848">
        <v>0.02</v>
      </c>
      <c r="AO68" s="846">
        <f>AO67/AO61</f>
        <v>1.8512989972652688E-2</v>
      </c>
      <c r="AP68" s="848">
        <f>AP67/AP61*4</f>
        <v>2.2518133593157953E-2</v>
      </c>
      <c r="AQ68" s="848">
        <f>AQ67/AQ61*4</f>
        <v>2.125702606029637E-2</v>
      </c>
      <c r="AR68" s="848">
        <f>AR67/AR61*4</f>
        <v>1.9388516032811335E-2</v>
      </c>
      <c r="AS68" s="848">
        <f>AS67/AS61*4</f>
        <v>1.9563888322804156E-2</v>
      </c>
      <c r="AT68" s="846">
        <f>AT67/AT61</f>
        <v>2.3909985935302389E-2</v>
      </c>
      <c r="AU68" s="848">
        <f>AU67/AU61*4</f>
        <v>1.5956822715006452E-2</v>
      </c>
      <c r="AV68" s="848">
        <f>AV67/AV61*4</f>
        <v>1.870679137860919E-2</v>
      </c>
      <c r="AW68" s="848">
        <f>AW67/AW61*4</f>
        <v>1.9010737546206653E-2</v>
      </c>
      <c r="AX68" s="848">
        <f>AX67/AX61*4</f>
        <v>7.5129968136843875E-2</v>
      </c>
      <c r="AY68" s="846">
        <f>AY67/AY61</f>
        <v>3.5646719107836303E-2</v>
      </c>
      <c r="AZ68" s="848">
        <f>AZ67/AZ61*4</f>
        <v>2.2866476112699062E-2</v>
      </c>
      <c r="BA68" s="848">
        <f>BA67/BA61*4</f>
        <v>1.4366174189862052E-2</v>
      </c>
      <c r="BB68" s="848">
        <f>BB67/BB61*4</f>
        <v>2.8833551769331587E-2</v>
      </c>
      <c r="BC68" s="848">
        <f>BC67/BC61*4</f>
        <v>1.3741976313172408E-2</v>
      </c>
      <c r="BD68" s="846">
        <f>BD67/BD61</f>
        <v>2.2265516281658782E-2</v>
      </c>
      <c r="BE68" s="848">
        <f>BE67/BE61*4</f>
        <v>1.5856457333611518E-2</v>
      </c>
      <c r="BF68" s="848">
        <f>(BF67-36)/BF61*4</f>
        <v>1.5708970649028525E-2</v>
      </c>
      <c r="BG68" s="848">
        <f>BG67/BG61*4</f>
        <v>1.8467995802728225E-2</v>
      </c>
      <c r="BH68" s="848">
        <f>BH67/BH61*4</f>
        <v>3.54978354978355E-2</v>
      </c>
      <c r="BI68" s="846">
        <f>BI67/BI61</f>
        <v>2.903157448611994E-2</v>
      </c>
      <c r="BJ68" s="848">
        <f>BJ67/BJ61*4</f>
        <v>1.9349164467897976E-2</v>
      </c>
      <c r="BK68" s="848">
        <f>(BK67-21)/BK61*4</f>
        <v>1.5255853374298125E-2</v>
      </c>
      <c r="BL68" s="848">
        <f>(BL67-23)/BL61*4</f>
        <v>2.2406722016604982E-2</v>
      </c>
      <c r="BM68" s="848">
        <f>(BM67-93)/BM61*4</f>
        <v>1.0126582278481013E-2</v>
      </c>
      <c r="BN68" s="846">
        <f>(BN67-21-23-93)/BN61</f>
        <v>1.6440024355591637E-2</v>
      </c>
      <c r="BO68" s="848">
        <f>BO67/BO59*4</f>
        <v>1.6809933142311367E-2</v>
      </c>
      <c r="BP68" s="848">
        <f>BP67/BP59*4</f>
        <v>2.1208104525658019E-2</v>
      </c>
      <c r="BQ68" s="848">
        <f>BQ67/BQ59*4</f>
        <v>2.6293612000674194E-2</v>
      </c>
      <c r="BR68" s="848">
        <f>BR67/BR59*4</f>
        <v>2.3370458280080338E-2</v>
      </c>
      <c r="BS68" s="846">
        <f>BS67/BS61</f>
        <v>1.9658813972380177E-2</v>
      </c>
      <c r="BT68" s="848">
        <f>BT67/BT59*4</f>
        <v>1.0176678445229683E-2</v>
      </c>
      <c r="BU68" s="848">
        <f>BU67/BU59*4</f>
        <v>1.2751212751212751E-2</v>
      </c>
      <c r="BV68" s="848">
        <f>BV67/BV59*4</f>
        <v>1.5917464996315401E-2</v>
      </c>
      <c r="BW68" s="848">
        <f>BW67/BW59*4</f>
        <v>3.0392570704938792E-2</v>
      </c>
      <c r="BX68" s="846">
        <f>BX67/BX61</f>
        <v>1.7144463181562677E-2</v>
      </c>
      <c r="BY68" s="848">
        <f>BY67/BY59*4</f>
        <v>1.285454799496996E-2</v>
      </c>
      <c r="BZ68" s="848">
        <f>BZ67/BZ59*4</f>
        <v>1.3974287311347122E-2</v>
      </c>
      <c r="CA68" s="847">
        <f>BZ68</f>
        <v>1.3974287311347122E-2</v>
      </c>
      <c r="CB68" s="847">
        <f>CA68</f>
        <v>1.3974287311347122E-2</v>
      </c>
      <c r="CC68" s="846">
        <f>CC67/CC61</f>
        <v>1.3138117308577847E-2</v>
      </c>
      <c r="CD68" s="847">
        <v>1.4999999999999999E-2</v>
      </c>
      <c r="CE68" s="847">
        <f>CD68</f>
        <v>1.4999999999999999E-2</v>
      </c>
      <c r="CF68" s="847">
        <f>CE68</f>
        <v>1.4999999999999999E-2</v>
      </c>
      <c r="CG68" s="847">
        <f>CF68</f>
        <v>1.4999999999999999E-2</v>
      </c>
      <c r="CH68" s="846">
        <f>CH67/CH61</f>
        <v>1.4113630297167641E-2</v>
      </c>
      <c r="CI68" s="845">
        <v>1.7500000000000002E-2</v>
      </c>
      <c r="CJ68" s="845">
        <v>0.02</v>
      </c>
      <c r="CK68" s="845">
        <f>CJ68</f>
        <v>0.02</v>
      </c>
      <c r="CL68" s="845"/>
      <c r="CM68" s="738"/>
      <c r="CN68" s="618"/>
      <c r="CO68" s="736"/>
    </row>
    <row r="69" spans="1:99">
      <c r="A69" s="736"/>
      <c r="B69" s="736"/>
      <c r="C69" s="736"/>
      <c r="D69" s="736"/>
      <c r="E69" s="736"/>
      <c r="F69" s="803"/>
      <c r="G69" s="803"/>
      <c r="H69" s="857"/>
      <c r="I69" s="857"/>
      <c r="J69" s="857"/>
      <c r="K69" s="857"/>
      <c r="L69" s="860"/>
      <c r="M69" s="860"/>
      <c r="N69" s="860"/>
      <c r="O69" s="860"/>
      <c r="P69" s="857"/>
      <c r="Q69" s="860"/>
      <c r="R69" s="860"/>
      <c r="S69" s="860"/>
      <c r="T69" s="860"/>
      <c r="U69" s="857"/>
      <c r="V69" s="858"/>
      <c r="W69" s="858"/>
      <c r="X69" s="858"/>
      <c r="Y69" s="858"/>
      <c r="Z69" s="857"/>
      <c r="AA69" s="858"/>
      <c r="AB69" s="858"/>
      <c r="AC69" s="858"/>
      <c r="AD69" s="858"/>
      <c r="AE69" s="857"/>
      <c r="AF69" s="858"/>
      <c r="AG69" s="858"/>
      <c r="AH69" s="858"/>
      <c r="AI69" s="858"/>
      <c r="AJ69" s="857"/>
      <c r="AK69" s="858"/>
      <c r="AL69" s="858"/>
      <c r="AM69" s="858"/>
      <c r="AN69" s="858"/>
      <c r="AO69" s="857"/>
      <c r="AP69" s="858"/>
      <c r="AQ69" s="858"/>
      <c r="AR69" s="858"/>
      <c r="AS69" s="858"/>
      <c r="AT69" s="857"/>
      <c r="AU69" s="858"/>
      <c r="AV69" s="858"/>
      <c r="AW69" s="858"/>
      <c r="AX69" s="858"/>
      <c r="AY69" s="857"/>
      <c r="AZ69" s="858"/>
      <c r="BA69" s="858"/>
      <c r="BB69" s="858"/>
      <c r="BC69" s="858"/>
      <c r="BD69" s="857"/>
      <c r="BE69" s="858"/>
      <c r="BF69" s="858"/>
      <c r="BG69" s="858"/>
      <c r="BH69" s="858"/>
      <c r="BI69" s="857"/>
      <c r="BJ69" s="858"/>
      <c r="BK69" s="858"/>
      <c r="BL69" s="858"/>
      <c r="BM69" s="858"/>
      <c r="BN69" s="857"/>
      <c r="BO69" s="859" t="s">
        <v>170</v>
      </c>
      <c r="BP69" s="859"/>
      <c r="BQ69" s="858"/>
      <c r="BR69" s="858"/>
      <c r="BS69" s="857"/>
      <c r="BT69" s="859" t="s">
        <v>170</v>
      </c>
      <c r="BU69" s="858"/>
      <c r="BV69" s="858"/>
      <c r="BW69" s="858"/>
      <c r="BX69" s="857"/>
      <c r="BY69" s="859" t="s">
        <v>170</v>
      </c>
      <c r="BZ69" s="858"/>
      <c r="CA69" s="858"/>
      <c r="CB69" s="858"/>
      <c r="CC69" s="857"/>
      <c r="CD69" s="859" t="s">
        <v>170</v>
      </c>
      <c r="CE69" s="858"/>
      <c r="CF69" s="858"/>
      <c r="CG69" s="858"/>
      <c r="CH69" s="857"/>
      <c r="CI69" s="857"/>
      <c r="CJ69" s="857"/>
      <c r="CK69" s="857"/>
      <c r="CL69" s="857"/>
      <c r="CM69" s="738"/>
      <c r="CN69" s="618"/>
      <c r="CO69" s="736"/>
    </row>
    <row r="70" spans="1:99">
      <c r="A70" s="777"/>
      <c r="B70" s="777" t="s">
        <v>145</v>
      </c>
      <c r="C70" s="777"/>
      <c r="D70" s="777"/>
      <c r="E70" s="777"/>
      <c r="F70" s="856"/>
      <c r="G70" s="856"/>
      <c r="H70" s="852">
        <v>-382</v>
      </c>
      <c r="I70" s="852">
        <v>-426</v>
      </c>
      <c r="J70" s="852">
        <v>-381</v>
      </c>
      <c r="K70" s="852">
        <v>-375</v>
      </c>
      <c r="L70" s="855">
        <v>-87</v>
      </c>
      <c r="M70" s="855">
        <v>-91</v>
      </c>
      <c r="N70" s="855">
        <v>-89</v>
      </c>
      <c r="O70" s="855">
        <v>-96</v>
      </c>
      <c r="P70" s="852">
        <v>-363</v>
      </c>
      <c r="Q70" s="855">
        <v>-100</v>
      </c>
      <c r="R70" s="855">
        <v>-120</v>
      </c>
      <c r="S70" s="855">
        <v>-135</v>
      </c>
      <c r="T70" s="855">
        <v>-143</v>
      </c>
      <c r="U70" s="852">
        <v>-498</v>
      </c>
      <c r="V70" s="853">
        <f>IS!AJ61</f>
        <v>-142</v>
      </c>
      <c r="W70" s="853">
        <f>IS!AK61</f>
        <v>-155</v>
      </c>
      <c r="X70" s="853">
        <f>IS!AL61</f>
        <v>-156</v>
      </c>
      <c r="Y70" s="853">
        <f>IS!AM61</f>
        <v>-153</v>
      </c>
      <c r="Z70" s="852">
        <f>SUM(V70:Y70)</f>
        <v>-606</v>
      </c>
      <c r="AA70" s="853">
        <f>IS!AO61</f>
        <v>-150</v>
      </c>
      <c r="AB70" s="853">
        <f>IS!AP61</f>
        <v>-163</v>
      </c>
      <c r="AC70" s="853">
        <f>IS!AQ61</f>
        <v>-179</v>
      </c>
      <c r="AD70" s="853">
        <f>IS!AR61</f>
        <v>-174</v>
      </c>
      <c r="AE70" s="852">
        <f>IS!AS61</f>
        <v>-666</v>
      </c>
      <c r="AF70" s="853">
        <f>IS!AT61</f>
        <v>-165</v>
      </c>
      <c r="AG70" s="853">
        <f>IS!AU61</f>
        <v>-176</v>
      </c>
      <c r="AH70" s="853">
        <f>IS!AV61</f>
        <v>-177</v>
      </c>
      <c r="AI70" s="853">
        <f>IS!AW61</f>
        <v>-171</v>
      </c>
      <c r="AJ70" s="852">
        <f>IS!AX61</f>
        <v>-689</v>
      </c>
      <c r="AK70" s="853">
        <f>-175+1.75</f>
        <v>-173.25</v>
      </c>
      <c r="AL70" s="853">
        <f>-177+1.75</f>
        <v>-175.25</v>
      </c>
      <c r="AM70" s="853">
        <f>-170+1.75</f>
        <v>-168.25</v>
      </c>
      <c r="AN70" s="853">
        <f>-183+1.75</f>
        <v>-181.25</v>
      </c>
      <c r="AO70" s="852">
        <v>-705</v>
      </c>
      <c r="AP70" s="853">
        <f>-171-AP67</f>
        <v>-197</v>
      </c>
      <c r="AQ70" s="853">
        <f>-149-AQ67</f>
        <v>-175</v>
      </c>
      <c r="AR70" s="853">
        <f>-161-AR67</f>
        <v>-187</v>
      </c>
      <c r="AS70" s="853">
        <f>AT70-SUM(AP70:AR70)</f>
        <v>-191</v>
      </c>
      <c r="AT70" s="852">
        <v>-750</v>
      </c>
      <c r="AU70" s="853">
        <f>-330-AV70</f>
        <v>-166</v>
      </c>
      <c r="AV70" s="853">
        <v>-164</v>
      </c>
      <c r="AW70" s="853">
        <v>-166</v>
      </c>
      <c r="AX70" s="853">
        <f>-67-AX67</f>
        <v>-179</v>
      </c>
      <c r="AY70" s="852">
        <f>SUM(AU70:AX70)</f>
        <v>-675</v>
      </c>
      <c r="AZ70" s="853">
        <f>-354-BA70</f>
        <v>-164</v>
      </c>
      <c r="BA70" s="853">
        <v>-190</v>
      </c>
      <c r="BB70" s="853">
        <v>-260</v>
      </c>
      <c r="BC70" s="853">
        <f>-893-AZ70-BA70-BB70</f>
        <v>-279</v>
      </c>
      <c r="BD70" s="852">
        <f>SUM(AZ70:BC70)</f>
        <v>-893</v>
      </c>
      <c r="BE70" s="853">
        <f>-236-BE67</f>
        <v>-255</v>
      </c>
      <c r="BF70" s="853">
        <f>-217-BF67</f>
        <v>-272</v>
      </c>
      <c r="BG70" s="853">
        <f>-226-BG67</f>
        <v>-248</v>
      </c>
      <c r="BH70" s="854">
        <f>+BI70-SUM(BE70:BG70)</f>
        <v>-259</v>
      </c>
      <c r="BI70" s="852">
        <v>-1034</v>
      </c>
      <c r="BJ70" s="853">
        <v>-243</v>
      </c>
      <c r="BK70" s="853">
        <f>IS!BY61</f>
        <v>-245</v>
      </c>
      <c r="BL70" s="853">
        <f>IS!BZ61</f>
        <v>-237</v>
      </c>
      <c r="BM70" s="853">
        <f>IS!CA61</f>
        <v>-371</v>
      </c>
      <c r="BN70" s="852">
        <f>SUM(BJ70:BM70)</f>
        <v>-1096</v>
      </c>
      <c r="BO70" s="853">
        <f>IS!CC61</f>
        <v>-239</v>
      </c>
      <c r="BP70" s="853">
        <f>IS!CD61</f>
        <v>-244</v>
      </c>
      <c r="BQ70" s="853">
        <f>IS!CE61</f>
        <v>-223</v>
      </c>
      <c r="BR70" s="853">
        <f>IS!CF61</f>
        <v>-238</v>
      </c>
      <c r="BS70" s="852">
        <f>SUM(BO70:BR70)</f>
        <v>-944</v>
      </c>
      <c r="BT70" s="853">
        <f>IS!CH61</f>
        <v>-241</v>
      </c>
      <c r="BU70" s="853">
        <f>IS!CI61</f>
        <v>-248</v>
      </c>
      <c r="BV70" s="853">
        <f>IS!CJ61</f>
        <v>-252</v>
      </c>
      <c r="BW70" s="853">
        <f>IS!CK61</f>
        <v>-420</v>
      </c>
      <c r="BX70" s="852">
        <f>SUM(BT70:BW70)</f>
        <v>-1161</v>
      </c>
      <c r="BY70" s="853">
        <f>IS!CM61</f>
        <v>-236</v>
      </c>
      <c r="BZ70" s="853">
        <f>IS!CN61</f>
        <v>-251</v>
      </c>
      <c r="CA70" s="853">
        <f>IS!CO61</f>
        <v>-255.64742873113471</v>
      </c>
      <c r="CB70" s="853">
        <f>CB71*CB63/4</f>
        <v>-258.65526879748847</v>
      </c>
      <c r="CC70" s="852">
        <f>SUM(BY70:CB70)</f>
        <v>-1001.3026975286232</v>
      </c>
      <c r="CD70" s="853">
        <f>CD71*CD63/4</f>
        <v>-258.65526879748847</v>
      </c>
      <c r="CE70" s="853">
        <f>CE71*CE63/4</f>
        <v>-268.14372326548147</v>
      </c>
      <c r="CF70" s="853">
        <f>CF71*CF63/4</f>
        <v>-277.63217773347446</v>
      </c>
      <c r="CG70" s="853">
        <f>CG71*CG63/4</f>
        <v>-277.63217773347446</v>
      </c>
      <c r="CH70" s="852">
        <f>SUM(CD70:CG70)</f>
        <v>-1082.0633475299189</v>
      </c>
      <c r="CI70" s="852">
        <f>CI71*CI63</f>
        <v>-1120.352921044778</v>
      </c>
      <c r="CJ70" s="852">
        <f>CJ71*CJ63</f>
        <v>-1120.352921044778</v>
      </c>
      <c r="CK70" s="852">
        <f>CK71*CK63</f>
        <v>-1120.352921044778</v>
      </c>
      <c r="CL70" s="852"/>
      <c r="CM70" s="1924"/>
      <c r="CN70" s="749"/>
      <c r="CO70" s="777"/>
    </row>
    <row r="71" spans="1:99">
      <c r="A71" s="736"/>
      <c r="B71" s="851"/>
      <c r="C71" s="736" t="s">
        <v>449</v>
      </c>
      <c r="D71" s="736"/>
      <c r="E71" s="736"/>
      <c r="F71" s="850"/>
      <c r="G71" s="850"/>
      <c r="H71" s="846">
        <v>7.9401371856162958E-2</v>
      </c>
      <c r="I71" s="846">
        <v>8.5904416212946158E-2</v>
      </c>
      <c r="J71" s="846">
        <v>7.8185922429714755E-2</v>
      </c>
      <c r="K71" s="846">
        <v>7.0741369552914546E-2</v>
      </c>
      <c r="L71" s="849">
        <v>6.9530469530469527E-2</v>
      </c>
      <c r="M71" s="849">
        <v>7.3313192346424971E-2</v>
      </c>
      <c r="N71" s="849">
        <v>7.0369638268432497E-2</v>
      </c>
      <c r="O71" s="849">
        <v>6.8681810051869074E-2</v>
      </c>
      <c r="P71" s="846">
        <v>6.492577356465748E-2</v>
      </c>
      <c r="Q71" s="849">
        <v>8.2559339525283798E-2</v>
      </c>
      <c r="R71" s="849">
        <v>6.6546513239983368E-2</v>
      </c>
      <c r="S71" s="849">
        <v>6.9124423963133647E-2</v>
      </c>
      <c r="T71" s="849">
        <v>6.9417475728155334E-2</v>
      </c>
      <c r="U71" s="846">
        <v>6.0436893203883492E-2</v>
      </c>
      <c r="V71" s="848">
        <f>V70/V64*4</f>
        <v>6.8657077239211897E-2</v>
      </c>
      <c r="W71" s="848">
        <f>W70/W64*4</f>
        <v>7.0784336111428245E-2</v>
      </c>
      <c r="X71" s="848">
        <f>X70/X64*4</f>
        <v>7.5262332649861291E-2</v>
      </c>
      <c r="Y71" s="848">
        <f>Y70/Y64*4</f>
        <v>7.7165552893708231E-2</v>
      </c>
      <c r="Z71" s="846">
        <f>Z70/Z64</f>
        <v>7.6409027865338541E-2</v>
      </c>
      <c r="AA71" s="848">
        <f>AA70/AA64*4</f>
        <v>7.2604065827686345E-2</v>
      </c>
      <c r="AB71" s="848">
        <f>AB70/AB64*4</f>
        <v>7.5875712789479813E-2</v>
      </c>
      <c r="AC71" s="848">
        <f>AC70/AC64*4</f>
        <v>7.6766377184518064E-2</v>
      </c>
      <c r="AD71" s="848">
        <f>AD70/AD64*4</f>
        <v>7.6082203760384784E-2</v>
      </c>
      <c r="AE71" s="846">
        <f>AE70/AE64</f>
        <v>7.280279842588544E-2</v>
      </c>
      <c r="AF71" s="848">
        <f>AF70/AF65*4</f>
        <v>6.8875554396034433E-2</v>
      </c>
      <c r="AG71" s="848">
        <f>AG70/AG65*4</f>
        <v>6.7865233527738947E-2</v>
      </c>
      <c r="AH71" s="848">
        <f>AH70/AH65*4</f>
        <v>6.7102644299118566E-2</v>
      </c>
      <c r="AI71" s="848">
        <f>AI70/AI65*4</f>
        <v>6.2614426949835225E-2</v>
      </c>
      <c r="AJ71" s="846">
        <f>AJ70/AJ64</f>
        <v>6.0038340885325898E-2</v>
      </c>
      <c r="AK71" s="848">
        <f>AK70/AK65*4</f>
        <v>6.2144106174057301E-2</v>
      </c>
      <c r="AL71" s="848">
        <f>AL70/AL65*4</f>
        <v>6.4778450307258692E-2</v>
      </c>
      <c r="AM71" s="848">
        <f>AM70/AM65*4</f>
        <v>6.3347138554216864E-2</v>
      </c>
      <c r="AN71" s="848">
        <f>AN70/AN65*4</f>
        <v>7.186756542426645E-2</v>
      </c>
      <c r="AO71" s="846">
        <f>AO70/AO65</f>
        <v>6.6446748350612636E-2</v>
      </c>
      <c r="AP71" s="848">
        <f>AP70/AP65*4</f>
        <v>7.2640117994100292E-2</v>
      </c>
      <c r="AQ71" s="848">
        <f>AQ70/AQ65*4</f>
        <v>5.8292043136111922E-2</v>
      </c>
      <c r="AR71" s="848">
        <f>AR70/AR65*4</f>
        <v>6.1394508967045597E-2</v>
      </c>
      <c r="AS71" s="848">
        <f>AS70/AS65*4</f>
        <v>6.7637554778451597E-2</v>
      </c>
      <c r="AT71" s="846">
        <f>AT70/AT65</f>
        <v>7.4876453851145608E-2</v>
      </c>
      <c r="AU71" s="848">
        <f>AU70/AU65*4</f>
        <v>6.3919907585675784E-2</v>
      </c>
      <c r="AV71" s="848">
        <f>AV70/AV65*4</f>
        <v>5.99497372629655E-2</v>
      </c>
      <c r="AW71" s="848">
        <f>AW70/AW65*4</f>
        <v>5.8342852121957646E-2</v>
      </c>
      <c r="AX71" s="848">
        <f>AX70/AX65*4</f>
        <v>6.6222715501294854E-2</v>
      </c>
      <c r="AY71" s="846">
        <f>AY70/AY65</f>
        <v>6.5696627573117908E-2</v>
      </c>
      <c r="AZ71" s="848">
        <f>AZ70/AZ65*4</f>
        <v>6.5433145479028482E-2</v>
      </c>
      <c r="BA71" s="848">
        <f>BA70/BA65*4</f>
        <v>4.981646565285789E-2</v>
      </c>
      <c r="BB71" s="848">
        <f>BB70/BB65*4</f>
        <v>4.2087371765039155E-2</v>
      </c>
      <c r="BC71" s="848">
        <f>BC70/BC65*4</f>
        <v>4.2988386202114752E-2</v>
      </c>
      <c r="BD71" s="846">
        <f>BD70/BD65</f>
        <v>5.3343687464532122E-2</v>
      </c>
      <c r="BE71" s="848">
        <f>BE70/BE65*4</f>
        <v>4.4304484743186011E-2</v>
      </c>
      <c r="BF71" s="848">
        <f>BF70/BF65*4</f>
        <v>4.8920863309352518E-2</v>
      </c>
      <c r="BG71" s="848">
        <f>BG70/BG65*4</f>
        <v>4.630753431052189E-2</v>
      </c>
      <c r="BH71" s="848">
        <f>BH70/BH65*4</f>
        <v>5.001327572473388E-2</v>
      </c>
      <c r="BI71" s="846">
        <f>BI70/BI65</f>
        <v>4.7581795591551242E-2</v>
      </c>
      <c r="BJ71" s="848">
        <f>BJ70/BJ65*4</f>
        <v>4.8257372654155493E-2</v>
      </c>
      <c r="BK71" s="848">
        <f>(BK70-21)/BK65*4</f>
        <v>5.3047488470646893E-2</v>
      </c>
      <c r="BL71" s="848">
        <f>(BL70)/BL65*4</f>
        <v>4.7317194908909406E-2</v>
      </c>
      <c r="BM71" s="848">
        <f>(BM70)/BM65*4</f>
        <v>7.4587856855649379E-2</v>
      </c>
      <c r="BN71" s="846">
        <f>BN70/BN65</f>
        <v>5.4752091919570374E-2</v>
      </c>
      <c r="BO71" s="848">
        <f>(BO70)/BO65*4</f>
        <v>4.5755857084739275E-2</v>
      </c>
      <c r="BP71" s="848">
        <f>(BP70)/BP65*4</f>
        <v>4.3928346385813305E-2</v>
      </c>
      <c r="BQ71" s="848">
        <f>(BQ70)/BQ65*4</f>
        <v>3.9547772112613608E-2</v>
      </c>
      <c r="BR71" s="848">
        <f>(BR70)/BR65*4</f>
        <v>4.4184535412605586E-2</v>
      </c>
      <c r="BS71" s="846">
        <f>BS70/BS65</f>
        <v>4.6942987145379048E-2</v>
      </c>
      <c r="BT71" s="848">
        <f>(BT70)/BT65*4</f>
        <v>4.4346306007912409E-2</v>
      </c>
      <c r="BU71" s="848">
        <f>(BU70)/BU65*4</f>
        <v>4.3520224620514171E-2</v>
      </c>
      <c r="BV71" s="848">
        <f>(BV70)/BV65*4</f>
        <v>4.459979646918278E-2</v>
      </c>
      <c r="BW71" s="848">
        <f>(BW70)/BW65*4</f>
        <v>7.2155650045097275E-2</v>
      </c>
      <c r="BX71" s="846">
        <f>BX70/BX65</f>
        <v>5.2384604972251052E-2</v>
      </c>
      <c r="BY71" s="848">
        <f>(BY70)/BY65*4</f>
        <v>3.8941484644102055E-2</v>
      </c>
      <c r="BZ71" s="848">
        <f>(BZ70)/BZ65*4</f>
        <v>3.9212623027651931E-2</v>
      </c>
      <c r="CA71" s="848">
        <f>(CA70)/CA65*4</f>
        <v>3.7953817871971898E-2</v>
      </c>
      <c r="CB71" s="847">
        <f>CA71</f>
        <v>3.7953817871971898E-2</v>
      </c>
      <c r="CC71" s="846">
        <f>CC70/CC65</f>
        <v>3.9143202733669127E-2</v>
      </c>
      <c r="CD71" s="847">
        <f>CB71</f>
        <v>3.7953817871971898E-2</v>
      </c>
      <c r="CE71" s="847">
        <f>CD71</f>
        <v>3.7953817871971898E-2</v>
      </c>
      <c r="CF71" s="847">
        <f>CE71</f>
        <v>3.7953817871971898E-2</v>
      </c>
      <c r="CG71" s="847">
        <f>CF71</f>
        <v>3.7953817871971898E-2</v>
      </c>
      <c r="CH71" s="846">
        <f>CH70/CH65</f>
        <v>3.8289573514859128E-2</v>
      </c>
      <c r="CI71" s="845">
        <f>CH71</f>
        <v>3.8289573514859128E-2</v>
      </c>
      <c r="CJ71" s="845">
        <f>CI71</f>
        <v>3.8289573514859128E-2</v>
      </c>
      <c r="CK71" s="845">
        <f>CJ71</f>
        <v>3.8289573514859128E-2</v>
      </c>
      <c r="CL71" s="845"/>
      <c r="CM71" s="738"/>
      <c r="CN71" s="618"/>
      <c r="CO71" s="736"/>
    </row>
    <row r="72" spans="1:99">
      <c r="A72" s="736"/>
      <c r="B72" s="736"/>
      <c r="C72" s="736"/>
      <c r="D72" s="736"/>
      <c r="E72" s="736"/>
      <c r="F72" s="844"/>
      <c r="G72" s="844"/>
      <c r="H72" s="841"/>
      <c r="I72" s="841"/>
      <c r="J72" s="841"/>
      <c r="K72" s="841"/>
      <c r="L72" s="843"/>
      <c r="M72" s="843"/>
      <c r="N72" s="843"/>
      <c r="O72" s="843"/>
      <c r="P72" s="841"/>
      <c r="Q72" s="843"/>
      <c r="R72" s="843"/>
      <c r="S72" s="843"/>
      <c r="T72" s="843"/>
      <c r="U72" s="841"/>
      <c r="V72" s="842"/>
      <c r="W72" s="842"/>
      <c r="X72" s="842"/>
      <c r="Y72" s="842"/>
      <c r="Z72" s="841"/>
      <c r="AA72" s="842"/>
      <c r="AB72" s="842"/>
      <c r="AC72" s="842"/>
      <c r="AD72" s="842"/>
      <c r="AE72" s="841"/>
      <c r="AF72" s="842"/>
      <c r="AG72" s="842"/>
      <c r="AH72" s="842"/>
      <c r="AI72" s="842"/>
      <c r="AJ72" s="841"/>
      <c r="AK72" s="842"/>
      <c r="AL72" s="842"/>
      <c r="AM72" s="842"/>
      <c r="AN72" s="842"/>
      <c r="AO72" s="841"/>
      <c r="AP72" s="842"/>
      <c r="AQ72" s="842"/>
      <c r="AR72" s="842"/>
      <c r="AS72" s="842"/>
      <c r="AT72" s="841"/>
      <c r="AU72" s="842"/>
      <c r="AV72" s="842"/>
      <c r="AW72" s="842"/>
      <c r="AX72" s="842"/>
      <c r="AY72" s="841"/>
      <c r="AZ72" s="842"/>
      <c r="BA72" s="842"/>
      <c r="BB72" s="842"/>
      <c r="BC72" s="842"/>
      <c r="BD72" s="841"/>
      <c r="BE72" s="842"/>
      <c r="BF72" s="842"/>
      <c r="BG72" s="842"/>
      <c r="BH72" s="842"/>
      <c r="BI72" s="841"/>
      <c r="BJ72" s="842"/>
      <c r="BK72" s="842"/>
      <c r="BL72" s="842"/>
      <c r="BM72" s="842"/>
      <c r="BN72" s="841"/>
      <c r="BO72" s="842"/>
      <c r="BP72" s="842"/>
      <c r="BQ72" s="842"/>
      <c r="BR72" s="842"/>
      <c r="BS72" s="841"/>
      <c r="BT72" s="842"/>
      <c r="BU72" s="842"/>
      <c r="BV72" s="842"/>
      <c r="BW72" s="842"/>
      <c r="BX72" s="841"/>
      <c r="BY72" s="842"/>
      <c r="BZ72" s="842"/>
      <c r="CA72" s="842"/>
      <c r="CB72" s="842"/>
      <c r="CC72" s="841"/>
      <c r="CD72" s="842"/>
      <c r="CE72" s="842"/>
      <c r="CF72" s="842"/>
      <c r="CG72" s="842"/>
      <c r="CH72" s="841"/>
      <c r="CI72" s="841"/>
      <c r="CJ72" s="841"/>
      <c r="CK72" s="841"/>
      <c r="CL72" s="841"/>
      <c r="CM72" s="738"/>
      <c r="CN72" s="817"/>
      <c r="CO72" s="736"/>
    </row>
    <row r="73" spans="1:99">
      <c r="A73" s="736"/>
      <c r="B73" s="769" t="s">
        <v>448</v>
      </c>
      <c r="C73" s="736"/>
      <c r="D73" s="736"/>
      <c r="E73" s="736"/>
      <c r="F73" s="844"/>
      <c r="G73" s="844"/>
      <c r="H73" s="841"/>
      <c r="I73" s="841"/>
      <c r="J73" s="841"/>
      <c r="K73" s="841"/>
      <c r="L73" s="843"/>
      <c r="M73" s="843"/>
      <c r="N73" s="843"/>
      <c r="O73" s="843"/>
      <c r="P73" s="841"/>
      <c r="Q73" s="843"/>
      <c r="R73" s="843"/>
      <c r="S73" s="843"/>
      <c r="T73" s="843"/>
      <c r="U73" s="841"/>
      <c r="V73" s="842"/>
      <c r="W73" s="842"/>
      <c r="X73" s="842"/>
      <c r="Y73" s="842"/>
      <c r="Z73" s="841"/>
      <c r="AA73" s="842"/>
      <c r="AB73" s="842"/>
      <c r="AC73" s="842"/>
      <c r="AD73" s="842"/>
      <c r="AE73" s="841"/>
      <c r="AF73" s="842"/>
      <c r="AG73" s="842"/>
      <c r="AH73" s="842"/>
      <c r="AI73" s="842"/>
      <c r="AJ73" s="841"/>
      <c r="AK73" s="842"/>
      <c r="AL73" s="842"/>
      <c r="AM73" s="842"/>
      <c r="AN73" s="842"/>
      <c r="AO73" s="841"/>
      <c r="AP73" s="842"/>
      <c r="AQ73" s="842"/>
      <c r="AR73" s="842"/>
      <c r="AS73" s="842"/>
      <c r="AT73" s="841"/>
      <c r="AU73" s="842"/>
      <c r="AV73" s="842"/>
      <c r="AW73" s="842"/>
      <c r="AX73" s="842"/>
      <c r="AY73" s="841"/>
      <c r="AZ73" s="842"/>
      <c r="BA73" s="842"/>
      <c r="BB73" s="842"/>
      <c r="BC73" s="842"/>
      <c r="BD73" s="841"/>
      <c r="BE73" s="842"/>
      <c r="BF73" s="842"/>
      <c r="BG73" s="842"/>
      <c r="BH73" s="842"/>
      <c r="BI73" s="841"/>
      <c r="BJ73" s="842"/>
      <c r="BK73" s="842"/>
      <c r="BL73" s="842"/>
      <c r="BM73" s="842"/>
      <c r="BN73" s="841"/>
      <c r="BO73" s="842"/>
      <c r="BP73" s="842"/>
      <c r="BQ73" s="842"/>
      <c r="BR73" s="842"/>
      <c r="BS73" s="841"/>
      <c r="BT73" s="842"/>
      <c r="BU73" s="842"/>
      <c r="BV73" s="842"/>
      <c r="BW73" s="842"/>
      <c r="BX73" s="841"/>
      <c r="BY73" s="842"/>
      <c r="BZ73" s="842"/>
      <c r="CA73" s="842"/>
      <c r="CB73" s="842"/>
      <c r="CC73" s="2074">
        <f>(CC72-BX72)*(1-0.27)/IS!CQ99</f>
        <v>0</v>
      </c>
      <c r="CD73" s="842"/>
      <c r="CE73" s="842"/>
      <c r="CF73" s="842"/>
      <c r="CG73" s="842"/>
      <c r="CH73" s="841"/>
      <c r="CI73" s="841"/>
      <c r="CJ73" s="841"/>
      <c r="CK73" s="841"/>
      <c r="CL73" s="841"/>
      <c r="CM73" s="738"/>
      <c r="CN73" s="618"/>
      <c r="CO73" s="736"/>
    </row>
    <row r="74" spans="1:99">
      <c r="A74" s="736"/>
      <c r="B74" s="736"/>
      <c r="C74" s="736"/>
      <c r="D74" s="736"/>
      <c r="E74" s="736"/>
      <c r="F74" s="840"/>
      <c r="G74" s="840"/>
      <c r="H74" s="800"/>
      <c r="I74" s="800"/>
      <c r="J74" s="800"/>
      <c r="K74" s="800"/>
      <c r="L74" s="802"/>
      <c r="M74" s="802"/>
      <c r="N74" s="802"/>
      <c r="O74" s="802"/>
      <c r="P74" s="800"/>
      <c r="Q74" s="802"/>
      <c r="R74" s="802"/>
      <c r="S74" s="802"/>
      <c r="T74" s="802"/>
      <c r="U74" s="800"/>
      <c r="V74" s="801"/>
      <c r="W74" s="801"/>
      <c r="X74" s="801"/>
      <c r="Y74" s="801"/>
      <c r="Z74" s="800"/>
      <c r="AA74" s="801"/>
      <c r="AB74" s="801"/>
      <c r="AC74" s="801"/>
      <c r="AD74" s="801"/>
      <c r="AE74" s="800"/>
      <c r="AF74" s="801"/>
      <c r="AG74" s="801"/>
      <c r="AH74" s="801"/>
      <c r="AI74" s="801"/>
      <c r="AJ74" s="800"/>
      <c r="AK74" s="801"/>
      <c r="AL74" s="801"/>
      <c r="AM74" s="801"/>
      <c r="AN74" s="801"/>
      <c r="AO74" s="800"/>
      <c r="AP74" s="801"/>
      <c r="AQ74" s="801"/>
      <c r="AR74" s="801"/>
      <c r="AS74" s="801"/>
      <c r="AT74" s="800"/>
      <c r="AU74" s="801"/>
      <c r="AV74" s="801"/>
      <c r="AW74" s="801"/>
      <c r="AX74" s="801"/>
      <c r="AY74" s="800"/>
      <c r="AZ74" s="801"/>
      <c r="BA74" s="801"/>
      <c r="BB74" s="801"/>
      <c r="BC74" s="801"/>
      <c r="BD74" s="800"/>
      <c r="BE74" s="801"/>
      <c r="BF74" s="801"/>
      <c r="BG74" s="801"/>
      <c r="BH74" s="801"/>
      <c r="BI74" s="800"/>
      <c r="BJ74" s="801"/>
      <c r="BK74" s="801"/>
      <c r="BL74" s="801"/>
      <c r="BM74" s="801"/>
      <c r="BN74" s="800"/>
      <c r="BO74" s="801"/>
      <c r="BP74" s="801"/>
      <c r="BQ74" s="801"/>
      <c r="BR74" s="801"/>
      <c r="BS74" s="800"/>
      <c r="BT74" s="801"/>
      <c r="BU74" s="801"/>
      <c r="BV74" s="801"/>
      <c r="BW74" s="801"/>
      <c r="BX74" s="800"/>
      <c r="BY74" s="801"/>
      <c r="BZ74" s="801"/>
      <c r="CA74" s="801"/>
      <c r="CB74" s="801"/>
      <c r="CC74" s="800"/>
      <c r="CD74" s="801"/>
      <c r="CE74" s="801"/>
      <c r="CF74" s="801"/>
      <c r="CG74" s="801"/>
      <c r="CH74" s="800"/>
      <c r="CI74" s="800"/>
      <c r="CJ74" s="800"/>
      <c r="CK74" s="800"/>
      <c r="CL74" s="800"/>
      <c r="CM74" s="738"/>
      <c r="CN74" s="618"/>
      <c r="CO74" s="736"/>
    </row>
    <row r="75" spans="1:99">
      <c r="A75" s="755"/>
      <c r="B75" s="755" t="s">
        <v>447</v>
      </c>
      <c r="C75" s="755"/>
      <c r="D75" s="755"/>
      <c r="E75" s="755"/>
      <c r="F75" s="755"/>
      <c r="G75" s="755"/>
      <c r="H75" s="757"/>
      <c r="I75" s="757">
        <v>470.29599999999994</v>
      </c>
      <c r="J75" s="757">
        <v>472.15899999999999</v>
      </c>
      <c r="K75" s="757">
        <v>939.24</v>
      </c>
      <c r="L75" s="810">
        <v>1028.2</v>
      </c>
      <c r="M75" s="810">
        <v>1025.808</v>
      </c>
      <c r="N75" s="810">
        <v>1025.808</v>
      </c>
      <c r="O75" s="810">
        <v>1025.808</v>
      </c>
      <c r="P75" s="757">
        <v>1028.1239999999998</v>
      </c>
      <c r="Q75" s="810">
        <v>1022.2</v>
      </c>
      <c r="R75" s="810">
        <v>1023.64</v>
      </c>
      <c r="S75" s="810">
        <v>1024.76</v>
      </c>
      <c r="T75" s="810">
        <v>1025.76</v>
      </c>
      <c r="U75" s="757">
        <v>1022.2</v>
      </c>
      <c r="V75" s="758">
        <f>U79</f>
        <v>1013.853</v>
      </c>
      <c r="W75" s="758">
        <f>V79</f>
        <v>1010.868329</v>
      </c>
      <c r="X75" s="758">
        <f>W79</f>
        <v>1011.429722</v>
      </c>
      <c r="Y75" s="758">
        <f>X79</f>
        <v>1003.6508700000001</v>
      </c>
      <c r="Z75" s="757">
        <f>V75</f>
        <v>1013.853</v>
      </c>
      <c r="AA75" s="758">
        <f>Z79</f>
        <v>995.7</v>
      </c>
      <c r="AB75" s="758">
        <f>AA79</f>
        <v>994.43036700000005</v>
      </c>
      <c r="AC75" s="758">
        <f>AB79</f>
        <v>991.78373299999998</v>
      </c>
      <c r="AD75" s="758">
        <f>AC79</f>
        <v>988.50810200000001</v>
      </c>
      <c r="AE75" s="757">
        <f>AA75</f>
        <v>995.7</v>
      </c>
      <c r="AF75" s="758">
        <f>AE79</f>
        <v>983.54699999999991</v>
      </c>
      <c r="AG75" s="758">
        <f>AF79</f>
        <v>973.20364400000005</v>
      </c>
      <c r="AH75" s="758">
        <f>AG79</f>
        <v>964.35680600000001</v>
      </c>
      <c r="AI75" s="758">
        <f>AH79</f>
        <v>950.61604899999998</v>
      </c>
      <c r="AJ75" s="757">
        <f>AE79</f>
        <v>983.54699999999991</v>
      </c>
      <c r="AK75" s="758">
        <f>AJ79</f>
        <v>943.94100000000003</v>
      </c>
      <c r="AL75" s="758">
        <f>AK79</f>
        <v>942.03566799999999</v>
      </c>
      <c r="AM75" s="758">
        <f>AL79</f>
        <v>941.27340100000004</v>
      </c>
      <c r="AN75" s="758">
        <f>AM79</f>
        <v>937.53941699999996</v>
      </c>
      <c r="AO75" s="757">
        <f>AJ79</f>
        <v>943.94100000000003</v>
      </c>
      <c r="AP75" s="758">
        <f>AO79</f>
        <v>936.74199999999996</v>
      </c>
      <c r="AQ75" s="758">
        <f>AP79</f>
        <v>933.08004800000003</v>
      </c>
      <c r="AR75" s="758">
        <f>AQ79</f>
        <v>929.06971599999997</v>
      </c>
      <c r="AS75" s="758">
        <f>AR79</f>
        <v>923.40709400000003</v>
      </c>
      <c r="AT75" s="757">
        <f>AO79</f>
        <v>936.74199999999996</v>
      </c>
      <c r="AU75" s="758">
        <f>AT79</f>
        <v>921.20900000000006</v>
      </c>
      <c r="AV75" s="758">
        <f>AU79</f>
        <v>915.26193799999999</v>
      </c>
      <c r="AW75" s="758">
        <f>AV79</f>
        <v>908.71293100000003</v>
      </c>
      <c r="AX75" s="758">
        <f>AW79</f>
        <v>906.08766900000001</v>
      </c>
      <c r="AY75" s="757">
        <f>AT79</f>
        <v>921.20900000000006</v>
      </c>
      <c r="AZ75" s="758">
        <f>AY79</f>
        <v>907.22199999999998</v>
      </c>
      <c r="BA75" s="758">
        <f>AZ79</f>
        <v>911.35815200000002</v>
      </c>
      <c r="BB75" s="758">
        <f>BA79</f>
        <v>911.78723500000001</v>
      </c>
      <c r="BC75" s="758">
        <f>BB79</f>
        <v>916.54452800000001</v>
      </c>
      <c r="BD75" s="757">
        <f>AY79</f>
        <v>907.22199999999998</v>
      </c>
      <c r="BE75" s="758">
        <f>BD79</f>
        <v>918.84899999999993</v>
      </c>
      <c r="BF75" s="758">
        <f>BE79</f>
        <v>919.30070999999998</v>
      </c>
      <c r="BG75" s="758">
        <f>BF79</f>
        <v>917.50931500000002</v>
      </c>
      <c r="BH75" s="758">
        <f>BG79</f>
        <v>917.58196499999997</v>
      </c>
      <c r="BI75" s="757">
        <f>BD79</f>
        <v>918.84899999999993</v>
      </c>
      <c r="BJ75" s="758">
        <f>BI79</f>
        <v>916.68599999999992</v>
      </c>
      <c r="BK75" s="758">
        <f>BJ79</f>
        <v>916.73132899999996</v>
      </c>
      <c r="BL75" s="758">
        <f>BK79</f>
        <v>914.81001600000002</v>
      </c>
      <c r="BM75" s="758">
        <f>BL79</f>
        <v>911.65832499999999</v>
      </c>
      <c r="BN75" s="757">
        <f>BI79</f>
        <v>916.68599999999992</v>
      </c>
      <c r="BO75" s="758">
        <f>BN79</f>
        <v>909.375</v>
      </c>
      <c r="BP75" s="758">
        <f>BO79</f>
        <v>890.20179399999995</v>
      </c>
      <c r="BQ75" s="758">
        <f>BP79</f>
        <v>890.59774500000003</v>
      </c>
      <c r="BR75" s="758">
        <f>BQ79</f>
        <v>887.020937</v>
      </c>
      <c r="BS75" s="757">
        <f>BN79</f>
        <v>909.375</v>
      </c>
      <c r="BT75" s="758">
        <f>BR79</f>
        <v>836.43200999999999</v>
      </c>
      <c r="BU75" s="758">
        <f>BT79</f>
        <v>836.86568399999999</v>
      </c>
      <c r="BV75" s="758">
        <f>BU79</f>
        <v>836.92694900000004</v>
      </c>
      <c r="BW75" s="758">
        <f>BV79</f>
        <v>823.40568699999994</v>
      </c>
      <c r="BX75" s="2072">
        <f>BS79</f>
        <v>836.43200999999999</v>
      </c>
      <c r="BY75" s="758">
        <f>BX79</f>
        <v>805.86174000000005</v>
      </c>
      <c r="BZ75" s="758">
        <f>BY79</f>
        <v>801.22750399999995</v>
      </c>
      <c r="CA75" s="758">
        <f>BZ79</f>
        <v>798.772783</v>
      </c>
      <c r="CB75" s="758">
        <f>CA79</f>
        <v>799.6367617823297</v>
      </c>
      <c r="CC75" s="757">
        <f>BX79</f>
        <v>805.86174000000005</v>
      </c>
      <c r="CD75" s="758">
        <f>CC79</f>
        <v>801.01404078232974</v>
      </c>
      <c r="CE75" s="758">
        <f>CD79</f>
        <v>802.98594103232972</v>
      </c>
      <c r="CF75" s="758">
        <f>CE79</f>
        <v>804.9578412823297</v>
      </c>
      <c r="CG75" s="758">
        <f>CF79</f>
        <v>806.92974153232967</v>
      </c>
      <c r="CH75" s="757">
        <f>CC79</f>
        <v>801.01404078232974</v>
      </c>
      <c r="CI75" s="757">
        <f>CH79</f>
        <v>808.90164178232976</v>
      </c>
      <c r="CJ75" s="2072">
        <f>CI79</f>
        <v>816.78924278232978</v>
      </c>
      <c r="CK75" s="2072">
        <f>CJ79</f>
        <v>824.6768437823298</v>
      </c>
      <c r="CL75" s="757"/>
      <c r="CM75" s="756"/>
      <c r="CN75" s="739"/>
      <c r="CO75" s="755"/>
    </row>
    <row r="76" spans="1:99">
      <c r="A76" s="755"/>
      <c r="B76" s="755" t="s">
        <v>446</v>
      </c>
      <c r="C76" s="755"/>
      <c r="D76" s="755"/>
      <c r="E76" s="755"/>
      <c r="F76" s="832"/>
      <c r="G76" s="832"/>
      <c r="H76" s="757">
        <v>9.4</v>
      </c>
      <c r="I76" s="757">
        <v>10.3</v>
      </c>
      <c r="J76" s="757">
        <v>8.3000000000000007</v>
      </c>
      <c r="K76" s="757">
        <v>100.76</v>
      </c>
      <c r="L76" s="810">
        <v>0</v>
      </c>
      <c r="M76" s="810">
        <v>0</v>
      </c>
      <c r="N76" s="810">
        <v>0</v>
      </c>
      <c r="O76" s="810">
        <v>0</v>
      </c>
      <c r="P76" s="757">
        <v>15.876000000000204</v>
      </c>
      <c r="Q76" s="810">
        <v>2.6230000000000473</v>
      </c>
      <c r="R76" s="810">
        <v>5.7389999999999191</v>
      </c>
      <c r="S76" s="810">
        <v>9.0370000000000346</v>
      </c>
      <c r="T76" s="810">
        <v>-3.1460000000000719</v>
      </c>
      <c r="U76" s="757">
        <v>14.252999999999929</v>
      </c>
      <c r="V76" s="758">
        <f>V79-V78-V75</f>
        <v>3.494329000000107</v>
      </c>
      <c r="W76" s="758">
        <f>W79-W78-W75</f>
        <v>7.0113929999999982</v>
      </c>
      <c r="X76" s="758">
        <f>X79-X78-X75</f>
        <v>1.4971480000000383</v>
      </c>
      <c r="Y76" s="758">
        <f>Y79-Y78-Y75</f>
        <v>3.1441300000000183</v>
      </c>
      <c r="Z76" s="757">
        <f>SUM(V76:Y76)</f>
        <v>15.147000000000162</v>
      </c>
      <c r="AA76" s="758">
        <f>AA79-AA78-AA75</f>
        <v>6.5773669999999811</v>
      </c>
      <c r="AB76" s="758">
        <f>AB79-AB78-AB75</f>
        <v>4.46736599999997</v>
      </c>
      <c r="AC76" s="758">
        <f>AC79-AC78-AC75</f>
        <v>3.4593690000000379</v>
      </c>
      <c r="AD76" s="758">
        <f>AD79-AD78-AD75</f>
        <v>1.6428979999999456</v>
      </c>
      <c r="AE76" s="757">
        <f>SUM(AA76:AD76)</f>
        <v>16.146999999999935</v>
      </c>
      <c r="AF76" s="758">
        <f>AF79-AF78-AF75</f>
        <v>1.6566440000001421</v>
      </c>
      <c r="AG76" s="758">
        <f>AG79-AG78-AG75</f>
        <v>1.913161999999943</v>
      </c>
      <c r="AH76" s="758">
        <f>AH79-AH78-AH75</f>
        <v>0.81324299999994309</v>
      </c>
      <c r="AI76" s="758">
        <f>AI79-AI75-AI78</f>
        <v>6.4109510000000558</v>
      </c>
      <c r="AJ76" s="757">
        <f>AJ82</f>
        <v>10.794000000000084</v>
      </c>
      <c r="AK76" s="758">
        <f>AK79-AK75-AK78</f>
        <v>2.4506679999999559</v>
      </c>
      <c r="AL76" s="758">
        <f>AL79-AL75-AL78</f>
        <v>2.0837330000000485</v>
      </c>
      <c r="AM76" s="758">
        <f>AM79-AM75-AM78</f>
        <v>3.0640159999999224</v>
      </c>
      <c r="AN76" s="758">
        <f>AN79-AN75-AN78</f>
        <v>3.8585830000000039</v>
      </c>
      <c r="AO76" s="757">
        <f>AO82</f>
        <v>11.45699999999993</v>
      </c>
      <c r="AP76" s="758">
        <f>AP79-AP75-AP78</f>
        <v>3.5190480000000717</v>
      </c>
      <c r="AQ76" s="758">
        <f>AQ79-AQ75-AQ78</f>
        <v>5.4866679999999377</v>
      </c>
      <c r="AR76" s="758">
        <f>AR79-AR75-AR78</f>
        <v>1.457378000000058</v>
      </c>
      <c r="AS76" s="758">
        <f>AS79-AS75-AS78</f>
        <v>5.0669060000000306</v>
      </c>
      <c r="AT76" s="757">
        <f>AT82</f>
        <v>15.530000000000101</v>
      </c>
      <c r="AU76" s="758">
        <f>AU79-AU75-AU78</f>
        <v>3.1709379999999268</v>
      </c>
      <c r="AV76" s="758">
        <f>AV79-AV75-AV78</f>
        <v>2.1749930000000397</v>
      </c>
      <c r="AW76" s="758">
        <f>AW79-AW75-AW78</f>
        <v>6.474737999999979</v>
      </c>
      <c r="AX76" s="758">
        <f>AX79-AX75-AX78</f>
        <v>1.1343309999999747</v>
      </c>
      <c r="AY76" s="757">
        <f>AY82</f>
        <v>12.95499999999992</v>
      </c>
      <c r="AZ76" s="758">
        <f>AZ79-AZ75-AZ78</f>
        <v>4.1361520000000382</v>
      </c>
      <c r="BA76" s="758">
        <f>BA79-BA75-BA78</f>
        <v>0.42908299999999144</v>
      </c>
      <c r="BB76" s="758">
        <f>BB79-BB75-BB78</f>
        <v>4.7572930000000042</v>
      </c>
      <c r="BC76" s="758">
        <f>BC79-BC75-BC78</f>
        <v>2.3044719999999188</v>
      </c>
      <c r="BD76" s="757">
        <f>BD82</f>
        <v>11.626999999999953</v>
      </c>
      <c r="BE76" s="758">
        <f>BE79-BE75-BE78</f>
        <v>4.304710000000048</v>
      </c>
      <c r="BF76" s="758">
        <f>BF79-BF75-BF78</f>
        <v>1.8156050000000343</v>
      </c>
      <c r="BG76" s="758">
        <f>BG79-BG75-BG78</f>
        <v>3.3616499999999534</v>
      </c>
      <c r="BH76" s="758">
        <f>BH79-BH75-BH78</f>
        <v>0.95203499999995356</v>
      </c>
      <c r="BI76" s="757">
        <f>BI82</f>
        <v>10.43399999999999</v>
      </c>
      <c r="BJ76" s="758">
        <f>BJ79-BJ75-BJ78</f>
        <v>2.996329000000038</v>
      </c>
      <c r="BK76" s="758">
        <f>BK79-BK75-BK78</f>
        <v>0.93668700000005911</v>
      </c>
      <c r="BL76" s="758">
        <f>BL79-BL75-BL78</f>
        <v>0.63930899999997148</v>
      </c>
      <c r="BM76" s="758">
        <f>BM79-BM75-BM78</f>
        <v>1.5796750000000088</v>
      </c>
      <c r="BN76" s="757">
        <f>BN82</f>
        <v>6.1520000000000774</v>
      </c>
      <c r="BO76" s="758">
        <f>BO79-BO75-BO78</f>
        <v>2.4267939999999513</v>
      </c>
      <c r="BP76" s="758">
        <f>BP79-BP75-BP78</f>
        <v>0.39595100000008188</v>
      </c>
      <c r="BQ76" s="758">
        <f>BQ79-BQ75-BQ78</f>
        <v>11.592191999999972</v>
      </c>
      <c r="BR76" s="758">
        <f>BR79-BR75-BR78</f>
        <v>1.3140729999999863</v>
      </c>
      <c r="BS76" s="757">
        <f>BS82</f>
        <v>15.729009999999992</v>
      </c>
      <c r="BT76" s="758">
        <f>BT79-BT75-BT78</f>
        <v>0.43367399999999634</v>
      </c>
      <c r="BU76" s="758">
        <f>BU79-BU75-BU78</f>
        <v>0.42526500000004852</v>
      </c>
      <c r="BV76" s="758">
        <f>BV79-BV75-BV78-BV77</f>
        <v>0.894737999999907</v>
      </c>
      <c r="BW76" s="758">
        <f>BW79-BW75-BW78-BW77</f>
        <v>-2.0999469999998883</v>
      </c>
      <c r="BX76" s="2072">
        <f t="shared" ref="BX76:CK76" si="52">BX82</f>
        <v>-0.34626999999993657</v>
      </c>
      <c r="BY76" s="758">
        <f>BY79-BY75-BY78-BY77</f>
        <v>3.7557639999998997</v>
      </c>
      <c r="BZ76" s="758">
        <f>BZ79-BZ75-BZ78-BZ77</f>
        <v>1.3772790000000503</v>
      </c>
      <c r="CA76" s="758">
        <f t="shared" si="52"/>
        <v>1.3772790000000503</v>
      </c>
      <c r="CB76" s="758">
        <f t="shared" si="52"/>
        <v>1.3772790000000503</v>
      </c>
      <c r="CC76" s="757">
        <f t="shared" si="52"/>
        <v>7.8876010000000507</v>
      </c>
      <c r="CD76" s="758">
        <f t="shared" si="52"/>
        <v>1.9719002500000127</v>
      </c>
      <c r="CE76" s="758">
        <f t="shared" si="52"/>
        <v>1.9719002500000127</v>
      </c>
      <c r="CF76" s="758">
        <f t="shared" si="52"/>
        <v>1.9719002500000127</v>
      </c>
      <c r="CG76" s="758">
        <f t="shared" si="52"/>
        <v>1.9719002500000127</v>
      </c>
      <c r="CH76" s="757">
        <f t="shared" si="52"/>
        <v>7.8876010000000507</v>
      </c>
      <c r="CI76" s="757">
        <f t="shared" si="52"/>
        <v>7.8876010000000507</v>
      </c>
      <c r="CJ76" s="2072">
        <f t="shared" si="52"/>
        <v>7.8876010000000507</v>
      </c>
      <c r="CK76" s="2072">
        <f t="shared" si="52"/>
        <v>7.8876010000000507</v>
      </c>
      <c r="CL76" s="757"/>
      <c r="CM76" s="756">
        <f>832-CM77</f>
        <v>774.85714285714289</v>
      </c>
      <c r="CN76" s="739"/>
      <c r="CO76" s="755"/>
    </row>
    <row r="77" spans="1:99" s="2029" customFormat="1">
      <c r="A77" s="755"/>
      <c r="B77" s="755" t="s">
        <v>1416</v>
      </c>
      <c r="C77" s="755"/>
      <c r="D77" s="755"/>
      <c r="E77" s="755"/>
      <c r="F77" s="832"/>
      <c r="G77" s="832"/>
      <c r="H77" s="2072"/>
      <c r="I77" s="2072"/>
      <c r="J77" s="2072"/>
      <c r="K77" s="2072"/>
      <c r="L77" s="810"/>
      <c r="M77" s="810"/>
      <c r="N77" s="810"/>
      <c r="O77" s="810"/>
      <c r="P77" s="2072"/>
      <c r="Q77" s="810"/>
      <c r="R77" s="810"/>
      <c r="S77" s="810"/>
      <c r="T77" s="810"/>
      <c r="U77" s="2072"/>
      <c r="V77" s="758"/>
      <c r="W77" s="758"/>
      <c r="X77" s="758"/>
      <c r="Y77" s="758"/>
      <c r="Z77" s="2072"/>
      <c r="AA77" s="758"/>
      <c r="AB77" s="758"/>
      <c r="AC77" s="758"/>
      <c r="AD77" s="758"/>
      <c r="AE77" s="2072"/>
      <c r="AF77" s="758"/>
      <c r="AG77" s="758"/>
      <c r="AH77" s="758"/>
      <c r="AI77" s="758"/>
      <c r="AJ77" s="2072"/>
      <c r="AK77" s="758"/>
      <c r="AL77" s="758"/>
      <c r="AM77" s="758"/>
      <c r="AN77" s="758"/>
      <c r="AO77" s="2072"/>
      <c r="AP77" s="758"/>
      <c r="AQ77" s="758"/>
      <c r="AR77" s="758"/>
      <c r="AS77" s="758"/>
      <c r="AT77" s="2072"/>
      <c r="AU77" s="758"/>
      <c r="AV77" s="758"/>
      <c r="AW77" s="758"/>
      <c r="AX77" s="758"/>
      <c r="AY77" s="2072"/>
      <c r="AZ77" s="758"/>
      <c r="BA77" s="758"/>
      <c r="BB77" s="758"/>
      <c r="BC77" s="758"/>
      <c r="BD77" s="2072"/>
      <c r="BE77" s="758"/>
      <c r="BF77" s="758"/>
      <c r="BG77" s="758"/>
      <c r="BH77" s="758"/>
      <c r="BI77" s="2072"/>
      <c r="BJ77" s="758"/>
      <c r="BK77" s="758"/>
      <c r="BL77" s="758"/>
      <c r="BM77" s="758"/>
      <c r="BN77" s="2072"/>
      <c r="BO77" s="758"/>
      <c r="BP77" s="758"/>
      <c r="BQ77" s="758"/>
      <c r="BR77" s="758"/>
      <c r="BS77" s="2072"/>
      <c r="BT77" s="758"/>
      <c r="BU77" s="758"/>
      <c r="BV77" s="758">
        <v>-8.0419999999999998</v>
      </c>
      <c r="BW77" s="758">
        <v>0</v>
      </c>
      <c r="BX77" s="2072">
        <f>SUM(BT77:BW77)</f>
        <v>-8.0419999999999998</v>
      </c>
      <c r="BY77" s="758"/>
      <c r="BZ77" s="758"/>
      <c r="CA77" s="758"/>
      <c r="CB77" s="758"/>
      <c r="CC77" s="2072">
        <f>SUM(BY77:CB77)</f>
        <v>0</v>
      </c>
      <c r="CD77" s="758"/>
      <c r="CE77" s="758"/>
      <c r="CF77" s="758"/>
      <c r="CG77" s="758"/>
      <c r="CH77" s="2072"/>
      <c r="CI77" s="2072"/>
      <c r="CJ77" s="2072"/>
      <c r="CK77" s="2072"/>
      <c r="CL77" s="2072"/>
      <c r="CM77" s="756">
        <f>6000/105</f>
        <v>57.142857142857146</v>
      </c>
      <c r="CN77" s="739"/>
      <c r="CO77" s="755"/>
      <c r="CP77"/>
      <c r="CQ77"/>
      <c r="CR77"/>
      <c r="CS77"/>
      <c r="CT77"/>
      <c r="CU77"/>
    </row>
    <row r="78" spans="1:99">
      <c r="A78" s="755"/>
      <c r="B78" s="755" t="s">
        <v>445</v>
      </c>
      <c r="C78" s="755"/>
      <c r="D78" s="755"/>
      <c r="E78" s="755"/>
      <c r="F78" s="832"/>
      <c r="G78" s="832"/>
      <c r="H78" s="757">
        <v>-13.6</v>
      </c>
      <c r="I78" s="757">
        <v>-8.5</v>
      </c>
      <c r="J78" s="757">
        <v>-10.9</v>
      </c>
      <c r="K78" s="757">
        <v>-11.8</v>
      </c>
      <c r="L78" s="810">
        <v>-2.3919999999999999</v>
      </c>
      <c r="M78" s="810">
        <v>0</v>
      </c>
      <c r="N78" s="810">
        <v>0</v>
      </c>
      <c r="O78" s="810">
        <v>0</v>
      </c>
      <c r="P78" s="757">
        <v>-21.8</v>
      </c>
      <c r="Q78" s="810">
        <v>-1.1830000000000001</v>
      </c>
      <c r="R78" s="810">
        <v>-4.6189999999999998</v>
      </c>
      <c r="S78" s="810">
        <v>-8.0370000000000008</v>
      </c>
      <c r="T78" s="810">
        <v>-8.761000000000001</v>
      </c>
      <c r="U78" s="757">
        <v>-22.6</v>
      </c>
      <c r="V78" s="758">
        <f>V86</f>
        <v>-6.4790000000000001</v>
      </c>
      <c r="W78" s="758">
        <f>W86</f>
        <v>-6.45</v>
      </c>
      <c r="X78" s="758">
        <f>X86</f>
        <v>-9.2759999999999998</v>
      </c>
      <c r="Y78" s="758">
        <f>Y86</f>
        <v>-11.094999999999999</v>
      </c>
      <c r="Z78" s="757">
        <f>SUM(V78:Y78)</f>
        <v>-33.299999999999997</v>
      </c>
      <c r="AA78" s="758">
        <f>AA86</f>
        <v>-7.8470000000000004</v>
      </c>
      <c r="AB78" s="758">
        <f>AB86</f>
        <v>-7.1139999999999999</v>
      </c>
      <c r="AC78" s="758">
        <f>AC86</f>
        <v>-6.7350000000000003</v>
      </c>
      <c r="AD78" s="758">
        <f>AD86</f>
        <v>-6.6040000000000001</v>
      </c>
      <c r="AE78" s="757">
        <f>SUM(AA78:AD78)</f>
        <v>-28.3</v>
      </c>
      <c r="AF78" s="758">
        <f t="shared" ref="AF78:CH78" si="53">AF86</f>
        <v>-12</v>
      </c>
      <c r="AG78" s="758">
        <f t="shared" si="53"/>
        <v>-10.76</v>
      </c>
      <c r="AH78" s="758">
        <f t="shared" si="53"/>
        <v>-14.554</v>
      </c>
      <c r="AI78" s="758">
        <f t="shared" si="53"/>
        <v>-13.086</v>
      </c>
      <c r="AJ78" s="757">
        <f t="shared" si="53"/>
        <v>-50.4</v>
      </c>
      <c r="AK78" s="758">
        <f t="shared" si="53"/>
        <v>-4.3559999999999999</v>
      </c>
      <c r="AL78" s="758">
        <f t="shared" si="53"/>
        <v>-2.8460000000000001</v>
      </c>
      <c r="AM78" s="758">
        <f t="shared" si="53"/>
        <v>-6.798</v>
      </c>
      <c r="AN78" s="758">
        <f t="shared" si="53"/>
        <v>-4.6559999999999997</v>
      </c>
      <c r="AO78" s="757">
        <f t="shared" si="53"/>
        <v>-18.655999999999999</v>
      </c>
      <c r="AP78" s="758">
        <f t="shared" si="53"/>
        <v>-7.181</v>
      </c>
      <c r="AQ78" s="758">
        <f t="shared" si="53"/>
        <v>-9.4969999999999999</v>
      </c>
      <c r="AR78" s="758">
        <f t="shared" si="53"/>
        <v>-7.12</v>
      </c>
      <c r="AS78" s="758">
        <f t="shared" si="53"/>
        <v>-7.2649999999999997</v>
      </c>
      <c r="AT78" s="757">
        <f t="shared" si="53"/>
        <v>-31.063000000000002</v>
      </c>
      <c r="AU78" s="758">
        <f t="shared" si="53"/>
        <v>-9.1180000000000003</v>
      </c>
      <c r="AV78" s="758">
        <f t="shared" si="53"/>
        <v>-8.7240000000000002</v>
      </c>
      <c r="AW78" s="758">
        <f t="shared" si="53"/>
        <v>-9.1</v>
      </c>
      <c r="AX78" s="758">
        <f t="shared" si="53"/>
        <v>0</v>
      </c>
      <c r="AY78" s="757">
        <f t="shared" si="53"/>
        <v>-26.942</v>
      </c>
      <c r="AZ78" s="758">
        <f t="shared" si="53"/>
        <v>0</v>
      </c>
      <c r="BA78" s="758">
        <f t="shared" si="53"/>
        <v>0</v>
      </c>
      <c r="BB78" s="758">
        <f t="shared" si="53"/>
        <v>0</v>
      </c>
      <c r="BC78" s="758">
        <f t="shared" si="53"/>
        <v>0</v>
      </c>
      <c r="BD78" s="757">
        <f t="shared" si="53"/>
        <v>0</v>
      </c>
      <c r="BE78" s="758">
        <f t="shared" si="53"/>
        <v>-3.8530000000000002</v>
      </c>
      <c r="BF78" s="758">
        <f t="shared" si="53"/>
        <v>-3.6070000000000002</v>
      </c>
      <c r="BG78" s="758">
        <f t="shared" si="53"/>
        <v>-3.2890000000000001</v>
      </c>
      <c r="BH78" s="758">
        <f t="shared" si="53"/>
        <v>-1.8480000000000001</v>
      </c>
      <c r="BI78" s="757">
        <f t="shared" si="53"/>
        <v>-12.597000000000001</v>
      </c>
      <c r="BJ78" s="758">
        <f t="shared" si="53"/>
        <v>-2.9510000000000001</v>
      </c>
      <c r="BK78" s="758">
        <f t="shared" si="53"/>
        <v>-2.8580000000000001</v>
      </c>
      <c r="BL78" s="758">
        <f t="shared" si="53"/>
        <v>-3.7909999999999995</v>
      </c>
      <c r="BM78" s="758">
        <f t="shared" si="53"/>
        <v>-3.8629999999999995</v>
      </c>
      <c r="BN78" s="757">
        <f t="shared" si="53"/>
        <v>-13.462999999999999</v>
      </c>
      <c r="BO78" s="758">
        <f t="shared" si="53"/>
        <v>-21.6</v>
      </c>
      <c r="BP78" s="758">
        <f t="shared" si="53"/>
        <v>0</v>
      </c>
      <c r="BQ78" s="758">
        <f t="shared" si="53"/>
        <v>-15.169</v>
      </c>
      <c r="BR78" s="758">
        <f t="shared" si="53"/>
        <v>-51.902999999999999</v>
      </c>
      <c r="BS78" s="757">
        <f t="shared" si="53"/>
        <v>-88.671999999999997</v>
      </c>
      <c r="BT78" s="758">
        <v>0</v>
      </c>
      <c r="BU78" s="758">
        <f t="shared" ref="BU78:CB78" si="54">BU86</f>
        <v>-0.36399999999999999</v>
      </c>
      <c r="BV78" s="758">
        <f t="shared" si="54"/>
        <v>-6.3739999999999997</v>
      </c>
      <c r="BW78" s="758">
        <f t="shared" si="54"/>
        <v>-15.444000000000001</v>
      </c>
      <c r="BX78" s="2072">
        <f t="shared" si="54"/>
        <v>-22.182000000000002</v>
      </c>
      <c r="BY78" s="758">
        <f t="shared" si="54"/>
        <v>-8.39</v>
      </c>
      <c r="BZ78" s="758">
        <f t="shared" si="54"/>
        <v>-3.8319999999999999</v>
      </c>
      <c r="CA78" s="758">
        <f t="shared" si="54"/>
        <v>-0.51330021767036893</v>
      </c>
      <c r="CB78" s="758">
        <f t="shared" si="54"/>
        <v>0</v>
      </c>
      <c r="CC78" s="757">
        <f t="shared" si="53"/>
        <v>-12.735300217670371</v>
      </c>
      <c r="CD78" s="758">
        <f>CD86</f>
        <v>0</v>
      </c>
      <c r="CE78" s="758">
        <f>CE86</f>
        <v>0</v>
      </c>
      <c r="CF78" s="758">
        <f>CF86</f>
        <v>0</v>
      </c>
      <c r="CG78" s="758">
        <f>CG86</f>
        <v>0</v>
      </c>
      <c r="CH78" s="757">
        <f t="shared" si="53"/>
        <v>0</v>
      </c>
      <c r="CI78" s="757">
        <f>CI86</f>
        <v>0</v>
      </c>
      <c r="CJ78" s="2072">
        <f>CJ86</f>
        <v>0</v>
      </c>
      <c r="CK78" s="2072">
        <f>CK86</f>
        <v>0</v>
      </c>
      <c r="CL78" s="757"/>
      <c r="CM78" s="756"/>
      <c r="CN78" s="739"/>
      <c r="CO78" s="755"/>
    </row>
    <row r="79" spans="1:99">
      <c r="A79" s="777"/>
      <c r="B79" s="777" t="s">
        <v>444</v>
      </c>
      <c r="C79" s="777"/>
      <c r="D79" s="777"/>
      <c r="E79" s="777"/>
      <c r="F79" s="828"/>
      <c r="G79" s="828"/>
      <c r="H79" s="814">
        <v>940.59199999999987</v>
      </c>
      <c r="I79" s="814">
        <v>944.31799999999998</v>
      </c>
      <c r="J79" s="814">
        <v>939.24</v>
      </c>
      <c r="K79" s="814">
        <v>1028.2</v>
      </c>
      <c r="L79" s="816">
        <v>1025.808</v>
      </c>
      <c r="M79" s="816">
        <v>1025.808</v>
      </c>
      <c r="N79" s="816">
        <v>1025.808</v>
      </c>
      <c r="O79" s="816">
        <v>1023.4</v>
      </c>
      <c r="P79" s="814">
        <v>1022.2</v>
      </c>
      <c r="Q79" s="816">
        <v>1023.64</v>
      </c>
      <c r="R79" s="816">
        <v>1024.76</v>
      </c>
      <c r="S79" s="816">
        <v>1025.76</v>
      </c>
      <c r="T79" s="839">
        <v>1013.853</v>
      </c>
      <c r="U79" s="814">
        <v>1013.853</v>
      </c>
      <c r="V79" s="815">
        <v>1010.868329</v>
      </c>
      <c r="W79" s="815">
        <v>1011.429722</v>
      </c>
      <c r="X79" s="815">
        <v>1003.6508700000001</v>
      </c>
      <c r="Y79" s="815">
        <f>Z79</f>
        <v>995.7</v>
      </c>
      <c r="Z79" s="814">
        <v>995.7</v>
      </c>
      <c r="AA79" s="815">
        <v>994.43036700000005</v>
      </c>
      <c r="AB79" s="815">
        <v>991.78373299999998</v>
      </c>
      <c r="AC79" s="815">
        <f>988.508102</f>
        <v>988.50810200000001</v>
      </c>
      <c r="AD79" s="815">
        <f>AE79</f>
        <v>983.54699999999991</v>
      </c>
      <c r="AE79" s="814">
        <f>(1364.791-381.244)</f>
        <v>983.54699999999991</v>
      </c>
      <c r="AF79" s="815">
        <v>973.20364400000005</v>
      </c>
      <c r="AG79" s="815">
        <v>964.35680600000001</v>
      </c>
      <c r="AH79" s="815">
        <v>950.61604899999998</v>
      </c>
      <c r="AI79" s="815">
        <f>1370.054-426.113</f>
        <v>943.94100000000003</v>
      </c>
      <c r="AJ79" s="814">
        <f>SUM(AJ75:AJ78)</f>
        <v>943.94100000000003</v>
      </c>
      <c r="AK79" s="815">
        <f>942.035668</f>
        <v>942.03566799999999</v>
      </c>
      <c r="AL79" s="815">
        <v>941.27340100000004</v>
      </c>
      <c r="AM79" s="815">
        <v>937.53941699999996</v>
      </c>
      <c r="AN79" s="815">
        <f>1381.7-444.958</f>
        <v>936.74199999999996</v>
      </c>
      <c r="AO79" s="814">
        <f>SUM(AO75:AO78)</f>
        <v>936.74199999999996</v>
      </c>
      <c r="AP79" s="815">
        <v>933.08004800000003</v>
      </c>
      <c r="AQ79" s="815">
        <v>929.06971599999997</v>
      </c>
      <c r="AR79" s="815">
        <v>923.40709400000003</v>
      </c>
      <c r="AS79" s="815">
        <f>1393.237-472.028</f>
        <v>921.20900000000006</v>
      </c>
      <c r="AT79" s="814">
        <f>SUM(AT75:AT78)</f>
        <v>921.20900000000006</v>
      </c>
      <c r="AU79" s="815">
        <v>915.26193799999999</v>
      </c>
      <c r="AV79" s="815">
        <v>908.71293100000003</v>
      </c>
      <c r="AW79" s="815">
        <v>906.08766900000001</v>
      </c>
      <c r="AX79" s="815">
        <f>1400.212-492.99</f>
        <v>907.22199999999998</v>
      </c>
      <c r="AY79" s="814">
        <f>SUM(AY75:AY78)</f>
        <v>907.22199999999998</v>
      </c>
      <c r="AZ79" s="815">
        <v>911.35815200000002</v>
      </c>
      <c r="BA79" s="815">
        <v>911.78723500000001</v>
      </c>
      <c r="BB79" s="815">
        <v>916.54452800000001</v>
      </c>
      <c r="BC79" s="815">
        <f>1407.78-488.931</f>
        <v>918.84899999999993</v>
      </c>
      <c r="BD79" s="814">
        <f>SUM(BD75:BD78)</f>
        <v>918.84899999999993</v>
      </c>
      <c r="BE79" s="815">
        <v>919.30070999999998</v>
      </c>
      <c r="BF79" s="815">
        <v>917.50931500000002</v>
      </c>
      <c r="BG79" s="815">
        <v>917.58196499999997</v>
      </c>
      <c r="BH79" s="815">
        <f>1417.724-501.038</f>
        <v>916.68599999999992</v>
      </c>
      <c r="BI79" s="814">
        <f>+BH79</f>
        <v>916.68599999999992</v>
      </c>
      <c r="BJ79" s="815">
        <v>916.73132899999996</v>
      </c>
      <c r="BK79" s="815">
        <v>914.81001600000002</v>
      </c>
      <c r="BL79" s="815">
        <v>911.65832499999999</v>
      </c>
      <c r="BM79" s="815">
        <f>1423.684-514.309</f>
        <v>909.375</v>
      </c>
      <c r="BN79" s="814">
        <f>SUM(BN75:BN78)</f>
        <v>909.375</v>
      </c>
      <c r="BO79" s="815">
        <v>890.20179399999995</v>
      </c>
      <c r="BP79" s="815">
        <v>890.59774500000003</v>
      </c>
      <c r="BQ79" s="815">
        <v>887.020937</v>
      </c>
      <c r="BR79" s="815">
        <v>836.43200999999999</v>
      </c>
      <c r="BS79" s="814">
        <f>SUM(BS75:BS78)</f>
        <v>836.43200999999999</v>
      </c>
      <c r="BT79" s="815">
        <v>836.86568399999999</v>
      </c>
      <c r="BU79" s="815">
        <v>836.92694900000004</v>
      </c>
      <c r="BV79" s="815">
        <v>823.40568699999994</v>
      </c>
      <c r="BW79" s="815">
        <v>805.86174000000005</v>
      </c>
      <c r="BX79" s="2075">
        <f t="shared" ref="BX79:CK79" si="55">SUM(BX75:BX78)</f>
        <v>805.86174000000005</v>
      </c>
      <c r="BY79" s="815">
        <v>801.22750399999995</v>
      </c>
      <c r="BZ79" s="2315">
        <v>798.772783</v>
      </c>
      <c r="CA79" s="815">
        <f t="shared" si="55"/>
        <v>799.6367617823297</v>
      </c>
      <c r="CB79" s="815">
        <f t="shared" si="55"/>
        <v>801.01404078232974</v>
      </c>
      <c r="CC79" s="814">
        <f t="shared" si="55"/>
        <v>801.01404078232974</v>
      </c>
      <c r="CD79" s="815">
        <f t="shared" si="55"/>
        <v>802.98594103232972</v>
      </c>
      <c r="CE79" s="815">
        <f t="shared" si="55"/>
        <v>804.9578412823297</v>
      </c>
      <c r="CF79" s="815">
        <f t="shared" si="55"/>
        <v>806.92974153232967</v>
      </c>
      <c r="CG79" s="815">
        <f t="shared" si="55"/>
        <v>808.90164178232965</v>
      </c>
      <c r="CH79" s="814">
        <f t="shared" si="55"/>
        <v>808.90164178232976</v>
      </c>
      <c r="CI79" s="814">
        <f t="shared" si="55"/>
        <v>816.78924278232978</v>
      </c>
      <c r="CJ79" s="2075">
        <f t="shared" si="55"/>
        <v>824.6768437823298</v>
      </c>
      <c r="CK79" s="2075">
        <f t="shared" si="55"/>
        <v>832.56444478232982</v>
      </c>
      <c r="CL79" s="814"/>
      <c r="CM79" s="778"/>
      <c r="CN79" s="749"/>
      <c r="CO79" s="777"/>
    </row>
    <row r="80" spans="1:99">
      <c r="A80" s="777"/>
      <c r="B80" s="755" t="s">
        <v>427</v>
      </c>
      <c r="C80" s="777"/>
      <c r="D80" s="777"/>
      <c r="E80" s="777"/>
      <c r="F80" s="828"/>
      <c r="G80" s="828"/>
      <c r="H80" s="814"/>
      <c r="I80" s="814"/>
      <c r="J80" s="814"/>
      <c r="K80" s="814"/>
      <c r="L80" s="816"/>
      <c r="M80" s="816"/>
      <c r="N80" s="816"/>
      <c r="O80" s="816"/>
      <c r="P80" s="814"/>
      <c r="Q80" s="816"/>
      <c r="R80" s="816"/>
      <c r="S80" s="816"/>
      <c r="T80" s="839"/>
      <c r="U80" s="814"/>
      <c r="V80" s="815"/>
      <c r="W80" s="815"/>
      <c r="X80" s="815"/>
      <c r="Y80" s="815"/>
      <c r="Z80" s="814"/>
      <c r="AA80" s="815"/>
      <c r="AB80" s="815"/>
      <c r="AC80" s="815"/>
      <c r="AD80" s="815"/>
      <c r="AE80" s="814"/>
      <c r="AF80" s="815"/>
      <c r="AG80" s="815"/>
      <c r="AH80" s="815"/>
      <c r="AI80" s="815"/>
      <c r="AJ80" s="814"/>
      <c r="AK80" s="815"/>
      <c r="AL80" s="815"/>
      <c r="AM80" s="815"/>
      <c r="AN80" s="815"/>
      <c r="AO80" s="814"/>
      <c r="AP80" s="815"/>
      <c r="AQ80" s="815"/>
      <c r="AR80" s="815"/>
      <c r="AS80" s="815"/>
      <c r="AT80" s="814"/>
      <c r="AU80" s="815"/>
      <c r="AV80" s="815"/>
      <c r="AW80" s="815"/>
      <c r="AX80" s="815"/>
      <c r="AY80" s="814"/>
      <c r="AZ80" s="815"/>
      <c r="BA80" s="815"/>
      <c r="BB80" s="815"/>
      <c r="BC80" s="815"/>
      <c r="BD80" s="814"/>
      <c r="BE80" s="815"/>
      <c r="BF80" s="815"/>
      <c r="BG80" s="815"/>
      <c r="BH80" s="815"/>
      <c r="BI80" s="814"/>
      <c r="BJ80" s="758">
        <f t="shared" ref="BJ80:BQ80" si="56">AVERAGE(BJ79,BJ75)</f>
        <v>916.70866449999994</v>
      </c>
      <c r="BK80" s="758">
        <f t="shared" si="56"/>
        <v>915.77067250000005</v>
      </c>
      <c r="BL80" s="758">
        <f t="shared" si="56"/>
        <v>913.2341705</v>
      </c>
      <c r="BM80" s="758">
        <f t="shared" si="56"/>
        <v>910.51666249999994</v>
      </c>
      <c r="BN80" s="757">
        <f t="shared" si="56"/>
        <v>913.03049999999996</v>
      </c>
      <c r="BO80" s="758">
        <f t="shared" si="56"/>
        <v>899.78839700000003</v>
      </c>
      <c r="BP80" s="758">
        <f t="shared" si="56"/>
        <v>890.39976950000005</v>
      </c>
      <c r="BQ80" s="758">
        <f t="shared" si="56"/>
        <v>888.80934100000002</v>
      </c>
      <c r="BR80" s="1886">
        <v>850</v>
      </c>
      <c r="BS80" s="757">
        <f>AVERAGE(BO80:BR80)</f>
        <v>882.24937687500005</v>
      </c>
      <c r="BT80" s="758">
        <f>AVERAGE(BT79,BT75)</f>
        <v>836.64884699999993</v>
      </c>
      <c r="BU80" s="758">
        <f>AVERAGE(BU79,BU75)</f>
        <v>836.89631650000001</v>
      </c>
      <c r="BV80" s="758">
        <f>AVERAGE(BV79,BV75)</f>
        <v>830.16631800000005</v>
      </c>
      <c r="BW80" s="758">
        <f>AVERAGE(BW79,BW75)</f>
        <v>814.6337135</v>
      </c>
      <c r="BX80" s="2072">
        <f>AVERAGE(BT80:BW80)</f>
        <v>829.58629874999997</v>
      </c>
      <c r="BY80" s="758">
        <f t="shared" ref="BY80:CK80" si="57">AVERAGE(BY79,BY75)</f>
        <v>803.544622</v>
      </c>
      <c r="BZ80" s="758">
        <f t="shared" si="57"/>
        <v>800.00014349999992</v>
      </c>
      <c r="CA80" s="758">
        <f t="shared" si="57"/>
        <v>799.20477239116485</v>
      </c>
      <c r="CB80" s="758">
        <f t="shared" si="57"/>
        <v>800.32540128232972</v>
      </c>
      <c r="CC80" s="814">
        <f t="shared" si="57"/>
        <v>803.43789039116496</v>
      </c>
      <c r="CD80" s="758">
        <f t="shared" si="57"/>
        <v>801.99999090732967</v>
      </c>
      <c r="CE80" s="758">
        <f t="shared" si="57"/>
        <v>803.97189115732976</v>
      </c>
      <c r="CF80" s="758">
        <f t="shared" si="57"/>
        <v>805.94379140732963</v>
      </c>
      <c r="CG80" s="758">
        <f t="shared" si="57"/>
        <v>807.91569165732972</v>
      </c>
      <c r="CH80" s="814">
        <f t="shared" si="57"/>
        <v>804.95784128232981</v>
      </c>
      <c r="CI80" s="814">
        <f t="shared" si="57"/>
        <v>812.84544228232971</v>
      </c>
      <c r="CJ80" s="2075">
        <f t="shared" si="57"/>
        <v>820.73304328232985</v>
      </c>
      <c r="CK80" s="2075">
        <f t="shared" si="57"/>
        <v>828.62064428232975</v>
      </c>
      <c r="CL80" s="814"/>
      <c r="CM80" s="778"/>
      <c r="CN80" s="749"/>
      <c r="CO80" s="777"/>
    </row>
    <row r="81" spans="1:93">
      <c r="A81" s="755"/>
      <c r="B81" s="755"/>
      <c r="C81" s="755"/>
      <c r="D81" s="755"/>
      <c r="E81" s="755"/>
      <c r="F81" s="832"/>
      <c r="G81" s="832"/>
      <c r="H81" s="836"/>
      <c r="I81" s="836"/>
      <c r="J81" s="836"/>
      <c r="K81" s="836"/>
      <c r="L81" s="835"/>
      <c r="M81" s="835"/>
      <c r="N81" s="835"/>
      <c r="O81" s="835"/>
      <c r="P81" s="836"/>
      <c r="Q81" s="835"/>
      <c r="R81" s="835"/>
      <c r="S81" s="835"/>
      <c r="T81" s="838"/>
      <c r="U81" s="836"/>
      <c r="V81" s="833"/>
      <c r="W81" s="833"/>
      <c r="X81" s="833"/>
      <c r="Y81" s="833"/>
      <c r="Z81" s="836"/>
      <c r="AA81" s="833"/>
      <c r="AB81" s="833"/>
      <c r="AC81" s="833"/>
      <c r="AD81" s="833"/>
      <c r="AE81" s="836"/>
      <c r="AF81" s="833"/>
      <c r="AG81" s="833"/>
      <c r="AH81" s="833"/>
      <c r="AI81" s="833"/>
      <c r="AJ81" s="836"/>
      <c r="AK81" s="833"/>
      <c r="AL81" s="833"/>
      <c r="AM81" s="833"/>
      <c r="AN81" s="833"/>
      <c r="AO81" s="836"/>
      <c r="AP81" s="833"/>
      <c r="AQ81" s="833"/>
      <c r="AR81" s="833"/>
      <c r="AS81" s="833"/>
      <c r="AT81" s="836"/>
      <c r="AU81" s="833"/>
      <c r="AV81" s="833"/>
      <c r="AW81" s="833"/>
      <c r="AX81" s="833"/>
      <c r="AY81" s="836"/>
      <c r="AZ81" s="833"/>
      <c r="BA81" s="833"/>
      <c r="BB81" s="833"/>
      <c r="BC81" s="833"/>
      <c r="BD81" s="836"/>
      <c r="BE81" s="833"/>
      <c r="BF81" s="837"/>
      <c r="BG81" s="837"/>
      <c r="BH81" s="833"/>
      <c r="BI81" s="836"/>
      <c r="BJ81" s="833"/>
      <c r="BK81" s="833"/>
      <c r="BL81" s="833"/>
      <c r="BM81" s="833"/>
      <c r="BN81" s="836"/>
      <c r="BO81" s="833"/>
      <c r="BP81" s="833"/>
      <c r="BQ81" s="833"/>
      <c r="BR81" s="833"/>
      <c r="BS81" s="836"/>
      <c r="BT81" s="833"/>
      <c r="BU81" s="833"/>
      <c r="BV81" s="833"/>
      <c r="BW81" s="833"/>
      <c r="BX81" s="836"/>
      <c r="BY81" s="833"/>
      <c r="BZ81" s="833"/>
      <c r="CA81" s="833"/>
      <c r="CB81" s="833"/>
      <c r="CC81" s="836"/>
      <c r="CD81" s="833"/>
      <c r="CE81" s="833"/>
      <c r="CF81" s="833"/>
      <c r="CG81" s="833"/>
      <c r="CH81" s="836"/>
      <c r="CI81" s="836"/>
      <c r="CJ81" s="836"/>
      <c r="CK81" s="836"/>
      <c r="CL81" s="836"/>
      <c r="CM81" s="756"/>
      <c r="CN81" s="739"/>
      <c r="CO81" s="755"/>
    </row>
    <row r="82" spans="1:93">
      <c r="A82" s="755"/>
      <c r="B82" s="755" t="s">
        <v>443</v>
      </c>
      <c r="C82" s="755"/>
      <c r="D82" s="755"/>
      <c r="E82" s="755"/>
      <c r="F82" s="832"/>
      <c r="G82" s="832"/>
      <c r="H82" s="831">
        <v>9.4</v>
      </c>
      <c r="I82" s="831">
        <v>10.3</v>
      </c>
      <c r="J82" s="831">
        <v>8.3000000000000007</v>
      </c>
      <c r="K82" s="831">
        <v>100.76</v>
      </c>
      <c r="L82" s="835"/>
      <c r="M82" s="835"/>
      <c r="N82" s="835"/>
      <c r="O82" s="835"/>
      <c r="P82" s="831">
        <v>15.876000000000204</v>
      </c>
      <c r="Q82" s="835">
        <v>2.6230000000000473</v>
      </c>
      <c r="R82" s="835">
        <v>5.7389999999999191</v>
      </c>
      <c r="S82" s="835">
        <v>9.0370000000000346</v>
      </c>
      <c r="T82" s="810">
        <v>-3.1460000000000719</v>
      </c>
      <c r="U82" s="831">
        <v>14.252999999999929</v>
      </c>
      <c r="V82" s="833">
        <f>V76</f>
        <v>3.494329000000107</v>
      </c>
      <c r="W82" s="833">
        <f>W76</f>
        <v>7.0113929999999982</v>
      </c>
      <c r="X82" s="833">
        <f>X76</f>
        <v>1.4971480000000383</v>
      </c>
      <c r="Y82" s="833">
        <f>Y76</f>
        <v>3.1441300000000183</v>
      </c>
      <c r="Z82" s="831">
        <f>SUM(V82:Y82)</f>
        <v>15.147000000000162</v>
      </c>
      <c r="AA82" s="833">
        <f>AA76</f>
        <v>6.5773669999999811</v>
      </c>
      <c r="AB82" s="833">
        <f>AB76</f>
        <v>4.46736599999997</v>
      </c>
      <c r="AC82" s="833">
        <f>AC76</f>
        <v>3.4593690000000379</v>
      </c>
      <c r="AD82" s="833">
        <f>AD76</f>
        <v>1.6428979999999456</v>
      </c>
      <c r="AE82" s="831">
        <f>SUM(AA82:AD82)</f>
        <v>16.146999999999935</v>
      </c>
      <c r="AF82" s="833">
        <f>AF76</f>
        <v>1.6566440000001421</v>
      </c>
      <c r="AG82" s="833">
        <f>AG76</f>
        <v>1.913161999999943</v>
      </c>
      <c r="AH82" s="833">
        <f>AH76</f>
        <v>0.81324299999994309</v>
      </c>
      <c r="AI82" s="833">
        <f>AI76</f>
        <v>6.4109510000000558</v>
      </c>
      <c r="AJ82" s="831">
        <f>SUM(AF82:AI82)</f>
        <v>10.794000000000084</v>
      </c>
      <c r="AK82" s="833">
        <f>AK76</f>
        <v>2.4506679999999559</v>
      </c>
      <c r="AL82" s="833">
        <f>AL76</f>
        <v>2.0837330000000485</v>
      </c>
      <c r="AM82" s="833">
        <f>AM76</f>
        <v>3.0640159999999224</v>
      </c>
      <c r="AN82" s="833">
        <f>AN76</f>
        <v>3.8585830000000039</v>
      </c>
      <c r="AO82" s="831">
        <f>SUM(AK82:AN82)</f>
        <v>11.45699999999993</v>
      </c>
      <c r="AP82" s="833">
        <f>AP76</f>
        <v>3.5190480000000717</v>
      </c>
      <c r="AQ82" s="833">
        <f>AQ76</f>
        <v>5.4866679999999377</v>
      </c>
      <c r="AR82" s="833">
        <f>AR76</f>
        <v>1.457378000000058</v>
      </c>
      <c r="AS82" s="833">
        <f>AS76</f>
        <v>5.0669060000000306</v>
      </c>
      <c r="AT82" s="831">
        <f>SUM(AP82:AS82)</f>
        <v>15.530000000000101</v>
      </c>
      <c r="AU82" s="833">
        <f>AU76</f>
        <v>3.1709379999999268</v>
      </c>
      <c r="AV82" s="833">
        <f>AV76</f>
        <v>2.1749930000000397</v>
      </c>
      <c r="AW82" s="833">
        <f>AW76</f>
        <v>6.474737999999979</v>
      </c>
      <c r="AX82" s="833">
        <f>AX76</f>
        <v>1.1343309999999747</v>
      </c>
      <c r="AY82" s="831">
        <f>SUM(AU82:AX82)</f>
        <v>12.95499999999992</v>
      </c>
      <c r="AZ82" s="833">
        <f>AZ76</f>
        <v>4.1361520000000382</v>
      </c>
      <c r="BA82" s="833">
        <f>BA76</f>
        <v>0.42908299999999144</v>
      </c>
      <c r="BB82" s="833">
        <f>BB76</f>
        <v>4.7572930000000042</v>
      </c>
      <c r="BC82" s="833">
        <f>BC76</f>
        <v>2.3044719999999188</v>
      </c>
      <c r="BD82" s="831">
        <f>SUM(AZ82:BC82)</f>
        <v>11.626999999999953</v>
      </c>
      <c r="BE82" s="833">
        <f>BE76</f>
        <v>4.304710000000048</v>
      </c>
      <c r="BF82" s="833">
        <f>BF76</f>
        <v>1.8156050000000343</v>
      </c>
      <c r="BG82" s="833">
        <f>BG76</f>
        <v>3.3616499999999534</v>
      </c>
      <c r="BH82" s="833">
        <f>BH76</f>
        <v>0.95203499999995356</v>
      </c>
      <c r="BI82" s="831">
        <f>SUM(BE82:BH82)</f>
        <v>10.43399999999999</v>
      </c>
      <c r="BJ82" s="833">
        <f>BJ76</f>
        <v>2.996329000000038</v>
      </c>
      <c r="BK82" s="833">
        <f>BK76</f>
        <v>0.93668700000005911</v>
      </c>
      <c r="BL82" s="833">
        <f>BL76</f>
        <v>0.63930899999997148</v>
      </c>
      <c r="BM82" s="833">
        <f>BM76</f>
        <v>1.5796750000000088</v>
      </c>
      <c r="BN82" s="831">
        <f>SUM(BJ82:BM82)</f>
        <v>6.1520000000000774</v>
      </c>
      <c r="BO82" s="833">
        <f>BO76</f>
        <v>2.4267939999999513</v>
      </c>
      <c r="BP82" s="833">
        <f>BP76</f>
        <v>0.39595100000008188</v>
      </c>
      <c r="BQ82" s="834">
        <f>BQ76</f>
        <v>11.592191999999972</v>
      </c>
      <c r="BR82" s="833">
        <f>BR76</f>
        <v>1.3140729999999863</v>
      </c>
      <c r="BS82" s="831">
        <f>SUM(BO82:BR82)</f>
        <v>15.729009999999992</v>
      </c>
      <c r="BT82" s="833">
        <f>BT76</f>
        <v>0.43367399999999634</v>
      </c>
      <c r="BU82" s="833">
        <f t="shared" ref="BU82:BZ82" si="58">BU76</f>
        <v>0.42526500000004852</v>
      </c>
      <c r="BV82" s="833">
        <f t="shared" si="58"/>
        <v>0.894737999999907</v>
      </c>
      <c r="BW82" s="833">
        <f t="shared" si="58"/>
        <v>-2.0999469999998883</v>
      </c>
      <c r="BX82" s="831">
        <f>SUM(BT82:BW82)</f>
        <v>-0.34626999999993657</v>
      </c>
      <c r="BY82" s="833">
        <f t="shared" si="58"/>
        <v>3.7557639999998997</v>
      </c>
      <c r="BZ82" s="833">
        <f t="shared" si="58"/>
        <v>1.3772790000000503</v>
      </c>
      <c r="CA82" s="833">
        <f>BZ82</f>
        <v>1.3772790000000503</v>
      </c>
      <c r="CB82" s="833">
        <f t="shared" ref="CB82" si="59">CA82</f>
        <v>1.3772790000000503</v>
      </c>
      <c r="CC82" s="831">
        <f>SUM(BY82:CB82)</f>
        <v>7.8876010000000507</v>
      </c>
      <c r="CD82" s="833">
        <f>CH82/4</f>
        <v>1.9719002500000127</v>
      </c>
      <c r="CE82" s="833">
        <f t="shared" ref="CE82:CG83" si="60">CD82</f>
        <v>1.9719002500000127</v>
      </c>
      <c r="CF82" s="833">
        <f t="shared" si="60"/>
        <v>1.9719002500000127</v>
      </c>
      <c r="CG82" s="833">
        <f t="shared" si="60"/>
        <v>1.9719002500000127</v>
      </c>
      <c r="CH82" s="2236">
        <f>CC82</f>
        <v>7.8876010000000507</v>
      </c>
      <c r="CI82" s="2236">
        <f>CH82</f>
        <v>7.8876010000000507</v>
      </c>
      <c r="CJ82" s="2236">
        <f t="shared" ref="CJ82:CK82" si="61">CI82</f>
        <v>7.8876010000000507</v>
      </c>
      <c r="CK82" s="2236">
        <f t="shared" si="61"/>
        <v>7.8876010000000507</v>
      </c>
      <c r="CL82" s="831"/>
      <c r="CM82" s="756"/>
      <c r="CN82" s="739"/>
      <c r="CO82" s="755"/>
    </row>
    <row r="83" spans="1:93">
      <c r="A83" s="755"/>
      <c r="B83" s="755" t="s">
        <v>438</v>
      </c>
      <c r="C83" s="755"/>
      <c r="D83" s="755"/>
      <c r="E83" s="755"/>
      <c r="F83" s="832"/>
      <c r="G83" s="832"/>
      <c r="H83" s="829">
        <v>46.595744680851062</v>
      </c>
      <c r="I83" s="829">
        <v>30.582524271844658</v>
      </c>
      <c r="J83" s="829">
        <v>22.048192771084334</v>
      </c>
      <c r="K83" s="829">
        <v>3.2850337435490276</v>
      </c>
      <c r="L83" s="763"/>
      <c r="M83" s="763"/>
      <c r="N83" s="763"/>
      <c r="O83" s="763"/>
      <c r="P83" s="829">
        <v>27.147896195514896</v>
      </c>
      <c r="Q83" s="779">
        <v>32.786885245901047</v>
      </c>
      <c r="R83" s="779">
        <v>13.242725213452008</v>
      </c>
      <c r="S83" s="779">
        <v>6.4180590904060839</v>
      </c>
      <c r="T83" s="810">
        <v>-19.707565162110168</v>
      </c>
      <c r="U83" s="829">
        <v>19.785308356135648</v>
      </c>
      <c r="V83" s="739">
        <f t="shared" ref="V83:BH83" si="62">V84/V82</f>
        <v>29.762509483221763</v>
      </c>
      <c r="W83" s="739">
        <f t="shared" si="62"/>
        <v>15.831376161627229</v>
      </c>
      <c r="X83" s="739">
        <f t="shared" si="62"/>
        <v>28.721275384931147</v>
      </c>
      <c r="Y83" s="739">
        <f t="shared" si="62"/>
        <v>27.988664590840546</v>
      </c>
      <c r="Z83" s="829">
        <f t="shared" si="62"/>
        <v>22.842807156532402</v>
      </c>
      <c r="AA83" s="739">
        <f t="shared" si="62"/>
        <v>18.396419114213995</v>
      </c>
      <c r="AB83" s="739">
        <f t="shared" si="62"/>
        <v>32.009913671725343</v>
      </c>
      <c r="AC83" s="739">
        <f t="shared" si="62"/>
        <v>31.219566342878952</v>
      </c>
      <c r="AD83" s="739">
        <f t="shared" si="62"/>
        <v>26.173262125829737</v>
      </c>
      <c r="AE83" s="829">
        <f t="shared" si="62"/>
        <v>25.701368675295825</v>
      </c>
      <c r="AF83" s="739">
        <f t="shared" si="62"/>
        <v>25.352459550752243</v>
      </c>
      <c r="AG83" s="739">
        <f t="shared" si="62"/>
        <v>31.361693364180237</v>
      </c>
      <c r="AH83" s="739">
        <f t="shared" si="62"/>
        <v>35.659698269769343</v>
      </c>
      <c r="AI83" s="739">
        <f t="shared" si="62"/>
        <v>4.9914591454527919</v>
      </c>
      <c r="AJ83" s="829">
        <f t="shared" si="62"/>
        <v>15.100982027051948</v>
      </c>
      <c r="AK83" s="739">
        <f t="shared" si="62"/>
        <v>14.68987231236571</v>
      </c>
      <c r="AL83" s="739">
        <f t="shared" si="62"/>
        <v>31.194015740019708</v>
      </c>
      <c r="AM83" s="739">
        <f t="shared" si="62"/>
        <v>36.226964872247017</v>
      </c>
      <c r="AN83" s="739">
        <f t="shared" si="62"/>
        <v>33.691124436094768</v>
      </c>
      <c r="AO83" s="829">
        <f t="shared" si="62"/>
        <v>29.850746268656899</v>
      </c>
      <c r="AP83" s="739">
        <f t="shared" si="62"/>
        <v>28.132608591868593</v>
      </c>
      <c r="AQ83" s="739">
        <f t="shared" si="62"/>
        <v>11.48237874061283</v>
      </c>
      <c r="AR83" s="739">
        <f t="shared" si="62"/>
        <v>33.622025308463591</v>
      </c>
      <c r="AS83" s="739">
        <f t="shared" si="62"/>
        <v>34.537842225610447</v>
      </c>
      <c r="AT83" s="829">
        <f t="shared" si="62"/>
        <v>24.855119124275436</v>
      </c>
      <c r="AU83" s="739">
        <f t="shared" si="62"/>
        <v>28.06740466070357</v>
      </c>
      <c r="AV83" s="739">
        <f t="shared" si="62"/>
        <v>36.321955978708232</v>
      </c>
      <c r="AW83" s="739">
        <f t="shared" si="62"/>
        <v>4.3244993079256782</v>
      </c>
      <c r="AX83" s="739">
        <f t="shared" si="62"/>
        <v>26.447306826667585</v>
      </c>
      <c r="AY83" s="829">
        <f t="shared" si="62"/>
        <v>17.445001929756959</v>
      </c>
      <c r="AZ83" s="739">
        <f t="shared" si="62"/>
        <v>29.012473429409482</v>
      </c>
      <c r="BA83" s="739">
        <f t="shared" si="62"/>
        <v>41.949925771937735</v>
      </c>
      <c r="BB83" s="739">
        <f t="shared" si="62"/>
        <v>67.685551425989473</v>
      </c>
      <c r="BC83" s="739">
        <f t="shared" si="62"/>
        <v>26.904210595746957</v>
      </c>
      <c r="BD83" s="829">
        <f t="shared" si="62"/>
        <v>44.895501849144416</v>
      </c>
      <c r="BE83" s="739">
        <f t="shared" si="62"/>
        <v>35.542463952275135</v>
      </c>
      <c r="BF83" s="739">
        <f t="shared" si="62"/>
        <v>38.003860971961792</v>
      </c>
      <c r="BG83" s="739">
        <f t="shared" si="62"/>
        <v>33.911918254429096</v>
      </c>
      <c r="BH83" s="739">
        <f t="shared" si="62"/>
        <v>44.116025146136487</v>
      </c>
      <c r="BI83" s="831">
        <v>50</v>
      </c>
      <c r="BJ83" s="739">
        <f t="shared" ref="BJ83:BZ83" si="63">BJ84/BJ82</f>
        <v>28.701788088023349</v>
      </c>
      <c r="BK83" s="739">
        <f t="shared" si="63"/>
        <v>28.824997037429043</v>
      </c>
      <c r="BL83" s="739">
        <f t="shared" si="63"/>
        <v>28.155399032394044</v>
      </c>
      <c r="BM83" s="739">
        <f t="shared" si="63"/>
        <v>35.450329972937276</v>
      </c>
      <c r="BN83" s="831">
        <f t="shared" si="63"/>
        <v>30.396618985695326</v>
      </c>
      <c r="BO83" s="739">
        <f t="shared" si="63"/>
        <v>9.8895909582768393</v>
      </c>
      <c r="BP83" s="739">
        <f t="shared" si="63"/>
        <v>5.0511300640725407</v>
      </c>
      <c r="BQ83" s="739">
        <f t="shared" si="63"/>
        <v>94.891457974471322</v>
      </c>
      <c r="BR83" s="739">
        <f t="shared" si="63"/>
        <v>0</v>
      </c>
      <c r="BS83" s="831">
        <f>BS84/BS82</f>
        <v>71.587467997032277</v>
      </c>
      <c r="BT83" s="739">
        <f t="shared" si="63"/>
        <v>4.6117590632595382</v>
      </c>
      <c r="BU83" s="739">
        <f t="shared" si="63"/>
        <v>7.0544248880101996</v>
      </c>
      <c r="BV83" s="739">
        <f t="shared" si="63"/>
        <v>6.7058736747524117</v>
      </c>
      <c r="BW83" s="739">
        <f t="shared" si="63"/>
        <v>-0.95240498926882744</v>
      </c>
      <c r="BX83" s="831">
        <f>BX84/BX82</f>
        <v>-37.542957807498141</v>
      </c>
      <c r="BY83" s="739">
        <f t="shared" si="63"/>
        <v>2.9288315240255494</v>
      </c>
      <c r="BZ83" s="739">
        <f t="shared" si="63"/>
        <v>7.9867623045146248</v>
      </c>
      <c r="CA83" s="830">
        <f>BZ83</f>
        <v>7.9867623045146248</v>
      </c>
      <c r="CB83" s="830">
        <f>CA83</f>
        <v>7.9867623045146248</v>
      </c>
      <c r="CC83" s="829">
        <f>CC84/CC82</f>
        <v>6.208925199059756</v>
      </c>
      <c r="CD83" s="830">
        <v>70</v>
      </c>
      <c r="CE83" s="830">
        <f t="shared" si="60"/>
        <v>70</v>
      </c>
      <c r="CF83" s="830">
        <f t="shared" si="60"/>
        <v>70</v>
      </c>
      <c r="CG83" s="830">
        <f t="shared" si="60"/>
        <v>70</v>
      </c>
      <c r="CH83" s="829">
        <f>CH84/CH82</f>
        <v>70.249376521454266</v>
      </c>
      <c r="CI83" s="829">
        <f>CH83*1.1</f>
        <v>77.274314173599706</v>
      </c>
      <c r="CJ83" s="829">
        <f>CI83*1.1</f>
        <v>85.001745590959686</v>
      </c>
      <c r="CK83" s="829">
        <f>CJ83*1.1</f>
        <v>93.501920150055668</v>
      </c>
      <c r="CL83" s="829"/>
      <c r="CM83" s="756"/>
      <c r="CN83" s="739"/>
      <c r="CO83" s="755"/>
    </row>
    <row r="84" spans="1:93">
      <c r="A84" s="777"/>
      <c r="B84" s="777" t="s">
        <v>442</v>
      </c>
      <c r="C84" s="777"/>
      <c r="D84" s="777"/>
      <c r="E84" s="777"/>
      <c r="F84" s="828"/>
      <c r="G84" s="828"/>
      <c r="H84" s="748">
        <v>438</v>
      </c>
      <c r="I84" s="748">
        <v>315</v>
      </c>
      <c r="J84" s="748">
        <v>183</v>
      </c>
      <c r="K84" s="748">
        <v>331</v>
      </c>
      <c r="L84" s="827">
        <v>119</v>
      </c>
      <c r="M84" s="827">
        <v>44</v>
      </c>
      <c r="N84" s="827">
        <v>89</v>
      </c>
      <c r="O84" s="827">
        <v>179</v>
      </c>
      <c r="P84" s="748">
        <v>431</v>
      </c>
      <c r="Q84" s="776">
        <v>86</v>
      </c>
      <c r="R84" s="776">
        <v>76</v>
      </c>
      <c r="S84" s="776">
        <v>58</v>
      </c>
      <c r="T84" s="751">
        <v>62</v>
      </c>
      <c r="U84" s="748">
        <v>282</v>
      </c>
      <c r="V84" s="749">
        <f t="shared" ref="V84:AD84" si="64">V38</f>
        <v>104</v>
      </c>
      <c r="W84" s="749">
        <f t="shared" si="64"/>
        <v>111</v>
      </c>
      <c r="X84" s="749">
        <f t="shared" si="64"/>
        <v>43</v>
      </c>
      <c r="Y84" s="749">
        <f t="shared" si="64"/>
        <v>88</v>
      </c>
      <c r="Z84" s="748">
        <f t="shared" si="64"/>
        <v>346</v>
      </c>
      <c r="AA84" s="749">
        <f t="shared" si="64"/>
        <v>121</v>
      </c>
      <c r="AB84" s="749">
        <f t="shared" si="64"/>
        <v>143</v>
      </c>
      <c r="AC84" s="749">
        <f t="shared" si="64"/>
        <v>108</v>
      </c>
      <c r="AD84" s="749">
        <f t="shared" si="64"/>
        <v>43</v>
      </c>
      <c r="AE84" s="748">
        <f>SUM(AA84:AD84)</f>
        <v>415</v>
      </c>
      <c r="AF84" s="749">
        <f>AF38</f>
        <v>42</v>
      </c>
      <c r="AG84" s="749">
        <f>AG38</f>
        <v>60</v>
      </c>
      <c r="AH84" s="749">
        <f>AH38</f>
        <v>29</v>
      </c>
      <c r="AI84" s="749">
        <f>AI38</f>
        <v>32</v>
      </c>
      <c r="AJ84" s="748">
        <f>SUM(AF84:AI84)</f>
        <v>163</v>
      </c>
      <c r="AK84" s="749">
        <f>AK38</f>
        <v>36</v>
      </c>
      <c r="AL84" s="749">
        <f>AL38</f>
        <v>65</v>
      </c>
      <c r="AM84" s="749">
        <f>AM38</f>
        <v>111</v>
      </c>
      <c r="AN84" s="749">
        <f>AN38</f>
        <v>130</v>
      </c>
      <c r="AO84" s="748">
        <f>SUM(AK84:AN84)</f>
        <v>342</v>
      </c>
      <c r="AP84" s="749">
        <f>AP38</f>
        <v>99</v>
      </c>
      <c r="AQ84" s="749">
        <f>AQ38</f>
        <v>63</v>
      </c>
      <c r="AR84" s="749">
        <f>AR38</f>
        <v>49</v>
      </c>
      <c r="AS84" s="749">
        <f>AS38</f>
        <v>175</v>
      </c>
      <c r="AT84" s="748">
        <f>SUM(AP84:AS84)</f>
        <v>386</v>
      </c>
      <c r="AU84" s="749">
        <f>AU38</f>
        <v>89</v>
      </c>
      <c r="AV84" s="749">
        <f>AV38</f>
        <v>79</v>
      </c>
      <c r="AW84" s="749">
        <f>AW38</f>
        <v>28</v>
      </c>
      <c r="AX84" s="749">
        <f>AX38</f>
        <v>30</v>
      </c>
      <c r="AY84" s="748">
        <f>SUM(AU84:AX84)</f>
        <v>226</v>
      </c>
      <c r="AZ84" s="749">
        <f>AZ38</f>
        <v>120</v>
      </c>
      <c r="BA84" s="749">
        <f>BA38</f>
        <v>18</v>
      </c>
      <c r="BB84" s="749">
        <f>BB38</f>
        <v>322</v>
      </c>
      <c r="BC84" s="749">
        <f>BC38</f>
        <v>62</v>
      </c>
      <c r="BD84" s="748">
        <f>SUM(AZ84:BC84)</f>
        <v>522</v>
      </c>
      <c r="BE84" s="749">
        <f>BE38</f>
        <v>153</v>
      </c>
      <c r="BF84" s="749">
        <f>BF38</f>
        <v>69</v>
      </c>
      <c r="BG84" s="749">
        <f>BG38</f>
        <v>114</v>
      </c>
      <c r="BH84" s="749">
        <f>BH38</f>
        <v>42</v>
      </c>
      <c r="BI84" s="748">
        <f>SUM(BE84:BH84)</f>
        <v>378</v>
      </c>
      <c r="BJ84" s="749">
        <f>BJ38</f>
        <v>86</v>
      </c>
      <c r="BK84" s="749">
        <f>BK38</f>
        <v>27</v>
      </c>
      <c r="BL84" s="749">
        <f>BL38</f>
        <v>18</v>
      </c>
      <c r="BM84" s="749">
        <f>BM38</f>
        <v>56</v>
      </c>
      <c r="BN84" s="748">
        <f>SUM(BJ84:BM84)</f>
        <v>187</v>
      </c>
      <c r="BO84" s="749">
        <f>BO38</f>
        <v>24</v>
      </c>
      <c r="BP84" s="749">
        <f>BP38</f>
        <v>2</v>
      </c>
      <c r="BQ84" s="749">
        <f>BQ38</f>
        <v>1100</v>
      </c>
      <c r="BR84" s="749">
        <f>BR38</f>
        <v>0</v>
      </c>
      <c r="BS84" s="748">
        <f>SUM(BO84:BR84)</f>
        <v>1126</v>
      </c>
      <c r="BT84" s="749">
        <f>BT38</f>
        <v>2</v>
      </c>
      <c r="BU84" s="749">
        <f>BU38</f>
        <v>3</v>
      </c>
      <c r="BV84" s="749">
        <f>BV38</f>
        <v>6</v>
      </c>
      <c r="BW84" s="749">
        <f>BW38</f>
        <v>2</v>
      </c>
      <c r="BX84" s="748">
        <f>SUM(BT84:BW84)</f>
        <v>13</v>
      </c>
      <c r="BY84" s="749">
        <f>BY38</f>
        <v>11</v>
      </c>
      <c r="BZ84" s="749">
        <f>BZ38</f>
        <v>11</v>
      </c>
      <c r="CA84" s="749">
        <f>2*CA83</f>
        <v>15.97352460902925</v>
      </c>
      <c r="CB84" s="749">
        <f>CB82*CB83</f>
        <v>11</v>
      </c>
      <c r="CC84" s="748">
        <f>SUM(BY84:CB84)</f>
        <v>48.973524609029248</v>
      </c>
      <c r="CD84" s="749">
        <f>CD82*CD83</f>
        <v>138.03301750000088</v>
      </c>
      <c r="CE84" s="749">
        <f>CE82*CE83</f>
        <v>138.03301750000088</v>
      </c>
      <c r="CF84" s="749">
        <f>2*CF83</f>
        <v>140</v>
      </c>
      <c r="CG84" s="749">
        <f>CG82*CG83</f>
        <v>138.03301750000088</v>
      </c>
      <c r="CH84" s="2075">
        <f>SUM(CD84:CG84)</f>
        <v>554.0990525000027</v>
      </c>
      <c r="CI84" s="748">
        <f>CI83*CI82</f>
        <v>609.50895775000311</v>
      </c>
      <c r="CJ84" s="748">
        <f>CJ83*CJ82</f>
        <v>670.4598535250035</v>
      </c>
      <c r="CK84" s="748">
        <f>CK83*CK82</f>
        <v>737.50583887750395</v>
      </c>
      <c r="CL84" s="748"/>
      <c r="CM84" s="778"/>
      <c r="CN84" s="749" t="s">
        <v>441</v>
      </c>
      <c r="CO84" s="777"/>
    </row>
    <row r="85" spans="1:93">
      <c r="A85" s="755"/>
      <c r="B85" s="755"/>
      <c r="C85" s="755"/>
      <c r="D85" s="755"/>
      <c r="E85" s="755"/>
      <c r="F85" s="820"/>
      <c r="G85" s="820"/>
      <c r="H85" s="823"/>
      <c r="I85" s="823"/>
      <c r="J85" s="823"/>
      <c r="K85" s="823"/>
      <c r="L85" s="826"/>
      <c r="M85" s="826"/>
      <c r="N85" s="826"/>
      <c r="O85" s="826"/>
      <c r="P85" s="823"/>
      <c r="Q85" s="826"/>
      <c r="R85" s="826"/>
      <c r="S85" s="826"/>
      <c r="T85" s="825"/>
      <c r="U85" s="823"/>
      <c r="V85" s="824"/>
      <c r="W85" s="824"/>
      <c r="X85" s="824"/>
      <c r="Y85" s="824"/>
      <c r="Z85" s="823"/>
      <c r="AA85" s="824"/>
      <c r="AB85" s="824"/>
      <c r="AC85" s="824"/>
      <c r="AD85" s="824"/>
      <c r="AE85" s="823"/>
      <c r="AF85" s="824"/>
      <c r="AG85" s="824"/>
      <c r="AH85" s="824"/>
      <c r="AI85" s="824"/>
      <c r="AJ85" s="823"/>
      <c r="AK85" s="824"/>
      <c r="AL85" s="824"/>
      <c r="AM85" s="824"/>
      <c r="AN85" s="824"/>
      <c r="AO85" s="823"/>
      <c r="AP85" s="824"/>
      <c r="AQ85" s="824"/>
      <c r="AR85" s="824"/>
      <c r="AS85" s="824"/>
      <c r="AT85" s="823"/>
      <c r="AU85" s="824"/>
      <c r="AV85" s="824"/>
      <c r="AW85" s="824"/>
      <c r="AX85" s="824"/>
      <c r="AY85" s="823"/>
      <c r="AZ85" s="824"/>
      <c r="BA85" s="824"/>
      <c r="BB85" s="824"/>
      <c r="BC85" s="824"/>
      <c r="BD85" s="823"/>
      <c r="BE85" s="824"/>
      <c r="BF85" s="824"/>
      <c r="BG85" s="824"/>
      <c r="BH85" s="824"/>
      <c r="BI85" s="823"/>
      <c r="BJ85" s="824"/>
      <c r="BK85" s="824"/>
      <c r="BL85" s="824"/>
      <c r="BM85" s="824"/>
      <c r="BN85" s="823"/>
      <c r="BO85" s="824"/>
      <c r="BP85" s="824"/>
      <c r="BQ85" s="824"/>
      <c r="BR85" s="2237"/>
      <c r="BS85" s="823"/>
      <c r="BT85" s="824"/>
      <c r="BU85" s="824"/>
      <c r="BV85" s="824"/>
      <c r="BW85" s="824"/>
      <c r="BX85" s="823"/>
      <c r="BY85" s="824"/>
      <c r="BZ85" s="824"/>
      <c r="CA85" s="824"/>
      <c r="CB85" s="824"/>
      <c r="CC85" s="823"/>
      <c r="CD85" s="824"/>
      <c r="CE85" s="824"/>
      <c r="CF85" s="824"/>
      <c r="CG85" s="824"/>
      <c r="CH85" s="823"/>
      <c r="CI85" s="823"/>
      <c r="CJ85" s="823"/>
      <c r="CK85" s="823"/>
      <c r="CL85" s="823"/>
      <c r="CN85" s="739"/>
      <c r="CO85" s="739">
        <f>BO75</f>
        <v>909.375</v>
      </c>
    </row>
    <row r="86" spans="1:93">
      <c r="A86" s="755"/>
      <c r="B86" s="755" t="s">
        <v>440</v>
      </c>
      <c r="C86" s="755"/>
      <c r="D86" s="755"/>
      <c r="E86" s="755"/>
      <c r="F86" s="820"/>
      <c r="G86" s="820"/>
      <c r="H86" s="757">
        <v>-13.6</v>
      </c>
      <c r="I86" s="757">
        <v>-8.5</v>
      </c>
      <c r="J86" s="757">
        <v>-10.9</v>
      </c>
      <c r="K86" s="757">
        <v>-11.8</v>
      </c>
      <c r="L86" s="810">
        <v>-2.3919999999999999</v>
      </c>
      <c r="M86" s="810">
        <v>0</v>
      </c>
      <c r="N86" s="810">
        <v>0</v>
      </c>
      <c r="O86" s="810">
        <v>3.3730000000000002</v>
      </c>
      <c r="P86" s="757">
        <v>-21.8</v>
      </c>
      <c r="Q86" s="810">
        <v>-1.1830000000000001</v>
      </c>
      <c r="R86" s="810">
        <v>-4.6189999999999998</v>
      </c>
      <c r="S86" s="810">
        <v>-8.0370000000000008</v>
      </c>
      <c r="T86" s="810">
        <v>-8.761000000000001</v>
      </c>
      <c r="U86" s="757">
        <v>-22.6</v>
      </c>
      <c r="V86" s="758">
        <v>-6.4790000000000001</v>
      </c>
      <c r="W86" s="758">
        <v>-6.45</v>
      </c>
      <c r="X86" s="758">
        <v>-9.2759999999999998</v>
      </c>
      <c r="Y86" s="758">
        <f>Z86-X86-W86-V86</f>
        <v>-11.094999999999999</v>
      </c>
      <c r="Z86" s="757">
        <v>-33.299999999999997</v>
      </c>
      <c r="AA86" s="758">
        <v>-7.8470000000000004</v>
      </c>
      <c r="AB86" s="758">
        <v>-7.1139999999999999</v>
      </c>
      <c r="AC86" s="758">
        <v>-6.7350000000000003</v>
      </c>
      <c r="AD86" s="758">
        <f>AE86-AC86-AB86-AA86</f>
        <v>-6.6040000000000001</v>
      </c>
      <c r="AE86" s="757">
        <v>-28.3</v>
      </c>
      <c r="AF86" s="758">
        <v>-12</v>
      </c>
      <c r="AG86" s="758">
        <v>-10.76</v>
      </c>
      <c r="AH86" s="758">
        <v>-14.554</v>
      </c>
      <c r="AI86" s="758">
        <f>AJ86-AF86-AG86-AH86</f>
        <v>-13.086</v>
      </c>
      <c r="AJ86" s="757">
        <f>-50.4</f>
        <v>-50.4</v>
      </c>
      <c r="AK86" s="758">
        <v>-4.3559999999999999</v>
      </c>
      <c r="AL86" s="758">
        <v>-2.8460000000000001</v>
      </c>
      <c r="AM86" s="758">
        <f>-14-AK86-AL86</f>
        <v>-6.798</v>
      </c>
      <c r="AN86" s="758">
        <v>-4.6559999999999997</v>
      </c>
      <c r="AO86" s="757">
        <f>SUM(AK86:AN86)</f>
        <v>-18.655999999999999</v>
      </c>
      <c r="AP86" s="758">
        <v>-7.181</v>
      </c>
      <c r="AQ86" s="758">
        <v>-9.4969999999999999</v>
      </c>
      <c r="AR86" s="758">
        <v>-7.12</v>
      </c>
      <c r="AS86" s="758">
        <v>-7.2649999999999997</v>
      </c>
      <c r="AT86" s="757">
        <f>SUM(AP86:AS86)</f>
        <v>-31.063000000000002</v>
      </c>
      <c r="AU86" s="758">
        <v>-9.1180000000000003</v>
      </c>
      <c r="AV86" s="758">
        <v>-8.7240000000000002</v>
      </c>
      <c r="AW86" s="758">
        <v>-9.1</v>
      </c>
      <c r="AX86" s="758">
        <v>0</v>
      </c>
      <c r="AY86" s="757">
        <f>SUM(AU86:AX86)</f>
        <v>-26.942</v>
      </c>
      <c r="AZ86" s="758">
        <v>0</v>
      </c>
      <c r="BA86" s="758">
        <v>0</v>
      </c>
      <c r="BB86" s="758">
        <v>0</v>
      </c>
      <c r="BC86" s="758">
        <v>0</v>
      </c>
      <c r="BD86" s="757">
        <f>SUM(AZ86:BC86)</f>
        <v>0</v>
      </c>
      <c r="BE86" s="758">
        <v>-3.8530000000000002</v>
      </c>
      <c r="BF86" s="758">
        <v>-3.6070000000000002</v>
      </c>
      <c r="BG86" s="758">
        <v>-3.2890000000000001</v>
      </c>
      <c r="BH86" s="758">
        <v>-1.8480000000000001</v>
      </c>
      <c r="BI86" s="757">
        <f>SUM(BE86:BH86)</f>
        <v>-12.597000000000001</v>
      </c>
      <c r="BJ86" s="758">
        <v>-2.9510000000000001</v>
      </c>
      <c r="BK86" s="758">
        <v>-2.8580000000000001</v>
      </c>
      <c r="BL86" s="759">
        <f>-9.6-SUM(BJ86:BK86)</f>
        <v>-3.7909999999999995</v>
      </c>
      <c r="BM86" s="758">
        <f>-2.565-1.054-0.244</f>
        <v>-3.8629999999999995</v>
      </c>
      <c r="BN86" s="757">
        <f>SUM(BJ86:BM86)</f>
        <v>-13.462999999999999</v>
      </c>
      <c r="BO86" s="822">
        <f>-18.6-3</f>
        <v>-21.6</v>
      </c>
      <c r="BP86" s="822">
        <v>0</v>
      </c>
      <c r="BQ86" s="822">
        <v>-15.169</v>
      </c>
      <c r="BR86" s="822">
        <v>-51.902999999999999</v>
      </c>
      <c r="BS86" s="821">
        <f>SUM(BO86:BR86)</f>
        <v>-88.671999999999997</v>
      </c>
      <c r="BT86" s="758">
        <f>-BT78</f>
        <v>0</v>
      </c>
      <c r="BU86" s="758">
        <v>-0.36399999999999999</v>
      </c>
      <c r="BV86" s="758">
        <v>-6.3739999999999997</v>
      </c>
      <c r="BW86" s="758">
        <v>-15.444000000000001</v>
      </c>
      <c r="BX86" s="821">
        <f>SUM(BT86:BW86)</f>
        <v>-22.182000000000002</v>
      </c>
      <c r="BY86" s="758">
        <v>-8.39</v>
      </c>
      <c r="BZ86" s="758">
        <v>-3.8319999999999999</v>
      </c>
      <c r="CA86" s="2299">
        <f>CA88/CA87</f>
        <v>-0.51330021767036893</v>
      </c>
      <c r="CB86" s="2299">
        <v>0</v>
      </c>
      <c r="CC86" s="836">
        <f>SUM(BY86:CB86)</f>
        <v>-12.735300217670371</v>
      </c>
      <c r="CD86" s="758">
        <f>CH86/4</f>
        <v>0</v>
      </c>
      <c r="CE86" s="758">
        <f>CD86</f>
        <v>0</v>
      </c>
      <c r="CF86" s="758">
        <f t="shared" ref="CF86:CG86" si="65">CE86</f>
        <v>0</v>
      </c>
      <c r="CG86" s="758">
        <f t="shared" si="65"/>
        <v>0</v>
      </c>
      <c r="CH86" s="2263">
        <v>0</v>
      </c>
      <c r="CI86" s="2263">
        <v>0</v>
      </c>
      <c r="CJ86" s="2263">
        <v>0</v>
      </c>
      <c r="CK86" s="2263">
        <v>0</v>
      </c>
      <c r="CL86" s="757"/>
      <c r="CM86" s="732" t="s">
        <v>439</v>
      </c>
      <c r="CN86" s="817">
        <f>175/115.04</f>
        <v>1.5212100139082056</v>
      </c>
      <c r="CO86" s="739">
        <f>CO85-CN86</f>
        <v>907.85378998609178</v>
      </c>
    </row>
    <row r="87" spans="1:93">
      <c r="A87" s="755"/>
      <c r="B87" s="755" t="s">
        <v>438</v>
      </c>
      <c r="C87" s="755"/>
      <c r="D87" s="755"/>
      <c r="E87" s="755"/>
      <c r="F87" s="820"/>
      <c r="G87" s="820"/>
      <c r="H87" s="757">
        <v>58.82352941176471</v>
      </c>
      <c r="I87" s="757">
        <v>70.470588235294116</v>
      </c>
      <c r="J87" s="757">
        <v>64.220183486238525</v>
      </c>
      <c r="K87" s="757">
        <v>33.983050847457626</v>
      </c>
      <c r="L87" s="810">
        <v>90.301003344481614</v>
      </c>
      <c r="M87" s="810"/>
      <c r="N87" s="810"/>
      <c r="O87" s="810">
        <v>-90.127482952860944</v>
      </c>
      <c r="P87" s="757">
        <v>45.5045871559633</v>
      </c>
      <c r="Q87" s="810">
        <v>52.272727272727266</v>
      </c>
      <c r="R87" s="810">
        <v>52</v>
      </c>
      <c r="S87" s="810">
        <v>47.90344655966156</v>
      </c>
      <c r="T87" s="810">
        <v>53.61</v>
      </c>
      <c r="U87" s="757">
        <v>52.256637168141587</v>
      </c>
      <c r="V87" s="758">
        <f t="shared" ref="V87:AF87" si="66">V88/V86</f>
        <v>57.879302361475538</v>
      </c>
      <c r="W87" s="758">
        <f t="shared" si="66"/>
        <v>58.139534883720927</v>
      </c>
      <c r="X87" s="758">
        <f t="shared" si="66"/>
        <v>62.526951272100042</v>
      </c>
      <c r="Y87" s="758">
        <f t="shared" si="66"/>
        <v>66.516448850833712</v>
      </c>
      <c r="Z87" s="757">
        <f t="shared" si="66"/>
        <v>62.102102102102108</v>
      </c>
      <c r="AA87" s="758">
        <f t="shared" si="66"/>
        <v>63.718618580349172</v>
      </c>
      <c r="AB87" s="758">
        <f t="shared" si="66"/>
        <v>70.283947146471746</v>
      </c>
      <c r="AC87" s="758">
        <f t="shared" si="66"/>
        <v>74.239049740163324</v>
      </c>
      <c r="AD87" s="758">
        <f t="shared" si="66"/>
        <v>75.863113264688067</v>
      </c>
      <c r="AE87" s="757">
        <f t="shared" si="66"/>
        <v>70.706713780918733</v>
      </c>
      <c r="AF87" s="758">
        <f t="shared" si="66"/>
        <v>66.75</v>
      </c>
      <c r="AG87" s="758">
        <v>69.48</v>
      </c>
      <c r="AH87" s="758">
        <f t="shared" ref="AH87:AW87" si="67">AH88/AH86</f>
        <v>65.274151436031332</v>
      </c>
      <c r="AI87" s="758">
        <f t="shared" si="67"/>
        <v>52.728106373223291</v>
      </c>
      <c r="AJ87" s="757">
        <f t="shared" si="67"/>
        <v>62.698412698412703</v>
      </c>
      <c r="AK87" s="758">
        <f t="shared" si="67"/>
        <v>45.913682277318642</v>
      </c>
      <c r="AL87" s="758">
        <f t="shared" si="67"/>
        <v>52.705551651440615</v>
      </c>
      <c r="AM87" s="758">
        <f t="shared" si="67"/>
        <v>63.253898205354517</v>
      </c>
      <c r="AN87" s="758">
        <f t="shared" si="67"/>
        <v>68.728522336769757</v>
      </c>
      <c r="AO87" s="757">
        <f t="shared" si="67"/>
        <v>58.962264150943398</v>
      </c>
      <c r="AP87" s="758">
        <f t="shared" si="67"/>
        <v>69.628185489486143</v>
      </c>
      <c r="AQ87" s="758">
        <f t="shared" si="67"/>
        <v>68.44266610508582</v>
      </c>
      <c r="AR87" s="758">
        <f t="shared" si="67"/>
        <v>69.382022471910105</v>
      </c>
      <c r="AS87" s="758">
        <f t="shared" si="67"/>
        <v>76.531314521679292</v>
      </c>
      <c r="AT87" s="757">
        <f t="shared" si="67"/>
        <v>70.823809677107803</v>
      </c>
      <c r="AU87" s="758">
        <f t="shared" si="67"/>
        <v>79.732397455582358</v>
      </c>
      <c r="AV87" s="758">
        <f t="shared" si="67"/>
        <v>88.606143970655665</v>
      </c>
      <c r="AW87" s="758">
        <f t="shared" si="67"/>
        <v>74.175824175824175</v>
      </c>
      <c r="AX87" s="758" t="str">
        <f>IF(ISERROR(AX88/AX86),"NM",(AX88/AX86))</f>
        <v>NM</v>
      </c>
      <c r="AY87" s="757">
        <f>AY88/AY86</f>
        <v>80.728973350159606</v>
      </c>
      <c r="AZ87" s="758" t="str">
        <f t="shared" ref="AZ87:BH87" si="68">IF(ISERROR(AZ88/AZ86),"NM",(AZ88/AZ86))</f>
        <v>NM</v>
      </c>
      <c r="BA87" s="758" t="str">
        <f t="shared" si="68"/>
        <v>NM</v>
      </c>
      <c r="BB87" s="758" t="str">
        <f t="shared" si="68"/>
        <v>NM</v>
      </c>
      <c r="BC87" s="758" t="str">
        <f t="shared" si="68"/>
        <v>NM</v>
      </c>
      <c r="BD87" s="757" t="str">
        <f t="shared" si="68"/>
        <v>NM</v>
      </c>
      <c r="BE87" s="758">
        <f t="shared" si="68"/>
        <v>86.945237477290419</v>
      </c>
      <c r="BF87" s="758">
        <f t="shared" si="68"/>
        <v>92.874965345162181</v>
      </c>
      <c r="BG87" s="758">
        <f t="shared" si="68"/>
        <v>100.33444816053512</v>
      </c>
      <c r="BH87" s="758">
        <f t="shared" si="68"/>
        <v>108.22510822510822</v>
      </c>
      <c r="BI87" s="757">
        <f>BI88/BI86</f>
        <v>95.260776375327453</v>
      </c>
      <c r="BJ87" s="758">
        <f>IF(ISERROR(BJ88/BJ86),"NM",(BJ88/BJ86))</f>
        <v>113.52084039308708</v>
      </c>
      <c r="BK87" s="758">
        <f>IF(ISERROR(BK88/BK86),"NM",(BK88/BK86))</f>
        <v>117.21483554933519</v>
      </c>
      <c r="BL87" s="758">
        <f>IF(ISERROR(BL88/BL86),"NM",(BL88/BL86))</f>
        <v>112.10762331838566</v>
      </c>
      <c r="BM87" s="758">
        <f>IF(ISERROR(BM88/BM86),"NM",(BM88/BM86))</f>
        <v>104.84079730779189</v>
      </c>
      <c r="BN87" s="757">
        <f>BN88/BN86</f>
        <v>111.41647478273788</v>
      </c>
      <c r="BO87" s="758">
        <f>IF(ISERROR(BO88/BO86),"NM",(BO88/BO86))</f>
        <v>138.88888888888889</v>
      </c>
      <c r="BP87" s="758">
        <v>122</v>
      </c>
      <c r="BQ87" s="758">
        <f>IF(ISERROR(BQ88/BQ86),"NM",(BQ88/BQ86))</f>
        <v>65.923923791944091</v>
      </c>
      <c r="BR87" s="758">
        <f>IF(ISERROR(BR88/BR86),"NM",(BR88/BR86))</f>
        <v>115.60025432055951</v>
      </c>
      <c r="BS87" s="757">
        <f>AVERAGE(BO87:BR87)</f>
        <v>110.60326675034813</v>
      </c>
      <c r="BT87" s="819">
        <v>95</v>
      </c>
      <c r="BU87" s="758">
        <f>IF(ISERROR(BU88/BU86),"NM",(BU88/BU86))</f>
        <v>98.901098901098905</v>
      </c>
      <c r="BV87" s="758">
        <f>IF(ISERROR(BV88/BV86),"NM",(BV88/BV86))</f>
        <v>77.188578600564796</v>
      </c>
      <c r="BW87" s="758">
        <f>IF(ISERROR(BW88/BW86),"NM",(BW88/BW86))</f>
        <v>111.75861175861175</v>
      </c>
      <c r="BX87" s="2072">
        <f>AVERAGE(BT87:BW87)</f>
        <v>95.712072315068866</v>
      </c>
      <c r="BY87" s="758">
        <f>IF(ISERROR(BY88/BY86),"NM",(BY88/BY86))</f>
        <v>111.20381406436233</v>
      </c>
      <c r="BZ87" s="758">
        <f>IF(ISERROR(BZ88/BZ86),"NM",(BZ88/BZ86))</f>
        <v>114.03966597077245</v>
      </c>
      <c r="CA87" s="819">
        <f>BZ87*1.025</f>
        <v>116.89065762004175</v>
      </c>
      <c r="CB87" s="819">
        <f>CA87*1.025</f>
        <v>119.81292406054278</v>
      </c>
      <c r="CC87" s="2072">
        <f>AVERAGE(BY87:CB87)</f>
        <v>115.48676542892983</v>
      </c>
      <c r="CD87" s="819">
        <f>CB87*1.02</f>
        <v>122.20918254175365</v>
      </c>
      <c r="CE87" s="819">
        <f>CD87*1.025</f>
        <v>125.26441210529748</v>
      </c>
      <c r="CF87" s="819">
        <f>CE87*1.025</f>
        <v>128.39602240792991</v>
      </c>
      <c r="CG87" s="819">
        <f>CF87*1.025</f>
        <v>131.60592296812814</v>
      </c>
      <c r="CH87" s="2072">
        <f>AVERAGE(CD87:CG87)</f>
        <v>126.8688850057773</v>
      </c>
      <c r="CI87" s="818">
        <f>CH87*1.03</f>
        <v>130.67495155595063</v>
      </c>
      <c r="CJ87" s="818">
        <f>CI87*1.03</f>
        <v>134.59520010262915</v>
      </c>
      <c r="CK87" s="818">
        <f>CJ87*1.03</f>
        <v>138.63305610570802</v>
      </c>
      <c r="CL87" s="818"/>
      <c r="CM87" s="732" t="s">
        <v>437</v>
      </c>
      <c r="CN87" s="817">
        <f>175/116.58</f>
        <v>1.5011151140847487</v>
      </c>
      <c r="CO87" s="739">
        <f>CO86-CN87</f>
        <v>906.35267487200701</v>
      </c>
    </row>
    <row r="88" spans="1:93">
      <c r="A88" s="777"/>
      <c r="B88" s="777" t="s">
        <v>436</v>
      </c>
      <c r="C88" s="777"/>
      <c r="D88" s="777"/>
      <c r="E88" s="777"/>
      <c r="F88" s="777"/>
      <c r="G88" s="777"/>
      <c r="H88" s="814">
        <v>-800</v>
      </c>
      <c r="I88" s="814">
        <v>-599</v>
      </c>
      <c r="J88" s="814">
        <v>-700</v>
      </c>
      <c r="K88" s="814">
        <v>-401</v>
      </c>
      <c r="L88" s="816">
        <v>-216</v>
      </c>
      <c r="M88" s="816">
        <v>-264</v>
      </c>
      <c r="N88" s="816">
        <v>-208</v>
      </c>
      <c r="O88" s="816">
        <v>-304</v>
      </c>
      <c r="P88" s="814">
        <v>-992</v>
      </c>
      <c r="Q88" s="816">
        <v>-115</v>
      </c>
      <c r="R88" s="816">
        <v>-260</v>
      </c>
      <c r="S88" s="816">
        <v>-385</v>
      </c>
      <c r="T88" s="816">
        <v>-421</v>
      </c>
      <c r="U88" s="814">
        <v>-1181</v>
      </c>
      <c r="V88" s="815">
        <f>V39</f>
        <v>-375</v>
      </c>
      <c r="W88" s="815">
        <f>W39</f>
        <v>-375</v>
      </c>
      <c r="X88" s="815">
        <f>X39</f>
        <v>-580</v>
      </c>
      <c r="Y88" s="815">
        <f>Y39</f>
        <v>-738</v>
      </c>
      <c r="Z88" s="814">
        <f>SUM(V88:Y88)</f>
        <v>-2068</v>
      </c>
      <c r="AA88" s="815">
        <f>AA39</f>
        <v>-500</v>
      </c>
      <c r="AB88" s="815">
        <f>AB39</f>
        <v>-500</v>
      </c>
      <c r="AC88" s="815">
        <f>AC39</f>
        <v>-500</v>
      </c>
      <c r="AD88" s="815">
        <f>AD39</f>
        <v>-501</v>
      </c>
      <c r="AE88" s="814">
        <f>SUM(AA88:AD88)</f>
        <v>-2001</v>
      </c>
      <c r="AF88" s="815">
        <f>AF39</f>
        <v>-801</v>
      </c>
      <c r="AG88" s="815">
        <f>AG39</f>
        <v>-719</v>
      </c>
      <c r="AH88" s="815">
        <f>AH39</f>
        <v>-950</v>
      </c>
      <c r="AI88" s="815">
        <f>AI39</f>
        <v>-690</v>
      </c>
      <c r="AJ88" s="814">
        <f>SUM(AF88:AI88)</f>
        <v>-3160</v>
      </c>
      <c r="AK88" s="815">
        <f>AK39</f>
        <v>-200</v>
      </c>
      <c r="AL88" s="815">
        <f>AL39</f>
        <v>-150</v>
      </c>
      <c r="AM88" s="815">
        <f>AM39</f>
        <v>-430</v>
      </c>
      <c r="AN88" s="815">
        <f>AN39</f>
        <v>-320</v>
      </c>
      <c r="AO88" s="814">
        <f>SUM(AK88:AN88)</f>
        <v>-1100</v>
      </c>
      <c r="AP88" s="815">
        <f>AP39</f>
        <v>-500</v>
      </c>
      <c r="AQ88" s="815">
        <f>AQ39</f>
        <v>-650</v>
      </c>
      <c r="AR88" s="815">
        <f>AR39</f>
        <v>-494</v>
      </c>
      <c r="AS88" s="815">
        <f>AS39</f>
        <v>-556</v>
      </c>
      <c r="AT88" s="814">
        <f>SUM(AP88:AS88)</f>
        <v>-2200</v>
      </c>
      <c r="AU88" s="815">
        <f>AU39</f>
        <v>-727</v>
      </c>
      <c r="AV88" s="815">
        <f>AV39</f>
        <v>-773</v>
      </c>
      <c r="AW88" s="815">
        <f>AW39</f>
        <v>-675</v>
      </c>
      <c r="AX88" s="815">
        <f>AX39</f>
        <v>0</v>
      </c>
      <c r="AY88" s="814">
        <f>SUM(AU88:AX88)</f>
        <v>-2175</v>
      </c>
      <c r="AZ88" s="815">
        <f>AZ39</f>
        <v>0</v>
      </c>
      <c r="BA88" s="815">
        <f>BA39</f>
        <v>0</v>
      </c>
      <c r="BB88" s="815">
        <f>BB39</f>
        <v>0</v>
      </c>
      <c r="BC88" s="815">
        <f>BC39</f>
        <v>0</v>
      </c>
      <c r="BD88" s="814">
        <f>SUM(AZ88:BC88)</f>
        <v>0</v>
      </c>
      <c r="BE88" s="815">
        <f>BE39</f>
        <v>-335</v>
      </c>
      <c r="BF88" s="815">
        <f>BF39</f>
        <v>-335</v>
      </c>
      <c r="BG88" s="815">
        <f>BG39</f>
        <v>-330</v>
      </c>
      <c r="BH88" s="815">
        <f>BH39</f>
        <v>-200</v>
      </c>
      <c r="BI88" s="814">
        <f>SUM(BE88:BH88)</f>
        <v>-1200</v>
      </c>
      <c r="BJ88" s="815">
        <f>BJ39</f>
        <v>-335</v>
      </c>
      <c r="BK88" s="815">
        <f>BK39</f>
        <v>-335</v>
      </c>
      <c r="BL88" s="815">
        <f>BL39</f>
        <v>-425</v>
      </c>
      <c r="BM88" s="815">
        <f>BM39</f>
        <v>-405</v>
      </c>
      <c r="BN88" s="814">
        <f>SUM(BJ88:BM88)</f>
        <v>-1500</v>
      </c>
      <c r="BO88" s="815">
        <f>BO39</f>
        <v>-3000</v>
      </c>
      <c r="BP88" s="815">
        <v>0</v>
      </c>
      <c r="BQ88" s="815">
        <f>BQ39</f>
        <v>-1000</v>
      </c>
      <c r="BR88" s="815">
        <v>-6000</v>
      </c>
      <c r="BS88" s="814">
        <f>SUM(BO88:BR88)</f>
        <v>-10000</v>
      </c>
      <c r="BT88" s="1893">
        <f>BT39</f>
        <v>0</v>
      </c>
      <c r="BU88" s="815">
        <f>BU39</f>
        <v>-36</v>
      </c>
      <c r="BV88" s="815">
        <f>BV39</f>
        <v>-492</v>
      </c>
      <c r="BW88" s="815">
        <f>BW39</f>
        <v>-1726</v>
      </c>
      <c r="BX88" s="2075">
        <f>SUM(BT88:BW88)</f>
        <v>-2254</v>
      </c>
      <c r="BY88" s="815">
        <f>BY39</f>
        <v>-933</v>
      </c>
      <c r="BZ88" s="815">
        <f>BZ39</f>
        <v>-437</v>
      </c>
      <c r="CA88" s="815">
        <f>CA39</f>
        <v>-60</v>
      </c>
      <c r="CB88" s="1893">
        <f>CB87*CB86</f>
        <v>0</v>
      </c>
      <c r="CC88" s="814">
        <f>SUM(BY88:CB88)</f>
        <v>-1430</v>
      </c>
      <c r="CD88" s="1893">
        <f>CD87*CD86</f>
        <v>0</v>
      </c>
      <c r="CE88" s="1893">
        <f>CE87*CE86</f>
        <v>0</v>
      </c>
      <c r="CF88" s="1893">
        <f>CF87*CF86</f>
        <v>0</v>
      </c>
      <c r="CG88" s="1893">
        <f>CG87*CG86</f>
        <v>0</v>
      </c>
      <c r="CH88" s="814">
        <f>SUM(CD88:CG88)</f>
        <v>0</v>
      </c>
      <c r="CI88" s="814">
        <f>CI86*CI87</f>
        <v>0</v>
      </c>
      <c r="CJ88" s="2075">
        <f>CJ86*CJ87</f>
        <v>0</v>
      </c>
      <c r="CK88" s="2075">
        <f>CK86*CK87</f>
        <v>0</v>
      </c>
      <c r="CL88" s="814"/>
      <c r="CM88" s="732" t="s">
        <v>435</v>
      </c>
      <c r="CN88" s="813">
        <f>9.289426*2</f>
        <v>18.578852000000001</v>
      </c>
      <c r="CO88" s="739">
        <f>CO87-CN88</f>
        <v>887.77382287200703</v>
      </c>
    </row>
    <row r="89" spans="1:93">
      <c r="A89" s="755"/>
      <c r="B89" s="755"/>
      <c r="C89" s="755"/>
      <c r="D89" s="755"/>
      <c r="E89" s="755"/>
      <c r="F89" s="755"/>
      <c r="G89" s="755"/>
      <c r="H89" s="761"/>
      <c r="I89" s="761"/>
      <c r="J89" s="761"/>
      <c r="K89" s="761"/>
      <c r="L89" s="739"/>
      <c r="M89" s="739"/>
      <c r="N89" s="739"/>
      <c r="O89" s="739"/>
      <c r="P89" s="761"/>
      <c r="Q89" s="739"/>
      <c r="R89" s="739"/>
      <c r="S89" s="779"/>
      <c r="T89" s="739"/>
      <c r="U89" s="761"/>
      <c r="V89" s="739"/>
      <c r="W89" s="739"/>
      <c r="X89" s="739"/>
      <c r="Y89" s="739"/>
      <c r="Z89" s="761"/>
      <c r="AA89" s="739"/>
      <c r="AB89" s="739"/>
      <c r="AC89" s="739"/>
      <c r="AD89" s="739"/>
      <c r="AE89" s="761"/>
      <c r="AF89" s="739"/>
      <c r="AG89" s="739"/>
      <c r="AH89" s="739"/>
      <c r="AI89" s="739"/>
      <c r="AJ89" s="761"/>
      <c r="AK89" s="739"/>
      <c r="AL89" s="739"/>
      <c r="AM89" s="739"/>
      <c r="AN89" s="739"/>
      <c r="AO89" s="761"/>
      <c r="AP89" s="739"/>
      <c r="AQ89" s="739"/>
      <c r="AR89" s="739"/>
      <c r="AS89" s="739"/>
      <c r="AT89" s="761"/>
      <c r="AU89" s="739"/>
      <c r="AV89" s="739"/>
      <c r="AW89" s="739"/>
      <c r="AX89" s="739"/>
      <c r="AY89" s="761"/>
      <c r="AZ89" s="739"/>
      <c r="BA89" s="739"/>
      <c r="BB89" s="739"/>
      <c r="BC89" s="739"/>
      <c r="BD89" s="761"/>
      <c r="BE89" s="739"/>
      <c r="BF89" s="739"/>
      <c r="BG89" s="739"/>
      <c r="BH89" s="739"/>
      <c r="BI89" s="761"/>
      <c r="BJ89" s="739"/>
      <c r="BK89" s="739"/>
      <c r="BL89" s="739"/>
      <c r="BM89" s="739"/>
      <c r="BN89" s="761"/>
      <c r="BO89" s="739"/>
      <c r="BP89" s="739"/>
      <c r="BQ89" s="739"/>
      <c r="BR89" s="739"/>
      <c r="BS89" s="761"/>
      <c r="BT89" s="739"/>
      <c r="BU89" s="739"/>
      <c r="BV89" s="739"/>
      <c r="BW89" s="739"/>
      <c r="BX89" s="761"/>
      <c r="BY89" s="739"/>
      <c r="BZ89" s="739"/>
      <c r="CA89" s="739"/>
      <c r="CB89" s="739"/>
      <c r="CC89" s="761"/>
      <c r="CD89" s="739"/>
      <c r="CE89" s="739"/>
      <c r="CF89" s="739"/>
      <c r="CG89" s="739"/>
      <c r="CH89" s="761"/>
      <c r="CI89" s="761"/>
      <c r="CJ89" s="761"/>
      <c r="CK89" s="761"/>
      <c r="CL89" s="761"/>
      <c r="CM89" s="756" t="s">
        <v>434</v>
      </c>
      <c r="CN89" s="739">
        <f>BO76</f>
        <v>2.4267939999999513</v>
      </c>
      <c r="CO89" s="755">
        <f>AVERAGE(CO85:CO88)</f>
        <v>902.83882193252634</v>
      </c>
    </row>
    <row r="90" spans="1:93">
      <c r="A90" s="755"/>
      <c r="B90" s="812" t="s">
        <v>433</v>
      </c>
      <c r="C90" s="755"/>
      <c r="D90" s="755"/>
      <c r="E90" s="755"/>
      <c r="F90" s="755"/>
      <c r="G90" s="755"/>
      <c r="H90" s="761"/>
      <c r="I90" s="761"/>
      <c r="J90" s="761"/>
      <c r="K90" s="761"/>
      <c r="L90" s="739"/>
      <c r="M90" s="739"/>
      <c r="N90" s="739"/>
      <c r="O90" s="739"/>
      <c r="P90" s="761"/>
      <c r="Q90" s="739"/>
      <c r="R90" s="739"/>
      <c r="S90" s="779"/>
      <c r="T90" s="739"/>
      <c r="U90" s="761"/>
      <c r="V90" s="739"/>
      <c r="W90" s="739"/>
      <c r="X90" s="739"/>
      <c r="Y90" s="739"/>
      <c r="Z90" s="761"/>
      <c r="AA90" s="739"/>
      <c r="AB90" s="739"/>
      <c r="AC90" s="739"/>
      <c r="AD90" s="739"/>
      <c r="AE90" s="761"/>
      <c r="AF90" s="739"/>
      <c r="AG90" s="739"/>
      <c r="AH90" s="739"/>
      <c r="AI90" s="739"/>
      <c r="AJ90" s="761"/>
      <c r="AK90" s="739"/>
      <c r="AL90" s="739"/>
      <c r="AM90" s="755"/>
      <c r="AN90" s="739"/>
      <c r="AO90" s="761"/>
      <c r="AP90" s="739"/>
      <c r="AQ90" s="739"/>
      <c r="AR90" s="739"/>
      <c r="AS90" s="739"/>
      <c r="AT90" s="761"/>
      <c r="AU90" s="739"/>
      <c r="AV90" s="739"/>
      <c r="AW90" s="739"/>
      <c r="AX90" s="739"/>
      <c r="AY90" s="761"/>
      <c r="AZ90" s="739"/>
      <c r="BA90" s="739"/>
      <c r="BB90" s="739"/>
      <c r="BC90" s="739"/>
      <c r="BD90" s="761"/>
      <c r="BE90" s="739"/>
      <c r="BF90" s="739"/>
      <c r="BG90" s="739"/>
      <c r="BH90" s="739"/>
      <c r="BI90" s="761"/>
      <c r="BJ90" s="739"/>
      <c r="BK90" s="739"/>
      <c r="BL90" s="739"/>
      <c r="BM90" s="739"/>
      <c r="BN90" s="761"/>
      <c r="BO90" s="739"/>
      <c r="BP90" s="739"/>
      <c r="BQ90" s="739"/>
      <c r="BR90" s="739"/>
      <c r="BS90" s="761"/>
      <c r="BT90" s="739"/>
      <c r="BU90" s="739"/>
      <c r="BV90" s="739"/>
      <c r="BW90" s="739"/>
      <c r="BX90" s="761"/>
      <c r="BY90" s="739"/>
      <c r="BZ90" s="739"/>
      <c r="CA90" s="739"/>
      <c r="CB90" s="739"/>
      <c r="CC90" s="761"/>
      <c r="CD90" s="739"/>
      <c r="CE90" s="739"/>
      <c r="CF90" s="739"/>
      <c r="CG90" s="739"/>
      <c r="CH90" s="761"/>
      <c r="CI90" s="761"/>
      <c r="CJ90" s="761"/>
      <c r="CK90" s="761"/>
      <c r="CL90" s="761"/>
      <c r="CM90" s="756" t="s">
        <v>432</v>
      </c>
      <c r="CN90" s="739"/>
      <c r="CO90" s="145">
        <f>CO89+CN89</f>
        <v>905.26561593252632</v>
      </c>
    </row>
    <row r="91" spans="1:93">
      <c r="A91" s="755"/>
      <c r="B91" s="755"/>
      <c r="C91" s="755"/>
      <c r="D91" s="755"/>
      <c r="E91" s="755"/>
      <c r="F91" s="755"/>
      <c r="G91" s="755"/>
      <c r="H91" s="761"/>
      <c r="I91" s="761"/>
      <c r="J91" s="761"/>
      <c r="K91" s="761"/>
      <c r="L91" s="739"/>
      <c r="M91" s="739"/>
      <c r="N91" s="739"/>
      <c r="O91" s="739"/>
      <c r="P91" s="761"/>
      <c r="Q91" s="739"/>
      <c r="R91" s="739"/>
      <c r="S91" s="779"/>
      <c r="T91" s="739"/>
      <c r="U91" s="761"/>
      <c r="V91" s="739"/>
      <c r="W91" s="739"/>
      <c r="X91" s="739"/>
      <c r="Y91" s="739"/>
      <c r="Z91" s="761"/>
      <c r="AA91" s="739"/>
      <c r="AB91" s="739"/>
      <c r="AC91" s="739"/>
      <c r="AD91" s="811"/>
      <c r="AE91" s="761"/>
      <c r="AF91" s="739"/>
      <c r="AG91" s="739"/>
      <c r="AH91" s="739"/>
      <c r="AI91" s="739"/>
      <c r="AJ91" s="761"/>
      <c r="AK91" s="739"/>
      <c r="AL91" s="739"/>
      <c r="AM91" s="739"/>
      <c r="AN91" s="739"/>
      <c r="AO91" s="761"/>
      <c r="AP91" s="739"/>
      <c r="AQ91" s="739"/>
      <c r="AR91" s="739"/>
      <c r="AS91" s="739"/>
      <c r="AT91" s="761"/>
      <c r="AU91" s="739"/>
      <c r="AV91" s="739"/>
      <c r="AW91" s="739"/>
      <c r="AX91" s="739"/>
      <c r="AY91" s="761"/>
      <c r="AZ91" s="739"/>
      <c r="BA91" s="739"/>
      <c r="BB91" s="739"/>
      <c r="BC91" s="739"/>
      <c r="BD91" s="761"/>
      <c r="BE91" s="739"/>
      <c r="BF91" s="739"/>
      <c r="BG91" s="739"/>
      <c r="BH91" s="739"/>
      <c r="BI91" s="761"/>
      <c r="BJ91" s="739"/>
      <c r="BK91" s="739"/>
      <c r="BL91" s="739"/>
      <c r="BM91" s="739"/>
      <c r="BN91" s="761"/>
      <c r="BO91" s="739"/>
      <c r="BP91" s="739"/>
      <c r="BQ91" s="739"/>
      <c r="BR91" s="739"/>
      <c r="BS91" s="761"/>
      <c r="BT91" s="739"/>
      <c r="BU91" s="739"/>
      <c r="BV91" s="739"/>
      <c r="BW91" s="739"/>
      <c r="BX91" s="761"/>
      <c r="BY91" s="739"/>
      <c r="BZ91" s="739"/>
      <c r="CA91" s="739"/>
      <c r="CB91" s="739"/>
      <c r="CC91" s="761"/>
      <c r="CD91" s="739"/>
      <c r="CE91" s="739"/>
      <c r="CF91" s="739"/>
      <c r="CG91" s="739"/>
      <c r="CH91" s="761"/>
      <c r="CI91" s="761"/>
      <c r="CJ91" s="761"/>
      <c r="CK91" s="761"/>
      <c r="CL91" s="761"/>
      <c r="CM91" s="756"/>
      <c r="CN91" s="739"/>
      <c r="CO91" s="755"/>
    </row>
    <row r="92" spans="1:93">
      <c r="A92" s="755"/>
      <c r="B92" s="755" t="s">
        <v>214</v>
      </c>
      <c r="C92" s="755"/>
      <c r="D92" s="755"/>
      <c r="E92" s="755"/>
      <c r="F92" s="755"/>
      <c r="G92" s="755"/>
      <c r="H92" s="757">
        <v>580</v>
      </c>
      <c r="I92" s="757">
        <v>570</v>
      </c>
      <c r="J92" s="757">
        <v>646</v>
      </c>
      <c r="K92" s="757">
        <v>820</v>
      </c>
      <c r="L92" s="758">
        <v>166</v>
      </c>
      <c r="M92" s="758">
        <v>165</v>
      </c>
      <c r="N92" s="758">
        <v>165</v>
      </c>
      <c r="O92" s="758">
        <v>387</v>
      </c>
      <c r="P92" s="757">
        <v>883</v>
      </c>
      <c r="Q92" s="758">
        <v>208</v>
      </c>
      <c r="R92" s="758">
        <v>209</v>
      </c>
      <c r="S92" s="810">
        <v>208</v>
      </c>
      <c r="T92" s="810">
        <v>207</v>
      </c>
      <c r="U92" s="757">
        <v>832</v>
      </c>
      <c r="V92" s="758">
        <f t="shared" ref="V92:BQ92" si="69">-V42</f>
        <v>207</v>
      </c>
      <c r="W92" s="758">
        <f t="shared" si="69"/>
        <v>249</v>
      </c>
      <c r="X92" s="758">
        <f t="shared" si="69"/>
        <v>249</v>
      </c>
      <c r="Y92" s="758">
        <f t="shared" si="69"/>
        <v>246</v>
      </c>
      <c r="Z92" s="757">
        <f t="shared" si="69"/>
        <v>951</v>
      </c>
      <c r="AA92" s="758">
        <f t="shared" si="69"/>
        <v>245</v>
      </c>
      <c r="AB92" s="758">
        <f t="shared" si="69"/>
        <v>245</v>
      </c>
      <c r="AC92" s="758">
        <f t="shared" si="69"/>
        <v>296</v>
      </c>
      <c r="AD92" s="758">
        <f t="shared" si="69"/>
        <v>294</v>
      </c>
      <c r="AE92" s="757">
        <f t="shared" si="69"/>
        <v>1080</v>
      </c>
      <c r="AF92" s="758">
        <f t="shared" si="69"/>
        <v>293</v>
      </c>
      <c r="AG92" s="758">
        <f t="shared" si="69"/>
        <v>290</v>
      </c>
      <c r="AH92" s="758">
        <f t="shared" si="69"/>
        <v>286</v>
      </c>
      <c r="AI92" s="758">
        <f t="shared" si="69"/>
        <v>341</v>
      </c>
      <c r="AJ92" s="757">
        <f t="shared" si="69"/>
        <v>1210</v>
      </c>
      <c r="AK92" s="758">
        <f t="shared" si="69"/>
        <v>339</v>
      </c>
      <c r="AL92" s="758">
        <f t="shared" si="69"/>
        <v>340</v>
      </c>
      <c r="AM92" s="758">
        <f t="shared" si="69"/>
        <v>339</v>
      </c>
      <c r="AN92" s="758">
        <f t="shared" si="69"/>
        <v>338</v>
      </c>
      <c r="AO92" s="757">
        <f t="shared" si="69"/>
        <v>1356</v>
      </c>
      <c r="AP92" s="758">
        <f t="shared" si="69"/>
        <v>373</v>
      </c>
      <c r="AQ92" s="758">
        <f t="shared" si="69"/>
        <v>371</v>
      </c>
      <c r="AR92" s="758">
        <f t="shared" si="69"/>
        <v>370</v>
      </c>
      <c r="AS92" s="758">
        <f t="shared" si="69"/>
        <v>368</v>
      </c>
      <c r="AT92" s="757">
        <f t="shared" si="69"/>
        <v>1482</v>
      </c>
      <c r="AU92" s="758">
        <f t="shared" si="69"/>
        <v>368</v>
      </c>
      <c r="AV92" s="758">
        <f t="shared" si="69"/>
        <v>413</v>
      </c>
      <c r="AW92" s="758">
        <f t="shared" si="69"/>
        <v>411</v>
      </c>
      <c r="AX92" s="758">
        <f t="shared" si="69"/>
        <v>410</v>
      </c>
      <c r="AY92" s="757">
        <f t="shared" si="69"/>
        <v>1602</v>
      </c>
      <c r="AZ92" s="758">
        <f t="shared" si="69"/>
        <v>412</v>
      </c>
      <c r="BA92" s="758">
        <f t="shared" si="69"/>
        <v>413</v>
      </c>
      <c r="BB92" s="758">
        <f t="shared" si="69"/>
        <v>463</v>
      </c>
      <c r="BC92" s="758">
        <f t="shared" si="69"/>
        <v>464</v>
      </c>
      <c r="BD92" s="757">
        <f t="shared" si="69"/>
        <v>1752</v>
      </c>
      <c r="BE92" s="758">
        <f t="shared" si="69"/>
        <v>465</v>
      </c>
      <c r="BF92" s="758">
        <f t="shared" si="69"/>
        <v>465</v>
      </c>
      <c r="BG92" s="758">
        <f t="shared" si="69"/>
        <v>465</v>
      </c>
      <c r="BH92" s="758">
        <f t="shared" si="69"/>
        <v>512</v>
      </c>
      <c r="BI92" s="757">
        <f t="shared" si="69"/>
        <v>1907</v>
      </c>
      <c r="BJ92" s="758">
        <f t="shared" si="69"/>
        <v>514</v>
      </c>
      <c r="BK92" s="758">
        <f t="shared" si="69"/>
        <v>513</v>
      </c>
      <c r="BL92" s="758">
        <f t="shared" si="69"/>
        <v>511</v>
      </c>
      <c r="BM92" s="758">
        <f t="shared" si="69"/>
        <v>510</v>
      </c>
      <c r="BN92" s="757">
        <f t="shared" si="69"/>
        <v>2048</v>
      </c>
      <c r="BO92" s="758">
        <f t="shared" si="69"/>
        <v>553</v>
      </c>
      <c r="BP92" s="758">
        <f t="shared" si="69"/>
        <v>543</v>
      </c>
      <c r="BQ92" s="758">
        <f t="shared" si="69"/>
        <v>547</v>
      </c>
      <c r="BR92" s="758">
        <f>-BR42</f>
        <v>541</v>
      </c>
      <c r="BS92" s="757">
        <f>SUM(BO92:BR92)</f>
        <v>2184</v>
      </c>
      <c r="BT92" s="758">
        <f>-BT42</f>
        <v>509</v>
      </c>
      <c r="BU92" s="758">
        <f>-BU42</f>
        <v>526</v>
      </c>
      <c r="BV92" s="758">
        <f>-BV42</f>
        <v>526</v>
      </c>
      <c r="BW92" s="758">
        <f>-BW42</f>
        <v>508</v>
      </c>
      <c r="BX92" s="2072">
        <f>SUM(BT92:BW92)</f>
        <v>2069</v>
      </c>
      <c r="BY92" s="758">
        <f>-BY42</f>
        <v>505</v>
      </c>
      <c r="BZ92" s="758">
        <f>-BZ42</f>
        <v>503</v>
      </c>
      <c r="CA92" s="758">
        <f>-CA42</f>
        <v>533</v>
      </c>
      <c r="CB92" s="758">
        <f>CB93*IS!CP97</f>
        <v>552.38444022381532</v>
      </c>
      <c r="CC92" s="2072">
        <f>SUM(BY92:CB92)</f>
        <v>2093.3844402238155</v>
      </c>
      <c r="CD92" s="758">
        <f>CD93*IS!CR97</f>
        <v>553.55665296131531</v>
      </c>
      <c r="CE92" s="758">
        <f>CE93*IS!CS97</f>
        <v>554.93698313631535</v>
      </c>
      <c r="CF92" s="758">
        <f>CF93*IS!CT97</f>
        <v>584.13317897688114</v>
      </c>
      <c r="CG92" s="758">
        <f>CG93*IS!CU97</f>
        <v>585.58252566063118</v>
      </c>
      <c r="CH92" s="2072">
        <f>SUM(CD92:CG92)</f>
        <v>2278.2093407351431</v>
      </c>
      <c r="CI92" s="2072">
        <f>CI93*IS!CW97</f>
        <v>2415.7441587170242</v>
      </c>
      <c r="CJ92" s="2072">
        <f>CJ93*IS!CX97</f>
        <v>2561.4891165470513</v>
      </c>
      <c r="CK92" s="2072">
        <f>CK93*IS!CY97</f>
        <v>2715.7692097632871</v>
      </c>
      <c r="CL92" s="757"/>
      <c r="CM92" s="738" t="s">
        <v>431</v>
      </c>
      <c r="CN92" s="739">
        <f>BP79</f>
        <v>890.59774500000003</v>
      </c>
      <c r="CO92" s="736"/>
    </row>
    <row r="93" spans="1:93">
      <c r="A93" s="736"/>
      <c r="B93" s="736" t="s">
        <v>98</v>
      </c>
      <c r="C93" s="736"/>
      <c r="D93" s="736"/>
      <c r="E93" s="736"/>
      <c r="F93" s="736"/>
      <c r="G93" s="736"/>
      <c r="H93" s="806">
        <v>0.61685853094077303</v>
      </c>
      <c r="I93" s="806">
        <v>0.60605802846133561</v>
      </c>
      <c r="J93" s="806">
        <v>0.68368325357028714</v>
      </c>
      <c r="K93" s="806">
        <v>0.86538968919845927</v>
      </c>
      <c r="L93" s="808">
        <v>0.16182365510894828</v>
      </c>
      <c r="M93" s="808">
        <v>0.16084881381311122</v>
      </c>
      <c r="N93" s="808">
        <v>0.16084881381311122</v>
      </c>
      <c r="O93" s="808">
        <v>0.37815126050420167</v>
      </c>
      <c r="P93" s="806">
        <v>0.88922457200402816</v>
      </c>
      <c r="Q93" s="808">
        <v>0.20319643624711814</v>
      </c>
      <c r="R93" s="808">
        <v>0.20395019321597252</v>
      </c>
      <c r="S93" s="809">
        <v>0.22</v>
      </c>
      <c r="T93" s="808">
        <v>0.20417161067728753</v>
      </c>
      <c r="U93" s="806">
        <v>0.82063178784301083</v>
      </c>
      <c r="V93" s="808">
        <f t="shared" ref="V93:AT93" si="70">V92/V79</f>
        <v>0.20477444397211894</v>
      </c>
      <c r="W93" s="808">
        <f t="shared" si="70"/>
        <v>0.24618616062382237</v>
      </c>
      <c r="X93" s="808">
        <f t="shared" si="70"/>
        <v>0.2480942401813491</v>
      </c>
      <c r="Y93" s="808">
        <f t="shared" si="70"/>
        <v>0.24706236818318769</v>
      </c>
      <c r="Z93" s="806">
        <f t="shared" si="70"/>
        <v>0.95510695992768901</v>
      </c>
      <c r="AA93" s="808">
        <f t="shared" si="70"/>
        <v>0.24637220275072311</v>
      </c>
      <c r="AB93" s="808">
        <f t="shared" si="70"/>
        <v>0.24702966165709436</v>
      </c>
      <c r="AC93" s="808">
        <f t="shared" si="70"/>
        <v>0.2994411471197026</v>
      </c>
      <c r="AD93" s="808">
        <f t="shared" si="70"/>
        <v>0.29891809949092418</v>
      </c>
      <c r="AE93" s="806">
        <f t="shared" si="70"/>
        <v>1.0980664879258439</v>
      </c>
      <c r="AF93" s="808">
        <f t="shared" si="70"/>
        <v>0.3010675122379628</v>
      </c>
      <c r="AG93" s="808">
        <f t="shared" si="70"/>
        <v>0.30071857034210636</v>
      </c>
      <c r="AH93" s="808">
        <f t="shared" si="70"/>
        <v>0.30085753370233709</v>
      </c>
      <c r="AI93" s="808">
        <f t="shared" si="70"/>
        <v>0.36125139177130772</v>
      </c>
      <c r="AJ93" s="806">
        <f t="shared" si="70"/>
        <v>1.2818597772530274</v>
      </c>
      <c r="AK93" s="808">
        <f t="shared" si="70"/>
        <v>0.35985898572154701</v>
      </c>
      <c r="AL93" s="808">
        <f t="shared" si="70"/>
        <v>0.36121279921305244</v>
      </c>
      <c r="AM93" s="808">
        <f t="shared" si="70"/>
        <v>0.36158479723951703</v>
      </c>
      <c r="AN93" s="808">
        <f t="shared" si="70"/>
        <v>0.36082507243189693</v>
      </c>
      <c r="AO93" s="806">
        <f t="shared" si="70"/>
        <v>1.4475704089279653</v>
      </c>
      <c r="AP93" s="808">
        <f t="shared" si="70"/>
        <v>0.39975134051950062</v>
      </c>
      <c r="AQ93" s="808">
        <f t="shared" si="70"/>
        <v>0.39932417730425734</v>
      </c>
      <c r="AR93" s="808">
        <f t="shared" si="70"/>
        <v>0.40069001245944508</v>
      </c>
      <c r="AS93" s="808">
        <f t="shared" si="70"/>
        <v>0.39947503769502901</v>
      </c>
      <c r="AT93" s="806">
        <f t="shared" si="70"/>
        <v>1.6087554507174811</v>
      </c>
      <c r="AU93" s="808">
        <v>0.42499999999999999</v>
      </c>
      <c r="AV93" s="808">
        <v>0.48</v>
      </c>
      <c r="AW93" s="808">
        <v>0.48</v>
      </c>
      <c r="AX93" s="808">
        <v>0.48</v>
      </c>
      <c r="AY93" s="806">
        <f>AY92/AY79</f>
        <v>1.7658301937122336</v>
      </c>
      <c r="AZ93" s="808">
        <f>+AZ92/IS!BN97</f>
        <v>0.46245369850712764</v>
      </c>
      <c r="BA93" s="808">
        <f>+BA92/IS!BO97</f>
        <v>0.46227893440788004</v>
      </c>
      <c r="BB93" s="808">
        <v>0.53500000000000003</v>
      </c>
      <c r="BC93" s="808">
        <v>0.53500000000000003</v>
      </c>
      <c r="BD93" s="806">
        <f>SUM(AZ93:BC93)</f>
        <v>1.9947326329150079</v>
      </c>
      <c r="BE93" s="808">
        <v>0.53500000000000003</v>
      </c>
      <c r="BF93" s="808">
        <v>0.53500000000000003</v>
      </c>
      <c r="BG93" s="808">
        <v>0.53500000000000003</v>
      </c>
      <c r="BH93" s="808">
        <f>+BH92/IS!BV99</f>
        <v>0.55834242093784081</v>
      </c>
      <c r="BI93" s="806">
        <f>SUM(BE93:BH93)</f>
        <v>2.1633424209378407</v>
      </c>
      <c r="BJ93" s="808">
        <f>+BJ92/IS!BX99</f>
        <v>0.56052344601962922</v>
      </c>
      <c r="BK93" s="808">
        <f>+BK92/IS!BY99</f>
        <v>0.56065573770491806</v>
      </c>
      <c r="BL93" s="808">
        <f>+BL92/IS!BZ99</f>
        <v>0.56153846153846154</v>
      </c>
      <c r="BM93" s="808">
        <f>+BM92/IS!CA99</f>
        <v>0.5622932745314223</v>
      </c>
      <c r="BN93" s="806">
        <f>SUM(BJ93:BM93)</f>
        <v>2.245010919794431</v>
      </c>
      <c r="BO93" s="808">
        <f>+BO92/IS!CC99</f>
        <v>0.61172566371681414</v>
      </c>
      <c r="BP93" s="808">
        <f>+BP92/IS!CD99</f>
        <v>0.61079865016872892</v>
      </c>
      <c r="BQ93" s="808">
        <f>+BQ92/IS!CE99</f>
        <v>0.61807909604519773</v>
      </c>
      <c r="BR93" s="808">
        <f>+BR92/IS!CF99</f>
        <v>0.63647058823529412</v>
      </c>
      <c r="BS93" s="806">
        <f>SUM(BO93:BR93)</f>
        <v>2.477073998166035</v>
      </c>
      <c r="BT93" s="808">
        <f>+BT92/IS!CH99</f>
        <v>0.61251504211793018</v>
      </c>
      <c r="BU93" s="808">
        <f>+BU92/IS!CI99</f>
        <v>0.63183183183183178</v>
      </c>
      <c r="BV93" s="808">
        <f>+BV92/IS!CJ99</f>
        <v>0.63297232250300839</v>
      </c>
      <c r="BW93" s="808">
        <f>+BW92/IS!CK99</f>
        <v>0.62716049382716055</v>
      </c>
      <c r="BX93" s="2074">
        <f>SUM(BT93:BW93)</f>
        <v>2.5044796902799309</v>
      </c>
      <c r="BY93" s="808">
        <f>+BY92/IS!CM99</f>
        <v>0.62967581047381549</v>
      </c>
      <c r="BZ93" s="808">
        <f>+BZ92/IS!CN99</f>
        <v>0.63032581453634084</v>
      </c>
      <c r="CA93" s="808">
        <f>+CA92/IS!CO99</f>
        <v>0.66875784190715182</v>
      </c>
      <c r="CB93" s="807">
        <v>0.7</v>
      </c>
      <c r="CC93" s="2074">
        <f>SUM(BY93:CB93)</f>
        <v>2.628759466917308</v>
      </c>
      <c r="CD93" s="807">
        <f>CB93</f>
        <v>0.7</v>
      </c>
      <c r="CE93" s="807">
        <v>0.7</v>
      </c>
      <c r="CF93" s="807">
        <f>CE93*1.05</f>
        <v>0.73499999999999999</v>
      </c>
      <c r="CG93" s="807">
        <f>+CF93</f>
        <v>0.73499999999999999</v>
      </c>
      <c r="CH93" s="2074">
        <f>SUM(CD93:CG93)</f>
        <v>2.8699999999999997</v>
      </c>
      <c r="CI93" s="2074">
        <f>CH93*1.05</f>
        <v>3.0134999999999996</v>
      </c>
      <c r="CJ93" s="2074">
        <f t="shared" ref="CJ93:CK93" si="71">CI93*1.05</f>
        <v>3.1641749999999997</v>
      </c>
      <c r="CK93" s="2074">
        <f t="shared" si="71"/>
        <v>3.3223837499999997</v>
      </c>
      <c r="CL93" s="806"/>
      <c r="CM93" s="738" t="s">
        <v>430</v>
      </c>
      <c r="CN93" s="739">
        <f>BQ75+BQ76</f>
        <v>902.18993699999999</v>
      </c>
      <c r="CO93" s="736"/>
    </row>
    <row r="94" spans="1:93">
      <c r="A94" s="736"/>
      <c r="B94" s="736"/>
      <c r="C94" s="736"/>
      <c r="D94" s="736"/>
      <c r="E94" s="736"/>
      <c r="F94" s="736"/>
      <c r="G94" s="736"/>
      <c r="H94" s="800"/>
      <c r="I94" s="800"/>
      <c r="J94" s="800"/>
      <c r="K94" s="800"/>
      <c r="L94" s="801"/>
      <c r="M94" s="801"/>
      <c r="N94" s="801"/>
      <c r="O94" s="801"/>
      <c r="P94" s="800"/>
      <c r="Q94" s="801"/>
      <c r="R94" s="801"/>
      <c r="S94" s="802"/>
      <c r="T94" s="801"/>
      <c r="U94" s="800"/>
      <c r="V94" s="801"/>
      <c r="W94" s="801"/>
      <c r="X94" s="801"/>
      <c r="Y94" s="801"/>
      <c r="Z94" s="800"/>
      <c r="AA94" s="805"/>
      <c r="AB94" s="801"/>
      <c r="AC94" s="804"/>
      <c r="AD94" s="801"/>
      <c r="AE94" s="800"/>
      <c r="AF94" s="801"/>
      <c r="AG94" s="801"/>
      <c r="AH94" s="801"/>
      <c r="AI94" s="801"/>
      <c r="AJ94" s="800"/>
      <c r="AK94" s="801"/>
      <c r="AL94" s="801"/>
      <c r="AM94" s="801"/>
      <c r="AN94" s="801"/>
      <c r="AO94" s="800"/>
      <c r="AP94" s="801"/>
      <c r="AQ94" s="801"/>
      <c r="AR94" s="801"/>
      <c r="AS94" s="801"/>
      <c r="AT94" s="800"/>
      <c r="AU94" s="801"/>
      <c r="AV94" s="801"/>
      <c r="AW94" s="801"/>
      <c r="AX94" s="801"/>
      <c r="AY94" s="800"/>
      <c r="AZ94" s="801"/>
      <c r="BA94" s="801"/>
      <c r="BB94" s="801"/>
      <c r="BC94" s="801"/>
      <c r="BD94" s="800"/>
      <c r="BE94" s="801"/>
      <c r="BF94" s="801"/>
      <c r="BG94" s="801"/>
      <c r="BH94" s="801"/>
      <c r="BI94" s="800"/>
      <c r="BJ94" s="801"/>
      <c r="BK94" s="801"/>
      <c r="BL94" s="801"/>
      <c r="BM94" s="801"/>
      <c r="BN94" s="800"/>
      <c r="BO94" s="801"/>
      <c r="BP94" s="801"/>
      <c r="BQ94" s="801"/>
      <c r="BR94" s="801"/>
      <c r="BS94" s="800"/>
      <c r="BT94" s="801"/>
      <c r="BU94" s="801"/>
      <c r="BV94" s="801"/>
      <c r="BW94" s="801"/>
      <c r="BX94" s="800"/>
      <c r="BY94" s="801"/>
      <c r="BZ94" s="801"/>
      <c r="CA94" s="801"/>
      <c r="CB94" s="801"/>
      <c r="CC94" s="800"/>
      <c r="CD94" s="801"/>
      <c r="CE94" s="801"/>
      <c r="CF94" s="801"/>
      <c r="CG94" s="801"/>
      <c r="CH94" s="800"/>
      <c r="CI94" s="800"/>
      <c r="CJ94" s="800"/>
      <c r="CK94" s="800"/>
      <c r="CL94" s="800"/>
      <c r="CM94" s="738" t="s">
        <v>429</v>
      </c>
      <c r="CN94" s="739">
        <f>CN93</f>
        <v>902.18993699999999</v>
      </c>
      <c r="CO94" s="736"/>
    </row>
    <row r="95" spans="1:93">
      <c r="A95" s="736"/>
      <c r="B95" s="736" t="s">
        <v>428</v>
      </c>
      <c r="C95" s="736"/>
      <c r="D95" s="736"/>
      <c r="E95" s="736"/>
      <c r="F95" s="736"/>
      <c r="G95" s="736"/>
      <c r="H95" s="785">
        <v>0.32079646017699115</v>
      </c>
      <c r="I95" s="785">
        <v>0.29411764705882354</v>
      </c>
      <c r="J95" s="785">
        <v>0.2889087656529517</v>
      </c>
      <c r="K95" s="785">
        <v>0.34731046166878443</v>
      </c>
      <c r="L95" s="786">
        <v>0.29251608074140195</v>
      </c>
      <c r="M95" s="786">
        <v>0.19530235410355731</v>
      </c>
      <c r="N95" s="786">
        <v>0.23024822987389082</v>
      </c>
      <c r="O95" s="786">
        <v>0.61171527434503215</v>
      </c>
      <c r="P95" s="785">
        <v>0.31671449067431851</v>
      </c>
      <c r="Q95" s="786">
        <v>0.30963266475751333</v>
      </c>
      <c r="R95" s="786">
        <v>0.20899118666312322</v>
      </c>
      <c r="S95" s="787">
        <v>0.26582216808769793</v>
      </c>
      <c r="T95" s="786">
        <v>0.32191274718607477</v>
      </c>
      <c r="U95" s="785">
        <v>0.26498732543252645</v>
      </c>
      <c r="V95" s="786">
        <f>V93/IS!AJ83</f>
        <v>0.26903309110399481</v>
      </c>
      <c r="W95" s="786">
        <f>W93/IS!AK83</f>
        <v>0.22520565373475682</v>
      </c>
      <c r="X95" s="786">
        <f>X93/IS!AL83</f>
        <v>0.25058514620726624</v>
      </c>
      <c r="Y95" s="786">
        <f>Y93/IS!AM83</f>
        <v>0.28504999242407086</v>
      </c>
      <c r="Z95" s="785">
        <f>Z93/IS!AN83</f>
        <v>0.25745916443924305</v>
      </c>
      <c r="AA95" s="786">
        <f>AA93/IS!AO83</f>
        <v>0.29871501505673753</v>
      </c>
      <c r="AB95" s="786">
        <f>AB93/IS!AP83</f>
        <v>0.21303080578442807</v>
      </c>
      <c r="AC95" s="786">
        <f>AC93/IS!AQ83</f>
        <v>0.24740793191427393</v>
      </c>
      <c r="AD95" s="786">
        <f>AD93/IS!AR83</f>
        <v>0.27748623575383907</v>
      </c>
      <c r="AE95" s="785">
        <f>AE93/IS!AS83</f>
        <v>0.25709937418528878</v>
      </c>
      <c r="AF95" s="786">
        <f>AF93/IS!AT83</f>
        <v>0.29354082443201374</v>
      </c>
      <c r="AG95" s="786">
        <f>AG93/IS!AU83</f>
        <v>0.22783854035331352</v>
      </c>
      <c r="AH95" s="786">
        <f>AH93/IS!AV83</f>
        <v>0.22546533849560488</v>
      </c>
      <c r="AI95" s="786">
        <f>AI93/IS!AW83</f>
        <v>0.29436467119880355</v>
      </c>
      <c r="AJ95" s="785">
        <f>AJ93/IS!AX83</f>
        <v>0.26134739753761871</v>
      </c>
      <c r="AK95" s="786">
        <f>AK93/IS!AY83</f>
        <v>0.45969970516447783</v>
      </c>
      <c r="AL95" s="786">
        <f>AL93/IS!AZ83</f>
        <v>0.34466232934021401</v>
      </c>
      <c r="AM95" s="786">
        <f>AM93/IS!BA83</f>
        <v>0.31769861503552471</v>
      </c>
      <c r="AN95" s="786">
        <f>AN93/IS!BB83</f>
        <v>0.3129541763483627</v>
      </c>
      <c r="AO95" s="785">
        <f>AO93/IS!BC83</f>
        <v>0.35119101070947062</v>
      </c>
      <c r="AP95" s="786">
        <f>AP93/IS!BD83</f>
        <v>0.42883255813235116</v>
      </c>
      <c r="AQ95" s="786">
        <f>AQ93/IS!BE83</f>
        <v>0.3327701477535478</v>
      </c>
      <c r="AR95" s="786">
        <f>AR93/IS!BF83</f>
        <v>0.30737405797181133</v>
      </c>
      <c r="AS95" s="786">
        <f>AS93/IS!BG83</f>
        <v>0.30518693455266604</v>
      </c>
      <c r="AT95" s="785">
        <f>AT93/IS!BH83</f>
        <v>0.33944629645026753</v>
      </c>
      <c r="AU95" s="786">
        <f>AU93/IS!BI83</f>
        <v>0.40044541709577758</v>
      </c>
      <c r="AV95" s="786">
        <f>AV93/IS!BJ83</f>
        <v>0.33984747081712058</v>
      </c>
      <c r="AW95" s="786">
        <f>AW93/IS!BK83</f>
        <v>0.33637296037296038</v>
      </c>
      <c r="AX95" s="786">
        <f>AX93/IS!BL83</f>
        <v>0.3376525821596244</v>
      </c>
      <c r="AY95" s="785">
        <f>AY93/IS!BM83</f>
        <v>0.33214163444477357</v>
      </c>
      <c r="AZ95" s="786">
        <f>AZ93/IS!BN83</f>
        <v>0.35215829661381015</v>
      </c>
      <c r="BA95" s="786">
        <f>BA93/IS!BO83</f>
        <v>0.28570353815044391</v>
      </c>
      <c r="BB95" s="786">
        <f>BB93/IS!BP83</f>
        <v>0.38984096385542177</v>
      </c>
      <c r="BC95" s="786">
        <f>BC93/IS!BQ83</f>
        <v>0.51629766949152545</v>
      </c>
      <c r="BD95" s="785">
        <f>BD93/IS!BR83</f>
        <v>0.37364144731420379</v>
      </c>
      <c r="BE95" s="786">
        <f>BE93/IS!BS83</f>
        <v>0.3850314960629922</v>
      </c>
      <c r="BF95" s="786">
        <f>BF93/IS!BT83</f>
        <v>0.31507087628865982</v>
      </c>
      <c r="BG95" s="786">
        <f>BG93/IS!BU83</f>
        <v>0.34614310954063604</v>
      </c>
      <c r="BH95" s="786">
        <f>BH93/IS!BV83</f>
        <v>0.35334713595583161</v>
      </c>
      <c r="BI95" s="785">
        <f>BI93/IS!BW83</f>
        <v>0.34817599946548389</v>
      </c>
      <c r="BJ95" s="786">
        <f>BJ93/IS!BX83</f>
        <v>0.42374278647980212</v>
      </c>
      <c r="BK95" s="786">
        <f>BK93/IS!BY83</f>
        <v>0.30535714285714288</v>
      </c>
      <c r="BL95" s="786">
        <f>BL93/IS!BZ83</f>
        <v>0.27562028047464943</v>
      </c>
      <c r="BM95" s="786">
        <f>BM93/IS!CA83</f>
        <v>0.3462321792260693</v>
      </c>
      <c r="BN95" s="785">
        <f>BN93/IS!CB83</f>
        <v>0.32926225266599191</v>
      </c>
      <c r="BO95" s="786">
        <f>BO93/IS!CC83</f>
        <v>0.424164327243162</v>
      </c>
      <c r="BP95" s="786">
        <f>BP93/IS!CD83</f>
        <v>0.35930283339729763</v>
      </c>
      <c r="BQ95" s="786">
        <f>BQ93/IS!CE83</f>
        <v>0.3699455816808051</v>
      </c>
      <c r="BR95" s="786">
        <f>BR93/IS!CF83</f>
        <v>0.4167950693374422</v>
      </c>
      <c r="BS95" s="785">
        <f>BS93/IS!CG83</f>
        <v>0.39072553290534612</v>
      </c>
      <c r="BT95" s="786">
        <f>BT93/IS!CH83</f>
        <v>0.41668372150137123</v>
      </c>
      <c r="BU95" s="786">
        <f>BU93/IS!CI83</f>
        <v>0.34798141011858486</v>
      </c>
      <c r="BV95" s="786">
        <f>BV93/IS!CJ83</f>
        <v>0.36036776695304257</v>
      </c>
      <c r="BW95" s="786">
        <f>BW93/IS!CK83</f>
        <v>0.40094711917916342</v>
      </c>
      <c r="BX95" s="2073">
        <f>BX93/IS!CL83</f>
        <v>0.37895786051042823</v>
      </c>
      <c r="BY95" s="786">
        <f>BY93/IS!CM83</f>
        <v>0.42598059890341633</v>
      </c>
      <c r="BZ95" s="786">
        <f>BZ93/IS!CN83</f>
        <v>0.3401176550138616</v>
      </c>
      <c r="CA95" s="786">
        <f>CA93/IS!CO83</f>
        <v>0.38684298384404353</v>
      </c>
      <c r="CB95" s="786">
        <f>CB93/IS!CP83</f>
        <v>0.44494801326911843</v>
      </c>
      <c r="CC95" s="785">
        <f>CC93/IS!CQ83</f>
        <v>0.39635057969732695</v>
      </c>
      <c r="CD95" s="786">
        <f>CD93/IS!CR83</f>
        <v>0.46269338561827655</v>
      </c>
      <c r="CE95" s="786">
        <f>CE93/IS!CS83</f>
        <v>0.37685115108476042</v>
      </c>
      <c r="CF95" s="786">
        <f>CF93/IS!CT83</f>
        <v>0.39315641049702466</v>
      </c>
      <c r="CG95" s="786">
        <f>CG93/IS!CU83</f>
        <v>0.43889774856967173</v>
      </c>
      <c r="CH95" s="785">
        <f>CH93/IS!CV83</f>
        <v>0.41503802360512898</v>
      </c>
      <c r="CI95" s="2073">
        <f>CI93/IS!CW83</f>
        <v>0.38799908383289405</v>
      </c>
      <c r="CJ95" s="2073">
        <f>CJ93/IS!CX83</f>
        <v>0.37508980105682055</v>
      </c>
      <c r="CK95" s="2073">
        <f>CK93/IS!CY83</f>
        <v>0.37804768919558535</v>
      </c>
      <c r="CL95" s="785"/>
      <c r="CM95" s="738" t="s">
        <v>427</v>
      </c>
      <c r="CN95" s="739">
        <f>AVERAGE(CN92:CN94)</f>
        <v>898.32587300000012</v>
      </c>
      <c r="CO95" s="736"/>
    </row>
    <row r="96" spans="1:93">
      <c r="A96" s="736"/>
      <c r="B96" s="736" t="s">
        <v>426</v>
      </c>
      <c r="C96" s="736"/>
      <c r="D96" s="736"/>
      <c r="E96" s="736"/>
      <c r="F96" s="736"/>
      <c r="G96" s="736"/>
      <c r="H96" s="785">
        <v>0.37037037037037035</v>
      </c>
      <c r="I96" s="785">
        <v>0.27246653919694075</v>
      </c>
      <c r="J96" s="785">
        <v>0.28495809439788267</v>
      </c>
      <c r="K96" s="785">
        <v>0.34968017057569301</v>
      </c>
      <c r="L96" s="786">
        <v>0.2530241137967229</v>
      </c>
      <c r="M96" s="786">
        <v>0.16867021490761769</v>
      </c>
      <c r="N96" s="786">
        <v>0.21533336478084528</v>
      </c>
      <c r="O96" s="786">
        <v>0.67943692903658737</v>
      </c>
      <c r="P96" s="785">
        <v>0.30406336088154268</v>
      </c>
      <c r="Q96" s="786">
        <v>0.29044793192671642</v>
      </c>
      <c r="R96" s="786">
        <v>0.20192083805959468</v>
      </c>
      <c r="S96" s="787">
        <v>0.24088300220750553</v>
      </c>
      <c r="T96" s="786">
        <v>0.25189672467310353</v>
      </c>
      <c r="U96" s="785">
        <v>0.2388387964030613</v>
      </c>
      <c r="V96" s="786">
        <f>V93/(V25/IS!AJ97)</f>
        <v>0.26033340163897289</v>
      </c>
      <c r="W96" s="786">
        <f>W93/(W25/IS!AK97)</f>
        <v>0.40740908399531545</v>
      </c>
      <c r="X96" s="786">
        <f>X93/(X25/IS!AL97)</f>
        <v>0.20656954577546482</v>
      </c>
      <c r="Y96" s="786">
        <f>Y93/(Y25/IS!AM97)</f>
        <v>0.18415998609973805</v>
      </c>
      <c r="Z96" s="785">
        <f>Z93/(Z25/IS!AN97)</f>
        <v>0.24318129922814632</v>
      </c>
      <c r="AA96" s="786">
        <f>AA93/(AA25/IS!AO97)</f>
        <v>0.97342160107224474</v>
      </c>
      <c r="AB96" s="786">
        <f>AB93/(AB25/IS!AP97)</f>
        <v>0.19919086240463535</v>
      </c>
      <c r="AC96" s="786">
        <f>AC93/(AC25/IS!AQ97)</f>
        <v>0.25184438836355777</v>
      </c>
      <c r="AD96" s="786">
        <f>AD93/(AD25/IS!AR97)</f>
        <v>0.18040431555179123</v>
      </c>
      <c r="AE96" s="785">
        <f>AE93/(AE25/IS!AS97)</f>
        <v>0.25342018059863863</v>
      </c>
      <c r="AF96" s="786">
        <f>AF93/(AF25/IS!AT97)</f>
        <v>0.44027077058454772</v>
      </c>
      <c r="AG96" s="786">
        <f>AG93/(AG25/IS!AU97)</f>
        <v>0.25482809567859571</v>
      </c>
      <c r="AH96" s="786">
        <f>AH93/(AH25/IS!AV97)</f>
        <v>0.17913214993253382</v>
      </c>
      <c r="AI96" s="786">
        <f>AI93/(AI25/IS!AW97)</f>
        <v>0.20636541710851655</v>
      </c>
      <c r="AJ96" s="785">
        <f>AJ93/(AJ25/IS!AX97)</f>
        <v>0.2431515613879352</v>
      </c>
      <c r="AK96" s="786">
        <f>AK93/(AK25/IS!AY97)</f>
        <v>1.0388382040640887</v>
      </c>
      <c r="AL96" s="786">
        <f>AL93/(AL25/IS!AZ97)</f>
        <v>0.24283435440877482</v>
      </c>
      <c r="AM96" s="786">
        <f>AM93/(AM25/IS!BA97)</f>
        <v>0.1959652831374924</v>
      </c>
      <c r="AN96" s="786">
        <f>AN93/(AN25/IS!BB97)</f>
        <v>0.28709125328277013</v>
      </c>
      <c r="AO96" s="785">
        <f>AO93/(AO25/IS!BC97)</f>
        <v>0.29322334106183878</v>
      </c>
      <c r="AP96" s="786">
        <f>AP93/(AP25/IS!BD97)</f>
        <v>0.36283289497003335</v>
      </c>
      <c r="AQ96" s="786">
        <f>AQ93/(AQ25/IS!BE97)</f>
        <v>0.29187550308985877</v>
      </c>
      <c r="AR96" s="786">
        <f>AR93/(AR25/IS!BF97)</f>
        <v>0.2421782196719528</v>
      </c>
      <c r="AS96" s="786">
        <f>AS93/(AS25/IS!BG97)</f>
        <v>0.27932285581466371</v>
      </c>
      <c r="AT96" s="785">
        <f>AT93/(AT25/IS!BH97)</f>
        <v>0.28974193090783595</v>
      </c>
      <c r="AU96" s="786">
        <f>AU93/(AU25/IS!BI97)</f>
        <v>0.33241731940818103</v>
      </c>
      <c r="AV96" s="786">
        <f>AV93/(AV25/IS!BJ97)</f>
        <v>0.38164915405164734</v>
      </c>
      <c r="AW96" s="786">
        <f>AW93/(AW25/IS!BK97)</f>
        <v>0.24977985948477749</v>
      </c>
      <c r="AX96" s="786">
        <f>AX93/(AX25/IS!BL97)</f>
        <v>0.27481624758220502</v>
      </c>
      <c r="AY96" s="785">
        <f>AY93/(AY25/IS!BM97)</f>
        <v>0.28487620355259913</v>
      </c>
      <c r="AZ96" s="786">
        <f>AZ93/(AZ25/IS!BN97)</f>
        <v>0.36654804270462638</v>
      </c>
      <c r="BA96" s="786">
        <f>BA93/(BA25/IS!BO97)</f>
        <v>0.28076138681169271</v>
      </c>
      <c r="BB96" s="786">
        <f>BB93/(BB25/IS!BP97)</f>
        <v>0.36660588685015288</v>
      </c>
      <c r="BC96" s="786">
        <f>BC93/(BC25/IS!BQ97)</f>
        <v>0.36671744097486675</v>
      </c>
      <c r="BD96" s="785">
        <f>BD93/(BD25/IS!BR97)</f>
        <v>0.34234751782697759</v>
      </c>
      <c r="BE96" s="786">
        <f>BE93/(BE25/IS!BS97)</f>
        <v>0.43270646319569123</v>
      </c>
      <c r="BF96" s="786">
        <f>BF93/(BF25/IS!BT97)</f>
        <v>0.30702866242038218</v>
      </c>
      <c r="BG96" s="786">
        <f>BG93/(BG25/IS!BU97)</f>
        <v>0.41545517241379309</v>
      </c>
      <c r="BH96" s="786">
        <f>BH93/(BH25/IS!BV97)</f>
        <v>0.2551047268078066</v>
      </c>
      <c r="BI96" s="785">
        <f>BI93/(BI25/IS!BW97)</f>
        <v>0.33512093434386997</v>
      </c>
      <c r="BJ96" s="786">
        <f>BJ93/(BJ25/IS!BX97)</f>
        <v>0.50402357770826944</v>
      </c>
      <c r="BK96" s="786">
        <f>BK93/(BK25/IS!BY97)</f>
        <v>0.37768724845391188</v>
      </c>
      <c r="BL96" s="786">
        <f>BL93/(BL25/IS!BZ97)</f>
        <v>0.32893772893772893</v>
      </c>
      <c r="BM96" s="786">
        <f>BM93/(BM25/IS!CA97)</f>
        <v>0.28708070776133654</v>
      </c>
      <c r="BN96" s="785">
        <f>BN93/(BN25/IS!CB97)</f>
        <v>0.35866684058237841</v>
      </c>
      <c r="BO96" s="786">
        <f>BO93/(BO25/IS!CC97)</f>
        <v>0.56594162235755152</v>
      </c>
      <c r="BP96" s="786">
        <f>BP93/(BP25/IS!CD97)</f>
        <v>0.4547287064498941</v>
      </c>
      <c r="BQ96" s="786">
        <f>BQ93/(BQ25/IS!CE97)</f>
        <v>0.85806226328937119</v>
      </c>
      <c r="BR96" s="786">
        <f>BR93/(BR25/IS!CF97)</f>
        <v>0.26441837732160312</v>
      </c>
      <c r="BS96" s="785">
        <f>BS93/(BS25/IS!CG97)</f>
        <v>0.44905643946408347</v>
      </c>
      <c r="BT96" s="786">
        <f>BT93/(BT25/IS!CH97)</f>
        <v>0.99277978339350181</v>
      </c>
      <c r="BU96" s="786">
        <f>BU93/(BU25/IS!CI97)</f>
        <v>0.36890393578291664</v>
      </c>
      <c r="BV96" s="786">
        <f>BV93/(BV25/IS!CJ97)</f>
        <v>0.33417035908636666</v>
      </c>
      <c r="BW96" s="786">
        <f>BW93/(BW25/IS!CK97)</f>
        <v>0.42303003872950606</v>
      </c>
      <c r="BX96" s="2073">
        <f>BX93/(BX25/IS!CL97)</f>
        <v>0.43494942212903104</v>
      </c>
      <c r="BY96" s="786">
        <f>BY93/(BY25/IS!CM97)</f>
        <v>0.74844699628175071</v>
      </c>
      <c r="BZ96" s="786">
        <f>BZ93/(BZ25/IS!CN97)</f>
        <v>0.29254533392304288</v>
      </c>
      <c r="CA96" s="786">
        <f>CA93/(CA25/IS!CO97)</f>
        <v>-1.1164855496246517</v>
      </c>
      <c r="CB96" s="786">
        <f>CB93/(CB25/IS!CP97)</f>
        <v>0.31279411047179795</v>
      </c>
      <c r="CC96" s="785">
        <f>CC93/(CC25/IS!CQ97)</f>
        <v>0.5671265186674701</v>
      </c>
      <c r="CD96" s="786">
        <f>CD93/(CD25/IS!CR97)</f>
        <v>1.1412386119465217</v>
      </c>
      <c r="CE96" s="786">
        <f>CE93/(CE25/IS!CS97)</f>
        <v>0.40041099973287619</v>
      </c>
      <c r="CF96" s="786">
        <f>CF93/(CF25/IS!CT97)</f>
        <v>0.35175640177738088</v>
      </c>
      <c r="CG96" s="786">
        <f>CG93/(CG25/IS!CU97)</f>
        <v>0.30382118878742187</v>
      </c>
      <c r="CH96" s="785">
        <f>CH93/(CH25/IS!CV97)</f>
        <v>0.41730729655854343</v>
      </c>
      <c r="CI96" s="2073">
        <f>CI93/(CI25/IS!CW97)</f>
        <v>0.35997604963235852</v>
      </c>
      <c r="CJ96" s="2073">
        <f>CJ93/(CJ25/IS!CX97)</f>
        <v>0.3476824645276394</v>
      </c>
      <c r="CK96" s="2073">
        <f>CK93/(CK25/IS!CY97)</f>
        <v>0.35244489382871702</v>
      </c>
      <c r="CL96" s="785"/>
      <c r="CM96" s="738"/>
      <c r="CN96" s="618"/>
      <c r="CO96" s="736"/>
    </row>
    <row r="97" spans="1:93">
      <c r="A97" s="736"/>
      <c r="B97" s="736"/>
      <c r="C97" s="736"/>
      <c r="D97" s="736"/>
      <c r="E97" s="736"/>
      <c r="F97" s="736"/>
      <c r="G97" s="736"/>
      <c r="H97" s="800"/>
      <c r="I97" s="800"/>
      <c r="J97" s="800"/>
      <c r="K97" s="800"/>
      <c r="L97" s="801"/>
      <c r="M97" s="801"/>
      <c r="N97" s="801"/>
      <c r="O97" s="801"/>
      <c r="P97" s="800"/>
      <c r="Q97" s="801"/>
      <c r="R97" s="801"/>
      <c r="S97" s="802"/>
      <c r="T97" s="801"/>
      <c r="U97" s="800"/>
      <c r="V97" s="801"/>
      <c r="W97" s="801"/>
      <c r="X97" s="801"/>
      <c r="Y97" s="801"/>
      <c r="Z97" s="800"/>
      <c r="AA97" s="801"/>
      <c r="AB97" s="801"/>
      <c r="AC97" s="786"/>
      <c r="AD97" s="801"/>
      <c r="AE97" s="800"/>
      <c r="AF97" s="801"/>
      <c r="AG97" s="801"/>
      <c r="AH97" s="801"/>
      <c r="AI97" s="801"/>
      <c r="AJ97" s="800"/>
      <c r="AK97" s="801"/>
      <c r="AL97" s="801"/>
      <c r="AM97" s="801"/>
      <c r="AN97" s="801"/>
      <c r="AO97" s="800"/>
      <c r="AP97" s="801"/>
      <c r="AQ97" s="801"/>
      <c r="AR97" s="801"/>
      <c r="AS97" s="801"/>
      <c r="AT97" s="800"/>
      <c r="AU97" s="801"/>
      <c r="AV97" s="801"/>
      <c r="AW97" s="801"/>
      <c r="AX97" s="801"/>
      <c r="AY97" s="800"/>
      <c r="AZ97" s="801"/>
      <c r="BA97" s="801"/>
      <c r="BB97" s="801"/>
      <c r="BC97" s="801"/>
      <c r="BD97" s="800"/>
      <c r="BE97" s="801"/>
      <c r="BF97" s="801"/>
      <c r="BG97" s="801"/>
      <c r="BH97" s="801"/>
      <c r="BI97" s="800"/>
      <c r="BJ97" s="801"/>
      <c r="BK97" s="801"/>
      <c r="BL97" s="801"/>
      <c r="BM97" s="801"/>
      <c r="BN97" s="800"/>
      <c r="BO97" s="801"/>
      <c r="BP97" s="801"/>
      <c r="BQ97" s="801"/>
      <c r="BR97" s="801"/>
      <c r="BS97" s="800"/>
      <c r="BT97" s="801"/>
      <c r="BU97" s="801"/>
      <c r="BV97" s="801"/>
      <c r="BW97" s="801"/>
      <c r="BX97" s="800"/>
      <c r="BY97" s="801"/>
      <c r="BZ97" s="801"/>
      <c r="CA97" s="801"/>
      <c r="CB97" s="801"/>
      <c r="CC97" s="800"/>
      <c r="CD97" s="801"/>
      <c r="CE97" s="801"/>
      <c r="CF97" s="801"/>
      <c r="CG97" s="801"/>
      <c r="CH97" s="800"/>
      <c r="CI97" s="800"/>
      <c r="CJ97" s="800"/>
      <c r="CK97" s="800"/>
      <c r="CL97" s="800"/>
      <c r="CM97" s="738"/>
      <c r="CN97" s="618"/>
      <c r="CO97" s="736"/>
    </row>
    <row r="98" spans="1:93">
      <c r="A98" s="736"/>
      <c r="B98" s="736"/>
      <c r="C98" s="736"/>
      <c r="D98" s="736"/>
      <c r="E98" s="736"/>
      <c r="F98" s="803"/>
      <c r="G98" s="803"/>
      <c r="H98" s="800"/>
      <c r="I98" s="800"/>
      <c r="J98" s="800"/>
      <c r="K98" s="800"/>
      <c r="L98" s="801"/>
      <c r="M98" s="801"/>
      <c r="N98" s="801"/>
      <c r="O98" s="801"/>
      <c r="P98" s="800"/>
      <c r="Q98" s="801"/>
      <c r="R98" s="801"/>
      <c r="S98" s="802"/>
      <c r="T98" s="801"/>
      <c r="U98" s="800"/>
      <c r="V98" s="801"/>
      <c r="W98" s="801"/>
      <c r="X98" s="801"/>
      <c r="Y98" s="801"/>
      <c r="Z98" s="800"/>
      <c r="AA98" s="801"/>
      <c r="AB98" s="801"/>
      <c r="AC98" s="801"/>
      <c r="AD98" s="801"/>
      <c r="AE98" s="800"/>
      <c r="AF98" s="801"/>
      <c r="AG98" s="801"/>
      <c r="AH98" s="801"/>
      <c r="AI98" s="801"/>
      <c r="AJ98" s="800"/>
      <c r="AK98" s="801"/>
      <c r="AL98" s="801"/>
      <c r="AM98" s="801"/>
      <c r="AN98" s="801"/>
      <c r="AO98" s="800"/>
      <c r="AP98" s="801"/>
      <c r="AQ98" s="801"/>
      <c r="AR98" s="801"/>
      <c r="AS98" s="801"/>
      <c r="AT98" s="800"/>
      <c r="AU98" s="801"/>
      <c r="AV98" s="801"/>
      <c r="AW98" s="801"/>
      <c r="AX98" s="801"/>
      <c r="AY98" s="800"/>
      <c r="AZ98" s="801"/>
      <c r="BA98" s="801"/>
      <c r="BB98" s="801"/>
      <c r="BC98" s="801"/>
      <c r="BD98" s="800"/>
      <c r="BE98" s="801"/>
      <c r="BF98" s="801"/>
      <c r="BG98" s="801"/>
      <c r="BH98" s="801"/>
      <c r="BI98" s="800"/>
      <c r="BJ98" s="801"/>
      <c r="BK98" s="801"/>
      <c r="BL98" s="801"/>
      <c r="BM98" s="801"/>
      <c r="BN98" s="800"/>
      <c r="BO98" s="801"/>
      <c r="BP98" s="801"/>
      <c r="BQ98" s="801"/>
      <c r="BR98" s="801"/>
      <c r="BS98" s="800"/>
      <c r="BT98" s="801"/>
      <c r="BU98" s="801"/>
      <c r="BV98" s="801"/>
      <c r="BW98" s="801"/>
      <c r="BX98" s="800"/>
      <c r="BY98" s="801"/>
      <c r="BZ98" s="801"/>
      <c r="CA98" s="801"/>
      <c r="CB98" s="801"/>
      <c r="CC98" s="800"/>
      <c r="CD98" s="801"/>
      <c r="CE98" s="801"/>
      <c r="CF98" s="801"/>
      <c r="CG98" s="801"/>
      <c r="CH98" s="800"/>
      <c r="CI98" s="800"/>
      <c r="CJ98" s="800"/>
      <c r="CK98" s="800"/>
      <c r="CL98" s="800"/>
      <c r="CM98" s="799"/>
      <c r="CN98" s="612"/>
      <c r="CO98" s="741"/>
    </row>
    <row r="99" spans="1:93">
      <c r="A99" s="741"/>
      <c r="B99" s="769" t="s">
        <v>425</v>
      </c>
      <c r="C99" s="741"/>
      <c r="D99" s="741"/>
      <c r="E99" s="741"/>
      <c r="F99" s="798"/>
      <c r="G99" s="798"/>
      <c r="H99" s="795"/>
      <c r="I99" s="795"/>
      <c r="J99" s="795"/>
      <c r="K99" s="795"/>
      <c r="L99" s="796"/>
      <c r="M99" s="796"/>
      <c r="N99" s="796"/>
      <c r="O99" s="796"/>
      <c r="P99" s="795"/>
      <c r="Q99" s="796"/>
      <c r="R99" s="796"/>
      <c r="S99" s="797"/>
      <c r="T99" s="796"/>
      <c r="U99" s="795"/>
      <c r="V99" s="796"/>
      <c r="W99" s="796"/>
      <c r="X99" s="796"/>
      <c r="Y99" s="796"/>
      <c r="Z99" s="795"/>
      <c r="AA99" s="796"/>
      <c r="AB99" s="796"/>
      <c r="AC99" s="796"/>
      <c r="AD99" s="796"/>
      <c r="AE99" s="795"/>
      <c r="AF99" s="796"/>
      <c r="AG99" s="796"/>
      <c r="AH99" s="796"/>
      <c r="AI99" s="796"/>
      <c r="AJ99" s="795"/>
      <c r="AK99" s="796"/>
      <c r="AL99" s="796"/>
      <c r="AM99" s="796"/>
      <c r="AN99" s="796"/>
      <c r="AO99" s="795"/>
      <c r="AP99" s="796"/>
      <c r="AQ99" s="796"/>
      <c r="AR99" s="796"/>
      <c r="AS99" s="796"/>
      <c r="AT99" s="795"/>
      <c r="AU99" s="796"/>
      <c r="AV99" s="796"/>
      <c r="AW99" s="796"/>
      <c r="AX99" s="796"/>
      <c r="AY99" s="795"/>
      <c r="AZ99" s="796"/>
      <c r="BA99" s="796"/>
      <c r="BB99" s="796"/>
      <c r="BC99" s="796"/>
      <c r="BD99" s="795"/>
      <c r="BE99" s="796"/>
      <c r="BF99" s="796"/>
      <c r="BG99" s="796"/>
      <c r="BH99" s="796"/>
      <c r="BI99" s="795"/>
      <c r="BJ99" s="796"/>
      <c r="BK99" s="796"/>
      <c r="BL99" s="796"/>
      <c r="BM99" s="796"/>
      <c r="BN99" s="795"/>
      <c r="BO99" s="796"/>
      <c r="BP99" s="796"/>
      <c r="BQ99" s="796"/>
      <c r="BR99" s="796"/>
      <c r="BS99" s="795"/>
      <c r="BT99" s="796"/>
      <c r="BU99" s="796"/>
      <c r="BV99" s="796"/>
      <c r="BW99" s="796"/>
      <c r="BX99" s="795"/>
      <c r="BY99" s="796"/>
      <c r="BZ99" s="796"/>
      <c r="CA99" s="796"/>
      <c r="CB99" s="796"/>
      <c r="CC99" s="795"/>
      <c r="CD99" s="796"/>
      <c r="CE99" s="796"/>
      <c r="CF99" s="796"/>
      <c r="CG99" s="796"/>
      <c r="CH99" s="795"/>
      <c r="CI99" s="795"/>
      <c r="CJ99" s="795"/>
      <c r="CK99" s="795"/>
      <c r="CL99" s="795"/>
      <c r="CM99" s="738"/>
      <c r="CN99" s="618"/>
      <c r="CO99" s="736"/>
    </row>
    <row r="100" spans="1:93">
      <c r="A100" s="736"/>
      <c r="B100" s="736" t="s">
        <v>113</v>
      </c>
      <c r="C100" s="736"/>
      <c r="D100" s="736"/>
      <c r="E100" s="736"/>
      <c r="F100" s="794"/>
      <c r="G100" s="794"/>
      <c r="H100" s="791">
        <v>26583</v>
      </c>
      <c r="I100" s="791">
        <v>27897</v>
      </c>
      <c r="J100" s="791">
        <v>28212</v>
      </c>
      <c r="K100" s="791">
        <v>31034</v>
      </c>
      <c r="L100" s="792">
        <v>8646</v>
      </c>
      <c r="M100" s="792">
        <v>9622</v>
      </c>
      <c r="N100" s="792">
        <v>9339</v>
      </c>
      <c r="O100" s="792">
        <v>9838</v>
      </c>
      <c r="P100" s="791">
        <v>37445</v>
      </c>
      <c r="Q100" s="792">
        <v>9407</v>
      </c>
      <c r="R100" s="792">
        <v>11152</v>
      </c>
      <c r="S100" s="793">
        <v>10905</v>
      </c>
      <c r="T100" s="792">
        <v>11261</v>
      </c>
      <c r="U100" s="791">
        <v>42725</v>
      </c>
      <c r="V100" s="792">
        <f>IS!AJ21</f>
        <v>10615</v>
      </c>
      <c r="W100" s="792">
        <f>IS!AK21</f>
        <v>12264</v>
      </c>
      <c r="X100" s="792">
        <f>IS!AL21</f>
        <v>12163</v>
      </c>
      <c r="Y100" s="792">
        <f>IS!AM21</f>
        <v>12787</v>
      </c>
      <c r="Z100" s="791">
        <f>IS!AN21</f>
        <v>47829</v>
      </c>
      <c r="AA100" s="792">
        <f>IS!AO21</f>
        <v>12278</v>
      </c>
      <c r="AB100" s="792">
        <f>IS!AP21</f>
        <v>13904</v>
      </c>
      <c r="AC100" s="792">
        <f>IS!AQ21</f>
        <v>13863</v>
      </c>
      <c r="AD100" s="792">
        <f>IS!AR21</f>
        <v>14714</v>
      </c>
      <c r="AE100" s="791">
        <f>IS!AS21</f>
        <v>54759</v>
      </c>
      <c r="AF100" s="792">
        <f>IS!AT21</f>
        <v>13958</v>
      </c>
      <c r="AG100" s="792">
        <f>IS!AU21</f>
        <v>15944</v>
      </c>
      <c r="AH100" s="792">
        <f>IS!AV21</f>
        <v>15085</v>
      </c>
      <c r="AI100" s="792">
        <f>IS!AW21</f>
        <v>14770</v>
      </c>
      <c r="AJ100" s="791">
        <f>IS!AX21</f>
        <v>59757</v>
      </c>
      <c r="AK100" s="792">
        <f>IS!AY21</f>
        <v>12199</v>
      </c>
      <c r="AL100" s="792">
        <f>IS!AZ21</f>
        <v>13060</v>
      </c>
      <c r="AM100" s="792">
        <f>IS!BA21</f>
        <v>13187</v>
      </c>
      <c r="AN100" s="792">
        <f>IS!BB21</f>
        <v>13979</v>
      </c>
      <c r="AO100" s="791">
        <f>IS!BC21</f>
        <v>52425</v>
      </c>
      <c r="AP100" s="792">
        <f>IS!BD21</f>
        <v>12040</v>
      </c>
      <c r="AQ100" s="792">
        <f>IS!BE21</f>
        <v>13802</v>
      </c>
      <c r="AR100" s="792">
        <f>IS!BF21</f>
        <v>13620</v>
      </c>
      <c r="AS100" s="792">
        <f>IS!BG21</f>
        <v>14864</v>
      </c>
      <c r="AT100" s="791">
        <f>IS!BH21</f>
        <v>54326</v>
      </c>
      <c r="AU100" s="792">
        <f>IS!BI21</f>
        <v>12673</v>
      </c>
      <c r="AV100" s="792">
        <f>IS!BJ21</f>
        <v>14469</v>
      </c>
      <c r="AW100" s="792">
        <f>IS!BK21</f>
        <v>14235</v>
      </c>
      <c r="AX100" s="792">
        <f>IS!BL21</f>
        <v>14377</v>
      </c>
      <c r="AY100" s="791">
        <f>IS!BM21</f>
        <v>55754</v>
      </c>
      <c r="AZ100" s="792">
        <f>IS!BN21</f>
        <v>12416</v>
      </c>
      <c r="BA100" s="792">
        <f>IS!BO21</f>
        <v>13807</v>
      </c>
      <c r="BB100" s="792">
        <f>IS!BP21</f>
        <v>15042</v>
      </c>
      <c r="BC100" s="792">
        <f>IS!BQ21</f>
        <v>16443</v>
      </c>
      <c r="BD100" s="791">
        <f>IS!BR21</f>
        <v>57708</v>
      </c>
      <c r="BE100" s="792">
        <f>IS!BS21</f>
        <v>14399</v>
      </c>
      <c r="BF100" s="792">
        <f>IS!BT21</f>
        <v>16006</v>
      </c>
      <c r="BG100" s="792">
        <f>IS!BU21</f>
        <v>15462</v>
      </c>
      <c r="BH100" s="792">
        <f>IS!BV21</f>
        <v>16759</v>
      </c>
      <c r="BI100" s="791">
        <f>IS!BW21</f>
        <v>62626</v>
      </c>
      <c r="BJ100" s="792">
        <f>IS!BX21</f>
        <v>14745</v>
      </c>
      <c r="BK100" s="792">
        <f>IS!BY21</f>
        <v>17191</v>
      </c>
      <c r="BL100" s="792">
        <f>IS!BZ21</f>
        <v>16168</v>
      </c>
      <c r="BM100" s="792">
        <f>IS!CA21</f>
        <v>16996</v>
      </c>
      <c r="BN100" s="791">
        <f>IS!CB21</f>
        <v>65100</v>
      </c>
      <c r="BO100" s="792">
        <f>IS!CC21</f>
        <v>13320</v>
      </c>
      <c r="BP100" s="792">
        <f>IS!CD21</f>
        <v>14697</v>
      </c>
      <c r="BQ100" s="792">
        <f>IS!CE21</f>
        <v>13788</v>
      </c>
      <c r="BR100" s="792">
        <f>IS!CF21</f>
        <v>14300</v>
      </c>
      <c r="BS100" s="791">
        <f>IS!CG21</f>
        <v>56039.611191779026</v>
      </c>
      <c r="BT100" s="792">
        <f>IS!CH21</f>
        <v>13357</v>
      </c>
      <c r="BU100" s="792">
        <f>IS!CI21</f>
        <v>14874</v>
      </c>
      <c r="BV100" s="792">
        <f>IS!CJ21</f>
        <v>14354</v>
      </c>
      <c r="BW100" s="792">
        <f>IS!CK21</f>
        <v>14659</v>
      </c>
      <c r="BX100" s="791">
        <f>IS!CL21</f>
        <v>57244</v>
      </c>
      <c r="BY100" s="792">
        <f>IS!CM21</f>
        <v>13815</v>
      </c>
      <c r="BZ100" s="792">
        <f>IS!CN21</f>
        <v>15280</v>
      </c>
      <c r="CA100" s="792">
        <f>IS!CO21</f>
        <v>15062</v>
      </c>
      <c r="CB100" s="792">
        <f>IS!CP21</f>
        <v>15351.269017269917</v>
      </c>
      <c r="CC100" s="791">
        <f>IS!CQ21</f>
        <v>59508.269017269915</v>
      </c>
      <c r="CD100" s="792">
        <f>IS!CR21</f>
        <v>14667.335541751592</v>
      </c>
      <c r="CE100" s="792">
        <f>IS!CS21</f>
        <v>16358.718417161737</v>
      </c>
      <c r="CF100" s="792">
        <f>IS!CT21</f>
        <v>15800.409910742877</v>
      </c>
      <c r="CG100" s="792">
        <f>IS!CU21</f>
        <v>16002.959249809173</v>
      </c>
      <c r="CH100" s="791">
        <f>IS!CV21</f>
        <v>63039.210827606337</v>
      </c>
      <c r="CI100" s="791">
        <f>IS!CW21</f>
        <v>65770.398626218564</v>
      </c>
      <c r="CJ100" s="791">
        <f>IS!CX21</f>
        <v>68632.667678645448</v>
      </c>
      <c r="CK100" s="791">
        <f>IS!CY21</f>
        <v>71104.542665612098</v>
      </c>
      <c r="CL100" s="791"/>
      <c r="CM100" s="738"/>
      <c r="CN100" s="618"/>
      <c r="CO100" s="736"/>
    </row>
    <row r="101" spans="1:93">
      <c r="A101" s="736"/>
      <c r="B101" s="736" t="s">
        <v>47</v>
      </c>
      <c r="C101" s="736"/>
      <c r="D101" s="736"/>
      <c r="E101" s="736"/>
      <c r="F101" s="736"/>
      <c r="G101" s="736"/>
      <c r="H101" s="788">
        <v>3.5248090885152163E-2</v>
      </c>
      <c r="I101" s="788">
        <v>2.8425995626769902E-2</v>
      </c>
      <c r="J101" s="788">
        <v>2.0771302991634766E-2</v>
      </c>
      <c r="K101" s="788">
        <v>1.7078043436231229E-2</v>
      </c>
      <c r="L101" s="789">
        <v>1.4226231783483692E-2</v>
      </c>
      <c r="M101" s="789">
        <v>1.5381417584701726E-2</v>
      </c>
      <c r="N101" s="789">
        <v>1.9274012206874396E-2</v>
      </c>
      <c r="O101" s="789">
        <v>3.4966456596869283E-2</v>
      </c>
      <c r="P101" s="788">
        <v>2.1231139003872346E-2</v>
      </c>
      <c r="Q101" s="789">
        <v>1.6158180078664822E-2</v>
      </c>
      <c r="R101" s="789">
        <v>1.6409612625538021E-2</v>
      </c>
      <c r="S101" s="790">
        <v>2.283356258596974E-2</v>
      </c>
      <c r="T101" s="789">
        <v>3.0636710771689904E-2</v>
      </c>
      <c r="U101" s="788">
        <v>2.1743709771796373E-2</v>
      </c>
      <c r="V101" s="789">
        <f t="shared" ref="V101:BA101" si="72">-V23/V100</f>
        <v>1.8935468676401317E-2</v>
      </c>
      <c r="W101" s="789">
        <f t="shared" si="72"/>
        <v>1.7775603392041747E-2</v>
      </c>
      <c r="X101" s="789">
        <f t="shared" si="72"/>
        <v>1.5127846748335115E-2</v>
      </c>
      <c r="Y101" s="789">
        <f t="shared" si="72"/>
        <v>2.7449753656056931E-2</v>
      </c>
      <c r="Z101" s="788">
        <f t="shared" si="72"/>
        <v>1.9946057831023021E-2</v>
      </c>
      <c r="AA101" s="789">
        <f t="shared" si="72"/>
        <v>1.6940869848509531E-2</v>
      </c>
      <c r="AB101" s="789">
        <f t="shared" si="72"/>
        <v>1.8052359033371691E-2</v>
      </c>
      <c r="AC101" s="789">
        <f t="shared" si="72"/>
        <v>1.716800115415134E-2</v>
      </c>
      <c r="AD101" s="789">
        <f t="shared" si="72"/>
        <v>3.099089302704907E-2</v>
      </c>
      <c r="AE101" s="788">
        <f t="shared" si="72"/>
        <v>2.1055899486842347E-2</v>
      </c>
      <c r="AF101" s="789">
        <f t="shared" si="72"/>
        <v>1.697950995844677E-2</v>
      </c>
      <c r="AG101" s="789">
        <f t="shared" si="72"/>
        <v>1.9129453085800302E-2</v>
      </c>
      <c r="AH101" s="789">
        <f t="shared" si="72"/>
        <v>1.7765992707988069E-2</v>
      </c>
      <c r="AI101" s="789">
        <f t="shared" si="72"/>
        <v>2.7488151658767772E-2</v>
      </c>
      <c r="AJ101" s="788">
        <f t="shared" si="72"/>
        <v>2.0349080442458624E-2</v>
      </c>
      <c r="AK101" s="789">
        <f t="shared" si="72"/>
        <v>1.3689646692351832E-2</v>
      </c>
      <c r="AL101" s="789">
        <f t="shared" si="72"/>
        <v>1.3246554364471669E-2</v>
      </c>
      <c r="AM101" s="789">
        <f t="shared" si="72"/>
        <v>1.2208993705922499E-2</v>
      </c>
      <c r="AN101" s="789">
        <f t="shared" si="72"/>
        <v>2.3249159453465913E-2</v>
      </c>
      <c r="AO101" s="788">
        <f t="shared" si="72"/>
        <v>1.5755841678588459E-2</v>
      </c>
      <c r="AP101" s="789">
        <f t="shared" si="72"/>
        <v>1.2209302325581395E-2</v>
      </c>
      <c r="AQ101" s="789">
        <f t="shared" si="72"/>
        <v>1.1230256484567455E-2</v>
      </c>
      <c r="AR101" s="789">
        <f t="shared" si="72"/>
        <v>1.2995594713656388E-2</v>
      </c>
      <c r="AS101" s="789">
        <f t="shared" si="72"/>
        <v>2.5968783638320773E-2</v>
      </c>
      <c r="AT101" s="788">
        <f t="shared" si="72"/>
        <v>1.5922394433604537E-2</v>
      </c>
      <c r="AU101" s="789">
        <f t="shared" si="72"/>
        <v>1.3493253373313344E-2</v>
      </c>
      <c r="AV101" s="789">
        <f t="shared" si="72"/>
        <v>1.3822655332089295E-2</v>
      </c>
      <c r="AW101" s="789">
        <f t="shared" si="72"/>
        <v>1.3979627678257816E-2</v>
      </c>
      <c r="AX101" s="789">
        <f t="shared" si="72"/>
        <v>2.4970438895458025E-2</v>
      </c>
      <c r="AY101" s="788">
        <f t="shared" si="72"/>
        <v>1.6662481615668832E-2</v>
      </c>
      <c r="AZ101" s="789">
        <f t="shared" si="72"/>
        <v>1.5141752577319588E-2</v>
      </c>
      <c r="BA101" s="789">
        <f t="shared" si="72"/>
        <v>1.7599768233504745E-2</v>
      </c>
      <c r="BB101" s="789">
        <f t="shared" ref="BB101:CH101" si="73">-BB23/BB100</f>
        <v>2.1074325222709744E-2</v>
      </c>
      <c r="BC101" s="789">
        <f t="shared" si="73"/>
        <v>3.8983153925682662E-2</v>
      </c>
      <c r="BD101" s="788">
        <f t="shared" si="73"/>
        <v>2.406945310875442E-2</v>
      </c>
      <c r="BE101" s="789">
        <f t="shared" si="73"/>
        <v>2.0487533856517814E-2</v>
      </c>
      <c r="BF101" s="789">
        <f t="shared" si="73"/>
        <v>2.3053854804448333E-2</v>
      </c>
      <c r="BG101" s="789">
        <f t="shared" si="73"/>
        <v>2.4770404863536412E-2</v>
      </c>
      <c r="BH101" s="789">
        <f t="shared" si="73"/>
        <v>3.824810549555463E-2</v>
      </c>
      <c r="BI101" s="785">
        <f t="shared" si="73"/>
        <v>2.6953661418580143E-2</v>
      </c>
      <c r="BJ101" s="789">
        <f t="shared" si="73"/>
        <v>2.2583926754832145E-2</v>
      </c>
      <c r="BK101" s="789">
        <f t="shared" si="73"/>
        <v>2.3617008900005818E-2</v>
      </c>
      <c r="BL101" s="789">
        <f t="shared" si="73"/>
        <v>2.5667986145472537E-2</v>
      </c>
      <c r="BM101" s="789">
        <f t="shared" si="73"/>
        <v>3.2772417039303364E-2</v>
      </c>
      <c r="BN101" s="785">
        <f t="shared" si="73"/>
        <v>2.6282642089093703E-2</v>
      </c>
      <c r="BO101" s="789">
        <f t="shared" si="73"/>
        <v>2.6126126126126126E-2</v>
      </c>
      <c r="BP101" s="789">
        <f t="shared" si="73"/>
        <v>2.4358712662448118E-2</v>
      </c>
      <c r="BQ101" s="789">
        <f>-BQ23/BQ100</f>
        <v>2.8285465622280244E-2</v>
      </c>
      <c r="BR101" s="789">
        <f>-BR23/BR100</f>
        <v>4.2517482517482517E-2</v>
      </c>
      <c r="BS101" s="788">
        <f t="shared" si="73"/>
        <v>3.0407063214064122E-2</v>
      </c>
      <c r="BT101" s="789">
        <f t="shared" si="73"/>
        <v>2.1411993711162685E-2</v>
      </c>
      <c r="BU101" s="789">
        <f t="shared" si="73"/>
        <v>2.4405002016942314E-2</v>
      </c>
      <c r="BV101" s="789">
        <f>-BV23/BV100</f>
        <v>2.7448794761042217E-2</v>
      </c>
      <c r="BW101" s="789">
        <f t="shared" si="73"/>
        <v>4.4750665120403849E-2</v>
      </c>
      <c r="BX101" s="788">
        <f>-BX23/BX100</f>
        <v>2.9679966459366922E-2</v>
      </c>
      <c r="BY101" s="789">
        <f>-BY23/BY100</f>
        <v>2.3525153818313427E-2</v>
      </c>
      <c r="BZ101" s="789">
        <f>-BZ23/BZ100</f>
        <v>2.9188481675392671E-2</v>
      </c>
      <c r="CA101" s="789">
        <f>-CA23/CA100</f>
        <v>2.9411764705882353E-2</v>
      </c>
      <c r="CB101" s="789">
        <f>-CB23/CB100</f>
        <v>2.9951228381751734E-2</v>
      </c>
      <c r="CC101" s="788">
        <f t="shared" si="73"/>
        <v>2.8127004732740751E-2</v>
      </c>
      <c r="CD101" s="789">
        <f>-CD23/CD100</f>
        <v>2.9523098400413596E-2</v>
      </c>
      <c r="CE101" s="789">
        <f>-CE23/CE100</f>
        <v>2.6470606035784217E-2</v>
      </c>
      <c r="CF101" s="789">
        <f>-CF23/CF100</f>
        <v>2.7405946612600041E-2</v>
      </c>
      <c r="CG101" s="789">
        <f>-CG23/CG100</f>
        <v>2.705906974525224E-2</v>
      </c>
      <c r="CH101" s="788">
        <f t="shared" si="73"/>
        <v>2.7476561637499692E-2</v>
      </c>
      <c r="CI101" s="788">
        <f>-CI23/CI100</f>
        <v>2.5532839382120125E-2</v>
      </c>
      <c r="CJ101" s="788">
        <f>-CJ23/CJ100</f>
        <v>2.426928981394471E-2</v>
      </c>
      <c r="CK101" s="788">
        <f>-CK23/CK100</f>
        <v>2.4353366600668662E-2</v>
      </c>
      <c r="CL101" s="788"/>
      <c r="CM101" s="738"/>
      <c r="CN101" s="618"/>
      <c r="CO101" s="736"/>
    </row>
    <row r="102" spans="1:93">
      <c r="A102" s="736"/>
      <c r="B102" s="736"/>
      <c r="C102" s="736"/>
      <c r="D102" s="736"/>
      <c r="E102" s="736"/>
      <c r="F102" s="736"/>
      <c r="G102" s="736"/>
      <c r="H102" s="742"/>
      <c r="I102" s="742"/>
      <c r="J102" s="742"/>
      <c r="K102" s="742"/>
      <c r="L102" s="618"/>
      <c r="M102" s="618"/>
      <c r="N102" s="618"/>
      <c r="O102" s="618"/>
      <c r="P102" s="742"/>
      <c r="Q102" s="618"/>
      <c r="R102" s="618"/>
      <c r="S102" s="740"/>
      <c r="T102" s="618"/>
      <c r="U102" s="742"/>
      <c r="V102" s="618"/>
      <c r="W102" s="618"/>
      <c r="X102" s="618"/>
      <c r="Y102" s="618"/>
      <c r="Z102" s="742"/>
      <c r="AA102" s="618"/>
      <c r="AB102" s="618"/>
      <c r="AC102" s="618"/>
      <c r="AD102" s="618"/>
      <c r="AE102" s="742"/>
      <c r="AF102" s="618"/>
      <c r="AG102" s="618"/>
      <c r="AH102" s="618"/>
      <c r="AI102" s="618"/>
      <c r="AJ102" s="742"/>
      <c r="AK102" s="618"/>
      <c r="AL102" s="618"/>
      <c r="AM102" s="618"/>
      <c r="AN102" s="618"/>
      <c r="AO102" s="742"/>
      <c r="AP102" s="618"/>
      <c r="AQ102" s="618"/>
      <c r="AR102" s="618"/>
      <c r="AS102" s="618"/>
      <c r="AT102" s="742"/>
      <c r="AU102" s="618"/>
      <c r="AV102" s="618"/>
      <c r="AW102" s="618"/>
      <c r="AX102" s="618"/>
      <c r="AY102" s="742"/>
      <c r="AZ102" s="618"/>
      <c r="BA102" s="618"/>
      <c r="BB102" s="618"/>
      <c r="BC102" s="618"/>
      <c r="BD102" s="742"/>
      <c r="BE102" s="618"/>
      <c r="BF102" s="618"/>
      <c r="BG102" s="618"/>
      <c r="BH102" s="618"/>
      <c r="BI102" s="742"/>
      <c r="BJ102" s="618"/>
      <c r="BK102" s="618"/>
      <c r="BL102" s="618"/>
      <c r="BM102" s="618"/>
      <c r="BN102" s="742"/>
      <c r="BO102" s="618"/>
      <c r="BP102" s="618"/>
      <c r="BQ102" s="618"/>
      <c r="BR102" s="618"/>
      <c r="BS102" s="742"/>
      <c r="BT102" s="618"/>
      <c r="BU102" s="618"/>
      <c r="BV102" s="618"/>
      <c r="BW102" s="618"/>
      <c r="BX102" s="742"/>
      <c r="BY102" s="618"/>
      <c r="BZ102" s="618"/>
      <c r="CA102" s="618"/>
      <c r="CB102" s="618"/>
      <c r="CC102" s="742"/>
      <c r="CD102" s="618"/>
      <c r="CE102" s="618"/>
      <c r="CF102" s="618"/>
      <c r="CG102" s="618"/>
      <c r="CH102" s="742"/>
      <c r="CI102" s="742"/>
      <c r="CJ102" s="742"/>
      <c r="CK102" s="742"/>
      <c r="CL102" s="742"/>
      <c r="CM102" s="738"/>
      <c r="CN102" s="618"/>
      <c r="CO102" s="736"/>
    </row>
    <row r="103" spans="1:93">
      <c r="A103" s="736"/>
      <c r="B103" s="736" t="s">
        <v>424</v>
      </c>
      <c r="C103" s="736"/>
      <c r="D103" s="736"/>
      <c r="E103" s="736"/>
      <c r="F103" s="736"/>
      <c r="G103" s="736"/>
      <c r="H103" s="785" t="e">
        <v>#DIV/0!</v>
      </c>
      <c r="I103" s="785" t="e">
        <v>#DIV/0!</v>
      </c>
      <c r="J103" s="785" t="e">
        <v>#DIV/0!</v>
      </c>
      <c r="K103" s="785" t="e">
        <v>#DIV/0!</v>
      </c>
      <c r="L103" s="786" t="e">
        <v>#DIV/0!</v>
      </c>
      <c r="M103" s="786" t="e">
        <v>#DIV/0!</v>
      </c>
      <c r="N103" s="786" t="e">
        <v>#DIV/0!</v>
      </c>
      <c r="O103" s="786" t="e">
        <v>#DIV/0!</v>
      </c>
      <c r="P103" s="785">
        <v>-0.36772358287656981</v>
      </c>
      <c r="Q103" s="786">
        <v>0.67256637168141598</v>
      </c>
      <c r="R103" s="786">
        <v>0.77215189873417722</v>
      </c>
      <c r="S103" s="787">
        <v>0.93962264150943398</v>
      </c>
      <c r="T103" s="786">
        <v>1.34765625</v>
      </c>
      <c r="U103" s="785">
        <v>0.94410569105691056</v>
      </c>
      <c r="V103" s="786">
        <f t="shared" ref="V103:BA103" si="74">-V23/V111</f>
        <v>0.76136363636363635</v>
      </c>
      <c r="W103" s="786">
        <f t="shared" si="74"/>
        <v>0.8515625</v>
      </c>
      <c r="X103" s="786">
        <f t="shared" si="74"/>
        <v>0.73015873015873012</v>
      </c>
      <c r="Y103" s="786">
        <f t="shared" si="74"/>
        <v>1.3448275862068966</v>
      </c>
      <c r="Z103" s="785">
        <f t="shared" si="74"/>
        <v>0.9235237173281704</v>
      </c>
      <c r="AA103" s="786">
        <f t="shared" si="74"/>
        <v>0.74820143884892087</v>
      </c>
      <c r="AB103" s="786">
        <f t="shared" si="74"/>
        <v>0.90613718411552346</v>
      </c>
      <c r="AC103" s="786">
        <f t="shared" si="74"/>
        <v>0.77272727272727271</v>
      </c>
      <c r="AD103" s="786">
        <f t="shared" si="74"/>
        <v>1.4709677419354839</v>
      </c>
      <c r="AE103" s="785">
        <f t="shared" si="74"/>
        <v>0.98294970161977835</v>
      </c>
      <c r="AF103" s="786">
        <f t="shared" si="74"/>
        <v>0.74294670846394983</v>
      </c>
      <c r="AG103" s="786">
        <f t="shared" si="74"/>
        <v>0.93558282208588961</v>
      </c>
      <c r="AH103" s="786">
        <f t="shared" si="74"/>
        <v>0.82208588957055218</v>
      </c>
      <c r="AI103" s="786">
        <f t="shared" si="74"/>
        <v>1.1599999999999999</v>
      </c>
      <c r="AJ103" s="785">
        <f t="shared" si="74"/>
        <v>0.92051476154428469</v>
      </c>
      <c r="AK103" s="786">
        <f t="shared" si="74"/>
        <v>0.54575163398692805</v>
      </c>
      <c r="AL103" s="786">
        <f t="shared" si="74"/>
        <v>0.57095709570957098</v>
      </c>
      <c r="AM103" s="786">
        <f t="shared" si="74"/>
        <v>0.509493670886076</v>
      </c>
      <c r="AN103" s="786">
        <f t="shared" si="74"/>
        <v>0.97597597597597596</v>
      </c>
      <c r="AO103" s="785">
        <f t="shared" si="74"/>
        <v>0.65659777424483312</v>
      </c>
      <c r="AP103" s="786">
        <f t="shared" si="74"/>
        <v>0.44954128440366975</v>
      </c>
      <c r="AQ103" s="786">
        <f t="shared" si="74"/>
        <v>0.45722713864306785</v>
      </c>
      <c r="AR103" s="786">
        <f t="shared" si="74"/>
        <v>0.51754385964912286</v>
      </c>
      <c r="AS103" s="786">
        <f t="shared" si="74"/>
        <v>1.1091954022988506</v>
      </c>
      <c r="AT103" s="785">
        <f t="shared" si="74"/>
        <v>0.63790560471976399</v>
      </c>
      <c r="AU103" s="786">
        <f t="shared" si="74"/>
        <v>0.54113924050632911</v>
      </c>
      <c r="AV103" s="786">
        <f t="shared" si="74"/>
        <v>0.6211180124223602</v>
      </c>
      <c r="AW103" s="786">
        <f t="shared" si="74"/>
        <v>0.61419753086419748</v>
      </c>
      <c r="AX103" s="786">
        <f t="shared" si="74"/>
        <v>1.1926910299003322</v>
      </c>
      <c r="AY103" s="785">
        <f t="shared" si="74"/>
        <v>0.73555027711797305</v>
      </c>
      <c r="AZ103" s="786">
        <f t="shared" si="74"/>
        <v>0.58750000000000002</v>
      </c>
      <c r="BA103" s="786">
        <f t="shared" si="74"/>
        <v>0.79672131147540981</v>
      </c>
      <c r="BB103" s="786">
        <f t="shared" ref="BB103:CH103" si="75">-BB23/BB111</f>
        <v>0.75118483412322279</v>
      </c>
      <c r="BC103" s="786">
        <f t="shared" si="75"/>
        <v>1.3438155136268344</v>
      </c>
      <c r="BD103" s="785">
        <f t="shared" si="75"/>
        <v>0.91141732283464572</v>
      </c>
      <c r="BE103" s="786">
        <f t="shared" si="75"/>
        <v>0.6644144144144144</v>
      </c>
      <c r="BF103" s="786">
        <f t="shared" si="75"/>
        <v>0.84054669703872442</v>
      </c>
      <c r="BG103" s="786">
        <f t="shared" si="75"/>
        <v>0.84734513274336287</v>
      </c>
      <c r="BH103" s="786">
        <f t="shared" si="75"/>
        <v>1.3189300411522633</v>
      </c>
      <c r="BI103" s="785">
        <f t="shared" si="75"/>
        <v>0.92696320702910484</v>
      </c>
      <c r="BJ103" s="786">
        <f t="shared" si="75"/>
        <v>0.72077922077922074</v>
      </c>
      <c r="BK103" s="786">
        <f t="shared" si="75"/>
        <v>0.87688984881209509</v>
      </c>
      <c r="BL103" s="786">
        <f t="shared" si="75"/>
        <v>0.86820083682008364</v>
      </c>
      <c r="BM103" s="786">
        <f t="shared" si="75"/>
        <v>1.1508264462809918</v>
      </c>
      <c r="BN103" s="785">
        <f t="shared" si="75"/>
        <v>0.90673025967143617</v>
      </c>
      <c r="BO103" s="786">
        <f t="shared" si="75"/>
        <v>0.78359371095032548</v>
      </c>
      <c r="BP103" s="786">
        <f t="shared" si="75"/>
        <v>0.8046891332495909</v>
      </c>
      <c r="BQ103" s="786">
        <f>-BQ23/BQ111</f>
        <v>0.79268292682926833</v>
      </c>
      <c r="BR103" s="786">
        <f>-BR23/BR111</f>
        <v>1.3724604966139955</v>
      </c>
      <c r="BS103" s="785">
        <f t="shared" si="75"/>
        <v>0.93421052631578949</v>
      </c>
      <c r="BT103" s="786">
        <f t="shared" si="75"/>
        <v>0.65296803652968038</v>
      </c>
      <c r="BU103" s="786">
        <f t="shared" si="75"/>
        <v>0.78232758620689657</v>
      </c>
      <c r="BV103" s="786">
        <f>-BV23/BV111</f>
        <v>0.84913793103448276</v>
      </c>
      <c r="BW103" s="786">
        <f t="shared" si="75"/>
        <v>1.3695198329853862</v>
      </c>
      <c r="BX103" s="2073">
        <f>-BX23/BX111</f>
        <v>0.92086720867208671</v>
      </c>
      <c r="BY103" s="786">
        <f>-BY23/BY111</f>
        <v>0.69444444444444442</v>
      </c>
      <c r="BZ103" s="786">
        <f>-BZ23/BZ111</f>
        <v>0.91581108829568791</v>
      </c>
      <c r="CA103" s="786">
        <f>-CA23/CA111</f>
        <v>0.88423153692614775</v>
      </c>
      <c r="CB103" s="786">
        <f>-CB23/CB111</f>
        <v>0.97699520487622205</v>
      </c>
      <c r="CC103" s="785">
        <f t="shared" si="75"/>
        <v>0.86877174899379217</v>
      </c>
      <c r="CD103" s="786">
        <f>-CD23/CD111</f>
        <v>0.8859902938541675</v>
      </c>
      <c r="CE103" s="786">
        <f>-CE23/CE111</f>
        <v>0.8859902938541675</v>
      </c>
      <c r="CF103" s="786">
        <f>-CF23/CF111</f>
        <v>0.8859902938541675</v>
      </c>
      <c r="CG103" s="786">
        <f>-CG23/CG111</f>
        <v>0.98531666745995306</v>
      </c>
      <c r="CH103" s="785">
        <f t="shared" si="75"/>
        <v>0.90889596030211339</v>
      </c>
      <c r="CI103" s="2073">
        <f>-CI23/CI111</f>
        <v>0.89364077169419165</v>
      </c>
      <c r="CJ103" s="2073">
        <f>-CJ23/CJ111</f>
        <v>0.89972121526491522</v>
      </c>
      <c r="CK103" s="2073">
        <f>-CK23/CK111</f>
        <v>0.94611512594494818</v>
      </c>
      <c r="CL103" s="785"/>
      <c r="CM103" s="738"/>
      <c r="CN103" s="618"/>
      <c r="CO103" s="736"/>
    </row>
    <row r="104" spans="1:93">
      <c r="A104" s="736"/>
      <c r="B104" s="736"/>
      <c r="C104" s="736"/>
      <c r="D104" s="736"/>
      <c r="E104" s="736"/>
      <c r="F104" s="736"/>
      <c r="G104" s="736"/>
      <c r="H104" s="742"/>
      <c r="I104" s="742"/>
      <c r="J104" s="742"/>
      <c r="K104" s="742"/>
      <c r="L104" s="618"/>
      <c r="M104" s="618"/>
      <c r="N104" s="618"/>
      <c r="O104" s="618"/>
      <c r="P104" s="742"/>
      <c r="Q104" s="618"/>
      <c r="R104" s="618"/>
      <c r="S104" s="740"/>
      <c r="T104" s="618"/>
      <c r="U104" s="742"/>
      <c r="V104" s="618"/>
      <c r="W104" s="618"/>
      <c r="X104" s="618"/>
      <c r="Y104" s="618"/>
      <c r="Z104" s="742"/>
      <c r="AA104" s="618"/>
      <c r="AB104" s="618"/>
      <c r="AC104" s="618"/>
      <c r="AD104" s="618"/>
      <c r="AE104" s="742"/>
      <c r="AF104" s="618"/>
      <c r="AG104" s="618"/>
      <c r="AH104" s="618"/>
      <c r="AI104" s="618"/>
      <c r="AJ104" s="742"/>
      <c r="AK104" s="618"/>
      <c r="AL104" s="618"/>
      <c r="AM104" s="618"/>
      <c r="AN104" s="618"/>
      <c r="AO104" s="742"/>
      <c r="AP104" s="618"/>
      <c r="AQ104" s="618"/>
      <c r="AR104" s="618"/>
      <c r="AS104" s="618"/>
      <c r="AT104" s="742"/>
      <c r="AU104" s="618"/>
      <c r="AV104" s="618"/>
      <c r="AW104" s="618"/>
      <c r="AX104" s="618"/>
      <c r="AY104" s="742"/>
      <c r="AZ104" s="618"/>
      <c r="BA104" s="618"/>
      <c r="BB104" s="618"/>
      <c r="BC104" s="618"/>
      <c r="BD104" s="742"/>
      <c r="BE104" s="618"/>
      <c r="BF104" s="618"/>
      <c r="BG104" s="618"/>
      <c r="BH104" s="618"/>
      <c r="BI104" s="742"/>
      <c r="BJ104" s="618"/>
      <c r="BK104" s="618"/>
      <c r="BL104" s="618"/>
      <c r="BM104" s="618"/>
      <c r="BN104" s="742"/>
      <c r="BO104" s="618"/>
      <c r="BP104" s="618"/>
      <c r="BQ104" s="618"/>
      <c r="BR104" s="618"/>
      <c r="BS104" s="742"/>
      <c r="BT104" s="618"/>
      <c r="BU104" s="618"/>
      <c r="BV104" s="618"/>
      <c r="BW104" s="618"/>
      <c r="BX104" s="742"/>
      <c r="BY104" s="618"/>
      <c r="BZ104" s="618"/>
      <c r="CA104" s="618"/>
      <c r="CB104" s="618"/>
      <c r="CC104" s="742"/>
      <c r="CD104" s="618"/>
      <c r="CE104" s="618"/>
      <c r="CF104" s="618"/>
      <c r="CG104" s="618"/>
      <c r="CH104" s="742"/>
      <c r="CI104" s="742"/>
      <c r="CJ104" s="742"/>
      <c r="CK104" s="742"/>
      <c r="CL104" s="742"/>
      <c r="CM104" s="738"/>
      <c r="CN104" s="618"/>
      <c r="CO104" s="736"/>
    </row>
    <row r="105" spans="1:93">
      <c r="A105" s="736"/>
      <c r="B105" s="769" t="s">
        <v>420</v>
      </c>
      <c r="C105" s="736"/>
      <c r="D105" s="736"/>
      <c r="E105" s="736"/>
      <c r="F105" s="736"/>
      <c r="G105" s="736"/>
      <c r="H105" s="742"/>
      <c r="I105" s="742"/>
      <c r="J105" s="742"/>
      <c r="K105" s="742"/>
      <c r="L105" s="618"/>
      <c r="M105" s="618"/>
      <c r="N105" s="618"/>
      <c r="O105" s="618"/>
      <c r="P105" s="742"/>
      <c r="Q105" s="618"/>
      <c r="R105" s="618"/>
      <c r="S105" s="740"/>
      <c r="T105" s="618"/>
      <c r="U105" s="742"/>
      <c r="V105" s="618"/>
      <c r="W105" s="618"/>
      <c r="X105" s="618"/>
      <c r="Y105" s="618"/>
      <c r="Z105" s="742"/>
      <c r="AA105" s="618"/>
      <c r="AB105" s="618"/>
      <c r="AC105" s="618"/>
      <c r="AD105" s="618"/>
      <c r="AE105" s="742"/>
      <c r="AF105" s="618"/>
      <c r="AG105" s="618"/>
      <c r="AH105" s="618"/>
      <c r="AI105" s="618"/>
      <c r="AJ105" s="742"/>
      <c r="AK105" s="618"/>
      <c r="AL105" s="618"/>
      <c r="AM105" s="618"/>
      <c r="AN105" s="618"/>
      <c r="AO105" s="742"/>
      <c r="AP105" s="618"/>
      <c r="AQ105" s="618"/>
      <c r="AR105" s="618"/>
      <c r="AS105" s="618"/>
      <c r="AT105" s="742"/>
      <c r="AU105" s="618"/>
      <c r="AV105" s="618"/>
      <c r="AW105" s="618"/>
      <c r="AX105" s="618"/>
      <c r="AY105" s="742"/>
      <c r="AZ105" s="618"/>
      <c r="BA105" s="618"/>
      <c r="BB105" s="618"/>
      <c r="BC105" s="618"/>
      <c r="BD105" s="742"/>
      <c r="BE105" s="618"/>
      <c r="BF105" s="618"/>
      <c r="BG105" s="618"/>
      <c r="BH105" s="618"/>
      <c r="BI105" s="742"/>
      <c r="BJ105" s="618"/>
      <c r="BK105" s="618"/>
      <c r="BL105" s="618"/>
      <c r="BM105" s="618"/>
      <c r="BN105" s="742"/>
      <c r="BO105" s="618"/>
      <c r="BP105" s="618"/>
      <c r="BQ105" s="618"/>
      <c r="BR105" s="618"/>
      <c r="BS105" s="742"/>
      <c r="BT105" s="618"/>
      <c r="BU105" s="618"/>
      <c r="BV105" s="618"/>
      <c r="BW105" s="618"/>
      <c r="BX105" s="742"/>
      <c r="BY105" s="618"/>
      <c r="BZ105" s="618"/>
      <c r="CA105" s="618"/>
      <c r="CB105" s="618"/>
      <c r="CC105" s="742"/>
      <c r="CD105" s="618"/>
      <c r="CE105" s="618"/>
      <c r="CF105" s="618"/>
      <c r="CG105" s="618"/>
      <c r="CH105" s="742"/>
      <c r="CI105" s="742"/>
      <c r="CJ105" s="742"/>
      <c r="CK105" s="742"/>
      <c r="CL105" s="742"/>
      <c r="CM105" s="756"/>
      <c r="CN105" s="739"/>
      <c r="CO105" s="755"/>
    </row>
    <row r="106" spans="1:93">
      <c r="A106" s="755"/>
      <c r="B106" s="755" t="s">
        <v>423</v>
      </c>
      <c r="C106" s="755"/>
      <c r="D106" s="755"/>
      <c r="E106" s="755"/>
      <c r="F106" s="755"/>
      <c r="G106" s="755"/>
      <c r="H106" s="761"/>
      <c r="I106" s="761"/>
      <c r="J106" s="761"/>
      <c r="K106" s="761"/>
      <c r="L106" s="739"/>
      <c r="M106" s="739"/>
      <c r="N106" s="739"/>
      <c r="O106" s="739"/>
      <c r="P106" s="761">
        <v>5080</v>
      </c>
      <c r="Q106" s="739">
        <v>5231</v>
      </c>
      <c r="R106" s="739">
        <v>5160</v>
      </c>
      <c r="S106" s="779">
        <v>5187</v>
      </c>
      <c r="T106" s="739">
        <v>5513</v>
      </c>
      <c r="U106" s="761">
        <v>5231</v>
      </c>
      <c r="V106" s="739">
        <f>U112</f>
        <v>5623</v>
      </c>
      <c r="W106" s="739">
        <f>V112</f>
        <v>5677</v>
      </c>
      <c r="X106" s="739">
        <f>W112</f>
        <v>5586</v>
      </c>
      <c r="Y106" s="739">
        <f>X112</f>
        <v>5576</v>
      </c>
      <c r="Z106" s="761">
        <f>U112</f>
        <v>5623</v>
      </c>
      <c r="AA106" s="739">
        <f>Z112</f>
        <v>5725</v>
      </c>
      <c r="AB106" s="739">
        <f>AA112</f>
        <v>5759</v>
      </c>
      <c r="AC106" s="739">
        <f>AB112</f>
        <v>5875</v>
      </c>
      <c r="AD106" s="739">
        <f>AC112</f>
        <v>6053</v>
      </c>
      <c r="AE106" s="761">
        <f>Z112</f>
        <v>5725</v>
      </c>
      <c r="AF106" s="739">
        <f>AE112</f>
        <v>6296</v>
      </c>
      <c r="AG106" s="739">
        <f>AF112</f>
        <v>6477</v>
      </c>
      <c r="AH106" s="739">
        <f>AG112</f>
        <v>6550</v>
      </c>
      <c r="AI106" s="739">
        <f>AH112</f>
        <v>6441</v>
      </c>
      <c r="AJ106" s="761">
        <f>AE112</f>
        <v>6296</v>
      </c>
      <c r="AK106" s="739">
        <f>AJ112</f>
        <v>6348</v>
      </c>
      <c r="AL106" s="739">
        <f>AK112</f>
        <v>6130</v>
      </c>
      <c r="AM106" s="739">
        <f>AL112</f>
        <v>6179</v>
      </c>
      <c r="AN106" s="739">
        <f>AM112</f>
        <v>6278</v>
      </c>
      <c r="AO106" s="761">
        <f>AJ112</f>
        <v>6348</v>
      </c>
      <c r="AP106" s="739">
        <f>AO112</f>
        <v>6364</v>
      </c>
      <c r="AQ106" s="739">
        <f>AP112</f>
        <v>6335</v>
      </c>
      <c r="AR106" s="739">
        <f>AQ112</f>
        <v>6090</v>
      </c>
      <c r="AS106" s="739">
        <f>AR112</f>
        <v>6148</v>
      </c>
      <c r="AT106" s="761">
        <f>AO112</f>
        <v>6364</v>
      </c>
      <c r="AU106" s="739">
        <f>AT112</f>
        <v>6280</v>
      </c>
      <c r="AV106" s="739">
        <f>AU112</f>
        <v>6382</v>
      </c>
      <c r="AW106" s="739">
        <f>AV112</f>
        <v>6329</v>
      </c>
      <c r="AX106" s="739">
        <f>AW112</f>
        <v>6137</v>
      </c>
      <c r="AY106" s="761">
        <f>AT112</f>
        <v>6280</v>
      </c>
      <c r="AZ106" s="739">
        <f>AY112</f>
        <v>6201</v>
      </c>
      <c r="BA106" s="739">
        <f>AZ112</f>
        <v>5835</v>
      </c>
      <c r="BB106" s="739">
        <f>BA112</f>
        <v>5717</v>
      </c>
      <c r="BC106" s="739">
        <f>BB112</f>
        <v>8239</v>
      </c>
      <c r="BD106" s="761">
        <f>AY112</f>
        <v>6201</v>
      </c>
      <c r="BE106" s="739">
        <f>BD112</f>
        <v>8518</v>
      </c>
      <c r="BF106" s="739">
        <f>BE112</f>
        <v>8428</v>
      </c>
      <c r="BG106" s="739">
        <f>BF112</f>
        <v>8399</v>
      </c>
      <c r="BH106" s="739">
        <f>BG112</f>
        <v>8549</v>
      </c>
      <c r="BI106" s="761">
        <f>BD112</f>
        <v>8518</v>
      </c>
      <c r="BJ106" s="739">
        <f>BI112</f>
        <v>8866</v>
      </c>
      <c r="BK106" s="739">
        <f>BJ112</f>
        <v>8895</v>
      </c>
      <c r="BL106" s="739">
        <f>BK112</f>
        <v>9026</v>
      </c>
      <c r="BM106" s="739">
        <f>BL112</f>
        <v>9182</v>
      </c>
      <c r="BN106" s="761">
        <f>BI112</f>
        <v>8866</v>
      </c>
      <c r="BO106" s="739">
        <f>BN112</f>
        <v>9276</v>
      </c>
      <c r="BP106" s="739">
        <f>BO112</f>
        <v>9175</v>
      </c>
      <c r="BQ106" s="739">
        <f>BP112</f>
        <v>9266</v>
      </c>
      <c r="BR106" s="739">
        <f>BQ112</f>
        <v>8515</v>
      </c>
      <c r="BS106" s="761">
        <f>BN112</f>
        <v>9276</v>
      </c>
      <c r="BT106" s="739">
        <f>BS112</f>
        <v>8732</v>
      </c>
      <c r="BU106" s="739">
        <f>BT112</f>
        <v>8763</v>
      </c>
      <c r="BV106" s="739">
        <f>BU112</f>
        <v>8911</v>
      </c>
      <c r="BW106" s="739">
        <f>BV112</f>
        <v>8989</v>
      </c>
      <c r="BX106" s="761">
        <f>BS112</f>
        <v>8732</v>
      </c>
      <c r="BY106" s="739">
        <f>BX112</f>
        <v>9158</v>
      </c>
      <c r="BZ106" s="739">
        <f>BY112</f>
        <v>9255</v>
      </c>
      <c r="CA106" s="739">
        <f>BZ112</f>
        <v>9475</v>
      </c>
      <c r="CB106" s="739">
        <f>CA112</f>
        <v>9763</v>
      </c>
      <c r="CC106" s="761">
        <f>BX112</f>
        <v>9158</v>
      </c>
      <c r="CD106" s="739">
        <f>CC112</f>
        <v>9752.1735803075608</v>
      </c>
      <c r="CE106" s="739">
        <f>CD112</f>
        <v>9696.4516665780302</v>
      </c>
      <c r="CF106" s="739">
        <f>CE112</f>
        <v>9640.7297528484996</v>
      </c>
      <c r="CG106" s="739">
        <f>CF112</f>
        <v>9585.0078391189691</v>
      </c>
      <c r="CH106" s="761">
        <f>CC112</f>
        <v>9752.1735803075608</v>
      </c>
      <c r="CI106" s="761">
        <f>CH112</f>
        <v>9578.5548346383948</v>
      </c>
      <c r="CJ106" s="761">
        <f>CI112</f>
        <v>9378.6875142075842</v>
      </c>
      <c r="CK106" s="761">
        <f>CJ112</f>
        <v>9193.0400384017685</v>
      </c>
      <c r="CL106" s="761"/>
      <c r="CM106" s="756"/>
      <c r="CN106" s="739"/>
      <c r="CO106" s="755"/>
    </row>
    <row r="107" spans="1:93">
      <c r="A107" s="755"/>
      <c r="B107" s="755" t="s">
        <v>422</v>
      </c>
      <c r="C107" s="755"/>
      <c r="D107" s="755"/>
      <c r="E107" s="755"/>
      <c r="F107" s="755"/>
      <c r="G107" s="755"/>
      <c r="H107" s="761"/>
      <c r="I107" s="761"/>
      <c r="J107" s="761"/>
      <c r="K107" s="761"/>
      <c r="L107" s="739"/>
      <c r="M107" s="739"/>
      <c r="N107" s="739"/>
      <c r="O107" s="739"/>
      <c r="P107" s="761">
        <v>795</v>
      </c>
      <c r="Q107" s="739">
        <v>152</v>
      </c>
      <c r="R107" s="739">
        <v>183</v>
      </c>
      <c r="S107" s="779">
        <v>249</v>
      </c>
      <c r="T107" s="762">
        <v>345</v>
      </c>
      <c r="U107" s="761">
        <v>929</v>
      </c>
      <c r="V107" s="739">
        <f>'Divisional Summary'!AJ166</f>
        <v>201</v>
      </c>
      <c r="W107" s="739">
        <f>'Divisional Summary'!AK166</f>
        <v>218</v>
      </c>
      <c r="X107" s="739">
        <f>'Divisional Summary'!AL166</f>
        <v>184</v>
      </c>
      <c r="Y107" s="739">
        <f>'Divisional Summary'!AM166</f>
        <v>351</v>
      </c>
      <c r="Z107" s="761">
        <f>'Divisional Summary'!AN166</f>
        <v>954</v>
      </c>
      <c r="AA107" s="739">
        <f>'Divisional Summary'!AO166</f>
        <v>208</v>
      </c>
      <c r="AB107" s="739">
        <f>'Divisional Summary'!AP166</f>
        <v>251</v>
      </c>
      <c r="AC107" s="739">
        <f>'Divisional Summary'!AQ166</f>
        <v>238</v>
      </c>
      <c r="AD107" s="739">
        <f>'Divisional Summary'!AR166</f>
        <v>456</v>
      </c>
      <c r="AE107" s="761">
        <f>'Divisional Summary'!AS166</f>
        <v>1153</v>
      </c>
      <c r="AF107" s="739">
        <f>'Divisional Summary'!AT166</f>
        <v>237</v>
      </c>
      <c r="AG107" s="739">
        <f>'Divisional Summary'!AU166</f>
        <v>305</v>
      </c>
      <c r="AH107" s="739">
        <f>'Divisional Summary'!AV166</f>
        <v>268</v>
      </c>
      <c r="AI107" s="739">
        <f>'Divisional Summary'!AW166</f>
        <v>406</v>
      </c>
      <c r="AJ107" s="761">
        <f>'Divisional Summary'!AX166</f>
        <v>1216</v>
      </c>
      <c r="AK107" s="739">
        <f>'Divisional Summary'!AY166</f>
        <v>167</v>
      </c>
      <c r="AL107" s="739">
        <f>'Divisional Summary'!AZ166</f>
        <v>173</v>
      </c>
      <c r="AM107" s="739">
        <f>'Divisional Summary'!BA166</f>
        <v>161</v>
      </c>
      <c r="AN107" s="739">
        <f>'Divisional Summary'!BB166</f>
        <v>325</v>
      </c>
      <c r="AO107" s="761">
        <f>'Divisional Summary'!BC166</f>
        <v>826</v>
      </c>
      <c r="AP107" s="739">
        <f>'Divisional Summary'!BD166</f>
        <v>147</v>
      </c>
      <c r="AQ107" s="739">
        <f>'Divisional Summary'!BE166</f>
        <v>155</v>
      </c>
      <c r="AR107" s="739">
        <f>'Divisional Summary'!BF166</f>
        <v>177</v>
      </c>
      <c r="AS107" s="739">
        <f>'Divisional Summary'!BG166</f>
        <v>386</v>
      </c>
      <c r="AT107" s="761">
        <f>'Divisional Summary'!BH166</f>
        <v>865</v>
      </c>
      <c r="AU107" s="739">
        <f>'Divisional Summary'!BI166</f>
        <v>171</v>
      </c>
      <c r="AV107" s="739">
        <f>'Divisional Summary'!BJ166</f>
        <v>200</v>
      </c>
      <c r="AW107" s="739">
        <f>'Divisional Summary'!BK166</f>
        <v>199</v>
      </c>
      <c r="AX107" s="739">
        <f>'Divisional Summary'!BL166</f>
        <v>359</v>
      </c>
      <c r="AY107" s="761">
        <f>'Divisional Summary'!BM166</f>
        <v>929</v>
      </c>
      <c r="AZ107" s="739">
        <f>'Divisional Summary'!BN166</f>
        <v>188</v>
      </c>
      <c r="BA107" s="739">
        <f>'Divisional Summary'!BO166</f>
        <v>243</v>
      </c>
      <c r="BB107" s="739">
        <f>'Divisional Summary'!BP166</f>
        <v>317</v>
      </c>
      <c r="BC107" s="739">
        <f>'Divisional Summary'!BQ166</f>
        <v>641</v>
      </c>
      <c r="BD107" s="761">
        <f>'Divisional Summary'!BR166</f>
        <v>1389</v>
      </c>
      <c r="BE107" s="739">
        <f>'Divisional Summary'!BS166</f>
        <v>295</v>
      </c>
      <c r="BF107" s="739">
        <f>'Divisional Summary'!BT166</f>
        <v>369</v>
      </c>
      <c r="BG107" s="739">
        <f>'Divisional Summary'!BU166</f>
        <v>383</v>
      </c>
      <c r="BH107" s="739">
        <f>'Divisional Summary'!BV166</f>
        <v>641</v>
      </c>
      <c r="BI107" s="761">
        <f>'Divisional Summary'!BW166</f>
        <v>1688</v>
      </c>
      <c r="BJ107" s="739">
        <f>'Divisional Summary'!BX166</f>
        <v>333</v>
      </c>
      <c r="BK107" s="739">
        <f>'Divisional Summary'!BY166</f>
        <v>406</v>
      </c>
      <c r="BL107" s="739">
        <f>'Divisional Summary'!BZ166</f>
        <v>415</v>
      </c>
      <c r="BM107" s="739">
        <f>'Divisional Summary'!CA166</f>
        <v>557</v>
      </c>
      <c r="BN107" s="761">
        <f>'Divisional Summary'!CB166</f>
        <v>1711</v>
      </c>
      <c r="BO107" s="739">
        <f>'Divisional Summary'!CC166</f>
        <v>348</v>
      </c>
      <c r="BP107" s="739">
        <f>'Divisional Summary'!CD166</f>
        <v>358</v>
      </c>
      <c r="BQ107" s="739">
        <f>'Divisional Summary'!CE166</f>
        <v>390</v>
      </c>
      <c r="BR107" s="739">
        <f>'Divisional Summary'!CF166</f>
        <v>608</v>
      </c>
      <c r="BS107" s="761">
        <f>'Divisional Summary'!CG166</f>
        <v>1704</v>
      </c>
      <c r="BT107" s="739">
        <f>'Divisional Summary'!CH166</f>
        <v>286</v>
      </c>
      <c r="BU107" s="739">
        <f>'Divisional Summary'!CI166</f>
        <v>363</v>
      </c>
      <c r="BV107" s="739">
        <f>'Divisional Summary'!CJ166</f>
        <v>394</v>
      </c>
      <c r="BW107" s="739">
        <f>'Divisional Summary'!CK166</f>
        <v>656</v>
      </c>
      <c r="BX107" s="761">
        <f>'Divisional Summary'!CL166</f>
        <v>1699</v>
      </c>
      <c r="BY107" s="739">
        <f>'Divisional Summary'!CM166</f>
        <v>325</v>
      </c>
      <c r="BZ107" s="739">
        <f>'Divisional Summary'!CN166</f>
        <v>446</v>
      </c>
      <c r="CA107" s="739">
        <f>'Divisional Summary'!CO166</f>
        <v>443</v>
      </c>
      <c r="CB107" s="739">
        <f>'Divisional Summary'!CP166</f>
        <v>459.7893642859608</v>
      </c>
      <c r="CC107" s="761">
        <f>'Divisional Summary'!CQ166</f>
        <v>1673.7893642859606</v>
      </c>
      <c r="CD107" s="739">
        <f>'Divisional Summary'!CR166</f>
        <v>433.02519047101589</v>
      </c>
      <c r="CE107" s="739">
        <f>'Divisional Summary'!CS166</f>
        <v>433.02519047101589</v>
      </c>
      <c r="CF107" s="739">
        <f>'Divisional Summary'!CT166</f>
        <v>433.02519047101589</v>
      </c>
      <c r="CG107" s="739">
        <f>'Divisional Summary'!CU166</f>
        <v>433.02519047101589</v>
      </c>
      <c r="CH107" s="2085">
        <f>'Divisional Summary'!CV166</f>
        <v>1732.1007618840636</v>
      </c>
      <c r="CI107" s="761">
        <f>'Divisional Summary'!CW166</f>
        <v>1679.3050242212528</v>
      </c>
      <c r="CJ107" s="761">
        <f>'Divisional Summary'!CX166</f>
        <v>1665.6661025972023</v>
      </c>
      <c r="CK107" s="761">
        <f>'Divisional Summary'!CY166</f>
        <v>1731.6349945085376</v>
      </c>
      <c r="CL107" s="761"/>
      <c r="CM107" s="756"/>
      <c r="CN107" s="739"/>
      <c r="CO107" s="755"/>
    </row>
    <row r="108" spans="1:93">
      <c r="A108" s="755"/>
      <c r="B108" s="755" t="s">
        <v>22</v>
      </c>
      <c r="C108" s="755"/>
      <c r="D108" s="755"/>
      <c r="E108" s="755"/>
      <c r="F108" s="755"/>
      <c r="G108" s="755"/>
      <c r="H108" s="761"/>
      <c r="I108" s="761"/>
      <c r="J108" s="761"/>
      <c r="K108" s="761"/>
      <c r="L108" s="739"/>
      <c r="M108" s="739"/>
      <c r="N108" s="739"/>
      <c r="O108" s="739"/>
      <c r="P108" s="761">
        <v>-2805.95</v>
      </c>
      <c r="Q108" s="739">
        <v>3</v>
      </c>
      <c r="R108" s="739">
        <v>81</v>
      </c>
      <c r="S108" s="779">
        <v>342</v>
      </c>
      <c r="T108" s="779">
        <v>21</v>
      </c>
      <c r="U108" s="761">
        <v>447</v>
      </c>
      <c r="V108" s="739">
        <f t="shared" ref="V108:BH108" si="76">V112+V111-V107-V106</f>
        <v>117</v>
      </c>
      <c r="W108" s="739">
        <f t="shared" si="76"/>
        <v>-53</v>
      </c>
      <c r="X108" s="739">
        <f t="shared" si="76"/>
        <v>58</v>
      </c>
      <c r="Y108" s="739">
        <f t="shared" si="76"/>
        <v>59</v>
      </c>
      <c r="Z108" s="761">
        <f t="shared" si="76"/>
        <v>181</v>
      </c>
      <c r="AA108" s="739">
        <f t="shared" si="76"/>
        <v>104</v>
      </c>
      <c r="AB108" s="739">
        <f t="shared" si="76"/>
        <v>142</v>
      </c>
      <c r="AC108" s="739">
        <f t="shared" si="76"/>
        <v>248</v>
      </c>
      <c r="AD108" s="739">
        <f t="shared" si="76"/>
        <v>97</v>
      </c>
      <c r="AE108" s="761">
        <f t="shared" si="76"/>
        <v>591</v>
      </c>
      <c r="AF108" s="739">
        <f t="shared" si="76"/>
        <v>263</v>
      </c>
      <c r="AG108" s="739">
        <f t="shared" si="76"/>
        <v>94</v>
      </c>
      <c r="AH108" s="739">
        <f t="shared" si="76"/>
        <v>-51</v>
      </c>
      <c r="AI108" s="739">
        <f t="shared" si="76"/>
        <v>-149</v>
      </c>
      <c r="AJ108" s="761">
        <f t="shared" si="76"/>
        <v>157</v>
      </c>
      <c r="AK108" s="739">
        <f t="shared" si="76"/>
        <v>-79</v>
      </c>
      <c r="AL108" s="739">
        <f t="shared" si="76"/>
        <v>179</v>
      </c>
      <c r="AM108" s="739">
        <f t="shared" si="76"/>
        <v>254</v>
      </c>
      <c r="AN108" s="739">
        <f t="shared" si="76"/>
        <v>94</v>
      </c>
      <c r="AO108" s="761">
        <f t="shared" si="76"/>
        <v>448</v>
      </c>
      <c r="AP108" s="739">
        <f t="shared" si="76"/>
        <v>151</v>
      </c>
      <c r="AQ108" s="739">
        <f t="shared" si="76"/>
        <v>-61</v>
      </c>
      <c r="AR108" s="739">
        <f t="shared" si="76"/>
        <v>223</v>
      </c>
      <c r="AS108" s="739">
        <f t="shared" si="76"/>
        <v>94</v>
      </c>
      <c r="AT108" s="761">
        <f t="shared" si="76"/>
        <v>407</v>
      </c>
      <c r="AU108" s="739">
        <f t="shared" si="76"/>
        <v>247</v>
      </c>
      <c r="AV108" s="739">
        <f t="shared" si="76"/>
        <v>69</v>
      </c>
      <c r="AW108" s="739">
        <f t="shared" si="76"/>
        <v>-67</v>
      </c>
      <c r="AX108" s="739">
        <f t="shared" si="76"/>
        <v>6</v>
      </c>
      <c r="AY108" s="761">
        <f t="shared" si="76"/>
        <v>255</v>
      </c>
      <c r="AZ108" s="739">
        <f t="shared" si="76"/>
        <v>-234</v>
      </c>
      <c r="BA108" s="739">
        <f t="shared" si="76"/>
        <v>-56</v>
      </c>
      <c r="BB108" s="739">
        <f t="shared" si="76"/>
        <v>2627</v>
      </c>
      <c r="BC108" s="739">
        <f t="shared" si="76"/>
        <v>115</v>
      </c>
      <c r="BD108" s="761">
        <f t="shared" si="76"/>
        <v>2452</v>
      </c>
      <c r="BE108" s="739">
        <f t="shared" si="76"/>
        <v>59</v>
      </c>
      <c r="BF108" s="739">
        <f t="shared" si="76"/>
        <v>41</v>
      </c>
      <c r="BG108" s="739">
        <f t="shared" si="76"/>
        <v>219</v>
      </c>
      <c r="BH108" s="739">
        <f t="shared" si="76"/>
        <v>162</v>
      </c>
      <c r="BI108" s="761">
        <f>SUM(BE108:BH108)</f>
        <v>481</v>
      </c>
      <c r="BJ108" s="739">
        <f>BJ112+BJ111-BJ107-BJ106</f>
        <v>158</v>
      </c>
      <c r="BK108" s="739">
        <f>BK112+BK111-BK107-BK106</f>
        <v>188</v>
      </c>
      <c r="BL108" s="739">
        <f>BL112+BL111-BL107-BL106</f>
        <v>219</v>
      </c>
      <c r="BM108" s="739">
        <f>BM112+BM111-BM107-BM106</f>
        <v>21</v>
      </c>
      <c r="BN108" s="761">
        <f>SUM(BJ108:BM108)</f>
        <v>586</v>
      </c>
      <c r="BO108" s="739">
        <f>BO112+BO111-BO107-BO106</f>
        <v>-4.8923008992078394</v>
      </c>
      <c r="BP108" s="739">
        <f>BP112+BP111-BP107-BP106</f>
        <v>177.89230089920784</v>
      </c>
      <c r="BQ108" s="739">
        <f>BQ112+BQ111-BQ107-BQ106</f>
        <v>-649</v>
      </c>
      <c r="BR108" s="739">
        <f>BR112+BR111-BR107-BR106</f>
        <v>52</v>
      </c>
      <c r="BS108" s="761">
        <f>SUM(BO108:BR108)</f>
        <v>-424</v>
      </c>
      <c r="BT108" s="739">
        <f>BT112+BT111-BT107-BT106</f>
        <v>183</v>
      </c>
      <c r="BU108" s="739">
        <f>BU112+BU111-BU107-BU106</f>
        <v>249</v>
      </c>
      <c r="BV108" s="739">
        <f>BV112+BV111-BV107-BV106</f>
        <v>148</v>
      </c>
      <c r="BW108" s="739">
        <f>BW112+BW111-BW107-BW106</f>
        <v>-8</v>
      </c>
      <c r="BX108" s="761">
        <f>SUM(BT108:BW108)</f>
        <v>572</v>
      </c>
      <c r="BY108" s="739">
        <f>BY112+BY111-BY107-BY106</f>
        <v>240</v>
      </c>
      <c r="BZ108" s="739">
        <f>BZ112+BZ111-BZ107-BZ106</f>
        <v>261</v>
      </c>
      <c r="CA108" s="739">
        <f>CA112+CA111-CA107-CA106</f>
        <v>346</v>
      </c>
      <c r="CB108" s="739">
        <v>0</v>
      </c>
      <c r="CC108" s="761">
        <f>SUM(BY108:CB108)</f>
        <v>847</v>
      </c>
      <c r="CD108" s="739">
        <v>0</v>
      </c>
      <c r="CE108" s="739">
        <v>0</v>
      </c>
      <c r="CF108" s="739">
        <v>0</v>
      </c>
      <c r="CG108" s="739">
        <v>0</v>
      </c>
      <c r="CH108" s="761">
        <v>0</v>
      </c>
      <c r="CI108" s="761">
        <v>0</v>
      </c>
      <c r="CJ108" s="761">
        <v>0</v>
      </c>
      <c r="CK108" s="761">
        <v>0</v>
      </c>
      <c r="CL108" s="761"/>
      <c r="CM108" s="778"/>
      <c r="CN108" s="749"/>
      <c r="CO108" s="777"/>
    </row>
    <row r="109" spans="1:93">
      <c r="A109" s="777"/>
      <c r="B109" s="777"/>
      <c r="C109" s="777"/>
      <c r="D109" s="777"/>
      <c r="E109" s="777"/>
      <c r="F109" s="777"/>
      <c r="G109" s="777"/>
      <c r="H109" s="748"/>
      <c r="I109" s="748"/>
      <c r="J109" s="748"/>
      <c r="K109" s="748"/>
      <c r="L109" s="749"/>
      <c r="M109" s="749"/>
      <c r="N109" s="749"/>
      <c r="O109" s="749"/>
      <c r="P109" s="748">
        <v>3069.05</v>
      </c>
      <c r="Q109" s="749">
        <v>5386</v>
      </c>
      <c r="R109" s="749">
        <v>5424</v>
      </c>
      <c r="S109" s="776">
        <v>5778</v>
      </c>
      <c r="T109" s="776">
        <v>5879</v>
      </c>
      <c r="U109" s="748">
        <v>6607</v>
      </c>
      <c r="V109" s="749">
        <f t="shared" ref="V109:BH109" si="77">V112+V111</f>
        <v>5941</v>
      </c>
      <c r="W109" s="749">
        <f t="shared" si="77"/>
        <v>5842</v>
      </c>
      <c r="X109" s="749">
        <f t="shared" si="77"/>
        <v>5828</v>
      </c>
      <c r="Y109" s="749">
        <f t="shared" si="77"/>
        <v>5986</v>
      </c>
      <c r="Z109" s="748">
        <f t="shared" si="77"/>
        <v>6758</v>
      </c>
      <c r="AA109" s="749">
        <f t="shared" si="77"/>
        <v>6037</v>
      </c>
      <c r="AB109" s="749">
        <f t="shared" si="77"/>
        <v>6152</v>
      </c>
      <c r="AC109" s="749">
        <f t="shared" si="77"/>
        <v>6361</v>
      </c>
      <c r="AD109" s="749">
        <f t="shared" si="77"/>
        <v>6606</v>
      </c>
      <c r="AE109" s="748">
        <f t="shared" si="77"/>
        <v>7469</v>
      </c>
      <c r="AF109" s="749">
        <f t="shared" si="77"/>
        <v>6796</v>
      </c>
      <c r="AG109" s="749">
        <f t="shared" si="77"/>
        <v>6876</v>
      </c>
      <c r="AH109" s="749">
        <f t="shared" si="77"/>
        <v>6767</v>
      </c>
      <c r="AI109" s="749">
        <f t="shared" si="77"/>
        <v>6698</v>
      </c>
      <c r="AJ109" s="748">
        <f t="shared" si="77"/>
        <v>7669</v>
      </c>
      <c r="AK109" s="749">
        <f t="shared" si="77"/>
        <v>6436</v>
      </c>
      <c r="AL109" s="749">
        <f t="shared" si="77"/>
        <v>6482</v>
      </c>
      <c r="AM109" s="749">
        <f t="shared" si="77"/>
        <v>6594</v>
      </c>
      <c r="AN109" s="749">
        <f t="shared" si="77"/>
        <v>6697</v>
      </c>
      <c r="AO109" s="748">
        <f t="shared" si="77"/>
        <v>7622</v>
      </c>
      <c r="AP109" s="749">
        <f t="shared" si="77"/>
        <v>6662</v>
      </c>
      <c r="AQ109" s="749">
        <f t="shared" si="77"/>
        <v>6429</v>
      </c>
      <c r="AR109" s="749">
        <f t="shared" si="77"/>
        <v>6490</v>
      </c>
      <c r="AS109" s="749">
        <f t="shared" si="77"/>
        <v>6628</v>
      </c>
      <c r="AT109" s="748">
        <f t="shared" si="77"/>
        <v>7636</v>
      </c>
      <c r="AU109" s="749">
        <f t="shared" si="77"/>
        <v>6698</v>
      </c>
      <c r="AV109" s="749">
        <f t="shared" si="77"/>
        <v>6651</v>
      </c>
      <c r="AW109" s="749">
        <f t="shared" si="77"/>
        <v>6461</v>
      </c>
      <c r="AX109" s="749">
        <f t="shared" si="77"/>
        <v>6502</v>
      </c>
      <c r="AY109" s="748">
        <f t="shared" si="77"/>
        <v>7464</v>
      </c>
      <c r="AZ109" s="749">
        <f t="shared" si="77"/>
        <v>6155</v>
      </c>
      <c r="BA109" s="749">
        <f t="shared" si="77"/>
        <v>6022</v>
      </c>
      <c r="BB109" s="749">
        <f t="shared" si="77"/>
        <v>8661</v>
      </c>
      <c r="BC109" s="749">
        <f t="shared" si="77"/>
        <v>8995</v>
      </c>
      <c r="BD109" s="748">
        <f t="shared" si="77"/>
        <v>10042</v>
      </c>
      <c r="BE109" s="749">
        <f t="shared" si="77"/>
        <v>8872</v>
      </c>
      <c r="BF109" s="749">
        <f t="shared" si="77"/>
        <v>8838</v>
      </c>
      <c r="BG109" s="749">
        <f t="shared" si="77"/>
        <v>9001</v>
      </c>
      <c r="BH109" s="749">
        <f t="shared" si="77"/>
        <v>9352</v>
      </c>
      <c r="BI109" s="748">
        <f>SUM(BI106:BI108)</f>
        <v>10687</v>
      </c>
      <c r="BJ109" s="749">
        <f>BJ112+BJ111</f>
        <v>9357</v>
      </c>
      <c r="BK109" s="749">
        <f>BK112+BK111</f>
        <v>9489</v>
      </c>
      <c r="BL109" s="749">
        <f>BL112+BL111</f>
        <v>9660</v>
      </c>
      <c r="BM109" s="749">
        <f>BM112+BM111</f>
        <v>9760</v>
      </c>
      <c r="BN109" s="748">
        <f>SUM(BN106:BN108)</f>
        <v>11163</v>
      </c>
      <c r="BO109" s="749">
        <f>BO112+BO111</f>
        <v>9619.1076991007922</v>
      </c>
      <c r="BP109" s="749">
        <f>BP112+BP111</f>
        <v>9710.8923008992078</v>
      </c>
      <c r="BQ109" s="749">
        <f>BQ112+BQ111</f>
        <v>9007</v>
      </c>
      <c r="BR109" s="749">
        <f>BR112+BR111</f>
        <v>9175</v>
      </c>
      <c r="BS109" s="748">
        <f>SUM(BS106:BS108)</f>
        <v>10556</v>
      </c>
      <c r="BT109" s="749">
        <f>BT112+BT111</f>
        <v>9201</v>
      </c>
      <c r="BU109" s="749">
        <f>BU112+BU111</f>
        <v>9375</v>
      </c>
      <c r="BV109" s="749">
        <f>BV112+BV111</f>
        <v>9453</v>
      </c>
      <c r="BW109" s="749">
        <f t="shared" ref="BW109:CI109" si="78">SUM(BW106:BW108)</f>
        <v>9637</v>
      </c>
      <c r="BX109" s="748">
        <f>SUM(BX106:BX108)</f>
        <v>11003</v>
      </c>
      <c r="BY109" s="749">
        <f t="shared" ref="BY109:BZ109" si="79">SUM(BY106:BY108)</f>
        <v>9723</v>
      </c>
      <c r="BZ109" s="749">
        <f t="shared" si="79"/>
        <v>9962</v>
      </c>
      <c r="CA109" s="749">
        <f t="shared" ref="CA109" si="80">SUM(CA106:CA108)</f>
        <v>10264</v>
      </c>
      <c r="CB109" s="749">
        <f t="shared" si="78"/>
        <v>10222.78936428596</v>
      </c>
      <c r="CC109" s="748">
        <f t="shared" si="78"/>
        <v>11678.78936428596</v>
      </c>
      <c r="CD109" s="749">
        <f>SUM(CD106:CD108)</f>
        <v>10185.198770778577</v>
      </c>
      <c r="CE109" s="749">
        <f>SUM(CE106:CE108)</f>
        <v>10129.476857049047</v>
      </c>
      <c r="CF109" s="749">
        <f>SUM(CF106:CF108)</f>
        <v>10073.754943319516</v>
      </c>
      <c r="CG109" s="749">
        <f>SUM(CG106:CG108)</f>
        <v>10018.033029589986</v>
      </c>
      <c r="CH109" s="748">
        <f t="shared" si="78"/>
        <v>11484.274342191624</v>
      </c>
      <c r="CI109" s="748">
        <f t="shared" si="78"/>
        <v>11257.859858859647</v>
      </c>
      <c r="CJ109" s="748">
        <f>SUM(CJ106:CJ108)</f>
        <v>11044.353616804787</v>
      </c>
      <c r="CK109" s="748">
        <f>SUM(CK106:CK108)</f>
        <v>10924.675032910305</v>
      </c>
      <c r="CL109" s="748"/>
      <c r="CM109" s="784"/>
      <c r="CN109" s="782"/>
      <c r="CO109" s="783"/>
    </row>
    <row r="110" spans="1:93">
      <c r="A110" s="783"/>
      <c r="B110" s="783" t="s">
        <v>421</v>
      </c>
      <c r="C110" s="783"/>
      <c r="D110" s="783"/>
      <c r="E110" s="783"/>
      <c r="F110" s="783"/>
      <c r="G110" s="783"/>
      <c r="H110" s="780"/>
      <c r="I110" s="780"/>
      <c r="J110" s="780"/>
      <c r="K110" s="780"/>
      <c r="L110" s="782"/>
      <c r="M110" s="782"/>
      <c r="N110" s="782"/>
      <c r="O110" s="782"/>
      <c r="P110" s="780">
        <v>-0.70443622619377322</v>
      </c>
      <c r="Q110" s="781">
        <v>4.1960638692907538E-2</v>
      </c>
      <c r="R110" s="781">
        <v>4.3694690265486724E-2</v>
      </c>
      <c r="S110" s="781">
        <v>4.5863620629975767E-2</v>
      </c>
      <c r="T110" s="781">
        <v>4.3544820547712193E-2</v>
      </c>
      <c r="U110" s="780">
        <v>0.14893294990161948</v>
      </c>
      <c r="V110" s="782">
        <f t="shared" ref="V110:BA110" si="81">V111/V109</f>
        <v>4.4436963474162601E-2</v>
      </c>
      <c r="W110" s="782">
        <f t="shared" si="81"/>
        <v>4.3820609380349193E-2</v>
      </c>
      <c r="X110" s="782">
        <f t="shared" si="81"/>
        <v>4.3239533287577216E-2</v>
      </c>
      <c r="Y110" s="782">
        <f t="shared" si="81"/>
        <v>4.3601737387236883E-2</v>
      </c>
      <c r="Z110" s="780">
        <f t="shared" si="81"/>
        <v>0.1528558745190885</v>
      </c>
      <c r="AA110" s="782">
        <f t="shared" si="81"/>
        <v>4.604936226602617E-2</v>
      </c>
      <c r="AB110" s="782">
        <f t="shared" si="81"/>
        <v>4.5026007802340701E-2</v>
      </c>
      <c r="AC110" s="782">
        <f t="shared" si="81"/>
        <v>4.8420059739034745E-2</v>
      </c>
      <c r="AD110" s="782">
        <f t="shared" si="81"/>
        <v>4.6927036027853468E-2</v>
      </c>
      <c r="AE110" s="780">
        <f t="shared" si="81"/>
        <v>0.15704913643057972</v>
      </c>
      <c r="AF110" s="782">
        <f t="shared" si="81"/>
        <v>4.693937610359035E-2</v>
      </c>
      <c r="AG110" s="782">
        <f t="shared" si="81"/>
        <v>4.7411285631180917E-2</v>
      </c>
      <c r="AH110" s="782">
        <f t="shared" si="81"/>
        <v>4.8174966750406382E-2</v>
      </c>
      <c r="AI110" s="782">
        <f t="shared" si="81"/>
        <v>5.2254404299790981E-2</v>
      </c>
      <c r="AJ110" s="780">
        <f t="shared" si="81"/>
        <v>0.17225192332768288</v>
      </c>
      <c r="AK110" s="782">
        <f t="shared" si="81"/>
        <v>4.754505904288378E-2</v>
      </c>
      <c r="AL110" s="782">
        <f t="shared" si="81"/>
        <v>4.6744831842024069E-2</v>
      </c>
      <c r="AM110" s="782">
        <f t="shared" si="81"/>
        <v>4.7922353654837734E-2</v>
      </c>
      <c r="AN110" s="782">
        <f t="shared" si="81"/>
        <v>4.9723756906077346E-2</v>
      </c>
      <c r="AO110" s="780">
        <f t="shared" si="81"/>
        <v>0.1650485436893204</v>
      </c>
      <c r="AP110" s="781">
        <f t="shared" si="81"/>
        <v>4.9084359051335937E-2</v>
      </c>
      <c r="AQ110" s="781">
        <f t="shared" si="81"/>
        <v>5.2729818012132522E-2</v>
      </c>
      <c r="AR110" s="782">
        <f t="shared" si="81"/>
        <v>5.2696456086286592E-2</v>
      </c>
      <c r="AS110" s="782">
        <f t="shared" si="81"/>
        <v>5.2504526252263123E-2</v>
      </c>
      <c r="AT110" s="780">
        <f t="shared" si="81"/>
        <v>0.17757988475641698</v>
      </c>
      <c r="AU110" s="781">
        <f t="shared" si="81"/>
        <v>4.7178262167811284E-2</v>
      </c>
      <c r="AV110" s="781">
        <f t="shared" si="81"/>
        <v>4.8413772365057887E-2</v>
      </c>
      <c r="AW110" s="782">
        <f t="shared" si="81"/>
        <v>5.0147036062529023E-2</v>
      </c>
      <c r="AX110" s="782">
        <f t="shared" si="81"/>
        <v>4.6293448169793909E-2</v>
      </c>
      <c r="AY110" s="780">
        <f t="shared" si="81"/>
        <v>0.16921221864951769</v>
      </c>
      <c r="AZ110" s="781">
        <f t="shared" si="81"/>
        <v>5.1990251827782288E-2</v>
      </c>
      <c r="BA110" s="781">
        <f t="shared" si="81"/>
        <v>5.0647625373630024E-2</v>
      </c>
      <c r="BB110" s="782">
        <f t="shared" ref="BB110:CH110" si="82">BB111/BB109</f>
        <v>4.8724165800715855E-2</v>
      </c>
      <c r="BC110" s="781">
        <f t="shared" si="82"/>
        <v>5.3029460811561978E-2</v>
      </c>
      <c r="BD110" s="780">
        <f t="shared" si="82"/>
        <v>0.15176259709221271</v>
      </c>
      <c r="BE110" s="781">
        <f t="shared" si="82"/>
        <v>5.0045085662759239E-2</v>
      </c>
      <c r="BF110" s="781">
        <f t="shared" si="82"/>
        <v>4.9671871464132156E-2</v>
      </c>
      <c r="BG110" s="781">
        <f t="shared" si="82"/>
        <v>5.0216642595267195E-2</v>
      </c>
      <c r="BH110" s="781">
        <f t="shared" si="82"/>
        <v>5.1967493584260054E-2</v>
      </c>
      <c r="BI110" s="780">
        <f t="shared" si="82"/>
        <v>0.17039393655843549</v>
      </c>
      <c r="BJ110" s="781">
        <f t="shared" si="82"/>
        <v>4.9374799615261304E-2</v>
      </c>
      <c r="BK110" s="781">
        <f t="shared" si="82"/>
        <v>4.8793339656444307E-2</v>
      </c>
      <c r="BL110" s="781">
        <f t="shared" si="82"/>
        <v>4.9482401656314699E-2</v>
      </c>
      <c r="BM110" s="781">
        <f t="shared" si="82"/>
        <v>4.959016393442623E-2</v>
      </c>
      <c r="BN110" s="780">
        <f t="shared" si="82"/>
        <v>0.16904058048911583</v>
      </c>
      <c r="BO110" s="781">
        <f t="shared" si="82"/>
        <v>4.6169323911645944E-2</v>
      </c>
      <c r="BP110" s="781">
        <f t="shared" si="82"/>
        <v>4.5813740603220583E-2</v>
      </c>
      <c r="BQ110" s="781">
        <f>BQ111/BQ109</f>
        <v>5.4624181192405905E-2</v>
      </c>
      <c r="BR110" s="781">
        <f>BR111/BR109</f>
        <v>4.8283378746594004E-2</v>
      </c>
      <c r="BS110" s="780">
        <f t="shared" si="82"/>
        <v>0.17279272451686245</v>
      </c>
      <c r="BT110" s="781">
        <f t="shared" si="82"/>
        <v>4.7603521356374308E-2</v>
      </c>
      <c r="BU110" s="781">
        <f>BU111/BU109</f>
        <v>4.9493333333333334E-2</v>
      </c>
      <c r="BV110" s="781">
        <f>BV111/BV109</f>
        <v>4.9084946577805988E-2</v>
      </c>
      <c r="BW110" s="781">
        <f t="shared" si="82"/>
        <v>4.970426481270105E-2</v>
      </c>
      <c r="BX110" s="780">
        <f>BX111/BX109</f>
        <v>0.16768154139780059</v>
      </c>
      <c r="BY110" s="781">
        <f t="shared" ref="BY110:BZ110" si="83">BY111/BY109</f>
        <v>4.8133292193767357E-2</v>
      </c>
      <c r="BZ110" s="781">
        <f t="shared" si="83"/>
        <v>4.8885765910459747E-2</v>
      </c>
      <c r="CA110" s="781">
        <f t="shared" ref="CA110" si="84">CA111/CA109</f>
        <v>4.8811379579111455E-2</v>
      </c>
      <c r="CB110" s="781">
        <f>CB111/CB109</f>
        <v>4.6035946472939147E-2</v>
      </c>
      <c r="CC110" s="780">
        <f t="shared" si="82"/>
        <v>0.16496708039533969</v>
      </c>
      <c r="CD110" s="781">
        <f>CD111/CD109</f>
        <v>4.7986015314965325E-2</v>
      </c>
      <c r="CE110" s="781">
        <f>CE111/CE109</f>
        <v>4.8249984781833073E-2</v>
      </c>
      <c r="CF110" s="781">
        <f>CF111/CF109</f>
        <v>4.8516874487269816E-2</v>
      </c>
      <c r="CG110" s="781">
        <f>CG111/CG109</f>
        <v>4.3868710918951372E-2</v>
      </c>
      <c r="CH110" s="780">
        <f t="shared" si="82"/>
        <v>0.16594165645728978</v>
      </c>
      <c r="CI110" s="780">
        <f>CI111/CI109</f>
        <v>0.16692092175700715</v>
      </c>
      <c r="CJ110" s="780">
        <f>CJ111/CJ109</f>
        <v>0.16762534437380833</v>
      </c>
      <c r="CK110" s="780">
        <f>CK111/CK109</f>
        <v>0.16753434066769218</v>
      </c>
      <c r="CL110" s="780"/>
      <c r="CM110" s="756"/>
      <c r="CN110" s="739"/>
      <c r="CO110" s="755"/>
    </row>
    <row r="111" spans="1:93">
      <c r="A111" s="755"/>
      <c r="B111" s="755" t="s">
        <v>420</v>
      </c>
      <c r="C111" s="755"/>
      <c r="D111" s="755"/>
      <c r="E111" s="755"/>
      <c r="F111" s="755"/>
      <c r="G111" s="755"/>
      <c r="H111" s="761"/>
      <c r="I111" s="761"/>
      <c r="J111" s="761"/>
      <c r="K111" s="761"/>
      <c r="L111" s="739"/>
      <c r="M111" s="739"/>
      <c r="N111" s="739"/>
      <c r="O111" s="739"/>
      <c r="P111" s="761">
        <v>-2161.9499999999998</v>
      </c>
      <c r="Q111" s="739">
        <v>226</v>
      </c>
      <c r="R111" s="739">
        <v>237</v>
      </c>
      <c r="S111" s="779">
        <v>265</v>
      </c>
      <c r="T111" s="762">
        <v>256</v>
      </c>
      <c r="U111" s="761">
        <v>984</v>
      </c>
      <c r="V111" s="739">
        <f>'Divisional Summary'!AJ75</f>
        <v>264</v>
      </c>
      <c r="W111" s="739">
        <f>'Divisional Summary'!AK75</f>
        <v>256</v>
      </c>
      <c r="X111" s="739">
        <f>'Divisional Summary'!AL75</f>
        <v>252</v>
      </c>
      <c r="Y111" s="739">
        <f>'Divisional Summary'!AM75</f>
        <v>261</v>
      </c>
      <c r="Z111" s="761">
        <f>'Divisional Summary'!AN75</f>
        <v>1033</v>
      </c>
      <c r="AA111" s="739">
        <f>'Divisional Summary'!AO75</f>
        <v>278</v>
      </c>
      <c r="AB111" s="739">
        <f>'Divisional Summary'!AP75</f>
        <v>277</v>
      </c>
      <c r="AC111" s="739">
        <f>'Divisional Summary'!AQ75</f>
        <v>308</v>
      </c>
      <c r="AD111" s="739">
        <f>'Divisional Summary'!AR75</f>
        <v>310</v>
      </c>
      <c r="AE111" s="761">
        <f>'Divisional Summary'!AS75</f>
        <v>1173</v>
      </c>
      <c r="AF111" s="739">
        <f>'Divisional Summary'!AT75</f>
        <v>319</v>
      </c>
      <c r="AG111" s="739">
        <f>'Divisional Summary'!AU75</f>
        <v>326</v>
      </c>
      <c r="AH111" s="739">
        <f>'Divisional Summary'!AV75</f>
        <v>326</v>
      </c>
      <c r="AI111" s="739">
        <f>'Divisional Summary'!AW75</f>
        <v>350</v>
      </c>
      <c r="AJ111" s="761">
        <f>'Divisional Summary'!AX75</f>
        <v>1321</v>
      </c>
      <c r="AK111" s="739">
        <f>'Divisional Summary'!AY75</f>
        <v>306</v>
      </c>
      <c r="AL111" s="739">
        <f>'Divisional Summary'!AZ75</f>
        <v>303</v>
      </c>
      <c r="AM111" s="739">
        <f>'Divisional Summary'!BA75</f>
        <v>316</v>
      </c>
      <c r="AN111" s="739">
        <f>'Divisional Summary'!BB75</f>
        <v>333</v>
      </c>
      <c r="AO111" s="761">
        <f>'Divisional Summary'!BC75</f>
        <v>1258</v>
      </c>
      <c r="AP111" s="739">
        <f>'Divisional Summary'!BD75</f>
        <v>327</v>
      </c>
      <c r="AQ111" s="739">
        <f>'Divisional Summary'!BE75</f>
        <v>339</v>
      </c>
      <c r="AR111" s="739">
        <f>'Divisional Summary'!BF75</f>
        <v>342</v>
      </c>
      <c r="AS111" s="739">
        <f>'Divisional Summary'!BG75</f>
        <v>348</v>
      </c>
      <c r="AT111" s="761">
        <f>'Divisional Summary'!BH75</f>
        <v>1356</v>
      </c>
      <c r="AU111" s="739">
        <f>'Divisional Summary'!BI75</f>
        <v>316</v>
      </c>
      <c r="AV111" s="739">
        <f>'Divisional Summary'!BJ75</f>
        <v>322</v>
      </c>
      <c r="AW111" s="739">
        <f>'Divisional Summary'!BK75</f>
        <v>324</v>
      </c>
      <c r="AX111" s="739">
        <f>'Divisional Summary'!BL75</f>
        <v>301</v>
      </c>
      <c r="AY111" s="761">
        <f>'Divisional Summary'!BM75</f>
        <v>1263</v>
      </c>
      <c r="AZ111" s="739">
        <f>'Divisional Summary'!BN75</f>
        <v>320</v>
      </c>
      <c r="BA111" s="739">
        <f>'Divisional Summary'!BO75</f>
        <v>305</v>
      </c>
      <c r="BB111" s="739">
        <f>'Divisional Summary'!BP75</f>
        <v>422</v>
      </c>
      <c r="BC111" s="739">
        <f>'Divisional Summary'!BQ75</f>
        <v>477</v>
      </c>
      <c r="BD111" s="761">
        <f>'Divisional Summary'!BR75</f>
        <v>1524</v>
      </c>
      <c r="BE111" s="739">
        <f>'Divisional Summary'!BS75</f>
        <v>444</v>
      </c>
      <c r="BF111" s="739">
        <f>'Divisional Summary'!BT75</f>
        <v>439</v>
      </c>
      <c r="BG111" s="739">
        <f>'Divisional Summary'!BU75</f>
        <v>452</v>
      </c>
      <c r="BH111" s="739">
        <f>'Divisional Summary'!BV75</f>
        <v>486</v>
      </c>
      <c r="BI111" s="761">
        <f>'Divisional Summary'!BW75</f>
        <v>1821</v>
      </c>
      <c r="BJ111" s="739">
        <f>'Divisional Summary'!BX76</f>
        <v>462</v>
      </c>
      <c r="BK111" s="739">
        <f>'Divisional Summary'!BY76</f>
        <v>463</v>
      </c>
      <c r="BL111" s="739">
        <f>'Divisional Summary'!BZ76</f>
        <v>478</v>
      </c>
      <c r="BM111" s="739">
        <f>'Divisional Summary'!CA76</f>
        <v>484</v>
      </c>
      <c r="BN111" s="761">
        <f>SUM(BJ111:BM111)</f>
        <v>1887</v>
      </c>
      <c r="BO111" s="739">
        <f>'Divisional Summary'!CC76</f>
        <v>444.10769910079182</v>
      </c>
      <c r="BP111" s="739">
        <f>'Divisional Summary'!CD76</f>
        <v>444.89230089920818</v>
      </c>
      <c r="BQ111" s="739">
        <f>'Divisional Summary'!CE76</f>
        <v>492</v>
      </c>
      <c r="BR111" s="739">
        <f>'Divisional Summary'!CF76</f>
        <v>443</v>
      </c>
      <c r="BS111" s="761">
        <f>SUM(BO111:BR111)</f>
        <v>1824</v>
      </c>
      <c r="BT111" s="739">
        <f>'Divisional Summary'!CH76</f>
        <v>438</v>
      </c>
      <c r="BU111" s="739">
        <f>'Divisional Summary'!CI76</f>
        <v>464</v>
      </c>
      <c r="BV111" s="739">
        <f>'Divisional Summary'!CJ76</f>
        <v>464</v>
      </c>
      <c r="BW111" s="739">
        <f>'Divisional Summary'!CK76</f>
        <v>479</v>
      </c>
      <c r="BX111" s="761">
        <f>SUM(BT111:BW111)</f>
        <v>1845</v>
      </c>
      <c r="BY111" s="739">
        <f>'Divisional Summary'!CM76</f>
        <v>468</v>
      </c>
      <c r="BZ111" s="739">
        <f>'Divisional Summary'!CN76</f>
        <v>487</v>
      </c>
      <c r="CA111" s="739">
        <f>'Divisional Summary'!CO76</f>
        <v>501</v>
      </c>
      <c r="CB111" s="739">
        <f>'Divisional Summary'!CP76</f>
        <v>470.61578397840003</v>
      </c>
      <c r="CC111" s="761">
        <f>'Divisional Summary'!CQ76</f>
        <v>1926.6157839784</v>
      </c>
      <c r="CD111" s="739">
        <f>'Divisional Summary'!CR76</f>
        <v>488.7471042005468</v>
      </c>
      <c r="CE111" s="739">
        <f>'Divisional Summary'!CS76</f>
        <v>488.7471042005468</v>
      </c>
      <c r="CF111" s="739">
        <f>'Divisional Summary'!CT76</f>
        <v>488.7471042005468</v>
      </c>
      <c r="CG111" s="739">
        <f>'Divisional Summary'!CU76</f>
        <v>439.47819495158967</v>
      </c>
      <c r="CH111" s="2085">
        <f>'Divisional Summary'!CV76</f>
        <v>1905.71950755323</v>
      </c>
      <c r="CI111" s="761">
        <f>'Divisional Summary'!CW76</f>
        <v>1879.1723446520627</v>
      </c>
      <c r="CJ111" s="761">
        <f>'Divisional Summary'!CX76</f>
        <v>1851.313578403018</v>
      </c>
      <c r="CK111" s="761">
        <f>'Divisional Summary'!CY76</f>
        <v>1830.2582286474264</v>
      </c>
      <c r="CL111" s="761"/>
      <c r="CM111" s="778"/>
      <c r="CN111" s="749"/>
      <c r="CO111" s="777"/>
    </row>
    <row r="112" spans="1:93">
      <c r="A112" s="777"/>
      <c r="B112" s="777" t="s">
        <v>419</v>
      </c>
      <c r="C112" s="777"/>
      <c r="D112" s="777"/>
      <c r="E112" s="777"/>
      <c r="F112" s="777"/>
      <c r="G112" s="777"/>
      <c r="H112" s="748"/>
      <c r="I112" s="748"/>
      <c r="J112" s="748"/>
      <c r="K112" s="748"/>
      <c r="L112" s="749"/>
      <c r="M112" s="749"/>
      <c r="N112" s="749"/>
      <c r="O112" s="749"/>
      <c r="P112" s="748">
        <v>5231</v>
      </c>
      <c r="Q112" s="749">
        <v>5160</v>
      </c>
      <c r="R112" s="749">
        <v>5187</v>
      </c>
      <c r="S112" s="776">
        <v>5513</v>
      </c>
      <c r="T112" s="776">
        <v>5623</v>
      </c>
      <c r="U112" s="748">
        <v>5623</v>
      </c>
      <c r="V112" s="749">
        <f>BS!W21</f>
        <v>5677</v>
      </c>
      <c r="W112" s="749">
        <f>BS!X21</f>
        <v>5586</v>
      </c>
      <c r="X112" s="749">
        <f>BS!Y21</f>
        <v>5576</v>
      </c>
      <c r="Y112" s="749">
        <f>BS!AA21</f>
        <v>5725</v>
      </c>
      <c r="Z112" s="748">
        <f>Y112</f>
        <v>5725</v>
      </c>
      <c r="AA112" s="749">
        <f>BS!AB21</f>
        <v>5759</v>
      </c>
      <c r="AB112" s="749">
        <f>BS!AC21</f>
        <v>5875</v>
      </c>
      <c r="AC112" s="749">
        <f>BS!AD21</f>
        <v>6053</v>
      </c>
      <c r="AD112" s="749">
        <f>BS!AE21</f>
        <v>6296</v>
      </c>
      <c r="AE112" s="748">
        <f>BS!AF21</f>
        <v>6296</v>
      </c>
      <c r="AF112" s="749">
        <f>BS!AG21</f>
        <v>6477</v>
      </c>
      <c r="AG112" s="749">
        <f>BS!AH21</f>
        <v>6550</v>
      </c>
      <c r="AH112" s="749">
        <f>BS!AI21</f>
        <v>6441</v>
      </c>
      <c r="AI112" s="749">
        <f>BS!AJ21</f>
        <v>6348</v>
      </c>
      <c r="AJ112" s="748">
        <f>BS!AK21</f>
        <v>6348</v>
      </c>
      <c r="AK112" s="749">
        <f>BS!AL21</f>
        <v>6130</v>
      </c>
      <c r="AL112" s="749">
        <f>BS!AM21</f>
        <v>6179</v>
      </c>
      <c r="AM112" s="749">
        <f>BS!AN21</f>
        <v>6278</v>
      </c>
      <c r="AN112" s="749">
        <f>BS!AO21</f>
        <v>6364</v>
      </c>
      <c r="AO112" s="748">
        <f>BS!AP21</f>
        <v>6364</v>
      </c>
      <c r="AP112" s="749">
        <f>BS!AQ21</f>
        <v>6335</v>
      </c>
      <c r="AQ112" s="749">
        <f>BS!AR21</f>
        <v>6090</v>
      </c>
      <c r="AR112" s="749">
        <f>BS!AS21</f>
        <v>6148</v>
      </c>
      <c r="AS112" s="749">
        <f>BS!AT21</f>
        <v>6280</v>
      </c>
      <c r="AT112" s="748">
        <f>BS!AU21</f>
        <v>6280</v>
      </c>
      <c r="AU112" s="749">
        <f>BS!AV21</f>
        <v>6382</v>
      </c>
      <c r="AV112" s="749">
        <f>BS!AW21</f>
        <v>6329</v>
      </c>
      <c r="AW112" s="749">
        <f>BS!AX21</f>
        <v>6137</v>
      </c>
      <c r="AX112" s="749">
        <f>BS!AY21</f>
        <v>6201</v>
      </c>
      <c r="AY112" s="748">
        <f>BS!AZ21</f>
        <v>6201</v>
      </c>
      <c r="AZ112" s="749">
        <f>BS!BA21</f>
        <v>5835</v>
      </c>
      <c r="BA112" s="749">
        <f>BS!BB21</f>
        <v>5717</v>
      </c>
      <c r="BB112" s="749">
        <f>BS!BC21</f>
        <v>8239</v>
      </c>
      <c r="BC112" s="749">
        <f>BS!BD21</f>
        <v>8518</v>
      </c>
      <c r="BD112" s="748">
        <f>BS!BE21</f>
        <v>8518</v>
      </c>
      <c r="BE112" s="749">
        <f>BS!BF21</f>
        <v>8428</v>
      </c>
      <c r="BF112" s="749">
        <f>BS!BG21</f>
        <v>8399</v>
      </c>
      <c r="BG112" s="749">
        <f>BS!BH21</f>
        <v>8549</v>
      </c>
      <c r="BH112" s="749">
        <f>BS!BI21</f>
        <v>8866</v>
      </c>
      <c r="BI112" s="748">
        <f>BI109-BI111</f>
        <v>8866</v>
      </c>
      <c r="BJ112" s="749">
        <f>BS!BK21</f>
        <v>8895</v>
      </c>
      <c r="BK112" s="749">
        <f>BS!BL21</f>
        <v>9026</v>
      </c>
      <c r="BL112" s="749">
        <f>BS!BM21</f>
        <v>9182</v>
      </c>
      <c r="BM112" s="749">
        <f>BS!BN21</f>
        <v>9276</v>
      </c>
      <c r="BN112" s="748">
        <f>BN109-BN111</f>
        <v>9276</v>
      </c>
      <c r="BO112" s="749">
        <f>BS!BP21</f>
        <v>9175</v>
      </c>
      <c r="BP112" s="749">
        <f>BS!BQ21</f>
        <v>9266</v>
      </c>
      <c r="BQ112" s="749">
        <f>BS!BR21</f>
        <v>8515</v>
      </c>
      <c r="BR112" s="749">
        <f>BS!BS21</f>
        <v>8732</v>
      </c>
      <c r="BS112" s="748">
        <f>BS109-BS111</f>
        <v>8732</v>
      </c>
      <c r="BT112" s="749">
        <f>BS!BU21</f>
        <v>8763</v>
      </c>
      <c r="BU112" s="749">
        <f>BS!BV21</f>
        <v>8911</v>
      </c>
      <c r="BV112" s="749">
        <f>BS!BW21</f>
        <v>8989</v>
      </c>
      <c r="BW112" s="749">
        <f>BS!BX21</f>
        <v>9158</v>
      </c>
      <c r="BX112" s="748">
        <f>BX109-BX111</f>
        <v>9158</v>
      </c>
      <c r="BY112" s="749">
        <f>BS!BZ21</f>
        <v>9255</v>
      </c>
      <c r="BZ112" s="749">
        <f>BS!CA21</f>
        <v>9475</v>
      </c>
      <c r="CA112" s="749">
        <f>BS!CB21</f>
        <v>9763</v>
      </c>
      <c r="CB112" s="749">
        <f t="shared" ref="CB112:CI112" si="85">CB109-CB111</f>
        <v>9752.1735803075608</v>
      </c>
      <c r="CC112" s="748">
        <f t="shared" si="85"/>
        <v>9752.1735803075608</v>
      </c>
      <c r="CD112" s="749">
        <f>CD109-CD111</f>
        <v>9696.4516665780302</v>
      </c>
      <c r="CE112" s="749">
        <f>CE109-CE111</f>
        <v>9640.7297528484996</v>
      </c>
      <c r="CF112" s="749">
        <f>CF109-CF111</f>
        <v>9585.0078391189691</v>
      </c>
      <c r="CG112" s="749">
        <f>CG109-CG111</f>
        <v>9578.5548346383966</v>
      </c>
      <c r="CH112" s="748">
        <f t="shared" si="85"/>
        <v>9578.5548346383948</v>
      </c>
      <c r="CI112" s="748">
        <f t="shared" si="85"/>
        <v>9378.6875142075842</v>
      </c>
      <c r="CJ112" s="748">
        <f>CJ109-CJ111</f>
        <v>9193.0400384017685</v>
      </c>
      <c r="CK112" s="748">
        <f>CK109-CK111</f>
        <v>9094.4168042628789</v>
      </c>
      <c r="CL112" s="748"/>
      <c r="CM112" s="775"/>
      <c r="CN112" s="772"/>
      <c r="CO112" s="774"/>
    </row>
    <row r="113" spans="1:99" s="771" customFormat="1">
      <c r="A113" s="774"/>
      <c r="B113" s="774" t="s">
        <v>418</v>
      </c>
      <c r="C113" s="774"/>
      <c r="D113" s="774"/>
      <c r="E113" s="774"/>
      <c r="F113" s="774"/>
      <c r="G113" s="774"/>
      <c r="H113" s="770"/>
      <c r="I113" s="770"/>
      <c r="J113" s="770"/>
      <c r="K113" s="770"/>
      <c r="L113" s="772"/>
      <c r="M113" s="772"/>
      <c r="N113" s="772"/>
      <c r="O113" s="772"/>
      <c r="P113" s="770">
        <v>133</v>
      </c>
      <c r="Q113" s="772"/>
      <c r="R113" s="772"/>
      <c r="S113" s="773"/>
      <c r="T113" s="772"/>
      <c r="U113" s="770">
        <v>214</v>
      </c>
      <c r="V113" s="772"/>
      <c r="W113" s="772"/>
      <c r="X113" s="772"/>
      <c r="Y113" s="772"/>
      <c r="Z113" s="770">
        <v>250</v>
      </c>
      <c r="AA113" s="772"/>
      <c r="AB113" s="772"/>
      <c r="AC113" s="772"/>
      <c r="AD113" s="772"/>
      <c r="AE113" s="770">
        <v>325</v>
      </c>
      <c r="AF113" s="772"/>
      <c r="AG113" s="772"/>
      <c r="AH113" s="772"/>
      <c r="AI113" s="772"/>
      <c r="AJ113" s="770">
        <v>363</v>
      </c>
      <c r="AK113" s="772"/>
      <c r="AL113" s="772"/>
      <c r="AM113" s="772"/>
      <c r="AN113" s="772"/>
      <c r="AO113" s="770">
        <v>347</v>
      </c>
      <c r="AP113" s="772"/>
      <c r="AQ113" s="772"/>
      <c r="AR113" s="772"/>
      <c r="AS113" s="772"/>
      <c r="AT113" s="770">
        <v>387</v>
      </c>
      <c r="AU113" s="772"/>
      <c r="AV113" s="772"/>
      <c r="AW113" s="772"/>
      <c r="AX113" s="772"/>
      <c r="AY113" s="770">
        <v>398</v>
      </c>
      <c r="AZ113" s="772"/>
      <c r="BA113" s="772"/>
      <c r="BB113" s="772"/>
      <c r="BC113" s="772"/>
      <c r="BD113" s="770">
        <v>547</v>
      </c>
      <c r="BE113" s="772"/>
      <c r="BF113" s="772"/>
      <c r="BG113" s="772"/>
      <c r="BH113" s="772"/>
      <c r="BI113" s="770">
        <v>710</v>
      </c>
      <c r="BJ113" s="772"/>
      <c r="BK113" s="772"/>
      <c r="BL113" s="772"/>
      <c r="BM113" s="772"/>
      <c r="BN113" s="770">
        <v>718</v>
      </c>
      <c r="BO113" s="772"/>
      <c r="BP113" s="772"/>
      <c r="BQ113" s="772"/>
      <c r="BR113" s="772"/>
      <c r="BS113" s="770">
        <f>358+337</f>
        <v>695</v>
      </c>
      <c r="BT113" s="772"/>
      <c r="BU113" s="772"/>
      <c r="BV113" s="772"/>
      <c r="BW113" s="772"/>
      <c r="BX113" s="770">
        <f>358+337</f>
        <v>695</v>
      </c>
      <c r="BY113" s="772"/>
      <c r="BZ113" s="772"/>
      <c r="CA113" s="772"/>
      <c r="CB113" s="772"/>
      <c r="CC113" s="770">
        <v>745</v>
      </c>
      <c r="CD113" s="772"/>
      <c r="CE113" s="772"/>
      <c r="CF113" s="772"/>
      <c r="CG113" s="772"/>
      <c r="CH113" s="770">
        <v>771</v>
      </c>
      <c r="CI113" s="770">
        <v>771</v>
      </c>
      <c r="CJ113" s="770">
        <v>771</v>
      </c>
      <c r="CK113" s="770">
        <v>771</v>
      </c>
      <c r="CL113" s="770"/>
      <c r="CM113" s="738">
        <v>767</v>
      </c>
      <c r="CN113" s="618"/>
      <c r="CO113" s="736"/>
      <c r="CP113"/>
      <c r="CQ113"/>
      <c r="CR113"/>
      <c r="CS113"/>
      <c r="CT113"/>
      <c r="CU113"/>
    </row>
    <row r="114" spans="1:99">
      <c r="A114" s="736"/>
      <c r="B114" s="736"/>
      <c r="C114" s="736"/>
      <c r="D114" s="736"/>
      <c r="E114" s="736"/>
      <c r="F114" s="736"/>
      <c r="G114" s="736"/>
      <c r="H114" s="742"/>
      <c r="I114" s="742"/>
      <c r="J114" s="742"/>
      <c r="K114" s="742"/>
      <c r="L114" s="618"/>
      <c r="M114" s="618"/>
      <c r="N114" s="618"/>
      <c r="O114" s="618"/>
      <c r="P114" s="742"/>
      <c r="Q114" s="618"/>
      <c r="R114" s="618"/>
      <c r="S114" s="740"/>
      <c r="T114" s="618"/>
      <c r="U114" s="742"/>
      <c r="V114" s="618"/>
      <c r="W114" s="618"/>
      <c r="X114" s="618"/>
      <c r="Y114" s="618"/>
      <c r="Z114" s="742"/>
      <c r="AA114" s="618"/>
      <c r="AB114" s="618"/>
      <c r="AC114" s="618"/>
      <c r="AD114" s="618"/>
      <c r="AE114" s="742"/>
      <c r="AF114" s="618"/>
      <c r="AG114" s="618"/>
      <c r="AH114" s="618"/>
      <c r="AI114" s="618"/>
      <c r="AJ114" s="742"/>
      <c r="AK114" s="618"/>
      <c r="AL114" s="618"/>
      <c r="AM114" s="618"/>
      <c r="AN114" s="618"/>
      <c r="AO114" s="742"/>
      <c r="AP114" s="618"/>
      <c r="AQ114" s="618"/>
      <c r="AR114" s="618"/>
      <c r="AS114" s="618"/>
      <c r="AT114" s="742"/>
      <c r="AU114" s="618"/>
      <c r="AV114" s="618"/>
      <c r="AW114" s="618"/>
      <c r="AX114" s="618"/>
      <c r="AY114" s="742"/>
      <c r="AZ114" s="618"/>
      <c r="BA114" s="618"/>
      <c r="BB114" s="618"/>
      <c r="BC114" s="618"/>
      <c r="BD114" s="742"/>
      <c r="BE114" s="618"/>
      <c r="BF114" s="618"/>
      <c r="BG114" s="618"/>
      <c r="BH114" s="618"/>
      <c r="BI114" s="742"/>
      <c r="BJ114" s="618"/>
      <c r="BK114" s="618"/>
      <c r="BL114" s="618"/>
      <c r="BM114" s="618"/>
      <c r="BN114" s="742"/>
      <c r="BO114" s="618"/>
      <c r="BP114" s="618"/>
      <c r="BQ114" s="618"/>
      <c r="BR114" s="618"/>
      <c r="BS114" s="761">
        <f>BS111-BS113</f>
        <v>1129</v>
      </c>
      <c r="BT114" s="618"/>
      <c r="BU114" s="618"/>
      <c r="BV114" s="618"/>
      <c r="BW114" s="618"/>
      <c r="BX114" s="761">
        <f>BX111-BX113</f>
        <v>1150</v>
      </c>
      <c r="BY114" s="618"/>
      <c r="BZ114" s="618"/>
      <c r="CA114" s="618"/>
      <c r="CB114" s="618"/>
      <c r="CC114" s="770">
        <f>CC113-BX113</f>
        <v>50</v>
      </c>
      <c r="CD114" s="618"/>
      <c r="CE114" s="618"/>
      <c r="CF114" s="618"/>
      <c r="CG114" s="618"/>
      <c r="CH114" s="770">
        <f>CH113-CC113</f>
        <v>26</v>
      </c>
      <c r="CI114" s="770">
        <f>CI113-CH113</f>
        <v>0</v>
      </c>
      <c r="CJ114" s="770">
        <f>CJ113-CI113</f>
        <v>0</v>
      </c>
      <c r="CK114" s="770">
        <f>CK113-CJ113</f>
        <v>0</v>
      </c>
      <c r="CL114" s="770"/>
      <c r="CM114" s="747"/>
      <c r="CN114" s="743"/>
      <c r="CO114" s="745"/>
    </row>
    <row r="115" spans="1:99">
      <c r="A115" s="745"/>
      <c r="B115" s="769" t="s">
        <v>415</v>
      </c>
      <c r="C115" s="767"/>
      <c r="D115" s="767"/>
      <c r="E115" s="767"/>
      <c r="F115" s="764"/>
      <c r="G115" s="764"/>
      <c r="H115" s="733"/>
      <c r="I115" s="733"/>
      <c r="J115" s="733"/>
      <c r="K115" s="733"/>
      <c r="L115" s="764"/>
      <c r="M115" s="764"/>
      <c r="N115" s="764"/>
      <c r="O115" s="766"/>
      <c r="P115" s="733"/>
      <c r="Q115" s="766"/>
      <c r="R115" s="764"/>
      <c r="S115" s="768"/>
      <c r="T115" s="764"/>
      <c r="U115" s="733"/>
      <c r="V115" s="764"/>
      <c r="W115" s="764"/>
      <c r="X115" s="764"/>
      <c r="Y115" s="764"/>
      <c r="Z115" s="733"/>
      <c r="AA115" s="764"/>
      <c r="AB115" s="764"/>
      <c r="AC115" s="764"/>
      <c r="AD115" s="764"/>
      <c r="AE115" s="733"/>
      <c r="AF115" s="764"/>
      <c r="AG115" s="764"/>
      <c r="AH115" s="764"/>
      <c r="AI115" s="764"/>
      <c r="AJ115" s="733"/>
      <c r="AK115" s="764"/>
      <c r="AL115" s="764"/>
      <c r="AM115" s="764"/>
      <c r="AN115" s="764"/>
      <c r="AO115" s="733"/>
      <c r="AP115" s="764"/>
      <c r="AQ115" s="764"/>
      <c r="AR115" s="764"/>
      <c r="AS115" s="764"/>
      <c r="AT115" s="733"/>
      <c r="AU115" s="764"/>
      <c r="AV115" s="764"/>
      <c r="AW115" s="764"/>
      <c r="AX115" s="764"/>
      <c r="AY115" s="733"/>
      <c r="AZ115" s="618"/>
      <c r="BA115" s="618"/>
      <c r="BB115" s="618"/>
      <c r="BC115" s="618"/>
      <c r="BD115" s="733"/>
      <c r="BE115" s="618"/>
      <c r="BF115" s="618"/>
      <c r="BG115" s="618"/>
      <c r="BH115" s="618"/>
      <c r="BI115" s="733"/>
      <c r="BJ115" s="618"/>
      <c r="BK115" s="618"/>
      <c r="BL115" s="618"/>
      <c r="BM115" s="618"/>
      <c r="BN115" s="733"/>
      <c r="BO115" s="618"/>
      <c r="BP115" s="618"/>
      <c r="BQ115" s="618"/>
      <c r="BR115" s="618"/>
      <c r="BS115" s="733"/>
      <c r="BT115" s="618"/>
      <c r="BU115" s="618"/>
      <c r="BV115" s="618"/>
      <c r="BW115" s="618"/>
      <c r="BX115" s="733"/>
      <c r="BY115" s="618"/>
      <c r="BZ115" s="618"/>
      <c r="CA115" s="618"/>
      <c r="CB115" s="618"/>
      <c r="CC115" s="733"/>
      <c r="CD115" s="618"/>
      <c r="CE115" s="618"/>
      <c r="CF115" s="618"/>
      <c r="CG115" s="618"/>
      <c r="CH115" s="746"/>
      <c r="CI115" s="733"/>
      <c r="CJ115" s="733"/>
      <c r="CK115" s="733"/>
      <c r="CL115" s="733"/>
      <c r="CM115" s="747"/>
      <c r="CN115" s="743"/>
      <c r="CO115" s="745"/>
    </row>
    <row r="116" spans="1:99">
      <c r="A116" s="745"/>
      <c r="B116" s="767"/>
      <c r="C116" s="767"/>
      <c r="D116" s="767"/>
      <c r="E116" s="767"/>
      <c r="F116" s="764"/>
      <c r="G116" s="764"/>
      <c r="H116" s="733"/>
      <c r="I116" s="733"/>
      <c r="J116" s="733"/>
      <c r="K116" s="733"/>
      <c r="L116" s="764"/>
      <c r="M116" s="764"/>
      <c r="N116" s="764"/>
      <c r="O116" s="766"/>
      <c r="P116" s="733"/>
      <c r="Q116" s="764"/>
      <c r="R116" s="764"/>
      <c r="S116" s="765"/>
      <c r="T116" s="764"/>
      <c r="U116" s="733"/>
      <c r="V116" s="764"/>
      <c r="W116" s="764"/>
      <c r="X116" s="764"/>
      <c r="Y116" s="764"/>
      <c r="Z116" s="733"/>
      <c r="AA116" s="764"/>
      <c r="AB116" s="764"/>
      <c r="AC116" s="764"/>
      <c r="AD116" s="764"/>
      <c r="AE116" s="733"/>
      <c r="AF116" s="764"/>
      <c r="AG116" s="764"/>
      <c r="AH116" s="764"/>
      <c r="AI116" s="764"/>
      <c r="AJ116" s="733"/>
      <c r="AK116" s="764"/>
      <c r="AL116" s="764"/>
      <c r="AM116" s="764"/>
      <c r="AN116" s="764"/>
      <c r="AO116" s="733"/>
      <c r="AP116" s="764"/>
      <c r="AQ116" s="764"/>
      <c r="AR116" s="764"/>
      <c r="AS116" s="764"/>
      <c r="AT116" s="733"/>
      <c r="AU116" s="764"/>
      <c r="AV116" s="764"/>
      <c r="AW116" s="764"/>
      <c r="AX116" s="764"/>
      <c r="AY116" s="733"/>
      <c r="AZ116" s="618"/>
      <c r="BA116" s="618"/>
      <c r="BB116" s="618"/>
      <c r="BC116" s="618"/>
      <c r="BD116" s="733"/>
      <c r="BE116" s="618"/>
      <c r="BF116" s="618"/>
      <c r="BG116" s="618"/>
      <c r="BH116" s="618"/>
      <c r="BI116" s="733"/>
      <c r="BJ116" s="618"/>
      <c r="BK116" s="618"/>
      <c r="BL116" s="618"/>
      <c r="BM116" s="618"/>
      <c r="BN116" s="733"/>
      <c r="BO116" s="618"/>
      <c r="BP116" s="618"/>
      <c r="BQ116" s="618"/>
      <c r="BR116" s="618"/>
      <c r="BS116" s="733"/>
      <c r="BT116" s="618"/>
      <c r="BU116" s="618"/>
      <c r="BV116" s="618"/>
      <c r="BW116" s="618"/>
      <c r="BX116" s="733"/>
      <c r="BY116" s="618"/>
      <c r="BZ116" s="618"/>
      <c r="CA116" s="618"/>
      <c r="CB116" s="618"/>
      <c r="CC116" s="733"/>
      <c r="CD116" s="618"/>
      <c r="CE116" s="618"/>
      <c r="CF116" s="618"/>
      <c r="CG116" s="618"/>
      <c r="CH116" s="733"/>
      <c r="CI116" s="733"/>
      <c r="CJ116" s="733"/>
      <c r="CK116" s="733"/>
      <c r="CL116" s="733"/>
      <c r="CM116" s="756"/>
      <c r="CN116" s="739"/>
      <c r="CO116" s="755"/>
    </row>
    <row r="117" spans="1:99">
      <c r="A117" s="755"/>
      <c r="B117" s="752" t="s">
        <v>135</v>
      </c>
      <c r="C117" s="752"/>
      <c r="D117" s="752"/>
      <c r="E117" s="752"/>
      <c r="F117" s="759">
        <f>F23</f>
        <v>0</v>
      </c>
      <c r="G117" s="759">
        <f>G23</f>
        <v>0</v>
      </c>
      <c r="H117" s="757">
        <v>1566</v>
      </c>
      <c r="I117" s="757">
        <v>2092</v>
      </c>
      <c r="J117" s="757">
        <v>2267</v>
      </c>
      <c r="K117" s="757">
        <v>2345</v>
      </c>
      <c r="L117" s="759">
        <v>637</v>
      </c>
      <c r="M117" s="759">
        <v>946</v>
      </c>
      <c r="N117" s="759">
        <v>741</v>
      </c>
      <c r="O117" s="759">
        <v>551</v>
      </c>
      <c r="P117" s="757">
        <v>2904</v>
      </c>
      <c r="Q117" s="759">
        <v>694</v>
      </c>
      <c r="R117" s="759">
        <v>1005</v>
      </c>
      <c r="S117" s="760">
        <v>906</v>
      </c>
      <c r="T117" s="759">
        <v>800</v>
      </c>
      <c r="U117" s="757">
        <v>3405</v>
      </c>
      <c r="V117" s="759">
        <f t="shared" ref="V117:BA117" si="86">V25</f>
        <v>774</v>
      </c>
      <c r="W117" s="759">
        <f t="shared" si="86"/>
        <v>594</v>
      </c>
      <c r="X117" s="759">
        <f t="shared" si="86"/>
        <v>1177</v>
      </c>
      <c r="Y117" s="759">
        <f t="shared" si="86"/>
        <v>1304</v>
      </c>
      <c r="Z117" s="757">
        <f t="shared" si="86"/>
        <v>3849</v>
      </c>
      <c r="AA117" s="759">
        <f t="shared" si="86"/>
        <v>245</v>
      </c>
      <c r="AB117" s="759">
        <f t="shared" si="86"/>
        <v>1198</v>
      </c>
      <c r="AC117" s="759">
        <f t="shared" si="86"/>
        <v>1145</v>
      </c>
      <c r="AD117" s="759">
        <f t="shared" si="86"/>
        <v>1589</v>
      </c>
      <c r="AE117" s="757">
        <f t="shared" si="86"/>
        <v>4177</v>
      </c>
      <c r="AF117" s="759">
        <f t="shared" si="86"/>
        <v>651</v>
      </c>
      <c r="AG117" s="759">
        <f t="shared" si="86"/>
        <v>1113</v>
      </c>
      <c r="AH117" s="759">
        <f t="shared" si="86"/>
        <v>1567</v>
      </c>
      <c r="AI117" s="759">
        <f t="shared" si="86"/>
        <v>1614</v>
      </c>
      <c r="AJ117" s="757">
        <f t="shared" si="86"/>
        <v>4945</v>
      </c>
      <c r="AK117" s="759">
        <f t="shared" si="86"/>
        <v>318</v>
      </c>
      <c r="AL117" s="759">
        <f t="shared" si="86"/>
        <v>1367</v>
      </c>
      <c r="AM117" s="759">
        <f t="shared" si="86"/>
        <v>1692</v>
      </c>
      <c r="AN117" s="759">
        <f t="shared" si="86"/>
        <v>1150</v>
      </c>
      <c r="AO117" s="757">
        <f t="shared" si="86"/>
        <v>4527</v>
      </c>
      <c r="AP117" s="759">
        <f t="shared" si="86"/>
        <v>1007</v>
      </c>
      <c r="AQ117" s="759">
        <f t="shared" si="86"/>
        <v>1245</v>
      </c>
      <c r="AR117" s="759">
        <f t="shared" si="86"/>
        <v>1499</v>
      </c>
      <c r="AS117" s="759">
        <f t="shared" si="86"/>
        <v>1290</v>
      </c>
      <c r="AT117" s="757">
        <f t="shared" si="86"/>
        <v>5041</v>
      </c>
      <c r="AU117" s="759">
        <f t="shared" si="86"/>
        <v>1149</v>
      </c>
      <c r="AV117" s="759">
        <f t="shared" si="86"/>
        <v>1123</v>
      </c>
      <c r="AW117" s="759">
        <f t="shared" si="86"/>
        <v>1708</v>
      </c>
      <c r="AX117" s="759">
        <f t="shared" si="86"/>
        <v>1551</v>
      </c>
      <c r="AY117" s="757">
        <f t="shared" si="86"/>
        <v>5531</v>
      </c>
      <c r="AZ117" s="758">
        <f t="shared" si="86"/>
        <v>1124</v>
      </c>
      <c r="BA117" s="758">
        <f t="shared" si="86"/>
        <v>1471</v>
      </c>
      <c r="BB117" s="758">
        <f t="shared" ref="BB117:CH117" si="87">BB25</f>
        <v>1308</v>
      </c>
      <c r="BC117" s="758">
        <f t="shared" si="87"/>
        <v>1313</v>
      </c>
      <c r="BD117" s="757">
        <f t="shared" si="87"/>
        <v>5216</v>
      </c>
      <c r="BE117" s="758">
        <f t="shared" si="87"/>
        <v>1114</v>
      </c>
      <c r="BF117" s="758">
        <f t="shared" si="87"/>
        <v>1570</v>
      </c>
      <c r="BG117" s="758">
        <f t="shared" si="87"/>
        <v>1160</v>
      </c>
      <c r="BH117" s="758">
        <f t="shared" si="87"/>
        <v>1972</v>
      </c>
      <c r="BI117" s="757">
        <f t="shared" si="87"/>
        <v>5816</v>
      </c>
      <c r="BJ117" s="758">
        <f t="shared" si="87"/>
        <v>1002</v>
      </c>
      <c r="BK117" s="758">
        <f t="shared" si="87"/>
        <v>1336</v>
      </c>
      <c r="BL117" s="758">
        <f t="shared" si="87"/>
        <v>1533</v>
      </c>
      <c r="BM117" s="758">
        <f t="shared" si="87"/>
        <v>1753</v>
      </c>
      <c r="BN117" s="757">
        <f t="shared" si="87"/>
        <v>5624</v>
      </c>
      <c r="BO117" s="758">
        <f t="shared" si="87"/>
        <v>962</v>
      </c>
      <c r="BP117" s="758">
        <f t="shared" si="87"/>
        <v>1178</v>
      </c>
      <c r="BQ117" s="758">
        <f>BQ25</f>
        <v>631</v>
      </c>
      <c r="BR117" s="758">
        <f>BR25</f>
        <v>2046</v>
      </c>
      <c r="BS117" s="757">
        <f t="shared" si="87"/>
        <v>4817</v>
      </c>
      <c r="BT117" s="758">
        <f t="shared" si="87"/>
        <v>509</v>
      </c>
      <c r="BU117" s="758">
        <f t="shared" si="87"/>
        <v>1413</v>
      </c>
      <c r="BV117" s="758">
        <f>BV25</f>
        <v>1557</v>
      </c>
      <c r="BW117" s="758">
        <f t="shared" si="87"/>
        <v>1189</v>
      </c>
      <c r="BX117" s="2072">
        <f>BX25</f>
        <v>4713</v>
      </c>
      <c r="BY117" s="758">
        <f>BY25</f>
        <v>668</v>
      </c>
      <c r="BZ117" s="758">
        <f>BZ25</f>
        <v>1700</v>
      </c>
      <c r="CA117" s="758">
        <f>CA25</f>
        <v>-472</v>
      </c>
      <c r="CB117" s="758">
        <f>CB25</f>
        <v>1765.9681615828226</v>
      </c>
      <c r="CC117" s="757">
        <f t="shared" si="87"/>
        <v>3661.9681615828222</v>
      </c>
      <c r="CD117" s="758">
        <f>CD25</f>
        <v>485.04900479765308</v>
      </c>
      <c r="CE117" s="758">
        <f>CE25</f>
        <v>1385.9184275819775</v>
      </c>
      <c r="CF117" s="758">
        <f>CF25</f>
        <v>1660.6184735383054</v>
      </c>
      <c r="CG117" s="758">
        <f>CG25</f>
        <v>1927.3919899982766</v>
      </c>
      <c r="CH117" s="757">
        <f t="shared" si="87"/>
        <v>5458.9778959162177</v>
      </c>
      <c r="CI117" s="757">
        <f>CI25</f>
        <v>6710.8469054655443</v>
      </c>
      <c r="CJ117" s="2072">
        <f>CJ25</f>
        <v>7367.3232845581788</v>
      </c>
      <c r="CK117" s="2072">
        <f>CK25</f>
        <v>7705.5144146395569</v>
      </c>
      <c r="CL117" s="757"/>
      <c r="CM117" s="756"/>
      <c r="CN117" s="739"/>
      <c r="CO117" s="755"/>
    </row>
    <row r="118" spans="1:99">
      <c r="A118" s="755"/>
      <c r="B118" s="752" t="s">
        <v>417</v>
      </c>
      <c r="C118" s="752"/>
      <c r="D118" s="752"/>
      <c r="E118" s="752"/>
      <c r="F118" s="762">
        <f>F68</f>
        <v>0</v>
      </c>
      <c r="G118" s="762">
        <f>G68</f>
        <v>0</v>
      </c>
      <c r="H118" s="761">
        <v>382</v>
      </c>
      <c r="I118" s="761">
        <v>426</v>
      </c>
      <c r="J118" s="761">
        <v>381</v>
      </c>
      <c r="K118" s="761">
        <v>375</v>
      </c>
      <c r="L118" s="762">
        <v>87</v>
      </c>
      <c r="M118" s="762">
        <v>91</v>
      </c>
      <c r="N118" s="762">
        <v>89</v>
      </c>
      <c r="O118" s="762">
        <v>96</v>
      </c>
      <c r="P118" s="761">
        <v>363</v>
      </c>
      <c r="Q118" s="762">
        <v>100</v>
      </c>
      <c r="R118" s="762">
        <v>120</v>
      </c>
      <c r="S118" s="763">
        <v>135</v>
      </c>
      <c r="T118" s="762">
        <v>143</v>
      </c>
      <c r="U118" s="761">
        <v>498</v>
      </c>
      <c r="V118" s="762">
        <f t="shared" ref="V118:BA118" si="88">-V70</f>
        <v>142</v>
      </c>
      <c r="W118" s="762">
        <f t="shared" si="88"/>
        <v>155</v>
      </c>
      <c r="X118" s="762">
        <f t="shared" si="88"/>
        <v>156</v>
      </c>
      <c r="Y118" s="762">
        <f t="shared" si="88"/>
        <v>153</v>
      </c>
      <c r="Z118" s="761">
        <f t="shared" si="88"/>
        <v>606</v>
      </c>
      <c r="AA118" s="762">
        <f t="shared" si="88"/>
        <v>150</v>
      </c>
      <c r="AB118" s="762">
        <f t="shared" si="88"/>
        <v>163</v>
      </c>
      <c r="AC118" s="762">
        <f t="shared" si="88"/>
        <v>179</v>
      </c>
      <c r="AD118" s="762">
        <f t="shared" si="88"/>
        <v>174</v>
      </c>
      <c r="AE118" s="761">
        <f t="shared" si="88"/>
        <v>666</v>
      </c>
      <c r="AF118" s="762">
        <f t="shared" si="88"/>
        <v>165</v>
      </c>
      <c r="AG118" s="762">
        <f t="shared" si="88"/>
        <v>176</v>
      </c>
      <c r="AH118" s="762">
        <f t="shared" si="88"/>
        <v>177</v>
      </c>
      <c r="AI118" s="762">
        <f t="shared" si="88"/>
        <v>171</v>
      </c>
      <c r="AJ118" s="761">
        <f t="shared" si="88"/>
        <v>689</v>
      </c>
      <c r="AK118" s="762">
        <f t="shared" si="88"/>
        <v>173.25</v>
      </c>
      <c r="AL118" s="762">
        <f t="shared" si="88"/>
        <v>175.25</v>
      </c>
      <c r="AM118" s="762">
        <f t="shared" si="88"/>
        <v>168.25</v>
      </c>
      <c r="AN118" s="762">
        <f t="shared" si="88"/>
        <v>181.25</v>
      </c>
      <c r="AO118" s="761">
        <f t="shared" si="88"/>
        <v>705</v>
      </c>
      <c r="AP118" s="762">
        <f t="shared" si="88"/>
        <v>197</v>
      </c>
      <c r="AQ118" s="762">
        <f t="shared" si="88"/>
        <v>175</v>
      </c>
      <c r="AR118" s="762">
        <f t="shared" si="88"/>
        <v>187</v>
      </c>
      <c r="AS118" s="762">
        <f t="shared" si="88"/>
        <v>191</v>
      </c>
      <c r="AT118" s="761">
        <f t="shared" si="88"/>
        <v>750</v>
      </c>
      <c r="AU118" s="762">
        <f t="shared" si="88"/>
        <v>166</v>
      </c>
      <c r="AV118" s="762">
        <f t="shared" si="88"/>
        <v>164</v>
      </c>
      <c r="AW118" s="762">
        <f t="shared" si="88"/>
        <v>166</v>
      </c>
      <c r="AX118" s="762">
        <f t="shared" si="88"/>
        <v>179</v>
      </c>
      <c r="AY118" s="761">
        <f t="shared" si="88"/>
        <v>675</v>
      </c>
      <c r="AZ118" s="739">
        <f t="shared" si="88"/>
        <v>164</v>
      </c>
      <c r="BA118" s="739">
        <f t="shared" si="88"/>
        <v>190</v>
      </c>
      <c r="BB118" s="739">
        <f t="shared" ref="BB118:CH118" si="89">-BB70</f>
        <v>260</v>
      </c>
      <c r="BC118" s="739">
        <f t="shared" si="89"/>
        <v>279</v>
      </c>
      <c r="BD118" s="761">
        <f t="shared" si="89"/>
        <v>893</v>
      </c>
      <c r="BE118" s="739">
        <f t="shared" si="89"/>
        <v>255</v>
      </c>
      <c r="BF118" s="739">
        <f t="shared" si="89"/>
        <v>272</v>
      </c>
      <c r="BG118" s="739">
        <f t="shared" si="89"/>
        <v>248</v>
      </c>
      <c r="BH118" s="739">
        <f t="shared" si="89"/>
        <v>259</v>
      </c>
      <c r="BI118" s="761">
        <f t="shared" si="89"/>
        <v>1034</v>
      </c>
      <c r="BJ118" s="739">
        <f t="shared" si="89"/>
        <v>243</v>
      </c>
      <c r="BK118" s="739">
        <f t="shared" si="89"/>
        <v>245</v>
      </c>
      <c r="BL118" s="739">
        <f t="shared" si="89"/>
        <v>237</v>
      </c>
      <c r="BM118" s="739">
        <f t="shared" si="89"/>
        <v>371</v>
      </c>
      <c r="BN118" s="761">
        <f t="shared" si="89"/>
        <v>1096</v>
      </c>
      <c r="BO118" s="739">
        <f t="shared" si="89"/>
        <v>239</v>
      </c>
      <c r="BP118" s="739">
        <f t="shared" si="89"/>
        <v>244</v>
      </c>
      <c r="BQ118" s="739">
        <f>-BQ70</f>
        <v>223</v>
      </c>
      <c r="BR118" s="739">
        <f>-BR70</f>
        <v>238</v>
      </c>
      <c r="BS118" s="761">
        <f t="shared" si="89"/>
        <v>944</v>
      </c>
      <c r="BT118" s="739">
        <f t="shared" si="89"/>
        <v>241</v>
      </c>
      <c r="BU118" s="739">
        <f t="shared" si="89"/>
        <v>248</v>
      </c>
      <c r="BV118" s="739">
        <f>-BV70</f>
        <v>252</v>
      </c>
      <c r="BW118" s="739">
        <f t="shared" si="89"/>
        <v>420</v>
      </c>
      <c r="BX118" s="761">
        <f>-BX70</f>
        <v>1161</v>
      </c>
      <c r="BY118" s="739">
        <f>-BY70</f>
        <v>236</v>
      </c>
      <c r="BZ118" s="739">
        <f>-BZ70</f>
        <v>251</v>
      </c>
      <c r="CA118" s="739">
        <f>-CA70</f>
        <v>255.64742873113471</v>
      </c>
      <c r="CB118" s="739">
        <f>-CB70</f>
        <v>258.65526879748847</v>
      </c>
      <c r="CC118" s="761">
        <f t="shared" si="89"/>
        <v>1001.3026975286232</v>
      </c>
      <c r="CD118" s="739">
        <f>-CD70</f>
        <v>258.65526879748847</v>
      </c>
      <c r="CE118" s="739">
        <f>-CE70</f>
        <v>268.14372326548147</v>
      </c>
      <c r="CF118" s="739">
        <f>-CF70</f>
        <v>277.63217773347446</v>
      </c>
      <c r="CG118" s="739">
        <f>-CG70</f>
        <v>277.63217773347446</v>
      </c>
      <c r="CH118" s="761">
        <f t="shared" si="89"/>
        <v>1082.0633475299189</v>
      </c>
      <c r="CI118" s="761">
        <f>-CI70</f>
        <v>1120.352921044778</v>
      </c>
      <c r="CJ118" s="761">
        <f>-CJ70</f>
        <v>1120.352921044778</v>
      </c>
      <c r="CK118" s="761">
        <f>-CK70</f>
        <v>1120.352921044778</v>
      </c>
      <c r="CL118" s="761"/>
      <c r="CM118" s="756"/>
      <c r="CN118" s="739"/>
      <c r="CO118" s="755"/>
    </row>
    <row r="119" spans="1:99">
      <c r="A119" s="755"/>
      <c r="B119" s="752" t="s">
        <v>416</v>
      </c>
      <c r="C119" s="753"/>
      <c r="D119" s="752"/>
      <c r="E119" s="752"/>
      <c r="F119" s="759">
        <f>-F118*0.35</f>
        <v>0</v>
      </c>
      <c r="G119" s="759">
        <f>-G118*0.35</f>
        <v>0</v>
      </c>
      <c r="H119" s="757">
        <v>-133.69999999999999</v>
      </c>
      <c r="I119" s="757">
        <v>-149.1</v>
      </c>
      <c r="J119" s="757">
        <v>-133.35</v>
      </c>
      <c r="K119" s="757">
        <v>-131.25</v>
      </c>
      <c r="L119" s="759">
        <v>-30.45</v>
      </c>
      <c r="M119" s="759">
        <v>-31.85</v>
      </c>
      <c r="N119" s="759">
        <v>-31.15</v>
      </c>
      <c r="O119" s="759">
        <v>-33.6</v>
      </c>
      <c r="P119" s="757">
        <v>-127.05</v>
      </c>
      <c r="Q119" s="759">
        <v>-35</v>
      </c>
      <c r="R119" s="759">
        <v>-42</v>
      </c>
      <c r="S119" s="760">
        <v>-47.25</v>
      </c>
      <c r="T119" s="759">
        <v>-50.05</v>
      </c>
      <c r="U119" s="757">
        <v>-174.3</v>
      </c>
      <c r="V119" s="759">
        <f t="shared" ref="V119:BA119" si="90">-V118*0.35</f>
        <v>-49.699999999999996</v>
      </c>
      <c r="W119" s="759">
        <f t="shared" si="90"/>
        <v>-54.25</v>
      </c>
      <c r="X119" s="759">
        <f t="shared" si="90"/>
        <v>-54.599999999999994</v>
      </c>
      <c r="Y119" s="759">
        <f t="shared" si="90"/>
        <v>-53.55</v>
      </c>
      <c r="Z119" s="757">
        <f t="shared" si="90"/>
        <v>-212.1</v>
      </c>
      <c r="AA119" s="759">
        <f t="shared" si="90"/>
        <v>-52.5</v>
      </c>
      <c r="AB119" s="759">
        <f t="shared" si="90"/>
        <v>-57.05</v>
      </c>
      <c r="AC119" s="759">
        <f t="shared" si="90"/>
        <v>-62.65</v>
      </c>
      <c r="AD119" s="759">
        <f t="shared" si="90"/>
        <v>-60.9</v>
      </c>
      <c r="AE119" s="757">
        <f t="shared" si="90"/>
        <v>-233.1</v>
      </c>
      <c r="AF119" s="759">
        <f t="shared" si="90"/>
        <v>-57.749999999999993</v>
      </c>
      <c r="AG119" s="759">
        <f t="shared" si="90"/>
        <v>-61.599999999999994</v>
      </c>
      <c r="AH119" s="759">
        <f t="shared" si="90"/>
        <v>-61.949999999999996</v>
      </c>
      <c r="AI119" s="759">
        <f t="shared" si="90"/>
        <v>-59.849999999999994</v>
      </c>
      <c r="AJ119" s="757">
        <f t="shared" si="90"/>
        <v>-241.14999999999998</v>
      </c>
      <c r="AK119" s="759">
        <f t="shared" si="90"/>
        <v>-60.637499999999996</v>
      </c>
      <c r="AL119" s="759">
        <f t="shared" si="90"/>
        <v>-61.337499999999999</v>
      </c>
      <c r="AM119" s="759">
        <f t="shared" si="90"/>
        <v>-58.887499999999996</v>
      </c>
      <c r="AN119" s="759">
        <f t="shared" si="90"/>
        <v>-63.437499999999993</v>
      </c>
      <c r="AO119" s="757">
        <f t="shared" si="90"/>
        <v>-246.74999999999997</v>
      </c>
      <c r="AP119" s="759">
        <f t="shared" si="90"/>
        <v>-68.949999999999989</v>
      </c>
      <c r="AQ119" s="759">
        <f t="shared" si="90"/>
        <v>-61.249999999999993</v>
      </c>
      <c r="AR119" s="759">
        <f t="shared" si="90"/>
        <v>-65.45</v>
      </c>
      <c r="AS119" s="759">
        <f t="shared" si="90"/>
        <v>-66.849999999999994</v>
      </c>
      <c r="AT119" s="757">
        <f t="shared" si="90"/>
        <v>-262.5</v>
      </c>
      <c r="AU119" s="759">
        <f t="shared" si="90"/>
        <v>-58.099999999999994</v>
      </c>
      <c r="AV119" s="759">
        <f t="shared" si="90"/>
        <v>-57.4</v>
      </c>
      <c r="AW119" s="759">
        <f t="shared" si="90"/>
        <v>-58.099999999999994</v>
      </c>
      <c r="AX119" s="759">
        <f t="shared" si="90"/>
        <v>-62.65</v>
      </c>
      <c r="AY119" s="757">
        <f t="shared" si="90"/>
        <v>-236.24999999999997</v>
      </c>
      <c r="AZ119" s="758">
        <f t="shared" si="90"/>
        <v>-57.4</v>
      </c>
      <c r="BA119" s="758">
        <f t="shared" si="90"/>
        <v>-66.5</v>
      </c>
      <c r="BB119" s="758">
        <f t="shared" ref="BB119:CH119" si="91">-BB118*0.35</f>
        <v>-91</v>
      </c>
      <c r="BC119" s="758">
        <f t="shared" si="91"/>
        <v>-97.649999999999991</v>
      </c>
      <c r="BD119" s="757">
        <f t="shared" si="91"/>
        <v>-312.54999999999995</v>
      </c>
      <c r="BE119" s="758">
        <f t="shared" si="91"/>
        <v>-89.25</v>
      </c>
      <c r="BF119" s="758">
        <f t="shared" si="91"/>
        <v>-95.199999999999989</v>
      </c>
      <c r="BG119" s="758">
        <f t="shared" si="91"/>
        <v>-86.8</v>
      </c>
      <c r="BH119" s="758">
        <f t="shared" si="91"/>
        <v>-90.649999999999991</v>
      </c>
      <c r="BI119" s="757">
        <f t="shared" si="91"/>
        <v>-361.9</v>
      </c>
      <c r="BJ119" s="758">
        <f t="shared" si="91"/>
        <v>-85.05</v>
      </c>
      <c r="BK119" s="758">
        <f t="shared" si="91"/>
        <v>-85.75</v>
      </c>
      <c r="BL119" s="758">
        <f t="shared" si="91"/>
        <v>-82.949999999999989</v>
      </c>
      <c r="BM119" s="758">
        <f t="shared" si="91"/>
        <v>-129.85</v>
      </c>
      <c r="BN119" s="757">
        <f t="shared" si="91"/>
        <v>-383.59999999999997</v>
      </c>
      <c r="BO119" s="758">
        <f t="shared" si="91"/>
        <v>-83.649999999999991</v>
      </c>
      <c r="BP119" s="758">
        <f t="shared" si="91"/>
        <v>-85.399999999999991</v>
      </c>
      <c r="BQ119" s="758">
        <f>-BQ118*0.35</f>
        <v>-78.05</v>
      </c>
      <c r="BR119" s="758">
        <f>-BR118*0.35</f>
        <v>-83.3</v>
      </c>
      <c r="BS119" s="757">
        <f t="shared" si="91"/>
        <v>-330.4</v>
      </c>
      <c r="BT119" s="758">
        <f t="shared" si="91"/>
        <v>-84.35</v>
      </c>
      <c r="BU119" s="758">
        <f t="shared" si="91"/>
        <v>-86.8</v>
      </c>
      <c r="BV119" s="758">
        <f>-BV118*0.35</f>
        <v>-88.199999999999989</v>
      </c>
      <c r="BW119" s="758">
        <f t="shared" si="91"/>
        <v>-147</v>
      </c>
      <c r="BX119" s="2072">
        <f>-BX118*0.35</f>
        <v>-406.34999999999997</v>
      </c>
      <c r="BY119" s="758">
        <f>-BY118*0.35</f>
        <v>-82.6</v>
      </c>
      <c r="BZ119" s="758">
        <f>-BZ118*0.35</f>
        <v>-87.85</v>
      </c>
      <c r="CA119" s="758">
        <f>-CA118*0.35</f>
        <v>-89.476600055897137</v>
      </c>
      <c r="CB119" s="758">
        <f>-CB118*0.35</f>
        <v>-90.52934407912096</v>
      </c>
      <c r="CC119" s="757">
        <f t="shared" si="91"/>
        <v>-350.45594413501811</v>
      </c>
      <c r="CD119" s="758">
        <f>-CD118*0.35</f>
        <v>-90.52934407912096</v>
      </c>
      <c r="CE119" s="758">
        <f>-CE118*0.35</f>
        <v>-93.850303142918506</v>
      </c>
      <c r="CF119" s="758">
        <f>-CF118*0.35</f>
        <v>-97.171262206716051</v>
      </c>
      <c r="CG119" s="758">
        <f>-CG118*0.35</f>
        <v>-97.171262206716051</v>
      </c>
      <c r="CH119" s="757">
        <f t="shared" si="91"/>
        <v>-378.72217163547162</v>
      </c>
      <c r="CI119" s="757">
        <f>-CI118*0.35</f>
        <v>-392.12352236567227</v>
      </c>
      <c r="CJ119" s="2072">
        <f>-CJ118*0.35</f>
        <v>-392.12352236567227</v>
      </c>
      <c r="CK119" s="2072">
        <f>-CK118*0.35</f>
        <v>-392.12352236567227</v>
      </c>
      <c r="CL119" s="757"/>
      <c r="CM119" s="756"/>
      <c r="CN119" s="739"/>
      <c r="CO119" s="755"/>
    </row>
    <row r="120" spans="1:99">
      <c r="A120" s="755"/>
      <c r="B120" s="754" t="s">
        <v>415</v>
      </c>
      <c r="C120" s="753"/>
      <c r="D120" s="752"/>
      <c r="E120" s="752"/>
      <c r="F120" s="750">
        <f>SUM(F117:F119)</f>
        <v>0</v>
      </c>
      <c r="G120" s="750">
        <f>SUM(G117:G119)</f>
        <v>0</v>
      </c>
      <c r="H120" s="748">
        <v>1814.3</v>
      </c>
      <c r="I120" s="748">
        <v>2368.9</v>
      </c>
      <c r="J120" s="748">
        <v>2514.65</v>
      </c>
      <c r="K120" s="748">
        <v>2588.75</v>
      </c>
      <c r="L120" s="750">
        <v>693.55</v>
      </c>
      <c r="M120" s="750">
        <v>1005.15</v>
      </c>
      <c r="N120" s="750">
        <v>798.85</v>
      </c>
      <c r="O120" s="750">
        <v>613.4</v>
      </c>
      <c r="P120" s="748">
        <v>3139.95</v>
      </c>
      <c r="Q120" s="750">
        <v>759</v>
      </c>
      <c r="R120" s="750">
        <v>1083</v>
      </c>
      <c r="S120" s="751">
        <v>993.75</v>
      </c>
      <c r="T120" s="750">
        <v>892.95</v>
      </c>
      <c r="U120" s="748">
        <v>3728.7</v>
      </c>
      <c r="V120" s="750">
        <f t="shared" ref="V120:BA120" si="92">SUM(V117:V119)</f>
        <v>866.3</v>
      </c>
      <c r="W120" s="750">
        <f t="shared" si="92"/>
        <v>694.75</v>
      </c>
      <c r="X120" s="750">
        <f t="shared" si="92"/>
        <v>1278.4000000000001</v>
      </c>
      <c r="Y120" s="750">
        <f t="shared" si="92"/>
        <v>1403.45</v>
      </c>
      <c r="Z120" s="748">
        <f t="shared" si="92"/>
        <v>4242.8999999999996</v>
      </c>
      <c r="AA120" s="750">
        <f t="shared" si="92"/>
        <v>342.5</v>
      </c>
      <c r="AB120" s="750">
        <f t="shared" si="92"/>
        <v>1303.95</v>
      </c>
      <c r="AC120" s="750">
        <f t="shared" si="92"/>
        <v>1261.3499999999999</v>
      </c>
      <c r="AD120" s="750">
        <f t="shared" si="92"/>
        <v>1702.1</v>
      </c>
      <c r="AE120" s="748">
        <f t="shared" si="92"/>
        <v>4609.8999999999996</v>
      </c>
      <c r="AF120" s="750">
        <f t="shared" si="92"/>
        <v>758.25</v>
      </c>
      <c r="AG120" s="750">
        <f t="shared" si="92"/>
        <v>1227.4000000000001</v>
      </c>
      <c r="AH120" s="750">
        <f t="shared" si="92"/>
        <v>1682.05</v>
      </c>
      <c r="AI120" s="750">
        <f t="shared" si="92"/>
        <v>1725.15</v>
      </c>
      <c r="AJ120" s="748">
        <f t="shared" si="92"/>
        <v>5392.85</v>
      </c>
      <c r="AK120" s="750">
        <f t="shared" si="92"/>
        <v>430.61250000000001</v>
      </c>
      <c r="AL120" s="750">
        <f t="shared" si="92"/>
        <v>1480.9124999999999</v>
      </c>
      <c r="AM120" s="750">
        <f t="shared" si="92"/>
        <v>1801.3625</v>
      </c>
      <c r="AN120" s="750">
        <f t="shared" si="92"/>
        <v>1267.8125</v>
      </c>
      <c r="AO120" s="748">
        <f t="shared" si="92"/>
        <v>4985.25</v>
      </c>
      <c r="AP120" s="750">
        <f t="shared" si="92"/>
        <v>1135.05</v>
      </c>
      <c r="AQ120" s="750">
        <f t="shared" si="92"/>
        <v>1358.75</v>
      </c>
      <c r="AR120" s="750">
        <f t="shared" si="92"/>
        <v>1620.55</v>
      </c>
      <c r="AS120" s="750">
        <f t="shared" si="92"/>
        <v>1414.15</v>
      </c>
      <c r="AT120" s="748">
        <f t="shared" si="92"/>
        <v>5528.5</v>
      </c>
      <c r="AU120" s="750">
        <f t="shared" si="92"/>
        <v>1256.9000000000001</v>
      </c>
      <c r="AV120" s="750">
        <f t="shared" si="92"/>
        <v>1229.5999999999999</v>
      </c>
      <c r="AW120" s="750">
        <f t="shared" si="92"/>
        <v>1815.9</v>
      </c>
      <c r="AX120" s="750">
        <f t="shared" si="92"/>
        <v>1667.35</v>
      </c>
      <c r="AY120" s="748">
        <f t="shared" si="92"/>
        <v>5969.75</v>
      </c>
      <c r="AZ120" s="749">
        <f t="shared" si="92"/>
        <v>1230.5999999999999</v>
      </c>
      <c r="BA120" s="749">
        <f t="shared" si="92"/>
        <v>1594.5</v>
      </c>
      <c r="BB120" s="749">
        <f t="shared" ref="BB120:CH120" si="93">SUM(BB117:BB119)</f>
        <v>1477</v>
      </c>
      <c r="BC120" s="749">
        <f t="shared" si="93"/>
        <v>1494.35</v>
      </c>
      <c r="BD120" s="748">
        <f t="shared" si="93"/>
        <v>5796.45</v>
      </c>
      <c r="BE120" s="749">
        <f t="shared" si="93"/>
        <v>1279.75</v>
      </c>
      <c r="BF120" s="749">
        <f t="shared" si="93"/>
        <v>1746.8</v>
      </c>
      <c r="BG120" s="749">
        <f t="shared" si="93"/>
        <v>1321.2</v>
      </c>
      <c r="BH120" s="749">
        <f t="shared" si="93"/>
        <v>2140.35</v>
      </c>
      <c r="BI120" s="748">
        <f t="shared" si="93"/>
        <v>6488.1</v>
      </c>
      <c r="BJ120" s="749">
        <f t="shared" si="93"/>
        <v>1159.95</v>
      </c>
      <c r="BK120" s="749">
        <f t="shared" si="93"/>
        <v>1495.25</v>
      </c>
      <c r="BL120" s="749">
        <f t="shared" si="93"/>
        <v>1687.05</v>
      </c>
      <c r="BM120" s="749">
        <f t="shared" si="93"/>
        <v>1994.15</v>
      </c>
      <c r="BN120" s="748">
        <f t="shared" si="93"/>
        <v>6336.4</v>
      </c>
      <c r="BO120" s="749">
        <f t="shared" si="93"/>
        <v>1117.3499999999999</v>
      </c>
      <c r="BP120" s="749">
        <f t="shared" si="93"/>
        <v>1336.6</v>
      </c>
      <c r="BQ120" s="749">
        <f>SUM(BQ117:BQ119)</f>
        <v>775.95</v>
      </c>
      <c r="BR120" s="749">
        <f>SUM(BR117:BR119)</f>
        <v>2200.6999999999998</v>
      </c>
      <c r="BS120" s="748">
        <f t="shared" si="93"/>
        <v>5430.6</v>
      </c>
      <c r="BT120" s="749">
        <f t="shared" si="93"/>
        <v>665.65</v>
      </c>
      <c r="BU120" s="749">
        <f t="shared" si="93"/>
        <v>1574.2</v>
      </c>
      <c r="BV120" s="749">
        <f>SUM(BV117:BV119)</f>
        <v>1720.8</v>
      </c>
      <c r="BW120" s="749">
        <f t="shared" si="93"/>
        <v>1462</v>
      </c>
      <c r="BX120" s="748">
        <f>SUM(BX117:BX119)</f>
        <v>5467.65</v>
      </c>
      <c r="BY120" s="749">
        <f>SUM(BY117:BY119)</f>
        <v>821.4</v>
      </c>
      <c r="BZ120" s="749">
        <f>SUM(BZ117:BZ119)</f>
        <v>1863.15</v>
      </c>
      <c r="CA120" s="749">
        <f>SUM(CA117:CA119)</f>
        <v>-305.82917132476246</v>
      </c>
      <c r="CB120" s="749">
        <f>SUM(CB117:CB119)</f>
        <v>1934.0940863011901</v>
      </c>
      <c r="CC120" s="748">
        <f t="shared" si="93"/>
        <v>4312.8149149764267</v>
      </c>
      <c r="CD120" s="749">
        <f>SUM(CD117:CD119)</f>
        <v>653.1749295160206</v>
      </c>
      <c r="CE120" s="749">
        <f>SUM(CE117:CE119)</f>
        <v>1560.2118477045406</v>
      </c>
      <c r="CF120" s="749">
        <f>SUM(CF117:CF119)</f>
        <v>1841.0793890650639</v>
      </c>
      <c r="CG120" s="749">
        <f>SUM(CG117:CG119)</f>
        <v>2107.8529055250347</v>
      </c>
      <c r="CH120" s="748">
        <f t="shared" si="93"/>
        <v>6162.3190718106653</v>
      </c>
      <c r="CI120" s="748">
        <f>SUM(CI117:CI119)</f>
        <v>7439.0763041446498</v>
      </c>
      <c r="CJ120" s="748">
        <f>SUM(CJ117:CJ119)</f>
        <v>8095.5526832372843</v>
      </c>
      <c r="CK120" s="748">
        <f>SUM(CK117:CK119)</f>
        <v>8433.7438133186624</v>
      </c>
      <c r="CL120" s="748"/>
      <c r="CM120" s="747"/>
      <c r="CN120" s="743"/>
      <c r="CO120" s="745"/>
    </row>
    <row r="121" spans="1:99">
      <c r="A121" s="745"/>
      <c r="B121" s="745"/>
      <c r="C121" s="745"/>
      <c r="D121" s="745"/>
      <c r="E121" s="745"/>
      <c r="F121" s="745"/>
      <c r="G121" s="745"/>
      <c r="H121" s="744"/>
      <c r="I121" s="744"/>
      <c r="J121" s="744"/>
      <c r="K121" s="744"/>
      <c r="L121" s="743"/>
      <c r="M121" s="743"/>
      <c r="N121" s="743"/>
      <c r="O121" s="743"/>
      <c r="P121" s="744"/>
      <c r="Q121" s="743"/>
      <c r="R121" s="743"/>
      <c r="S121" s="744"/>
      <c r="T121" s="743"/>
      <c r="U121" s="743"/>
      <c r="V121" s="743"/>
      <c r="W121" s="743"/>
      <c r="X121" s="743"/>
      <c r="Y121" s="743"/>
      <c r="Z121" s="743"/>
      <c r="AA121" s="743"/>
      <c r="AB121" s="743"/>
      <c r="AC121" s="743"/>
      <c r="AD121" s="743"/>
      <c r="AE121" s="743"/>
      <c r="AF121" s="743"/>
      <c r="AG121" s="743"/>
      <c r="AH121" s="743"/>
      <c r="AI121" s="743"/>
      <c r="AJ121" s="743"/>
      <c r="AK121" s="743"/>
      <c r="AL121" s="743"/>
      <c r="AM121" s="743"/>
      <c r="AN121" s="743"/>
      <c r="AO121" s="743"/>
      <c r="AP121" s="743"/>
      <c r="AQ121" s="743"/>
      <c r="AR121" s="743"/>
      <c r="AS121" s="743"/>
      <c r="AT121" s="743"/>
      <c r="AU121" s="743"/>
      <c r="AV121" s="743"/>
      <c r="AW121" s="743"/>
      <c r="AX121" s="743"/>
      <c r="AY121" s="743"/>
      <c r="AZ121" s="743"/>
      <c r="BA121" s="743"/>
      <c r="BB121" s="743"/>
      <c r="BC121" s="743"/>
      <c r="BD121" s="743"/>
      <c r="BE121" s="743"/>
      <c r="BF121" s="743"/>
      <c r="BG121" s="743"/>
      <c r="BH121" s="743"/>
      <c r="BI121" s="743"/>
      <c r="BJ121" s="743"/>
      <c r="BK121" s="743"/>
      <c r="BL121" s="743"/>
      <c r="BM121" s="743"/>
      <c r="BN121" s="743"/>
      <c r="BO121" s="743"/>
      <c r="BP121" s="743"/>
      <c r="BQ121" s="743"/>
      <c r="BR121" s="743"/>
      <c r="BS121" s="743"/>
      <c r="BT121" s="743"/>
      <c r="BU121" s="743"/>
      <c r="BV121" s="743"/>
      <c r="BW121" s="743"/>
      <c r="BX121" s="743"/>
      <c r="BY121" s="743"/>
      <c r="BZ121" s="743"/>
      <c r="CA121" s="743"/>
      <c r="CB121" s="743"/>
      <c r="CC121" s="743"/>
      <c r="CD121" s="743"/>
      <c r="CE121" s="743"/>
      <c r="CF121" s="743"/>
      <c r="CG121" s="743"/>
      <c r="CH121" s="743"/>
      <c r="CI121" s="743"/>
      <c r="CJ121" s="743"/>
      <c r="CK121" s="743"/>
      <c r="CL121" s="743"/>
      <c r="CM121" s="738"/>
      <c r="CN121" s="618"/>
      <c r="CO121" s="736"/>
    </row>
    <row r="122" spans="1:99">
      <c r="A122" s="736"/>
      <c r="B122" s="736"/>
      <c r="C122" s="736"/>
      <c r="D122" s="736"/>
      <c r="E122" s="736"/>
      <c r="F122" s="736"/>
      <c r="G122" s="736"/>
      <c r="H122" s="740"/>
      <c r="I122" s="740"/>
      <c r="J122" s="740"/>
      <c r="K122" s="740"/>
      <c r="L122" s="618"/>
      <c r="M122" s="618"/>
      <c r="N122" s="618"/>
      <c r="O122" s="618"/>
      <c r="P122" s="740"/>
      <c r="Q122" s="618"/>
      <c r="R122" s="618"/>
      <c r="S122" s="740"/>
      <c r="T122" s="618"/>
      <c r="U122" s="618"/>
      <c r="V122" s="618"/>
      <c r="W122" s="618"/>
      <c r="X122" s="618"/>
      <c r="Y122" s="618"/>
      <c r="Z122" s="618"/>
      <c r="AA122" s="618"/>
      <c r="AB122" s="618"/>
      <c r="AC122" s="618"/>
      <c r="AD122" s="618"/>
      <c r="AE122" s="618"/>
      <c r="AF122" s="618"/>
      <c r="AG122" s="618"/>
      <c r="AH122" s="618"/>
      <c r="AI122" s="618"/>
      <c r="AJ122" s="618"/>
      <c r="AK122" s="618"/>
      <c r="AL122" s="618"/>
      <c r="AM122" s="618"/>
      <c r="AN122" s="618"/>
      <c r="AO122" s="618"/>
      <c r="AP122" s="618"/>
      <c r="AQ122" s="618"/>
      <c r="AR122" s="618"/>
      <c r="AS122" s="618"/>
      <c r="AT122" s="618"/>
      <c r="AU122" s="618"/>
      <c r="AV122" s="618"/>
      <c r="AW122" s="618"/>
      <c r="AX122" s="618"/>
      <c r="AY122" s="618"/>
      <c r="AZ122" s="618"/>
      <c r="BA122" s="618"/>
      <c r="BB122" s="618"/>
      <c r="BC122" s="618"/>
      <c r="BD122" s="618"/>
      <c r="BE122" s="618"/>
      <c r="BF122" s="618"/>
      <c r="BG122" s="618"/>
      <c r="BH122" s="618"/>
      <c r="BI122" s="618"/>
      <c r="BJ122" s="618"/>
      <c r="BK122" s="618"/>
      <c r="BL122" s="618"/>
      <c r="BM122" s="618"/>
      <c r="BN122" s="618"/>
      <c r="BO122" s="618"/>
      <c r="BP122" s="618"/>
      <c r="BQ122" s="618"/>
      <c r="BR122" s="618"/>
      <c r="BS122" s="618"/>
      <c r="BT122" s="618"/>
      <c r="BU122" s="618"/>
      <c r="BV122" s="618"/>
      <c r="BW122" s="618"/>
      <c r="BX122" s="618"/>
      <c r="BY122" s="618"/>
      <c r="BZ122" s="618"/>
      <c r="CA122" s="618"/>
      <c r="CB122" s="618"/>
      <c r="CC122" s="618"/>
      <c r="CD122" s="618"/>
      <c r="CE122" s="618"/>
      <c r="CF122" s="618"/>
      <c r="CG122" s="618"/>
      <c r="CH122" s="618"/>
      <c r="CI122" s="618"/>
      <c r="CJ122" s="618"/>
      <c r="CK122" s="618"/>
      <c r="CL122" s="618"/>
      <c r="CM122" s="617"/>
      <c r="CN122" s="742"/>
      <c r="CO122" s="733"/>
    </row>
    <row r="123" spans="1:99">
      <c r="BU123"/>
      <c r="CD123"/>
      <c r="CE123"/>
      <c r="CF123"/>
      <c r="CG123"/>
      <c r="CJ123"/>
      <c r="CK123"/>
      <c r="CM123"/>
    </row>
    <row r="124" spans="1:99">
      <c r="A124" s="736"/>
      <c r="B124" s="736"/>
      <c r="C124" s="736"/>
      <c r="D124" s="736"/>
      <c r="E124" s="736"/>
      <c r="F124" s="736"/>
      <c r="G124" s="736"/>
      <c r="H124" s="740"/>
      <c r="I124" s="740"/>
      <c r="J124" s="740"/>
      <c r="K124" s="740"/>
      <c r="L124" s="618"/>
      <c r="M124" s="618"/>
      <c r="N124" s="618"/>
      <c r="O124" s="618"/>
      <c r="P124" s="740"/>
      <c r="Q124" s="618"/>
      <c r="R124" s="618"/>
      <c r="S124" s="740"/>
      <c r="T124" s="618"/>
      <c r="U124" s="618"/>
      <c r="V124" s="618"/>
      <c r="W124" s="618"/>
      <c r="X124" s="618"/>
      <c r="Y124" s="618"/>
      <c r="Z124" s="618"/>
      <c r="AA124" s="618"/>
      <c r="AB124" s="618"/>
      <c r="AC124" s="618"/>
      <c r="AD124" s="618"/>
      <c r="AE124" s="618"/>
      <c r="AF124" s="618"/>
      <c r="AG124" s="618"/>
      <c r="AH124" s="618"/>
      <c r="AI124" s="618"/>
      <c r="AJ124" s="618"/>
      <c r="AK124" s="618"/>
      <c r="AL124" s="618"/>
      <c r="AM124" s="618"/>
      <c r="AN124" s="618"/>
      <c r="AO124" s="618"/>
      <c r="AP124" s="618"/>
      <c r="AQ124" s="618"/>
      <c r="AR124" s="618"/>
      <c r="AS124" s="618"/>
      <c r="AT124" s="618"/>
      <c r="AU124" s="618"/>
      <c r="AV124" s="618"/>
      <c r="AW124" s="618"/>
      <c r="AX124" s="618"/>
      <c r="AY124" s="618"/>
      <c r="AZ124" s="618"/>
      <c r="BA124" s="618"/>
      <c r="BB124" s="618"/>
      <c r="BC124" s="618"/>
      <c r="BD124" s="618"/>
      <c r="BE124" s="618"/>
      <c r="BF124" s="618"/>
      <c r="BG124" s="618"/>
      <c r="BH124" s="618"/>
      <c r="BI124" s="618"/>
      <c r="BJ124" s="618"/>
      <c r="BK124" s="618"/>
      <c r="BL124" s="618"/>
      <c r="BM124" s="618"/>
      <c r="BN124" s="618"/>
      <c r="BO124" s="618"/>
      <c r="BP124" s="618"/>
      <c r="BQ124" s="618"/>
      <c r="BR124" s="618"/>
      <c r="BS124" s="618"/>
      <c r="BT124" s="618"/>
      <c r="BU124" s="618"/>
      <c r="BV124" s="618"/>
      <c r="BW124" s="618"/>
      <c r="BX124" s="618"/>
      <c r="BY124" s="618"/>
      <c r="BZ124" s="618"/>
      <c r="CA124" s="618"/>
      <c r="CB124" s="618"/>
      <c r="CC124" s="618"/>
      <c r="CD124" s="618"/>
      <c r="CE124" s="618"/>
      <c r="CF124" s="618"/>
      <c r="CG124" s="618"/>
      <c r="CH124" s="618"/>
      <c r="CI124" s="618"/>
      <c r="CJ124" s="618"/>
      <c r="CK124" s="618"/>
      <c r="CL124" s="618"/>
      <c r="CM124" s="738"/>
      <c r="CN124" s="618"/>
      <c r="CO124" s="736"/>
    </row>
    <row r="125" spans="1:99">
      <c r="A125" s="736"/>
      <c r="B125" s="741" t="s">
        <v>414</v>
      </c>
      <c r="C125" s="736"/>
      <c r="D125" s="736"/>
      <c r="E125" s="736"/>
      <c r="F125" s="736"/>
      <c r="G125" s="736"/>
      <c r="H125" s="740"/>
      <c r="I125" s="740"/>
      <c r="J125" s="740"/>
      <c r="K125" s="740"/>
      <c r="L125" s="618"/>
      <c r="M125" s="618"/>
      <c r="N125" s="618"/>
      <c r="O125" s="618"/>
      <c r="P125" s="740"/>
      <c r="Q125" s="618"/>
      <c r="R125" s="618"/>
      <c r="S125" s="740"/>
      <c r="T125" s="618"/>
      <c r="U125" s="618"/>
      <c r="V125" s="618"/>
      <c r="W125" s="618"/>
      <c r="X125" s="618"/>
      <c r="Y125" s="618"/>
      <c r="Z125" s="618"/>
      <c r="AA125" s="618"/>
      <c r="AB125" s="618"/>
      <c r="AC125" s="618"/>
      <c r="AD125" s="618"/>
      <c r="AE125" s="618"/>
      <c r="AF125" s="618"/>
      <c r="AG125" s="618"/>
      <c r="AH125" s="618"/>
      <c r="AI125" s="618"/>
      <c r="AJ125" s="618"/>
      <c r="AK125" s="618"/>
      <c r="AL125" s="618"/>
      <c r="AM125" s="618"/>
      <c r="AN125" s="618"/>
      <c r="AO125" s="618"/>
      <c r="AP125" s="618"/>
      <c r="AQ125" s="618"/>
      <c r="AR125" s="618"/>
      <c r="AS125" s="618"/>
      <c r="AT125" s="618"/>
      <c r="AU125" s="618"/>
      <c r="AV125" s="618"/>
      <c r="AW125" s="618"/>
      <c r="AX125" s="618"/>
      <c r="AY125" s="618"/>
      <c r="AZ125" s="618"/>
      <c r="BA125" s="618"/>
      <c r="BB125" s="618"/>
      <c r="BC125" s="618"/>
      <c r="BD125" s="618"/>
      <c r="BE125" s="618"/>
      <c r="BF125" s="618"/>
      <c r="BG125" s="618"/>
      <c r="BH125" s="618"/>
      <c r="BI125" s="618"/>
      <c r="BJ125" s="618"/>
      <c r="BK125" s="618"/>
      <c r="BL125" s="618"/>
      <c r="BM125" s="618"/>
      <c r="BN125" s="618"/>
      <c r="BO125" s="618"/>
      <c r="BP125" s="618"/>
      <c r="BQ125" s="618"/>
      <c r="BR125" s="618"/>
      <c r="BS125" s="618"/>
      <c r="BT125" s="618"/>
      <c r="BU125" s="618"/>
      <c r="BV125" s="618"/>
      <c r="BW125" s="618"/>
      <c r="BX125" s="618"/>
      <c r="BY125" s="618"/>
      <c r="BZ125" s="618"/>
      <c r="CA125" s="618"/>
      <c r="CB125" s="618"/>
      <c r="CC125" s="618"/>
      <c r="CD125" s="618"/>
      <c r="CE125" s="618"/>
      <c r="CF125" s="618"/>
      <c r="CG125" s="618"/>
      <c r="CH125" s="618"/>
      <c r="CI125" s="618"/>
      <c r="CJ125" s="618"/>
      <c r="CK125" s="618"/>
      <c r="CL125" s="618"/>
      <c r="CM125" s="738"/>
      <c r="CN125" s="618"/>
      <c r="CO125" s="736"/>
    </row>
    <row r="126" spans="1:99">
      <c r="A126" s="736"/>
      <c r="B126" s="736" t="s">
        <v>413</v>
      </c>
      <c r="C126" s="736"/>
      <c r="D126" s="736"/>
      <c r="E126" s="736"/>
      <c r="F126" s="736"/>
      <c r="G126" s="736"/>
      <c r="H126" s="740"/>
      <c r="I126" s="740"/>
      <c r="J126" s="740"/>
      <c r="K126" s="740"/>
      <c r="L126" s="618"/>
      <c r="M126" s="618"/>
      <c r="N126" s="618"/>
      <c r="O126" s="618"/>
      <c r="P126" s="740"/>
      <c r="Q126" s="618"/>
      <c r="R126" s="618"/>
      <c r="S126" s="740"/>
      <c r="T126" s="618"/>
      <c r="U126" s="618"/>
      <c r="V126" s="739">
        <f t="shared" ref="V126:BA126" si="94">-V64+V63</f>
        <v>33</v>
      </c>
      <c r="W126" s="739">
        <f t="shared" si="94"/>
        <v>486</v>
      </c>
      <c r="X126" s="739">
        <f t="shared" si="94"/>
        <v>-468</v>
      </c>
      <c r="Y126" s="739">
        <f t="shared" si="94"/>
        <v>-360</v>
      </c>
      <c r="Z126" s="739">
        <f t="shared" si="94"/>
        <v>-309</v>
      </c>
      <c r="AA126" s="739">
        <f t="shared" si="94"/>
        <v>333</v>
      </c>
      <c r="AB126" s="739">
        <f t="shared" si="94"/>
        <v>329</v>
      </c>
      <c r="AC126" s="739">
        <f t="shared" si="94"/>
        <v>734</v>
      </c>
      <c r="AD126" s="739">
        <f t="shared" si="94"/>
        <v>-179</v>
      </c>
      <c r="AE126" s="739">
        <f t="shared" si="94"/>
        <v>1217</v>
      </c>
      <c r="AF126" s="739">
        <f t="shared" si="94"/>
        <v>869</v>
      </c>
      <c r="AG126" s="739">
        <f t="shared" si="94"/>
        <v>713</v>
      </c>
      <c r="AH126" s="739">
        <f t="shared" si="94"/>
        <v>-358</v>
      </c>
      <c r="AI126" s="739">
        <f t="shared" si="94"/>
        <v>1104</v>
      </c>
      <c r="AJ126" s="739">
        <f t="shared" si="94"/>
        <v>2328</v>
      </c>
      <c r="AK126" s="739">
        <f t="shared" si="94"/>
        <v>-649</v>
      </c>
      <c r="AL126" s="739">
        <f t="shared" si="94"/>
        <v>-11</v>
      </c>
      <c r="AM126" s="739">
        <f t="shared" si="94"/>
        <v>-384</v>
      </c>
      <c r="AN126" s="739">
        <f t="shared" si="94"/>
        <v>-688</v>
      </c>
      <c r="AO126" s="739">
        <f t="shared" si="94"/>
        <v>-1732</v>
      </c>
      <c r="AP126" s="739">
        <f t="shared" si="94"/>
        <v>2208</v>
      </c>
      <c r="AQ126" s="739">
        <f t="shared" si="94"/>
        <v>113</v>
      </c>
      <c r="AR126" s="739">
        <f t="shared" si="94"/>
        <v>237</v>
      </c>
      <c r="AS126" s="739">
        <f t="shared" si="94"/>
        <v>-2013</v>
      </c>
      <c r="AT126" s="739">
        <f t="shared" si="94"/>
        <v>545</v>
      </c>
      <c r="AU126" s="739">
        <f t="shared" si="94"/>
        <v>198</v>
      </c>
      <c r="AV126" s="739">
        <f t="shared" si="94"/>
        <v>911</v>
      </c>
      <c r="AW126" s="739">
        <f t="shared" si="94"/>
        <v>-34</v>
      </c>
      <c r="AX126" s="739">
        <f t="shared" si="94"/>
        <v>-1104</v>
      </c>
      <c r="AY126" s="739">
        <f t="shared" si="94"/>
        <v>-29</v>
      </c>
      <c r="AZ126" s="739">
        <f t="shared" si="94"/>
        <v>-469</v>
      </c>
      <c r="BA126" s="739">
        <f t="shared" si="94"/>
        <v>10930</v>
      </c>
      <c r="BB126" s="739">
        <f t="shared" ref="BB126:CH126" si="95">-BB64+BB63</f>
        <v>7979</v>
      </c>
      <c r="BC126" s="739">
        <f t="shared" si="95"/>
        <v>-5479</v>
      </c>
      <c r="BD126" s="739">
        <f t="shared" si="95"/>
        <v>12961</v>
      </c>
      <c r="BE126" s="739">
        <f t="shared" si="95"/>
        <v>-397</v>
      </c>
      <c r="BF126" s="739">
        <f t="shared" si="95"/>
        <v>-1168</v>
      </c>
      <c r="BG126" s="739">
        <f t="shared" si="95"/>
        <v>-468</v>
      </c>
      <c r="BH126" s="739">
        <f t="shared" si="95"/>
        <v>-947</v>
      </c>
      <c r="BI126" s="739">
        <f t="shared" si="95"/>
        <v>-2980</v>
      </c>
      <c r="BJ126" s="739">
        <f t="shared" si="95"/>
        <v>-198</v>
      </c>
      <c r="BK126" s="739">
        <f t="shared" si="95"/>
        <v>29</v>
      </c>
      <c r="BL126" s="739">
        <f t="shared" si="95"/>
        <v>-74</v>
      </c>
      <c r="BM126" s="739">
        <f t="shared" si="95"/>
        <v>-204</v>
      </c>
      <c r="BN126" s="739">
        <f t="shared" si="95"/>
        <v>-447</v>
      </c>
      <c r="BO126" s="739">
        <f t="shared" si="95"/>
        <v>2199</v>
      </c>
      <c r="BP126" s="739">
        <f t="shared" si="95"/>
        <v>450</v>
      </c>
      <c r="BQ126" s="739">
        <f t="shared" si="95"/>
        <v>224</v>
      </c>
      <c r="BR126" s="739">
        <f t="shared" si="95"/>
        <v>-2242</v>
      </c>
      <c r="BS126" s="739">
        <f t="shared" si="95"/>
        <v>631</v>
      </c>
      <c r="BT126" s="739">
        <f t="shared" si="95"/>
        <v>2626</v>
      </c>
      <c r="BU126" s="739">
        <f t="shared" si="95"/>
        <v>-514</v>
      </c>
      <c r="BV126" s="739">
        <f t="shared" si="95"/>
        <v>128</v>
      </c>
      <c r="BW126" s="739">
        <f t="shared" si="95"/>
        <v>1236</v>
      </c>
      <c r="BX126" s="739">
        <f t="shared" si="95"/>
        <v>3476</v>
      </c>
      <c r="BY126" s="739">
        <f>-BY64+BY63</f>
        <v>681</v>
      </c>
      <c r="BZ126" s="739">
        <f>-BZ64+BZ63</f>
        <v>2044</v>
      </c>
      <c r="CA126" s="739">
        <f>-CA64+CA63</f>
        <v>634</v>
      </c>
      <c r="CB126" s="739">
        <f>-CB64+CB63</f>
        <v>0</v>
      </c>
      <c r="CC126" s="739">
        <f t="shared" si="95"/>
        <v>3359</v>
      </c>
      <c r="CD126" s="739">
        <f>-CD64+CD63</f>
        <v>1000</v>
      </c>
      <c r="CE126" s="739">
        <f>-CE64+CE63</f>
        <v>1000</v>
      </c>
      <c r="CF126" s="739">
        <f>-CF64+CF63</f>
        <v>0</v>
      </c>
      <c r="CG126" s="739">
        <f>-CG64+CG63</f>
        <v>0</v>
      </c>
      <c r="CH126" s="739">
        <f t="shared" si="95"/>
        <v>2000</v>
      </c>
      <c r="CI126" s="739">
        <f>-CI64+CI63</f>
        <v>0</v>
      </c>
      <c r="CJ126" s="739">
        <f>-CJ64+CJ63</f>
        <v>0</v>
      </c>
      <c r="CK126" s="739">
        <f>-CK64+CK63</f>
        <v>0</v>
      </c>
      <c r="CL126" s="739"/>
      <c r="CM126" s="738"/>
      <c r="CN126" s="618"/>
      <c r="CO126" s="736"/>
    </row>
    <row r="127" spans="1:99">
      <c r="A127" s="736"/>
      <c r="B127" s="736" t="s">
        <v>412</v>
      </c>
      <c r="C127" s="737"/>
      <c r="D127" s="736"/>
      <c r="E127" s="736"/>
      <c r="F127" s="736"/>
      <c r="G127" s="736"/>
      <c r="H127" s="740"/>
      <c r="I127" s="740"/>
      <c r="J127" s="740"/>
      <c r="K127" s="740"/>
      <c r="L127" s="618"/>
      <c r="M127" s="618"/>
      <c r="N127" s="618"/>
      <c r="O127" s="618"/>
      <c r="P127" s="740"/>
      <c r="Q127" s="618"/>
      <c r="R127" s="618"/>
      <c r="S127" s="740"/>
      <c r="T127" s="618"/>
      <c r="U127" s="618"/>
      <c r="V127" s="739">
        <f t="shared" ref="V127:BA127" si="96">V38+V39+V41</f>
        <v>-271</v>
      </c>
      <c r="W127" s="739">
        <f t="shared" si="96"/>
        <v>-264</v>
      </c>
      <c r="X127" s="739">
        <f t="shared" si="96"/>
        <v>-537</v>
      </c>
      <c r="Y127" s="739">
        <f t="shared" si="96"/>
        <v>-650</v>
      </c>
      <c r="Z127" s="739">
        <f t="shared" si="96"/>
        <v>-1722</v>
      </c>
      <c r="AA127" s="739">
        <f t="shared" si="96"/>
        <v>-379</v>
      </c>
      <c r="AB127" s="739">
        <f t="shared" si="96"/>
        <v>-357</v>
      </c>
      <c r="AC127" s="739">
        <f t="shared" si="96"/>
        <v>-392</v>
      </c>
      <c r="AD127" s="739">
        <f t="shared" si="96"/>
        <v>-458</v>
      </c>
      <c r="AE127" s="739">
        <f t="shared" si="96"/>
        <v>-1586</v>
      </c>
      <c r="AF127" s="739">
        <f t="shared" si="96"/>
        <v>-759</v>
      </c>
      <c r="AG127" s="739">
        <f t="shared" si="96"/>
        <v>-659</v>
      </c>
      <c r="AH127" s="739">
        <f t="shared" si="96"/>
        <v>-921</v>
      </c>
      <c r="AI127" s="739">
        <f t="shared" si="96"/>
        <v>-658</v>
      </c>
      <c r="AJ127" s="739">
        <f t="shared" si="96"/>
        <v>-2997</v>
      </c>
      <c r="AK127" s="739">
        <f t="shared" si="96"/>
        <v>-164</v>
      </c>
      <c r="AL127" s="739">
        <f t="shared" si="96"/>
        <v>-85</v>
      </c>
      <c r="AM127" s="739">
        <f t="shared" si="96"/>
        <v>-319</v>
      </c>
      <c r="AN127" s="739">
        <f t="shared" si="96"/>
        <v>-190</v>
      </c>
      <c r="AO127" s="739">
        <f t="shared" si="96"/>
        <v>-758</v>
      </c>
      <c r="AP127" s="739">
        <f t="shared" si="96"/>
        <v>-401</v>
      </c>
      <c r="AQ127" s="739">
        <f t="shared" si="96"/>
        <v>-587</v>
      </c>
      <c r="AR127" s="739">
        <f t="shared" si="96"/>
        <v>-445</v>
      </c>
      <c r="AS127" s="739">
        <f t="shared" si="96"/>
        <v>-381</v>
      </c>
      <c r="AT127" s="739">
        <f t="shared" si="96"/>
        <v>-1814</v>
      </c>
      <c r="AU127" s="739">
        <f t="shared" si="96"/>
        <v>-638</v>
      </c>
      <c r="AV127" s="739">
        <f t="shared" si="96"/>
        <v>-694</v>
      </c>
      <c r="AW127" s="739">
        <f t="shared" si="96"/>
        <v>-647</v>
      </c>
      <c r="AX127" s="739">
        <f t="shared" si="96"/>
        <v>30</v>
      </c>
      <c r="AY127" s="739">
        <f t="shared" si="96"/>
        <v>-1949</v>
      </c>
      <c r="AZ127" s="739">
        <f t="shared" si="96"/>
        <v>120</v>
      </c>
      <c r="BA127" s="739">
        <f t="shared" si="96"/>
        <v>18</v>
      </c>
      <c r="BB127" s="739">
        <f t="shared" ref="BB127:CH127" si="97">BB38+BB39+BB41</f>
        <v>322</v>
      </c>
      <c r="BC127" s="739">
        <f t="shared" si="97"/>
        <v>62</v>
      </c>
      <c r="BD127" s="739">
        <f t="shared" si="97"/>
        <v>522</v>
      </c>
      <c r="BE127" s="739">
        <f t="shared" si="97"/>
        <v>-182</v>
      </c>
      <c r="BF127" s="739">
        <f t="shared" si="97"/>
        <v>-266</v>
      </c>
      <c r="BG127" s="739">
        <f t="shared" si="97"/>
        <v>-216</v>
      </c>
      <c r="BH127" s="739">
        <f t="shared" si="97"/>
        <v>-158</v>
      </c>
      <c r="BI127" s="739">
        <f t="shared" si="97"/>
        <v>-822</v>
      </c>
      <c r="BJ127" s="739">
        <f t="shared" si="97"/>
        <v>-249</v>
      </c>
      <c r="BK127" s="739">
        <f t="shared" si="97"/>
        <v>-308</v>
      </c>
      <c r="BL127" s="739">
        <f t="shared" si="97"/>
        <v>-407</v>
      </c>
      <c r="BM127" s="739">
        <f t="shared" si="97"/>
        <v>-349</v>
      </c>
      <c r="BN127" s="739">
        <f t="shared" si="97"/>
        <v>-1313</v>
      </c>
      <c r="BO127" s="739">
        <f t="shared" si="97"/>
        <v>-2976</v>
      </c>
      <c r="BP127" s="739">
        <f t="shared" si="97"/>
        <v>2</v>
      </c>
      <c r="BQ127" s="739">
        <f t="shared" si="97"/>
        <v>100</v>
      </c>
      <c r="BR127" s="739">
        <f t="shared" si="97"/>
        <v>-6000</v>
      </c>
      <c r="BS127" s="739">
        <f t="shared" si="97"/>
        <v>-8874</v>
      </c>
      <c r="BT127" s="739">
        <f t="shared" si="97"/>
        <v>2</v>
      </c>
      <c r="BU127" s="739">
        <f t="shared" si="97"/>
        <v>-33</v>
      </c>
      <c r="BV127" s="739">
        <f t="shared" si="97"/>
        <v>-486</v>
      </c>
      <c r="BW127" s="739">
        <f t="shared" si="97"/>
        <v>-1724</v>
      </c>
      <c r="BX127" s="739">
        <f t="shared" si="97"/>
        <v>-2241</v>
      </c>
      <c r="BY127" s="739">
        <f>BY38+BY39+BY41</f>
        <v>-922</v>
      </c>
      <c r="BZ127" s="739">
        <f>BZ38+BZ39+BZ41</f>
        <v>-426</v>
      </c>
      <c r="CA127" s="739">
        <f>CA38+CA39+CA41</f>
        <v>-44.026475390970752</v>
      </c>
      <c r="CB127" s="739">
        <f>CB38+CB39+CB41</f>
        <v>11</v>
      </c>
      <c r="CC127" s="739">
        <f t="shared" si="97"/>
        <v>-1381.0264753909707</v>
      </c>
      <c r="CD127" s="739">
        <f>CD38+CD39+CD41</f>
        <v>138.03301750000088</v>
      </c>
      <c r="CE127" s="739">
        <f>CE38+CE39+CE41</f>
        <v>138.03301750000088</v>
      </c>
      <c r="CF127" s="739">
        <f>CF38+CF39+CF41</f>
        <v>140</v>
      </c>
      <c r="CG127" s="739">
        <f>CG38+CG39+CG41</f>
        <v>138.03301750000088</v>
      </c>
      <c r="CH127" s="739">
        <f t="shared" si="97"/>
        <v>554.0990525000027</v>
      </c>
      <c r="CI127" s="739">
        <f>CI38+CI39+CI41</f>
        <v>609.50895775000311</v>
      </c>
      <c r="CJ127" s="739">
        <f>CJ38+CJ39+CJ41</f>
        <v>670.4598535250035</v>
      </c>
      <c r="CK127" s="739">
        <f>CK38+CK39+CK41</f>
        <v>737.50583887750395</v>
      </c>
      <c r="CL127" s="739"/>
      <c r="CM127" s="738"/>
      <c r="CN127" s="618"/>
      <c r="CO127" s="736"/>
    </row>
    <row r="128" spans="1:99">
      <c r="A128" s="736"/>
      <c r="B128" s="736" t="s">
        <v>411</v>
      </c>
      <c r="C128" s="737"/>
      <c r="D128" s="736"/>
      <c r="E128" s="736"/>
      <c r="F128" s="736"/>
      <c r="G128" s="736"/>
      <c r="H128" s="740"/>
      <c r="I128" s="740"/>
      <c r="J128" s="740"/>
      <c r="K128" s="740"/>
      <c r="L128" s="618"/>
      <c r="M128" s="618"/>
      <c r="N128" s="618"/>
      <c r="O128" s="618"/>
      <c r="P128" s="740"/>
      <c r="Q128" s="618"/>
      <c r="R128" s="618"/>
      <c r="S128" s="740"/>
      <c r="T128" s="618"/>
      <c r="U128" s="618"/>
      <c r="V128" s="739">
        <f t="shared" ref="V128:BA128" si="98">-V42</f>
        <v>207</v>
      </c>
      <c r="W128" s="739">
        <f t="shared" si="98"/>
        <v>249</v>
      </c>
      <c r="X128" s="739">
        <f t="shared" si="98"/>
        <v>249</v>
      </c>
      <c r="Y128" s="739">
        <f t="shared" si="98"/>
        <v>246</v>
      </c>
      <c r="Z128" s="739">
        <f t="shared" si="98"/>
        <v>951</v>
      </c>
      <c r="AA128" s="739">
        <f t="shared" si="98"/>
        <v>245</v>
      </c>
      <c r="AB128" s="739">
        <f t="shared" si="98"/>
        <v>245</v>
      </c>
      <c r="AC128" s="739">
        <f t="shared" si="98"/>
        <v>296</v>
      </c>
      <c r="AD128" s="739">
        <f t="shared" si="98"/>
        <v>294</v>
      </c>
      <c r="AE128" s="739">
        <f t="shared" si="98"/>
        <v>1080</v>
      </c>
      <c r="AF128" s="739">
        <f t="shared" si="98"/>
        <v>293</v>
      </c>
      <c r="AG128" s="739">
        <f t="shared" si="98"/>
        <v>290</v>
      </c>
      <c r="AH128" s="739">
        <f t="shared" si="98"/>
        <v>286</v>
      </c>
      <c r="AI128" s="739">
        <f t="shared" si="98"/>
        <v>341</v>
      </c>
      <c r="AJ128" s="739">
        <f t="shared" si="98"/>
        <v>1210</v>
      </c>
      <c r="AK128" s="739">
        <f t="shared" si="98"/>
        <v>339</v>
      </c>
      <c r="AL128" s="739">
        <f t="shared" si="98"/>
        <v>340</v>
      </c>
      <c r="AM128" s="739">
        <f t="shared" si="98"/>
        <v>339</v>
      </c>
      <c r="AN128" s="739">
        <f t="shared" si="98"/>
        <v>338</v>
      </c>
      <c r="AO128" s="739">
        <f t="shared" si="98"/>
        <v>1356</v>
      </c>
      <c r="AP128" s="739">
        <f t="shared" si="98"/>
        <v>373</v>
      </c>
      <c r="AQ128" s="739">
        <f t="shared" si="98"/>
        <v>371</v>
      </c>
      <c r="AR128" s="739">
        <f t="shared" si="98"/>
        <v>370</v>
      </c>
      <c r="AS128" s="739">
        <f t="shared" si="98"/>
        <v>368</v>
      </c>
      <c r="AT128" s="739">
        <f t="shared" si="98"/>
        <v>1482</v>
      </c>
      <c r="AU128" s="739">
        <f t="shared" si="98"/>
        <v>368</v>
      </c>
      <c r="AV128" s="739">
        <f t="shared" si="98"/>
        <v>413</v>
      </c>
      <c r="AW128" s="739">
        <f t="shared" si="98"/>
        <v>411</v>
      </c>
      <c r="AX128" s="739">
        <f t="shared" si="98"/>
        <v>410</v>
      </c>
      <c r="AY128" s="739">
        <f t="shared" si="98"/>
        <v>1602</v>
      </c>
      <c r="AZ128" s="739">
        <f t="shared" si="98"/>
        <v>412</v>
      </c>
      <c r="BA128" s="739">
        <f t="shared" si="98"/>
        <v>413</v>
      </c>
      <c r="BB128" s="739">
        <f t="shared" ref="BB128:CH128" si="99">-BB42</f>
        <v>463</v>
      </c>
      <c r="BC128" s="739">
        <f t="shared" si="99"/>
        <v>464</v>
      </c>
      <c r="BD128" s="739">
        <f t="shared" si="99"/>
        <v>1752</v>
      </c>
      <c r="BE128" s="739">
        <f t="shared" si="99"/>
        <v>465</v>
      </c>
      <c r="BF128" s="739">
        <f t="shared" si="99"/>
        <v>465</v>
      </c>
      <c r="BG128" s="739">
        <f t="shared" si="99"/>
        <v>465</v>
      </c>
      <c r="BH128" s="739">
        <f t="shared" si="99"/>
        <v>512</v>
      </c>
      <c r="BI128" s="739">
        <f t="shared" si="99"/>
        <v>1907</v>
      </c>
      <c r="BJ128" s="739">
        <f t="shared" si="99"/>
        <v>514</v>
      </c>
      <c r="BK128" s="739">
        <f t="shared" si="99"/>
        <v>513</v>
      </c>
      <c r="BL128" s="739">
        <f t="shared" si="99"/>
        <v>511</v>
      </c>
      <c r="BM128" s="739">
        <f t="shared" si="99"/>
        <v>510</v>
      </c>
      <c r="BN128" s="739">
        <f t="shared" si="99"/>
        <v>2048</v>
      </c>
      <c r="BO128" s="739">
        <f t="shared" si="99"/>
        <v>553</v>
      </c>
      <c r="BP128" s="739">
        <f t="shared" si="99"/>
        <v>543</v>
      </c>
      <c r="BQ128" s="739">
        <f t="shared" si="99"/>
        <v>547</v>
      </c>
      <c r="BR128" s="739">
        <f t="shared" si="99"/>
        <v>541</v>
      </c>
      <c r="BS128" s="739">
        <f t="shared" si="99"/>
        <v>2184</v>
      </c>
      <c r="BT128" s="739">
        <f t="shared" si="99"/>
        <v>509</v>
      </c>
      <c r="BU128" s="739">
        <f t="shared" si="99"/>
        <v>526</v>
      </c>
      <c r="BV128" s="739">
        <f t="shared" si="99"/>
        <v>526</v>
      </c>
      <c r="BW128" s="739">
        <f t="shared" si="99"/>
        <v>508</v>
      </c>
      <c r="BX128" s="739">
        <f t="shared" si="99"/>
        <v>2069</v>
      </c>
      <c r="BY128" s="739">
        <f>-BY42</f>
        <v>505</v>
      </c>
      <c r="BZ128" s="739">
        <f>-BZ42</f>
        <v>503</v>
      </c>
      <c r="CA128" s="739">
        <f>-CA42</f>
        <v>533</v>
      </c>
      <c r="CB128" s="739">
        <f>-CB42</f>
        <v>552.38444022381532</v>
      </c>
      <c r="CC128" s="739">
        <f t="shared" si="99"/>
        <v>2093.3844402238155</v>
      </c>
      <c r="CD128" s="739">
        <f>-CD42</f>
        <v>553.55665296131531</v>
      </c>
      <c r="CE128" s="739">
        <f>-CE42</f>
        <v>554.93698313631535</v>
      </c>
      <c r="CF128" s="739">
        <f>-CF42</f>
        <v>584.13317897688114</v>
      </c>
      <c r="CG128" s="739">
        <f>-CG42</f>
        <v>585.58252566063118</v>
      </c>
      <c r="CH128" s="739">
        <f t="shared" si="99"/>
        <v>2278.2093407351431</v>
      </c>
      <c r="CI128" s="739">
        <f>-CI42</f>
        <v>2415.7441587170242</v>
      </c>
      <c r="CJ128" s="739">
        <f>-CJ42</f>
        <v>2561.4891165470513</v>
      </c>
      <c r="CK128" s="739">
        <f>-CK42</f>
        <v>2715.7692097632871</v>
      </c>
      <c r="CL128" s="739"/>
      <c r="CM128" s="738"/>
      <c r="CN128" s="618"/>
      <c r="CO128" s="736"/>
    </row>
    <row r="129" spans="1:93">
      <c r="A129" s="736"/>
      <c r="B129" s="736" t="s">
        <v>410</v>
      </c>
      <c r="C129" s="737"/>
      <c r="D129" s="736"/>
      <c r="E129" s="736"/>
      <c r="F129" s="736"/>
      <c r="G129" s="736"/>
      <c r="H129" s="740"/>
      <c r="I129" s="740"/>
      <c r="J129" s="740"/>
      <c r="K129" s="740"/>
      <c r="L129" s="618"/>
      <c r="M129" s="618"/>
      <c r="N129" s="618"/>
      <c r="O129" s="618"/>
      <c r="P129" s="740"/>
      <c r="Q129" s="618"/>
      <c r="R129" s="618"/>
      <c r="S129" s="740"/>
      <c r="T129" s="618"/>
      <c r="U129" s="618"/>
      <c r="V129" s="739">
        <v>0</v>
      </c>
      <c r="W129" s="739">
        <v>0</v>
      </c>
      <c r="X129" s="739">
        <v>0</v>
      </c>
      <c r="Y129" s="739">
        <v>0</v>
      </c>
      <c r="Z129" s="739">
        <v>0</v>
      </c>
      <c r="AA129" s="739">
        <v>0</v>
      </c>
      <c r="AB129" s="739">
        <v>0</v>
      </c>
      <c r="AC129" s="739">
        <v>0</v>
      </c>
      <c r="AD129" s="739">
        <v>0</v>
      </c>
      <c r="AE129" s="739">
        <v>0</v>
      </c>
      <c r="AF129" s="739">
        <v>0</v>
      </c>
      <c r="AG129" s="739">
        <v>0</v>
      </c>
      <c r="AH129" s="739">
        <v>0</v>
      </c>
      <c r="AI129" s="739">
        <v>0</v>
      </c>
      <c r="AJ129" s="739">
        <v>0</v>
      </c>
      <c r="AK129" s="739">
        <v>0</v>
      </c>
      <c r="AL129" s="739">
        <v>0</v>
      </c>
      <c r="AM129" s="739">
        <v>0</v>
      </c>
      <c r="AN129" s="739">
        <v>0</v>
      </c>
      <c r="AO129" s="739">
        <v>0</v>
      </c>
      <c r="AP129" s="739">
        <v>0</v>
      </c>
      <c r="AQ129" s="739">
        <v>0</v>
      </c>
      <c r="AR129" s="739">
        <v>0</v>
      </c>
      <c r="AS129" s="739">
        <v>0</v>
      </c>
      <c r="AT129" s="739">
        <v>0</v>
      </c>
      <c r="AU129" s="739">
        <v>0</v>
      </c>
      <c r="AV129" s="739">
        <v>0</v>
      </c>
      <c r="AW129" s="739">
        <v>0</v>
      </c>
      <c r="AX129" s="739">
        <v>0</v>
      </c>
      <c r="AY129" s="739">
        <v>0</v>
      </c>
      <c r="AZ129" s="739">
        <v>0</v>
      </c>
      <c r="BA129" s="739">
        <v>0</v>
      </c>
      <c r="BB129" s="739">
        <v>0</v>
      </c>
      <c r="BC129" s="739">
        <v>0</v>
      </c>
      <c r="BD129" s="739">
        <v>0</v>
      </c>
      <c r="BE129" s="739">
        <v>0</v>
      </c>
      <c r="BF129" s="739">
        <v>0</v>
      </c>
      <c r="BG129" s="739">
        <v>0</v>
      </c>
      <c r="BH129" s="739">
        <v>0</v>
      </c>
      <c r="BI129" s="739">
        <v>0</v>
      </c>
      <c r="BJ129" s="739">
        <v>0</v>
      </c>
      <c r="BK129" s="739">
        <v>0</v>
      </c>
      <c r="BL129" s="739">
        <v>0</v>
      </c>
      <c r="BM129" s="739">
        <v>0</v>
      </c>
      <c r="BN129" s="739">
        <v>0</v>
      </c>
      <c r="BO129" s="739">
        <v>0</v>
      </c>
      <c r="BP129" s="739">
        <v>0</v>
      </c>
      <c r="BQ129" s="739">
        <v>0</v>
      </c>
      <c r="BR129" s="739">
        <v>0</v>
      </c>
      <c r="BS129" s="739">
        <v>0</v>
      </c>
      <c r="BT129" s="739">
        <v>0</v>
      </c>
      <c r="BU129" s="739">
        <v>0</v>
      </c>
      <c r="BV129" s="739">
        <v>0</v>
      </c>
      <c r="BW129" s="739">
        <v>0</v>
      </c>
      <c r="BX129" s="739">
        <v>0</v>
      </c>
      <c r="BY129" s="739">
        <v>0</v>
      </c>
      <c r="BZ129" s="739">
        <v>0</v>
      </c>
      <c r="CA129" s="739">
        <v>0</v>
      </c>
      <c r="CB129" s="739">
        <v>0</v>
      </c>
      <c r="CC129" s="739">
        <v>0</v>
      </c>
      <c r="CD129" s="739">
        <v>0</v>
      </c>
      <c r="CE129" s="739">
        <v>0</v>
      </c>
      <c r="CF129" s="739">
        <v>0</v>
      </c>
      <c r="CG129" s="739">
        <v>0</v>
      </c>
      <c r="CH129" s="739">
        <v>0</v>
      </c>
      <c r="CI129" s="739">
        <v>0</v>
      </c>
      <c r="CJ129" s="739">
        <v>0</v>
      </c>
      <c r="CK129" s="739">
        <v>0</v>
      </c>
      <c r="CL129" s="739"/>
      <c r="CM129" s="738"/>
      <c r="CN129" s="618"/>
      <c r="CO129" s="736"/>
    </row>
    <row r="130" spans="1:93">
      <c r="A130" s="736"/>
      <c r="B130" s="736" t="s">
        <v>409</v>
      </c>
      <c r="C130" s="737"/>
      <c r="D130" s="736"/>
      <c r="E130" s="736"/>
      <c r="F130" s="736"/>
      <c r="G130" s="736"/>
      <c r="H130" s="734">
        <f>(35%-6%)</f>
        <v>0.28999999999999998</v>
      </c>
      <c r="I130" s="734">
        <f>(35%-6.2%)</f>
        <v>0.28799999999999998</v>
      </c>
      <c r="J130" s="734">
        <f>(35%-7%)</f>
        <v>0.27999999999999997</v>
      </c>
      <c r="K130" s="734">
        <f>(35%-4.2%)</f>
        <v>0.308</v>
      </c>
      <c r="L130" s="734">
        <f>P130</f>
        <v>0.27099999999999996</v>
      </c>
      <c r="M130" s="734">
        <f>P130</f>
        <v>0.27099999999999996</v>
      </c>
      <c r="N130" s="735">
        <f>P130</f>
        <v>0.27099999999999996</v>
      </c>
      <c r="O130" s="734">
        <f>P130</f>
        <v>0.27099999999999996</v>
      </c>
      <c r="P130" s="734">
        <f>(35%-7.9%)</f>
        <v>0.27099999999999996</v>
      </c>
      <c r="Q130" s="734">
        <f>U130</f>
        <v>0.30099999999999999</v>
      </c>
      <c r="R130" s="734">
        <f>U130</f>
        <v>0.30099999999999999</v>
      </c>
      <c r="S130" s="735">
        <f>U130</f>
        <v>0.30099999999999999</v>
      </c>
      <c r="T130" s="734">
        <f>U130</f>
        <v>0.30099999999999999</v>
      </c>
      <c r="U130" s="734">
        <f>35%-4.9%</f>
        <v>0.30099999999999999</v>
      </c>
      <c r="V130" s="734">
        <f>Z130</f>
        <v>0.27199999999999996</v>
      </c>
      <c r="W130" s="734">
        <f>V130</f>
        <v>0.27199999999999996</v>
      </c>
      <c r="X130" s="734">
        <f>W130</f>
        <v>0.27199999999999996</v>
      </c>
      <c r="Y130" s="734">
        <f>X130</f>
        <v>0.27199999999999996</v>
      </c>
      <c r="Z130" s="734">
        <f>35%-7.8%</f>
        <v>0.27199999999999996</v>
      </c>
      <c r="AA130" s="734">
        <f>AE130</f>
        <v>0.29799999999999999</v>
      </c>
      <c r="AB130" s="734">
        <f>AA130</f>
        <v>0.29799999999999999</v>
      </c>
      <c r="AC130" s="734">
        <f>AB130</f>
        <v>0.29799999999999999</v>
      </c>
      <c r="AD130" s="734">
        <f>AC130</f>
        <v>0.29799999999999999</v>
      </c>
      <c r="AE130" s="734">
        <f>35%-5.2%</f>
        <v>0.29799999999999999</v>
      </c>
      <c r="AF130" s="734">
        <f>AJ130</f>
        <v>0.28099999999999997</v>
      </c>
      <c r="AG130" s="734">
        <f>AF130</f>
        <v>0.28099999999999997</v>
      </c>
      <c r="AH130" s="734">
        <f>AG130</f>
        <v>0.28099999999999997</v>
      </c>
      <c r="AI130" s="734">
        <f>AH130</f>
        <v>0.28099999999999997</v>
      </c>
      <c r="AJ130" s="734">
        <f>35%-6.9%</f>
        <v>0.28099999999999997</v>
      </c>
      <c r="AK130" s="734">
        <f>AO130</f>
        <v>0.28099999999999997</v>
      </c>
      <c r="AL130" s="734">
        <f>AK130</f>
        <v>0.28099999999999997</v>
      </c>
      <c r="AM130" s="734">
        <f>AL130</f>
        <v>0.28099999999999997</v>
      </c>
      <c r="AN130" s="734">
        <f>AM130</f>
        <v>0.28099999999999997</v>
      </c>
      <c r="AO130" s="734">
        <f>35%-6.9%</f>
        <v>0.28099999999999997</v>
      </c>
      <c r="AP130" s="734">
        <f>AT130</f>
        <v>0.27399999999999997</v>
      </c>
      <c r="AQ130" s="734">
        <f>AP130</f>
        <v>0.27399999999999997</v>
      </c>
      <c r="AR130" s="734">
        <f>AQ130</f>
        <v>0.27399999999999997</v>
      </c>
      <c r="AS130" s="734">
        <f>AR130</f>
        <v>0.27399999999999997</v>
      </c>
      <c r="AT130" s="734">
        <f>35%-7.6%</f>
        <v>0.27399999999999997</v>
      </c>
      <c r="AU130" s="734">
        <f>AY130</f>
        <v>0.307</v>
      </c>
      <c r="AV130" s="734">
        <f>AU130</f>
        <v>0.307</v>
      </c>
      <c r="AW130" s="734">
        <f>AV130</f>
        <v>0.307</v>
      </c>
      <c r="AX130" s="734">
        <f>AW130</f>
        <v>0.307</v>
      </c>
      <c r="AY130" s="734">
        <f>35%-4.3%</f>
        <v>0.307</v>
      </c>
      <c r="AZ130" s="734">
        <f>BD130</f>
        <v>0.28599999999999998</v>
      </c>
      <c r="BA130" s="734">
        <f>AZ130</f>
        <v>0.28599999999999998</v>
      </c>
      <c r="BB130" s="734">
        <f>BA130</f>
        <v>0.28599999999999998</v>
      </c>
      <c r="BC130" s="734">
        <f>BB130</f>
        <v>0.28599999999999998</v>
      </c>
      <c r="BD130" s="734">
        <f>35%-6.4%</f>
        <v>0.28599999999999998</v>
      </c>
      <c r="BE130" s="734">
        <f>IS!BS66</f>
        <v>0.23615819209039549</v>
      </c>
      <c r="BF130" s="734">
        <f>IS!BT66</f>
        <v>0.2816593886462882</v>
      </c>
      <c r="BG130" s="734">
        <f>IS!BU66</f>
        <v>0.28691588785046729</v>
      </c>
      <c r="BH130" s="734">
        <f>IS!BV66</f>
        <v>0.265625</v>
      </c>
      <c r="BI130" s="734">
        <f>IS!BW66</f>
        <v>0.26924927815206928</v>
      </c>
      <c r="BJ130" s="734">
        <f>IS!BX66</f>
        <v>0.30272290443139349</v>
      </c>
      <c r="BK130" s="734">
        <f>IS!BY66</f>
        <v>0.16705444392740809</v>
      </c>
      <c r="BL130" s="734">
        <f>IS!BZ66</f>
        <v>0.23749999999999999</v>
      </c>
      <c r="BM130" s="734">
        <f>IS!CA66</f>
        <v>0.31670281995661603</v>
      </c>
      <c r="BN130" s="734">
        <f>IS!CB66</f>
        <v>0.25475413525374141</v>
      </c>
      <c r="BO130" s="734">
        <f>IS!CC66</f>
        <v>0.26781679389312979</v>
      </c>
      <c r="BP130" s="734">
        <f>IS!CD66</f>
        <v>0.28546690843155031</v>
      </c>
      <c r="BQ130" s="734">
        <f>IS!CE66</f>
        <v>0.27950897072710101</v>
      </c>
      <c r="BR130" s="734">
        <f>-(IS!CF65-'Divisional Summary'!CF174-'Divisional Summary'!CF173)/(IS!CF63-IS!CF44+IS!CF43)</f>
        <v>0.29348383786557208</v>
      </c>
      <c r="BS130" s="734">
        <f>IS!CG66</f>
        <v>0.326023166023166</v>
      </c>
      <c r="BT130" s="734">
        <f>IS!CH66</f>
        <v>0.26771196283391407</v>
      </c>
      <c r="BU130" s="734">
        <f>IS!CI66</f>
        <v>0.28077651515151514</v>
      </c>
      <c r="BV130" s="734">
        <f>IS!CJ66</f>
        <v>0.24284304047384009</v>
      </c>
      <c r="BW130" s="734">
        <f>IS!CK66</f>
        <v>0.11704634721131187</v>
      </c>
      <c r="BX130" s="734">
        <f>IS!CL66</f>
        <v>0.2376279265386233</v>
      </c>
      <c r="BY130" s="734">
        <f>IS!CM66</f>
        <v>0.28529698149951316</v>
      </c>
      <c r="BZ130" s="734">
        <f>IS!CN66</f>
        <v>0.25775193798449614</v>
      </c>
      <c r="CA130" s="734">
        <f>IS!CO66</f>
        <v>0.26082474226804125</v>
      </c>
      <c r="CB130" s="734">
        <f>IS!CP66</f>
        <v>0.27</v>
      </c>
      <c r="CC130" s="734">
        <f>IS!CQ66</f>
        <v>0.26850472025267713</v>
      </c>
      <c r="CD130" s="734">
        <f>IS!CR66</f>
        <v>0.27</v>
      </c>
      <c r="CE130" s="734">
        <f>IS!CS66</f>
        <v>0.27</v>
      </c>
      <c r="CF130" s="734">
        <f>IS!CT66</f>
        <v>0.27</v>
      </c>
      <c r="CG130" s="734">
        <f>IS!CU66</f>
        <v>0.27</v>
      </c>
      <c r="CH130" s="734">
        <f>IS!CV66</f>
        <v>0.2699999999999998</v>
      </c>
      <c r="CI130" s="734">
        <f>IS!CW66</f>
        <v>0.2699999999999998</v>
      </c>
      <c r="CJ130" s="734">
        <f>IS!CX66</f>
        <v>0.2699999999999998</v>
      </c>
      <c r="CK130" s="734">
        <f>IS!CY66</f>
        <v>0.2699999999999998</v>
      </c>
      <c r="CL130" s="734"/>
    </row>
  </sheetData>
  <hyperlinks>
    <hyperlink ref="CC4" r:id="rId1"/>
    <hyperlink ref="CH4" r:id="rId2"/>
    <hyperlink ref="CI4" r:id="rId3"/>
    <hyperlink ref="CJ4" r:id="rId4"/>
    <hyperlink ref="CK4" r:id="rId5"/>
  </hyperlinks>
  <pageMargins left="0.75" right="0.5" top="0.75" bottom="0.75" header="0.511811023622047" footer="0.511811023622047"/>
  <pageSetup scale="22" orientation="landscape" errors="dash" r:id="rId6"/>
  <headerFooter alignWithMargins="0"/>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D722"/>
  <sheetViews>
    <sheetView showGridLines="0" zoomScale="85" zoomScaleNormal="85" zoomScaleSheetLayoutView="70" workbookViewId="0">
      <pane xSplit="5" ySplit="10" topLeftCell="CF66" activePane="bottomRight" state="frozen"/>
      <selection activeCell="BN5" sqref="BN5"/>
      <selection pane="topRight" activeCell="BN5" sqref="BN5"/>
      <selection pane="bottomLeft" activeCell="BN5" sqref="BN5"/>
      <selection pane="bottomRight" activeCell="CP93" sqref="CP93"/>
    </sheetView>
  </sheetViews>
  <sheetFormatPr defaultRowHeight="12.75" outlineLevelRow="1" outlineLevelCol="1"/>
  <cols>
    <col min="1" max="1" width="2" customWidth="1"/>
    <col min="2" max="2" width="1.140625" customWidth="1"/>
    <col min="3" max="3" width="2.28515625" customWidth="1"/>
    <col min="4" max="4" width="29.42578125" customWidth="1"/>
    <col min="5" max="5" width="1.85546875" customWidth="1"/>
    <col min="6" max="9" width="9" hidden="1" customWidth="1" outlineLevel="1"/>
    <col min="10" max="10" width="8.7109375" customWidth="1" collapsed="1"/>
    <col min="11" max="14" width="8.7109375" hidden="1" customWidth="1" outlineLevel="1"/>
    <col min="15" max="15" width="8.7109375" customWidth="1" collapsed="1"/>
    <col min="16" max="19" width="8.7109375" hidden="1" customWidth="1" outlineLevel="1"/>
    <col min="20" max="20" width="8.7109375" customWidth="1" collapsed="1"/>
    <col min="21" max="24" width="8.7109375" hidden="1" customWidth="1" outlineLevel="1"/>
    <col min="25" max="25" width="8.7109375" customWidth="1" collapsed="1"/>
    <col min="26" max="29" width="8.7109375" hidden="1" customWidth="1" outlineLevel="1"/>
    <col min="30" max="30" width="8.7109375" customWidth="1" collapsed="1"/>
    <col min="31" max="33" width="8.7109375" hidden="1" customWidth="1" outlineLevel="1"/>
    <col min="34" max="34" width="9.28515625" hidden="1" customWidth="1" outlineLevel="1"/>
    <col min="35" max="35" width="8.7109375" customWidth="1" collapsed="1"/>
    <col min="36" max="39" width="8.7109375" hidden="1" customWidth="1" outlineLevel="1"/>
    <col min="40" max="40" width="8.7109375" customWidth="1" collapsed="1"/>
    <col min="41" max="44" width="8.7109375" hidden="1" customWidth="1" outlineLevel="1"/>
    <col min="45" max="45" width="8.7109375" customWidth="1" collapsed="1"/>
    <col min="46" max="49" width="8.7109375" hidden="1" customWidth="1" outlineLevel="1"/>
    <col min="50" max="50" width="9.85546875" customWidth="1" collapsed="1"/>
    <col min="51" max="54" width="8.7109375" hidden="1" customWidth="1" outlineLevel="1"/>
    <col min="55" max="55" width="8.7109375" customWidth="1" collapsed="1"/>
    <col min="56" max="59" width="8.7109375" hidden="1" customWidth="1" outlineLevel="1"/>
    <col min="60" max="60" width="8.7109375" customWidth="1" collapsed="1"/>
    <col min="61" max="64" width="8.7109375" hidden="1" customWidth="1" outlineLevel="1"/>
    <col min="65" max="65" width="8.7109375" customWidth="1" collapsed="1"/>
    <col min="66" max="69" width="9.140625" hidden="1" customWidth="1" outlineLevel="1"/>
    <col min="70" max="70" width="9.140625" collapsed="1"/>
    <col min="71" max="74" width="9.140625" hidden="1" customWidth="1" outlineLevel="1"/>
    <col min="75" max="75" width="8.42578125" bestFit="1" customWidth="1" collapsed="1"/>
    <col min="76" max="79" width="9.140625" hidden="1" customWidth="1" outlineLevel="1"/>
    <col min="80" max="80" width="9.140625" collapsed="1"/>
    <col min="81" max="84" width="9.140625" customWidth="1" outlineLevel="1"/>
    <col min="85" max="85" width="8.5703125" customWidth="1"/>
    <col min="86" max="88" width="9.140625" outlineLevel="1"/>
    <col min="89" max="89" width="8" bestFit="1" customWidth="1" outlineLevel="1"/>
    <col min="91" max="91" width="9.7109375" customWidth="1" outlineLevel="1"/>
    <col min="92" max="92" width="9.28515625" customWidth="1" outlineLevel="1"/>
    <col min="93" max="94" width="9" style="2029" customWidth="1" outlineLevel="1"/>
    <col min="96" max="96" width="9.7109375" style="2029" customWidth="1" outlineLevel="1"/>
    <col min="97" max="97" width="9.140625" style="2029" outlineLevel="1"/>
    <col min="98" max="99" width="9" style="2029" customWidth="1" outlineLevel="1"/>
    <col min="102" max="103" width="9.140625" style="2029"/>
  </cols>
  <sheetData>
    <row r="1" spans="1:104" ht="12" customHeight="1" outlineLevel="1">
      <c r="A1" s="268"/>
      <c r="B1" s="116"/>
      <c r="C1" s="116"/>
      <c r="D1" s="116"/>
      <c r="E1" s="116"/>
      <c r="F1" s="116"/>
      <c r="G1" s="116"/>
      <c r="H1" s="116"/>
      <c r="I1" s="116"/>
      <c r="J1" s="302"/>
      <c r="K1" s="116"/>
      <c r="L1" s="116"/>
      <c r="M1" s="116"/>
      <c r="N1" s="116"/>
      <c r="O1" s="302"/>
      <c r="P1" s="116"/>
      <c r="Q1" s="116"/>
      <c r="R1" s="116"/>
      <c r="S1" s="116"/>
      <c r="T1" s="302"/>
      <c r="U1" s="116"/>
      <c r="V1" s="116"/>
      <c r="W1" s="116"/>
      <c r="X1" s="116"/>
      <c r="Y1" s="302"/>
      <c r="Z1" s="116"/>
      <c r="AA1" s="116"/>
      <c r="AB1" s="116"/>
      <c r="AC1" s="116"/>
      <c r="AD1" s="302"/>
      <c r="AE1" s="116"/>
      <c r="AF1" s="116"/>
      <c r="AG1" s="116"/>
      <c r="AH1" s="116"/>
      <c r="AI1" s="302"/>
      <c r="AJ1" s="116"/>
      <c r="AK1" s="116"/>
      <c r="AL1" s="116"/>
      <c r="AM1" s="116"/>
      <c r="AN1" s="302"/>
      <c r="AO1" s="302"/>
      <c r="AP1" s="302"/>
      <c r="AQ1" s="302"/>
      <c r="AR1" s="302"/>
      <c r="AS1" s="302"/>
      <c r="AT1" s="302"/>
      <c r="AU1" s="302"/>
      <c r="AV1" s="302"/>
      <c r="AW1" s="302"/>
      <c r="AX1" s="271"/>
      <c r="AY1" s="302"/>
      <c r="AZ1" s="302"/>
      <c r="BA1" s="302"/>
      <c r="BB1" s="302"/>
      <c r="BC1" s="271"/>
      <c r="BD1" s="302"/>
      <c r="BE1" s="302"/>
      <c r="BF1" s="302"/>
      <c r="BG1" s="302"/>
      <c r="BH1" s="271"/>
      <c r="BI1" s="302"/>
      <c r="BJ1" s="302"/>
      <c r="BK1" s="302"/>
      <c r="BL1" s="302"/>
      <c r="BM1" s="302"/>
      <c r="BN1" s="116"/>
      <c r="BO1" s="116"/>
      <c r="BP1" s="116"/>
      <c r="BQ1" s="116"/>
      <c r="BR1" s="116"/>
      <c r="BS1" s="116"/>
      <c r="BT1" s="116"/>
      <c r="BU1" s="116"/>
      <c r="BV1" s="116"/>
      <c r="BW1" s="116"/>
      <c r="BX1" s="116"/>
      <c r="BY1" s="116"/>
      <c r="BZ1" s="116"/>
      <c r="CA1" s="116"/>
      <c r="CB1" s="116"/>
      <c r="CC1" s="116"/>
      <c r="CD1" s="116"/>
      <c r="CE1" s="116"/>
      <c r="CF1" s="116"/>
      <c r="CG1" s="116"/>
      <c r="CH1" s="116"/>
      <c r="CI1" s="116"/>
      <c r="CJ1" s="116"/>
      <c r="CK1" s="116"/>
      <c r="CL1" s="116"/>
      <c r="CM1" s="116"/>
      <c r="CN1" s="116"/>
      <c r="CO1" s="116"/>
      <c r="CP1" s="116"/>
      <c r="CQ1" s="116"/>
      <c r="CR1" s="116"/>
      <c r="CS1" s="116"/>
      <c r="CT1" s="116"/>
      <c r="CU1" s="116"/>
      <c r="CV1" s="116"/>
      <c r="CW1" s="116"/>
      <c r="CX1" s="116"/>
      <c r="CY1" s="116"/>
      <c r="CZ1" s="268"/>
    </row>
    <row r="2" spans="1:104" ht="12" customHeight="1" outlineLevel="1">
      <c r="A2" s="268"/>
      <c r="B2" s="520" t="s">
        <v>0</v>
      </c>
      <c r="C2" s="518"/>
      <c r="D2" s="518"/>
      <c r="E2" s="518"/>
      <c r="F2" s="2365"/>
      <c r="G2" s="2365"/>
      <c r="H2" s="2365"/>
      <c r="I2" s="2365"/>
      <c r="J2" s="2365"/>
      <c r="K2" s="2365"/>
      <c r="L2" s="518"/>
      <c r="M2" s="518"/>
      <c r="N2" s="518"/>
      <c r="O2" s="516"/>
      <c r="P2" s="518"/>
      <c r="Q2" s="518"/>
      <c r="R2" s="518"/>
      <c r="S2" s="518"/>
      <c r="T2" s="516"/>
      <c r="U2" s="518"/>
      <c r="V2" s="518"/>
      <c r="W2" s="518"/>
      <c r="X2" s="518"/>
      <c r="Y2" s="516"/>
      <c r="Z2" s="518"/>
      <c r="AA2" s="518"/>
      <c r="AB2" s="518"/>
      <c r="AC2" s="518"/>
      <c r="AD2" s="518"/>
      <c r="AE2" s="518"/>
      <c r="AF2" s="518"/>
      <c r="AG2" s="518"/>
      <c r="AH2" s="518"/>
      <c r="AI2" s="518"/>
      <c r="AJ2" s="518"/>
      <c r="AK2" s="518"/>
      <c r="AL2" s="518"/>
      <c r="AM2" s="518"/>
      <c r="AN2" s="518"/>
      <c r="AO2" s="518"/>
      <c r="AP2" s="518"/>
      <c r="AQ2" s="518"/>
      <c r="AR2" s="518"/>
      <c r="AS2" s="517"/>
      <c r="AT2" s="517"/>
      <c r="AU2" s="517"/>
      <c r="AV2" s="517"/>
      <c r="AW2" s="517"/>
      <c r="AX2" s="517"/>
      <c r="AY2" s="517"/>
      <c r="AZ2" s="517"/>
      <c r="BA2" s="517"/>
      <c r="BB2" s="517"/>
      <c r="BC2" s="517"/>
      <c r="BD2" s="517"/>
      <c r="BE2" s="517"/>
      <c r="BF2" s="517"/>
      <c r="BG2" s="517"/>
      <c r="BH2" s="517"/>
      <c r="BI2" s="517"/>
      <c r="BJ2" s="517"/>
      <c r="BK2" s="517"/>
      <c r="BL2" s="517"/>
      <c r="BM2" s="517"/>
      <c r="BN2" s="517"/>
      <c r="BO2" s="517"/>
      <c r="BP2" s="517"/>
      <c r="BQ2" s="517"/>
      <c r="BR2" s="517"/>
      <c r="BS2" s="517"/>
      <c r="BT2" s="517"/>
      <c r="BU2" s="517"/>
      <c r="BV2" s="517"/>
      <c r="BW2" s="517"/>
      <c r="BX2" s="517"/>
      <c r="BY2" s="517"/>
      <c r="BZ2" s="517"/>
      <c r="CA2" s="517"/>
      <c r="CB2" s="517"/>
      <c r="CC2" s="517"/>
      <c r="CD2" s="517"/>
      <c r="CE2" s="517"/>
      <c r="CF2" s="517"/>
      <c r="CG2" s="517"/>
      <c r="CH2" s="517"/>
      <c r="CI2" s="517"/>
      <c r="CJ2" s="517"/>
      <c r="CK2" s="517"/>
      <c r="CL2" s="517"/>
      <c r="CM2" s="517"/>
      <c r="CN2" s="517"/>
      <c r="CO2" s="517"/>
      <c r="CP2" s="517"/>
      <c r="CQ2" s="517"/>
      <c r="CR2" s="517"/>
      <c r="CS2" s="517"/>
      <c r="CT2" s="517"/>
      <c r="CU2" s="517"/>
      <c r="CV2" s="517"/>
      <c r="CW2" s="517"/>
      <c r="CX2" s="517"/>
      <c r="CY2" s="517" t="s">
        <v>1</v>
      </c>
      <c r="CZ2" s="268"/>
    </row>
    <row r="3" spans="1:104" ht="15.75" customHeight="1" outlineLevel="1">
      <c r="A3" s="268"/>
      <c r="B3" s="514" t="str">
        <f>IS!B3</f>
        <v>Morgan Stanley Research</v>
      </c>
      <c r="C3" s="116"/>
      <c r="D3" s="116"/>
      <c r="E3" s="116"/>
      <c r="F3" s="116"/>
      <c r="G3" s="116"/>
      <c r="H3" s="116"/>
      <c r="I3" s="116"/>
      <c r="J3" s="302"/>
      <c r="K3" s="116"/>
      <c r="L3" s="116"/>
      <c r="M3" s="116"/>
      <c r="N3" s="116"/>
      <c r="O3" s="302"/>
      <c r="P3" s="116"/>
      <c r="Q3" s="116"/>
      <c r="R3" s="116"/>
      <c r="S3" s="116"/>
      <c r="T3" s="302"/>
      <c r="U3" s="116"/>
      <c r="V3" s="116"/>
      <c r="W3" s="116"/>
      <c r="X3" s="116"/>
      <c r="Y3" s="302"/>
      <c r="Z3" s="116"/>
      <c r="AA3" s="116"/>
      <c r="AB3" s="116"/>
      <c r="AC3" s="116"/>
      <c r="AD3" s="116"/>
      <c r="AE3" s="116"/>
      <c r="AF3" s="116"/>
      <c r="AG3" s="116"/>
      <c r="AH3" s="116"/>
      <c r="AI3" s="116"/>
      <c r="AJ3" s="116"/>
      <c r="AK3" s="116"/>
      <c r="AL3" s="116"/>
      <c r="AM3" s="116"/>
      <c r="AN3" s="116"/>
      <c r="AO3" s="116"/>
      <c r="AP3" s="116"/>
      <c r="AQ3" s="116"/>
      <c r="AR3" s="116"/>
      <c r="AS3" s="524"/>
      <c r="AT3" s="524"/>
      <c r="AU3" s="524"/>
      <c r="AV3" s="524"/>
      <c r="AW3" s="524"/>
      <c r="AX3" s="271"/>
      <c r="AY3" s="524"/>
      <c r="AZ3" s="524"/>
      <c r="BA3" s="524"/>
      <c r="BB3" s="524"/>
      <c r="BC3" s="271"/>
      <c r="BD3" s="524"/>
      <c r="BE3" s="524"/>
      <c r="BF3" s="524"/>
      <c r="BG3" s="524"/>
      <c r="BH3" s="271"/>
      <c r="BI3" s="524"/>
      <c r="BJ3" s="524"/>
      <c r="BK3" s="524"/>
      <c r="BL3" s="524"/>
      <c r="BM3" s="524"/>
      <c r="BN3" s="524"/>
      <c r="BO3" s="524"/>
      <c r="BP3" s="524"/>
      <c r="BQ3" s="524"/>
      <c r="BR3" s="524"/>
      <c r="BS3" s="524"/>
      <c r="BT3" s="524"/>
      <c r="BU3" s="524"/>
      <c r="BV3" s="524"/>
      <c r="BW3" s="524"/>
      <c r="BX3" s="524"/>
      <c r="BY3" s="524"/>
      <c r="BZ3" s="524"/>
      <c r="CA3" s="524"/>
      <c r="CB3" s="524"/>
      <c r="CC3" s="524"/>
      <c r="CD3" s="524"/>
      <c r="CE3" s="524"/>
      <c r="CF3" s="524"/>
      <c r="CG3" s="524"/>
      <c r="CH3" s="524"/>
      <c r="CI3" s="524"/>
      <c r="CJ3" s="524"/>
      <c r="CK3" s="524"/>
      <c r="CL3" s="524"/>
      <c r="CM3" s="524"/>
      <c r="CN3" s="524"/>
      <c r="CO3" s="524"/>
      <c r="CP3" s="524"/>
      <c r="CQ3" s="524"/>
      <c r="CR3" s="524"/>
      <c r="CS3" s="524"/>
      <c r="CT3" s="524"/>
      <c r="CU3" s="524"/>
      <c r="CV3" s="524"/>
      <c r="CW3" s="524"/>
      <c r="CX3" s="524"/>
      <c r="CY3" s="524" t="s">
        <v>5</v>
      </c>
      <c r="CZ3" s="268"/>
    </row>
    <row r="4" spans="1:104" ht="12" customHeight="1" outlineLevel="1">
      <c r="A4" s="268"/>
      <c r="B4" s="514" t="str">
        <f>IS!B4</f>
        <v>YE 31 December ($ million)</v>
      </c>
      <c r="C4" s="116"/>
      <c r="D4" s="116"/>
      <c r="E4" s="116"/>
      <c r="F4" s="116"/>
      <c r="G4" s="116"/>
      <c r="H4" s="116"/>
      <c r="I4" s="116"/>
      <c r="J4" s="302"/>
      <c r="K4" s="116"/>
      <c r="L4" s="116"/>
      <c r="M4" s="116"/>
      <c r="N4" s="116"/>
      <c r="O4" s="302"/>
      <c r="P4" s="116"/>
      <c r="Q4" s="116"/>
      <c r="R4" s="116"/>
      <c r="S4" s="116"/>
      <c r="T4" s="468"/>
      <c r="U4" s="116"/>
      <c r="V4" s="116"/>
      <c r="W4" s="116"/>
      <c r="X4" s="116"/>
      <c r="Y4" s="302"/>
      <c r="Z4" s="116"/>
      <c r="AA4" s="116"/>
      <c r="AB4" s="116"/>
      <c r="AC4" s="116"/>
      <c r="AD4" s="116"/>
      <c r="AE4" s="116"/>
      <c r="AF4" s="116"/>
      <c r="AG4" s="116"/>
      <c r="AH4" s="116"/>
      <c r="AI4" s="116"/>
      <c r="AJ4" s="116"/>
      <c r="AK4" s="116"/>
      <c r="AL4" s="116"/>
      <c r="AM4" s="116"/>
      <c r="AN4" s="116"/>
      <c r="AO4" s="116"/>
      <c r="AP4" s="116"/>
      <c r="AQ4" s="116"/>
      <c r="AR4" s="116"/>
      <c r="AS4" s="524"/>
      <c r="AT4" s="524"/>
      <c r="AU4" s="524"/>
      <c r="AV4" s="524"/>
      <c r="AW4" s="524"/>
      <c r="AX4" s="271"/>
      <c r="AY4" s="524"/>
      <c r="AZ4" s="524"/>
      <c r="BA4" s="524"/>
      <c r="BB4" s="524"/>
      <c r="BC4" s="271"/>
      <c r="BD4" s="524"/>
      <c r="BE4" s="524"/>
      <c r="BF4" s="524"/>
      <c r="BG4" s="524"/>
      <c r="BH4" s="271"/>
      <c r="BI4" s="524"/>
      <c r="BJ4" s="524"/>
      <c r="BK4" s="524"/>
      <c r="BL4" s="524"/>
      <c r="BM4" s="524"/>
      <c r="BN4" s="524"/>
      <c r="BO4" s="524"/>
      <c r="BP4" s="524"/>
      <c r="BQ4" s="524"/>
      <c r="BR4" s="524"/>
      <c r="BS4" s="524"/>
      <c r="BT4" s="524"/>
      <c r="BU4" s="524"/>
      <c r="BV4" s="524"/>
      <c r="BW4" s="524"/>
      <c r="BX4" s="524"/>
      <c r="BY4" s="524"/>
      <c r="BZ4" s="524"/>
      <c r="CA4" s="524"/>
      <c r="CB4" s="524"/>
      <c r="CC4" s="524"/>
      <c r="CD4" s="524"/>
      <c r="CE4" s="524"/>
      <c r="CF4" s="524"/>
      <c r="CG4" s="524"/>
      <c r="CH4" s="524"/>
      <c r="CI4" s="524"/>
      <c r="CJ4" s="524"/>
      <c r="CK4" s="524"/>
      <c r="CL4" s="524"/>
      <c r="CM4" s="524"/>
      <c r="CN4" s="524"/>
      <c r="CO4" s="524"/>
      <c r="CP4" s="524"/>
      <c r="CQ4" s="524"/>
      <c r="CR4" s="524"/>
      <c r="CS4" s="524"/>
      <c r="CT4" s="524"/>
      <c r="CU4" s="524"/>
      <c r="CV4" s="524"/>
      <c r="CW4" s="524"/>
      <c r="CX4" s="524"/>
      <c r="CY4" s="524" t="s">
        <v>6</v>
      </c>
      <c r="CZ4" s="268"/>
    </row>
    <row r="5" spans="1:104" ht="12" customHeight="1" outlineLevel="1">
      <c r="A5" s="268"/>
      <c r="B5" s="508"/>
      <c r="C5" s="507"/>
      <c r="D5" s="507"/>
      <c r="E5" s="507"/>
      <c r="F5" s="126"/>
      <c r="G5" s="126"/>
      <c r="H5" s="126"/>
      <c r="I5" s="126"/>
      <c r="J5" s="125"/>
      <c r="K5" s="126"/>
      <c r="L5" s="126"/>
      <c r="M5" s="126"/>
      <c r="N5" s="126"/>
      <c r="O5" s="125"/>
      <c r="P5" s="126"/>
      <c r="Q5" s="126"/>
      <c r="R5" s="126"/>
      <c r="S5" s="126"/>
      <c r="T5" s="125"/>
      <c r="U5" s="126"/>
      <c r="V5" s="126"/>
      <c r="W5" s="126"/>
      <c r="X5" s="126"/>
      <c r="Y5" s="125"/>
      <c r="Z5" s="126"/>
      <c r="AA5" s="126"/>
      <c r="AB5" s="126"/>
      <c r="AC5" s="126"/>
      <c r="AD5" s="125"/>
      <c r="AE5" s="126"/>
      <c r="AF5" s="126"/>
      <c r="AG5" s="126"/>
      <c r="AH5" s="126"/>
      <c r="AI5" s="125"/>
      <c r="AJ5" s="126"/>
      <c r="AK5" s="126"/>
      <c r="AL5" s="126"/>
      <c r="AM5" s="126"/>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25"/>
      <c r="CQ5" s="125"/>
      <c r="CR5" s="125"/>
      <c r="CS5" s="125"/>
      <c r="CT5" s="125"/>
      <c r="CU5" s="125"/>
      <c r="CV5" s="125"/>
      <c r="CW5" s="125"/>
      <c r="CX5" s="125"/>
      <c r="CY5" s="125"/>
      <c r="CZ5" s="268"/>
    </row>
    <row r="6" spans="1:104" ht="12" customHeight="1" outlineLevel="1">
      <c r="A6" s="268"/>
      <c r="B6" s="118"/>
      <c r="C6" s="722"/>
      <c r="D6" s="722"/>
      <c r="E6" s="117"/>
      <c r="F6" s="117"/>
      <c r="G6" s="117"/>
      <c r="H6" s="117"/>
      <c r="I6" s="117"/>
      <c r="J6" s="118"/>
      <c r="K6" s="117"/>
      <c r="L6" s="117"/>
      <c r="M6" s="117"/>
      <c r="N6" s="117"/>
      <c r="O6" s="118"/>
      <c r="P6" s="980"/>
      <c r="Q6" s="980"/>
      <c r="R6" s="980"/>
      <c r="S6" s="980"/>
      <c r="T6" s="118"/>
      <c r="U6" s="980"/>
      <c r="V6" s="980"/>
      <c r="W6" s="980"/>
      <c r="X6" s="980"/>
      <c r="Y6" s="118"/>
      <c r="Z6" s="980"/>
      <c r="AA6" s="980"/>
      <c r="AB6" s="980"/>
      <c r="AC6" s="980"/>
      <c r="AD6" s="118"/>
      <c r="AE6" s="980"/>
      <c r="AF6" s="980"/>
      <c r="AG6" s="980"/>
      <c r="AH6" s="980"/>
      <c r="AI6" s="118"/>
      <c r="AJ6" s="980"/>
      <c r="AK6" s="980"/>
      <c r="AL6" s="980"/>
      <c r="AM6" s="980"/>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c r="BQ6" s="118"/>
      <c r="BR6" s="118"/>
      <c r="BS6" s="118"/>
      <c r="BT6" s="118"/>
      <c r="BU6" s="118"/>
      <c r="BV6" s="118"/>
      <c r="BW6" s="118"/>
      <c r="BX6" s="118"/>
      <c r="BY6" s="118"/>
      <c r="BZ6" s="118"/>
      <c r="CA6" s="118"/>
      <c r="CB6" s="118"/>
      <c r="CC6" s="118"/>
      <c r="CD6" s="118"/>
      <c r="CE6" s="118"/>
      <c r="CF6" s="118"/>
      <c r="CG6" s="118"/>
      <c r="CH6" s="118"/>
      <c r="CI6" s="118"/>
      <c r="CJ6" s="118"/>
      <c r="CK6" s="118"/>
      <c r="CL6" s="118"/>
      <c r="CM6" s="118"/>
      <c r="CN6" s="118"/>
      <c r="CO6" s="118"/>
      <c r="CP6" s="118"/>
      <c r="CQ6" s="118"/>
      <c r="CR6" s="118"/>
      <c r="CS6" s="118"/>
      <c r="CT6" s="118"/>
      <c r="CU6" s="118"/>
      <c r="CV6" s="118"/>
      <c r="CW6" s="118"/>
      <c r="CX6" s="118"/>
      <c r="CY6" s="118"/>
      <c r="CZ6" s="268"/>
    </row>
    <row r="7" spans="1:104" ht="12" customHeight="1" outlineLevel="1" thickBot="1">
      <c r="A7" s="268"/>
      <c r="B7" s="504"/>
      <c r="C7" s="504"/>
      <c r="D7" s="504"/>
      <c r="E7" s="504"/>
      <c r="F7" s="504"/>
      <c r="G7" s="504"/>
      <c r="H7" s="504"/>
      <c r="I7" s="504"/>
      <c r="J7" s="504"/>
      <c r="K7" s="504"/>
      <c r="L7" s="504"/>
      <c r="M7" s="504"/>
      <c r="N7" s="504"/>
      <c r="O7" s="504"/>
      <c r="P7" s="504"/>
      <c r="Q7" s="504"/>
      <c r="R7" s="504"/>
      <c r="S7" s="504"/>
      <c r="T7" s="504"/>
      <c r="U7" s="504"/>
      <c r="V7" s="504"/>
      <c r="W7" s="504"/>
      <c r="X7" s="504"/>
      <c r="Y7" s="504"/>
      <c r="Z7" s="504"/>
      <c r="AA7" s="504"/>
      <c r="AB7" s="504"/>
      <c r="AC7" s="504"/>
      <c r="AD7" s="504"/>
      <c r="AE7" s="504"/>
      <c r="AF7" s="504"/>
      <c r="AG7" s="504"/>
      <c r="AH7" s="504"/>
      <c r="AI7" s="504"/>
      <c r="AJ7" s="504"/>
      <c r="AK7" s="504"/>
      <c r="AL7" s="504"/>
      <c r="AM7" s="504"/>
      <c r="AN7" s="504"/>
      <c r="AO7" s="504"/>
      <c r="AP7" s="504"/>
      <c r="AQ7" s="504"/>
      <c r="AR7" s="504"/>
      <c r="AS7" s="504"/>
      <c r="AT7" s="504"/>
      <c r="AU7" s="504"/>
      <c r="AV7" s="504"/>
      <c r="AW7" s="504"/>
      <c r="AX7" s="504"/>
      <c r="AY7" s="504"/>
      <c r="AZ7" s="504"/>
      <c r="BA7" s="504"/>
      <c r="BB7" s="504"/>
      <c r="BC7" s="504"/>
      <c r="BD7" s="504"/>
      <c r="BE7" s="504"/>
      <c r="BF7" s="504"/>
      <c r="BG7" s="504"/>
      <c r="BH7" s="504"/>
      <c r="BI7" s="504"/>
      <c r="BJ7" s="504"/>
      <c r="BK7" s="504"/>
      <c r="BL7" s="504"/>
      <c r="BM7" s="504"/>
      <c r="BN7" s="504"/>
      <c r="BO7" s="504"/>
      <c r="BP7" s="504"/>
      <c r="BQ7" s="504"/>
      <c r="BR7" s="504"/>
      <c r="BS7" s="504"/>
      <c r="BT7" s="504"/>
      <c r="BU7" s="504"/>
      <c r="BV7" s="504"/>
      <c r="BW7" s="504"/>
      <c r="BX7" s="504"/>
      <c r="BY7" s="504"/>
      <c r="BZ7" s="504"/>
      <c r="CA7" s="504"/>
      <c r="CB7" s="504"/>
      <c r="CC7" s="504"/>
      <c r="CD7" s="504"/>
      <c r="CE7" s="504"/>
      <c r="CF7" s="504"/>
      <c r="CG7" s="504"/>
      <c r="CH7" s="504"/>
      <c r="CI7" s="504"/>
      <c r="CJ7" s="504"/>
      <c r="CK7" s="504"/>
      <c r="CL7" s="504"/>
      <c r="CM7" s="504"/>
      <c r="CN7" s="504"/>
      <c r="CO7" s="504"/>
      <c r="CP7" s="504"/>
      <c r="CQ7" s="504"/>
      <c r="CR7" s="504"/>
      <c r="CS7" s="504"/>
      <c r="CT7" s="504"/>
      <c r="CU7" s="504"/>
      <c r="CV7" s="504"/>
      <c r="CW7" s="504"/>
      <c r="CX7" s="504"/>
      <c r="CY7" s="504"/>
      <c r="CZ7" s="268"/>
    </row>
    <row r="8" spans="1:104" ht="12" customHeight="1" outlineLevel="1">
      <c r="A8" s="268"/>
      <c r="B8" s="489"/>
      <c r="C8" s="489"/>
      <c r="D8" s="489"/>
      <c r="E8" s="489"/>
      <c r="F8" s="489"/>
      <c r="G8" s="489"/>
      <c r="H8" s="489"/>
      <c r="I8" s="489"/>
      <c r="J8" s="489"/>
      <c r="K8" s="489"/>
      <c r="L8" s="489"/>
      <c r="M8" s="489"/>
      <c r="N8" s="489"/>
      <c r="O8" s="489"/>
      <c r="P8" s="1177"/>
      <c r="Q8" s="1177"/>
      <c r="R8" s="1177"/>
      <c r="S8" s="1177"/>
      <c r="T8" s="1177"/>
      <c r="U8" s="1177"/>
      <c r="V8" s="1177"/>
      <c r="W8" s="1177"/>
      <c r="X8" s="1177"/>
      <c r="Y8" s="1177"/>
      <c r="Z8" s="1177"/>
      <c r="AA8" s="1177"/>
      <c r="AB8" s="1177"/>
      <c r="AC8" s="1177"/>
      <c r="AD8" s="1177"/>
      <c r="AE8" s="1177"/>
      <c r="AF8" s="489"/>
      <c r="AG8" s="489"/>
      <c r="AH8" s="489"/>
      <c r="AI8" s="489"/>
      <c r="AJ8" s="489"/>
      <c r="AK8" s="489"/>
      <c r="AL8" s="489"/>
      <c r="AM8" s="489"/>
      <c r="AN8" s="489"/>
      <c r="AO8" s="449"/>
      <c r="AP8" s="449"/>
      <c r="AQ8" s="449"/>
      <c r="AR8" s="449"/>
      <c r="AS8" s="511"/>
      <c r="AT8" s="511"/>
      <c r="AU8" s="511"/>
      <c r="AV8" s="511"/>
      <c r="AW8" s="511"/>
      <c r="AX8" s="489"/>
      <c r="AY8" s="511" t="s">
        <v>288</v>
      </c>
      <c r="AZ8" s="511"/>
      <c r="BA8" s="511"/>
      <c r="BB8" s="511"/>
      <c r="BC8" s="489"/>
      <c r="BD8" s="511"/>
      <c r="BE8" s="511"/>
      <c r="BF8" s="511"/>
      <c r="BG8" s="511"/>
      <c r="BH8" s="489"/>
      <c r="BI8" s="511"/>
      <c r="BJ8" s="511"/>
      <c r="BK8" s="511"/>
      <c r="BL8" s="511"/>
      <c r="BM8" s="511"/>
      <c r="BN8" s="511"/>
      <c r="BO8" s="511"/>
      <c r="BP8" s="511"/>
      <c r="BQ8" s="511"/>
      <c r="BR8" s="511"/>
      <c r="BS8" s="511"/>
      <c r="BT8" s="511"/>
      <c r="BU8" s="511"/>
      <c r="BV8" s="511"/>
      <c r="BW8" s="511"/>
      <c r="BX8" s="511"/>
      <c r="BY8" s="511"/>
      <c r="BZ8" s="511"/>
      <c r="CA8" s="511"/>
      <c r="CB8" s="511"/>
      <c r="CC8" s="511"/>
      <c r="CD8" s="511"/>
      <c r="CE8" s="511"/>
      <c r="CF8" s="511"/>
      <c r="CG8" s="511"/>
      <c r="CH8" s="511"/>
      <c r="CI8" s="511"/>
      <c r="CJ8" s="511"/>
      <c r="CK8" s="511"/>
      <c r="CL8" s="511"/>
      <c r="CM8" s="511"/>
      <c r="CN8" s="511"/>
      <c r="CO8" s="511"/>
      <c r="CP8" s="511"/>
      <c r="CQ8" s="511"/>
      <c r="CR8" s="511"/>
      <c r="CS8" s="511"/>
      <c r="CT8" s="511"/>
      <c r="CU8" s="511"/>
      <c r="CV8" s="511"/>
      <c r="CW8" s="511"/>
      <c r="CX8" s="511"/>
      <c r="CY8" s="511"/>
      <c r="CZ8" s="268"/>
    </row>
    <row r="9" spans="1:104" ht="12" customHeight="1" thickBot="1">
      <c r="A9" s="268"/>
      <c r="B9" s="268"/>
      <c r="C9" s="276"/>
      <c r="D9" s="276"/>
      <c r="E9" s="276"/>
      <c r="F9" s="1176"/>
      <c r="G9" s="1176"/>
      <c r="H9" s="1176"/>
      <c r="I9" s="1175"/>
      <c r="J9" s="501"/>
      <c r="K9" s="501"/>
      <c r="L9" s="501"/>
      <c r="M9" s="501"/>
      <c r="N9" s="501"/>
      <c r="O9" s="501"/>
      <c r="P9" s="500"/>
      <c r="Q9" s="500"/>
      <c r="R9" s="500"/>
      <c r="S9" s="500"/>
      <c r="T9" s="1174"/>
      <c r="U9" s="500"/>
      <c r="V9" s="500"/>
      <c r="W9" s="500"/>
      <c r="X9" s="500"/>
      <c r="Y9" s="1174"/>
      <c r="Z9" s="1174"/>
      <c r="AA9" s="1174"/>
      <c r="AB9" s="1174"/>
      <c r="AC9" s="1174"/>
      <c r="AD9" s="1174"/>
      <c r="AE9" s="501"/>
      <c r="AF9" s="501"/>
      <c r="AG9" s="501"/>
      <c r="AH9" s="501"/>
      <c r="AI9" s="501"/>
      <c r="AJ9" s="501"/>
      <c r="AK9" s="501"/>
      <c r="AL9" s="501"/>
      <c r="AM9" s="501"/>
      <c r="AN9" s="501"/>
      <c r="AO9" s="501"/>
      <c r="AP9" s="501"/>
      <c r="AQ9" s="501"/>
      <c r="AR9" s="501"/>
      <c r="AS9" s="501"/>
      <c r="AT9" s="501"/>
      <c r="AU9" s="501"/>
      <c r="AV9" s="501"/>
      <c r="AW9" s="501"/>
      <c r="AX9" s="1173"/>
      <c r="AY9" s="501"/>
      <c r="AZ9" s="501"/>
      <c r="BA9" s="501"/>
      <c r="BB9" s="501"/>
      <c r="BC9" s="1173"/>
      <c r="BD9" s="501"/>
      <c r="BE9" s="501"/>
      <c r="BF9" s="501"/>
      <c r="BG9" s="501"/>
      <c r="BH9" s="1173"/>
      <c r="BI9" s="501"/>
      <c r="BJ9" s="501"/>
      <c r="BK9" s="501"/>
      <c r="BL9" s="501"/>
      <c r="BM9" s="501"/>
      <c r="BN9" s="501"/>
      <c r="BO9" s="501"/>
      <c r="BP9" s="501"/>
      <c r="BQ9" s="501"/>
      <c r="BR9" s="501"/>
      <c r="BS9" s="501"/>
      <c r="BT9" s="501"/>
      <c r="BU9" s="501"/>
      <c r="BV9" s="501"/>
      <c r="BW9" s="501"/>
      <c r="BX9" s="501"/>
      <c r="BY9" s="501"/>
      <c r="BZ9" s="501"/>
      <c r="CA9" s="501"/>
      <c r="CB9" s="501"/>
      <c r="CC9" s="501"/>
      <c r="CD9" s="501"/>
      <c r="CE9" s="501"/>
      <c r="CF9" s="501"/>
      <c r="CG9" s="501"/>
      <c r="CH9" s="501"/>
      <c r="CI9" s="501"/>
      <c r="CJ9" s="501"/>
      <c r="CK9" s="501"/>
      <c r="CL9" s="501"/>
      <c r="CM9" s="501"/>
      <c r="CN9" s="501"/>
      <c r="CO9" s="501"/>
      <c r="CP9" s="501"/>
      <c r="CQ9" s="501"/>
      <c r="CR9" s="501"/>
      <c r="CS9" s="501"/>
      <c r="CT9" s="501"/>
      <c r="CU9" s="501"/>
      <c r="CV9" s="501"/>
      <c r="CW9" s="501"/>
      <c r="CX9" s="501"/>
      <c r="CY9" s="501"/>
      <c r="CZ9" s="268"/>
    </row>
    <row r="10" spans="1:104" ht="12" customHeight="1">
      <c r="A10" s="116"/>
      <c r="B10" s="116"/>
      <c r="C10" s="499" t="s">
        <v>831</v>
      </c>
      <c r="D10" s="497"/>
      <c r="E10" s="496"/>
      <c r="F10" s="708" t="s">
        <v>327</v>
      </c>
      <c r="G10" s="708" t="s">
        <v>326</v>
      </c>
      <c r="H10" s="708" t="s">
        <v>325</v>
      </c>
      <c r="I10" s="708" t="s">
        <v>324</v>
      </c>
      <c r="J10" s="1172">
        <v>2000</v>
      </c>
      <c r="K10" s="708" t="s">
        <v>323</v>
      </c>
      <c r="L10" s="708" t="s">
        <v>322</v>
      </c>
      <c r="M10" s="708" t="s">
        <v>321</v>
      </c>
      <c r="N10" s="708" t="s">
        <v>320</v>
      </c>
      <c r="O10" s="1172">
        <v>2001</v>
      </c>
      <c r="P10" s="708" t="s">
        <v>319</v>
      </c>
      <c r="Q10" s="708" t="s">
        <v>318</v>
      </c>
      <c r="R10" s="708" t="s">
        <v>317</v>
      </c>
      <c r="S10" s="708" t="s">
        <v>316</v>
      </c>
      <c r="T10" s="1172">
        <v>2002</v>
      </c>
      <c r="U10" s="708" t="s">
        <v>315</v>
      </c>
      <c r="V10" s="708" t="s">
        <v>314</v>
      </c>
      <c r="W10" s="708" t="s">
        <v>313</v>
      </c>
      <c r="X10" s="708" t="s">
        <v>312</v>
      </c>
      <c r="Y10" s="1172">
        <v>2003</v>
      </c>
      <c r="Z10" s="708" t="s">
        <v>121</v>
      </c>
      <c r="AA10" s="708" t="s">
        <v>120</v>
      </c>
      <c r="AB10" s="708" t="s">
        <v>119</v>
      </c>
      <c r="AC10" s="708" t="s">
        <v>118</v>
      </c>
      <c r="AD10" s="1172">
        <v>2004</v>
      </c>
      <c r="AE10" s="708" t="s">
        <v>117</v>
      </c>
      <c r="AF10" s="708" t="s">
        <v>116</v>
      </c>
      <c r="AG10" s="708" t="s">
        <v>115</v>
      </c>
      <c r="AH10" s="708" t="s">
        <v>114</v>
      </c>
      <c r="AI10" s="1172">
        <v>2005</v>
      </c>
      <c r="AJ10" s="708" t="s">
        <v>206</v>
      </c>
      <c r="AK10" s="708" t="s">
        <v>205</v>
      </c>
      <c r="AL10" s="708" t="s">
        <v>204</v>
      </c>
      <c r="AM10" s="708" t="s">
        <v>203</v>
      </c>
      <c r="AN10" s="1172">
        <v>2006</v>
      </c>
      <c r="AO10" s="708" t="s">
        <v>202</v>
      </c>
      <c r="AP10" s="708" t="s">
        <v>201</v>
      </c>
      <c r="AQ10" s="708" t="s">
        <v>200</v>
      </c>
      <c r="AR10" s="708" t="s">
        <v>199</v>
      </c>
      <c r="AS10" s="1172">
        <v>2007</v>
      </c>
      <c r="AT10" s="708" t="s">
        <v>198</v>
      </c>
      <c r="AU10" s="708" t="s">
        <v>197</v>
      </c>
      <c r="AV10" s="708" t="s">
        <v>196</v>
      </c>
      <c r="AW10" s="708" t="s">
        <v>195</v>
      </c>
      <c r="AX10" s="1172">
        <v>2008</v>
      </c>
      <c r="AY10" s="708" t="s">
        <v>194</v>
      </c>
      <c r="AZ10" s="708" t="s">
        <v>193</v>
      </c>
      <c r="BA10" s="708" t="s">
        <v>192</v>
      </c>
      <c r="BB10" s="708" t="s">
        <v>191</v>
      </c>
      <c r="BC10" s="1172">
        <v>2009</v>
      </c>
      <c r="BD10" s="708" t="s">
        <v>190</v>
      </c>
      <c r="BE10" s="708" t="s">
        <v>189</v>
      </c>
      <c r="BF10" s="708" t="s">
        <v>188</v>
      </c>
      <c r="BG10" s="708" t="s">
        <v>187</v>
      </c>
      <c r="BH10" s="1172">
        <v>2010</v>
      </c>
      <c r="BI10" s="708" t="s">
        <v>186</v>
      </c>
      <c r="BJ10" s="708" t="s">
        <v>185</v>
      </c>
      <c r="BK10" s="708" t="s">
        <v>184</v>
      </c>
      <c r="BL10" s="708" t="s">
        <v>183</v>
      </c>
      <c r="BM10" s="1172">
        <v>2011</v>
      </c>
      <c r="BN10" s="708" t="s">
        <v>182</v>
      </c>
      <c r="BO10" s="708" t="s">
        <v>181</v>
      </c>
      <c r="BP10" s="708" t="s">
        <v>180</v>
      </c>
      <c r="BQ10" s="708" t="s">
        <v>179</v>
      </c>
      <c r="BR10" s="1172">
        <v>2012</v>
      </c>
      <c r="BS10" s="494" t="s">
        <v>178</v>
      </c>
      <c r="BT10" s="494" t="s">
        <v>177</v>
      </c>
      <c r="BU10" s="494" t="s">
        <v>176</v>
      </c>
      <c r="BV10" s="494" t="s">
        <v>175</v>
      </c>
      <c r="BW10" s="707">
        <v>2013</v>
      </c>
      <c r="BX10" s="494" t="s">
        <v>174</v>
      </c>
      <c r="BY10" s="494" t="s">
        <v>152</v>
      </c>
      <c r="BZ10" s="494" t="s">
        <v>140</v>
      </c>
      <c r="CA10" s="494" t="s">
        <v>132</v>
      </c>
      <c r="CB10" s="707">
        <v>2014</v>
      </c>
      <c r="CC10" s="494" t="str">
        <f>IS!CC9</f>
        <v>1Q15</v>
      </c>
      <c r="CD10" s="494" t="str">
        <f>IS!CD9</f>
        <v>2Q15</v>
      </c>
      <c r="CE10" s="494" t="str">
        <f>IS!CE9</f>
        <v>3Q15</v>
      </c>
      <c r="CF10" s="494" t="str">
        <f>IS!CF9</f>
        <v>4Q15</v>
      </c>
      <c r="CG10" s="707">
        <f>IS!CG9</f>
        <v>2015</v>
      </c>
      <c r="CH10" s="494" t="str">
        <f>IS!CH9</f>
        <v>1Q16</v>
      </c>
      <c r="CI10" s="494" t="str">
        <f>IS!CI9</f>
        <v>2Q16</v>
      </c>
      <c r="CJ10" s="494" t="str">
        <f>IS!CJ9</f>
        <v>3Q16</v>
      </c>
      <c r="CK10" s="494" t="str">
        <f>IS!CK9</f>
        <v>4Q16</v>
      </c>
      <c r="CL10" s="707">
        <f>IS!CL9</f>
        <v>2016</v>
      </c>
      <c r="CM10" s="494" t="str">
        <f>IS!CM9</f>
        <v>1Q17</v>
      </c>
      <c r="CN10" s="494" t="str">
        <f>IS!CN9</f>
        <v>2Q17</v>
      </c>
      <c r="CO10" s="494" t="str">
        <f>IS!CO9</f>
        <v>3Q17</v>
      </c>
      <c r="CP10" s="494" t="str">
        <f>IS!CP9</f>
        <v>4Q17E</v>
      </c>
      <c r="CQ10" s="707" t="str">
        <f>IS!CQ9</f>
        <v>2017E</v>
      </c>
      <c r="CR10" s="494" t="str">
        <f>IS!CR9</f>
        <v>1Q18E</v>
      </c>
      <c r="CS10" s="494" t="str">
        <f>IS!CS9</f>
        <v>2Q18E</v>
      </c>
      <c r="CT10" s="494" t="str">
        <f>IS!CT9</f>
        <v>3Q18E</v>
      </c>
      <c r="CU10" s="494" t="str">
        <f>IS!CU9</f>
        <v>4Q18E</v>
      </c>
      <c r="CV10" s="707" t="str">
        <f>IS!CV9</f>
        <v>2018E</v>
      </c>
      <c r="CW10" s="707" t="str">
        <f>IS!CW9</f>
        <v>2019E</v>
      </c>
      <c r="CX10" s="707" t="str">
        <f>IS!CX9</f>
        <v>2020E</v>
      </c>
      <c r="CY10" s="707" t="str">
        <f>IS!CY9</f>
        <v>2021E</v>
      </c>
      <c r="CZ10" s="116"/>
    </row>
    <row r="11" spans="1:104" ht="12" customHeight="1">
      <c r="A11" s="116"/>
      <c r="B11" s="116"/>
      <c r="C11" s="116"/>
      <c r="D11" s="116"/>
      <c r="E11" s="264"/>
      <c r="F11" s="489"/>
      <c r="G11" s="489"/>
      <c r="H11" s="489"/>
      <c r="I11" s="489"/>
      <c r="J11" s="488"/>
      <c r="K11" s="489"/>
      <c r="L11" s="489"/>
      <c r="M11" s="489"/>
      <c r="N11" s="489"/>
      <c r="O11" s="488"/>
      <c r="P11" s="489"/>
      <c r="Q11" s="489"/>
      <c r="R11" s="489"/>
      <c r="S11" s="489"/>
      <c r="T11" s="488"/>
      <c r="U11" s="489"/>
      <c r="V11" s="489"/>
      <c r="W11" s="489"/>
      <c r="X11" s="489"/>
      <c r="Y11" s="488"/>
      <c r="Z11" s="489"/>
      <c r="AA11" s="489"/>
      <c r="AB11" s="489"/>
      <c r="AC11" s="489"/>
      <c r="AD11" s="488"/>
      <c r="AE11" s="489"/>
      <c r="AF11" s="489"/>
      <c r="AG11" s="489"/>
      <c r="AH11" s="489"/>
      <c r="AI11" s="488"/>
      <c r="AJ11" s="489"/>
      <c r="AK11" s="489"/>
      <c r="AL11" s="489"/>
      <c r="AM11" s="489"/>
      <c r="AN11" s="488"/>
      <c r="AO11" s="489"/>
      <c r="AP11" s="489"/>
      <c r="AQ11" s="489"/>
      <c r="AR11" s="489"/>
      <c r="AS11" s="488"/>
      <c r="AT11" s="490"/>
      <c r="AU11" s="490"/>
      <c r="AV11" s="490"/>
      <c r="AW11" s="490"/>
      <c r="AX11" s="488"/>
      <c r="AY11" s="490"/>
      <c r="AZ11" s="490"/>
      <c r="BA11" s="490"/>
      <c r="BB11" s="490"/>
      <c r="BC11" s="488"/>
      <c r="BD11" s="490"/>
      <c r="BE11" s="490"/>
      <c r="BF11" s="490"/>
      <c r="BG11" s="490"/>
      <c r="BH11" s="488"/>
      <c r="BI11" s="489"/>
      <c r="BJ11" s="489"/>
      <c r="BK11" s="489"/>
      <c r="BL11" s="489"/>
      <c r="BM11" s="488"/>
      <c r="BN11" s="489"/>
      <c r="BO11" s="489"/>
      <c r="BP11" s="489"/>
      <c r="BQ11" s="489"/>
      <c r="BR11" s="488"/>
      <c r="BS11" s="489"/>
      <c r="BT11" s="489"/>
      <c r="BU11" s="489"/>
      <c r="BV11" s="489"/>
      <c r="BW11" s="1171"/>
      <c r="BX11" s="489"/>
      <c r="BY11" s="489"/>
      <c r="BZ11" s="489"/>
      <c r="CA11" s="489"/>
      <c r="CB11" s="1170"/>
      <c r="CC11" s="489"/>
      <c r="CD11" s="489"/>
      <c r="CE11" s="489"/>
      <c r="CF11" s="489"/>
      <c r="CG11" s="488"/>
      <c r="CH11" s="489"/>
      <c r="CI11" s="489"/>
      <c r="CJ11" s="489"/>
      <c r="CK11" s="489"/>
      <c r="CL11" s="488"/>
      <c r="CM11" s="489"/>
      <c r="CN11" s="489"/>
      <c r="CO11" s="489"/>
      <c r="CP11" s="489"/>
      <c r="CQ11" s="488"/>
      <c r="CR11" s="489"/>
      <c r="CS11" s="489"/>
      <c r="CT11" s="489"/>
      <c r="CU11" s="489"/>
      <c r="CV11" s="488"/>
      <c r="CW11" s="488"/>
      <c r="CX11" s="488"/>
      <c r="CY11" s="488"/>
      <c r="CZ11" s="116"/>
    </row>
    <row r="12" spans="1:104" ht="12" customHeight="1">
      <c r="A12" s="116"/>
      <c r="B12" s="116"/>
      <c r="C12" s="116" t="s">
        <v>167</v>
      </c>
      <c r="D12" s="116"/>
      <c r="E12" s="116"/>
      <c r="F12" s="400">
        <v>1543</v>
      </c>
      <c r="G12" s="400">
        <v>1534</v>
      </c>
      <c r="H12" s="400">
        <v>1504</v>
      </c>
      <c r="I12" s="400">
        <v>1572</v>
      </c>
      <c r="J12" s="448">
        <v>6153</v>
      </c>
      <c r="K12" s="449">
        <v>1548</v>
      </c>
      <c r="L12" s="449">
        <v>1537</v>
      </c>
      <c r="M12" s="449">
        <v>1554</v>
      </c>
      <c r="N12" s="449">
        <v>1699</v>
      </c>
      <c r="O12" s="448">
        <v>6338</v>
      </c>
      <c r="P12" s="449">
        <v>1536</v>
      </c>
      <c r="Q12" s="449">
        <v>1680</v>
      </c>
      <c r="R12" s="449">
        <v>1745</v>
      </c>
      <c r="S12" s="449">
        <v>1850</v>
      </c>
      <c r="T12" s="448">
        <v>6811</v>
      </c>
      <c r="U12" s="449">
        <v>1820</v>
      </c>
      <c r="V12" s="449">
        <v>1956</v>
      </c>
      <c r="W12" s="449">
        <v>1941</v>
      </c>
      <c r="X12" s="449">
        <v>2210</v>
      </c>
      <c r="Y12" s="448">
        <v>7927</v>
      </c>
      <c r="Z12" s="449">
        <v>2102</v>
      </c>
      <c r="AA12" s="449">
        <v>2193</v>
      </c>
      <c r="AB12" s="449">
        <v>2228</v>
      </c>
      <c r="AC12" s="449">
        <v>2414</v>
      </c>
      <c r="AD12" s="448">
        <v>8999</v>
      </c>
      <c r="AE12" s="449">
        <v>2322</v>
      </c>
      <c r="AF12" s="449">
        <v>2415</v>
      </c>
      <c r="AG12" s="449">
        <v>2362</v>
      </c>
      <c r="AH12" s="449">
        <v>2476</v>
      </c>
      <c r="AI12" s="448">
        <v>9575</v>
      </c>
      <c r="AJ12" s="449">
        <f>Otis!AN12</f>
        <v>2348</v>
      </c>
      <c r="AK12" s="449">
        <f>Otis!AO12</f>
        <v>2529</v>
      </c>
      <c r="AL12" s="449">
        <f>Otis!AP12</f>
        <v>2565</v>
      </c>
      <c r="AM12" s="449">
        <f>Otis!AQ12</f>
        <v>2848</v>
      </c>
      <c r="AN12" s="448">
        <f>Otis!AR12</f>
        <v>10290</v>
      </c>
      <c r="AO12" s="449">
        <f>Otis!AS12</f>
        <v>2728</v>
      </c>
      <c r="AP12" s="449">
        <f>Otis!AT12</f>
        <v>2858</v>
      </c>
      <c r="AQ12" s="449">
        <f>Otis!AU12</f>
        <v>2936</v>
      </c>
      <c r="AR12" s="449">
        <f>Otis!AV12</f>
        <v>3363</v>
      </c>
      <c r="AS12" s="448">
        <f>Otis!AW12</f>
        <v>11885</v>
      </c>
      <c r="AT12" s="449">
        <f>Otis!AX12</f>
        <v>3057</v>
      </c>
      <c r="AU12" s="449">
        <f>Otis!AY12</f>
        <v>3404</v>
      </c>
      <c r="AV12" s="449">
        <f>Otis!AZ12</f>
        <v>3245</v>
      </c>
      <c r="AW12" s="449">
        <f>Otis!BA12</f>
        <v>3243</v>
      </c>
      <c r="AX12" s="448">
        <f>Otis!BB12</f>
        <v>12949</v>
      </c>
      <c r="AY12" s="449">
        <f>Otis!BC12</f>
        <v>2660</v>
      </c>
      <c r="AZ12" s="449">
        <f>Otis!BD12</f>
        <v>2907</v>
      </c>
      <c r="BA12" s="449">
        <f>Otis!BE12</f>
        <v>2961</v>
      </c>
      <c r="BB12" s="449">
        <f>Otis!BF12</f>
        <v>3195</v>
      </c>
      <c r="BC12" s="448">
        <f>Otis!BG12</f>
        <v>11723</v>
      </c>
      <c r="BD12" s="449">
        <f>Otis!BH12</f>
        <v>2726</v>
      </c>
      <c r="BE12" s="449">
        <f>Otis!BI12</f>
        <v>2838</v>
      </c>
      <c r="BF12" s="449">
        <f>Otis!BJ12</f>
        <v>2908</v>
      </c>
      <c r="BG12" s="449">
        <f>Otis!BK12</f>
        <v>3107</v>
      </c>
      <c r="BH12" s="448">
        <f>Otis!BL12</f>
        <v>11579</v>
      </c>
      <c r="BI12" s="449">
        <f>Otis!BM12</f>
        <v>2772</v>
      </c>
      <c r="BJ12" s="449">
        <f>Otis!BN12</f>
        <v>3192</v>
      </c>
      <c r="BK12" s="449">
        <f>Otis!BO12</f>
        <v>3262</v>
      </c>
      <c r="BL12" s="449">
        <f>Otis!BP12</f>
        <v>3211</v>
      </c>
      <c r="BM12" s="448">
        <f>Otis!BQ12</f>
        <v>12437</v>
      </c>
      <c r="BN12" s="449">
        <f>Otis!BR12</f>
        <v>2770</v>
      </c>
      <c r="BO12" s="449">
        <f>Otis!BS12</f>
        <v>3027</v>
      </c>
      <c r="BP12" s="449">
        <f>Otis!BT12</f>
        <v>3054</v>
      </c>
      <c r="BQ12" s="449">
        <f>Otis!BU12</f>
        <v>3205</v>
      </c>
      <c r="BR12" s="448">
        <f>Otis!BV12</f>
        <v>12056</v>
      </c>
      <c r="BS12" s="449">
        <f>Otis!BW12</f>
        <v>2814</v>
      </c>
      <c r="BT12" s="449">
        <f>Otis!BX12</f>
        <v>3138</v>
      </c>
      <c r="BU12" s="449">
        <f>Otis!BY12</f>
        <v>3188</v>
      </c>
      <c r="BV12" s="449">
        <f>Otis!BZ12</f>
        <v>3344</v>
      </c>
      <c r="BW12" s="448">
        <f>Otis!CA12</f>
        <v>12484</v>
      </c>
      <c r="BX12" s="449">
        <f>Otis!CB12</f>
        <v>2955</v>
      </c>
      <c r="BY12" s="449">
        <f>Otis!CC12</f>
        <v>3365</v>
      </c>
      <c r="BZ12" s="449">
        <f>Otis!CD12</f>
        <v>3326</v>
      </c>
      <c r="CA12" s="449">
        <f>Otis!CE12</f>
        <v>3336</v>
      </c>
      <c r="CB12" s="448">
        <f>Otis!CF12</f>
        <v>12982</v>
      </c>
      <c r="CC12" s="449">
        <f>Otis!CG12</f>
        <v>2745</v>
      </c>
      <c r="CD12" s="449">
        <f>Otis!CH12</f>
        <v>3098</v>
      </c>
      <c r="CE12" s="449">
        <f>Otis!CI12</f>
        <v>3043</v>
      </c>
      <c r="CF12" s="449">
        <f>Otis!CJ12</f>
        <v>3094</v>
      </c>
      <c r="CG12" s="448">
        <f>Otis!CK12</f>
        <v>11913.275066396131</v>
      </c>
      <c r="CH12" s="449">
        <f>Otis!CL12</f>
        <v>2715</v>
      </c>
      <c r="CI12" s="449">
        <f>Otis!CM12</f>
        <v>3097</v>
      </c>
      <c r="CJ12" s="449">
        <f>Otis!CN12</f>
        <v>3018</v>
      </c>
      <c r="CK12" s="449">
        <f>Otis!CO12</f>
        <v>3063</v>
      </c>
      <c r="CL12" s="448">
        <f>SUM(CH12:CK12)</f>
        <v>11893</v>
      </c>
      <c r="CM12" s="449">
        <f>Otis!CQ12</f>
        <v>2804</v>
      </c>
      <c r="CN12" s="449">
        <f>Otis!CR12</f>
        <v>3131</v>
      </c>
      <c r="CO12" s="449">
        <f>Otis!CS12</f>
        <v>3156</v>
      </c>
      <c r="CP12" s="449">
        <f>Otis!CT12</f>
        <v>3124.2629834128365</v>
      </c>
      <c r="CQ12" s="448">
        <f>Otis!CU12</f>
        <v>12215.262983412837</v>
      </c>
      <c r="CR12" s="449">
        <f>Otis!CV12</f>
        <v>2942.0060385099764</v>
      </c>
      <c r="CS12" s="449">
        <f>Otis!CW12</f>
        <v>3361.5456019177473</v>
      </c>
      <c r="CT12" s="449">
        <f>Otis!CX12</f>
        <v>3388.3864323386811</v>
      </c>
      <c r="CU12" s="449">
        <f>Otis!CY12</f>
        <v>3179.6285345856759</v>
      </c>
      <c r="CV12" s="448">
        <f>Otis!CZ12</f>
        <v>12871.566607352081</v>
      </c>
      <c r="CW12" s="448">
        <f>Otis!DA12</f>
        <v>13144.879780553303</v>
      </c>
      <c r="CX12" s="2233">
        <f>Otis!DB12</f>
        <v>13406.89531142759</v>
      </c>
      <c r="CY12" s="2233">
        <f>Otis!DC12</f>
        <v>13651.751823350522</v>
      </c>
      <c r="CZ12" s="1062"/>
    </row>
    <row r="13" spans="1:104" ht="12" customHeight="1">
      <c r="A13" s="116"/>
      <c r="B13" s="116"/>
      <c r="C13" s="116" t="s">
        <v>310</v>
      </c>
      <c r="D13" s="116"/>
      <c r="E13" s="116"/>
      <c r="F13" s="400"/>
      <c r="G13" s="400"/>
      <c r="H13" s="400"/>
      <c r="I13" s="400"/>
      <c r="J13" s="448"/>
      <c r="K13" s="449"/>
      <c r="L13" s="449"/>
      <c r="M13" s="449"/>
      <c r="N13" s="449"/>
      <c r="O13" s="448"/>
      <c r="P13" s="449"/>
      <c r="Q13" s="449"/>
      <c r="R13" s="449"/>
      <c r="S13" s="449"/>
      <c r="T13" s="448"/>
      <c r="U13" s="449"/>
      <c r="V13" s="449"/>
      <c r="W13" s="449"/>
      <c r="X13" s="449"/>
      <c r="Y13" s="448"/>
      <c r="Z13" s="449"/>
      <c r="AA13" s="449"/>
      <c r="AB13" s="449"/>
      <c r="AC13" s="449"/>
      <c r="AD13" s="448"/>
      <c r="AE13" s="449"/>
      <c r="AF13" s="449"/>
      <c r="AG13" s="449"/>
      <c r="AH13" s="449"/>
      <c r="AI13" s="448"/>
      <c r="AJ13" s="449"/>
      <c r="AK13" s="449"/>
      <c r="AL13" s="449"/>
      <c r="AM13" s="449"/>
      <c r="AN13" s="448"/>
      <c r="AO13" s="449"/>
      <c r="AP13" s="449"/>
      <c r="AQ13" s="449"/>
      <c r="AR13" s="449"/>
      <c r="AS13" s="448"/>
      <c r="AT13" s="449"/>
      <c r="AU13" s="449"/>
      <c r="AV13" s="449"/>
      <c r="AW13" s="449"/>
      <c r="AX13" s="448"/>
      <c r="AY13" s="449"/>
      <c r="AZ13" s="449"/>
      <c r="BA13" s="449"/>
      <c r="BB13" s="449"/>
      <c r="BC13" s="448"/>
      <c r="BD13" s="449"/>
      <c r="BE13" s="449"/>
      <c r="BF13" s="449"/>
      <c r="BG13" s="449"/>
      <c r="BH13" s="448"/>
      <c r="BI13" s="449">
        <f>CCS!BI12</f>
        <v>4393</v>
      </c>
      <c r="BJ13" s="449">
        <f>CCS!BJ12</f>
        <v>5140</v>
      </c>
      <c r="BK13" s="449">
        <f>CCS!BK12</f>
        <v>4921</v>
      </c>
      <c r="BL13" s="449">
        <f>CCS!BL12</f>
        <v>4410</v>
      </c>
      <c r="BM13" s="448">
        <f>CCS!BM12</f>
        <v>18864</v>
      </c>
      <c r="BN13" s="449">
        <f>CCS!BN12</f>
        <v>4112</v>
      </c>
      <c r="BO13" s="449">
        <f>CCS!BO12</f>
        <v>4572</v>
      </c>
      <c r="BP13" s="449">
        <f>CCS!BP12</f>
        <v>4259</v>
      </c>
      <c r="BQ13" s="449">
        <f>CCS!BQ12</f>
        <v>4147</v>
      </c>
      <c r="BR13" s="448">
        <f>CCS!BR12</f>
        <v>17090</v>
      </c>
      <c r="BS13" s="449">
        <f>CCS!BS12</f>
        <v>3837</v>
      </c>
      <c r="BT13" s="449">
        <f>CCS!BT12</f>
        <v>4543</v>
      </c>
      <c r="BU13" s="449">
        <f>CCS!BU12</f>
        <v>4237</v>
      </c>
      <c r="BV13" s="449">
        <f>CCS!BV12</f>
        <v>4192</v>
      </c>
      <c r="BW13" s="448">
        <f>CCS!BW12</f>
        <v>16809</v>
      </c>
      <c r="BX13" s="449">
        <f>CCS!BX12</f>
        <v>3851</v>
      </c>
      <c r="BY13" s="449">
        <f>CCS!BY12</f>
        <v>4429</v>
      </c>
      <c r="BZ13" s="449">
        <f>CCS!BZ12</f>
        <v>4351</v>
      </c>
      <c r="CA13" s="449">
        <f>CCS!CA12</f>
        <v>4192</v>
      </c>
      <c r="CB13" s="448">
        <f>CCS!CB12</f>
        <v>16823</v>
      </c>
      <c r="CC13" s="449">
        <f>CCS!CC12</f>
        <v>3852</v>
      </c>
      <c r="CD13" s="449">
        <f>CCS!CD12</f>
        <v>4454</v>
      </c>
      <c r="CE13" s="449">
        <f>CCS!CE12</f>
        <v>4279</v>
      </c>
      <c r="CF13" s="449">
        <f>CCS!CF12</f>
        <v>4122</v>
      </c>
      <c r="CG13" s="448">
        <f>CCS!CG12</f>
        <v>16707</v>
      </c>
      <c r="CH13" s="449">
        <f>CCS!CH12</f>
        <v>3728</v>
      </c>
      <c r="CI13" s="449">
        <f>CCS!CI12</f>
        <v>4459</v>
      </c>
      <c r="CJ13" s="449">
        <f>CCS!CJ12</f>
        <v>4415</v>
      </c>
      <c r="CK13" s="449">
        <f>CCS!CK12</f>
        <v>4249</v>
      </c>
      <c r="CL13" s="448">
        <f>SUM(CH13:CK13)</f>
        <v>16851</v>
      </c>
      <c r="CM13" s="449">
        <f>CCS!CM12</f>
        <v>3892</v>
      </c>
      <c r="CN13" s="449">
        <f>CCS!CN12</f>
        <v>4712</v>
      </c>
      <c r="CO13" s="449">
        <f>CCS!CO12</f>
        <v>4688</v>
      </c>
      <c r="CP13" s="449">
        <f>CCS!CP12</f>
        <v>4549.0007467082942</v>
      </c>
      <c r="CQ13" s="448">
        <f>CCS!CQ12</f>
        <v>17841.000746708294</v>
      </c>
      <c r="CR13" s="449">
        <f>CCS!CR12</f>
        <v>4169.5508099162616</v>
      </c>
      <c r="CS13" s="449">
        <f>CCS!CS12</f>
        <v>5000.9075992614135</v>
      </c>
      <c r="CT13" s="449">
        <f>CCS!CT12</f>
        <v>4975.4360834757017</v>
      </c>
      <c r="CU13" s="449">
        <f>CCS!CU12</f>
        <v>4697.990500689335</v>
      </c>
      <c r="CV13" s="448">
        <f>CCS!CV12</f>
        <v>18843.884993342712</v>
      </c>
      <c r="CW13" s="448">
        <f>CCS!CW12</f>
        <v>19341.643816188036</v>
      </c>
      <c r="CX13" s="2233">
        <f>CCS!CX12</f>
        <v>19749.982372980827</v>
      </c>
      <c r="CY13" s="2233">
        <f>CCS!CY12</f>
        <v>20168.096124287287</v>
      </c>
      <c r="CZ13" s="1062"/>
    </row>
    <row r="14" spans="1:104" ht="12" hidden="1" customHeight="1" outlineLevel="1">
      <c r="A14" s="116"/>
      <c r="B14" s="457"/>
      <c r="C14" s="116" t="s">
        <v>309</v>
      </c>
      <c r="D14" s="116"/>
      <c r="E14" s="264"/>
      <c r="F14" s="400">
        <v>1846</v>
      </c>
      <c r="G14" s="400">
        <v>2522</v>
      </c>
      <c r="H14" s="400">
        <v>2111</v>
      </c>
      <c r="I14" s="400">
        <v>1951</v>
      </c>
      <c r="J14" s="448">
        <v>8430</v>
      </c>
      <c r="K14" s="449">
        <v>2085</v>
      </c>
      <c r="L14" s="449">
        <v>2613</v>
      </c>
      <c r="M14" s="449">
        <v>2230</v>
      </c>
      <c r="N14" s="449">
        <v>1967</v>
      </c>
      <c r="O14" s="448">
        <v>8895</v>
      </c>
      <c r="P14" s="449">
        <v>1896</v>
      </c>
      <c r="Q14" s="449">
        <v>2541</v>
      </c>
      <c r="R14" s="449">
        <v>2340</v>
      </c>
      <c r="S14" s="449">
        <v>1996</v>
      </c>
      <c r="T14" s="448">
        <v>8773</v>
      </c>
      <c r="U14" s="449">
        <v>1957</v>
      </c>
      <c r="V14" s="449">
        <v>2640</v>
      </c>
      <c r="W14" s="449">
        <v>2453</v>
      </c>
      <c r="X14" s="449">
        <v>2196</v>
      </c>
      <c r="Y14" s="448">
        <v>9246</v>
      </c>
      <c r="Z14" s="449">
        <v>2230</v>
      </c>
      <c r="AA14" s="449">
        <v>3018</v>
      </c>
      <c r="AB14" s="449">
        <v>2675</v>
      </c>
      <c r="AC14" s="449">
        <v>2697</v>
      </c>
      <c r="AD14" s="448">
        <v>10636</v>
      </c>
      <c r="AE14" s="449">
        <v>2705</v>
      </c>
      <c r="AF14" s="449">
        <v>3413</v>
      </c>
      <c r="AG14" s="449">
        <v>3351</v>
      </c>
      <c r="AH14" s="449">
        <v>3043</v>
      </c>
      <c r="AI14" s="448">
        <v>12512</v>
      </c>
      <c r="AJ14" s="449">
        <v>2904</v>
      </c>
      <c r="AK14" s="449">
        <v>3751</v>
      </c>
      <c r="AL14" s="449">
        <v>3607</v>
      </c>
      <c r="AM14" s="449">
        <v>3219</v>
      </c>
      <c r="AN14" s="448">
        <v>13481</v>
      </c>
      <c r="AO14" s="449">
        <v>3130</v>
      </c>
      <c r="AP14" s="449">
        <v>4055</v>
      </c>
      <c r="AQ14" s="449">
        <v>3738</v>
      </c>
      <c r="AR14" s="449">
        <v>3721</v>
      </c>
      <c r="AS14" s="448">
        <v>14644</v>
      </c>
      <c r="AT14" s="449">
        <v>3409</v>
      </c>
      <c r="AU14" s="449">
        <v>4356</v>
      </c>
      <c r="AV14" s="449">
        <v>3917</v>
      </c>
      <c r="AW14" s="449">
        <v>3262</v>
      </c>
      <c r="AX14" s="448">
        <v>14944</v>
      </c>
      <c r="AY14" s="449">
        <v>2490</v>
      </c>
      <c r="AZ14" s="449">
        <v>3093</v>
      </c>
      <c r="BA14" s="449">
        <v>2943</v>
      </c>
      <c r="BB14" s="449">
        <v>2809</v>
      </c>
      <c r="BC14" s="448">
        <v>11335</v>
      </c>
      <c r="BD14" s="449">
        <v>2467</v>
      </c>
      <c r="BE14" s="449">
        <v>3093</v>
      </c>
      <c r="BF14" s="449">
        <v>2936</v>
      </c>
      <c r="BG14" s="449">
        <v>2890</v>
      </c>
      <c r="BH14" s="448">
        <v>11386</v>
      </c>
      <c r="BI14" s="449">
        <v>2766</v>
      </c>
      <c r="BJ14" s="449">
        <v>3393</v>
      </c>
      <c r="BK14" s="449">
        <v>3175</v>
      </c>
      <c r="BL14" s="449">
        <v>2635</v>
      </c>
      <c r="BM14" s="448">
        <v>11969</v>
      </c>
      <c r="BN14" s="449">
        <v>11190</v>
      </c>
      <c r="BO14" s="449">
        <v>11546.2</v>
      </c>
      <c r="BP14" s="449">
        <v>11944.666000000001</v>
      </c>
      <c r="BQ14" s="449">
        <v>12395.439060000001</v>
      </c>
      <c r="BR14" s="448">
        <v>11190</v>
      </c>
      <c r="BS14" s="449">
        <v>11546.2</v>
      </c>
      <c r="BT14" s="449">
        <v>11944.666000000001</v>
      </c>
      <c r="BU14" s="449">
        <v>12395.439060000001</v>
      </c>
      <c r="BV14" s="449">
        <v>13008.737276999998</v>
      </c>
      <c r="BW14" s="448">
        <v>11546.2</v>
      </c>
      <c r="BX14" s="449"/>
      <c r="BY14" s="449"/>
      <c r="BZ14" s="449"/>
      <c r="CA14" s="449"/>
      <c r="CB14" s="448">
        <v>0</v>
      </c>
      <c r="CC14" s="449"/>
      <c r="CD14" s="449"/>
      <c r="CE14" s="449"/>
      <c r="CF14" s="449"/>
      <c r="CG14" s="448"/>
      <c r="CH14" s="449"/>
      <c r="CI14" s="449"/>
      <c r="CJ14" s="449"/>
      <c r="CK14" s="449"/>
      <c r="CL14" s="448"/>
      <c r="CM14" s="449"/>
      <c r="CN14" s="449"/>
      <c r="CO14" s="449"/>
      <c r="CP14" s="449"/>
      <c r="CQ14" s="448"/>
      <c r="CR14" s="449"/>
      <c r="CS14" s="449"/>
      <c r="CT14" s="449"/>
      <c r="CU14" s="449"/>
      <c r="CV14" s="448"/>
      <c r="CW14" s="448"/>
      <c r="CX14" s="2233"/>
      <c r="CY14" s="2233"/>
      <c r="CZ14" s="1062"/>
    </row>
    <row r="15" spans="1:104" ht="12" hidden="1" customHeight="1" outlineLevel="1">
      <c r="A15" s="268"/>
      <c r="B15" s="268"/>
      <c r="C15" s="116" t="s">
        <v>308</v>
      </c>
      <c r="D15" s="1110"/>
      <c r="E15" s="264"/>
      <c r="F15" s="417"/>
      <c r="G15" s="417"/>
      <c r="H15" s="417"/>
      <c r="I15" s="417"/>
      <c r="J15" s="303"/>
      <c r="K15" s="305"/>
      <c r="L15" s="305"/>
      <c r="M15" s="305"/>
      <c r="N15" s="305"/>
      <c r="O15" s="303"/>
      <c r="P15" s="305"/>
      <c r="Q15" s="305"/>
      <c r="R15" s="305"/>
      <c r="S15" s="305"/>
      <c r="T15" s="303"/>
      <c r="U15" s="305"/>
      <c r="V15" s="305"/>
      <c r="W15" s="305">
        <v>416</v>
      </c>
      <c r="X15" s="305">
        <v>720</v>
      </c>
      <c r="Y15" s="303">
        <v>1136</v>
      </c>
      <c r="Z15" s="305">
        <v>703</v>
      </c>
      <c r="AA15" s="305">
        <v>707</v>
      </c>
      <c r="AB15" s="305">
        <v>696</v>
      </c>
      <c r="AC15" s="305">
        <v>773</v>
      </c>
      <c r="AD15" s="303">
        <v>2881</v>
      </c>
      <c r="AE15" s="305">
        <v>764</v>
      </c>
      <c r="AF15" s="305">
        <v>1162</v>
      </c>
      <c r="AG15" s="305">
        <v>1121</v>
      </c>
      <c r="AH15" s="305">
        <v>1203</v>
      </c>
      <c r="AI15" s="303">
        <v>4250</v>
      </c>
      <c r="AJ15" s="305">
        <v>1112</v>
      </c>
      <c r="AK15" s="305">
        <v>1167</v>
      </c>
      <c r="AL15" s="305">
        <v>1142</v>
      </c>
      <c r="AM15" s="305">
        <v>1326</v>
      </c>
      <c r="AN15" s="303">
        <v>4747</v>
      </c>
      <c r="AO15" s="305">
        <v>1246</v>
      </c>
      <c r="AP15" s="305">
        <v>1349</v>
      </c>
      <c r="AQ15" s="305">
        <v>1471</v>
      </c>
      <c r="AR15" s="305">
        <v>1688</v>
      </c>
      <c r="AS15" s="303">
        <v>5754</v>
      </c>
      <c r="AT15" s="305">
        <v>1598</v>
      </c>
      <c r="AU15" s="305">
        <v>1738</v>
      </c>
      <c r="AV15" s="305">
        <v>1624</v>
      </c>
      <c r="AW15" s="305">
        <v>1502</v>
      </c>
      <c r="AX15" s="303">
        <v>6462</v>
      </c>
      <c r="AY15" s="305">
        <v>1281</v>
      </c>
      <c r="AZ15" s="305">
        <v>1323</v>
      </c>
      <c r="BA15" s="305">
        <v>1374</v>
      </c>
      <c r="BB15" s="305">
        <v>1525</v>
      </c>
      <c r="BC15" s="303">
        <v>5503</v>
      </c>
      <c r="BD15" s="305">
        <v>1415</v>
      </c>
      <c r="BE15" s="305">
        <v>1615</v>
      </c>
      <c r="BF15" s="305">
        <v>1657</v>
      </c>
      <c r="BG15" s="305">
        <v>1803</v>
      </c>
      <c r="BH15" s="303">
        <v>6490</v>
      </c>
      <c r="BI15" s="305">
        <v>1628</v>
      </c>
      <c r="BJ15" s="305">
        <v>1746</v>
      </c>
      <c r="BK15" s="305">
        <v>1746</v>
      </c>
      <c r="BL15" s="305">
        <v>1775</v>
      </c>
      <c r="BM15" s="303">
        <v>6895</v>
      </c>
      <c r="BN15" s="305">
        <v>5900</v>
      </c>
      <c r="BO15" s="305">
        <v>5263</v>
      </c>
      <c r="BP15" s="305">
        <v>5058.38</v>
      </c>
      <c r="BQ15" s="305">
        <v>5210.5639999999994</v>
      </c>
      <c r="BR15" s="303">
        <v>5900</v>
      </c>
      <c r="BS15" s="305">
        <v>5263</v>
      </c>
      <c r="BT15" s="305">
        <v>5058.38</v>
      </c>
      <c r="BU15" s="305">
        <v>5210.5639999999994</v>
      </c>
      <c r="BV15" s="305">
        <v>5477.5097000000005</v>
      </c>
      <c r="BW15" s="303">
        <v>5263</v>
      </c>
      <c r="BX15" s="305"/>
      <c r="BY15" s="305"/>
      <c r="BZ15" s="305"/>
      <c r="CA15" s="305"/>
      <c r="CB15" s="303">
        <v>0</v>
      </c>
      <c r="CC15" s="305"/>
      <c r="CD15" s="305"/>
      <c r="CE15" s="305"/>
      <c r="CF15" s="305"/>
      <c r="CG15" s="303"/>
      <c r="CH15" s="305"/>
      <c r="CI15" s="305"/>
      <c r="CJ15" s="305"/>
      <c r="CK15" s="305"/>
      <c r="CL15" s="303"/>
      <c r="CM15" s="305"/>
      <c r="CN15" s="305"/>
      <c r="CO15" s="305"/>
      <c r="CP15" s="305"/>
      <c r="CQ15" s="303"/>
      <c r="CR15" s="305"/>
      <c r="CS15" s="305"/>
      <c r="CT15" s="305"/>
      <c r="CU15" s="305"/>
      <c r="CV15" s="303"/>
      <c r="CW15" s="303"/>
      <c r="CX15" s="303"/>
      <c r="CY15" s="303"/>
      <c r="CZ15" s="1062"/>
    </row>
    <row r="16" spans="1:104" ht="12" customHeight="1" collapsed="1">
      <c r="A16" s="268"/>
      <c r="B16" s="268"/>
      <c r="C16" s="116" t="s">
        <v>165</v>
      </c>
      <c r="D16" s="1110"/>
      <c r="E16" s="264"/>
      <c r="F16" s="1169">
        <v>1824</v>
      </c>
      <c r="G16" s="1169">
        <v>1790</v>
      </c>
      <c r="H16" s="1169">
        <v>1782</v>
      </c>
      <c r="I16" s="1169">
        <v>1970</v>
      </c>
      <c r="J16" s="1097">
        <v>7366</v>
      </c>
      <c r="K16" s="456">
        <v>1878</v>
      </c>
      <c r="L16" s="456">
        <v>1957</v>
      </c>
      <c r="M16" s="456">
        <v>1894</v>
      </c>
      <c r="N16" s="456">
        <v>1950</v>
      </c>
      <c r="O16" s="1097">
        <v>7679</v>
      </c>
      <c r="P16" s="456">
        <v>1840</v>
      </c>
      <c r="Q16" s="456">
        <v>1875</v>
      </c>
      <c r="R16" s="456">
        <v>1882</v>
      </c>
      <c r="S16" s="456">
        <v>2048</v>
      </c>
      <c r="T16" s="1097">
        <v>7645</v>
      </c>
      <c r="U16" s="456">
        <v>1731</v>
      </c>
      <c r="V16" s="456">
        <v>1948</v>
      </c>
      <c r="W16" s="456">
        <v>1859</v>
      </c>
      <c r="X16" s="456">
        <v>1967</v>
      </c>
      <c r="Y16" s="1097">
        <v>7505</v>
      </c>
      <c r="Z16" s="456">
        <v>1939</v>
      </c>
      <c r="AA16" s="456">
        <v>2080</v>
      </c>
      <c r="AB16" s="456">
        <v>2100</v>
      </c>
      <c r="AC16" s="456">
        <v>2162</v>
      </c>
      <c r="AD16" s="1097">
        <v>8303</v>
      </c>
      <c r="AE16" s="456">
        <v>2013</v>
      </c>
      <c r="AF16" s="456">
        <v>2273</v>
      </c>
      <c r="AG16" s="456">
        <v>2414</v>
      </c>
      <c r="AH16" s="456">
        <v>2595</v>
      </c>
      <c r="AI16" s="1097">
        <v>9295</v>
      </c>
      <c r="AJ16" s="456">
        <f>Pratt!AN12</f>
        <v>2568</v>
      </c>
      <c r="AK16" s="456">
        <f>Pratt!AO12</f>
        <v>2727</v>
      </c>
      <c r="AL16" s="456">
        <f>Pratt!AP12</f>
        <v>2771</v>
      </c>
      <c r="AM16" s="456">
        <f>Pratt!AQ12</f>
        <v>3046</v>
      </c>
      <c r="AN16" s="1097">
        <f>Pratt!AR12</f>
        <v>11112</v>
      </c>
      <c r="AO16" s="456">
        <f>Pratt!AS12</f>
        <v>2767</v>
      </c>
      <c r="AP16" s="456">
        <f>Pratt!AT12</f>
        <v>3108</v>
      </c>
      <c r="AQ16" s="456">
        <f>Pratt!AU12</f>
        <v>3036</v>
      </c>
      <c r="AR16" s="456">
        <f>Pratt!AV12</f>
        <v>3218</v>
      </c>
      <c r="AS16" s="1097">
        <f>Pratt!AW12</f>
        <v>12129</v>
      </c>
      <c r="AT16" s="456">
        <f>Pratt!AX12</f>
        <v>3464</v>
      </c>
      <c r="AU16" s="456">
        <f>Pratt!AY12</f>
        <v>3569</v>
      </c>
      <c r="AV16" s="456">
        <f>Pratt!AZ12</f>
        <v>3421</v>
      </c>
      <c r="AW16" s="456">
        <f>Pratt!BA12</f>
        <v>3587</v>
      </c>
      <c r="AX16" s="1097">
        <f>Pratt!BB12</f>
        <v>14041</v>
      </c>
      <c r="AY16" s="456">
        <f>Pratt!BC12</f>
        <v>3158</v>
      </c>
      <c r="AZ16" s="456">
        <f>Pratt!BD12</f>
        <v>3053</v>
      </c>
      <c r="BA16" s="456">
        <f>Pratt!BE12</f>
        <v>2972</v>
      </c>
      <c r="BB16" s="456">
        <f>Pratt!BF12</f>
        <v>3209</v>
      </c>
      <c r="BC16" s="1097">
        <f>Pratt!BG12</f>
        <v>12392</v>
      </c>
      <c r="BD16" s="456">
        <f>Pratt!BH12</f>
        <v>2841</v>
      </c>
      <c r="BE16" s="456">
        <f>Pratt!BI12</f>
        <v>3279</v>
      </c>
      <c r="BF16" s="456">
        <f>Pratt!BJ12</f>
        <v>3230</v>
      </c>
      <c r="BG16" s="456">
        <f>Pratt!BK12</f>
        <v>3585</v>
      </c>
      <c r="BH16" s="1097">
        <f>Pratt!BL12</f>
        <v>12935</v>
      </c>
      <c r="BI16" s="456">
        <f>Pratt!BM12</f>
        <v>2873</v>
      </c>
      <c r="BJ16" s="456">
        <f>Pratt!BN12</f>
        <v>3276</v>
      </c>
      <c r="BK16" s="456">
        <f>Pratt!BO12</f>
        <v>3081</v>
      </c>
      <c r="BL16" s="456">
        <f>Pratt!BP12</f>
        <v>3481</v>
      </c>
      <c r="BM16" s="1097">
        <f>Pratt!BQ12</f>
        <v>12711</v>
      </c>
      <c r="BN16" s="456">
        <f>Pratt!BR12</f>
        <v>3052</v>
      </c>
      <c r="BO16" s="456">
        <f>Pratt!BS12</f>
        <v>3447</v>
      </c>
      <c r="BP16" s="456">
        <f>Pratt!BT12</f>
        <v>3574</v>
      </c>
      <c r="BQ16" s="456">
        <f>Pratt!BU12</f>
        <v>3891</v>
      </c>
      <c r="BR16" s="1097">
        <f>Pratt!BV12</f>
        <v>13964</v>
      </c>
      <c r="BS16" s="456">
        <f>Pratt!BW12</f>
        <v>3402</v>
      </c>
      <c r="BT16" s="456">
        <f>Pratt!BX12</f>
        <v>3624</v>
      </c>
      <c r="BU16" s="456">
        <f>Pratt!BY12</f>
        <v>3386</v>
      </c>
      <c r="BV16" s="456">
        <f>Pratt!BZ12</f>
        <v>4089</v>
      </c>
      <c r="BW16" s="1097">
        <f>Pratt!CA12</f>
        <v>14501</v>
      </c>
      <c r="BX16" s="456">
        <f>Pratt!CB12</f>
        <v>3329</v>
      </c>
      <c r="BY16" s="456">
        <f>Pratt!CC12</f>
        <v>3592</v>
      </c>
      <c r="BZ16" s="456">
        <f>Pratt!CD12</f>
        <v>3564</v>
      </c>
      <c r="CA16" s="456">
        <f>Pratt!CE12</f>
        <v>4023</v>
      </c>
      <c r="CB16" s="1097">
        <f>Pratt!CF12</f>
        <v>14508</v>
      </c>
      <c r="CC16" s="456">
        <f>Pratt!CG12</f>
        <v>3332</v>
      </c>
      <c r="CD16" s="456">
        <f>Pratt!CH12</f>
        <v>3677</v>
      </c>
      <c r="CE16" s="456">
        <f>Pratt!CI12</f>
        <v>3234</v>
      </c>
      <c r="CF16" s="456">
        <f>Pratt!CJ12</f>
        <v>3839</v>
      </c>
      <c r="CG16" s="1097">
        <f>Pratt!CK12</f>
        <v>14082</v>
      </c>
      <c r="CH16" s="456">
        <f>Pratt!CL12</f>
        <v>3588</v>
      </c>
      <c r="CI16" s="456">
        <f>Pratt!CM12</f>
        <v>3813</v>
      </c>
      <c r="CJ16" s="456">
        <f>Pratt!CN12</f>
        <v>3501</v>
      </c>
      <c r="CK16" s="456">
        <f>Pratt!CO12</f>
        <v>3992</v>
      </c>
      <c r="CL16" s="448">
        <f>SUM(CH16:CK16)</f>
        <v>14894</v>
      </c>
      <c r="CM16" s="456">
        <f>Pratt!CQ12</f>
        <v>3758</v>
      </c>
      <c r="CN16" s="456">
        <f>Pratt!CR12</f>
        <v>4070</v>
      </c>
      <c r="CO16" s="456">
        <f>Pratt!CS12</f>
        <v>3871</v>
      </c>
      <c r="CP16" s="456">
        <f>Pratt!CT12</f>
        <v>4190.5484314727373</v>
      </c>
      <c r="CQ16" s="1097">
        <f>Pratt!CU12</f>
        <v>15889.548431472736</v>
      </c>
      <c r="CR16" s="456">
        <f>Pratt!CV12</f>
        <v>4063.5811618776229</v>
      </c>
      <c r="CS16" s="456">
        <f>Pratt!CW12</f>
        <v>4400.9513913895489</v>
      </c>
      <c r="CT16" s="456">
        <f>Pratt!CX12</f>
        <v>3844.4697385918776</v>
      </c>
      <c r="CU16" s="456">
        <f>Pratt!CY12</f>
        <v>4503.3944207153208</v>
      </c>
      <c r="CV16" s="1097">
        <f>Pratt!CZ12</f>
        <v>17022.184420715319</v>
      </c>
      <c r="CW16" s="1097">
        <f>Pratt!DA12</f>
        <v>18249.319934002597</v>
      </c>
      <c r="CX16" s="1097">
        <f>Pratt!DB12</f>
        <v>19749.449086533736</v>
      </c>
      <c r="CY16" s="1097">
        <f>Pratt!DC12</f>
        <v>20794.943444881155</v>
      </c>
      <c r="CZ16" s="1062"/>
    </row>
    <row r="17" spans="1:105" ht="12" hidden="1" customHeight="1" outlineLevel="1">
      <c r="A17" s="268"/>
      <c r="B17" s="268"/>
      <c r="C17" s="116" t="s">
        <v>307</v>
      </c>
      <c r="D17" s="1110"/>
      <c r="E17" s="264"/>
      <c r="F17" s="1169">
        <v>1257</v>
      </c>
      <c r="G17" s="1169">
        <v>1201</v>
      </c>
      <c r="H17" s="1169">
        <v>1163</v>
      </c>
      <c r="I17" s="1169">
        <v>1371</v>
      </c>
      <c r="J17" s="1097">
        <v>4992</v>
      </c>
      <c r="K17" s="456">
        <v>1254</v>
      </c>
      <c r="L17" s="456">
        <v>1337</v>
      </c>
      <c r="M17" s="456">
        <v>1257</v>
      </c>
      <c r="N17" s="456">
        <v>1444</v>
      </c>
      <c r="O17" s="1097">
        <v>5292</v>
      </c>
      <c r="P17" s="456"/>
      <c r="Q17" s="456"/>
      <c r="R17" s="456"/>
      <c r="S17" s="456"/>
      <c r="T17" s="1097"/>
      <c r="U17" s="456"/>
      <c r="V17" s="456"/>
      <c r="W17" s="456"/>
      <c r="X17" s="456"/>
      <c r="Y17" s="1097"/>
      <c r="Z17" s="456"/>
      <c r="AA17" s="456"/>
      <c r="AB17" s="456"/>
      <c r="AC17" s="456"/>
      <c r="AD17" s="1097"/>
      <c r="AE17" s="456"/>
      <c r="AF17" s="456"/>
      <c r="AG17" s="456"/>
      <c r="AH17" s="456"/>
      <c r="AI17" s="1097"/>
      <c r="AJ17" s="456"/>
      <c r="AK17" s="456"/>
      <c r="AL17" s="456"/>
      <c r="AM17" s="456"/>
      <c r="AN17" s="1097"/>
      <c r="AO17" s="456"/>
      <c r="AP17" s="456"/>
      <c r="AQ17" s="456"/>
      <c r="AR17" s="456"/>
      <c r="AS17" s="1097"/>
      <c r="AT17" s="456"/>
      <c r="AU17" s="456"/>
      <c r="AV17" s="456"/>
      <c r="AW17" s="456"/>
      <c r="AX17" s="1097"/>
      <c r="AY17" s="456"/>
      <c r="AZ17" s="456"/>
      <c r="BA17" s="456"/>
      <c r="BB17" s="456"/>
      <c r="BC17" s="1097"/>
      <c r="BD17" s="456"/>
      <c r="BE17" s="456"/>
      <c r="BF17" s="456"/>
      <c r="BG17" s="456"/>
      <c r="BH17" s="1097"/>
      <c r="BI17" s="456"/>
      <c r="BJ17" s="456"/>
      <c r="BK17" s="456"/>
      <c r="BL17" s="456"/>
      <c r="BM17" s="1097"/>
      <c r="BN17" s="456"/>
      <c r="BO17" s="456"/>
      <c r="BP17" s="456"/>
      <c r="BQ17" s="456"/>
      <c r="BR17" s="1097"/>
      <c r="BS17" s="456"/>
      <c r="BT17" s="456"/>
      <c r="BU17" s="456"/>
      <c r="BV17" s="456"/>
      <c r="BW17" s="1097"/>
      <c r="BX17" s="456"/>
      <c r="BY17" s="456"/>
      <c r="BZ17" s="456"/>
      <c r="CA17" s="456"/>
      <c r="CB17" s="1097"/>
      <c r="CC17" s="456"/>
      <c r="CD17" s="456"/>
      <c r="CE17" s="456"/>
      <c r="CF17" s="456"/>
      <c r="CG17" s="1097"/>
      <c r="CH17" s="456"/>
      <c r="CI17" s="456"/>
      <c r="CJ17" s="456"/>
      <c r="CK17" s="456"/>
      <c r="CL17" s="1097"/>
      <c r="CM17" s="456"/>
      <c r="CN17" s="456"/>
      <c r="CO17" s="456"/>
      <c r="CP17" s="456"/>
      <c r="CQ17" s="1097"/>
      <c r="CR17" s="456"/>
      <c r="CS17" s="456"/>
      <c r="CT17" s="456"/>
      <c r="CU17" s="456"/>
      <c r="CV17" s="1097"/>
      <c r="CW17" s="1097"/>
      <c r="CX17" s="1097"/>
      <c r="CY17" s="1097"/>
      <c r="CZ17" s="1062"/>
    </row>
    <row r="18" spans="1:105" ht="12" customHeight="1" collapsed="1">
      <c r="A18" s="268"/>
      <c r="B18" s="268"/>
      <c r="C18" s="116" t="s">
        <v>164</v>
      </c>
      <c r="D18" s="1110"/>
      <c r="E18" s="264"/>
      <c r="F18" s="1169"/>
      <c r="G18" s="1169"/>
      <c r="H18" s="1169"/>
      <c r="I18" s="1169"/>
      <c r="J18" s="1097"/>
      <c r="K18" s="456"/>
      <c r="L18" s="456"/>
      <c r="M18" s="456"/>
      <c r="N18" s="456"/>
      <c r="O18" s="1097"/>
      <c r="P18" s="456"/>
      <c r="Q18" s="456"/>
      <c r="R18" s="456"/>
      <c r="S18" s="456"/>
      <c r="T18" s="1097"/>
      <c r="U18" s="456"/>
      <c r="V18" s="456"/>
      <c r="W18" s="456"/>
      <c r="X18" s="456"/>
      <c r="Y18" s="1097"/>
      <c r="Z18" s="456"/>
      <c r="AA18" s="456"/>
      <c r="AB18" s="456"/>
      <c r="AC18" s="456"/>
      <c r="AD18" s="1097"/>
      <c r="AE18" s="456"/>
      <c r="AF18" s="456"/>
      <c r="AG18" s="456"/>
      <c r="AH18" s="456"/>
      <c r="AI18" s="1097"/>
      <c r="AJ18" s="456"/>
      <c r="AK18" s="456"/>
      <c r="AL18" s="456"/>
      <c r="AM18" s="456"/>
      <c r="AN18" s="1097"/>
      <c r="AO18" s="456"/>
      <c r="AP18" s="456"/>
      <c r="AQ18" s="456"/>
      <c r="AR18" s="456"/>
      <c r="AS18" s="1097"/>
      <c r="AT18" s="456"/>
      <c r="AU18" s="456"/>
      <c r="AV18" s="456"/>
      <c r="AW18" s="456"/>
      <c r="AX18" s="1097"/>
      <c r="AY18" s="456"/>
      <c r="AZ18" s="456"/>
      <c r="BA18" s="456"/>
      <c r="BB18" s="456"/>
      <c r="BC18" s="1097"/>
      <c r="BD18" s="456"/>
      <c r="BE18" s="456"/>
      <c r="BF18" s="456"/>
      <c r="BG18" s="456"/>
      <c r="BH18" s="1097"/>
      <c r="BI18" s="456">
        <f>'Aerospace Systems'!O12</f>
        <v>1138</v>
      </c>
      <c r="BJ18" s="456">
        <f>'Aerospace Systems'!P12</f>
        <v>1171</v>
      </c>
      <c r="BK18" s="456">
        <f>'Aerospace Systems'!Q12</f>
        <v>1187</v>
      </c>
      <c r="BL18" s="456">
        <f>'Aerospace Systems'!R12</f>
        <v>1264</v>
      </c>
      <c r="BM18" s="1097">
        <f>'Aerospace Systems'!S12</f>
        <v>4760</v>
      </c>
      <c r="BN18" s="456">
        <f>'Aerospace Systems'!T12</f>
        <v>1236</v>
      </c>
      <c r="BO18" s="456">
        <f>'Aerospace Systems'!U12</f>
        <v>1254</v>
      </c>
      <c r="BP18" s="456">
        <f>'Aerospace Systems'!V12</f>
        <v>2670</v>
      </c>
      <c r="BQ18" s="456">
        <f>'Aerospace Systems'!W12</f>
        <v>3174</v>
      </c>
      <c r="BR18" s="1097">
        <f>'Aerospace Systems'!X12</f>
        <v>8334</v>
      </c>
      <c r="BS18" s="456">
        <f>'Aerospace Systems'!Y12</f>
        <v>3263</v>
      </c>
      <c r="BT18" s="456">
        <f>'Aerospace Systems'!Z12</f>
        <v>3321</v>
      </c>
      <c r="BU18" s="456">
        <f>'Aerospace Systems'!AA12</f>
        <v>3312</v>
      </c>
      <c r="BV18" s="456">
        <f>'Aerospace Systems'!AB12</f>
        <v>3451</v>
      </c>
      <c r="BW18" s="1097">
        <f>'Aerospace Systems'!AC12</f>
        <v>13347</v>
      </c>
      <c r="BX18" s="456">
        <f>'Aerospace Systems'!AD12</f>
        <v>3450</v>
      </c>
      <c r="BY18" s="456">
        <f>'Aerospace Systems'!AE12</f>
        <v>3636</v>
      </c>
      <c r="BZ18" s="456">
        <f>'Aerospace Systems'!AF12</f>
        <v>3535</v>
      </c>
      <c r="CA18" s="456">
        <f>'Aerospace Systems'!AG12</f>
        <v>3594</v>
      </c>
      <c r="CB18" s="1097">
        <f>'Aerospace Systems'!AH12</f>
        <v>14215</v>
      </c>
      <c r="CC18" s="456">
        <f>'Aerospace Systems'!AI12</f>
        <v>3548</v>
      </c>
      <c r="CD18" s="456">
        <f>'Aerospace Systems'!AJ12</f>
        <v>3632</v>
      </c>
      <c r="CE18" s="456">
        <f>'Aerospace Systems'!AK12</f>
        <v>3457</v>
      </c>
      <c r="CF18" s="456">
        <f>'Aerospace Systems'!AL12</f>
        <v>3457</v>
      </c>
      <c r="CG18" s="1097">
        <f>'Aerospace Systems'!AM12</f>
        <v>14094</v>
      </c>
      <c r="CH18" s="456">
        <f>'Aerospace Systems'!AN12</f>
        <v>3505</v>
      </c>
      <c r="CI18" s="456">
        <f>'Aerospace Systems'!AO12</f>
        <v>3716</v>
      </c>
      <c r="CJ18" s="456">
        <f>'Aerospace Systems'!AP12</f>
        <v>3646</v>
      </c>
      <c r="CK18" s="456">
        <f>'Aerospace Systems'!AQ12</f>
        <v>3598</v>
      </c>
      <c r="CL18" s="448">
        <f>SUM(CH18:CK18)</f>
        <v>14465</v>
      </c>
      <c r="CM18" s="456">
        <f>'Aerospace Systems'!AS12</f>
        <v>3611</v>
      </c>
      <c r="CN18" s="456">
        <f>'Aerospace Systems'!AT12</f>
        <v>3640</v>
      </c>
      <c r="CO18" s="456">
        <f>'Aerospace Systems'!AU12</f>
        <v>3637</v>
      </c>
      <c r="CP18" s="456">
        <f>'Aerospace Systems'!AV12</f>
        <v>3741.9324932500022</v>
      </c>
      <c r="CQ18" s="1097">
        <f>'Aerospace Systems'!AW12</f>
        <v>14629.932493250002</v>
      </c>
      <c r="CR18" s="456">
        <f>'Aerospace Systems'!AX12</f>
        <v>3774.9011912988894</v>
      </c>
      <c r="CS18" s="456">
        <f>'Aerospace Systems'!AY12</f>
        <v>3878.0174844441863</v>
      </c>
      <c r="CT18" s="456">
        <f>'Aerospace Systems'!AZ12</f>
        <v>3874.8213161877766</v>
      </c>
      <c r="CU18" s="456">
        <f>'Aerospace Systems'!BA12</f>
        <v>3904.6494536700006</v>
      </c>
      <c r="CV18" s="1097">
        <f>'Aerospace Systems'!BB12</f>
        <v>15432.389445600853</v>
      </c>
      <c r="CW18" s="1097">
        <f>'Aerospace Systems'!BC12</f>
        <v>16214.362530079052</v>
      </c>
      <c r="CX18" s="1097">
        <f>'Aerospace Systems'!BD12</f>
        <v>16957.492508960622</v>
      </c>
      <c r="CY18" s="1097">
        <f>'Aerospace Systems'!BE12</f>
        <v>17765.244045271582</v>
      </c>
      <c r="CZ18" s="1062"/>
    </row>
    <row r="19" spans="1:105" ht="12" hidden="1" customHeight="1" outlineLevel="1">
      <c r="A19" s="268"/>
      <c r="B19" s="268"/>
      <c r="C19" s="268" t="s">
        <v>306</v>
      </c>
      <c r="D19" s="1110"/>
      <c r="E19" s="264"/>
      <c r="F19" s="417"/>
      <c r="G19" s="417"/>
      <c r="H19" s="417"/>
      <c r="I19" s="417"/>
      <c r="J19" s="1097"/>
      <c r="K19" s="305"/>
      <c r="L19" s="305"/>
      <c r="M19" s="305"/>
      <c r="N19" s="305"/>
      <c r="O19" s="1097"/>
      <c r="P19" s="456">
        <v>741.24236505681813</v>
      </c>
      <c r="Q19" s="456">
        <v>845.46999289772725</v>
      </c>
      <c r="R19" s="456">
        <v>919.65553977272737</v>
      </c>
      <c r="S19" s="456">
        <v>946.63210227272737</v>
      </c>
      <c r="T19" s="1097">
        <v>3453</v>
      </c>
      <c r="U19" s="456">
        <v>820.13905683192263</v>
      </c>
      <c r="V19" s="456">
        <v>866.84401451027804</v>
      </c>
      <c r="W19" s="456">
        <v>886.77146311970978</v>
      </c>
      <c r="X19" s="456">
        <v>1031.2454655380895</v>
      </c>
      <c r="Y19" s="1097">
        <v>3605</v>
      </c>
      <c r="Z19" s="456">
        <v>926</v>
      </c>
      <c r="AA19" s="456">
        <v>935</v>
      </c>
      <c r="AB19" s="456">
        <v>980</v>
      </c>
      <c r="AC19" s="456">
        <v>1080</v>
      </c>
      <c r="AD19" s="1097">
        <v>3928</v>
      </c>
      <c r="AE19" s="456">
        <v>1028</v>
      </c>
      <c r="AF19" s="456">
        <v>1126</v>
      </c>
      <c r="AG19" s="456">
        <v>1077</v>
      </c>
      <c r="AH19" s="456">
        <v>1151</v>
      </c>
      <c r="AI19" s="1097">
        <v>4382</v>
      </c>
      <c r="AJ19" s="456">
        <v>1164</v>
      </c>
      <c r="AK19" s="456">
        <v>1281</v>
      </c>
      <c r="AL19" s="456">
        <v>1253</v>
      </c>
      <c r="AM19" s="456">
        <v>1297</v>
      </c>
      <c r="AN19" s="1097">
        <v>4995</v>
      </c>
      <c r="AO19" s="456">
        <v>1313</v>
      </c>
      <c r="AP19" s="456">
        <v>1404</v>
      </c>
      <c r="AQ19" s="456">
        <v>1427</v>
      </c>
      <c r="AR19" s="456">
        <v>1492</v>
      </c>
      <c r="AS19" s="1097">
        <v>5636</v>
      </c>
      <c r="AT19" s="456">
        <v>1461</v>
      </c>
      <c r="AU19" s="456">
        <v>1650</v>
      </c>
      <c r="AV19" s="456">
        <v>1532</v>
      </c>
      <c r="AW19" s="456">
        <v>1564</v>
      </c>
      <c r="AX19" s="1097">
        <v>6207</v>
      </c>
      <c r="AY19" s="456">
        <v>1376</v>
      </c>
      <c r="AZ19" s="456">
        <v>1402</v>
      </c>
      <c r="BA19" s="456">
        <v>1379</v>
      </c>
      <c r="BB19" s="456">
        <v>1403</v>
      </c>
      <c r="BC19" s="1097">
        <v>5560</v>
      </c>
      <c r="BD19" s="456">
        <v>1326</v>
      </c>
      <c r="BE19" s="456">
        <v>1379</v>
      </c>
      <c r="BF19" s="456">
        <v>1420</v>
      </c>
      <c r="BG19" s="456">
        <v>1483</v>
      </c>
      <c r="BH19" s="1097">
        <v>5608</v>
      </c>
      <c r="BI19" s="456">
        <v>1138</v>
      </c>
      <c r="BJ19" s="456">
        <v>1171</v>
      </c>
      <c r="BK19" s="456">
        <v>1531</v>
      </c>
      <c r="BL19" s="456">
        <v>1647</v>
      </c>
      <c r="BM19" s="1097">
        <v>5487</v>
      </c>
      <c r="BN19" s="456">
        <v>1236</v>
      </c>
      <c r="BO19" s="456">
        <v>1254</v>
      </c>
      <c r="BP19" s="456">
        <v>1622.8600000000001</v>
      </c>
      <c r="BQ19" s="456">
        <v>1745.8200000000002</v>
      </c>
      <c r="BR19" s="1097">
        <v>5858.68</v>
      </c>
      <c r="BS19" s="456">
        <v>6327.3744000000006</v>
      </c>
      <c r="BT19" s="456">
        <v>6833.5643520000012</v>
      </c>
      <c r="BU19" s="456">
        <v>7448.5851436800021</v>
      </c>
      <c r="BV19" s="456">
        <v>0</v>
      </c>
      <c r="BW19" s="1097">
        <v>6327.3744000000006</v>
      </c>
      <c r="BX19" s="456"/>
      <c r="BY19" s="456"/>
      <c r="BZ19" s="456"/>
      <c r="CA19" s="456"/>
      <c r="CB19" s="1097">
        <v>0</v>
      </c>
      <c r="CC19" s="456"/>
      <c r="CD19" s="456"/>
      <c r="CE19" s="456"/>
      <c r="CF19" s="456"/>
      <c r="CG19" s="1097">
        <v>0</v>
      </c>
      <c r="CH19" s="456"/>
      <c r="CI19" s="456"/>
      <c r="CJ19" s="456"/>
      <c r="CK19" s="456"/>
      <c r="CL19" s="1097">
        <v>0</v>
      </c>
      <c r="CM19" s="456"/>
      <c r="CN19" s="456"/>
      <c r="CO19" s="456"/>
      <c r="CP19" s="456"/>
      <c r="CQ19" s="1097">
        <v>0</v>
      </c>
      <c r="CR19" s="456"/>
      <c r="CS19" s="456"/>
      <c r="CT19" s="456"/>
      <c r="CU19" s="456"/>
      <c r="CV19" s="1097">
        <v>0</v>
      </c>
      <c r="CW19" s="1097">
        <v>0</v>
      </c>
      <c r="CX19" s="1097">
        <v>0</v>
      </c>
      <c r="CY19" s="1097">
        <v>0</v>
      </c>
      <c r="CZ19" s="1062"/>
    </row>
    <row r="20" spans="1:105" ht="12" customHeight="1" collapsed="1">
      <c r="A20" s="268"/>
      <c r="B20" s="268"/>
      <c r="C20" s="268" t="s">
        <v>163</v>
      </c>
      <c r="D20" s="1110"/>
      <c r="E20" s="264"/>
      <c r="F20" s="417"/>
      <c r="G20" s="417"/>
      <c r="H20" s="417"/>
      <c r="I20" s="417"/>
      <c r="J20" s="1097"/>
      <c r="K20" s="305"/>
      <c r="L20" s="305"/>
      <c r="M20" s="305"/>
      <c r="N20" s="305"/>
      <c r="O20" s="1097"/>
      <c r="P20" s="456">
        <v>467.75763494318181</v>
      </c>
      <c r="Q20" s="456">
        <v>533.53000710227275</v>
      </c>
      <c r="R20" s="456">
        <v>580.34446022727275</v>
      </c>
      <c r="S20" s="456">
        <v>597.36789772727275</v>
      </c>
      <c r="T20" s="1097">
        <v>2179</v>
      </c>
      <c r="U20" s="456">
        <v>496.86094316807737</v>
      </c>
      <c r="V20" s="456">
        <v>525.15598548972184</v>
      </c>
      <c r="W20" s="456">
        <v>537.22853688029022</v>
      </c>
      <c r="X20" s="456">
        <v>624.75453446191057</v>
      </c>
      <c r="Y20" s="1097">
        <v>2184</v>
      </c>
      <c r="Z20" s="456">
        <v>560</v>
      </c>
      <c r="AA20" s="456">
        <v>623</v>
      </c>
      <c r="AB20" s="456">
        <v>679</v>
      </c>
      <c r="AC20" s="456">
        <v>644</v>
      </c>
      <c r="AD20" s="1097">
        <v>2506</v>
      </c>
      <c r="AE20" s="456">
        <v>605</v>
      </c>
      <c r="AF20" s="456">
        <v>704</v>
      </c>
      <c r="AG20" s="456">
        <v>639</v>
      </c>
      <c r="AH20" s="456">
        <v>854</v>
      </c>
      <c r="AI20" s="1097">
        <v>2802</v>
      </c>
      <c r="AJ20" s="456">
        <v>512</v>
      </c>
      <c r="AK20" s="456">
        <v>767</v>
      </c>
      <c r="AL20" s="456">
        <v>867</v>
      </c>
      <c r="AM20" s="456">
        <v>1084</v>
      </c>
      <c r="AN20" s="1097">
        <v>3230</v>
      </c>
      <c r="AO20" s="456">
        <v>1006</v>
      </c>
      <c r="AP20" s="456">
        <v>1198</v>
      </c>
      <c r="AQ20" s="456">
        <v>1307</v>
      </c>
      <c r="AR20" s="456">
        <v>1278</v>
      </c>
      <c r="AS20" s="1097">
        <v>4789</v>
      </c>
      <c r="AT20" s="1162">
        <v>1023</v>
      </c>
      <c r="AU20" s="456">
        <v>1307</v>
      </c>
      <c r="AV20" s="456">
        <v>1438</v>
      </c>
      <c r="AW20" s="456">
        <v>1600</v>
      </c>
      <c r="AX20" s="1097">
        <v>5368</v>
      </c>
      <c r="AY20" s="456">
        <v>1321</v>
      </c>
      <c r="AZ20" s="456">
        <v>1382</v>
      </c>
      <c r="BA20" s="456">
        <v>1640</v>
      </c>
      <c r="BB20" s="456">
        <v>1944</v>
      </c>
      <c r="BC20" s="1097">
        <v>6287</v>
      </c>
      <c r="BD20" s="456">
        <v>1358</v>
      </c>
      <c r="BE20" s="456">
        <v>1692</v>
      </c>
      <c r="BF20" s="456">
        <v>1547</v>
      </c>
      <c r="BG20" s="456">
        <v>2087</v>
      </c>
      <c r="BH20" s="1097">
        <v>6684</v>
      </c>
      <c r="BI20" s="456">
        <v>1582</v>
      </c>
      <c r="BJ20" s="456">
        <v>1786</v>
      </c>
      <c r="BK20" s="456">
        <v>1877</v>
      </c>
      <c r="BL20" s="456">
        <v>2110</v>
      </c>
      <c r="BM20" s="1097">
        <v>7355</v>
      </c>
      <c r="BN20" s="456">
        <v>1346</v>
      </c>
      <c r="BO20" s="456">
        <v>1620</v>
      </c>
      <c r="BP20" s="456">
        <v>1649</v>
      </c>
      <c r="BQ20" s="456">
        <v>2176</v>
      </c>
      <c r="BR20" s="1097">
        <v>6791</v>
      </c>
      <c r="BS20" s="456">
        <v>1249</v>
      </c>
      <c r="BT20" s="456">
        <v>1566</v>
      </c>
      <c r="BU20" s="456">
        <v>1541</v>
      </c>
      <c r="BV20" s="456">
        <v>1897</v>
      </c>
      <c r="BW20" s="1097">
        <v>6253</v>
      </c>
      <c r="BX20" s="456">
        <v>1361</v>
      </c>
      <c r="BY20" s="456">
        <v>2384</v>
      </c>
      <c r="BZ20" s="456">
        <v>1620</v>
      </c>
      <c r="CA20" s="456">
        <v>2086</v>
      </c>
      <c r="CB20" s="1097">
        <v>7451</v>
      </c>
      <c r="CC20" s="456"/>
      <c r="CD20" s="456"/>
      <c r="CE20" s="456"/>
      <c r="CF20" s="456"/>
      <c r="CG20" s="1097"/>
      <c r="CH20" s="456"/>
      <c r="CI20" s="456"/>
      <c r="CJ20" s="456"/>
      <c r="CK20" s="456"/>
      <c r="CL20" s="1097"/>
      <c r="CM20" s="456"/>
      <c r="CN20" s="456"/>
      <c r="CO20" s="456"/>
      <c r="CP20" s="456"/>
      <c r="CQ20" s="1097"/>
      <c r="CR20" s="456"/>
      <c r="CS20" s="456"/>
      <c r="CT20" s="456"/>
      <c r="CU20" s="456"/>
      <c r="CV20" s="1097"/>
      <c r="CW20" s="1097"/>
      <c r="CX20" s="1097"/>
      <c r="CY20" s="1097"/>
      <c r="CZ20" s="1062"/>
    </row>
    <row r="21" spans="1:105" ht="12" customHeight="1">
      <c r="A21" s="268"/>
      <c r="B21" s="268"/>
      <c r="C21" s="268" t="s">
        <v>830</v>
      </c>
      <c r="D21" s="1110"/>
      <c r="E21" s="264"/>
      <c r="F21" s="400">
        <v>-80</v>
      </c>
      <c r="G21" s="400">
        <v>-86</v>
      </c>
      <c r="H21" s="400">
        <v>-95</v>
      </c>
      <c r="I21" s="400">
        <v>-97</v>
      </c>
      <c r="J21" s="303">
        <v>-358</v>
      </c>
      <c r="K21" s="449">
        <v>-94</v>
      </c>
      <c r="L21" s="449">
        <v>-112</v>
      </c>
      <c r="M21" s="449">
        <v>-15</v>
      </c>
      <c r="N21" s="449">
        <v>0</v>
      </c>
      <c r="O21" s="303">
        <v>-307</v>
      </c>
      <c r="P21" s="449">
        <v>-107</v>
      </c>
      <c r="Q21" s="449">
        <v>-151</v>
      </c>
      <c r="R21" s="449">
        <v>-168</v>
      </c>
      <c r="S21" s="449">
        <v>-223</v>
      </c>
      <c r="T21" s="303">
        <v>-649</v>
      </c>
      <c r="U21" s="449">
        <v>-123</v>
      </c>
      <c r="V21" s="449">
        <v>-146</v>
      </c>
      <c r="W21" s="449">
        <v>-139</v>
      </c>
      <c r="X21" s="449">
        <v>-161</v>
      </c>
      <c r="Y21" s="303">
        <v>-569</v>
      </c>
      <c r="Z21" s="449">
        <v>186</v>
      </c>
      <c r="AA21" s="449">
        <v>66</v>
      </c>
      <c r="AB21" s="449">
        <v>-19</v>
      </c>
      <c r="AC21" s="449">
        <v>68</v>
      </c>
      <c r="AD21" s="303">
        <v>192</v>
      </c>
      <c r="AE21" s="449">
        <v>-30</v>
      </c>
      <c r="AF21" s="449">
        <v>59</v>
      </c>
      <c r="AG21" s="449">
        <v>-59</v>
      </c>
      <c r="AH21" s="449">
        <v>-61</v>
      </c>
      <c r="AI21" s="303">
        <v>-91</v>
      </c>
      <c r="AJ21" s="449">
        <v>7</v>
      </c>
      <c r="AK21" s="449">
        <v>42</v>
      </c>
      <c r="AL21" s="449">
        <v>-42</v>
      </c>
      <c r="AM21" s="449">
        <v>-33</v>
      </c>
      <c r="AN21" s="303">
        <v>-26</v>
      </c>
      <c r="AO21" s="1167">
        <v>88</v>
      </c>
      <c r="AP21" s="1167">
        <v>-68</v>
      </c>
      <c r="AQ21" s="1167">
        <v>-52</v>
      </c>
      <c r="AR21" s="1167">
        <v>-46</v>
      </c>
      <c r="AS21" s="303">
        <f>SUM(AO21:AR21)</f>
        <v>-78</v>
      </c>
      <c r="AT21" s="1168">
        <v>-54</v>
      </c>
      <c r="AU21" s="1167">
        <v>-80</v>
      </c>
      <c r="AV21" s="1167">
        <v>-92</v>
      </c>
      <c r="AW21" s="1167">
        <v>12</v>
      </c>
      <c r="AX21" s="303">
        <f>SUM(AT21:AW21)</f>
        <v>-214</v>
      </c>
      <c r="AY21" s="1167">
        <v>-87</v>
      </c>
      <c r="AZ21" s="1167">
        <v>-100</v>
      </c>
      <c r="BA21" s="1167">
        <v>-82</v>
      </c>
      <c r="BB21" s="1167">
        <v>-106</v>
      </c>
      <c r="BC21" s="303">
        <f>SUM(AY21:BB21)</f>
        <v>-375</v>
      </c>
      <c r="BD21" s="1167">
        <v>-93</v>
      </c>
      <c r="BE21" s="1167">
        <v>-94</v>
      </c>
      <c r="BF21" s="1167">
        <v>-78</v>
      </c>
      <c r="BG21" s="1167">
        <v>-91</v>
      </c>
      <c r="BH21" s="303">
        <f>SUM(BD21:BG21)</f>
        <v>-356</v>
      </c>
      <c r="BI21" s="449">
        <v>-85</v>
      </c>
      <c r="BJ21" s="449">
        <v>-96</v>
      </c>
      <c r="BK21" s="449">
        <v>-93</v>
      </c>
      <c r="BL21" s="449">
        <v>-99</v>
      </c>
      <c r="BM21" s="303">
        <f>SUM(BI21:BL21)</f>
        <v>-373</v>
      </c>
      <c r="BN21" s="449">
        <v>-100</v>
      </c>
      <c r="BO21" s="449">
        <v>-113</v>
      </c>
      <c r="BP21" s="449">
        <v>-164</v>
      </c>
      <c r="BQ21" s="449">
        <v>-150</v>
      </c>
      <c r="BR21" s="303">
        <f>SUM(BN21:BQ21)</f>
        <v>-527</v>
      </c>
      <c r="BS21" s="305">
        <v>-166</v>
      </c>
      <c r="BT21" s="305">
        <v>-186</v>
      </c>
      <c r="BU21" s="305">
        <v>-202</v>
      </c>
      <c r="BV21" s="305">
        <v>-214</v>
      </c>
      <c r="BW21" s="303">
        <f>SUM(BS21:BV21)</f>
        <v>-768</v>
      </c>
      <c r="BX21" s="305">
        <v>-201</v>
      </c>
      <c r="BY21" s="305">
        <v>-215</v>
      </c>
      <c r="BZ21" s="305">
        <v>-228</v>
      </c>
      <c r="CA21" s="305">
        <v>-235</v>
      </c>
      <c r="CB21" s="303">
        <f>SUM(BX21:CA21)</f>
        <v>-879</v>
      </c>
      <c r="CC21" s="305">
        <v>-157</v>
      </c>
      <c r="CD21" s="305">
        <f>(-553-CE21)/2</f>
        <v>-164</v>
      </c>
      <c r="CE21" s="1878">
        <v>-225</v>
      </c>
      <c r="CF21" s="1878">
        <v>-212</v>
      </c>
      <c r="CG21" s="303">
        <f>SUM(CG12,CG13,CG16,CG18,CG20)/SUM(CB12,CB13,CB16,CB18,CB20)*CB21</f>
        <v>-756.66387461710849</v>
      </c>
      <c r="CH21" s="1878">
        <v>-179</v>
      </c>
      <c r="CI21" s="1878">
        <v>-211</v>
      </c>
      <c r="CJ21" s="1878">
        <v>-226</v>
      </c>
      <c r="CK21" s="1878">
        <v>-243</v>
      </c>
      <c r="CL21" s="303">
        <f>SUM(CH21:CK21)</f>
        <v>-859</v>
      </c>
      <c r="CM21" s="1878">
        <v>-250</v>
      </c>
      <c r="CN21" s="1878">
        <v>-273</v>
      </c>
      <c r="CO21" s="1878">
        <v>-290</v>
      </c>
      <c r="CP21" s="305">
        <f t="shared" ref="CP21" si="0">SUM(CP12,CP13,CP16,CP18,CP20)/SUM(CK12,CK13,CK16,CK18,CK20)*CK21</f>
        <v>-254.47563757395389</v>
      </c>
      <c r="CQ21" s="303">
        <f>SUM(CM21:CP21)</f>
        <v>-1067.4756375739539</v>
      </c>
      <c r="CR21" s="305">
        <f>$CV$21/4</f>
        <v>-282.70365985115831</v>
      </c>
      <c r="CS21" s="305">
        <f>CR21</f>
        <v>-282.70365985115831</v>
      </c>
      <c r="CT21" s="305">
        <f t="shared" ref="CT21:CU21" si="1">CS21</f>
        <v>-282.70365985115831</v>
      </c>
      <c r="CU21" s="305">
        <f t="shared" si="1"/>
        <v>-282.70365985115831</v>
      </c>
      <c r="CV21" s="303">
        <f>SUM(CV12,CV13,CV16,CV18,CV20)/SUM(CQ12,CQ13,CQ16,CQ18,CQ20)*CQ21</f>
        <v>-1130.8146394046332</v>
      </c>
      <c r="CW21" s="303">
        <f>SUM(CW12,CW13,CW16,CW18,CW20)/SUM(CV12,CV13,CV16,CV18,CV20)*CV21</f>
        <v>-1179.8074346044345</v>
      </c>
      <c r="CX21" s="303">
        <f>SUM(CX12,CX13,CX16,CX18,CX20)/SUM(CW12,CW13,CW16,CW18,CW20)*CW21</f>
        <v>-1231.1516012573225</v>
      </c>
      <c r="CY21" s="303">
        <f>SUM(CY12,CY13,CY16,CY18,CY20)/SUM(CX12,CX13,CX16,CX18,CX20)*CX21</f>
        <v>-1275.492772178452</v>
      </c>
      <c r="CZ21" s="1166"/>
      <c r="DA21" s="1166"/>
    </row>
    <row r="22" spans="1:105" ht="12" customHeight="1" thickBot="1">
      <c r="A22" s="457"/>
      <c r="B22" s="457"/>
      <c r="C22" s="1093" t="s">
        <v>304</v>
      </c>
      <c r="D22" s="1146"/>
      <c r="E22" s="1146"/>
      <c r="F22" s="1090">
        <v>6390</v>
      </c>
      <c r="G22" s="1090">
        <v>6961</v>
      </c>
      <c r="H22" s="1090">
        <v>6465</v>
      </c>
      <c r="I22" s="1090">
        <v>6767</v>
      </c>
      <c r="J22" s="1089">
        <v>26583</v>
      </c>
      <c r="K22" s="1090">
        <v>6671</v>
      </c>
      <c r="L22" s="1090">
        <v>7332</v>
      </c>
      <c r="M22" s="1090">
        <v>6920</v>
      </c>
      <c r="N22" s="1090">
        <v>7060</v>
      </c>
      <c r="O22" s="1089">
        <v>27897</v>
      </c>
      <c r="P22" s="1090">
        <v>6374</v>
      </c>
      <c r="Q22" s="1090">
        <v>7324</v>
      </c>
      <c r="R22" s="1090">
        <v>7299</v>
      </c>
      <c r="S22" s="1090">
        <v>7215</v>
      </c>
      <c r="T22" s="1089">
        <v>28212</v>
      </c>
      <c r="U22" s="1090">
        <v>6702</v>
      </c>
      <c r="V22" s="1090">
        <v>7790</v>
      </c>
      <c r="W22" s="1090">
        <v>7954</v>
      </c>
      <c r="X22" s="1090">
        <v>8588</v>
      </c>
      <c r="Y22" s="1089">
        <v>31034</v>
      </c>
      <c r="Z22" s="1090">
        <v>8646</v>
      </c>
      <c r="AA22" s="1090">
        <v>9622</v>
      </c>
      <c r="AB22" s="1090">
        <v>9339</v>
      </c>
      <c r="AC22" s="1090">
        <v>9838</v>
      </c>
      <c r="AD22" s="1089">
        <v>37445</v>
      </c>
      <c r="AE22" s="1090">
        <v>9407</v>
      </c>
      <c r="AF22" s="1090">
        <v>11152</v>
      </c>
      <c r="AG22" s="1090">
        <v>10905</v>
      </c>
      <c r="AH22" s="1090">
        <v>11261</v>
      </c>
      <c r="AI22" s="1089">
        <v>42725</v>
      </c>
      <c r="AJ22" s="1090">
        <f t="shared" ref="AJ22:BH22" si="2">(AJ14+AJ16+AJ17+AJ12+AJ15+AJ19+AJ20)+AJ21</f>
        <v>10615</v>
      </c>
      <c r="AK22" s="1090">
        <f t="shared" si="2"/>
        <v>12264</v>
      </c>
      <c r="AL22" s="1090">
        <f t="shared" si="2"/>
        <v>12163</v>
      </c>
      <c r="AM22" s="1090">
        <f t="shared" si="2"/>
        <v>12787</v>
      </c>
      <c r="AN22" s="1089">
        <f t="shared" si="2"/>
        <v>47829</v>
      </c>
      <c r="AO22" s="1090">
        <f t="shared" si="2"/>
        <v>12278</v>
      </c>
      <c r="AP22" s="1090">
        <f t="shared" si="2"/>
        <v>13904</v>
      </c>
      <c r="AQ22" s="1090">
        <f t="shared" si="2"/>
        <v>13863</v>
      </c>
      <c r="AR22" s="1090">
        <f t="shared" si="2"/>
        <v>14714</v>
      </c>
      <c r="AS22" s="1089">
        <f t="shared" si="2"/>
        <v>54759</v>
      </c>
      <c r="AT22" s="1145">
        <f t="shared" si="2"/>
        <v>13958</v>
      </c>
      <c r="AU22" s="1090">
        <f t="shared" si="2"/>
        <v>15944</v>
      </c>
      <c r="AV22" s="1090">
        <f t="shared" si="2"/>
        <v>15085</v>
      </c>
      <c r="AW22" s="1090">
        <f t="shared" si="2"/>
        <v>14770</v>
      </c>
      <c r="AX22" s="1089">
        <f t="shared" si="2"/>
        <v>59757</v>
      </c>
      <c r="AY22" s="1090">
        <f t="shared" si="2"/>
        <v>12199</v>
      </c>
      <c r="AZ22" s="1090">
        <f t="shared" si="2"/>
        <v>13060</v>
      </c>
      <c r="BA22" s="1090">
        <f t="shared" si="2"/>
        <v>13187</v>
      </c>
      <c r="BB22" s="1090">
        <f t="shared" si="2"/>
        <v>13979</v>
      </c>
      <c r="BC22" s="1089">
        <f t="shared" si="2"/>
        <v>52425</v>
      </c>
      <c r="BD22" s="1090">
        <f t="shared" si="2"/>
        <v>12040</v>
      </c>
      <c r="BE22" s="1090">
        <f t="shared" si="2"/>
        <v>13802</v>
      </c>
      <c r="BF22" s="1090">
        <f t="shared" si="2"/>
        <v>13620</v>
      </c>
      <c r="BG22" s="1090">
        <f t="shared" si="2"/>
        <v>14864</v>
      </c>
      <c r="BH22" s="1089">
        <f t="shared" si="2"/>
        <v>54326</v>
      </c>
      <c r="BI22" s="1090">
        <f t="shared" ref="BI22:CV22" si="3">BI12+BI13+BI16+BI18+BI20+BI21</f>
        <v>12673</v>
      </c>
      <c r="BJ22" s="1090">
        <f t="shared" si="3"/>
        <v>14469</v>
      </c>
      <c r="BK22" s="1090">
        <f t="shared" si="3"/>
        <v>14235</v>
      </c>
      <c r="BL22" s="1090">
        <f t="shared" si="3"/>
        <v>14377</v>
      </c>
      <c r="BM22" s="1089">
        <f t="shared" si="3"/>
        <v>55754</v>
      </c>
      <c r="BN22" s="1090">
        <f t="shared" si="3"/>
        <v>12416</v>
      </c>
      <c r="BO22" s="1090">
        <f t="shared" si="3"/>
        <v>13807</v>
      </c>
      <c r="BP22" s="1090">
        <f t="shared" si="3"/>
        <v>15042</v>
      </c>
      <c r="BQ22" s="1090">
        <f t="shared" si="3"/>
        <v>16443</v>
      </c>
      <c r="BR22" s="1089">
        <f t="shared" si="3"/>
        <v>57708</v>
      </c>
      <c r="BS22" s="1090">
        <f t="shared" si="3"/>
        <v>14399</v>
      </c>
      <c r="BT22" s="1090">
        <f t="shared" si="3"/>
        <v>16006</v>
      </c>
      <c r="BU22" s="1090">
        <f t="shared" si="3"/>
        <v>15462</v>
      </c>
      <c r="BV22" s="1090">
        <f t="shared" si="3"/>
        <v>16759</v>
      </c>
      <c r="BW22" s="1089">
        <f t="shared" si="3"/>
        <v>62626</v>
      </c>
      <c r="BX22" s="1090">
        <f t="shared" si="3"/>
        <v>14745</v>
      </c>
      <c r="BY22" s="1090">
        <f t="shared" si="3"/>
        <v>17191</v>
      </c>
      <c r="BZ22" s="1090">
        <f t="shared" si="3"/>
        <v>16168</v>
      </c>
      <c r="CA22" s="1090">
        <f t="shared" si="3"/>
        <v>16996</v>
      </c>
      <c r="CB22" s="1089">
        <f t="shared" si="3"/>
        <v>65100</v>
      </c>
      <c r="CC22" s="1090">
        <f t="shared" si="3"/>
        <v>13320</v>
      </c>
      <c r="CD22" s="1090">
        <f t="shared" si="3"/>
        <v>14697</v>
      </c>
      <c r="CE22" s="1090">
        <f t="shared" si="3"/>
        <v>13788</v>
      </c>
      <c r="CF22" s="1090">
        <f t="shared" si="3"/>
        <v>14300</v>
      </c>
      <c r="CG22" s="1089">
        <f t="shared" si="3"/>
        <v>56039.611191779026</v>
      </c>
      <c r="CH22" s="1090">
        <f t="shared" si="3"/>
        <v>13357</v>
      </c>
      <c r="CI22" s="1090">
        <f t="shared" si="3"/>
        <v>14874</v>
      </c>
      <c r="CJ22" s="1090">
        <f t="shared" si="3"/>
        <v>14354</v>
      </c>
      <c r="CK22" s="1090">
        <f t="shared" si="3"/>
        <v>14659</v>
      </c>
      <c r="CL22" s="1089">
        <f t="shared" si="3"/>
        <v>57244</v>
      </c>
      <c r="CM22" s="1090">
        <f>CM12+CM13+CM16+CM18+CM20+CM21</f>
        <v>13815</v>
      </c>
      <c r="CN22" s="1090">
        <f>CN12+CN13+CN16+CN18+CN20+CN21</f>
        <v>15280</v>
      </c>
      <c r="CO22" s="1090">
        <f>CO12+CO13+CO16+CO18+CO20+CO21</f>
        <v>15062</v>
      </c>
      <c r="CP22" s="1090">
        <f>CP12+CP13+CP16+CP18+CP20+CP21</f>
        <v>15351.269017269917</v>
      </c>
      <c r="CQ22" s="1089">
        <f t="shared" si="3"/>
        <v>59508.269017269915</v>
      </c>
      <c r="CR22" s="1090">
        <f>CR12+CR13+CR16+CR18+CR20+CR21</f>
        <v>14667.335541751592</v>
      </c>
      <c r="CS22" s="1090">
        <f>CS12+CS13+CS16+CS18+CS20+CS21</f>
        <v>16358.718417161737</v>
      </c>
      <c r="CT22" s="1090">
        <f>CT12+CT13+CT16+CT18+CT20+CT21</f>
        <v>15800.409910742877</v>
      </c>
      <c r="CU22" s="1090">
        <f>CU12+CU13+CU16+CU18+CU20+CU21</f>
        <v>16002.959249809173</v>
      </c>
      <c r="CV22" s="1089">
        <f t="shared" si="3"/>
        <v>63039.210827606337</v>
      </c>
      <c r="CW22" s="1089">
        <f>CW12+CW13+CW16+CW18+CW20+CW21</f>
        <v>65770.398626218564</v>
      </c>
      <c r="CX22" s="1089">
        <f>CX12+CX13+CX16+CX18+CX20+CX21</f>
        <v>68632.667678645448</v>
      </c>
      <c r="CY22" s="1089">
        <f>CY12+CY13+CY16+CY18+CY20+CY21</f>
        <v>71104.542665612098</v>
      </c>
      <c r="CZ22" s="1026"/>
      <c r="DA22" s="1165"/>
    </row>
    <row r="23" spans="1:105" ht="13.5" thickTop="1">
      <c r="A23" s="482"/>
      <c r="B23" s="482"/>
      <c r="C23" s="482"/>
      <c r="D23" s="1066" t="s">
        <v>282</v>
      </c>
      <c r="E23" s="1155"/>
      <c r="F23" s="336" t="s">
        <v>284</v>
      </c>
      <c r="G23" s="336" t="s">
        <v>284</v>
      </c>
      <c r="H23" s="336" t="s">
        <v>284</v>
      </c>
      <c r="I23" s="336" t="s">
        <v>284</v>
      </c>
      <c r="J23" s="286"/>
      <c r="K23" s="287">
        <v>4.3974960876369318E-2</v>
      </c>
      <c r="L23" s="287">
        <v>5.3296940094814005E-2</v>
      </c>
      <c r="M23" s="287">
        <v>7.0378963650425286E-2</v>
      </c>
      <c r="N23" s="287">
        <v>4.3298359686714916E-2</v>
      </c>
      <c r="O23" s="286">
        <v>4.943008689764139E-2</v>
      </c>
      <c r="P23" s="287">
        <v>-4.4521061310148435E-2</v>
      </c>
      <c r="Q23" s="287">
        <v>-1.0911074740862503E-3</v>
      </c>
      <c r="R23" s="287">
        <v>5.4768786127167735E-2</v>
      </c>
      <c r="S23" s="287">
        <v>2.1954674220963089E-2</v>
      </c>
      <c r="T23" s="286">
        <v>1.1291536724378881E-2</v>
      </c>
      <c r="U23" s="287">
        <v>5.1459052400376626E-2</v>
      </c>
      <c r="V23" s="287">
        <v>6.3626433642818059E-2</v>
      </c>
      <c r="W23" s="287">
        <v>8.9738320317851672E-2</v>
      </c>
      <c r="X23" s="287">
        <v>0.19029799029799022</v>
      </c>
      <c r="Y23" s="286">
        <v>0.10002835672763366</v>
      </c>
      <c r="Z23" s="287">
        <v>0.29006266786034018</v>
      </c>
      <c r="AA23" s="287">
        <v>0.23517329910141216</v>
      </c>
      <c r="AB23" s="287">
        <v>0.17412622579834047</v>
      </c>
      <c r="AC23" s="287">
        <v>0.14555193292966928</v>
      </c>
      <c r="AD23" s="286">
        <v>0.20657988013146866</v>
      </c>
      <c r="AE23" s="287">
        <v>8.8017580383992655E-2</v>
      </c>
      <c r="AF23" s="287">
        <v>0.1590106007067138</v>
      </c>
      <c r="AG23" s="287">
        <v>0.16768390619980722</v>
      </c>
      <c r="AH23" s="287">
        <v>0.1446432201667005</v>
      </c>
      <c r="AI23" s="286">
        <v>0.14100680998798243</v>
      </c>
      <c r="AJ23" s="287">
        <f t="shared" ref="AJ23:BO23" si="4">IF(ISERROR(AJ22/AE22-1),"-",AJ22/AE22-1)</f>
        <v>0.12841501009886258</v>
      </c>
      <c r="AK23" s="287">
        <f t="shared" si="4"/>
        <v>9.9713055954088858E-2</v>
      </c>
      <c r="AL23" s="287">
        <f t="shared" si="4"/>
        <v>0.11535992663915628</v>
      </c>
      <c r="AM23" s="287">
        <f t="shared" si="4"/>
        <v>0.13551194387709797</v>
      </c>
      <c r="AN23" s="286">
        <f t="shared" si="4"/>
        <v>0.11946167349327097</v>
      </c>
      <c r="AO23" s="287">
        <f t="shared" si="4"/>
        <v>0.15666509656146954</v>
      </c>
      <c r="AP23" s="287">
        <f t="shared" si="4"/>
        <v>0.1337247227658187</v>
      </c>
      <c r="AQ23" s="287">
        <f t="shared" si="4"/>
        <v>0.13976814930527004</v>
      </c>
      <c r="AR23" s="287">
        <f t="shared" si="4"/>
        <v>0.1506999296160163</v>
      </c>
      <c r="AS23" s="286">
        <f t="shared" si="4"/>
        <v>0.14489117481026148</v>
      </c>
      <c r="AT23" s="337">
        <f t="shared" si="4"/>
        <v>0.13683010262257689</v>
      </c>
      <c r="AU23" s="337">
        <f t="shared" si="4"/>
        <v>0.14672036823935564</v>
      </c>
      <c r="AV23" s="337">
        <f t="shared" si="4"/>
        <v>8.8148308446945212E-2</v>
      </c>
      <c r="AW23" s="337">
        <f t="shared" si="4"/>
        <v>3.8058991436726863E-3</v>
      </c>
      <c r="AX23" s="1151">
        <f t="shared" si="4"/>
        <v>9.1272667506711258E-2</v>
      </c>
      <c r="AY23" s="337">
        <f t="shared" si="4"/>
        <v>-0.12602091990256481</v>
      </c>
      <c r="AZ23" s="337">
        <f t="shared" si="4"/>
        <v>-0.18088309081786247</v>
      </c>
      <c r="BA23" s="337">
        <f t="shared" si="4"/>
        <v>-0.12582035134239311</v>
      </c>
      <c r="BB23" s="337">
        <f t="shared" si="4"/>
        <v>-5.35545023696683E-2</v>
      </c>
      <c r="BC23" s="1151">
        <f t="shared" si="4"/>
        <v>-0.12269692253627185</v>
      </c>
      <c r="BD23" s="337">
        <f t="shared" si="4"/>
        <v>-1.3033855234035552E-2</v>
      </c>
      <c r="BE23" s="337">
        <f t="shared" si="4"/>
        <v>5.6814701378254284E-2</v>
      </c>
      <c r="BF23" s="287">
        <f t="shared" si="4"/>
        <v>3.2835368165617718E-2</v>
      </c>
      <c r="BG23" s="337">
        <f t="shared" si="4"/>
        <v>6.3309249588668681E-2</v>
      </c>
      <c r="BH23" s="1151">
        <f t="shared" si="4"/>
        <v>3.6261325703385694E-2</v>
      </c>
      <c r="BI23" s="337">
        <f t="shared" si="4"/>
        <v>5.2574750830564732E-2</v>
      </c>
      <c r="BJ23" s="337">
        <f t="shared" si="4"/>
        <v>4.8326329517461186E-2</v>
      </c>
      <c r="BK23" s="337">
        <f t="shared" si="4"/>
        <v>4.5154185022026505E-2</v>
      </c>
      <c r="BL23" s="337">
        <f t="shared" si="4"/>
        <v>-3.2763724434876185E-2</v>
      </c>
      <c r="BM23" s="1151">
        <f t="shared" si="4"/>
        <v>2.6285756359754053E-2</v>
      </c>
      <c r="BN23" s="337">
        <f t="shared" si="4"/>
        <v>-2.0279334017201944E-2</v>
      </c>
      <c r="BO23" s="337">
        <f t="shared" si="4"/>
        <v>-4.575298914921555E-2</v>
      </c>
      <c r="BP23" s="337">
        <f t="shared" ref="BP23:CL23" si="5">IF(ISERROR(BP22/BK22-1),"-",BP22/BK22-1)</f>
        <v>5.6691253951527854E-2</v>
      </c>
      <c r="BQ23" s="337">
        <f t="shared" si="5"/>
        <v>0.14370174584405637</v>
      </c>
      <c r="BR23" s="1151">
        <f t="shared" si="5"/>
        <v>3.5046812784732984E-2</v>
      </c>
      <c r="BS23" s="287">
        <f t="shared" si="5"/>
        <v>0.15971327319587636</v>
      </c>
      <c r="BT23" s="337">
        <f t="shared" si="5"/>
        <v>0.1592670384587529</v>
      </c>
      <c r="BU23" s="337">
        <f t="shared" si="5"/>
        <v>2.7921818907060247E-2</v>
      </c>
      <c r="BV23" s="337">
        <f t="shared" si="5"/>
        <v>1.9217904275375508E-2</v>
      </c>
      <c r="BW23" s="1151">
        <f t="shared" si="5"/>
        <v>8.5222152907742377E-2</v>
      </c>
      <c r="BX23" s="337">
        <f t="shared" si="5"/>
        <v>2.4029446489339579E-2</v>
      </c>
      <c r="BY23" s="337">
        <f t="shared" si="5"/>
        <v>7.403473697363494E-2</v>
      </c>
      <c r="BZ23" s="337">
        <f t="shared" si="5"/>
        <v>4.5660328547406648E-2</v>
      </c>
      <c r="CA23" s="337">
        <f t="shared" si="5"/>
        <v>1.4141655230025751E-2</v>
      </c>
      <c r="CB23" s="1151">
        <f t="shared" si="5"/>
        <v>3.9504359211828932E-2</v>
      </c>
      <c r="CC23" s="337">
        <f t="shared" si="5"/>
        <v>-9.6642929806714184E-2</v>
      </c>
      <c r="CD23" s="337">
        <f t="shared" si="5"/>
        <v>-0.14507591181432145</v>
      </c>
      <c r="CE23" s="337">
        <f t="shared" si="5"/>
        <v>-0.1472043542800594</v>
      </c>
      <c r="CF23" s="337">
        <f>IF(ISERROR(CF22/CA22-1),"-",CF22/CA22-1)</f>
        <v>-0.15862555895504826</v>
      </c>
      <c r="CG23" s="1151">
        <f t="shared" si="5"/>
        <v>-0.13917647938895505</v>
      </c>
      <c r="CH23" s="337">
        <f t="shared" si="5"/>
        <v>2.7777777777777679E-3</v>
      </c>
      <c r="CI23" s="337">
        <f t="shared" si="5"/>
        <v>1.2043274137579107E-2</v>
      </c>
      <c r="CJ23" s="337">
        <f t="shared" si="5"/>
        <v>4.1050188569770718E-2</v>
      </c>
      <c r="CK23" s="337">
        <f t="shared" si="5"/>
        <v>2.5104895104895109E-2</v>
      </c>
      <c r="CL23" s="1151">
        <f t="shared" si="5"/>
        <v>2.1491740977632956E-2</v>
      </c>
      <c r="CM23" s="337">
        <f t="shared" ref="CM23:CV23" si="6">IF(ISERROR(CM22/CH22-1),"-",CM22/CH22-1)</f>
        <v>3.4289136782211571E-2</v>
      </c>
      <c r="CN23" s="337">
        <f t="shared" si="6"/>
        <v>2.729595266908702E-2</v>
      </c>
      <c r="CO23" s="337">
        <f t="shared" si="6"/>
        <v>4.9324230179740747E-2</v>
      </c>
      <c r="CP23" s="337">
        <f t="shared" si="6"/>
        <v>4.7224845983349306E-2</v>
      </c>
      <c r="CQ23" s="1151">
        <f t="shared" si="6"/>
        <v>3.9554695990320576E-2</v>
      </c>
      <c r="CR23" s="337">
        <f t="shared" si="6"/>
        <v>6.16963837677591E-2</v>
      </c>
      <c r="CS23" s="337">
        <f t="shared" si="6"/>
        <v>7.0596755049851856E-2</v>
      </c>
      <c r="CT23" s="337">
        <f t="shared" si="6"/>
        <v>4.9024691989302704E-2</v>
      </c>
      <c r="CU23" s="337">
        <f t="shared" si="6"/>
        <v>4.2451880154410482E-2</v>
      </c>
      <c r="CV23" s="1151">
        <f t="shared" si="6"/>
        <v>5.9335313707607806E-2</v>
      </c>
      <c r="CW23" s="1151">
        <f>IF(ISERROR(CW22/CV22-1),"-",CW22/CV22-1)</f>
        <v>4.3325221917533518E-2</v>
      </c>
      <c r="CX23" s="1151">
        <f>IF(ISERROR(CX22/CW22-1),"-",CX22/CW22-1)</f>
        <v>4.3519107565297199E-2</v>
      </c>
      <c r="CY23" s="1151">
        <f>IF(ISERROR(CY22/CX22-1),"-",CY22/CX22-1)</f>
        <v>3.6016012062077385E-2</v>
      </c>
      <c r="CZ23" s="482"/>
    </row>
    <row r="24" spans="1:105" ht="12" customHeight="1">
      <c r="A24" s="482"/>
      <c r="B24" s="482"/>
      <c r="C24" s="482"/>
      <c r="D24" s="1156" t="s">
        <v>829</v>
      </c>
      <c r="E24" s="1155"/>
      <c r="F24" s="336"/>
      <c r="G24" s="336"/>
      <c r="H24" s="336"/>
      <c r="I24" s="336"/>
      <c r="J24" s="286"/>
      <c r="K24" s="287"/>
      <c r="L24" s="287"/>
      <c r="M24" s="287"/>
      <c r="N24" s="287"/>
      <c r="O24" s="286"/>
      <c r="P24" s="287"/>
      <c r="Q24" s="287"/>
      <c r="R24" s="287"/>
      <c r="S24" s="287"/>
      <c r="T24" s="286"/>
      <c r="U24" s="287"/>
      <c r="V24" s="287"/>
      <c r="W24" s="287"/>
      <c r="X24" s="287"/>
      <c r="Y24" s="286">
        <v>0.04</v>
      </c>
      <c r="Z24" s="1153">
        <v>0.12</v>
      </c>
      <c r="AA24" s="1153">
        <v>0.11</v>
      </c>
      <c r="AB24" s="1153">
        <v>0.05</v>
      </c>
      <c r="AC24" s="1153">
        <v>0.04</v>
      </c>
      <c r="AD24" s="286">
        <v>0.08</v>
      </c>
      <c r="AE24" s="287">
        <v>0.04</v>
      </c>
      <c r="AF24" s="287">
        <v>0.08</v>
      </c>
      <c r="AG24" s="287">
        <v>0.06</v>
      </c>
      <c r="AH24" s="287">
        <v>7.5111811343769069E-2</v>
      </c>
      <c r="AI24" s="286">
        <v>7.0000000000000007E-2</v>
      </c>
      <c r="AJ24" s="287">
        <v>0.06</v>
      </c>
      <c r="AK24" s="287">
        <v>0.02</v>
      </c>
      <c r="AL24" s="287">
        <v>0.02</v>
      </c>
      <c r="AM24" s="287">
        <v>0</v>
      </c>
      <c r="AN24" s="286">
        <v>0.02</v>
      </c>
      <c r="AO24" s="287">
        <f t="shared" ref="AO24:AV24" si="7">AO23-AO25-AO26</f>
        <v>2.6665096561469537E-2</v>
      </c>
      <c r="AP24" s="287">
        <f t="shared" si="7"/>
        <v>3.7247227658186999E-3</v>
      </c>
      <c r="AQ24" s="287">
        <f t="shared" si="7"/>
        <v>1.9768149305270044E-2</v>
      </c>
      <c r="AR24" s="287">
        <f t="shared" si="7"/>
        <v>2.0699929616016299E-2</v>
      </c>
      <c r="AS24" s="286">
        <f t="shared" si="7"/>
        <v>2.4891174810261485E-2</v>
      </c>
      <c r="AT24" s="1152">
        <f t="shared" si="7"/>
        <v>2.6830102622576874E-2</v>
      </c>
      <c r="AU24" s="337">
        <f t="shared" si="7"/>
        <v>3.6720368239355636E-2</v>
      </c>
      <c r="AV24" s="337">
        <f t="shared" si="7"/>
        <v>1.8148308446945212E-2</v>
      </c>
      <c r="AW24" s="337">
        <f>AW23-AW26-AW25</f>
        <v>2.380589914367269E-2</v>
      </c>
      <c r="AX24" s="1151">
        <f>AX23-AX25-AX26</f>
        <v>3.127266750671126E-2</v>
      </c>
      <c r="AY24" s="287">
        <v>-0.01</v>
      </c>
      <c r="AZ24" s="287">
        <v>-0.01</v>
      </c>
      <c r="BA24" s="337">
        <f>BA23-BA25-BA26</f>
        <v>-2.5820351342393105E-2</v>
      </c>
      <c r="BB24" s="337">
        <v>0</v>
      </c>
      <c r="BC24" s="1151">
        <f>BC23-BC26-BC25</f>
        <v>-2.2696922536271841E-2</v>
      </c>
      <c r="BD24" s="337">
        <v>0</v>
      </c>
      <c r="BE24" s="287">
        <v>0.01</v>
      </c>
      <c r="BF24" s="287">
        <v>0.01</v>
      </c>
      <c r="BG24" s="337">
        <v>0.01</v>
      </c>
      <c r="BH24" s="1151">
        <f t="shared" ref="BH24:BM24" si="8">BH23-BH26-BH25</f>
        <v>6.2613257033856933E-3</v>
      </c>
      <c r="BI24" s="287">
        <f t="shared" si="8"/>
        <v>-4.7425249169435267E-2</v>
      </c>
      <c r="BJ24" s="287">
        <f t="shared" si="8"/>
        <v>-5.1673670482538812E-2</v>
      </c>
      <c r="BK24" s="287">
        <f t="shared" si="8"/>
        <v>-5.4845814977973494E-2</v>
      </c>
      <c r="BL24" s="337">
        <f t="shared" si="8"/>
        <v>-5.2763724434876189E-2</v>
      </c>
      <c r="BM24" s="1151">
        <f t="shared" si="8"/>
        <v>-5.3714243640245948E-2</v>
      </c>
      <c r="BN24" s="337">
        <v>-2.5000000000000001E-2</v>
      </c>
      <c r="BO24" s="287">
        <v>-0.03</v>
      </c>
      <c r="BP24" s="287">
        <v>0.11</v>
      </c>
      <c r="BQ24" s="337">
        <v>0.15</v>
      </c>
      <c r="BR24" s="1151">
        <v>0.06</v>
      </c>
      <c r="BS24" s="287">
        <v>0.18</v>
      </c>
      <c r="BT24" s="337">
        <f>BT23-BT25-BT26</f>
        <v>0.16450278844064609</v>
      </c>
      <c r="BU24" s="337">
        <f>BU23-BU25-BU26</f>
        <v>1.5531844169658306E-2</v>
      </c>
      <c r="BV24" s="1164">
        <v>-0.02</v>
      </c>
      <c r="BW24" s="1151">
        <f t="shared" ref="BW24:CQ24" si="9">BW23-BW25-BW26</f>
        <v>7.2755077285644884E-2</v>
      </c>
      <c r="BX24" s="337">
        <f t="shared" si="9"/>
        <v>-2.2636294187096277E-2</v>
      </c>
      <c r="BY24" s="337">
        <f t="shared" si="9"/>
        <v>4.3456828689241597E-2</v>
      </c>
      <c r="BZ24" s="337">
        <f t="shared" si="9"/>
        <v>-2.2319234251713393E-3</v>
      </c>
      <c r="CA24" s="337">
        <f t="shared" si="9"/>
        <v>-3.8158601348528345E-3</v>
      </c>
      <c r="CB24" s="1151">
        <f t="shared" si="9"/>
        <v>4.3275955673362856E-3</v>
      </c>
      <c r="CC24" s="337">
        <f t="shared" si="9"/>
        <v>-8.0413699559172658E-2</v>
      </c>
      <c r="CD24" s="337">
        <f t="shared" si="9"/>
        <v>-0.13386132278517829</v>
      </c>
      <c r="CE24" s="337">
        <f t="shared" si="9"/>
        <v>-9.3810613557644751E-2</v>
      </c>
      <c r="CF24" s="337">
        <f t="shared" si="9"/>
        <v>-0.13469286891033186</v>
      </c>
      <c r="CG24" s="1151">
        <f t="shared" si="9"/>
        <v>-0.11236290168022671</v>
      </c>
      <c r="CH24" s="337">
        <f t="shared" si="9"/>
        <v>3.3010510510510412E-3</v>
      </c>
      <c r="CI24" s="337">
        <f t="shared" si="9"/>
        <v>2.8631693542900336E-3</v>
      </c>
      <c r="CJ24" s="337">
        <f t="shared" si="9"/>
        <v>-1.0037713954163252E-3</v>
      </c>
      <c r="CK24" s="337">
        <f t="shared" si="9"/>
        <v>3.6114685314685292E-2</v>
      </c>
      <c r="CL24" s="1151">
        <f t="shared" si="9"/>
        <v>1.1708572930166267E-2</v>
      </c>
      <c r="CM24" s="337">
        <f>CM23-CM25-CM26</f>
        <v>5.7272208186851178E-3</v>
      </c>
      <c r="CN24" s="337">
        <f>CN23-CN25-CN26</f>
        <v>3.9123267643543444E-3</v>
      </c>
      <c r="CO24" s="337">
        <f>CO23-CO25-CO26</f>
        <v>-2.284659328410206E-2</v>
      </c>
      <c r="CP24" s="337">
        <f>CP23-CP25-CP26</f>
        <v>4.0400165975069957E-5</v>
      </c>
      <c r="CQ24" s="1151">
        <f t="shared" si="9"/>
        <v>-1.8523823277020596E-3</v>
      </c>
      <c r="CR24" s="337">
        <f>CR23-CR25-CR26</f>
        <v>1.2496398039500908E-3</v>
      </c>
      <c r="CS24" s="337">
        <v>0</v>
      </c>
      <c r="CT24" s="337">
        <v>0</v>
      </c>
      <c r="CU24" s="337">
        <v>0</v>
      </c>
      <c r="CV24" s="1151">
        <v>0</v>
      </c>
      <c r="CW24" s="1151">
        <v>0</v>
      </c>
      <c r="CX24" s="1151">
        <f>CX23-CX25-CX26</f>
        <v>-7.8065767769931044E-4</v>
      </c>
      <c r="CY24" s="1151">
        <f>CY23-CY25-CY26</f>
        <v>-6.4606509437666743E-4</v>
      </c>
      <c r="CZ24" s="482"/>
    </row>
    <row r="25" spans="1:105" ht="12" customHeight="1">
      <c r="A25" s="482"/>
      <c r="B25" s="482"/>
      <c r="C25" s="482"/>
      <c r="D25" s="1156" t="s">
        <v>828</v>
      </c>
      <c r="E25" s="1155"/>
      <c r="F25" s="336"/>
      <c r="G25" s="336"/>
      <c r="H25" s="336"/>
      <c r="I25" s="336"/>
      <c r="J25" s="286"/>
      <c r="K25" s="287"/>
      <c r="L25" s="287"/>
      <c r="M25" s="287"/>
      <c r="N25" s="287"/>
      <c r="O25" s="286">
        <v>-2.0569913102358617E-2</v>
      </c>
      <c r="P25" s="287"/>
      <c r="Q25" s="287"/>
      <c r="R25" s="287"/>
      <c r="S25" s="287"/>
      <c r="T25" s="286"/>
      <c r="U25" s="287"/>
      <c r="V25" s="287"/>
      <c r="W25" s="287"/>
      <c r="X25" s="287"/>
      <c r="Y25" s="286">
        <v>0.04</v>
      </c>
      <c r="Z25" s="1153">
        <v>0.05</v>
      </c>
      <c r="AA25" s="1153">
        <v>0.02</v>
      </c>
      <c r="AB25" s="1153">
        <v>0.03</v>
      </c>
      <c r="AC25" s="1153">
        <v>0.02</v>
      </c>
      <c r="AD25" s="286">
        <v>0.03</v>
      </c>
      <c r="AE25" s="287">
        <v>-1.1982419616007343E-2</v>
      </c>
      <c r="AF25" s="287">
        <v>1.9010600706713801E-2</v>
      </c>
      <c r="AG25" s="287">
        <v>1.7683906199807226E-2</v>
      </c>
      <c r="AH25" s="287">
        <v>-1.421242179067668E-2</v>
      </c>
      <c r="AI25" s="286">
        <v>0</v>
      </c>
      <c r="AJ25" s="287">
        <f>AJ23-AJ24-AJ26</f>
        <v>-2.1584989901137414E-2</v>
      </c>
      <c r="AK25" s="287">
        <f>AK23-AK24-AK26</f>
        <v>-2.8694404591114719E-4</v>
      </c>
      <c r="AL25" s="287">
        <f>AL23-AL24-AL26</f>
        <v>1.5359926639156279E-2</v>
      </c>
      <c r="AM25" s="287">
        <v>2.5735512630014858E-2</v>
      </c>
      <c r="AN25" s="286">
        <v>0.01</v>
      </c>
      <c r="AO25" s="287">
        <v>0.03</v>
      </c>
      <c r="AP25" s="287">
        <v>0.03</v>
      </c>
      <c r="AQ25" s="287">
        <v>0.03</v>
      </c>
      <c r="AR25" s="287">
        <v>0.05</v>
      </c>
      <c r="AS25" s="286">
        <v>0.03</v>
      </c>
      <c r="AT25" s="1152">
        <v>0.04</v>
      </c>
      <c r="AU25" s="287">
        <v>0.05</v>
      </c>
      <c r="AV25" s="287">
        <v>0.03</v>
      </c>
      <c r="AW25" s="287">
        <v>-0.05</v>
      </c>
      <c r="AX25" s="1151">
        <v>0.01</v>
      </c>
      <c r="AY25" s="287">
        <v>-0.06</v>
      </c>
      <c r="AZ25" s="287">
        <v>-0.05</v>
      </c>
      <c r="BA25" s="337">
        <v>-0.03</v>
      </c>
      <c r="BB25" s="337">
        <v>3.0416461571724961E-2</v>
      </c>
      <c r="BC25" s="1151">
        <v>-0.03</v>
      </c>
      <c r="BD25" s="337">
        <v>0.03</v>
      </c>
      <c r="BE25" s="287">
        <v>0</v>
      </c>
      <c r="BF25" s="287">
        <v>-0.01</v>
      </c>
      <c r="BG25" s="337">
        <v>-0.01</v>
      </c>
      <c r="BH25" s="1151">
        <v>0.01</v>
      </c>
      <c r="BI25" s="287">
        <v>0.01</v>
      </c>
      <c r="BJ25" s="337">
        <v>0.04</v>
      </c>
      <c r="BK25" s="337">
        <v>0.04</v>
      </c>
      <c r="BL25" s="337">
        <v>0</v>
      </c>
      <c r="BM25" s="1151">
        <v>0.02</v>
      </c>
      <c r="BN25" s="337">
        <v>-0.01</v>
      </c>
      <c r="BO25" s="287">
        <v>-0.03</v>
      </c>
      <c r="BP25" s="287">
        <v>-0.03</v>
      </c>
      <c r="BQ25" s="337">
        <v>-0.01</v>
      </c>
      <c r="BR25" s="1151">
        <v>-0.02</v>
      </c>
      <c r="BS25" s="337">
        <v>0</v>
      </c>
      <c r="BT25" s="337">
        <v>0</v>
      </c>
      <c r="BU25" s="337">
        <v>0</v>
      </c>
      <c r="BV25" s="337">
        <v>0</v>
      </c>
      <c r="BW25" s="1151">
        <v>0</v>
      </c>
      <c r="BX25" s="337">
        <v>-3.9086047642197374E-3</v>
      </c>
      <c r="BY25" s="337">
        <v>-4.9543921029614288E-4</v>
      </c>
      <c r="BZ25" s="337">
        <v>-2.1627215108006225E-3</v>
      </c>
      <c r="CA25" s="337">
        <v>-2.1261411778745739E-2</v>
      </c>
      <c r="CB25" s="1151">
        <v>-7.2240426277878E-3</v>
      </c>
      <c r="CC25" s="337">
        <v>-4.5825025432349939E-2</v>
      </c>
      <c r="CD25" s="337">
        <v>-4.2783433191786409E-2</v>
      </c>
      <c r="CE25" s="337">
        <v>-4.4940623453735777E-2</v>
      </c>
      <c r="CF25" s="337">
        <f>((CA12*Otis!CJ15)+('Divisional Summary'!CA13*CCS!CF15)+('Divisional Summary'!CA16*Pratt!CJ15)+('Divisional Summary'!CA18*'Aerospace Systems'!AL15))/'Divisional Summary'!CA22</f>
        <v>-3.4353965638973881E-2</v>
      </c>
      <c r="CG25" s="1151">
        <v>-4.2474714421477967E-2</v>
      </c>
      <c r="CH25" s="337">
        <f>((CC12*Otis!CL15)+('Divisional Summary'!CC13*CCS!CH15)+('Divisional Summary'!CC16*Pratt!CL15)+('Divisional Summary'!CC18*'Aerospace Systems'!AN15))/'Divisional Summary'!CC22</f>
        <v>-2.116216216216216E-2</v>
      </c>
      <c r="CI25" s="337">
        <f>((CD12*Otis!CM15)+('Divisional Summary'!CD13*CCS!CI15)+('Divisional Summary'!CD16*Pratt!CM15)+('Divisional Summary'!CD18*'Aerospace Systems'!AO15))/'Divisional Summary'!CD22</f>
        <v>-6.9551609171940171E-3</v>
      </c>
      <c r="CJ25" s="337">
        <f>((CE12*Otis!CN15)+('Divisional Summary'!CE13*CCS!CJ15)+('Divisional Summary'!CE16*Pratt!CN15)+('Divisional Summary'!CE18*'Aerospace Systems'!AP15))/'Divisional Summary'!CE22</f>
        <v>-3.4812880765884135E-3</v>
      </c>
      <c r="CK25" s="337">
        <f>((CF12*Otis!CO15)+('Divisional Summary'!CF13*CCS!CK15)+('Divisional Summary'!CF16*Pratt!CO15)+('Divisional Summary'!CF18*'Aerospace Systems'!AQ15))/'Divisional Summary'!CF22</f>
        <v>-1.1009790209790184E-2</v>
      </c>
      <c r="CL25" s="1151">
        <v>-1.0520058713156925E-2</v>
      </c>
      <c r="CM25" s="337">
        <f>((CH12*Otis!CQ15)+('Divisional Summary'!CH13*CCS!CM15)+('Divisional Summary'!CH16*Pratt!CQ15)+('Divisional Summary'!CH18*'Aerospace Systems'!AS15))/'Divisional Summary'!CH22</f>
        <v>-6.5134386464026249E-3</v>
      </c>
      <c r="CN25" s="337">
        <f>((CI12*Otis!CR15)+('Divisional Summary'!CI13*CCS!CN15)+('Divisional Summary'!CI16*Pratt!CR15)+('Divisional Summary'!CI18*'Aerospace Systems'!AT15))/'Divisional Summary'!CI22</f>
        <v>-6.1516740621218183E-3</v>
      </c>
      <c r="CO25" s="337">
        <f>((CJ12*Otis!CS15)+('Divisional Summary'!CJ13*CCS!CO15)+('Divisional Summary'!CJ16*Pratt!CS15)+('Divisional Summary'!CJ18*'Aerospace Systems'!AU15))/'Divisional Summary'!CJ22</f>
        <v>1.2170823463842812E-2</v>
      </c>
      <c r="CP25" s="337">
        <f>((CK12*Otis!CT15)+('Divisional Summary'!CK13*CCS!CP15)+('Divisional Summary'!CK16*Pratt!CT15)+('Divisional Summary'!CK18*'Aerospace Systems'!AV15))/'Divisional Summary'!CK22</f>
        <v>1.3220457589713599E-2</v>
      </c>
      <c r="CQ25" s="1151">
        <f>((CL12*Otis!CU15)+('Divisional Summary'!CL13*CCS!CQ15)+('Divisional Summary'!CL16*Pratt!CU15)+('Divisional Summary'!CL18*'Aerospace Systems'!AW15))/'Divisional Summary'!CL22</f>
        <v>3.319102225693725E-3</v>
      </c>
      <c r="CR25" s="337">
        <f>((CM12*Otis!CV15)+('Divisional Summary'!CM13*CCS!CR15)+('Divisional Summary'!CM16*Pratt!CV15)+('Divisional Summary'!CM18*'Aerospace Systems'!AX15))/'Divisional Summary'!CM22</f>
        <v>1.4703711028593655E-2</v>
      </c>
      <c r="CS25" s="337">
        <f>((CN12*Otis!CW15)+('Divisional Summary'!CN13*CCS!CS15)+('Divisional Summary'!CN16*Pratt!CW15)+('Divisional Summary'!CN18*'Aerospace Systems'!AY15))/'Divisional Summary'!CN22</f>
        <v>1.9423841709293378E-2</v>
      </c>
      <c r="CT25" s="337">
        <f>((CO12*Otis!CX15)+('Divisional Summary'!CO13*CCS!CT15)+('Divisional Summary'!CO16*Pratt!CX15)+('Divisional Summary'!CO18*'Aerospace Systems'!AZ15))/'Divisional Summary'!CO22</f>
        <v>1.9702516120568305E-2</v>
      </c>
      <c r="CU25" s="337">
        <f>((CP12*Otis!CY15)+('Divisional Summary'!CP13*CCS!CU15)+('Divisional Summary'!CP16*Pratt!CY15)+('Divisional Summary'!CP18*'Aerospace Systems'!BA15))/'Divisional Summary'!CP22</f>
        <v>0</v>
      </c>
      <c r="CV25" s="1151">
        <f>((CQ12*Otis!CZ15)+('Divisional Summary'!CQ13*CCS!CV15)+('Divisional Summary'!CQ16*Pratt!CZ15)+('Divisional Summary'!CQ18*'Aerospace Systems'!BB15))/'Divisional Summary'!CQ22</f>
        <v>1.3129353080329595E-2</v>
      </c>
      <c r="CW25" s="1151">
        <f>((CV12*Otis!DA15)+('Divisional Summary'!CV13*CCS!CW15)+('Divisional Summary'!CV16*Pratt!DA15)+('Divisional Summary'!CV18*'Aerospace Systems'!BC15))/'Divisional Summary'!CV22</f>
        <v>0</v>
      </c>
      <c r="CX25" s="1151">
        <v>0</v>
      </c>
      <c r="CY25" s="1151">
        <v>0</v>
      </c>
      <c r="CZ25" s="482"/>
    </row>
    <row r="26" spans="1:105" ht="12" customHeight="1">
      <c r="A26" s="482"/>
      <c r="B26" s="482"/>
      <c r="C26" s="482"/>
      <c r="D26" s="1156" t="s">
        <v>827</v>
      </c>
      <c r="E26" s="1155"/>
      <c r="F26" s="336"/>
      <c r="G26" s="336"/>
      <c r="H26" s="336"/>
      <c r="I26" s="336"/>
      <c r="J26" s="286"/>
      <c r="K26" s="287"/>
      <c r="L26" s="287"/>
      <c r="M26" s="287"/>
      <c r="N26" s="287"/>
      <c r="O26" s="286"/>
      <c r="P26" s="287"/>
      <c r="Q26" s="287"/>
      <c r="R26" s="287"/>
      <c r="S26" s="287"/>
      <c r="T26" s="286">
        <v>8.1787706735309829E-2</v>
      </c>
      <c r="U26" s="287"/>
      <c r="V26" s="287"/>
      <c r="W26" s="287"/>
      <c r="X26" s="287"/>
      <c r="Y26" s="286">
        <v>2.0028356727633659E-2</v>
      </c>
      <c r="Z26" s="1153">
        <v>0.12006266786034019</v>
      </c>
      <c r="AA26" s="1153">
        <v>0.10517329910141217</v>
      </c>
      <c r="AB26" s="1153">
        <v>9.4126225798340471E-2</v>
      </c>
      <c r="AC26" s="1153">
        <v>8.5551932929669255E-2</v>
      </c>
      <c r="AD26" s="286">
        <v>9.6579880131468648E-2</v>
      </c>
      <c r="AE26" s="287">
        <v>0.06</v>
      </c>
      <c r="AF26" s="287">
        <v>0.06</v>
      </c>
      <c r="AG26" s="287">
        <v>0.09</v>
      </c>
      <c r="AH26" s="287">
        <v>8.3743830613608114E-2</v>
      </c>
      <c r="AI26" s="286">
        <v>7.0000000000000007E-2</v>
      </c>
      <c r="AJ26" s="287">
        <v>0.09</v>
      </c>
      <c r="AK26" s="287">
        <v>0.08</v>
      </c>
      <c r="AL26" s="287">
        <v>0.08</v>
      </c>
      <c r="AM26" s="287">
        <f>AM23-AM24-AM25</f>
        <v>0.10977643124708311</v>
      </c>
      <c r="AN26" s="286">
        <f>AN23-AN24-AN25</f>
        <v>8.9461673493270971E-2</v>
      </c>
      <c r="AO26" s="287">
        <v>0.1</v>
      </c>
      <c r="AP26" s="287">
        <v>0.1</v>
      </c>
      <c r="AQ26" s="287">
        <v>0.09</v>
      </c>
      <c r="AR26" s="287">
        <v>0.08</v>
      </c>
      <c r="AS26" s="286">
        <v>0.09</v>
      </c>
      <c r="AT26" s="1152">
        <v>7.0000000000000007E-2</v>
      </c>
      <c r="AU26" s="287">
        <v>0.06</v>
      </c>
      <c r="AV26" s="287">
        <v>0.04</v>
      </c>
      <c r="AW26" s="287">
        <v>0.03</v>
      </c>
      <c r="AX26" s="1151">
        <v>0.05</v>
      </c>
      <c r="AY26" s="337">
        <f>AY23-AY24-AY25</f>
        <v>-5.6020919902564817E-2</v>
      </c>
      <c r="AZ26" s="337">
        <f>AZ23-AZ24-AZ25</f>
        <v>-0.12088309081786246</v>
      </c>
      <c r="BA26" s="337">
        <v>-7.0000000000000007E-2</v>
      </c>
      <c r="BB26" s="337">
        <f>BB23-BB24-BB25</f>
        <v>-8.3970963941393265E-2</v>
      </c>
      <c r="BC26" s="1151">
        <v>-7.0000000000000007E-2</v>
      </c>
      <c r="BD26" s="337">
        <f>BD23-BD24-BD25</f>
        <v>-4.3033855234035551E-2</v>
      </c>
      <c r="BE26" s="287">
        <f>BE23-BE24-BE25</f>
        <v>4.6814701378254282E-2</v>
      </c>
      <c r="BF26" s="287">
        <f>BF23-BF24-BF25</f>
        <v>3.2835368165617718E-2</v>
      </c>
      <c r="BG26" s="337">
        <f>BG23-BG24-BG25</f>
        <v>6.3309249588668681E-2</v>
      </c>
      <c r="BH26" s="1151">
        <v>0.02</v>
      </c>
      <c r="BI26" s="287">
        <v>0.09</v>
      </c>
      <c r="BJ26" s="337">
        <v>0.06</v>
      </c>
      <c r="BK26" s="337">
        <v>0.06</v>
      </c>
      <c r="BL26" s="337">
        <v>0.02</v>
      </c>
      <c r="BM26" s="1151">
        <v>0.06</v>
      </c>
      <c r="BN26" s="287">
        <f>BN23-BN25-BN24</f>
        <v>1.4720665982798057E-2</v>
      </c>
      <c r="BO26" s="287">
        <f>BO23-BO25-BO24</f>
        <v>1.4247010850784447E-2</v>
      </c>
      <c r="BP26" s="287">
        <f>BP23-BP25-BP24</f>
        <v>-2.3308746048472148E-2</v>
      </c>
      <c r="BQ26" s="337">
        <f>BQ23-BQ24-BQ25</f>
        <v>3.701745844056378E-3</v>
      </c>
      <c r="BR26" s="1151">
        <f>BR23-BR24-BR25</f>
        <v>-4.9531872152670138E-3</v>
      </c>
      <c r="BS26" s="287">
        <f>BS23-BS24-BS25</f>
        <v>-2.0286726804123634E-2</v>
      </c>
      <c r="BT26" s="337">
        <v>-5.2357499818931974E-3</v>
      </c>
      <c r="BU26" s="337">
        <v>1.2389974737401941E-2</v>
      </c>
      <c r="BV26" s="337">
        <f>+BV23-BV24</f>
        <v>3.9217904275375512E-2</v>
      </c>
      <c r="BW26" s="1151">
        <v>1.2467075622097494E-2</v>
      </c>
      <c r="BX26" s="337">
        <v>5.0574345440655595E-2</v>
      </c>
      <c r="BY26" s="337">
        <v>3.1073347494689485E-2</v>
      </c>
      <c r="BZ26" s="337">
        <v>5.0054973483378611E-2</v>
      </c>
      <c r="CA26" s="337">
        <v>3.9218927143624328E-2</v>
      </c>
      <c r="CB26" s="1151">
        <v>4.2400806272280447E-2</v>
      </c>
      <c r="CC26" s="337">
        <v>2.9595795184808416E-2</v>
      </c>
      <c r="CD26" s="337">
        <v>3.1568844162643245E-2</v>
      </c>
      <c r="CE26" s="337">
        <v>-8.4531172686788704E-3</v>
      </c>
      <c r="CF26" s="337">
        <f>((CA12*Otis!CJ16+'Divisional Summary'!CA13*CCS!CF16)+('Divisional Summary'!CA16*Pratt!CJ16)+('Divisional Summary'!CA18*'Aerospace Systems'!AL16))/'Divisional Summary'!CA22</f>
        <v>1.0421275594257472E-2</v>
      </c>
      <c r="CG26" s="1151">
        <f>SUMPRODUCT(CC26:CF26,BX22:CA22)/CB22</f>
        <v>1.5661136712749619E-2</v>
      </c>
      <c r="CH26" s="337">
        <v>2.0638888888888887E-2</v>
      </c>
      <c r="CI26" s="337">
        <v>1.6135265700483091E-2</v>
      </c>
      <c r="CJ26" s="337">
        <v>4.5535248041775458E-2</v>
      </c>
      <c r="CK26" s="337">
        <v>0</v>
      </c>
      <c r="CL26" s="1151">
        <v>2.030322676062361E-2</v>
      </c>
      <c r="CM26" s="337">
        <f>((CH12*Otis!CQ16)+('Divisional Summary'!CH13*CCS!CM16)+('Divisional Summary'!CH16*Pratt!CQ16)+('Divisional Summary'!CH18*'Aerospace Systems'!AS16))/SUM(CH12,CH13,CH16,CH18)</f>
        <v>3.5075354609929076E-2</v>
      </c>
      <c r="CN26" s="337">
        <f>((CI12*Otis!CR16)+('Divisional Summary'!CI13*CCS!CN16)+('Divisional Summary'!CI16*Pratt!CR16)+('Divisional Summary'!CI18*'Aerospace Systems'!AT16))/SUM(CI12,CI13,CI16,CI18)</f>
        <v>2.9535299966854493E-2</v>
      </c>
      <c r="CO26" s="337">
        <v>0.06</v>
      </c>
      <c r="CP26" s="337">
        <v>3.3963988227660634E-2</v>
      </c>
      <c r="CQ26" s="1151">
        <v>3.8087976092328911E-2</v>
      </c>
      <c r="CR26" s="337">
        <v>4.5743032935215353E-2</v>
      </c>
      <c r="CS26" s="337">
        <f>CS23-CS25-CS24</f>
        <v>5.1172913340558478E-2</v>
      </c>
      <c r="CT26" s="337">
        <f t="shared" ref="CT26:CW26" si="10">CT23-CT25-CT24</f>
        <v>2.9322175868734399E-2</v>
      </c>
      <c r="CU26" s="337">
        <f t="shared" si="10"/>
        <v>4.2451880154410482E-2</v>
      </c>
      <c r="CV26" s="1151">
        <f t="shared" si="10"/>
        <v>4.6205960627278213E-2</v>
      </c>
      <c r="CW26" s="1151">
        <f t="shared" si="10"/>
        <v>4.3325221917533518E-2</v>
      </c>
      <c r="CX26" s="1151">
        <v>4.429976524299651E-2</v>
      </c>
      <c r="CY26" s="1151">
        <v>3.6662077156454052E-2</v>
      </c>
      <c r="CZ26" s="482"/>
    </row>
    <row r="27" spans="1:105" ht="12" customHeight="1">
      <c r="A27" s="482"/>
      <c r="B27" s="482"/>
      <c r="C27" s="482"/>
      <c r="D27" s="1156"/>
      <c r="E27" s="1155"/>
      <c r="F27" s="336"/>
      <c r="G27" s="336"/>
      <c r="H27" s="336"/>
      <c r="I27" s="336"/>
      <c r="J27" s="286"/>
      <c r="K27" s="287"/>
      <c r="L27" s="287"/>
      <c r="M27" s="287"/>
      <c r="N27" s="287"/>
      <c r="O27" s="286"/>
      <c r="P27" s="287"/>
      <c r="Q27" s="287"/>
      <c r="R27" s="287"/>
      <c r="S27" s="287"/>
      <c r="T27" s="286"/>
      <c r="U27" s="287"/>
      <c r="V27" s="287"/>
      <c r="W27" s="287"/>
      <c r="X27" s="287"/>
      <c r="Y27" s="286"/>
      <c r="Z27" s="1153"/>
      <c r="AA27" s="1153"/>
      <c r="AB27" s="1153"/>
      <c r="AC27" s="1153"/>
      <c r="AD27" s="286"/>
      <c r="AE27" s="287"/>
      <c r="AF27" s="287"/>
      <c r="AG27" s="287"/>
      <c r="AH27" s="287"/>
      <c r="AI27" s="286"/>
      <c r="AJ27" s="287"/>
      <c r="AK27" s="287"/>
      <c r="AL27" s="287"/>
      <c r="AM27" s="287"/>
      <c r="AN27" s="286"/>
      <c r="AO27" s="287"/>
      <c r="AP27" s="287"/>
      <c r="AQ27" s="287"/>
      <c r="AR27" s="287"/>
      <c r="AS27" s="286"/>
      <c r="AT27" s="1152"/>
      <c r="AU27" s="287"/>
      <c r="AV27" s="287"/>
      <c r="AW27" s="287"/>
      <c r="AX27" s="1151"/>
      <c r="AY27" s="337"/>
      <c r="AZ27" s="337"/>
      <c r="BA27" s="337"/>
      <c r="BB27" s="337"/>
      <c r="BC27" s="1151"/>
      <c r="BD27" s="337"/>
      <c r="BE27" s="287"/>
      <c r="BF27" s="287"/>
      <c r="BG27" s="337"/>
      <c r="BH27" s="1151"/>
      <c r="BI27" s="287"/>
      <c r="BJ27" s="337"/>
      <c r="BK27" s="337"/>
      <c r="BL27" s="337"/>
      <c r="BM27" s="1151"/>
      <c r="BN27" s="337"/>
      <c r="BO27" s="337"/>
      <c r="BP27" s="337"/>
      <c r="BQ27" s="337"/>
      <c r="BR27" s="1151"/>
      <c r="BS27" s="287"/>
      <c r="BT27" s="337"/>
      <c r="BU27" s="337"/>
      <c r="BV27" s="1163"/>
      <c r="BW27" s="1151"/>
      <c r="BX27" s="337"/>
      <c r="BY27" s="337"/>
      <c r="BZ27" s="337"/>
      <c r="CA27" s="1162"/>
      <c r="CB27" s="1151"/>
      <c r="CC27" s="337"/>
      <c r="CD27" s="337"/>
      <c r="CE27" s="337"/>
      <c r="CF27" s="1162"/>
      <c r="CG27" s="1157"/>
      <c r="CH27" s="337"/>
      <c r="CI27" s="337"/>
      <c r="CJ27" s="337"/>
      <c r="CK27" s="1162"/>
      <c r="CL27" s="1895"/>
      <c r="CM27" s="337"/>
      <c r="CN27" s="337"/>
      <c r="CO27" s="337"/>
      <c r="CP27" s="337"/>
      <c r="CQ27" s="2264"/>
      <c r="CR27" s="337"/>
      <c r="CS27" s="337"/>
      <c r="CT27" s="337"/>
      <c r="CU27" s="337"/>
      <c r="CV27" s="1151"/>
      <c r="CW27" s="1151"/>
      <c r="CX27" s="1151"/>
      <c r="CY27" s="1151"/>
      <c r="CZ27" s="482"/>
    </row>
    <row r="28" spans="1:105" ht="12" customHeight="1">
      <c r="A28" s="482"/>
      <c r="B28" s="482"/>
      <c r="C28" s="1067" t="s">
        <v>302</v>
      </c>
      <c r="D28" s="1156"/>
      <c r="E28" s="1155"/>
      <c r="F28" s="336"/>
      <c r="G28" s="336"/>
      <c r="H28" s="336"/>
      <c r="I28" s="336"/>
      <c r="J28" s="1127">
        <v>18970</v>
      </c>
      <c r="K28" s="1128">
        <v>4812</v>
      </c>
      <c r="L28" s="1128">
        <v>5184</v>
      </c>
      <c r="M28" s="1128">
        <v>4923</v>
      </c>
      <c r="N28" s="1128">
        <v>5168</v>
      </c>
      <c r="O28" s="1127">
        <v>20087</v>
      </c>
      <c r="P28" s="1128">
        <v>4485</v>
      </c>
      <c r="Q28" s="1128">
        <v>5190</v>
      </c>
      <c r="R28" s="1128">
        <v>5238</v>
      </c>
      <c r="S28" s="1128">
        <v>5248</v>
      </c>
      <c r="T28" s="1127">
        <v>20161</v>
      </c>
      <c r="U28" s="1128">
        <v>4866</v>
      </c>
      <c r="V28" s="1128">
        <v>5619</v>
      </c>
      <c r="W28" s="1128">
        <v>5713</v>
      </c>
      <c r="X28" s="1128">
        <v>6310</v>
      </c>
      <c r="Y28" s="1127">
        <v>22508</v>
      </c>
      <c r="Z28" s="1128">
        <v>6275</v>
      </c>
      <c r="AA28" s="1128">
        <v>6976</v>
      </c>
      <c r="AB28" s="1128">
        <v>6802</v>
      </c>
      <c r="AC28" s="1128">
        <v>7168</v>
      </c>
      <c r="AD28" s="1127">
        <v>27221</v>
      </c>
      <c r="AE28" s="1128">
        <v>6815</v>
      </c>
      <c r="AF28" s="1128">
        <v>7990</v>
      </c>
      <c r="AG28" s="1128">
        <v>7891</v>
      </c>
      <c r="AH28" s="1128">
        <v>8239</v>
      </c>
      <c r="AI28" s="1127">
        <v>30935</v>
      </c>
      <c r="AJ28" s="1128">
        <v>7650</v>
      </c>
      <c r="AK28" s="1128">
        <v>8775</v>
      </c>
      <c r="AL28" s="1128">
        <v>8794</v>
      </c>
      <c r="AM28" s="1128">
        <v>9521</v>
      </c>
      <c r="AN28" s="1127">
        <v>34740</v>
      </c>
      <c r="AO28" s="1128">
        <v>8996</v>
      </c>
      <c r="AP28" s="1128">
        <v>10129</v>
      </c>
      <c r="AQ28" s="1128">
        <v>10068</v>
      </c>
      <c r="AR28" s="1128">
        <v>10729</v>
      </c>
      <c r="AS28" s="1127">
        <v>39922</v>
      </c>
      <c r="AT28" s="1128">
        <v>10238</v>
      </c>
      <c r="AU28" s="1128">
        <v>11636</v>
      </c>
      <c r="AV28" s="1128">
        <v>10935</v>
      </c>
      <c r="AW28" s="1128">
        <v>10828</v>
      </c>
      <c r="AX28" s="1127">
        <v>43637</v>
      </c>
      <c r="AY28" s="1128">
        <v>9107</v>
      </c>
      <c r="AZ28" s="1128">
        <v>9601</v>
      </c>
      <c r="BA28" s="1128">
        <v>9836</v>
      </c>
      <c r="BB28" s="1128">
        <v>10317</v>
      </c>
      <c r="BC28" s="1127">
        <v>38861</v>
      </c>
      <c r="BD28" s="1128">
        <v>8732</v>
      </c>
      <c r="BE28" s="1128">
        <v>10015</v>
      </c>
      <c r="BF28" s="1128">
        <v>9667</v>
      </c>
      <c r="BG28" s="1128">
        <v>11000</v>
      </c>
      <c r="BH28" s="1127">
        <v>39414</v>
      </c>
      <c r="BI28" s="1128">
        <v>9152</v>
      </c>
      <c r="BJ28" s="1128">
        <v>10468</v>
      </c>
      <c r="BK28" s="1128">
        <v>10338</v>
      </c>
      <c r="BL28" s="1128">
        <v>10851</v>
      </c>
      <c r="BM28" s="1127">
        <v>40809</v>
      </c>
      <c r="BN28" s="1128">
        <v>8930</v>
      </c>
      <c r="BO28" s="1128">
        <v>9934</v>
      </c>
      <c r="BP28" s="1128">
        <v>11003</v>
      </c>
      <c r="BQ28" s="1128">
        <v>12286</v>
      </c>
      <c r="BR28" s="1127">
        <v>42153</v>
      </c>
      <c r="BS28" s="1128">
        <v>10465</v>
      </c>
      <c r="BT28" s="1128">
        <f>BT22-BT31</f>
        <v>11552</v>
      </c>
      <c r="BU28" s="1128">
        <f>BU22-BU31</f>
        <v>11020</v>
      </c>
      <c r="BV28" s="1128">
        <f>BV22-BV31</f>
        <v>12284</v>
      </c>
      <c r="BW28" s="1127">
        <f>SUM(BS28:BV28)</f>
        <v>45321</v>
      </c>
      <c r="BX28" s="1128">
        <f t="shared" ref="BX28:CV28" si="11">BX22-BX31</f>
        <v>10690</v>
      </c>
      <c r="BY28" s="1128">
        <f t="shared" si="11"/>
        <v>12931</v>
      </c>
      <c r="BZ28" s="1128">
        <f t="shared" si="11"/>
        <v>11466</v>
      </c>
      <c r="CA28" s="1128">
        <f t="shared" si="11"/>
        <v>12360</v>
      </c>
      <c r="CB28" s="1127">
        <f t="shared" si="11"/>
        <v>47447</v>
      </c>
      <c r="CC28" s="1128">
        <f t="shared" si="11"/>
        <v>9506</v>
      </c>
      <c r="CD28" s="1128">
        <f t="shared" si="11"/>
        <v>10472</v>
      </c>
      <c r="CE28" s="1128">
        <f>CE22-CE31</f>
        <v>9800</v>
      </c>
      <c r="CF28" s="1128">
        <f>CF22-CF31</f>
        <v>10653</v>
      </c>
      <c r="CG28" s="1127">
        <f t="shared" si="11"/>
        <v>40365.611191779026</v>
      </c>
      <c r="CH28" s="1128">
        <f t="shared" si="11"/>
        <v>9654</v>
      </c>
      <c r="CI28" s="1128">
        <f>CI22-CI31</f>
        <v>10741</v>
      </c>
      <c r="CJ28" s="1128">
        <f>CJ22-CJ31</f>
        <v>10342</v>
      </c>
      <c r="CK28" s="1128">
        <f t="shared" si="11"/>
        <v>10723</v>
      </c>
      <c r="CL28" s="1127">
        <f t="shared" si="11"/>
        <v>41460</v>
      </c>
      <c r="CM28" s="1128">
        <f>CM22-CM31</f>
        <v>10077</v>
      </c>
      <c r="CN28" s="1128">
        <f>CN22-CN31</f>
        <v>11100</v>
      </c>
      <c r="CO28" s="1128">
        <f>CO22-CO31</f>
        <v>11043</v>
      </c>
      <c r="CP28" s="1128">
        <f>CP22-CP31</f>
        <v>11294.877684407164</v>
      </c>
      <c r="CQ28" s="1127">
        <f t="shared" si="11"/>
        <v>43514.877684407162</v>
      </c>
      <c r="CR28" s="1128">
        <f>CR22-CR31</f>
        <v>10835.981162356449</v>
      </c>
      <c r="CS28" s="1128">
        <f>CS22-CS31</f>
        <v>11985.695238282675</v>
      </c>
      <c r="CT28" s="1128">
        <f>CT22-CT31</f>
        <v>11473.660274593192</v>
      </c>
      <c r="CU28" s="1128">
        <f>CU22-CU31</f>
        <v>11711.87568273678</v>
      </c>
      <c r="CV28" s="1127">
        <f t="shared" si="11"/>
        <v>46217.000066110049</v>
      </c>
      <c r="CW28" s="1127">
        <f>CW22-CW31</f>
        <v>47990.291108502897</v>
      </c>
      <c r="CX28" s="1127">
        <f>CX22-CX31</f>
        <v>50051.953958522368</v>
      </c>
      <c r="CY28" s="1127">
        <f>CY22-CY31</f>
        <v>51835.188315000269</v>
      </c>
      <c r="CZ28" s="482"/>
    </row>
    <row r="29" spans="1:105" ht="12" customHeight="1">
      <c r="A29" s="482"/>
      <c r="B29" s="482"/>
      <c r="C29" s="482"/>
      <c r="D29" s="1156" t="s">
        <v>282</v>
      </c>
      <c r="E29" s="1155"/>
      <c r="F29" s="336"/>
      <c r="G29" s="336"/>
      <c r="H29" s="336"/>
      <c r="I29" s="336"/>
      <c r="J29" s="286" t="str">
        <f t="shared" ref="J29:AO29" si="12">IF(ISERROR(J28/E28-1),"-",J28/E28-1)</f>
        <v>-</v>
      </c>
      <c r="K29" s="287" t="str">
        <f t="shared" si="12"/>
        <v>-</v>
      </c>
      <c r="L29" s="287" t="str">
        <f t="shared" si="12"/>
        <v>-</v>
      </c>
      <c r="M29" s="287" t="str">
        <f t="shared" si="12"/>
        <v>-</v>
      </c>
      <c r="N29" s="287" t="str">
        <f t="shared" si="12"/>
        <v>-</v>
      </c>
      <c r="O29" s="286">
        <f t="shared" si="12"/>
        <v>5.8882445967316732E-2</v>
      </c>
      <c r="P29" s="287">
        <f t="shared" si="12"/>
        <v>-6.7955112219451386E-2</v>
      </c>
      <c r="Q29" s="287">
        <f t="shared" si="12"/>
        <v>1.1574074074074403E-3</v>
      </c>
      <c r="R29" s="287">
        <f t="shared" si="12"/>
        <v>6.3985374771480696E-2</v>
      </c>
      <c r="S29" s="287">
        <f t="shared" si="12"/>
        <v>1.5479876160990669E-2</v>
      </c>
      <c r="T29" s="286">
        <f t="shared" si="12"/>
        <v>3.6839747100114728E-3</v>
      </c>
      <c r="U29" s="287">
        <f t="shared" si="12"/>
        <v>8.494983277591972E-2</v>
      </c>
      <c r="V29" s="287">
        <f t="shared" si="12"/>
        <v>8.2658959537572185E-2</v>
      </c>
      <c r="W29" s="287">
        <f t="shared" si="12"/>
        <v>9.0683466972126814E-2</v>
      </c>
      <c r="X29" s="287">
        <f t="shared" si="12"/>
        <v>0.20236280487804881</v>
      </c>
      <c r="Y29" s="286">
        <f t="shared" si="12"/>
        <v>0.1164128763454193</v>
      </c>
      <c r="Z29" s="1153">
        <f t="shared" si="12"/>
        <v>0.28956021372790786</v>
      </c>
      <c r="AA29" s="1153">
        <f t="shared" si="12"/>
        <v>0.24150204662751373</v>
      </c>
      <c r="AB29" s="1153">
        <f t="shared" si="12"/>
        <v>0.19061788902503074</v>
      </c>
      <c r="AC29" s="1153">
        <f t="shared" si="12"/>
        <v>0.13597464342313792</v>
      </c>
      <c r="AD29" s="286">
        <f t="shared" si="12"/>
        <v>0.20939221610094183</v>
      </c>
      <c r="AE29" s="287">
        <f t="shared" si="12"/>
        <v>8.605577689243038E-2</v>
      </c>
      <c r="AF29" s="287">
        <f t="shared" si="12"/>
        <v>0.14535550458715596</v>
      </c>
      <c r="AG29" s="287">
        <f t="shared" si="12"/>
        <v>0.1600999705968833</v>
      </c>
      <c r="AH29" s="287">
        <f t="shared" si="12"/>
        <v>0.1494140625</v>
      </c>
      <c r="AI29" s="286">
        <f t="shared" si="12"/>
        <v>0.13643877888394984</v>
      </c>
      <c r="AJ29" s="287">
        <f t="shared" si="12"/>
        <v>0.12252384446074838</v>
      </c>
      <c r="AK29" s="287">
        <f t="shared" si="12"/>
        <v>9.824780976220282E-2</v>
      </c>
      <c r="AL29" s="287">
        <f t="shared" si="12"/>
        <v>0.11443416550500563</v>
      </c>
      <c r="AM29" s="287">
        <f t="shared" si="12"/>
        <v>0.15560140793785648</v>
      </c>
      <c r="AN29" s="286">
        <f t="shared" si="12"/>
        <v>0.12299983837077733</v>
      </c>
      <c r="AO29" s="287">
        <f t="shared" si="12"/>
        <v>0.17594771241830065</v>
      </c>
      <c r="AP29" s="287">
        <f t="shared" ref="AP29:BU29" si="13">IF(ISERROR(AP28/AK28-1),"-",AP28/AK28-1)</f>
        <v>0.15430199430199432</v>
      </c>
      <c r="AQ29" s="287">
        <f t="shared" si="13"/>
        <v>0.14487150329770304</v>
      </c>
      <c r="AR29" s="287">
        <f t="shared" si="13"/>
        <v>0.12687742884150821</v>
      </c>
      <c r="AS29" s="286">
        <f t="shared" si="13"/>
        <v>0.1491652274035693</v>
      </c>
      <c r="AT29" s="1152">
        <f t="shared" si="13"/>
        <v>0.13806136060471319</v>
      </c>
      <c r="AU29" s="287">
        <f t="shared" si="13"/>
        <v>0.14878072860104652</v>
      </c>
      <c r="AV29" s="287">
        <f t="shared" si="13"/>
        <v>8.6114421930870044E-2</v>
      </c>
      <c r="AW29" s="287">
        <f t="shared" si="13"/>
        <v>9.2273278031502759E-3</v>
      </c>
      <c r="AX29" s="1151">
        <f t="shared" si="13"/>
        <v>9.3056460097189486E-2</v>
      </c>
      <c r="AY29" s="337">
        <f t="shared" si="13"/>
        <v>-0.11047079507716351</v>
      </c>
      <c r="AZ29" s="337">
        <f t="shared" si="13"/>
        <v>-0.17488827775867999</v>
      </c>
      <c r="BA29" s="337">
        <f t="shared" si="13"/>
        <v>-0.10050297210791037</v>
      </c>
      <c r="BB29" s="337">
        <f t="shared" si="13"/>
        <v>-4.7192463982268174E-2</v>
      </c>
      <c r="BC29" s="1151">
        <f t="shared" si="13"/>
        <v>-0.10944840387744348</v>
      </c>
      <c r="BD29" s="337">
        <f t="shared" si="13"/>
        <v>-4.1177116503788302E-2</v>
      </c>
      <c r="BE29" s="287">
        <f t="shared" si="13"/>
        <v>4.3120508280387382E-2</v>
      </c>
      <c r="BF29" s="287">
        <f t="shared" si="13"/>
        <v>-1.7181781211874747E-2</v>
      </c>
      <c r="BG29" s="337">
        <f t="shared" si="13"/>
        <v>6.620141514006006E-2</v>
      </c>
      <c r="BH29" s="1151">
        <f t="shared" si="13"/>
        <v>1.4230205089935888E-2</v>
      </c>
      <c r="BI29" s="287">
        <f t="shared" si="13"/>
        <v>4.8098946404031118E-2</v>
      </c>
      <c r="BJ29" s="337">
        <f t="shared" si="13"/>
        <v>4.5232151772341522E-2</v>
      </c>
      <c r="BK29" s="337">
        <f t="shared" si="13"/>
        <v>6.9411399606910118E-2</v>
      </c>
      <c r="BL29" s="337">
        <f t="shared" si="13"/>
        <v>-1.3545454545454527E-2</v>
      </c>
      <c r="BM29" s="1151">
        <f t="shared" si="13"/>
        <v>3.5393514994672026E-2</v>
      </c>
      <c r="BN29" s="337">
        <f t="shared" si="13"/>
        <v>-2.4256993006993022E-2</v>
      </c>
      <c r="BO29" s="337">
        <f t="shared" si="13"/>
        <v>-5.1012609858616775E-2</v>
      </c>
      <c r="BP29" s="337">
        <f t="shared" si="13"/>
        <v>6.4325788353646773E-2</v>
      </c>
      <c r="BQ29" s="337">
        <f t="shared" si="13"/>
        <v>0.13224587595613313</v>
      </c>
      <c r="BR29" s="1151">
        <f t="shared" si="13"/>
        <v>3.2933911637138769E-2</v>
      </c>
      <c r="BS29" s="337">
        <f t="shared" si="13"/>
        <v>0.17189249720044786</v>
      </c>
      <c r="BT29" s="337">
        <f t="shared" si="13"/>
        <v>0.16287497483390379</v>
      </c>
      <c r="BU29" s="337">
        <f t="shared" si="13"/>
        <v>1.5450331727711042E-3</v>
      </c>
      <c r="BV29" s="337">
        <f t="shared" ref="BV29:CL29" si="14">IF(ISERROR(BV28/BQ28-1),"-",BV28/BQ28-1)</f>
        <v>-1.6278691193227779E-4</v>
      </c>
      <c r="BW29" s="1151">
        <f t="shared" si="14"/>
        <v>7.5154793253149332E-2</v>
      </c>
      <c r="BX29" s="337">
        <f t="shared" si="14"/>
        <v>2.1500238891543288E-2</v>
      </c>
      <c r="BY29" s="337">
        <f t="shared" si="14"/>
        <v>0.11937326869806086</v>
      </c>
      <c r="BZ29" s="337">
        <f t="shared" si="14"/>
        <v>4.0471869328493559E-2</v>
      </c>
      <c r="CA29" s="337">
        <f t="shared" si="14"/>
        <v>6.1869098013676016E-3</v>
      </c>
      <c r="CB29" s="1151">
        <f t="shared" si="14"/>
        <v>4.6909821054257339E-2</v>
      </c>
      <c r="CC29" s="337">
        <f t="shared" si="14"/>
        <v>-0.11075771749298413</v>
      </c>
      <c r="CD29" s="337">
        <f t="shared" si="14"/>
        <v>-0.19016317376846337</v>
      </c>
      <c r="CE29" s="337">
        <f t="shared" si="14"/>
        <v>-0.14529914529914534</v>
      </c>
      <c r="CF29" s="337">
        <f t="shared" si="14"/>
        <v>-0.13810679611650489</v>
      </c>
      <c r="CG29" s="1151">
        <f t="shared" si="14"/>
        <v>-0.14924839943981649</v>
      </c>
      <c r="CH29" s="337">
        <f t="shared" si="14"/>
        <v>1.5569114243635607E-2</v>
      </c>
      <c r="CI29" s="337">
        <f t="shared" si="14"/>
        <v>2.5687547746371386E-2</v>
      </c>
      <c r="CJ29" s="337">
        <f t="shared" si="14"/>
        <v>5.53061224489797E-2</v>
      </c>
      <c r="CK29" s="337">
        <f t="shared" si="14"/>
        <v>6.5709189899558762E-3</v>
      </c>
      <c r="CL29" s="1151">
        <f t="shared" si="14"/>
        <v>2.7111909764514053E-2</v>
      </c>
      <c r="CM29" s="337">
        <f t="shared" ref="CM29:CV29" si="15">IF(ISERROR(CM28/CH28-1),"-",CM28/CH28-1)</f>
        <v>4.3816034804226245E-2</v>
      </c>
      <c r="CN29" s="337">
        <f t="shared" si="15"/>
        <v>3.3423331160971959E-2</v>
      </c>
      <c r="CO29" s="337">
        <f t="shared" si="15"/>
        <v>6.7781860375169201E-2</v>
      </c>
      <c r="CP29" s="337">
        <f t="shared" si="15"/>
        <v>5.333187395385286E-2</v>
      </c>
      <c r="CQ29" s="1151">
        <f t="shared" si="15"/>
        <v>4.9562896391875499E-2</v>
      </c>
      <c r="CR29" s="337">
        <f t="shared" si="15"/>
        <v>7.5318166354713556E-2</v>
      </c>
      <c r="CS29" s="337">
        <f t="shared" si="15"/>
        <v>7.9792363809249922E-2</v>
      </c>
      <c r="CT29" s="337">
        <f t="shared" si="15"/>
        <v>3.8998485429067475E-2</v>
      </c>
      <c r="CU29" s="337">
        <f t="shared" si="15"/>
        <v>3.6919213291286113E-2</v>
      </c>
      <c r="CV29" s="1151">
        <f t="shared" si="15"/>
        <v>6.2096517915093408E-2</v>
      </c>
      <c r="CW29" s="1151">
        <f>IF(ISERROR(CW28/CV28-1),"-",CW28/CV28-1)</f>
        <v>3.8368804549327784E-2</v>
      </c>
      <c r="CX29" s="1151">
        <f>IF(ISERROR(CX28/CW28-1),"-",CX28/CW28-1)</f>
        <v>4.2959998833059565E-2</v>
      </c>
      <c r="CY29" s="1151">
        <f>IF(ISERROR(CY28/CX28-1),"-",CY28/CX28-1)</f>
        <v>3.5627667162717591E-2</v>
      </c>
      <c r="CZ29" s="482"/>
    </row>
    <row r="30" spans="1:105" ht="12" customHeight="1">
      <c r="A30" s="482"/>
      <c r="B30" s="482"/>
      <c r="C30" s="482"/>
      <c r="D30" s="1156"/>
      <c r="E30" s="1155"/>
      <c r="F30" s="336"/>
      <c r="G30" s="336"/>
      <c r="H30" s="336"/>
      <c r="I30" s="336"/>
      <c r="J30" s="286"/>
      <c r="K30" s="287"/>
      <c r="L30" s="287"/>
      <c r="M30" s="287"/>
      <c r="N30" s="287"/>
      <c r="O30" s="286"/>
      <c r="P30" s="287"/>
      <c r="Q30" s="287"/>
      <c r="R30" s="287"/>
      <c r="S30" s="287"/>
      <c r="T30" s="286"/>
      <c r="U30" s="287"/>
      <c r="V30" s="287"/>
      <c r="W30" s="287"/>
      <c r="X30" s="287"/>
      <c r="Y30" s="286"/>
      <c r="Z30" s="1153"/>
      <c r="AA30" s="1153"/>
      <c r="AB30" s="1153"/>
      <c r="AC30" s="1153"/>
      <c r="AD30" s="286"/>
      <c r="AE30" s="287"/>
      <c r="AF30" s="287"/>
      <c r="AG30" s="287"/>
      <c r="AH30" s="287"/>
      <c r="AI30" s="286"/>
      <c r="AJ30" s="287"/>
      <c r="AK30" s="287"/>
      <c r="AL30" s="287"/>
      <c r="AM30" s="287"/>
      <c r="AN30" s="286"/>
      <c r="AO30" s="287"/>
      <c r="AP30" s="287"/>
      <c r="AQ30" s="287"/>
      <c r="AR30" s="287"/>
      <c r="AS30" s="286"/>
      <c r="AT30" s="1152"/>
      <c r="AU30" s="287"/>
      <c r="AV30" s="287"/>
      <c r="AW30" s="287"/>
      <c r="AX30" s="1151"/>
      <c r="AY30" s="337"/>
      <c r="AZ30" s="337"/>
      <c r="BA30" s="337"/>
      <c r="BB30" s="337"/>
      <c r="BC30" s="1151"/>
      <c r="BD30" s="337"/>
      <c r="BE30" s="287"/>
      <c r="BF30" s="287"/>
      <c r="BG30" s="337"/>
      <c r="BH30" s="1151"/>
      <c r="BI30" s="287"/>
      <c r="BJ30" s="337"/>
      <c r="BK30" s="337"/>
      <c r="BL30" s="337"/>
      <c r="BM30" s="1151"/>
      <c r="BN30" s="337"/>
      <c r="BO30" s="337"/>
      <c r="BP30" s="337"/>
      <c r="BQ30" s="1128"/>
      <c r="BR30" s="1151"/>
      <c r="BS30" s="337"/>
      <c r="BT30" s="337"/>
      <c r="BU30" s="337"/>
      <c r="BV30" s="337"/>
      <c r="BW30" s="1151"/>
      <c r="BX30" s="337"/>
      <c r="BY30" s="337"/>
      <c r="BZ30" s="337"/>
      <c r="CA30" s="1162"/>
      <c r="CB30" s="1151"/>
      <c r="CC30" s="337"/>
      <c r="CD30" s="337"/>
      <c r="CE30" s="337"/>
      <c r="CF30" s="337"/>
      <c r="CG30" s="1151"/>
      <c r="CH30" s="337"/>
      <c r="CI30" s="337"/>
      <c r="CJ30" s="337"/>
      <c r="CK30" s="1162"/>
      <c r="CL30" s="1151"/>
      <c r="CM30" s="337"/>
      <c r="CN30" s="337"/>
      <c r="CO30" s="337"/>
      <c r="CP30" s="337"/>
      <c r="CQ30" s="1151"/>
      <c r="CR30" s="337"/>
      <c r="CS30" s="337"/>
      <c r="CT30" s="337"/>
      <c r="CU30" s="337"/>
      <c r="CV30" s="1151"/>
      <c r="CW30" s="1151"/>
      <c r="CX30" s="1151"/>
      <c r="CY30" s="1151"/>
      <c r="CZ30" s="482"/>
    </row>
    <row r="31" spans="1:105" ht="12" customHeight="1">
      <c r="A31" s="482"/>
      <c r="B31" s="482"/>
      <c r="C31" s="1067" t="s">
        <v>91</v>
      </c>
      <c r="D31" s="1156"/>
      <c r="E31" s="1155"/>
      <c r="F31" s="336"/>
      <c r="G31" s="336"/>
      <c r="H31" s="336"/>
      <c r="I31" s="336"/>
      <c r="J31" s="1127">
        <f t="shared" ref="J31:AO31" si="16">J22-J28</f>
        <v>7613</v>
      </c>
      <c r="K31" s="1128">
        <f t="shared" si="16"/>
        <v>1859</v>
      </c>
      <c r="L31" s="1128">
        <f t="shared" si="16"/>
        <v>2148</v>
      </c>
      <c r="M31" s="1128">
        <f t="shared" si="16"/>
        <v>1997</v>
      </c>
      <c r="N31" s="1128">
        <f t="shared" si="16"/>
        <v>1892</v>
      </c>
      <c r="O31" s="1127">
        <f t="shared" si="16"/>
        <v>7810</v>
      </c>
      <c r="P31" s="1128">
        <f t="shared" si="16"/>
        <v>1889</v>
      </c>
      <c r="Q31" s="1128">
        <f t="shared" si="16"/>
        <v>2134</v>
      </c>
      <c r="R31" s="1128">
        <f t="shared" si="16"/>
        <v>2061</v>
      </c>
      <c r="S31" s="1128">
        <f t="shared" si="16"/>
        <v>1967</v>
      </c>
      <c r="T31" s="1127">
        <f t="shared" si="16"/>
        <v>8051</v>
      </c>
      <c r="U31" s="1128">
        <f t="shared" si="16"/>
        <v>1836</v>
      </c>
      <c r="V31" s="1128">
        <f t="shared" si="16"/>
        <v>2171</v>
      </c>
      <c r="W31" s="1128">
        <f t="shared" si="16"/>
        <v>2241</v>
      </c>
      <c r="X31" s="1128">
        <f t="shared" si="16"/>
        <v>2278</v>
      </c>
      <c r="Y31" s="1127">
        <f t="shared" si="16"/>
        <v>8526</v>
      </c>
      <c r="Z31" s="1128">
        <f t="shared" si="16"/>
        <v>2371</v>
      </c>
      <c r="AA31" s="1128">
        <f t="shared" si="16"/>
        <v>2646</v>
      </c>
      <c r="AB31" s="1128">
        <f t="shared" si="16"/>
        <v>2537</v>
      </c>
      <c r="AC31" s="1128">
        <f t="shared" si="16"/>
        <v>2670</v>
      </c>
      <c r="AD31" s="1127">
        <f t="shared" si="16"/>
        <v>10224</v>
      </c>
      <c r="AE31" s="1128">
        <f t="shared" si="16"/>
        <v>2592</v>
      </c>
      <c r="AF31" s="1128">
        <f t="shared" si="16"/>
        <v>3162</v>
      </c>
      <c r="AG31" s="1128">
        <f t="shared" si="16"/>
        <v>3014</v>
      </c>
      <c r="AH31" s="1128">
        <f t="shared" si="16"/>
        <v>3022</v>
      </c>
      <c r="AI31" s="1127">
        <f t="shared" si="16"/>
        <v>11790</v>
      </c>
      <c r="AJ31" s="1128">
        <f t="shared" si="16"/>
        <v>2965</v>
      </c>
      <c r="AK31" s="1128">
        <f t="shared" si="16"/>
        <v>3489</v>
      </c>
      <c r="AL31" s="1128">
        <f t="shared" si="16"/>
        <v>3369</v>
      </c>
      <c r="AM31" s="1128">
        <f t="shared" si="16"/>
        <v>3266</v>
      </c>
      <c r="AN31" s="1127">
        <f t="shared" si="16"/>
        <v>13089</v>
      </c>
      <c r="AO31" s="1128">
        <f t="shared" si="16"/>
        <v>3282</v>
      </c>
      <c r="AP31" s="1128">
        <f t="shared" ref="AP31:BS31" si="17">AP22-AP28</f>
        <v>3775</v>
      </c>
      <c r="AQ31" s="1128">
        <f t="shared" si="17"/>
        <v>3795</v>
      </c>
      <c r="AR31" s="1128">
        <f t="shared" si="17"/>
        <v>3985</v>
      </c>
      <c r="AS31" s="1127">
        <f t="shared" si="17"/>
        <v>14837</v>
      </c>
      <c r="AT31" s="1128">
        <f t="shared" si="17"/>
        <v>3720</v>
      </c>
      <c r="AU31" s="1128">
        <f t="shared" si="17"/>
        <v>4308</v>
      </c>
      <c r="AV31" s="1128">
        <f t="shared" si="17"/>
        <v>4150</v>
      </c>
      <c r="AW31" s="1128">
        <f t="shared" si="17"/>
        <v>3942</v>
      </c>
      <c r="AX31" s="1127">
        <f t="shared" si="17"/>
        <v>16120</v>
      </c>
      <c r="AY31" s="1128">
        <f t="shared" si="17"/>
        <v>3092</v>
      </c>
      <c r="AZ31" s="1128">
        <f t="shared" si="17"/>
        <v>3459</v>
      </c>
      <c r="BA31" s="1128">
        <f t="shared" si="17"/>
        <v>3351</v>
      </c>
      <c r="BB31" s="1128">
        <f t="shared" si="17"/>
        <v>3662</v>
      </c>
      <c r="BC31" s="1127">
        <f t="shared" si="17"/>
        <v>13564</v>
      </c>
      <c r="BD31" s="1128">
        <f t="shared" si="17"/>
        <v>3308</v>
      </c>
      <c r="BE31" s="1128">
        <f t="shared" si="17"/>
        <v>3787</v>
      </c>
      <c r="BF31" s="1128">
        <f t="shared" si="17"/>
        <v>3953</v>
      </c>
      <c r="BG31" s="1128">
        <f t="shared" si="17"/>
        <v>3864</v>
      </c>
      <c r="BH31" s="1127">
        <f t="shared" si="17"/>
        <v>14912</v>
      </c>
      <c r="BI31" s="1128">
        <f t="shared" si="17"/>
        <v>3521</v>
      </c>
      <c r="BJ31" s="1128">
        <f t="shared" si="17"/>
        <v>4001</v>
      </c>
      <c r="BK31" s="1128">
        <f t="shared" si="17"/>
        <v>3897</v>
      </c>
      <c r="BL31" s="1128">
        <f t="shared" si="17"/>
        <v>3526</v>
      </c>
      <c r="BM31" s="1127">
        <f t="shared" si="17"/>
        <v>14945</v>
      </c>
      <c r="BN31" s="1128">
        <f t="shared" si="17"/>
        <v>3486</v>
      </c>
      <c r="BO31" s="1128">
        <f t="shared" si="17"/>
        <v>3873</v>
      </c>
      <c r="BP31" s="1128">
        <f t="shared" si="17"/>
        <v>4039</v>
      </c>
      <c r="BQ31" s="1128">
        <f t="shared" si="17"/>
        <v>4157</v>
      </c>
      <c r="BR31" s="1127">
        <f t="shared" si="17"/>
        <v>15555</v>
      </c>
      <c r="BS31" s="1128">
        <f t="shared" si="17"/>
        <v>3934</v>
      </c>
      <c r="BT31" s="1128">
        <f t="shared" ref="BT31:CV31" si="18">BT143+BT38+BT35-BT41</f>
        <v>4454</v>
      </c>
      <c r="BU31" s="1128">
        <f t="shared" si="18"/>
        <v>4442</v>
      </c>
      <c r="BV31" s="1128">
        <f t="shared" si="18"/>
        <v>4475</v>
      </c>
      <c r="BW31" s="1127">
        <f t="shared" si="18"/>
        <v>17305</v>
      </c>
      <c r="BX31" s="1128">
        <f t="shared" si="18"/>
        <v>4055</v>
      </c>
      <c r="BY31" s="1128">
        <f t="shared" si="18"/>
        <v>4260</v>
      </c>
      <c r="BZ31" s="1128">
        <f t="shared" si="18"/>
        <v>4702</v>
      </c>
      <c r="CA31" s="1128">
        <f t="shared" si="18"/>
        <v>4636</v>
      </c>
      <c r="CB31" s="1127">
        <f t="shared" si="18"/>
        <v>17653</v>
      </c>
      <c r="CC31" s="1128">
        <f t="shared" si="18"/>
        <v>3814</v>
      </c>
      <c r="CD31" s="1128">
        <f t="shared" si="18"/>
        <v>4225</v>
      </c>
      <c r="CE31" s="1128">
        <f>CE143+CE38+CE35-CE41</f>
        <v>3988</v>
      </c>
      <c r="CF31" s="1128">
        <f>CF143+CF38+CF35-CF41</f>
        <v>3647</v>
      </c>
      <c r="CG31" s="1127">
        <f t="shared" si="18"/>
        <v>15674</v>
      </c>
      <c r="CH31" s="1128">
        <f t="shared" si="18"/>
        <v>3703</v>
      </c>
      <c r="CI31" s="1128">
        <f>CI143+CI38+CI35-CI41</f>
        <v>4133</v>
      </c>
      <c r="CJ31" s="1128">
        <f>CJ143+CJ38+CJ35-CJ41</f>
        <v>4012</v>
      </c>
      <c r="CK31" s="1128">
        <f t="shared" si="18"/>
        <v>3936</v>
      </c>
      <c r="CL31" s="1127">
        <f t="shared" si="18"/>
        <v>15784</v>
      </c>
      <c r="CM31" s="1128">
        <f>CM143+CM38+CM35-CM41</f>
        <v>3738</v>
      </c>
      <c r="CN31" s="1128">
        <f>CN143+CN38+CN35-CN41</f>
        <v>4180</v>
      </c>
      <c r="CO31" s="1128">
        <f>CO143+CO38+CO35-CO41</f>
        <v>4019</v>
      </c>
      <c r="CP31" s="1128">
        <f>CP143+CP38+CP35-CP41</f>
        <v>4056.3913328627532</v>
      </c>
      <c r="CQ31" s="1127">
        <f t="shared" si="18"/>
        <v>15993.391332862753</v>
      </c>
      <c r="CR31" s="1128">
        <f>CR143+CR38+CR35-CR41</f>
        <v>3831.3543793951421</v>
      </c>
      <c r="CS31" s="1128">
        <f>CS143+CS38+CS35-CS41</f>
        <v>4373.0231788790634</v>
      </c>
      <c r="CT31" s="1128">
        <f>CT143+CT38+CT35-CT41</f>
        <v>4326.749636149686</v>
      </c>
      <c r="CU31" s="1128">
        <f>CU143+CU38+CU35-CU41</f>
        <v>4291.0835670723945</v>
      </c>
      <c r="CV31" s="1127">
        <f t="shared" si="18"/>
        <v>16822.210761496288</v>
      </c>
      <c r="CW31" s="1127">
        <f>CW143+CW38+CW35-CW41</f>
        <v>17780.107517715667</v>
      </c>
      <c r="CX31" s="1127">
        <f>CX143+CX38+CX35-CX41</f>
        <v>18580.71372012308</v>
      </c>
      <c r="CY31" s="1127">
        <f>CY143+CY38+CY35-CY41</f>
        <v>19269.354350611829</v>
      </c>
      <c r="CZ31" s="482"/>
    </row>
    <row r="32" spans="1:105" ht="12" customHeight="1">
      <c r="A32" s="482"/>
      <c r="B32" s="482"/>
      <c r="C32" s="482"/>
      <c r="D32" s="1156" t="s">
        <v>293</v>
      </c>
      <c r="E32" s="1155"/>
      <c r="F32" s="336"/>
      <c r="G32" s="336"/>
      <c r="H32" s="336"/>
      <c r="I32" s="336"/>
      <c r="J32" s="286">
        <f t="shared" ref="J32:AO32" si="19">J31/J22</f>
        <v>0.28638603618854153</v>
      </c>
      <c r="K32" s="287">
        <f t="shared" si="19"/>
        <v>0.27866886523759554</v>
      </c>
      <c r="L32" s="287">
        <f t="shared" si="19"/>
        <v>0.29296235679214405</v>
      </c>
      <c r="M32" s="287">
        <f t="shared" si="19"/>
        <v>0.28858381502890174</v>
      </c>
      <c r="N32" s="287">
        <f t="shared" si="19"/>
        <v>0.26798866855524078</v>
      </c>
      <c r="O32" s="286">
        <f t="shared" si="19"/>
        <v>0.27995841846793562</v>
      </c>
      <c r="P32" s="287">
        <f t="shared" si="19"/>
        <v>0.29636021336680263</v>
      </c>
      <c r="Q32" s="287">
        <f t="shared" si="19"/>
        <v>0.29137083560895688</v>
      </c>
      <c r="R32" s="287">
        <f t="shared" si="19"/>
        <v>0.28236744759556104</v>
      </c>
      <c r="S32" s="287">
        <f t="shared" si="19"/>
        <v>0.2726264726264726</v>
      </c>
      <c r="T32" s="286">
        <f t="shared" si="19"/>
        <v>0.28537501772295476</v>
      </c>
      <c r="U32" s="287">
        <f t="shared" si="19"/>
        <v>0.27394807520143238</v>
      </c>
      <c r="V32" s="287">
        <f t="shared" si="19"/>
        <v>0.27869062901155328</v>
      </c>
      <c r="W32" s="287">
        <f t="shared" si="19"/>
        <v>0.2817450339451848</v>
      </c>
      <c r="X32" s="287">
        <f t="shared" si="19"/>
        <v>0.26525384257102935</v>
      </c>
      <c r="Y32" s="286">
        <f t="shared" si="19"/>
        <v>0.27473094025907069</v>
      </c>
      <c r="Z32" s="1153">
        <f t="shared" si="19"/>
        <v>0.27423085820032383</v>
      </c>
      <c r="AA32" s="1153">
        <f t="shared" si="19"/>
        <v>0.27499480357514028</v>
      </c>
      <c r="AB32" s="1153">
        <f t="shared" si="19"/>
        <v>0.27165649427133526</v>
      </c>
      <c r="AC32" s="1153">
        <f t="shared" si="19"/>
        <v>0.27139662533035169</v>
      </c>
      <c r="AD32" s="286">
        <f t="shared" si="19"/>
        <v>0.27304045934036586</v>
      </c>
      <c r="AE32" s="287">
        <f t="shared" si="19"/>
        <v>0.27553949186775806</v>
      </c>
      <c r="AF32" s="287">
        <f t="shared" si="19"/>
        <v>0.28353658536585363</v>
      </c>
      <c r="AG32" s="287">
        <f t="shared" si="19"/>
        <v>0.27638697845025217</v>
      </c>
      <c r="AH32" s="287">
        <f t="shared" si="19"/>
        <v>0.26835982594796198</v>
      </c>
      <c r="AI32" s="286">
        <f t="shared" si="19"/>
        <v>0.27595084844938561</v>
      </c>
      <c r="AJ32" s="287">
        <f t="shared" si="19"/>
        <v>0.2793217145548752</v>
      </c>
      <c r="AK32" s="287">
        <f t="shared" si="19"/>
        <v>0.2844911937377691</v>
      </c>
      <c r="AL32" s="287">
        <f t="shared" si="19"/>
        <v>0.27698758529967937</v>
      </c>
      <c r="AM32" s="287">
        <f t="shared" si="19"/>
        <v>0.25541565652615938</v>
      </c>
      <c r="AN32" s="286">
        <f t="shared" si="19"/>
        <v>0.27366242237972777</v>
      </c>
      <c r="AO32" s="287">
        <f t="shared" si="19"/>
        <v>0.26730737905196283</v>
      </c>
      <c r="AP32" s="287">
        <f t="shared" ref="AP32:BU32" si="20">AP31/AP22</f>
        <v>0.27150460299194479</v>
      </c>
      <c r="AQ32" s="287">
        <f t="shared" si="20"/>
        <v>0.27375027050421985</v>
      </c>
      <c r="AR32" s="287">
        <f t="shared" si="20"/>
        <v>0.27083050156313715</v>
      </c>
      <c r="AS32" s="286">
        <f t="shared" si="20"/>
        <v>0.27095089391698168</v>
      </c>
      <c r="AT32" s="1152">
        <f t="shared" si="20"/>
        <v>0.26651382719587335</v>
      </c>
      <c r="AU32" s="287">
        <f t="shared" si="20"/>
        <v>0.27019568489713996</v>
      </c>
      <c r="AV32" s="287">
        <f t="shared" si="20"/>
        <v>0.27510772290354657</v>
      </c>
      <c r="AW32" s="287">
        <f t="shared" si="20"/>
        <v>0.26689234935680434</v>
      </c>
      <c r="AX32" s="1151">
        <f t="shared" si="20"/>
        <v>0.26975919139180349</v>
      </c>
      <c r="AY32" s="337">
        <f t="shared" si="20"/>
        <v>0.25346339863923273</v>
      </c>
      <c r="AZ32" s="337">
        <f t="shared" si="20"/>
        <v>0.26485451761102602</v>
      </c>
      <c r="BA32" s="337">
        <f t="shared" si="20"/>
        <v>0.2541139000530826</v>
      </c>
      <c r="BB32" s="337">
        <f t="shared" si="20"/>
        <v>0.26196437513412979</v>
      </c>
      <c r="BC32" s="1151">
        <f t="shared" si="20"/>
        <v>0.25873152122079163</v>
      </c>
      <c r="BD32" s="337">
        <f t="shared" si="20"/>
        <v>0.27475083056478405</v>
      </c>
      <c r="BE32" s="287">
        <f t="shared" si="20"/>
        <v>0.27438052456165773</v>
      </c>
      <c r="BF32" s="287">
        <f t="shared" si="20"/>
        <v>0.29023494860499266</v>
      </c>
      <c r="BG32" s="337">
        <f t="shared" si="20"/>
        <v>0.25995694294940797</v>
      </c>
      <c r="BH32" s="1151">
        <f t="shared" si="20"/>
        <v>0.2744910355998969</v>
      </c>
      <c r="BI32" s="287">
        <f t="shared" si="20"/>
        <v>0.27783476682711278</v>
      </c>
      <c r="BJ32" s="337">
        <f t="shared" si="20"/>
        <v>0.27652221991844633</v>
      </c>
      <c r="BK32" s="337">
        <f t="shared" si="20"/>
        <v>0.27376185458377239</v>
      </c>
      <c r="BL32" s="337">
        <f t="shared" si="20"/>
        <v>0.24525283438825901</v>
      </c>
      <c r="BM32" s="1151">
        <f t="shared" si="20"/>
        <v>0.26805251641137856</v>
      </c>
      <c r="BN32" s="337">
        <f t="shared" si="20"/>
        <v>0.28076675257731959</v>
      </c>
      <c r="BO32" s="337">
        <f t="shared" si="20"/>
        <v>0.28050988628956325</v>
      </c>
      <c r="BP32" s="337">
        <f t="shared" si="20"/>
        <v>0.26851482515622921</v>
      </c>
      <c r="BQ32" s="337">
        <f t="shared" si="20"/>
        <v>0.25281274706562062</v>
      </c>
      <c r="BR32" s="1151">
        <f t="shared" si="20"/>
        <v>0.26954668330214182</v>
      </c>
      <c r="BS32" s="337">
        <f t="shared" si="20"/>
        <v>0.27321341759844436</v>
      </c>
      <c r="BT32" s="337">
        <f t="shared" si="20"/>
        <v>0.27827064850680994</v>
      </c>
      <c r="BU32" s="337">
        <f t="shared" si="20"/>
        <v>0.28728495666796017</v>
      </c>
      <c r="BV32" s="337">
        <f t="shared" ref="BV32:CV32" si="21">BV31/BV22</f>
        <v>0.26702070529267857</v>
      </c>
      <c r="BW32" s="1151">
        <f t="shared" si="21"/>
        <v>0.27632293296713822</v>
      </c>
      <c r="BX32" s="337">
        <f t="shared" si="21"/>
        <v>0.27500847744998302</v>
      </c>
      <c r="BY32" s="337">
        <f t="shared" si="21"/>
        <v>0.24780408353208075</v>
      </c>
      <c r="BZ32" s="337">
        <f t="shared" si="21"/>
        <v>0.2908213755566551</v>
      </c>
      <c r="CA32" s="337">
        <f t="shared" si="21"/>
        <v>0.27277006354436339</v>
      </c>
      <c r="CB32" s="1151">
        <f t="shared" si="21"/>
        <v>0.27116743471582183</v>
      </c>
      <c r="CC32" s="337">
        <f t="shared" si="21"/>
        <v>0.28633633633633632</v>
      </c>
      <c r="CD32" s="337">
        <f t="shared" si="21"/>
        <v>0.28747363407498128</v>
      </c>
      <c r="CE32" s="337">
        <f>CE31/CE22</f>
        <v>0.28923701769654775</v>
      </c>
      <c r="CF32" s="337">
        <f>CF31/CF22</f>
        <v>0.25503496503496503</v>
      </c>
      <c r="CG32" s="1151">
        <f t="shared" si="21"/>
        <v>0.27969501691152643</v>
      </c>
      <c r="CH32" s="337">
        <f t="shared" si="21"/>
        <v>0.27723291158194208</v>
      </c>
      <c r="CI32" s="337">
        <f>CI31/CI22</f>
        <v>0.27786741965846445</v>
      </c>
      <c r="CJ32" s="337">
        <f>CJ31/CJ22</f>
        <v>0.27950397101853142</v>
      </c>
      <c r="CK32" s="337">
        <f t="shared" si="21"/>
        <v>0.26850399072242309</v>
      </c>
      <c r="CL32" s="1151">
        <f t="shared" si="21"/>
        <v>0.27573195444064008</v>
      </c>
      <c r="CM32" s="337">
        <f>CM31/CM22</f>
        <v>0.27057546145494027</v>
      </c>
      <c r="CN32" s="337">
        <f>CN31/CN22</f>
        <v>0.27356020942408377</v>
      </c>
      <c r="CO32" s="337">
        <f>CO31/CO22</f>
        <v>0.26683043420528485</v>
      </c>
      <c r="CP32" s="337">
        <f>CP31/CP22</f>
        <v>0.26423817655070614</v>
      </c>
      <c r="CQ32" s="1151">
        <f t="shared" si="21"/>
        <v>0.26875914216596192</v>
      </c>
      <c r="CR32" s="337">
        <f>CR31/CR22</f>
        <v>0.26121679486290644</v>
      </c>
      <c r="CS32" s="337">
        <f>CS31/CS22</f>
        <v>0.26732064623664997</v>
      </c>
      <c r="CT32" s="337">
        <f>CT31/CT22</f>
        <v>0.27383780930948382</v>
      </c>
      <c r="CU32" s="337">
        <f>CU31/CU22</f>
        <v>0.26814312903556031</v>
      </c>
      <c r="CV32" s="1151">
        <f t="shared" si="21"/>
        <v>0.26685313062531946</v>
      </c>
      <c r="CW32" s="1151">
        <f>CW31/CW22</f>
        <v>0.27033601573197469</v>
      </c>
      <c r="CX32" s="1151">
        <f>CX31/CX22</f>
        <v>0.27072696353757397</v>
      </c>
      <c r="CY32" s="1151">
        <f>CY31/CY22</f>
        <v>0.27100032752100045</v>
      </c>
      <c r="CZ32" s="482"/>
    </row>
    <row r="33" spans="1:105" ht="12" customHeight="1">
      <c r="A33" s="482"/>
      <c r="B33" s="482"/>
      <c r="C33" s="482"/>
      <c r="D33" s="1156" t="s">
        <v>282</v>
      </c>
      <c r="E33" s="1155"/>
      <c r="F33" s="336"/>
      <c r="G33" s="336"/>
      <c r="H33" s="336"/>
      <c r="I33" s="336"/>
      <c r="J33" s="286" t="str">
        <f>IF(ISERROR(J31/E31-1),"-",J31/E31-1)</f>
        <v>-</v>
      </c>
      <c r="K33" s="287"/>
      <c r="L33" s="287"/>
      <c r="M33" s="287"/>
      <c r="N33" s="287"/>
      <c r="O33" s="286">
        <f t="shared" ref="O33:AT33" si="22">IF(ISERROR(O31/J31-1),"-",O31/J31-1)</f>
        <v>2.587678970182572E-2</v>
      </c>
      <c r="P33" s="287">
        <f t="shared" si="22"/>
        <v>1.6137708445400856E-2</v>
      </c>
      <c r="Q33" s="287">
        <f t="shared" si="22"/>
        <v>-6.5176908752327956E-3</v>
      </c>
      <c r="R33" s="287">
        <f t="shared" si="22"/>
        <v>3.2048072108162184E-2</v>
      </c>
      <c r="S33" s="287">
        <f t="shared" si="22"/>
        <v>3.9640591966173311E-2</v>
      </c>
      <c r="T33" s="286">
        <f t="shared" si="22"/>
        <v>3.0857874519846451E-2</v>
      </c>
      <c r="U33" s="287">
        <f t="shared" si="22"/>
        <v>-2.8057173107464251E-2</v>
      </c>
      <c r="V33" s="287">
        <f t="shared" si="22"/>
        <v>1.733833177132138E-2</v>
      </c>
      <c r="W33" s="287">
        <f t="shared" si="22"/>
        <v>8.7336244541484698E-2</v>
      </c>
      <c r="X33" s="287">
        <f t="shared" si="22"/>
        <v>0.15810879511947129</v>
      </c>
      <c r="Y33" s="286">
        <f t="shared" si="22"/>
        <v>5.8998882126443997E-2</v>
      </c>
      <c r="Z33" s="1153">
        <f t="shared" si="22"/>
        <v>0.29139433551198257</v>
      </c>
      <c r="AA33" s="1153">
        <f t="shared" si="22"/>
        <v>0.21879318286503913</v>
      </c>
      <c r="AB33" s="1153">
        <f t="shared" si="22"/>
        <v>0.13208389112003571</v>
      </c>
      <c r="AC33" s="1153">
        <f t="shared" si="22"/>
        <v>0.17208077260755039</v>
      </c>
      <c r="AD33" s="286">
        <f t="shared" si="22"/>
        <v>0.19915552427867689</v>
      </c>
      <c r="AE33" s="287">
        <f t="shared" si="22"/>
        <v>9.320961619569812E-2</v>
      </c>
      <c r="AF33" s="287">
        <f t="shared" si="22"/>
        <v>0.19501133786848079</v>
      </c>
      <c r="AG33" s="287">
        <f t="shared" si="22"/>
        <v>0.18801734331888054</v>
      </c>
      <c r="AH33" s="287">
        <f t="shared" si="22"/>
        <v>0.13183520599250942</v>
      </c>
      <c r="AI33" s="286">
        <f t="shared" si="22"/>
        <v>0.153169014084507</v>
      </c>
      <c r="AJ33" s="287">
        <f t="shared" si="22"/>
        <v>0.14390432098765427</v>
      </c>
      <c r="AK33" s="287">
        <f t="shared" si="22"/>
        <v>0.10341555977229611</v>
      </c>
      <c r="AL33" s="287">
        <f t="shared" si="22"/>
        <v>0.1177836761778368</v>
      </c>
      <c r="AM33" s="287">
        <f t="shared" si="22"/>
        <v>8.0741230972865674E-2</v>
      </c>
      <c r="AN33" s="286">
        <f t="shared" si="22"/>
        <v>0.11017811704834601</v>
      </c>
      <c r="AO33" s="287">
        <f t="shared" si="22"/>
        <v>0.10691399662731871</v>
      </c>
      <c r="AP33" s="287">
        <f t="shared" si="22"/>
        <v>8.1971911722556579E-2</v>
      </c>
      <c r="AQ33" s="287">
        <f t="shared" si="22"/>
        <v>0.12644701691896709</v>
      </c>
      <c r="AR33" s="287">
        <f t="shared" si="22"/>
        <v>0.22014696876913664</v>
      </c>
      <c r="AS33" s="286">
        <f t="shared" si="22"/>
        <v>0.13354725341890128</v>
      </c>
      <c r="AT33" s="1152">
        <f t="shared" si="22"/>
        <v>0.13345521023766005</v>
      </c>
      <c r="AU33" s="287">
        <f t="shared" ref="AU33:BZ33" si="23">IF(ISERROR(AU31/AP31-1),"-",AU31/AP31-1)</f>
        <v>0.14119205298013249</v>
      </c>
      <c r="AV33" s="287">
        <f t="shared" si="23"/>
        <v>9.3544137022397944E-2</v>
      </c>
      <c r="AW33" s="287">
        <f t="shared" si="23"/>
        <v>-1.0790464240903352E-2</v>
      </c>
      <c r="AX33" s="1151">
        <f t="shared" si="23"/>
        <v>8.6473006672507902E-2</v>
      </c>
      <c r="AY33" s="337">
        <f t="shared" si="23"/>
        <v>-0.16881720430107527</v>
      </c>
      <c r="AZ33" s="337">
        <f t="shared" si="23"/>
        <v>-0.19707520891364905</v>
      </c>
      <c r="BA33" s="337">
        <f t="shared" si="23"/>
        <v>-0.19253012048192775</v>
      </c>
      <c r="BB33" s="337">
        <f t="shared" si="23"/>
        <v>-7.102993404363267E-2</v>
      </c>
      <c r="BC33" s="1151">
        <f t="shared" si="23"/>
        <v>-0.15856079404466505</v>
      </c>
      <c r="BD33" s="337">
        <f t="shared" si="23"/>
        <v>6.9857697283311815E-2</v>
      </c>
      <c r="BE33" s="287">
        <f t="shared" si="23"/>
        <v>9.4825093957791262E-2</v>
      </c>
      <c r="BF33" s="287">
        <f t="shared" si="23"/>
        <v>0.17964786630856455</v>
      </c>
      <c r="BG33" s="337">
        <f t="shared" si="23"/>
        <v>5.5161114145275914E-2</v>
      </c>
      <c r="BH33" s="1151">
        <f t="shared" si="23"/>
        <v>9.9380713653789421E-2</v>
      </c>
      <c r="BI33" s="287">
        <f t="shared" si="23"/>
        <v>6.4389359129383372E-2</v>
      </c>
      <c r="BJ33" s="337">
        <f t="shared" si="23"/>
        <v>5.6509110113546424E-2</v>
      </c>
      <c r="BK33" s="337">
        <f t="shared" si="23"/>
        <v>-1.416645585631171E-2</v>
      </c>
      <c r="BL33" s="337">
        <f t="shared" si="23"/>
        <v>-8.7474120082815743E-2</v>
      </c>
      <c r="BM33" s="1151">
        <f t="shared" si="23"/>
        <v>2.2129828326180601E-3</v>
      </c>
      <c r="BN33" s="337">
        <f t="shared" si="23"/>
        <v>-9.9403578528827197E-3</v>
      </c>
      <c r="BO33" s="337">
        <f t="shared" si="23"/>
        <v>-3.1992001999500141E-2</v>
      </c>
      <c r="BP33" s="337">
        <f t="shared" si="23"/>
        <v>3.6438285860918684E-2</v>
      </c>
      <c r="BQ33" s="337">
        <f t="shared" si="23"/>
        <v>0.17895632444696541</v>
      </c>
      <c r="BR33" s="1151">
        <f t="shared" si="23"/>
        <v>4.081632653061229E-2</v>
      </c>
      <c r="BS33" s="287">
        <f t="shared" si="23"/>
        <v>0.12851405622489964</v>
      </c>
      <c r="BT33" s="337">
        <f t="shared" si="23"/>
        <v>0.15001290988897487</v>
      </c>
      <c r="BU33" s="337">
        <f t="shared" si="23"/>
        <v>9.9777172567467209E-2</v>
      </c>
      <c r="BV33" s="337">
        <f t="shared" si="23"/>
        <v>7.6497474140004851E-2</v>
      </c>
      <c r="BW33" s="1151">
        <f t="shared" si="23"/>
        <v>0.11250401800064291</v>
      </c>
      <c r="BX33" s="337">
        <f t="shared" si="23"/>
        <v>3.0757498729028887E-2</v>
      </c>
      <c r="BY33" s="337">
        <f t="shared" si="23"/>
        <v>-4.355635383924561E-2</v>
      </c>
      <c r="BZ33" s="337">
        <f t="shared" si="23"/>
        <v>5.8532192705988306E-2</v>
      </c>
      <c r="CA33" s="337">
        <f t="shared" ref="CA33:CL33" si="24">IF(ISERROR(CA31/BV31-1),"-",CA31/BV31-1)</f>
        <v>3.5977653631285023E-2</v>
      </c>
      <c r="CB33" s="1151">
        <f t="shared" si="24"/>
        <v>2.0109794856977725E-2</v>
      </c>
      <c r="CC33" s="337">
        <f t="shared" si="24"/>
        <v>-5.9432799013563464E-2</v>
      </c>
      <c r="CD33" s="337">
        <f t="shared" si="24"/>
        <v>-8.215962441314506E-3</v>
      </c>
      <c r="CE33" s="337">
        <f t="shared" si="24"/>
        <v>-0.15185027647809446</v>
      </c>
      <c r="CF33" s="337">
        <f t="shared" si="24"/>
        <v>-0.21333045729076794</v>
      </c>
      <c r="CG33" s="1151">
        <f t="shared" si="24"/>
        <v>-0.11210559111765706</v>
      </c>
      <c r="CH33" s="337">
        <f t="shared" si="24"/>
        <v>-2.9103303618248533E-2</v>
      </c>
      <c r="CI33" s="337">
        <f t="shared" si="24"/>
        <v>-2.1775147928994043E-2</v>
      </c>
      <c r="CJ33" s="337">
        <f t="shared" si="24"/>
        <v>6.0180541624874628E-3</v>
      </c>
      <c r="CK33" s="337">
        <f t="shared" si="24"/>
        <v>7.9243213600219464E-2</v>
      </c>
      <c r="CL33" s="1151">
        <f t="shared" si="24"/>
        <v>7.0179915784100988E-3</v>
      </c>
      <c r="CM33" s="337">
        <f t="shared" ref="CM33:CV33" si="25">IF(ISERROR(CM31/CH31-1),"-",CM31/CH31-1)</f>
        <v>9.4517958412099201E-3</v>
      </c>
      <c r="CN33" s="337">
        <f t="shared" si="25"/>
        <v>1.1371884829421752E-2</v>
      </c>
      <c r="CO33" s="337">
        <f t="shared" si="25"/>
        <v>1.7447657028912822E-3</v>
      </c>
      <c r="CP33" s="337">
        <f t="shared" si="25"/>
        <v>3.058722887773202E-2</v>
      </c>
      <c r="CQ33" s="1151">
        <f t="shared" si="25"/>
        <v>1.3266049978633676E-2</v>
      </c>
      <c r="CR33" s="337">
        <f t="shared" si="25"/>
        <v>2.4974419313842144E-2</v>
      </c>
      <c r="CS33" s="337">
        <f t="shared" si="25"/>
        <v>4.6177793990206606E-2</v>
      </c>
      <c r="CT33" s="337">
        <f t="shared" si="25"/>
        <v>7.6573684038239831E-2</v>
      </c>
      <c r="CU33" s="337">
        <f t="shared" si="25"/>
        <v>5.785739465230777E-2</v>
      </c>
      <c r="CV33" s="1151">
        <f t="shared" si="25"/>
        <v>5.1822619192122277E-2</v>
      </c>
      <c r="CW33" s="1151">
        <f>IF(ISERROR(CW31/CV31-1),"-",CW31/CV31-1)</f>
        <v>5.6942382294476568E-2</v>
      </c>
      <c r="CX33" s="1151">
        <f>IF(ISERROR(CX31/CW31-1),"-",CX31/CW31-1)</f>
        <v>4.502819803590663E-2</v>
      </c>
      <c r="CY33" s="1151">
        <f>IF(ISERROR(CY31/CX31-1),"-",CY31/CX31-1)</f>
        <v>3.7062119403031613E-2</v>
      </c>
      <c r="CZ33" s="482"/>
    </row>
    <row r="34" spans="1:105" ht="12" customHeight="1">
      <c r="A34" s="482"/>
      <c r="B34" s="482"/>
      <c r="C34" s="482"/>
      <c r="D34" s="1156"/>
      <c r="E34" s="1155"/>
      <c r="F34" s="336"/>
      <c r="G34" s="336"/>
      <c r="H34" s="336"/>
      <c r="I34" s="336"/>
      <c r="J34" s="286"/>
      <c r="K34" s="287"/>
      <c r="L34" s="287"/>
      <c r="M34" s="287"/>
      <c r="N34" s="287"/>
      <c r="O34" s="286"/>
      <c r="P34" s="287"/>
      <c r="Q34" s="287"/>
      <c r="R34" s="287"/>
      <c r="S34" s="287"/>
      <c r="T34" s="286"/>
      <c r="U34" s="287"/>
      <c r="V34" s="287"/>
      <c r="W34" s="287"/>
      <c r="X34" s="287"/>
      <c r="Y34" s="286"/>
      <c r="Z34" s="1153"/>
      <c r="AA34" s="1153"/>
      <c r="AB34" s="1153"/>
      <c r="AC34" s="1153"/>
      <c r="AD34" s="286"/>
      <c r="AE34" s="287"/>
      <c r="AF34" s="287"/>
      <c r="AG34" s="287"/>
      <c r="AH34" s="287"/>
      <c r="AI34" s="286"/>
      <c r="AJ34" s="287"/>
      <c r="AK34" s="287"/>
      <c r="AL34" s="287"/>
      <c r="AM34" s="287"/>
      <c r="AN34" s="286"/>
      <c r="AO34" s="287"/>
      <c r="AP34" s="287"/>
      <c r="AQ34" s="287"/>
      <c r="AR34" s="287"/>
      <c r="AS34" s="286"/>
      <c r="AT34" s="1152"/>
      <c r="AU34" s="287"/>
      <c r="AV34" s="287"/>
      <c r="AW34" s="287"/>
      <c r="AX34" s="1151"/>
      <c r="AY34" s="337"/>
      <c r="AZ34" s="337"/>
      <c r="BA34" s="337"/>
      <c r="BB34" s="337"/>
      <c r="BC34" s="1151"/>
      <c r="BD34" s="337"/>
      <c r="BE34" s="287"/>
      <c r="BF34" s="287"/>
      <c r="BG34" s="337"/>
      <c r="BH34" s="1151"/>
      <c r="BI34" s="287"/>
      <c r="BJ34" s="337"/>
      <c r="BK34" s="337"/>
      <c r="BL34" s="337"/>
      <c r="BM34" s="1151"/>
      <c r="BN34" s="337"/>
      <c r="BO34" s="337"/>
      <c r="BP34" s="337"/>
      <c r="BQ34" s="1128"/>
      <c r="BR34" s="1151"/>
      <c r="BS34" s="287"/>
      <c r="BT34" s="337"/>
      <c r="BU34" s="337"/>
      <c r="BV34" s="337"/>
      <c r="BW34" s="1151"/>
      <c r="BX34" s="337"/>
      <c r="BY34" s="337"/>
      <c r="BZ34" s="337"/>
      <c r="CA34" s="1162"/>
      <c r="CB34" s="1151"/>
      <c r="CC34" s="337"/>
      <c r="CD34" s="337"/>
      <c r="CE34" s="337"/>
      <c r="CF34" s="337"/>
      <c r="CG34" s="1151"/>
      <c r="CH34" s="337"/>
      <c r="CI34" s="337"/>
      <c r="CJ34" s="337"/>
      <c r="CK34" s="1162"/>
      <c r="CL34" s="1151"/>
      <c r="CM34" s="337"/>
      <c r="CN34" s="337"/>
      <c r="CO34" s="337"/>
      <c r="CP34" s="337"/>
      <c r="CQ34" s="1151"/>
      <c r="CR34" s="337"/>
      <c r="CS34" s="337"/>
      <c r="CT34" s="337"/>
      <c r="CU34" s="337"/>
      <c r="CV34" s="1151"/>
      <c r="CW34" s="1151"/>
      <c r="CX34" s="1151"/>
      <c r="CY34" s="1151"/>
      <c r="CZ34" s="482"/>
    </row>
    <row r="35" spans="1:105" ht="12" customHeight="1">
      <c r="A35" s="482"/>
      <c r="B35" s="482"/>
      <c r="C35" s="1067" t="s">
        <v>267</v>
      </c>
      <c r="D35" s="1156"/>
      <c r="E35" s="1155"/>
      <c r="F35" s="336"/>
      <c r="G35" s="336"/>
      <c r="H35" s="336"/>
      <c r="I35" s="336"/>
      <c r="J35" s="1127">
        <v>3171</v>
      </c>
      <c r="K35" s="1161">
        <v>785</v>
      </c>
      <c r="L35" s="1161">
        <v>821</v>
      </c>
      <c r="M35" s="1161">
        <v>857</v>
      </c>
      <c r="N35" s="1161">
        <v>860</v>
      </c>
      <c r="O35" s="1127">
        <v>3323</v>
      </c>
      <c r="P35" s="1128">
        <v>754</v>
      </c>
      <c r="Q35" s="1128">
        <v>798</v>
      </c>
      <c r="R35" s="1128">
        <v>789</v>
      </c>
      <c r="S35" s="1128">
        <v>862</v>
      </c>
      <c r="T35" s="1127">
        <v>3203</v>
      </c>
      <c r="U35" s="1128">
        <v>764</v>
      </c>
      <c r="V35" s="1128">
        <v>857</v>
      </c>
      <c r="W35" s="1128">
        <v>933</v>
      </c>
      <c r="X35" s="1128">
        <v>1100</v>
      </c>
      <c r="Y35" s="1127">
        <v>3654</v>
      </c>
      <c r="Z35" s="1128">
        <v>1140</v>
      </c>
      <c r="AA35" s="1128">
        <v>1114</v>
      </c>
      <c r="AB35" s="1128">
        <v>1108</v>
      </c>
      <c r="AC35" s="1128">
        <v>1305</v>
      </c>
      <c r="AD35" s="1127">
        <v>4498</v>
      </c>
      <c r="AE35" s="1128">
        <v>1213</v>
      </c>
      <c r="AF35" s="1128">
        <v>1355</v>
      </c>
      <c r="AG35" s="1128">
        <v>1295</v>
      </c>
      <c r="AH35" s="1128">
        <v>1378</v>
      </c>
      <c r="AI35" s="1127">
        <v>5241</v>
      </c>
      <c r="AJ35" s="1128">
        <v>1314</v>
      </c>
      <c r="AK35" s="1128">
        <v>1378</v>
      </c>
      <c r="AL35" s="1128">
        <v>1338</v>
      </c>
      <c r="AM35" s="1128">
        <v>1432</v>
      </c>
      <c r="AN35" s="1127">
        <v>5462</v>
      </c>
      <c r="AO35" s="1128">
        <v>1396</v>
      </c>
      <c r="AP35" s="1128">
        <v>1494</v>
      </c>
      <c r="AQ35" s="1128">
        <v>1508</v>
      </c>
      <c r="AR35" s="1128">
        <v>1711</v>
      </c>
      <c r="AS35" s="1127">
        <v>6109</v>
      </c>
      <c r="AT35" s="1128">
        <v>1635</v>
      </c>
      <c r="AU35" s="1128">
        <v>1775</v>
      </c>
      <c r="AV35" s="1128">
        <v>1665</v>
      </c>
      <c r="AW35" s="1128">
        <v>1649</v>
      </c>
      <c r="AX35" s="1127">
        <v>6724</v>
      </c>
      <c r="AY35" s="1128">
        <v>1483</v>
      </c>
      <c r="AZ35" s="1128">
        <v>1574</v>
      </c>
      <c r="BA35" s="1128">
        <v>1424</v>
      </c>
      <c r="BB35" s="1128">
        <v>1555</v>
      </c>
      <c r="BC35" s="1127">
        <v>6036</v>
      </c>
      <c r="BD35" s="1128">
        <v>1424</v>
      </c>
      <c r="BE35" s="1128">
        <v>1491</v>
      </c>
      <c r="BF35" s="1128">
        <v>1478</v>
      </c>
      <c r="BG35" s="1128">
        <v>1631</v>
      </c>
      <c r="BH35" s="1127">
        <v>6024</v>
      </c>
      <c r="BI35" s="1128">
        <v>1450</v>
      </c>
      <c r="BJ35" s="1128">
        <v>1576</v>
      </c>
      <c r="BK35" s="1128">
        <v>1512</v>
      </c>
      <c r="BL35" s="1128">
        <v>1699</v>
      </c>
      <c r="BM35" s="1127">
        <v>6237</v>
      </c>
      <c r="BN35" s="1128">
        <v>1529</v>
      </c>
      <c r="BO35" s="1128">
        <v>1509</v>
      </c>
      <c r="BP35" s="1128">
        <v>1619</v>
      </c>
      <c r="BQ35" s="1128">
        <v>1795</v>
      </c>
      <c r="BR35" s="1127">
        <v>6452</v>
      </c>
      <c r="BS35" s="1128">
        <f>+IS!BS31</f>
        <v>1627</v>
      </c>
      <c r="BT35" s="1128">
        <f>+IS!BT31</f>
        <v>1737</v>
      </c>
      <c r="BU35" s="1128">
        <f>+IS!BU31</f>
        <v>1633</v>
      </c>
      <c r="BV35" s="1128">
        <f>+IS!BV31</f>
        <v>1721</v>
      </c>
      <c r="BW35" s="1127">
        <f>SUM(BS35:BV35)</f>
        <v>6718</v>
      </c>
      <c r="BX35" s="1128">
        <f>+IS!BX31</f>
        <v>1596</v>
      </c>
      <c r="BY35" s="1128">
        <f>+IS!BY31</f>
        <v>1623</v>
      </c>
      <c r="BZ35" s="1128">
        <f>+IS!BZ31</f>
        <v>1580</v>
      </c>
      <c r="CA35" s="1128">
        <f>+IS!CA31</f>
        <v>1701</v>
      </c>
      <c r="CB35" s="1127">
        <f>SUM(BX35:CA35)</f>
        <v>6500</v>
      </c>
      <c r="CC35" s="1128">
        <f>+IS!CC31</f>
        <v>1476</v>
      </c>
      <c r="CD35" s="1128">
        <f>+IS!CD31</f>
        <v>1426</v>
      </c>
      <c r="CE35" s="1128">
        <f>+IS!CE31</f>
        <v>1359</v>
      </c>
      <c r="CF35" s="1128">
        <f>+IS!CF31</f>
        <v>1625</v>
      </c>
      <c r="CG35" s="1127">
        <f>SUM(CC35:CF35)</f>
        <v>5886</v>
      </c>
      <c r="CH35" s="1128">
        <f>+IS!CH31</f>
        <v>1363</v>
      </c>
      <c r="CI35" s="1128">
        <f>+IS!CI31</f>
        <v>1451</v>
      </c>
      <c r="CJ35" s="1128">
        <f>+IS!CJ31</f>
        <v>1390</v>
      </c>
      <c r="CK35" s="1128">
        <f>+IS!CK31</f>
        <v>1856</v>
      </c>
      <c r="CL35" s="1127">
        <f>SUM(CH35:CK35)</f>
        <v>6060</v>
      </c>
      <c r="CM35" s="1128">
        <f>+IS!CM31</f>
        <v>1482</v>
      </c>
      <c r="CN35" s="1128">
        <f>+IS!CN31</f>
        <v>1538</v>
      </c>
      <c r="CO35" s="1128">
        <f>+IS!CO31</f>
        <v>1524</v>
      </c>
      <c r="CP35" s="1128">
        <f>CP22*CP36</f>
        <v>1744.4623883261268</v>
      </c>
      <c r="CQ35" s="1127">
        <f>SUM(CM35:CP35)</f>
        <v>6288.4623883261265</v>
      </c>
      <c r="CR35" s="1128">
        <f t="shared" ref="CR35:CW35" si="26">CR22*CR36</f>
        <v>1602.7687118273222</v>
      </c>
      <c r="CS35" s="1128">
        <f t="shared" si="26"/>
        <v>1679.2952461009957</v>
      </c>
      <c r="CT35" s="1128">
        <f t="shared" si="26"/>
        <v>1630.3144504131831</v>
      </c>
      <c r="CU35" s="1128">
        <f t="shared" si="26"/>
        <v>1818.5180965692241</v>
      </c>
      <c r="CV35" s="1127">
        <f>SUM(CR35:CU35)</f>
        <v>6730.8965049107255</v>
      </c>
      <c r="CW35" s="1127">
        <f t="shared" si="26"/>
        <v>6905.8918557529487</v>
      </c>
      <c r="CX35" s="1127">
        <f>CX22*CX36</f>
        <v>7206.4301062577715</v>
      </c>
      <c r="CY35" s="1127">
        <f>CY22*CY36</f>
        <v>7465.9769798892703</v>
      </c>
      <c r="CZ35" s="482"/>
    </row>
    <row r="36" spans="1:105" ht="12" customHeight="1">
      <c r="A36" s="482"/>
      <c r="B36" s="482"/>
      <c r="C36" s="482"/>
      <c r="D36" s="1156" t="s">
        <v>351</v>
      </c>
      <c r="E36" s="1155"/>
      <c r="F36" s="336"/>
      <c r="G36" s="336"/>
      <c r="H36" s="336"/>
      <c r="I36" s="336"/>
      <c r="J36" s="286">
        <f t="shared" ref="J36:AO36" si="27">J35/J22</f>
        <v>0.11928676221645412</v>
      </c>
      <c r="K36" s="287">
        <f t="shared" si="27"/>
        <v>0.11767351221705891</v>
      </c>
      <c r="L36" s="287">
        <f t="shared" si="27"/>
        <v>0.11197490452809601</v>
      </c>
      <c r="M36" s="287">
        <f t="shared" si="27"/>
        <v>0.12384393063583815</v>
      </c>
      <c r="N36" s="287">
        <f t="shared" si="27"/>
        <v>0.12181303116147309</v>
      </c>
      <c r="O36" s="286">
        <f t="shared" si="27"/>
        <v>0.11911675090511524</v>
      </c>
      <c r="P36" s="287">
        <f t="shared" si="27"/>
        <v>0.11829306557891434</v>
      </c>
      <c r="Q36" s="287">
        <f t="shared" si="27"/>
        <v>0.10895685417804478</v>
      </c>
      <c r="R36" s="287">
        <f t="shared" si="27"/>
        <v>0.10809699958898479</v>
      </c>
      <c r="S36" s="287">
        <f t="shared" si="27"/>
        <v>0.11947331947331948</v>
      </c>
      <c r="T36" s="286">
        <f t="shared" si="27"/>
        <v>0.11353324826315044</v>
      </c>
      <c r="U36" s="287">
        <f t="shared" si="27"/>
        <v>0.11399582214264399</v>
      </c>
      <c r="V36" s="287">
        <f t="shared" si="27"/>
        <v>0.11001283697047497</v>
      </c>
      <c r="W36" s="287">
        <f t="shared" si="27"/>
        <v>0.1172994719637918</v>
      </c>
      <c r="X36" s="287">
        <f t="shared" si="27"/>
        <v>0.12808570097810898</v>
      </c>
      <c r="Y36" s="286">
        <f t="shared" si="27"/>
        <v>0.11774183153960173</v>
      </c>
      <c r="Z36" s="1153">
        <f t="shared" si="27"/>
        <v>0.131852879944483</v>
      </c>
      <c r="AA36" s="1153">
        <f t="shared" si="27"/>
        <v>0.11577634587403866</v>
      </c>
      <c r="AB36" s="1153">
        <f t="shared" si="27"/>
        <v>0.1186422529178713</v>
      </c>
      <c r="AC36" s="1153">
        <f t="shared" si="27"/>
        <v>0.13264891238056514</v>
      </c>
      <c r="AD36" s="286">
        <f t="shared" si="27"/>
        <v>0.12012284684203499</v>
      </c>
      <c r="AE36" s="287">
        <f t="shared" si="27"/>
        <v>0.12894652918039759</v>
      </c>
      <c r="AF36" s="287">
        <f t="shared" si="27"/>
        <v>0.12150286944045911</v>
      </c>
      <c r="AG36" s="287">
        <f t="shared" si="27"/>
        <v>0.11875286565795506</v>
      </c>
      <c r="AH36" s="287">
        <f t="shared" si="27"/>
        <v>0.12236923896634402</v>
      </c>
      <c r="AI36" s="286">
        <f t="shared" si="27"/>
        <v>0.12266822703335284</v>
      </c>
      <c r="AJ36" s="287">
        <f t="shared" si="27"/>
        <v>0.12378709373528027</v>
      </c>
      <c r="AK36" s="287">
        <f t="shared" si="27"/>
        <v>0.11236138290932811</v>
      </c>
      <c r="AL36" s="287">
        <f t="shared" si="27"/>
        <v>0.11000575515908904</v>
      </c>
      <c r="AM36" s="287">
        <f t="shared" si="27"/>
        <v>0.11198873856260265</v>
      </c>
      <c r="AN36" s="286">
        <f t="shared" si="27"/>
        <v>0.11419849881870832</v>
      </c>
      <c r="AO36" s="287">
        <f t="shared" si="27"/>
        <v>0.11369929956018895</v>
      </c>
      <c r="AP36" s="287">
        <f t="shared" ref="AP36:BU36" si="28">AP35/AP22</f>
        <v>0.10745109321058688</v>
      </c>
      <c r="AQ36" s="287">
        <f t="shared" si="28"/>
        <v>0.10877876361537907</v>
      </c>
      <c r="AR36" s="287">
        <f t="shared" si="28"/>
        <v>0.11628381133614245</v>
      </c>
      <c r="AS36" s="286">
        <f t="shared" si="28"/>
        <v>0.11156156978761482</v>
      </c>
      <c r="AT36" s="1152">
        <f t="shared" si="28"/>
        <v>0.11713712566270239</v>
      </c>
      <c r="AU36" s="287">
        <f t="shared" si="28"/>
        <v>0.11132714500752634</v>
      </c>
      <c r="AV36" s="287">
        <f t="shared" si="28"/>
        <v>0.11037454424925422</v>
      </c>
      <c r="AW36" s="287">
        <f t="shared" si="28"/>
        <v>0.11164522681110359</v>
      </c>
      <c r="AX36" s="1151">
        <f t="shared" si="28"/>
        <v>0.11252238231504259</v>
      </c>
      <c r="AY36" s="337">
        <f t="shared" si="28"/>
        <v>0.12156734158537585</v>
      </c>
      <c r="AZ36" s="337">
        <f t="shared" si="28"/>
        <v>0.12052067381316998</v>
      </c>
      <c r="BA36" s="337">
        <f t="shared" si="28"/>
        <v>0.10798513687722758</v>
      </c>
      <c r="BB36" s="337">
        <f t="shared" si="28"/>
        <v>0.11123828600042922</v>
      </c>
      <c r="BC36" s="1151">
        <f t="shared" si="28"/>
        <v>0.11513590844062947</v>
      </c>
      <c r="BD36" s="337">
        <f t="shared" si="28"/>
        <v>0.11827242524916944</v>
      </c>
      <c r="BE36" s="287">
        <f t="shared" si="28"/>
        <v>0.10802782205477467</v>
      </c>
      <c r="BF36" s="287">
        <f t="shared" si="28"/>
        <v>0.10851688693098385</v>
      </c>
      <c r="BG36" s="337">
        <f t="shared" si="28"/>
        <v>0.10972820236813778</v>
      </c>
      <c r="BH36" s="1151">
        <f t="shared" si="28"/>
        <v>0.11088613187055922</v>
      </c>
      <c r="BI36" s="287">
        <f t="shared" si="28"/>
        <v>0.11441647597254005</v>
      </c>
      <c r="BJ36" s="337">
        <f t="shared" si="28"/>
        <v>0.10892252401686364</v>
      </c>
      <c r="BK36" s="337">
        <f t="shared" si="28"/>
        <v>0.10621707060063225</v>
      </c>
      <c r="BL36" s="337">
        <f t="shared" si="28"/>
        <v>0.11817486262780831</v>
      </c>
      <c r="BM36" s="1151">
        <f t="shared" si="28"/>
        <v>0.11186641317214908</v>
      </c>
      <c r="BN36" s="337">
        <f t="shared" si="28"/>
        <v>0.12314755154639176</v>
      </c>
      <c r="BO36" s="337">
        <f t="shared" si="28"/>
        <v>0.10929238791917144</v>
      </c>
      <c r="BP36" s="337">
        <f t="shared" si="28"/>
        <v>0.10763196383459646</v>
      </c>
      <c r="BQ36" s="337">
        <f t="shared" si="28"/>
        <v>0.10916499422246549</v>
      </c>
      <c r="BR36" s="1151">
        <f t="shared" si="28"/>
        <v>0.1118042559090594</v>
      </c>
      <c r="BS36" s="287">
        <f t="shared" si="28"/>
        <v>0.112993957913744</v>
      </c>
      <c r="BT36" s="287">
        <f t="shared" si="28"/>
        <v>0.10852180432337873</v>
      </c>
      <c r="BU36" s="287">
        <f t="shared" si="28"/>
        <v>0.10561376277325055</v>
      </c>
      <c r="BV36" s="287">
        <f t="shared" ref="BV36:CD36" si="29">BV35/BV22</f>
        <v>0.10269109135389939</v>
      </c>
      <c r="BW36" s="286">
        <f t="shared" si="29"/>
        <v>0.10727174017181362</v>
      </c>
      <c r="BX36" s="287">
        <f t="shared" si="29"/>
        <v>0.10824008138351984</v>
      </c>
      <c r="BY36" s="287">
        <f t="shared" si="29"/>
        <v>9.4409865627363157E-2</v>
      </c>
      <c r="BZ36" s="287">
        <f t="shared" si="29"/>
        <v>9.7723899059871347E-2</v>
      </c>
      <c r="CA36" s="287">
        <f t="shared" si="29"/>
        <v>0.1000823723228995</v>
      </c>
      <c r="CB36" s="286">
        <f t="shared" si="29"/>
        <v>9.9846390168970817E-2</v>
      </c>
      <c r="CC36" s="287">
        <f t="shared" si="29"/>
        <v>0.11081081081081082</v>
      </c>
      <c r="CD36" s="287">
        <f t="shared" si="29"/>
        <v>9.7026604068857589E-2</v>
      </c>
      <c r="CE36" s="287">
        <f t="shared" ref="CE36:CK36" si="30">CE35/CE22</f>
        <v>9.8563968668407317E-2</v>
      </c>
      <c r="CF36" s="287">
        <f t="shared" si="30"/>
        <v>0.11363636363636363</v>
      </c>
      <c r="CG36" s="286">
        <f t="shared" si="30"/>
        <v>0.10503284863731303</v>
      </c>
      <c r="CH36" s="287">
        <f t="shared" si="30"/>
        <v>0.10204387212697462</v>
      </c>
      <c r="CI36" s="287">
        <f t="shared" si="30"/>
        <v>9.7552776657254273E-2</v>
      </c>
      <c r="CJ36" s="287">
        <f t="shared" si="30"/>
        <v>9.6837118573220013E-2</v>
      </c>
      <c r="CK36" s="287">
        <f t="shared" si="30"/>
        <v>0.12661163790163041</v>
      </c>
      <c r="CL36" s="286">
        <f>CL35/CL22</f>
        <v>0.10586262315701209</v>
      </c>
      <c r="CM36" s="287">
        <f t="shared" ref="CM36:CN36" si="31">CM35/CM22</f>
        <v>0.10727470141150923</v>
      </c>
      <c r="CN36" s="287">
        <f t="shared" si="31"/>
        <v>0.1006544502617801</v>
      </c>
      <c r="CO36" s="287">
        <f t="shared" ref="CO36" si="32">CO35/CO22</f>
        <v>0.10118178196786615</v>
      </c>
      <c r="CP36" s="336">
        <f>CF36</f>
        <v>0.11363636363636363</v>
      </c>
      <c r="CQ36" s="286">
        <f>CQ35/CQ22</f>
        <v>0.10567375748236181</v>
      </c>
      <c r="CR36" s="2262">
        <f>CM36+0.2%</f>
        <v>0.10927470141150923</v>
      </c>
      <c r="CS36" s="2262">
        <f t="shared" ref="CS36:CT36" si="33">CN36+0.2%</f>
        <v>0.10265445026178011</v>
      </c>
      <c r="CT36" s="2262">
        <f t="shared" si="33"/>
        <v>0.10318178196786615</v>
      </c>
      <c r="CU36" s="2262">
        <f>CP36</f>
        <v>0.11363636363636363</v>
      </c>
      <c r="CV36" s="286">
        <f>CV35/CV22</f>
        <v>0.10677317207091541</v>
      </c>
      <c r="CW36" s="335">
        <v>0.105</v>
      </c>
      <c r="CX36" s="335">
        <v>0.105</v>
      </c>
      <c r="CY36" s="335">
        <v>0.105</v>
      </c>
      <c r="CZ36" s="482"/>
    </row>
    <row r="37" spans="1:105" ht="12" customHeight="1">
      <c r="A37" s="482"/>
      <c r="B37" s="482"/>
      <c r="C37" s="482"/>
      <c r="D37" s="1156"/>
      <c r="E37" s="1155"/>
      <c r="F37" s="336"/>
      <c r="G37" s="336"/>
      <c r="H37" s="336"/>
      <c r="I37" s="336"/>
      <c r="J37" s="286"/>
      <c r="K37" s="287"/>
      <c r="L37" s="287"/>
      <c r="M37" s="287"/>
      <c r="N37" s="287"/>
      <c r="O37" s="286"/>
      <c r="P37" s="287"/>
      <c r="Q37" s="287"/>
      <c r="R37" s="287"/>
      <c r="S37" s="287"/>
      <c r="T37" s="286"/>
      <c r="U37" s="287"/>
      <c r="V37" s="287"/>
      <c r="W37" s="287"/>
      <c r="X37" s="287"/>
      <c r="Y37" s="286"/>
      <c r="Z37" s="1153"/>
      <c r="AA37" s="1153"/>
      <c r="AB37" s="1153"/>
      <c r="AC37" s="1153"/>
      <c r="AD37" s="286"/>
      <c r="AE37" s="287"/>
      <c r="AF37" s="287"/>
      <c r="AG37" s="287"/>
      <c r="AH37" s="287"/>
      <c r="AI37" s="286"/>
      <c r="AJ37" s="287"/>
      <c r="AK37" s="287"/>
      <c r="AL37" s="287"/>
      <c r="AM37" s="287"/>
      <c r="AN37" s="286"/>
      <c r="AO37" s="287"/>
      <c r="AP37" s="287"/>
      <c r="AQ37" s="287"/>
      <c r="AR37" s="287"/>
      <c r="AS37" s="286"/>
      <c r="AT37" s="1152"/>
      <c r="AU37" s="287"/>
      <c r="AV37" s="287"/>
      <c r="AW37" s="287"/>
      <c r="AX37" s="1151"/>
      <c r="AY37" s="337"/>
      <c r="AZ37" s="337"/>
      <c r="BA37" s="337"/>
      <c r="BB37" s="337"/>
      <c r="BC37" s="1151"/>
      <c r="BD37" s="337"/>
      <c r="BE37" s="287"/>
      <c r="BF37" s="287"/>
      <c r="BG37" s="337"/>
      <c r="BH37" s="1151"/>
      <c r="BI37" s="287"/>
      <c r="BJ37" s="337"/>
      <c r="BK37" s="337"/>
      <c r="BL37" s="337"/>
      <c r="BM37" s="1151"/>
      <c r="BN37" s="337"/>
      <c r="BO37" s="337"/>
      <c r="BP37" s="337"/>
      <c r="BQ37" s="337"/>
      <c r="BR37" s="1151"/>
      <c r="BS37" s="287"/>
      <c r="BT37" s="337"/>
      <c r="BU37" s="337"/>
      <c r="BV37" s="337"/>
      <c r="BW37" s="1127"/>
      <c r="BX37" s="337"/>
      <c r="BY37" s="337"/>
      <c r="BZ37" s="337"/>
      <c r="CA37" s="337"/>
      <c r="CB37" s="1151"/>
      <c r="CC37" s="337"/>
      <c r="CD37" s="337"/>
      <c r="CE37" s="337"/>
      <c r="CF37" s="337"/>
      <c r="CG37" s="1160"/>
      <c r="CH37" s="337"/>
      <c r="CI37" s="337"/>
      <c r="CJ37" s="337"/>
      <c r="CK37" s="337"/>
      <c r="CL37" s="1151"/>
      <c r="CM37" s="337"/>
      <c r="CN37" s="337"/>
      <c r="CO37" s="337"/>
      <c r="CP37" s="337"/>
      <c r="CQ37" s="1151"/>
      <c r="CR37" s="337"/>
      <c r="CS37" s="337"/>
      <c r="CT37" s="337"/>
      <c r="CU37" s="337"/>
      <c r="CV37" s="1151"/>
      <c r="CW37" s="1151"/>
      <c r="CX37" s="1151"/>
      <c r="CY37" s="1151"/>
      <c r="CZ37" s="482"/>
    </row>
    <row r="38" spans="1:105" ht="12" customHeight="1">
      <c r="A38" s="482"/>
      <c r="B38" s="482"/>
      <c r="C38" s="1067" t="s">
        <v>266</v>
      </c>
      <c r="D38" s="1156"/>
      <c r="E38" s="1155"/>
      <c r="F38" s="336"/>
      <c r="G38" s="336"/>
      <c r="H38" s="336"/>
      <c r="I38" s="336"/>
      <c r="J38" s="1127">
        <v>1302</v>
      </c>
      <c r="K38" s="1128">
        <v>297</v>
      </c>
      <c r="L38" s="1128">
        <v>338</v>
      </c>
      <c r="M38" s="1128">
        <v>318</v>
      </c>
      <c r="N38" s="1128">
        <v>301</v>
      </c>
      <c r="O38" s="1127">
        <v>1254</v>
      </c>
      <c r="P38" s="1128">
        <v>338</v>
      </c>
      <c r="Q38" s="1128">
        <v>305</v>
      </c>
      <c r="R38" s="1128">
        <v>270</v>
      </c>
      <c r="S38" s="1128">
        <v>278</v>
      </c>
      <c r="T38" s="1127">
        <v>1191</v>
      </c>
      <c r="U38" s="1128">
        <v>235</v>
      </c>
      <c r="V38" s="1128">
        <v>281</v>
      </c>
      <c r="W38" s="1128">
        <v>260</v>
      </c>
      <c r="X38" s="1128">
        <v>251</v>
      </c>
      <c r="Y38" s="1127">
        <v>1027</v>
      </c>
      <c r="Z38" s="1128">
        <v>311</v>
      </c>
      <c r="AA38" s="1128">
        <v>315</v>
      </c>
      <c r="AB38" s="1128">
        <v>299</v>
      </c>
      <c r="AC38" s="1128">
        <v>331</v>
      </c>
      <c r="AD38" s="1127">
        <v>1256</v>
      </c>
      <c r="AE38" s="1128">
        <v>291</v>
      </c>
      <c r="AF38" s="1128">
        <v>318</v>
      </c>
      <c r="AG38" s="1128">
        <v>335</v>
      </c>
      <c r="AH38" s="1128">
        <v>423</v>
      </c>
      <c r="AI38" s="1127">
        <v>1367</v>
      </c>
      <c r="AJ38" s="1128">
        <v>369</v>
      </c>
      <c r="AK38" s="1128">
        <v>370</v>
      </c>
      <c r="AL38" s="1128">
        <v>384</v>
      </c>
      <c r="AM38" s="1128">
        <v>406</v>
      </c>
      <c r="AN38" s="1127">
        <v>1529</v>
      </c>
      <c r="AO38" s="1128">
        <v>382</v>
      </c>
      <c r="AP38" s="1128">
        <v>416</v>
      </c>
      <c r="AQ38" s="1128">
        <v>399</v>
      </c>
      <c r="AR38" s="1128">
        <v>481</v>
      </c>
      <c r="AS38" s="1127">
        <v>1678</v>
      </c>
      <c r="AT38" s="1128">
        <v>411</v>
      </c>
      <c r="AU38" s="1128">
        <v>434</v>
      </c>
      <c r="AV38" s="1128">
        <v>436</v>
      </c>
      <c r="AW38" s="1128">
        <v>490</v>
      </c>
      <c r="AX38" s="1127">
        <v>1771</v>
      </c>
      <c r="AY38" s="1128">
        <v>409</v>
      </c>
      <c r="AZ38" s="1128">
        <v>384</v>
      </c>
      <c r="BA38" s="1128">
        <v>344</v>
      </c>
      <c r="BB38" s="1128">
        <v>421</v>
      </c>
      <c r="BC38" s="1127">
        <v>1558</v>
      </c>
      <c r="BD38" s="1128">
        <v>397</v>
      </c>
      <c r="BE38" s="1128">
        <v>459</v>
      </c>
      <c r="BF38" s="1128">
        <v>433</v>
      </c>
      <c r="BG38" s="1128">
        <v>457</v>
      </c>
      <c r="BH38" s="1127">
        <v>1746</v>
      </c>
      <c r="BI38" s="1128">
        <v>468</v>
      </c>
      <c r="BJ38" s="1128">
        <v>494</v>
      </c>
      <c r="BK38" s="1128">
        <v>465</v>
      </c>
      <c r="BL38" s="1128">
        <v>552</v>
      </c>
      <c r="BM38" s="1127">
        <v>1979</v>
      </c>
      <c r="BN38" s="1128">
        <v>544</v>
      </c>
      <c r="BO38" s="1128">
        <v>525</v>
      </c>
      <c r="BP38" s="1128">
        <v>590</v>
      </c>
      <c r="BQ38" s="1128">
        <v>712</v>
      </c>
      <c r="BR38" s="1127">
        <v>2371</v>
      </c>
      <c r="BS38" s="1128">
        <f>+IS!BS34</f>
        <v>610</v>
      </c>
      <c r="BT38" s="1128">
        <f>+IS!BT34</f>
        <v>631</v>
      </c>
      <c r="BU38" s="1128">
        <f>+IS!BU34</f>
        <v>630</v>
      </c>
      <c r="BV38" s="1128">
        <f>+IS!BV34</f>
        <v>658</v>
      </c>
      <c r="BW38" s="1127">
        <f>SUM(BS38:BV38)</f>
        <v>2529</v>
      </c>
      <c r="BX38" s="1128">
        <f>+IS!BX34</f>
        <v>624</v>
      </c>
      <c r="BY38" s="1128">
        <f>+IS!BY34</f>
        <v>666</v>
      </c>
      <c r="BZ38" s="1128">
        <f>+IS!BZ34</f>
        <v>677</v>
      </c>
      <c r="CA38" s="1128">
        <f>+IS!CA34</f>
        <v>668</v>
      </c>
      <c r="CB38" s="1127">
        <f>SUM(BX38:CA38)</f>
        <v>2635</v>
      </c>
      <c r="CC38" s="1128">
        <f>+IS!CC34</f>
        <v>564</v>
      </c>
      <c r="CD38" s="1128">
        <f>+IS!CD34</f>
        <v>558</v>
      </c>
      <c r="CE38" s="1128">
        <f>+IS!CE34</f>
        <v>546</v>
      </c>
      <c r="CF38" s="1128">
        <f>+IS!CF34</f>
        <v>611</v>
      </c>
      <c r="CG38" s="1127">
        <f>SUM(CC38:CF38)</f>
        <v>2279</v>
      </c>
      <c r="CH38" s="1128">
        <f>+IS!CH34</f>
        <v>541</v>
      </c>
      <c r="CI38" s="1128">
        <f>+IS!CI34</f>
        <v>588</v>
      </c>
      <c r="CJ38" s="1128">
        <f>+IS!CJ34</f>
        <v>582</v>
      </c>
      <c r="CK38" s="1128">
        <f>+IS!CK34</f>
        <v>626</v>
      </c>
      <c r="CL38" s="1127">
        <f>SUM(CH38:CK38)</f>
        <v>2337</v>
      </c>
      <c r="CM38" s="1128">
        <f>+IS!CM34</f>
        <v>577</v>
      </c>
      <c r="CN38" s="1128">
        <f>+IS!CN34</f>
        <v>609</v>
      </c>
      <c r="CO38" s="1128">
        <f>+IS!CO34</f>
        <v>582</v>
      </c>
      <c r="CP38" s="1128">
        <f>CP22*CP39</f>
        <v>593.17743779385819</v>
      </c>
      <c r="CQ38" s="1127">
        <f>SUM(CM38:CP38)</f>
        <v>2361.1774377938582</v>
      </c>
      <c r="CR38" s="1128">
        <f t="shared" ref="CR38:CW38" si="34">CR22*CR39</f>
        <v>575.93047457961802</v>
      </c>
      <c r="CS38" s="1128">
        <f t="shared" si="34"/>
        <v>627.45534619961722</v>
      </c>
      <c r="CT38" s="1128">
        <f t="shared" si="34"/>
        <v>586.83175587165988</v>
      </c>
      <c r="CU38" s="1128">
        <f t="shared" si="34"/>
        <v>594.35449641866956</v>
      </c>
      <c r="CV38" s="1127">
        <f>SUM(CR38:CU38)</f>
        <v>2384.5720730695648</v>
      </c>
      <c r="CW38" s="1127">
        <f t="shared" si="34"/>
        <v>2224.8025928087827</v>
      </c>
      <c r="CX38" s="1127">
        <f>CX22*CX39</f>
        <v>2047.0933454421984</v>
      </c>
      <c r="CY38" s="1127">
        <f>CY22*CY39</f>
        <v>2120.8214840638429</v>
      </c>
      <c r="CZ38" s="482"/>
    </row>
    <row r="39" spans="1:105" ht="12" customHeight="1">
      <c r="A39" s="482"/>
      <c r="B39" s="482"/>
      <c r="C39" s="482"/>
      <c r="D39" s="1156" t="s">
        <v>351</v>
      </c>
      <c r="E39" s="1155"/>
      <c r="F39" s="336"/>
      <c r="G39" s="336"/>
      <c r="H39" s="336"/>
      <c r="I39" s="336"/>
      <c r="J39" s="286">
        <f t="shared" ref="J39:AO39" si="35">J38/J22</f>
        <v>4.8978670578941431E-2</v>
      </c>
      <c r="K39" s="287">
        <f t="shared" si="35"/>
        <v>4.4521061310148401E-2</v>
      </c>
      <c r="L39" s="287">
        <f t="shared" si="35"/>
        <v>4.6099290780141841E-2</v>
      </c>
      <c r="M39" s="287">
        <f t="shared" si="35"/>
        <v>4.5953757225433524E-2</v>
      </c>
      <c r="N39" s="287">
        <f t="shared" si="35"/>
        <v>4.263456090651558E-2</v>
      </c>
      <c r="O39" s="286">
        <f t="shared" si="35"/>
        <v>4.4951070007527689E-2</v>
      </c>
      <c r="P39" s="287">
        <f t="shared" si="35"/>
        <v>5.3027925949168497E-2</v>
      </c>
      <c r="Q39" s="287">
        <f t="shared" si="35"/>
        <v>4.1643910431458223E-2</v>
      </c>
      <c r="R39" s="287">
        <f t="shared" si="35"/>
        <v>3.6991368680641186E-2</v>
      </c>
      <c r="S39" s="287">
        <f t="shared" si="35"/>
        <v>3.8530838530838531E-2</v>
      </c>
      <c r="T39" s="286">
        <f t="shared" si="35"/>
        <v>4.2216078264568267E-2</v>
      </c>
      <c r="U39" s="287">
        <f t="shared" si="35"/>
        <v>3.5064159952253059E-2</v>
      </c>
      <c r="V39" s="287">
        <f t="shared" si="35"/>
        <v>3.6071887034659821E-2</v>
      </c>
      <c r="W39" s="287">
        <f t="shared" si="35"/>
        <v>3.2687955745536838E-2</v>
      </c>
      <c r="X39" s="287">
        <f t="shared" si="35"/>
        <v>2.9226828132277595E-2</v>
      </c>
      <c r="Y39" s="286">
        <f t="shared" si="35"/>
        <v>3.3092736998131082E-2</v>
      </c>
      <c r="Z39" s="1153">
        <f t="shared" si="35"/>
        <v>3.5970390932222991E-2</v>
      </c>
      <c r="AA39" s="1153">
        <f t="shared" si="35"/>
        <v>3.2737476616088133E-2</v>
      </c>
      <c r="AB39" s="1153">
        <f t="shared" si="35"/>
        <v>3.201627583253025E-2</v>
      </c>
      <c r="AC39" s="1153">
        <f t="shared" si="35"/>
        <v>3.3645049806871316E-2</v>
      </c>
      <c r="AD39" s="286">
        <f t="shared" si="35"/>
        <v>3.354252904259581E-2</v>
      </c>
      <c r="AE39" s="287">
        <f t="shared" si="35"/>
        <v>3.0934410545338579E-2</v>
      </c>
      <c r="AF39" s="287">
        <f t="shared" si="35"/>
        <v>2.851506456241033E-2</v>
      </c>
      <c r="AG39" s="287">
        <f t="shared" si="35"/>
        <v>3.0719853278312701E-2</v>
      </c>
      <c r="AH39" s="287">
        <f t="shared" si="35"/>
        <v>3.7563271467898056E-2</v>
      </c>
      <c r="AI39" s="286">
        <f t="shared" si="35"/>
        <v>3.1995318899941484E-2</v>
      </c>
      <c r="AJ39" s="287">
        <f t="shared" si="35"/>
        <v>3.4762129062647196E-2</v>
      </c>
      <c r="AK39" s="287">
        <f t="shared" si="35"/>
        <v>3.0169602087410305E-2</v>
      </c>
      <c r="AL39" s="287">
        <f t="shared" si="35"/>
        <v>3.1571158431308068E-2</v>
      </c>
      <c r="AM39" s="287">
        <f t="shared" si="35"/>
        <v>3.1750997106436224E-2</v>
      </c>
      <c r="AN39" s="286">
        <f t="shared" si="35"/>
        <v>3.1968052854962473E-2</v>
      </c>
      <c r="AO39" s="287">
        <f t="shared" si="35"/>
        <v>3.1112559048705E-2</v>
      </c>
      <c r="AP39" s="287">
        <f t="shared" ref="AP39:BU39" si="36">AP38/AP22</f>
        <v>2.9919447640966629E-2</v>
      </c>
      <c r="AQ39" s="287">
        <f t="shared" si="36"/>
        <v>2.8781648993724301E-2</v>
      </c>
      <c r="AR39" s="287">
        <f t="shared" si="36"/>
        <v>3.2689955144760093E-2</v>
      </c>
      <c r="AS39" s="286">
        <f t="shared" si="36"/>
        <v>3.0643364561076719E-2</v>
      </c>
      <c r="AT39" s="1152">
        <f t="shared" si="36"/>
        <v>2.944547929502794E-2</v>
      </c>
      <c r="AU39" s="287">
        <f t="shared" si="36"/>
        <v>2.7220270948319115E-2</v>
      </c>
      <c r="AV39" s="287">
        <f t="shared" si="36"/>
        <v>2.8902883659264168E-2</v>
      </c>
      <c r="AW39" s="287">
        <f t="shared" si="36"/>
        <v>3.3175355450236969E-2</v>
      </c>
      <c r="AX39" s="1151">
        <f t="shared" si="36"/>
        <v>2.9636695282561038E-2</v>
      </c>
      <c r="AY39" s="337">
        <f t="shared" si="36"/>
        <v>3.3527338306418561E-2</v>
      </c>
      <c r="AZ39" s="337">
        <f t="shared" si="36"/>
        <v>2.9402756508422664E-2</v>
      </c>
      <c r="BA39" s="337">
        <f t="shared" si="36"/>
        <v>2.608629711079093E-2</v>
      </c>
      <c r="BB39" s="337">
        <f t="shared" si="36"/>
        <v>3.0116603476643536E-2</v>
      </c>
      <c r="BC39" s="1151">
        <f t="shared" si="36"/>
        <v>2.9718645684310919E-2</v>
      </c>
      <c r="BD39" s="337">
        <f t="shared" si="36"/>
        <v>3.2973421926910301E-2</v>
      </c>
      <c r="BE39" s="287">
        <f t="shared" si="36"/>
        <v>3.3256049847848135E-2</v>
      </c>
      <c r="BF39" s="287">
        <f t="shared" si="36"/>
        <v>3.1791483113069015E-2</v>
      </c>
      <c r="BG39" s="337">
        <f t="shared" si="36"/>
        <v>3.0745425188374597E-2</v>
      </c>
      <c r="BH39" s="1151">
        <f t="shared" si="36"/>
        <v>3.2139307145749731E-2</v>
      </c>
      <c r="BI39" s="287">
        <f t="shared" si="36"/>
        <v>3.6928903969068096E-2</v>
      </c>
      <c r="BJ39" s="337">
        <f t="shared" si="36"/>
        <v>3.4141958670260555E-2</v>
      </c>
      <c r="BK39" s="337">
        <f t="shared" si="36"/>
        <v>3.2665964172813484E-2</v>
      </c>
      <c r="BL39" s="337">
        <f t="shared" si="36"/>
        <v>3.8394658134520414E-2</v>
      </c>
      <c r="BM39" s="1151">
        <f t="shared" si="36"/>
        <v>3.5495211105929618E-2</v>
      </c>
      <c r="BN39" s="337">
        <f t="shared" si="36"/>
        <v>4.3814432989690719E-2</v>
      </c>
      <c r="BO39" s="337">
        <f t="shared" si="36"/>
        <v>3.802419062794235E-2</v>
      </c>
      <c r="BP39" s="337">
        <f t="shared" si="36"/>
        <v>3.9223507512298895E-2</v>
      </c>
      <c r="BQ39" s="337">
        <f t="shared" si="36"/>
        <v>4.3301100772365139E-2</v>
      </c>
      <c r="BR39" s="1159">
        <f t="shared" si="36"/>
        <v>4.1086157898384976E-2</v>
      </c>
      <c r="BS39" s="287">
        <f t="shared" si="36"/>
        <v>4.2364053059240223E-2</v>
      </c>
      <c r="BT39" s="287">
        <f t="shared" si="36"/>
        <v>3.9422716481319509E-2</v>
      </c>
      <c r="BU39" s="287">
        <f t="shared" si="36"/>
        <v>4.0745052386495922E-2</v>
      </c>
      <c r="BV39" s="287">
        <f t="shared" ref="BV39:CD39" si="37">BV38/BV22</f>
        <v>3.9262485828510052E-2</v>
      </c>
      <c r="BW39" s="1158">
        <f t="shared" si="37"/>
        <v>4.0382588701178425E-2</v>
      </c>
      <c r="BX39" s="287">
        <f t="shared" si="37"/>
        <v>4.2319430315361138E-2</v>
      </c>
      <c r="BY39" s="287">
        <f t="shared" si="37"/>
        <v>3.8741201791635156E-2</v>
      </c>
      <c r="BZ39" s="287">
        <f t="shared" si="37"/>
        <v>4.1872835230084116E-2</v>
      </c>
      <c r="CA39" s="287">
        <f t="shared" si="37"/>
        <v>3.9303365497764177E-2</v>
      </c>
      <c r="CB39" s="1158">
        <f t="shared" si="37"/>
        <v>4.0476190476190478E-2</v>
      </c>
      <c r="CC39" s="287">
        <f t="shared" si="37"/>
        <v>4.234234234234234E-2</v>
      </c>
      <c r="CD39" s="287">
        <f t="shared" si="37"/>
        <v>3.7966932026944275E-2</v>
      </c>
      <c r="CE39" s="287">
        <f t="shared" ref="CE39:CK39" si="38">CE38/CE22</f>
        <v>3.959965187119234E-2</v>
      </c>
      <c r="CF39" s="287">
        <f t="shared" si="38"/>
        <v>4.2727272727272725E-2</v>
      </c>
      <c r="CG39" s="286">
        <f t="shared" si="38"/>
        <v>4.066766259674421E-2</v>
      </c>
      <c r="CH39" s="287">
        <f t="shared" si="38"/>
        <v>4.0503106985101442E-2</v>
      </c>
      <c r="CI39" s="287">
        <f t="shared" si="38"/>
        <v>3.953206938281565E-2</v>
      </c>
      <c r="CJ39" s="287">
        <f t="shared" si="38"/>
        <v>4.0546189215549672E-2</v>
      </c>
      <c r="CK39" s="287">
        <f t="shared" si="38"/>
        <v>4.2704140800873182E-2</v>
      </c>
      <c r="CL39" s="286">
        <f>CL38/CL22</f>
        <v>4.0825239326392287E-2</v>
      </c>
      <c r="CM39" s="287">
        <f t="shared" ref="CM39:CN39" si="39">CM38/CM22</f>
        <v>4.17661961635903E-2</v>
      </c>
      <c r="CN39" s="287">
        <f t="shared" si="39"/>
        <v>3.9856020942408379E-2</v>
      </c>
      <c r="CO39" s="287">
        <f t="shared" ref="CO39" si="40">CO38/CO22</f>
        <v>3.8640286814500067E-2</v>
      </c>
      <c r="CP39" s="2262">
        <f>CO39</f>
        <v>3.8640286814500067E-2</v>
      </c>
      <c r="CQ39" s="286">
        <f>CQ38/CQ22</f>
        <v>3.9678140143996121E-2</v>
      </c>
      <c r="CR39" s="2262">
        <f>CM39-0.0025</f>
        <v>3.9266196163590297E-2</v>
      </c>
      <c r="CS39" s="2262">
        <f>CN39-0.0015</f>
        <v>3.8356020942408378E-2</v>
      </c>
      <c r="CT39" s="2262">
        <f t="shared" ref="CT39:CU39" si="41">CO39-0.0015</f>
        <v>3.7140286814500066E-2</v>
      </c>
      <c r="CU39" s="2262">
        <f t="shared" si="41"/>
        <v>3.7140286814500066E-2</v>
      </c>
      <c r="CV39" s="286">
        <f>CV38/CV22</f>
        <v>3.7826807184986287E-2</v>
      </c>
      <c r="CW39" s="335">
        <f>CV39-0.004</f>
        <v>3.3826807184986291E-2</v>
      </c>
      <c r="CX39" s="335">
        <f t="shared" ref="CX39" si="42">CW39-0.004</f>
        <v>2.982680718498629E-2</v>
      </c>
      <c r="CY39" s="335">
        <f>CX39</f>
        <v>2.982680718498629E-2</v>
      </c>
      <c r="CZ39" s="482"/>
      <c r="DA39" s="144"/>
    </row>
    <row r="40" spans="1:105" ht="12" customHeight="1">
      <c r="A40" s="482"/>
      <c r="B40" s="482"/>
      <c r="C40" s="482"/>
      <c r="D40" s="1156"/>
      <c r="E40" s="1155"/>
      <c r="F40" s="336"/>
      <c r="G40" s="336"/>
      <c r="H40" s="336"/>
      <c r="I40" s="336"/>
      <c r="J40" s="286"/>
      <c r="K40" s="287"/>
      <c r="L40" s="287"/>
      <c r="M40" s="287"/>
      <c r="N40" s="287"/>
      <c r="O40" s="286"/>
      <c r="P40" s="287"/>
      <c r="Q40" s="287"/>
      <c r="R40" s="287"/>
      <c r="S40" s="287"/>
      <c r="T40" s="286"/>
      <c r="U40" s="287"/>
      <c r="V40" s="287"/>
      <c r="W40" s="287"/>
      <c r="X40" s="287"/>
      <c r="Y40" s="286"/>
      <c r="Z40" s="1153"/>
      <c r="AA40" s="1153"/>
      <c r="AB40" s="1153"/>
      <c r="AC40" s="1153"/>
      <c r="AD40" s="286"/>
      <c r="AE40" s="287"/>
      <c r="AF40" s="287"/>
      <c r="AG40" s="287"/>
      <c r="AH40" s="287"/>
      <c r="AI40" s="286"/>
      <c r="AJ40" s="287"/>
      <c r="AK40" s="287"/>
      <c r="AL40" s="287"/>
      <c r="AM40" s="287"/>
      <c r="AN40" s="286"/>
      <c r="AO40" s="287"/>
      <c r="AP40" s="287"/>
      <c r="AQ40" s="287"/>
      <c r="AR40" s="287"/>
      <c r="AS40" s="286"/>
      <c r="AT40" s="1152"/>
      <c r="AU40" s="287"/>
      <c r="AV40" s="287"/>
      <c r="AW40" s="287"/>
      <c r="AX40" s="1151"/>
      <c r="AY40" s="337"/>
      <c r="AZ40" s="337"/>
      <c r="BA40" s="337"/>
      <c r="BB40" s="337"/>
      <c r="BC40" s="1151"/>
      <c r="BD40" s="337"/>
      <c r="BE40" s="287"/>
      <c r="BF40" s="287"/>
      <c r="BG40" s="337"/>
      <c r="BH40" s="1151"/>
      <c r="BI40" s="287"/>
      <c r="BJ40" s="337"/>
      <c r="BK40" s="337"/>
      <c r="BL40" s="337"/>
      <c r="BM40" s="1151"/>
      <c r="BN40" s="337"/>
      <c r="BO40" s="337"/>
      <c r="BP40" s="337"/>
      <c r="BQ40" s="337"/>
      <c r="BR40" s="1151"/>
      <c r="BS40" s="287"/>
      <c r="BT40" s="337"/>
      <c r="BU40" s="337"/>
      <c r="BV40" s="337"/>
      <c r="BW40" s="1151"/>
      <c r="BX40" s="337"/>
      <c r="BY40" s="337"/>
      <c r="BZ40" s="337"/>
      <c r="CA40" s="337"/>
      <c r="CB40" s="1157"/>
      <c r="CC40" s="337"/>
      <c r="CD40" s="337"/>
      <c r="CE40" s="337"/>
      <c r="CF40" s="337"/>
      <c r="CG40" s="1151"/>
      <c r="CH40" s="337"/>
      <c r="CI40" s="337"/>
      <c r="CJ40" s="337"/>
      <c r="CK40" s="337"/>
      <c r="CL40" s="1151"/>
      <c r="CM40" s="337"/>
      <c r="CN40" s="337"/>
      <c r="CO40" s="337"/>
      <c r="CP40" s="337"/>
      <c r="CQ40" s="1151"/>
      <c r="CR40" s="337"/>
      <c r="CS40" s="337"/>
      <c r="CT40" s="337"/>
      <c r="CU40" s="337"/>
      <c r="CV40" s="1151"/>
      <c r="CW40" s="1151"/>
      <c r="CX40" s="1151"/>
      <c r="CY40" s="1151"/>
      <c r="CZ40" s="482"/>
    </row>
    <row r="41" spans="1:105" ht="12" customHeight="1">
      <c r="A41" s="1110"/>
      <c r="B41" s="1110"/>
      <c r="C41" s="1066" t="s">
        <v>826</v>
      </c>
      <c r="D41" s="1156"/>
      <c r="E41" s="407"/>
      <c r="F41" s="336"/>
      <c r="G41" s="336"/>
      <c r="H41" s="336"/>
      <c r="I41" s="336"/>
      <c r="J41" s="303">
        <f>-IS!J37</f>
        <v>0</v>
      </c>
      <c r="K41" s="305">
        <f>-IS!K37</f>
        <v>0</v>
      </c>
      <c r="L41" s="305">
        <f>-IS!L37</f>
        <v>0</v>
      </c>
      <c r="M41" s="305">
        <f>-IS!M37</f>
        <v>0</v>
      </c>
      <c r="N41" s="305">
        <f>-IS!N37</f>
        <v>0</v>
      </c>
      <c r="O41" s="303">
        <f>-IS!O37</f>
        <v>0</v>
      </c>
      <c r="P41" s="305">
        <f>-IS!P37</f>
        <v>0</v>
      </c>
      <c r="Q41" s="305">
        <f>-IS!Q37</f>
        <v>0</v>
      </c>
      <c r="R41" s="305">
        <f>-IS!R37</f>
        <v>0</v>
      </c>
      <c r="S41" s="305">
        <f>-IS!S37</f>
        <v>0</v>
      </c>
      <c r="T41" s="303">
        <f>-IS!T37</f>
        <v>0</v>
      </c>
      <c r="U41" s="305">
        <f>-IS!U37</f>
        <v>0</v>
      </c>
      <c r="V41" s="305">
        <f>-IS!V37</f>
        <v>0</v>
      </c>
      <c r="W41" s="305">
        <f>-IS!W37</f>
        <v>0</v>
      </c>
      <c r="X41" s="305">
        <f>-IS!X37</f>
        <v>0</v>
      </c>
      <c r="Y41" s="303">
        <f>-IS!Y37</f>
        <v>0</v>
      </c>
      <c r="Z41" s="305">
        <f>-IS!Z37</f>
        <v>0</v>
      </c>
      <c r="AA41" s="305">
        <f>-IS!AA37</f>
        <v>0</v>
      </c>
      <c r="AB41" s="305">
        <f>-IS!AB37</f>
        <v>0</v>
      </c>
      <c r="AC41" s="305">
        <f>-IS!AC37</f>
        <v>0</v>
      </c>
      <c r="AD41" s="303">
        <f>-IS!AD37</f>
        <v>0</v>
      </c>
      <c r="AE41" s="305">
        <f>-IS!AE37</f>
        <v>0</v>
      </c>
      <c r="AF41" s="305">
        <f>-IS!AF37</f>
        <v>0</v>
      </c>
      <c r="AG41" s="305">
        <f>-IS!AG37</f>
        <v>0</v>
      </c>
      <c r="AH41" s="305">
        <f>-IS!AH37</f>
        <v>0</v>
      </c>
      <c r="AI41" s="303">
        <f>-IS!AI37</f>
        <v>0</v>
      </c>
      <c r="AJ41" s="305">
        <f>-IS!AJ37</f>
        <v>0</v>
      </c>
      <c r="AK41" s="305">
        <f>-IS!AK37</f>
        <v>0</v>
      </c>
      <c r="AL41" s="305">
        <f>-IS!AL37</f>
        <v>0</v>
      </c>
      <c r="AM41" s="305">
        <f>-IS!AM37</f>
        <v>0</v>
      </c>
      <c r="AN41" s="303">
        <f>-IS!AN37</f>
        <v>0</v>
      </c>
      <c r="AO41" s="305">
        <f>-IS!AO37</f>
        <v>0</v>
      </c>
      <c r="AP41" s="305">
        <f>-IS!AP37</f>
        <v>0</v>
      </c>
      <c r="AQ41" s="305">
        <f>-IS!AQ37</f>
        <v>0</v>
      </c>
      <c r="AR41" s="305">
        <f>-IS!AR37</f>
        <v>0</v>
      </c>
      <c r="AS41" s="303">
        <f>-IS!AS37</f>
        <v>0</v>
      </c>
      <c r="AT41" s="305">
        <f>-IS!AT37</f>
        <v>0</v>
      </c>
      <c r="AU41" s="305">
        <f>-IS!AU37</f>
        <v>0</v>
      </c>
      <c r="AV41" s="305">
        <f>-IS!AV37</f>
        <v>0</v>
      </c>
      <c r="AW41" s="305">
        <f>-IS!AW37</f>
        <v>0</v>
      </c>
      <c r="AX41" s="303">
        <f>-IS!AX37</f>
        <v>0</v>
      </c>
      <c r="AY41" s="305">
        <f>-IS!AY37</f>
        <v>29.5</v>
      </c>
      <c r="AZ41" s="305">
        <f>-IS!AZ37</f>
        <v>115.5</v>
      </c>
      <c r="BA41" s="305">
        <f>-IS!BA37</f>
        <v>165.5</v>
      </c>
      <c r="BB41" s="305">
        <f>-IS!BB37</f>
        <v>96.5</v>
      </c>
      <c r="BC41" s="303">
        <f>-IS!BC37</f>
        <v>407</v>
      </c>
      <c r="BD41" s="305">
        <f>-IS!BD37</f>
        <v>36</v>
      </c>
      <c r="BE41" s="305">
        <f>-IS!BE37</f>
        <v>45</v>
      </c>
      <c r="BF41" s="305">
        <f>-IS!BF37</f>
        <v>-114</v>
      </c>
      <c r="BG41" s="305">
        <f>-IS!BG37</f>
        <v>77</v>
      </c>
      <c r="BH41" s="303">
        <f>-IS!BH37</f>
        <v>44</v>
      </c>
      <c r="BI41" s="305">
        <f>-IS!BI37</f>
        <v>97</v>
      </c>
      <c r="BJ41" s="305">
        <f>-IS!BJ37</f>
        <v>219</v>
      </c>
      <c r="BK41" s="305">
        <f>-IS!BK37</f>
        <v>231</v>
      </c>
      <c r="BL41" s="305">
        <f>-IS!BL37</f>
        <v>26</v>
      </c>
      <c r="BM41" s="303">
        <f>-IS!BM37</f>
        <v>573</v>
      </c>
      <c r="BN41" s="305">
        <f>-IS!BN37</f>
        <v>300</v>
      </c>
      <c r="BO41" s="305">
        <f>-IS!BO37</f>
        <v>340</v>
      </c>
      <c r="BP41" s="305">
        <f>-IS!BP37</f>
        <v>211</v>
      </c>
      <c r="BQ41" s="305">
        <f>-IS!BQ37</f>
        <v>101</v>
      </c>
      <c r="BR41" s="303">
        <f>-IS!BR37</f>
        <v>952</v>
      </c>
      <c r="BS41" s="305">
        <f>-IS!BS37</f>
        <v>309</v>
      </c>
      <c r="BT41" s="305">
        <f>-IS!BT37</f>
        <v>421</v>
      </c>
      <c r="BU41" s="305">
        <f>-IS!BU37</f>
        <v>187</v>
      </c>
      <c r="BV41" s="305">
        <f>-IS!BV37</f>
        <v>234</v>
      </c>
      <c r="BW41" s="303">
        <f>SUM(BS41:BV41)</f>
        <v>1151</v>
      </c>
      <c r="BX41" s="305">
        <f>-IS!BX37</f>
        <v>263</v>
      </c>
      <c r="BY41" s="305">
        <f>-IS!BY37</f>
        <v>384</v>
      </c>
      <c r="BZ41" s="305">
        <f>-IS!BZ37</f>
        <v>301</v>
      </c>
      <c r="CA41" s="305">
        <f>-IS!CA37</f>
        <v>303</v>
      </c>
      <c r="CB41" s="303">
        <f>SUM(BX41:CA41)</f>
        <v>1251</v>
      </c>
      <c r="CC41" s="305">
        <f>-IS!CC37</f>
        <v>408</v>
      </c>
      <c r="CD41" s="305">
        <f>-IS!CD37</f>
        <v>181</v>
      </c>
      <c r="CE41" s="305">
        <f>-IS!CE37</f>
        <v>219</v>
      </c>
      <c r="CF41" s="305">
        <f>-IS!CF37</f>
        <v>-1019</v>
      </c>
      <c r="CG41" s="303">
        <f>SUM(CC41:CF41)</f>
        <v>-211</v>
      </c>
      <c r="CH41" s="305">
        <f>-IS!CH37</f>
        <v>146</v>
      </c>
      <c r="CI41" s="305">
        <f>-IS!CI37</f>
        <v>243</v>
      </c>
      <c r="CJ41" s="305">
        <f>-IS!CJ37</f>
        <v>211</v>
      </c>
      <c r="CK41" s="305">
        <f>-IS!CK37</f>
        <v>185</v>
      </c>
      <c r="CL41" s="303">
        <f>SUM(CH41:CK41)</f>
        <v>785</v>
      </c>
      <c r="CM41" s="305">
        <f>-IS!CM37</f>
        <v>588</v>
      </c>
      <c r="CN41" s="305">
        <f>-IS!CN37</f>
        <v>257</v>
      </c>
      <c r="CO41" s="305">
        <f>-IS!CO37</f>
        <v>250</v>
      </c>
      <c r="CP41" s="305">
        <f>CO41</f>
        <v>250</v>
      </c>
      <c r="CQ41" s="303">
        <f>SUM(CM41:CP41)</f>
        <v>1345</v>
      </c>
      <c r="CR41" s="305">
        <f>CN41</f>
        <v>257</v>
      </c>
      <c r="CS41" s="305">
        <f>CR41</f>
        <v>257</v>
      </c>
      <c r="CT41" s="305">
        <f>CS41</f>
        <v>257</v>
      </c>
      <c r="CU41" s="305">
        <f>CT41</f>
        <v>257</v>
      </c>
      <c r="CV41" s="303">
        <f>SUM(CR41:CU41)</f>
        <v>1028</v>
      </c>
      <c r="CW41" s="303">
        <f>CW42*CW22</f>
        <v>1072.5383281312245</v>
      </c>
      <c r="CX41" s="303">
        <f>CX42*CX22</f>
        <v>1119.2142390010713</v>
      </c>
      <c r="CY41" s="303">
        <f>CY42*CY22</f>
        <v>1159.5238725329828</v>
      </c>
      <c r="CZ41" s="1110"/>
    </row>
    <row r="42" spans="1:105" ht="12" customHeight="1">
      <c r="A42" s="482"/>
      <c r="B42" s="482"/>
      <c r="C42" s="482"/>
      <c r="D42" s="1156" t="s">
        <v>351</v>
      </c>
      <c r="E42" s="1155"/>
      <c r="F42" s="336"/>
      <c r="G42" s="336"/>
      <c r="H42" s="336"/>
      <c r="I42" s="336"/>
      <c r="J42" s="286">
        <f t="shared" ref="J42:AO42" si="43">J41/J22</f>
        <v>0</v>
      </c>
      <c r="K42" s="1154">
        <f t="shared" si="43"/>
        <v>0</v>
      </c>
      <c r="L42" s="1154">
        <f t="shared" si="43"/>
        <v>0</v>
      </c>
      <c r="M42" s="1154">
        <f t="shared" si="43"/>
        <v>0</v>
      </c>
      <c r="N42" s="1154">
        <f t="shared" si="43"/>
        <v>0</v>
      </c>
      <c r="O42" s="286">
        <f t="shared" si="43"/>
        <v>0</v>
      </c>
      <c r="P42" s="287">
        <f t="shared" si="43"/>
        <v>0</v>
      </c>
      <c r="Q42" s="287">
        <f t="shared" si="43"/>
        <v>0</v>
      </c>
      <c r="R42" s="287">
        <f t="shared" si="43"/>
        <v>0</v>
      </c>
      <c r="S42" s="287">
        <f t="shared" si="43"/>
        <v>0</v>
      </c>
      <c r="T42" s="286">
        <f t="shared" si="43"/>
        <v>0</v>
      </c>
      <c r="U42" s="287">
        <f t="shared" si="43"/>
        <v>0</v>
      </c>
      <c r="V42" s="287">
        <f t="shared" si="43"/>
        <v>0</v>
      </c>
      <c r="W42" s="287">
        <f t="shared" si="43"/>
        <v>0</v>
      </c>
      <c r="X42" s="287">
        <f t="shared" si="43"/>
        <v>0</v>
      </c>
      <c r="Y42" s="286">
        <f t="shared" si="43"/>
        <v>0</v>
      </c>
      <c r="Z42" s="1153">
        <f t="shared" si="43"/>
        <v>0</v>
      </c>
      <c r="AA42" s="1153">
        <f t="shared" si="43"/>
        <v>0</v>
      </c>
      <c r="AB42" s="1153">
        <f t="shared" si="43"/>
        <v>0</v>
      </c>
      <c r="AC42" s="1153">
        <f t="shared" si="43"/>
        <v>0</v>
      </c>
      <c r="AD42" s="286">
        <f t="shared" si="43"/>
        <v>0</v>
      </c>
      <c r="AE42" s="287">
        <f t="shared" si="43"/>
        <v>0</v>
      </c>
      <c r="AF42" s="287">
        <f t="shared" si="43"/>
        <v>0</v>
      </c>
      <c r="AG42" s="287">
        <f t="shared" si="43"/>
        <v>0</v>
      </c>
      <c r="AH42" s="287">
        <f t="shared" si="43"/>
        <v>0</v>
      </c>
      <c r="AI42" s="286">
        <f t="shared" si="43"/>
        <v>0</v>
      </c>
      <c r="AJ42" s="287">
        <f t="shared" si="43"/>
        <v>0</v>
      </c>
      <c r="AK42" s="287">
        <f t="shared" si="43"/>
        <v>0</v>
      </c>
      <c r="AL42" s="287">
        <f t="shared" si="43"/>
        <v>0</v>
      </c>
      <c r="AM42" s="287">
        <f t="shared" si="43"/>
        <v>0</v>
      </c>
      <c r="AN42" s="286">
        <f t="shared" si="43"/>
        <v>0</v>
      </c>
      <c r="AO42" s="287">
        <f t="shared" si="43"/>
        <v>0</v>
      </c>
      <c r="AP42" s="287">
        <f t="shared" ref="AP42:BU42" si="44">AP41/AP22</f>
        <v>0</v>
      </c>
      <c r="AQ42" s="287">
        <f t="shared" si="44"/>
        <v>0</v>
      </c>
      <c r="AR42" s="287">
        <f t="shared" si="44"/>
        <v>0</v>
      </c>
      <c r="AS42" s="286">
        <f t="shared" si="44"/>
        <v>0</v>
      </c>
      <c r="AT42" s="1152">
        <f t="shared" si="44"/>
        <v>0</v>
      </c>
      <c r="AU42" s="287">
        <f t="shared" si="44"/>
        <v>0</v>
      </c>
      <c r="AV42" s="287">
        <f t="shared" si="44"/>
        <v>0</v>
      </c>
      <c r="AW42" s="287">
        <f t="shared" si="44"/>
        <v>0</v>
      </c>
      <c r="AX42" s="1151">
        <f t="shared" si="44"/>
        <v>0</v>
      </c>
      <c r="AY42" s="337">
        <f t="shared" si="44"/>
        <v>2.4182310025411919E-3</v>
      </c>
      <c r="AZ42" s="337">
        <f t="shared" si="44"/>
        <v>8.8437978560490047E-3</v>
      </c>
      <c r="BA42" s="337">
        <f t="shared" si="44"/>
        <v>1.2550238871615986E-2</v>
      </c>
      <c r="BB42" s="337">
        <f t="shared" si="44"/>
        <v>6.9032119607983404E-3</v>
      </c>
      <c r="BC42" s="1151">
        <f t="shared" si="44"/>
        <v>7.7634716261325704E-3</v>
      </c>
      <c r="BD42" s="337">
        <f t="shared" si="44"/>
        <v>2.990033222591362E-3</v>
      </c>
      <c r="BE42" s="287">
        <f t="shared" si="44"/>
        <v>3.2603970439066803E-3</v>
      </c>
      <c r="BF42" s="287">
        <f t="shared" si="44"/>
        <v>-8.3700440528634359E-3</v>
      </c>
      <c r="BG42" s="337">
        <f t="shared" si="44"/>
        <v>5.1803013993541444E-3</v>
      </c>
      <c r="BH42" s="1151">
        <f t="shared" si="44"/>
        <v>8.0992526598682032E-4</v>
      </c>
      <c r="BI42" s="287">
        <f t="shared" si="44"/>
        <v>7.6540677029906098E-3</v>
      </c>
      <c r="BJ42" s="337">
        <f t="shared" si="44"/>
        <v>1.5135807588637777E-2</v>
      </c>
      <c r="BK42" s="337">
        <f t="shared" si="44"/>
        <v>1.6227608008429928E-2</v>
      </c>
      <c r="BL42" s="337">
        <f t="shared" si="44"/>
        <v>1.8084440425679906E-3</v>
      </c>
      <c r="BM42" s="1151">
        <f t="shared" si="44"/>
        <v>1.0277289521828031E-2</v>
      </c>
      <c r="BN42" s="337">
        <f t="shared" si="44"/>
        <v>2.4162371134020619E-2</v>
      </c>
      <c r="BO42" s="337">
        <f t="shared" si="44"/>
        <v>2.4625190120953138E-2</v>
      </c>
      <c r="BP42" s="337">
        <f t="shared" si="44"/>
        <v>1.4027389974737401E-2</v>
      </c>
      <c r="BQ42" s="337">
        <f t="shared" si="44"/>
        <v>6.1424314297877517E-3</v>
      </c>
      <c r="BR42" s="1151">
        <f t="shared" si="44"/>
        <v>1.6496846191169336E-2</v>
      </c>
      <c r="BS42" s="287">
        <f t="shared" si="44"/>
        <v>2.1459823598861033E-2</v>
      </c>
      <c r="BT42" s="287">
        <f t="shared" si="44"/>
        <v>2.630263651130826E-2</v>
      </c>
      <c r="BU42" s="287">
        <f t="shared" si="44"/>
        <v>1.2094166343293236E-2</v>
      </c>
      <c r="BV42" s="287">
        <f t="shared" ref="BV42:CD42" si="45">BV41/BV22</f>
        <v>1.3962646935974701E-2</v>
      </c>
      <c r="BW42" s="1151">
        <f t="shared" si="45"/>
        <v>1.8378948040749847E-2</v>
      </c>
      <c r="BX42" s="337">
        <f t="shared" si="45"/>
        <v>1.7836554764326891E-2</v>
      </c>
      <c r="BY42" s="337">
        <f t="shared" si="45"/>
        <v>2.2337269501483334E-2</v>
      </c>
      <c r="BZ42" s="337">
        <f t="shared" si="45"/>
        <v>1.8617021276595744E-2</v>
      </c>
      <c r="CA42" s="337">
        <f t="shared" si="45"/>
        <v>1.7827724170393033E-2</v>
      </c>
      <c r="CB42" s="1151">
        <f t="shared" si="45"/>
        <v>1.9216589861751152E-2</v>
      </c>
      <c r="CC42" s="337">
        <f t="shared" si="45"/>
        <v>3.063063063063063E-2</v>
      </c>
      <c r="CD42" s="337">
        <f t="shared" si="45"/>
        <v>1.2315438524869021E-2</v>
      </c>
      <c r="CE42" s="337">
        <f t="shared" ref="CE42:CK42" si="46">CE41/CE22</f>
        <v>1.5883376849434291E-2</v>
      </c>
      <c r="CF42" s="337">
        <f t="shared" si="46"/>
        <v>-7.1258741258741265E-2</v>
      </c>
      <c r="CG42" s="286">
        <f t="shared" si="46"/>
        <v>-3.7651938604269541E-3</v>
      </c>
      <c r="CH42" s="337">
        <f t="shared" si="46"/>
        <v>1.0930598188215917E-2</v>
      </c>
      <c r="CI42" s="337">
        <f t="shared" si="46"/>
        <v>1.6337232755143202E-2</v>
      </c>
      <c r="CJ42" s="337">
        <f t="shared" si="46"/>
        <v>1.4699735265431238E-2</v>
      </c>
      <c r="CK42" s="337">
        <f t="shared" si="46"/>
        <v>1.2620233303772427E-2</v>
      </c>
      <c r="CL42" s="286">
        <f>CL41/CL22</f>
        <v>1.3713227587170708E-2</v>
      </c>
      <c r="CM42" s="337">
        <v>1.4999999999999999E-2</v>
      </c>
      <c r="CN42" s="337">
        <v>1.4999999999999999E-2</v>
      </c>
      <c r="CO42" s="337">
        <v>1.4999999999999999E-2</v>
      </c>
      <c r="CP42" s="337">
        <f>CP41/CP22</f>
        <v>1.6285298610737277E-2</v>
      </c>
      <c r="CQ42" s="286">
        <f>CQ41/CQ22</f>
        <v>2.2601900915815029E-2</v>
      </c>
      <c r="CR42" s="337">
        <v>1.4999999999999999E-2</v>
      </c>
      <c r="CS42" s="337">
        <f>CS41/CS22</f>
        <v>1.571027714068263E-2</v>
      </c>
      <c r="CT42" s="337">
        <f>CT41/CT22</f>
        <v>1.6265400799840186E-2</v>
      </c>
      <c r="CU42" s="337">
        <f>CU41/CU22</f>
        <v>1.6059529739980098E-2</v>
      </c>
      <c r="CV42" s="286">
        <f>CV41/CV22</f>
        <v>1.6307310743646157E-2</v>
      </c>
      <c r="CW42" s="335">
        <f>CV42</f>
        <v>1.6307310743646157E-2</v>
      </c>
      <c r="CX42" s="335">
        <f>CW42</f>
        <v>1.6307310743646157E-2</v>
      </c>
      <c r="CY42" s="335">
        <f>CX42</f>
        <v>1.6307310743646157E-2</v>
      </c>
      <c r="CZ42" s="482"/>
    </row>
    <row r="43" spans="1:105" ht="12" customHeight="1">
      <c r="A43" s="434"/>
      <c r="B43" s="434"/>
      <c r="C43" s="434"/>
      <c r="D43" s="463"/>
      <c r="E43" s="1088"/>
      <c r="F43" s="1088"/>
      <c r="G43" s="1088"/>
      <c r="H43" s="1088"/>
      <c r="I43" s="1088"/>
      <c r="J43" s="1086"/>
      <c r="K43" s="1150"/>
      <c r="L43" s="1150"/>
      <c r="M43" s="1150"/>
      <c r="N43" s="1150"/>
      <c r="O43" s="1086"/>
      <c r="P43" s="1088"/>
      <c r="Q43" s="1088"/>
      <c r="R43" s="1088"/>
      <c r="S43" s="1088"/>
      <c r="T43" s="1086"/>
      <c r="U43" s="1088"/>
      <c r="V43" s="1088"/>
      <c r="W43" s="1088"/>
      <c r="X43" s="1088"/>
      <c r="Y43" s="1086"/>
      <c r="Z43" s="1088"/>
      <c r="AA43" s="1088"/>
      <c r="AB43" s="1088"/>
      <c r="AC43" s="1088"/>
      <c r="AD43" s="1086"/>
      <c r="AE43" s="1088"/>
      <c r="AF43" s="1088"/>
      <c r="AG43" s="1088"/>
      <c r="AH43" s="1088"/>
      <c r="AI43" s="1086"/>
      <c r="AJ43" s="1088"/>
      <c r="AK43" s="1088"/>
      <c r="AL43" s="1088"/>
      <c r="AM43" s="1088"/>
      <c r="AN43" s="1086"/>
      <c r="AO43" s="1088"/>
      <c r="AP43" s="1088"/>
      <c r="AQ43" s="1088"/>
      <c r="AR43" s="1088"/>
      <c r="AS43" s="1086"/>
      <c r="AT43" s="1088"/>
      <c r="AU43" s="1088"/>
      <c r="AV43" s="1088"/>
      <c r="AW43" s="1088"/>
      <c r="AX43" s="1086"/>
      <c r="AY43" s="1088"/>
      <c r="AZ43" s="1088"/>
      <c r="BA43" s="1088"/>
      <c r="BB43" s="1088"/>
      <c r="BC43" s="1086"/>
      <c r="BD43" s="1088"/>
      <c r="BE43" s="1088"/>
      <c r="BF43" s="1088"/>
      <c r="BG43" s="1088"/>
      <c r="BH43" s="1086"/>
      <c r="BI43" s="1088"/>
      <c r="BJ43" s="1088"/>
      <c r="BK43" s="1088"/>
      <c r="BL43" s="1088"/>
      <c r="BM43" s="1086"/>
      <c r="BN43" s="1088"/>
      <c r="BO43" s="1088"/>
      <c r="BP43" s="1088"/>
      <c r="BQ43" s="1088"/>
      <c r="BR43" s="1086"/>
      <c r="BS43" s="1087"/>
      <c r="BT43" s="1087"/>
      <c r="BU43" s="1087"/>
      <c r="BV43" s="1087"/>
      <c r="BW43" s="1086"/>
      <c r="BX43" s="1087"/>
      <c r="BY43" s="1087"/>
      <c r="BZ43" s="1087"/>
      <c r="CA43" s="1087"/>
      <c r="CB43" s="1086"/>
      <c r="CC43" s="1087"/>
      <c r="CD43" s="1087"/>
      <c r="CE43" s="1087"/>
      <c r="CF43" s="1087"/>
      <c r="CG43" s="1086"/>
      <c r="CH43" s="1087"/>
      <c r="CI43" s="1087"/>
      <c r="CJ43" s="1087"/>
      <c r="CK43" s="1087"/>
      <c r="CL43" s="1086"/>
      <c r="CM43" s="1087"/>
      <c r="CN43" s="1087"/>
      <c r="CO43" s="1087"/>
      <c r="CP43" s="1087"/>
      <c r="CQ43" s="1086"/>
      <c r="CR43" s="1087"/>
      <c r="CS43" s="1087"/>
      <c r="CT43" s="1087"/>
      <c r="CU43" s="1087"/>
      <c r="CV43" s="1086"/>
      <c r="CW43" s="1086"/>
      <c r="CX43" s="1086"/>
      <c r="CY43" s="1086"/>
      <c r="CZ43" s="434"/>
    </row>
    <row r="44" spans="1:105" ht="12" customHeight="1">
      <c r="A44" s="434"/>
      <c r="B44" s="434"/>
      <c r="C44" s="434" t="s">
        <v>167</v>
      </c>
      <c r="D44" s="463"/>
      <c r="E44" s="1088"/>
      <c r="F44" s="1088"/>
      <c r="G44" s="1088"/>
      <c r="H44" s="1088"/>
      <c r="I44" s="1088"/>
      <c r="J44" s="303">
        <f>Otis!N22</f>
        <v>963</v>
      </c>
      <c r="K44" s="1148">
        <f>Otis!O22</f>
        <v>259.75</v>
      </c>
      <c r="L44" s="1148">
        <f>Otis!P22</f>
        <v>262.75</v>
      </c>
      <c r="M44" s="1148">
        <f>Otis!Q22</f>
        <v>275.75</v>
      </c>
      <c r="N44" s="1148">
        <f>Otis!R22</f>
        <v>290.75</v>
      </c>
      <c r="O44" s="303">
        <f>Otis!S22</f>
        <v>1089</v>
      </c>
      <c r="P44" s="305">
        <f>Otis!T22</f>
        <v>284.5</v>
      </c>
      <c r="Q44" s="305">
        <f>Otis!U22</f>
        <v>301</v>
      </c>
      <c r="R44" s="305">
        <f>Otis!V22</f>
        <v>338</v>
      </c>
      <c r="S44" s="305">
        <f>Otis!W22</f>
        <v>344.5</v>
      </c>
      <c r="T44" s="303">
        <f>Otis!X22</f>
        <v>1268</v>
      </c>
      <c r="U44" s="305">
        <f>Otis!Y22</f>
        <v>358.5</v>
      </c>
      <c r="V44" s="305">
        <f>Otis!Z22</f>
        <v>380.5</v>
      </c>
      <c r="W44" s="305">
        <f>Otis!AA22</f>
        <v>394.5</v>
      </c>
      <c r="X44" s="305">
        <f>Otis!AB22</f>
        <v>412.5</v>
      </c>
      <c r="Y44" s="303">
        <f>Otis!AC22</f>
        <v>1546</v>
      </c>
      <c r="Z44" s="305">
        <f>Otis!AD22</f>
        <v>413.75</v>
      </c>
      <c r="AA44" s="305">
        <f>Otis!AE22</f>
        <v>423.75</v>
      </c>
      <c r="AB44" s="305">
        <f>Otis!AF22</f>
        <v>439.75</v>
      </c>
      <c r="AC44" s="305">
        <f>Otis!AG22</f>
        <v>454.75</v>
      </c>
      <c r="AD44" s="303">
        <f>Otis!AH22</f>
        <v>1732</v>
      </c>
      <c r="AE44" s="305">
        <f>Otis!AI22</f>
        <v>468.25</v>
      </c>
      <c r="AF44" s="305">
        <f>Otis!AJ22</f>
        <v>481.25</v>
      </c>
      <c r="AG44" s="305">
        <f>Otis!AK22</f>
        <v>490.25</v>
      </c>
      <c r="AH44" s="305">
        <f>Otis!AL22</f>
        <v>489.25</v>
      </c>
      <c r="AI44" s="303">
        <f>Otis!AM22</f>
        <v>1929</v>
      </c>
      <c r="AJ44" s="305">
        <f>Otis!AN22</f>
        <v>486.75</v>
      </c>
      <c r="AK44" s="305">
        <f>Otis!AO22</f>
        <v>523.75</v>
      </c>
      <c r="AL44" s="305">
        <f>Otis!AP22</f>
        <v>540.75</v>
      </c>
      <c r="AM44" s="305">
        <f>Otis!AQ22</f>
        <v>565.75</v>
      </c>
      <c r="AN44" s="303">
        <f>Otis!AR22</f>
        <v>2117</v>
      </c>
      <c r="AO44" s="305">
        <f>Otis!AS22</f>
        <v>534.5</v>
      </c>
      <c r="AP44" s="305">
        <f>Otis!AT22</f>
        <v>585.5</v>
      </c>
      <c r="AQ44" s="305">
        <f>Otis!AU22</f>
        <v>619.5</v>
      </c>
      <c r="AR44" s="305">
        <f>Otis!AV22</f>
        <v>678.5</v>
      </c>
      <c r="AS44" s="303">
        <f>Otis!AW22</f>
        <v>2418</v>
      </c>
      <c r="AT44" s="305">
        <f>Otis!AX22</f>
        <v>632.75</v>
      </c>
      <c r="AU44" s="305">
        <f>Otis!AY22</f>
        <v>725.75</v>
      </c>
      <c r="AV44" s="305">
        <f>Otis!AZ22</f>
        <v>703.75</v>
      </c>
      <c r="AW44" s="305">
        <f>Otis!BA22</f>
        <v>638.75</v>
      </c>
      <c r="AX44" s="303">
        <f>Otis!BB22</f>
        <v>2701</v>
      </c>
      <c r="AY44" s="305">
        <f>Otis!BC22</f>
        <v>579</v>
      </c>
      <c r="AZ44" s="305">
        <f>Otis!BD22</f>
        <v>687</v>
      </c>
      <c r="BA44" s="305">
        <f>Otis!BE22</f>
        <v>736</v>
      </c>
      <c r="BB44" s="305">
        <f>Otis!BF22</f>
        <v>755</v>
      </c>
      <c r="BC44" s="303">
        <f>Otis!BG22</f>
        <v>2757</v>
      </c>
      <c r="BD44" s="305">
        <f>Otis!BH22</f>
        <v>659.75</v>
      </c>
      <c r="BE44" s="305">
        <f>Otis!BI22</f>
        <v>710.75</v>
      </c>
      <c r="BF44" s="305">
        <f>Otis!BJ22</f>
        <v>742.75</v>
      </c>
      <c r="BG44" s="305">
        <f>Otis!BK22</f>
        <v>755.75</v>
      </c>
      <c r="BH44" s="303">
        <f>Otis!BL22</f>
        <v>2869</v>
      </c>
      <c r="BI44" s="305">
        <f>Otis!BM22</f>
        <v>687.75</v>
      </c>
      <c r="BJ44" s="305">
        <f>Otis!BN22</f>
        <v>802.75</v>
      </c>
      <c r="BK44" s="305">
        <f>Otis!BO22</f>
        <v>827.75</v>
      </c>
      <c r="BL44" s="305">
        <f>Otis!BP22</f>
        <v>792.75</v>
      </c>
      <c r="BM44" s="303">
        <f>Otis!BQ22</f>
        <v>3111</v>
      </c>
      <c r="BN44" s="305">
        <f>Otis!BR22</f>
        <v>649</v>
      </c>
      <c r="BO44" s="305">
        <f>Otis!BS22</f>
        <v>741</v>
      </c>
      <c r="BP44" s="305">
        <f>Otis!BT22</f>
        <v>748</v>
      </c>
      <c r="BQ44" s="305">
        <f>Otis!BU22</f>
        <v>758</v>
      </c>
      <c r="BR44" s="303">
        <f>Otis!BV22</f>
        <v>2896</v>
      </c>
      <c r="BS44" s="305">
        <f>Otis!BW22</f>
        <v>637.25</v>
      </c>
      <c r="BT44" s="305">
        <f>Otis!BX22</f>
        <v>741.25</v>
      </c>
      <c r="BU44" s="305">
        <f>Otis!BY22</f>
        <v>752.25</v>
      </c>
      <c r="BV44" s="305">
        <f>Otis!BZ22</f>
        <v>756.25</v>
      </c>
      <c r="BW44" s="303">
        <f>Otis!CA22</f>
        <v>2887</v>
      </c>
      <c r="BX44" s="305">
        <f>Otis!CB22</f>
        <v>639.25</v>
      </c>
      <c r="BY44" s="305">
        <f>Otis!CC22</f>
        <v>766.25</v>
      </c>
      <c r="BZ44" s="305">
        <f>Otis!CD22</f>
        <v>770.25</v>
      </c>
      <c r="CA44" s="305">
        <f>Otis!CE22</f>
        <v>760.25</v>
      </c>
      <c r="CB44" s="303">
        <f>Otis!CF22</f>
        <v>2936</v>
      </c>
      <c r="CC44" s="305">
        <f>Otis!CG22</f>
        <v>577</v>
      </c>
      <c r="CD44" s="305">
        <f>Otis!CH22</f>
        <v>679</v>
      </c>
      <c r="CE44" s="305">
        <f>Otis!CI22</f>
        <v>704</v>
      </c>
      <c r="CF44" s="305">
        <f>Otis!CJ22</f>
        <v>605</v>
      </c>
      <c r="CG44" s="303">
        <f>Otis!CK22</f>
        <v>2565</v>
      </c>
      <c r="CH44" s="305">
        <f>Otis!CL22</f>
        <v>523.75</v>
      </c>
      <c r="CI44" s="305">
        <f>Otis!CM22</f>
        <v>639.75</v>
      </c>
      <c r="CJ44" s="305">
        <f>Otis!CN22</f>
        <v>636.75</v>
      </c>
      <c r="CK44" s="305">
        <f>Otis!CO22</f>
        <v>576.75</v>
      </c>
      <c r="CL44" s="303">
        <f>Otis!CP22</f>
        <v>2377</v>
      </c>
      <c r="CM44" s="305">
        <f>Otis!CQ22</f>
        <v>499.75</v>
      </c>
      <c r="CN44" s="305">
        <f>Otis!CR22</f>
        <v>598.75</v>
      </c>
      <c r="CO44" s="305">
        <f>Otis!CS22</f>
        <v>603.75</v>
      </c>
      <c r="CP44" s="305">
        <f>Otis!CT22</f>
        <v>560.61884998736605</v>
      </c>
      <c r="CQ44" s="303">
        <f>Otis!CU22</f>
        <v>2262.868849987366</v>
      </c>
      <c r="CR44" s="305">
        <f>Otis!CV22</f>
        <v>512.93476693652951</v>
      </c>
      <c r="CS44" s="305">
        <f>Otis!CW22</f>
        <v>613.99683663524263</v>
      </c>
      <c r="CT44" s="305">
        <f>Otis!CX22</f>
        <v>627.63466257211905</v>
      </c>
      <c r="CU44" s="305">
        <f>Otis!CY22</f>
        <v>558.3385500888927</v>
      </c>
      <c r="CV44" s="303">
        <f>Otis!CZ22</f>
        <v>2312.904816232784</v>
      </c>
      <c r="CW44" s="303">
        <f>Otis!DA22</f>
        <v>2383.2184539443474</v>
      </c>
      <c r="CX44" s="303">
        <f>Otis!DB22</f>
        <v>2458.5231308809743</v>
      </c>
      <c r="CY44" s="303">
        <f>Otis!DC22</f>
        <v>2489.1261009015448</v>
      </c>
      <c r="CZ44" s="434"/>
    </row>
    <row r="45" spans="1:105" ht="12" customHeight="1">
      <c r="A45" s="434"/>
      <c r="B45" s="434"/>
      <c r="C45" s="434" t="s">
        <v>310</v>
      </c>
      <c r="D45" s="463"/>
      <c r="E45" s="1088"/>
      <c r="F45" s="1088"/>
      <c r="G45" s="1088"/>
      <c r="H45" s="1088"/>
      <c r="I45" s="1088"/>
      <c r="J45" s="461"/>
      <c r="K45" s="1149"/>
      <c r="L45" s="1149"/>
      <c r="M45" s="1149"/>
      <c r="N45" s="1149"/>
      <c r="O45" s="303"/>
      <c r="P45" s="305"/>
      <c r="Q45" s="305"/>
      <c r="R45" s="305"/>
      <c r="S45" s="305"/>
      <c r="T45" s="303"/>
      <c r="U45" s="305"/>
      <c r="V45" s="305"/>
      <c r="W45" s="305"/>
      <c r="X45" s="305"/>
      <c r="Y45" s="303"/>
      <c r="Z45" s="305"/>
      <c r="AA45" s="305"/>
      <c r="AB45" s="305"/>
      <c r="AC45" s="305"/>
      <c r="AD45" s="303"/>
      <c r="AE45" s="305"/>
      <c r="AF45" s="305"/>
      <c r="AG45" s="305"/>
      <c r="AH45" s="305"/>
      <c r="AI45" s="303"/>
      <c r="AJ45" s="305"/>
      <c r="AK45" s="305"/>
      <c r="AL45" s="305"/>
      <c r="AM45" s="305"/>
      <c r="AN45" s="303"/>
      <c r="AO45" s="305"/>
      <c r="AP45" s="305"/>
      <c r="AQ45" s="305"/>
      <c r="AR45" s="305"/>
      <c r="AS45" s="303"/>
      <c r="AT45" s="305"/>
      <c r="AU45" s="305"/>
      <c r="AV45" s="305"/>
      <c r="AW45" s="305"/>
      <c r="AX45" s="303"/>
      <c r="AY45" s="305"/>
      <c r="AZ45" s="305"/>
      <c r="BA45" s="305"/>
      <c r="BB45" s="305"/>
      <c r="BC45" s="303"/>
      <c r="BD45" s="305"/>
      <c r="BE45" s="305"/>
      <c r="BF45" s="305"/>
      <c r="BG45" s="305"/>
      <c r="BH45" s="303"/>
      <c r="BI45" s="305">
        <f>CCS!BI22</f>
        <v>600</v>
      </c>
      <c r="BJ45" s="305">
        <f>CCS!BJ22</f>
        <v>797</v>
      </c>
      <c r="BK45" s="305">
        <f>CCS!BK22</f>
        <v>735</v>
      </c>
      <c r="BL45" s="305">
        <f>CCS!BL22</f>
        <v>595</v>
      </c>
      <c r="BM45" s="303">
        <f>CCS!BM22</f>
        <v>2727</v>
      </c>
      <c r="BN45" s="305">
        <f>CCS!BN22</f>
        <v>571.5</v>
      </c>
      <c r="BO45" s="305">
        <f>CCS!BO22</f>
        <v>820.5</v>
      </c>
      <c r="BP45" s="305">
        <f>CCS!BP22</f>
        <v>762.5</v>
      </c>
      <c r="BQ45" s="305">
        <f>CCS!BQ22</f>
        <v>674.5</v>
      </c>
      <c r="BR45" s="303">
        <f>CCS!BR22</f>
        <v>2829</v>
      </c>
      <c r="BS45" s="305">
        <f>CCS!BS22</f>
        <v>599</v>
      </c>
      <c r="BT45" s="305">
        <f>CCS!BT22</f>
        <v>863</v>
      </c>
      <c r="BU45" s="305">
        <f>CCS!BU22</f>
        <v>819</v>
      </c>
      <c r="BV45" s="305">
        <f>CCS!BV22</f>
        <v>731</v>
      </c>
      <c r="BW45" s="303">
        <f>CCS!BW22</f>
        <v>3012</v>
      </c>
      <c r="BX45" s="305">
        <f>CCS!BX22</f>
        <v>667.25</v>
      </c>
      <c r="BY45" s="305">
        <f>CCS!BY22</f>
        <v>927.25</v>
      </c>
      <c r="BZ45" s="305">
        <f>CCS!BZ22</f>
        <v>878.25</v>
      </c>
      <c r="CA45" s="305">
        <f>CCS!CA22</f>
        <v>744.25</v>
      </c>
      <c r="CB45" s="303">
        <f>CCS!CB22</f>
        <v>3217</v>
      </c>
      <c r="CC45" s="305">
        <f>CCS!CC22</f>
        <v>711.25</v>
      </c>
      <c r="CD45" s="305">
        <f>CCS!CD22</f>
        <v>935.25</v>
      </c>
      <c r="CE45" s="305">
        <f>CCS!CE22</f>
        <v>870.25</v>
      </c>
      <c r="CF45" s="305">
        <f>CCS!CF22</f>
        <v>743.25</v>
      </c>
      <c r="CG45" s="303">
        <f>CCS!CG22</f>
        <v>3260</v>
      </c>
      <c r="CH45" s="305">
        <f>CCS!CH22</f>
        <v>722.5</v>
      </c>
      <c r="CI45" s="305">
        <f>CCS!CI22</f>
        <v>997.5</v>
      </c>
      <c r="CJ45" s="305">
        <f>CCS!CJ22</f>
        <v>918.5</v>
      </c>
      <c r="CK45" s="305">
        <f>CCS!CK22</f>
        <v>768.5</v>
      </c>
      <c r="CL45" s="303">
        <f>CCS!CL22</f>
        <v>3407</v>
      </c>
      <c r="CM45" s="305">
        <f>CCS!CM22</f>
        <v>695.5</v>
      </c>
      <c r="CN45" s="305">
        <f>CCS!CN22</f>
        <v>979.5</v>
      </c>
      <c r="CO45" s="305">
        <f>CCS!CO22</f>
        <v>959.5</v>
      </c>
      <c r="CP45" s="305">
        <f>CCS!CP22</f>
        <v>831.8229430521958</v>
      </c>
      <c r="CQ45" s="303">
        <f>CCS!CQ22</f>
        <v>3466.322943052196</v>
      </c>
      <c r="CR45" s="305">
        <f>CCS!CR22</f>
        <v>765.51685639918969</v>
      </c>
      <c r="CS45" s="305">
        <f>CCS!CS22</f>
        <v>1036.1291802907251</v>
      </c>
      <c r="CT45" s="305">
        <f>CCS!CT22</f>
        <v>1015.8536976402412</v>
      </c>
      <c r="CU45" s="305">
        <f>CCS!CU22</f>
        <v>900.36364709411134</v>
      </c>
      <c r="CV45" s="303">
        <f>CCS!CV22</f>
        <v>3717.8633814242671</v>
      </c>
      <c r="CW45" s="303">
        <f>CCS!CW22</f>
        <v>3946.7542601794148</v>
      </c>
      <c r="CX45" s="303">
        <f>CCS!CX22</f>
        <v>4149.3066342688617</v>
      </c>
      <c r="CY45" s="303">
        <f>CCS!CY22</f>
        <v>4355.2501076050421</v>
      </c>
      <c r="CZ45" s="434"/>
    </row>
    <row r="46" spans="1:105" ht="12" hidden="1" customHeight="1" outlineLevel="1">
      <c r="A46" s="434"/>
      <c r="B46" s="434"/>
      <c r="C46" s="434" t="s">
        <v>309</v>
      </c>
      <c r="D46" s="463"/>
      <c r="E46" s="1088"/>
      <c r="F46" s="1088"/>
      <c r="G46" s="1088"/>
      <c r="H46" s="1088"/>
      <c r="I46" s="1088"/>
      <c r="J46" s="303">
        <v>1001</v>
      </c>
      <c r="K46" s="1148">
        <v>128.5</v>
      </c>
      <c r="L46" s="1148">
        <v>379</v>
      </c>
      <c r="M46" s="1148">
        <v>167</v>
      </c>
      <c r="N46" s="1148">
        <v>163.5</v>
      </c>
      <c r="O46" s="303">
        <v>838</v>
      </c>
      <c r="P46" s="305">
        <v>108.25</v>
      </c>
      <c r="Q46" s="305">
        <v>382.25</v>
      </c>
      <c r="R46" s="305">
        <v>323.25</v>
      </c>
      <c r="S46" s="305">
        <v>154.25</v>
      </c>
      <c r="T46" s="303">
        <v>968</v>
      </c>
      <c r="U46" s="305">
        <v>196.5</v>
      </c>
      <c r="V46" s="305">
        <v>408.5</v>
      </c>
      <c r="W46" s="305">
        <v>349.5</v>
      </c>
      <c r="X46" s="305">
        <v>138.5</v>
      </c>
      <c r="Y46" s="303">
        <v>1158</v>
      </c>
      <c r="Z46" s="305">
        <v>225</v>
      </c>
      <c r="AA46" s="305">
        <v>475</v>
      </c>
      <c r="AB46" s="305">
        <v>369</v>
      </c>
      <c r="AC46" s="305">
        <v>202</v>
      </c>
      <c r="AD46" s="303">
        <v>1320</v>
      </c>
      <c r="AE46" s="305">
        <v>219.25</v>
      </c>
      <c r="AF46" s="305">
        <v>460.25</v>
      </c>
      <c r="AG46" s="305">
        <v>421.25</v>
      </c>
      <c r="AH46" s="305">
        <v>252.25</v>
      </c>
      <c r="AI46" s="303">
        <v>1353</v>
      </c>
      <c r="AJ46" s="305">
        <v>250.25</v>
      </c>
      <c r="AK46" s="305">
        <v>474.25</v>
      </c>
      <c r="AL46" s="305">
        <v>436.25</v>
      </c>
      <c r="AM46" s="305">
        <v>242.25</v>
      </c>
      <c r="AN46" s="303">
        <v>1403</v>
      </c>
      <c r="AO46" s="305">
        <v>272</v>
      </c>
      <c r="AP46" s="305">
        <v>537</v>
      </c>
      <c r="AQ46" s="305">
        <v>482</v>
      </c>
      <c r="AR46" s="305">
        <v>290</v>
      </c>
      <c r="AS46" s="303">
        <v>1581</v>
      </c>
      <c r="AT46" s="305">
        <v>307.5</v>
      </c>
      <c r="AU46" s="305">
        <v>581.5</v>
      </c>
      <c r="AV46" s="305">
        <v>503.5</v>
      </c>
      <c r="AW46" s="305">
        <v>190.5</v>
      </c>
      <c r="AX46" s="303">
        <v>1583</v>
      </c>
      <c r="AY46" s="305">
        <v>110.75</v>
      </c>
      <c r="AZ46" s="305">
        <v>362.75</v>
      </c>
      <c r="BA46" s="305">
        <v>345.75</v>
      </c>
      <c r="BB46" s="305">
        <v>237.75</v>
      </c>
      <c r="BC46" s="303">
        <v>1057</v>
      </c>
      <c r="BD46" s="305">
        <v>202.75</v>
      </c>
      <c r="BE46" s="305">
        <v>440.75</v>
      </c>
      <c r="BF46" s="305">
        <v>400.75</v>
      </c>
      <c r="BG46" s="305">
        <v>280.75</v>
      </c>
      <c r="BH46" s="303">
        <v>1325</v>
      </c>
      <c r="BI46" s="305">
        <v>365</v>
      </c>
      <c r="BJ46" s="305">
        <v>514</v>
      </c>
      <c r="BK46" s="305">
        <v>443</v>
      </c>
      <c r="BL46" s="305">
        <v>299</v>
      </c>
      <c r="BM46" s="303">
        <v>1621</v>
      </c>
      <c r="BN46" s="305"/>
      <c r="BO46" s="305"/>
      <c r="BP46" s="305"/>
      <c r="BQ46" s="305"/>
      <c r="BR46" s="303"/>
      <c r="BS46" s="305"/>
      <c r="BT46" s="305"/>
      <c r="BU46" s="305"/>
      <c r="BV46" s="305"/>
      <c r="BW46" s="303"/>
      <c r="BX46" s="305"/>
      <c r="BY46" s="305"/>
      <c r="BZ46" s="305"/>
      <c r="CA46" s="305"/>
      <c r="CB46" s="303"/>
      <c r="CC46" s="305"/>
      <c r="CD46" s="305"/>
      <c r="CE46" s="305"/>
      <c r="CF46" s="305"/>
      <c r="CG46" s="303"/>
      <c r="CH46" s="305"/>
      <c r="CI46" s="305"/>
      <c r="CJ46" s="305"/>
      <c r="CK46" s="305"/>
      <c r="CL46" s="303"/>
      <c r="CM46" s="305"/>
      <c r="CN46" s="305"/>
      <c r="CO46" s="305"/>
      <c r="CP46" s="305"/>
      <c r="CQ46" s="303"/>
      <c r="CR46" s="305"/>
      <c r="CS46" s="305"/>
      <c r="CT46" s="305"/>
      <c r="CU46" s="305"/>
      <c r="CV46" s="303"/>
      <c r="CW46" s="303"/>
      <c r="CX46" s="303"/>
      <c r="CY46" s="303"/>
      <c r="CZ46" s="434"/>
    </row>
    <row r="47" spans="1:105" ht="12" hidden="1" customHeight="1" outlineLevel="1">
      <c r="A47" s="434"/>
      <c r="B47" s="434"/>
      <c r="C47" s="434" t="s">
        <v>308</v>
      </c>
      <c r="D47" s="463"/>
      <c r="E47" s="1088"/>
      <c r="F47" s="1088"/>
      <c r="G47" s="1088"/>
      <c r="H47" s="1088"/>
      <c r="I47" s="1088"/>
      <c r="J47" s="303"/>
      <c r="K47" s="1148"/>
      <c r="L47" s="1148"/>
      <c r="M47" s="1148"/>
      <c r="N47" s="1148"/>
      <c r="O47" s="303"/>
      <c r="P47" s="305"/>
      <c r="Q47" s="305"/>
      <c r="R47" s="305"/>
      <c r="S47" s="305"/>
      <c r="T47" s="303"/>
      <c r="U47" s="305"/>
      <c r="V47" s="305"/>
      <c r="W47" s="305"/>
      <c r="X47" s="305"/>
      <c r="Y47" s="303">
        <v>99</v>
      </c>
      <c r="Z47" s="305">
        <v>54.75</v>
      </c>
      <c r="AA47" s="305">
        <v>55.75</v>
      </c>
      <c r="AB47" s="305">
        <v>56.75</v>
      </c>
      <c r="AC47" s="305">
        <v>57.75</v>
      </c>
      <c r="AD47" s="303">
        <v>225</v>
      </c>
      <c r="AE47" s="305">
        <v>64</v>
      </c>
      <c r="AF47" s="305">
        <v>85</v>
      </c>
      <c r="AG47" s="305">
        <v>96</v>
      </c>
      <c r="AH47" s="305">
        <v>161</v>
      </c>
      <c r="AI47" s="303">
        <v>406</v>
      </c>
      <c r="AJ47" s="305">
        <v>111</v>
      </c>
      <c r="AK47" s="305">
        <v>121</v>
      </c>
      <c r="AL47" s="305">
        <v>123</v>
      </c>
      <c r="AM47" s="305">
        <v>166</v>
      </c>
      <c r="AN47" s="303">
        <v>521</v>
      </c>
      <c r="AO47" s="305">
        <v>128</v>
      </c>
      <c r="AP47" s="305">
        <v>145</v>
      </c>
      <c r="AQ47" s="305">
        <v>179</v>
      </c>
      <c r="AR47" s="305">
        <v>232</v>
      </c>
      <c r="AS47" s="303">
        <v>684</v>
      </c>
      <c r="AT47" s="305">
        <v>180.5</v>
      </c>
      <c r="AU47" s="305">
        <v>212.5</v>
      </c>
      <c r="AV47" s="305">
        <v>213.5</v>
      </c>
      <c r="AW47" s="305">
        <v>236.5</v>
      </c>
      <c r="AX47" s="303">
        <v>843</v>
      </c>
      <c r="AY47" s="305">
        <v>160.5</v>
      </c>
      <c r="AZ47" s="305">
        <v>194.5</v>
      </c>
      <c r="BA47" s="305">
        <v>209.5</v>
      </c>
      <c r="BB47" s="305">
        <v>254.5</v>
      </c>
      <c r="BC47" s="303">
        <v>819</v>
      </c>
      <c r="BD47" s="305">
        <v>201.5</v>
      </c>
      <c r="BE47" s="305">
        <v>255.5</v>
      </c>
      <c r="BF47" s="305">
        <v>279.5</v>
      </c>
      <c r="BG47" s="305">
        <v>329.5</v>
      </c>
      <c r="BH47" s="303">
        <v>1066</v>
      </c>
      <c r="BI47" s="305">
        <v>236.13</v>
      </c>
      <c r="BJ47" s="305">
        <v>282.13</v>
      </c>
      <c r="BK47" s="305">
        <v>294.13</v>
      </c>
      <c r="BL47" s="305">
        <v>293.61</v>
      </c>
      <c r="BM47" s="303">
        <v>1106</v>
      </c>
      <c r="BN47" s="305"/>
      <c r="BO47" s="305"/>
      <c r="BP47" s="305"/>
      <c r="BQ47" s="305"/>
      <c r="BR47" s="303"/>
      <c r="BS47" s="305"/>
      <c r="BT47" s="305"/>
      <c r="BU47" s="305"/>
      <c r="BV47" s="305"/>
      <c r="BW47" s="303"/>
      <c r="BX47" s="305"/>
      <c r="BY47" s="305"/>
      <c r="BZ47" s="305"/>
      <c r="CA47" s="305"/>
      <c r="CB47" s="303"/>
      <c r="CC47" s="305"/>
      <c r="CD47" s="305"/>
      <c r="CE47" s="305"/>
      <c r="CF47" s="305"/>
      <c r="CG47" s="303"/>
      <c r="CH47" s="305"/>
      <c r="CI47" s="305"/>
      <c r="CJ47" s="305"/>
      <c r="CK47" s="305"/>
      <c r="CL47" s="303"/>
      <c r="CM47" s="305"/>
      <c r="CN47" s="305"/>
      <c r="CO47" s="305"/>
      <c r="CP47" s="305"/>
      <c r="CQ47" s="303"/>
      <c r="CR47" s="305"/>
      <c r="CS47" s="305"/>
      <c r="CT47" s="305"/>
      <c r="CU47" s="305"/>
      <c r="CV47" s="303"/>
      <c r="CW47" s="303"/>
      <c r="CX47" s="303"/>
      <c r="CY47" s="303"/>
      <c r="CZ47" s="434"/>
    </row>
    <row r="48" spans="1:105" ht="12" customHeight="1" collapsed="1">
      <c r="A48" s="434"/>
      <c r="B48" s="434"/>
      <c r="C48" s="434" t="s">
        <v>165</v>
      </c>
      <c r="D48" s="463"/>
      <c r="E48" s="1088"/>
      <c r="F48" s="1088"/>
      <c r="G48" s="1088"/>
      <c r="H48" s="1088"/>
      <c r="I48" s="1088"/>
      <c r="J48" s="303">
        <f>Pratt!N22</f>
        <v>1417</v>
      </c>
      <c r="K48" s="1148">
        <f>Pratt!O22</f>
        <v>398.75</v>
      </c>
      <c r="L48" s="1148">
        <f>Pratt!P22</f>
        <v>408.75</v>
      </c>
      <c r="M48" s="1148">
        <f>Pratt!Q22</f>
        <v>407.75</v>
      </c>
      <c r="N48" s="1148">
        <f>Pratt!R22</f>
        <v>378.75</v>
      </c>
      <c r="O48" s="303">
        <f>Pratt!S22</f>
        <v>1594</v>
      </c>
      <c r="P48" s="305">
        <f>Pratt!T22</f>
        <v>379.25</v>
      </c>
      <c r="Q48" s="305">
        <f>Pratt!U22</f>
        <v>404.25</v>
      </c>
      <c r="R48" s="305">
        <f>Pratt!V22</f>
        <v>402.25</v>
      </c>
      <c r="S48" s="305">
        <f>Pratt!W22</f>
        <v>385.25</v>
      </c>
      <c r="T48" s="303">
        <f>Pratt!X22</f>
        <v>1571</v>
      </c>
      <c r="U48" s="305">
        <f>Pratt!Y22</f>
        <v>331.5</v>
      </c>
      <c r="V48" s="305">
        <f>Pratt!Z22</f>
        <v>324.5</v>
      </c>
      <c r="W48" s="305">
        <f>Pratt!AA22</f>
        <v>336.5</v>
      </c>
      <c r="X48" s="305">
        <f>Pratt!AB22</f>
        <v>365.5</v>
      </c>
      <c r="Y48" s="303">
        <f>Pratt!AC22</f>
        <v>1358</v>
      </c>
      <c r="Z48" s="305">
        <f>Pratt!AD22</f>
        <v>325.25</v>
      </c>
      <c r="AA48" s="305">
        <f>Pratt!AE22</f>
        <v>386.25</v>
      </c>
      <c r="AB48" s="305">
        <f>Pratt!AF22</f>
        <v>393.25</v>
      </c>
      <c r="AC48" s="305">
        <f>Pratt!AG22</f>
        <v>403.25</v>
      </c>
      <c r="AD48" s="303">
        <f>Pratt!AH22</f>
        <v>1508</v>
      </c>
      <c r="AE48" s="305">
        <f>Pratt!AI22</f>
        <v>418</v>
      </c>
      <c r="AF48" s="305">
        <f>Pratt!AJ22</f>
        <v>438</v>
      </c>
      <c r="AG48" s="305">
        <f>Pratt!AK22</f>
        <v>456</v>
      </c>
      <c r="AH48" s="305">
        <f>Pratt!AL22</f>
        <v>431</v>
      </c>
      <c r="AI48" s="303">
        <f>Pratt!AM22</f>
        <v>1743</v>
      </c>
      <c r="AJ48" s="305">
        <f>Pratt!AN22</f>
        <v>487</v>
      </c>
      <c r="AK48" s="305">
        <f>Pratt!AO22</f>
        <v>536</v>
      </c>
      <c r="AL48" s="305">
        <f>Pratt!AP22</f>
        <v>526</v>
      </c>
      <c r="AM48" s="305">
        <f>Pratt!AQ22</f>
        <v>511</v>
      </c>
      <c r="AN48" s="303">
        <f>Pratt!AR22</f>
        <v>2060</v>
      </c>
      <c r="AO48" s="305">
        <f>Pratt!AS22</f>
        <v>546.75</v>
      </c>
      <c r="AP48" s="305">
        <f>Pratt!AT22</f>
        <v>605.75</v>
      </c>
      <c r="AQ48" s="305">
        <f>Pratt!AU22</f>
        <v>591.75</v>
      </c>
      <c r="AR48" s="305">
        <f>Pratt!AV22</f>
        <v>586.75</v>
      </c>
      <c r="AS48" s="303">
        <f>Pratt!AW22</f>
        <v>2331</v>
      </c>
      <c r="AT48" s="305">
        <f>Pratt!AX22</f>
        <v>632</v>
      </c>
      <c r="AU48" s="305">
        <f>Pratt!AY22</f>
        <v>655</v>
      </c>
      <c r="AV48" s="305">
        <f>Pratt!AZ22</f>
        <v>637</v>
      </c>
      <c r="AW48" s="305">
        <f>Pratt!BA22</f>
        <v>645</v>
      </c>
      <c r="AX48" s="303">
        <f>Pratt!BB22</f>
        <v>2569</v>
      </c>
      <c r="AY48" s="305">
        <f>Pratt!BC22</f>
        <v>582.25</v>
      </c>
      <c r="AZ48" s="305">
        <f>Pratt!BD22</f>
        <v>605.25</v>
      </c>
      <c r="BA48" s="305">
        <f>Pratt!BE22</f>
        <v>583.25</v>
      </c>
      <c r="BB48" s="305">
        <f>Pratt!BF22</f>
        <v>583.25</v>
      </c>
      <c r="BC48" s="303">
        <f>Pratt!BG22</f>
        <v>2354</v>
      </c>
      <c r="BD48" s="305">
        <f>Pratt!BH22</f>
        <v>547</v>
      </c>
      <c r="BE48" s="305">
        <f>Pratt!BI22</f>
        <v>616</v>
      </c>
      <c r="BF48" s="305">
        <f>Pratt!BJ22</f>
        <v>645</v>
      </c>
      <c r="BG48" s="305">
        <f>Pratt!BK22</f>
        <v>657</v>
      </c>
      <c r="BH48" s="303">
        <f>Pratt!BL22</f>
        <v>2465</v>
      </c>
      <c r="BI48" s="305">
        <f>Pratt!BM22</f>
        <v>515</v>
      </c>
      <c r="BJ48" s="305">
        <f>Pratt!BN22</f>
        <v>532</v>
      </c>
      <c r="BK48" s="305">
        <f>Pratt!BO22</f>
        <v>543</v>
      </c>
      <c r="BL48" s="305">
        <f>Pratt!BP22</f>
        <v>620</v>
      </c>
      <c r="BM48" s="303">
        <f>Pratt!BQ22</f>
        <v>2210</v>
      </c>
      <c r="BN48" s="305">
        <f>Pratt!BR22</f>
        <v>507</v>
      </c>
      <c r="BO48" s="305">
        <f>Pratt!BS22</f>
        <v>525</v>
      </c>
      <c r="BP48" s="305">
        <f>Pratt!BT22</f>
        <v>493</v>
      </c>
      <c r="BQ48" s="305">
        <f>Pratt!BU22</f>
        <v>484</v>
      </c>
      <c r="BR48" s="303">
        <f>Pratt!BV22</f>
        <v>2009</v>
      </c>
      <c r="BS48" s="305">
        <f>Pratt!BW22</f>
        <v>492.75</v>
      </c>
      <c r="BT48" s="305">
        <f>Pratt!BX22</f>
        <v>546.75</v>
      </c>
      <c r="BU48" s="305">
        <f>Pratt!BY22</f>
        <v>565.75</v>
      </c>
      <c r="BV48" s="305">
        <f>Pratt!BZ22</f>
        <v>575.75</v>
      </c>
      <c r="BW48" s="303">
        <f>Pratt!CA22</f>
        <v>2181</v>
      </c>
      <c r="BX48" s="305">
        <f>Pratt!CB22</f>
        <v>527.5</v>
      </c>
      <c r="BY48" s="305">
        <f>Pratt!CC22</f>
        <v>616.5</v>
      </c>
      <c r="BZ48" s="305">
        <f>Pratt!CD22</f>
        <v>655.5</v>
      </c>
      <c r="CA48" s="305">
        <f>Pratt!CE22</f>
        <v>653.5</v>
      </c>
      <c r="CB48" s="303">
        <f>Pratt!CF22</f>
        <v>2453</v>
      </c>
      <c r="CC48" s="305">
        <f>Pratt!CG22</f>
        <v>551</v>
      </c>
      <c r="CD48" s="305">
        <f>Pratt!CH22</f>
        <v>608</v>
      </c>
      <c r="CE48" s="305">
        <f>Pratt!CI22</f>
        <v>560</v>
      </c>
      <c r="CF48" s="305">
        <f>Pratt!CJ22</f>
        <v>670</v>
      </c>
      <c r="CG48" s="303">
        <f>Pratt!CK22</f>
        <v>2389</v>
      </c>
      <c r="CH48" s="305">
        <f>Pratt!CL22</f>
        <v>552.5</v>
      </c>
      <c r="CI48" s="305">
        <f>Pratt!CM22</f>
        <v>589.5</v>
      </c>
      <c r="CJ48" s="305">
        <f>Pratt!CN22</f>
        <v>551.5</v>
      </c>
      <c r="CK48" s="305">
        <f>Pratt!CO22</f>
        <v>607.5</v>
      </c>
      <c r="CL48" s="303">
        <f>Pratt!CP22</f>
        <v>2301</v>
      </c>
      <c r="CM48" s="305">
        <f>Pratt!CQ22</f>
        <v>551.23693553934095</v>
      </c>
      <c r="CN48" s="305">
        <f>Pratt!CR22</f>
        <v>566.23693553934095</v>
      </c>
      <c r="CO48" s="305">
        <f>Pratt!CS22</f>
        <v>581.23693553934095</v>
      </c>
      <c r="CP48" s="305">
        <f>Pratt!CT22</f>
        <v>558.23110355170854</v>
      </c>
      <c r="CQ48" s="303">
        <f>Pratt!CU22</f>
        <v>2256.9419101697313</v>
      </c>
      <c r="CR48" s="305">
        <f>Pratt!CV22</f>
        <v>537.64242385302953</v>
      </c>
      <c r="CS48" s="305">
        <f>Pratt!CW22</f>
        <v>552.64242385302953</v>
      </c>
      <c r="CT48" s="305">
        <f>Pratt!CX22</f>
        <v>567.64242385302953</v>
      </c>
      <c r="CU48" s="305">
        <f>Pratt!CY22</f>
        <v>544.63659186539712</v>
      </c>
      <c r="CV48" s="303">
        <f>Pratt!CZ22</f>
        <v>2202.5638634244856</v>
      </c>
      <c r="CW48" s="303">
        <f>Pratt!DA22</f>
        <v>2682.0140936476428</v>
      </c>
      <c r="CX48" s="303">
        <f>Pratt!DB22</f>
        <v>2982.0192002479225</v>
      </c>
      <c r="CY48" s="303">
        <f>Pratt!DC22</f>
        <v>3080.7427350024464</v>
      </c>
      <c r="CZ48" s="434"/>
    </row>
    <row r="49" spans="1:104" ht="12" hidden="1" customHeight="1" outlineLevel="1">
      <c r="A49" s="434"/>
      <c r="B49" s="434"/>
      <c r="C49" s="434" t="s">
        <v>307</v>
      </c>
      <c r="D49" s="463"/>
      <c r="E49" s="1088"/>
      <c r="F49" s="1088"/>
      <c r="G49" s="1088"/>
      <c r="H49" s="1088"/>
      <c r="I49" s="1088"/>
      <c r="J49" s="303"/>
      <c r="K49" s="1148"/>
      <c r="L49" s="1148"/>
      <c r="M49" s="1148"/>
      <c r="N49" s="1148"/>
      <c r="O49" s="303"/>
      <c r="P49" s="305"/>
      <c r="Q49" s="305"/>
      <c r="R49" s="305"/>
      <c r="S49" s="305"/>
      <c r="T49" s="303"/>
      <c r="U49" s="305"/>
      <c r="V49" s="305"/>
      <c r="W49" s="305"/>
      <c r="X49" s="305"/>
      <c r="Y49" s="303"/>
      <c r="Z49" s="305"/>
      <c r="AA49" s="305"/>
      <c r="AB49" s="305"/>
      <c r="AC49" s="305"/>
      <c r="AD49" s="303"/>
      <c r="AE49" s="305"/>
      <c r="AF49" s="305"/>
      <c r="AG49" s="305"/>
      <c r="AH49" s="305"/>
      <c r="AI49" s="303"/>
      <c r="AJ49" s="305"/>
      <c r="AK49" s="305"/>
      <c r="AL49" s="305"/>
      <c r="AM49" s="305"/>
      <c r="AN49" s="303"/>
      <c r="AO49" s="305"/>
      <c r="AP49" s="305"/>
      <c r="AQ49" s="305"/>
      <c r="AR49" s="305"/>
      <c r="AS49" s="303"/>
      <c r="AT49" s="305"/>
      <c r="AU49" s="305"/>
      <c r="AV49" s="305"/>
      <c r="AW49" s="305"/>
      <c r="AX49" s="303"/>
      <c r="AY49" s="305"/>
      <c r="AZ49" s="305"/>
      <c r="BA49" s="305"/>
      <c r="BB49" s="305"/>
      <c r="BC49" s="303"/>
      <c r="BD49" s="305"/>
      <c r="BE49" s="305"/>
      <c r="BF49" s="305"/>
      <c r="BG49" s="305"/>
      <c r="BH49" s="303"/>
      <c r="BI49" s="305"/>
      <c r="BJ49" s="305"/>
      <c r="BK49" s="305"/>
      <c r="BL49" s="305"/>
      <c r="BM49" s="303"/>
      <c r="BN49" s="305"/>
      <c r="BO49" s="305"/>
      <c r="BP49" s="305"/>
      <c r="BQ49" s="305"/>
      <c r="BR49" s="303"/>
      <c r="BS49" s="305"/>
      <c r="BT49" s="305"/>
      <c r="BU49" s="305"/>
      <c r="BV49" s="305"/>
      <c r="BW49" s="303"/>
      <c r="BX49" s="305"/>
      <c r="BY49" s="305"/>
      <c r="BZ49" s="305"/>
      <c r="CA49" s="305"/>
      <c r="CB49" s="303"/>
      <c r="CC49" s="305"/>
      <c r="CD49" s="305"/>
      <c r="CE49" s="305"/>
      <c r="CF49" s="305"/>
      <c r="CG49" s="303"/>
      <c r="CH49" s="305"/>
      <c r="CI49" s="305"/>
      <c r="CJ49" s="305"/>
      <c r="CK49" s="305"/>
      <c r="CL49" s="303"/>
      <c r="CM49" s="305"/>
      <c r="CN49" s="305"/>
      <c r="CO49" s="305"/>
      <c r="CP49" s="305"/>
      <c r="CQ49" s="303"/>
      <c r="CR49" s="305"/>
      <c r="CS49" s="305"/>
      <c r="CT49" s="305"/>
      <c r="CU49" s="305"/>
      <c r="CV49" s="303"/>
      <c r="CW49" s="303"/>
      <c r="CX49" s="303"/>
      <c r="CY49" s="303"/>
      <c r="CZ49" s="434"/>
    </row>
    <row r="50" spans="1:104" ht="12" customHeight="1" collapsed="1">
      <c r="A50" s="434"/>
      <c r="B50" s="434"/>
      <c r="C50" s="434" t="s">
        <v>164</v>
      </c>
      <c r="D50" s="463"/>
      <c r="E50" s="1088"/>
      <c r="F50" s="1088"/>
      <c r="G50" s="1088"/>
      <c r="H50" s="1088"/>
      <c r="I50" s="1088"/>
      <c r="J50" s="303"/>
      <c r="K50" s="1148"/>
      <c r="L50" s="1148"/>
      <c r="M50" s="1148"/>
      <c r="N50" s="1148"/>
      <c r="O50" s="303"/>
      <c r="P50" s="305"/>
      <c r="Q50" s="305"/>
      <c r="R50" s="305"/>
      <c r="S50" s="305"/>
      <c r="T50" s="303"/>
      <c r="U50" s="305"/>
      <c r="V50" s="305"/>
      <c r="W50" s="305"/>
      <c r="X50" s="305"/>
      <c r="Y50" s="303"/>
      <c r="Z50" s="305"/>
      <c r="AA50" s="305"/>
      <c r="AB50" s="305"/>
      <c r="AC50" s="305"/>
      <c r="AD50" s="303"/>
      <c r="AE50" s="305"/>
      <c r="AF50" s="305"/>
      <c r="AG50" s="305"/>
      <c r="AH50" s="305"/>
      <c r="AI50" s="303"/>
      <c r="AJ50" s="305"/>
      <c r="AK50" s="305"/>
      <c r="AL50" s="305"/>
      <c r="AM50" s="305"/>
      <c r="AN50" s="303"/>
      <c r="AO50" s="305"/>
      <c r="AP50" s="305"/>
      <c r="AQ50" s="305"/>
      <c r="AR50" s="305"/>
      <c r="AS50" s="303"/>
      <c r="AT50" s="305"/>
      <c r="AU50" s="305"/>
      <c r="AV50" s="305"/>
      <c r="AW50" s="305"/>
      <c r="AX50" s="303"/>
      <c r="AY50" s="305"/>
      <c r="AZ50" s="305"/>
      <c r="BA50" s="305"/>
      <c r="BB50" s="305"/>
      <c r="BC50" s="303"/>
      <c r="BD50" s="305"/>
      <c r="BE50" s="305"/>
      <c r="BF50" s="305"/>
      <c r="BG50" s="305"/>
      <c r="BH50" s="303"/>
      <c r="BI50" s="305">
        <f>'Aerospace Systems'!O22</f>
        <v>217</v>
      </c>
      <c r="BJ50" s="305">
        <f>'Aerospace Systems'!P22</f>
        <v>230</v>
      </c>
      <c r="BK50" s="305">
        <f>'Aerospace Systems'!Q22</f>
        <v>248</v>
      </c>
      <c r="BL50" s="305">
        <f>'Aerospace Systems'!R22</f>
        <v>247</v>
      </c>
      <c r="BM50" s="303">
        <f>'Aerospace Systems'!S22</f>
        <v>942</v>
      </c>
      <c r="BN50" s="305">
        <f>'Aerospace Systems'!T22</f>
        <v>243</v>
      </c>
      <c r="BO50" s="305">
        <f>'Aerospace Systems'!U22</f>
        <v>257</v>
      </c>
      <c r="BP50" s="305">
        <f>'Aerospace Systems'!V22</f>
        <v>466</v>
      </c>
      <c r="BQ50" s="305">
        <f>'Aerospace Systems'!W22</f>
        <v>505</v>
      </c>
      <c r="BR50" s="303">
        <f>'Aerospace Systems'!X22</f>
        <v>1471</v>
      </c>
      <c r="BS50" s="305">
        <f>'Aerospace Systems'!Y22</f>
        <v>699.25</v>
      </c>
      <c r="BT50" s="305">
        <f>'Aerospace Systems'!Z22</f>
        <v>722.25</v>
      </c>
      <c r="BU50" s="305">
        <f>'Aerospace Systems'!AA22</f>
        <v>715.25</v>
      </c>
      <c r="BV50" s="305">
        <f>'Aerospace Systems'!AB22</f>
        <v>734.25</v>
      </c>
      <c r="BW50" s="303">
        <f>'Aerospace Systems'!AC22</f>
        <v>2871</v>
      </c>
      <c r="BX50" s="305">
        <f>'Aerospace Systems'!AD22</f>
        <v>797.75</v>
      </c>
      <c r="BY50" s="305">
        <f>'Aerospace Systems'!AE22</f>
        <v>807.75</v>
      </c>
      <c r="BZ50" s="305">
        <f>'Aerospace Systems'!AF22</f>
        <v>802.75</v>
      </c>
      <c r="CA50" s="305">
        <f>'Aerospace Systems'!AG22</f>
        <v>835.75</v>
      </c>
      <c r="CB50" s="303">
        <f>'Aerospace Systems'!AH22</f>
        <v>3244</v>
      </c>
      <c r="CC50" s="305">
        <f>'Aerospace Systems'!AI22</f>
        <v>818</v>
      </c>
      <c r="CD50" s="305">
        <f>'Aerospace Systems'!AJ22</f>
        <v>779</v>
      </c>
      <c r="CE50" s="305">
        <f>'Aerospace Systems'!AK22</f>
        <v>785</v>
      </c>
      <c r="CF50" s="305">
        <f>'Aerospace Systems'!AL22</f>
        <v>769</v>
      </c>
      <c r="CG50" s="303">
        <f>'Aerospace Systems'!AM22</f>
        <v>3151</v>
      </c>
      <c r="CH50" s="305">
        <f>'Aerospace Systems'!AN22</f>
        <v>752.75</v>
      </c>
      <c r="CI50" s="305">
        <f>'Aerospace Systems'!AO22</f>
        <v>791.75</v>
      </c>
      <c r="CJ50" s="305">
        <f>'Aerospace Systems'!AP22</f>
        <v>823.75</v>
      </c>
      <c r="CK50" s="305">
        <f>'Aerospace Systems'!AQ22</f>
        <v>796.75</v>
      </c>
      <c r="CL50" s="303">
        <f>'Aerospace Systems'!AR22</f>
        <v>3154</v>
      </c>
      <c r="CM50" s="305">
        <f>'Aerospace Systems'!AS22</f>
        <v>798</v>
      </c>
      <c r="CN50" s="305">
        <f>'Aerospace Systems'!AT22</f>
        <v>802</v>
      </c>
      <c r="CO50" s="305">
        <f>'Aerospace Systems'!AU22</f>
        <v>832</v>
      </c>
      <c r="CP50" s="305">
        <f>'Aerospace Systems'!AV22</f>
        <v>775.7335875118747</v>
      </c>
      <c r="CQ50" s="303">
        <f>'Aerospace Systems'!AW22</f>
        <v>3207.7335875118747</v>
      </c>
      <c r="CR50" s="305">
        <f>'Aerospace Systems'!AX22</f>
        <v>823.27700000000004</v>
      </c>
      <c r="CS50" s="305">
        <f>'Aerospace Systems'!AY22</f>
        <v>840.22</v>
      </c>
      <c r="CT50" s="305">
        <f>'Aerospace Systems'!AZ22</f>
        <v>870.18849999999998</v>
      </c>
      <c r="CU50" s="305">
        <f>'Aerospace Systems'!BA22</f>
        <v>798.31912998768951</v>
      </c>
      <c r="CV50" s="303">
        <f>'Aerospace Systems'!BB22</f>
        <v>3332.0046299876894</v>
      </c>
      <c r="CW50" s="303">
        <f>'Aerospace Systems'!BC22</f>
        <v>3460.9494341658178</v>
      </c>
      <c r="CX50" s="303">
        <f>'Aerospace Systems'!BD22</f>
        <v>3603.8128704294409</v>
      </c>
      <c r="CY50" s="303">
        <f>'Aerospace Systems'!BE22</f>
        <v>3669.7071693300941</v>
      </c>
      <c r="CZ50" s="434"/>
    </row>
    <row r="51" spans="1:104" ht="12" hidden="1" customHeight="1" outlineLevel="1">
      <c r="A51" s="434"/>
      <c r="B51" s="434"/>
      <c r="C51" s="434" t="s">
        <v>306</v>
      </c>
      <c r="D51" s="463"/>
      <c r="E51" s="1088"/>
      <c r="F51" s="1088"/>
      <c r="G51" s="1088"/>
      <c r="H51" s="1088"/>
      <c r="I51" s="1088"/>
      <c r="J51" s="461"/>
      <c r="K51" s="305"/>
      <c r="L51" s="305"/>
      <c r="M51" s="305"/>
      <c r="N51" s="305"/>
      <c r="O51" s="303"/>
      <c r="P51" s="305"/>
      <c r="Q51" s="305"/>
      <c r="R51" s="305"/>
      <c r="S51" s="305"/>
      <c r="T51" s="303">
        <v>692</v>
      </c>
      <c r="U51" s="305">
        <v>171.14203821656051</v>
      </c>
      <c r="V51" s="305">
        <v>160.7624203821656</v>
      </c>
      <c r="W51" s="305">
        <v>180.03885350318473</v>
      </c>
      <c r="X51" s="305">
        <v>200.05668789808914</v>
      </c>
      <c r="Y51" s="303">
        <v>712</v>
      </c>
      <c r="Z51" s="305">
        <v>183.25</v>
      </c>
      <c r="AA51" s="305">
        <v>182.25</v>
      </c>
      <c r="AB51" s="305">
        <v>197.25</v>
      </c>
      <c r="AC51" s="305">
        <v>220.25</v>
      </c>
      <c r="AD51" s="303">
        <v>810</v>
      </c>
      <c r="AE51" s="305">
        <v>193.25</v>
      </c>
      <c r="AF51" s="305">
        <v>226</v>
      </c>
      <c r="AG51" s="305">
        <v>234</v>
      </c>
      <c r="AH51" s="305">
        <v>236.75</v>
      </c>
      <c r="AI51" s="303">
        <v>890</v>
      </c>
      <c r="AJ51" s="305">
        <v>224.5</v>
      </c>
      <c r="AK51" s="305">
        <v>256.5</v>
      </c>
      <c r="AL51" s="305">
        <v>267.5</v>
      </c>
      <c r="AM51" s="305">
        <v>265.5</v>
      </c>
      <c r="AN51" s="303">
        <v>1014</v>
      </c>
      <c r="AO51" s="305">
        <v>264.75</v>
      </c>
      <c r="AP51" s="305">
        <v>292.75</v>
      </c>
      <c r="AQ51" s="305">
        <v>297.75</v>
      </c>
      <c r="AR51" s="305">
        <v>297.75</v>
      </c>
      <c r="AS51" s="303">
        <v>1153</v>
      </c>
      <c r="AT51" s="305">
        <v>274.5</v>
      </c>
      <c r="AU51" s="305">
        <v>324.5</v>
      </c>
      <c r="AV51" s="305">
        <v>332.5</v>
      </c>
      <c r="AW51" s="305">
        <v>336.5</v>
      </c>
      <c r="AX51" s="303">
        <v>1268</v>
      </c>
      <c r="AY51" s="305">
        <v>254.5</v>
      </c>
      <c r="AZ51" s="305">
        <v>267.5</v>
      </c>
      <c r="BA51" s="305">
        <v>303.5</v>
      </c>
      <c r="BB51" s="305">
        <v>293.5</v>
      </c>
      <c r="BC51" s="303">
        <v>1119</v>
      </c>
      <c r="BD51" s="305">
        <v>266</v>
      </c>
      <c r="BE51" s="305">
        <v>282</v>
      </c>
      <c r="BF51" s="305">
        <v>300</v>
      </c>
      <c r="BG51" s="305">
        <v>307</v>
      </c>
      <c r="BH51" s="303">
        <v>1155</v>
      </c>
      <c r="BI51" s="305">
        <v>217</v>
      </c>
      <c r="BJ51" s="305">
        <v>230</v>
      </c>
      <c r="BK51" s="305">
        <v>329</v>
      </c>
      <c r="BL51" s="305">
        <v>338</v>
      </c>
      <c r="BM51" s="303">
        <v>1114</v>
      </c>
      <c r="BN51" s="305">
        <v>243.05103353380719</v>
      </c>
      <c r="BO51" s="305">
        <v>257.05103353380719</v>
      </c>
      <c r="BP51" s="305">
        <v>360.36256444098854</v>
      </c>
      <c r="BQ51" s="305">
        <v>370.93718540204168</v>
      </c>
      <c r="BR51" s="303"/>
      <c r="BS51" s="305"/>
      <c r="BT51" s="305"/>
      <c r="BU51" s="305"/>
      <c r="BV51" s="305"/>
      <c r="BW51" s="303"/>
      <c r="BX51" s="305"/>
      <c r="BY51" s="305"/>
      <c r="BZ51" s="305"/>
      <c r="CA51" s="305"/>
      <c r="CB51" s="303"/>
      <c r="CC51" s="305"/>
      <c r="CD51" s="305"/>
      <c r="CE51" s="305"/>
      <c r="CF51" s="305"/>
      <c r="CG51" s="303"/>
      <c r="CH51" s="305"/>
      <c r="CI51" s="305"/>
      <c r="CJ51" s="305"/>
      <c r="CK51" s="305"/>
      <c r="CL51" s="303"/>
      <c r="CM51" s="305"/>
      <c r="CN51" s="305"/>
      <c r="CO51" s="305"/>
      <c r="CP51" s="305"/>
      <c r="CQ51" s="303"/>
      <c r="CR51" s="305"/>
      <c r="CS51" s="305"/>
      <c r="CT51" s="305"/>
      <c r="CU51" s="305"/>
      <c r="CV51" s="303"/>
      <c r="CW51" s="303"/>
      <c r="CX51" s="303"/>
      <c r="CY51" s="303"/>
      <c r="CZ51" s="434"/>
    </row>
    <row r="52" spans="1:104" ht="12" customHeight="1" collapsed="1">
      <c r="A52" s="434"/>
      <c r="B52" s="434"/>
      <c r="C52" s="434" t="s">
        <v>163</v>
      </c>
      <c r="D52" s="463"/>
      <c r="E52" s="1088"/>
      <c r="F52" s="1088"/>
      <c r="G52" s="1088"/>
      <c r="H52" s="1088"/>
      <c r="I52" s="1088"/>
      <c r="J52" s="303"/>
      <c r="K52" s="305"/>
      <c r="L52" s="305"/>
      <c r="M52" s="305"/>
      <c r="N52" s="305"/>
      <c r="O52" s="303"/>
      <c r="P52" s="305">
        <v>57.607961783439492</v>
      </c>
      <c r="Q52" s="305">
        <v>53.987579617834399</v>
      </c>
      <c r="R52" s="305">
        <v>60.711146496815289</v>
      </c>
      <c r="S52" s="305">
        <v>67.693312101910806</v>
      </c>
      <c r="T52" s="303">
        <v>218</v>
      </c>
      <c r="U52" s="305">
        <v>57.607961783439492</v>
      </c>
      <c r="V52" s="305">
        <v>53.987579617834399</v>
      </c>
      <c r="W52" s="305">
        <v>60.711146496815289</v>
      </c>
      <c r="X52" s="305">
        <v>67.693312101910806</v>
      </c>
      <c r="Y52" s="303">
        <v>240</v>
      </c>
      <c r="Z52" s="305">
        <v>57.5</v>
      </c>
      <c r="AA52" s="305">
        <v>67.5</v>
      </c>
      <c r="AB52" s="305">
        <v>64.5</v>
      </c>
      <c r="AC52" s="305">
        <v>61.5</v>
      </c>
      <c r="AD52" s="303">
        <v>251</v>
      </c>
      <c r="AE52" s="305">
        <v>63.5</v>
      </c>
      <c r="AF52" s="305">
        <v>76.5</v>
      </c>
      <c r="AG52" s="305">
        <v>74.5</v>
      </c>
      <c r="AH52" s="305">
        <v>80.5</v>
      </c>
      <c r="AI52" s="303">
        <v>295</v>
      </c>
      <c r="AJ52" s="305">
        <v>14.75</v>
      </c>
      <c r="AK52" s="305">
        <v>72.75</v>
      </c>
      <c r="AL52" s="305">
        <v>81.75</v>
      </c>
      <c r="AM52" s="305">
        <v>71.75</v>
      </c>
      <c r="AN52" s="303">
        <v>241</v>
      </c>
      <c r="AO52" s="305">
        <v>83</v>
      </c>
      <c r="AP52" s="305">
        <v>100</v>
      </c>
      <c r="AQ52" s="305">
        <v>116</v>
      </c>
      <c r="AR52" s="305">
        <v>123</v>
      </c>
      <c r="AS52" s="303">
        <v>422</v>
      </c>
      <c r="AT52" s="305">
        <v>97.5</v>
      </c>
      <c r="AU52" s="305">
        <v>126.5</v>
      </c>
      <c r="AV52" s="305">
        <v>148.5</v>
      </c>
      <c r="AW52" s="305">
        <v>167.5</v>
      </c>
      <c r="AX52" s="303">
        <v>540</v>
      </c>
      <c r="AY52" s="305">
        <v>133</v>
      </c>
      <c r="AZ52" s="305">
        <v>157</v>
      </c>
      <c r="BA52" s="305">
        <v>174</v>
      </c>
      <c r="BB52" s="305">
        <v>219</v>
      </c>
      <c r="BC52" s="303">
        <v>683</v>
      </c>
      <c r="BD52" s="305">
        <v>165.75</v>
      </c>
      <c r="BE52" s="305">
        <v>196.75</v>
      </c>
      <c r="BF52" s="305">
        <v>190.75</v>
      </c>
      <c r="BG52" s="305">
        <v>259.75</v>
      </c>
      <c r="BH52" s="303">
        <v>813</v>
      </c>
      <c r="BI52" s="305">
        <v>163</v>
      </c>
      <c r="BJ52" s="305">
        <v>227</v>
      </c>
      <c r="BK52" s="305">
        <v>249</v>
      </c>
      <c r="BL52" s="305">
        <v>265</v>
      </c>
      <c r="BM52" s="303">
        <v>904</v>
      </c>
      <c r="BN52" s="305">
        <v>160.25</v>
      </c>
      <c r="BO52" s="305">
        <v>237.25</v>
      </c>
      <c r="BP52" s="305">
        <v>236.25</v>
      </c>
      <c r="BQ52" s="305">
        <v>216.25</v>
      </c>
      <c r="BR52" s="303">
        <v>850</v>
      </c>
      <c r="BS52" s="305">
        <v>116.25</v>
      </c>
      <c r="BT52" s="305">
        <v>186.25</v>
      </c>
      <c r="BU52" s="305">
        <v>191.25</v>
      </c>
      <c r="BV52" s="305">
        <v>235.25</v>
      </c>
      <c r="BW52" s="303">
        <v>729</v>
      </c>
      <c r="BX52" s="305">
        <v>124.5</v>
      </c>
      <c r="BY52" s="305">
        <v>170.5</v>
      </c>
      <c r="BZ52" s="305">
        <v>173.5</v>
      </c>
      <c r="CA52" s="305">
        <v>316.5</v>
      </c>
      <c r="CB52" s="303">
        <v>785</v>
      </c>
      <c r="CC52" s="305"/>
      <c r="CD52" s="305"/>
      <c r="CE52" s="305"/>
      <c r="CF52" s="305"/>
      <c r="CG52" s="1097">
        <f>SUM(CC52:CF52)</f>
        <v>0</v>
      </c>
      <c r="CH52" s="305"/>
      <c r="CI52" s="305"/>
      <c r="CJ52" s="305"/>
      <c r="CK52" s="305"/>
      <c r="CL52" s="303"/>
      <c r="CM52" s="305"/>
      <c r="CN52" s="305"/>
      <c r="CO52" s="305"/>
      <c r="CP52" s="305"/>
      <c r="CQ52" s="303"/>
      <c r="CR52" s="305"/>
      <c r="CS52" s="305"/>
      <c r="CT52" s="305"/>
      <c r="CU52" s="305"/>
      <c r="CV52" s="303"/>
      <c r="CW52" s="303"/>
      <c r="CX52" s="303"/>
      <c r="CY52" s="303"/>
      <c r="CZ52" s="434"/>
    </row>
    <row r="53" spans="1:104" ht="12" customHeight="1">
      <c r="A53" s="434"/>
      <c r="B53" s="434"/>
      <c r="C53" s="434" t="s">
        <v>814</v>
      </c>
      <c r="D53" s="463"/>
      <c r="E53" s="1088"/>
      <c r="F53" s="1088"/>
      <c r="G53" s="1088"/>
      <c r="H53" s="1088"/>
      <c r="I53" s="1088"/>
      <c r="J53" s="303">
        <f t="shared" ref="J53:AO53" si="47">J54-J44-J46-J47-J48-J51-J52</f>
        <v>618</v>
      </c>
      <c r="K53" s="305">
        <f t="shared" si="47"/>
        <v>212</v>
      </c>
      <c r="L53" s="305">
        <f t="shared" si="47"/>
        <v>163.5</v>
      </c>
      <c r="M53" s="305">
        <f t="shared" si="47"/>
        <v>191.5</v>
      </c>
      <c r="N53" s="305">
        <f t="shared" si="47"/>
        <v>136</v>
      </c>
      <c r="O53" s="303">
        <f t="shared" si="47"/>
        <v>617</v>
      </c>
      <c r="P53" s="305">
        <f t="shared" si="47"/>
        <v>142.39203821656051</v>
      </c>
      <c r="Q53" s="305">
        <f t="shared" si="47"/>
        <v>78.512420382165601</v>
      </c>
      <c r="R53" s="305">
        <f t="shared" si="47"/>
        <v>50.788853503184711</v>
      </c>
      <c r="S53" s="305">
        <f t="shared" si="47"/>
        <v>65.306687898089194</v>
      </c>
      <c r="T53" s="303">
        <f t="shared" si="47"/>
        <v>-333</v>
      </c>
      <c r="U53" s="305">
        <f t="shared" si="47"/>
        <v>-98.25</v>
      </c>
      <c r="V53" s="305">
        <f t="shared" si="47"/>
        <v>-108.25</v>
      </c>
      <c r="W53" s="305">
        <f t="shared" si="47"/>
        <v>-70.250000000000014</v>
      </c>
      <c r="X53" s="305">
        <f t="shared" si="47"/>
        <v>-78.249999999999943</v>
      </c>
      <c r="Y53" s="303">
        <f t="shared" si="47"/>
        <v>-337</v>
      </c>
      <c r="Z53" s="305">
        <f t="shared" si="47"/>
        <v>-68.5</v>
      </c>
      <c r="AA53" s="305">
        <f t="shared" si="47"/>
        <v>-90.5</v>
      </c>
      <c r="AB53" s="305">
        <f t="shared" si="47"/>
        <v>-102.5</v>
      </c>
      <c r="AC53" s="305">
        <f t="shared" si="47"/>
        <v>-72.5</v>
      </c>
      <c r="AD53" s="303">
        <f t="shared" si="47"/>
        <v>-241</v>
      </c>
      <c r="AE53" s="305">
        <f t="shared" si="47"/>
        <v>-92.25</v>
      </c>
      <c r="AF53" s="305">
        <f t="shared" si="47"/>
        <v>-91</v>
      </c>
      <c r="AG53" s="305">
        <f t="shared" si="47"/>
        <v>-73</v>
      </c>
      <c r="AH53" s="305">
        <f t="shared" si="47"/>
        <v>-76.75</v>
      </c>
      <c r="AI53" s="303">
        <f t="shared" si="47"/>
        <v>-333</v>
      </c>
      <c r="AJ53" s="305">
        <f t="shared" si="47"/>
        <v>-47.25</v>
      </c>
      <c r="AK53" s="305">
        <f t="shared" si="47"/>
        <v>-45.25</v>
      </c>
      <c r="AL53" s="305">
        <f t="shared" si="47"/>
        <v>-43.25</v>
      </c>
      <c r="AM53" s="305">
        <f t="shared" si="47"/>
        <v>-51.25</v>
      </c>
      <c r="AN53" s="303">
        <f t="shared" si="47"/>
        <v>-187</v>
      </c>
      <c r="AO53" s="305">
        <f t="shared" si="47"/>
        <v>-71</v>
      </c>
      <c r="AP53" s="305">
        <f t="shared" ref="AP53:BH53" si="48">AP54-AP44-AP46-AP47-AP48-AP51-AP52</f>
        <v>-99</v>
      </c>
      <c r="AQ53" s="305">
        <f t="shared" si="48"/>
        <v>-75</v>
      </c>
      <c r="AR53" s="305">
        <f t="shared" si="48"/>
        <v>-89</v>
      </c>
      <c r="AS53" s="303">
        <f t="shared" si="48"/>
        <v>-334</v>
      </c>
      <c r="AT53" s="305">
        <f t="shared" si="48"/>
        <v>-97.75</v>
      </c>
      <c r="AU53" s="305">
        <f t="shared" si="48"/>
        <v>-106.75</v>
      </c>
      <c r="AV53" s="305">
        <f t="shared" si="48"/>
        <v>-107.75</v>
      </c>
      <c r="AW53" s="305">
        <f t="shared" si="48"/>
        <v>-67.75</v>
      </c>
      <c r="AX53" s="303">
        <f t="shared" si="48"/>
        <v>-380</v>
      </c>
      <c r="AY53" s="305">
        <f t="shared" si="48"/>
        <v>-121.5</v>
      </c>
      <c r="AZ53" s="305">
        <f t="shared" si="48"/>
        <v>-105.5</v>
      </c>
      <c r="BA53" s="305">
        <f t="shared" si="48"/>
        <v>-130.5</v>
      </c>
      <c r="BB53" s="305">
        <f t="shared" si="48"/>
        <v>-102.5</v>
      </c>
      <c r="BC53" s="303">
        <f t="shared" si="48"/>
        <v>-460</v>
      </c>
      <c r="BD53" s="305">
        <f t="shared" si="48"/>
        <v>-125.75</v>
      </c>
      <c r="BE53" s="305">
        <f t="shared" si="48"/>
        <v>-120.75</v>
      </c>
      <c r="BF53" s="305">
        <f t="shared" si="48"/>
        <v>-95.75</v>
      </c>
      <c r="BG53" s="305">
        <f t="shared" si="48"/>
        <v>-194.75</v>
      </c>
      <c r="BH53" s="303">
        <f t="shared" si="48"/>
        <v>-537</v>
      </c>
      <c r="BI53" s="305">
        <f t="shared" ref="BI53:CC53" si="49">BI54-BI44-BI45-BI48-BI50-BI52</f>
        <v>-136.75</v>
      </c>
      <c r="BJ53" s="305">
        <f t="shared" si="49"/>
        <v>-132.75</v>
      </c>
      <c r="BK53" s="305">
        <f t="shared" si="49"/>
        <v>-96.75</v>
      </c>
      <c r="BL53" s="305">
        <f t="shared" si="49"/>
        <v>-215.75</v>
      </c>
      <c r="BM53" s="303">
        <f t="shared" si="49"/>
        <v>-582</v>
      </c>
      <c r="BN53" s="305">
        <f t="shared" si="49"/>
        <v>-88.75</v>
      </c>
      <c r="BO53" s="305">
        <f t="shared" si="49"/>
        <v>-113.75</v>
      </c>
      <c r="BP53" s="305">
        <f t="shared" si="49"/>
        <v>-148.75</v>
      </c>
      <c r="BQ53" s="305">
        <f t="shared" si="49"/>
        <v>-86.75</v>
      </c>
      <c r="BR53" s="303">
        <f t="shared" si="49"/>
        <v>-438</v>
      </c>
      <c r="BS53" s="305">
        <f t="shared" si="49"/>
        <v>-80.5</v>
      </c>
      <c r="BT53" s="305">
        <f t="shared" si="49"/>
        <v>-116.5</v>
      </c>
      <c r="BU53" s="305">
        <f t="shared" si="49"/>
        <v>-97.5</v>
      </c>
      <c r="BV53" s="305">
        <f t="shared" si="49"/>
        <v>-97.5</v>
      </c>
      <c r="BW53" s="303">
        <f t="shared" si="49"/>
        <v>-392</v>
      </c>
      <c r="BX53" s="305">
        <f t="shared" si="49"/>
        <v>-66.25</v>
      </c>
      <c r="BY53" s="305">
        <f t="shared" si="49"/>
        <v>-82.25</v>
      </c>
      <c r="BZ53" s="305">
        <f t="shared" si="49"/>
        <v>-101.25</v>
      </c>
      <c r="CA53" s="305">
        <f t="shared" si="49"/>
        <v>-126.25</v>
      </c>
      <c r="CB53" s="303">
        <f t="shared" si="49"/>
        <v>-376</v>
      </c>
      <c r="CC53" s="305">
        <f t="shared" si="49"/>
        <v>-51.142300899208294</v>
      </c>
      <c r="CD53" s="305">
        <f>CD54-CD44-CD45-CD48-CD50-CD52</f>
        <v>-54.357699100791706</v>
      </c>
      <c r="CE53" s="305">
        <f>CE54-CE44-CE45-CE48-CE50-CE52</f>
        <v>-58.25</v>
      </c>
      <c r="CF53" s="305">
        <f>CF54-CF44-CF45-CF48-CF50-CF52</f>
        <v>-170.25</v>
      </c>
      <c r="CG53" s="303">
        <f>SUM(CC53:CF53)</f>
        <v>-334</v>
      </c>
      <c r="CH53" s="305">
        <f>CH54-CH44-CH45-CH48-CH50-CH52</f>
        <v>-78.5</v>
      </c>
      <c r="CI53" s="305">
        <f>CI54-CI44-CI45-CI48-CI50-CI52</f>
        <v>-59.5</v>
      </c>
      <c r="CJ53" s="305">
        <f>CJ54-CJ44-CJ45-CJ48-CJ50-CJ52</f>
        <v>-54.5</v>
      </c>
      <c r="CK53" s="305">
        <f>CK54-CK44-CK45-CK48-CK50-CK52</f>
        <v>-83.5</v>
      </c>
      <c r="CL53" s="303">
        <f>SUM(CH53:CK53)</f>
        <v>-276</v>
      </c>
      <c r="CM53" s="305">
        <f>CM54-CM44-CM45-CM48-CM50-CM52</f>
        <v>-93.486935539340948</v>
      </c>
      <c r="CN53" s="305">
        <f>CN54-CN44-CN45-CN48-CN50-CN52</f>
        <v>-69.486935539340948</v>
      </c>
      <c r="CO53" s="305">
        <f>CO54-CO44-CO45-CO48-CO50-CO52</f>
        <v>-102.48693553934095</v>
      </c>
      <c r="CP53" s="2291">
        <f>CQ53-SUM(CM53:CO53)</f>
        <v>-124.53919338197716</v>
      </c>
      <c r="CQ53" s="2292">
        <v>-390</v>
      </c>
      <c r="CR53" s="305">
        <f>$CV$53/4</f>
        <v>-81.875</v>
      </c>
      <c r="CS53" s="305">
        <f>CR53</f>
        <v>-81.875</v>
      </c>
      <c r="CT53" s="305">
        <f t="shared" ref="CT53:CU53" si="50">CS53</f>
        <v>-81.875</v>
      </c>
      <c r="CU53" s="305">
        <f t="shared" si="50"/>
        <v>-81.875</v>
      </c>
      <c r="CV53" s="1147">
        <f>CQ53+AVERAGE(125,150)-75</f>
        <v>-327.5</v>
      </c>
      <c r="CW53" s="1147">
        <f>CV53</f>
        <v>-327.5</v>
      </c>
      <c r="CX53" s="1147">
        <f>CW53</f>
        <v>-327.5</v>
      </c>
      <c r="CY53" s="1147">
        <f>CX53</f>
        <v>-327.5</v>
      </c>
      <c r="CZ53" s="1144"/>
    </row>
    <row r="54" spans="1:104" ht="12" customHeight="1" thickBot="1">
      <c r="A54" s="457"/>
      <c r="B54" s="457"/>
      <c r="C54" s="1093" t="s">
        <v>296</v>
      </c>
      <c r="D54" s="1146"/>
      <c r="E54" s="1146"/>
      <c r="F54" s="1090"/>
      <c r="G54" s="1090"/>
      <c r="H54" s="1090"/>
      <c r="I54" s="1090"/>
      <c r="J54" s="1089">
        <f>IS!J51</f>
        <v>3999</v>
      </c>
      <c r="K54" s="1090">
        <f>IS!K51</f>
        <v>999</v>
      </c>
      <c r="L54" s="1090">
        <f>IS!L51</f>
        <v>1214</v>
      </c>
      <c r="M54" s="1090">
        <f>IS!M51</f>
        <v>1042</v>
      </c>
      <c r="N54" s="1090">
        <f>IS!N51</f>
        <v>969</v>
      </c>
      <c r="O54" s="1089">
        <f>IS!O51</f>
        <v>4138</v>
      </c>
      <c r="P54" s="1090">
        <f>IS!P51</f>
        <v>972</v>
      </c>
      <c r="Q54" s="1090">
        <f>IS!Q51</f>
        <v>1220</v>
      </c>
      <c r="R54" s="1090">
        <f>IS!R51</f>
        <v>1175</v>
      </c>
      <c r="S54" s="1090">
        <f>IS!S51</f>
        <v>1017</v>
      </c>
      <c r="T54" s="1089">
        <f>IS!T51</f>
        <v>4384</v>
      </c>
      <c r="U54" s="1090">
        <f>IS!U51</f>
        <v>1017</v>
      </c>
      <c r="V54" s="1090">
        <f>IS!V51</f>
        <v>1220</v>
      </c>
      <c r="W54" s="1090">
        <f>IS!W51</f>
        <v>1251</v>
      </c>
      <c r="X54" s="1090">
        <f>IS!X51</f>
        <v>1106</v>
      </c>
      <c r="Y54" s="1089">
        <f>IS!Y51</f>
        <v>4776</v>
      </c>
      <c r="Z54" s="1090">
        <f>IS!Z51</f>
        <v>1191</v>
      </c>
      <c r="AA54" s="1090">
        <f>IS!AA51</f>
        <v>1500</v>
      </c>
      <c r="AB54" s="1090">
        <f>IS!AB51</f>
        <v>1418</v>
      </c>
      <c r="AC54" s="1090">
        <f>IS!AC51</f>
        <v>1327</v>
      </c>
      <c r="AD54" s="1089">
        <f>IS!AD51</f>
        <v>5605</v>
      </c>
      <c r="AE54" s="1090">
        <f>IS!AE51</f>
        <v>1334</v>
      </c>
      <c r="AF54" s="1090">
        <f>IS!AF51</f>
        <v>1676</v>
      </c>
      <c r="AG54" s="1090">
        <f>IS!AG51</f>
        <v>1699</v>
      </c>
      <c r="AH54" s="1090">
        <f>IS!AH51</f>
        <v>1574</v>
      </c>
      <c r="AI54" s="1089">
        <f>IS!AI51</f>
        <v>6283</v>
      </c>
      <c r="AJ54" s="1090">
        <f>IS!AJ51</f>
        <v>1527</v>
      </c>
      <c r="AK54" s="1090">
        <f>IS!AK51</f>
        <v>1939</v>
      </c>
      <c r="AL54" s="1090">
        <f>IS!AL51</f>
        <v>1932</v>
      </c>
      <c r="AM54" s="1090">
        <f>IS!AM51</f>
        <v>1771</v>
      </c>
      <c r="AN54" s="1089">
        <f>IS!AN51</f>
        <v>7169</v>
      </c>
      <c r="AO54" s="1090">
        <f>IS!AO51</f>
        <v>1758</v>
      </c>
      <c r="AP54" s="1090">
        <f>IS!AP51</f>
        <v>2167</v>
      </c>
      <c r="AQ54" s="1090">
        <f>IS!AQ51</f>
        <v>2211</v>
      </c>
      <c r="AR54" s="1090">
        <f>IS!AR51</f>
        <v>2119</v>
      </c>
      <c r="AS54" s="1089">
        <f>IS!AS51</f>
        <v>8255</v>
      </c>
      <c r="AT54" s="1145">
        <f>IS!AT51</f>
        <v>2027</v>
      </c>
      <c r="AU54" s="1090">
        <f>IS!AU51</f>
        <v>2519</v>
      </c>
      <c r="AV54" s="1090">
        <f>IS!AV51</f>
        <v>2431</v>
      </c>
      <c r="AW54" s="1090">
        <f>IS!AW51</f>
        <v>2147</v>
      </c>
      <c r="AX54" s="1089">
        <f>IS!AX51</f>
        <v>9124</v>
      </c>
      <c r="AY54" s="1090">
        <f>IS!AY51</f>
        <v>1698.5</v>
      </c>
      <c r="AZ54" s="1090">
        <f>IS!AZ51</f>
        <v>2168.5</v>
      </c>
      <c r="BA54" s="1090">
        <f>IS!BA51</f>
        <v>2221.5</v>
      </c>
      <c r="BB54" s="1090">
        <f>IS!BB51</f>
        <v>2240.5</v>
      </c>
      <c r="BC54" s="1089">
        <f>IS!BC51</f>
        <v>8329</v>
      </c>
      <c r="BD54" s="1090">
        <f>IS!BD51</f>
        <v>1917</v>
      </c>
      <c r="BE54" s="1090">
        <f>IS!BE51</f>
        <v>2381</v>
      </c>
      <c r="BF54" s="1090">
        <f>IS!BF51</f>
        <v>2463</v>
      </c>
      <c r="BG54" s="1090">
        <f>IS!BG51</f>
        <v>2395</v>
      </c>
      <c r="BH54" s="1089">
        <f>IS!BH51</f>
        <v>9156</v>
      </c>
      <c r="BI54" s="1090">
        <f>IS!BI51</f>
        <v>2046</v>
      </c>
      <c r="BJ54" s="1090">
        <f>IS!BJ51</f>
        <v>2456</v>
      </c>
      <c r="BK54" s="1090">
        <f>IS!BK51</f>
        <v>2506</v>
      </c>
      <c r="BL54" s="1090">
        <f>IS!BL51</f>
        <v>2304</v>
      </c>
      <c r="BM54" s="1089">
        <f>IS!BM51</f>
        <v>9312</v>
      </c>
      <c r="BN54" s="1090">
        <f>IS!BN51</f>
        <v>2042</v>
      </c>
      <c r="BO54" s="1090">
        <f>IS!BO51</f>
        <v>2467</v>
      </c>
      <c r="BP54" s="1090">
        <f>IS!BP51</f>
        <v>2557</v>
      </c>
      <c r="BQ54" s="1090">
        <f>IS!BQ51</f>
        <v>2551</v>
      </c>
      <c r="BR54" s="1089">
        <f>IS!BR51</f>
        <v>9617</v>
      </c>
      <c r="BS54" s="1090">
        <f>IS!BS51</f>
        <v>2464</v>
      </c>
      <c r="BT54" s="1090">
        <f>IS!BT51</f>
        <v>2943</v>
      </c>
      <c r="BU54" s="1090">
        <f>IS!BU51</f>
        <v>2946</v>
      </c>
      <c r="BV54" s="1090">
        <f>IS!BV51</f>
        <v>2935</v>
      </c>
      <c r="BW54" s="1089">
        <f>IS!BW51</f>
        <v>11288</v>
      </c>
      <c r="BX54" s="1090">
        <f>IS!BX51</f>
        <v>2690</v>
      </c>
      <c r="BY54" s="1090">
        <f>IS!BY51</f>
        <v>3206</v>
      </c>
      <c r="BZ54" s="1090">
        <f>IS!BZ51</f>
        <v>3179</v>
      </c>
      <c r="CA54" s="1090">
        <f>IS!CA51</f>
        <v>3184</v>
      </c>
      <c r="CB54" s="1089">
        <f>IS!CB51</f>
        <v>12259</v>
      </c>
      <c r="CC54" s="1090">
        <f>IS!CC51</f>
        <v>2606.1076991007917</v>
      </c>
      <c r="CD54" s="1090">
        <f>IS!CD51</f>
        <v>2946.8923008992083</v>
      </c>
      <c r="CE54" s="1090">
        <f>IS!CE51</f>
        <v>2861</v>
      </c>
      <c r="CF54" s="1090">
        <f>IS!CF51</f>
        <v>2617</v>
      </c>
      <c r="CG54" s="1089">
        <f>SUM(CG44:CG53)</f>
        <v>11031</v>
      </c>
      <c r="CH54" s="1090">
        <f>IS!CH51</f>
        <v>2473</v>
      </c>
      <c r="CI54" s="1090">
        <f>IS!CI51</f>
        <v>2959</v>
      </c>
      <c r="CJ54" s="1090">
        <f>IS!CJ51</f>
        <v>2876</v>
      </c>
      <c r="CK54" s="1090">
        <f>IS!CK51</f>
        <v>2666</v>
      </c>
      <c r="CL54" s="1089">
        <f t="shared" ref="CL54:CW54" si="51">SUM(CL44:CL53)</f>
        <v>10963</v>
      </c>
      <c r="CM54" s="1090">
        <f>IS!CM51</f>
        <v>2451</v>
      </c>
      <c r="CN54" s="1090">
        <f>IS!CN51</f>
        <v>2877</v>
      </c>
      <c r="CO54" s="1090">
        <f>IS!CO51</f>
        <v>2874</v>
      </c>
      <c r="CP54" s="1090">
        <f t="shared" si="51"/>
        <v>2601.8672907211676</v>
      </c>
      <c r="CQ54" s="1089">
        <f t="shared" si="51"/>
        <v>10803.867290721168</v>
      </c>
      <c r="CR54" s="1090">
        <f>SUM(CR44:CR53)</f>
        <v>2557.4960471887489</v>
      </c>
      <c r="CS54" s="1090">
        <f>SUM(CS44:CS53)</f>
        <v>2961.1134407789968</v>
      </c>
      <c r="CT54" s="1090">
        <f>SUM(CT44:CT53)</f>
        <v>2999.4442840653901</v>
      </c>
      <c r="CU54" s="1090">
        <f>SUM(CU44:CU53)</f>
        <v>2719.7829190360908</v>
      </c>
      <c r="CV54" s="1089">
        <f t="shared" si="51"/>
        <v>11237.836691069228</v>
      </c>
      <c r="CW54" s="1089">
        <f t="shared" si="51"/>
        <v>12145.436241937223</v>
      </c>
      <c r="CX54" s="1089">
        <f>SUM(CX44:CX53)</f>
        <v>12866.161835827201</v>
      </c>
      <c r="CY54" s="1089">
        <f>SUM(CY44:CY53)</f>
        <v>13267.326112839128</v>
      </c>
      <c r="CZ54" s="1062"/>
    </row>
    <row r="55" spans="1:104" ht="12" customHeight="1" thickTop="1">
      <c r="A55" s="434"/>
      <c r="B55" s="434"/>
      <c r="C55" s="434"/>
      <c r="D55" s="463"/>
      <c r="E55" s="1088"/>
      <c r="F55" s="1088"/>
      <c r="G55" s="1088"/>
      <c r="H55" s="1088"/>
      <c r="I55" s="1088"/>
      <c r="J55" s="1086"/>
      <c r="K55" s="1088"/>
      <c r="L55" s="1088"/>
      <c r="M55" s="1088"/>
      <c r="N55" s="1088"/>
      <c r="O55" s="1086"/>
      <c r="P55" s="1088"/>
      <c r="Q55" s="1088"/>
      <c r="R55" s="1088"/>
      <c r="S55" s="1088"/>
      <c r="T55" s="1086"/>
      <c r="U55" s="1088"/>
      <c r="V55" s="1088"/>
      <c r="W55" s="1088"/>
      <c r="X55" s="1088"/>
      <c r="Y55" s="1086"/>
      <c r="Z55" s="1088"/>
      <c r="AA55" s="1088"/>
      <c r="AB55" s="1088"/>
      <c r="AC55" s="1088"/>
      <c r="AD55" s="1086"/>
      <c r="AE55" s="1088"/>
      <c r="AF55" s="1088"/>
      <c r="AG55" s="1088"/>
      <c r="AH55" s="1088"/>
      <c r="AI55" s="1086"/>
      <c r="AJ55" s="1088"/>
      <c r="AK55" s="1088"/>
      <c r="AL55" s="1088"/>
      <c r="AM55" s="1088"/>
      <c r="AN55" s="1086"/>
      <c r="AO55" s="1088"/>
      <c r="AP55" s="1088"/>
      <c r="AQ55" s="1088"/>
      <c r="AR55" s="1088"/>
      <c r="AS55" s="1086"/>
      <c r="AT55" s="1088"/>
      <c r="AU55" s="1088"/>
      <c r="AV55" s="1088"/>
      <c r="AW55" s="1088"/>
      <c r="AX55" s="1086"/>
      <c r="AY55" s="1088"/>
      <c r="AZ55" s="1088"/>
      <c r="BA55" s="1088"/>
      <c r="BB55" s="1088"/>
      <c r="BC55" s="1086"/>
      <c r="BD55" s="1088"/>
      <c r="BE55" s="1088"/>
      <c r="BF55" s="1088"/>
      <c r="BG55" s="1088"/>
      <c r="BH55" s="1086"/>
      <c r="BI55" s="1088"/>
      <c r="BJ55" s="1088"/>
      <c r="BK55" s="1088"/>
      <c r="BL55" s="1088"/>
      <c r="BM55" s="1086"/>
      <c r="BN55" s="1104"/>
      <c r="BO55" s="1104"/>
      <c r="BP55" s="1104"/>
      <c r="BQ55" s="1104"/>
      <c r="BR55" s="1102"/>
      <c r="BS55" s="1104"/>
      <c r="BT55" s="1104"/>
      <c r="BU55" s="1104"/>
      <c r="BV55" s="1087"/>
      <c r="BW55" s="1102"/>
      <c r="BX55" s="1104"/>
      <c r="BY55" s="1104"/>
      <c r="BZ55" s="1104"/>
      <c r="CA55" s="1104"/>
      <c r="CB55" s="1102"/>
      <c r="CC55" s="1104"/>
      <c r="CD55" s="1104"/>
      <c r="CE55" s="1104"/>
      <c r="CF55" s="1104"/>
      <c r="CG55" s="1102"/>
      <c r="CH55" s="1104"/>
      <c r="CI55" s="1104"/>
      <c r="CJ55" s="1104"/>
      <c r="CK55" s="1104"/>
      <c r="CL55" s="1102"/>
      <c r="CM55" s="1104"/>
      <c r="CN55" s="1104"/>
      <c r="CO55" s="1104"/>
      <c r="CP55" s="1104"/>
      <c r="CQ55" s="1102"/>
      <c r="CR55" s="1104"/>
      <c r="CS55" s="1104"/>
      <c r="CT55" s="1104"/>
      <c r="CU55" s="1104"/>
      <c r="CV55" s="1102"/>
      <c r="CW55" s="1102"/>
      <c r="CX55" s="1102"/>
      <c r="CY55" s="1102"/>
      <c r="CZ55" s="1144"/>
    </row>
    <row r="56" spans="1:104" ht="12" customHeight="1">
      <c r="A56" s="268"/>
      <c r="B56" s="268"/>
      <c r="C56" s="268" t="s">
        <v>167</v>
      </c>
      <c r="D56" s="463"/>
      <c r="E56" s="407"/>
      <c r="F56" s="1142"/>
      <c r="G56" s="1142"/>
      <c r="H56" s="1142"/>
      <c r="I56" s="1142"/>
      <c r="J56" s="1141"/>
      <c r="K56" s="407">
        <v>0.16779715762273903</v>
      </c>
      <c r="L56" s="407">
        <v>0.17094990240728691</v>
      </c>
      <c r="M56" s="407">
        <v>0.13111325611325611</v>
      </c>
      <c r="N56" s="407">
        <v>0.16465567981165391</v>
      </c>
      <c r="O56" s="1141">
        <f t="shared" ref="O56:AT56" si="52">O44/O12</f>
        <v>0.17182076364783844</v>
      </c>
      <c r="P56" s="407">
        <f t="shared" si="52"/>
        <v>0.18522135416666666</v>
      </c>
      <c r="Q56" s="407">
        <f t="shared" si="52"/>
        <v>0.17916666666666667</v>
      </c>
      <c r="R56" s="407">
        <f t="shared" si="52"/>
        <v>0.19369627507163323</v>
      </c>
      <c r="S56" s="407">
        <f t="shared" si="52"/>
        <v>0.18621621621621623</v>
      </c>
      <c r="T56" s="1141">
        <f t="shared" si="52"/>
        <v>0.18616943180149759</v>
      </c>
      <c r="U56" s="407">
        <f t="shared" si="52"/>
        <v>0.19697802197802197</v>
      </c>
      <c r="V56" s="407">
        <f t="shared" si="52"/>
        <v>0.19452965235173825</v>
      </c>
      <c r="W56" s="407">
        <f t="shared" si="52"/>
        <v>0.20324574961360123</v>
      </c>
      <c r="X56" s="407">
        <f t="shared" si="52"/>
        <v>0.18665158371040724</v>
      </c>
      <c r="Y56" s="1141">
        <f t="shared" si="52"/>
        <v>0.19502964551532737</v>
      </c>
      <c r="Z56" s="407">
        <f t="shared" si="52"/>
        <v>0.19683634633682207</v>
      </c>
      <c r="AA56" s="407">
        <f t="shared" si="52"/>
        <v>0.19322845417236661</v>
      </c>
      <c r="AB56" s="407">
        <f t="shared" si="52"/>
        <v>0.19737432675044883</v>
      </c>
      <c r="AC56" s="407">
        <f t="shared" si="52"/>
        <v>0.18838028169014084</v>
      </c>
      <c r="AD56" s="1141">
        <f t="shared" si="52"/>
        <v>0.19246582953661517</v>
      </c>
      <c r="AE56" s="407">
        <f t="shared" si="52"/>
        <v>0.20165805340223944</v>
      </c>
      <c r="AF56" s="407">
        <f t="shared" si="52"/>
        <v>0.19927536231884058</v>
      </c>
      <c r="AG56" s="407">
        <f t="shared" si="52"/>
        <v>0.2075571549534293</v>
      </c>
      <c r="AH56" s="407">
        <f t="shared" si="52"/>
        <v>0.19759693053311794</v>
      </c>
      <c r="AI56" s="1141">
        <f t="shared" si="52"/>
        <v>0.20146214099216711</v>
      </c>
      <c r="AJ56" s="407">
        <f t="shared" si="52"/>
        <v>0.20730408858603067</v>
      </c>
      <c r="AK56" s="407">
        <f t="shared" si="52"/>
        <v>0.20709766706207988</v>
      </c>
      <c r="AL56" s="407">
        <f t="shared" si="52"/>
        <v>0.21081871345029241</v>
      </c>
      <c r="AM56" s="407">
        <f t="shared" si="52"/>
        <v>0.19864817415730338</v>
      </c>
      <c r="AN56" s="1141">
        <f t="shared" si="52"/>
        <v>0.20573372206025267</v>
      </c>
      <c r="AO56" s="407">
        <f t="shared" si="52"/>
        <v>0.19593108504398826</v>
      </c>
      <c r="AP56" s="407">
        <f t="shared" si="52"/>
        <v>0.20486354093771869</v>
      </c>
      <c r="AQ56" s="407">
        <f t="shared" si="52"/>
        <v>0.21100136239782016</v>
      </c>
      <c r="AR56" s="407">
        <f t="shared" si="52"/>
        <v>0.20175438596491227</v>
      </c>
      <c r="AS56" s="1141">
        <f t="shared" si="52"/>
        <v>0.20344972654606647</v>
      </c>
      <c r="AT56" s="407">
        <f t="shared" si="52"/>
        <v>0.20698397121360812</v>
      </c>
      <c r="AU56" s="407">
        <f t="shared" ref="AU56:BZ56" si="53">AU44/AU12</f>
        <v>0.21320505287896593</v>
      </c>
      <c r="AV56" s="407">
        <f t="shared" si="53"/>
        <v>0.21687211093990755</v>
      </c>
      <c r="AW56" s="407">
        <f t="shared" si="53"/>
        <v>0.19696268886833179</v>
      </c>
      <c r="AX56" s="1141">
        <f t="shared" si="53"/>
        <v>0.20858753571704378</v>
      </c>
      <c r="AY56" s="407">
        <f t="shared" si="53"/>
        <v>0.21766917293233082</v>
      </c>
      <c r="AZ56" s="407">
        <f t="shared" si="53"/>
        <v>0.23632610939112486</v>
      </c>
      <c r="BA56" s="407">
        <f t="shared" si="53"/>
        <v>0.248564674096589</v>
      </c>
      <c r="BB56" s="407">
        <f t="shared" si="53"/>
        <v>0.23630672926447574</v>
      </c>
      <c r="BC56" s="1141">
        <f t="shared" si="53"/>
        <v>0.23517870852170947</v>
      </c>
      <c r="BD56" s="407">
        <f t="shared" si="53"/>
        <v>0.24202127659574468</v>
      </c>
      <c r="BE56" s="407">
        <f t="shared" si="53"/>
        <v>0.25044045102184637</v>
      </c>
      <c r="BF56" s="407">
        <f t="shared" si="53"/>
        <v>0.25541609353507566</v>
      </c>
      <c r="BG56" s="407">
        <f t="shared" si="53"/>
        <v>0.24324106855487609</v>
      </c>
      <c r="BH56" s="1141">
        <f t="shared" si="53"/>
        <v>0.2477761464720615</v>
      </c>
      <c r="BI56" s="407">
        <f t="shared" si="53"/>
        <v>0.24810606060606061</v>
      </c>
      <c r="BJ56" s="407">
        <f t="shared" si="53"/>
        <v>0.25148809523809523</v>
      </c>
      <c r="BK56" s="407">
        <f t="shared" si="53"/>
        <v>0.25375536480686695</v>
      </c>
      <c r="BL56" s="407">
        <f t="shared" si="53"/>
        <v>0.24688570538772969</v>
      </c>
      <c r="BM56" s="1141">
        <f t="shared" si="53"/>
        <v>0.25014070917423814</v>
      </c>
      <c r="BN56" s="407">
        <f t="shared" si="53"/>
        <v>0.23429602888086642</v>
      </c>
      <c r="BO56" s="407">
        <f t="shared" si="53"/>
        <v>0.24479682854311199</v>
      </c>
      <c r="BP56" s="407">
        <f t="shared" si="53"/>
        <v>0.24492468893254749</v>
      </c>
      <c r="BQ56" s="407">
        <f t="shared" si="53"/>
        <v>0.23650546021840874</v>
      </c>
      <c r="BR56" s="1141">
        <f t="shared" si="53"/>
        <v>0.24021234240212341</v>
      </c>
      <c r="BS56" s="407">
        <f t="shared" si="53"/>
        <v>0.22645700071073205</v>
      </c>
      <c r="BT56" s="407">
        <f t="shared" si="53"/>
        <v>0.23621733588272786</v>
      </c>
      <c r="BU56" s="407">
        <f t="shared" si="53"/>
        <v>0.23596298619824341</v>
      </c>
      <c r="BV56" s="407">
        <f t="shared" si="53"/>
        <v>0.22615131578947367</v>
      </c>
      <c r="BW56" s="1141">
        <f t="shared" si="53"/>
        <v>0.231256007689843</v>
      </c>
      <c r="BX56" s="407">
        <f t="shared" si="53"/>
        <v>0.21632825719120136</v>
      </c>
      <c r="BY56" s="407">
        <f t="shared" si="53"/>
        <v>0.22771173848439821</v>
      </c>
      <c r="BZ56" s="407">
        <f t="shared" si="53"/>
        <v>0.23158448586891162</v>
      </c>
      <c r="CA56" s="407">
        <f t="shared" ref="CA56:CV56" si="54">CA44/CA12</f>
        <v>0.22789268585131894</v>
      </c>
      <c r="CB56" s="1141">
        <f t="shared" si="54"/>
        <v>0.22615929748883068</v>
      </c>
      <c r="CC56" s="407">
        <f t="shared" si="54"/>
        <v>0.21020036429872496</v>
      </c>
      <c r="CD56" s="407">
        <f t="shared" si="54"/>
        <v>0.21917366042608133</v>
      </c>
      <c r="CE56" s="407">
        <f t="shared" si="54"/>
        <v>0.23135064081498521</v>
      </c>
      <c r="CF56" s="407">
        <f>CF44/CF12</f>
        <v>0.19553975436328377</v>
      </c>
      <c r="CG56" s="1141">
        <f t="shared" si="54"/>
        <v>0.21530603345465563</v>
      </c>
      <c r="CH56" s="407">
        <f>CH44/CH12</f>
        <v>0.19290976058931861</v>
      </c>
      <c r="CI56" s="407">
        <f t="shared" si="54"/>
        <v>0.20657087504036165</v>
      </c>
      <c r="CJ56" s="407">
        <f t="shared" si="54"/>
        <v>0.21098409542743538</v>
      </c>
      <c r="CK56" s="407">
        <f t="shared" si="54"/>
        <v>0.18829578844270323</v>
      </c>
      <c r="CL56" s="1141">
        <f t="shared" si="54"/>
        <v>0.19986546708147651</v>
      </c>
      <c r="CM56" s="407">
        <f t="shared" ref="CM56:CN56" si="55">CM44/CM12</f>
        <v>0.17822753209700429</v>
      </c>
      <c r="CN56" s="407">
        <f t="shared" si="55"/>
        <v>0.19123283296071542</v>
      </c>
      <c r="CO56" s="407">
        <f t="shared" ref="CO56:CP57" si="56">CO44/CO12</f>
        <v>0.1913022813688213</v>
      </c>
      <c r="CP56" s="407">
        <f t="shared" si="56"/>
        <v>0.17944035216106086</v>
      </c>
      <c r="CQ56" s="1141">
        <f t="shared" si="54"/>
        <v>0.18524929451458608</v>
      </c>
      <c r="CR56" s="407">
        <f t="shared" si="54"/>
        <v>0.17434864518371726</v>
      </c>
      <c r="CS56" s="407">
        <f t="shared" si="54"/>
        <v>0.18265313321495924</v>
      </c>
      <c r="CT56" s="407">
        <f t="shared" si="54"/>
        <v>0.18523113437770511</v>
      </c>
      <c r="CU56" s="407">
        <f t="shared" si="54"/>
        <v>0.17559867261716075</v>
      </c>
      <c r="CV56" s="1141">
        <f t="shared" si="54"/>
        <v>0.17969101095368462</v>
      </c>
      <c r="CW56" s="1141">
        <f t="shared" ref="CW56:CY57" si="57">CW44/CW12</f>
        <v>0.18130393687358862</v>
      </c>
      <c r="CX56" s="1141">
        <f t="shared" si="57"/>
        <v>0.18337751386671985</v>
      </c>
      <c r="CY56" s="1141">
        <f t="shared" si="57"/>
        <v>0.18233016048856385</v>
      </c>
      <c r="CZ56" s="1143"/>
    </row>
    <row r="57" spans="1:104" ht="12" customHeight="1">
      <c r="A57" s="268"/>
      <c r="B57" s="268"/>
      <c r="C57" s="116" t="s">
        <v>310</v>
      </c>
      <c r="D57" s="463"/>
      <c r="E57" s="407"/>
      <c r="F57" s="1142"/>
      <c r="G57" s="1142"/>
      <c r="H57" s="1142"/>
      <c r="I57" s="1142"/>
      <c r="J57" s="1141"/>
      <c r="K57" s="407"/>
      <c r="L57" s="407"/>
      <c r="M57" s="407"/>
      <c r="N57" s="407"/>
      <c r="O57" s="1141"/>
      <c r="P57" s="407"/>
      <c r="Q57" s="407"/>
      <c r="R57" s="407"/>
      <c r="S57" s="407"/>
      <c r="T57" s="1141"/>
      <c r="U57" s="407"/>
      <c r="V57" s="407"/>
      <c r="W57" s="407"/>
      <c r="X57" s="407"/>
      <c r="Y57" s="1141"/>
      <c r="Z57" s="407"/>
      <c r="AA57" s="407"/>
      <c r="AB57" s="407"/>
      <c r="AC57" s="407"/>
      <c r="AD57" s="1141"/>
      <c r="AE57" s="407"/>
      <c r="AF57" s="407"/>
      <c r="AG57" s="407"/>
      <c r="AH57" s="407"/>
      <c r="AI57" s="1141"/>
      <c r="AJ57" s="407"/>
      <c r="AK57" s="407"/>
      <c r="AL57" s="407"/>
      <c r="AM57" s="407"/>
      <c r="AN57" s="1141"/>
      <c r="AO57" s="407"/>
      <c r="AP57" s="407"/>
      <c r="AQ57" s="407"/>
      <c r="AR57" s="407"/>
      <c r="AS57" s="1141"/>
      <c r="AT57" s="407"/>
      <c r="AU57" s="407"/>
      <c r="AV57" s="407"/>
      <c r="AW57" s="407"/>
      <c r="AX57" s="1141"/>
      <c r="AY57" s="407"/>
      <c r="AZ57" s="407"/>
      <c r="BA57" s="407"/>
      <c r="BB57" s="407"/>
      <c r="BC57" s="1141"/>
      <c r="BD57" s="407"/>
      <c r="BE57" s="407"/>
      <c r="BF57" s="407"/>
      <c r="BG57" s="407"/>
      <c r="BH57" s="1141"/>
      <c r="BI57" s="407">
        <f t="shared" ref="BI57:CV57" si="58">BI45/BI13</f>
        <v>0.13658092419758708</v>
      </c>
      <c r="BJ57" s="407">
        <f t="shared" si="58"/>
        <v>0.15505836575875487</v>
      </c>
      <c r="BK57" s="407">
        <f t="shared" si="58"/>
        <v>0.14935988620199148</v>
      </c>
      <c r="BL57" s="407">
        <f t="shared" si="58"/>
        <v>0.13492063492063491</v>
      </c>
      <c r="BM57" s="1141">
        <f t="shared" si="58"/>
        <v>0.14456106870229007</v>
      </c>
      <c r="BN57" s="407">
        <f t="shared" si="58"/>
        <v>0.13898346303501946</v>
      </c>
      <c r="BO57" s="407">
        <f t="shared" si="58"/>
        <v>0.17946194225721784</v>
      </c>
      <c r="BP57" s="407">
        <f t="shared" si="58"/>
        <v>0.17903263676919465</v>
      </c>
      <c r="BQ57" s="407">
        <f t="shared" si="58"/>
        <v>0.16264769713045574</v>
      </c>
      <c r="BR57" s="1141">
        <f t="shared" si="58"/>
        <v>0.16553540081919252</v>
      </c>
      <c r="BS57" s="407">
        <f t="shared" si="58"/>
        <v>0.15611154547823822</v>
      </c>
      <c r="BT57" s="407">
        <f t="shared" si="58"/>
        <v>0.18996257979308825</v>
      </c>
      <c r="BU57" s="407">
        <f t="shared" si="58"/>
        <v>0.19329714420580599</v>
      </c>
      <c r="BV57" s="407">
        <f t="shared" si="58"/>
        <v>0.1743797709923664</v>
      </c>
      <c r="BW57" s="1141">
        <f t="shared" si="58"/>
        <v>0.17918971979296805</v>
      </c>
      <c r="BX57" s="407">
        <f t="shared" si="58"/>
        <v>0.17326668397818748</v>
      </c>
      <c r="BY57" s="407">
        <f t="shared" si="58"/>
        <v>0.2093587717317679</v>
      </c>
      <c r="BZ57" s="407">
        <f t="shared" si="58"/>
        <v>0.20185014939094462</v>
      </c>
      <c r="CA57" s="407">
        <f t="shared" si="58"/>
        <v>0.17754055343511452</v>
      </c>
      <c r="CB57" s="1141">
        <f t="shared" si="58"/>
        <v>0.19122629733103488</v>
      </c>
      <c r="CC57" s="407">
        <f t="shared" si="58"/>
        <v>0.18464434060228452</v>
      </c>
      <c r="CD57" s="407">
        <f t="shared" si="58"/>
        <v>0.2099797934440952</v>
      </c>
      <c r="CE57" s="407">
        <f t="shared" si="58"/>
        <v>0.20337695723299837</v>
      </c>
      <c r="CF57" s="407">
        <f>CF45/CF13</f>
        <v>0.18031295487627366</v>
      </c>
      <c r="CG57" s="1141">
        <f t="shared" si="58"/>
        <v>0.19512779074639372</v>
      </c>
      <c r="CH57" s="407">
        <f>CH45/CH13</f>
        <v>0.19380364806866954</v>
      </c>
      <c r="CI57" s="407">
        <f t="shared" si="58"/>
        <v>0.22370486656200941</v>
      </c>
      <c r="CJ57" s="407">
        <f t="shared" si="58"/>
        <v>0.20804077010192526</v>
      </c>
      <c r="CK57" s="407">
        <f t="shared" si="58"/>
        <v>0.1808660861379148</v>
      </c>
      <c r="CL57" s="1141">
        <f t="shared" si="58"/>
        <v>0.20218384665598479</v>
      </c>
      <c r="CM57" s="407">
        <f t="shared" ref="CM57:CN57" si="59">CM45/CM13</f>
        <v>0.17869989722507709</v>
      </c>
      <c r="CN57" s="407">
        <f t="shared" si="59"/>
        <v>0.20787351443123939</v>
      </c>
      <c r="CO57" s="407">
        <f t="shared" si="56"/>
        <v>0.20467150170648465</v>
      </c>
      <c r="CP57" s="407">
        <f t="shared" si="56"/>
        <v>0.18285838788971662</v>
      </c>
      <c r="CQ57" s="1141">
        <f t="shared" si="58"/>
        <v>0.19428971458855751</v>
      </c>
      <c r="CR57" s="407">
        <f t="shared" si="58"/>
        <v>0.18359696075140616</v>
      </c>
      <c r="CS57" s="407">
        <f t="shared" si="58"/>
        <v>0.20718822728173414</v>
      </c>
      <c r="CT57" s="407">
        <f t="shared" si="58"/>
        <v>0.20417380116972458</v>
      </c>
      <c r="CU57" s="407">
        <f t="shared" si="58"/>
        <v>0.19164867339812655</v>
      </c>
      <c r="CV57" s="1141">
        <f t="shared" si="58"/>
        <v>0.19729813585350037</v>
      </c>
      <c r="CW57" s="1141">
        <f t="shared" si="57"/>
        <v>0.204054748277195</v>
      </c>
      <c r="CX57" s="1141">
        <f t="shared" si="57"/>
        <v>0.21009166266119633</v>
      </c>
      <c r="CY57" s="1141">
        <f t="shared" si="57"/>
        <v>0.2159475084195113</v>
      </c>
      <c r="CZ57" s="268"/>
    </row>
    <row r="58" spans="1:104" ht="12" hidden="1" customHeight="1" outlineLevel="1">
      <c r="A58" s="268"/>
      <c r="B58" s="268"/>
      <c r="C58" s="268" t="s">
        <v>309</v>
      </c>
      <c r="D58" s="463"/>
      <c r="E58" s="407"/>
      <c r="F58" s="1142"/>
      <c r="G58" s="1142"/>
      <c r="H58" s="1142"/>
      <c r="I58" s="1142"/>
      <c r="J58" s="1141"/>
      <c r="K58" s="407">
        <v>6.1630695443645085E-2</v>
      </c>
      <c r="L58" s="407">
        <v>0.14504401071565251</v>
      </c>
      <c r="M58" s="407">
        <v>7.4887892376681614E-2</v>
      </c>
      <c r="N58" s="407">
        <v>8.3121504829689885E-2</v>
      </c>
      <c r="O58" s="1141">
        <v>9.4210230466554246E-2</v>
      </c>
      <c r="P58" s="407">
        <v>5.7093881856540081E-2</v>
      </c>
      <c r="Q58" s="407">
        <v>0.15043290043290045</v>
      </c>
      <c r="R58" s="407">
        <v>0.13814102564102565</v>
      </c>
      <c r="S58" s="407">
        <v>7.7279559118236474E-2</v>
      </c>
      <c r="T58" s="1141">
        <v>0.11033853869827881</v>
      </c>
      <c r="U58" s="407">
        <v>0.100408788962698</v>
      </c>
      <c r="V58" s="407">
        <v>0.15473484848484848</v>
      </c>
      <c r="W58" s="407">
        <v>0.14247859763554832</v>
      </c>
      <c r="X58" s="407">
        <v>6.3069216757741353E-2</v>
      </c>
      <c r="Y58" s="1141">
        <v>0.12524334847501623</v>
      </c>
      <c r="Z58" s="407">
        <v>0.10089686098654709</v>
      </c>
      <c r="AA58" s="407">
        <v>0.15738899933730949</v>
      </c>
      <c r="AB58" s="407">
        <v>0.13794392523364485</v>
      </c>
      <c r="AC58" s="407">
        <v>7.4898034853540976E-2</v>
      </c>
      <c r="AD58" s="1141">
        <v>0.12410680707032719</v>
      </c>
      <c r="AE58" s="407">
        <v>8.1053604436229207E-2</v>
      </c>
      <c r="AF58" s="407">
        <v>0.134852036331673</v>
      </c>
      <c r="AG58" s="407">
        <v>0.12570874365860937</v>
      </c>
      <c r="AH58" s="407">
        <v>8.2895169240880709E-2</v>
      </c>
      <c r="AI58" s="1141">
        <v>0.10813618925831202</v>
      </c>
      <c r="AJ58" s="407"/>
      <c r="AK58" s="407"/>
      <c r="AL58" s="407"/>
      <c r="AM58" s="407"/>
      <c r="AN58" s="1141">
        <f t="shared" ref="AN58:BM58" si="60">AN46/AN14</f>
        <v>0.10407239819004525</v>
      </c>
      <c r="AO58" s="407">
        <f t="shared" si="60"/>
        <v>8.6900958466453668E-2</v>
      </c>
      <c r="AP58" s="407">
        <f t="shared" si="60"/>
        <v>0.13242909987669543</v>
      </c>
      <c r="AQ58" s="407">
        <f t="shared" si="60"/>
        <v>0.12894596040663456</v>
      </c>
      <c r="AR58" s="407">
        <f t="shared" si="60"/>
        <v>7.7936038699274388E-2</v>
      </c>
      <c r="AS58" s="1141">
        <f t="shared" si="60"/>
        <v>0.10796230538104343</v>
      </c>
      <c r="AT58" s="407">
        <f t="shared" si="60"/>
        <v>9.0202405397477273E-2</v>
      </c>
      <c r="AU58" s="407">
        <f t="shared" si="60"/>
        <v>0.13349403122130396</v>
      </c>
      <c r="AV58" s="407">
        <f t="shared" si="60"/>
        <v>0.12854225172325759</v>
      </c>
      <c r="AW58" s="407">
        <f t="shared" si="60"/>
        <v>5.839975475168608E-2</v>
      </c>
      <c r="AX58" s="1141">
        <f t="shared" si="60"/>
        <v>0.10592880085653104</v>
      </c>
      <c r="AY58" s="407">
        <f t="shared" si="60"/>
        <v>4.4477911646586342E-2</v>
      </c>
      <c r="AZ58" s="407">
        <f t="shared" si="60"/>
        <v>0.11728095699967669</v>
      </c>
      <c r="BA58" s="407">
        <f t="shared" si="60"/>
        <v>0.11748216106014271</v>
      </c>
      <c r="BB58" s="407">
        <f t="shared" si="60"/>
        <v>8.4638661445354216E-2</v>
      </c>
      <c r="BC58" s="1141">
        <f t="shared" si="60"/>
        <v>9.3250992501102775E-2</v>
      </c>
      <c r="BD58" s="407">
        <f t="shared" si="60"/>
        <v>8.2184839886501826E-2</v>
      </c>
      <c r="BE58" s="407">
        <f t="shared" si="60"/>
        <v>0.14249919172324604</v>
      </c>
      <c r="BF58" s="407">
        <f t="shared" si="60"/>
        <v>0.13649523160762944</v>
      </c>
      <c r="BG58" s="407">
        <f t="shared" si="60"/>
        <v>9.7145328719723187E-2</v>
      </c>
      <c r="BH58" s="1141">
        <f t="shared" si="60"/>
        <v>0.11637098190760584</v>
      </c>
      <c r="BI58" s="407">
        <f t="shared" si="60"/>
        <v>0.13195950831525669</v>
      </c>
      <c r="BJ58" s="407">
        <f t="shared" si="60"/>
        <v>0.15148835838491012</v>
      </c>
      <c r="BK58" s="407">
        <f t="shared" si="60"/>
        <v>0.1395275590551181</v>
      </c>
      <c r="BL58" s="407">
        <f t="shared" si="60"/>
        <v>0.11347248576850096</v>
      </c>
      <c r="BM58" s="1141">
        <f t="shared" si="60"/>
        <v>0.13543320243963572</v>
      </c>
      <c r="BN58" s="407"/>
      <c r="BO58" s="407"/>
      <c r="BP58" s="407"/>
      <c r="BQ58" s="407"/>
      <c r="BR58" s="1141"/>
      <c r="BS58" s="407"/>
      <c r="BT58" s="407"/>
      <c r="BU58" s="407"/>
      <c r="BV58" s="407"/>
      <c r="BW58" s="1141"/>
      <c r="BX58" s="407"/>
      <c r="BY58" s="407"/>
      <c r="BZ58" s="407"/>
      <c r="CA58" s="407"/>
      <c r="CB58" s="1141"/>
      <c r="CC58" s="407"/>
      <c r="CD58" s="407"/>
      <c r="CE58" s="407"/>
      <c r="CF58" s="407"/>
      <c r="CG58" s="1141"/>
      <c r="CH58" s="407"/>
      <c r="CI58" s="407"/>
      <c r="CJ58" s="407"/>
      <c r="CK58" s="407"/>
      <c r="CL58" s="1141"/>
      <c r="CM58" s="407"/>
      <c r="CN58" s="407"/>
      <c r="CO58" s="407"/>
      <c r="CP58" s="407"/>
      <c r="CQ58" s="1141"/>
      <c r="CR58" s="407"/>
      <c r="CS58" s="407"/>
      <c r="CT58" s="407"/>
      <c r="CU58" s="407"/>
      <c r="CV58" s="1141"/>
      <c r="CW58" s="1141"/>
      <c r="CX58" s="1141"/>
      <c r="CY58" s="1141"/>
      <c r="CZ58" s="268"/>
    </row>
    <row r="59" spans="1:104" ht="12" hidden="1" customHeight="1" outlineLevel="1">
      <c r="A59" s="268"/>
      <c r="B59" s="268"/>
      <c r="C59" s="116" t="s">
        <v>308</v>
      </c>
      <c r="D59" s="463"/>
      <c r="E59" s="407"/>
      <c r="F59" s="1142"/>
      <c r="G59" s="1142"/>
      <c r="H59" s="1142"/>
      <c r="I59" s="1142"/>
      <c r="J59" s="1141"/>
      <c r="K59" s="407"/>
      <c r="L59" s="407"/>
      <c r="M59" s="407"/>
      <c r="N59" s="407"/>
      <c r="O59" s="1141"/>
      <c r="P59" s="407"/>
      <c r="Q59" s="407"/>
      <c r="R59" s="407"/>
      <c r="S59" s="407"/>
      <c r="T59" s="1141"/>
      <c r="U59" s="407" t="e">
        <v>#DIV/0!</v>
      </c>
      <c r="V59" s="407" t="e">
        <v>#DIV/0!</v>
      </c>
      <c r="W59" s="407">
        <v>0.10096153846153846</v>
      </c>
      <c r="X59" s="407">
        <v>7.9166666666666663E-2</v>
      </c>
      <c r="Y59" s="1141">
        <v>8.7147887323943657E-2</v>
      </c>
      <c r="Z59" s="407">
        <v>7.7880512091038412E-2</v>
      </c>
      <c r="AA59" s="407">
        <v>7.8854314002828857E-2</v>
      </c>
      <c r="AB59" s="407">
        <v>8.1537356321839075E-2</v>
      </c>
      <c r="AC59" s="407">
        <v>7.470892626131953E-2</v>
      </c>
      <c r="AD59" s="1141">
        <v>8.0874696286011807E-2</v>
      </c>
      <c r="AE59" s="407">
        <v>8.3769633507853408E-2</v>
      </c>
      <c r="AF59" s="407">
        <v>7.3149741824440617E-2</v>
      </c>
      <c r="AG59" s="407">
        <v>8.5637823371989288E-2</v>
      </c>
      <c r="AH59" s="407">
        <v>0.13383208645054032</v>
      </c>
      <c r="AI59" s="1141">
        <v>9.5529411764705877E-2</v>
      </c>
      <c r="AJ59" s="407"/>
      <c r="AK59" s="407"/>
      <c r="AL59" s="407"/>
      <c r="AM59" s="407"/>
      <c r="AN59" s="1141">
        <f t="shared" ref="AN59:BM59" si="61">AN47/AN15</f>
        <v>0.1097535285443438</v>
      </c>
      <c r="AO59" s="407">
        <f t="shared" si="61"/>
        <v>0.10272873194221509</v>
      </c>
      <c r="AP59" s="407">
        <f t="shared" si="61"/>
        <v>0.10748702742772424</v>
      </c>
      <c r="AQ59" s="407">
        <f t="shared" si="61"/>
        <v>0.12168592794017676</v>
      </c>
      <c r="AR59" s="407">
        <f t="shared" si="61"/>
        <v>0.13744075829383887</v>
      </c>
      <c r="AS59" s="1141">
        <f t="shared" si="61"/>
        <v>0.11887382690302398</v>
      </c>
      <c r="AT59" s="407">
        <f t="shared" si="61"/>
        <v>0.11295369211514393</v>
      </c>
      <c r="AU59" s="407">
        <f t="shared" si="61"/>
        <v>0.12226697353279632</v>
      </c>
      <c r="AV59" s="407">
        <f t="shared" si="61"/>
        <v>0.13146551724137931</v>
      </c>
      <c r="AW59" s="407">
        <f t="shared" si="61"/>
        <v>0.15745672436750999</v>
      </c>
      <c r="AX59" s="1141">
        <f t="shared" si="61"/>
        <v>0.13045496750232127</v>
      </c>
      <c r="AY59" s="407">
        <f t="shared" si="61"/>
        <v>0.12529274004683841</v>
      </c>
      <c r="AZ59" s="407">
        <f t="shared" si="61"/>
        <v>0.14701436130007559</v>
      </c>
      <c r="BA59" s="407">
        <f t="shared" si="61"/>
        <v>0.15247452692867541</v>
      </c>
      <c r="BB59" s="407">
        <f t="shared" si="61"/>
        <v>0.16688524590163933</v>
      </c>
      <c r="BC59" s="1141">
        <f t="shared" si="61"/>
        <v>0.14882791204797383</v>
      </c>
      <c r="BD59" s="407">
        <f t="shared" si="61"/>
        <v>0.14240282685512368</v>
      </c>
      <c r="BE59" s="407">
        <f t="shared" si="61"/>
        <v>0.15820433436532508</v>
      </c>
      <c r="BF59" s="407">
        <f t="shared" si="61"/>
        <v>0.16867833433916718</v>
      </c>
      <c r="BG59" s="407">
        <f t="shared" si="61"/>
        <v>0.18275097060454798</v>
      </c>
      <c r="BH59" s="1141">
        <f t="shared" si="61"/>
        <v>0.16425269645608628</v>
      </c>
      <c r="BI59" s="407">
        <f t="shared" si="61"/>
        <v>0.14504299754299754</v>
      </c>
      <c r="BJ59" s="407">
        <f t="shared" si="61"/>
        <v>0.16158648339060711</v>
      </c>
      <c r="BK59" s="407">
        <f t="shared" si="61"/>
        <v>0.16845933562428408</v>
      </c>
      <c r="BL59" s="407">
        <f t="shared" si="61"/>
        <v>0.16541408450704226</v>
      </c>
      <c r="BM59" s="1141">
        <f t="shared" si="61"/>
        <v>0.16040609137055836</v>
      </c>
      <c r="BN59" s="407"/>
      <c r="BO59" s="407"/>
      <c r="BP59" s="407"/>
      <c r="BQ59" s="407"/>
      <c r="BR59" s="1141"/>
      <c r="BS59" s="407"/>
      <c r="BT59" s="407"/>
      <c r="BU59" s="407"/>
      <c r="BV59" s="407"/>
      <c r="BW59" s="1141"/>
      <c r="BX59" s="407"/>
      <c r="BY59" s="407"/>
      <c r="BZ59" s="407"/>
      <c r="CA59" s="407"/>
      <c r="CB59" s="1141"/>
      <c r="CC59" s="407"/>
      <c r="CD59" s="407"/>
      <c r="CE59" s="407"/>
      <c r="CF59" s="407"/>
      <c r="CG59" s="1141"/>
      <c r="CH59" s="407"/>
      <c r="CI59" s="407"/>
      <c r="CJ59" s="407"/>
      <c r="CK59" s="407"/>
      <c r="CL59" s="1141"/>
      <c r="CM59" s="407"/>
      <c r="CN59" s="407"/>
      <c r="CO59" s="407"/>
      <c r="CP59" s="407"/>
      <c r="CQ59" s="1141"/>
      <c r="CR59" s="407"/>
      <c r="CS59" s="407"/>
      <c r="CT59" s="407"/>
      <c r="CU59" s="407"/>
      <c r="CV59" s="1141"/>
      <c r="CW59" s="1141"/>
      <c r="CX59" s="1141"/>
      <c r="CY59" s="1141"/>
      <c r="CZ59" s="268"/>
    </row>
    <row r="60" spans="1:104" collapsed="1">
      <c r="A60" s="268"/>
      <c r="B60" s="268"/>
      <c r="C60" s="116" t="str">
        <f>C48</f>
        <v>Pratt &amp; Whitney</v>
      </c>
      <c r="D60" s="463"/>
      <c r="E60" s="407"/>
      <c r="F60" s="1142"/>
      <c r="G60" s="1142"/>
      <c r="H60" s="1142"/>
      <c r="I60" s="1142"/>
      <c r="J60" s="1141"/>
      <c r="K60" s="407">
        <v>0.21232694355697551</v>
      </c>
      <c r="L60" s="407">
        <v>0.20886561062851303</v>
      </c>
      <c r="M60" s="407">
        <v>0.20736536430834213</v>
      </c>
      <c r="N60" s="407">
        <v>0.16961538461538461</v>
      </c>
      <c r="O60" s="1141">
        <f t="shared" ref="O60:AM60" si="62">O48/O16</f>
        <v>0.2075791118635239</v>
      </c>
      <c r="P60" s="407">
        <f t="shared" si="62"/>
        <v>0.20611413043478261</v>
      </c>
      <c r="Q60" s="407">
        <f t="shared" si="62"/>
        <v>0.21560000000000001</v>
      </c>
      <c r="R60" s="407">
        <f t="shared" si="62"/>
        <v>0.21373538788522847</v>
      </c>
      <c r="S60" s="407">
        <f t="shared" si="62"/>
        <v>0.1881103515625</v>
      </c>
      <c r="T60" s="1141">
        <f t="shared" si="62"/>
        <v>0.20549378678875083</v>
      </c>
      <c r="U60" s="407">
        <f t="shared" si="62"/>
        <v>0.19150779896013864</v>
      </c>
      <c r="V60" s="407">
        <f t="shared" si="62"/>
        <v>0.16658110882956878</v>
      </c>
      <c r="W60" s="407">
        <f t="shared" si="62"/>
        <v>0.18101129639591179</v>
      </c>
      <c r="X60" s="407">
        <f t="shared" si="62"/>
        <v>0.18581596339603457</v>
      </c>
      <c r="Y60" s="1141">
        <f t="shared" si="62"/>
        <v>0.180946035976016</v>
      </c>
      <c r="Z60" s="407">
        <f t="shared" si="62"/>
        <v>0.16774110366168127</v>
      </c>
      <c r="AA60" s="407">
        <f t="shared" si="62"/>
        <v>0.18569711538461539</v>
      </c>
      <c r="AB60" s="407">
        <f t="shared" si="62"/>
        <v>0.18726190476190477</v>
      </c>
      <c r="AC60" s="407">
        <f t="shared" si="62"/>
        <v>0.18651711378353378</v>
      </c>
      <c r="AD60" s="1141">
        <f t="shared" si="62"/>
        <v>0.18162110080693725</v>
      </c>
      <c r="AE60" s="407">
        <f t="shared" si="62"/>
        <v>0.20765027322404372</v>
      </c>
      <c r="AF60" s="407">
        <f t="shared" si="62"/>
        <v>0.19269687637483501</v>
      </c>
      <c r="AG60" s="407">
        <f t="shared" si="62"/>
        <v>0.18889809444904723</v>
      </c>
      <c r="AH60" s="407">
        <f t="shared" si="62"/>
        <v>0.16608863198458573</v>
      </c>
      <c r="AI60" s="1141">
        <f t="shared" si="62"/>
        <v>0.18752017213555675</v>
      </c>
      <c r="AJ60" s="407">
        <f t="shared" si="62"/>
        <v>0.18964174454828661</v>
      </c>
      <c r="AK60" s="407">
        <f t="shared" si="62"/>
        <v>0.19655298863219656</v>
      </c>
      <c r="AL60" s="407">
        <f t="shared" si="62"/>
        <v>0.18982316853121617</v>
      </c>
      <c r="AM60" s="407">
        <f t="shared" si="62"/>
        <v>0.16776099803020356</v>
      </c>
      <c r="AN60" s="1141">
        <f t="shared" ref="AN60:BM60" si="63">AN48/AN16</f>
        <v>0.18538516918646508</v>
      </c>
      <c r="AO60" s="407">
        <f t="shared" si="63"/>
        <v>0.19759667509938561</v>
      </c>
      <c r="AP60" s="407">
        <f t="shared" si="63"/>
        <v>0.1949002574002574</v>
      </c>
      <c r="AQ60" s="407">
        <f t="shared" si="63"/>
        <v>0.1949110671936759</v>
      </c>
      <c r="AR60" s="407">
        <f t="shared" si="63"/>
        <v>0.18233374766935986</v>
      </c>
      <c r="AS60" s="1141">
        <f t="shared" si="63"/>
        <v>0.19218402176601534</v>
      </c>
      <c r="AT60" s="407">
        <f t="shared" si="63"/>
        <v>0.18244803695150116</v>
      </c>
      <c r="AU60" s="407">
        <f t="shared" si="63"/>
        <v>0.18352479686186607</v>
      </c>
      <c r="AV60" s="407">
        <f t="shared" si="63"/>
        <v>0.18620286465945629</v>
      </c>
      <c r="AW60" s="407">
        <f t="shared" si="63"/>
        <v>0.179816002230276</v>
      </c>
      <c r="AX60" s="1141">
        <f t="shared" si="63"/>
        <v>0.18296417634071646</v>
      </c>
      <c r="AY60" s="407">
        <f t="shared" si="63"/>
        <v>0.18437302089930335</v>
      </c>
      <c r="AZ60" s="407">
        <f t="shared" si="63"/>
        <v>0.19824762528660334</v>
      </c>
      <c r="BA60" s="407">
        <f t="shared" si="63"/>
        <v>0.19624831763122477</v>
      </c>
      <c r="BB60" s="407">
        <f t="shared" si="63"/>
        <v>0.18175444063571206</v>
      </c>
      <c r="BC60" s="1141">
        <f t="shared" si="63"/>
        <v>0.18996126533247257</v>
      </c>
      <c r="BD60" s="407">
        <f t="shared" si="63"/>
        <v>0.19253783878915876</v>
      </c>
      <c r="BE60" s="407">
        <f t="shared" si="63"/>
        <v>0.18786215309545592</v>
      </c>
      <c r="BF60" s="407">
        <f t="shared" si="63"/>
        <v>0.19969040247678019</v>
      </c>
      <c r="BG60" s="407">
        <f t="shared" si="63"/>
        <v>0.18326359832635983</v>
      </c>
      <c r="BH60" s="1141">
        <f t="shared" si="63"/>
        <v>0.19056822574410515</v>
      </c>
      <c r="BI60" s="407">
        <f t="shared" si="63"/>
        <v>0.17925513400626522</v>
      </c>
      <c r="BJ60" s="407">
        <f t="shared" si="63"/>
        <v>0.1623931623931624</v>
      </c>
      <c r="BK60" s="407">
        <f t="shared" si="63"/>
        <v>0.17624148003894841</v>
      </c>
      <c r="BL60" s="407">
        <f t="shared" si="63"/>
        <v>0.17810973858086757</v>
      </c>
      <c r="BM60" s="1141">
        <f t="shared" si="63"/>
        <v>0.17386515616395248</v>
      </c>
      <c r="BN60" s="407">
        <f t="shared" ref="BN60:CV60" si="64">BN48/BN16</f>
        <v>0.16612057667103539</v>
      </c>
      <c r="BO60" s="407">
        <f t="shared" si="64"/>
        <v>0.15230635335073978</v>
      </c>
      <c r="BP60" s="407">
        <f t="shared" si="64"/>
        <v>0.13794068270844992</v>
      </c>
      <c r="BQ60" s="407">
        <f t="shared" si="64"/>
        <v>0.12438961706502184</v>
      </c>
      <c r="BR60" s="1141">
        <f t="shared" si="64"/>
        <v>0.14386995130335148</v>
      </c>
      <c r="BS60" s="407">
        <f t="shared" si="64"/>
        <v>0.14484126984126985</v>
      </c>
      <c r="BT60" s="407">
        <f t="shared" si="64"/>
        <v>0.15086920529801323</v>
      </c>
      <c r="BU60" s="407">
        <f t="shared" si="64"/>
        <v>0.16708505611340815</v>
      </c>
      <c r="BV60" s="407">
        <f t="shared" si="64"/>
        <v>0.14080459770114942</v>
      </c>
      <c r="BW60" s="1141">
        <f t="shared" si="64"/>
        <v>0.15040342045376182</v>
      </c>
      <c r="BX60" s="407">
        <f t="shared" si="64"/>
        <v>0.1584559927906278</v>
      </c>
      <c r="BY60" s="407">
        <f t="shared" si="64"/>
        <v>0.17163140311804009</v>
      </c>
      <c r="BZ60" s="407">
        <f t="shared" si="64"/>
        <v>0.18392255892255893</v>
      </c>
      <c r="CA60" s="407">
        <f t="shared" si="64"/>
        <v>0.16244096445438727</v>
      </c>
      <c r="CB60" s="1141">
        <f t="shared" si="64"/>
        <v>0.16907912875654812</v>
      </c>
      <c r="CC60" s="407">
        <f t="shared" si="64"/>
        <v>0.16536614645858344</v>
      </c>
      <c r="CD60" s="407">
        <f t="shared" si="64"/>
        <v>0.16535218928474299</v>
      </c>
      <c r="CE60" s="407">
        <f t="shared" si="64"/>
        <v>0.17316017316017315</v>
      </c>
      <c r="CF60" s="407">
        <f>CF48/CF16</f>
        <v>0.17452461578536077</v>
      </c>
      <c r="CG60" s="1141">
        <f t="shared" si="64"/>
        <v>0.16964919755716518</v>
      </c>
      <c r="CH60" s="407">
        <f>CH48/CH16</f>
        <v>0.1539855072463768</v>
      </c>
      <c r="CI60" s="407">
        <f t="shared" si="64"/>
        <v>0.15460267505900865</v>
      </c>
      <c r="CJ60" s="407">
        <f t="shared" si="64"/>
        <v>0.15752642102256498</v>
      </c>
      <c r="CK60" s="407">
        <f t="shared" si="64"/>
        <v>0.15217935871743488</v>
      </c>
      <c r="CL60" s="1141">
        <f t="shared" si="64"/>
        <v>0.15449174164092924</v>
      </c>
      <c r="CM60" s="407">
        <f t="shared" ref="CM60:CN60" si="65">CM48/CM16</f>
        <v>0.14668359114937227</v>
      </c>
      <c r="CN60" s="407">
        <f t="shared" si="65"/>
        <v>0.13912455418657027</v>
      </c>
      <c r="CO60" s="407">
        <f>CO48/CO16</f>
        <v>0.15015162375079849</v>
      </c>
      <c r="CP60" s="407">
        <f>CP48/CP16</f>
        <v>0.13321194413579951</v>
      </c>
      <c r="CQ60" s="1141">
        <f t="shared" si="64"/>
        <v>0.14203939903662477</v>
      </c>
      <c r="CR60" s="407">
        <f>CR48/CR16</f>
        <v>0.13230753919643773</v>
      </c>
      <c r="CS60" s="407">
        <f>CS48/CS16</f>
        <v>0.12557339872789169</v>
      </c>
      <c r="CT60" s="407">
        <f>CT48/CT16</f>
        <v>0.14765168214354085</v>
      </c>
      <c r="CU60" s="407">
        <f>CU48/CU16</f>
        <v>0.12093912746352047</v>
      </c>
      <c r="CV60" s="1141">
        <f t="shared" si="64"/>
        <v>0.12939372579843825</v>
      </c>
      <c r="CW60" s="1141">
        <f>CW48/CW16</f>
        <v>0.1469651528575838</v>
      </c>
      <c r="CX60" s="1141">
        <f>CX48/CX16</f>
        <v>0.15099252577537609</v>
      </c>
      <c r="CY60" s="1141">
        <f>CY48/CY16</f>
        <v>0.14814864696161489</v>
      </c>
      <c r="CZ60" s="268"/>
    </row>
    <row r="61" spans="1:104">
      <c r="A61" s="268"/>
      <c r="B61" s="268"/>
      <c r="C61" s="116" t="s">
        <v>164</v>
      </c>
      <c r="D61" s="463"/>
      <c r="E61" s="407"/>
      <c r="F61" s="1142"/>
      <c r="G61" s="1142"/>
      <c r="H61" s="1142"/>
      <c r="I61" s="1142"/>
      <c r="J61" s="1141"/>
      <c r="K61" s="407"/>
      <c r="L61" s="407"/>
      <c r="M61" s="407"/>
      <c r="N61" s="407"/>
      <c r="O61" s="1141"/>
      <c r="P61" s="407"/>
      <c r="Q61" s="407"/>
      <c r="R61" s="407"/>
      <c r="S61" s="407"/>
      <c r="T61" s="1141"/>
      <c r="U61" s="407"/>
      <c r="V61" s="407"/>
      <c r="W61" s="407"/>
      <c r="X61" s="407"/>
      <c r="Y61" s="1141"/>
      <c r="Z61" s="407"/>
      <c r="AA61" s="407"/>
      <c r="AB61" s="407"/>
      <c r="AC61" s="407"/>
      <c r="AD61" s="1141"/>
      <c r="AE61" s="407"/>
      <c r="AF61" s="407"/>
      <c r="AG61" s="407"/>
      <c r="AH61" s="407"/>
      <c r="AI61" s="1141"/>
      <c r="AJ61" s="407"/>
      <c r="AK61" s="407"/>
      <c r="AL61" s="407"/>
      <c r="AM61" s="407"/>
      <c r="AN61" s="1141"/>
      <c r="AO61" s="407"/>
      <c r="AP61" s="407"/>
      <c r="AQ61" s="407"/>
      <c r="AR61" s="407"/>
      <c r="AS61" s="1141"/>
      <c r="AT61" s="407"/>
      <c r="AU61" s="407"/>
      <c r="AV61" s="407"/>
      <c r="AW61" s="407"/>
      <c r="AX61" s="1141"/>
      <c r="AY61" s="407"/>
      <c r="AZ61" s="407"/>
      <c r="BA61" s="407"/>
      <c r="BB61" s="407"/>
      <c r="BC61" s="1141"/>
      <c r="BD61" s="407"/>
      <c r="BE61" s="407"/>
      <c r="BF61" s="407"/>
      <c r="BG61" s="407"/>
      <c r="BH61" s="1141"/>
      <c r="BI61" s="407"/>
      <c r="BJ61" s="407"/>
      <c r="BK61" s="407"/>
      <c r="BL61" s="407"/>
      <c r="BM61" s="1141"/>
      <c r="BN61" s="407">
        <f t="shared" ref="BN61:CV61" si="66">BN50/BN18</f>
        <v>0.19660194174757281</v>
      </c>
      <c r="BO61" s="407">
        <f t="shared" si="66"/>
        <v>0.20494417862838915</v>
      </c>
      <c r="BP61" s="407">
        <f t="shared" si="66"/>
        <v>0.1745318352059925</v>
      </c>
      <c r="BQ61" s="407">
        <f t="shared" si="66"/>
        <v>0.1591052299936988</v>
      </c>
      <c r="BR61" s="1141">
        <f t="shared" si="66"/>
        <v>0.17650587952963762</v>
      </c>
      <c r="BS61" s="407">
        <f t="shared" si="66"/>
        <v>0.21429665951578303</v>
      </c>
      <c r="BT61" s="407">
        <f t="shared" si="66"/>
        <v>0.21747967479674796</v>
      </c>
      <c r="BU61" s="407">
        <f t="shared" si="66"/>
        <v>0.21595712560386474</v>
      </c>
      <c r="BV61" s="407">
        <f t="shared" si="66"/>
        <v>0.21276441611127209</v>
      </c>
      <c r="BW61" s="1141">
        <f t="shared" si="66"/>
        <v>0.21510451786918408</v>
      </c>
      <c r="BX61" s="407">
        <f t="shared" si="66"/>
        <v>0.23123188405797102</v>
      </c>
      <c r="BY61" s="407">
        <f t="shared" si="66"/>
        <v>0.22215346534653466</v>
      </c>
      <c r="BZ61" s="407">
        <f t="shared" si="66"/>
        <v>0.22708628005657708</v>
      </c>
      <c r="CA61" s="407">
        <f t="shared" si="66"/>
        <v>0.2325403450194769</v>
      </c>
      <c r="CB61" s="1141">
        <f t="shared" si="66"/>
        <v>0.2282096377066479</v>
      </c>
      <c r="CC61" s="407">
        <f t="shared" si="66"/>
        <v>0.23055242390078917</v>
      </c>
      <c r="CD61" s="407">
        <f t="shared" si="66"/>
        <v>0.21448237885462554</v>
      </c>
      <c r="CE61" s="407">
        <f t="shared" si="66"/>
        <v>0.22707549898756146</v>
      </c>
      <c r="CF61" s="407">
        <f>CF50/CF18</f>
        <v>0.2224472085623373</v>
      </c>
      <c r="CG61" s="1141">
        <f t="shared" si="66"/>
        <v>0.22357031360862778</v>
      </c>
      <c r="CH61" s="407">
        <f>CH50/CH18</f>
        <v>0.21476462196861626</v>
      </c>
      <c r="CI61" s="407">
        <f t="shared" si="66"/>
        <v>0.21306512378902046</v>
      </c>
      <c r="CJ61" s="407">
        <f t="shared" si="66"/>
        <v>0.2259325287986835</v>
      </c>
      <c r="CK61" s="407">
        <f t="shared" si="66"/>
        <v>0.22144246803779877</v>
      </c>
      <c r="CL61" s="1141">
        <f t="shared" si="66"/>
        <v>0.21804355340477014</v>
      </c>
      <c r="CM61" s="407">
        <f t="shared" ref="CM61:CN61" si="67">CM50/CM18</f>
        <v>0.22099141512046525</v>
      </c>
      <c r="CN61" s="407">
        <f t="shared" si="67"/>
        <v>0.22032967032967032</v>
      </c>
      <c r="CO61" s="407">
        <f>CO50/CO18</f>
        <v>0.228759967005774</v>
      </c>
      <c r="CP61" s="407">
        <f>CP50/CP18</f>
        <v>0.20730827958847606</v>
      </c>
      <c r="CQ61" s="1141">
        <f t="shared" si="66"/>
        <v>0.21925826308439</v>
      </c>
      <c r="CR61" s="407">
        <f>CR50/CR18</f>
        <v>0.21809233097217101</v>
      </c>
      <c r="CS61" s="407">
        <f>CS50/CS18</f>
        <v>0.21666225161963754</v>
      </c>
      <c r="CT61" s="407">
        <f>CT50/CT18</f>
        <v>0.22457512979105074</v>
      </c>
      <c r="CU61" s="407">
        <f>CU50/CU18</f>
        <v>0.2044534700131263</v>
      </c>
      <c r="CV61" s="1141">
        <f t="shared" si="66"/>
        <v>0.21590983312940618</v>
      </c>
      <c r="CW61" s="1141">
        <f>CW50/CW18</f>
        <v>0.21344961467004675</v>
      </c>
      <c r="CX61" s="1141">
        <f>CX50/CX18</f>
        <v>0.21252038699265979</v>
      </c>
      <c r="CY61" s="1141">
        <f>CY50/CY18</f>
        <v>0.20656666240995589</v>
      </c>
      <c r="CZ61" s="268"/>
    </row>
    <row r="62" spans="1:104" ht="12" hidden="1" customHeight="1" outlineLevel="1">
      <c r="A62" s="268"/>
      <c r="B62" s="268"/>
      <c r="C62" s="434" t="str">
        <f>C51</f>
        <v>Hamilton Sundstrand</v>
      </c>
      <c r="D62" s="463"/>
      <c r="E62" s="407"/>
      <c r="F62" s="1142"/>
      <c r="G62" s="1142"/>
      <c r="H62" s="1142"/>
      <c r="I62" s="1142"/>
      <c r="J62" s="1141"/>
      <c r="K62" s="407"/>
      <c r="L62" s="407"/>
      <c r="M62" s="407"/>
      <c r="N62" s="407"/>
      <c r="O62" s="1141"/>
      <c r="P62" s="407">
        <v>0.20536108276972642</v>
      </c>
      <c r="Q62" s="407">
        <v>0.21070737297610143</v>
      </c>
      <c r="R62" s="407">
        <v>0.19951398661207065</v>
      </c>
      <c r="S62" s="407">
        <v>0.18819006951686779</v>
      </c>
      <c r="T62" s="1141">
        <v>0.20040544454097886</v>
      </c>
      <c r="U62" s="407">
        <v>0.20867441538226114</v>
      </c>
      <c r="V62" s="407">
        <v>0.18545714994985349</v>
      </c>
      <c r="W62" s="407">
        <v>0.20302734243363937</v>
      </c>
      <c r="X62" s="407">
        <v>0.19399521702982941</v>
      </c>
      <c r="Y62" s="1141">
        <v>0.19750346740638003</v>
      </c>
      <c r="Z62" s="407">
        <v>0.19789416846652269</v>
      </c>
      <c r="AA62" s="407">
        <v>0.19491978609625668</v>
      </c>
      <c r="AB62" s="407">
        <v>0.20127551020408163</v>
      </c>
      <c r="AC62" s="407">
        <v>0.20393518518518519</v>
      </c>
      <c r="AD62" s="1141">
        <v>0.20621181262729124</v>
      </c>
      <c r="AE62" s="407">
        <v>0.1879863813229572</v>
      </c>
      <c r="AF62" s="407">
        <v>0.20071047957371227</v>
      </c>
      <c r="AG62" s="407">
        <v>0.21727019498607242</v>
      </c>
      <c r="AH62" s="407">
        <v>0.20569070373588183</v>
      </c>
      <c r="AI62" s="1141">
        <v>0.20310360565951621</v>
      </c>
      <c r="AJ62" s="407"/>
      <c r="AK62" s="407"/>
      <c r="AL62" s="407"/>
      <c r="AM62" s="407"/>
      <c r="AN62" s="1141">
        <f t="shared" ref="AN62:BM62" si="68">AN51/AN19</f>
        <v>0.203003003003003</v>
      </c>
      <c r="AO62" s="407">
        <f t="shared" si="68"/>
        <v>0.20163747143945163</v>
      </c>
      <c r="AP62" s="407">
        <f t="shared" si="68"/>
        <v>0.20851139601139601</v>
      </c>
      <c r="AQ62" s="407">
        <f t="shared" si="68"/>
        <v>0.20865451997196915</v>
      </c>
      <c r="AR62" s="407">
        <f t="shared" si="68"/>
        <v>0.19956434316353888</v>
      </c>
      <c r="AS62" s="1141">
        <f t="shared" si="68"/>
        <v>0.2045777146912704</v>
      </c>
      <c r="AT62" s="407">
        <f t="shared" si="68"/>
        <v>0.18788501026694046</v>
      </c>
      <c r="AU62" s="407">
        <f t="shared" si="68"/>
        <v>0.19666666666666666</v>
      </c>
      <c r="AV62" s="407">
        <f t="shared" si="68"/>
        <v>0.21703655352480417</v>
      </c>
      <c r="AW62" s="407">
        <f t="shared" si="68"/>
        <v>0.21515345268542199</v>
      </c>
      <c r="AX62" s="1141">
        <f t="shared" si="68"/>
        <v>0.20428548413082004</v>
      </c>
      <c r="AY62" s="407">
        <f t="shared" si="68"/>
        <v>0.1849563953488372</v>
      </c>
      <c r="AZ62" s="407">
        <f t="shared" si="68"/>
        <v>0.19079885877318117</v>
      </c>
      <c r="BA62" s="407">
        <f t="shared" si="68"/>
        <v>0.22008701957940538</v>
      </c>
      <c r="BB62" s="407">
        <f t="shared" si="68"/>
        <v>0.20919458303635069</v>
      </c>
      <c r="BC62" s="1141">
        <f t="shared" si="68"/>
        <v>0.2012589928057554</v>
      </c>
      <c r="BD62" s="407">
        <f t="shared" si="68"/>
        <v>0.20060331825037708</v>
      </c>
      <c r="BE62" s="407">
        <f t="shared" si="68"/>
        <v>0.20449601160261058</v>
      </c>
      <c r="BF62" s="407">
        <f t="shared" si="68"/>
        <v>0.21126760563380281</v>
      </c>
      <c r="BG62" s="407">
        <f t="shared" si="68"/>
        <v>0.20701281186783546</v>
      </c>
      <c r="BH62" s="1141">
        <f t="shared" si="68"/>
        <v>0.20595577746077032</v>
      </c>
      <c r="BI62" s="407">
        <f t="shared" si="68"/>
        <v>0.19068541300527242</v>
      </c>
      <c r="BJ62" s="407">
        <f t="shared" si="68"/>
        <v>0.1964133219470538</v>
      </c>
      <c r="BK62" s="407">
        <f t="shared" si="68"/>
        <v>0.21489222730241672</v>
      </c>
      <c r="BL62" s="407">
        <f t="shared" si="68"/>
        <v>0.20522161505768063</v>
      </c>
      <c r="BM62" s="1141">
        <f t="shared" si="68"/>
        <v>0.20302533260433753</v>
      </c>
      <c r="BN62" s="407"/>
      <c r="BO62" s="407"/>
      <c r="BP62" s="407"/>
      <c r="BQ62" s="407"/>
      <c r="BR62" s="1141"/>
      <c r="BS62" s="407"/>
      <c r="BT62" s="407"/>
      <c r="BU62" s="407"/>
      <c r="BV62" s="407"/>
      <c r="BW62" s="1141"/>
      <c r="BX62" s="407"/>
      <c r="BY62" s="407"/>
      <c r="BZ62" s="407"/>
      <c r="CA62" s="407"/>
      <c r="CB62" s="1141"/>
      <c r="CC62" s="407"/>
      <c r="CD62" s="407"/>
      <c r="CE62" s="407"/>
      <c r="CF62" s="407"/>
      <c r="CG62" s="1141"/>
      <c r="CH62" s="407"/>
      <c r="CI62" s="407"/>
      <c r="CJ62" s="407"/>
      <c r="CK62" s="407"/>
      <c r="CL62" s="1141"/>
      <c r="CM62" s="407"/>
      <c r="CN62" s="407"/>
      <c r="CO62" s="407"/>
      <c r="CP62" s="407"/>
      <c r="CQ62" s="1141"/>
      <c r="CR62" s="407"/>
      <c r="CS62" s="407"/>
      <c r="CT62" s="407"/>
      <c r="CU62" s="407"/>
      <c r="CV62" s="1141"/>
      <c r="CW62" s="1141"/>
      <c r="CX62" s="1141"/>
      <c r="CY62" s="1141"/>
      <c r="CZ62" s="268"/>
    </row>
    <row r="63" spans="1:104" ht="12" customHeight="1" collapsed="1">
      <c r="A63" s="268"/>
      <c r="B63" s="268"/>
      <c r="C63" s="116" t="str">
        <f>C52</f>
        <v>Sikorsky</v>
      </c>
      <c r="D63" s="463"/>
      <c r="E63" s="407"/>
      <c r="F63" s="1142"/>
      <c r="G63" s="1142"/>
      <c r="H63" s="1142"/>
      <c r="I63" s="1142"/>
      <c r="J63" s="1141"/>
      <c r="K63" s="407"/>
      <c r="L63" s="407"/>
      <c r="M63" s="407"/>
      <c r="N63" s="407"/>
      <c r="O63" s="1141"/>
      <c r="P63" s="407">
        <v>0.10267638992781569</v>
      </c>
      <c r="Q63" s="407">
        <v>0.10515479564327915</v>
      </c>
      <c r="R63" s="407">
        <v>9.9537190253259911E-2</v>
      </c>
      <c r="S63" s="407">
        <v>9.3917398440467578E-2</v>
      </c>
      <c r="T63" s="1141">
        <f t="shared" ref="T63:AM63" si="69">T52/T20</f>
        <v>0.10004589261128959</v>
      </c>
      <c r="U63" s="407">
        <f t="shared" si="69"/>
        <v>0.11594383212357257</v>
      </c>
      <c r="V63" s="407">
        <f t="shared" si="69"/>
        <v>0.10280294066817033</v>
      </c>
      <c r="W63" s="407">
        <f t="shared" si="69"/>
        <v>0.11300804467567488</v>
      </c>
      <c r="X63" s="407">
        <f t="shared" si="69"/>
        <v>0.10835185399688822</v>
      </c>
      <c r="Y63" s="1141">
        <f t="shared" si="69"/>
        <v>0.10989010989010989</v>
      </c>
      <c r="Z63" s="407">
        <f t="shared" si="69"/>
        <v>0.10267857142857142</v>
      </c>
      <c r="AA63" s="407">
        <f t="shared" si="69"/>
        <v>0.10834670947030497</v>
      </c>
      <c r="AB63" s="407">
        <f t="shared" si="69"/>
        <v>9.4992636229749627E-2</v>
      </c>
      <c r="AC63" s="407">
        <f t="shared" si="69"/>
        <v>9.5496894409937888E-2</v>
      </c>
      <c r="AD63" s="1141">
        <f t="shared" si="69"/>
        <v>0.10015961691939346</v>
      </c>
      <c r="AE63" s="407">
        <f t="shared" si="69"/>
        <v>0.10495867768595041</v>
      </c>
      <c r="AF63" s="407">
        <f t="shared" si="69"/>
        <v>0.10866477272727272</v>
      </c>
      <c r="AG63" s="407">
        <f t="shared" si="69"/>
        <v>0.11658841940532082</v>
      </c>
      <c r="AH63" s="407">
        <f t="shared" si="69"/>
        <v>9.4262295081967207E-2</v>
      </c>
      <c r="AI63" s="1141">
        <f t="shared" si="69"/>
        <v>0.1052819414703783</v>
      </c>
      <c r="AJ63" s="407">
        <f t="shared" si="69"/>
        <v>2.880859375E-2</v>
      </c>
      <c r="AK63" s="407">
        <f t="shared" si="69"/>
        <v>9.4850065189048247E-2</v>
      </c>
      <c r="AL63" s="407">
        <f t="shared" si="69"/>
        <v>9.4290657439446368E-2</v>
      </c>
      <c r="AM63" s="407">
        <f t="shared" si="69"/>
        <v>6.6190036900369009E-2</v>
      </c>
      <c r="AN63" s="1141">
        <f t="shared" ref="AN63:BM63" si="70">AN52/AN20</f>
        <v>7.4613003095975239E-2</v>
      </c>
      <c r="AO63" s="407">
        <f t="shared" si="70"/>
        <v>8.250497017892644E-2</v>
      </c>
      <c r="AP63" s="407">
        <f t="shared" si="70"/>
        <v>8.347245409015025E-2</v>
      </c>
      <c r="AQ63" s="407">
        <f t="shared" si="70"/>
        <v>8.8752869166029077E-2</v>
      </c>
      <c r="AR63" s="407">
        <f t="shared" si="70"/>
        <v>9.6244131455399062E-2</v>
      </c>
      <c r="AS63" s="1141">
        <f t="shared" si="70"/>
        <v>8.8118605136771763E-2</v>
      </c>
      <c r="AT63" s="407">
        <f t="shared" si="70"/>
        <v>9.5307917888563048E-2</v>
      </c>
      <c r="AU63" s="407">
        <f t="shared" si="70"/>
        <v>9.6786534047436881E-2</v>
      </c>
      <c r="AV63" s="407">
        <f t="shared" si="70"/>
        <v>0.10326842837273992</v>
      </c>
      <c r="AW63" s="407">
        <f t="shared" si="70"/>
        <v>0.1046875</v>
      </c>
      <c r="AX63" s="1141">
        <f t="shared" si="70"/>
        <v>0.10059612518628912</v>
      </c>
      <c r="AY63" s="407">
        <f t="shared" si="70"/>
        <v>0.10068130204390613</v>
      </c>
      <c r="AZ63" s="407">
        <f t="shared" si="70"/>
        <v>0.11360347322720694</v>
      </c>
      <c r="BA63" s="407">
        <f t="shared" si="70"/>
        <v>0.10609756097560975</v>
      </c>
      <c r="BB63" s="407">
        <f t="shared" si="70"/>
        <v>0.11265432098765432</v>
      </c>
      <c r="BC63" s="1141">
        <f t="shared" si="70"/>
        <v>0.10863686973119134</v>
      </c>
      <c r="BD63" s="407">
        <f t="shared" si="70"/>
        <v>0.12205449189985272</v>
      </c>
      <c r="BE63" s="407">
        <f t="shared" si="70"/>
        <v>0.11628250591016548</v>
      </c>
      <c r="BF63" s="407">
        <f t="shared" si="70"/>
        <v>0.12330316742081449</v>
      </c>
      <c r="BG63" s="407">
        <f t="shared" si="70"/>
        <v>0.12446094873023479</v>
      </c>
      <c r="BH63" s="1141">
        <f t="shared" si="70"/>
        <v>0.12163375224416517</v>
      </c>
      <c r="BI63" s="407">
        <f t="shared" si="70"/>
        <v>0.10303413400758533</v>
      </c>
      <c r="BJ63" s="407">
        <f t="shared" si="70"/>
        <v>0.12709966405375139</v>
      </c>
      <c r="BK63" s="407">
        <f t="shared" si="70"/>
        <v>0.13265849760255727</v>
      </c>
      <c r="BL63" s="407">
        <f t="shared" si="70"/>
        <v>0.12559241706161137</v>
      </c>
      <c r="BM63" s="1141">
        <f t="shared" si="70"/>
        <v>0.12290958531611149</v>
      </c>
      <c r="BN63" s="407">
        <f t="shared" ref="BN63:CB63" si="71">BN52/BN20</f>
        <v>0.11905646359583952</v>
      </c>
      <c r="BO63" s="407">
        <f t="shared" si="71"/>
        <v>0.14645061728395062</v>
      </c>
      <c r="BP63" s="407">
        <f t="shared" si="71"/>
        <v>0.14326864766525166</v>
      </c>
      <c r="BQ63" s="407">
        <f t="shared" si="71"/>
        <v>9.9379595588235295E-2</v>
      </c>
      <c r="BR63" s="1141">
        <f t="shared" si="71"/>
        <v>0.12516566043292593</v>
      </c>
      <c r="BS63" s="407">
        <f t="shared" si="71"/>
        <v>9.3074459567654116E-2</v>
      </c>
      <c r="BT63" s="407">
        <f t="shared" si="71"/>
        <v>0.11893358876117496</v>
      </c>
      <c r="BU63" s="407">
        <f t="shared" si="71"/>
        <v>0.12410772225827385</v>
      </c>
      <c r="BV63" s="407">
        <f t="shared" si="71"/>
        <v>0.12401159725882974</v>
      </c>
      <c r="BW63" s="1141">
        <f t="shared" si="71"/>
        <v>0.11658403966096274</v>
      </c>
      <c r="BX63" s="407">
        <f t="shared" si="71"/>
        <v>9.1476855253490086E-2</v>
      </c>
      <c r="BY63" s="407">
        <f t="shared" si="71"/>
        <v>7.1518456375838924E-2</v>
      </c>
      <c r="BZ63" s="407">
        <f t="shared" si="71"/>
        <v>0.10709876543209877</v>
      </c>
      <c r="CA63" s="407">
        <f t="shared" si="71"/>
        <v>0.15172579098753594</v>
      </c>
      <c r="CB63" s="1141">
        <f t="shared" si="71"/>
        <v>0.10535498590793183</v>
      </c>
      <c r="CC63" s="407"/>
      <c r="CD63" s="407"/>
      <c r="CE63" s="407"/>
      <c r="CF63" s="407"/>
      <c r="CG63" s="1141"/>
      <c r="CH63" s="407"/>
      <c r="CI63" s="407"/>
      <c r="CJ63" s="407"/>
      <c r="CK63" s="407"/>
      <c r="CL63" s="1141"/>
      <c r="CM63" s="407"/>
      <c r="CN63" s="407"/>
      <c r="CO63" s="407"/>
      <c r="CP63" s="407"/>
      <c r="CQ63" s="1141"/>
      <c r="CR63" s="407"/>
      <c r="CS63" s="407"/>
      <c r="CT63" s="407"/>
      <c r="CU63" s="407"/>
      <c r="CV63" s="1141"/>
      <c r="CW63" s="1141"/>
      <c r="CX63" s="1141"/>
      <c r="CY63" s="1141"/>
      <c r="CZ63" s="268"/>
    </row>
    <row r="64" spans="1:104" ht="12" customHeight="1" thickBot="1">
      <c r="A64" s="268"/>
      <c r="B64" s="268"/>
      <c r="C64" s="1093" t="s">
        <v>825</v>
      </c>
      <c r="D64" s="1114"/>
      <c r="E64" s="1100"/>
      <c r="F64" s="1137"/>
      <c r="G64" s="1137"/>
      <c r="H64" s="1137"/>
      <c r="I64" s="1137"/>
      <c r="J64" s="1140"/>
      <c r="K64" s="1100">
        <v>0.14975266077049917</v>
      </c>
      <c r="L64" s="1100">
        <v>0.16557555919258046</v>
      </c>
      <c r="M64" s="1100">
        <v>0.15057803468208092</v>
      </c>
      <c r="N64" s="1100">
        <v>0.13725212464589234</v>
      </c>
      <c r="O64" s="1140">
        <f t="shared" ref="O64:AT64" si="72">O54/O22</f>
        <v>0.14833136179517512</v>
      </c>
      <c r="P64" s="1100">
        <f t="shared" si="72"/>
        <v>0.15249450894257924</v>
      </c>
      <c r="Q64" s="1100">
        <f t="shared" si="72"/>
        <v>0.16657564172583289</v>
      </c>
      <c r="R64" s="1100">
        <f t="shared" si="72"/>
        <v>0.16098095629538292</v>
      </c>
      <c r="S64" s="1100">
        <f t="shared" si="72"/>
        <v>0.14095634095634096</v>
      </c>
      <c r="T64" s="1140">
        <f t="shared" si="72"/>
        <v>0.1553948674322983</v>
      </c>
      <c r="U64" s="1100">
        <f t="shared" si="72"/>
        <v>0.15174574753804834</v>
      </c>
      <c r="V64" s="1100">
        <f t="shared" si="72"/>
        <v>0.15661103979460847</v>
      </c>
      <c r="W64" s="1100">
        <f t="shared" si="72"/>
        <v>0.15727935629871762</v>
      </c>
      <c r="X64" s="1100">
        <f t="shared" si="72"/>
        <v>0.12878435025617141</v>
      </c>
      <c r="Y64" s="1140">
        <f t="shared" si="72"/>
        <v>0.15389572726686859</v>
      </c>
      <c r="Z64" s="1100">
        <f t="shared" si="72"/>
        <v>0.13775156141568357</v>
      </c>
      <c r="AA64" s="1100">
        <f t="shared" si="72"/>
        <v>0.15589274579089588</v>
      </c>
      <c r="AB64" s="1100">
        <f t="shared" si="72"/>
        <v>0.15183638505193275</v>
      </c>
      <c r="AC64" s="1100">
        <f t="shared" si="72"/>
        <v>0.13488513925594633</v>
      </c>
      <c r="AD64" s="1140">
        <f t="shared" si="72"/>
        <v>0.14968620643610628</v>
      </c>
      <c r="AE64" s="1100">
        <f t="shared" si="72"/>
        <v>0.14180929095354522</v>
      </c>
      <c r="AF64" s="1100">
        <f t="shared" si="72"/>
        <v>0.15028694404591106</v>
      </c>
      <c r="AG64" s="1100">
        <f t="shared" si="72"/>
        <v>0.15580009170105455</v>
      </c>
      <c r="AH64" s="1100">
        <f t="shared" si="72"/>
        <v>0.13977444276707218</v>
      </c>
      <c r="AI64" s="1140">
        <f t="shared" si="72"/>
        <v>0.14705675833820947</v>
      </c>
      <c r="AJ64" s="1100">
        <f t="shared" si="72"/>
        <v>0.1438530381535563</v>
      </c>
      <c r="AK64" s="1100">
        <f t="shared" si="72"/>
        <v>0.15810502283105024</v>
      </c>
      <c r="AL64" s="1100">
        <f t="shared" si="72"/>
        <v>0.15884239085751869</v>
      </c>
      <c r="AM64" s="1100">
        <f t="shared" si="72"/>
        <v>0.13850003910221317</v>
      </c>
      <c r="AN64" s="1140">
        <f t="shared" si="72"/>
        <v>0.14988814317673377</v>
      </c>
      <c r="AO64" s="1100">
        <f t="shared" si="72"/>
        <v>0.14318292881576805</v>
      </c>
      <c r="AP64" s="1100">
        <f t="shared" si="72"/>
        <v>0.15585443037974683</v>
      </c>
      <c r="AQ64" s="1100">
        <f t="shared" si="72"/>
        <v>0.15948928803289331</v>
      </c>
      <c r="AR64" s="1100">
        <f t="shared" si="72"/>
        <v>0.14401250509718636</v>
      </c>
      <c r="AS64" s="1140">
        <f t="shared" si="72"/>
        <v>0.15075147464343761</v>
      </c>
      <c r="AT64" s="1100">
        <f t="shared" si="72"/>
        <v>0.14522137842097721</v>
      </c>
      <c r="AU64" s="1100">
        <f t="shared" ref="AU64:BZ64" si="73">AU54/AU22</f>
        <v>0.15799046663321625</v>
      </c>
      <c r="AV64" s="1100">
        <f t="shared" si="73"/>
        <v>0.16115346370566788</v>
      </c>
      <c r="AW64" s="1100">
        <f t="shared" si="73"/>
        <v>0.14536222071767096</v>
      </c>
      <c r="AX64" s="1140">
        <f t="shared" si="73"/>
        <v>0.15268504108305303</v>
      </c>
      <c r="AY64" s="1100">
        <f t="shared" si="73"/>
        <v>0.13923272399376999</v>
      </c>
      <c r="AZ64" s="1100">
        <f t="shared" si="73"/>
        <v>0.16604134762633996</v>
      </c>
      <c r="BA64" s="1100">
        <f t="shared" si="73"/>
        <v>0.1684613634640176</v>
      </c>
      <c r="BB64" s="1100">
        <f t="shared" si="73"/>
        <v>0.16027612847843192</v>
      </c>
      <c r="BC64" s="1140">
        <f t="shared" si="73"/>
        <v>0.15887458273724367</v>
      </c>
      <c r="BD64" s="1100">
        <f t="shared" si="73"/>
        <v>0.15921926910299003</v>
      </c>
      <c r="BE64" s="1100">
        <f t="shared" si="73"/>
        <v>0.17251123025648457</v>
      </c>
      <c r="BF64" s="1100">
        <f t="shared" si="73"/>
        <v>0.18083700440528636</v>
      </c>
      <c r="BG64" s="1100">
        <f t="shared" si="73"/>
        <v>0.16112755651237889</v>
      </c>
      <c r="BH64" s="1140">
        <f t="shared" si="73"/>
        <v>0.1685380848948938</v>
      </c>
      <c r="BI64" s="1100">
        <f t="shared" si="73"/>
        <v>0.1614455929929772</v>
      </c>
      <c r="BJ64" s="1100">
        <f t="shared" si="73"/>
        <v>0.16974220747805654</v>
      </c>
      <c r="BK64" s="1100">
        <f t="shared" si="73"/>
        <v>0.17604495960660344</v>
      </c>
      <c r="BL64" s="1100">
        <f t="shared" si="73"/>
        <v>0.16025596438756348</v>
      </c>
      <c r="BM64" s="1140">
        <f t="shared" si="73"/>
        <v>0.1670194066793414</v>
      </c>
      <c r="BN64" s="1100">
        <f t="shared" si="73"/>
        <v>0.16446520618556701</v>
      </c>
      <c r="BO64" s="1100">
        <f t="shared" si="73"/>
        <v>0.1786774824364453</v>
      </c>
      <c r="BP64" s="1100">
        <f t="shared" si="73"/>
        <v>0.16999069272703099</v>
      </c>
      <c r="BQ64" s="1100">
        <f t="shared" si="73"/>
        <v>0.15514200571671835</v>
      </c>
      <c r="BR64" s="1140">
        <f t="shared" si="73"/>
        <v>0.16664933804671797</v>
      </c>
      <c r="BS64" s="1100">
        <f t="shared" si="73"/>
        <v>0.17112299465240641</v>
      </c>
      <c r="BT64" s="1100">
        <f t="shared" si="73"/>
        <v>0.18386854929401475</v>
      </c>
      <c r="BU64" s="1100">
        <f t="shared" si="73"/>
        <v>0.19053162592161427</v>
      </c>
      <c r="BV64" s="1100">
        <f t="shared" si="73"/>
        <v>0.17512978101318694</v>
      </c>
      <c r="BW64" s="1140">
        <f t="shared" si="73"/>
        <v>0.18024462683230608</v>
      </c>
      <c r="BX64" s="1100">
        <f t="shared" si="73"/>
        <v>0.18243472363513055</v>
      </c>
      <c r="BY64" s="1100">
        <f t="shared" si="73"/>
        <v>0.18649293234832179</v>
      </c>
      <c r="BZ64" s="1100">
        <f t="shared" si="73"/>
        <v>0.19662295893122217</v>
      </c>
      <c r="CA64" s="1100">
        <f t="shared" ref="CA64:CV64" si="74">CA54/CA22</f>
        <v>0.18733819722287598</v>
      </c>
      <c r="CB64" s="1140">
        <f t="shared" si="74"/>
        <v>0.18831029185867895</v>
      </c>
      <c r="CC64" s="1100">
        <f t="shared" si="74"/>
        <v>0.19565373116372309</v>
      </c>
      <c r="CD64" s="1100">
        <f t="shared" si="74"/>
        <v>0.20050978437090619</v>
      </c>
      <c r="CE64" s="1100">
        <f t="shared" si="74"/>
        <v>0.20749927473165072</v>
      </c>
      <c r="CF64" s="1100">
        <f>CF54/CF22</f>
        <v>0.183006993006993</v>
      </c>
      <c r="CG64" s="1140">
        <f t="shared" si="74"/>
        <v>0.1968429074614679</v>
      </c>
      <c r="CH64" s="1100">
        <f>CH54/CH22</f>
        <v>0.18514636520176686</v>
      </c>
      <c r="CI64" s="1100">
        <f t="shared" si="74"/>
        <v>0.19893774371386311</v>
      </c>
      <c r="CJ64" s="1100">
        <f t="shared" si="74"/>
        <v>0.20036226835725232</v>
      </c>
      <c r="CK64" s="1100">
        <f t="shared" si="74"/>
        <v>0.18186779452895832</v>
      </c>
      <c r="CL64" s="1140">
        <f t="shared" si="74"/>
        <v>0.19151352106771016</v>
      </c>
      <c r="CM64" s="1100">
        <f t="shared" ref="CM64:CN64" si="75">CM54/CM22</f>
        <v>0.17741585233441912</v>
      </c>
      <c r="CN64" s="1100">
        <f t="shared" si="75"/>
        <v>0.18828534031413613</v>
      </c>
      <c r="CO64" s="1100">
        <f t="shared" ref="CO64" si="76">CO54/CO22</f>
        <v>0.19081131323861372</v>
      </c>
      <c r="CP64" s="1100">
        <f>CP54/CP22</f>
        <v>0.16948874309961678</v>
      </c>
      <c r="CQ64" s="1140">
        <f t="shared" si="74"/>
        <v>0.18155237026951285</v>
      </c>
      <c r="CR64" s="1100">
        <f>CR54/CR22</f>
        <v>0.17436677847238569</v>
      </c>
      <c r="CS64" s="1100">
        <f>CS54/CS22</f>
        <v>0.18101133385073295</v>
      </c>
      <c r="CT64" s="1100">
        <f>CT54/CT22</f>
        <v>0.1898333208447987</v>
      </c>
      <c r="CU64" s="1100">
        <f>CU54/CU22</f>
        <v>0.16995499873365752</v>
      </c>
      <c r="CV64" s="1140">
        <f t="shared" si="74"/>
        <v>0.17826740759495543</v>
      </c>
      <c r="CW64" s="1140">
        <f>CW54/CW22</f>
        <v>0.18466417257041823</v>
      </c>
      <c r="CX64" s="1140">
        <f>CX54/CX22</f>
        <v>0.18746410814263617</v>
      </c>
      <c r="CY64" s="1140">
        <f>CY54/CY22</f>
        <v>0.18658900845804233</v>
      </c>
      <c r="CZ64" s="268"/>
    </row>
    <row r="65" spans="1:108" ht="12" customHeight="1" thickTop="1">
      <c r="A65" s="434"/>
      <c r="B65" s="434"/>
      <c r="C65" s="434"/>
      <c r="D65" s="463"/>
      <c r="E65" s="1088"/>
      <c r="F65" s="1088"/>
      <c r="G65" s="1088"/>
      <c r="H65" s="1088"/>
      <c r="I65" s="1088"/>
      <c r="J65" s="1086"/>
      <c r="K65" s="1088"/>
      <c r="L65" s="1088"/>
      <c r="M65" s="1088"/>
      <c r="N65" s="1088"/>
      <c r="O65" s="1086"/>
      <c r="P65" s="1088"/>
      <c r="Q65" s="1088"/>
      <c r="R65" s="1088"/>
      <c r="S65" s="1088"/>
      <c r="T65" s="1086"/>
      <c r="U65" s="1088"/>
      <c r="V65" s="1088"/>
      <c r="W65" s="1088"/>
      <c r="X65" s="1088"/>
      <c r="Y65" s="1086"/>
      <c r="Z65" s="1088"/>
      <c r="AA65" s="1088"/>
      <c r="AB65" s="1088"/>
      <c r="AC65" s="1088"/>
      <c r="AD65" s="1086"/>
      <c r="AE65" s="1088"/>
      <c r="AF65" s="1088"/>
      <c r="AG65" s="1088"/>
      <c r="AH65" s="1088"/>
      <c r="AI65" s="1086"/>
      <c r="AJ65" s="1088"/>
      <c r="AK65" s="1088"/>
      <c r="AL65" s="1088"/>
      <c r="AM65" s="1088"/>
      <c r="AN65" s="1086"/>
      <c r="AO65" s="1088"/>
      <c r="AP65" s="1088"/>
      <c r="AQ65" s="1088"/>
      <c r="AR65" s="1088"/>
      <c r="AS65" s="1086"/>
      <c r="AT65" s="1088"/>
      <c r="AU65" s="1088"/>
      <c r="AV65" s="1088"/>
      <c r="AW65" s="1088"/>
      <c r="AX65" s="1086"/>
      <c r="AY65" s="1088"/>
      <c r="AZ65" s="1088"/>
      <c r="BA65" s="1088"/>
      <c r="BB65" s="1088"/>
      <c r="BC65" s="1086"/>
      <c r="BD65" s="1088"/>
      <c r="BE65" s="1088"/>
      <c r="BF65" s="1088"/>
      <c r="BG65" s="1088"/>
      <c r="BH65" s="1086"/>
      <c r="BI65" s="1088"/>
      <c r="BJ65" s="1088"/>
      <c r="BK65" s="1088"/>
      <c r="BL65" s="1088"/>
      <c r="BM65" s="1086"/>
      <c r="BN65" s="1088"/>
      <c r="BO65" s="1088"/>
      <c r="BP65" s="1088"/>
      <c r="BQ65" s="1088"/>
      <c r="BR65" s="1086"/>
      <c r="BS65" s="1087"/>
      <c r="BT65" s="1087"/>
      <c r="BU65" s="1087"/>
      <c r="BV65" s="1087"/>
      <c r="BW65" s="1086"/>
      <c r="BX65" s="1087"/>
      <c r="BY65" s="1087"/>
      <c r="BZ65" s="1087"/>
      <c r="CA65" s="1087"/>
      <c r="CB65" s="1086"/>
      <c r="CC65" s="1087"/>
      <c r="CD65" s="1087"/>
      <c r="CE65" s="1087"/>
      <c r="CF65" s="1087"/>
      <c r="CG65" s="1086"/>
      <c r="CH65" s="1087"/>
      <c r="CI65" s="1087"/>
      <c r="CJ65" s="1087"/>
      <c r="CK65" s="1087"/>
      <c r="CL65" s="1086"/>
      <c r="CM65" s="1087"/>
      <c r="CN65" s="1087"/>
      <c r="CO65" s="1087"/>
      <c r="CP65" s="1087"/>
      <c r="CQ65" s="1086"/>
      <c r="CR65" s="1087"/>
      <c r="CS65" s="1087"/>
      <c r="CT65" s="1087"/>
      <c r="CU65" s="1087"/>
      <c r="CV65" s="1086"/>
      <c r="CW65" s="1086"/>
      <c r="CX65" s="1086"/>
      <c r="CY65" s="1086"/>
      <c r="CZ65" s="434"/>
    </row>
    <row r="66" spans="1:108" ht="12" customHeight="1">
      <c r="A66" s="268"/>
      <c r="B66" s="268"/>
      <c r="C66" s="268" t="s">
        <v>167</v>
      </c>
      <c r="D66" s="463"/>
      <c r="E66" s="407"/>
      <c r="F66" s="1139">
        <v>41.25</v>
      </c>
      <c r="G66" s="1139">
        <v>41.25</v>
      </c>
      <c r="H66" s="1139">
        <v>41.25</v>
      </c>
      <c r="I66" s="1139">
        <v>41.25</v>
      </c>
      <c r="J66" s="448">
        <v>165</v>
      </c>
      <c r="K66" s="449">
        <v>39.75</v>
      </c>
      <c r="L66" s="449">
        <v>39.75</v>
      </c>
      <c r="M66" s="449">
        <v>39.75</v>
      </c>
      <c r="N66" s="449">
        <v>39.75</v>
      </c>
      <c r="O66" s="448">
        <v>159</v>
      </c>
      <c r="P66" s="449">
        <v>34.5</v>
      </c>
      <c r="Q66" s="449">
        <v>34.5</v>
      </c>
      <c r="R66" s="449">
        <v>34.5</v>
      </c>
      <c r="S66" s="449">
        <v>34.5</v>
      </c>
      <c r="T66" s="448">
        <v>138</v>
      </c>
      <c r="U66" s="449">
        <v>38.5</v>
      </c>
      <c r="V66" s="449">
        <v>38.5</v>
      </c>
      <c r="W66" s="449">
        <v>38.5</v>
      </c>
      <c r="X66" s="449">
        <v>38.5</v>
      </c>
      <c r="Y66" s="448">
        <v>154</v>
      </c>
      <c r="Z66" s="449">
        <v>43.75</v>
      </c>
      <c r="AA66" s="449">
        <v>43.75</v>
      </c>
      <c r="AB66" s="449">
        <v>43.75</v>
      </c>
      <c r="AC66" s="449">
        <v>43.75</v>
      </c>
      <c r="AD66" s="448">
        <v>175</v>
      </c>
      <c r="AE66" s="449">
        <v>41.25</v>
      </c>
      <c r="AF66" s="449">
        <v>41.25</v>
      </c>
      <c r="AG66" s="449">
        <v>41.25</v>
      </c>
      <c r="AH66" s="449">
        <v>41.25</v>
      </c>
      <c r="AI66" s="448">
        <v>165</v>
      </c>
      <c r="AJ66" s="449">
        <f>Otis!AN26</f>
        <v>45.75</v>
      </c>
      <c r="AK66" s="449">
        <f>Otis!AO26</f>
        <v>45.75</v>
      </c>
      <c r="AL66" s="449">
        <f>Otis!AP26</f>
        <v>45.75</v>
      </c>
      <c r="AM66" s="449">
        <f>Otis!AQ26</f>
        <v>45.75</v>
      </c>
      <c r="AN66" s="448">
        <f>Otis!AR26</f>
        <v>183</v>
      </c>
      <c r="AO66" s="449">
        <f>Otis!AS26</f>
        <v>46.5</v>
      </c>
      <c r="AP66" s="449">
        <f>Otis!AT26</f>
        <v>46.5</v>
      </c>
      <c r="AQ66" s="449">
        <f>Otis!AU26</f>
        <v>46.5</v>
      </c>
      <c r="AR66" s="449">
        <f>Otis!AV26</f>
        <v>46.5</v>
      </c>
      <c r="AS66" s="448">
        <f>Otis!AW26</f>
        <v>186</v>
      </c>
      <c r="AT66" s="449">
        <f>Otis!AX26</f>
        <v>50.75</v>
      </c>
      <c r="AU66" s="449">
        <f>Otis!AY26</f>
        <v>50.75</v>
      </c>
      <c r="AV66" s="449">
        <f>Otis!AZ26</f>
        <v>50.75</v>
      </c>
      <c r="AW66" s="449">
        <f>Otis!BA26</f>
        <v>50.75</v>
      </c>
      <c r="AX66" s="448">
        <f>Otis!BB26</f>
        <v>203</v>
      </c>
      <c r="AY66" s="449">
        <f>Otis!BC26</f>
        <v>51</v>
      </c>
      <c r="AZ66" s="449">
        <f>Otis!BD26</f>
        <v>51</v>
      </c>
      <c r="BA66" s="449">
        <f>Otis!BE26</f>
        <v>51</v>
      </c>
      <c r="BB66" s="449">
        <f>Otis!BF26</f>
        <v>51</v>
      </c>
      <c r="BC66" s="448">
        <f>Otis!BG26</f>
        <v>204</v>
      </c>
      <c r="BD66" s="449">
        <f>Otis!BH26</f>
        <v>52.75</v>
      </c>
      <c r="BE66" s="449">
        <f>Otis!BI26</f>
        <v>52.75</v>
      </c>
      <c r="BF66" s="449">
        <f>Otis!BJ26</f>
        <v>52.75</v>
      </c>
      <c r="BG66" s="449">
        <f>Otis!BK26</f>
        <v>52.75</v>
      </c>
      <c r="BH66" s="448">
        <f>Otis!BL26</f>
        <v>211</v>
      </c>
      <c r="BI66" s="449">
        <f>Otis!BM26</f>
        <v>55.75</v>
      </c>
      <c r="BJ66" s="449">
        <f>Otis!BN26</f>
        <v>55.75</v>
      </c>
      <c r="BK66" s="449">
        <f>Otis!BO26</f>
        <v>55.75</v>
      </c>
      <c r="BL66" s="449">
        <f>Otis!BP26</f>
        <v>55.75</v>
      </c>
      <c r="BM66" s="448">
        <f>Otis!BQ26</f>
        <v>223</v>
      </c>
      <c r="BN66" s="449">
        <f>Otis!BR26</f>
        <v>55</v>
      </c>
      <c r="BO66" s="449">
        <f>Otis!BS26</f>
        <v>55</v>
      </c>
      <c r="BP66" s="449">
        <f>Otis!BT26</f>
        <v>55</v>
      </c>
      <c r="BQ66" s="449">
        <f>Otis!BU26</f>
        <v>55</v>
      </c>
      <c r="BR66" s="448">
        <f>Otis!BV26</f>
        <v>220</v>
      </c>
      <c r="BS66" s="449">
        <f>Otis!BW26</f>
        <v>52.25</v>
      </c>
      <c r="BT66" s="449">
        <f>Otis!BX26</f>
        <v>52.25</v>
      </c>
      <c r="BU66" s="449">
        <f>Otis!BY26</f>
        <v>52.25</v>
      </c>
      <c r="BV66" s="449">
        <f>Otis!BZ26</f>
        <v>52.25</v>
      </c>
      <c r="BW66" s="448">
        <f>Otis!CA26</f>
        <v>209</v>
      </c>
      <c r="BX66" s="449">
        <f>Otis!CB26</f>
        <v>52.25</v>
      </c>
      <c r="BY66" s="449">
        <f>Otis!CC26</f>
        <v>52.25</v>
      </c>
      <c r="BZ66" s="449">
        <f>Otis!CD26</f>
        <v>52.25</v>
      </c>
      <c r="CA66" s="449">
        <f>Otis!CE26</f>
        <v>52.25</v>
      </c>
      <c r="CB66" s="448">
        <f>Otis!CF26</f>
        <v>209</v>
      </c>
      <c r="CC66" s="449">
        <f>Otis!CG26</f>
        <v>44</v>
      </c>
      <c r="CD66" s="449">
        <f>Otis!CH26</f>
        <v>44</v>
      </c>
      <c r="CE66" s="449">
        <f>Otis!CI26</f>
        <v>44</v>
      </c>
      <c r="CF66" s="449">
        <f>Otis!CJ26</f>
        <v>44</v>
      </c>
      <c r="CG66" s="448">
        <f>Otis!CK26</f>
        <v>176</v>
      </c>
      <c r="CH66" s="449">
        <f>Otis!CL26</f>
        <v>42.75</v>
      </c>
      <c r="CI66" s="449">
        <f>Otis!CM26</f>
        <v>42.75</v>
      </c>
      <c r="CJ66" s="449">
        <f>Otis!CN26</f>
        <v>42.75</v>
      </c>
      <c r="CK66" s="449">
        <f>Otis!CO26</f>
        <v>42.75</v>
      </c>
      <c r="CL66" s="448">
        <f>Otis!CP26</f>
        <v>171</v>
      </c>
      <c r="CM66" s="449">
        <f>Otis!CQ26</f>
        <v>42.75</v>
      </c>
      <c r="CN66" s="449">
        <f>Otis!CR26</f>
        <v>42.75</v>
      </c>
      <c r="CO66" s="449">
        <f>Otis!CS26</f>
        <v>42.75</v>
      </c>
      <c r="CP66" s="449">
        <f>Otis!CT26</f>
        <v>42.75</v>
      </c>
      <c r="CQ66" s="448">
        <f>Otis!CU26</f>
        <v>171</v>
      </c>
      <c r="CR66" s="449">
        <f>Otis!CV26</f>
        <v>42.268360088058301</v>
      </c>
      <c r="CS66" s="449">
        <f>Otis!CW26</f>
        <v>42.268360088058301</v>
      </c>
      <c r="CT66" s="449">
        <f>Otis!CX26</f>
        <v>42.268360088058301</v>
      </c>
      <c r="CU66" s="449">
        <f>Otis!CY26</f>
        <v>42.268360088058301</v>
      </c>
      <c r="CV66" s="448">
        <f>Otis!CZ26</f>
        <v>169.07344035223321</v>
      </c>
      <c r="CW66" s="448">
        <f>Otis!DA26</f>
        <v>169.48211782782224</v>
      </c>
      <c r="CX66" s="2233">
        <f>Otis!DB26</f>
        <v>169.64834215040702</v>
      </c>
      <c r="CY66" s="2233">
        <f>Otis!DC26</f>
        <v>169.82524962751333</v>
      </c>
      <c r="CZ66" s="268"/>
    </row>
    <row r="67" spans="1:108" ht="12" customHeight="1">
      <c r="A67" s="268"/>
      <c r="B67" s="268"/>
      <c r="C67" s="116" t="s">
        <v>310</v>
      </c>
      <c r="D67" s="463"/>
      <c r="E67" s="407"/>
      <c r="F67" s="1139"/>
      <c r="G67" s="1139"/>
      <c r="H67" s="1139"/>
      <c r="I67" s="1139"/>
      <c r="J67" s="448"/>
      <c r="K67" s="449"/>
      <c r="L67" s="449"/>
      <c r="M67" s="449"/>
      <c r="N67" s="449"/>
      <c r="O67" s="448"/>
      <c r="P67" s="449"/>
      <c r="Q67" s="449"/>
      <c r="R67" s="449"/>
      <c r="S67" s="449"/>
      <c r="T67" s="448"/>
      <c r="U67" s="449"/>
      <c r="V67" s="449"/>
      <c r="W67" s="449"/>
      <c r="X67" s="449"/>
      <c r="Y67" s="448"/>
      <c r="Z67" s="449"/>
      <c r="AA67" s="449"/>
      <c r="AB67" s="449"/>
      <c r="AC67" s="449"/>
      <c r="AD67" s="448"/>
      <c r="AE67" s="449"/>
      <c r="AF67" s="449"/>
      <c r="AG67" s="449"/>
      <c r="AH67" s="449"/>
      <c r="AI67" s="448"/>
      <c r="AJ67" s="449"/>
      <c r="AK67" s="449"/>
      <c r="AL67" s="449"/>
      <c r="AM67" s="449"/>
      <c r="AN67" s="448"/>
      <c r="AO67" s="449"/>
      <c r="AP67" s="449"/>
      <c r="AQ67" s="449"/>
      <c r="AR67" s="449"/>
      <c r="AS67" s="448"/>
      <c r="AT67" s="449"/>
      <c r="AU67" s="449"/>
      <c r="AV67" s="449"/>
      <c r="AW67" s="449"/>
      <c r="AX67" s="448"/>
      <c r="AY67" s="449"/>
      <c r="AZ67" s="449"/>
      <c r="BA67" s="449"/>
      <c r="BB67" s="449"/>
      <c r="BC67" s="448"/>
      <c r="BD67" s="449"/>
      <c r="BE67" s="449"/>
      <c r="BF67" s="449"/>
      <c r="BG67" s="449"/>
      <c r="BH67" s="448"/>
      <c r="BI67" s="449">
        <f>CCS!BI26</f>
        <v>108</v>
      </c>
      <c r="BJ67" s="449">
        <f>CCS!BJ26</f>
        <v>108</v>
      </c>
      <c r="BK67" s="449">
        <f>CCS!BK26</f>
        <v>108</v>
      </c>
      <c r="BL67" s="449">
        <f>CCS!BL26</f>
        <v>108</v>
      </c>
      <c r="BM67" s="448">
        <f>CCS!BM26</f>
        <v>432</v>
      </c>
      <c r="BN67" s="449">
        <f>CCS!BN26</f>
        <v>104.5</v>
      </c>
      <c r="BO67" s="449">
        <f>CCS!BO26</f>
        <v>104.5</v>
      </c>
      <c r="BP67" s="449">
        <f>CCS!BP26</f>
        <v>104.5</v>
      </c>
      <c r="BQ67" s="449">
        <f>CCS!BQ26</f>
        <v>104.5</v>
      </c>
      <c r="BR67" s="448">
        <f>CCS!BR26</f>
        <v>418</v>
      </c>
      <c r="BS67" s="449">
        <f>CCS!BS26</f>
        <v>95</v>
      </c>
      <c r="BT67" s="449">
        <f>CCS!BT26</f>
        <v>95</v>
      </c>
      <c r="BU67" s="449">
        <f>CCS!BU26</f>
        <v>95</v>
      </c>
      <c r="BV67" s="449">
        <f>CCS!BV26</f>
        <v>95</v>
      </c>
      <c r="BW67" s="448">
        <f>CCS!BW26</f>
        <v>380</v>
      </c>
      <c r="BX67" s="449">
        <f>CCS!BX26</f>
        <v>87.25</v>
      </c>
      <c r="BY67" s="449">
        <f>CCS!BY26</f>
        <v>87.25</v>
      </c>
      <c r="BZ67" s="449">
        <f>CCS!BZ26</f>
        <v>87.25</v>
      </c>
      <c r="CA67" s="449">
        <f>CCS!CA26</f>
        <v>87.25</v>
      </c>
      <c r="CB67" s="448">
        <f>CCS!CB26</f>
        <v>349</v>
      </c>
      <c r="CC67" s="449">
        <f>CCS!CC26</f>
        <v>84.25</v>
      </c>
      <c r="CD67" s="449">
        <f>CCS!CD26</f>
        <v>84.25</v>
      </c>
      <c r="CE67" s="449">
        <f>CCS!CE26</f>
        <v>84.25</v>
      </c>
      <c r="CF67" s="449">
        <f>CCS!CF26</f>
        <v>84.25</v>
      </c>
      <c r="CG67" s="448">
        <f>CCS!CG26</f>
        <v>337</v>
      </c>
      <c r="CH67" s="449">
        <f>CCS!CH26</f>
        <v>88.5</v>
      </c>
      <c r="CI67" s="449">
        <f>CCS!CI26</f>
        <v>88.5</v>
      </c>
      <c r="CJ67" s="449">
        <f>CCS!CJ26</f>
        <v>88.5</v>
      </c>
      <c r="CK67" s="449">
        <f>CCS!CK26</f>
        <v>88.5</v>
      </c>
      <c r="CL67" s="448">
        <f>CCS!CL26</f>
        <v>354</v>
      </c>
      <c r="CM67" s="449">
        <f>CCS!CM26</f>
        <v>88.5</v>
      </c>
      <c r="CN67" s="449">
        <f>CCS!CN26</f>
        <v>88.5</v>
      </c>
      <c r="CO67" s="449">
        <f>CCS!CO26</f>
        <v>88.5</v>
      </c>
      <c r="CP67" s="449">
        <f>CCS!CP26</f>
        <v>88.5</v>
      </c>
      <c r="CQ67" s="448">
        <f>CCS!CQ26</f>
        <v>354</v>
      </c>
      <c r="CR67" s="449">
        <f>CCS!CR26</f>
        <v>89.155253245707272</v>
      </c>
      <c r="CS67" s="449">
        <f>CCS!CS26</f>
        <v>89.155253245707272</v>
      </c>
      <c r="CT67" s="449">
        <f>CCS!CT26</f>
        <v>89.155253245707272</v>
      </c>
      <c r="CU67" s="449">
        <f>CCS!CU26</f>
        <v>89.155253245707272</v>
      </c>
      <c r="CV67" s="448">
        <f>CCS!CV26</f>
        <v>356.62101298282909</v>
      </c>
      <c r="CW67" s="448">
        <f>CCS!CW26</f>
        <v>359.98424488437962</v>
      </c>
      <c r="CX67" s="2233">
        <f>CCS!CX26</f>
        <v>363.83505193598955</v>
      </c>
      <c r="CY67" s="2233">
        <f>CCS!CY26</f>
        <v>368.14439988023213</v>
      </c>
      <c r="CZ67" s="268"/>
    </row>
    <row r="68" spans="1:108" ht="12" hidden="1" customHeight="1" outlineLevel="1">
      <c r="A68" s="268"/>
      <c r="B68" s="268"/>
      <c r="C68" s="268" t="s">
        <v>309</v>
      </c>
      <c r="D68" s="463"/>
      <c r="E68" s="407"/>
      <c r="F68" s="1139">
        <v>51.5</v>
      </c>
      <c r="G68" s="1139">
        <v>51.5</v>
      </c>
      <c r="H68" s="1139">
        <v>51.5</v>
      </c>
      <c r="I68" s="1139">
        <v>51.5</v>
      </c>
      <c r="J68" s="448">
        <v>206</v>
      </c>
      <c r="K68" s="449">
        <v>62</v>
      </c>
      <c r="L68" s="449">
        <v>62</v>
      </c>
      <c r="M68" s="449">
        <v>62</v>
      </c>
      <c r="N68" s="449">
        <v>62</v>
      </c>
      <c r="O68" s="448">
        <v>248</v>
      </c>
      <c r="P68" s="449">
        <v>47.25</v>
      </c>
      <c r="Q68" s="449">
        <v>47.25</v>
      </c>
      <c r="R68" s="449">
        <v>47.25</v>
      </c>
      <c r="S68" s="449">
        <v>47.25</v>
      </c>
      <c r="T68" s="448">
        <v>189</v>
      </c>
      <c r="U68" s="449">
        <v>45.5</v>
      </c>
      <c r="V68" s="449">
        <v>45.5</v>
      </c>
      <c r="W68" s="449">
        <v>45.5</v>
      </c>
      <c r="X68" s="449">
        <v>45.5</v>
      </c>
      <c r="Y68" s="448">
        <v>182</v>
      </c>
      <c r="Z68" s="449">
        <v>50</v>
      </c>
      <c r="AA68" s="449">
        <v>50</v>
      </c>
      <c r="AB68" s="449">
        <v>50</v>
      </c>
      <c r="AC68" s="449">
        <v>50</v>
      </c>
      <c r="AD68" s="448">
        <v>200</v>
      </c>
      <c r="AE68" s="449">
        <v>42.25</v>
      </c>
      <c r="AF68" s="449">
        <v>42.25</v>
      </c>
      <c r="AG68" s="449">
        <v>42.25</v>
      </c>
      <c r="AH68" s="449">
        <v>42.25</v>
      </c>
      <c r="AI68" s="448">
        <v>169</v>
      </c>
      <c r="AJ68" s="449">
        <v>39.25</v>
      </c>
      <c r="AK68" s="449">
        <v>39.25</v>
      </c>
      <c r="AL68" s="449">
        <v>39.25</v>
      </c>
      <c r="AM68" s="449">
        <v>39.25</v>
      </c>
      <c r="AN68" s="448">
        <v>157</v>
      </c>
      <c r="AO68" s="449">
        <v>47</v>
      </c>
      <c r="AP68" s="449">
        <v>47</v>
      </c>
      <c r="AQ68" s="449">
        <v>47</v>
      </c>
      <c r="AR68" s="449">
        <v>47</v>
      </c>
      <c r="AS68" s="448">
        <v>188</v>
      </c>
      <c r="AT68" s="449">
        <v>48.5</v>
      </c>
      <c r="AU68" s="449">
        <v>48.5</v>
      </c>
      <c r="AV68" s="449">
        <v>48.5</v>
      </c>
      <c r="AW68" s="449">
        <v>48.5</v>
      </c>
      <c r="AX68" s="448">
        <v>194</v>
      </c>
      <c r="AY68" s="449">
        <v>47.75</v>
      </c>
      <c r="AZ68" s="449">
        <v>47.75</v>
      </c>
      <c r="BA68" s="449">
        <v>47.75</v>
      </c>
      <c r="BB68" s="449">
        <v>47.75</v>
      </c>
      <c r="BC68" s="448">
        <v>191</v>
      </c>
      <c r="BD68" s="449">
        <v>45.75</v>
      </c>
      <c r="BE68" s="449">
        <v>45.75</v>
      </c>
      <c r="BF68" s="449">
        <v>45.75</v>
      </c>
      <c r="BG68" s="449">
        <v>45.75</v>
      </c>
      <c r="BH68" s="448">
        <v>183</v>
      </c>
      <c r="BI68" s="449">
        <v>41</v>
      </c>
      <c r="BJ68" s="449">
        <v>41</v>
      </c>
      <c r="BK68" s="449">
        <v>41</v>
      </c>
      <c r="BL68" s="449">
        <v>41</v>
      </c>
      <c r="BM68" s="448">
        <v>164</v>
      </c>
      <c r="BN68" s="449"/>
      <c r="BO68" s="449"/>
      <c r="BP68" s="449"/>
      <c r="BQ68" s="449"/>
      <c r="BR68" s="448">
        <v>162.56989723452253</v>
      </c>
      <c r="BS68" s="449"/>
      <c r="BT68" s="449"/>
      <c r="BU68" s="449"/>
      <c r="BV68" s="449"/>
      <c r="BW68" s="448">
        <v>162.56989723452253</v>
      </c>
      <c r="BX68" s="449"/>
      <c r="BY68" s="449"/>
      <c r="BZ68" s="449"/>
      <c r="CA68" s="449"/>
      <c r="CB68" s="448">
        <v>162.56989723452253</v>
      </c>
      <c r="CC68" s="449"/>
      <c r="CD68" s="449"/>
      <c r="CE68" s="449"/>
      <c r="CF68" s="449"/>
      <c r="CG68" s="448">
        <v>162.56989723452253</v>
      </c>
      <c r="CH68" s="449"/>
      <c r="CI68" s="449"/>
      <c r="CJ68" s="449"/>
      <c r="CK68" s="449"/>
      <c r="CL68" s="448">
        <v>162.56989723452253</v>
      </c>
      <c r="CM68" s="449"/>
      <c r="CN68" s="449"/>
      <c r="CO68" s="449"/>
      <c r="CP68" s="449"/>
      <c r="CQ68" s="448">
        <v>162.56989723452253</v>
      </c>
      <c r="CR68" s="449"/>
      <c r="CS68" s="449"/>
      <c r="CT68" s="449"/>
      <c r="CU68" s="449"/>
      <c r="CV68" s="448">
        <v>162.56989723452253</v>
      </c>
      <c r="CW68" s="448">
        <v>162.56989723452253</v>
      </c>
      <c r="CX68" s="2233">
        <v>162.56989723452253</v>
      </c>
      <c r="CY68" s="2233">
        <v>162.56989723452253</v>
      </c>
      <c r="CZ68" s="268"/>
    </row>
    <row r="69" spans="1:108" ht="12" hidden="1" customHeight="1" outlineLevel="1">
      <c r="A69" s="268"/>
      <c r="B69" s="268"/>
      <c r="C69" s="116" t="s">
        <v>308</v>
      </c>
      <c r="D69" s="463"/>
      <c r="E69" s="407"/>
      <c r="F69" s="1139"/>
      <c r="G69" s="1139"/>
      <c r="H69" s="1139"/>
      <c r="I69" s="1139"/>
      <c r="J69" s="448"/>
      <c r="K69" s="449"/>
      <c r="L69" s="449"/>
      <c r="M69" s="449"/>
      <c r="N69" s="449"/>
      <c r="O69" s="448"/>
      <c r="P69" s="449"/>
      <c r="Q69" s="449"/>
      <c r="R69" s="449"/>
      <c r="S69" s="449"/>
      <c r="T69" s="448"/>
      <c r="U69" s="449"/>
      <c r="V69" s="449"/>
      <c r="W69" s="449">
        <v>22</v>
      </c>
      <c r="X69" s="449">
        <v>22</v>
      </c>
      <c r="Y69" s="448">
        <v>44</v>
      </c>
      <c r="Z69" s="449">
        <v>23.75</v>
      </c>
      <c r="AA69" s="449">
        <v>23.75</v>
      </c>
      <c r="AB69" s="449">
        <v>23.75</v>
      </c>
      <c r="AC69" s="449">
        <v>23.75</v>
      </c>
      <c r="AD69" s="448">
        <v>95</v>
      </c>
      <c r="AE69" s="449">
        <v>24</v>
      </c>
      <c r="AF69" s="449">
        <v>31</v>
      </c>
      <c r="AG69" s="449">
        <v>31</v>
      </c>
      <c r="AH69" s="449">
        <v>64</v>
      </c>
      <c r="AI69" s="448">
        <v>150</v>
      </c>
      <c r="AJ69" s="449">
        <v>44</v>
      </c>
      <c r="AK69" s="449">
        <v>44</v>
      </c>
      <c r="AL69" s="449">
        <v>44</v>
      </c>
      <c r="AM69" s="449">
        <v>44</v>
      </c>
      <c r="AN69" s="448">
        <v>176</v>
      </c>
      <c r="AO69" s="449">
        <v>40</v>
      </c>
      <c r="AP69" s="449">
        <v>40</v>
      </c>
      <c r="AQ69" s="449">
        <v>58</v>
      </c>
      <c r="AR69" s="449">
        <v>64</v>
      </c>
      <c r="AS69" s="448">
        <v>202</v>
      </c>
      <c r="AT69" s="449">
        <v>59.5</v>
      </c>
      <c r="AU69" s="449">
        <v>59.5</v>
      </c>
      <c r="AV69" s="449">
        <v>59.5</v>
      </c>
      <c r="AW69" s="449">
        <v>59.5</v>
      </c>
      <c r="AX69" s="448">
        <v>238</v>
      </c>
      <c r="AY69" s="449">
        <v>53.5</v>
      </c>
      <c r="AZ69" s="449">
        <v>53.5</v>
      </c>
      <c r="BA69" s="449">
        <v>53.5</v>
      </c>
      <c r="BB69" s="449">
        <v>53.5</v>
      </c>
      <c r="BC69" s="448">
        <v>214</v>
      </c>
      <c r="BD69" s="449">
        <v>68.5</v>
      </c>
      <c r="BE69" s="449">
        <v>68.5</v>
      </c>
      <c r="BF69" s="449">
        <v>68.5</v>
      </c>
      <c r="BG69" s="449">
        <v>68.5</v>
      </c>
      <c r="BH69" s="448">
        <v>274</v>
      </c>
      <c r="BI69" s="449">
        <v>67.13</v>
      </c>
      <c r="BJ69" s="449">
        <v>67.13</v>
      </c>
      <c r="BK69" s="449">
        <v>67.13</v>
      </c>
      <c r="BL69" s="449">
        <v>66.610000000000014</v>
      </c>
      <c r="BM69" s="448">
        <v>268</v>
      </c>
      <c r="BN69" s="449"/>
      <c r="BO69" s="449"/>
      <c r="BP69" s="449"/>
      <c r="BQ69" s="449"/>
      <c r="BR69" s="448">
        <v>250.52603335750544</v>
      </c>
      <c r="BS69" s="449"/>
      <c r="BT69" s="449"/>
      <c r="BU69" s="449"/>
      <c r="BV69" s="449"/>
      <c r="BW69" s="448">
        <v>231.98039158810732</v>
      </c>
      <c r="BX69" s="449"/>
      <c r="BY69" s="449"/>
      <c r="BZ69" s="449"/>
      <c r="CA69" s="449"/>
      <c r="CB69" s="448">
        <v>213.09050152284263</v>
      </c>
      <c r="CC69" s="449"/>
      <c r="CD69" s="449"/>
      <c r="CE69" s="449"/>
      <c r="CF69" s="449"/>
      <c r="CG69" s="448">
        <v>194.45664255257432</v>
      </c>
      <c r="CH69" s="449"/>
      <c r="CI69" s="449"/>
      <c r="CJ69" s="449"/>
      <c r="CK69" s="449"/>
      <c r="CL69" s="448">
        <v>176.27188729804206</v>
      </c>
      <c r="CM69" s="449"/>
      <c r="CN69" s="449"/>
      <c r="CO69" s="449"/>
      <c r="CP69" s="449"/>
      <c r="CQ69" s="448">
        <v>158.55778311675127</v>
      </c>
      <c r="CR69" s="449"/>
      <c r="CS69" s="449"/>
      <c r="CT69" s="449"/>
      <c r="CU69" s="449"/>
      <c r="CV69" s="448">
        <v>158.55778311675127</v>
      </c>
      <c r="CW69" s="448">
        <v>158.55778311675127</v>
      </c>
      <c r="CX69" s="2233">
        <v>158.55778311675127</v>
      </c>
      <c r="CY69" s="2233">
        <v>158.55778311675127</v>
      </c>
      <c r="CZ69" s="268"/>
    </row>
    <row r="70" spans="1:108" ht="12" customHeight="1" outlineLevel="1">
      <c r="A70" s="268"/>
      <c r="B70" s="268"/>
      <c r="C70" s="434" t="str">
        <f>C60</f>
        <v>Pratt &amp; Whitney</v>
      </c>
      <c r="D70" s="463"/>
      <c r="E70" s="407"/>
      <c r="F70" s="1139">
        <v>54.25</v>
      </c>
      <c r="G70" s="1139">
        <v>54.25</v>
      </c>
      <c r="H70" s="1139">
        <v>54.25</v>
      </c>
      <c r="I70" s="1139">
        <v>54.25</v>
      </c>
      <c r="J70" s="448">
        <v>217</v>
      </c>
      <c r="K70" s="449">
        <v>55.75</v>
      </c>
      <c r="L70" s="449">
        <v>55.75</v>
      </c>
      <c r="M70" s="449">
        <v>55.75</v>
      </c>
      <c r="N70" s="449">
        <v>55.75</v>
      </c>
      <c r="O70" s="448">
        <v>223</v>
      </c>
      <c r="P70" s="449">
        <v>52.25</v>
      </c>
      <c r="Q70" s="449">
        <v>52.25</v>
      </c>
      <c r="R70" s="449">
        <v>52.25</v>
      </c>
      <c r="S70" s="449">
        <v>52.25</v>
      </c>
      <c r="T70" s="448">
        <v>209</v>
      </c>
      <c r="U70" s="449">
        <v>53.5</v>
      </c>
      <c r="V70" s="449">
        <v>53.5</v>
      </c>
      <c r="W70" s="449">
        <v>53.5</v>
      </c>
      <c r="X70" s="449">
        <v>53.5</v>
      </c>
      <c r="Y70" s="448">
        <v>214</v>
      </c>
      <c r="Z70" s="449">
        <v>68.25</v>
      </c>
      <c r="AA70" s="449">
        <v>68.25</v>
      </c>
      <c r="AB70" s="449">
        <v>68.25</v>
      </c>
      <c r="AC70" s="449">
        <v>68.25</v>
      </c>
      <c r="AD70" s="448">
        <v>273</v>
      </c>
      <c r="AE70" s="449">
        <v>68</v>
      </c>
      <c r="AF70" s="449">
        <v>68</v>
      </c>
      <c r="AG70" s="449">
        <v>73</v>
      </c>
      <c r="AH70" s="449">
        <v>46</v>
      </c>
      <c r="AI70" s="448">
        <v>255</v>
      </c>
      <c r="AJ70" s="449">
        <f>Pratt!AN26</f>
        <v>70</v>
      </c>
      <c r="AK70" s="449">
        <f>Pratt!AO26</f>
        <v>70</v>
      </c>
      <c r="AL70" s="449">
        <f>Pratt!AP26</f>
        <v>70</v>
      </c>
      <c r="AM70" s="449">
        <f>Pratt!AQ26</f>
        <v>70</v>
      </c>
      <c r="AN70" s="448">
        <f>Pratt!AR26</f>
        <v>280</v>
      </c>
      <c r="AO70" s="449">
        <f>Pratt!AS26</f>
        <v>76.75</v>
      </c>
      <c r="AP70" s="449">
        <f>Pratt!AT26</f>
        <v>76.75</v>
      </c>
      <c r="AQ70" s="449">
        <f>Pratt!AU26</f>
        <v>76.75</v>
      </c>
      <c r="AR70" s="449">
        <f>Pratt!AV26</f>
        <v>76.75</v>
      </c>
      <c r="AS70" s="448">
        <f>Pratt!AW26</f>
        <v>307</v>
      </c>
      <c r="AT70" s="449">
        <f>Pratt!AX26</f>
        <v>92</v>
      </c>
      <c r="AU70" s="449">
        <f>Pratt!AY26</f>
        <v>92</v>
      </c>
      <c r="AV70" s="449">
        <f>Pratt!AZ26</f>
        <v>92</v>
      </c>
      <c r="AW70" s="449">
        <f>Pratt!BA26</f>
        <v>92</v>
      </c>
      <c r="AX70" s="448">
        <f>Pratt!BB26</f>
        <v>368</v>
      </c>
      <c r="AY70" s="449">
        <f>Pratt!BC26</f>
        <v>82.25</v>
      </c>
      <c r="AZ70" s="449">
        <f>Pratt!BD26</f>
        <v>82.25</v>
      </c>
      <c r="BA70" s="449">
        <f>Pratt!BE26</f>
        <v>82.25</v>
      </c>
      <c r="BB70" s="449">
        <f>Pratt!BF26</f>
        <v>82.25</v>
      </c>
      <c r="BC70" s="448">
        <f>Pratt!BG26</f>
        <v>329</v>
      </c>
      <c r="BD70" s="449">
        <f>Pratt!BH26</f>
        <v>85</v>
      </c>
      <c r="BE70" s="449">
        <f>Pratt!BI26</f>
        <v>85</v>
      </c>
      <c r="BF70" s="449">
        <f>Pratt!BJ26</f>
        <v>85</v>
      </c>
      <c r="BG70" s="449">
        <f>Pratt!BK26</f>
        <v>85</v>
      </c>
      <c r="BH70" s="448">
        <f>Pratt!BL26</f>
        <v>340</v>
      </c>
      <c r="BI70" s="449">
        <f>Pratt!BM26</f>
        <v>83</v>
      </c>
      <c r="BJ70" s="449">
        <f>Pratt!BN26</f>
        <v>83</v>
      </c>
      <c r="BK70" s="449">
        <f>Pratt!BO26</f>
        <v>83</v>
      </c>
      <c r="BL70" s="449">
        <f>Pratt!BP26</f>
        <v>83</v>
      </c>
      <c r="BM70" s="448">
        <f>Pratt!BQ26</f>
        <v>332</v>
      </c>
      <c r="BN70" s="449">
        <f>Pratt!BR26</f>
        <v>81</v>
      </c>
      <c r="BO70" s="449">
        <f>Pratt!BS26</f>
        <v>81</v>
      </c>
      <c r="BP70" s="449">
        <f>Pratt!BT26</f>
        <v>81</v>
      </c>
      <c r="BQ70" s="449">
        <f>Pratt!BU26</f>
        <v>81</v>
      </c>
      <c r="BR70" s="448">
        <f>Pratt!BV26</f>
        <v>324</v>
      </c>
      <c r="BS70" s="449">
        <f>Pratt!BW26</f>
        <v>79.75</v>
      </c>
      <c r="BT70" s="449">
        <f>Pratt!BX26</f>
        <v>79.75</v>
      </c>
      <c r="BU70" s="449">
        <f>Pratt!BY26</f>
        <v>79.75</v>
      </c>
      <c r="BV70" s="449">
        <f>Pratt!BZ26</f>
        <v>79.75</v>
      </c>
      <c r="BW70" s="448">
        <f>Pratt!CA26</f>
        <v>319</v>
      </c>
      <c r="BX70" s="449">
        <f>Pratt!CB26</f>
        <v>97.5</v>
      </c>
      <c r="BY70" s="449">
        <f>Pratt!CC26</f>
        <v>97.5</v>
      </c>
      <c r="BZ70" s="449">
        <f>Pratt!CD26</f>
        <v>97.5</v>
      </c>
      <c r="CA70" s="449">
        <f>Pratt!CE26</f>
        <v>97.5</v>
      </c>
      <c r="CB70" s="448">
        <f>Pratt!CF26</f>
        <v>390</v>
      </c>
      <c r="CC70" s="449">
        <f>Pratt!CG26</f>
        <v>119</v>
      </c>
      <c r="CD70" s="449">
        <f>Pratt!CH26</f>
        <v>119</v>
      </c>
      <c r="CE70" s="449">
        <f>Pratt!CI26</f>
        <v>119</v>
      </c>
      <c r="CF70" s="449">
        <f>Pratt!CJ26</f>
        <v>119</v>
      </c>
      <c r="CG70" s="448">
        <f>Pratt!CK26</f>
        <v>476</v>
      </c>
      <c r="CH70" s="449">
        <f>Pratt!CL26</f>
        <v>137.5</v>
      </c>
      <c r="CI70" s="449">
        <f>Pratt!CM26</f>
        <v>137.5</v>
      </c>
      <c r="CJ70" s="449">
        <f>Pratt!CN26</f>
        <v>137.5</v>
      </c>
      <c r="CK70" s="449">
        <f>Pratt!CO26</f>
        <v>137.5</v>
      </c>
      <c r="CL70" s="448">
        <f>Pratt!CP26</f>
        <v>550</v>
      </c>
      <c r="CM70" s="449">
        <f>Pratt!CQ26</f>
        <v>158.23693553934092</v>
      </c>
      <c r="CN70" s="449">
        <f>Pratt!CR26</f>
        <v>158.23693553934092</v>
      </c>
      <c r="CO70" s="449">
        <f>Pratt!CS26</f>
        <v>158.23693553934092</v>
      </c>
      <c r="CP70" s="449">
        <f>Pratt!CT26</f>
        <v>158.23693553934092</v>
      </c>
      <c r="CQ70" s="448">
        <f>Pratt!CU26</f>
        <v>632.94774215736368</v>
      </c>
      <c r="CR70" s="449">
        <f>Pratt!CV26</f>
        <v>170.40417640612216</v>
      </c>
      <c r="CS70" s="449">
        <f>Pratt!CW26</f>
        <v>170.40417640612216</v>
      </c>
      <c r="CT70" s="449">
        <f>Pratt!CX26</f>
        <v>170.40417640612216</v>
      </c>
      <c r="CU70" s="449">
        <f>Pratt!CY26</f>
        <v>170.40417640612216</v>
      </c>
      <c r="CV70" s="448">
        <f>Pratt!CZ26</f>
        <v>681.61670562448865</v>
      </c>
      <c r="CW70" s="448">
        <f>Pratt!DA26</f>
        <v>699.2651548310489</v>
      </c>
      <c r="CX70" s="2233">
        <f>Pratt!DB26</f>
        <v>712.71823660754535</v>
      </c>
      <c r="CY70" s="2233">
        <f>Pratt!DC26</f>
        <v>730.3756182814343</v>
      </c>
      <c r="CZ70" s="268"/>
    </row>
    <row r="71" spans="1:108" ht="12" customHeight="1">
      <c r="A71" s="268"/>
      <c r="B71" s="268"/>
      <c r="C71" s="116" t="s">
        <v>164</v>
      </c>
      <c r="D71" s="463"/>
      <c r="E71" s="407"/>
      <c r="F71" s="1139"/>
      <c r="G71" s="1139"/>
      <c r="H71" s="1139"/>
      <c r="I71" s="1139"/>
      <c r="J71" s="1081"/>
      <c r="K71" s="449"/>
      <c r="L71" s="449"/>
      <c r="M71" s="449"/>
      <c r="N71" s="449"/>
      <c r="O71" s="1081"/>
      <c r="P71" s="449"/>
      <c r="Q71" s="449"/>
      <c r="R71" s="449"/>
      <c r="S71" s="449"/>
      <c r="T71" s="1081"/>
      <c r="U71" s="449"/>
      <c r="V71" s="449"/>
      <c r="W71" s="449"/>
      <c r="X71" s="449"/>
      <c r="Y71" s="1081"/>
      <c r="Z71" s="449"/>
      <c r="AA71" s="449"/>
      <c r="AB71" s="449"/>
      <c r="AC71" s="449"/>
      <c r="AD71" s="1081"/>
      <c r="AE71" s="449"/>
      <c r="AF71" s="449"/>
      <c r="AG71" s="449"/>
      <c r="AH71" s="449"/>
      <c r="AI71" s="1081"/>
      <c r="AJ71" s="449"/>
      <c r="AK71" s="449"/>
      <c r="AL71" s="449"/>
      <c r="AM71" s="449"/>
      <c r="AN71" s="1081"/>
      <c r="AO71" s="449"/>
      <c r="AP71" s="449"/>
      <c r="AQ71" s="449"/>
      <c r="AR71" s="449"/>
      <c r="AS71" s="1081"/>
      <c r="AT71" s="449"/>
      <c r="AU71" s="449"/>
      <c r="AV71" s="449"/>
      <c r="AW71" s="449"/>
      <c r="AX71" s="448"/>
      <c r="AY71" s="449"/>
      <c r="AZ71" s="449"/>
      <c r="BA71" s="449"/>
      <c r="BB71" s="449"/>
      <c r="BC71" s="448"/>
      <c r="BD71" s="449"/>
      <c r="BE71" s="449"/>
      <c r="BF71" s="449"/>
      <c r="BG71" s="449"/>
      <c r="BH71" s="448"/>
      <c r="BI71" s="449">
        <f>'Aerospace Systems'!O26</f>
        <v>43</v>
      </c>
      <c r="BJ71" s="449">
        <f>'Aerospace Systems'!P26</f>
        <v>43</v>
      </c>
      <c r="BK71" s="449">
        <f>'Aerospace Systems'!Q26</f>
        <v>43</v>
      </c>
      <c r="BL71" s="449">
        <f>'Aerospace Systems'!R26</f>
        <v>43</v>
      </c>
      <c r="BM71" s="448">
        <f>'Aerospace Systems'!S26</f>
        <v>172</v>
      </c>
      <c r="BN71" s="449">
        <f>'Aerospace Systems'!T26</f>
        <v>43</v>
      </c>
      <c r="BO71" s="449">
        <f>'Aerospace Systems'!U26</f>
        <v>43</v>
      </c>
      <c r="BP71" s="449">
        <f>'Aerospace Systems'!V26</f>
        <v>160</v>
      </c>
      <c r="BQ71" s="449">
        <f>'Aerospace Systems'!W26</f>
        <v>166</v>
      </c>
      <c r="BR71" s="448">
        <f>'Aerospace Systems'!X26</f>
        <v>412</v>
      </c>
      <c r="BS71" s="449">
        <f>'Aerospace Systems'!Y26</f>
        <v>190.25</v>
      </c>
      <c r="BT71" s="449">
        <f>'Aerospace Systems'!Z26</f>
        <v>190.25</v>
      </c>
      <c r="BU71" s="449">
        <f>'Aerospace Systems'!AA26</f>
        <v>190.25</v>
      </c>
      <c r="BV71" s="449">
        <f>'Aerospace Systems'!AB26</f>
        <v>190.25</v>
      </c>
      <c r="BW71" s="448">
        <f>'Aerospace Systems'!AC26</f>
        <v>761</v>
      </c>
      <c r="BX71" s="449">
        <f>'Aerospace Systems'!AD26</f>
        <v>201.75</v>
      </c>
      <c r="BY71" s="449">
        <f>'Aerospace Systems'!AE26</f>
        <v>201.75</v>
      </c>
      <c r="BZ71" s="449">
        <f>'Aerospace Systems'!AF26</f>
        <v>201.75</v>
      </c>
      <c r="CA71" s="449">
        <f>'Aerospace Systems'!AG26</f>
        <v>201.75</v>
      </c>
      <c r="CB71" s="448">
        <f>'Aerospace Systems'!AH26</f>
        <v>807</v>
      </c>
      <c r="CC71" s="449">
        <f>'Aerospace Systems'!AI26</f>
        <v>199</v>
      </c>
      <c r="CD71" s="449">
        <f>'Aerospace Systems'!AJ26</f>
        <v>199</v>
      </c>
      <c r="CE71" s="449">
        <f>'Aerospace Systems'!AK26</f>
        <v>199</v>
      </c>
      <c r="CF71" s="449">
        <f>'Aerospace Systems'!AL26</f>
        <v>199</v>
      </c>
      <c r="CG71" s="448">
        <f>'Aerospace Systems'!AM26</f>
        <v>796</v>
      </c>
      <c r="CH71" s="449">
        <f>'Aerospace Systems'!AN26</f>
        <v>201.75</v>
      </c>
      <c r="CI71" s="449">
        <f>'Aerospace Systems'!AO26</f>
        <v>201.75</v>
      </c>
      <c r="CJ71" s="449">
        <f>'Aerospace Systems'!AP26</f>
        <v>201.75</v>
      </c>
      <c r="CK71" s="449">
        <f>'Aerospace Systems'!AQ26</f>
        <v>201.75</v>
      </c>
      <c r="CL71" s="448">
        <f>'Aerospace Systems'!AR26</f>
        <v>807</v>
      </c>
      <c r="CM71" s="449">
        <f>'Aerospace Systems'!AS26</f>
        <v>199</v>
      </c>
      <c r="CN71" s="449">
        <f>'Aerospace Systems'!AT26</f>
        <v>199</v>
      </c>
      <c r="CO71" s="449">
        <f>'Aerospace Systems'!AU26</f>
        <v>199</v>
      </c>
      <c r="CP71" s="449">
        <f>'Aerospace Systems'!AV26</f>
        <v>176.11578397840003</v>
      </c>
      <c r="CQ71" s="448">
        <f>'Aerospace Systems'!AW26</f>
        <v>773.11578397840003</v>
      </c>
      <c r="CR71" s="449">
        <f>'Aerospace Systems'!AX26</f>
        <v>199</v>
      </c>
      <c r="CS71" s="449">
        <f>'Aerospace Systems'!AY26</f>
        <v>199</v>
      </c>
      <c r="CT71" s="449">
        <f>'Aerospace Systems'!AZ26</f>
        <v>199</v>
      </c>
      <c r="CU71" s="449">
        <f>'Aerospace Systems'!BA26</f>
        <v>149.73109075104287</v>
      </c>
      <c r="CV71" s="448">
        <f>'Aerospace Systems'!BB26</f>
        <v>746.73109075104287</v>
      </c>
      <c r="CW71" s="448">
        <f>'Aerospace Systems'!BC26</f>
        <v>720.70106926617575</v>
      </c>
      <c r="CX71" s="2233">
        <f>'Aerospace Systems'!BD26</f>
        <v>699.50343986644009</v>
      </c>
      <c r="CY71" s="2233">
        <f>'Aerospace Systems'!BE26</f>
        <v>682.84882801561082</v>
      </c>
      <c r="CZ71" s="268"/>
    </row>
    <row r="72" spans="1:108" ht="12" hidden="1" customHeight="1" outlineLevel="1">
      <c r="A72" s="268"/>
      <c r="B72" s="268"/>
      <c r="C72" s="434" t="str">
        <f>C62</f>
        <v>Hamilton Sundstrand</v>
      </c>
      <c r="D72" s="463"/>
      <c r="E72" s="407"/>
      <c r="F72" s="1139"/>
      <c r="G72" s="407"/>
      <c r="H72" s="407"/>
      <c r="I72" s="407"/>
      <c r="J72" s="448"/>
      <c r="K72" s="449"/>
      <c r="L72" s="449"/>
      <c r="M72" s="449"/>
      <c r="N72" s="449"/>
      <c r="O72" s="448"/>
      <c r="P72" s="449">
        <v>31.75</v>
      </c>
      <c r="Q72" s="449">
        <v>31.75</v>
      </c>
      <c r="R72" s="449">
        <v>31.75</v>
      </c>
      <c r="S72" s="449">
        <v>31.75</v>
      </c>
      <c r="T72" s="448">
        <v>127</v>
      </c>
      <c r="U72" s="449">
        <v>32.5</v>
      </c>
      <c r="V72" s="449">
        <v>32.5</v>
      </c>
      <c r="W72" s="449">
        <v>32.5</v>
      </c>
      <c r="X72" s="449">
        <v>32.5</v>
      </c>
      <c r="Y72" s="448">
        <v>130</v>
      </c>
      <c r="Z72" s="449">
        <v>32.25</v>
      </c>
      <c r="AA72" s="449">
        <v>32.25</v>
      </c>
      <c r="AB72" s="449">
        <v>32.25</v>
      </c>
      <c r="AC72" s="449">
        <v>32.25</v>
      </c>
      <c r="AD72" s="448">
        <v>129</v>
      </c>
      <c r="AE72" s="449">
        <v>32.25</v>
      </c>
      <c r="AF72" s="449">
        <v>39</v>
      </c>
      <c r="AG72" s="449">
        <v>39</v>
      </c>
      <c r="AH72" s="449">
        <v>38.75</v>
      </c>
      <c r="AI72" s="448">
        <v>149</v>
      </c>
      <c r="AJ72" s="449">
        <v>35.5</v>
      </c>
      <c r="AK72" s="449">
        <v>35.5</v>
      </c>
      <c r="AL72" s="449">
        <v>35.5</v>
      </c>
      <c r="AM72" s="449">
        <v>35.5</v>
      </c>
      <c r="AN72" s="448">
        <v>142</v>
      </c>
      <c r="AO72" s="449">
        <v>40.75</v>
      </c>
      <c r="AP72" s="449">
        <v>40.75</v>
      </c>
      <c r="AQ72" s="449">
        <v>40.75</v>
      </c>
      <c r="AR72" s="449">
        <v>40.75</v>
      </c>
      <c r="AS72" s="448">
        <v>163</v>
      </c>
      <c r="AT72" s="449">
        <v>44.5</v>
      </c>
      <c r="AU72" s="449">
        <v>44.5</v>
      </c>
      <c r="AV72" s="449">
        <v>44.5</v>
      </c>
      <c r="AW72" s="449">
        <v>44.5</v>
      </c>
      <c r="AX72" s="448">
        <v>178</v>
      </c>
      <c r="AY72" s="449">
        <v>43.5</v>
      </c>
      <c r="AZ72" s="449">
        <v>43.5</v>
      </c>
      <c r="BA72" s="449">
        <v>43.5</v>
      </c>
      <c r="BB72" s="449">
        <v>43.5</v>
      </c>
      <c r="BC72" s="448">
        <v>174</v>
      </c>
      <c r="BD72" s="449">
        <v>43</v>
      </c>
      <c r="BE72" s="449">
        <v>43</v>
      </c>
      <c r="BF72" s="449">
        <v>43</v>
      </c>
      <c r="BG72" s="449">
        <v>43</v>
      </c>
      <c r="BH72" s="448">
        <v>172</v>
      </c>
      <c r="BI72" s="449">
        <v>43</v>
      </c>
      <c r="BJ72" s="449">
        <v>43</v>
      </c>
      <c r="BK72" s="449">
        <v>43</v>
      </c>
      <c r="BL72" s="449">
        <v>43</v>
      </c>
      <c r="BM72" s="448">
        <v>172</v>
      </c>
      <c r="BN72" s="449">
        <v>43.051033533807185</v>
      </c>
      <c r="BO72" s="449">
        <v>43.051033533807185</v>
      </c>
      <c r="BP72" s="449">
        <v>43.051033533807185</v>
      </c>
      <c r="BQ72" s="449">
        <v>43.051033533807185</v>
      </c>
      <c r="BR72" s="448">
        <v>172.20413413522874</v>
      </c>
      <c r="BS72" s="449"/>
      <c r="BT72" s="449"/>
      <c r="BU72" s="449"/>
      <c r="BV72" s="449"/>
      <c r="BW72" s="448">
        <v>173.80059900127577</v>
      </c>
      <c r="BX72" s="449"/>
      <c r="BY72" s="449"/>
      <c r="BZ72" s="449"/>
      <c r="CA72" s="449"/>
      <c r="CB72" s="448">
        <v>176.90078105660658</v>
      </c>
      <c r="CC72" s="449"/>
      <c r="CD72" s="449"/>
      <c r="CE72" s="449"/>
      <c r="CF72" s="449"/>
      <c r="CG72" s="448">
        <v>181.82797949691715</v>
      </c>
      <c r="CH72" s="449"/>
      <c r="CI72" s="449"/>
      <c r="CJ72" s="449"/>
      <c r="CK72" s="449"/>
      <c r="CL72" s="448">
        <v>0</v>
      </c>
      <c r="CM72" s="449"/>
      <c r="CN72" s="449"/>
      <c r="CO72" s="449"/>
      <c r="CP72" s="449"/>
      <c r="CQ72" s="448">
        <v>0</v>
      </c>
      <c r="CR72" s="449"/>
      <c r="CS72" s="449"/>
      <c r="CT72" s="449"/>
      <c r="CU72" s="449"/>
      <c r="CV72" s="448">
        <v>0</v>
      </c>
      <c r="CW72" s="448">
        <v>0</v>
      </c>
      <c r="CX72" s="2233">
        <v>0</v>
      </c>
      <c r="CY72" s="2233">
        <v>0</v>
      </c>
      <c r="CZ72" s="268"/>
    </row>
    <row r="73" spans="1:108" ht="12" hidden="1" customHeight="1">
      <c r="A73" s="268"/>
      <c r="B73" s="268"/>
      <c r="C73" s="434" t="str">
        <f>C63</f>
        <v>Sikorsky</v>
      </c>
      <c r="D73" s="463"/>
      <c r="E73" s="407"/>
      <c r="F73" s="1139"/>
      <c r="G73" s="407"/>
      <c r="H73" s="407"/>
      <c r="I73" s="407"/>
      <c r="J73" s="448"/>
      <c r="K73" s="449"/>
      <c r="L73" s="449"/>
      <c r="M73" s="449"/>
      <c r="N73" s="449"/>
      <c r="O73" s="448"/>
      <c r="P73" s="449">
        <v>10.5</v>
      </c>
      <c r="Q73" s="449">
        <v>10.5</v>
      </c>
      <c r="R73" s="449">
        <v>10.5</v>
      </c>
      <c r="S73" s="449">
        <v>10.5</v>
      </c>
      <c r="T73" s="448">
        <v>42</v>
      </c>
      <c r="U73" s="449">
        <v>9.25</v>
      </c>
      <c r="V73" s="449">
        <v>9.25</v>
      </c>
      <c r="W73" s="449">
        <v>9.25</v>
      </c>
      <c r="X73" s="449">
        <v>9.25</v>
      </c>
      <c r="Y73" s="448">
        <v>37</v>
      </c>
      <c r="Z73" s="449">
        <v>10.5</v>
      </c>
      <c r="AA73" s="449">
        <v>10.5</v>
      </c>
      <c r="AB73" s="449">
        <v>10.5</v>
      </c>
      <c r="AC73" s="449">
        <v>10.5</v>
      </c>
      <c r="AD73" s="448">
        <v>42</v>
      </c>
      <c r="AE73" s="449">
        <v>10.5</v>
      </c>
      <c r="AF73" s="449">
        <v>10.5</v>
      </c>
      <c r="AG73" s="449">
        <v>10.5</v>
      </c>
      <c r="AH73" s="449">
        <v>10.5</v>
      </c>
      <c r="AI73" s="448">
        <v>42</v>
      </c>
      <c r="AJ73" s="449">
        <v>11.75</v>
      </c>
      <c r="AK73" s="449">
        <v>11.75</v>
      </c>
      <c r="AL73" s="449">
        <v>11.75</v>
      </c>
      <c r="AM73" s="449">
        <v>11.75</v>
      </c>
      <c r="AN73" s="448">
        <v>47</v>
      </c>
      <c r="AO73" s="449">
        <v>13</v>
      </c>
      <c r="AP73" s="449">
        <v>13</v>
      </c>
      <c r="AQ73" s="449">
        <v>13</v>
      </c>
      <c r="AR73" s="449">
        <v>13</v>
      </c>
      <c r="AS73" s="448">
        <v>52</v>
      </c>
      <c r="AT73" s="449">
        <v>15.5</v>
      </c>
      <c r="AU73" s="449">
        <v>15.5</v>
      </c>
      <c r="AV73" s="449">
        <v>15.5</v>
      </c>
      <c r="AW73" s="449">
        <v>15.5</v>
      </c>
      <c r="AX73" s="448">
        <v>62</v>
      </c>
      <c r="AY73" s="449">
        <v>17</v>
      </c>
      <c r="AZ73" s="449">
        <v>17</v>
      </c>
      <c r="BA73" s="449">
        <v>17</v>
      </c>
      <c r="BB73" s="449">
        <v>17</v>
      </c>
      <c r="BC73" s="448">
        <v>68</v>
      </c>
      <c r="BD73" s="449">
        <v>20.75</v>
      </c>
      <c r="BE73" s="449">
        <v>20.75</v>
      </c>
      <c r="BF73" s="449">
        <v>20.75</v>
      </c>
      <c r="BG73" s="449">
        <v>20.75</v>
      </c>
      <c r="BH73" s="448">
        <v>83</v>
      </c>
      <c r="BI73" s="449">
        <v>21</v>
      </c>
      <c r="BJ73" s="449">
        <v>21</v>
      </c>
      <c r="BK73" s="449">
        <v>21</v>
      </c>
      <c r="BL73" s="449">
        <v>21</v>
      </c>
      <c r="BM73" s="448">
        <v>84</v>
      </c>
      <c r="BN73" s="449">
        <v>21.25</v>
      </c>
      <c r="BO73" s="449">
        <v>21.25</v>
      </c>
      <c r="BP73" s="449">
        <v>21.25</v>
      </c>
      <c r="BQ73" s="449">
        <v>21.25</v>
      </c>
      <c r="BR73" s="448">
        <v>85</v>
      </c>
      <c r="BS73" s="449">
        <v>21.25</v>
      </c>
      <c r="BT73" s="449">
        <v>21.25</v>
      </c>
      <c r="BU73" s="449">
        <v>21.25</v>
      </c>
      <c r="BV73" s="449">
        <v>21.25</v>
      </c>
      <c r="BW73" s="448">
        <v>85</v>
      </c>
      <c r="BX73" s="449">
        <v>21.5</v>
      </c>
      <c r="BY73" s="449">
        <v>21.5</v>
      </c>
      <c r="BZ73" s="449">
        <v>21.5</v>
      </c>
      <c r="CA73" s="449">
        <v>21.5</v>
      </c>
      <c r="CB73" s="448">
        <v>86</v>
      </c>
      <c r="CC73" s="449"/>
      <c r="CD73" s="449"/>
      <c r="CE73" s="449"/>
      <c r="CF73" s="449"/>
      <c r="CG73" s="1097"/>
      <c r="CH73" s="449"/>
      <c r="CI73" s="449"/>
      <c r="CJ73" s="449"/>
      <c r="CK73" s="449"/>
      <c r="CL73" s="448"/>
      <c r="CM73" s="449"/>
      <c r="CN73" s="449"/>
      <c r="CO73" s="449"/>
      <c r="CP73" s="449"/>
      <c r="CQ73" s="448"/>
      <c r="CR73" s="449"/>
      <c r="CS73" s="449"/>
      <c r="CT73" s="449"/>
      <c r="CU73" s="449"/>
      <c r="CV73" s="448"/>
      <c r="CW73" s="448"/>
      <c r="CX73" s="2233"/>
      <c r="CY73" s="2233"/>
      <c r="CZ73" s="268"/>
      <c r="DA73" s="1126"/>
    </row>
    <row r="74" spans="1:108" ht="12" customHeight="1">
      <c r="A74" s="268"/>
      <c r="B74" s="268"/>
      <c r="C74" s="434" t="s">
        <v>814</v>
      </c>
      <c r="D74" s="1138"/>
      <c r="E74" s="407"/>
      <c r="F74" s="1125">
        <v>-0.25</v>
      </c>
      <c r="G74" s="1125">
        <v>4.75</v>
      </c>
      <c r="H74" s="1125">
        <v>-2.25</v>
      </c>
      <c r="I74" s="1125">
        <v>7.75</v>
      </c>
      <c r="J74" s="448">
        <f>SUM(F74:I74)</f>
        <v>10</v>
      </c>
      <c r="K74" s="449">
        <v>-0.25</v>
      </c>
      <c r="L74" s="449">
        <v>2.75</v>
      </c>
      <c r="M74" s="449">
        <v>-2.25</v>
      </c>
      <c r="N74" s="449">
        <v>15.75</v>
      </c>
      <c r="O74" s="448">
        <f>SUM(K74:N74)</f>
        <v>16</v>
      </c>
      <c r="P74" s="449">
        <v>-1.25</v>
      </c>
      <c r="Q74" s="449">
        <v>12.75</v>
      </c>
      <c r="R74" s="449">
        <v>-3.25</v>
      </c>
      <c r="S74" s="449">
        <v>13.75</v>
      </c>
      <c r="T74" s="448">
        <f>T75-T66-T68-T70-T72-T73-T69</f>
        <v>22</v>
      </c>
      <c r="U74" s="449">
        <v>0.75</v>
      </c>
      <c r="V74" s="449">
        <v>7.75</v>
      </c>
      <c r="W74" s="449">
        <v>1.75</v>
      </c>
      <c r="X74" s="449">
        <v>27.75</v>
      </c>
      <c r="Y74" s="448">
        <f>Y75-Y66-Y68-Y70-Y72-Y73-Y69</f>
        <v>38</v>
      </c>
      <c r="Z74" s="449">
        <v>33.5</v>
      </c>
      <c r="AA74" s="449">
        <v>23.5</v>
      </c>
      <c r="AB74" s="449">
        <v>1.5</v>
      </c>
      <c r="AC74" s="449">
        <v>5.5</v>
      </c>
      <c r="AD74" s="448">
        <f>AD75-AD66-AD68-AD70-AD72-AD73-AD69</f>
        <v>64</v>
      </c>
      <c r="AE74" s="449">
        <v>7.75</v>
      </c>
      <c r="AF74" s="449">
        <v>5</v>
      </c>
      <c r="AG74" s="449">
        <v>28</v>
      </c>
      <c r="AH74" s="449">
        <v>13.25</v>
      </c>
      <c r="AI74" s="448">
        <f t="shared" ref="AI74:BH74" si="77">AI75-AI66-AI68-AI70-AI72-AI73-AI69</f>
        <v>54</v>
      </c>
      <c r="AJ74" s="449">
        <f t="shared" si="77"/>
        <v>17.75</v>
      </c>
      <c r="AK74" s="449">
        <f t="shared" si="77"/>
        <v>9.75</v>
      </c>
      <c r="AL74" s="449">
        <f t="shared" si="77"/>
        <v>5.75</v>
      </c>
      <c r="AM74" s="449">
        <f t="shared" si="77"/>
        <v>14.75</v>
      </c>
      <c r="AN74" s="448">
        <f t="shared" si="77"/>
        <v>48</v>
      </c>
      <c r="AO74" s="449">
        <f t="shared" si="77"/>
        <v>14</v>
      </c>
      <c r="AP74" s="449">
        <f t="shared" si="77"/>
        <v>13</v>
      </c>
      <c r="AQ74" s="449">
        <f t="shared" si="77"/>
        <v>26</v>
      </c>
      <c r="AR74" s="449">
        <f t="shared" si="77"/>
        <v>22</v>
      </c>
      <c r="AS74" s="448">
        <f t="shared" si="77"/>
        <v>75</v>
      </c>
      <c r="AT74" s="449">
        <f t="shared" si="77"/>
        <v>8.25</v>
      </c>
      <c r="AU74" s="449">
        <f t="shared" si="77"/>
        <v>15.25</v>
      </c>
      <c r="AV74" s="449">
        <f t="shared" si="77"/>
        <v>15.25</v>
      </c>
      <c r="AW74" s="449">
        <f t="shared" si="77"/>
        <v>39.25</v>
      </c>
      <c r="AX74" s="448">
        <f t="shared" si="77"/>
        <v>78</v>
      </c>
      <c r="AY74" s="449">
        <f t="shared" si="77"/>
        <v>11</v>
      </c>
      <c r="AZ74" s="449">
        <f t="shared" si="77"/>
        <v>8</v>
      </c>
      <c r="BA74" s="449">
        <f t="shared" si="77"/>
        <v>21</v>
      </c>
      <c r="BB74" s="449">
        <f t="shared" si="77"/>
        <v>38</v>
      </c>
      <c r="BC74" s="448">
        <f t="shared" si="77"/>
        <v>78</v>
      </c>
      <c r="BD74" s="449">
        <f t="shared" si="77"/>
        <v>11.25</v>
      </c>
      <c r="BE74" s="449">
        <f t="shared" si="77"/>
        <v>23.25</v>
      </c>
      <c r="BF74" s="449">
        <f t="shared" si="77"/>
        <v>26.25</v>
      </c>
      <c r="BG74" s="449">
        <f t="shared" si="77"/>
        <v>32.25</v>
      </c>
      <c r="BH74" s="448">
        <f t="shared" si="77"/>
        <v>93</v>
      </c>
      <c r="BI74" s="449">
        <f t="shared" ref="BI74:BP74" si="78">BI75-BI66-BI67-BI70-BI71-BI73</f>
        <v>5.25</v>
      </c>
      <c r="BJ74" s="449">
        <f t="shared" si="78"/>
        <v>11.25</v>
      </c>
      <c r="BK74" s="449">
        <f t="shared" si="78"/>
        <v>13.25</v>
      </c>
      <c r="BL74" s="449">
        <f t="shared" si="78"/>
        <v>-9.75</v>
      </c>
      <c r="BM74" s="448">
        <f t="shared" si="78"/>
        <v>20</v>
      </c>
      <c r="BN74" s="449">
        <f t="shared" si="78"/>
        <v>15.25</v>
      </c>
      <c r="BO74" s="449">
        <f t="shared" si="78"/>
        <v>0.25</v>
      </c>
      <c r="BP74" s="449">
        <f t="shared" si="78"/>
        <v>0.25</v>
      </c>
      <c r="BQ74" s="449">
        <f>BR74-BN74-BO74-BP74</f>
        <v>49.25</v>
      </c>
      <c r="BR74" s="448">
        <f t="shared" ref="BR74:CC74" si="79">BR75-BR66-BR67-BR70-BR71-BR73</f>
        <v>65</v>
      </c>
      <c r="BS74" s="449">
        <f t="shared" si="79"/>
        <v>5.5</v>
      </c>
      <c r="BT74" s="449">
        <f t="shared" si="79"/>
        <v>0.5</v>
      </c>
      <c r="BU74" s="449">
        <f t="shared" si="79"/>
        <v>13.5</v>
      </c>
      <c r="BV74" s="449">
        <f t="shared" si="79"/>
        <v>47.5</v>
      </c>
      <c r="BW74" s="1109">
        <f t="shared" si="79"/>
        <v>67</v>
      </c>
      <c r="BX74" s="449">
        <f t="shared" si="79"/>
        <v>6.75</v>
      </c>
      <c r="BY74" s="449">
        <f t="shared" si="79"/>
        <v>7.75</v>
      </c>
      <c r="BZ74" s="449">
        <f t="shared" si="79"/>
        <v>22.75</v>
      </c>
      <c r="CA74" s="449">
        <f t="shared" si="79"/>
        <v>28.75</v>
      </c>
      <c r="CB74" s="1109">
        <f t="shared" si="79"/>
        <v>66</v>
      </c>
      <c r="CC74" s="449">
        <f t="shared" si="79"/>
        <v>10.85769910079182</v>
      </c>
      <c r="CD74" s="449">
        <f>CD75-CD66-CD67-CD70-CD71-CD73</f>
        <v>11.64230089920818</v>
      </c>
      <c r="CE74" s="449">
        <f>CE75-CE66-CE67-CE70-CE71-CE73</f>
        <v>39.75</v>
      </c>
      <c r="CF74" s="449">
        <f>CF75-CF66-CF67-CF70-CF71-CF73</f>
        <v>15.75</v>
      </c>
      <c r="CG74" s="1109">
        <f>SUM(CC74:CF74)</f>
        <v>78</v>
      </c>
      <c r="CH74" s="449">
        <f>CH75-CH66-CH67-CH70-CH71-CH73</f>
        <v>-4.5</v>
      </c>
      <c r="CI74" s="449">
        <f>CI75-CI66-CI67-CI70-CI71-CI73</f>
        <v>23.5</v>
      </c>
      <c r="CJ74" s="449">
        <f>CJ75-CJ66-CJ67-CJ70-CJ71-CJ73</f>
        <v>25.5</v>
      </c>
      <c r="CK74" s="449">
        <f>CK75-CK66-CK67-CK70-CK71-CK73</f>
        <v>35.5</v>
      </c>
      <c r="CL74" s="1109">
        <f>SUM(CH74:CK74)</f>
        <v>80</v>
      </c>
      <c r="CM74" s="449">
        <f>CM75-CM66-CM67-CM70-CM71-CM73</f>
        <v>23.513064460659081</v>
      </c>
      <c r="CN74" s="449">
        <f>CN75-CN66-CN67-CN70-CN71-CN73</f>
        <v>38.513064460659081</v>
      </c>
      <c r="CO74" s="449">
        <f>CO75-CO66-CO67-CO70-CO71-CO73</f>
        <v>54.513064460659081</v>
      </c>
      <c r="CP74" s="1926">
        <f>CO74</f>
        <v>54.513064460659081</v>
      </c>
      <c r="CQ74" s="1109">
        <f>SUM(CM74:CP74)</f>
        <v>171.05225784263632</v>
      </c>
      <c r="CR74" s="1926">
        <f>CV74/4</f>
        <v>42.763064460659081</v>
      </c>
      <c r="CS74" s="1926">
        <f>CR74</f>
        <v>42.763064460659081</v>
      </c>
      <c r="CT74" s="1926">
        <f>CS74</f>
        <v>42.763064460659081</v>
      </c>
      <c r="CU74" s="1926">
        <f>CT74</f>
        <v>42.763064460659081</v>
      </c>
      <c r="CV74" s="1094">
        <f>+CQ74</f>
        <v>171.05225784263632</v>
      </c>
      <c r="CW74" s="1094">
        <f>+CV74</f>
        <v>171.05225784263632</v>
      </c>
      <c r="CX74" s="1094">
        <f>+CW74</f>
        <v>171.05225784263632</v>
      </c>
      <c r="CY74" s="1094">
        <f>+CX74</f>
        <v>171.05225784263632</v>
      </c>
      <c r="CZ74" s="268"/>
      <c r="DA74" s="1126"/>
    </row>
    <row r="75" spans="1:108" ht="12" customHeight="1" thickBot="1">
      <c r="A75" s="271"/>
      <c r="B75" s="271"/>
      <c r="C75" s="1093" t="s">
        <v>224</v>
      </c>
      <c r="D75" s="1114"/>
      <c r="E75" s="1100"/>
      <c r="F75" s="1137">
        <v>212</v>
      </c>
      <c r="G75" s="1137">
        <v>217</v>
      </c>
      <c r="H75" s="1137">
        <v>210</v>
      </c>
      <c r="I75" s="1137">
        <v>220</v>
      </c>
      <c r="J75" s="1089">
        <f>IS!J49</f>
        <v>859</v>
      </c>
      <c r="K75" s="1090">
        <v>222</v>
      </c>
      <c r="L75" s="1090">
        <v>225</v>
      </c>
      <c r="M75" s="1090">
        <v>220</v>
      </c>
      <c r="N75" s="1090">
        <v>238</v>
      </c>
      <c r="O75" s="1089">
        <f>IS!O49</f>
        <v>905</v>
      </c>
      <c r="P75" s="1090">
        <v>175</v>
      </c>
      <c r="Q75" s="1090">
        <v>189</v>
      </c>
      <c r="R75" s="1090">
        <v>173</v>
      </c>
      <c r="S75" s="1090">
        <v>190</v>
      </c>
      <c r="T75" s="1089">
        <f>IS!T49</f>
        <v>727</v>
      </c>
      <c r="U75" s="1090">
        <v>180</v>
      </c>
      <c r="V75" s="1090">
        <v>187</v>
      </c>
      <c r="W75" s="1090">
        <v>203</v>
      </c>
      <c r="X75" s="1090">
        <v>229</v>
      </c>
      <c r="Y75" s="1089">
        <f>IS!Y49</f>
        <v>799</v>
      </c>
      <c r="Z75" s="1090">
        <v>262</v>
      </c>
      <c r="AA75" s="1090">
        <v>252</v>
      </c>
      <c r="AB75" s="1090">
        <v>230</v>
      </c>
      <c r="AC75" s="1090">
        <v>234</v>
      </c>
      <c r="AD75" s="1089">
        <f>IS!AD49</f>
        <v>978</v>
      </c>
      <c r="AE75" s="1090">
        <v>226</v>
      </c>
      <c r="AF75" s="1090">
        <v>237</v>
      </c>
      <c r="AG75" s="1090">
        <v>265</v>
      </c>
      <c r="AH75" s="1090">
        <v>256</v>
      </c>
      <c r="AI75" s="1089">
        <f>CF!U13</f>
        <v>984</v>
      </c>
      <c r="AJ75" s="1090">
        <f>CF!V13</f>
        <v>264</v>
      </c>
      <c r="AK75" s="1090">
        <f>CF!W13</f>
        <v>256</v>
      </c>
      <c r="AL75" s="1090">
        <f>CF!X13</f>
        <v>252</v>
      </c>
      <c r="AM75" s="1090">
        <f>CF!Y13</f>
        <v>261</v>
      </c>
      <c r="AN75" s="1089">
        <f>CF!Z13</f>
        <v>1033</v>
      </c>
      <c r="AO75" s="1090">
        <f>CF!AA13</f>
        <v>278</v>
      </c>
      <c r="AP75" s="1090">
        <f>CF!AB13</f>
        <v>277</v>
      </c>
      <c r="AQ75" s="1090">
        <f>CF!AC13</f>
        <v>308</v>
      </c>
      <c r="AR75" s="1090">
        <f>CF!AD13</f>
        <v>310</v>
      </c>
      <c r="AS75" s="1089">
        <f>CF!AE13</f>
        <v>1173</v>
      </c>
      <c r="AT75" s="1090">
        <f>CF!AF13</f>
        <v>319</v>
      </c>
      <c r="AU75" s="1090">
        <f>CF!AG13</f>
        <v>326</v>
      </c>
      <c r="AV75" s="1090">
        <f>CF!AH13</f>
        <v>326</v>
      </c>
      <c r="AW75" s="1090">
        <f>CF!AI13</f>
        <v>350</v>
      </c>
      <c r="AX75" s="1089">
        <f>CF!AJ13</f>
        <v>1321</v>
      </c>
      <c r="AY75" s="1090">
        <f>CF!AK13</f>
        <v>306</v>
      </c>
      <c r="AZ75" s="1090">
        <f>CF!AL13</f>
        <v>303</v>
      </c>
      <c r="BA75" s="1090">
        <f>CF!AM13</f>
        <v>316</v>
      </c>
      <c r="BB75" s="1090">
        <f>CF!AN13</f>
        <v>333</v>
      </c>
      <c r="BC75" s="1089">
        <f>CF!AO13</f>
        <v>1258</v>
      </c>
      <c r="BD75" s="1090">
        <f>CF!AP13</f>
        <v>327</v>
      </c>
      <c r="BE75" s="1090">
        <f>CF!AQ13</f>
        <v>339</v>
      </c>
      <c r="BF75" s="1090">
        <f>CF!AR13</f>
        <v>342</v>
      </c>
      <c r="BG75" s="1090">
        <f>CF!AS13</f>
        <v>348</v>
      </c>
      <c r="BH75" s="1089">
        <f>CF!AT13</f>
        <v>1356</v>
      </c>
      <c r="BI75" s="1090">
        <f>CF!AU13</f>
        <v>316</v>
      </c>
      <c r="BJ75" s="1090">
        <f>CF!AV13</f>
        <v>322</v>
      </c>
      <c r="BK75" s="1090">
        <f>CF!AW13</f>
        <v>324</v>
      </c>
      <c r="BL75" s="1090">
        <f>CF!AX13</f>
        <v>301</v>
      </c>
      <c r="BM75" s="1089">
        <f>CF!AY13</f>
        <v>1263</v>
      </c>
      <c r="BN75" s="1090">
        <f>CF!AZ13</f>
        <v>320</v>
      </c>
      <c r="BO75" s="1090">
        <f>CF!BA13</f>
        <v>305</v>
      </c>
      <c r="BP75" s="1090">
        <f>CF!BB13</f>
        <v>422</v>
      </c>
      <c r="BQ75" s="1090">
        <f>CF!BC13</f>
        <v>477</v>
      </c>
      <c r="BR75" s="1089">
        <f>CF!BD13</f>
        <v>1524</v>
      </c>
      <c r="BS75" s="1090">
        <f>CF!BE13</f>
        <v>444</v>
      </c>
      <c r="BT75" s="1090">
        <f>CF!BF13</f>
        <v>439</v>
      </c>
      <c r="BU75" s="1090">
        <f>CF!BG13</f>
        <v>452</v>
      </c>
      <c r="BV75" s="1090">
        <f>CF!BH13</f>
        <v>486</v>
      </c>
      <c r="BW75" s="1089">
        <f>CF!BI13</f>
        <v>1821</v>
      </c>
      <c r="BX75" s="1090">
        <f>CF!BJ13</f>
        <v>467</v>
      </c>
      <c r="BY75" s="1090">
        <f>CF!BK13</f>
        <v>468</v>
      </c>
      <c r="BZ75" s="1090">
        <f>CF!BL13</f>
        <v>483</v>
      </c>
      <c r="CA75" s="1090">
        <f>CF!BM13</f>
        <v>489</v>
      </c>
      <c r="CB75" s="1089">
        <f>CF!BN13</f>
        <v>1907</v>
      </c>
      <c r="CC75" s="1090">
        <f>CF!BO13</f>
        <v>457.10769910079182</v>
      </c>
      <c r="CD75" s="1090">
        <f>CF!BP13</f>
        <v>457.89230089920818</v>
      </c>
      <c r="CE75" s="1090">
        <f>CF!BQ13</f>
        <v>486</v>
      </c>
      <c r="CF75" s="1090">
        <f>CF!BR13</f>
        <v>462</v>
      </c>
      <c r="CG75" s="1089">
        <f>CG66+CG67+CG70+CG71+CG73+CG74</f>
        <v>1863</v>
      </c>
      <c r="CH75" s="1090">
        <f>CF!BT13</f>
        <v>466</v>
      </c>
      <c r="CI75" s="1090">
        <f>CF!BU13</f>
        <v>494</v>
      </c>
      <c r="CJ75" s="1090">
        <f>CF!BV13</f>
        <v>496</v>
      </c>
      <c r="CK75" s="1090">
        <f>CF!BW13</f>
        <v>506</v>
      </c>
      <c r="CL75" s="1089">
        <f t="shared" ref="CL75:CW75" si="80">CL66+CL67+CL70+CL71+CL73+CL74</f>
        <v>1962</v>
      </c>
      <c r="CM75" s="1090">
        <f>CF!BY13</f>
        <v>512</v>
      </c>
      <c r="CN75" s="1090">
        <f>CF!BZ13</f>
        <v>527</v>
      </c>
      <c r="CO75" s="1090">
        <f>CF!CA13</f>
        <v>543</v>
      </c>
      <c r="CP75" s="1090">
        <f t="shared" si="80"/>
        <v>520.11578397840003</v>
      </c>
      <c r="CQ75" s="1089">
        <f t="shared" si="80"/>
        <v>2102.1157839784</v>
      </c>
      <c r="CR75" s="1090">
        <f>CR66+CR67+CR70+CR71+CR73+CR74</f>
        <v>543.5908542005468</v>
      </c>
      <c r="CS75" s="1090">
        <f>CS66+CS67+CS70+CS71+CS73+CS74</f>
        <v>543.5908542005468</v>
      </c>
      <c r="CT75" s="1090">
        <f>CT66+CT67+CT70+CT71+CT73+CT74</f>
        <v>543.5908542005468</v>
      </c>
      <c r="CU75" s="1090">
        <f>CU66+CU67+CU70+CU71+CU73+CU74</f>
        <v>494.32194495158967</v>
      </c>
      <c r="CV75" s="1089">
        <f t="shared" si="80"/>
        <v>2125.09450755323</v>
      </c>
      <c r="CW75" s="1089">
        <f t="shared" si="80"/>
        <v>2120.4848446520627</v>
      </c>
      <c r="CX75" s="1089">
        <f>CX66+CX67+CX70+CX71+CX73+CX74</f>
        <v>2116.7573284030182</v>
      </c>
      <c r="CY75" s="1089">
        <f>CY66+CY67+CY70+CY71+CY73+CY74</f>
        <v>2122.2463536474265</v>
      </c>
      <c r="CZ75" s="271"/>
      <c r="DA75" s="1126"/>
    </row>
    <row r="76" spans="1:108" s="1133" customFormat="1" ht="12" customHeight="1" thickTop="1">
      <c r="A76" s="116"/>
      <c r="B76" s="116"/>
      <c r="C76" s="518" t="s">
        <v>824</v>
      </c>
      <c r="D76" s="1077"/>
      <c r="E76" s="1136"/>
      <c r="F76" s="1135"/>
      <c r="G76" s="1135"/>
      <c r="H76" s="1135"/>
      <c r="I76" s="1135"/>
      <c r="J76" s="1073"/>
      <c r="K76" s="1074"/>
      <c r="L76" s="1074"/>
      <c r="M76" s="1074"/>
      <c r="N76" s="1074"/>
      <c r="O76" s="1073"/>
      <c r="P76" s="1074"/>
      <c r="Q76" s="1074"/>
      <c r="R76" s="1074"/>
      <c r="S76" s="1074"/>
      <c r="T76" s="1073"/>
      <c r="U76" s="1074"/>
      <c r="V76" s="1074"/>
      <c r="W76" s="1074"/>
      <c r="X76" s="1074"/>
      <c r="Y76" s="1073"/>
      <c r="Z76" s="1074"/>
      <c r="AA76" s="1074"/>
      <c r="AB76" s="1074"/>
      <c r="AC76" s="1074"/>
      <c r="AD76" s="1073"/>
      <c r="AE76" s="1074"/>
      <c r="AF76" s="1074"/>
      <c r="AG76" s="1074"/>
      <c r="AH76" s="1074"/>
      <c r="AI76" s="1073"/>
      <c r="AJ76" s="1074"/>
      <c r="AK76" s="1074"/>
      <c r="AL76" s="1074"/>
      <c r="AM76" s="1074"/>
      <c r="AN76" s="1073"/>
      <c r="AO76" s="1074"/>
      <c r="AP76" s="1074"/>
      <c r="AQ76" s="1074"/>
      <c r="AR76" s="1074"/>
      <c r="AS76" s="1073"/>
      <c r="AT76" s="1074"/>
      <c r="AU76" s="1074"/>
      <c r="AV76" s="1074"/>
      <c r="AW76" s="1074"/>
      <c r="AX76" s="1073"/>
      <c r="AY76" s="1074"/>
      <c r="AZ76" s="1074"/>
      <c r="BA76" s="1074"/>
      <c r="BB76" s="1074"/>
      <c r="BC76" s="1073"/>
      <c r="BD76" s="1074"/>
      <c r="BE76" s="1074"/>
      <c r="BF76" s="1074"/>
      <c r="BG76" s="1074"/>
      <c r="BH76" s="1073"/>
      <c r="BI76" s="1074"/>
      <c r="BJ76" s="1074"/>
      <c r="BK76" s="1074"/>
      <c r="BL76" s="1074"/>
      <c r="BM76" s="1073"/>
      <c r="BN76" s="1074"/>
      <c r="BO76" s="1074"/>
      <c r="BP76" s="1074"/>
      <c r="BQ76" s="1074"/>
      <c r="BR76" s="1073"/>
      <c r="BS76" s="1074"/>
      <c r="BT76" s="1074"/>
      <c r="BU76" s="1074"/>
      <c r="BV76" s="1074"/>
      <c r="BW76" s="1073"/>
      <c r="BX76" s="1074">
        <f>BX75+Pratt!CB160</f>
        <v>462</v>
      </c>
      <c r="BY76" s="1074">
        <f>BY75+Pratt!CC160</f>
        <v>463</v>
      </c>
      <c r="BZ76" s="1074">
        <f>BZ75+Pratt!CD160</f>
        <v>478</v>
      </c>
      <c r="CA76" s="1074">
        <f>CA75+Pratt!CE160</f>
        <v>484</v>
      </c>
      <c r="CB76" s="1073">
        <f>CB75+Pratt!CF160</f>
        <v>1887</v>
      </c>
      <c r="CC76" s="1074">
        <f>CC75+Pratt!CG160</f>
        <v>444.10769910079182</v>
      </c>
      <c r="CD76" s="1074">
        <f>CD75+Pratt!CH160</f>
        <v>444.89230089920818</v>
      </c>
      <c r="CE76" s="1074">
        <f>CE75+Pratt!CI160</f>
        <v>492</v>
      </c>
      <c r="CF76" s="1074">
        <f>CF75+Pratt!CJ160</f>
        <v>443</v>
      </c>
      <c r="CG76" s="1073">
        <f>CG75+Pratt!CK160</f>
        <v>1824</v>
      </c>
      <c r="CH76" s="1074">
        <f>CH75+Pratt!CL160</f>
        <v>438</v>
      </c>
      <c r="CI76" s="1074">
        <f>CI75+Pratt!CM160</f>
        <v>464</v>
      </c>
      <c r="CJ76" s="1074">
        <f>CJ75+Pratt!CN160</f>
        <v>464</v>
      </c>
      <c r="CK76" s="1074">
        <f>CK75+Pratt!CO160</f>
        <v>479</v>
      </c>
      <c r="CL76" s="1073">
        <f>CL75+Pratt!CP160</f>
        <v>1845</v>
      </c>
      <c r="CM76" s="1074">
        <f>CM75+Pratt!CQ160</f>
        <v>468</v>
      </c>
      <c r="CN76" s="1074">
        <f>CN75+Pratt!CR160</f>
        <v>487</v>
      </c>
      <c r="CO76" s="1074">
        <f>CO75+Pratt!CS160</f>
        <v>501</v>
      </c>
      <c r="CP76" s="1074">
        <f>CP75+Pratt!CT160</f>
        <v>470.61578397840003</v>
      </c>
      <c r="CQ76" s="1073">
        <f>CQ75+Pratt!CU160</f>
        <v>1926.6157839784</v>
      </c>
      <c r="CR76" s="1074">
        <f>CR75+Pratt!CV160</f>
        <v>488.7471042005468</v>
      </c>
      <c r="CS76" s="1074">
        <f>CS75+Pratt!CW160</f>
        <v>488.7471042005468</v>
      </c>
      <c r="CT76" s="1074">
        <f>CT75+Pratt!CX160</f>
        <v>488.7471042005468</v>
      </c>
      <c r="CU76" s="1074">
        <f>CU75+Pratt!CY160</f>
        <v>439.47819495158967</v>
      </c>
      <c r="CV76" s="1073">
        <f>CV75+Pratt!CZ160</f>
        <v>1905.71950755323</v>
      </c>
      <c r="CW76" s="1073">
        <f>CW75+Pratt!DA160</f>
        <v>1879.1723446520627</v>
      </c>
      <c r="CX76" s="1073">
        <f>CX75+Pratt!DB160</f>
        <v>1851.313578403018</v>
      </c>
      <c r="CY76" s="1073">
        <f>CY75+Pratt!DC160</f>
        <v>1830.2582286474264</v>
      </c>
      <c r="CZ76" s="116"/>
      <c r="DA76" s="1134"/>
    </row>
    <row r="77" spans="1:108" ht="12" customHeight="1">
      <c r="A77" s="434"/>
      <c r="B77" s="434"/>
      <c r="C77" s="434"/>
      <c r="D77" s="463"/>
      <c r="E77" s="1088"/>
      <c r="F77" s="1088"/>
      <c r="G77" s="1088"/>
      <c r="H77" s="1088"/>
      <c r="I77" s="1088"/>
      <c r="J77" s="1086"/>
      <c r="K77" s="1088"/>
      <c r="L77" s="1088"/>
      <c r="M77" s="1088"/>
      <c r="N77" s="1088"/>
      <c r="O77" s="1086"/>
      <c r="P77" s="1088"/>
      <c r="Q77" s="1088"/>
      <c r="R77" s="1088"/>
      <c r="S77" s="1088"/>
      <c r="T77" s="1086"/>
      <c r="U77" s="1132"/>
      <c r="V77" s="1132"/>
      <c r="W77" s="1132"/>
      <c r="X77" s="1132"/>
      <c r="Y77" s="1130"/>
      <c r="Z77" s="1132"/>
      <c r="AA77" s="1132"/>
      <c r="AB77" s="1132"/>
      <c r="AC77" s="1132"/>
      <c r="AD77" s="1130"/>
      <c r="AE77" s="1132"/>
      <c r="AF77" s="1132"/>
      <c r="AG77" s="1132"/>
      <c r="AH77" s="1132"/>
      <c r="AI77" s="1130"/>
      <c r="AJ77" s="1132"/>
      <c r="AK77" s="1132"/>
      <c r="AL77" s="1132"/>
      <c r="AM77" s="1132"/>
      <c r="AN77" s="1130"/>
      <c r="AO77" s="1132"/>
      <c r="AP77" s="1132"/>
      <c r="AQ77" s="1132"/>
      <c r="AR77" s="1132"/>
      <c r="AS77" s="1130"/>
      <c r="AT77" s="1132"/>
      <c r="AU77" s="1132"/>
      <c r="AV77" s="1132"/>
      <c r="AW77" s="1132"/>
      <c r="AX77" s="1130"/>
      <c r="AY77" s="1132"/>
      <c r="AZ77" s="1132"/>
      <c r="BA77" s="1132"/>
      <c r="BB77" s="1132"/>
      <c r="BC77" s="1130"/>
      <c r="BD77" s="1132"/>
      <c r="BE77" s="1132"/>
      <c r="BF77" s="1132"/>
      <c r="BG77" s="1132"/>
      <c r="BH77" s="1130"/>
      <c r="BI77" s="1131"/>
      <c r="BJ77" s="1131"/>
      <c r="BK77" s="1131"/>
      <c r="BL77" s="1131"/>
      <c r="BM77" s="1130"/>
      <c r="BN77" s="1131"/>
      <c r="BO77" s="1131"/>
      <c r="BP77" s="1131"/>
      <c r="BQ77" s="1131"/>
      <c r="BR77" s="1130"/>
      <c r="BS77" s="1087"/>
      <c r="BT77" s="1087"/>
      <c r="BU77" s="1087"/>
      <c r="BV77" s="1087"/>
      <c r="BW77" s="1086"/>
      <c r="BX77" s="1087"/>
      <c r="BY77" s="1087"/>
      <c r="BZ77" s="1087"/>
      <c r="CA77" s="1087"/>
      <c r="CB77" s="1086">
        <f>(CB78+CB79)/SUM(CB78:CB79,CB82:CB83)</f>
        <v>0.55423476968796437</v>
      </c>
      <c r="CC77" s="1087"/>
      <c r="CD77" s="1087"/>
      <c r="CE77" s="1087"/>
      <c r="CF77" s="1087"/>
      <c r="CG77" s="1086"/>
      <c r="CH77" s="1103"/>
      <c r="CI77" s="1103"/>
      <c r="CJ77" s="1103"/>
      <c r="CK77" s="1103"/>
      <c r="CL77" s="1086"/>
      <c r="CM77" s="1103"/>
      <c r="CN77" s="1103"/>
      <c r="CO77" s="1087"/>
      <c r="CP77" s="1087"/>
      <c r="CQ77" s="1086"/>
      <c r="CR77" s="1104"/>
      <c r="CS77" s="1087"/>
      <c r="CT77" s="1087"/>
      <c r="CU77" s="1087"/>
      <c r="CV77" s="1086"/>
      <c r="CW77" s="1086"/>
      <c r="CX77" s="1086"/>
      <c r="CY77" s="1086"/>
      <c r="CZ77" s="434"/>
      <c r="DA77" s="1905" t="s">
        <v>1432</v>
      </c>
      <c r="DB77" s="1906" t="s">
        <v>154</v>
      </c>
      <c r="DC77" s="1906" t="s">
        <v>153</v>
      </c>
    </row>
    <row r="78" spans="1:108" ht="12" customHeight="1">
      <c r="A78" s="268"/>
      <c r="B78" s="268"/>
      <c r="C78" s="268" t="str">
        <f>C145</f>
        <v>Otis</v>
      </c>
      <c r="D78" s="463"/>
      <c r="E78" s="407"/>
      <c r="F78" s="449">
        <f>F132+F106-F119</f>
        <v>192</v>
      </c>
      <c r="G78" s="449">
        <f>G132+G106-G119</f>
        <v>194</v>
      </c>
      <c r="H78" s="449">
        <f>H132+H106-H119</f>
        <v>201</v>
      </c>
      <c r="I78" s="449">
        <f>I132+I106-I119</f>
        <v>211</v>
      </c>
      <c r="J78" s="448">
        <f>Otis!N35</f>
        <v>798</v>
      </c>
      <c r="K78" s="449">
        <f>Otis!O35</f>
        <v>220</v>
      </c>
      <c r="L78" s="449">
        <f>Otis!P35</f>
        <v>223</v>
      </c>
      <c r="M78" s="449">
        <f>Otis!Q35</f>
        <v>236</v>
      </c>
      <c r="N78" s="449">
        <f>Otis!R35</f>
        <v>251</v>
      </c>
      <c r="O78" s="448">
        <f>Otis!S35</f>
        <v>930</v>
      </c>
      <c r="P78" s="449">
        <f>Otis!T35</f>
        <v>250</v>
      </c>
      <c r="Q78" s="449">
        <f>Otis!U35</f>
        <v>266.5</v>
      </c>
      <c r="R78" s="449">
        <f>Otis!V35</f>
        <v>303.5</v>
      </c>
      <c r="S78" s="449">
        <f>Otis!W35</f>
        <v>310</v>
      </c>
      <c r="T78" s="448">
        <f>Otis!X35</f>
        <v>1130</v>
      </c>
      <c r="U78" s="449">
        <f>Otis!Y35</f>
        <v>320</v>
      </c>
      <c r="V78" s="449">
        <f>Otis!Z35</f>
        <v>342</v>
      </c>
      <c r="W78" s="449">
        <f>Otis!AA35</f>
        <v>356</v>
      </c>
      <c r="X78" s="449">
        <f>Otis!AB35</f>
        <v>374</v>
      </c>
      <c r="Y78" s="448">
        <f>Otis!AC35</f>
        <v>1392</v>
      </c>
      <c r="Z78" s="449">
        <f>Otis!AD35</f>
        <v>370</v>
      </c>
      <c r="AA78" s="449">
        <f>Otis!AE35</f>
        <v>380</v>
      </c>
      <c r="AB78" s="449">
        <f>Otis!AF35</f>
        <v>396</v>
      </c>
      <c r="AC78" s="449">
        <f>Otis!AG35</f>
        <v>411</v>
      </c>
      <c r="AD78" s="448">
        <f>Otis!AH35</f>
        <v>1557</v>
      </c>
      <c r="AE78" s="449">
        <f>Otis!AI35</f>
        <v>427</v>
      </c>
      <c r="AF78" s="449">
        <f>Otis!AJ35</f>
        <v>440</v>
      </c>
      <c r="AG78" s="449">
        <f>Otis!AK35</f>
        <v>449</v>
      </c>
      <c r="AH78" s="449">
        <f>Otis!AL35</f>
        <v>448</v>
      </c>
      <c r="AI78" s="448">
        <f>Otis!AM35</f>
        <v>1764</v>
      </c>
      <c r="AJ78" s="449">
        <f>Otis!AN35</f>
        <v>441</v>
      </c>
      <c r="AK78" s="449">
        <f>Otis!AO35</f>
        <v>478</v>
      </c>
      <c r="AL78" s="449">
        <f>Otis!AP35</f>
        <v>495</v>
      </c>
      <c r="AM78" s="449">
        <f>Otis!AQ35</f>
        <v>520</v>
      </c>
      <c r="AN78" s="448">
        <f>Otis!AR35</f>
        <v>1934</v>
      </c>
      <c r="AO78" s="449">
        <f>Otis!AS35</f>
        <v>488</v>
      </c>
      <c r="AP78" s="449">
        <f>Otis!AT35</f>
        <v>539</v>
      </c>
      <c r="AQ78" s="449">
        <f>Otis!AU35</f>
        <v>573</v>
      </c>
      <c r="AR78" s="449">
        <f>Otis!AV35</f>
        <v>632</v>
      </c>
      <c r="AS78" s="448">
        <f>Otis!AW35</f>
        <v>2232</v>
      </c>
      <c r="AT78" s="449">
        <f>Otis!AX35</f>
        <v>582</v>
      </c>
      <c r="AU78" s="449">
        <f>Otis!AY35</f>
        <v>675</v>
      </c>
      <c r="AV78" s="449">
        <f>Otis!AZ35</f>
        <v>653</v>
      </c>
      <c r="AW78" s="449">
        <f>Otis!BA35</f>
        <v>588</v>
      </c>
      <c r="AX78" s="448">
        <f>Otis!BB35</f>
        <v>2498</v>
      </c>
      <c r="AY78" s="449">
        <f>Otis!BC35</f>
        <v>528</v>
      </c>
      <c r="AZ78" s="449">
        <f>Otis!BD35</f>
        <v>636</v>
      </c>
      <c r="BA78" s="449">
        <f>Otis!BE35</f>
        <v>685</v>
      </c>
      <c r="BB78" s="449">
        <f>Otis!BF35</f>
        <v>704</v>
      </c>
      <c r="BC78" s="448">
        <f>Otis!BG35</f>
        <v>2553</v>
      </c>
      <c r="BD78" s="449">
        <f>Otis!BH35</f>
        <v>607</v>
      </c>
      <c r="BE78" s="449">
        <f>Otis!BI35</f>
        <v>658</v>
      </c>
      <c r="BF78" s="449">
        <f>Otis!BJ35</f>
        <v>690</v>
      </c>
      <c r="BG78" s="449">
        <f>Otis!BK35</f>
        <v>703</v>
      </c>
      <c r="BH78" s="448">
        <f>Otis!BL35</f>
        <v>2658</v>
      </c>
      <c r="BI78" s="449">
        <f>Otis!BM35</f>
        <v>632</v>
      </c>
      <c r="BJ78" s="449">
        <f>Otis!BN35</f>
        <v>747</v>
      </c>
      <c r="BK78" s="449">
        <f>Otis!BO35</f>
        <v>772</v>
      </c>
      <c r="BL78" s="449">
        <f>Otis!BP35</f>
        <v>737</v>
      </c>
      <c r="BM78" s="448">
        <f>Otis!BQ35</f>
        <v>2888</v>
      </c>
      <c r="BN78" s="449">
        <f>Otis!BR35</f>
        <v>594</v>
      </c>
      <c r="BO78" s="449">
        <f>Otis!BS35</f>
        <v>686</v>
      </c>
      <c r="BP78" s="449">
        <f>Otis!BT35</f>
        <v>693</v>
      </c>
      <c r="BQ78" s="449">
        <f>Otis!BU35</f>
        <v>703</v>
      </c>
      <c r="BR78" s="448">
        <f>Otis!BV35</f>
        <v>2676</v>
      </c>
      <c r="BS78" s="449">
        <f>Otis!BW35</f>
        <v>585</v>
      </c>
      <c r="BT78" s="449">
        <f>Otis!BX35</f>
        <v>689</v>
      </c>
      <c r="BU78" s="449">
        <f>Otis!BY35</f>
        <v>700</v>
      </c>
      <c r="BV78" s="449">
        <f>Otis!BZ35</f>
        <v>704</v>
      </c>
      <c r="BW78" s="448">
        <f>Otis!CA35</f>
        <v>2678</v>
      </c>
      <c r="BX78" s="449">
        <f>Otis!CB35</f>
        <v>587</v>
      </c>
      <c r="BY78" s="449">
        <f>Otis!CC35</f>
        <v>714</v>
      </c>
      <c r="BZ78" s="449">
        <f>Otis!CD35</f>
        <v>718</v>
      </c>
      <c r="CA78" s="449">
        <f>Otis!CE35</f>
        <v>708</v>
      </c>
      <c r="CB78" s="448">
        <f>Otis!CF35</f>
        <v>2727</v>
      </c>
      <c r="CC78" s="449">
        <f>Otis!CG35</f>
        <v>533</v>
      </c>
      <c r="CD78" s="449">
        <f>Otis!CH35</f>
        <v>635</v>
      </c>
      <c r="CE78" s="449">
        <f>Otis!CI35</f>
        <v>660</v>
      </c>
      <c r="CF78" s="449">
        <f>Otis!CJ35</f>
        <v>561</v>
      </c>
      <c r="CG78" s="448">
        <f>Otis!CK35</f>
        <v>2389</v>
      </c>
      <c r="CH78" s="449">
        <f>Otis!CL35</f>
        <v>481</v>
      </c>
      <c r="CI78" s="449">
        <f>Otis!CM35</f>
        <v>597</v>
      </c>
      <c r="CJ78" s="449">
        <f>Otis!CN35</f>
        <v>594</v>
      </c>
      <c r="CK78" s="449">
        <f>Otis!CO35</f>
        <v>534</v>
      </c>
      <c r="CL78" s="448">
        <f>Otis!CP35</f>
        <v>2236.7982041718546</v>
      </c>
      <c r="CM78" s="449">
        <f>Otis!CQ35</f>
        <v>457</v>
      </c>
      <c r="CN78" s="449">
        <f>Otis!CR35</f>
        <v>556</v>
      </c>
      <c r="CO78" s="449">
        <f>Otis!CS35</f>
        <v>561</v>
      </c>
      <c r="CP78" s="449">
        <f>Otis!CT35</f>
        <v>517.86884998736605</v>
      </c>
      <c r="CQ78" s="448">
        <f>Otis!CU35</f>
        <v>2091.868849987366</v>
      </c>
      <c r="CR78" s="449">
        <f>Otis!CV35</f>
        <v>470.66640684847118</v>
      </c>
      <c r="CS78" s="449">
        <f>Otis!CW35</f>
        <v>571.7284765471843</v>
      </c>
      <c r="CT78" s="449">
        <f>Otis!CX35</f>
        <v>585.36630248406072</v>
      </c>
      <c r="CU78" s="449">
        <f>Otis!CY35</f>
        <v>516.07019000083437</v>
      </c>
      <c r="CV78" s="448">
        <f>Otis!CZ35</f>
        <v>2143.8313758805507</v>
      </c>
      <c r="CW78" s="448">
        <f>Otis!DA35</f>
        <v>2213.7363361165253</v>
      </c>
      <c r="CX78" s="2233">
        <f>Otis!DB35</f>
        <v>2288.8747887305672</v>
      </c>
      <c r="CY78" s="2233">
        <f>Otis!DC35</f>
        <v>2319.3008512740316</v>
      </c>
      <c r="CZ78" s="2233"/>
      <c r="DA78" t="str">
        <f>C78</f>
        <v>Otis</v>
      </c>
      <c r="DB78">
        <v>-200</v>
      </c>
      <c r="DC78">
        <v>-250</v>
      </c>
      <c r="DD78" s="2233">
        <f t="shared" ref="DD78:DD83" si="81">CQ78-CL78</f>
        <v>-144.9293541844886</v>
      </c>
    </row>
    <row r="79" spans="1:108" ht="12" customHeight="1">
      <c r="A79" s="268"/>
      <c r="B79" s="268"/>
      <c r="C79" s="116" t="s">
        <v>310</v>
      </c>
      <c r="D79" s="463"/>
      <c r="E79" s="407"/>
      <c r="F79" s="449"/>
      <c r="G79" s="449"/>
      <c r="H79" s="449"/>
      <c r="I79" s="449"/>
      <c r="J79" s="448"/>
      <c r="K79" s="449"/>
      <c r="L79" s="449"/>
      <c r="M79" s="449"/>
      <c r="N79" s="449"/>
      <c r="O79" s="448"/>
      <c r="P79" s="449"/>
      <c r="Q79" s="449"/>
      <c r="R79" s="449"/>
      <c r="S79" s="449"/>
      <c r="T79" s="448"/>
      <c r="U79" s="449"/>
      <c r="V79" s="449"/>
      <c r="W79" s="449"/>
      <c r="X79" s="449"/>
      <c r="Y79" s="448"/>
      <c r="Z79" s="449"/>
      <c r="AA79" s="449"/>
      <c r="AB79" s="449"/>
      <c r="AC79" s="449"/>
      <c r="AD79" s="448"/>
      <c r="AE79" s="449"/>
      <c r="AF79" s="449"/>
      <c r="AG79" s="449"/>
      <c r="AH79" s="449"/>
      <c r="AI79" s="448"/>
      <c r="AJ79" s="449"/>
      <c r="AK79" s="449"/>
      <c r="AL79" s="449"/>
      <c r="AM79" s="449"/>
      <c r="AN79" s="448"/>
      <c r="AO79" s="449"/>
      <c r="AP79" s="449"/>
      <c r="AQ79" s="449"/>
      <c r="AR79" s="449"/>
      <c r="AS79" s="448"/>
      <c r="AT79" s="449"/>
      <c r="AU79" s="449"/>
      <c r="AV79" s="449"/>
      <c r="AW79" s="449"/>
      <c r="AX79" s="448"/>
      <c r="AY79" s="449"/>
      <c r="AZ79" s="449"/>
      <c r="BA79" s="449"/>
      <c r="BB79" s="449"/>
      <c r="BC79" s="448"/>
      <c r="BD79" s="449"/>
      <c r="BE79" s="449"/>
      <c r="BF79" s="449"/>
      <c r="BG79" s="449"/>
      <c r="BH79" s="448"/>
      <c r="BI79" s="449">
        <f>CCS!BI35</f>
        <v>492</v>
      </c>
      <c r="BJ79" s="449">
        <f>CCS!BJ35</f>
        <v>689</v>
      </c>
      <c r="BK79" s="449">
        <f>CCS!BK35</f>
        <v>627</v>
      </c>
      <c r="BL79" s="449">
        <f>CCS!BL35</f>
        <v>487</v>
      </c>
      <c r="BM79" s="448">
        <f>CCS!BM35</f>
        <v>2295</v>
      </c>
      <c r="BN79" s="449">
        <f>CCS!BN35</f>
        <v>467</v>
      </c>
      <c r="BO79" s="449">
        <f>CCS!BO35</f>
        <v>716</v>
      </c>
      <c r="BP79" s="449">
        <f>CCS!BP35</f>
        <v>658</v>
      </c>
      <c r="BQ79" s="449">
        <f>CCS!BQ35</f>
        <v>570</v>
      </c>
      <c r="BR79" s="448">
        <f>CCS!BR35</f>
        <v>2411</v>
      </c>
      <c r="BS79" s="449">
        <f>CCS!BS35</f>
        <v>504</v>
      </c>
      <c r="BT79" s="449">
        <f>CCS!BT35</f>
        <v>768</v>
      </c>
      <c r="BU79" s="449">
        <f>CCS!BU35</f>
        <v>724</v>
      </c>
      <c r="BV79" s="449">
        <f>CCS!BV35</f>
        <v>636</v>
      </c>
      <c r="BW79" s="448">
        <f>CCS!BW35</f>
        <v>2632</v>
      </c>
      <c r="BX79" s="449">
        <f>CCS!BX35</f>
        <v>580</v>
      </c>
      <c r="BY79" s="449">
        <f>CCS!BY35</f>
        <v>840</v>
      </c>
      <c r="BZ79" s="449">
        <f>CCS!BZ35</f>
        <v>791</v>
      </c>
      <c r="CA79" s="449">
        <f>CCS!CA35</f>
        <v>657</v>
      </c>
      <c r="CB79" s="448">
        <f>CCS!CB35</f>
        <v>2868</v>
      </c>
      <c r="CC79" s="449">
        <f>CCS!CC35</f>
        <v>627</v>
      </c>
      <c r="CD79" s="449">
        <f>CCS!CD35</f>
        <v>851</v>
      </c>
      <c r="CE79" s="449">
        <f>CCS!CE35</f>
        <v>786</v>
      </c>
      <c r="CF79" s="449">
        <f>CCS!CF35</f>
        <v>659</v>
      </c>
      <c r="CG79" s="448">
        <f>CCS!CG35</f>
        <v>2923</v>
      </c>
      <c r="CH79" s="449">
        <f>CCS!CH35</f>
        <v>634</v>
      </c>
      <c r="CI79" s="449">
        <f>CCS!CI35</f>
        <v>909</v>
      </c>
      <c r="CJ79" s="449">
        <f>CCS!CJ35</f>
        <v>830</v>
      </c>
      <c r="CK79" s="449">
        <f>CCS!CK35</f>
        <v>680</v>
      </c>
      <c r="CL79" s="448">
        <f>CCS!CL35</f>
        <v>3053</v>
      </c>
      <c r="CM79" s="449">
        <f>CCS!CM35</f>
        <v>607</v>
      </c>
      <c r="CN79" s="449">
        <f>CCS!CN35</f>
        <v>891</v>
      </c>
      <c r="CO79" s="449">
        <f>CCS!CO35</f>
        <v>871</v>
      </c>
      <c r="CP79" s="449">
        <f>CCS!CP35</f>
        <v>743.3229430521958</v>
      </c>
      <c r="CQ79" s="448">
        <f>CCS!CQ35</f>
        <v>3112.322943052196</v>
      </c>
      <c r="CR79" s="449">
        <f>CCS!CR35</f>
        <v>676.36160315348241</v>
      </c>
      <c r="CS79" s="449">
        <f>CCS!CS35</f>
        <v>946.97392704501783</v>
      </c>
      <c r="CT79" s="449">
        <f>CCS!CT35</f>
        <v>926.69844439453391</v>
      </c>
      <c r="CU79" s="449">
        <f>CCS!CU35</f>
        <v>811.20839384840406</v>
      </c>
      <c r="CV79" s="448">
        <f>CCS!CV35</f>
        <v>3361.242368441438</v>
      </c>
      <c r="CW79" s="448">
        <f>CCS!CW35</f>
        <v>3586.7700152950351</v>
      </c>
      <c r="CX79" s="2233">
        <f>CCS!CX35</f>
        <v>3785.471582332872</v>
      </c>
      <c r="CY79" s="2233">
        <f>CCS!CY35</f>
        <v>3987.1057077248101</v>
      </c>
      <c r="CZ79" s="2233"/>
      <c r="DA79" t="s">
        <v>166</v>
      </c>
      <c r="DB79">
        <v>100</v>
      </c>
      <c r="DC79">
        <v>150</v>
      </c>
      <c r="DD79" s="2233">
        <f t="shared" si="81"/>
        <v>59.322943052196024</v>
      </c>
    </row>
    <row r="80" spans="1:108" ht="12" hidden="1" customHeight="1" outlineLevel="1">
      <c r="A80" s="268"/>
      <c r="B80" s="268"/>
      <c r="C80" s="268" t="str">
        <f>C147</f>
        <v>Carrier</v>
      </c>
      <c r="D80" s="463"/>
      <c r="E80" s="407"/>
      <c r="F80" s="449">
        <f t="shared" ref="F80:I82" si="82">F134+F108-F121</f>
        <v>123</v>
      </c>
      <c r="G80" s="449">
        <f t="shared" si="82"/>
        <v>313</v>
      </c>
      <c r="H80" s="449">
        <f t="shared" si="82"/>
        <v>242</v>
      </c>
      <c r="I80" s="449">
        <f t="shared" si="82"/>
        <v>117</v>
      </c>
      <c r="J80" s="448">
        <v>795</v>
      </c>
      <c r="K80" s="449">
        <f>K134+K108-K121</f>
        <v>131</v>
      </c>
      <c r="L80" s="449">
        <f>L134+L108-L121</f>
        <v>317</v>
      </c>
      <c r="M80" s="449">
        <f>M134+M108-M121</f>
        <v>234</v>
      </c>
      <c r="N80" s="449">
        <f>N134+N108-N121</f>
        <v>80</v>
      </c>
      <c r="O80" s="448">
        <f>O134+O108-O121</f>
        <v>762</v>
      </c>
      <c r="P80" s="449">
        <v>135</v>
      </c>
      <c r="Q80" s="449">
        <v>343.5</v>
      </c>
      <c r="R80" s="449">
        <v>284.5</v>
      </c>
      <c r="S80" s="449">
        <v>130</v>
      </c>
      <c r="T80" s="448">
        <v>893</v>
      </c>
      <c r="U80" s="449">
        <v>151</v>
      </c>
      <c r="V80" s="449">
        <v>363</v>
      </c>
      <c r="W80" s="449">
        <v>304</v>
      </c>
      <c r="X80" s="449">
        <v>158</v>
      </c>
      <c r="Y80" s="448">
        <v>976</v>
      </c>
      <c r="Z80" s="449">
        <v>175</v>
      </c>
      <c r="AA80" s="449">
        <v>425</v>
      </c>
      <c r="AB80" s="449">
        <v>319</v>
      </c>
      <c r="AC80" s="449">
        <v>152</v>
      </c>
      <c r="AD80" s="448">
        <v>1071</v>
      </c>
      <c r="AE80" s="449">
        <v>177</v>
      </c>
      <c r="AF80" s="449">
        <v>418</v>
      </c>
      <c r="AG80" s="449">
        <v>379</v>
      </c>
      <c r="AH80" s="449">
        <v>210</v>
      </c>
      <c r="AI80" s="448">
        <v>1184</v>
      </c>
      <c r="AJ80" s="449">
        <v>211</v>
      </c>
      <c r="AK80" s="449">
        <v>435</v>
      </c>
      <c r="AL80" s="449">
        <v>397</v>
      </c>
      <c r="AM80" s="449">
        <v>203</v>
      </c>
      <c r="AN80" s="448">
        <v>1246</v>
      </c>
      <c r="AO80" s="449">
        <v>225</v>
      </c>
      <c r="AP80" s="449">
        <v>490</v>
      </c>
      <c r="AQ80" s="449">
        <v>435</v>
      </c>
      <c r="AR80" s="449">
        <v>243</v>
      </c>
      <c r="AS80" s="448">
        <v>1372</v>
      </c>
      <c r="AT80" s="449">
        <v>259</v>
      </c>
      <c r="AU80" s="449">
        <v>533</v>
      </c>
      <c r="AV80" s="449">
        <v>455</v>
      </c>
      <c r="AW80" s="449">
        <v>142</v>
      </c>
      <c r="AX80" s="448">
        <v>1322</v>
      </c>
      <c r="AY80" s="449">
        <v>63</v>
      </c>
      <c r="AZ80" s="449">
        <v>315</v>
      </c>
      <c r="BA80" s="449">
        <v>298</v>
      </c>
      <c r="BB80" s="449">
        <v>190</v>
      </c>
      <c r="BC80" s="448">
        <v>782</v>
      </c>
      <c r="BD80" s="449">
        <v>157</v>
      </c>
      <c r="BE80" s="449">
        <v>395</v>
      </c>
      <c r="BF80" s="449">
        <v>355</v>
      </c>
      <c r="BG80" s="449">
        <v>235</v>
      </c>
      <c r="BH80" s="448">
        <v>1147</v>
      </c>
      <c r="BI80" s="449">
        <v>324</v>
      </c>
      <c r="BJ80" s="449">
        <v>473</v>
      </c>
      <c r="BK80" s="449">
        <v>402</v>
      </c>
      <c r="BL80" s="449">
        <v>258</v>
      </c>
      <c r="BM80" s="448">
        <v>1348</v>
      </c>
      <c r="BN80" s="449">
        <f t="shared" ref="BN80:BQ81" si="83">BN46-BN68</f>
        <v>0</v>
      </c>
      <c r="BO80" s="449">
        <f t="shared" si="83"/>
        <v>0</v>
      </c>
      <c r="BP80" s="449">
        <f t="shared" si="83"/>
        <v>0</v>
      </c>
      <c r="BQ80" s="449">
        <f t="shared" si="83"/>
        <v>0</v>
      </c>
      <c r="BR80" s="448"/>
      <c r="BS80" s="449"/>
      <c r="BT80" s="449"/>
      <c r="BU80" s="449"/>
      <c r="BV80" s="449"/>
      <c r="BW80" s="448"/>
      <c r="BX80" s="449"/>
      <c r="BY80" s="449"/>
      <c r="BZ80" s="449"/>
      <c r="CA80" s="449"/>
      <c r="CB80" s="448"/>
      <c r="CC80" s="449"/>
      <c r="CD80" s="449"/>
      <c r="CE80" s="449"/>
      <c r="CF80" s="449"/>
      <c r="CG80" s="448"/>
      <c r="CH80" s="449"/>
      <c r="CI80" s="449"/>
      <c r="CJ80" s="449"/>
      <c r="CK80" s="449"/>
      <c r="CL80" s="448"/>
      <c r="CM80" s="449"/>
      <c r="CN80" s="449"/>
      <c r="CO80" s="449"/>
      <c r="CP80" s="449"/>
      <c r="CQ80" s="448"/>
      <c r="CR80" s="449"/>
      <c r="CS80" s="449"/>
      <c r="CT80" s="449"/>
      <c r="CU80" s="449"/>
      <c r="CV80" s="448"/>
      <c r="CW80" s="448"/>
      <c r="CX80" s="2233"/>
      <c r="CY80" s="2233"/>
      <c r="CZ80" s="2233"/>
      <c r="DA80" t="str">
        <f>C80</f>
        <v>Carrier</v>
      </c>
      <c r="DD80" s="2233">
        <f t="shared" si="81"/>
        <v>0</v>
      </c>
    </row>
    <row r="81" spans="1:108" ht="12" hidden="1" customHeight="1" outlineLevel="1">
      <c r="A81" s="268"/>
      <c r="B81" s="268"/>
      <c r="C81" s="268" t="str">
        <f>C148</f>
        <v>Fire &amp; Security</v>
      </c>
      <c r="D81" s="463"/>
      <c r="E81" s="407"/>
      <c r="F81" s="449">
        <f t="shared" si="82"/>
        <v>0</v>
      </c>
      <c r="G81" s="449">
        <f t="shared" si="82"/>
        <v>0</v>
      </c>
      <c r="H81" s="449">
        <f t="shared" si="82"/>
        <v>0</v>
      </c>
      <c r="I81" s="449">
        <f t="shared" si="82"/>
        <v>0</v>
      </c>
      <c r="J81" s="448"/>
      <c r="K81" s="449"/>
      <c r="L81" s="449"/>
      <c r="M81" s="449"/>
      <c r="N81" s="449"/>
      <c r="O81" s="448"/>
      <c r="P81" s="449"/>
      <c r="Q81" s="449"/>
      <c r="R81" s="449"/>
      <c r="S81" s="449"/>
      <c r="T81" s="448"/>
      <c r="U81" s="449">
        <f>U47-U69</f>
        <v>0</v>
      </c>
      <c r="V81" s="449">
        <f>V47-V69</f>
        <v>0</v>
      </c>
      <c r="W81" s="449">
        <f>W135</f>
        <v>20</v>
      </c>
      <c r="X81" s="449">
        <f>X135</f>
        <v>35</v>
      </c>
      <c r="Y81" s="448">
        <f>Y135</f>
        <v>55</v>
      </c>
      <c r="Z81" s="449">
        <v>31</v>
      </c>
      <c r="AA81" s="449">
        <v>32</v>
      </c>
      <c r="AB81" s="449">
        <v>33</v>
      </c>
      <c r="AC81" s="449">
        <v>34</v>
      </c>
      <c r="AD81" s="448">
        <v>130</v>
      </c>
      <c r="AE81" s="449">
        <v>40</v>
      </c>
      <c r="AF81" s="449">
        <v>54</v>
      </c>
      <c r="AG81" s="449">
        <v>65</v>
      </c>
      <c r="AH81" s="449">
        <v>97</v>
      </c>
      <c r="AI81" s="448">
        <v>256</v>
      </c>
      <c r="AJ81" s="449">
        <v>67</v>
      </c>
      <c r="AK81" s="449">
        <v>77</v>
      </c>
      <c r="AL81" s="449">
        <v>79</v>
      </c>
      <c r="AM81" s="449">
        <v>122</v>
      </c>
      <c r="AN81" s="448">
        <v>345</v>
      </c>
      <c r="AO81" s="449">
        <v>88</v>
      </c>
      <c r="AP81" s="449">
        <v>105</v>
      </c>
      <c r="AQ81" s="449">
        <v>121</v>
      </c>
      <c r="AR81" s="449">
        <v>168</v>
      </c>
      <c r="AS81" s="448">
        <v>482</v>
      </c>
      <c r="AT81" s="449">
        <v>121</v>
      </c>
      <c r="AU81" s="449">
        <v>153</v>
      </c>
      <c r="AV81" s="449">
        <v>154</v>
      </c>
      <c r="AW81" s="449">
        <v>177</v>
      </c>
      <c r="AX81" s="448">
        <v>605</v>
      </c>
      <c r="AY81" s="449">
        <v>107</v>
      </c>
      <c r="AZ81" s="449">
        <v>141</v>
      </c>
      <c r="BA81" s="449">
        <v>156</v>
      </c>
      <c r="BB81" s="449">
        <v>201</v>
      </c>
      <c r="BC81" s="448">
        <v>605</v>
      </c>
      <c r="BD81" s="449">
        <v>133</v>
      </c>
      <c r="BE81" s="449">
        <v>187</v>
      </c>
      <c r="BF81" s="449">
        <v>211</v>
      </c>
      <c r="BG81" s="449">
        <v>261</v>
      </c>
      <c r="BH81" s="448">
        <v>792</v>
      </c>
      <c r="BI81" s="449">
        <v>169</v>
      </c>
      <c r="BJ81" s="449">
        <v>215</v>
      </c>
      <c r="BK81" s="449">
        <v>227</v>
      </c>
      <c r="BL81" s="449">
        <v>227</v>
      </c>
      <c r="BM81" s="448">
        <v>904</v>
      </c>
      <c r="BN81" s="449">
        <f t="shared" si="83"/>
        <v>0</v>
      </c>
      <c r="BO81" s="449">
        <f t="shared" si="83"/>
        <v>0</v>
      </c>
      <c r="BP81" s="449">
        <f t="shared" si="83"/>
        <v>0</v>
      </c>
      <c r="BQ81" s="449">
        <f t="shared" si="83"/>
        <v>0</v>
      </c>
      <c r="BR81" s="448"/>
      <c r="BS81" s="449"/>
      <c r="BT81" s="449"/>
      <c r="BU81" s="449"/>
      <c r="BV81" s="449"/>
      <c r="BW81" s="448"/>
      <c r="BX81" s="449"/>
      <c r="BY81" s="449"/>
      <c r="BZ81" s="449"/>
      <c r="CA81" s="449"/>
      <c r="CB81" s="448"/>
      <c r="CC81" s="449"/>
      <c r="CD81" s="449"/>
      <c r="CE81" s="449"/>
      <c r="CF81" s="449"/>
      <c r="CG81" s="448"/>
      <c r="CH81" s="449"/>
      <c r="CI81" s="449"/>
      <c r="CJ81" s="449"/>
      <c r="CK81" s="449"/>
      <c r="CL81" s="448"/>
      <c r="CM81" s="449"/>
      <c r="CN81" s="449"/>
      <c r="CO81" s="449"/>
      <c r="CP81" s="449"/>
      <c r="CQ81" s="448"/>
      <c r="CR81" s="449"/>
      <c r="CS81" s="449"/>
      <c r="CT81" s="449"/>
      <c r="CU81" s="449"/>
      <c r="CV81" s="448"/>
      <c r="CW81" s="448"/>
      <c r="CX81" s="2233"/>
      <c r="CY81" s="2233"/>
      <c r="CZ81" s="2233"/>
      <c r="DA81" t="str">
        <f>C81</f>
        <v>Fire &amp; Security</v>
      </c>
      <c r="DD81" s="2233">
        <f t="shared" si="81"/>
        <v>0</v>
      </c>
    </row>
    <row r="82" spans="1:108" ht="12" customHeight="1" collapsed="1">
      <c r="A82" s="268"/>
      <c r="B82" s="268"/>
      <c r="C82" s="268" t="str">
        <f>C149</f>
        <v>Pratt &amp; Whitney</v>
      </c>
      <c r="D82" s="1110"/>
      <c r="E82" s="407"/>
      <c r="F82" s="449">
        <f t="shared" si="82"/>
        <v>282</v>
      </c>
      <c r="G82" s="449">
        <f t="shared" si="82"/>
        <v>285</v>
      </c>
      <c r="H82" s="449">
        <f t="shared" si="82"/>
        <v>300</v>
      </c>
      <c r="I82" s="449">
        <f t="shared" si="82"/>
        <v>333</v>
      </c>
      <c r="J82" s="448">
        <f>Pratt!N35</f>
        <v>1200</v>
      </c>
      <c r="K82" s="449">
        <f>Pratt!O35</f>
        <v>343</v>
      </c>
      <c r="L82" s="449">
        <f>Pratt!P35</f>
        <v>353</v>
      </c>
      <c r="M82" s="449">
        <f>Pratt!Q35</f>
        <v>352</v>
      </c>
      <c r="N82" s="449">
        <f>Pratt!R35</f>
        <v>323</v>
      </c>
      <c r="O82" s="448">
        <f>Pratt!S35</f>
        <v>1371</v>
      </c>
      <c r="P82" s="449">
        <f>Pratt!T35</f>
        <v>327</v>
      </c>
      <c r="Q82" s="449">
        <f>Pratt!U35</f>
        <v>352</v>
      </c>
      <c r="R82" s="449">
        <f>Pratt!V35</f>
        <v>350</v>
      </c>
      <c r="S82" s="449">
        <f>Pratt!W35</f>
        <v>333</v>
      </c>
      <c r="T82" s="448">
        <f>Pratt!X35</f>
        <v>1362</v>
      </c>
      <c r="U82" s="449">
        <f>Pratt!Y35</f>
        <v>278</v>
      </c>
      <c r="V82" s="449">
        <f>Pratt!Z35</f>
        <v>271</v>
      </c>
      <c r="W82" s="449">
        <f>Pratt!AA35</f>
        <v>283</v>
      </c>
      <c r="X82" s="449">
        <f>Pratt!AB35</f>
        <v>312</v>
      </c>
      <c r="Y82" s="448">
        <f>Pratt!AC35</f>
        <v>1144</v>
      </c>
      <c r="Z82" s="449">
        <f>Pratt!AD35</f>
        <v>257</v>
      </c>
      <c r="AA82" s="449">
        <f>Pratt!AE35</f>
        <v>318</v>
      </c>
      <c r="AB82" s="449">
        <f>Pratt!AF35</f>
        <v>325</v>
      </c>
      <c r="AC82" s="449">
        <f>Pratt!AG35</f>
        <v>335</v>
      </c>
      <c r="AD82" s="448">
        <f>Pratt!AH35</f>
        <v>1235</v>
      </c>
      <c r="AE82" s="449">
        <f>Pratt!AI35</f>
        <v>350</v>
      </c>
      <c r="AF82" s="449">
        <f>Pratt!AJ35</f>
        <v>370</v>
      </c>
      <c r="AG82" s="449">
        <f>Pratt!AK35</f>
        <v>383</v>
      </c>
      <c r="AH82" s="449">
        <f>Pratt!AL35</f>
        <v>385</v>
      </c>
      <c r="AI82" s="448">
        <f>Pratt!AM35</f>
        <v>1488</v>
      </c>
      <c r="AJ82" s="449">
        <f>Pratt!AN35</f>
        <v>417</v>
      </c>
      <c r="AK82" s="449">
        <f>Pratt!AO35</f>
        <v>466</v>
      </c>
      <c r="AL82" s="449">
        <f>Pratt!AP35</f>
        <v>456</v>
      </c>
      <c r="AM82" s="449">
        <f>Pratt!AQ35</f>
        <v>441</v>
      </c>
      <c r="AN82" s="448">
        <f>Pratt!AR35</f>
        <v>1780</v>
      </c>
      <c r="AO82" s="449">
        <f>Pratt!AS35</f>
        <v>470</v>
      </c>
      <c r="AP82" s="449">
        <f>Pratt!AT35</f>
        <v>529</v>
      </c>
      <c r="AQ82" s="449">
        <f>Pratt!AU35</f>
        <v>515</v>
      </c>
      <c r="AR82" s="449">
        <f>Pratt!AV35</f>
        <v>510</v>
      </c>
      <c r="AS82" s="448">
        <f>Pratt!AW35</f>
        <v>2024</v>
      </c>
      <c r="AT82" s="449">
        <f>Pratt!AX35</f>
        <v>540</v>
      </c>
      <c r="AU82" s="449">
        <f>Pratt!AY35</f>
        <v>563</v>
      </c>
      <c r="AV82" s="449">
        <f>Pratt!AZ35</f>
        <v>545</v>
      </c>
      <c r="AW82" s="449">
        <f>Pratt!BA35</f>
        <v>553</v>
      </c>
      <c r="AX82" s="448">
        <f>Pratt!BB35</f>
        <v>2201</v>
      </c>
      <c r="AY82" s="449">
        <f>Pratt!BC35</f>
        <v>500</v>
      </c>
      <c r="AZ82" s="449">
        <f>Pratt!BD35</f>
        <v>523</v>
      </c>
      <c r="BA82" s="449">
        <f>Pratt!BE35</f>
        <v>501</v>
      </c>
      <c r="BB82" s="449">
        <f>Pratt!BF35</f>
        <v>501</v>
      </c>
      <c r="BC82" s="448">
        <f>Pratt!BG35</f>
        <v>2025</v>
      </c>
      <c r="BD82" s="449">
        <f>Pratt!BH35</f>
        <v>462</v>
      </c>
      <c r="BE82" s="449">
        <f>Pratt!BI35</f>
        <v>531</v>
      </c>
      <c r="BF82" s="449">
        <f>Pratt!BJ35</f>
        <v>560</v>
      </c>
      <c r="BG82" s="449">
        <f>Pratt!BK35</f>
        <v>572</v>
      </c>
      <c r="BH82" s="448">
        <f>Pratt!BL35</f>
        <v>2125</v>
      </c>
      <c r="BI82" s="449">
        <f>Pratt!BM35</f>
        <v>432</v>
      </c>
      <c r="BJ82" s="449">
        <f>Pratt!BN35</f>
        <v>449</v>
      </c>
      <c r="BK82" s="449">
        <f>Pratt!BO35</f>
        <v>460</v>
      </c>
      <c r="BL82" s="449">
        <f>Pratt!BP35</f>
        <v>537</v>
      </c>
      <c r="BM82" s="448">
        <f>Pratt!BQ35</f>
        <v>1878</v>
      </c>
      <c r="BN82" s="449">
        <f>Pratt!BR35</f>
        <v>426</v>
      </c>
      <c r="BO82" s="449">
        <f>Pratt!BS35</f>
        <v>444</v>
      </c>
      <c r="BP82" s="449">
        <f>Pratt!BT35</f>
        <v>412</v>
      </c>
      <c r="BQ82" s="449">
        <f>Pratt!BU35</f>
        <v>403</v>
      </c>
      <c r="BR82" s="448">
        <f>Pratt!BV35</f>
        <v>1685</v>
      </c>
      <c r="BS82" s="449">
        <f>Pratt!BW35</f>
        <v>413</v>
      </c>
      <c r="BT82" s="449">
        <f>Pratt!BX35</f>
        <v>467</v>
      </c>
      <c r="BU82" s="449">
        <f>Pratt!BY35</f>
        <v>486</v>
      </c>
      <c r="BV82" s="449">
        <f>Pratt!BZ35</f>
        <v>496</v>
      </c>
      <c r="BW82" s="448">
        <f>Pratt!CA35</f>
        <v>1862</v>
      </c>
      <c r="BX82" s="449">
        <f>Pratt!CB35</f>
        <v>430</v>
      </c>
      <c r="BY82" s="449">
        <f>Pratt!CC35</f>
        <v>519</v>
      </c>
      <c r="BZ82" s="449">
        <f>Pratt!CD35</f>
        <v>558</v>
      </c>
      <c r="CA82" s="449">
        <f>Pratt!CE35</f>
        <v>556</v>
      </c>
      <c r="CB82" s="448">
        <f>Pratt!CF35</f>
        <v>2063</v>
      </c>
      <c r="CC82" s="449">
        <f>Pratt!CG35</f>
        <v>432</v>
      </c>
      <c r="CD82" s="449">
        <f>Pratt!CH35</f>
        <v>489</v>
      </c>
      <c r="CE82" s="449">
        <f>Pratt!CI35</f>
        <v>441</v>
      </c>
      <c r="CF82" s="449">
        <f>Pratt!CJ35</f>
        <v>551</v>
      </c>
      <c r="CG82" s="448">
        <f>Pratt!CK35</f>
        <v>1913</v>
      </c>
      <c r="CH82" s="449">
        <f>Pratt!CL35</f>
        <v>415</v>
      </c>
      <c r="CI82" s="449">
        <f>Pratt!CM35</f>
        <v>452</v>
      </c>
      <c r="CJ82" s="449">
        <f>Pratt!CN35</f>
        <v>414</v>
      </c>
      <c r="CK82" s="449">
        <f>Pratt!CO35</f>
        <v>470</v>
      </c>
      <c r="CL82" s="448">
        <f>Pratt!CP35</f>
        <v>1751</v>
      </c>
      <c r="CM82" s="449">
        <f>Pratt!CQ35</f>
        <v>393</v>
      </c>
      <c r="CN82" s="449">
        <f>Pratt!CR35</f>
        <v>408</v>
      </c>
      <c r="CO82" s="449">
        <f>Pratt!CS35</f>
        <v>423</v>
      </c>
      <c r="CP82" s="449">
        <f>Pratt!CT35</f>
        <v>399.99416801236765</v>
      </c>
      <c r="CQ82" s="448">
        <f>Pratt!CU35</f>
        <v>1623.9941680123677</v>
      </c>
      <c r="CR82" s="449">
        <f>Pratt!CV35</f>
        <v>367.23824744690739</v>
      </c>
      <c r="CS82" s="449">
        <f>Pratt!CW35</f>
        <v>382.23824744690739</v>
      </c>
      <c r="CT82" s="449">
        <f>Pratt!CX35</f>
        <v>397.23824744690739</v>
      </c>
      <c r="CU82" s="449">
        <f>Pratt!CY35</f>
        <v>374.23241545927499</v>
      </c>
      <c r="CV82" s="448">
        <f>Pratt!CZ35</f>
        <v>1520.9471577999971</v>
      </c>
      <c r="CW82" s="448">
        <f>Pratt!DA35</f>
        <v>1982.7489388165939</v>
      </c>
      <c r="CX82" s="2233">
        <f>Pratt!DB35</f>
        <v>2269.3009636403772</v>
      </c>
      <c r="CY82" s="2233">
        <f>Pratt!DC35</f>
        <v>2350.3671167210123</v>
      </c>
      <c r="CZ82" s="2233"/>
      <c r="DA82" t="s">
        <v>792</v>
      </c>
      <c r="DB82">
        <v>-50</v>
      </c>
      <c r="DC82">
        <v>0</v>
      </c>
      <c r="DD82" s="2233">
        <f t="shared" si="81"/>
        <v>-127.00583198763229</v>
      </c>
    </row>
    <row r="83" spans="1:108" ht="12" customHeight="1">
      <c r="A83" s="268"/>
      <c r="B83" s="268"/>
      <c r="C83" s="116" t="s">
        <v>164</v>
      </c>
      <c r="D83" s="1110"/>
      <c r="E83" s="407"/>
      <c r="F83" s="449"/>
      <c r="G83" s="449"/>
      <c r="H83" s="449"/>
      <c r="I83" s="449"/>
      <c r="J83" s="448"/>
      <c r="K83" s="449"/>
      <c r="L83" s="449"/>
      <c r="M83" s="449"/>
      <c r="N83" s="449"/>
      <c r="O83" s="448"/>
      <c r="P83" s="449"/>
      <c r="Q83" s="449"/>
      <c r="R83" s="449"/>
      <c r="S83" s="449"/>
      <c r="T83" s="448"/>
      <c r="U83" s="449"/>
      <c r="V83" s="449"/>
      <c r="W83" s="449"/>
      <c r="X83" s="449"/>
      <c r="Y83" s="448"/>
      <c r="Z83" s="449"/>
      <c r="AA83" s="449"/>
      <c r="AB83" s="449"/>
      <c r="AC83" s="449"/>
      <c r="AD83" s="448"/>
      <c r="AE83" s="449"/>
      <c r="AF83" s="449"/>
      <c r="AG83" s="449"/>
      <c r="AH83" s="449"/>
      <c r="AI83" s="448"/>
      <c r="AJ83" s="449"/>
      <c r="AK83" s="449"/>
      <c r="AL83" s="449"/>
      <c r="AM83" s="449"/>
      <c r="AN83" s="448"/>
      <c r="AO83" s="449"/>
      <c r="AP83" s="449"/>
      <c r="AQ83" s="449"/>
      <c r="AR83" s="449"/>
      <c r="AS83" s="448"/>
      <c r="AT83" s="449"/>
      <c r="AU83" s="449"/>
      <c r="AV83" s="449"/>
      <c r="AW83" s="449"/>
      <c r="AX83" s="448"/>
      <c r="AY83" s="449"/>
      <c r="AZ83" s="449"/>
      <c r="BA83" s="449"/>
      <c r="BB83" s="449"/>
      <c r="BC83" s="448"/>
      <c r="BD83" s="449"/>
      <c r="BE83" s="449"/>
      <c r="BF83" s="449"/>
      <c r="BG83" s="449"/>
      <c r="BH83" s="448"/>
      <c r="BI83" s="449">
        <f>'Aerospace Systems'!O35</f>
        <v>174</v>
      </c>
      <c r="BJ83" s="449">
        <f>'Aerospace Systems'!P35</f>
        <v>187</v>
      </c>
      <c r="BK83" s="449">
        <f>'Aerospace Systems'!Q35</f>
        <v>205</v>
      </c>
      <c r="BL83" s="449">
        <f>'Aerospace Systems'!R35</f>
        <v>204</v>
      </c>
      <c r="BM83" s="448">
        <f>'Aerospace Systems'!S35</f>
        <v>770</v>
      </c>
      <c r="BN83" s="449">
        <f>'Aerospace Systems'!T35</f>
        <v>200</v>
      </c>
      <c r="BO83" s="449">
        <f>'Aerospace Systems'!U35</f>
        <v>214</v>
      </c>
      <c r="BP83" s="449">
        <f>'Aerospace Systems'!V35</f>
        <v>306</v>
      </c>
      <c r="BQ83" s="449">
        <f>'Aerospace Systems'!W35</f>
        <v>339</v>
      </c>
      <c r="BR83" s="448">
        <f>'Aerospace Systems'!X35</f>
        <v>1059</v>
      </c>
      <c r="BS83" s="449">
        <f>'Aerospace Systems'!Y35</f>
        <v>509</v>
      </c>
      <c r="BT83" s="449">
        <f>'Aerospace Systems'!Z35</f>
        <v>532</v>
      </c>
      <c r="BU83" s="449">
        <f>'Aerospace Systems'!AA35</f>
        <v>525</v>
      </c>
      <c r="BV83" s="449">
        <f>'Aerospace Systems'!AB35</f>
        <v>544</v>
      </c>
      <c r="BW83" s="448">
        <f>'Aerospace Systems'!AC35</f>
        <v>2110</v>
      </c>
      <c r="BX83" s="449">
        <f>'Aerospace Systems'!AD35</f>
        <v>596</v>
      </c>
      <c r="BY83" s="449">
        <f>'Aerospace Systems'!AE35</f>
        <v>606</v>
      </c>
      <c r="BZ83" s="449">
        <f>'Aerospace Systems'!AF35</f>
        <v>601</v>
      </c>
      <c r="CA83" s="449">
        <f>'Aerospace Systems'!AG35</f>
        <v>634</v>
      </c>
      <c r="CB83" s="448">
        <f>'Aerospace Systems'!AH35</f>
        <v>2437</v>
      </c>
      <c r="CC83" s="449">
        <f>'Aerospace Systems'!AI35</f>
        <v>619</v>
      </c>
      <c r="CD83" s="449">
        <f>'Aerospace Systems'!AJ35</f>
        <v>580</v>
      </c>
      <c r="CE83" s="449">
        <f>'Aerospace Systems'!AK35</f>
        <v>586</v>
      </c>
      <c r="CF83" s="449">
        <f>'Aerospace Systems'!AL35</f>
        <v>570</v>
      </c>
      <c r="CG83" s="448">
        <f>'Aerospace Systems'!AM35</f>
        <v>2355</v>
      </c>
      <c r="CH83" s="449">
        <f>'Aerospace Systems'!AN35</f>
        <v>551</v>
      </c>
      <c r="CI83" s="449">
        <f>'Aerospace Systems'!AO35</f>
        <v>590</v>
      </c>
      <c r="CJ83" s="449">
        <f>'Aerospace Systems'!AP35</f>
        <v>611</v>
      </c>
      <c r="CK83" s="449">
        <f>'Aerospace Systems'!AQ35</f>
        <v>595</v>
      </c>
      <c r="CL83" s="448">
        <f>'Aerospace Systems'!AR35</f>
        <v>2347</v>
      </c>
      <c r="CM83" s="449">
        <f>'Aerospace Systems'!AS35</f>
        <v>599</v>
      </c>
      <c r="CN83" s="449">
        <f>'Aerospace Systems'!AT35</f>
        <v>603</v>
      </c>
      <c r="CO83" s="449">
        <f>'Aerospace Systems'!AU35</f>
        <v>633</v>
      </c>
      <c r="CP83" s="449">
        <f>'Aerospace Systems'!AV35</f>
        <v>599.61780353347467</v>
      </c>
      <c r="CQ83" s="448">
        <f>'Aerospace Systems'!AW35</f>
        <v>2434.6178035334747</v>
      </c>
      <c r="CR83" s="449">
        <f>'Aerospace Systems'!AX35</f>
        <v>624.27700000000004</v>
      </c>
      <c r="CS83" s="449">
        <f>'Aerospace Systems'!AY35</f>
        <v>641.22</v>
      </c>
      <c r="CT83" s="449">
        <f>'Aerospace Systems'!AZ35</f>
        <v>671.18849999999998</v>
      </c>
      <c r="CU83" s="449">
        <f>'Aerospace Systems'!BA35</f>
        <v>648.58803923664664</v>
      </c>
      <c r="CV83" s="448">
        <f>'Aerospace Systems'!BB35</f>
        <v>2585.2735392366467</v>
      </c>
      <c r="CW83" s="448">
        <f>'Aerospace Systems'!BC35</f>
        <v>2740.2483648996422</v>
      </c>
      <c r="CX83" s="2233">
        <f>'Aerospace Systems'!BD35</f>
        <v>2904.3094305630007</v>
      </c>
      <c r="CY83" s="2233">
        <f>'Aerospace Systems'!BE35</f>
        <v>2986.8583413144834</v>
      </c>
      <c r="CZ83" s="2233"/>
      <c r="DA83" t="s">
        <v>791</v>
      </c>
      <c r="DB83">
        <v>-50</v>
      </c>
      <c r="DC83">
        <v>0</v>
      </c>
      <c r="DD83" s="2233">
        <f t="shared" si="81"/>
        <v>87.617803533474671</v>
      </c>
    </row>
    <row r="84" spans="1:108" ht="12" hidden="1" customHeight="1" outlineLevel="1">
      <c r="A84" s="268"/>
      <c r="B84" s="268"/>
      <c r="C84" s="268" t="str">
        <f>C152</f>
        <v>Hamilton Sundstrand</v>
      </c>
      <c r="D84" s="1110"/>
      <c r="E84" s="407"/>
      <c r="F84" s="449">
        <f t="shared" ref="F84:I85" si="84">F139+F113-F126</f>
        <v>138</v>
      </c>
      <c r="G84" s="449">
        <f t="shared" si="84"/>
        <v>140</v>
      </c>
      <c r="H84" s="449">
        <f t="shared" si="84"/>
        <v>165</v>
      </c>
      <c r="I84" s="449">
        <f t="shared" si="84"/>
        <v>171</v>
      </c>
      <c r="J84" s="448"/>
      <c r="K84" s="449">
        <f t="shared" ref="K84:T84" si="85">K139+K113-K126</f>
        <v>168</v>
      </c>
      <c r="L84" s="449">
        <f t="shared" si="85"/>
        <v>179</v>
      </c>
      <c r="M84" s="449">
        <f t="shared" si="85"/>
        <v>182</v>
      </c>
      <c r="N84" s="449">
        <f t="shared" si="85"/>
        <v>171</v>
      </c>
      <c r="O84" s="448">
        <f t="shared" si="85"/>
        <v>700</v>
      </c>
      <c r="P84" s="449">
        <f t="shared" si="85"/>
        <v>125.472334682861</v>
      </c>
      <c r="Q84" s="449">
        <f t="shared" si="85"/>
        <v>146.39676113360323</v>
      </c>
      <c r="R84" s="449">
        <f t="shared" si="85"/>
        <v>169.73414304993253</v>
      </c>
      <c r="S84" s="449">
        <f t="shared" si="85"/>
        <v>178.39676113360326</v>
      </c>
      <c r="T84" s="448">
        <f t="shared" si="85"/>
        <v>620</v>
      </c>
      <c r="U84" s="449">
        <v>141.64203821656051</v>
      </c>
      <c r="V84" s="449">
        <v>131.2624203821656</v>
      </c>
      <c r="W84" s="449">
        <v>154.53885350318473</v>
      </c>
      <c r="X84" s="449">
        <v>177.55668789808914</v>
      </c>
      <c r="Y84" s="448">
        <v>605</v>
      </c>
      <c r="Z84" s="449">
        <v>151</v>
      </c>
      <c r="AA84" s="449">
        <v>150</v>
      </c>
      <c r="AB84" s="449">
        <v>165</v>
      </c>
      <c r="AC84" s="449">
        <v>188</v>
      </c>
      <c r="AD84" s="448">
        <v>654</v>
      </c>
      <c r="AE84" s="449">
        <v>161</v>
      </c>
      <c r="AF84" s="449">
        <v>187</v>
      </c>
      <c r="AG84" s="449">
        <v>195</v>
      </c>
      <c r="AH84" s="449">
        <v>198</v>
      </c>
      <c r="AI84" s="448">
        <v>741</v>
      </c>
      <c r="AJ84" s="449">
        <v>189</v>
      </c>
      <c r="AK84" s="449">
        <v>221</v>
      </c>
      <c r="AL84" s="449">
        <v>232</v>
      </c>
      <c r="AM84" s="449">
        <v>230</v>
      </c>
      <c r="AN84" s="448">
        <v>872</v>
      </c>
      <c r="AO84" s="449">
        <v>224</v>
      </c>
      <c r="AP84" s="449">
        <v>252</v>
      </c>
      <c r="AQ84" s="449">
        <v>257</v>
      </c>
      <c r="AR84" s="449">
        <v>257</v>
      </c>
      <c r="AS84" s="448">
        <v>990</v>
      </c>
      <c r="AT84" s="449">
        <v>230</v>
      </c>
      <c r="AU84" s="449">
        <v>280</v>
      </c>
      <c r="AV84" s="449">
        <v>288</v>
      </c>
      <c r="AW84" s="449">
        <v>292</v>
      </c>
      <c r="AX84" s="448">
        <v>1065</v>
      </c>
      <c r="AY84" s="449">
        <v>211</v>
      </c>
      <c r="AZ84" s="449">
        <v>224</v>
      </c>
      <c r="BA84" s="449">
        <v>260</v>
      </c>
      <c r="BB84" s="449">
        <v>250</v>
      </c>
      <c r="BC84" s="448">
        <v>945</v>
      </c>
      <c r="BD84" s="449">
        <v>223</v>
      </c>
      <c r="BE84" s="449">
        <v>239</v>
      </c>
      <c r="BF84" s="449">
        <v>257</v>
      </c>
      <c r="BG84" s="449">
        <v>264</v>
      </c>
      <c r="BH84" s="448">
        <v>1011</v>
      </c>
      <c r="BI84" s="449">
        <v>174</v>
      </c>
      <c r="BJ84" s="449">
        <v>187</v>
      </c>
      <c r="BK84" s="449">
        <v>286</v>
      </c>
      <c r="BL84" s="449">
        <v>295</v>
      </c>
      <c r="BM84" s="448">
        <v>942</v>
      </c>
      <c r="BN84" s="449">
        <f>BN51-BN72</f>
        <v>200</v>
      </c>
      <c r="BO84" s="449">
        <f>BO51-BO72</f>
        <v>214</v>
      </c>
      <c r="BP84" s="449">
        <f>BP51-BP72</f>
        <v>317.31153090718135</v>
      </c>
      <c r="BQ84" s="449">
        <f>BQ51-BQ72</f>
        <v>327.88615186823449</v>
      </c>
      <c r="BR84" s="448"/>
      <c r="BS84" s="449">
        <f>BS139+BS113-BS126</f>
        <v>0</v>
      </c>
      <c r="BT84" s="449">
        <f>BT139+BT113-BT126</f>
        <v>0</v>
      </c>
      <c r="BU84" s="449">
        <f>BU139+BU113-BU126</f>
        <v>0</v>
      </c>
      <c r="BV84" s="449">
        <f>BV139+BV113-BV126</f>
        <v>0</v>
      </c>
      <c r="BW84" s="448">
        <f>BW139+BW113-BW126</f>
        <v>0</v>
      </c>
      <c r="BX84" s="449"/>
      <c r="BY84" s="449"/>
      <c r="BZ84" s="449"/>
      <c r="CA84" s="449"/>
      <c r="CB84" s="448">
        <f>CB139+CB113-CB126</f>
        <v>0</v>
      </c>
      <c r="CC84" s="449"/>
      <c r="CD84" s="449"/>
      <c r="CE84" s="449"/>
      <c r="CF84" s="449"/>
      <c r="CG84" s="448">
        <f>CG139+CG113-CG126</f>
        <v>0</v>
      </c>
      <c r="CH84" s="449"/>
      <c r="CI84" s="449"/>
      <c r="CJ84" s="449"/>
      <c r="CK84" s="449"/>
      <c r="CL84" s="448">
        <f>CL139+CL113-CL126</f>
        <v>0</v>
      </c>
      <c r="CM84" s="449"/>
      <c r="CN84" s="449"/>
      <c r="CO84" s="449"/>
      <c r="CP84" s="449"/>
      <c r="CQ84" s="448">
        <f>CQ139+CQ113-CQ126</f>
        <v>0</v>
      </c>
      <c r="CR84" s="449"/>
      <c r="CS84" s="449"/>
      <c r="CT84" s="449"/>
      <c r="CU84" s="449"/>
      <c r="CV84" s="448">
        <f>CV139+CV113-CV126</f>
        <v>0</v>
      </c>
      <c r="CW84" s="448">
        <f>CW139+CW113-CW126</f>
        <v>0</v>
      </c>
      <c r="CX84" s="2233">
        <f>CX139+CX113-CX126</f>
        <v>0</v>
      </c>
      <c r="CY84" s="2233">
        <f>CY139+CY113-CY126</f>
        <v>0</v>
      </c>
    </row>
    <row r="85" spans="1:108" ht="12" customHeight="1" collapsed="1">
      <c r="A85" s="268"/>
      <c r="B85" s="268"/>
      <c r="C85" s="268" t="str">
        <f>C153</f>
        <v>Sikorsky</v>
      </c>
      <c r="D85" s="1110"/>
      <c r="E85" s="407"/>
      <c r="F85" s="449">
        <f t="shared" si="84"/>
        <v>0</v>
      </c>
      <c r="G85" s="449">
        <f t="shared" si="84"/>
        <v>0</v>
      </c>
      <c r="H85" s="449">
        <f t="shared" si="84"/>
        <v>0</v>
      </c>
      <c r="I85" s="449">
        <f t="shared" si="84"/>
        <v>0</v>
      </c>
      <c r="J85" s="448">
        <f>J52-J73</f>
        <v>0</v>
      </c>
      <c r="K85" s="449">
        <f t="shared" ref="K85:T85" si="86">K140+K114-K127</f>
        <v>0</v>
      </c>
      <c r="L85" s="449">
        <f t="shared" si="86"/>
        <v>0</v>
      </c>
      <c r="M85" s="449">
        <f t="shared" si="86"/>
        <v>0</v>
      </c>
      <c r="N85" s="449">
        <f t="shared" si="86"/>
        <v>0</v>
      </c>
      <c r="O85" s="448">
        <f t="shared" si="86"/>
        <v>0</v>
      </c>
      <c r="P85" s="449">
        <f t="shared" si="86"/>
        <v>37.527665317139004</v>
      </c>
      <c r="Q85" s="449">
        <f t="shared" si="86"/>
        <v>45.603238866396765</v>
      </c>
      <c r="R85" s="449">
        <f t="shared" si="86"/>
        <v>47.265856950067473</v>
      </c>
      <c r="S85" s="449">
        <f t="shared" si="86"/>
        <v>45.603238866396765</v>
      </c>
      <c r="T85" s="448">
        <f t="shared" si="86"/>
        <v>176</v>
      </c>
      <c r="U85" s="449">
        <v>48.357961783439492</v>
      </c>
      <c r="V85" s="449">
        <v>44.737579617834399</v>
      </c>
      <c r="W85" s="449">
        <v>51.461146496815289</v>
      </c>
      <c r="X85" s="449">
        <v>58.443312101910806</v>
      </c>
      <c r="Y85" s="448">
        <v>203</v>
      </c>
      <c r="Z85" s="449">
        <v>47</v>
      </c>
      <c r="AA85" s="449">
        <v>57</v>
      </c>
      <c r="AB85" s="449">
        <v>54</v>
      </c>
      <c r="AC85" s="449">
        <v>51</v>
      </c>
      <c r="AD85" s="448">
        <v>209</v>
      </c>
      <c r="AE85" s="449">
        <v>53</v>
      </c>
      <c r="AF85" s="449">
        <v>66</v>
      </c>
      <c r="AG85" s="449">
        <v>64</v>
      </c>
      <c r="AH85" s="449">
        <v>70</v>
      </c>
      <c r="AI85" s="448">
        <v>253</v>
      </c>
      <c r="AJ85" s="449">
        <v>3</v>
      </c>
      <c r="AK85" s="449">
        <v>61</v>
      </c>
      <c r="AL85" s="449">
        <v>70</v>
      </c>
      <c r="AM85" s="449">
        <v>60</v>
      </c>
      <c r="AN85" s="448">
        <v>194</v>
      </c>
      <c r="AO85" s="449">
        <v>70</v>
      </c>
      <c r="AP85" s="449">
        <v>87</v>
      </c>
      <c r="AQ85" s="449">
        <v>103</v>
      </c>
      <c r="AR85" s="449">
        <v>110</v>
      </c>
      <c r="AS85" s="448">
        <v>370</v>
      </c>
      <c r="AT85" s="449">
        <v>82</v>
      </c>
      <c r="AU85" s="449">
        <v>111</v>
      </c>
      <c r="AV85" s="449">
        <v>133</v>
      </c>
      <c r="AW85" s="449">
        <v>152</v>
      </c>
      <c r="AX85" s="448">
        <v>478</v>
      </c>
      <c r="AY85" s="449">
        <v>116</v>
      </c>
      <c r="AZ85" s="449">
        <v>140</v>
      </c>
      <c r="BA85" s="449">
        <v>157</v>
      </c>
      <c r="BB85" s="449">
        <v>202</v>
      </c>
      <c r="BC85" s="448">
        <v>615</v>
      </c>
      <c r="BD85" s="449">
        <v>145</v>
      </c>
      <c r="BE85" s="449">
        <v>176</v>
      </c>
      <c r="BF85" s="449">
        <v>170</v>
      </c>
      <c r="BG85" s="449">
        <v>239</v>
      </c>
      <c r="BH85" s="448">
        <v>730</v>
      </c>
      <c r="BI85" s="449">
        <v>142</v>
      </c>
      <c r="BJ85" s="449">
        <v>206</v>
      </c>
      <c r="BK85" s="449">
        <v>228</v>
      </c>
      <c r="BL85" s="449">
        <v>244</v>
      </c>
      <c r="BM85" s="448">
        <v>820</v>
      </c>
      <c r="BN85" s="449">
        <v>139</v>
      </c>
      <c r="BO85" s="449">
        <v>216</v>
      </c>
      <c r="BP85" s="449">
        <v>215</v>
      </c>
      <c r="BQ85" s="449">
        <v>195</v>
      </c>
      <c r="BR85" s="448">
        <v>765</v>
      </c>
      <c r="BS85" s="449">
        <v>95</v>
      </c>
      <c r="BT85" s="449">
        <v>165</v>
      </c>
      <c r="BU85" s="449">
        <v>170</v>
      </c>
      <c r="BV85" s="449">
        <v>214</v>
      </c>
      <c r="BW85" s="448">
        <v>644</v>
      </c>
      <c r="BX85" s="449">
        <v>103</v>
      </c>
      <c r="BY85" s="449">
        <v>149</v>
      </c>
      <c r="BZ85" s="449">
        <v>152</v>
      </c>
      <c r="CA85" s="449">
        <v>295</v>
      </c>
      <c r="CB85" s="448">
        <v>699</v>
      </c>
      <c r="CC85" s="449"/>
      <c r="CD85" s="449"/>
      <c r="CE85" s="449"/>
      <c r="CF85" s="449"/>
      <c r="CG85" s="1097"/>
      <c r="CH85" s="449"/>
      <c r="CI85" s="449"/>
      <c r="CJ85" s="449"/>
      <c r="CK85" s="449"/>
      <c r="CL85" s="448"/>
      <c r="CM85" s="449"/>
      <c r="CN85" s="449"/>
      <c r="CO85" s="449"/>
      <c r="CP85" s="449"/>
      <c r="CQ85" s="448"/>
      <c r="CR85" s="449"/>
      <c r="CS85" s="449"/>
      <c r="CT85" s="449"/>
      <c r="CU85" s="449"/>
      <c r="CV85" s="448"/>
      <c r="CW85" s="448"/>
      <c r="CX85" s="2233"/>
      <c r="CY85" s="2233"/>
      <c r="DA85" t="s">
        <v>1030</v>
      </c>
      <c r="DB85">
        <f>SUM(DB78:DB84)</f>
        <v>-200</v>
      </c>
      <c r="DC85">
        <f>SUM(DC78:DC84)</f>
        <v>-100</v>
      </c>
    </row>
    <row r="86" spans="1:108" ht="12" customHeight="1" thickBot="1">
      <c r="A86" s="271"/>
      <c r="B86" s="271"/>
      <c r="C86" s="1093" t="s">
        <v>251</v>
      </c>
      <c r="D86" s="1093"/>
      <c r="E86" s="1100"/>
      <c r="F86" s="1090">
        <f t="shared" ref="F86:AK86" si="87">SUM(F78:F85)</f>
        <v>735</v>
      </c>
      <c r="G86" s="1090">
        <f t="shared" si="87"/>
        <v>932</v>
      </c>
      <c r="H86" s="1090">
        <f t="shared" si="87"/>
        <v>908</v>
      </c>
      <c r="I86" s="1090">
        <f t="shared" si="87"/>
        <v>832</v>
      </c>
      <c r="J86" s="1089">
        <f t="shared" si="87"/>
        <v>2793</v>
      </c>
      <c r="K86" s="1090">
        <f t="shared" si="87"/>
        <v>862</v>
      </c>
      <c r="L86" s="1090">
        <f t="shared" si="87"/>
        <v>1072</v>
      </c>
      <c r="M86" s="1090">
        <f t="shared" si="87"/>
        <v>1004</v>
      </c>
      <c r="N86" s="1090">
        <f t="shared" si="87"/>
        <v>825</v>
      </c>
      <c r="O86" s="1089">
        <f t="shared" si="87"/>
        <v>3763</v>
      </c>
      <c r="P86" s="1090">
        <f t="shared" si="87"/>
        <v>875</v>
      </c>
      <c r="Q86" s="1090">
        <f t="shared" si="87"/>
        <v>1154</v>
      </c>
      <c r="R86" s="1090">
        <f t="shared" si="87"/>
        <v>1155</v>
      </c>
      <c r="S86" s="1090">
        <f t="shared" si="87"/>
        <v>997</v>
      </c>
      <c r="T86" s="1089">
        <f t="shared" si="87"/>
        <v>4181</v>
      </c>
      <c r="U86" s="1090">
        <f t="shared" si="87"/>
        <v>939</v>
      </c>
      <c r="V86" s="1090">
        <f t="shared" si="87"/>
        <v>1152</v>
      </c>
      <c r="W86" s="1090">
        <f t="shared" si="87"/>
        <v>1169</v>
      </c>
      <c r="X86" s="1090">
        <f t="shared" si="87"/>
        <v>1115</v>
      </c>
      <c r="Y86" s="1089">
        <f t="shared" si="87"/>
        <v>4375</v>
      </c>
      <c r="Z86" s="1090">
        <f t="shared" si="87"/>
        <v>1031</v>
      </c>
      <c r="AA86" s="1090">
        <f t="shared" si="87"/>
        <v>1362</v>
      </c>
      <c r="AB86" s="1090">
        <f t="shared" si="87"/>
        <v>1292</v>
      </c>
      <c r="AC86" s="1090">
        <f t="shared" si="87"/>
        <v>1171</v>
      </c>
      <c r="AD86" s="1089">
        <f t="shared" si="87"/>
        <v>4856</v>
      </c>
      <c r="AE86" s="1090">
        <f t="shared" si="87"/>
        <v>1208</v>
      </c>
      <c r="AF86" s="1090">
        <f t="shared" si="87"/>
        <v>1535</v>
      </c>
      <c r="AG86" s="1090">
        <f t="shared" si="87"/>
        <v>1535</v>
      </c>
      <c r="AH86" s="1090">
        <f t="shared" si="87"/>
        <v>1408</v>
      </c>
      <c r="AI86" s="1089">
        <f t="shared" si="87"/>
        <v>5686</v>
      </c>
      <c r="AJ86" s="1090">
        <f t="shared" si="87"/>
        <v>1328</v>
      </c>
      <c r="AK86" s="1090">
        <f t="shared" si="87"/>
        <v>1738</v>
      </c>
      <c r="AL86" s="1090">
        <f t="shared" ref="AL86:BH86" si="88">SUM(AL78:AL85)</f>
        <v>1729</v>
      </c>
      <c r="AM86" s="1090">
        <f t="shared" si="88"/>
        <v>1576</v>
      </c>
      <c r="AN86" s="1089">
        <f t="shared" si="88"/>
        <v>6371</v>
      </c>
      <c r="AO86" s="1090">
        <f t="shared" si="88"/>
        <v>1565</v>
      </c>
      <c r="AP86" s="1090">
        <f t="shared" si="88"/>
        <v>2002</v>
      </c>
      <c r="AQ86" s="1090">
        <f t="shared" si="88"/>
        <v>2004</v>
      </c>
      <c r="AR86" s="1090">
        <f t="shared" si="88"/>
        <v>1920</v>
      </c>
      <c r="AS86" s="1089">
        <f t="shared" si="88"/>
        <v>7470</v>
      </c>
      <c r="AT86" s="1090">
        <f t="shared" si="88"/>
        <v>1814</v>
      </c>
      <c r="AU86" s="1090">
        <f t="shared" si="88"/>
        <v>2315</v>
      </c>
      <c r="AV86" s="1090">
        <f t="shared" si="88"/>
        <v>2228</v>
      </c>
      <c r="AW86" s="1090">
        <f t="shared" si="88"/>
        <v>1904</v>
      </c>
      <c r="AX86" s="1089">
        <f t="shared" si="88"/>
        <v>8169</v>
      </c>
      <c r="AY86" s="1090">
        <f t="shared" si="88"/>
        <v>1525</v>
      </c>
      <c r="AZ86" s="1090">
        <f t="shared" si="88"/>
        <v>1979</v>
      </c>
      <c r="BA86" s="1090">
        <f t="shared" si="88"/>
        <v>2057</v>
      </c>
      <c r="BB86" s="1090">
        <f t="shared" si="88"/>
        <v>2048</v>
      </c>
      <c r="BC86" s="1089">
        <f t="shared" si="88"/>
        <v>7525</v>
      </c>
      <c r="BD86" s="1090">
        <f t="shared" si="88"/>
        <v>1727</v>
      </c>
      <c r="BE86" s="1090">
        <f t="shared" si="88"/>
        <v>2186</v>
      </c>
      <c r="BF86" s="1090">
        <f t="shared" si="88"/>
        <v>2243</v>
      </c>
      <c r="BG86" s="1090">
        <f t="shared" si="88"/>
        <v>2274</v>
      </c>
      <c r="BH86" s="1089">
        <f t="shared" si="88"/>
        <v>8463</v>
      </c>
      <c r="BI86" s="1090">
        <f t="shared" ref="BI86:CV86" si="89">BI78+BI79+BI82+BI83+BI85</f>
        <v>1872</v>
      </c>
      <c r="BJ86" s="1090">
        <f t="shared" si="89"/>
        <v>2278</v>
      </c>
      <c r="BK86" s="1090">
        <f t="shared" si="89"/>
        <v>2292</v>
      </c>
      <c r="BL86" s="1090">
        <f t="shared" si="89"/>
        <v>2209</v>
      </c>
      <c r="BM86" s="1089">
        <f t="shared" si="89"/>
        <v>8651</v>
      </c>
      <c r="BN86" s="1090">
        <f t="shared" si="89"/>
        <v>1826</v>
      </c>
      <c r="BO86" s="1090">
        <f t="shared" si="89"/>
        <v>2276</v>
      </c>
      <c r="BP86" s="1090">
        <f t="shared" si="89"/>
        <v>2284</v>
      </c>
      <c r="BQ86" s="1090">
        <f t="shared" si="89"/>
        <v>2210</v>
      </c>
      <c r="BR86" s="1089">
        <f t="shared" si="89"/>
        <v>8596</v>
      </c>
      <c r="BS86" s="1090">
        <f t="shared" si="89"/>
        <v>2106</v>
      </c>
      <c r="BT86" s="1090">
        <f t="shared" si="89"/>
        <v>2621</v>
      </c>
      <c r="BU86" s="1090">
        <f t="shared" si="89"/>
        <v>2605</v>
      </c>
      <c r="BV86" s="1090">
        <f t="shared" si="89"/>
        <v>2594</v>
      </c>
      <c r="BW86" s="1089">
        <f t="shared" si="89"/>
        <v>9926</v>
      </c>
      <c r="BX86" s="1090">
        <f t="shared" si="89"/>
        <v>2296</v>
      </c>
      <c r="BY86" s="1090">
        <f t="shared" si="89"/>
        <v>2828</v>
      </c>
      <c r="BZ86" s="1090">
        <f t="shared" si="89"/>
        <v>2820</v>
      </c>
      <c r="CA86" s="1090">
        <f t="shared" si="89"/>
        <v>2850</v>
      </c>
      <c r="CB86" s="1089">
        <f t="shared" si="89"/>
        <v>10794</v>
      </c>
      <c r="CC86" s="1090">
        <f t="shared" si="89"/>
        <v>2211</v>
      </c>
      <c r="CD86" s="1090">
        <f t="shared" si="89"/>
        <v>2555</v>
      </c>
      <c r="CE86" s="1090">
        <f t="shared" si="89"/>
        <v>2473</v>
      </c>
      <c r="CF86" s="1090">
        <f>CF78+CF79+CF82+CF83+CF85</f>
        <v>2341</v>
      </c>
      <c r="CG86" s="1089">
        <f t="shared" si="89"/>
        <v>9580</v>
      </c>
      <c r="CH86" s="1090">
        <f>CH78+CH79+CH82+CH83+CH85</f>
        <v>2081</v>
      </c>
      <c r="CI86" s="1090">
        <f t="shared" si="89"/>
        <v>2548</v>
      </c>
      <c r="CJ86" s="1090">
        <f>CJ78+CJ79+CJ82+CJ83+CJ85</f>
        <v>2449</v>
      </c>
      <c r="CK86" s="1090">
        <f t="shared" si="89"/>
        <v>2279</v>
      </c>
      <c r="CL86" s="1089">
        <f t="shared" si="89"/>
        <v>9387.7982041718551</v>
      </c>
      <c r="CM86" s="1090">
        <f t="shared" si="89"/>
        <v>2056</v>
      </c>
      <c r="CN86" s="1090">
        <f t="shared" ref="CN86:CO86" si="90">CN78+CN79+CN82+CN83+CN85</f>
        <v>2458</v>
      </c>
      <c r="CO86" s="1090">
        <f t="shared" si="90"/>
        <v>2488</v>
      </c>
      <c r="CP86" s="1090">
        <f>CP78+CP79+CP82+CP83+CP85</f>
        <v>2260.8037645854042</v>
      </c>
      <c r="CQ86" s="1089">
        <f t="shared" si="89"/>
        <v>9262.8037645854038</v>
      </c>
      <c r="CR86" s="1090">
        <f>CR78+CR79+CR82+CR83+CR85</f>
        <v>2138.5432574488609</v>
      </c>
      <c r="CS86" s="1090">
        <f>CS78+CS79+CS82+CS83+CS85</f>
        <v>2542.1606510391093</v>
      </c>
      <c r="CT86" s="1090">
        <f>CT78+CT79+CT82+CT83+CT85</f>
        <v>2580.4914943255017</v>
      </c>
      <c r="CU86" s="1090">
        <f>CU78+CU79+CU82+CU83+CU85</f>
        <v>2350.0990385451601</v>
      </c>
      <c r="CV86" s="1089">
        <f t="shared" si="89"/>
        <v>9611.294441358632</v>
      </c>
      <c r="CW86" s="1089">
        <f>CW78+CW79+CW82+CW83+CW85</f>
        <v>10523.503655127797</v>
      </c>
      <c r="CX86" s="1089">
        <f>CX78+CX79+CX82+CX83+CX85</f>
        <v>11247.956765266816</v>
      </c>
      <c r="CY86" s="1089">
        <f>CY78+CY79+CY82+CY83+CY85</f>
        <v>11643.632017034339</v>
      </c>
      <c r="CZ86" s="1166">
        <f>CL86-CG86</f>
        <v>-192.2017958281449</v>
      </c>
    </row>
    <row r="87" spans="1:108" ht="12" customHeight="1" thickTop="1">
      <c r="A87" s="271"/>
      <c r="B87" s="271"/>
      <c r="C87" s="116" t="s">
        <v>814</v>
      </c>
      <c r="D87" s="302"/>
      <c r="E87" s="1129"/>
      <c r="F87" s="305">
        <f t="shared" ref="F87:AK87" si="91">F141+F115-F128</f>
        <v>-11</v>
      </c>
      <c r="G87" s="305">
        <f t="shared" si="91"/>
        <v>3</v>
      </c>
      <c r="H87" s="305">
        <f t="shared" si="91"/>
        <v>-2</v>
      </c>
      <c r="I87" s="305">
        <f t="shared" si="91"/>
        <v>-29</v>
      </c>
      <c r="J87" s="303">
        <f t="shared" si="91"/>
        <v>-39</v>
      </c>
      <c r="K87" s="305">
        <f t="shared" si="91"/>
        <v>-33</v>
      </c>
      <c r="L87" s="305">
        <f t="shared" si="91"/>
        <v>-29</v>
      </c>
      <c r="M87" s="305">
        <f t="shared" si="91"/>
        <v>89</v>
      </c>
      <c r="N87" s="305">
        <f t="shared" si="91"/>
        <v>-2</v>
      </c>
      <c r="O87" s="303">
        <f t="shared" si="91"/>
        <v>25</v>
      </c>
      <c r="P87" s="305">
        <f t="shared" si="91"/>
        <v>83</v>
      </c>
      <c r="Q87" s="305">
        <f t="shared" si="91"/>
        <v>-40</v>
      </c>
      <c r="R87" s="305">
        <f t="shared" si="91"/>
        <v>-42</v>
      </c>
      <c r="S87" s="305">
        <f t="shared" si="91"/>
        <v>-29</v>
      </c>
      <c r="T87" s="303">
        <f t="shared" si="91"/>
        <v>-28</v>
      </c>
      <c r="U87" s="305">
        <f t="shared" si="91"/>
        <v>-37</v>
      </c>
      <c r="V87" s="305">
        <f t="shared" si="91"/>
        <v>-48</v>
      </c>
      <c r="W87" s="305">
        <f t="shared" si="91"/>
        <v>-48</v>
      </c>
      <c r="X87" s="305">
        <f t="shared" si="91"/>
        <v>-31</v>
      </c>
      <c r="Y87" s="303">
        <f t="shared" si="91"/>
        <v>-164</v>
      </c>
      <c r="Z87" s="305">
        <f t="shared" si="91"/>
        <v>-27</v>
      </c>
      <c r="AA87" s="305">
        <f t="shared" si="91"/>
        <v>-44</v>
      </c>
      <c r="AB87" s="305">
        <f t="shared" si="91"/>
        <v>-25</v>
      </c>
      <c r="AC87" s="305">
        <f t="shared" si="91"/>
        <v>4</v>
      </c>
      <c r="AD87" s="303">
        <f t="shared" si="91"/>
        <v>-92</v>
      </c>
      <c r="AE87" s="305">
        <f t="shared" si="91"/>
        <v>-19</v>
      </c>
      <c r="AF87" s="305">
        <f t="shared" si="91"/>
        <v>-14</v>
      </c>
      <c r="AG87" s="305">
        <f t="shared" si="91"/>
        <v>-24</v>
      </c>
      <c r="AH87" s="305">
        <f t="shared" si="91"/>
        <v>-6</v>
      </c>
      <c r="AI87" s="303">
        <f t="shared" si="91"/>
        <v>-63</v>
      </c>
      <c r="AJ87" s="305">
        <f t="shared" si="91"/>
        <v>20</v>
      </c>
      <c r="AK87" s="305">
        <f t="shared" si="91"/>
        <v>24</v>
      </c>
      <c r="AL87" s="305">
        <f t="shared" ref="AL87:BQ87" si="92">AL141+AL115-AL128</f>
        <v>31</v>
      </c>
      <c r="AM87" s="305">
        <f t="shared" si="92"/>
        <v>27</v>
      </c>
      <c r="AN87" s="303">
        <f t="shared" si="92"/>
        <v>102</v>
      </c>
      <c r="AO87" s="305">
        <f t="shared" si="92"/>
        <v>2</v>
      </c>
      <c r="AP87" s="305">
        <f t="shared" si="92"/>
        <v>-20</v>
      </c>
      <c r="AQ87" s="305">
        <f t="shared" si="92"/>
        <v>-17</v>
      </c>
      <c r="AR87" s="305">
        <f t="shared" si="92"/>
        <v>12</v>
      </c>
      <c r="AS87" s="303">
        <f t="shared" si="92"/>
        <v>-23</v>
      </c>
      <c r="AT87" s="305">
        <f t="shared" si="92"/>
        <v>-9</v>
      </c>
      <c r="AU87" s="305">
        <f t="shared" si="92"/>
        <v>-13</v>
      </c>
      <c r="AV87" s="305">
        <f t="shared" si="92"/>
        <v>-33</v>
      </c>
      <c r="AW87" s="305">
        <f t="shared" si="92"/>
        <v>5</v>
      </c>
      <c r="AX87" s="303">
        <f t="shared" si="92"/>
        <v>-50</v>
      </c>
      <c r="AY87" s="305">
        <f t="shared" si="92"/>
        <v>-35</v>
      </c>
      <c r="AZ87" s="305">
        <f t="shared" si="92"/>
        <v>-6</v>
      </c>
      <c r="BA87" s="305">
        <f t="shared" si="92"/>
        <v>-56</v>
      </c>
      <c r="BB87" s="305">
        <f t="shared" si="92"/>
        <v>-96</v>
      </c>
      <c r="BC87" s="303">
        <f t="shared" si="92"/>
        <v>-193</v>
      </c>
      <c r="BD87" s="305">
        <f t="shared" si="92"/>
        <v>-60</v>
      </c>
      <c r="BE87" s="305">
        <f t="shared" si="92"/>
        <v>-51</v>
      </c>
      <c r="BF87" s="305">
        <f t="shared" si="92"/>
        <v>-39</v>
      </c>
      <c r="BG87" s="305">
        <f t="shared" si="92"/>
        <v>-103</v>
      </c>
      <c r="BH87" s="303">
        <f t="shared" si="92"/>
        <v>-253</v>
      </c>
      <c r="BI87" s="305">
        <f t="shared" si="92"/>
        <v>-53</v>
      </c>
      <c r="BJ87" s="305">
        <f t="shared" si="92"/>
        <v>-40</v>
      </c>
      <c r="BK87" s="305">
        <f t="shared" si="92"/>
        <v>-8</v>
      </c>
      <c r="BL87" s="305">
        <f t="shared" si="92"/>
        <v>-82</v>
      </c>
      <c r="BM87" s="303">
        <f t="shared" si="92"/>
        <v>-183</v>
      </c>
      <c r="BN87" s="305">
        <f t="shared" si="92"/>
        <v>-8</v>
      </c>
      <c r="BO87" s="305">
        <f t="shared" si="92"/>
        <v>-10</v>
      </c>
      <c r="BP87" s="305">
        <f t="shared" si="92"/>
        <v>-46</v>
      </c>
      <c r="BQ87" s="305">
        <f t="shared" si="92"/>
        <v>-13</v>
      </c>
      <c r="BR87" s="303">
        <f t="shared" ref="BR87:CB87" si="93">BR141+BR115-BR128</f>
        <v>-77</v>
      </c>
      <c r="BS87" s="305">
        <f t="shared" si="93"/>
        <v>21</v>
      </c>
      <c r="BT87" s="305">
        <f t="shared" si="93"/>
        <v>4</v>
      </c>
      <c r="BU87" s="305">
        <f t="shared" si="93"/>
        <v>3</v>
      </c>
      <c r="BV87" s="305">
        <f t="shared" si="93"/>
        <v>-9</v>
      </c>
      <c r="BW87" s="303">
        <f t="shared" si="93"/>
        <v>19</v>
      </c>
      <c r="BX87" s="305">
        <f t="shared" si="93"/>
        <v>39</v>
      </c>
      <c r="BY87" s="305">
        <f t="shared" si="93"/>
        <v>29</v>
      </c>
      <c r="BZ87" s="305">
        <f t="shared" si="93"/>
        <v>0</v>
      </c>
      <c r="CA87" s="305">
        <f t="shared" si="93"/>
        <v>-22</v>
      </c>
      <c r="CB87" s="303">
        <f t="shared" si="93"/>
        <v>46</v>
      </c>
      <c r="CC87" s="305">
        <v>48</v>
      </c>
      <c r="CD87" s="305">
        <v>19</v>
      </c>
      <c r="CE87" s="1878">
        <v>-1</v>
      </c>
      <c r="CF87" s="305">
        <v>-58</v>
      </c>
      <c r="CG87" s="303">
        <f>SUM(CC87:CF87)</f>
        <v>8</v>
      </c>
      <c r="CH87" s="1878">
        <v>17</v>
      </c>
      <c r="CI87" s="1878">
        <v>14</v>
      </c>
      <c r="CJ87" s="1878">
        <v>22</v>
      </c>
      <c r="CK87" s="1878">
        <v>7</v>
      </c>
      <c r="CL87" s="303">
        <f>SUM(CH87:CK87)</f>
        <v>60</v>
      </c>
      <c r="CM87" s="1878">
        <v>-14</v>
      </c>
      <c r="CN87" s="1878">
        <v>-2</v>
      </c>
      <c r="CO87" s="1878">
        <v>-53</v>
      </c>
      <c r="CP87" s="2334">
        <v>-55</v>
      </c>
      <c r="CQ87" s="303">
        <f>SUM(CM87:CP87)</f>
        <v>-124</v>
      </c>
      <c r="CR87" s="1922">
        <f>CV87/4</f>
        <v>-18.75</v>
      </c>
      <c r="CS87" s="1922">
        <f>CR87</f>
        <v>-18.75</v>
      </c>
      <c r="CT87" s="1922">
        <f t="shared" ref="CT87:CU87" si="94">CS87</f>
        <v>-18.75</v>
      </c>
      <c r="CU87" s="1922">
        <f t="shared" si="94"/>
        <v>-18.75</v>
      </c>
      <c r="CV87" s="303">
        <v>-75</v>
      </c>
      <c r="CW87" s="303">
        <v>0</v>
      </c>
      <c r="CX87" s="303">
        <v>0</v>
      </c>
      <c r="CY87" s="303">
        <v>0</v>
      </c>
      <c r="CZ87" s="271"/>
      <c r="DA87" s="1126"/>
    </row>
    <row r="88" spans="1:108" ht="12" customHeight="1">
      <c r="A88" s="271"/>
      <c r="B88" s="271"/>
      <c r="C88" s="116" t="s">
        <v>823</v>
      </c>
      <c r="D88" s="302"/>
      <c r="E88" s="1129"/>
      <c r="F88" s="305">
        <f t="shared" ref="F88:AK88" si="95">F142-F129+F116</f>
        <v>-57</v>
      </c>
      <c r="G88" s="305">
        <f t="shared" si="95"/>
        <v>-57</v>
      </c>
      <c r="H88" s="305">
        <f t="shared" si="95"/>
        <v>-56</v>
      </c>
      <c r="I88" s="305">
        <f t="shared" si="95"/>
        <v>-58</v>
      </c>
      <c r="J88" s="303">
        <f t="shared" si="95"/>
        <v>-228</v>
      </c>
      <c r="K88" s="305">
        <f t="shared" si="95"/>
        <v>-52</v>
      </c>
      <c r="L88" s="305">
        <f t="shared" si="95"/>
        <v>-54</v>
      </c>
      <c r="M88" s="305">
        <f t="shared" si="95"/>
        <v>-47</v>
      </c>
      <c r="N88" s="305">
        <f t="shared" si="95"/>
        <v>-54</v>
      </c>
      <c r="O88" s="303">
        <f t="shared" si="95"/>
        <v>-207</v>
      </c>
      <c r="P88" s="305">
        <f t="shared" si="95"/>
        <v>-57</v>
      </c>
      <c r="Q88" s="305">
        <f t="shared" si="95"/>
        <v>-54</v>
      </c>
      <c r="R88" s="305">
        <f t="shared" si="95"/>
        <v>-48</v>
      </c>
      <c r="S88" s="305">
        <f t="shared" si="95"/>
        <v>-16</v>
      </c>
      <c r="T88" s="303">
        <f t="shared" si="95"/>
        <v>-175</v>
      </c>
      <c r="U88" s="305">
        <f t="shared" si="95"/>
        <v>-54</v>
      </c>
      <c r="V88" s="305">
        <f t="shared" si="95"/>
        <v>-60</v>
      </c>
      <c r="W88" s="305">
        <f t="shared" si="95"/>
        <v>-51</v>
      </c>
      <c r="X88" s="305">
        <f t="shared" si="95"/>
        <v>-69</v>
      </c>
      <c r="Y88" s="303">
        <f t="shared" si="95"/>
        <v>-234</v>
      </c>
      <c r="Z88" s="305">
        <f t="shared" si="95"/>
        <v>-75</v>
      </c>
      <c r="AA88" s="305">
        <f t="shared" si="95"/>
        <v>-70</v>
      </c>
      <c r="AB88" s="305">
        <f t="shared" si="95"/>
        <v>-79</v>
      </c>
      <c r="AC88" s="305">
        <f t="shared" si="95"/>
        <v>-82</v>
      </c>
      <c r="AD88" s="303">
        <f t="shared" si="95"/>
        <v>-306</v>
      </c>
      <c r="AE88" s="305">
        <f t="shared" si="95"/>
        <v>-81</v>
      </c>
      <c r="AF88" s="305">
        <f t="shared" si="95"/>
        <v>-82</v>
      </c>
      <c r="AG88" s="305">
        <f t="shared" si="95"/>
        <v>-77</v>
      </c>
      <c r="AH88" s="305">
        <f t="shared" si="95"/>
        <v>-84</v>
      </c>
      <c r="AI88" s="303">
        <f t="shared" si="95"/>
        <v>-324</v>
      </c>
      <c r="AJ88" s="305">
        <f t="shared" si="95"/>
        <v>-85</v>
      </c>
      <c r="AK88" s="305">
        <f t="shared" si="95"/>
        <v>-79</v>
      </c>
      <c r="AL88" s="305">
        <f t="shared" ref="AL88:BQ88" si="96">AL142-AL129+AL116</f>
        <v>-80</v>
      </c>
      <c r="AM88" s="305">
        <f t="shared" si="96"/>
        <v>-93</v>
      </c>
      <c r="AN88" s="303">
        <f t="shared" si="96"/>
        <v>-337</v>
      </c>
      <c r="AO88" s="305">
        <f t="shared" si="96"/>
        <v>-87</v>
      </c>
      <c r="AP88" s="305">
        <f t="shared" si="96"/>
        <v>-92</v>
      </c>
      <c r="AQ88" s="305">
        <f t="shared" si="96"/>
        <v>-84</v>
      </c>
      <c r="AR88" s="305">
        <f t="shared" si="96"/>
        <v>-123</v>
      </c>
      <c r="AS88" s="303">
        <f t="shared" si="96"/>
        <v>-386</v>
      </c>
      <c r="AT88" s="305">
        <f t="shared" si="96"/>
        <v>-97</v>
      </c>
      <c r="AU88" s="305">
        <f t="shared" si="96"/>
        <v>-109</v>
      </c>
      <c r="AV88" s="305">
        <f t="shared" si="96"/>
        <v>-90</v>
      </c>
      <c r="AW88" s="305">
        <f t="shared" si="96"/>
        <v>-112</v>
      </c>
      <c r="AX88" s="303">
        <f t="shared" si="96"/>
        <v>-408</v>
      </c>
      <c r="AY88" s="305">
        <f t="shared" si="96"/>
        <v>-77</v>
      </c>
      <c r="AZ88" s="305">
        <f t="shared" si="96"/>
        <v>-87</v>
      </c>
      <c r="BA88" s="305">
        <f t="shared" si="96"/>
        <v>-73</v>
      </c>
      <c r="BB88" s="305">
        <f t="shared" si="96"/>
        <v>-108</v>
      </c>
      <c r="BC88" s="303">
        <f t="shared" si="96"/>
        <v>-345</v>
      </c>
      <c r="BD88" s="305">
        <f t="shared" si="96"/>
        <v>-77</v>
      </c>
      <c r="BE88" s="305">
        <f t="shared" si="96"/>
        <v>-93</v>
      </c>
      <c r="BF88" s="305">
        <f t="shared" si="96"/>
        <v>-83</v>
      </c>
      <c r="BG88" s="305">
        <f t="shared" si="96"/>
        <v>-124</v>
      </c>
      <c r="BH88" s="303">
        <f t="shared" si="96"/>
        <v>-377</v>
      </c>
      <c r="BI88" s="305">
        <f t="shared" si="96"/>
        <v>-89</v>
      </c>
      <c r="BJ88" s="305">
        <f t="shared" si="96"/>
        <v>-104</v>
      </c>
      <c r="BK88" s="305">
        <f t="shared" si="96"/>
        <v>-102</v>
      </c>
      <c r="BL88" s="305">
        <f t="shared" si="96"/>
        <v>-124</v>
      </c>
      <c r="BM88" s="303">
        <f t="shared" si="96"/>
        <v>-419</v>
      </c>
      <c r="BN88" s="305">
        <f t="shared" si="96"/>
        <v>-96</v>
      </c>
      <c r="BO88" s="305">
        <f t="shared" si="96"/>
        <v>-104</v>
      </c>
      <c r="BP88" s="305">
        <f t="shared" si="96"/>
        <v>-103</v>
      </c>
      <c r="BQ88" s="305">
        <f t="shared" si="96"/>
        <v>-123</v>
      </c>
      <c r="BR88" s="303">
        <f t="shared" ref="BR88:CQ88" si="97">BR142-BR129+BR116</f>
        <v>-426</v>
      </c>
      <c r="BS88" s="305">
        <f t="shared" si="97"/>
        <v>-107</v>
      </c>
      <c r="BT88" s="305">
        <f t="shared" si="97"/>
        <v>-121</v>
      </c>
      <c r="BU88" s="305">
        <f t="shared" si="97"/>
        <v>-114</v>
      </c>
      <c r="BV88" s="305">
        <f t="shared" si="97"/>
        <v>-136</v>
      </c>
      <c r="BW88" s="303">
        <f t="shared" si="97"/>
        <v>-478</v>
      </c>
      <c r="BX88" s="305">
        <f t="shared" si="97"/>
        <v>-112</v>
      </c>
      <c r="BY88" s="305">
        <f t="shared" si="97"/>
        <v>-119</v>
      </c>
      <c r="BZ88" s="305">
        <f t="shared" si="97"/>
        <v>-124</v>
      </c>
      <c r="CA88" s="305">
        <f t="shared" si="97"/>
        <v>-133</v>
      </c>
      <c r="CB88" s="303">
        <f t="shared" si="97"/>
        <v>-488</v>
      </c>
      <c r="CC88" s="305">
        <f t="shared" si="97"/>
        <v>-110</v>
      </c>
      <c r="CD88" s="305">
        <f t="shared" si="97"/>
        <v>-120</v>
      </c>
      <c r="CE88" s="305">
        <f t="shared" si="97"/>
        <v>-97</v>
      </c>
      <c r="CF88" s="305">
        <f t="shared" si="97"/>
        <v>-128</v>
      </c>
      <c r="CG88" s="303">
        <f t="shared" si="97"/>
        <v>-455</v>
      </c>
      <c r="CH88" s="1878">
        <f t="shared" ref="CH88:CM88" si="98">CH142-CH129+CH116</f>
        <v>-91</v>
      </c>
      <c r="CI88" s="1878">
        <f t="shared" si="98"/>
        <v>-97</v>
      </c>
      <c r="CJ88" s="1878">
        <f t="shared" si="98"/>
        <v>-92</v>
      </c>
      <c r="CK88" s="1878">
        <f>CK142-CK129+CK116</f>
        <v>297</v>
      </c>
      <c r="CL88" s="303">
        <f t="shared" si="98"/>
        <v>17</v>
      </c>
      <c r="CM88" s="1878">
        <f t="shared" si="98"/>
        <v>-104</v>
      </c>
      <c r="CN88" s="1878">
        <v>-106</v>
      </c>
      <c r="CO88" s="1878">
        <v>-104</v>
      </c>
      <c r="CP88" s="305">
        <f>CP53-CP74-CP87</f>
        <v>-124.05225784263624</v>
      </c>
      <c r="CQ88" s="303">
        <f t="shared" si="97"/>
        <v>-439.05225784263621</v>
      </c>
      <c r="CR88" s="305">
        <f>CR142-CR129+CR116</f>
        <v>-124.63806446065908</v>
      </c>
      <c r="CS88" s="305">
        <f t="shared" ref="CS88:CV88" si="99">CS142-CS129+CS116</f>
        <v>-124.63806446065908</v>
      </c>
      <c r="CT88" s="305">
        <f t="shared" si="99"/>
        <v>-124.63806446065908</v>
      </c>
      <c r="CU88" s="305">
        <f t="shared" si="99"/>
        <v>-124.63806446065908</v>
      </c>
      <c r="CV88" s="303">
        <f t="shared" si="99"/>
        <v>-498.55225784263632</v>
      </c>
      <c r="CW88" s="303">
        <f>CW142-CW129+CW116</f>
        <v>-498.55225784263632</v>
      </c>
      <c r="CX88" s="303">
        <f>CX142-CX129+CX116</f>
        <v>-498.55225784263632</v>
      </c>
      <c r="CY88" s="303">
        <f>CY142-CY129+CY116</f>
        <v>-498.55225784263632</v>
      </c>
      <c r="CZ88" s="271"/>
      <c r="DA88" s="1126"/>
    </row>
    <row r="89" spans="1:108" ht="12" customHeight="1" thickBot="1">
      <c r="A89" s="271"/>
      <c r="B89" s="271"/>
      <c r="C89" s="1093" t="s">
        <v>89</v>
      </c>
      <c r="D89" s="1093"/>
      <c r="E89" s="1100"/>
      <c r="F89" s="1090">
        <f t="shared" ref="F89:AK89" si="100">F86+F87+F88</f>
        <v>667</v>
      </c>
      <c r="G89" s="1090">
        <f t="shared" si="100"/>
        <v>878</v>
      </c>
      <c r="H89" s="1090">
        <f t="shared" si="100"/>
        <v>850</v>
      </c>
      <c r="I89" s="1090">
        <f t="shared" si="100"/>
        <v>745</v>
      </c>
      <c r="J89" s="1089">
        <f t="shared" si="100"/>
        <v>2526</v>
      </c>
      <c r="K89" s="1090">
        <f t="shared" si="100"/>
        <v>777</v>
      </c>
      <c r="L89" s="1090">
        <f t="shared" si="100"/>
        <v>989</v>
      </c>
      <c r="M89" s="1090">
        <f t="shared" si="100"/>
        <v>1046</v>
      </c>
      <c r="N89" s="1090">
        <f t="shared" si="100"/>
        <v>769</v>
      </c>
      <c r="O89" s="1089">
        <f t="shared" si="100"/>
        <v>3581</v>
      </c>
      <c r="P89" s="1090">
        <f t="shared" si="100"/>
        <v>901</v>
      </c>
      <c r="Q89" s="1090">
        <f t="shared" si="100"/>
        <v>1060</v>
      </c>
      <c r="R89" s="1090">
        <f t="shared" si="100"/>
        <v>1065</v>
      </c>
      <c r="S89" s="1090">
        <f t="shared" si="100"/>
        <v>952</v>
      </c>
      <c r="T89" s="1089">
        <f t="shared" si="100"/>
        <v>3978</v>
      </c>
      <c r="U89" s="1090">
        <f t="shared" si="100"/>
        <v>848</v>
      </c>
      <c r="V89" s="1090">
        <f t="shared" si="100"/>
        <v>1044</v>
      </c>
      <c r="W89" s="1090">
        <f t="shared" si="100"/>
        <v>1070</v>
      </c>
      <c r="X89" s="1090">
        <f t="shared" si="100"/>
        <v>1015</v>
      </c>
      <c r="Y89" s="1089">
        <f t="shared" si="100"/>
        <v>3977</v>
      </c>
      <c r="Z89" s="1090">
        <f t="shared" si="100"/>
        <v>929</v>
      </c>
      <c r="AA89" s="1090">
        <f t="shared" si="100"/>
        <v>1248</v>
      </c>
      <c r="AB89" s="1090">
        <f t="shared" si="100"/>
        <v>1188</v>
      </c>
      <c r="AC89" s="1090">
        <f t="shared" si="100"/>
        <v>1093</v>
      </c>
      <c r="AD89" s="1089">
        <f t="shared" si="100"/>
        <v>4458</v>
      </c>
      <c r="AE89" s="1090">
        <f t="shared" si="100"/>
        <v>1108</v>
      </c>
      <c r="AF89" s="1090">
        <f t="shared" si="100"/>
        <v>1439</v>
      </c>
      <c r="AG89" s="1090">
        <f t="shared" si="100"/>
        <v>1434</v>
      </c>
      <c r="AH89" s="1090">
        <f t="shared" si="100"/>
        <v>1318</v>
      </c>
      <c r="AI89" s="1089">
        <f t="shared" si="100"/>
        <v>5299</v>
      </c>
      <c r="AJ89" s="1090">
        <f t="shared" si="100"/>
        <v>1263</v>
      </c>
      <c r="AK89" s="1090">
        <f t="shared" si="100"/>
        <v>1683</v>
      </c>
      <c r="AL89" s="1090">
        <f t="shared" ref="AL89:BQ89" si="101">AL86+AL87+AL88</f>
        <v>1680</v>
      </c>
      <c r="AM89" s="1090">
        <f t="shared" si="101"/>
        <v>1510</v>
      </c>
      <c r="AN89" s="1089">
        <f t="shared" si="101"/>
        <v>6136</v>
      </c>
      <c r="AO89" s="1090">
        <f t="shared" si="101"/>
        <v>1480</v>
      </c>
      <c r="AP89" s="1090">
        <f t="shared" si="101"/>
        <v>1890</v>
      </c>
      <c r="AQ89" s="1090">
        <f t="shared" si="101"/>
        <v>1903</v>
      </c>
      <c r="AR89" s="1090">
        <f t="shared" si="101"/>
        <v>1809</v>
      </c>
      <c r="AS89" s="1089">
        <f t="shared" si="101"/>
        <v>7061</v>
      </c>
      <c r="AT89" s="1090">
        <f t="shared" si="101"/>
        <v>1708</v>
      </c>
      <c r="AU89" s="1090">
        <f t="shared" si="101"/>
        <v>2193</v>
      </c>
      <c r="AV89" s="1090">
        <f t="shared" si="101"/>
        <v>2105</v>
      </c>
      <c r="AW89" s="1090">
        <f t="shared" si="101"/>
        <v>1797</v>
      </c>
      <c r="AX89" s="1089">
        <f t="shared" si="101"/>
        <v>7711</v>
      </c>
      <c r="AY89" s="1090">
        <f t="shared" si="101"/>
        <v>1413</v>
      </c>
      <c r="AZ89" s="1090">
        <f t="shared" si="101"/>
        <v>1886</v>
      </c>
      <c r="BA89" s="1090">
        <f t="shared" si="101"/>
        <v>1928</v>
      </c>
      <c r="BB89" s="1090">
        <f t="shared" si="101"/>
        <v>1844</v>
      </c>
      <c r="BC89" s="1089">
        <f t="shared" si="101"/>
        <v>6987</v>
      </c>
      <c r="BD89" s="1090">
        <f t="shared" si="101"/>
        <v>1590</v>
      </c>
      <c r="BE89" s="1090">
        <f t="shared" si="101"/>
        <v>2042</v>
      </c>
      <c r="BF89" s="1090">
        <f t="shared" si="101"/>
        <v>2121</v>
      </c>
      <c r="BG89" s="1090">
        <f t="shared" si="101"/>
        <v>2047</v>
      </c>
      <c r="BH89" s="1089">
        <f t="shared" si="101"/>
        <v>7833</v>
      </c>
      <c r="BI89" s="1090">
        <f t="shared" si="101"/>
        <v>1730</v>
      </c>
      <c r="BJ89" s="1090">
        <f t="shared" si="101"/>
        <v>2134</v>
      </c>
      <c r="BK89" s="1090">
        <f t="shared" si="101"/>
        <v>2182</v>
      </c>
      <c r="BL89" s="1090">
        <f t="shared" si="101"/>
        <v>2003</v>
      </c>
      <c r="BM89" s="1089">
        <f t="shared" si="101"/>
        <v>8049</v>
      </c>
      <c r="BN89" s="1090">
        <f t="shared" si="101"/>
        <v>1722</v>
      </c>
      <c r="BO89" s="1090">
        <f t="shared" si="101"/>
        <v>2162</v>
      </c>
      <c r="BP89" s="1090">
        <f t="shared" si="101"/>
        <v>2135</v>
      </c>
      <c r="BQ89" s="1090">
        <f t="shared" si="101"/>
        <v>2074</v>
      </c>
      <c r="BR89" s="1089">
        <f t="shared" ref="BR89:CV89" si="102">BR86+BR87+BR88</f>
        <v>8093</v>
      </c>
      <c r="BS89" s="1090">
        <f t="shared" si="102"/>
        <v>2020</v>
      </c>
      <c r="BT89" s="1090">
        <f t="shared" si="102"/>
        <v>2504</v>
      </c>
      <c r="BU89" s="1090">
        <f t="shared" si="102"/>
        <v>2494</v>
      </c>
      <c r="BV89" s="1090">
        <f t="shared" si="102"/>
        <v>2449</v>
      </c>
      <c r="BW89" s="1089">
        <f t="shared" si="102"/>
        <v>9467</v>
      </c>
      <c r="BX89" s="1090">
        <f t="shared" si="102"/>
        <v>2223</v>
      </c>
      <c r="BY89" s="1090">
        <f t="shared" si="102"/>
        <v>2738</v>
      </c>
      <c r="BZ89" s="1090">
        <f t="shared" si="102"/>
        <v>2696</v>
      </c>
      <c r="CA89" s="1090">
        <f t="shared" si="102"/>
        <v>2695</v>
      </c>
      <c r="CB89" s="1089">
        <f t="shared" si="102"/>
        <v>10352</v>
      </c>
      <c r="CC89" s="1090">
        <f t="shared" si="102"/>
        <v>2149</v>
      </c>
      <c r="CD89" s="1090">
        <f t="shared" si="102"/>
        <v>2454</v>
      </c>
      <c r="CE89" s="1090">
        <f t="shared" si="102"/>
        <v>2375</v>
      </c>
      <c r="CF89" s="1090">
        <f t="shared" si="102"/>
        <v>2155</v>
      </c>
      <c r="CG89" s="1089">
        <f t="shared" si="102"/>
        <v>9133</v>
      </c>
      <c r="CH89" s="1090">
        <f>CH86+CH87+CH88</f>
        <v>2007</v>
      </c>
      <c r="CI89" s="1090">
        <f t="shared" si="102"/>
        <v>2465</v>
      </c>
      <c r="CJ89" s="1090">
        <f t="shared" si="102"/>
        <v>2379</v>
      </c>
      <c r="CK89" s="1090">
        <f t="shared" si="102"/>
        <v>2583</v>
      </c>
      <c r="CL89" s="1089">
        <f t="shared" si="102"/>
        <v>9464.7982041718551</v>
      </c>
      <c r="CM89" s="1090">
        <f>CM86+CM87+CM88</f>
        <v>1938</v>
      </c>
      <c r="CN89" s="1090">
        <f>CN86+CN87+CN88</f>
        <v>2350</v>
      </c>
      <c r="CO89" s="1090">
        <f>CO86+CO87+CO88</f>
        <v>2331</v>
      </c>
      <c r="CP89" s="1090">
        <f>CP86+CP87+CP88</f>
        <v>2081.751506742768</v>
      </c>
      <c r="CQ89" s="1089">
        <f t="shared" si="102"/>
        <v>8699.7515067427667</v>
      </c>
      <c r="CR89" s="1090">
        <f>CR86+CR87+CR88</f>
        <v>1995.1551929882019</v>
      </c>
      <c r="CS89" s="1090">
        <f>CS86+CS87+CS88</f>
        <v>2398.77258657845</v>
      </c>
      <c r="CT89" s="1090">
        <f>CT86+CT87+CT88</f>
        <v>2437.1034298648424</v>
      </c>
      <c r="CU89" s="1090">
        <f>CU86+CU87+CU88</f>
        <v>2206.7109740845008</v>
      </c>
      <c r="CV89" s="1089">
        <f t="shared" si="102"/>
        <v>9037.7421835159948</v>
      </c>
      <c r="CW89" s="1089">
        <f>CW86+CW87+CW88</f>
        <v>10024.95139728516</v>
      </c>
      <c r="CX89" s="1089">
        <f>CX86+CX87+CX88</f>
        <v>10749.404507424179</v>
      </c>
      <c r="CY89" s="1089">
        <f>CY86+CY87+CY88</f>
        <v>11145.079759191702</v>
      </c>
      <c r="CZ89" s="271"/>
      <c r="DA89" s="1126"/>
    </row>
    <row r="90" spans="1:108" ht="12" customHeight="1" thickTop="1">
      <c r="A90" s="434"/>
      <c r="B90" s="434"/>
      <c r="C90" s="434"/>
      <c r="D90" s="463"/>
      <c r="E90" s="1088"/>
      <c r="F90" s="1088"/>
      <c r="G90" s="1088"/>
      <c r="H90" s="1088"/>
      <c r="I90" s="1088"/>
      <c r="J90" s="1086"/>
      <c r="K90" s="1088"/>
      <c r="L90" s="1088"/>
      <c r="M90" s="1088"/>
      <c r="N90" s="1088"/>
      <c r="O90" s="1086"/>
      <c r="P90" s="1088"/>
      <c r="Q90" s="1088"/>
      <c r="R90" s="1088"/>
      <c r="S90" s="1088"/>
      <c r="T90" s="1086"/>
      <c r="U90" s="1088"/>
      <c r="V90" s="1088"/>
      <c r="W90" s="1088"/>
      <c r="X90" s="1088"/>
      <c r="Y90" s="1086"/>
      <c r="Z90" s="1088"/>
      <c r="AA90" s="1088"/>
      <c r="AB90" s="1088"/>
      <c r="AC90" s="1088"/>
      <c r="AD90" s="1086"/>
      <c r="AE90" s="1088"/>
      <c r="AF90" s="1088"/>
      <c r="AG90" s="1088"/>
      <c r="AH90" s="1088"/>
      <c r="AI90" s="1086"/>
      <c r="AJ90" s="1088"/>
      <c r="AK90" s="1088"/>
      <c r="AL90" s="1088"/>
      <c r="AM90" s="1088"/>
      <c r="AN90" s="1086"/>
      <c r="AO90" s="1088"/>
      <c r="AP90" s="1088"/>
      <c r="AQ90" s="1088"/>
      <c r="AR90" s="1088"/>
      <c r="AS90" s="1086"/>
      <c r="AT90" s="1088"/>
      <c r="AU90" s="1088"/>
      <c r="AV90" s="1088"/>
      <c r="AW90" s="1088"/>
      <c r="AX90" s="1086"/>
      <c r="AY90" s="1088"/>
      <c r="AZ90" s="1088"/>
      <c r="BA90" s="1088"/>
      <c r="BB90" s="1088"/>
      <c r="BC90" s="1086"/>
      <c r="BD90" s="1088"/>
      <c r="BE90" s="1088"/>
      <c r="BF90" s="1088"/>
      <c r="BG90" s="1088"/>
      <c r="BH90" s="1086"/>
      <c r="BI90" s="1088"/>
      <c r="BJ90" s="1088"/>
      <c r="BK90" s="1088"/>
      <c r="BL90" s="1088"/>
      <c r="BM90" s="1086"/>
      <c r="BN90" s="1088"/>
      <c r="BO90" s="1088"/>
      <c r="BP90" s="1088"/>
      <c r="BQ90" s="1088"/>
      <c r="BR90" s="1086"/>
      <c r="BS90" s="1087"/>
      <c r="BT90" s="1087"/>
      <c r="BU90" s="1087"/>
      <c r="BV90" s="1087"/>
      <c r="BW90" s="1086"/>
      <c r="BX90" s="1087"/>
      <c r="BY90" s="1087"/>
      <c r="BZ90" s="1087"/>
      <c r="CA90" s="1087"/>
      <c r="CB90" s="285">
        <f>SUM(CB78:CB79,CB82,CB83)/SUM(CB12:CB13,CB16,CB18)</f>
        <v>0.17248154729360307</v>
      </c>
      <c r="CC90" s="1087"/>
      <c r="CD90" s="1087"/>
      <c r="CE90" s="1087"/>
      <c r="CF90" s="1932"/>
      <c r="CG90" s="1102"/>
      <c r="CH90" s="1087"/>
      <c r="CI90" s="1103"/>
      <c r="CJ90" s="1087"/>
      <c r="CK90" s="1103"/>
      <c r="CL90" s="2267">
        <f>CL88+CL87</f>
        <v>77</v>
      </c>
      <c r="CM90" s="1087"/>
      <c r="CN90" s="1087"/>
      <c r="CO90" s="2308"/>
      <c r="CP90" s="1087"/>
      <c r="CQ90" s="2267">
        <f>CQ88+CQ87</f>
        <v>-563.05225784263621</v>
      </c>
      <c r="CR90" s="1087"/>
      <c r="CS90" s="1087"/>
      <c r="CT90" s="1087"/>
      <c r="CU90" s="1087"/>
      <c r="CV90" s="2268">
        <f>(CQ90-CL90)*(1-0.27)/IS!CQ99</f>
        <v>-0.58493960321901817</v>
      </c>
      <c r="CW90" s="1086"/>
      <c r="CX90" s="1086"/>
      <c r="CY90" s="1086"/>
      <c r="CZ90" s="434"/>
      <c r="DA90" s="1126"/>
    </row>
    <row r="91" spans="1:108" ht="12" customHeight="1">
      <c r="A91" s="271"/>
      <c r="B91" s="271"/>
      <c r="C91" s="302"/>
      <c r="D91" s="302"/>
      <c r="E91" s="1129"/>
      <c r="F91" s="1128"/>
      <c r="G91" s="1128"/>
      <c r="H91" s="1128"/>
      <c r="I91" s="1128"/>
      <c r="J91" s="1127"/>
      <c r="K91" s="1128"/>
      <c r="L91" s="1128"/>
      <c r="M91" s="1128"/>
      <c r="N91" s="1128"/>
      <c r="O91" s="1127"/>
      <c r="P91" s="1128"/>
      <c r="Q91" s="1128"/>
      <c r="R91" s="1128"/>
      <c r="S91" s="1128"/>
      <c r="T91" s="1127"/>
      <c r="U91" s="1128"/>
      <c r="V91" s="1128"/>
      <c r="W91" s="1128"/>
      <c r="X91" s="1128"/>
      <c r="Y91" s="1127"/>
      <c r="Z91" s="1128"/>
      <c r="AA91" s="1128"/>
      <c r="AB91" s="1128"/>
      <c r="AC91" s="1128"/>
      <c r="AD91" s="1127"/>
      <c r="AE91" s="1128"/>
      <c r="AF91" s="1128"/>
      <c r="AG91" s="1128"/>
      <c r="AH91" s="1128"/>
      <c r="AI91" s="1127"/>
      <c r="AJ91" s="1128"/>
      <c r="AK91" s="1128"/>
      <c r="AL91" s="1128"/>
      <c r="AM91" s="1128"/>
      <c r="AN91" s="1127"/>
      <c r="AO91" s="1128"/>
      <c r="AP91" s="1128"/>
      <c r="AQ91" s="1128"/>
      <c r="AR91" s="1128"/>
      <c r="AS91" s="1127"/>
      <c r="AT91" s="1128"/>
      <c r="AU91" s="1128"/>
      <c r="AV91" s="1128"/>
      <c r="AW91" s="1128"/>
      <c r="AX91" s="1127"/>
      <c r="AY91" s="1128"/>
      <c r="AZ91" s="1128"/>
      <c r="BA91" s="1128"/>
      <c r="BB91" s="1128"/>
      <c r="BC91" s="1127"/>
      <c r="BD91" s="1128"/>
      <c r="BE91" s="1128"/>
      <c r="BF91" s="1128"/>
      <c r="BG91" s="1128"/>
      <c r="BH91" s="1127"/>
      <c r="BI91" s="1128"/>
      <c r="BJ91" s="1128"/>
      <c r="BK91" s="1128"/>
      <c r="BL91" s="1128"/>
      <c r="BM91" s="1127"/>
      <c r="BN91" s="1128"/>
      <c r="BO91" s="1128"/>
      <c r="BP91" s="1128"/>
      <c r="BQ91" s="1128"/>
      <c r="BR91" s="1127"/>
      <c r="BS91" s="1128"/>
      <c r="BT91" s="1128"/>
      <c r="BU91" s="1128"/>
      <c r="BV91" s="1128"/>
      <c r="BW91" s="1127"/>
      <c r="BX91" s="1128"/>
      <c r="BY91" s="1128"/>
      <c r="BZ91" s="1128"/>
      <c r="CA91" s="1128"/>
      <c r="CB91" s="1127"/>
      <c r="CC91" s="1128"/>
      <c r="CD91" s="1128"/>
      <c r="CE91" s="1128"/>
      <c r="CF91" s="1128"/>
      <c r="CG91" s="1127"/>
      <c r="CH91" s="1128"/>
      <c r="CI91" s="1128"/>
      <c r="CJ91" s="1128"/>
      <c r="CK91" s="1128"/>
      <c r="CL91" s="1127"/>
      <c r="CM91" s="1128"/>
      <c r="CN91" s="1128"/>
      <c r="CO91" s="1128"/>
      <c r="CP91" s="1128"/>
      <c r="CQ91" s="1127"/>
      <c r="CR91" s="1128"/>
      <c r="CS91" s="1128"/>
      <c r="CT91" s="1128"/>
      <c r="CU91" s="1128"/>
      <c r="CV91" s="1127"/>
      <c r="CW91" s="1127"/>
      <c r="CX91" s="1127"/>
      <c r="CY91" s="1127"/>
      <c r="CZ91" s="271"/>
      <c r="DA91" s="1126"/>
    </row>
    <row r="92" spans="1:108" ht="12" customHeight="1">
      <c r="A92" s="268"/>
      <c r="B92" s="268"/>
      <c r="C92" s="268" t="str">
        <f>C78</f>
        <v>Otis</v>
      </c>
      <c r="D92" s="261"/>
      <c r="E92" s="407"/>
      <c r="F92" s="407"/>
      <c r="G92" s="407"/>
      <c r="H92" s="407"/>
      <c r="I92" s="407"/>
      <c r="J92" s="453"/>
      <c r="K92" s="407">
        <v>0.1421188630490956</v>
      </c>
      <c r="L92" s="407">
        <v>0.14508783344176968</v>
      </c>
      <c r="M92" s="407">
        <v>0.10553410553410554</v>
      </c>
      <c r="N92" s="407">
        <v>0.14125956444967627</v>
      </c>
      <c r="O92" s="453">
        <f t="shared" ref="O92:AT92" si="103">O78/O12</f>
        <v>0.14673398548437994</v>
      </c>
      <c r="P92" s="259">
        <f t="shared" si="103"/>
        <v>0.16276041666666666</v>
      </c>
      <c r="Q92" s="259">
        <f t="shared" si="103"/>
        <v>0.15863095238095237</v>
      </c>
      <c r="R92" s="259">
        <f t="shared" si="103"/>
        <v>0.17392550143266475</v>
      </c>
      <c r="S92" s="259">
        <f t="shared" si="103"/>
        <v>0.16756756756756758</v>
      </c>
      <c r="T92" s="453">
        <f t="shared" si="103"/>
        <v>0.16590808985464689</v>
      </c>
      <c r="U92" s="259">
        <f t="shared" si="103"/>
        <v>0.17582417582417584</v>
      </c>
      <c r="V92" s="259">
        <f t="shared" si="103"/>
        <v>0.17484662576687116</v>
      </c>
      <c r="W92" s="259">
        <f t="shared" si="103"/>
        <v>0.18341061308603812</v>
      </c>
      <c r="X92" s="259">
        <f t="shared" si="103"/>
        <v>0.16923076923076924</v>
      </c>
      <c r="Y92" s="453">
        <f t="shared" si="103"/>
        <v>0.17560237164122619</v>
      </c>
      <c r="Z92" s="259">
        <f t="shared" si="103"/>
        <v>0.17602283539486205</v>
      </c>
      <c r="AA92" s="259">
        <f t="shared" si="103"/>
        <v>0.17327861377108983</v>
      </c>
      <c r="AB92" s="259">
        <f t="shared" si="103"/>
        <v>0.17773788150807898</v>
      </c>
      <c r="AC92" s="259">
        <f t="shared" si="103"/>
        <v>0.17025683512841758</v>
      </c>
      <c r="AD92" s="453">
        <f t="shared" si="103"/>
        <v>0.17301922435826203</v>
      </c>
      <c r="AE92" s="259">
        <f t="shared" si="103"/>
        <v>0.1838931955211025</v>
      </c>
      <c r="AF92" s="259">
        <f t="shared" si="103"/>
        <v>0.18219461697722567</v>
      </c>
      <c r="AG92" s="259">
        <f t="shared" si="103"/>
        <v>0.19009314140558847</v>
      </c>
      <c r="AH92" s="259">
        <f t="shared" si="103"/>
        <v>0.18093699515347333</v>
      </c>
      <c r="AI92" s="453">
        <f t="shared" si="103"/>
        <v>0.18422976501305482</v>
      </c>
      <c r="AJ92" s="259">
        <f t="shared" si="103"/>
        <v>0.18781942078364566</v>
      </c>
      <c r="AK92" s="259">
        <f t="shared" si="103"/>
        <v>0.18900751285092923</v>
      </c>
      <c r="AL92" s="259">
        <f t="shared" si="103"/>
        <v>0.19298245614035087</v>
      </c>
      <c r="AM92" s="259">
        <f t="shared" si="103"/>
        <v>0.18258426966292135</v>
      </c>
      <c r="AN92" s="453">
        <f t="shared" si="103"/>
        <v>0.18794946550048591</v>
      </c>
      <c r="AO92" s="259">
        <f t="shared" si="103"/>
        <v>0.17888563049853373</v>
      </c>
      <c r="AP92" s="259">
        <f t="shared" si="103"/>
        <v>0.18859342197340798</v>
      </c>
      <c r="AQ92" s="259">
        <f t="shared" si="103"/>
        <v>0.19516348773841963</v>
      </c>
      <c r="AR92" s="259">
        <f t="shared" si="103"/>
        <v>0.18792744573297651</v>
      </c>
      <c r="AS92" s="453">
        <f t="shared" si="103"/>
        <v>0.18779974758098444</v>
      </c>
      <c r="AT92" s="259">
        <f t="shared" si="103"/>
        <v>0.19038272816486751</v>
      </c>
      <c r="AU92" s="259">
        <f t="shared" ref="AU92:BZ92" si="104">AU78/AU12</f>
        <v>0.19829612220916568</v>
      </c>
      <c r="AV92" s="259">
        <f t="shared" si="104"/>
        <v>0.20123266563944531</v>
      </c>
      <c r="AW92" s="259">
        <f t="shared" si="104"/>
        <v>0.18131359851988899</v>
      </c>
      <c r="AX92" s="453">
        <f t="shared" si="104"/>
        <v>0.19291064947100162</v>
      </c>
      <c r="AY92" s="259">
        <f t="shared" si="104"/>
        <v>0.19849624060150375</v>
      </c>
      <c r="AZ92" s="259">
        <f t="shared" si="104"/>
        <v>0.21878224974200206</v>
      </c>
      <c r="BA92" s="259">
        <f t="shared" si="104"/>
        <v>0.23134076325565686</v>
      </c>
      <c r="BB92" s="259">
        <f t="shared" si="104"/>
        <v>0.22034428794992175</v>
      </c>
      <c r="BC92" s="453">
        <f t="shared" si="104"/>
        <v>0.21777701953424891</v>
      </c>
      <c r="BD92" s="259">
        <f t="shared" si="104"/>
        <v>0.22267057960381512</v>
      </c>
      <c r="BE92" s="259">
        <f t="shared" si="104"/>
        <v>0.23185341789992953</v>
      </c>
      <c r="BF92" s="259">
        <f t="shared" si="104"/>
        <v>0.23727647867950483</v>
      </c>
      <c r="BG92" s="259">
        <f t="shared" si="104"/>
        <v>0.22626327647248148</v>
      </c>
      <c r="BH92" s="453">
        <f t="shared" si="104"/>
        <v>0.22955350202953623</v>
      </c>
      <c r="BI92" s="259">
        <f t="shared" si="104"/>
        <v>0.227994227994228</v>
      </c>
      <c r="BJ92" s="259">
        <f t="shared" si="104"/>
        <v>0.23402255639097744</v>
      </c>
      <c r="BK92" s="259">
        <f t="shared" si="104"/>
        <v>0.23666462293071736</v>
      </c>
      <c r="BL92" s="259">
        <f t="shared" si="104"/>
        <v>0.22952351292432263</v>
      </c>
      <c r="BM92" s="453">
        <f t="shared" si="104"/>
        <v>0.23221034011417543</v>
      </c>
      <c r="BN92" s="259">
        <f t="shared" si="104"/>
        <v>0.21444043321299638</v>
      </c>
      <c r="BO92" s="259">
        <f t="shared" si="104"/>
        <v>0.22662702345556657</v>
      </c>
      <c r="BP92" s="259">
        <f t="shared" si="104"/>
        <v>0.2269155206286837</v>
      </c>
      <c r="BQ92" s="259">
        <f t="shared" si="104"/>
        <v>0.21934477379095163</v>
      </c>
      <c r="BR92" s="453">
        <f t="shared" si="104"/>
        <v>0.22196416721964168</v>
      </c>
      <c r="BS92" s="259">
        <f t="shared" si="104"/>
        <v>0.20788912579957355</v>
      </c>
      <c r="BT92" s="259">
        <f t="shared" si="104"/>
        <v>0.21956660293180369</v>
      </c>
      <c r="BU92" s="259">
        <f t="shared" si="104"/>
        <v>0.21957340025094102</v>
      </c>
      <c r="BV92" s="259">
        <f t="shared" si="104"/>
        <v>0.21052631578947367</v>
      </c>
      <c r="BW92" s="453">
        <f t="shared" si="104"/>
        <v>0.21451457866068568</v>
      </c>
      <c r="BX92" s="259">
        <f t="shared" si="104"/>
        <v>0.19864636209813874</v>
      </c>
      <c r="BY92" s="259">
        <f t="shared" si="104"/>
        <v>0.21218424962852897</v>
      </c>
      <c r="BZ92" s="259">
        <f t="shared" si="104"/>
        <v>0.21587492483463619</v>
      </c>
      <c r="CA92" s="259">
        <f t="shared" ref="CA92:CV92" si="105">CA78/CA12</f>
        <v>0.21223021582733814</v>
      </c>
      <c r="CB92" s="453">
        <f t="shared" si="105"/>
        <v>0.21006008319211217</v>
      </c>
      <c r="CC92" s="259">
        <f t="shared" si="105"/>
        <v>0.19417122040072859</v>
      </c>
      <c r="CD92" s="259">
        <f t="shared" si="105"/>
        <v>0.20497094899935442</v>
      </c>
      <c r="CE92" s="259">
        <f t="shared" si="105"/>
        <v>0.21689122576404862</v>
      </c>
      <c r="CF92" s="259">
        <f t="shared" si="105"/>
        <v>0.18131868131868131</v>
      </c>
      <c r="CG92" s="453">
        <f t="shared" si="105"/>
        <v>0.20053259802072992</v>
      </c>
      <c r="CH92" s="259">
        <f t="shared" si="105"/>
        <v>0.17716390423572745</v>
      </c>
      <c r="CI92" s="259">
        <f t="shared" si="105"/>
        <v>0.19276719405876655</v>
      </c>
      <c r="CJ92" s="259">
        <f t="shared" si="105"/>
        <v>0.19681908548707752</v>
      </c>
      <c r="CK92" s="259">
        <f t="shared" si="105"/>
        <v>0.1743388834476004</v>
      </c>
      <c r="CL92" s="453">
        <f t="shared" si="105"/>
        <v>0.18807686909710372</v>
      </c>
      <c r="CM92" s="259">
        <f t="shared" ref="CM92:CP96" si="106">CM78/CM12</f>
        <v>0.16298145506419401</v>
      </c>
      <c r="CN92" s="259">
        <f t="shared" ref="CN92" si="107">CN78/CN12</f>
        <v>0.17757904822740339</v>
      </c>
      <c r="CO92" s="259">
        <f t="shared" si="106"/>
        <v>0.17775665399239543</v>
      </c>
      <c r="CP92" s="259">
        <f t="shared" si="106"/>
        <v>0.16575712503614662</v>
      </c>
      <c r="CQ92" s="453">
        <f t="shared" si="105"/>
        <v>0.17125041456970061</v>
      </c>
      <c r="CR92" s="259">
        <f t="shared" si="105"/>
        <v>0.15998145506419401</v>
      </c>
      <c r="CS92" s="259">
        <f t="shared" si="105"/>
        <v>0.17007904822740338</v>
      </c>
      <c r="CT92" s="259">
        <f t="shared" si="105"/>
        <v>0.17275665399239543</v>
      </c>
      <c r="CU92" s="259">
        <f t="shared" si="105"/>
        <v>0.16230518262979463</v>
      </c>
      <c r="CV92" s="453">
        <f t="shared" si="105"/>
        <v>0.16655559041709969</v>
      </c>
      <c r="CW92" s="453">
        <f t="shared" ref="CW92:CY96" si="108">CW78/CW12</f>
        <v>0.16841054258948446</v>
      </c>
      <c r="CX92" s="453">
        <f t="shared" si="108"/>
        <v>0.17072370116738411</v>
      </c>
      <c r="CY92" s="453">
        <f t="shared" si="108"/>
        <v>0.16989034676905007</v>
      </c>
      <c r="CZ92" s="268"/>
      <c r="DA92" s="1126"/>
    </row>
    <row r="93" spans="1:108" ht="12" customHeight="1">
      <c r="A93" s="268"/>
      <c r="B93" s="268"/>
      <c r="C93" s="116" t="s">
        <v>310</v>
      </c>
      <c r="D93" s="261"/>
      <c r="E93" s="407"/>
      <c r="F93" s="407"/>
      <c r="G93" s="407"/>
      <c r="H93" s="407"/>
      <c r="I93" s="407"/>
      <c r="J93" s="453"/>
      <c r="K93" s="407"/>
      <c r="L93" s="407"/>
      <c r="M93" s="407"/>
      <c r="N93" s="407"/>
      <c r="O93" s="453"/>
      <c r="P93" s="259"/>
      <c r="Q93" s="259"/>
      <c r="R93" s="259"/>
      <c r="S93" s="259"/>
      <c r="T93" s="453"/>
      <c r="U93" s="259"/>
      <c r="V93" s="259"/>
      <c r="W93" s="259"/>
      <c r="X93" s="259"/>
      <c r="Y93" s="453"/>
      <c r="Z93" s="259"/>
      <c r="AA93" s="259"/>
      <c r="AB93" s="259"/>
      <c r="AC93" s="259"/>
      <c r="AD93" s="453"/>
      <c r="AE93" s="259"/>
      <c r="AF93" s="259"/>
      <c r="AG93" s="259"/>
      <c r="AH93" s="259"/>
      <c r="AI93" s="453"/>
      <c r="AJ93" s="259"/>
      <c r="AK93" s="259"/>
      <c r="AL93" s="259"/>
      <c r="AM93" s="259"/>
      <c r="AN93" s="453"/>
      <c r="AO93" s="259"/>
      <c r="AP93" s="259"/>
      <c r="AQ93" s="259"/>
      <c r="AR93" s="259"/>
      <c r="AS93" s="453"/>
      <c r="AT93" s="259"/>
      <c r="AU93" s="259"/>
      <c r="AV93" s="259"/>
      <c r="AW93" s="259"/>
      <c r="AX93" s="453"/>
      <c r="AY93" s="259"/>
      <c r="AZ93" s="259"/>
      <c r="BA93" s="259"/>
      <c r="BB93" s="259"/>
      <c r="BC93" s="453"/>
      <c r="BD93" s="259"/>
      <c r="BE93" s="259"/>
      <c r="BF93" s="259"/>
      <c r="BG93" s="259"/>
      <c r="BH93" s="453"/>
      <c r="BI93" s="259">
        <f t="shared" ref="BI93:CV93" si="109">BI79/BI13</f>
        <v>0.1119963578420214</v>
      </c>
      <c r="BJ93" s="259">
        <f t="shared" si="109"/>
        <v>0.13404669260700389</v>
      </c>
      <c r="BK93" s="259">
        <f t="shared" si="109"/>
        <v>0.12741312741312741</v>
      </c>
      <c r="BL93" s="259">
        <f t="shared" si="109"/>
        <v>0.11043083900226758</v>
      </c>
      <c r="BM93" s="453">
        <f t="shared" si="109"/>
        <v>0.12166030534351145</v>
      </c>
      <c r="BN93" s="259">
        <f t="shared" si="109"/>
        <v>0.11357003891050584</v>
      </c>
      <c r="BO93" s="259">
        <f t="shared" si="109"/>
        <v>0.15660542432195976</v>
      </c>
      <c r="BP93" s="259">
        <f t="shared" si="109"/>
        <v>0.15449636064803945</v>
      </c>
      <c r="BQ93" s="259">
        <f t="shared" si="109"/>
        <v>0.13744875813841331</v>
      </c>
      <c r="BR93" s="453">
        <f t="shared" si="109"/>
        <v>0.14107665301345818</v>
      </c>
      <c r="BS93" s="259">
        <f t="shared" si="109"/>
        <v>0.13135261923377639</v>
      </c>
      <c r="BT93" s="259">
        <f t="shared" si="109"/>
        <v>0.16905128769535549</v>
      </c>
      <c r="BU93" s="259">
        <f t="shared" si="109"/>
        <v>0.17087561954212888</v>
      </c>
      <c r="BV93" s="259">
        <f t="shared" si="109"/>
        <v>0.15171755725190839</v>
      </c>
      <c r="BW93" s="453">
        <f t="shared" si="109"/>
        <v>0.15658278303289905</v>
      </c>
      <c r="BX93" s="259">
        <f t="shared" si="109"/>
        <v>0.15061023110880292</v>
      </c>
      <c r="BY93" s="259">
        <f t="shared" si="109"/>
        <v>0.18965906525174983</v>
      </c>
      <c r="BZ93" s="259">
        <f t="shared" si="109"/>
        <v>0.18179728797977476</v>
      </c>
      <c r="CA93" s="259">
        <f t="shared" si="109"/>
        <v>0.15672709923664122</v>
      </c>
      <c r="CB93" s="453">
        <f t="shared" si="109"/>
        <v>0.1704808892587529</v>
      </c>
      <c r="CC93" s="259">
        <f t="shared" si="109"/>
        <v>0.16277258566978192</v>
      </c>
      <c r="CD93" s="259">
        <f t="shared" si="109"/>
        <v>0.19106421194431972</v>
      </c>
      <c r="CE93" s="259">
        <f t="shared" si="109"/>
        <v>0.18368777751811172</v>
      </c>
      <c r="CF93" s="259">
        <f t="shared" si="109"/>
        <v>0.1598738476467734</v>
      </c>
      <c r="CG93" s="453">
        <f t="shared" si="109"/>
        <v>0.1749566050158616</v>
      </c>
      <c r="CH93" s="259">
        <f t="shared" si="109"/>
        <v>0.17006437768240343</v>
      </c>
      <c r="CI93" s="259">
        <f t="shared" si="109"/>
        <v>0.20385736712267324</v>
      </c>
      <c r="CJ93" s="259">
        <f t="shared" si="109"/>
        <v>0.18799546998867497</v>
      </c>
      <c r="CK93" s="259">
        <f t="shared" si="109"/>
        <v>0.16003765591903976</v>
      </c>
      <c r="CL93" s="453">
        <f t="shared" si="109"/>
        <v>0.18117619132395704</v>
      </c>
      <c r="CM93" s="259">
        <f t="shared" si="106"/>
        <v>0.15596094552929085</v>
      </c>
      <c r="CN93" s="259">
        <f t="shared" ref="CN93" si="110">CN79/CN13</f>
        <v>0.18909168081494057</v>
      </c>
      <c r="CO93" s="259">
        <f t="shared" si="106"/>
        <v>0.18579351535836178</v>
      </c>
      <c r="CP93" s="259">
        <f t="shared" si="106"/>
        <v>0.16340356584686697</v>
      </c>
      <c r="CQ93" s="453">
        <f t="shared" si="109"/>
        <v>0.17444777830786351</v>
      </c>
      <c r="CR93" s="259">
        <f t="shared" si="109"/>
        <v>0.16221450079104949</v>
      </c>
      <c r="CS93" s="259">
        <f t="shared" si="109"/>
        <v>0.18936041273485574</v>
      </c>
      <c r="CT93" s="259">
        <f t="shared" si="109"/>
        <v>0.18625471794769155</v>
      </c>
      <c r="CU93" s="259">
        <f t="shared" si="109"/>
        <v>0.1726713567703842</v>
      </c>
      <c r="CV93" s="453">
        <f t="shared" si="109"/>
        <v>0.17837310987776242</v>
      </c>
      <c r="CW93" s="453">
        <f t="shared" si="108"/>
        <v>0.1854428739036689</v>
      </c>
      <c r="CX93" s="453">
        <f t="shared" si="108"/>
        <v>0.19166961827326118</v>
      </c>
      <c r="CY93" s="453">
        <f t="shared" si="108"/>
        <v>0.19769370808002876</v>
      </c>
      <c r="CZ93" s="268"/>
    </row>
    <row r="94" spans="1:108" ht="12" hidden="1" customHeight="1" outlineLevel="1">
      <c r="A94" s="268"/>
      <c r="B94" s="268"/>
      <c r="C94" s="268" t="str">
        <f>C80</f>
        <v>Carrier</v>
      </c>
      <c r="D94" s="261"/>
      <c r="E94" s="407"/>
      <c r="F94" s="407"/>
      <c r="G94" s="407"/>
      <c r="H94" s="407"/>
      <c r="I94" s="407"/>
      <c r="J94" s="453"/>
      <c r="K94" s="407">
        <v>3.1894484412470024E-2</v>
      </c>
      <c r="L94" s="407">
        <v>0.12131649445082281</v>
      </c>
      <c r="M94" s="407">
        <v>4.708520179372197E-2</v>
      </c>
      <c r="N94" s="407">
        <v>5.1601423487544484E-2</v>
      </c>
      <c r="O94" s="453">
        <v>6.632939853850478E-2</v>
      </c>
      <c r="P94" s="259">
        <v>3.217299578059072E-2</v>
      </c>
      <c r="Q94" s="259">
        <v>0.13183785911058638</v>
      </c>
      <c r="R94" s="259">
        <v>0.11794871794871795</v>
      </c>
      <c r="S94" s="259">
        <v>5.3607214428857713E-2</v>
      </c>
      <c r="T94" s="453">
        <v>8.8795166989627264E-2</v>
      </c>
      <c r="U94" s="259">
        <v>7.7158916709248848E-2</v>
      </c>
      <c r="V94" s="259">
        <v>0.13750000000000001</v>
      </c>
      <c r="W94" s="259">
        <v>0.12392988177741542</v>
      </c>
      <c r="X94" s="259">
        <v>4.2349726775956283E-2</v>
      </c>
      <c r="Y94" s="453">
        <v>0.10555916071814839</v>
      </c>
      <c r="Z94" s="259">
        <v>7.847533632286996E-2</v>
      </c>
      <c r="AA94" s="259">
        <v>0.14082173624917163</v>
      </c>
      <c r="AB94" s="259">
        <v>0.11925233644859813</v>
      </c>
      <c r="AC94" s="259">
        <v>5.6358917315535779E-2</v>
      </c>
      <c r="AD94" s="453">
        <v>0.1053027453930049</v>
      </c>
      <c r="AE94" s="259">
        <v>6.5434380776340118E-2</v>
      </c>
      <c r="AF94" s="259">
        <v>0.12247289774392031</v>
      </c>
      <c r="AG94" s="259">
        <v>0.11310056699492689</v>
      </c>
      <c r="AH94" s="259">
        <v>6.9010844561288198E-2</v>
      </c>
      <c r="AI94" s="453">
        <v>9.4629156010230184E-2</v>
      </c>
      <c r="AJ94" s="259">
        <f t="shared" ref="AJ94:BH94" si="111">AJ80/AJ14</f>
        <v>7.2658402203856748E-2</v>
      </c>
      <c r="AK94" s="259">
        <f t="shared" si="111"/>
        <v>0.11596907491335644</v>
      </c>
      <c r="AL94" s="259">
        <f t="shared" si="111"/>
        <v>0.11006376490158026</v>
      </c>
      <c r="AM94" s="259">
        <f t="shared" si="111"/>
        <v>6.3063063063063057E-2</v>
      </c>
      <c r="AN94" s="453">
        <f t="shared" si="111"/>
        <v>9.242637786514353E-2</v>
      </c>
      <c r="AO94" s="259">
        <f t="shared" si="111"/>
        <v>7.1884984025559109E-2</v>
      </c>
      <c r="AP94" s="259">
        <f t="shared" si="111"/>
        <v>0.12083847102342787</v>
      </c>
      <c r="AQ94" s="259">
        <f t="shared" si="111"/>
        <v>0.11637239165329052</v>
      </c>
      <c r="AR94" s="259">
        <f t="shared" si="111"/>
        <v>6.5305025530771305E-2</v>
      </c>
      <c r="AS94" s="453">
        <f t="shared" si="111"/>
        <v>9.3690248565965584E-2</v>
      </c>
      <c r="AT94" s="259">
        <f t="shared" si="111"/>
        <v>7.5975359342915813E-2</v>
      </c>
      <c r="AU94" s="259">
        <f t="shared" si="111"/>
        <v>0.12235996326905418</v>
      </c>
      <c r="AV94" s="259">
        <f t="shared" si="111"/>
        <v>0.11616032678069951</v>
      </c>
      <c r="AW94" s="259">
        <f t="shared" si="111"/>
        <v>4.3531575720416923E-2</v>
      </c>
      <c r="AX94" s="453">
        <f t="shared" si="111"/>
        <v>8.8463597430406854E-2</v>
      </c>
      <c r="AY94" s="259">
        <f t="shared" si="111"/>
        <v>2.5301204819277109E-2</v>
      </c>
      <c r="AZ94" s="259">
        <f t="shared" si="111"/>
        <v>0.10184287099903007</v>
      </c>
      <c r="BA94" s="259">
        <f t="shared" si="111"/>
        <v>0.10125722052327557</v>
      </c>
      <c r="BB94" s="259">
        <f t="shared" si="111"/>
        <v>6.7639729441082236E-2</v>
      </c>
      <c r="BC94" s="453">
        <f t="shared" si="111"/>
        <v>6.8989854433171599E-2</v>
      </c>
      <c r="BD94" s="259">
        <f t="shared" si="111"/>
        <v>6.3640048642075397E-2</v>
      </c>
      <c r="BE94" s="259">
        <f t="shared" si="111"/>
        <v>0.12770772712576786</v>
      </c>
      <c r="BF94" s="259">
        <f t="shared" si="111"/>
        <v>0.12091280653950953</v>
      </c>
      <c r="BG94" s="259">
        <f t="shared" si="111"/>
        <v>8.1314878892733561E-2</v>
      </c>
      <c r="BH94" s="453">
        <f t="shared" si="111"/>
        <v>0.10073774811171614</v>
      </c>
      <c r="BI94" s="259">
        <f t="shared" ref="BI94:CV94" si="112">BI80/BI14</f>
        <v>0.11713665943600868</v>
      </c>
      <c r="BJ94" s="259">
        <f t="shared" si="112"/>
        <v>0.13940465664603596</v>
      </c>
      <c r="BK94" s="259">
        <f t="shared" si="112"/>
        <v>0.12661417322834645</v>
      </c>
      <c r="BL94" s="259">
        <f t="shared" si="112"/>
        <v>9.7912713472485771E-2</v>
      </c>
      <c r="BM94" s="453">
        <f t="shared" si="112"/>
        <v>0.11262427938842008</v>
      </c>
      <c r="BN94" s="259">
        <f t="shared" si="112"/>
        <v>0</v>
      </c>
      <c r="BO94" s="259">
        <f t="shared" si="112"/>
        <v>0</v>
      </c>
      <c r="BP94" s="259">
        <f t="shared" si="112"/>
        <v>0</v>
      </c>
      <c r="BQ94" s="259">
        <f t="shared" si="112"/>
        <v>0</v>
      </c>
      <c r="BR94" s="453">
        <f t="shared" si="112"/>
        <v>0</v>
      </c>
      <c r="BS94" s="259">
        <f t="shared" si="112"/>
        <v>0</v>
      </c>
      <c r="BT94" s="259">
        <f t="shared" si="112"/>
        <v>0</v>
      </c>
      <c r="BU94" s="259">
        <f t="shared" si="112"/>
        <v>0</v>
      </c>
      <c r="BV94" s="259">
        <f t="shared" si="112"/>
        <v>0</v>
      </c>
      <c r="BW94" s="453">
        <f t="shared" si="112"/>
        <v>0</v>
      </c>
      <c r="BX94" s="259" t="e">
        <f t="shared" si="112"/>
        <v>#DIV/0!</v>
      </c>
      <c r="BY94" s="259" t="e">
        <f t="shared" si="112"/>
        <v>#DIV/0!</v>
      </c>
      <c r="BZ94" s="259" t="e">
        <f t="shared" si="112"/>
        <v>#DIV/0!</v>
      </c>
      <c r="CA94" s="259" t="e">
        <f t="shared" si="112"/>
        <v>#DIV/0!</v>
      </c>
      <c r="CB94" s="453" t="e">
        <f t="shared" si="112"/>
        <v>#DIV/0!</v>
      </c>
      <c r="CC94" s="259" t="e">
        <f t="shared" si="112"/>
        <v>#DIV/0!</v>
      </c>
      <c r="CD94" s="259" t="e">
        <f t="shared" si="112"/>
        <v>#DIV/0!</v>
      </c>
      <c r="CE94" s="259" t="e">
        <f t="shared" si="112"/>
        <v>#DIV/0!</v>
      </c>
      <c r="CF94" s="259" t="e">
        <f t="shared" si="112"/>
        <v>#DIV/0!</v>
      </c>
      <c r="CG94" s="453" t="e">
        <f t="shared" si="112"/>
        <v>#DIV/0!</v>
      </c>
      <c r="CH94" s="259" t="e">
        <f t="shared" si="112"/>
        <v>#DIV/0!</v>
      </c>
      <c r="CI94" s="259" t="e">
        <f t="shared" si="112"/>
        <v>#DIV/0!</v>
      </c>
      <c r="CJ94" s="259" t="e">
        <f t="shared" si="112"/>
        <v>#DIV/0!</v>
      </c>
      <c r="CK94" s="259" t="e">
        <f t="shared" si="112"/>
        <v>#DIV/0!</v>
      </c>
      <c r="CL94" s="453" t="e">
        <f t="shared" si="112"/>
        <v>#DIV/0!</v>
      </c>
      <c r="CM94" s="259" t="e">
        <f t="shared" si="106"/>
        <v>#DIV/0!</v>
      </c>
      <c r="CN94" s="259" t="e">
        <f t="shared" ref="CN94" si="113">CN80/CN14</f>
        <v>#DIV/0!</v>
      </c>
      <c r="CO94" s="259" t="e">
        <f t="shared" si="106"/>
        <v>#DIV/0!</v>
      </c>
      <c r="CP94" s="259" t="e">
        <f t="shared" si="106"/>
        <v>#DIV/0!</v>
      </c>
      <c r="CQ94" s="453" t="e">
        <f t="shared" si="112"/>
        <v>#DIV/0!</v>
      </c>
      <c r="CR94" s="259" t="e">
        <f t="shared" si="112"/>
        <v>#DIV/0!</v>
      </c>
      <c r="CS94" s="259" t="e">
        <f t="shared" si="112"/>
        <v>#DIV/0!</v>
      </c>
      <c r="CT94" s="259" t="e">
        <f t="shared" si="112"/>
        <v>#DIV/0!</v>
      </c>
      <c r="CU94" s="259" t="e">
        <f t="shared" si="112"/>
        <v>#DIV/0!</v>
      </c>
      <c r="CV94" s="453" t="e">
        <f t="shared" si="112"/>
        <v>#DIV/0!</v>
      </c>
      <c r="CW94" s="453" t="e">
        <f t="shared" si="108"/>
        <v>#DIV/0!</v>
      </c>
      <c r="CX94" s="453" t="e">
        <f t="shared" si="108"/>
        <v>#DIV/0!</v>
      </c>
      <c r="CY94" s="453" t="e">
        <f t="shared" si="108"/>
        <v>#DIV/0!</v>
      </c>
      <c r="CZ94" s="268"/>
    </row>
    <row r="95" spans="1:108" ht="12" hidden="1" customHeight="1" outlineLevel="1">
      <c r="A95" s="268"/>
      <c r="B95" s="268"/>
      <c r="C95" s="268" t="str">
        <f>C81</f>
        <v>Fire &amp; Security</v>
      </c>
      <c r="D95" s="261"/>
      <c r="E95" s="407"/>
      <c r="F95" s="407"/>
      <c r="G95" s="407"/>
      <c r="H95" s="407"/>
      <c r="I95" s="407"/>
      <c r="J95" s="453"/>
      <c r="K95" s="407"/>
      <c r="L95" s="407"/>
      <c r="M95" s="407"/>
      <c r="N95" s="407"/>
      <c r="O95" s="453"/>
      <c r="P95" s="259"/>
      <c r="Q95" s="259"/>
      <c r="R95" s="259"/>
      <c r="S95" s="259"/>
      <c r="T95" s="453"/>
      <c r="U95" s="259"/>
      <c r="V95" s="259"/>
      <c r="W95" s="259">
        <v>4.807692307692308E-2</v>
      </c>
      <c r="X95" s="259">
        <v>4.8611111111111112E-2</v>
      </c>
      <c r="Y95" s="453">
        <v>4.8415492957746477E-2</v>
      </c>
      <c r="Z95" s="259">
        <v>4.4096728307254626E-2</v>
      </c>
      <c r="AA95" s="259">
        <v>4.5261669024045263E-2</v>
      </c>
      <c r="AB95" s="259">
        <v>4.7413793103448273E-2</v>
      </c>
      <c r="AC95" s="259">
        <v>4.3984476067270378E-2</v>
      </c>
      <c r="AD95" s="453">
        <v>4.7900034710170077E-2</v>
      </c>
      <c r="AE95" s="259">
        <v>5.2356020942408377E-2</v>
      </c>
      <c r="AF95" s="259">
        <v>4.6471600688468159E-2</v>
      </c>
      <c r="AG95" s="259">
        <v>5.7983942908117751E-2</v>
      </c>
      <c r="AH95" s="259">
        <v>8.0631753948462184E-2</v>
      </c>
      <c r="AI95" s="453">
        <v>6.023529411764706E-2</v>
      </c>
      <c r="AJ95" s="259">
        <f t="shared" ref="AJ95:BH95" si="114">AJ81/AJ15</f>
        <v>6.0251798561151079E-2</v>
      </c>
      <c r="AK95" s="259">
        <f t="shared" si="114"/>
        <v>6.5981148243359045E-2</v>
      </c>
      <c r="AL95" s="259">
        <f t="shared" si="114"/>
        <v>6.9176882661996494E-2</v>
      </c>
      <c r="AM95" s="259">
        <f t="shared" si="114"/>
        <v>9.2006033182503777E-2</v>
      </c>
      <c r="AN95" s="453">
        <f t="shared" si="114"/>
        <v>7.2677480514008852E-2</v>
      </c>
      <c r="AO95" s="259">
        <f t="shared" si="114"/>
        <v>7.0626003210272875E-2</v>
      </c>
      <c r="AP95" s="259">
        <f t="shared" si="114"/>
        <v>7.783543365455893E-2</v>
      </c>
      <c r="AQ95" s="259">
        <f t="shared" si="114"/>
        <v>8.2256968048946291E-2</v>
      </c>
      <c r="AR95" s="259">
        <f t="shared" si="114"/>
        <v>9.9526066350710901E-2</v>
      </c>
      <c r="AS95" s="453">
        <f t="shared" si="114"/>
        <v>8.3767813694820989E-2</v>
      </c>
      <c r="AT95" s="259">
        <f t="shared" si="114"/>
        <v>7.5719649561952443E-2</v>
      </c>
      <c r="AU95" s="259">
        <f t="shared" si="114"/>
        <v>8.8032220943613348E-2</v>
      </c>
      <c r="AV95" s="259">
        <f t="shared" si="114"/>
        <v>9.4827586206896547E-2</v>
      </c>
      <c r="AW95" s="259">
        <f t="shared" si="114"/>
        <v>0.11784287616511319</v>
      </c>
      <c r="AX95" s="453">
        <f t="shared" si="114"/>
        <v>9.362426493345713E-2</v>
      </c>
      <c r="AY95" s="259">
        <f t="shared" si="114"/>
        <v>8.3528493364558934E-2</v>
      </c>
      <c r="AZ95" s="259">
        <f t="shared" si="114"/>
        <v>0.10657596371882086</v>
      </c>
      <c r="BA95" s="259">
        <f t="shared" si="114"/>
        <v>0.11353711790393013</v>
      </c>
      <c r="BB95" s="259">
        <f t="shared" si="114"/>
        <v>0.13180327868852459</v>
      </c>
      <c r="BC95" s="453">
        <f t="shared" si="114"/>
        <v>0.10994003270943122</v>
      </c>
      <c r="BD95" s="259">
        <f t="shared" si="114"/>
        <v>9.3992932862190806E-2</v>
      </c>
      <c r="BE95" s="259">
        <f t="shared" si="114"/>
        <v>0.11578947368421053</v>
      </c>
      <c r="BF95" s="259">
        <f t="shared" si="114"/>
        <v>0.12733856366928184</v>
      </c>
      <c r="BG95" s="259">
        <f t="shared" si="114"/>
        <v>0.14475873544093179</v>
      </c>
      <c r="BH95" s="453">
        <f t="shared" si="114"/>
        <v>0.12203389830508475</v>
      </c>
      <c r="BI95" s="259">
        <f t="shared" ref="BI95:CV95" si="115">BI81/BI15</f>
        <v>0.10380835380835381</v>
      </c>
      <c r="BJ95" s="259">
        <f t="shared" si="115"/>
        <v>0.12313860252004583</v>
      </c>
      <c r="BK95" s="259">
        <f t="shared" si="115"/>
        <v>0.1300114547537228</v>
      </c>
      <c r="BL95" s="259">
        <f t="shared" si="115"/>
        <v>0.12788732394366198</v>
      </c>
      <c r="BM95" s="453">
        <f t="shared" si="115"/>
        <v>0.13110949963741841</v>
      </c>
      <c r="BN95" s="259">
        <f t="shared" si="115"/>
        <v>0</v>
      </c>
      <c r="BO95" s="259">
        <f t="shared" si="115"/>
        <v>0</v>
      </c>
      <c r="BP95" s="259">
        <f t="shared" si="115"/>
        <v>0</v>
      </c>
      <c r="BQ95" s="259">
        <f t="shared" si="115"/>
        <v>0</v>
      </c>
      <c r="BR95" s="453">
        <f t="shared" si="115"/>
        <v>0</v>
      </c>
      <c r="BS95" s="259">
        <f t="shared" si="115"/>
        <v>0</v>
      </c>
      <c r="BT95" s="259">
        <f t="shared" si="115"/>
        <v>0</v>
      </c>
      <c r="BU95" s="259">
        <f t="shared" si="115"/>
        <v>0</v>
      </c>
      <c r="BV95" s="259">
        <f t="shared" si="115"/>
        <v>0</v>
      </c>
      <c r="BW95" s="453">
        <f t="shared" si="115"/>
        <v>0</v>
      </c>
      <c r="BX95" s="259" t="e">
        <f t="shared" si="115"/>
        <v>#DIV/0!</v>
      </c>
      <c r="BY95" s="259" t="e">
        <f t="shared" si="115"/>
        <v>#DIV/0!</v>
      </c>
      <c r="BZ95" s="259" t="e">
        <f t="shared" si="115"/>
        <v>#DIV/0!</v>
      </c>
      <c r="CA95" s="259" t="e">
        <f t="shared" si="115"/>
        <v>#DIV/0!</v>
      </c>
      <c r="CB95" s="453" t="e">
        <f t="shared" si="115"/>
        <v>#DIV/0!</v>
      </c>
      <c r="CC95" s="259" t="e">
        <f t="shared" si="115"/>
        <v>#DIV/0!</v>
      </c>
      <c r="CD95" s="259" t="e">
        <f t="shared" si="115"/>
        <v>#DIV/0!</v>
      </c>
      <c r="CE95" s="259" t="e">
        <f t="shared" si="115"/>
        <v>#DIV/0!</v>
      </c>
      <c r="CF95" s="259" t="e">
        <f t="shared" si="115"/>
        <v>#DIV/0!</v>
      </c>
      <c r="CG95" s="453" t="e">
        <f t="shared" si="115"/>
        <v>#DIV/0!</v>
      </c>
      <c r="CH95" s="259" t="e">
        <f t="shared" si="115"/>
        <v>#DIV/0!</v>
      </c>
      <c r="CI95" s="259" t="e">
        <f t="shared" si="115"/>
        <v>#DIV/0!</v>
      </c>
      <c r="CJ95" s="259" t="e">
        <f t="shared" si="115"/>
        <v>#DIV/0!</v>
      </c>
      <c r="CK95" s="259" t="e">
        <f t="shared" si="115"/>
        <v>#DIV/0!</v>
      </c>
      <c r="CL95" s="453" t="e">
        <f t="shared" si="115"/>
        <v>#DIV/0!</v>
      </c>
      <c r="CM95" s="259" t="e">
        <f t="shared" si="106"/>
        <v>#DIV/0!</v>
      </c>
      <c r="CN95" s="259" t="e">
        <f t="shared" ref="CN95" si="116">CN81/CN15</f>
        <v>#DIV/0!</v>
      </c>
      <c r="CO95" s="259" t="e">
        <f t="shared" si="106"/>
        <v>#DIV/0!</v>
      </c>
      <c r="CP95" s="259" t="e">
        <f t="shared" si="106"/>
        <v>#DIV/0!</v>
      </c>
      <c r="CQ95" s="453" t="e">
        <f t="shared" si="115"/>
        <v>#DIV/0!</v>
      </c>
      <c r="CR95" s="259" t="e">
        <f t="shared" si="115"/>
        <v>#DIV/0!</v>
      </c>
      <c r="CS95" s="259" t="e">
        <f t="shared" si="115"/>
        <v>#DIV/0!</v>
      </c>
      <c r="CT95" s="259" t="e">
        <f t="shared" si="115"/>
        <v>#DIV/0!</v>
      </c>
      <c r="CU95" s="259" t="e">
        <f t="shared" si="115"/>
        <v>#DIV/0!</v>
      </c>
      <c r="CV95" s="453" t="e">
        <f t="shared" si="115"/>
        <v>#DIV/0!</v>
      </c>
      <c r="CW95" s="453" t="e">
        <f t="shared" si="108"/>
        <v>#DIV/0!</v>
      </c>
      <c r="CX95" s="453" t="e">
        <f t="shared" si="108"/>
        <v>#DIV/0!</v>
      </c>
      <c r="CY95" s="453" t="e">
        <f t="shared" si="108"/>
        <v>#DIV/0!</v>
      </c>
      <c r="CZ95" s="268"/>
    </row>
    <row r="96" spans="1:108" ht="12" customHeight="1" collapsed="1">
      <c r="A96" s="268"/>
      <c r="B96" s="268"/>
      <c r="C96" s="268" t="str">
        <f>C82</f>
        <v>Pratt &amp; Whitney</v>
      </c>
      <c r="D96" s="261"/>
      <c r="E96" s="407"/>
      <c r="F96" s="407"/>
      <c r="G96" s="407"/>
      <c r="H96" s="407"/>
      <c r="I96" s="407"/>
      <c r="J96" s="453"/>
      <c r="K96" s="407">
        <v>0.18264110756123536</v>
      </c>
      <c r="L96" s="407">
        <v>0.18037812979049567</v>
      </c>
      <c r="M96" s="407">
        <v>0.17793030623020065</v>
      </c>
      <c r="N96" s="407">
        <v>0.14102564102564102</v>
      </c>
      <c r="O96" s="453">
        <f t="shared" ref="O96:AI96" si="117">O82/O16</f>
        <v>0.17853887224899076</v>
      </c>
      <c r="P96" s="259">
        <f t="shared" si="117"/>
        <v>0.17771739130434783</v>
      </c>
      <c r="Q96" s="259">
        <f t="shared" si="117"/>
        <v>0.18773333333333334</v>
      </c>
      <c r="R96" s="259">
        <f t="shared" si="117"/>
        <v>0.18597236981934112</v>
      </c>
      <c r="S96" s="259">
        <f t="shared" si="117"/>
        <v>0.16259765625</v>
      </c>
      <c r="T96" s="453">
        <f t="shared" si="117"/>
        <v>0.17815565729234795</v>
      </c>
      <c r="U96" s="259">
        <f t="shared" si="117"/>
        <v>0.1606008087810514</v>
      </c>
      <c r="V96" s="259">
        <f t="shared" si="117"/>
        <v>0.13911704312114989</v>
      </c>
      <c r="W96" s="259">
        <f t="shared" si="117"/>
        <v>0.15223238300161376</v>
      </c>
      <c r="X96" s="259">
        <f t="shared" si="117"/>
        <v>0.15861718352821555</v>
      </c>
      <c r="Y96" s="453">
        <f t="shared" si="117"/>
        <v>0.1524317121918721</v>
      </c>
      <c r="Z96" s="259">
        <f t="shared" si="117"/>
        <v>0.13254254770500257</v>
      </c>
      <c r="AA96" s="259">
        <f t="shared" si="117"/>
        <v>0.1528846153846154</v>
      </c>
      <c r="AB96" s="259">
        <f t="shared" si="117"/>
        <v>0.15476190476190477</v>
      </c>
      <c r="AC96" s="259">
        <f t="shared" si="117"/>
        <v>0.15494912118408879</v>
      </c>
      <c r="AD96" s="453">
        <f t="shared" si="117"/>
        <v>0.14874141876430205</v>
      </c>
      <c r="AE96" s="259">
        <f t="shared" si="117"/>
        <v>0.17386984600099353</v>
      </c>
      <c r="AF96" s="259">
        <f t="shared" si="117"/>
        <v>0.16278046634403873</v>
      </c>
      <c r="AG96" s="259">
        <f t="shared" si="117"/>
        <v>0.15865782932891467</v>
      </c>
      <c r="AH96" s="259">
        <f t="shared" si="117"/>
        <v>0.14836223506743737</v>
      </c>
      <c r="AI96" s="453">
        <f t="shared" si="117"/>
        <v>0.16008606777837547</v>
      </c>
      <c r="AJ96" s="259">
        <f t="shared" ref="AJ96:BH96" si="118">AJ82/AJ16</f>
        <v>0.16238317757009346</v>
      </c>
      <c r="AK96" s="259">
        <f t="shared" si="118"/>
        <v>0.17088375504217088</v>
      </c>
      <c r="AL96" s="259">
        <f t="shared" si="118"/>
        <v>0.16456153013352581</v>
      </c>
      <c r="AM96" s="259">
        <f t="shared" si="118"/>
        <v>0.14478003939592909</v>
      </c>
      <c r="AN96" s="453">
        <f t="shared" si="118"/>
        <v>0.16018718502519799</v>
      </c>
      <c r="AO96" s="259">
        <f t="shared" si="118"/>
        <v>0.16985905312612939</v>
      </c>
      <c r="AP96" s="259">
        <f t="shared" si="118"/>
        <v>0.17020592020592021</v>
      </c>
      <c r="AQ96" s="259">
        <f t="shared" si="118"/>
        <v>0.16963109354413702</v>
      </c>
      <c r="AR96" s="259">
        <f t="shared" si="118"/>
        <v>0.15848353014294592</v>
      </c>
      <c r="AS96" s="453">
        <f t="shared" si="118"/>
        <v>0.16687278423612828</v>
      </c>
      <c r="AT96" s="259">
        <f t="shared" si="118"/>
        <v>0.15588914549653579</v>
      </c>
      <c r="AU96" s="259">
        <f t="shared" si="118"/>
        <v>0.15774726814233678</v>
      </c>
      <c r="AV96" s="259">
        <f t="shared" si="118"/>
        <v>0.15931014323297282</v>
      </c>
      <c r="AW96" s="259">
        <f t="shared" si="118"/>
        <v>0.15416782826874825</v>
      </c>
      <c r="AX96" s="453">
        <f t="shared" si="118"/>
        <v>0.15675521686489566</v>
      </c>
      <c r="AY96" s="259">
        <f t="shared" si="118"/>
        <v>0.15832805573147563</v>
      </c>
      <c r="AZ96" s="259">
        <f t="shared" si="118"/>
        <v>0.17130691123485098</v>
      </c>
      <c r="BA96" s="259">
        <f t="shared" si="118"/>
        <v>0.16857335127860026</v>
      </c>
      <c r="BB96" s="259">
        <f t="shared" si="118"/>
        <v>0.15612340292926144</v>
      </c>
      <c r="BC96" s="453">
        <f t="shared" si="118"/>
        <v>0.16341187863137507</v>
      </c>
      <c r="BD96" s="259">
        <f t="shared" si="118"/>
        <v>0.16261879619852165</v>
      </c>
      <c r="BE96" s="259">
        <f t="shared" si="118"/>
        <v>0.16193961573650503</v>
      </c>
      <c r="BF96" s="259">
        <f t="shared" si="118"/>
        <v>0.17337461300309598</v>
      </c>
      <c r="BG96" s="259">
        <f t="shared" si="118"/>
        <v>0.15955369595536958</v>
      </c>
      <c r="BH96" s="453">
        <f t="shared" si="118"/>
        <v>0.16428295322767686</v>
      </c>
      <c r="BI96" s="259">
        <f t="shared" ref="BI96:CV96" si="119">BI82/BI16</f>
        <v>0.15036547163243996</v>
      </c>
      <c r="BJ96" s="259">
        <f t="shared" si="119"/>
        <v>0.13705738705738707</v>
      </c>
      <c r="BK96" s="259">
        <f t="shared" si="119"/>
        <v>0.14930217461863032</v>
      </c>
      <c r="BL96" s="259">
        <f t="shared" si="119"/>
        <v>0.15426601551278368</v>
      </c>
      <c r="BM96" s="453">
        <f t="shared" si="119"/>
        <v>0.14774604673117772</v>
      </c>
      <c r="BN96" s="259">
        <f t="shared" si="119"/>
        <v>0.13958060288335516</v>
      </c>
      <c r="BO96" s="259">
        <f t="shared" si="119"/>
        <v>0.12880765883376849</v>
      </c>
      <c r="BP96" s="259">
        <f t="shared" si="119"/>
        <v>0.1152770005595971</v>
      </c>
      <c r="BQ96" s="259">
        <f t="shared" si="119"/>
        <v>0.10357234644050373</v>
      </c>
      <c r="BR96" s="453">
        <f t="shared" si="119"/>
        <v>0.12066743053566313</v>
      </c>
      <c r="BS96" s="259">
        <f t="shared" si="119"/>
        <v>0.12139917695473251</v>
      </c>
      <c r="BT96" s="259">
        <f t="shared" si="119"/>
        <v>0.12886313465783664</v>
      </c>
      <c r="BU96" s="259">
        <f t="shared" si="119"/>
        <v>0.14353219137625517</v>
      </c>
      <c r="BV96" s="259">
        <f t="shared" si="119"/>
        <v>0.12130105160185864</v>
      </c>
      <c r="BW96" s="453">
        <f t="shared" si="119"/>
        <v>0.128404937590511</v>
      </c>
      <c r="BX96" s="259">
        <f t="shared" si="119"/>
        <v>0.12916791829378191</v>
      </c>
      <c r="BY96" s="259">
        <f t="shared" si="119"/>
        <v>0.14448775055679286</v>
      </c>
      <c r="BZ96" s="259">
        <f t="shared" si="119"/>
        <v>0.15656565656565657</v>
      </c>
      <c r="CA96" s="259">
        <f t="shared" si="119"/>
        <v>0.13820531941337311</v>
      </c>
      <c r="CB96" s="453">
        <f t="shared" si="119"/>
        <v>0.14219740832644059</v>
      </c>
      <c r="CC96" s="259">
        <f t="shared" si="119"/>
        <v>0.12965186074429771</v>
      </c>
      <c r="CD96" s="259">
        <f t="shared" si="119"/>
        <v>0.13298884960565679</v>
      </c>
      <c r="CE96" s="259">
        <f t="shared" si="119"/>
        <v>0.13636363636363635</v>
      </c>
      <c r="CF96" s="259">
        <f t="shared" si="119"/>
        <v>0.14352696014587132</v>
      </c>
      <c r="CG96" s="453">
        <f t="shared" si="119"/>
        <v>0.13584718079818209</v>
      </c>
      <c r="CH96" s="259">
        <f t="shared" si="119"/>
        <v>0.11566332218506131</v>
      </c>
      <c r="CI96" s="259">
        <f t="shared" si="119"/>
        <v>0.11854183057959612</v>
      </c>
      <c r="CJ96" s="259">
        <f t="shared" si="119"/>
        <v>0.11825192802056556</v>
      </c>
      <c r="CK96" s="259">
        <f t="shared" si="119"/>
        <v>0.11773547094188377</v>
      </c>
      <c r="CL96" s="453">
        <f t="shared" si="119"/>
        <v>0.11756411977977708</v>
      </c>
      <c r="CM96" s="259">
        <f t="shared" si="106"/>
        <v>0.10457690260777008</v>
      </c>
      <c r="CN96" s="259">
        <f t="shared" ref="CN96" si="120">CN82/CN16</f>
        <v>0.10024570024570024</v>
      </c>
      <c r="CO96" s="259">
        <f t="shared" si="106"/>
        <v>0.10927408938258848</v>
      </c>
      <c r="CP96" s="259">
        <f t="shared" si="106"/>
        <v>9.5451508210297104E-2</v>
      </c>
      <c r="CQ96" s="453">
        <f t="shared" si="119"/>
        <v>0.10220518065797836</v>
      </c>
      <c r="CR96" s="259">
        <f t="shared" si="119"/>
        <v>9.0373055887782702E-2</v>
      </c>
      <c r="CS96" s="259">
        <f t="shared" si="119"/>
        <v>8.6853549029138485E-2</v>
      </c>
      <c r="CT96" s="259">
        <f t="shared" si="119"/>
        <v>0.10332718800185035</v>
      </c>
      <c r="CU96" s="259">
        <f t="shared" si="119"/>
        <v>8.3100075298275067E-2</v>
      </c>
      <c r="CV96" s="453">
        <f t="shared" si="119"/>
        <v>8.9350880016848197E-2</v>
      </c>
      <c r="CW96" s="453">
        <f t="shared" si="108"/>
        <v>0.1086478261100725</v>
      </c>
      <c r="CX96" s="453">
        <f t="shared" si="108"/>
        <v>0.11490451980190737</v>
      </c>
      <c r="CY96" s="453">
        <f t="shared" si="108"/>
        <v>0.11302589607665292</v>
      </c>
      <c r="CZ96" s="268"/>
    </row>
    <row r="97" spans="1:104" ht="12" customHeight="1">
      <c r="A97" s="268"/>
      <c r="B97" s="268"/>
      <c r="C97" s="116" t="s">
        <v>164</v>
      </c>
      <c r="D97" s="261"/>
      <c r="E97" s="407"/>
      <c r="F97" s="407"/>
      <c r="G97" s="407"/>
      <c r="H97" s="407"/>
      <c r="I97" s="407"/>
      <c r="J97" s="453"/>
      <c r="K97" s="407"/>
      <c r="L97" s="407"/>
      <c r="M97" s="407"/>
      <c r="N97" s="407"/>
      <c r="O97" s="453"/>
      <c r="P97" s="259"/>
      <c r="Q97" s="259"/>
      <c r="R97" s="259"/>
      <c r="S97" s="259"/>
      <c r="T97" s="453"/>
      <c r="U97" s="259"/>
      <c r="V97" s="259"/>
      <c r="W97" s="259"/>
      <c r="X97" s="259"/>
      <c r="Y97" s="453"/>
      <c r="Z97" s="259"/>
      <c r="AA97" s="259"/>
      <c r="AB97" s="259"/>
      <c r="AC97" s="259"/>
      <c r="AD97" s="453"/>
      <c r="AE97" s="259"/>
      <c r="AF97" s="259"/>
      <c r="AG97" s="259"/>
      <c r="AH97" s="259"/>
      <c r="AI97" s="453"/>
      <c r="AJ97" s="259"/>
      <c r="AK97" s="259"/>
      <c r="AL97" s="259"/>
      <c r="AM97" s="259"/>
      <c r="AN97" s="453"/>
      <c r="AO97" s="259"/>
      <c r="AP97" s="259"/>
      <c r="AQ97" s="259"/>
      <c r="AR97" s="259"/>
      <c r="AS97" s="453"/>
      <c r="AT97" s="259"/>
      <c r="AU97" s="259"/>
      <c r="AV97" s="259"/>
      <c r="AW97" s="259"/>
      <c r="AX97" s="453"/>
      <c r="AY97" s="259"/>
      <c r="AZ97" s="259"/>
      <c r="BA97" s="259"/>
      <c r="BB97" s="259"/>
      <c r="BC97" s="453"/>
      <c r="BD97" s="259"/>
      <c r="BE97" s="259"/>
      <c r="BF97" s="259"/>
      <c r="BG97" s="259"/>
      <c r="BH97" s="453"/>
      <c r="BI97" s="259">
        <f t="shared" ref="BI97:CV97" si="121">BI83/BI18</f>
        <v>0.15289982425307558</v>
      </c>
      <c r="BJ97" s="259">
        <f t="shared" si="121"/>
        <v>0.1596925704526046</v>
      </c>
      <c r="BK97" s="259">
        <f t="shared" si="121"/>
        <v>0.17270429654591407</v>
      </c>
      <c r="BL97" s="259">
        <f t="shared" si="121"/>
        <v>0.16139240506329114</v>
      </c>
      <c r="BM97" s="453">
        <f t="shared" si="121"/>
        <v>0.16176470588235295</v>
      </c>
      <c r="BN97" s="259">
        <f t="shared" si="121"/>
        <v>0.16181229773462782</v>
      </c>
      <c r="BO97" s="259">
        <f t="shared" si="121"/>
        <v>0.17065390749601275</v>
      </c>
      <c r="BP97" s="259">
        <f t="shared" si="121"/>
        <v>0.1146067415730337</v>
      </c>
      <c r="BQ97" s="259">
        <f t="shared" si="121"/>
        <v>0.10680529300567108</v>
      </c>
      <c r="BR97" s="453">
        <f t="shared" si="121"/>
        <v>0.12706983441324693</v>
      </c>
      <c r="BS97" s="259">
        <f t="shared" si="121"/>
        <v>0.15599141893962612</v>
      </c>
      <c r="BT97" s="259">
        <f t="shared" si="121"/>
        <v>0.16019271303824148</v>
      </c>
      <c r="BU97" s="259">
        <f t="shared" si="121"/>
        <v>0.1585144927536232</v>
      </c>
      <c r="BV97" s="259">
        <f t="shared" si="121"/>
        <v>0.15763546798029557</v>
      </c>
      <c r="BW97" s="453">
        <f t="shared" si="121"/>
        <v>0.15808795984116281</v>
      </c>
      <c r="BX97" s="259">
        <f t="shared" si="121"/>
        <v>0.17275362318840579</v>
      </c>
      <c r="BY97" s="259">
        <f t="shared" si="121"/>
        <v>0.16666666666666666</v>
      </c>
      <c r="BZ97" s="259">
        <f t="shared" si="121"/>
        <v>0.17001414427157002</v>
      </c>
      <c r="CA97" s="259">
        <f t="shared" si="121"/>
        <v>0.17640511964385086</v>
      </c>
      <c r="CB97" s="453">
        <f t="shared" si="121"/>
        <v>0.17143862117481534</v>
      </c>
      <c r="CC97" s="259">
        <f t="shared" si="121"/>
        <v>0.17446448703494927</v>
      </c>
      <c r="CD97" s="259">
        <f t="shared" si="121"/>
        <v>0.15969162995594713</v>
      </c>
      <c r="CE97" s="259">
        <f t="shared" si="121"/>
        <v>0.1695111368238357</v>
      </c>
      <c r="CF97" s="259">
        <f t="shared" si="121"/>
        <v>0.1648828463986115</v>
      </c>
      <c r="CG97" s="453">
        <f t="shared" si="121"/>
        <v>0.16709237973605789</v>
      </c>
      <c r="CH97" s="259">
        <f t="shared" si="121"/>
        <v>0.15720399429386592</v>
      </c>
      <c r="CI97" s="259">
        <f t="shared" si="121"/>
        <v>0.15877287405812701</v>
      </c>
      <c r="CJ97" s="259">
        <f t="shared" si="121"/>
        <v>0.1675809105869446</v>
      </c>
      <c r="CK97" s="259">
        <f t="shared" si="121"/>
        <v>0.16536964980544747</v>
      </c>
      <c r="CL97" s="453">
        <f t="shared" si="121"/>
        <v>0.16225371586588316</v>
      </c>
      <c r="CM97" s="259">
        <f t="shared" ref="CM97:CP98" si="122">CM83/CM18</f>
        <v>0.16588202713929659</v>
      </c>
      <c r="CN97" s="259">
        <f t="shared" ref="CN97" si="123">CN83/CN18</f>
        <v>0.16565934065934065</v>
      </c>
      <c r="CO97" s="259">
        <f t="shared" si="122"/>
        <v>0.17404454220511412</v>
      </c>
      <c r="CP97" s="259">
        <f t="shared" si="122"/>
        <v>0.16024281694421622</v>
      </c>
      <c r="CQ97" s="453">
        <f t="shared" si="121"/>
        <v>0.1664134680496144</v>
      </c>
      <c r="CR97" s="259">
        <f t="shared" si="121"/>
        <v>0.16537571935364889</v>
      </c>
      <c r="CS97" s="259">
        <f t="shared" si="121"/>
        <v>0.16534737209724118</v>
      </c>
      <c r="CT97" s="259">
        <f t="shared" si="121"/>
        <v>0.17321792290033786</v>
      </c>
      <c r="CU97" s="259">
        <f t="shared" si="121"/>
        <v>0.16610659853909174</v>
      </c>
      <c r="CV97" s="453">
        <f t="shared" si="121"/>
        <v>0.1675225698748552</v>
      </c>
      <c r="CW97" s="453">
        <f t="shared" ref="CW97:CY98" si="124">CW83/CW18</f>
        <v>0.16900130114990602</v>
      </c>
      <c r="CX97" s="453">
        <f t="shared" si="124"/>
        <v>0.17126998163368287</v>
      </c>
      <c r="CY97" s="453">
        <f t="shared" si="124"/>
        <v>0.16812931664225964</v>
      </c>
      <c r="CZ97" s="268"/>
    </row>
    <row r="98" spans="1:104" ht="12" hidden="1" customHeight="1" outlineLevel="1">
      <c r="A98" s="268"/>
      <c r="B98" s="268"/>
      <c r="C98" s="268" t="str">
        <f>C84</f>
        <v>Hamilton Sundstrand</v>
      </c>
      <c r="D98" s="261"/>
      <c r="E98" s="407"/>
      <c r="F98" s="407"/>
      <c r="G98" s="407"/>
      <c r="H98" s="407"/>
      <c r="I98" s="407"/>
      <c r="J98" s="453"/>
      <c r="K98" s="407"/>
      <c r="L98" s="407"/>
      <c r="M98" s="407"/>
      <c r="N98" s="407"/>
      <c r="O98" s="453"/>
      <c r="P98" s="259">
        <v>0.16252758930424394</v>
      </c>
      <c r="Q98" s="259">
        <v>0.17315429567387638</v>
      </c>
      <c r="R98" s="259">
        <v>0.16499019087889177</v>
      </c>
      <c r="S98" s="259">
        <v>0.15465011252219921</v>
      </c>
      <c r="T98" s="453">
        <v>0.16362583260932523</v>
      </c>
      <c r="U98" s="259">
        <v>0.16904698911927746</v>
      </c>
      <c r="V98" s="259">
        <v>0.14796482208465986</v>
      </c>
      <c r="W98" s="259">
        <v>0.1663775387901355</v>
      </c>
      <c r="X98" s="259">
        <v>0.16247992694024635</v>
      </c>
      <c r="Y98" s="453">
        <v>0.16144244105409153</v>
      </c>
      <c r="Z98" s="259">
        <v>0.1630669546436285</v>
      </c>
      <c r="AA98" s="259">
        <v>0.16042780748663102</v>
      </c>
      <c r="AB98" s="259">
        <v>0.1683673469387755</v>
      </c>
      <c r="AC98" s="259">
        <v>0.17407407407407408</v>
      </c>
      <c r="AD98" s="453">
        <v>0.17337067209775966</v>
      </c>
      <c r="AE98" s="259">
        <v>0.1566147859922179</v>
      </c>
      <c r="AF98" s="259">
        <v>0.1660746003552398</v>
      </c>
      <c r="AG98" s="259">
        <v>0.18105849582172701</v>
      </c>
      <c r="AH98" s="259">
        <v>0.17202432667245873</v>
      </c>
      <c r="AI98" s="453">
        <v>0.16910086718393427</v>
      </c>
      <c r="AJ98" s="259">
        <f t="shared" ref="AJ98:BH98" si="125">AJ84/AJ19</f>
        <v>0.16237113402061856</v>
      </c>
      <c r="AK98" s="259">
        <f t="shared" si="125"/>
        <v>0.17252146760343481</v>
      </c>
      <c r="AL98" s="259">
        <f t="shared" si="125"/>
        <v>0.18515562649640863</v>
      </c>
      <c r="AM98" s="259">
        <f t="shared" si="125"/>
        <v>0.17733230531996916</v>
      </c>
      <c r="AN98" s="453">
        <f t="shared" si="125"/>
        <v>0.17457457457457456</v>
      </c>
      <c r="AO98" s="259">
        <f t="shared" si="125"/>
        <v>0.1706016755521706</v>
      </c>
      <c r="AP98" s="259">
        <f t="shared" si="125"/>
        <v>0.17948717948717949</v>
      </c>
      <c r="AQ98" s="259">
        <f t="shared" si="125"/>
        <v>0.18009810791871059</v>
      </c>
      <c r="AR98" s="259">
        <f t="shared" si="125"/>
        <v>0.17225201072386059</v>
      </c>
      <c r="AS98" s="453">
        <f t="shared" si="125"/>
        <v>0.17565649396735272</v>
      </c>
      <c r="AT98" s="259">
        <f t="shared" si="125"/>
        <v>0.15742642026009582</v>
      </c>
      <c r="AU98" s="259">
        <f t="shared" si="125"/>
        <v>0.16969696969696971</v>
      </c>
      <c r="AV98" s="259">
        <f t="shared" si="125"/>
        <v>0.18798955613577023</v>
      </c>
      <c r="AW98" s="259">
        <f t="shared" si="125"/>
        <v>0.1867007672634271</v>
      </c>
      <c r="AX98" s="453">
        <f t="shared" si="125"/>
        <v>0.17158047365877235</v>
      </c>
      <c r="AY98" s="259">
        <f t="shared" si="125"/>
        <v>0.15334302325581395</v>
      </c>
      <c r="AZ98" s="259">
        <f t="shared" si="125"/>
        <v>0.15977175463623394</v>
      </c>
      <c r="BA98" s="259">
        <f t="shared" si="125"/>
        <v>0.18854242204496011</v>
      </c>
      <c r="BB98" s="259">
        <f t="shared" si="125"/>
        <v>0.1781895937277263</v>
      </c>
      <c r="BC98" s="453">
        <f t="shared" si="125"/>
        <v>0.16996402877697842</v>
      </c>
      <c r="BD98" s="259">
        <f t="shared" si="125"/>
        <v>0.16817496229260936</v>
      </c>
      <c r="BE98" s="259">
        <f t="shared" si="125"/>
        <v>0.17331399564902103</v>
      </c>
      <c r="BF98" s="259">
        <f t="shared" si="125"/>
        <v>0.18098591549295776</v>
      </c>
      <c r="BG98" s="259">
        <f t="shared" si="125"/>
        <v>0.17801753202966958</v>
      </c>
      <c r="BH98" s="453">
        <f t="shared" si="125"/>
        <v>0.18027817403708987</v>
      </c>
      <c r="BI98" s="259">
        <f t="shared" ref="BI98:CV98" si="126">BI84/BI19</f>
        <v>0.15289982425307558</v>
      </c>
      <c r="BJ98" s="259">
        <f t="shared" si="126"/>
        <v>0.1596925704526046</v>
      </c>
      <c r="BK98" s="259">
        <f t="shared" si="126"/>
        <v>0.18680600914435011</v>
      </c>
      <c r="BL98" s="259">
        <f t="shared" si="126"/>
        <v>0.17911353976927746</v>
      </c>
      <c r="BM98" s="453">
        <f t="shared" si="126"/>
        <v>0.17167851284855112</v>
      </c>
      <c r="BN98" s="259">
        <f t="shared" si="126"/>
        <v>0.16181229773462782</v>
      </c>
      <c r="BO98" s="259">
        <f t="shared" si="126"/>
        <v>0.17065390749601275</v>
      </c>
      <c r="BP98" s="259">
        <f t="shared" si="126"/>
        <v>0.19552612727356725</v>
      </c>
      <c r="BQ98" s="259">
        <f t="shared" si="126"/>
        <v>0.18781211801230049</v>
      </c>
      <c r="BR98" s="453">
        <f t="shared" si="126"/>
        <v>0</v>
      </c>
      <c r="BS98" s="259">
        <f t="shared" si="126"/>
        <v>0</v>
      </c>
      <c r="BT98" s="259">
        <f t="shared" si="126"/>
        <v>0</v>
      </c>
      <c r="BU98" s="259">
        <f t="shared" si="126"/>
        <v>0</v>
      </c>
      <c r="BV98" s="259" t="e">
        <f t="shared" si="126"/>
        <v>#DIV/0!</v>
      </c>
      <c r="BW98" s="453">
        <f t="shared" si="126"/>
        <v>0</v>
      </c>
      <c r="BX98" s="259" t="e">
        <f t="shared" si="126"/>
        <v>#DIV/0!</v>
      </c>
      <c r="BY98" s="259" t="e">
        <f t="shared" si="126"/>
        <v>#DIV/0!</v>
      </c>
      <c r="BZ98" s="259" t="e">
        <f t="shared" si="126"/>
        <v>#DIV/0!</v>
      </c>
      <c r="CA98" s="259" t="e">
        <f t="shared" si="126"/>
        <v>#DIV/0!</v>
      </c>
      <c r="CB98" s="453" t="e">
        <f t="shared" si="126"/>
        <v>#DIV/0!</v>
      </c>
      <c r="CC98" s="259" t="e">
        <f t="shared" si="126"/>
        <v>#DIV/0!</v>
      </c>
      <c r="CD98" s="259" t="e">
        <f t="shared" si="126"/>
        <v>#DIV/0!</v>
      </c>
      <c r="CE98" s="259" t="e">
        <f t="shared" si="126"/>
        <v>#DIV/0!</v>
      </c>
      <c r="CF98" s="259" t="e">
        <f t="shared" si="126"/>
        <v>#DIV/0!</v>
      </c>
      <c r="CG98" s="453" t="e">
        <f t="shared" si="126"/>
        <v>#DIV/0!</v>
      </c>
      <c r="CH98" s="259" t="e">
        <f t="shared" si="126"/>
        <v>#DIV/0!</v>
      </c>
      <c r="CI98" s="259" t="e">
        <f t="shared" si="126"/>
        <v>#DIV/0!</v>
      </c>
      <c r="CJ98" s="259" t="e">
        <f t="shared" si="126"/>
        <v>#DIV/0!</v>
      </c>
      <c r="CK98" s="259" t="e">
        <f t="shared" si="126"/>
        <v>#DIV/0!</v>
      </c>
      <c r="CL98" s="453" t="e">
        <f t="shared" si="126"/>
        <v>#DIV/0!</v>
      </c>
      <c r="CM98" s="259" t="e">
        <f t="shared" si="122"/>
        <v>#DIV/0!</v>
      </c>
      <c r="CN98" s="259" t="e">
        <f t="shared" ref="CN98" si="127">CN84/CN19</f>
        <v>#DIV/0!</v>
      </c>
      <c r="CO98" s="259" t="e">
        <f t="shared" si="122"/>
        <v>#DIV/0!</v>
      </c>
      <c r="CP98" s="259" t="e">
        <f t="shared" si="122"/>
        <v>#DIV/0!</v>
      </c>
      <c r="CQ98" s="453" t="e">
        <f t="shared" si="126"/>
        <v>#DIV/0!</v>
      </c>
      <c r="CR98" s="259" t="e">
        <f t="shared" si="126"/>
        <v>#DIV/0!</v>
      </c>
      <c r="CS98" s="259" t="e">
        <f t="shared" si="126"/>
        <v>#DIV/0!</v>
      </c>
      <c r="CT98" s="259" t="e">
        <f t="shared" si="126"/>
        <v>#DIV/0!</v>
      </c>
      <c r="CU98" s="259" t="e">
        <f t="shared" si="126"/>
        <v>#DIV/0!</v>
      </c>
      <c r="CV98" s="453" t="e">
        <f t="shared" si="126"/>
        <v>#DIV/0!</v>
      </c>
      <c r="CW98" s="453" t="e">
        <f t="shared" si="124"/>
        <v>#DIV/0!</v>
      </c>
      <c r="CX98" s="453" t="e">
        <f t="shared" si="124"/>
        <v>#DIV/0!</v>
      </c>
      <c r="CY98" s="453" t="e">
        <f t="shared" si="124"/>
        <v>#DIV/0!</v>
      </c>
      <c r="CZ98" s="268"/>
    </row>
    <row r="99" spans="1:104" ht="12" customHeight="1" collapsed="1">
      <c r="A99" s="268"/>
      <c r="B99" s="268"/>
      <c r="C99" s="268" t="str">
        <f>C85</f>
        <v>Sikorsky</v>
      </c>
      <c r="D99" s="261"/>
      <c r="E99" s="407"/>
      <c r="F99" s="407"/>
      <c r="G99" s="407"/>
      <c r="H99" s="407"/>
      <c r="I99" s="407"/>
      <c r="J99" s="453"/>
      <c r="K99" s="407"/>
      <c r="L99" s="407"/>
      <c r="M99" s="407"/>
      <c r="N99" s="407"/>
      <c r="O99" s="453"/>
      <c r="P99" s="259">
        <v>8.0228867502499371E-2</v>
      </c>
      <c r="Q99" s="259">
        <v>8.5474552994832864E-2</v>
      </c>
      <c r="R99" s="259">
        <v>8.1444487178454955E-2</v>
      </c>
      <c r="S99" s="259">
        <v>7.6340290531006813E-2</v>
      </c>
      <c r="T99" s="453">
        <v>8.0770995869664977E-2</v>
      </c>
      <c r="U99" s="259">
        <v>9.732695324188731E-2</v>
      </c>
      <c r="V99" s="259">
        <v>8.5189126381403468E-2</v>
      </c>
      <c r="W99" s="259">
        <v>9.5790046440296026E-2</v>
      </c>
      <c r="X99" s="259">
        <v>9.354603908917114E-2</v>
      </c>
      <c r="Y99" s="453">
        <v>9.2948717948717952E-2</v>
      </c>
      <c r="Z99" s="259">
        <v>8.3928571428571422E-2</v>
      </c>
      <c r="AA99" s="259">
        <v>9.1492776886035312E-2</v>
      </c>
      <c r="AB99" s="259">
        <v>8.5380366023224061E-2</v>
      </c>
      <c r="AC99" s="259">
        <v>7.8517090179090282E-2</v>
      </c>
      <c r="AD99" s="453">
        <v>8.8587390263367913E-2</v>
      </c>
      <c r="AE99" s="259">
        <v>8.7603305785123972E-2</v>
      </c>
      <c r="AF99" s="259">
        <v>9.375E-2</v>
      </c>
      <c r="AG99" s="259">
        <v>0.10015649452269171</v>
      </c>
      <c r="AH99" s="259">
        <v>8.1967213114754092E-2</v>
      </c>
      <c r="AI99" s="453">
        <v>9.0292648108493939E-2</v>
      </c>
      <c r="AJ99" s="259">
        <f t="shared" ref="AJ99:BH99" si="128">AJ85/AJ20</f>
        <v>5.859375E-3</v>
      </c>
      <c r="AK99" s="259">
        <f t="shared" si="128"/>
        <v>7.9530638852672753E-2</v>
      </c>
      <c r="AL99" s="259">
        <f t="shared" si="128"/>
        <v>8.073817762399077E-2</v>
      </c>
      <c r="AM99" s="259">
        <f t="shared" si="128"/>
        <v>5.5350553505535055E-2</v>
      </c>
      <c r="AN99" s="453">
        <f t="shared" si="128"/>
        <v>6.0061919504643964E-2</v>
      </c>
      <c r="AO99" s="259">
        <f t="shared" si="128"/>
        <v>6.9582504970178927E-2</v>
      </c>
      <c r="AP99" s="259">
        <f t="shared" si="128"/>
        <v>7.2621035058430719E-2</v>
      </c>
      <c r="AQ99" s="259">
        <f t="shared" si="128"/>
        <v>7.8806426931905121E-2</v>
      </c>
      <c r="AR99" s="259">
        <f t="shared" si="128"/>
        <v>8.6071987480438178E-2</v>
      </c>
      <c r="AS99" s="453">
        <f t="shared" si="128"/>
        <v>7.7260388390060553E-2</v>
      </c>
      <c r="AT99" s="259">
        <f t="shared" si="128"/>
        <v>8.0156402737047897E-2</v>
      </c>
      <c r="AU99" s="259">
        <f t="shared" si="128"/>
        <v>8.4927314460596787E-2</v>
      </c>
      <c r="AV99" s="259">
        <f t="shared" si="128"/>
        <v>9.2489568845618916E-2</v>
      </c>
      <c r="AW99" s="259">
        <f t="shared" si="128"/>
        <v>9.5000000000000001E-2</v>
      </c>
      <c r="AX99" s="453">
        <f t="shared" si="128"/>
        <v>8.9046199701937404E-2</v>
      </c>
      <c r="AY99" s="259">
        <f t="shared" si="128"/>
        <v>8.7812263436790314E-2</v>
      </c>
      <c r="AZ99" s="259">
        <f t="shared" si="128"/>
        <v>0.10130246020260492</v>
      </c>
      <c r="BA99" s="259">
        <f t="shared" si="128"/>
        <v>9.5731707317073172E-2</v>
      </c>
      <c r="BB99" s="259">
        <f t="shared" si="128"/>
        <v>0.10390946502057613</v>
      </c>
      <c r="BC99" s="453">
        <f t="shared" si="128"/>
        <v>9.7820900270399233E-2</v>
      </c>
      <c r="BD99" s="259">
        <f t="shared" si="128"/>
        <v>0.10677466863033873</v>
      </c>
      <c r="BE99" s="259">
        <f t="shared" si="128"/>
        <v>0.10401891252955082</v>
      </c>
      <c r="BF99" s="259">
        <f t="shared" si="128"/>
        <v>0.10989010989010989</v>
      </c>
      <c r="BG99" s="259">
        <f t="shared" si="128"/>
        <v>0.11451844753234308</v>
      </c>
      <c r="BH99" s="453">
        <f t="shared" si="128"/>
        <v>0.10921603830041891</v>
      </c>
      <c r="BI99" s="259">
        <f t="shared" ref="BI99:CB99" si="129">BI85/BI20</f>
        <v>8.9759797724399501E-2</v>
      </c>
      <c r="BJ99" s="259">
        <f t="shared" si="129"/>
        <v>0.11534154535274356</v>
      </c>
      <c r="BK99" s="259">
        <f t="shared" si="129"/>
        <v>0.12147043153969099</v>
      </c>
      <c r="BL99" s="259">
        <f t="shared" si="129"/>
        <v>0.11563981042654028</v>
      </c>
      <c r="BM99" s="453">
        <f t="shared" si="129"/>
        <v>0.1114887831407206</v>
      </c>
      <c r="BN99" s="259">
        <f t="shared" si="129"/>
        <v>0.10326894502228826</v>
      </c>
      <c r="BO99" s="259">
        <f t="shared" si="129"/>
        <v>0.13333333333333333</v>
      </c>
      <c r="BP99" s="259">
        <f t="shared" si="129"/>
        <v>0.13038204972710735</v>
      </c>
      <c r="BQ99" s="259">
        <f t="shared" si="129"/>
        <v>8.9613970588235295E-2</v>
      </c>
      <c r="BR99" s="453">
        <f t="shared" si="129"/>
        <v>0.11264909438963334</v>
      </c>
      <c r="BS99" s="259">
        <f t="shared" si="129"/>
        <v>7.6060848678943152E-2</v>
      </c>
      <c r="BT99" s="259">
        <f t="shared" si="129"/>
        <v>0.1053639846743295</v>
      </c>
      <c r="BU99" s="259">
        <f t="shared" si="129"/>
        <v>0.11031797534068787</v>
      </c>
      <c r="BV99" s="259">
        <f t="shared" si="129"/>
        <v>0.11280969952556669</v>
      </c>
      <c r="BW99" s="453">
        <f t="shared" si="129"/>
        <v>0.10299056452902607</v>
      </c>
      <c r="BX99" s="259">
        <f t="shared" si="129"/>
        <v>7.5679647318148427E-2</v>
      </c>
      <c r="BY99" s="259">
        <f t="shared" si="129"/>
        <v>6.25E-2</v>
      </c>
      <c r="BZ99" s="259">
        <f t="shared" si="129"/>
        <v>9.3827160493827166E-2</v>
      </c>
      <c r="CA99" s="259">
        <f t="shared" si="129"/>
        <v>0.14141898370086289</v>
      </c>
      <c r="CB99" s="453">
        <f t="shared" si="129"/>
        <v>9.3812911018655215E-2</v>
      </c>
      <c r="CC99" s="259"/>
      <c r="CD99" s="259"/>
      <c r="CE99" s="259"/>
      <c r="CF99" s="259"/>
      <c r="CG99" s="453"/>
      <c r="CH99" s="259"/>
      <c r="CI99" s="259"/>
      <c r="CJ99" s="259"/>
      <c r="CK99" s="259"/>
      <c r="CL99" s="453"/>
      <c r="CM99" s="259"/>
      <c r="CN99" s="259"/>
      <c r="CO99" s="259"/>
      <c r="CP99" s="259"/>
      <c r="CQ99" s="453"/>
      <c r="CR99" s="259"/>
      <c r="CS99" s="259"/>
      <c r="CT99" s="259"/>
      <c r="CU99" s="259"/>
      <c r="CV99" s="453"/>
      <c r="CW99" s="453"/>
      <c r="CX99" s="453"/>
      <c r="CY99" s="453"/>
      <c r="CZ99" s="268"/>
    </row>
    <row r="100" spans="1:104" ht="12" customHeight="1" thickBot="1">
      <c r="A100" s="268"/>
      <c r="B100" s="268"/>
      <c r="C100" s="1093" t="s">
        <v>822</v>
      </c>
      <c r="D100" s="1101"/>
      <c r="E100" s="1100"/>
      <c r="F100" s="1100"/>
      <c r="G100" s="1100"/>
      <c r="H100" s="1100"/>
      <c r="I100" s="1100"/>
      <c r="J100" s="1098"/>
      <c r="K100" s="1100">
        <v>9.4363663618647883E-2</v>
      </c>
      <c r="L100" s="1100">
        <v>0.12179487179487179</v>
      </c>
      <c r="M100" s="1100">
        <v>8.7572254335260113E-2</v>
      </c>
      <c r="N100" s="1100">
        <v>8.7322946175637392E-2</v>
      </c>
      <c r="O100" s="1098">
        <f t="shared" ref="O100:AT100" si="130">O86/O22</f>
        <v>0.13488905617091443</v>
      </c>
      <c r="P100" s="1099">
        <f t="shared" si="130"/>
        <v>0.13727643551929714</v>
      </c>
      <c r="Q100" s="1099">
        <f t="shared" si="130"/>
        <v>0.15756417258328781</v>
      </c>
      <c r="R100" s="1099">
        <f t="shared" si="130"/>
        <v>0.15824085491163173</v>
      </c>
      <c r="S100" s="1099">
        <f t="shared" si="130"/>
        <v>0.13818433818433817</v>
      </c>
      <c r="T100" s="1098">
        <f t="shared" si="130"/>
        <v>0.14819934779526442</v>
      </c>
      <c r="U100" s="1099">
        <f t="shared" si="130"/>
        <v>0.14010743061772604</v>
      </c>
      <c r="V100" s="1099">
        <f t="shared" si="130"/>
        <v>0.14788189987163031</v>
      </c>
      <c r="W100" s="1099">
        <f t="shared" si="130"/>
        <v>0.14697007794820216</v>
      </c>
      <c r="X100" s="1099">
        <f t="shared" si="130"/>
        <v>0.12983232417326501</v>
      </c>
      <c r="Y100" s="1098">
        <f t="shared" si="130"/>
        <v>0.14097441515756912</v>
      </c>
      <c r="Z100" s="1099">
        <f t="shared" si="130"/>
        <v>0.11924589405505436</v>
      </c>
      <c r="AA100" s="1099">
        <f t="shared" si="130"/>
        <v>0.14155061317813344</v>
      </c>
      <c r="AB100" s="1099">
        <f t="shared" si="130"/>
        <v>0.13834457650712068</v>
      </c>
      <c r="AC100" s="1099">
        <f t="shared" si="130"/>
        <v>0.11902825777597073</v>
      </c>
      <c r="AD100" s="1098">
        <f t="shared" si="130"/>
        <v>0.1296835358525838</v>
      </c>
      <c r="AE100" s="1099">
        <f t="shared" si="130"/>
        <v>0.12841501009886255</v>
      </c>
      <c r="AF100" s="1099">
        <f t="shared" si="130"/>
        <v>0.13764347202295552</v>
      </c>
      <c r="AG100" s="1099">
        <f t="shared" si="130"/>
        <v>0.14076111875286565</v>
      </c>
      <c r="AH100" s="1099">
        <f t="shared" si="130"/>
        <v>0.12503330077257793</v>
      </c>
      <c r="AI100" s="1098">
        <f t="shared" si="130"/>
        <v>0.13308367466354593</v>
      </c>
      <c r="AJ100" s="1099">
        <f t="shared" si="130"/>
        <v>0.12510598210080076</v>
      </c>
      <c r="AK100" s="1099">
        <f t="shared" si="130"/>
        <v>0.14171559034572734</v>
      </c>
      <c r="AL100" s="1099">
        <f t="shared" si="130"/>
        <v>0.14215242949930115</v>
      </c>
      <c r="AM100" s="1099">
        <f t="shared" si="130"/>
        <v>0.12325017595995934</v>
      </c>
      <c r="AN100" s="1098">
        <f t="shared" si="130"/>
        <v>0.13320370486524913</v>
      </c>
      <c r="AO100" s="1099">
        <f t="shared" si="130"/>
        <v>0.12746375631210294</v>
      </c>
      <c r="AP100" s="1099">
        <f t="shared" si="130"/>
        <v>0.14398734177215189</v>
      </c>
      <c r="AQ100" s="1099">
        <f t="shared" si="130"/>
        <v>0.1445574550962995</v>
      </c>
      <c r="AR100" s="1099">
        <f t="shared" si="130"/>
        <v>0.13048797064020662</v>
      </c>
      <c r="AS100" s="1098">
        <f t="shared" si="130"/>
        <v>0.13641593162767765</v>
      </c>
      <c r="AT100" s="1099">
        <f t="shared" si="130"/>
        <v>0.12996131250895543</v>
      </c>
      <c r="AU100" s="1099">
        <f t="shared" ref="AU100:BZ100" si="131">AU86/AU22</f>
        <v>0.14519568489713999</v>
      </c>
      <c r="AV100" s="1099">
        <f t="shared" si="131"/>
        <v>0.14769638713954258</v>
      </c>
      <c r="AW100" s="1099">
        <f t="shared" si="131"/>
        <v>0.12890995260663507</v>
      </c>
      <c r="AX100" s="1098">
        <f t="shared" si="131"/>
        <v>0.13670364978161553</v>
      </c>
      <c r="AY100" s="1099">
        <f t="shared" si="131"/>
        <v>0.12501024674153619</v>
      </c>
      <c r="AZ100" s="1099">
        <f t="shared" si="131"/>
        <v>0.15153139356814702</v>
      </c>
      <c r="BA100" s="1099">
        <f t="shared" si="131"/>
        <v>0.15598695685144459</v>
      </c>
      <c r="BB100" s="1099">
        <f t="shared" si="131"/>
        <v>0.14650547249445597</v>
      </c>
      <c r="BC100" s="1098">
        <f t="shared" si="131"/>
        <v>0.1435383881735813</v>
      </c>
      <c r="BD100" s="1099">
        <f t="shared" si="131"/>
        <v>0.14343853820598007</v>
      </c>
      <c r="BE100" s="1099">
        <f t="shared" si="131"/>
        <v>0.15838284306622227</v>
      </c>
      <c r="BF100" s="1099">
        <f t="shared" si="131"/>
        <v>0.16468428781204111</v>
      </c>
      <c r="BG100" s="1099">
        <f t="shared" si="131"/>
        <v>0.15298708288482238</v>
      </c>
      <c r="BH100" s="1098">
        <f t="shared" si="131"/>
        <v>0.15578176195560137</v>
      </c>
      <c r="BI100" s="1099">
        <f t="shared" si="131"/>
        <v>0.14771561587627238</v>
      </c>
      <c r="BJ100" s="1099">
        <f t="shared" si="131"/>
        <v>0.15744004423249705</v>
      </c>
      <c r="BK100" s="1099">
        <f t="shared" si="131"/>
        <v>0.16101159114857744</v>
      </c>
      <c r="BL100" s="1099">
        <f t="shared" si="131"/>
        <v>0.15364818807818043</v>
      </c>
      <c r="BM100" s="1098">
        <f t="shared" si="131"/>
        <v>0.15516375506690103</v>
      </c>
      <c r="BN100" s="1099">
        <f t="shared" si="131"/>
        <v>0.14706829896907217</v>
      </c>
      <c r="BO100" s="1099">
        <f t="shared" si="131"/>
        <v>0.16484391975085103</v>
      </c>
      <c r="BP100" s="1099">
        <f t="shared" si="131"/>
        <v>0.15184151043744182</v>
      </c>
      <c r="BQ100" s="1099">
        <f t="shared" si="131"/>
        <v>0.13440369762208842</v>
      </c>
      <c r="BR100" s="1098">
        <f t="shared" si="131"/>
        <v>0.14895681707908781</v>
      </c>
      <c r="BS100" s="1099">
        <f t="shared" si="131"/>
        <v>0.14626015695534411</v>
      </c>
      <c r="BT100" s="1099">
        <f t="shared" si="131"/>
        <v>0.16375109333999749</v>
      </c>
      <c r="BU100" s="1099">
        <f t="shared" si="131"/>
        <v>0.16847755788384428</v>
      </c>
      <c r="BV100" s="1099">
        <f t="shared" si="131"/>
        <v>0.15478250492272808</v>
      </c>
      <c r="BW100" s="1098">
        <f t="shared" si="131"/>
        <v>0.15849647111423371</v>
      </c>
      <c r="BX100" s="1099">
        <f t="shared" si="131"/>
        <v>0.1557138012885724</v>
      </c>
      <c r="BY100" s="1099">
        <f t="shared" si="131"/>
        <v>0.16450468268279914</v>
      </c>
      <c r="BZ100" s="1099">
        <f t="shared" si="131"/>
        <v>0.1744186046511628</v>
      </c>
      <c r="CA100" s="1099">
        <f t="shared" ref="CA100:CV100" si="132">CA86/CA22</f>
        <v>0.16768651447399388</v>
      </c>
      <c r="CB100" s="1098">
        <f t="shared" si="132"/>
        <v>0.16580645161290322</v>
      </c>
      <c r="CC100" s="1099">
        <f t="shared" si="132"/>
        <v>0.16599099099099099</v>
      </c>
      <c r="CD100" s="1099">
        <f t="shared" si="132"/>
        <v>0.17384500238143838</v>
      </c>
      <c r="CE100" s="1099">
        <f t="shared" si="132"/>
        <v>0.1793588627792283</v>
      </c>
      <c r="CF100" s="1099">
        <f t="shared" si="132"/>
        <v>0.16370629370629369</v>
      </c>
      <c r="CG100" s="1098">
        <f t="shared" si="132"/>
        <v>0.17095050797578301</v>
      </c>
      <c r="CH100" s="1099">
        <f t="shared" si="132"/>
        <v>0.15579845773751591</v>
      </c>
      <c r="CI100" s="1099">
        <f t="shared" si="132"/>
        <v>0.17130563399220117</v>
      </c>
      <c r="CJ100" s="1099">
        <f t="shared" si="132"/>
        <v>0.17061446286749338</v>
      </c>
      <c r="CK100" s="1099">
        <f t="shared" si="132"/>
        <v>0.15546763080701276</v>
      </c>
      <c r="CL100" s="1098">
        <f t="shared" si="132"/>
        <v>0.16399619530731352</v>
      </c>
      <c r="CM100" s="1099">
        <f>CM86/CM22</f>
        <v>0.14882374230908432</v>
      </c>
      <c r="CN100" s="1099">
        <f>CN86/CN22</f>
        <v>0.16086387434554975</v>
      </c>
      <c r="CO100" s="1099">
        <f>CO86/CO22</f>
        <v>0.16518390651971851</v>
      </c>
      <c r="CP100" s="1099">
        <f>CP86/CP22</f>
        <v>0.14727145762620916</v>
      </c>
      <c r="CQ100" s="1098">
        <f t="shared" si="132"/>
        <v>0.15565574192550016</v>
      </c>
      <c r="CR100" s="1099">
        <f>CR86/CR22</f>
        <v>0.14580311818471381</v>
      </c>
      <c r="CS100" s="1099">
        <f>CS86/CS22</f>
        <v>0.15540096639674161</v>
      </c>
      <c r="CT100" s="1099">
        <f>CT86/CT22</f>
        <v>0.16331800939993313</v>
      </c>
      <c r="CU100" s="1099">
        <f>CU86/CU22</f>
        <v>0.14685402879927872</v>
      </c>
      <c r="CV100" s="1098">
        <f t="shared" si="132"/>
        <v>0.15246533570419671</v>
      </c>
      <c r="CW100" s="1098">
        <f>CW86/CW22</f>
        <v>0.16000364715643872</v>
      </c>
      <c r="CX100" s="1098">
        <f>CX86/CX22</f>
        <v>0.16388634080103714</v>
      </c>
      <c r="CY100" s="1098">
        <f>CY86/CY22</f>
        <v>0.16375370096663999</v>
      </c>
      <c r="CZ100" s="268"/>
    </row>
    <row r="101" spans="1:104" ht="12" hidden="1" customHeight="1" outlineLevel="1" thickTop="1">
      <c r="A101" s="434"/>
      <c r="B101" s="434"/>
      <c r="C101" s="434" t="s">
        <v>821</v>
      </c>
      <c r="D101" s="463"/>
      <c r="E101" s="1088"/>
      <c r="F101" s="1125">
        <v>667</v>
      </c>
      <c r="G101" s="1125">
        <v>878</v>
      </c>
      <c r="H101" s="1125">
        <v>850</v>
      </c>
      <c r="I101" s="1125">
        <f>J101-F101-G101-H101</f>
        <v>745</v>
      </c>
      <c r="J101" s="1124">
        <v>3140</v>
      </c>
      <c r="K101" s="1125">
        <v>777</v>
      </c>
      <c r="L101" s="1125">
        <v>989</v>
      </c>
      <c r="M101" s="1125">
        <v>822</v>
      </c>
      <c r="N101" s="1125">
        <f>O101-L101-M101-K101</f>
        <v>645</v>
      </c>
      <c r="O101" s="1124">
        <v>3233</v>
      </c>
      <c r="P101" s="1125">
        <v>797</v>
      </c>
      <c r="Q101" s="1125">
        <v>1031</v>
      </c>
      <c r="R101" s="1125">
        <v>1002</v>
      </c>
      <c r="S101" s="1125">
        <v>827</v>
      </c>
      <c r="T101" s="1124">
        <v>3657</v>
      </c>
      <c r="U101" s="1125">
        <v>837</v>
      </c>
      <c r="V101" s="1125">
        <v>1033</v>
      </c>
      <c r="W101" s="1125">
        <v>1048</v>
      </c>
      <c r="X101" s="1125">
        <v>927</v>
      </c>
      <c r="Y101" s="1124">
        <v>3845</v>
      </c>
      <c r="Z101" s="1125">
        <v>920</v>
      </c>
      <c r="AA101" s="1125">
        <v>1217</v>
      </c>
      <c r="AB101" s="1125">
        <v>1130</v>
      </c>
      <c r="AC101" s="1125">
        <v>1034</v>
      </c>
      <c r="AD101" s="1124">
        <v>4301</v>
      </c>
      <c r="AE101" s="1125">
        <v>1088</v>
      </c>
      <c r="AF101" s="1125">
        <v>1489</v>
      </c>
      <c r="AG101" s="1125">
        <v>1384</v>
      </c>
      <c r="AH101" s="1125">
        <v>1221</v>
      </c>
      <c r="AI101" s="1124">
        <v>5182</v>
      </c>
      <c r="AJ101" s="1125">
        <v>1282</v>
      </c>
      <c r="AK101" s="1125">
        <v>1741</v>
      </c>
      <c r="AL101" s="1125">
        <v>1647</v>
      </c>
      <c r="AM101" s="1125">
        <v>1428</v>
      </c>
      <c r="AN101" s="1124">
        <v>6098</v>
      </c>
      <c r="AO101" s="1125">
        <v>1504</v>
      </c>
      <c r="AP101" s="1125">
        <v>1865</v>
      </c>
      <c r="AQ101" s="1125">
        <v>1888</v>
      </c>
      <c r="AR101" s="1125">
        <v>1793</v>
      </c>
      <c r="AS101" s="1124">
        <v>7050</v>
      </c>
      <c r="AT101" s="1125">
        <v>1674</v>
      </c>
      <c r="AU101" s="1125">
        <v>2099</v>
      </c>
      <c r="AV101" s="1125">
        <v>2049</v>
      </c>
      <c r="AW101" s="1125">
        <v>1803</v>
      </c>
      <c r="AX101" s="1124">
        <v>7625</v>
      </c>
      <c r="AY101" s="1125">
        <v>1250</v>
      </c>
      <c r="AZ101" s="1125">
        <v>1637</v>
      </c>
      <c r="BA101" s="1125">
        <v>1771</v>
      </c>
      <c r="BB101" s="1125">
        <v>1784</v>
      </c>
      <c r="BC101" s="1124">
        <v>6377</v>
      </c>
      <c r="BD101" s="1125">
        <v>1523</v>
      </c>
      <c r="BE101" s="1125">
        <v>1882</v>
      </c>
      <c r="BF101" s="1125">
        <v>1928</v>
      </c>
      <c r="BG101" s="1125">
        <v>1853</v>
      </c>
      <c r="BH101" s="1124">
        <v>7186</v>
      </c>
      <c r="BI101" s="1125">
        <v>1700</v>
      </c>
      <c r="BJ101" s="1125">
        <v>2150</v>
      </c>
      <c r="BK101" s="1125">
        <v>2151</v>
      </c>
      <c r="BL101" s="1125">
        <v>1845</v>
      </c>
      <c r="BM101" s="1124">
        <v>7846</v>
      </c>
      <c r="BN101" s="1125">
        <v>1713</v>
      </c>
      <c r="BO101" s="1125">
        <v>2179</v>
      </c>
      <c r="BP101" s="1125">
        <v>2041</v>
      </c>
      <c r="BQ101" s="1125">
        <v>1751</v>
      </c>
      <c r="BR101" s="1124">
        <v>7684</v>
      </c>
      <c r="BS101" s="1087"/>
      <c r="BT101" s="1087"/>
      <c r="BU101" s="1087"/>
      <c r="BV101" s="1087"/>
      <c r="BW101" s="1086"/>
      <c r="BX101" s="1087"/>
      <c r="BY101" s="1087"/>
      <c r="BZ101" s="1087"/>
      <c r="CA101" s="1087"/>
      <c r="CB101" s="1086"/>
      <c r="CC101" s="1087"/>
      <c r="CD101" s="1087"/>
      <c r="CE101" s="1087"/>
      <c r="CF101" s="1087"/>
      <c r="CG101" s="1086"/>
      <c r="CH101" s="1087"/>
      <c r="CI101" s="1087"/>
      <c r="CJ101" s="1087"/>
      <c r="CK101" s="1087"/>
      <c r="CL101" s="1086"/>
      <c r="CM101" s="1087"/>
      <c r="CN101" s="1087"/>
      <c r="CO101" s="1087"/>
      <c r="CP101" s="1087"/>
      <c r="CQ101" s="1086"/>
      <c r="CR101" s="1087"/>
      <c r="CS101" s="1087"/>
      <c r="CT101" s="1087"/>
      <c r="CU101" s="1087"/>
      <c r="CV101" s="1086"/>
      <c r="CW101" s="1086"/>
      <c r="CX101" s="1086"/>
      <c r="CY101" s="1086"/>
      <c r="CZ101" s="434"/>
    </row>
    <row r="102" spans="1:104" ht="12" hidden="1" customHeight="1" outlineLevel="1">
      <c r="A102" s="434"/>
      <c r="B102" s="434"/>
      <c r="C102" s="434" t="s">
        <v>820</v>
      </c>
      <c r="D102" s="463"/>
      <c r="E102" s="1088"/>
      <c r="F102" s="1088"/>
      <c r="G102" s="1088"/>
      <c r="H102" s="1088"/>
      <c r="I102" s="1088"/>
      <c r="J102" s="1086"/>
      <c r="K102" s="1125">
        <f t="shared" ref="K102:AS102" si="133">+K143+K117-K130</f>
        <v>777</v>
      </c>
      <c r="L102" s="1125">
        <f t="shared" si="133"/>
        <v>989</v>
      </c>
      <c r="M102" s="1125">
        <f t="shared" si="133"/>
        <v>1046</v>
      </c>
      <c r="N102" s="1125">
        <f t="shared" si="133"/>
        <v>769</v>
      </c>
      <c r="O102" s="1124">
        <f t="shared" si="133"/>
        <v>3581</v>
      </c>
      <c r="P102" s="1125">
        <f t="shared" si="133"/>
        <v>901</v>
      </c>
      <c r="Q102" s="1125">
        <f t="shared" si="133"/>
        <v>1060</v>
      </c>
      <c r="R102" s="1125">
        <f t="shared" si="133"/>
        <v>1065</v>
      </c>
      <c r="S102" s="1125">
        <f t="shared" si="133"/>
        <v>952</v>
      </c>
      <c r="T102" s="1124">
        <f t="shared" si="133"/>
        <v>3978</v>
      </c>
      <c r="U102" s="1125">
        <f t="shared" si="133"/>
        <v>848</v>
      </c>
      <c r="V102" s="1125">
        <f t="shared" si="133"/>
        <v>1044</v>
      </c>
      <c r="W102" s="1125">
        <f t="shared" si="133"/>
        <v>1070</v>
      </c>
      <c r="X102" s="1125">
        <f t="shared" si="133"/>
        <v>1015</v>
      </c>
      <c r="Y102" s="1124">
        <f t="shared" si="133"/>
        <v>3977</v>
      </c>
      <c r="Z102" s="1125">
        <f t="shared" si="133"/>
        <v>929</v>
      </c>
      <c r="AA102" s="1125">
        <f t="shared" si="133"/>
        <v>1248</v>
      </c>
      <c r="AB102" s="1125">
        <f t="shared" si="133"/>
        <v>1188</v>
      </c>
      <c r="AC102" s="1125">
        <f t="shared" si="133"/>
        <v>1093</v>
      </c>
      <c r="AD102" s="1124">
        <f t="shared" si="133"/>
        <v>4458</v>
      </c>
      <c r="AE102" s="1125">
        <f t="shared" si="133"/>
        <v>1108</v>
      </c>
      <c r="AF102" s="1125">
        <f t="shared" si="133"/>
        <v>1439</v>
      </c>
      <c r="AG102" s="1125">
        <f t="shared" si="133"/>
        <v>1434</v>
      </c>
      <c r="AH102" s="1125">
        <f t="shared" si="133"/>
        <v>1318</v>
      </c>
      <c r="AI102" s="1124">
        <f t="shared" si="133"/>
        <v>5299</v>
      </c>
      <c r="AJ102" s="1125">
        <f t="shared" si="133"/>
        <v>1263</v>
      </c>
      <c r="AK102" s="1125">
        <f t="shared" si="133"/>
        <v>1683</v>
      </c>
      <c r="AL102" s="1125">
        <f t="shared" si="133"/>
        <v>1680</v>
      </c>
      <c r="AM102" s="1125">
        <f t="shared" si="133"/>
        <v>1510</v>
      </c>
      <c r="AN102" s="1124">
        <f t="shared" si="133"/>
        <v>6136</v>
      </c>
      <c r="AO102" s="1125">
        <f t="shared" si="133"/>
        <v>1480</v>
      </c>
      <c r="AP102" s="1125">
        <f t="shared" si="133"/>
        <v>1890</v>
      </c>
      <c r="AQ102" s="1125">
        <f t="shared" si="133"/>
        <v>1903</v>
      </c>
      <c r="AR102" s="1125">
        <f t="shared" si="133"/>
        <v>1809</v>
      </c>
      <c r="AS102" s="1124">
        <f t="shared" si="133"/>
        <v>7082</v>
      </c>
      <c r="AT102" s="1125">
        <f>3901-AU102</f>
        <v>1708</v>
      </c>
      <c r="AU102" s="1125">
        <v>2193</v>
      </c>
      <c r="AV102" s="1125">
        <v>2105</v>
      </c>
      <c r="AW102" s="1125">
        <v>1797</v>
      </c>
      <c r="AX102" s="1124">
        <v>7803</v>
      </c>
      <c r="AY102" s="1125">
        <v>1413</v>
      </c>
      <c r="AZ102" s="1125">
        <v>1886</v>
      </c>
      <c r="BA102" s="1125">
        <v>1928</v>
      </c>
      <c r="BB102" s="1125">
        <v>1892</v>
      </c>
      <c r="BC102" s="1124">
        <v>7071</v>
      </c>
      <c r="BD102" s="1125">
        <v>1590</v>
      </c>
      <c r="BE102" s="1125">
        <v>2042</v>
      </c>
      <c r="BF102" s="1125">
        <v>2121</v>
      </c>
      <c r="BG102" s="1125">
        <v>2047</v>
      </c>
      <c r="BH102" s="1124">
        <v>7800</v>
      </c>
      <c r="BI102" s="1125">
        <v>1730</v>
      </c>
      <c r="BJ102" s="1125">
        <v>2134</v>
      </c>
      <c r="BK102" s="1125">
        <v>2182</v>
      </c>
      <c r="BL102" s="1125">
        <v>2003</v>
      </c>
      <c r="BM102" s="1124">
        <v>8049</v>
      </c>
      <c r="BN102" s="1125">
        <v>1722</v>
      </c>
      <c r="BO102" s="1125">
        <v>2162</v>
      </c>
      <c r="BP102" s="1125">
        <v>2135</v>
      </c>
      <c r="BQ102" s="1125">
        <f>2074</f>
        <v>2074</v>
      </c>
      <c r="BR102" s="1124">
        <v>8093</v>
      </c>
      <c r="BS102" s="1087"/>
      <c r="BT102" s="1087"/>
      <c r="BU102" s="1087"/>
      <c r="BV102" s="1087"/>
      <c r="BW102" s="1086"/>
      <c r="BX102" s="1087"/>
      <c r="BY102" s="1087"/>
      <c r="BZ102" s="1087"/>
      <c r="CA102" s="1087"/>
      <c r="CB102" s="1086"/>
      <c r="CC102" s="1087"/>
      <c r="CD102" s="1087"/>
      <c r="CE102" s="1087"/>
      <c r="CF102" s="1087"/>
      <c r="CG102" s="1086"/>
      <c r="CH102" s="1087"/>
      <c r="CI102" s="1087"/>
      <c r="CJ102" s="1087"/>
      <c r="CK102" s="1087"/>
      <c r="CL102" s="1086"/>
      <c r="CM102" s="1087"/>
      <c r="CN102" s="1087"/>
      <c r="CO102" s="1087"/>
      <c r="CP102" s="1087"/>
      <c r="CQ102" s="1086"/>
      <c r="CR102" s="1087"/>
      <c r="CS102" s="1087"/>
      <c r="CT102" s="1087"/>
      <c r="CU102" s="1087"/>
      <c r="CV102" s="1086"/>
      <c r="CW102" s="1086"/>
      <c r="CX102" s="1086"/>
      <c r="CY102" s="1086"/>
      <c r="CZ102" s="434"/>
    </row>
    <row r="103" spans="1:104" ht="12" hidden="1" customHeight="1" outlineLevel="1">
      <c r="A103" s="1117"/>
      <c r="B103" s="1117"/>
      <c r="C103" s="1117" t="s">
        <v>819</v>
      </c>
      <c r="D103" s="1123"/>
      <c r="E103" s="1122"/>
      <c r="F103" s="1121">
        <f t="shared" ref="F103:AK103" si="134">F101-F143</f>
        <v>0</v>
      </c>
      <c r="G103" s="1121">
        <f t="shared" si="134"/>
        <v>0</v>
      </c>
      <c r="H103" s="1121">
        <f t="shared" si="134"/>
        <v>0</v>
      </c>
      <c r="I103" s="1121">
        <f t="shared" si="134"/>
        <v>0</v>
      </c>
      <c r="J103" s="1120">
        <f t="shared" si="134"/>
        <v>0</v>
      </c>
      <c r="K103" s="1121">
        <f t="shared" si="134"/>
        <v>0</v>
      </c>
      <c r="L103" s="1121">
        <f t="shared" si="134"/>
        <v>0</v>
      </c>
      <c r="M103" s="1121">
        <f t="shared" si="134"/>
        <v>0</v>
      </c>
      <c r="N103" s="1121">
        <f t="shared" si="134"/>
        <v>0</v>
      </c>
      <c r="O103" s="1120">
        <f t="shared" si="134"/>
        <v>0</v>
      </c>
      <c r="P103" s="1121">
        <f t="shared" si="134"/>
        <v>0</v>
      </c>
      <c r="Q103" s="1121">
        <f t="shared" si="134"/>
        <v>0</v>
      </c>
      <c r="R103" s="1121">
        <f t="shared" si="134"/>
        <v>0</v>
      </c>
      <c r="S103" s="1121">
        <f t="shared" si="134"/>
        <v>0</v>
      </c>
      <c r="T103" s="1120">
        <f t="shared" si="134"/>
        <v>0</v>
      </c>
      <c r="U103" s="1121">
        <f t="shared" si="134"/>
        <v>0</v>
      </c>
      <c r="V103" s="1121">
        <f t="shared" si="134"/>
        <v>0</v>
      </c>
      <c r="W103" s="1121">
        <f t="shared" si="134"/>
        <v>0</v>
      </c>
      <c r="X103" s="1121">
        <f t="shared" si="134"/>
        <v>0</v>
      </c>
      <c r="Y103" s="1120">
        <f t="shared" si="134"/>
        <v>0</v>
      </c>
      <c r="Z103" s="1121">
        <f t="shared" si="134"/>
        <v>0</v>
      </c>
      <c r="AA103" s="1121">
        <f t="shared" si="134"/>
        <v>0</v>
      </c>
      <c r="AB103" s="1121">
        <f t="shared" si="134"/>
        <v>0</v>
      </c>
      <c r="AC103" s="1121">
        <f t="shared" si="134"/>
        <v>0</v>
      </c>
      <c r="AD103" s="1120">
        <f t="shared" si="134"/>
        <v>0</v>
      </c>
      <c r="AE103" s="1121">
        <f t="shared" si="134"/>
        <v>0</v>
      </c>
      <c r="AF103" s="1121">
        <f t="shared" si="134"/>
        <v>0</v>
      </c>
      <c r="AG103" s="1121">
        <f t="shared" si="134"/>
        <v>0</v>
      </c>
      <c r="AH103" s="1121">
        <f t="shared" si="134"/>
        <v>0</v>
      </c>
      <c r="AI103" s="1120">
        <f t="shared" si="134"/>
        <v>0</v>
      </c>
      <c r="AJ103" s="1121">
        <f t="shared" si="134"/>
        <v>0</v>
      </c>
      <c r="AK103" s="1121">
        <f t="shared" si="134"/>
        <v>0</v>
      </c>
      <c r="AL103" s="1121">
        <f t="shared" ref="AL103:BR103" si="135">AL101-AL143</f>
        <v>0</v>
      </c>
      <c r="AM103" s="1121">
        <f t="shared" si="135"/>
        <v>0</v>
      </c>
      <c r="AN103" s="1120">
        <f t="shared" si="135"/>
        <v>0</v>
      </c>
      <c r="AO103" s="1121">
        <f t="shared" si="135"/>
        <v>0</v>
      </c>
      <c r="AP103" s="1121">
        <f t="shared" si="135"/>
        <v>0</v>
      </c>
      <c r="AQ103" s="1121">
        <f t="shared" si="135"/>
        <v>0</v>
      </c>
      <c r="AR103" s="1121">
        <f t="shared" si="135"/>
        <v>0</v>
      </c>
      <c r="AS103" s="1120">
        <f t="shared" si="135"/>
        <v>0</v>
      </c>
      <c r="AT103" s="1121">
        <f t="shared" si="135"/>
        <v>0</v>
      </c>
      <c r="AU103" s="1121">
        <f t="shared" si="135"/>
        <v>0</v>
      </c>
      <c r="AV103" s="1121">
        <f t="shared" si="135"/>
        <v>0</v>
      </c>
      <c r="AW103" s="1121">
        <f t="shared" si="135"/>
        <v>0</v>
      </c>
      <c r="AX103" s="1120">
        <f t="shared" si="135"/>
        <v>0</v>
      </c>
      <c r="AY103" s="1121">
        <f t="shared" si="135"/>
        <v>0</v>
      </c>
      <c r="AZ103" s="1121">
        <f t="shared" si="135"/>
        <v>0</v>
      </c>
      <c r="BA103" s="1121">
        <f t="shared" si="135"/>
        <v>0</v>
      </c>
      <c r="BB103" s="1121">
        <f t="shared" si="135"/>
        <v>65</v>
      </c>
      <c r="BC103" s="1120">
        <f t="shared" si="135"/>
        <v>84</v>
      </c>
      <c r="BD103" s="1121">
        <f t="shared" si="135"/>
        <v>0</v>
      </c>
      <c r="BE103" s="1121">
        <f t="shared" si="135"/>
        <v>0</v>
      </c>
      <c r="BF103" s="1121">
        <f t="shared" si="135"/>
        <v>0</v>
      </c>
      <c r="BG103" s="1121">
        <f t="shared" si="135"/>
        <v>0</v>
      </c>
      <c r="BH103" s="1120">
        <f t="shared" si="135"/>
        <v>0</v>
      </c>
      <c r="BI103" s="1121">
        <f t="shared" si="135"/>
        <v>0</v>
      </c>
      <c r="BJ103" s="1121">
        <f t="shared" si="135"/>
        <v>0</v>
      </c>
      <c r="BK103" s="1121">
        <f t="shared" si="135"/>
        <v>0</v>
      </c>
      <c r="BL103" s="1121">
        <f t="shared" si="135"/>
        <v>0</v>
      </c>
      <c r="BM103" s="1120">
        <f t="shared" si="135"/>
        <v>0</v>
      </c>
      <c r="BN103" s="1121">
        <f t="shared" si="135"/>
        <v>0</v>
      </c>
      <c r="BO103" s="1121">
        <f t="shared" si="135"/>
        <v>0</v>
      </c>
      <c r="BP103" s="1121">
        <f t="shared" si="135"/>
        <v>0</v>
      </c>
      <c r="BQ103" s="1121">
        <f t="shared" si="135"/>
        <v>0</v>
      </c>
      <c r="BR103" s="1120">
        <f t="shared" si="135"/>
        <v>0</v>
      </c>
      <c r="BS103" s="1119"/>
      <c r="BT103" s="1119"/>
      <c r="BU103" s="1119"/>
      <c r="BV103" s="1119"/>
      <c r="BW103" s="1118"/>
      <c r="BX103" s="1119"/>
      <c r="BY103" s="1119"/>
      <c r="BZ103" s="1119"/>
      <c r="CA103" s="1119"/>
      <c r="CB103" s="1118"/>
      <c r="CC103" s="1119"/>
      <c r="CD103" s="1119"/>
      <c r="CE103" s="1119"/>
      <c r="CF103" s="1119"/>
      <c r="CG103" s="1118"/>
      <c r="CH103" s="1119"/>
      <c r="CI103" s="1119"/>
      <c r="CJ103" s="1119"/>
      <c r="CK103" s="1119"/>
      <c r="CL103" s="1118"/>
      <c r="CM103" s="1119"/>
      <c r="CN103" s="1119"/>
      <c r="CO103" s="1119"/>
      <c r="CP103" s="1119"/>
      <c r="CQ103" s="1118"/>
      <c r="CR103" s="1119"/>
      <c r="CS103" s="1119"/>
      <c r="CT103" s="1119"/>
      <c r="CU103" s="1119"/>
      <c r="CV103" s="1118"/>
      <c r="CW103" s="1118"/>
      <c r="CX103" s="1118"/>
      <c r="CY103" s="1118"/>
      <c r="CZ103" s="1117"/>
    </row>
    <row r="104" spans="1:104" ht="12" hidden="1" customHeight="1" outlineLevel="1">
      <c r="A104" s="1117"/>
      <c r="B104" s="1117"/>
      <c r="C104" s="1117" t="s">
        <v>818</v>
      </c>
      <c r="D104" s="1123"/>
      <c r="E104" s="1122"/>
      <c r="F104" s="1122"/>
      <c r="G104" s="1122"/>
      <c r="H104" s="1122"/>
      <c r="I104" s="1122"/>
      <c r="J104" s="1118"/>
      <c r="K104" s="1121">
        <f t="shared" ref="K104:AP104" si="136">K102-K89</f>
        <v>0</v>
      </c>
      <c r="L104" s="1121">
        <f t="shared" si="136"/>
        <v>0</v>
      </c>
      <c r="M104" s="1121">
        <f t="shared" si="136"/>
        <v>0</v>
      </c>
      <c r="N104" s="1121">
        <f t="shared" si="136"/>
        <v>0</v>
      </c>
      <c r="O104" s="1120">
        <f t="shared" si="136"/>
        <v>0</v>
      </c>
      <c r="P104" s="1121">
        <f t="shared" si="136"/>
        <v>0</v>
      </c>
      <c r="Q104" s="1121">
        <f t="shared" si="136"/>
        <v>0</v>
      </c>
      <c r="R104" s="1121">
        <f t="shared" si="136"/>
        <v>0</v>
      </c>
      <c r="S104" s="1121">
        <f t="shared" si="136"/>
        <v>0</v>
      </c>
      <c r="T104" s="1120">
        <f t="shared" si="136"/>
        <v>0</v>
      </c>
      <c r="U104" s="1121">
        <f t="shared" si="136"/>
        <v>0</v>
      </c>
      <c r="V104" s="1121">
        <f t="shared" si="136"/>
        <v>0</v>
      </c>
      <c r="W104" s="1121">
        <f t="shared" si="136"/>
        <v>0</v>
      </c>
      <c r="X104" s="1121">
        <f t="shared" si="136"/>
        <v>0</v>
      </c>
      <c r="Y104" s="1120">
        <f t="shared" si="136"/>
        <v>0</v>
      </c>
      <c r="Z104" s="1121">
        <f t="shared" si="136"/>
        <v>0</v>
      </c>
      <c r="AA104" s="1121">
        <f t="shared" si="136"/>
        <v>0</v>
      </c>
      <c r="AB104" s="1121">
        <f t="shared" si="136"/>
        <v>0</v>
      </c>
      <c r="AC104" s="1121">
        <f t="shared" si="136"/>
        <v>0</v>
      </c>
      <c r="AD104" s="1120">
        <f t="shared" si="136"/>
        <v>0</v>
      </c>
      <c r="AE104" s="1121">
        <f t="shared" si="136"/>
        <v>0</v>
      </c>
      <c r="AF104" s="1121">
        <f t="shared" si="136"/>
        <v>0</v>
      </c>
      <c r="AG104" s="1121">
        <f t="shared" si="136"/>
        <v>0</v>
      </c>
      <c r="AH104" s="1121">
        <f t="shared" si="136"/>
        <v>0</v>
      </c>
      <c r="AI104" s="1120">
        <f t="shared" si="136"/>
        <v>0</v>
      </c>
      <c r="AJ104" s="1121">
        <f t="shared" si="136"/>
        <v>0</v>
      </c>
      <c r="AK104" s="1121">
        <f t="shared" si="136"/>
        <v>0</v>
      </c>
      <c r="AL104" s="1121">
        <f t="shared" si="136"/>
        <v>0</v>
      </c>
      <c r="AM104" s="1121">
        <f t="shared" si="136"/>
        <v>0</v>
      </c>
      <c r="AN104" s="1120">
        <f t="shared" si="136"/>
        <v>0</v>
      </c>
      <c r="AO104" s="1121">
        <f t="shared" si="136"/>
        <v>0</v>
      </c>
      <c r="AP104" s="1121">
        <f t="shared" si="136"/>
        <v>0</v>
      </c>
      <c r="AQ104" s="1121">
        <f t="shared" ref="AQ104:BR104" si="137">AQ102-AQ89</f>
        <v>0</v>
      </c>
      <c r="AR104" s="1121">
        <f t="shared" si="137"/>
        <v>0</v>
      </c>
      <c r="AS104" s="1120">
        <f t="shared" si="137"/>
        <v>21</v>
      </c>
      <c r="AT104" s="1121">
        <f t="shared" si="137"/>
        <v>0</v>
      </c>
      <c r="AU104" s="1121">
        <f t="shared" si="137"/>
        <v>0</v>
      </c>
      <c r="AV104" s="1121">
        <f t="shared" si="137"/>
        <v>0</v>
      </c>
      <c r="AW104" s="1121">
        <f t="shared" si="137"/>
        <v>0</v>
      </c>
      <c r="AX104" s="1120">
        <f t="shared" si="137"/>
        <v>92</v>
      </c>
      <c r="AY104" s="1121">
        <f t="shared" si="137"/>
        <v>0</v>
      </c>
      <c r="AZ104" s="1121">
        <f t="shared" si="137"/>
        <v>0</v>
      </c>
      <c r="BA104" s="1121">
        <f t="shared" si="137"/>
        <v>0</v>
      </c>
      <c r="BB104" s="1121">
        <f t="shared" si="137"/>
        <v>48</v>
      </c>
      <c r="BC104" s="1120">
        <f t="shared" si="137"/>
        <v>84</v>
      </c>
      <c r="BD104" s="1121">
        <f t="shared" si="137"/>
        <v>0</v>
      </c>
      <c r="BE104" s="1121">
        <f t="shared" si="137"/>
        <v>0</v>
      </c>
      <c r="BF104" s="1121">
        <f t="shared" si="137"/>
        <v>0</v>
      </c>
      <c r="BG104" s="1121">
        <f t="shared" si="137"/>
        <v>0</v>
      </c>
      <c r="BH104" s="1120">
        <f t="shared" si="137"/>
        <v>-33</v>
      </c>
      <c r="BI104" s="1121">
        <f t="shared" si="137"/>
        <v>0</v>
      </c>
      <c r="BJ104" s="1121">
        <f t="shared" si="137"/>
        <v>0</v>
      </c>
      <c r="BK104" s="1121">
        <f t="shared" si="137"/>
        <v>0</v>
      </c>
      <c r="BL104" s="1121">
        <f t="shared" si="137"/>
        <v>0</v>
      </c>
      <c r="BM104" s="1120">
        <f t="shared" si="137"/>
        <v>0</v>
      </c>
      <c r="BN104" s="1121">
        <f t="shared" si="137"/>
        <v>0</v>
      </c>
      <c r="BO104" s="1121">
        <f t="shared" si="137"/>
        <v>0</v>
      </c>
      <c r="BP104" s="1121">
        <f t="shared" si="137"/>
        <v>0</v>
      </c>
      <c r="BQ104" s="1121">
        <f t="shared" si="137"/>
        <v>0</v>
      </c>
      <c r="BR104" s="1120">
        <f t="shared" si="137"/>
        <v>0</v>
      </c>
      <c r="BS104" s="1119"/>
      <c r="BT104" s="1119"/>
      <c r="BU104" s="1119"/>
      <c r="BV104" s="1119"/>
      <c r="BW104" s="1118"/>
      <c r="BX104" s="1119"/>
      <c r="BY104" s="1119"/>
      <c r="BZ104" s="1119"/>
      <c r="CA104" s="1119"/>
      <c r="CB104" s="1118"/>
      <c r="CC104" s="1119"/>
      <c r="CD104" s="1119"/>
      <c r="CE104" s="1119"/>
      <c r="CF104" s="1119"/>
      <c r="CG104" s="1118"/>
      <c r="CH104" s="1119"/>
      <c r="CI104" s="1119"/>
      <c r="CJ104" s="1119"/>
      <c r="CK104" s="1119"/>
      <c r="CL104" s="1118"/>
      <c r="CM104" s="1119"/>
      <c r="CN104" s="1119"/>
      <c r="CO104" s="1119"/>
      <c r="CP104" s="1119"/>
      <c r="CQ104" s="1118"/>
      <c r="CR104" s="1119"/>
      <c r="CS104" s="1119"/>
      <c r="CT104" s="1119"/>
      <c r="CU104" s="1119"/>
      <c r="CV104" s="1118"/>
      <c r="CW104" s="1118"/>
      <c r="CX104" s="1118"/>
      <c r="CY104" s="1118"/>
      <c r="CZ104" s="1117"/>
    </row>
    <row r="105" spans="1:104" ht="12" customHeight="1" collapsed="1" thickTop="1">
      <c r="A105" s="434"/>
      <c r="B105" s="434"/>
      <c r="C105" s="434"/>
      <c r="D105" s="463"/>
      <c r="E105" s="1088"/>
      <c r="F105" s="1088"/>
      <c r="G105" s="1088"/>
      <c r="H105" s="1088"/>
      <c r="I105" s="1088"/>
      <c r="J105" s="1086"/>
      <c r="K105" s="1088"/>
      <c r="L105" s="1088"/>
      <c r="M105" s="1088"/>
      <c r="N105" s="1088"/>
      <c r="O105" s="1086"/>
      <c r="P105" s="1088"/>
      <c r="Q105" s="1088"/>
      <c r="R105" s="1088"/>
      <c r="S105" s="1088"/>
      <c r="T105" s="1086"/>
      <c r="U105" s="1088"/>
      <c r="V105" s="1088"/>
      <c r="W105" s="1088"/>
      <c r="X105" s="1088"/>
      <c r="Y105" s="1086"/>
      <c r="Z105" s="1088"/>
      <c r="AA105" s="1088"/>
      <c r="AB105" s="1088"/>
      <c r="AC105" s="1088"/>
      <c r="AD105" s="1086"/>
      <c r="AE105" s="1088"/>
      <c r="AF105" s="1088"/>
      <c r="AG105" s="1088"/>
      <c r="AH105" s="1088"/>
      <c r="AI105" s="1086"/>
      <c r="AJ105" s="1088"/>
      <c r="AK105" s="1088"/>
      <c r="AL105" s="1088"/>
      <c r="AM105" s="1088"/>
      <c r="AN105" s="1086"/>
      <c r="AO105" s="1088"/>
      <c r="AP105" s="1088"/>
      <c r="AQ105" s="1088"/>
      <c r="AR105" s="1088"/>
      <c r="AS105" s="1086"/>
      <c r="AT105" s="1088"/>
      <c r="AU105" s="1088"/>
      <c r="AV105" s="1088"/>
      <c r="AW105" s="1088"/>
      <c r="AX105" s="1086"/>
      <c r="AY105" s="1088"/>
      <c r="AZ105" s="1088"/>
      <c r="BA105" s="1088"/>
      <c r="BB105" s="1088"/>
      <c r="BC105" s="1086"/>
      <c r="BD105" s="1088"/>
      <c r="BE105" s="1088"/>
      <c r="BF105" s="1088"/>
      <c r="BG105" s="1088"/>
      <c r="BH105" s="1086"/>
      <c r="BI105" s="1088"/>
      <c r="BJ105" s="1088"/>
      <c r="BK105" s="1088"/>
      <c r="BL105" s="1088"/>
      <c r="BM105" s="1086"/>
      <c r="BN105" s="1088"/>
      <c r="BO105" s="1088"/>
      <c r="BP105" s="1088"/>
      <c r="BQ105" s="1088"/>
      <c r="BR105" s="1086"/>
      <c r="BS105" s="1087"/>
      <c r="BT105" s="1087"/>
      <c r="BU105" s="1087"/>
      <c r="BV105" s="1087"/>
      <c r="BW105" s="1086"/>
      <c r="BX105" s="1087"/>
      <c r="BY105" s="1087"/>
      <c r="BZ105" s="1087"/>
      <c r="CA105" s="1087"/>
      <c r="CB105" s="1086"/>
      <c r="CC105" s="1087"/>
      <c r="CD105" s="1087"/>
      <c r="CE105" s="1087"/>
      <c r="CF105" s="1087"/>
      <c r="CG105" s="1086"/>
      <c r="CH105" s="1087"/>
      <c r="CI105" s="1087"/>
      <c r="CJ105" s="1087"/>
      <c r="CK105" s="1087"/>
      <c r="CL105" s="1086"/>
      <c r="CM105" s="1087"/>
      <c r="CN105" s="1087"/>
      <c r="CO105" s="1087"/>
      <c r="CP105" s="1087"/>
      <c r="CQ105" s="1086"/>
      <c r="CR105" s="1087"/>
      <c r="CS105" s="1087"/>
      <c r="CT105" s="1087"/>
      <c r="CU105" s="1087"/>
      <c r="CV105" s="1086"/>
      <c r="CW105" s="1086"/>
      <c r="CX105" s="1086"/>
      <c r="CY105" s="1086"/>
      <c r="CZ105" s="434"/>
    </row>
    <row r="106" spans="1:104" ht="12" customHeight="1">
      <c r="A106" s="268"/>
      <c r="B106" s="268"/>
      <c r="C106" s="268" t="str">
        <f>C66</f>
        <v>Otis</v>
      </c>
      <c r="D106" s="261"/>
      <c r="E106" s="407"/>
      <c r="F106" s="449">
        <f>Otis!J27</f>
        <v>0</v>
      </c>
      <c r="G106" s="449">
        <f>Otis!K27</f>
        <v>0</v>
      </c>
      <c r="H106" s="449">
        <f>Otis!L27</f>
        <v>0</v>
      </c>
      <c r="I106" s="449">
        <f>Otis!M27</f>
        <v>0</v>
      </c>
      <c r="J106" s="448">
        <f>Otis!N27</f>
        <v>0</v>
      </c>
      <c r="K106" s="449">
        <f>Otis!O27</f>
        <v>0</v>
      </c>
      <c r="L106" s="449">
        <f>Otis!P27</f>
        <v>0</v>
      </c>
      <c r="M106" s="449">
        <f>Otis!Q27</f>
        <v>72</v>
      </c>
      <c r="N106" s="449">
        <f>Otis!R27</f>
        <v>11</v>
      </c>
      <c r="O106" s="448">
        <f>Otis!S27</f>
        <v>83</v>
      </c>
      <c r="P106" s="449">
        <f>Otis!T27</f>
        <v>16</v>
      </c>
      <c r="Q106" s="449">
        <f>Otis!U27</f>
        <v>3.5</v>
      </c>
      <c r="R106" s="449">
        <f>Otis!V27</f>
        <v>18.5</v>
      </c>
      <c r="S106" s="449">
        <f>Otis!W27</f>
        <v>35</v>
      </c>
      <c r="T106" s="448">
        <f>Otis!X27</f>
        <v>73</v>
      </c>
      <c r="U106" s="449">
        <f>Otis!Y27</f>
        <v>6</v>
      </c>
      <c r="V106" s="449">
        <f>Otis!Z27</f>
        <v>6</v>
      </c>
      <c r="W106" s="449">
        <f>Otis!AA27</f>
        <v>6</v>
      </c>
      <c r="X106" s="449">
        <f>Otis!AB27</f>
        <v>47</v>
      </c>
      <c r="Y106" s="448">
        <f>Otis!AC27</f>
        <v>65</v>
      </c>
      <c r="Z106" s="449">
        <f>Otis!AD27</f>
        <v>68</v>
      </c>
      <c r="AA106" s="449">
        <f>Otis!AE27</f>
        <v>38</v>
      </c>
      <c r="AB106" s="449">
        <f>Otis!AF27</f>
        <v>11</v>
      </c>
      <c r="AC106" s="449">
        <f>Otis!AG27</f>
        <v>27</v>
      </c>
      <c r="AD106" s="448">
        <f>Otis!AH27</f>
        <v>144</v>
      </c>
      <c r="AE106" s="449">
        <f>Otis!AI27</f>
        <v>5</v>
      </c>
      <c r="AF106" s="449">
        <f>Otis!AJ27</f>
        <v>18</v>
      </c>
      <c r="AG106" s="449">
        <f>Otis!AK27</f>
        <v>7</v>
      </c>
      <c r="AH106" s="449">
        <f>Otis!AL27</f>
        <v>22</v>
      </c>
      <c r="AI106" s="448">
        <f>Otis!AM27</f>
        <v>52</v>
      </c>
      <c r="AJ106" s="449">
        <f>Otis!AN27</f>
        <v>2</v>
      </c>
      <c r="AK106" s="449">
        <f>Otis!AO27</f>
        <v>6</v>
      </c>
      <c r="AL106" s="449">
        <f>Otis!AP27</f>
        <v>32</v>
      </c>
      <c r="AM106" s="449">
        <f>Otis!AQ27</f>
        <v>6</v>
      </c>
      <c r="AN106" s="448">
        <f>Otis!AR27</f>
        <v>46</v>
      </c>
      <c r="AO106" s="449">
        <f>Otis!AS27</f>
        <v>-2</v>
      </c>
      <c r="AP106" s="449">
        <f>Otis!AT27</f>
        <v>7</v>
      </c>
      <c r="AQ106" s="449">
        <f>Otis!AU27</f>
        <v>6</v>
      </c>
      <c r="AR106" s="449">
        <f>Otis!AV27</f>
        <v>10</v>
      </c>
      <c r="AS106" s="448">
        <f>Otis!AW27</f>
        <v>21</v>
      </c>
      <c r="AT106" s="449">
        <f>Otis!AX27</f>
        <v>2</v>
      </c>
      <c r="AU106" s="449">
        <f>Otis!AY27</f>
        <v>4</v>
      </c>
      <c r="AV106" s="449">
        <f>Otis!AZ27</f>
        <v>5</v>
      </c>
      <c r="AW106" s="449">
        <f>Otis!BA27</f>
        <v>10</v>
      </c>
      <c r="AX106" s="448">
        <f>Otis!BB27</f>
        <v>21</v>
      </c>
      <c r="AY106" s="449">
        <f>Otis!BC27</f>
        <v>22</v>
      </c>
      <c r="AZ106" s="449">
        <f>Otis!BD27</f>
        <v>57</v>
      </c>
      <c r="BA106" s="449">
        <f>Otis!BE27</f>
        <v>52</v>
      </c>
      <c r="BB106" s="449">
        <f>Otis!BF27</f>
        <v>27</v>
      </c>
      <c r="BC106" s="448">
        <f>Otis!BG27</f>
        <v>158</v>
      </c>
      <c r="BD106" s="449">
        <f>Otis!BH27</f>
        <v>11</v>
      </c>
      <c r="BE106" s="449">
        <f>Otis!BI27</f>
        <v>17</v>
      </c>
      <c r="BF106" s="449">
        <f>Otis!BJ27</f>
        <v>12</v>
      </c>
      <c r="BG106" s="449">
        <f>Otis!BK27</f>
        <v>43</v>
      </c>
      <c r="BH106" s="448">
        <f>Otis!BL27</f>
        <v>83</v>
      </c>
      <c r="BI106" s="449">
        <f>Otis!BM27</f>
        <v>2</v>
      </c>
      <c r="BJ106" s="449">
        <f>Otis!BN27</f>
        <v>4</v>
      </c>
      <c r="BK106" s="449">
        <f>Otis!BO27</f>
        <v>41</v>
      </c>
      <c r="BL106" s="449">
        <f>Otis!BP27</f>
        <v>26</v>
      </c>
      <c r="BM106" s="448">
        <f>Otis!BQ27</f>
        <v>73</v>
      </c>
      <c r="BN106" s="449">
        <f>Otis!BR27</f>
        <v>28</v>
      </c>
      <c r="BO106" s="449">
        <f>Otis!BS27</f>
        <v>35</v>
      </c>
      <c r="BP106" s="449">
        <f>Otis!BT27</f>
        <v>42</v>
      </c>
      <c r="BQ106" s="449">
        <f>Otis!BU27</f>
        <v>59</v>
      </c>
      <c r="BR106" s="448">
        <f>Otis!BV27</f>
        <v>164</v>
      </c>
      <c r="BS106" s="449">
        <f>Otis!BW27</f>
        <v>10</v>
      </c>
      <c r="BT106" s="449">
        <f>Otis!BX27</f>
        <v>39</v>
      </c>
      <c r="BU106" s="449">
        <f>Otis!BY27</f>
        <v>19</v>
      </c>
      <c r="BV106" s="449">
        <f>Otis!BZ27</f>
        <v>20</v>
      </c>
      <c r="BW106" s="448">
        <f>Otis!CA27</f>
        <v>88</v>
      </c>
      <c r="BX106" s="449">
        <f>Otis!CB27</f>
        <v>17</v>
      </c>
      <c r="BY106" s="449">
        <f>Otis!CC27</f>
        <v>21</v>
      </c>
      <c r="BZ106" s="449">
        <f>Otis!CD27</f>
        <v>15</v>
      </c>
      <c r="CA106" s="449">
        <f>Otis!CE27</f>
        <v>34</v>
      </c>
      <c r="CB106" s="448">
        <f>Otis!CF27</f>
        <v>87</v>
      </c>
      <c r="CC106" s="449">
        <f>Otis!CG27</f>
        <v>6</v>
      </c>
      <c r="CD106" s="449">
        <f>Otis!CH27</f>
        <v>8</v>
      </c>
      <c r="CE106" s="449">
        <f>Otis!CI27</f>
        <v>18</v>
      </c>
      <c r="CF106" s="449">
        <f>Otis!CJ27</f>
        <v>19</v>
      </c>
      <c r="CG106" s="448">
        <f>Otis!CK27</f>
        <v>51</v>
      </c>
      <c r="CH106" s="449">
        <f>Otis!CL27</f>
        <v>15</v>
      </c>
      <c r="CI106" s="449">
        <f>Otis!CM27</f>
        <v>16</v>
      </c>
      <c r="CJ106" s="449">
        <f>Otis!CN27</f>
        <v>10</v>
      </c>
      <c r="CK106" s="449">
        <f>Otis!CO27</f>
        <v>18</v>
      </c>
      <c r="CL106" s="448">
        <f>Otis!CP27</f>
        <v>59</v>
      </c>
      <c r="CM106" s="449">
        <f>Otis!CQ27</f>
        <v>5</v>
      </c>
      <c r="CN106" s="449">
        <f>Otis!CR27</f>
        <v>12</v>
      </c>
      <c r="CO106" s="449">
        <f>Otis!CS27</f>
        <v>6</v>
      </c>
      <c r="CP106" s="449">
        <f>Otis!CT27</f>
        <v>22</v>
      </c>
      <c r="CQ106" s="448">
        <f>Otis!CU27</f>
        <v>45</v>
      </c>
      <c r="CR106" s="449">
        <f>Otis!CV27</f>
        <v>11.25</v>
      </c>
      <c r="CS106" s="449">
        <f>Otis!CW27</f>
        <v>11.25</v>
      </c>
      <c r="CT106" s="449">
        <f>Otis!CX27</f>
        <v>11.25</v>
      </c>
      <c r="CU106" s="449">
        <f>Otis!CY27</f>
        <v>11.25</v>
      </c>
      <c r="CV106" s="448">
        <f>Otis!CZ27</f>
        <v>45</v>
      </c>
      <c r="CW106" s="448">
        <f>Otis!DA27</f>
        <v>45</v>
      </c>
      <c r="CX106" s="2233">
        <f>Otis!DB27</f>
        <v>45</v>
      </c>
      <c r="CY106" s="2233">
        <f>Otis!DC27</f>
        <v>45</v>
      </c>
      <c r="CZ106" s="268"/>
    </row>
    <row r="107" spans="1:104" ht="12" customHeight="1">
      <c r="A107" s="268"/>
      <c r="B107" s="268"/>
      <c r="C107" s="116" t="s">
        <v>310</v>
      </c>
      <c r="D107" s="261"/>
      <c r="E107" s="407"/>
      <c r="F107" s="407"/>
      <c r="G107" s="407"/>
      <c r="H107" s="407"/>
      <c r="I107" s="407"/>
      <c r="J107" s="448"/>
      <c r="K107" s="449"/>
      <c r="L107" s="449"/>
      <c r="M107" s="449"/>
      <c r="N107" s="449"/>
      <c r="O107" s="448"/>
      <c r="P107" s="449"/>
      <c r="Q107" s="449"/>
      <c r="R107" s="449"/>
      <c r="S107" s="449"/>
      <c r="T107" s="448"/>
      <c r="U107" s="449"/>
      <c r="V107" s="449"/>
      <c r="W107" s="449"/>
      <c r="X107" s="449"/>
      <c r="Y107" s="448"/>
      <c r="Z107" s="449"/>
      <c r="AA107" s="449"/>
      <c r="AB107" s="449"/>
      <c r="AC107" s="449"/>
      <c r="AD107" s="448"/>
      <c r="AE107" s="449"/>
      <c r="AF107" s="449"/>
      <c r="AG107" s="449"/>
      <c r="AH107" s="449"/>
      <c r="AI107" s="448"/>
      <c r="AJ107" s="449"/>
      <c r="AK107" s="449"/>
      <c r="AL107" s="449"/>
      <c r="AM107" s="449"/>
      <c r="AN107" s="448"/>
      <c r="AO107" s="449"/>
      <c r="AP107" s="449"/>
      <c r="AQ107" s="449"/>
      <c r="AR107" s="449"/>
      <c r="AS107" s="448"/>
      <c r="AT107" s="449"/>
      <c r="AU107" s="449"/>
      <c r="AV107" s="449"/>
      <c r="AW107" s="449"/>
      <c r="AX107" s="448"/>
      <c r="AY107" s="449"/>
      <c r="AZ107" s="449"/>
      <c r="BA107" s="449"/>
      <c r="BB107" s="449"/>
      <c r="BC107" s="448"/>
      <c r="BD107" s="449"/>
      <c r="BE107" s="449"/>
      <c r="BF107" s="449"/>
      <c r="BG107" s="449"/>
      <c r="BH107" s="448"/>
      <c r="BI107" s="449">
        <f>CCS!BI27</f>
        <v>21</v>
      </c>
      <c r="BJ107" s="449">
        <f>CCS!BJ27</f>
        <v>24</v>
      </c>
      <c r="BK107" s="449">
        <f>CCS!BK27</f>
        <v>20</v>
      </c>
      <c r="BL107" s="449">
        <f>CCS!BL27</f>
        <v>61</v>
      </c>
      <c r="BM107" s="448">
        <f>CCS!BM27</f>
        <v>126</v>
      </c>
      <c r="BN107" s="449">
        <f>CCS!BN27</f>
        <v>35</v>
      </c>
      <c r="BO107" s="449">
        <f>CCS!BO27</f>
        <v>37</v>
      </c>
      <c r="BP107" s="449">
        <f>CCS!BP27</f>
        <v>26</v>
      </c>
      <c r="BQ107" s="449">
        <f>CCS!BQ27</f>
        <v>45</v>
      </c>
      <c r="BR107" s="448">
        <f>CCS!BR27</f>
        <v>143</v>
      </c>
      <c r="BS107" s="449">
        <f>CCS!BS27</f>
        <v>22</v>
      </c>
      <c r="BT107" s="449">
        <f>CCS!BT27</f>
        <v>16</v>
      </c>
      <c r="BU107" s="449">
        <f>CCS!BU27</f>
        <v>28</v>
      </c>
      <c r="BV107" s="449">
        <f>CCS!BV27</f>
        <v>31</v>
      </c>
      <c r="BW107" s="448">
        <f>CCS!BW27</f>
        <v>97</v>
      </c>
      <c r="BX107" s="449">
        <f>CCS!BX27</f>
        <v>43</v>
      </c>
      <c r="BY107" s="449">
        <f>CCS!BY27</f>
        <v>25</v>
      </c>
      <c r="BZ107" s="449">
        <f>CCS!BZ27</f>
        <v>14</v>
      </c>
      <c r="CA107" s="449">
        <f>CCS!CA27</f>
        <v>34</v>
      </c>
      <c r="CB107" s="448">
        <f>CCS!CB27</f>
        <v>116</v>
      </c>
      <c r="CC107" s="449">
        <f>CCS!CC27</f>
        <v>24</v>
      </c>
      <c r="CD107" s="449">
        <f>CCS!CD27</f>
        <v>28</v>
      </c>
      <c r="CE107" s="449">
        <f>CCS!CE27</f>
        <v>15</v>
      </c>
      <c r="CF107" s="449">
        <f>CCS!CF27</f>
        <v>41</v>
      </c>
      <c r="CG107" s="448">
        <f>CCS!CG27</f>
        <v>108</v>
      </c>
      <c r="CH107" s="449">
        <f>CCS!CH27</f>
        <v>28</v>
      </c>
      <c r="CI107" s="449">
        <f>CCS!CI27</f>
        <v>25</v>
      </c>
      <c r="CJ107" s="449">
        <f>CCS!CJ27</f>
        <v>18</v>
      </c>
      <c r="CK107" s="449">
        <f>CCS!CK27</f>
        <v>-6</v>
      </c>
      <c r="CL107" s="448">
        <f>CCS!CL27</f>
        <v>65</v>
      </c>
      <c r="CM107" s="449">
        <f>CCS!CM27</f>
        <v>23</v>
      </c>
      <c r="CN107" s="449">
        <f>CCS!CN27</f>
        <v>18</v>
      </c>
      <c r="CO107" s="449">
        <f>CCS!CO27</f>
        <v>43</v>
      </c>
      <c r="CP107" s="449">
        <f>CCS!CP27</f>
        <v>43</v>
      </c>
      <c r="CQ107" s="448">
        <f>CCS!CQ27</f>
        <v>127</v>
      </c>
      <c r="CR107" s="449">
        <f>CCS!CR27</f>
        <v>31.75</v>
      </c>
      <c r="CS107" s="449">
        <f>CCS!CS27</f>
        <v>31.75</v>
      </c>
      <c r="CT107" s="449">
        <f>CCS!CT27</f>
        <v>31.75</v>
      </c>
      <c r="CU107" s="449">
        <f>CCS!CU27</f>
        <v>31.75</v>
      </c>
      <c r="CV107" s="448">
        <f>CCS!CV27</f>
        <v>127</v>
      </c>
      <c r="CW107" s="448">
        <f>CCS!CW27</f>
        <v>127</v>
      </c>
      <c r="CX107" s="2233">
        <f>CCS!CX27</f>
        <v>127</v>
      </c>
      <c r="CY107" s="2233">
        <f>CCS!CY27</f>
        <v>127</v>
      </c>
      <c r="CZ107" s="268"/>
    </row>
    <row r="108" spans="1:104" ht="12" hidden="1" customHeight="1" outlineLevel="1">
      <c r="A108" s="268"/>
      <c r="B108" s="268"/>
      <c r="C108" s="268" t="str">
        <f>C68</f>
        <v>Carrier</v>
      </c>
      <c r="D108" s="261"/>
      <c r="E108" s="407"/>
      <c r="F108" s="449">
        <v>0</v>
      </c>
      <c r="G108" s="449">
        <v>0</v>
      </c>
      <c r="H108" s="449">
        <v>0</v>
      </c>
      <c r="I108" s="449">
        <v>0</v>
      </c>
      <c r="J108" s="448">
        <v>0</v>
      </c>
      <c r="K108" s="449">
        <v>0</v>
      </c>
      <c r="L108" s="449">
        <v>0</v>
      </c>
      <c r="M108" s="449">
        <v>129</v>
      </c>
      <c r="N108" s="449">
        <v>43</v>
      </c>
      <c r="O108" s="448">
        <v>172</v>
      </c>
      <c r="P108" s="449">
        <v>74</v>
      </c>
      <c r="Q108" s="449">
        <v>8.5</v>
      </c>
      <c r="R108" s="449">
        <v>8.5</v>
      </c>
      <c r="S108" s="449">
        <v>23</v>
      </c>
      <c r="T108" s="448">
        <v>114</v>
      </c>
      <c r="U108" s="449">
        <v>0</v>
      </c>
      <c r="V108" s="449">
        <v>0</v>
      </c>
      <c r="W108" s="449">
        <v>0</v>
      </c>
      <c r="X108" s="449">
        <v>65</v>
      </c>
      <c r="Y108" s="448">
        <v>65</v>
      </c>
      <c r="Z108" s="449">
        <v>113</v>
      </c>
      <c r="AA108" s="449">
        <v>71</v>
      </c>
      <c r="AB108" s="449">
        <v>18</v>
      </c>
      <c r="AC108" s="449">
        <v>39</v>
      </c>
      <c r="AD108" s="448">
        <v>241</v>
      </c>
      <c r="AE108" s="449">
        <v>25</v>
      </c>
      <c r="AF108" s="449">
        <v>25</v>
      </c>
      <c r="AG108" s="449">
        <v>12</v>
      </c>
      <c r="AH108" s="449">
        <v>18</v>
      </c>
      <c r="AI108" s="448">
        <v>80</v>
      </c>
      <c r="AJ108" s="449">
        <v>7</v>
      </c>
      <c r="AK108" s="449">
        <v>25</v>
      </c>
      <c r="AL108" s="449">
        <v>27</v>
      </c>
      <c r="AM108" s="449">
        <v>10</v>
      </c>
      <c r="AN108" s="448">
        <v>69</v>
      </c>
      <c r="AO108" s="449">
        <v>12</v>
      </c>
      <c r="AP108" s="449">
        <v>1</v>
      </c>
      <c r="AQ108" s="449">
        <v>15</v>
      </c>
      <c r="AR108" s="449">
        <v>5</v>
      </c>
      <c r="AS108" s="448">
        <v>33</v>
      </c>
      <c r="AT108" s="449">
        <v>11</v>
      </c>
      <c r="AU108" s="449">
        <v>46</v>
      </c>
      <c r="AV108" s="449">
        <v>34</v>
      </c>
      <c r="AW108" s="449">
        <v>49</v>
      </c>
      <c r="AX108" s="448">
        <v>140</v>
      </c>
      <c r="AY108" s="449">
        <v>41</v>
      </c>
      <c r="AZ108" s="449">
        <v>55</v>
      </c>
      <c r="BA108" s="449">
        <v>43</v>
      </c>
      <c r="BB108" s="449">
        <v>71</v>
      </c>
      <c r="BC108" s="448">
        <v>210</v>
      </c>
      <c r="BD108" s="449">
        <v>18</v>
      </c>
      <c r="BE108" s="449">
        <v>15</v>
      </c>
      <c r="BF108" s="449">
        <v>-1</v>
      </c>
      <c r="BG108" s="449">
        <v>43</v>
      </c>
      <c r="BH108" s="448">
        <v>75</v>
      </c>
      <c r="BI108" s="449">
        <v>14</v>
      </c>
      <c r="BJ108" s="449">
        <v>15</v>
      </c>
      <c r="BK108" s="449">
        <v>8</v>
      </c>
      <c r="BL108" s="449">
        <v>9</v>
      </c>
      <c r="BM108" s="448">
        <v>46</v>
      </c>
      <c r="BN108" s="449"/>
      <c r="BO108" s="449"/>
      <c r="BP108" s="449"/>
      <c r="BQ108" s="449"/>
      <c r="BR108" s="448"/>
      <c r="BS108" s="449"/>
      <c r="BT108" s="449"/>
      <c r="BU108" s="449"/>
      <c r="BV108" s="449"/>
      <c r="BW108" s="448"/>
      <c r="BX108" s="449"/>
      <c r="BY108" s="449"/>
      <c r="BZ108" s="449"/>
      <c r="CA108" s="449"/>
      <c r="CB108" s="448"/>
      <c r="CC108" s="449"/>
      <c r="CD108" s="449"/>
      <c r="CE108" s="449"/>
      <c r="CF108" s="449"/>
      <c r="CG108" s="448"/>
      <c r="CH108" s="449"/>
      <c r="CI108" s="449"/>
      <c r="CJ108" s="449"/>
      <c r="CK108" s="449"/>
      <c r="CL108" s="448"/>
      <c r="CM108" s="449"/>
      <c r="CN108" s="449"/>
      <c r="CO108" s="449"/>
      <c r="CP108" s="449"/>
      <c r="CQ108" s="448"/>
      <c r="CR108" s="449"/>
      <c r="CS108" s="449"/>
      <c r="CT108" s="449"/>
      <c r="CU108" s="449"/>
      <c r="CV108" s="448"/>
      <c r="CW108" s="448"/>
      <c r="CX108" s="2233"/>
      <c r="CY108" s="2233"/>
      <c r="CZ108" s="268"/>
    </row>
    <row r="109" spans="1:104" ht="12" hidden="1" customHeight="1" outlineLevel="1">
      <c r="A109" s="268"/>
      <c r="B109" s="268"/>
      <c r="C109" s="268" t="str">
        <f>C69</f>
        <v>Fire &amp; Security</v>
      </c>
      <c r="D109" s="261"/>
      <c r="E109" s="407"/>
      <c r="F109" s="449">
        <v>0</v>
      </c>
      <c r="G109" s="449">
        <v>0</v>
      </c>
      <c r="H109" s="449">
        <v>0</v>
      </c>
      <c r="I109" s="449">
        <v>0</v>
      </c>
      <c r="J109" s="448">
        <v>0</v>
      </c>
      <c r="K109" s="449">
        <v>0</v>
      </c>
      <c r="L109" s="449">
        <v>0</v>
      </c>
      <c r="M109" s="449">
        <v>0</v>
      </c>
      <c r="N109" s="449">
        <v>0</v>
      </c>
      <c r="O109" s="448">
        <v>0</v>
      </c>
      <c r="P109" s="449">
        <v>0</v>
      </c>
      <c r="Q109" s="449">
        <v>0</v>
      </c>
      <c r="R109" s="449">
        <v>0</v>
      </c>
      <c r="S109" s="449">
        <v>0</v>
      </c>
      <c r="T109" s="448">
        <v>0</v>
      </c>
      <c r="U109" s="449">
        <v>0</v>
      </c>
      <c r="V109" s="449">
        <v>0</v>
      </c>
      <c r="W109" s="449">
        <v>0</v>
      </c>
      <c r="X109" s="449">
        <v>0</v>
      </c>
      <c r="Y109" s="448">
        <v>0</v>
      </c>
      <c r="Z109" s="449">
        <v>0</v>
      </c>
      <c r="AA109" s="449">
        <v>0</v>
      </c>
      <c r="AB109" s="449">
        <v>0</v>
      </c>
      <c r="AC109" s="449">
        <v>0</v>
      </c>
      <c r="AD109" s="448">
        <v>0</v>
      </c>
      <c r="AE109" s="449">
        <v>1</v>
      </c>
      <c r="AF109" s="449">
        <v>1</v>
      </c>
      <c r="AG109" s="449">
        <v>9</v>
      </c>
      <c r="AH109" s="449">
        <v>10</v>
      </c>
      <c r="AI109" s="448">
        <v>21</v>
      </c>
      <c r="AJ109" s="449">
        <v>2</v>
      </c>
      <c r="AK109" s="449">
        <v>12</v>
      </c>
      <c r="AL109" s="449">
        <v>9</v>
      </c>
      <c r="AM109" s="449">
        <v>21</v>
      </c>
      <c r="AN109" s="448">
        <v>44</v>
      </c>
      <c r="AO109" s="449">
        <v>2</v>
      </c>
      <c r="AP109" s="449">
        <v>4</v>
      </c>
      <c r="AQ109" s="449">
        <v>2</v>
      </c>
      <c r="AR109" s="449">
        <v>31</v>
      </c>
      <c r="AS109" s="448">
        <v>39</v>
      </c>
      <c r="AT109" s="449">
        <v>6</v>
      </c>
      <c r="AU109" s="449">
        <v>27</v>
      </c>
      <c r="AV109" s="449">
        <v>0</v>
      </c>
      <c r="AW109" s="449">
        <v>30</v>
      </c>
      <c r="AX109" s="448">
        <v>63</v>
      </c>
      <c r="AY109" s="449">
        <v>14</v>
      </c>
      <c r="AZ109" s="449">
        <v>86</v>
      </c>
      <c r="BA109" s="449">
        <v>7</v>
      </c>
      <c r="BB109" s="449">
        <v>5</v>
      </c>
      <c r="BC109" s="448">
        <v>112</v>
      </c>
      <c r="BD109" s="449">
        <v>10</v>
      </c>
      <c r="BE109" s="449">
        <v>19</v>
      </c>
      <c r="BF109" s="449">
        <v>24</v>
      </c>
      <c r="BG109" s="449">
        <v>25</v>
      </c>
      <c r="BH109" s="448">
        <v>78</v>
      </c>
      <c r="BI109" s="449">
        <v>7</v>
      </c>
      <c r="BJ109" s="449">
        <v>9</v>
      </c>
      <c r="BK109" s="449">
        <v>13</v>
      </c>
      <c r="BL109" s="449">
        <v>51</v>
      </c>
      <c r="BM109" s="448">
        <v>80</v>
      </c>
      <c r="BN109" s="449"/>
      <c r="BO109" s="449"/>
      <c r="BP109" s="449"/>
      <c r="BQ109" s="449"/>
      <c r="BR109" s="448"/>
      <c r="BS109" s="449"/>
      <c r="BT109" s="449"/>
      <c r="BU109" s="449"/>
      <c r="BV109" s="449"/>
      <c r="BW109" s="448"/>
      <c r="BX109" s="449"/>
      <c r="BY109" s="449"/>
      <c r="BZ109" s="449"/>
      <c r="CA109" s="449"/>
      <c r="CB109" s="448"/>
      <c r="CC109" s="449"/>
      <c r="CD109" s="449"/>
      <c r="CE109" s="449"/>
      <c r="CF109" s="449"/>
      <c r="CG109" s="448"/>
      <c r="CH109" s="449"/>
      <c r="CI109" s="449"/>
      <c r="CJ109" s="449"/>
      <c r="CK109" s="449"/>
      <c r="CL109" s="448"/>
      <c r="CM109" s="449"/>
      <c r="CN109" s="449"/>
      <c r="CO109" s="449"/>
      <c r="CP109" s="449"/>
      <c r="CQ109" s="448"/>
      <c r="CR109" s="449"/>
      <c r="CS109" s="449"/>
      <c r="CT109" s="449"/>
      <c r="CU109" s="449"/>
      <c r="CV109" s="448"/>
      <c r="CW109" s="448"/>
      <c r="CX109" s="2233"/>
      <c r="CY109" s="2233"/>
      <c r="CZ109" s="268"/>
    </row>
    <row r="110" spans="1:104" ht="12" customHeight="1" collapsed="1">
      <c r="A110" s="268"/>
      <c r="B110" s="268"/>
      <c r="C110" s="268" t="str">
        <f>C70</f>
        <v>Pratt &amp; Whitney</v>
      </c>
      <c r="D110" s="261"/>
      <c r="E110" s="407"/>
      <c r="F110" s="449">
        <f>Pratt!J27</f>
        <v>0</v>
      </c>
      <c r="G110" s="449">
        <f>Pratt!K27</f>
        <v>0</v>
      </c>
      <c r="H110" s="449">
        <f>Pratt!L27</f>
        <v>0</v>
      </c>
      <c r="I110" s="449">
        <f>Pratt!M27</f>
        <v>0</v>
      </c>
      <c r="J110" s="448">
        <f>Pratt!N27</f>
        <v>0</v>
      </c>
      <c r="K110" s="449">
        <f>Pratt!O27</f>
        <v>0</v>
      </c>
      <c r="L110" s="449">
        <f>Pratt!P27</f>
        <v>0</v>
      </c>
      <c r="M110" s="449">
        <f>Pratt!Q27</f>
        <v>15</v>
      </c>
      <c r="N110" s="449">
        <f>Pratt!R27</f>
        <v>48</v>
      </c>
      <c r="O110" s="448">
        <f>Pratt!S27</f>
        <v>63</v>
      </c>
      <c r="P110" s="449">
        <f>Pratt!T27</f>
        <v>9</v>
      </c>
      <c r="Q110" s="449">
        <f>Pratt!U27</f>
        <v>17</v>
      </c>
      <c r="R110" s="449">
        <f>Pratt!V27</f>
        <v>17</v>
      </c>
      <c r="S110" s="449">
        <f>Pratt!W27</f>
        <v>37</v>
      </c>
      <c r="T110" s="448">
        <f>Pratt!X27</f>
        <v>80</v>
      </c>
      <c r="U110" s="449">
        <f>Pratt!Y27</f>
        <v>2</v>
      </c>
      <c r="V110" s="449">
        <f>Pratt!Z27</f>
        <v>2</v>
      </c>
      <c r="W110" s="449">
        <f>Pratt!AA27</f>
        <v>2</v>
      </c>
      <c r="X110" s="449">
        <f>Pratt!AB27</f>
        <v>13</v>
      </c>
      <c r="Y110" s="448">
        <f>Pratt!AC27</f>
        <v>19</v>
      </c>
      <c r="Z110" s="449">
        <f>Pratt!AD27</f>
        <v>51</v>
      </c>
      <c r="AA110" s="449">
        <f>Pratt!AE27</f>
        <v>23</v>
      </c>
      <c r="AB110" s="449">
        <f>Pratt!AF27</f>
        <v>23</v>
      </c>
      <c r="AC110" s="449">
        <f>Pratt!AG27</f>
        <v>55</v>
      </c>
      <c r="AD110" s="448">
        <f>Pratt!AH27</f>
        <v>152</v>
      </c>
      <c r="AE110" s="449">
        <f>Pratt!AI27</f>
        <v>10</v>
      </c>
      <c r="AF110" s="449">
        <f>Pratt!AJ27</f>
        <v>2</v>
      </c>
      <c r="AG110" s="449">
        <f>Pratt!AK27</f>
        <v>4</v>
      </c>
      <c r="AH110" s="449">
        <f>Pratt!AL27</f>
        <v>23</v>
      </c>
      <c r="AI110" s="448">
        <f>Pratt!AM27</f>
        <v>39</v>
      </c>
      <c r="AJ110" s="449">
        <f>Pratt!AN27</f>
        <v>12</v>
      </c>
      <c r="AK110" s="449">
        <f>Pratt!AO27</f>
        <v>11</v>
      </c>
      <c r="AL110" s="449">
        <f>Pratt!AP27</f>
        <v>13</v>
      </c>
      <c r="AM110" s="449">
        <f>Pratt!AQ27</f>
        <v>32</v>
      </c>
      <c r="AN110" s="448">
        <f>Pratt!AR27</f>
        <v>68</v>
      </c>
      <c r="AO110" s="449">
        <f>Pratt!AS27</f>
        <v>20</v>
      </c>
      <c r="AP110" s="449">
        <f>Pratt!AT27</f>
        <v>7</v>
      </c>
      <c r="AQ110" s="449">
        <f>Pratt!AU27</f>
        <v>12</v>
      </c>
      <c r="AR110" s="449">
        <f>Pratt!AV27</f>
        <v>14</v>
      </c>
      <c r="AS110" s="448">
        <f>Pratt!AW27</f>
        <v>53</v>
      </c>
      <c r="AT110" s="449">
        <f>Pratt!AX27</f>
        <v>14</v>
      </c>
      <c r="AU110" s="449">
        <f>Pratt!AY27</f>
        <v>17</v>
      </c>
      <c r="AV110" s="449">
        <f>Pratt!AZ27</f>
        <v>52</v>
      </c>
      <c r="AW110" s="449">
        <f>Pratt!BA27</f>
        <v>33</v>
      </c>
      <c r="AX110" s="448">
        <f>Pratt!BB27</f>
        <v>116</v>
      </c>
      <c r="AY110" s="449">
        <f>Pratt!BC27</f>
        <v>64</v>
      </c>
      <c r="AZ110" s="449">
        <f>Pratt!BD27</f>
        <v>56</v>
      </c>
      <c r="BA110" s="449">
        <f>Pratt!BE27</f>
        <v>57</v>
      </c>
      <c r="BB110" s="449">
        <f>Pratt!BF27</f>
        <v>13</v>
      </c>
      <c r="BC110" s="448">
        <f>Pratt!BG27</f>
        <v>190</v>
      </c>
      <c r="BD110" s="449">
        <f>Pratt!BH27</f>
        <v>26</v>
      </c>
      <c r="BE110" s="449">
        <f>Pratt!BI27</f>
        <v>9</v>
      </c>
      <c r="BF110" s="449">
        <f>Pratt!BJ27</f>
        <v>13</v>
      </c>
      <c r="BG110" s="449">
        <f>Pratt!BK27</f>
        <v>90</v>
      </c>
      <c r="BH110" s="448">
        <f>Pratt!BL27</f>
        <v>138</v>
      </c>
      <c r="BI110" s="449">
        <f>Pratt!BM27</f>
        <v>4</v>
      </c>
      <c r="BJ110" s="449">
        <f>Pratt!BN27</f>
        <v>25</v>
      </c>
      <c r="BK110" s="449">
        <f>Pratt!BO27</f>
        <v>5</v>
      </c>
      <c r="BL110" s="449">
        <f>Pratt!BP27</f>
        <v>18</v>
      </c>
      <c r="BM110" s="448">
        <f>Pratt!BQ27</f>
        <v>52</v>
      </c>
      <c r="BN110" s="449">
        <f>Pratt!BR27</f>
        <v>37</v>
      </c>
      <c r="BO110" s="449">
        <f>Pratt!BS27</f>
        <v>17</v>
      </c>
      <c r="BP110" s="449">
        <f>Pratt!BT27</f>
        <v>3</v>
      </c>
      <c r="BQ110" s="449">
        <f>Pratt!BU27</f>
        <v>39</v>
      </c>
      <c r="BR110" s="448">
        <f>Pratt!BV27</f>
        <v>96</v>
      </c>
      <c r="BS110" s="449">
        <f>Pratt!BW27</f>
        <v>7</v>
      </c>
      <c r="BT110" s="449">
        <f>Pratt!BX27</f>
        <v>93</v>
      </c>
      <c r="BU110" s="449">
        <f>Pratt!BY27</f>
        <v>22</v>
      </c>
      <c r="BV110" s="449">
        <f>Pratt!BZ27</f>
        <v>32</v>
      </c>
      <c r="BW110" s="448">
        <f>Pratt!CA27</f>
        <v>154</v>
      </c>
      <c r="BX110" s="449">
        <f>Pratt!CB27</f>
        <v>42</v>
      </c>
      <c r="BY110" s="449">
        <f>Pratt!CC27</f>
        <v>5</v>
      </c>
      <c r="BZ110" s="449">
        <f>Pratt!CD27</f>
        <v>8</v>
      </c>
      <c r="CA110" s="449">
        <f>Pratt!CE27</f>
        <v>9</v>
      </c>
      <c r="CB110" s="448">
        <f>Pratt!CF27</f>
        <v>64</v>
      </c>
      <c r="CC110" s="449">
        <f>Pratt!CG27</f>
        <v>13</v>
      </c>
      <c r="CD110" s="449">
        <f>Pratt!CH27</f>
        <v>2</v>
      </c>
      <c r="CE110" s="449">
        <f>Pratt!CI27</f>
        <v>22</v>
      </c>
      <c r="CF110" s="449">
        <f>Pratt!CJ27</f>
        <v>68</v>
      </c>
      <c r="CG110" s="448">
        <f>Pratt!CK27</f>
        <v>105</v>
      </c>
      <c r="CH110" s="449">
        <f>Pratt!CL27</f>
        <v>5</v>
      </c>
      <c r="CI110" s="449">
        <f>Pratt!CM27</f>
        <v>66</v>
      </c>
      <c r="CJ110" s="449">
        <f>Pratt!CN27</f>
        <v>-21</v>
      </c>
      <c r="CK110" s="449">
        <f>Pratt!CO27</f>
        <v>61</v>
      </c>
      <c r="CL110" s="448">
        <f>Pratt!CP27</f>
        <v>111</v>
      </c>
      <c r="CM110" s="449">
        <f>Pratt!CQ27</f>
        <v>0</v>
      </c>
      <c r="CN110" s="449">
        <f>Pratt!CR27</f>
        <v>6</v>
      </c>
      <c r="CO110" s="449">
        <f>Pratt!CS27</f>
        <v>-2</v>
      </c>
      <c r="CP110" s="449">
        <f>Pratt!CT27</f>
        <v>26</v>
      </c>
      <c r="CQ110" s="448">
        <f>Pratt!CU27</f>
        <v>30</v>
      </c>
      <c r="CR110" s="449">
        <f>Pratt!CV27</f>
        <v>7.5</v>
      </c>
      <c r="CS110" s="449">
        <f>Pratt!CW27</f>
        <v>7.5</v>
      </c>
      <c r="CT110" s="449">
        <f>Pratt!CX27</f>
        <v>7.5</v>
      </c>
      <c r="CU110" s="449">
        <f>Pratt!CY27</f>
        <v>7.5</v>
      </c>
      <c r="CV110" s="448">
        <f>Pratt!CZ27</f>
        <v>30</v>
      </c>
      <c r="CW110" s="448">
        <f>Pratt!DA27</f>
        <v>30</v>
      </c>
      <c r="CX110" s="2233">
        <f>Pratt!DB27</f>
        <v>30</v>
      </c>
      <c r="CY110" s="2233">
        <f>Pratt!DC27</f>
        <v>30</v>
      </c>
      <c r="CZ110" s="268"/>
    </row>
    <row r="111" spans="1:104" ht="12" hidden="1" customHeight="1">
      <c r="A111" s="268"/>
      <c r="B111" s="268"/>
      <c r="C111" s="268" t="e">
        <f>#REF!</f>
        <v>#REF!</v>
      </c>
      <c r="D111" s="261"/>
      <c r="E111" s="407"/>
      <c r="F111" s="407"/>
      <c r="G111" s="407"/>
      <c r="H111" s="407"/>
      <c r="I111" s="407"/>
      <c r="J111" s="448">
        <v>0</v>
      </c>
      <c r="K111" s="449">
        <v>0</v>
      </c>
      <c r="L111" s="449">
        <v>0</v>
      </c>
      <c r="M111" s="449">
        <v>0</v>
      </c>
      <c r="N111" s="449">
        <v>0</v>
      </c>
      <c r="O111" s="448">
        <v>0</v>
      </c>
      <c r="P111" s="449"/>
      <c r="Q111" s="449"/>
      <c r="R111" s="449"/>
      <c r="S111" s="449"/>
      <c r="T111" s="448"/>
      <c r="U111" s="449"/>
      <c r="V111" s="449"/>
      <c r="W111" s="449"/>
      <c r="X111" s="449"/>
      <c r="Y111" s="448"/>
      <c r="Z111" s="449"/>
      <c r="AA111" s="449"/>
      <c r="AB111" s="449"/>
      <c r="AC111" s="449"/>
      <c r="AD111" s="448"/>
      <c r="AE111" s="449"/>
      <c r="AF111" s="449"/>
      <c r="AG111" s="449"/>
      <c r="AH111" s="449"/>
      <c r="AI111" s="448"/>
      <c r="AJ111" s="449"/>
      <c r="AK111" s="449"/>
      <c r="AL111" s="449"/>
      <c r="AM111" s="449"/>
      <c r="AN111" s="448"/>
      <c r="AO111" s="449"/>
      <c r="AP111" s="449"/>
      <c r="AQ111" s="449"/>
      <c r="AR111" s="449"/>
      <c r="AS111" s="448"/>
      <c r="AT111" s="449"/>
      <c r="AU111" s="449"/>
      <c r="AV111" s="449"/>
      <c r="AW111" s="449"/>
      <c r="AX111" s="448"/>
      <c r="AY111" s="449"/>
      <c r="AZ111" s="449"/>
      <c r="BA111" s="449"/>
      <c r="BB111" s="449"/>
      <c r="BC111" s="448"/>
      <c r="BD111" s="449"/>
      <c r="BE111" s="449"/>
      <c r="BF111" s="449"/>
      <c r="BG111" s="449"/>
      <c r="BH111" s="448"/>
      <c r="BI111" s="449"/>
      <c r="BJ111" s="449"/>
      <c r="BK111" s="449"/>
      <c r="BL111" s="449"/>
      <c r="BM111" s="448"/>
      <c r="BN111" s="449"/>
      <c r="BO111" s="449"/>
      <c r="BP111" s="449"/>
      <c r="BQ111" s="449"/>
      <c r="BR111" s="448"/>
      <c r="BS111" s="449"/>
      <c r="BT111" s="449"/>
      <c r="BU111" s="449"/>
      <c r="BV111" s="449"/>
      <c r="BW111" s="448"/>
      <c r="BX111" s="449"/>
      <c r="BY111" s="449"/>
      <c r="BZ111" s="449"/>
      <c r="CA111" s="449"/>
      <c r="CB111" s="448"/>
      <c r="CC111" s="449"/>
      <c r="CD111" s="449"/>
      <c r="CE111" s="449"/>
      <c r="CF111" s="449"/>
      <c r="CG111" s="448"/>
      <c r="CH111" s="449"/>
      <c r="CI111" s="449"/>
      <c r="CJ111" s="449"/>
      <c r="CK111" s="449"/>
      <c r="CL111" s="448"/>
      <c r="CM111" s="449"/>
      <c r="CN111" s="449"/>
      <c r="CO111" s="449"/>
      <c r="CP111" s="449"/>
      <c r="CQ111" s="448"/>
      <c r="CR111" s="449"/>
      <c r="CS111" s="449"/>
      <c r="CT111" s="449"/>
      <c r="CU111" s="449"/>
      <c r="CV111" s="448"/>
      <c r="CW111" s="448"/>
      <c r="CX111" s="2233"/>
      <c r="CY111" s="2233"/>
      <c r="CZ111" s="268"/>
    </row>
    <row r="112" spans="1:104" ht="12" customHeight="1">
      <c r="A112" s="268"/>
      <c r="B112" s="268"/>
      <c r="C112" s="116" t="s">
        <v>164</v>
      </c>
      <c r="D112" s="261"/>
      <c r="E112" s="407"/>
      <c r="F112" s="407"/>
      <c r="G112" s="407"/>
      <c r="H112" s="407"/>
      <c r="I112" s="407"/>
      <c r="J112" s="448"/>
      <c r="K112" s="449"/>
      <c r="L112" s="449"/>
      <c r="M112" s="449"/>
      <c r="N112" s="449"/>
      <c r="O112" s="448"/>
      <c r="P112" s="449"/>
      <c r="Q112" s="449"/>
      <c r="R112" s="449"/>
      <c r="S112" s="449"/>
      <c r="T112" s="448"/>
      <c r="U112" s="449"/>
      <c r="V112" s="449"/>
      <c r="W112" s="449"/>
      <c r="X112" s="449"/>
      <c r="Y112" s="448"/>
      <c r="Z112" s="449"/>
      <c r="AA112" s="449"/>
      <c r="AB112" s="449"/>
      <c r="AC112" s="449"/>
      <c r="AD112" s="448"/>
      <c r="AE112" s="449"/>
      <c r="AF112" s="449"/>
      <c r="AG112" s="449"/>
      <c r="AH112" s="449"/>
      <c r="AI112" s="448"/>
      <c r="AJ112" s="449"/>
      <c r="AK112" s="449"/>
      <c r="AL112" s="449"/>
      <c r="AM112" s="449"/>
      <c r="AN112" s="448"/>
      <c r="AO112" s="449"/>
      <c r="AP112" s="449"/>
      <c r="AQ112" s="449"/>
      <c r="AR112" s="449"/>
      <c r="AS112" s="448"/>
      <c r="AT112" s="449"/>
      <c r="AU112" s="449"/>
      <c r="AV112" s="449"/>
      <c r="AW112" s="449"/>
      <c r="AX112" s="448"/>
      <c r="AY112" s="449"/>
      <c r="AZ112" s="449"/>
      <c r="BA112" s="449"/>
      <c r="BB112" s="449"/>
      <c r="BC112" s="448"/>
      <c r="BD112" s="449"/>
      <c r="BE112" s="449"/>
      <c r="BF112" s="449"/>
      <c r="BG112" s="449"/>
      <c r="BH112" s="448"/>
      <c r="BI112" s="449">
        <f>'Aerospace Systems'!O27</f>
        <v>2</v>
      </c>
      <c r="BJ112" s="449">
        <f>'Aerospace Systems'!P27</f>
        <v>2</v>
      </c>
      <c r="BK112" s="449">
        <f>'Aerospace Systems'!Q27</f>
        <v>1</v>
      </c>
      <c r="BL112" s="449">
        <f>'Aerospace Systems'!R27</f>
        <v>6</v>
      </c>
      <c r="BM112" s="448">
        <f>'Aerospace Systems'!S27</f>
        <v>11</v>
      </c>
      <c r="BN112" s="449">
        <f>'Aerospace Systems'!T27</f>
        <v>2</v>
      </c>
      <c r="BO112" s="449">
        <f>'Aerospace Systems'!U27</f>
        <v>3</v>
      </c>
      <c r="BP112" s="449">
        <f>'Aerospace Systems'!V27</f>
        <v>35</v>
      </c>
      <c r="BQ112" s="449">
        <f>'Aerospace Systems'!W27</f>
        <v>75</v>
      </c>
      <c r="BR112" s="448">
        <f>'Aerospace Systems'!X27</f>
        <v>115</v>
      </c>
      <c r="BS112" s="449">
        <f>'Aerospace Systems'!Y27</f>
        <v>8</v>
      </c>
      <c r="BT112" s="449">
        <f>'Aerospace Systems'!Z27</f>
        <v>33</v>
      </c>
      <c r="BU112" s="449">
        <f>'Aerospace Systems'!AA27</f>
        <v>24</v>
      </c>
      <c r="BV112" s="449">
        <f>'Aerospace Systems'!AB27</f>
        <v>27</v>
      </c>
      <c r="BW112" s="448">
        <f>'Aerospace Systems'!AC27</f>
        <v>92</v>
      </c>
      <c r="BX112" s="449">
        <f>'Aerospace Systems'!AD27</f>
        <v>6</v>
      </c>
      <c r="BY112" s="449">
        <f>'Aerospace Systems'!AE27</f>
        <v>4</v>
      </c>
      <c r="BZ112" s="449">
        <f>'Aerospace Systems'!AF27</f>
        <v>26</v>
      </c>
      <c r="CA112" s="449">
        <f>'Aerospace Systems'!AG27</f>
        <v>46</v>
      </c>
      <c r="CB112" s="448">
        <f>'Aerospace Systems'!AH27</f>
        <v>82</v>
      </c>
      <c r="CC112" s="449">
        <f>'Aerospace Systems'!AI27</f>
        <v>50</v>
      </c>
      <c r="CD112" s="449">
        <f>'Aerospace Systems'!AJ27</f>
        <v>0</v>
      </c>
      <c r="CE112" s="449">
        <f>'Aerospace Systems'!AK27</f>
        <v>14</v>
      </c>
      <c r="CF112" s="449">
        <f>'Aerospace Systems'!AL27</f>
        <v>47</v>
      </c>
      <c r="CG112" s="448">
        <f>'Aerospace Systems'!AM27</f>
        <v>111</v>
      </c>
      <c r="CH112" s="449">
        <f>'Aerospace Systems'!AN27</f>
        <v>13</v>
      </c>
      <c r="CI112" s="449">
        <f>'Aerospace Systems'!AO27</f>
        <v>8</v>
      </c>
      <c r="CJ112" s="449">
        <f>'Aerospace Systems'!AP27</f>
        <v>11</v>
      </c>
      <c r="CK112" s="449">
        <f>'Aerospace Systems'!AQ27</f>
        <v>17</v>
      </c>
      <c r="CL112" s="448">
        <f>'Aerospace Systems'!AR27</f>
        <v>49</v>
      </c>
      <c r="CM112" s="449">
        <f>'Aerospace Systems'!AS27</f>
        <v>23</v>
      </c>
      <c r="CN112" s="449">
        <f>'Aerospace Systems'!AT27</f>
        <v>24</v>
      </c>
      <c r="CO112" s="449">
        <f>'Aerospace Systems'!AU27</f>
        <v>17</v>
      </c>
      <c r="CP112" s="449">
        <f>'Aerospace Systems'!AV27</f>
        <v>17</v>
      </c>
      <c r="CQ112" s="448">
        <f>'Aerospace Systems'!AW27</f>
        <v>81</v>
      </c>
      <c r="CR112" s="449">
        <f>'Aerospace Systems'!AX27</f>
        <v>30</v>
      </c>
      <c r="CS112" s="449">
        <f>'Aerospace Systems'!AY27</f>
        <v>20</v>
      </c>
      <c r="CT112" s="449">
        <f>'Aerospace Systems'!AZ27</f>
        <v>15</v>
      </c>
      <c r="CU112" s="449">
        <f>'Aerospace Systems'!BA27</f>
        <v>16</v>
      </c>
      <c r="CV112" s="448">
        <f>'Aerospace Systems'!BB27</f>
        <v>81</v>
      </c>
      <c r="CW112" s="448">
        <f>'Aerospace Systems'!BC27</f>
        <v>81</v>
      </c>
      <c r="CX112" s="2233">
        <f>'Aerospace Systems'!BD27</f>
        <v>81</v>
      </c>
      <c r="CY112" s="2233">
        <f>'Aerospace Systems'!BE27</f>
        <v>81</v>
      </c>
      <c r="CZ112" s="268"/>
    </row>
    <row r="113" spans="1:104" ht="12" hidden="1" customHeight="1" outlineLevel="1">
      <c r="A113" s="268"/>
      <c r="B113" s="268"/>
      <c r="C113" s="268" t="str">
        <f>C72</f>
        <v>Hamilton Sundstrand</v>
      </c>
      <c r="D113" s="261"/>
      <c r="E113" s="407"/>
      <c r="F113" s="449">
        <v>0</v>
      </c>
      <c r="G113" s="449">
        <v>0</v>
      </c>
      <c r="H113" s="449">
        <v>0</v>
      </c>
      <c r="I113" s="449">
        <v>0</v>
      </c>
      <c r="J113" s="448">
        <f>SUM(F113:I113)</f>
        <v>0</v>
      </c>
      <c r="K113" s="449">
        <v>0</v>
      </c>
      <c r="L113" s="449">
        <v>0</v>
      </c>
      <c r="M113" s="449">
        <v>8</v>
      </c>
      <c r="N113" s="449">
        <f>30-M113</f>
        <v>22</v>
      </c>
      <c r="O113" s="448">
        <f>SUM(K113:N113)</f>
        <v>30</v>
      </c>
      <c r="P113" s="449">
        <v>5</v>
      </c>
      <c r="Q113" s="449">
        <v>0</v>
      </c>
      <c r="R113" s="449">
        <f>T113-P113-Q113-S113</f>
        <v>18</v>
      </c>
      <c r="S113" s="449">
        <v>32</v>
      </c>
      <c r="T113" s="448">
        <v>55</v>
      </c>
      <c r="U113" s="449">
        <v>3</v>
      </c>
      <c r="V113" s="449">
        <v>3</v>
      </c>
      <c r="W113" s="449">
        <v>7</v>
      </c>
      <c r="X113" s="449">
        <v>10</v>
      </c>
      <c r="Y113" s="448">
        <v>23</v>
      </c>
      <c r="Z113" s="449">
        <v>20</v>
      </c>
      <c r="AA113" s="449">
        <v>10</v>
      </c>
      <c r="AB113" s="449">
        <v>5</v>
      </c>
      <c r="AC113" s="449">
        <v>36</v>
      </c>
      <c r="AD113" s="448">
        <v>71</v>
      </c>
      <c r="AE113" s="449">
        <v>9</v>
      </c>
      <c r="AF113" s="449">
        <v>17</v>
      </c>
      <c r="AG113" s="449">
        <v>16</v>
      </c>
      <c r="AH113" s="449">
        <v>24</v>
      </c>
      <c r="AI113" s="448">
        <v>66</v>
      </c>
      <c r="AJ113" s="449">
        <v>8</v>
      </c>
      <c r="AK113" s="449">
        <v>9</v>
      </c>
      <c r="AL113" s="449">
        <v>12</v>
      </c>
      <c r="AM113" s="449">
        <v>11</v>
      </c>
      <c r="AN113" s="448">
        <v>40</v>
      </c>
      <c r="AO113" s="449">
        <v>6</v>
      </c>
      <c r="AP113" s="449">
        <v>6</v>
      </c>
      <c r="AQ113" s="449">
        <v>8</v>
      </c>
      <c r="AR113" s="449">
        <v>3</v>
      </c>
      <c r="AS113" s="448">
        <v>23</v>
      </c>
      <c r="AT113" s="449">
        <v>1</v>
      </c>
      <c r="AU113" s="449">
        <v>0</v>
      </c>
      <c r="AV113" s="449">
        <v>2</v>
      </c>
      <c r="AW113" s="449">
        <v>13</v>
      </c>
      <c r="AX113" s="448">
        <v>16</v>
      </c>
      <c r="AY113" s="449">
        <v>19</v>
      </c>
      <c r="AZ113" s="449">
        <v>37</v>
      </c>
      <c r="BA113" s="449">
        <v>13</v>
      </c>
      <c r="BB113" s="449">
        <v>19</v>
      </c>
      <c r="BC113" s="448">
        <v>88</v>
      </c>
      <c r="BD113" s="449">
        <v>2</v>
      </c>
      <c r="BE113" s="449">
        <v>7</v>
      </c>
      <c r="BF113" s="449">
        <v>2</v>
      </c>
      <c r="BG113" s="449">
        <v>26</v>
      </c>
      <c r="BH113" s="448">
        <v>37</v>
      </c>
      <c r="BI113" s="449">
        <v>2</v>
      </c>
      <c r="BJ113" s="449">
        <v>2</v>
      </c>
      <c r="BK113" s="449">
        <v>4</v>
      </c>
      <c r="BL113" s="449">
        <v>6</v>
      </c>
      <c r="BM113" s="448">
        <v>14</v>
      </c>
      <c r="BN113" s="449">
        <v>2</v>
      </c>
      <c r="BO113" s="449">
        <v>3</v>
      </c>
      <c r="BP113" s="449">
        <v>3.5</v>
      </c>
      <c r="BQ113" s="449">
        <v>5.5</v>
      </c>
      <c r="BR113" s="448">
        <v>14</v>
      </c>
      <c r="BS113" s="449"/>
      <c r="BT113" s="449"/>
      <c r="BU113" s="449"/>
      <c r="BV113" s="449"/>
      <c r="BW113" s="448"/>
      <c r="BX113" s="449"/>
      <c r="BY113" s="449"/>
      <c r="BZ113" s="449"/>
      <c r="CA113" s="449"/>
      <c r="CB113" s="448"/>
      <c r="CC113" s="449"/>
      <c r="CD113" s="449"/>
      <c r="CE113" s="449"/>
      <c r="CF113" s="449"/>
      <c r="CG113" s="448">
        <f>'Aerospace Systems'!AM28</f>
        <v>0</v>
      </c>
      <c r="CH113" s="449"/>
      <c r="CI113" s="449"/>
      <c r="CJ113" s="449"/>
      <c r="CK113" s="449"/>
      <c r="CL113" s="448"/>
      <c r="CM113" s="449"/>
      <c r="CN113" s="449"/>
      <c r="CO113" s="449"/>
      <c r="CP113" s="449"/>
      <c r="CQ113" s="448"/>
      <c r="CR113" s="449"/>
      <c r="CS113" s="449"/>
      <c r="CT113" s="449"/>
      <c r="CU113" s="449"/>
      <c r="CV113" s="448"/>
      <c r="CW113" s="448"/>
      <c r="CX113" s="2233"/>
      <c r="CY113" s="2233"/>
      <c r="CZ113" s="268"/>
    </row>
    <row r="114" spans="1:104" ht="12" customHeight="1" collapsed="1">
      <c r="A114" s="268"/>
      <c r="B114" s="268"/>
      <c r="C114" s="268" t="str">
        <f>C73</f>
        <v>Sikorsky</v>
      </c>
      <c r="D114" s="261"/>
      <c r="E114" s="407"/>
      <c r="F114" s="449">
        <v>0</v>
      </c>
      <c r="G114" s="449">
        <v>0</v>
      </c>
      <c r="H114" s="449">
        <v>0</v>
      </c>
      <c r="I114" s="449">
        <v>0</v>
      </c>
      <c r="J114" s="448">
        <v>0</v>
      </c>
      <c r="K114" s="449">
        <v>0</v>
      </c>
      <c r="L114" s="449">
        <v>0</v>
      </c>
      <c r="M114" s="449">
        <v>0</v>
      </c>
      <c r="N114" s="449">
        <v>0</v>
      </c>
      <c r="O114" s="448">
        <v>0</v>
      </c>
      <c r="P114" s="449">
        <v>0</v>
      </c>
      <c r="Q114" s="449">
        <v>0</v>
      </c>
      <c r="R114" s="449">
        <v>0</v>
      </c>
      <c r="S114" s="449">
        <v>0</v>
      </c>
      <c r="T114" s="448">
        <v>0</v>
      </c>
      <c r="U114" s="449">
        <v>0</v>
      </c>
      <c r="V114" s="449">
        <v>0</v>
      </c>
      <c r="W114" s="449">
        <v>0</v>
      </c>
      <c r="X114" s="449">
        <v>0</v>
      </c>
      <c r="Y114" s="448">
        <v>0</v>
      </c>
      <c r="Z114" s="449">
        <v>1</v>
      </c>
      <c r="AA114" s="449">
        <v>7</v>
      </c>
      <c r="AB114" s="449">
        <v>0</v>
      </c>
      <c r="AC114" s="449">
        <v>1</v>
      </c>
      <c r="AD114" s="448">
        <v>9</v>
      </c>
      <c r="AE114" s="449">
        <v>0</v>
      </c>
      <c r="AF114" s="449">
        <v>3</v>
      </c>
      <c r="AG114" s="449">
        <v>0</v>
      </c>
      <c r="AH114" s="449">
        <v>0</v>
      </c>
      <c r="AI114" s="448">
        <v>3</v>
      </c>
      <c r="AJ114" s="449">
        <v>0</v>
      </c>
      <c r="AK114" s="449">
        <v>19</v>
      </c>
      <c r="AL114" s="449">
        <v>0</v>
      </c>
      <c r="AM114" s="449">
        <v>2</v>
      </c>
      <c r="AN114" s="448">
        <v>21</v>
      </c>
      <c r="AO114" s="449">
        <v>-3</v>
      </c>
      <c r="AP114" s="449">
        <v>0</v>
      </c>
      <c r="AQ114" s="449">
        <v>0</v>
      </c>
      <c r="AR114" s="449">
        <v>0</v>
      </c>
      <c r="AS114" s="448">
        <v>-3</v>
      </c>
      <c r="AT114" s="449">
        <v>0</v>
      </c>
      <c r="AU114" s="449">
        <v>0</v>
      </c>
      <c r="AV114" s="449">
        <v>0</v>
      </c>
      <c r="AW114" s="449">
        <v>0</v>
      </c>
      <c r="AX114" s="448">
        <v>0</v>
      </c>
      <c r="AY114" s="449">
        <v>0</v>
      </c>
      <c r="AZ114" s="449">
        <v>7</v>
      </c>
      <c r="BA114" s="449">
        <v>0</v>
      </c>
      <c r="BB114" s="449">
        <v>0</v>
      </c>
      <c r="BC114" s="448">
        <v>7</v>
      </c>
      <c r="BD114" s="449">
        <v>0</v>
      </c>
      <c r="BE114" s="449">
        <v>7</v>
      </c>
      <c r="BF114" s="449">
        <v>7</v>
      </c>
      <c r="BG114" s="449">
        <v>0</v>
      </c>
      <c r="BH114" s="448">
        <v>14</v>
      </c>
      <c r="BI114" s="449">
        <v>1</v>
      </c>
      <c r="BJ114" s="449">
        <v>2</v>
      </c>
      <c r="BK114" s="449">
        <v>13</v>
      </c>
      <c r="BL114" s="449">
        <v>37</v>
      </c>
      <c r="BM114" s="448">
        <v>53</v>
      </c>
      <c r="BN114" s="449">
        <v>3</v>
      </c>
      <c r="BO114" s="449">
        <v>3</v>
      </c>
      <c r="BP114" s="449">
        <v>12</v>
      </c>
      <c r="BQ114" s="449">
        <v>35</v>
      </c>
      <c r="BR114" s="448">
        <v>53</v>
      </c>
      <c r="BS114" s="449">
        <v>5</v>
      </c>
      <c r="BT114" s="449">
        <v>9</v>
      </c>
      <c r="BU114" s="449">
        <v>11</v>
      </c>
      <c r="BV114" s="449">
        <v>25</v>
      </c>
      <c r="BW114" s="448">
        <v>50</v>
      </c>
      <c r="BX114" s="449">
        <v>17</v>
      </c>
      <c r="BY114" s="449">
        <v>0</v>
      </c>
      <c r="BZ114" s="449">
        <v>0</v>
      </c>
      <c r="CA114" s="449">
        <v>-3</v>
      </c>
      <c r="CB114" s="448">
        <v>14</v>
      </c>
      <c r="CC114" s="449"/>
      <c r="CD114" s="449"/>
      <c r="CE114" s="449"/>
      <c r="CF114" s="449"/>
      <c r="CG114" s="448"/>
      <c r="CH114" s="449"/>
      <c r="CI114" s="449"/>
      <c r="CJ114" s="449"/>
      <c r="CK114" s="449"/>
      <c r="CL114" s="448"/>
      <c r="CM114" s="449"/>
      <c r="CN114" s="449"/>
      <c r="CO114" s="449"/>
      <c r="CP114" s="449"/>
      <c r="CQ114" s="448"/>
      <c r="CR114" s="449"/>
      <c r="CS114" s="449"/>
      <c r="CT114" s="449"/>
      <c r="CU114" s="449"/>
      <c r="CV114" s="448"/>
      <c r="CW114" s="448"/>
      <c r="CX114" s="2233"/>
      <c r="CY114" s="2233"/>
      <c r="CZ114" s="268"/>
    </row>
    <row r="115" spans="1:104" ht="12" customHeight="1">
      <c r="A115" s="268"/>
      <c r="B115" s="268"/>
      <c r="C115" s="268" t="s">
        <v>814</v>
      </c>
      <c r="D115" s="261"/>
      <c r="E115" s="407"/>
      <c r="F115" s="449"/>
      <c r="G115" s="449"/>
      <c r="H115" s="449"/>
      <c r="I115" s="449"/>
      <c r="J115" s="448"/>
      <c r="K115" s="449"/>
      <c r="L115" s="449"/>
      <c r="M115" s="449"/>
      <c r="N115" s="449"/>
      <c r="O115" s="448"/>
      <c r="P115" s="449"/>
      <c r="Q115" s="449"/>
      <c r="R115" s="449">
        <f>T115-P115-Q115-S115</f>
        <v>1</v>
      </c>
      <c r="S115" s="449">
        <v>-2</v>
      </c>
      <c r="T115" s="448">
        <v>-1</v>
      </c>
      <c r="U115" s="449">
        <v>0</v>
      </c>
      <c r="V115" s="449">
        <v>0</v>
      </c>
      <c r="W115" s="449">
        <f>Y115-U115-V115-X115</f>
        <v>7</v>
      </c>
      <c r="X115" s="449">
        <v>3</v>
      </c>
      <c r="Y115" s="448">
        <v>10</v>
      </c>
      <c r="Z115" s="449">
        <v>6</v>
      </c>
      <c r="AA115" s="449">
        <v>7</v>
      </c>
      <c r="AB115" s="449">
        <v>1</v>
      </c>
      <c r="AC115" s="449">
        <v>1</v>
      </c>
      <c r="AD115" s="448">
        <v>15</v>
      </c>
      <c r="AE115" s="449">
        <v>0</v>
      </c>
      <c r="AF115" s="449">
        <v>4</v>
      </c>
      <c r="AG115" s="449">
        <v>2</v>
      </c>
      <c r="AH115" s="449">
        <v>0</v>
      </c>
      <c r="AI115" s="448">
        <v>6</v>
      </c>
      <c r="AJ115" s="449">
        <v>0</v>
      </c>
      <c r="AK115" s="449">
        <v>0</v>
      </c>
      <c r="AL115" s="449">
        <v>0</v>
      </c>
      <c r="AM115" s="449">
        <v>0</v>
      </c>
      <c r="AN115" s="448">
        <v>0</v>
      </c>
      <c r="AO115" s="449">
        <v>0</v>
      </c>
      <c r="AP115" s="449">
        <v>0</v>
      </c>
      <c r="AQ115" s="449">
        <v>0</v>
      </c>
      <c r="AR115" s="449">
        <v>0</v>
      </c>
      <c r="AS115" s="448">
        <v>0</v>
      </c>
      <c r="AT115" s="449">
        <v>0</v>
      </c>
      <c r="AU115" s="449">
        <v>0</v>
      </c>
      <c r="AV115" s="449">
        <v>0</v>
      </c>
      <c r="AW115" s="449">
        <v>1</v>
      </c>
      <c r="AX115" s="448">
        <v>1</v>
      </c>
      <c r="AY115" s="449">
        <v>2</v>
      </c>
      <c r="AZ115" s="449">
        <v>1</v>
      </c>
      <c r="BA115" s="449">
        <v>59</v>
      </c>
      <c r="BB115" s="450">
        <f>BC115-SUM(AY115:BA115)</f>
        <v>0</v>
      </c>
      <c r="BC115" s="448">
        <v>62</v>
      </c>
      <c r="BD115" s="1095">
        <v>0</v>
      </c>
      <c r="BE115" s="449">
        <v>11</v>
      </c>
      <c r="BF115" s="449">
        <v>1</v>
      </c>
      <c r="BG115" s="449">
        <v>6</v>
      </c>
      <c r="BH115" s="448">
        <f>SUM(BD115:BG115)</f>
        <v>18</v>
      </c>
      <c r="BI115" s="449">
        <v>0</v>
      </c>
      <c r="BJ115" s="449">
        <v>0</v>
      </c>
      <c r="BK115" s="449">
        <v>0</v>
      </c>
      <c r="BL115" s="449">
        <v>0</v>
      </c>
      <c r="BM115" s="448">
        <f>SUM(BI115:BL115)</f>
        <v>0</v>
      </c>
      <c r="BN115" s="449">
        <v>6</v>
      </c>
      <c r="BO115" s="449">
        <v>-2</v>
      </c>
      <c r="BP115" s="449">
        <v>10</v>
      </c>
      <c r="BQ115" s="449">
        <v>5</v>
      </c>
      <c r="BR115" s="448">
        <f>SUM(BN115:BQ115)</f>
        <v>19</v>
      </c>
      <c r="BS115" s="449">
        <v>0</v>
      </c>
      <c r="BT115" s="449">
        <v>0</v>
      </c>
      <c r="BU115" s="449">
        <v>-1</v>
      </c>
      <c r="BV115" s="449">
        <v>1</v>
      </c>
      <c r="BW115" s="1094">
        <f>SUM(BS115:BV115)</f>
        <v>0</v>
      </c>
      <c r="BX115" s="1116">
        <v>0</v>
      </c>
      <c r="BY115" s="1116">
        <v>0</v>
      </c>
      <c r="BZ115" s="1116">
        <v>0</v>
      </c>
      <c r="CA115" s="1082">
        <v>5</v>
      </c>
      <c r="CB115" s="448">
        <f>SUM(BX115:CA115)</f>
        <v>5</v>
      </c>
      <c r="CC115" s="1116">
        <v>0</v>
      </c>
      <c r="CD115" s="449">
        <v>1</v>
      </c>
      <c r="CE115" s="449">
        <v>4</v>
      </c>
      <c r="CF115" s="449">
        <v>16</v>
      </c>
      <c r="CG115" s="448">
        <f>SUM(CC115:CF115)</f>
        <v>21</v>
      </c>
      <c r="CH115" s="1082">
        <f>CH117-SUM(CH106:CH114)</f>
        <v>1</v>
      </c>
      <c r="CI115" s="2223">
        <v>1</v>
      </c>
      <c r="CJ115" s="2223">
        <v>5</v>
      </c>
      <c r="CK115" s="2223">
        <v>-1</v>
      </c>
      <c r="CL115" s="448">
        <f>SUM(CH115:CK115)</f>
        <v>6</v>
      </c>
      <c r="CM115" s="2223">
        <v>1</v>
      </c>
      <c r="CN115" s="2223">
        <v>0</v>
      </c>
      <c r="CO115" s="2223">
        <v>1</v>
      </c>
      <c r="CP115" s="1116">
        <v>5</v>
      </c>
      <c r="CQ115" s="448">
        <f>SUM(CM115:CP115)</f>
        <v>7</v>
      </c>
      <c r="CR115" s="1116">
        <v>5</v>
      </c>
      <c r="CS115" s="1116">
        <v>5</v>
      </c>
      <c r="CT115" s="1116">
        <v>5</v>
      </c>
      <c r="CU115" s="1116">
        <v>5</v>
      </c>
      <c r="CV115" s="2233">
        <f>SUM(CR115:CU115)</f>
        <v>20</v>
      </c>
      <c r="CW115" s="1094">
        <v>20</v>
      </c>
      <c r="CX115" s="1094">
        <v>20</v>
      </c>
      <c r="CY115" s="1094">
        <v>20</v>
      </c>
      <c r="CZ115" s="268"/>
    </row>
    <row r="116" spans="1:104" ht="12" customHeight="1">
      <c r="A116" s="268"/>
      <c r="B116" s="268"/>
      <c r="C116" s="268" t="s">
        <v>815</v>
      </c>
      <c r="D116" s="261"/>
      <c r="E116" s="407"/>
      <c r="F116" s="449">
        <v>0</v>
      </c>
      <c r="G116" s="449">
        <v>0</v>
      </c>
      <c r="H116" s="449">
        <v>0</v>
      </c>
      <c r="I116" s="449">
        <v>0</v>
      </c>
      <c r="J116" s="448">
        <f>SUM(F116:I116)</f>
        <v>0</v>
      </c>
      <c r="K116" s="449">
        <v>0</v>
      </c>
      <c r="L116" s="449">
        <v>0</v>
      </c>
      <c r="M116" s="449">
        <v>0</v>
      </c>
      <c r="N116" s="449">
        <v>0</v>
      </c>
      <c r="O116" s="448">
        <f>SUM(K116:N116)</f>
        <v>0</v>
      </c>
      <c r="P116" s="449">
        <v>0</v>
      </c>
      <c r="Q116" s="449">
        <v>0</v>
      </c>
      <c r="R116" s="449">
        <v>0</v>
      </c>
      <c r="S116" s="449">
        <v>0</v>
      </c>
      <c r="T116" s="448">
        <f>SUM(P116:S116)</f>
        <v>0</v>
      </c>
      <c r="U116" s="449">
        <v>0</v>
      </c>
      <c r="V116" s="449">
        <v>0</v>
      </c>
      <c r="W116" s="449">
        <v>0</v>
      </c>
      <c r="X116" s="449">
        <v>0</v>
      </c>
      <c r="Y116" s="448">
        <f>SUM(U116:X116)</f>
        <v>0</v>
      </c>
      <c r="Z116" s="449">
        <v>0</v>
      </c>
      <c r="AA116" s="449">
        <v>0</v>
      </c>
      <c r="AB116" s="449">
        <v>0</v>
      </c>
      <c r="AC116" s="449">
        <v>0</v>
      </c>
      <c r="AD116" s="448">
        <f>SUM(Z116:AC116)</f>
        <v>0</v>
      </c>
      <c r="AE116" s="449">
        <v>0</v>
      </c>
      <c r="AF116" s="449">
        <v>0</v>
      </c>
      <c r="AG116" s="449">
        <v>0</v>
      </c>
      <c r="AH116" s="449">
        <v>0</v>
      </c>
      <c r="AI116" s="448">
        <f>SUM(AE116:AH116)</f>
        <v>0</v>
      </c>
      <c r="AJ116" s="449">
        <v>0</v>
      </c>
      <c r="AK116" s="449">
        <v>0</v>
      </c>
      <c r="AL116" s="449">
        <v>0</v>
      </c>
      <c r="AM116" s="449">
        <v>0</v>
      </c>
      <c r="AN116" s="448">
        <f>SUM(AJ116:AM116)</f>
        <v>0</v>
      </c>
      <c r="AO116" s="449">
        <v>0</v>
      </c>
      <c r="AP116" s="449">
        <v>0</v>
      </c>
      <c r="AQ116" s="449">
        <v>0</v>
      </c>
      <c r="AR116" s="449">
        <v>0</v>
      </c>
      <c r="AS116" s="448">
        <f>SUM(AO116:AR116)</f>
        <v>0</v>
      </c>
      <c r="AT116" s="449">
        <v>0</v>
      </c>
      <c r="AU116" s="449">
        <v>0</v>
      </c>
      <c r="AV116" s="449">
        <v>0</v>
      </c>
      <c r="AW116" s="449">
        <v>0</v>
      </c>
      <c r="AX116" s="448">
        <f>SUM(AT116:AW116)</f>
        <v>0</v>
      </c>
      <c r="AY116" s="449">
        <v>1</v>
      </c>
      <c r="AZ116" s="449">
        <v>2</v>
      </c>
      <c r="BA116" s="449">
        <v>0</v>
      </c>
      <c r="BB116" s="449">
        <v>0</v>
      </c>
      <c r="BC116" s="448">
        <f>SUM(AY116:BB116)</f>
        <v>3</v>
      </c>
      <c r="BD116" s="449">
        <v>0</v>
      </c>
      <c r="BE116" s="449">
        <v>0</v>
      </c>
      <c r="BF116" s="449">
        <v>0</v>
      </c>
      <c r="BG116" s="449">
        <v>0</v>
      </c>
      <c r="BH116" s="448">
        <f>SUM(BD116:BG116)</f>
        <v>0</v>
      </c>
      <c r="BI116" s="449">
        <v>0</v>
      </c>
      <c r="BJ116" s="449">
        <v>0</v>
      </c>
      <c r="BK116" s="449">
        <v>0</v>
      </c>
      <c r="BL116" s="449">
        <v>0</v>
      </c>
      <c r="BM116" s="448">
        <f>SUM(BI116:BL116)</f>
        <v>0</v>
      </c>
      <c r="BN116" s="449">
        <v>0</v>
      </c>
      <c r="BO116" s="449">
        <v>0</v>
      </c>
      <c r="BP116" s="449">
        <v>0</v>
      </c>
      <c r="BQ116" s="449">
        <v>0</v>
      </c>
      <c r="BR116" s="448">
        <f>SUM(BN116:BQ116)</f>
        <v>0</v>
      </c>
      <c r="BS116" s="449"/>
      <c r="BT116" s="449"/>
      <c r="BU116" s="449"/>
      <c r="BV116" s="449"/>
      <c r="BW116" s="448"/>
      <c r="BX116" s="449"/>
      <c r="BY116" s="449"/>
      <c r="BZ116" s="449"/>
      <c r="CA116" s="449"/>
      <c r="CB116" s="448"/>
      <c r="CC116" s="449"/>
      <c r="CD116" s="449"/>
      <c r="CE116" s="449"/>
      <c r="CF116" s="449"/>
      <c r="CG116" s="448"/>
      <c r="CH116" s="449"/>
      <c r="CI116" s="449"/>
      <c r="CJ116" s="449"/>
      <c r="CK116" s="449"/>
      <c r="CL116" s="448"/>
      <c r="CM116" s="449"/>
      <c r="CN116" s="449"/>
      <c r="CO116" s="449"/>
      <c r="CP116" s="449"/>
      <c r="CQ116" s="448"/>
      <c r="CR116" s="449"/>
      <c r="CS116" s="449"/>
      <c r="CT116" s="449"/>
      <c r="CU116" s="449"/>
      <c r="CV116" s="448"/>
      <c r="CW116" s="448"/>
      <c r="CX116" s="2233"/>
      <c r="CY116" s="2233"/>
      <c r="CZ116" s="268"/>
    </row>
    <row r="117" spans="1:104" ht="12" customHeight="1" thickBot="1">
      <c r="A117" s="271"/>
      <c r="B117" s="271"/>
      <c r="C117" s="1093" t="s">
        <v>817</v>
      </c>
      <c r="D117" s="1114"/>
      <c r="E117" s="1100"/>
      <c r="F117" s="1090">
        <f t="shared" ref="F117:AK117" si="138">SUM(F106:F116)</f>
        <v>0</v>
      </c>
      <c r="G117" s="1090">
        <f t="shared" si="138"/>
        <v>0</v>
      </c>
      <c r="H117" s="1090">
        <f t="shared" si="138"/>
        <v>0</v>
      </c>
      <c r="I117" s="1090">
        <f t="shared" si="138"/>
        <v>0</v>
      </c>
      <c r="J117" s="1089">
        <f t="shared" si="138"/>
        <v>0</v>
      </c>
      <c r="K117" s="1090">
        <f t="shared" si="138"/>
        <v>0</v>
      </c>
      <c r="L117" s="1090">
        <f t="shared" si="138"/>
        <v>0</v>
      </c>
      <c r="M117" s="1090">
        <f t="shared" si="138"/>
        <v>224</v>
      </c>
      <c r="N117" s="1090">
        <f t="shared" si="138"/>
        <v>124</v>
      </c>
      <c r="O117" s="1089">
        <f t="shared" si="138"/>
        <v>348</v>
      </c>
      <c r="P117" s="1090">
        <f t="shared" si="138"/>
        <v>104</v>
      </c>
      <c r="Q117" s="1090">
        <f t="shared" si="138"/>
        <v>29</v>
      </c>
      <c r="R117" s="1090">
        <f t="shared" si="138"/>
        <v>63</v>
      </c>
      <c r="S117" s="1090">
        <f t="shared" si="138"/>
        <v>125</v>
      </c>
      <c r="T117" s="1089">
        <f t="shared" si="138"/>
        <v>321</v>
      </c>
      <c r="U117" s="1090">
        <f t="shared" si="138"/>
        <v>11</v>
      </c>
      <c r="V117" s="1090">
        <f t="shared" si="138"/>
        <v>11</v>
      </c>
      <c r="W117" s="1090">
        <f t="shared" si="138"/>
        <v>22</v>
      </c>
      <c r="X117" s="1090">
        <f t="shared" si="138"/>
        <v>138</v>
      </c>
      <c r="Y117" s="1089">
        <f t="shared" si="138"/>
        <v>182</v>
      </c>
      <c r="Z117" s="1090">
        <f t="shared" si="138"/>
        <v>259</v>
      </c>
      <c r="AA117" s="1090">
        <f t="shared" si="138"/>
        <v>156</v>
      </c>
      <c r="AB117" s="1090">
        <f t="shared" si="138"/>
        <v>58</v>
      </c>
      <c r="AC117" s="1090">
        <f t="shared" si="138"/>
        <v>159</v>
      </c>
      <c r="AD117" s="1089">
        <f t="shared" si="138"/>
        <v>632</v>
      </c>
      <c r="AE117" s="1090">
        <f t="shared" si="138"/>
        <v>50</v>
      </c>
      <c r="AF117" s="1090">
        <f t="shared" si="138"/>
        <v>70</v>
      </c>
      <c r="AG117" s="1090">
        <f t="shared" si="138"/>
        <v>50</v>
      </c>
      <c r="AH117" s="1090">
        <f t="shared" si="138"/>
        <v>97</v>
      </c>
      <c r="AI117" s="1089">
        <f t="shared" si="138"/>
        <v>267</v>
      </c>
      <c r="AJ117" s="1090">
        <f t="shared" si="138"/>
        <v>31</v>
      </c>
      <c r="AK117" s="1090">
        <f t="shared" si="138"/>
        <v>82</v>
      </c>
      <c r="AL117" s="1090">
        <f t="shared" ref="AL117:BH117" si="139">SUM(AL106:AL116)</f>
        <v>93</v>
      </c>
      <c r="AM117" s="1090">
        <f t="shared" si="139"/>
        <v>82</v>
      </c>
      <c r="AN117" s="1089">
        <f t="shared" si="139"/>
        <v>288</v>
      </c>
      <c r="AO117" s="1090">
        <f t="shared" si="139"/>
        <v>35</v>
      </c>
      <c r="AP117" s="1090">
        <f t="shared" si="139"/>
        <v>25</v>
      </c>
      <c r="AQ117" s="1090">
        <f t="shared" si="139"/>
        <v>43</v>
      </c>
      <c r="AR117" s="1090">
        <f t="shared" si="139"/>
        <v>63</v>
      </c>
      <c r="AS117" s="1089">
        <f t="shared" si="139"/>
        <v>166</v>
      </c>
      <c r="AT117" s="1090">
        <f t="shared" si="139"/>
        <v>34</v>
      </c>
      <c r="AU117" s="1090">
        <f t="shared" si="139"/>
        <v>94</v>
      </c>
      <c r="AV117" s="1090">
        <f t="shared" si="139"/>
        <v>93</v>
      </c>
      <c r="AW117" s="1090">
        <f t="shared" si="139"/>
        <v>136</v>
      </c>
      <c r="AX117" s="1089">
        <f t="shared" si="139"/>
        <v>357</v>
      </c>
      <c r="AY117" s="1090">
        <f t="shared" si="139"/>
        <v>163</v>
      </c>
      <c r="AZ117" s="1090">
        <f t="shared" si="139"/>
        <v>301</v>
      </c>
      <c r="BA117" s="1090">
        <f t="shared" si="139"/>
        <v>231</v>
      </c>
      <c r="BB117" s="1090">
        <f t="shared" si="139"/>
        <v>135</v>
      </c>
      <c r="BC117" s="1089">
        <f t="shared" si="139"/>
        <v>830</v>
      </c>
      <c r="BD117" s="1090">
        <f t="shared" si="139"/>
        <v>67</v>
      </c>
      <c r="BE117" s="1090">
        <f t="shared" si="139"/>
        <v>85</v>
      </c>
      <c r="BF117" s="1090">
        <f t="shared" si="139"/>
        <v>58</v>
      </c>
      <c r="BG117" s="1090">
        <f t="shared" si="139"/>
        <v>233</v>
      </c>
      <c r="BH117" s="1089">
        <f t="shared" si="139"/>
        <v>443</v>
      </c>
      <c r="BI117" s="1090">
        <f t="shared" ref="BI117:CV117" si="140">BI106+BI107+BI110+BI112+BI114+BI115+BI116</f>
        <v>30</v>
      </c>
      <c r="BJ117" s="1090">
        <f t="shared" si="140"/>
        <v>57</v>
      </c>
      <c r="BK117" s="1090">
        <f t="shared" si="140"/>
        <v>80</v>
      </c>
      <c r="BL117" s="1090">
        <f t="shared" si="140"/>
        <v>148</v>
      </c>
      <c r="BM117" s="1089">
        <f t="shared" si="140"/>
        <v>315</v>
      </c>
      <c r="BN117" s="1090">
        <f t="shared" si="140"/>
        <v>111</v>
      </c>
      <c r="BO117" s="1090">
        <f t="shared" si="140"/>
        <v>93</v>
      </c>
      <c r="BP117" s="1090">
        <f t="shared" si="140"/>
        <v>128</v>
      </c>
      <c r="BQ117" s="1090">
        <f t="shared" si="140"/>
        <v>258</v>
      </c>
      <c r="BR117" s="1089">
        <f t="shared" si="140"/>
        <v>590</v>
      </c>
      <c r="BS117" s="1090">
        <f t="shared" si="140"/>
        <v>52</v>
      </c>
      <c r="BT117" s="1090">
        <f t="shared" si="140"/>
        <v>190</v>
      </c>
      <c r="BU117" s="1090">
        <f t="shared" si="140"/>
        <v>103</v>
      </c>
      <c r="BV117" s="1090">
        <f t="shared" si="140"/>
        <v>136</v>
      </c>
      <c r="BW117" s="1089">
        <f t="shared" si="140"/>
        <v>481</v>
      </c>
      <c r="BX117" s="1090">
        <f t="shared" si="140"/>
        <v>125</v>
      </c>
      <c r="BY117" s="1090">
        <f t="shared" si="140"/>
        <v>55</v>
      </c>
      <c r="BZ117" s="1090">
        <f t="shared" si="140"/>
        <v>63</v>
      </c>
      <c r="CA117" s="1090">
        <f t="shared" si="140"/>
        <v>125</v>
      </c>
      <c r="CB117" s="1089">
        <f t="shared" si="140"/>
        <v>368</v>
      </c>
      <c r="CC117" s="1090">
        <f t="shared" si="140"/>
        <v>93</v>
      </c>
      <c r="CD117" s="1090">
        <f t="shared" si="140"/>
        <v>39</v>
      </c>
      <c r="CE117" s="1090">
        <f t="shared" si="140"/>
        <v>73</v>
      </c>
      <c r="CF117" s="1090">
        <v>191</v>
      </c>
      <c r="CG117" s="1089">
        <f>CG106+CG107+CG110+CG112+CG114+CG115+CG116</f>
        <v>396</v>
      </c>
      <c r="CH117" s="1090">
        <v>62</v>
      </c>
      <c r="CI117" s="1090">
        <f t="shared" si="140"/>
        <v>116</v>
      </c>
      <c r="CJ117" s="1090">
        <f t="shared" si="140"/>
        <v>23</v>
      </c>
      <c r="CK117" s="1090">
        <f t="shared" si="140"/>
        <v>89</v>
      </c>
      <c r="CL117" s="1089">
        <f t="shared" si="140"/>
        <v>290</v>
      </c>
      <c r="CM117" s="1090">
        <f>CM106+CM107+CM110+CM112+CM114+CM115+CM116</f>
        <v>52</v>
      </c>
      <c r="CN117" s="1090">
        <f>CN106+CN107+CN110+CN112+CN114+CN115+CN116</f>
        <v>60</v>
      </c>
      <c r="CO117" s="1090">
        <f>CO106+CO107+CO110+CO112+CO114+CO115+CO116</f>
        <v>65</v>
      </c>
      <c r="CP117" s="1090">
        <f>CP106+CP107+CP110+CP112+CP114+CP115+CP116</f>
        <v>113</v>
      </c>
      <c r="CQ117" s="1089">
        <f t="shared" si="140"/>
        <v>290</v>
      </c>
      <c r="CR117" s="1090">
        <f>CR106+CR107+CR110+CR112+CR114+CR115+CR116</f>
        <v>85.5</v>
      </c>
      <c r="CS117" s="1090">
        <f>CS106+CS107+CS110+CS112+CS114+CS115+CS116</f>
        <v>75.5</v>
      </c>
      <c r="CT117" s="1090">
        <f>CT106+CT107+CT110+CT112+CT114+CT115+CT116</f>
        <v>70.5</v>
      </c>
      <c r="CU117" s="1090">
        <f>CU106+CU107+CU110+CU112+CU114+CU115+CU116</f>
        <v>71.5</v>
      </c>
      <c r="CV117" s="1089">
        <f t="shared" si="140"/>
        <v>303</v>
      </c>
      <c r="CW117" s="1089">
        <f>CW106+CW107+CW110+CW112+CW114+CW115+CW116</f>
        <v>303</v>
      </c>
      <c r="CX117" s="1089">
        <f>CX106+CX107+CX110+CX112+CX114+CX115+CX116</f>
        <v>303</v>
      </c>
      <c r="CY117" s="1089">
        <f>CY106+CY107+CY110+CY112+CY114+CY115+CY116</f>
        <v>303</v>
      </c>
      <c r="CZ117" s="271"/>
    </row>
    <row r="118" spans="1:104" ht="12" customHeight="1" thickTop="1">
      <c r="A118" s="434"/>
      <c r="B118" s="434"/>
      <c r="C118" s="434"/>
      <c r="D118" s="463"/>
      <c r="E118" s="1088"/>
      <c r="F118" s="1088"/>
      <c r="G118" s="1088"/>
      <c r="H118" s="1088"/>
      <c r="I118" s="1088"/>
      <c r="J118" s="1086"/>
      <c r="K118" s="1088"/>
      <c r="L118" s="1088"/>
      <c r="M118" s="1088"/>
      <c r="N118" s="1088"/>
      <c r="O118" s="1086"/>
      <c r="P118" s="1088"/>
      <c r="Q118" s="1088"/>
      <c r="R118" s="1088"/>
      <c r="S118" s="1088"/>
      <c r="T118" s="1086"/>
      <c r="U118" s="1088"/>
      <c r="V118" s="1088"/>
      <c r="W118" s="1088"/>
      <c r="X118" s="1088"/>
      <c r="Y118" s="1086"/>
      <c r="Z118" s="1088"/>
      <c r="AA118" s="1088"/>
      <c r="AB118" s="1088"/>
      <c r="AC118" s="1088"/>
      <c r="AD118" s="1086"/>
      <c r="AE118" s="1088"/>
      <c r="AF118" s="1088"/>
      <c r="AG118" s="1088"/>
      <c r="AH118" s="1088"/>
      <c r="AI118" s="1086"/>
      <c r="AJ118" s="1088"/>
      <c r="AK118" s="1088"/>
      <c r="AL118" s="1088"/>
      <c r="AM118" s="1088"/>
      <c r="AN118" s="1086"/>
      <c r="AO118" s="1088"/>
      <c r="AP118" s="1088"/>
      <c r="AQ118" s="1088"/>
      <c r="AR118" s="1088"/>
      <c r="AS118" s="1086"/>
      <c r="AT118" s="1088"/>
      <c r="AU118" s="1088"/>
      <c r="AV118" s="1088"/>
      <c r="AW118" s="1088"/>
      <c r="AX118" s="1086"/>
      <c r="AY118" s="1088"/>
      <c r="AZ118" s="1088"/>
      <c r="BA118" s="1088"/>
      <c r="BB118" s="1088"/>
      <c r="BC118" s="1086"/>
      <c r="BD118" s="1088"/>
      <c r="BE118" s="1088"/>
      <c r="BF118" s="1088"/>
      <c r="BG118" s="1088"/>
      <c r="BH118" s="1086"/>
      <c r="BI118" s="1088"/>
      <c r="BJ118" s="1088"/>
      <c r="BK118" s="1088"/>
      <c r="BL118" s="1088"/>
      <c r="BM118" s="1086"/>
      <c r="BN118" s="1088"/>
      <c r="BO118" s="1088"/>
      <c r="BP118" s="1088"/>
      <c r="BQ118" s="1088"/>
      <c r="BR118" s="1086"/>
      <c r="BS118" s="1087"/>
      <c r="BT118" s="1087"/>
      <c r="BU118" s="1115"/>
      <c r="BV118" s="1115"/>
      <c r="BW118" s="1086"/>
      <c r="BX118" s="1087"/>
      <c r="BY118" s="1087"/>
      <c r="BZ118" s="1087"/>
      <c r="CA118" s="1087"/>
      <c r="CB118" s="1086"/>
      <c r="CC118" s="1087"/>
      <c r="CD118" s="1087"/>
      <c r="CE118" s="1087"/>
      <c r="CF118" s="1087"/>
      <c r="CG118" s="1086"/>
      <c r="CH118" s="1087"/>
      <c r="CI118" s="1087"/>
      <c r="CJ118" s="1087"/>
      <c r="CK118" s="1087"/>
      <c r="CL118" s="1086"/>
      <c r="CM118" s="1087"/>
      <c r="CN118" s="1087"/>
      <c r="CO118" s="1087"/>
      <c r="CP118" s="1087"/>
      <c r="CQ118" s="1086"/>
      <c r="CR118" s="1087"/>
      <c r="CS118" s="1087"/>
      <c r="CT118" s="1087"/>
      <c r="CU118" s="1087"/>
      <c r="CV118" s="1086"/>
      <c r="CW118" s="1086"/>
      <c r="CX118" s="1086"/>
      <c r="CY118" s="1086"/>
      <c r="CZ118" s="434"/>
    </row>
    <row r="119" spans="1:104" ht="12" customHeight="1">
      <c r="A119" s="268"/>
      <c r="B119" s="268"/>
      <c r="C119" s="268" t="str">
        <f>C132</f>
        <v>Otis</v>
      </c>
      <c r="D119" s="261"/>
      <c r="E119" s="407"/>
      <c r="F119" s="449">
        <f>Otis!J33</f>
        <v>0</v>
      </c>
      <c r="G119" s="449">
        <f>Otis!K33</f>
        <v>0</v>
      </c>
      <c r="H119" s="449">
        <f>Otis!L33</f>
        <v>0</v>
      </c>
      <c r="I119" s="449">
        <f>Otis!M33</f>
        <v>0</v>
      </c>
      <c r="J119" s="448">
        <f>Otis!N33</f>
        <v>0</v>
      </c>
      <c r="K119" s="449">
        <f>Otis!O33</f>
        <v>0</v>
      </c>
      <c r="L119" s="449">
        <f>Otis!P33</f>
        <v>0</v>
      </c>
      <c r="M119" s="449">
        <f>Otis!Q33</f>
        <v>0</v>
      </c>
      <c r="N119" s="449">
        <f>Otis!R33</f>
        <v>0</v>
      </c>
      <c r="O119" s="448">
        <f>Otis!S33</f>
        <v>0</v>
      </c>
      <c r="P119" s="449">
        <f>Otis!T33</f>
        <v>0</v>
      </c>
      <c r="Q119" s="449">
        <f>Otis!U33</f>
        <v>0</v>
      </c>
      <c r="R119" s="449">
        <f>Otis!V33</f>
        <v>0</v>
      </c>
      <c r="S119" s="449">
        <f>Otis!W33</f>
        <v>0</v>
      </c>
      <c r="T119" s="448">
        <f>Otis!X33</f>
        <v>0</v>
      </c>
      <c r="U119" s="449">
        <f>Otis!Y33</f>
        <v>0</v>
      </c>
      <c r="V119" s="449">
        <f>Otis!Z33</f>
        <v>0</v>
      </c>
      <c r="W119" s="449">
        <f>Otis!AA33</f>
        <v>0</v>
      </c>
      <c r="X119" s="449">
        <f>Otis!AB33</f>
        <v>50</v>
      </c>
      <c r="Y119" s="448">
        <f>Otis!AC33</f>
        <v>50</v>
      </c>
      <c r="Z119" s="449">
        <f>Otis!AD33</f>
        <v>0</v>
      </c>
      <c r="AA119" s="449">
        <f>Otis!AE33</f>
        <v>0</v>
      </c>
      <c r="AB119" s="449">
        <f>Otis!AF33</f>
        <v>0</v>
      </c>
      <c r="AC119" s="449">
        <f>Otis!AG33</f>
        <v>0</v>
      </c>
      <c r="AD119" s="448">
        <f>Otis!AH33</f>
        <v>0</v>
      </c>
      <c r="AE119" s="449">
        <f>Otis!AI33</f>
        <v>0</v>
      </c>
      <c r="AF119" s="449">
        <f>Otis!AJ33</f>
        <v>0</v>
      </c>
      <c r="AG119" s="449">
        <f>Otis!AK33</f>
        <v>0</v>
      </c>
      <c r="AH119" s="449">
        <f>Otis!AL33</f>
        <v>0</v>
      </c>
      <c r="AI119" s="448">
        <f>Otis!AM33</f>
        <v>0</v>
      </c>
      <c r="AJ119" s="449">
        <f>Otis!AN33</f>
        <v>0</v>
      </c>
      <c r="AK119" s="449">
        <f>Otis!AO33</f>
        <v>0</v>
      </c>
      <c r="AL119" s="449">
        <f>Otis!AP33</f>
        <v>0</v>
      </c>
      <c r="AM119" s="449">
        <f>Otis!AQ33</f>
        <v>0</v>
      </c>
      <c r="AN119" s="448">
        <f>Otis!AR33</f>
        <v>0</v>
      </c>
      <c r="AO119" s="449">
        <f>Otis!AS33</f>
        <v>84</v>
      </c>
      <c r="AP119" s="449">
        <f>Otis!AT33</f>
        <v>0</v>
      </c>
      <c r="AQ119" s="449">
        <f>Otis!AU33</f>
        <v>0</v>
      </c>
      <c r="AR119" s="449">
        <f>Otis!AV33</f>
        <v>26</v>
      </c>
      <c r="AS119" s="448">
        <f>Otis!AW33</f>
        <v>110</v>
      </c>
      <c r="AT119" s="449">
        <f>Otis!AX33</f>
        <v>0</v>
      </c>
      <c r="AU119" s="449">
        <f>Otis!AY33</f>
        <v>0</v>
      </c>
      <c r="AV119" s="449">
        <f>Otis!AZ33</f>
        <v>0</v>
      </c>
      <c r="AW119" s="449">
        <f>Otis!BA33</f>
        <v>0</v>
      </c>
      <c r="AX119" s="448">
        <f>Otis!BB33</f>
        <v>0</v>
      </c>
      <c r="AY119" s="449">
        <f>Otis!BC33</f>
        <v>0</v>
      </c>
      <c r="AZ119" s="449">
        <f>Otis!BD33</f>
        <v>52</v>
      </c>
      <c r="BA119" s="449">
        <f>Otis!BE33</f>
        <v>0</v>
      </c>
      <c r="BB119" s="449">
        <f>Otis!BF33</f>
        <v>0</v>
      </c>
      <c r="BC119" s="448">
        <f>Otis!BG33</f>
        <v>52</v>
      </c>
      <c r="BD119" s="449">
        <f>Otis!BH33</f>
        <v>0</v>
      </c>
      <c r="BE119" s="449">
        <f>Otis!BI33</f>
        <v>0</v>
      </c>
      <c r="BF119" s="449">
        <f>Otis!BJ33</f>
        <v>0</v>
      </c>
      <c r="BG119" s="449">
        <f>Otis!BK33</f>
        <v>0</v>
      </c>
      <c r="BH119" s="448">
        <f>Otis!BL33</f>
        <v>0</v>
      </c>
      <c r="BI119" s="449">
        <f>Otis!BM33</f>
        <v>0</v>
      </c>
      <c r="BJ119" s="449">
        <f>Otis!BN33</f>
        <v>0</v>
      </c>
      <c r="BK119" s="449">
        <f>Otis!BO33</f>
        <v>0</v>
      </c>
      <c r="BL119" s="449">
        <f>Otis!BP33</f>
        <v>0</v>
      </c>
      <c r="BM119" s="448">
        <f>Otis!BQ33</f>
        <v>0</v>
      </c>
      <c r="BN119" s="449">
        <f>Otis!BR33</f>
        <v>0</v>
      </c>
      <c r="BO119" s="449">
        <f>Otis!BS33</f>
        <v>0</v>
      </c>
      <c r="BP119" s="449">
        <f>Otis!BT33</f>
        <v>0</v>
      </c>
      <c r="BQ119" s="449">
        <f>Otis!BU33</f>
        <v>0</v>
      </c>
      <c r="BR119" s="448">
        <f>Otis!BV33</f>
        <v>0</v>
      </c>
      <c r="BS119" s="449">
        <f>Otis!BW33</f>
        <v>0</v>
      </c>
      <c r="BT119" s="449">
        <f>Otis!BX33</f>
        <v>0</v>
      </c>
      <c r="BU119" s="449">
        <f>Otis!BY33</f>
        <v>0</v>
      </c>
      <c r="BV119" s="449">
        <f>Otis!BZ33</f>
        <v>0</v>
      </c>
      <c r="BW119" s="448">
        <f>Otis!CA33</f>
        <v>0</v>
      </c>
      <c r="BX119" s="449">
        <f>Otis!CB33</f>
        <v>0</v>
      </c>
      <c r="BY119" s="449">
        <f>Otis!CC33</f>
        <v>0</v>
      </c>
      <c r="BZ119" s="449">
        <f>Otis!CD33</f>
        <v>0</v>
      </c>
      <c r="CA119" s="449">
        <f>Otis!CE33</f>
        <v>0</v>
      </c>
      <c r="CB119" s="448">
        <f>Otis!CF33</f>
        <v>0</v>
      </c>
      <c r="CC119" s="449">
        <f>Otis!CG33</f>
        <v>0</v>
      </c>
      <c r="CD119" s="449">
        <f>Otis!CH33</f>
        <v>0</v>
      </c>
      <c r="CE119" s="449">
        <f>Otis!CI33</f>
        <v>0</v>
      </c>
      <c r="CF119" s="449">
        <f>Otis!CJ33</f>
        <v>0</v>
      </c>
      <c r="CG119" s="448">
        <f>Otis!CK33</f>
        <v>0</v>
      </c>
      <c r="CH119" s="449">
        <f>Otis!CL33</f>
        <v>0</v>
      </c>
      <c r="CI119" s="449">
        <f>Otis!CM33</f>
        <v>0</v>
      </c>
      <c r="CJ119" s="449">
        <f>Otis!CN33</f>
        <v>0</v>
      </c>
      <c r="CK119" s="449">
        <f>Otis!CO33</f>
        <v>0</v>
      </c>
      <c r="CL119" s="448">
        <f>Otis!CP33</f>
        <v>0</v>
      </c>
      <c r="CM119" s="449">
        <f>Otis!CQ33</f>
        <v>0</v>
      </c>
      <c r="CN119" s="449">
        <f>Otis!CR33</f>
        <v>0</v>
      </c>
      <c r="CO119" s="449">
        <f>Otis!CS33</f>
        <v>0</v>
      </c>
      <c r="CP119" s="449">
        <f>Otis!CT33</f>
        <v>0</v>
      </c>
      <c r="CQ119" s="448">
        <f>Otis!CU33</f>
        <v>0</v>
      </c>
      <c r="CR119" s="449">
        <f>Otis!CV33</f>
        <v>0</v>
      </c>
      <c r="CS119" s="449">
        <f>Otis!CW33</f>
        <v>0</v>
      </c>
      <c r="CT119" s="449">
        <f>Otis!CX33</f>
        <v>0</v>
      </c>
      <c r="CU119" s="449">
        <f>Otis!CY33</f>
        <v>0</v>
      </c>
      <c r="CV119" s="448">
        <f>Otis!CZ33</f>
        <v>0</v>
      </c>
      <c r="CW119" s="448">
        <f>Otis!DA33</f>
        <v>0</v>
      </c>
      <c r="CX119" s="2233">
        <f>Otis!DB33</f>
        <v>0</v>
      </c>
      <c r="CY119" s="2233">
        <f>Otis!DC33</f>
        <v>0</v>
      </c>
      <c r="CZ119" s="268"/>
    </row>
    <row r="120" spans="1:104" ht="12" customHeight="1">
      <c r="A120" s="268"/>
      <c r="B120" s="268"/>
      <c r="C120" s="268" t="s">
        <v>310</v>
      </c>
      <c r="D120" s="261"/>
      <c r="E120" s="407"/>
      <c r="F120" s="449"/>
      <c r="G120" s="449"/>
      <c r="H120" s="449"/>
      <c r="I120" s="449"/>
      <c r="J120" s="448"/>
      <c r="K120" s="449"/>
      <c r="L120" s="449"/>
      <c r="M120" s="449"/>
      <c r="N120" s="449"/>
      <c r="O120" s="448"/>
      <c r="P120" s="449"/>
      <c r="Q120" s="449"/>
      <c r="R120" s="449"/>
      <c r="S120" s="449"/>
      <c r="T120" s="448"/>
      <c r="U120" s="449"/>
      <c r="V120" s="449"/>
      <c r="W120" s="449"/>
      <c r="X120" s="449"/>
      <c r="Y120" s="448"/>
      <c r="Z120" s="449"/>
      <c r="AA120" s="449"/>
      <c r="AB120" s="449"/>
      <c r="AC120" s="449"/>
      <c r="AD120" s="448"/>
      <c r="AE120" s="449"/>
      <c r="AF120" s="449"/>
      <c r="AG120" s="449"/>
      <c r="AH120" s="449"/>
      <c r="AI120" s="448"/>
      <c r="AJ120" s="449"/>
      <c r="AK120" s="449"/>
      <c r="AL120" s="449"/>
      <c r="AM120" s="449"/>
      <c r="AN120" s="448"/>
      <c r="AO120" s="449"/>
      <c r="AP120" s="449"/>
      <c r="AQ120" s="449"/>
      <c r="AR120" s="449"/>
      <c r="AS120" s="448"/>
      <c r="AT120" s="449"/>
      <c r="AU120" s="449"/>
      <c r="AV120" s="449"/>
      <c r="AW120" s="449"/>
      <c r="AX120" s="448"/>
      <c r="AY120" s="449"/>
      <c r="AZ120" s="449"/>
      <c r="BA120" s="449"/>
      <c r="BB120" s="449"/>
      <c r="BC120" s="448"/>
      <c r="BD120" s="449"/>
      <c r="BE120" s="449"/>
      <c r="BF120" s="449"/>
      <c r="BG120" s="449"/>
      <c r="BH120" s="448"/>
      <c r="BI120" s="449">
        <f>CCS!BI33</f>
        <v>0</v>
      </c>
      <c r="BJ120" s="449">
        <f>CCS!BJ33</f>
        <v>0</v>
      </c>
      <c r="BK120" s="449">
        <f>CCS!BK33</f>
        <v>8</v>
      </c>
      <c r="BL120" s="449">
        <f>CCS!BL33</f>
        <v>35</v>
      </c>
      <c r="BM120" s="448">
        <f>CCS!BM33</f>
        <v>43</v>
      </c>
      <c r="BN120" s="449">
        <f>CCS!BN33</f>
        <v>112</v>
      </c>
      <c r="BO120" s="449">
        <f>CCS!BO33</f>
        <v>110</v>
      </c>
      <c r="BP120" s="449">
        <f>CCS!BP33</f>
        <v>0</v>
      </c>
      <c r="BQ120" s="449">
        <f>CCS!BQ33</f>
        <v>-65</v>
      </c>
      <c r="BR120" s="448">
        <f>CCS!BR33</f>
        <v>157</v>
      </c>
      <c r="BS120" s="449">
        <f>CCS!BS33</f>
        <v>38</v>
      </c>
      <c r="BT120" s="449">
        <f>CCS!BT33</f>
        <v>0</v>
      </c>
      <c r="BU120" s="449">
        <f>CCS!BU33</f>
        <v>0</v>
      </c>
      <c r="BV120" s="449">
        <f>CCS!BV33</f>
        <v>17</v>
      </c>
      <c r="BW120" s="448">
        <f>CCS!BW33</f>
        <v>55</v>
      </c>
      <c r="BX120" s="449">
        <f>CCS!BX33</f>
        <v>0</v>
      </c>
      <c r="BY120" s="449">
        <f>CCS!BY33</f>
        <v>0</v>
      </c>
      <c r="BZ120" s="449">
        <f>CCS!BZ33</f>
        <v>30</v>
      </c>
      <c r="CA120" s="449">
        <f>CCS!CA33</f>
        <v>0</v>
      </c>
      <c r="CB120" s="448">
        <f>CCS!CB33</f>
        <v>30</v>
      </c>
      <c r="CC120" s="449">
        <f>CCS!CC33</f>
        <v>126</v>
      </c>
      <c r="CD120" s="449">
        <f>CCS!CD33</f>
        <v>0</v>
      </c>
      <c r="CE120" s="449">
        <f>CCS!CE33</f>
        <v>0</v>
      </c>
      <c r="CF120" s="449">
        <f>CCS!CF33</f>
        <v>-5</v>
      </c>
      <c r="CG120" s="448">
        <f>SUM(CC120:CF120)</f>
        <v>121</v>
      </c>
      <c r="CH120" s="449">
        <f>CCS!CH33</f>
        <v>0</v>
      </c>
      <c r="CI120" s="449">
        <f>CCS!CI33</f>
        <v>-12</v>
      </c>
      <c r="CJ120" s="449">
        <f>CCS!CJ33</f>
        <v>-11</v>
      </c>
      <c r="CK120" s="449">
        <f>CCS!CK33</f>
        <v>-9</v>
      </c>
      <c r="CL120" s="448">
        <f>CCS!CL33</f>
        <v>-32</v>
      </c>
      <c r="CM120" s="449">
        <f>CCS!CM33</f>
        <v>379</v>
      </c>
      <c r="CN120" s="449">
        <f>CCS!CN33</f>
        <v>0</v>
      </c>
      <c r="CO120" s="449">
        <f>CCS!CO33</f>
        <v>0</v>
      </c>
      <c r="CP120" s="449">
        <f>CCS!CP33</f>
        <v>0</v>
      </c>
      <c r="CQ120" s="448">
        <f>CCS!CQ33</f>
        <v>379</v>
      </c>
      <c r="CR120" s="449">
        <f>CCS!CR33</f>
        <v>0</v>
      </c>
      <c r="CS120" s="449">
        <f>CCS!CS33</f>
        <v>0</v>
      </c>
      <c r="CT120" s="449">
        <f>CCS!CT33</f>
        <v>0</v>
      </c>
      <c r="CU120" s="449">
        <f>CCS!CU33</f>
        <v>0</v>
      </c>
      <c r="CV120" s="448">
        <f>CCS!CV33</f>
        <v>0</v>
      </c>
      <c r="CW120" s="448">
        <f>CCS!CW33</f>
        <v>0</v>
      </c>
      <c r="CX120" s="2233">
        <f>CCS!CX33</f>
        <v>0</v>
      </c>
      <c r="CY120" s="2233">
        <f>CCS!CY33</f>
        <v>0</v>
      </c>
      <c r="CZ120" s="268"/>
    </row>
    <row r="121" spans="1:104" ht="12" hidden="1" customHeight="1" outlineLevel="1">
      <c r="A121" s="268"/>
      <c r="B121" s="268"/>
      <c r="C121" s="268" t="str">
        <f>C134</f>
        <v>Carrier</v>
      </c>
      <c r="D121" s="261"/>
      <c r="E121" s="407"/>
      <c r="F121" s="449">
        <v>0</v>
      </c>
      <c r="G121" s="449">
        <v>0</v>
      </c>
      <c r="H121" s="449">
        <v>0</v>
      </c>
      <c r="I121" s="449">
        <v>0</v>
      </c>
      <c r="J121" s="448">
        <v>0</v>
      </c>
      <c r="K121" s="449">
        <v>0</v>
      </c>
      <c r="L121" s="449">
        <v>0</v>
      </c>
      <c r="M121" s="449">
        <v>0</v>
      </c>
      <c r="N121" s="449">
        <v>0</v>
      </c>
      <c r="O121" s="448">
        <v>0</v>
      </c>
      <c r="P121" s="449">
        <v>0</v>
      </c>
      <c r="Q121" s="449">
        <v>0</v>
      </c>
      <c r="R121" s="449">
        <v>0</v>
      </c>
      <c r="S121" s="449">
        <v>0</v>
      </c>
      <c r="T121" s="448">
        <v>0</v>
      </c>
      <c r="U121" s="449">
        <v>0</v>
      </c>
      <c r="V121" s="449">
        <v>0</v>
      </c>
      <c r="W121" s="449">
        <v>0</v>
      </c>
      <c r="X121" s="449">
        <v>0</v>
      </c>
      <c r="Y121" s="448">
        <v>0</v>
      </c>
      <c r="Z121" s="449">
        <v>0</v>
      </c>
      <c r="AA121" s="449">
        <v>0</v>
      </c>
      <c r="AB121" s="449">
        <v>0</v>
      </c>
      <c r="AC121" s="449">
        <v>0</v>
      </c>
      <c r="AD121" s="448">
        <v>0</v>
      </c>
      <c r="AE121" s="449">
        <v>0</v>
      </c>
      <c r="AF121" s="449">
        <v>0</v>
      </c>
      <c r="AG121" s="449">
        <v>0</v>
      </c>
      <c r="AH121" s="449">
        <v>0</v>
      </c>
      <c r="AI121" s="448">
        <v>0</v>
      </c>
      <c r="AJ121" s="449">
        <v>0</v>
      </c>
      <c r="AK121" s="449">
        <v>0</v>
      </c>
      <c r="AL121" s="449">
        <v>60</v>
      </c>
      <c r="AM121" s="449">
        <v>0</v>
      </c>
      <c r="AN121" s="448">
        <v>60</v>
      </c>
      <c r="AO121" s="449">
        <v>0</v>
      </c>
      <c r="AP121" s="449">
        <v>0</v>
      </c>
      <c r="AQ121" s="449">
        <v>0</v>
      </c>
      <c r="AR121" s="449">
        <v>21</v>
      </c>
      <c r="AS121" s="448">
        <v>21</v>
      </c>
      <c r="AT121" s="449">
        <v>0</v>
      </c>
      <c r="AU121" s="449">
        <v>0</v>
      </c>
      <c r="AV121" s="449">
        <v>0</v>
      </c>
      <c r="AW121" s="449">
        <v>67</v>
      </c>
      <c r="AX121" s="448">
        <v>67</v>
      </c>
      <c r="AY121" s="449">
        <v>0</v>
      </c>
      <c r="AZ121" s="449">
        <v>0</v>
      </c>
      <c r="BA121" s="449">
        <v>57</v>
      </c>
      <c r="BB121" s="449">
        <v>27</v>
      </c>
      <c r="BC121" s="448">
        <v>84</v>
      </c>
      <c r="BD121" s="449">
        <v>0</v>
      </c>
      <c r="BE121" s="449">
        <v>-47</v>
      </c>
      <c r="BF121" s="449">
        <v>24</v>
      </c>
      <c r="BG121" s="449">
        <v>18</v>
      </c>
      <c r="BH121" s="448">
        <v>-5</v>
      </c>
      <c r="BI121" s="449">
        <v>0</v>
      </c>
      <c r="BJ121" s="449">
        <v>0</v>
      </c>
      <c r="BK121" s="449">
        <v>28</v>
      </c>
      <c r="BL121" s="449">
        <v>81</v>
      </c>
      <c r="BM121" s="448">
        <v>109</v>
      </c>
      <c r="BN121" s="449"/>
      <c r="BO121" s="449"/>
      <c r="BP121" s="449"/>
      <c r="BQ121" s="449"/>
      <c r="BR121" s="448">
        <v>0</v>
      </c>
      <c r="BS121" s="449"/>
      <c r="BT121" s="449"/>
      <c r="BU121" s="449"/>
      <c r="BV121" s="449"/>
      <c r="BW121" s="448">
        <v>0</v>
      </c>
      <c r="BX121" s="449"/>
      <c r="BY121" s="449"/>
      <c r="BZ121" s="449"/>
      <c r="CA121" s="449"/>
      <c r="CB121" s="448">
        <v>0</v>
      </c>
      <c r="CC121" s="449"/>
      <c r="CD121" s="449"/>
      <c r="CE121" s="449"/>
      <c r="CF121" s="449"/>
      <c r="CG121" s="448">
        <v>0</v>
      </c>
      <c r="CH121" s="449"/>
      <c r="CI121" s="449"/>
      <c r="CJ121" s="449"/>
      <c r="CK121" s="449"/>
      <c r="CL121" s="448">
        <v>0</v>
      </c>
      <c r="CM121" s="449"/>
      <c r="CN121" s="449"/>
      <c r="CO121" s="449"/>
      <c r="CP121" s="449"/>
      <c r="CQ121" s="448">
        <v>0</v>
      </c>
      <c r="CR121" s="449"/>
      <c r="CS121" s="449"/>
      <c r="CT121" s="449"/>
      <c r="CU121" s="449"/>
      <c r="CV121" s="448">
        <v>0</v>
      </c>
      <c r="CW121" s="448">
        <v>0</v>
      </c>
      <c r="CX121" s="2233">
        <v>0</v>
      </c>
      <c r="CY121" s="2233">
        <v>0</v>
      </c>
      <c r="CZ121" s="268"/>
    </row>
    <row r="122" spans="1:104" ht="12" hidden="1" customHeight="1" outlineLevel="1">
      <c r="A122" s="268"/>
      <c r="B122" s="268"/>
      <c r="C122" s="268" t="str">
        <f>C135</f>
        <v>Fire &amp; Security</v>
      </c>
      <c r="D122" s="261"/>
      <c r="E122" s="407"/>
      <c r="F122" s="449"/>
      <c r="G122" s="449"/>
      <c r="H122" s="449"/>
      <c r="I122" s="449"/>
      <c r="J122" s="448">
        <v>0</v>
      </c>
      <c r="K122" s="449"/>
      <c r="L122" s="449"/>
      <c r="M122" s="449"/>
      <c r="N122" s="449"/>
      <c r="O122" s="448">
        <v>0</v>
      </c>
      <c r="P122" s="449"/>
      <c r="Q122" s="449"/>
      <c r="R122" s="449"/>
      <c r="S122" s="449"/>
      <c r="T122" s="448">
        <v>0</v>
      </c>
      <c r="U122" s="449"/>
      <c r="V122" s="449"/>
      <c r="W122" s="449"/>
      <c r="X122" s="449"/>
      <c r="Y122" s="448">
        <v>0</v>
      </c>
      <c r="Z122" s="449">
        <v>0</v>
      </c>
      <c r="AA122" s="449">
        <v>0</v>
      </c>
      <c r="AB122" s="449">
        <v>0</v>
      </c>
      <c r="AC122" s="449">
        <v>0</v>
      </c>
      <c r="AD122" s="448">
        <v>0</v>
      </c>
      <c r="AE122" s="449">
        <v>0</v>
      </c>
      <c r="AF122" s="449">
        <v>0</v>
      </c>
      <c r="AG122" s="449">
        <v>0</v>
      </c>
      <c r="AH122" s="449">
        <v>0</v>
      </c>
      <c r="AI122" s="448">
        <v>0</v>
      </c>
      <c r="AJ122" s="449">
        <v>0</v>
      </c>
      <c r="AK122" s="449">
        <v>0</v>
      </c>
      <c r="AL122" s="449">
        <v>0</v>
      </c>
      <c r="AM122" s="449">
        <v>0</v>
      </c>
      <c r="AN122" s="448">
        <v>0</v>
      </c>
      <c r="AO122" s="449">
        <v>0</v>
      </c>
      <c r="AP122" s="449">
        <v>0</v>
      </c>
      <c r="AQ122" s="449">
        <v>0</v>
      </c>
      <c r="AR122" s="449">
        <v>0</v>
      </c>
      <c r="AS122" s="448">
        <v>0</v>
      </c>
      <c r="AT122" s="449">
        <v>0</v>
      </c>
      <c r="AU122" s="449">
        <v>0</v>
      </c>
      <c r="AV122" s="449">
        <v>0</v>
      </c>
      <c r="AW122" s="449">
        <v>0</v>
      </c>
      <c r="AX122" s="448">
        <v>0</v>
      </c>
      <c r="AY122" s="449">
        <v>0</v>
      </c>
      <c r="AZ122" s="449">
        <v>0</v>
      </c>
      <c r="BA122" s="449">
        <v>0</v>
      </c>
      <c r="BB122" s="449">
        <v>0</v>
      </c>
      <c r="BC122" s="448">
        <v>0</v>
      </c>
      <c r="BD122" s="449">
        <v>0</v>
      </c>
      <c r="BE122" s="449">
        <v>0</v>
      </c>
      <c r="BF122" s="449">
        <v>0</v>
      </c>
      <c r="BG122" s="449">
        <v>0</v>
      </c>
      <c r="BH122" s="448">
        <v>0</v>
      </c>
      <c r="BI122" s="449">
        <v>0</v>
      </c>
      <c r="BJ122" s="449">
        <v>0</v>
      </c>
      <c r="BK122" s="449">
        <v>-20</v>
      </c>
      <c r="BL122" s="449">
        <v>-46</v>
      </c>
      <c r="BM122" s="448">
        <v>-66</v>
      </c>
      <c r="BN122" s="449"/>
      <c r="BO122" s="449"/>
      <c r="BP122" s="449"/>
      <c r="BQ122" s="449"/>
      <c r="BR122" s="448">
        <v>0</v>
      </c>
      <c r="BS122" s="449"/>
      <c r="BT122" s="449"/>
      <c r="BU122" s="449"/>
      <c r="BV122" s="449"/>
      <c r="BW122" s="448">
        <v>0</v>
      </c>
      <c r="BX122" s="449"/>
      <c r="BY122" s="449"/>
      <c r="BZ122" s="449"/>
      <c r="CA122" s="449"/>
      <c r="CB122" s="448">
        <v>0</v>
      </c>
      <c r="CC122" s="449"/>
      <c r="CD122" s="449"/>
      <c r="CE122" s="449"/>
      <c r="CF122" s="449"/>
      <c r="CG122" s="448">
        <v>0</v>
      </c>
      <c r="CH122" s="449"/>
      <c r="CI122" s="449"/>
      <c r="CJ122" s="449"/>
      <c r="CK122" s="449"/>
      <c r="CL122" s="448">
        <v>0</v>
      </c>
      <c r="CM122" s="449"/>
      <c r="CN122" s="449"/>
      <c r="CO122" s="449"/>
      <c r="CP122" s="449"/>
      <c r="CQ122" s="448">
        <v>0</v>
      </c>
      <c r="CR122" s="449"/>
      <c r="CS122" s="449"/>
      <c r="CT122" s="449"/>
      <c r="CU122" s="449"/>
      <c r="CV122" s="448">
        <v>0</v>
      </c>
      <c r="CW122" s="448">
        <v>0</v>
      </c>
      <c r="CX122" s="2233">
        <v>0</v>
      </c>
      <c r="CY122" s="2233">
        <v>0</v>
      </c>
      <c r="CZ122" s="268"/>
    </row>
    <row r="123" spans="1:104" ht="12" customHeight="1" collapsed="1">
      <c r="A123" s="268"/>
      <c r="B123" s="268"/>
      <c r="C123" s="268" t="str">
        <f>C136</f>
        <v>Pratt &amp; Whitney</v>
      </c>
      <c r="D123" s="261"/>
      <c r="E123" s="407"/>
      <c r="F123" s="449">
        <f>Pratt!J33</f>
        <v>0</v>
      </c>
      <c r="G123" s="449">
        <f>Pratt!K33</f>
        <v>0</v>
      </c>
      <c r="H123" s="449">
        <f>Pratt!L33</f>
        <v>0</v>
      </c>
      <c r="I123" s="449">
        <f>Pratt!M33</f>
        <v>0</v>
      </c>
      <c r="J123" s="448">
        <f>Pratt!N33</f>
        <v>0</v>
      </c>
      <c r="K123" s="449">
        <f>Pratt!O33</f>
        <v>0</v>
      </c>
      <c r="L123" s="449">
        <f>Pratt!P33</f>
        <v>0</v>
      </c>
      <c r="M123" s="449">
        <f>Pratt!Q33</f>
        <v>0</v>
      </c>
      <c r="N123" s="449">
        <f>Pratt!R33</f>
        <v>0</v>
      </c>
      <c r="O123" s="448">
        <f>Pratt!S33</f>
        <v>0</v>
      </c>
      <c r="P123" s="449">
        <f>Pratt!T33</f>
        <v>0</v>
      </c>
      <c r="Q123" s="449">
        <f>Pratt!U33</f>
        <v>0</v>
      </c>
      <c r="R123" s="449">
        <f>Pratt!V33</f>
        <v>0</v>
      </c>
      <c r="S123" s="449">
        <f>Pratt!W33</f>
        <v>0</v>
      </c>
      <c r="T123" s="448">
        <f>Pratt!X33</f>
        <v>0</v>
      </c>
      <c r="U123" s="449">
        <f>Pratt!Y33</f>
        <v>0</v>
      </c>
      <c r="V123" s="449">
        <f>Pratt!Z33</f>
        <v>0</v>
      </c>
      <c r="W123" s="449">
        <f>Pratt!AA33</f>
        <v>0</v>
      </c>
      <c r="X123" s="449">
        <f>Pratt!AB33</f>
        <v>0</v>
      </c>
      <c r="Y123" s="448">
        <f>Pratt!AC33</f>
        <v>0</v>
      </c>
      <c r="Z123" s="449">
        <f>Pratt!AD33</f>
        <v>0</v>
      </c>
      <c r="AA123" s="449">
        <f>Pratt!AE33</f>
        <v>0</v>
      </c>
      <c r="AB123" s="449">
        <f>Pratt!AF33</f>
        <v>0</v>
      </c>
      <c r="AC123" s="449">
        <f>Pratt!AG33</f>
        <v>0</v>
      </c>
      <c r="AD123" s="448">
        <f>Pratt!AH33</f>
        <v>0</v>
      </c>
      <c r="AE123" s="449">
        <f>Pratt!AI33</f>
        <v>0</v>
      </c>
      <c r="AF123" s="449">
        <f>Pratt!AJ33</f>
        <v>0</v>
      </c>
      <c r="AG123" s="449">
        <f>Pratt!AK33</f>
        <v>0</v>
      </c>
      <c r="AH123" s="449">
        <f>Pratt!AL33</f>
        <v>0</v>
      </c>
      <c r="AI123" s="448">
        <f>Pratt!AM33</f>
        <v>0</v>
      </c>
      <c r="AJ123" s="449">
        <f>Pratt!AN33</f>
        <v>25</v>
      </c>
      <c r="AK123" s="449">
        <f>Pratt!AO33</f>
        <v>80</v>
      </c>
      <c r="AL123" s="449">
        <f>Pratt!AP33</f>
        <v>0</v>
      </c>
      <c r="AM123" s="449">
        <f>Pratt!AQ33</f>
        <v>0</v>
      </c>
      <c r="AN123" s="448">
        <f>Pratt!AR33</f>
        <v>105</v>
      </c>
      <c r="AO123" s="449">
        <f>Pratt!AS33</f>
        <v>40</v>
      </c>
      <c r="AP123" s="449">
        <f>Pratt!AT33</f>
        <v>0</v>
      </c>
      <c r="AQ123" s="449">
        <f>Pratt!AU33</f>
        <v>0</v>
      </c>
      <c r="AR123" s="449">
        <f>Pratt!AV33</f>
        <v>0</v>
      </c>
      <c r="AS123" s="448">
        <f>Pratt!AW33</f>
        <v>40</v>
      </c>
      <c r="AT123" s="449">
        <f>Pratt!AX33</f>
        <v>0</v>
      </c>
      <c r="AU123" s="449">
        <f>Pratt!AY33</f>
        <v>0</v>
      </c>
      <c r="AV123" s="449">
        <f>Pratt!AZ33</f>
        <v>37</v>
      </c>
      <c r="AW123" s="449">
        <f>Pratt!BA33</f>
        <v>0</v>
      </c>
      <c r="AX123" s="448">
        <f>Pratt!BB33</f>
        <v>37</v>
      </c>
      <c r="AY123" s="449">
        <f>Pratt!BC33</f>
        <v>0</v>
      </c>
      <c r="AZ123" s="449">
        <f>Pratt!BD33</f>
        <v>0</v>
      </c>
      <c r="BA123" s="449">
        <f>Pratt!BE33</f>
        <v>0</v>
      </c>
      <c r="BB123" s="449">
        <f>Pratt!BF33</f>
        <v>0</v>
      </c>
      <c r="BC123" s="448">
        <f>Pratt!BG33</f>
        <v>0</v>
      </c>
      <c r="BD123" s="449">
        <f>Pratt!BH33</f>
        <v>0</v>
      </c>
      <c r="BE123" s="449">
        <f>Pratt!BI33</f>
        <v>0</v>
      </c>
      <c r="BF123" s="449">
        <f>Pratt!BJ33</f>
        <v>0</v>
      </c>
      <c r="BG123" s="449">
        <f>Pratt!BK33</f>
        <v>0</v>
      </c>
      <c r="BH123" s="448">
        <f>Pratt!BL33</f>
        <v>0</v>
      </c>
      <c r="BI123" s="449">
        <f>Pratt!BM33</f>
        <v>0</v>
      </c>
      <c r="BJ123" s="449">
        <f>Pratt!BN33</f>
        <v>0</v>
      </c>
      <c r="BK123" s="449">
        <f>Pratt!BO33</f>
        <v>41</v>
      </c>
      <c r="BL123" s="449">
        <f>Pratt!BP33</f>
        <v>0</v>
      </c>
      <c r="BM123" s="448">
        <f>Pratt!BQ33</f>
        <v>41</v>
      </c>
      <c r="BN123" s="449">
        <f>Pratt!BR33</f>
        <v>0</v>
      </c>
      <c r="BO123" s="449">
        <f>Pratt!BS33</f>
        <v>0</v>
      </c>
      <c r="BP123" s="449">
        <f>Pratt!BT33</f>
        <v>0</v>
      </c>
      <c r="BQ123" s="449">
        <f>Pratt!BU33</f>
        <v>0</v>
      </c>
      <c r="BR123" s="448">
        <f>Pratt!BV33</f>
        <v>0</v>
      </c>
      <c r="BS123" s="449">
        <f>Pratt!BW33</f>
        <v>0</v>
      </c>
      <c r="BT123" s="449">
        <f>Pratt!BX33</f>
        <v>193</v>
      </c>
      <c r="BU123" s="449">
        <f>Pratt!BY33</f>
        <v>-25</v>
      </c>
      <c r="BV123" s="449">
        <f>Pratt!BZ33</f>
        <v>0</v>
      </c>
      <c r="BW123" s="448">
        <f>Pratt!CA33</f>
        <v>168</v>
      </c>
      <c r="BX123" s="449">
        <f>Pratt!CB33</f>
        <v>0</v>
      </c>
      <c r="BY123" s="449">
        <f>Pratt!CC33</f>
        <v>-82</v>
      </c>
      <c r="BZ123" s="449">
        <f>Pratt!CD33</f>
        <v>83</v>
      </c>
      <c r="CA123" s="449">
        <f>Pratt!CE33</f>
        <v>0</v>
      </c>
      <c r="CB123" s="448">
        <f>Pratt!CF33</f>
        <v>1</v>
      </c>
      <c r="CC123" s="449">
        <f>Pratt!CG33</f>
        <v>0</v>
      </c>
      <c r="CD123" s="449">
        <f>Pratt!CH33</f>
        <v>0</v>
      </c>
      <c r="CE123" s="449">
        <f>Pratt!CI33</f>
        <v>0</v>
      </c>
      <c r="CF123" s="449">
        <f>Pratt!CJ33</f>
        <v>-947</v>
      </c>
      <c r="CG123" s="448">
        <f>Pratt!CK33</f>
        <v>-947</v>
      </c>
      <c r="CH123" s="449">
        <f>Pratt!CL33</f>
        <v>0</v>
      </c>
      <c r="CI123" s="449">
        <f>Pratt!CM33</f>
        <v>0</v>
      </c>
      <c r="CJ123" s="449">
        <f>Pratt!CN33</f>
        <v>-95</v>
      </c>
      <c r="CK123" s="449">
        <f>Pratt!CO33</f>
        <v>0</v>
      </c>
      <c r="CL123" s="448">
        <f>Pratt!CP33</f>
        <v>-95</v>
      </c>
      <c r="CM123" s="449">
        <f>Pratt!CQ33</f>
        <v>0</v>
      </c>
      <c r="CN123" s="449">
        <f>Pratt!CR33</f>
        <v>0</v>
      </c>
      <c r="CO123" s="449">
        <f>Pratt!CS33</f>
        <v>-196</v>
      </c>
      <c r="CP123" s="449">
        <f>Pratt!CT33</f>
        <v>0</v>
      </c>
      <c r="CQ123" s="448">
        <f>Pratt!CU33</f>
        <v>-196</v>
      </c>
      <c r="CR123" s="449">
        <f>Pratt!CV33</f>
        <v>0</v>
      </c>
      <c r="CS123" s="449">
        <f>Pratt!CW33</f>
        <v>0</v>
      </c>
      <c r="CT123" s="449">
        <f>Pratt!CX33</f>
        <v>0</v>
      </c>
      <c r="CU123" s="449">
        <f>Pratt!CY33</f>
        <v>0</v>
      </c>
      <c r="CV123" s="448">
        <f>Pratt!CZ33</f>
        <v>0</v>
      </c>
      <c r="CW123" s="448">
        <f>Pratt!DA33</f>
        <v>0</v>
      </c>
      <c r="CX123" s="2233">
        <f>Pratt!DB33</f>
        <v>0</v>
      </c>
      <c r="CY123" s="2233">
        <f>Pratt!DC33</f>
        <v>0</v>
      </c>
      <c r="CZ123" s="268"/>
    </row>
    <row r="124" spans="1:104" ht="12" hidden="1" customHeight="1" outlineLevel="1">
      <c r="A124" s="268"/>
      <c r="B124" s="268"/>
      <c r="C124" s="268" t="str">
        <f>C137</f>
        <v>Flight System</v>
      </c>
      <c r="D124" s="261"/>
      <c r="E124" s="407"/>
      <c r="F124" s="449"/>
      <c r="G124" s="449"/>
      <c r="H124" s="449"/>
      <c r="I124" s="449"/>
      <c r="J124" s="448"/>
      <c r="K124" s="449"/>
      <c r="L124" s="449"/>
      <c r="M124" s="449"/>
      <c r="N124" s="449"/>
      <c r="O124" s="448"/>
      <c r="P124" s="449"/>
      <c r="Q124" s="449"/>
      <c r="R124" s="449"/>
      <c r="S124" s="449"/>
      <c r="T124" s="448"/>
      <c r="U124" s="449"/>
      <c r="V124" s="449"/>
      <c r="W124" s="449"/>
      <c r="X124" s="449"/>
      <c r="Y124" s="448"/>
      <c r="Z124" s="449"/>
      <c r="AA124" s="449"/>
      <c r="AB124" s="449"/>
      <c r="AC124" s="449"/>
      <c r="AD124" s="448"/>
      <c r="AE124" s="449"/>
      <c r="AF124" s="449"/>
      <c r="AG124" s="449"/>
      <c r="AH124" s="449"/>
      <c r="AI124" s="448"/>
      <c r="AJ124" s="449"/>
      <c r="AK124" s="449"/>
      <c r="AL124" s="449"/>
      <c r="AM124" s="449"/>
      <c r="AN124" s="448"/>
      <c r="AO124" s="449"/>
      <c r="AP124" s="449"/>
      <c r="AQ124" s="449"/>
      <c r="AR124" s="449"/>
      <c r="AS124" s="448"/>
      <c r="AT124" s="449"/>
      <c r="AU124" s="449"/>
      <c r="AV124" s="449"/>
      <c r="AW124" s="449"/>
      <c r="AX124" s="448"/>
      <c r="AY124" s="449"/>
      <c r="AZ124" s="449"/>
      <c r="BA124" s="449"/>
      <c r="BB124" s="449"/>
      <c r="BC124" s="448"/>
      <c r="BD124" s="449"/>
      <c r="BE124" s="449"/>
      <c r="BF124" s="449"/>
      <c r="BG124" s="449"/>
      <c r="BH124" s="448"/>
      <c r="BI124" s="449"/>
      <c r="BJ124" s="449"/>
      <c r="BK124" s="449"/>
      <c r="BL124" s="449"/>
      <c r="BM124" s="448"/>
      <c r="BN124" s="449"/>
      <c r="BO124" s="449"/>
      <c r="BP124" s="449"/>
      <c r="BQ124" s="449"/>
      <c r="BR124" s="448"/>
      <c r="BS124" s="449"/>
      <c r="BT124" s="449"/>
      <c r="BU124" s="449"/>
      <c r="BV124" s="449"/>
      <c r="BW124" s="448"/>
      <c r="BX124" s="449"/>
      <c r="BY124" s="449"/>
      <c r="BZ124" s="449"/>
      <c r="CA124" s="449"/>
      <c r="CB124" s="448"/>
      <c r="CC124" s="449"/>
      <c r="CD124" s="449"/>
      <c r="CE124" s="449"/>
      <c r="CF124" s="449"/>
      <c r="CG124" s="448"/>
      <c r="CH124" s="449"/>
      <c r="CI124" s="449"/>
      <c r="CJ124" s="449"/>
      <c r="CK124" s="449"/>
      <c r="CL124" s="448"/>
      <c r="CM124" s="449"/>
      <c r="CN124" s="449"/>
      <c r="CO124" s="449"/>
      <c r="CP124" s="449"/>
      <c r="CQ124" s="448"/>
      <c r="CR124" s="449"/>
      <c r="CS124" s="449"/>
      <c r="CT124" s="449"/>
      <c r="CU124" s="449"/>
      <c r="CV124" s="448"/>
      <c r="CW124" s="448"/>
      <c r="CX124" s="2233"/>
      <c r="CY124" s="2233"/>
      <c r="CZ124" s="268"/>
    </row>
    <row r="125" spans="1:104" ht="12" customHeight="1" collapsed="1">
      <c r="A125" s="268"/>
      <c r="B125" s="268"/>
      <c r="C125" s="268" t="s">
        <v>164</v>
      </c>
      <c r="D125" s="261"/>
      <c r="E125" s="407"/>
      <c r="F125" s="449"/>
      <c r="G125" s="449"/>
      <c r="H125" s="449"/>
      <c r="I125" s="449"/>
      <c r="J125" s="448"/>
      <c r="K125" s="449"/>
      <c r="L125" s="449"/>
      <c r="M125" s="449"/>
      <c r="N125" s="449"/>
      <c r="O125" s="448"/>
      <c r="P125" s="449"/>
      <c r="Q125" s="449"/>
      <c r="R125" s="449"/>
      <c r="S125" s="449"/>
      <c r="T125" s="448"/>
      <c r="U125" s="449"/>
      <c r="V125" s="449"/>
      <c r="W125" s="449"/>
      <c r="X125" s="449"/>
      <c r="Y125" s="448"/>
      <c r="Z125" s="449"/>
      <c r="AA125" s="449"/>
      <c r="AB125" s="449"/>
      <c r="AC125" s="449"/>
      <c r="AD125" s="448"/>
      <c r="AE125" s="449"/>
      <c r="AF125" s="449"/>
      <c r="AG125" s="449"/>
      <c r="AH125" s="449"/>
      <c r="AI125" s="448"/>
      <c r="AJ125" s="449"/>
      <c r="AK125" s="449"/>
      <c r="AL125" s="449"/>
      <c r="AM125" s="449"/>
      <c r="AN125" s="448"/>
      <c r="AO125" s="449"/>
      <c r="AP125" s="449"/>
      <c r="AQ125" s="449"/>
      <c r="AR125" s="449"/>
      <c r="AS125" s="448"/>
      <c r="AT125" s="449"/>
      <c r="AU125" s="449"/>
      <c r="AV125" s="449"/>
      <c r="AW125" s="449"/>
      <c r="AX125" s="448"/>
      <c r="AY125" s="449"/>
      <c r="AZ125" s="449"/>
      <c r="BA125" s="449"/>
      <c r="BB125" s="449"/>
      <c r="BC125" s="448"/>
      <c r="BD125" s="449"/>
      <c r="BE125" s="449"/>
      <c r="BF125" s="449"/>
      <c r="BG125" s="449"/>
      <c r="BH125" s="448"/>
      <c r="BI125" s="449">
        <f>'Aerospace Systems'!O33</f>
        <v>0</v>
      </c>
      <c r="BJ125" s="449">
        <f>'Aerospace Systems'!P33</f>
        <v>0</v>
      </c>
      <c r="BK125" s="449">
        <f>'Aerospace Systems'!Q33</f>
        <v>0</v>
      </c>
      <c r="BL125" s="449">
        <f>'Aerospace Systems'!R33</f>
        <v>0</v>
      </c>
      <c r="BM125" s="448">
        <f>'Aerospace Systems'!S33</f>
        <v>0</v>
      </c>
      <c r="BN125" s="449">
        <f>'Aerospace Systems'!T33</f>
        <v>0</v>
      </c>
      <c r="BO125" s="449">
        <f>'Aerospace Systems'!U33</f>
        <v>0</v>
      </c>
      <c r="BP125" s="449">
        <f>'Aerospace Systems'!V33</f>
        <v>0</v>
      </c>
      <c r="BQ125" s="449">
        <f>'Aerospace Systems'!W33</f>
        <v>0</v>
      </c>
      <c r="BR125" s="448">
        <f>'Aerospace Systems'!X33</f>
        <v>0</v>
      </c>
      <c r="BS125" s="449">
        <f>'Aerospace Systems'!Y33</f>
        <v>0</v>
      </c>
      <c r="BT125" s="449">
        <f>'Aerospace Systems'!Z33</f>
        <v>0</v>
      </c>
      <c r="BU125" s="449">
        <f>'Aerospace Systems'!AA33</f>
        <v>0</v>
      </c>
      <c r="BV125" s="449">
        <f>'Aerospace Systems'!AB33</f>
        <v>0</v>
      </c>
      <c r="BW125" s="448">
        <f>'Aerospace Systems'!AC33</f>
        <v>0</v>
      </c>
      <c r="BX125" s="449">
        <f>'Aerospace Systems'!AD33</f>
        <v>0</v>
      </c>
      <c r="BY125" s="449">
        <f>'Aerospace Systems'!AE33</f>
        <v>0</v>
      </c>
      <c r="BZ125" s="449">
        <f>'Aerospace Systems'!AF33</f>
        <v>0</v>
      </c>
      <c r="CA125" s="449">
        <f>'Aerospace Systems'!AG33</f>
        <v>0</v>
      </c>
      <c r="CB125" s="448">
        <f>'Aerospace Systems'!AH33</f>
        <v>0</v>
      </c>
      <c r="CC125" s="449">
        <f>'Aerospace Systems'!AI33</f>
        <v>0</v>
      </c>
      <c r="CD125" s="449">
        <f>'Aerospace Systems'!AJ33</f>
        <v>0</v>
      </c>
      <c r="CE125" s="449">
        <f>'Aerospace Systems'!AK33</f>
        <v>0</v>
      </c>
      <c r="CF125" s="449">
        <f>'Aerospace Systems'!AL33</f>
        <v>-356</v>
      </c>
      <c r="CG125" s="448">
        <f>'Aerospace Systems'!AM33</f>
        <v>-356</v>
      </c>
      <c r="CH125" s="449">
        <f>'Aerospace Systems'!AN33</f>
        <v>0</v>
      </c>
      <c r="CI125" s="449">
        <f>'Aerospace Systems'!AO33</f>
        <v>0</v>
      </c>
      <c r="CJ125" s="449">
        <f>'Aerospace Systems'!AP33</f>
        <v>0</v>
      </c>
      <c r="CK125" s="449">
        <f>'Aerospace Systems'!AQ33</f>
        <v>0</v>
      </c>
      <c r="CL125" s="448">
        <f>'Aerospace Systems'!AR33</f>
        <v>0</v>
      </c>
      <c r="CM125" s="449">
        <f>'Aerospace Systems'!AS33</f>
        <v>0</v>
      </c>
      <c r="CN125" s="449">
        <f>'Aerospace Systems'!AT33</f>
        <v>0</v>
      </c>
      <c r="CO125" s="449">
        <f>'Aerospace Systems'!AU33</f>
        <v>0</v>
      </c>
      <c r="CP125" s="449">
        <f>'Aerospace Systems'!AV33</f>
        <v>0</v>
      </c>
      <c r="CQ125" s="448">
        <f>'Aerospace Systems'!AW33</f>
        <v>0</v>
      </c>
      <c r="CR125" s="449">
        <f>'Aerospace Systems'!AX33</f>
        <v>0</v>
      </c>
      <c r="CS125" s="449">
        <f>'Aerospace Systems'!AY33</f>
        <v>0</v>
      </c>
      <c r="CT125" s="449">
        <f>'Aerospace Systems'!AZ33</f>
        <v>0</v>
      </c>
      <c r="CU125" s="449">
        <f>'Aerospace Systems'!BA33</f>
        <v>0</v>
      </c>
      <c r="CV125" s="448">
        <f>'Aerospace Systems'!BB33</f>
        <v>0</v>
      </c>
      <c r="CW125" s="448">
        <f>'Aerospace Systems'!BC33</f>
        <v>0</v>
      </c>
      <c r="CX125" s="2233">
        <f>'Aerospace Systems'!BD33</f>
        <v>0</v>
      </c>
      <c r="CY125" s="2233">
        <f>'Aerospace Systems'!BE33</f>
        <v>0</v>
      </c>
      <c r="CZ125" s="268"/>
    </row>
    <row r="126" spans="1:104" ht="12" hidden="1" customHeight="1" outlineLevel="1">
      <c r="A126" s="268"/>
      <c r="B126" s="268"/>
      <c r="C126" s="268" t="str">
        <f>C139</f>
        <v>Hamilton Sundstrand</v>
      </c>
      <c r="D126" s="261"/>
      <c r="E126" s="407"/>
      <c r="F126" s="449">
        <v>0</v>
      </c>
      <c r="G126" s="449">
        <v>0</v>
      </c>
      <c r="H126" s="449">
        <v>0</v>
      </c>
      <c r="I126" s="449">
        <v>0</v>
      </c>
      <c r="J126" s="448">
        <v>0</v>
      </c>
      <c r="K126" s="449">
        <v>0</v>
      </c>
      <c r="L126" s="449">
        <v>0</v>
      </c>
      <c r="M126" s="449">
        <v>0</v>
      </c>
      <c r="N126" s="449">
        <v>0</v>
      </c>
      <c r="O126" s="448">
        <v>0</v>
      </c>
      <c r="P126" s="449">
        <v>0</v>
      </c>
      <c r="Q126" s="449">
        <v>0</v>
      </c>
      <c r="R126" s="449">
        <v>0</v>
      </c>
      <c r="S126" s="449">
        <v>0</v>
      </c>
      <c r="T126" s="448">
        <v>0</v>
      </c>
      <c r="U126" s="449">
        <v>0</v>
      </c>
      <c r="V126" s="449">
        <v>0</v>
      </c>
      <c r="W126" s="449">
        <v>0</v>
      </c>
      <c r="X126" s="449">
        <v>0</v>
      </c>
      <c r="Y126" s="448">
        <v>0</v>
      </c>
      <c r="Z126" s="449">
        <v>0</v>
      </c>
      <c r="AA126" s="449">
        <v>0</v>
      </c>
      <c r="AB126" s="449">
        <v>0</v>
      </c>
      <c r="AC126" s="449">
        <v>0</v>
      </c>
      <c r="AD126" s="448">
        <v>0</v>
      </c>
      <c r="AE126" s="449">
        <v>0</v>
      </c>
      <c r="AF126" s="449">
        <v>0</v>
      </c>
      <c r="AG126" s="449">
        <v>0</v>
      </c>
      <c r="AH126" s="449">
        <v>0</v>
      </c>
      <c r="AI126" s="448">
        <v>0</v>
      </c>
      <c r="AJ126" s="449">
        <v>0</v>
      </c>
      <c r="AK126" s="449">
        <v>0</v>
      </c>
      <c r="AL126" s="449">
        <v>0</v>
      </c>
      <c r="AM126" s="449">
        <v>0</v>
      </c>
      <c r="AN126" s="448">
        <v>0</v>
      </c>
      <c r="AO126" s="449">
        <v>0</v>
      </c>
      <c r="AP126" s="449">
        <v>0</v>
      </c>
      <c r="AQ126" s="449">
        <v>0</v>
      </c>
      <c r="AR126" s="449">
        <v>0</v>
      </c>
      <c r="AS126" s="448">
        <v>0</v>
      </c>
      <c r="AT126" s="449">
        <v>0</v>
      </c>
      <c r="AU126" s="449">
        <v>0</v>
      </c>
      <c r="AV126" s="449">
        <v>0</v>
      </c>
      <c r="AW126" s="449">
        <v>25</v>
      </c>
      <c r="AX126" s="448">
        <v>25</v>
      </c>
      <c r="AY126" s="449">
        <v>0</v>
      </c>
      <c r="AZ126" s="449">
        <v>0</v>
      </c>
      <c r="BA126" s="449">
        <v>0</v>
      </c>
      <c r="BB126" s="449">
        <v>0</v>
      </c>
      <c r="BC126" s="448">
        <v>0</v>
      </c>
      <c r="BD126" s="449">
        <v>0</v>
      </c>
      <c r="BE126" s="449">
        <v>-28</v>
      </c>
      <c r="BF126" s="449">
        <v>0</v>
      </c>
      <c r="BG126" s="449">
        <v>0</v>
      </c>
      <c r="BH126" s="448">
        <v>-28</v>
      </c>
      <c r="BI126" s="449">
        <v>0</v>
      </c>
      <c r="BJ126" s="449">
        <v>0</v>
      </c>
      <c r="BK126" s="449">
        <v>0</v>
      </c>
      <c r="BL126" s="449">
        <v>0</v>
      </c>
      <c r="BM126" s="448">
        <v>0</v>
      </c>
      <c r="BN126" s="449">
        <v>0</v>
      </c>
      <c r="BO126" s="449">
        <v>0</v>
      </c>
      <c r="BP126" s="449">
        <v>0</v>
      </c>
      <c r="BQ126" s="449">
        <v>0</v>
      </c>
      <c r="BR126" s="448">
        <v>0</v>
      </c>
      <c r="BS126" s="449"/>
      <c r="BT126" s="449"/>
      <c r="BU126" s="449"/>
      <c r="BV126" s="449"/>
      <c r="BW126" s="448">
        <v>0</v>
      </c>
      <c r="BX126" s="449"/>
      <c r="BY126" s="449"/>
      <c r="BZ126" s="449"/>
      <c r="CA126" s="449"/>
      <c r="CB126" s="448">
        <v>0</v>
      </c>
      <c r="CC126" s="449"/>
      <c r="CD126" s="449"/>
      <c r="CE126" s="449"/>
      <c r="CF126" s="449"/>
      <c r="CG126" s="448">
        <v>0</v>
      </c>
      <c r="CH126" s="449"/>
      <c r="CI126" s="449"/>
      <c r="CJ126" s="449"/>
      <c r="CK126" s="449"/>
      <c r="CL126" s="448">
        <v>0</v>
      </c>
      <c r="CM126" s="449"/>
      <c r="CN126" s="449"/>
      <c r="CO126" s="449"/>
      <c r="CP126" s="449"/>
      <c r="CQ126" s="448">
        <v>0</v>
      </c>
      <c r="CR126" s="449"/>
      <c r="CS126" s="449"/>
      <c r="CT126" s="449"/>
      <c r="CU126" s="449"/>
      <c r="CV126" s="448">
        <v>0</v>
      </c>
      <c r="CW126" s="448">
        <v>0</v>
      </c>
      <c r="CX126" s="2233">
        <v>0</v>
      </c>
      <c r="CY126" s="2233">
        <v>0</v>
      </c>
      <c r="CZ126" s="268"/>
    </row>
    <row r="127" spans="1:104" ht="12" customHeight="1" collapsed="1">
      <c r="A127" s="268"/>
      <c r="B127" s="268"/>
      <c r="C127" s="268" t="str">
        <f>C140</f>
        <v>Sikorsky</v>
      </c>
      <c r="D127" s="261"/>
      <c r="E127" s="407"/>
      <c r="F127" s="449">
        <v>0</v>
      </c>
      <c r="G127" s="449">
        <v>0</v>
      </c>
      <c r="H127" s="449">
        <v>0</v>
      </c>
      <c r="I127" s="449">
        <v>0</v>
      </c>
      <c r="J127" s="448">
        <v>0</v>
      </c>
      <c r="K127" s="449">
        <v>0</v>
      </c>
      <c r="L127" s="449">
        <v>0</v>
      </c>
      <c r="M127" s="449">
        <v>0</v>
      </c>
      <c r="N127" s="449">
        <v>0</v>
      </c>
      <c r="O127" s="448">
        <v>0</v>
      </c>
      <c r="P127" s="449">
        <v>0</v>
      </c>
      <c r="Q127" s="449">
        <v>0</v>
      </c>
      <c r="R127" s="449">
        <v>0</v>
      </c>
      <c r="S127" s="449">
        <v>0</v>
      </c>
      <c r="T127" s="448">
        <v>0</v>
      </c>
      <c r="U127" s="449">
        <v>0</v>
      </c>
      <c r="V127" s="449">
        <v>0</v>
      </c>
      <c r="W127" s="449">
        <v>0</v>
      </c>
      <c r="X127" s="449">
        <v>0</v>
      </c>
      <c r="Y127" s="448">
        <v>0</v>
      </c>
      <c r="Z127" s="449">
        <v>0</v>
      </c>
      <c r="AA127" s="449">
        <v>0</v>
      </c>
      <c r="AB127" s="449">
        <v>0</v>
      </c>
      <c r="AC127" s="449">
        <v>0</v>
      </c>
      <c r="AD127" s="448">
        <v>0</v>
      </c>
      <c r="AE127" s="449">
        <v>0</v>
      </c>
      <c r="AF127" s="449">
        <v>0</v>
      </c>
      <c r="AG127" s="449">
        <v>0</v>
      </c>
      <c r="AH127" s="449">
        <v>0</v>
      </c>
      <c r="AI127" s="448">
        <v>0</v>
      </c>
      <c r="AJ127" s="449">
        <v>0</v>
      </c>
      <c r="AK127" s="449">
        <v>0</v>
      </c>
      <c r="AL127" s="449">
        <v>0</v>
      </c>
      <c r="AM127" s="449">
        <v>0</v>
      </c>
      <c r="AN127" s="448">
        <v>0</v>
      </c>
      <c r="AO127" s="449">
        <v>0</v>
      </c>
      <c r="AP127" s="449">
        <v>0</v>
      </c>
      <c r="AQ127" s="449">
        <v>0</v>
      </c>
      <c r="AR127" s="449">
        <v>0</v>
      </c>
      <c r="AS127" s="448">
        <v>0</v>
      </c>
      <c r="AT127" s="449">
        <v>0</v>
      </c>
      <c r="AU127" s="449">
        <v>0</v>
      </c>
      <c r="AV127" s="449">
        <v>0</v>
      </c>
      <c r="AW127" s="449">
        <v>0</v>
      </c>
      <c r="AX127" s="448">
        <v>0</v>
      </c>
      <c r="AY127" s="449">
        <v>0</v>
      </c>
      <c r="AZ127" s="449">
        <v>0</v>
      </c>
      <c r="BA127" s="449">
        <v>0</v>
      </c>
      <c r="BB127" s="449">
        <v>0</v>
      </c>
      <c r="BC127" s="448">
        <v>0</v>
      </c>
      <c r="BD127" s="449">
        <v>0</v>
      </c>
      <c r="BE127" s="449">
        <v>0</v>
      </c>
      <c r="BF127" s="449">
        <v>0</v>
      </c>
      <c r="BG127" s="449">
        <v>0</v>
      </c>
      <c r="BH127" s="448">
        <v>0</v>
      </c>
      <c r="BI127" s="449">
        <v>0</v>
      </c>
      <c r="BJ127" s="449">
        <v>73</v>
      </c>
      <c r="BK127" s="449">
        <v>0</v>
      </c>
      <c r="BL127" s="449">
        <v>0</v>
      </c>
      <c r="BM127" s="448">
        <v>73</v>
      </c>
      <c r="BN127" s="449">
        <v>0</v>
      </c>
      <c r="BO127" s="449">
        <v>0</v>
      </c>
      <c r="BP127" s="449">
        <v>0</v>
      </c>
      <c r="BQ127" s="449">
        <v>0</v>
      </c>
      <c r="BR127" s="448">
        <v>0</v>
      </c>
      <c r="BS127" s="449">
        <v>0</v>
      </c>
      <c r="BT127" s="449">
        <v>0</v>
      </c>
      <c r="BU127" s="449">
        <v>0</v>
      </c>
      <c r="BV127" s="449">
        <v>0</v>
      </c>
      <c r="BW127" s="448">
        <v>0</v>
      </c>
      <c r="BX127" s="449">
        <v>0</v>
      </c>
      <c r="BY127" s="449">
        <v>-466</v>
      </c>
      <c r="BZ127" s="449">
        <v>0</v>
      </c>
      <c r="CA127" s="449">
        <v>0</v>
      </c>
      <c r="CB127" s="448">
        <v>-466</v>
      </c>
      <c r="CC127" s="449">
        <v>0</v>
      </c>
      <c r="CD127" s="449">
        <v>0</v>
      </c>
      <c r="CE127" s="449">
        <v>0</v>
      </c>
      <c r="CF127" s="449">
        <v>0</v>
      </c>
      <c r="CG127" s="448"/>
      <c r="CH127" s="449"/>
      <c r="CI127" s="449"/>
      <c r="CJ127" s="449"/>
      <c r="CK127" s="449"/>
      <c r="CL127" s="448"/>
      <c r="CM127" s="449"/>
      <c r="CN127" s="449"/>
      <c r="CO127" s="449"/>
      <c r="CP127" s="449"/>
      <c r="CQ127" s="448"/>
      <c r="CR127" s="449"/>
      <c r="CS127" s="449"/>
      <c r="CT127" s="449"/>
      <c r="CU127" s="449"/>
      <c r="CV127" s="448"/>
      <c r="CW127" s="448"/>
      <c r="CX127" s="2233"/>
      <c r="CY127" s="2233"/>
      <c r="CZ127" s="268"/>
    </row>
    <row r="128" spans="1:104" ht="12" customHeight="1">
      <c r="A128" s="268"/>
      <c r="B128" s="268"/>
      <c r="C128" s="268" t="s">
        <v>814</v>
      </c>
      <c r="D128" s="261"/>
      <c r="E128" s="407"/>
      <c r="F128" s="449"/>
      <c r="G128" s="449"/>
      <c r="H128" s="449"/>
      <c r="I128" s="449"/>
      <c r="J128" s="448"/>
      <c r="K128" s="449"/>
      <c r="L128" s="449"/>
      <c r="M128" s="449"/>
      <c r="N128" s="449"/>
      <c r="O128" s="448"/>
      <c r="P128" s="449"/>
      <c r="Q128" s="449"/>
      <c r="R128" s="449"/>
      <c r="S128" s="449"/>
      <c r="T128" s="448"/>
      <c r="U128" s="449"/>
      <c r="V128" s="449"/>
      <c r="W128" s="449"/>
      <c r="X128" s="449"/>
      <c r="Y128" s="448"/>
      <c r="Z128" s="449">
        <v>250</v>
      </c>
      <c r="AA128" s="449">
        <v>125</v>
      </c>
      <c r="AB128" s="449"/>
      <c r="AC128" s="449">
        <v>100</v>
      </c>
      <c r="AD128" s="448">
        <f>SUM(Z128:AC128)</f>
        <v>475</v>
      </c>
      <c r="AE128" s="449">
        <v>30</v>
      </c>
      <c r="AF128" s="449">
        <f>75+45</f>
        <v>120</v>
      </c>
      <c r="AG128" s="449">
        <v>0</v>
      </c>
      <c r="AH128" s="449"/>
      <c r="AI128" s="448">
        <f>SUM(AE128:AH128)</f>
        <v>150</v>
      </c>
      <c r="AJ128" s="449">
        <v>25</v>
      </c>
      <c r="AK128" s="449">
        <v>60</v>
      </c>
      <c r="AL128" s="449">
        <v>0</v>
      </c>
      <c r="AM128" s="449">
        <v>0</v>
      </c>
      <c r="AN128" s="448">
        <f>SUM(AJ128:AM128)</f>
        <v>85</v>
      </c>
      <c r="AO128" s="449">
        <f>151-216</f>
        <v>-65</v>
      </c>
      <c r="AP128" s="449"/>
      <c r="AQ128" s="449">
        <v>28</v>
      </c>
      <c r="AR128" s="449">
        <v>0</v>
      </c>
      <c r="AS128" s="448">
        <f>SUM(AO128:AR128)</f>
        <v>-37</v>
      </c>
      <c r="AT128" s="449"/>
      <c r="AU128" s="449"/>
      <c r="AV128" s="449"/>
      <c r="AW128" s="449">
        <f>38+12</f>
        <v>50</v>
      </c>
      <c r="AX128" s="448">
        <f>SUM(AT128:AW128)</f>
        <v>50</v>
      </c>
      <c r="AY128" s="449"/>
      <c r="AZ128" s="449"/>
      <c r="BA128" s="449">
        <v>17</v>
      </c>
      <c r="BB128" s="449">
        <f>BC128-AY128-AZ128-BA128</f>
        <v>-17</v>
      </c>
      <c r="BC128" s="448">
        <v>0</v>
      </c>
      <c r="BD128" s="449">
        <v>0</v>
      </c>
      <c r="BE128" s="449">
        <v>0</v>
      </c>
      <c r="BF128" s="449">
        <v>-159</v>
      </c>
      <c r="BG128" s="449">
        <v>21</v>
      </c>
      <c r="BH128" s="448">
        <f>SUM(BD128:BG128)</f>
        <v>-138</v>
      </c>
      <c r="BI128" s="449">
        <v>0</v>
      </c>
      <c r="BJ128" s="449">
        <v>0</v>
      </c>
      <c r="BK128" s="449">
        <v>0</v>
      </c>
      <c r="BL128" s="449">
        <v>-45</v>
      </c>
      <c r="BM128" s="448">
        <f>SUM(BI128:BL128)</f>
        <v>-45</v>
      </c>
      <c r="BN128" s="449">
        <f>-16+BN115</f>
        <v>-10</v>
      </c>
      <c r="BO128" s="449">
        <v>0</v>
      </c>
      <c r="BP128" s="449">
        <v>34</v>
      </c>
      <c r="BQ128" s="449">
        <v>0</v>
      </c>
      <c r="BR128" s="448">
        <f>SUM(BN128:BQ128)</f>
        <v>24</v>
      </c>
      <c r="BS128" s="449">
        <v>0</v>
      </c>
      <c r="BT128" s="449">
        <v>0</v>
      </c>
      <c r="BU128" s="449">
        <v>0</v>
      </c>
      <c r="BV128" s="449"/>
      <c r="BW128" s="448">
        <f>SUM(BS128:BV128)</f>
        <v>0</v>
      </c>
      <c r="BX128" s="449">
        <v>0</v>
      </c>
      <c r="BY128" s="449">
        <v>220</v>
      </c>
      <c r="BZ128" s="449">
        <v>0</v>
      </c>
      <c r="CA128" s="449">
        <v>0</v>
      </c>
      <c r="CB128" s="448">
        <f>SUM(BX128:CA128)</f>
        <v>220</v>
      </c>
      <c r="CC128" s="449"/>
      <c r="CD128" s="449">
        <v>-28</v>
      </c>
      <c r="CE128" s="449">
        <v>0</v>
      </c>
      <c r="CF128" s="449">
        <v>-264</v>
      </c>
      <c r="CG128" s="448">
        <f>SUM(CC128:CF128)</f>
        <v>-292</v>
      </c>
      <c r="CH128" s="449">
        <v>0</v>
      </c>
      <c r="CI128" s="449">
        <v>0</v>
      </c>
      <c r="CJ128" s="449">
        <v>0</v>
      </c>
      <c r="CK128" s="449">
        <v>0</v>
      </c>
      <c r="CL128" s="448">
        <v>0</v>
      </c>
      <c r="CM128" s="449">
        <v>1</v>
      </c>
      <c r="CN128" s="449">
        <v>0</v>
      </c>
      <c r="CO128" s="449">
        <v>93</v>
      </c>
      <c r="CP128" s="449">
        <v>0</v>
      </c>
      <c r="CQ128" s="448">
        <f>SUM(CM128:CP128)</f>
        <v>94</v>
      </c>
      <c r="CR128" s="449">
        <v>0</v>
      </c>
      <c r="CS128" s="449">
        <v>0</v>
      </c>
      <c r="CT128" s="449">
        <v>0</v>
      </c>
      <c r="CU128" s="449">
        <v>0</v>
      </c>
      <c r="CV128" s="448">
        <v>0</v>
      </c>
      <c r="CW128" s="448">
        <v>0</v>
      </c>
      <c r="CX128" s="2233">
        <v>0</v>
      </c>
      <c r="CY128" s="2233">
        <v>0</v>
      </c>
      <c r="CZ128" s="268"/>
    </row>
    <row r="129" spans="1:104" ht="12" customHeight="1">
      <c r="A129" s="268"/>
      <c r="B129" s="268"/>
      <c r="C129" s="268" t="s">
        <v>815</v>
      </c>
      <c r="D129" s="261"/>
      <c r="E129" s="407"/>
      <c r="F129" s="449"/>
      <c r="G129" s="449"/>
      <c r="H129" s="449"/>
      <c r="I129" s="449"/>
      <c r="J129" s="448"/>
      <c r="K129" s="449"/>
      <c r="L129" s="449"/>
      <c r="M129" s="449"/>
      <c r="N129" s="449"/>
      <c r="O129" s="448"/>
      <c r="P129" s="449"/>
      <c r="Q129" s="449"/>
      <c r="R129" s="449"/>
      <c r="S129" s="449"/>
      <c r="T129" s="448"/>
      <c r="U129" s="449"/>
      <c r="V129" s="449"/>
      <c r="W129" s="449"/>
      <c r="X129" s="449"/>
      <c r="Y129" s="448"/>
      <c r="Z129" s="449"/>
      <c r="AA129" s="449"/>
      <c r="AB129" s="449"/>
      <c r="AC129" s="449"/>
      <c r="AD129" s="448"/>
      <c r="AE129" s="449"/>
      <c r="AF129" s="449"/>
      <c r="AG129" s="449"/>
      <c r="AH129" s="449"/>
      <c r="AI129" s="448"/>
      <c r="AJ129" s="449">
        <v>0</v>
      </c>
      <c r="AK129" s="449"/>
      <c r="AL129" s="449"/>
      <c r="AM129" s="449"/>
      <c r="AN129" s="448"/>
      <c r="AO129" s="449"/>
      <c r="AP129" s="449"/>
      <c r="AQ129" s="449"/>
      <c r="AR129" s="449"/>
      <c r="AS129" s="448"/>
      <c r="AT129" s="449"/>
      <c r="AU129" s="449"/>
      <c r="AV129" s="449"/>
      <c r="AW129" s="449"/>
      <c r="AX129" s="448"/>
      <c r="AY129" s="449"/>
      <c r="AZ129" s="449"/>
      <c r="BA129" s="449"/>
      <c r="BB129" s="449"/>
      <c r="BC129" s="448"/>
      <c r="BD129" s="449">
        <v>0</v>
      </c>
      <c r="BE129" s="449">
        <v>0</v>
      </c>
      <c r="BF129" s="449">
        <v>0</v>
      </c>
      <c r="BG129" s="449"/>
      <c r="BH129" s="448">
        <f>SUM(BD129:BG129)</f>
        <v>0</v>
      </c>
      <c r="BI129" s="449">
        <v>0</v>
      </c>
      <c r="BJ129" s="449">
        <v>0</v>
      </c>
      <c r="BK129" s="449">
        <v>0</v>
      </c>
      <c r="BL129" s="449">
        <v>0</v>
      </c>
      <c r="BM129" s="448">
        <f>SUM(BI129:BL129)</f>
        <v>0</v>
      </c>
      <c r="BN129" s="449">
        <v>0</v>
      </c>
      <c r="BO129" s="449">
        <v>0</v>
      </c>
      <c r="BP129" s="449">
        <v>0</v>
      </c>
      <c r="BQ129" s="449">
        <v>0</v>
      </c>
      <c r="BR129" s="448">
        <f>SUM(BN129:BQ129)</f>
        <v>0</v>
      </c>
      <c r="BS129" s="449">
        <v>0</v>
      </c>
      <c r="BT129" s="449">
        <v>0</v>
      </c>
      <c r="BU129" s="1095"/>
      <c r="BV129" s="1095"/>
      <c r="BW129" s="448">
        <f>SUM(BS129:BV129)</f>
        <v>0</v>
      </c>
      <c r="BX129" s="449">
        <v>0</v>
      </c>
      <c r="BY129" s="449">
        <v>0</v>
      </c>
      <c r="BZ129" s="449">
        <v>0</v>
      </c>
      <c r="CA129" s="449">
        <v>0</v>
      </c>
      <c r="CB129" s="448">
        <f>SUM(BX129:CA129)</f>
        <v>0</v>
      </c>
      <c r="CC129" s="449">
        <v>0</v>
      </c>
      <c r="CD129" s="449">
        <v>0</v>
      </c>
      <c r="CE129" s="449">
        <v>0</v>
      </c>
      <c r="CF129" s="1927"/>
      <c r="CG129" s="448">
        <f>SUM(CC129:CF129)</f>
        <v>0</v>
      </c>
      <c r="CH129" s="449">
        <v>0</v>
      </c>
      <c r="CI129" s="449">
        <v>0</v>
      </c>
      <c r="CJ129" s="449">
        <v>0</v>
      </c>
      <c r="CK129" s="2250">
        <v>-423</v>
      </c>
      <c r="CL129" s="448">
        <f>SUM(CH129:CK129)</f>
        <v>-423</v>
      </c>
      <c r="CM129" s="449">
        <v>0</v>
      </c>
      <c r="CN129" s="449">
        <v>0</v>
      </c>
      <c r="CO129" s="449">
        <v>0</v>
      </c>
      <c r="CP129" s="449">
        <v>0</v>
      </c>
      <c r="CQ129" s="448">
        <v>0</v>
      </c>
      <c r="CR129" s="449">
        <v>0</v>
      </c>
      <c r="CS129" s="449">
        <v>0</v>
      </c>
      <c r="CT129" s="449">
        <v>0</v>
      </c>
      <c r="CU129" s="449">
        <v>0</v>
      </c>
      <c r="CV129" s="448">
        <v>0</v>
      </c>
      <c r="CW129" s="448">
        <v>0</v>
      </c>
      <c r="CX129" s="2233">
        <v>0</v>
      </c>
      <c r="CY129" s="2233">
        <v>0</v>
      </c>
      <c r="CZ129" s="268"/>
    </row>
    <row r="130" spans="1:104" ht="12" customHeight="1" thickBot="1">
      <c r="A130" s="271"/>
      <c r="B130" s="271"/>
      <c r="C130" s="1093" t="s">
        <v>816</v>
      </c>
      <c r="D130" s="1114"/>
      <c r="E130" s="1100"/>
      <c r="F130" s="1090">
        <f t="shared" ref="F130:AK130" si="141">SUM(F119:F129)</f>
        <v>0</v>
      </c>
      <c r="G130" s="1090">
        <f t="shared" si="141"/>
        <v>0</v>
      </c>
      <c r="H130" s="1090">
        <f t="shared" si="141"/>
        <v>0</v>
      </c>
      <c r="I130" s="1090">
        <f t="shared" si="141"/>
        <v>0</v>
      </c>
      <c r="J130" s="1089">
        <f t="shared" si="141"/>
        <v>0</v>
      </c>
      <c r="K130" s="1090">
        <f t="shared" si="141"/>
        <v>0</v>
      </c>
      <c r="L130" s="1090">
        <f t="shared" si="141"/>
        <v>0</v>
      </c>
      <c r="M130" s="1090">
        <f t="shared" si="141"/>
        <v>0</v>
      </c>
      <c r="N130" s="1090">
        <f t="shared" si="141"/>
        <v>0</v>
      </c>
      <c r="O130" s="1089">
        <f t="shared" si="141"/>
        <v>0</v>
      </c>
      <c r="P130" s="1090">
        <f t="shared" si="141"/>
        <v>0</v>
      </c>
      <c r="Q130" s="1090">
        <f t="shared" si="141"/>
        <v>0</v>
      </c>
      <c r="R130" s="1090">
        <f t="shared" si="141"/>
        <v>0</v>
      </c>
      <c r="S130" s="1090">
        <f t="shared" si="141"/>
        <v>0</v>
      </c>
      <c r="T130" s="1089">
        <f t="shared" si="141"/>
        <v>0</v>
      </c>
      <c r="U130" s="1090">
        <f t="shared" si="141"/>
        <v>0</v>
      </c>
      <c r="V130" s="1090">
        <f t="shared" si="141"/>
        <v>0</v>
      </c>
      <c r="W130" s="1090">
        <f t="shared" si="141"/>
        <v>0</v>
      </c>
      <c r="X130" s="1090">
        <f t="shared" si="141"/>
        <v>50</v>
      </c>
      <c r="Y130" s="1089">
        <f t="shared" si="141"/>
        <v>50</v>
      </c>
      <c r="Z130" s="1090">
        <f t="shared" si="141"/>
        <v>250</v>
      </c>
      <c r="AA130" s="1090">
        <f t="shared" si="141"/>
        <v>125</v>
      </c>
      <c r="AB130" s="1090">
        <f t="shared" si="141"/>
        <v>0</v>
      </c>
      <c r="AC130" s="1090">
        <f t="shared" si="141"/>
        <v>100</v>
      </c>
      <c r="AD130" s="1089">
        <f t="shared" si="141"/>
        <v>475</v>
      </c>
      <c r="AE130" s="1090">
        <f t="shared" si="141"/>
        <v>30</v>
      </c>
      <c r="AF130" s="1090">
        <f t="shared" si="141"/>
        <v>120</v>
      </c>
      <c r="AG130" s="1090">
        <f t="shared" si="141"/>
        <v>0</v>
      </c>
      <c r="AH130" s="1090">
        <f t="shared" si="141"/>
        <v>0</v>
      </c>
      <c r="AI130" s="1089">
        <f t="shared" si="141"/>
        <v>150</v>
      </c>
      <c r="AJ130" s="1090">
        <f t="shared" si="141"/>
        <v>50</v>
      </c>
      <c r="AK130" s="1090">
        <f t="shared" si="141"/>
        <v>140</v>
      </c>
      <c r="AL130" s="1090">
        <f t="shared" ref="AL130:BH130" si="142">SUM(AL119:AL129)</f>
        <v>60</v>
      </c>
      <c r="AM130" s="1090">
        <f t="shared" si="142"/>
        <v>0</v>
      </c>
      <c r="AN130" s="1089">
        <f t="shared" si="142"/>
        <v>250</v>
      </c>
      <c r="AO130" s="1090">
        <f t="shared" si="142"/>
        <v>59</v>
      </c>
      <c r="AP130" s="1090">
        <f t="shared" si="142"/>
        <v>0</v>
      </c>
      <c r="AQ130" s="1090">
        <f t="shared" si="142"/>
        <v>28</v>
      </c>
      <c r="AR130" s="1090">
        <f t="shared" si="142"/>
        <v>47</v>
      </c>
      <c r="AS130" s="1089">
        <f t="shared" si="142"/>
        <v>134</v>
      </c>
      <c r="AT130" s="1090">
        <f t="shared" si="142"/>
        <v>0</v>
      </c>
      <c r="AU130" s="1090">
        <f t="shared" si="142"/>
        <v>0</v>
      </c>
      <c r="AV130" s="1090">
        <f t="shared" si="142"/>
        <v>37</v>
      </c>
      <c r="AW130" s="1090">
        <f t="shared" si="142"/>
        <v>142</v>
      </c>
      <c r="AX130" s="1089">
        <f t="shared" si="142"/>
        <v>179</v>
      </c>
      <c r="AY130" s="1090">
        <f t="shared" si="142"/>
        <v>0</v>
      </c>
      <c r="AZ130" s="1090">
        <f t="shared" si="142"/>
        <v>52</v>
      </c>
      <c r="BA130" s="1090">
        <f t="shared" si="142"/>
        <v>74</v>
      </c>
      <c r="BB130" s="1090">
        <f t="shared" si="142"/>
        <v>10</v>
      </c>
      <c r="BC130" s="1089">
        <f t="shared" si="142"/>
        <v>136</v>
      </c>
      <c r="BD130" s="1090">
        <f t="shared" si="142"/>
        <v>0</v>
      </c>
      <c r="BE130" s="1090">
        <f t="shared" si="142"/>
        <v>-75</v>
      </c>
      <c r="BF130" s="1090">
        <f t="shared" si="142"/>
        <v>-135</v>
      </c>
      <c r="BG130" s="1090">
        <f t="shared" si="142"/>
        <v>39</v>
      </c>
      <c r="BH130" s="1089">
        <f t="shared" si="142"/>
        <v>-171</v>
      </c>
      <c r="BI130" s="1090">
        <f t="shared" ref="BI130:CV130" si="143">BI129+BI119+BI120+BI123+BI125+BI127+BI128</f>
        <v>0</v>
      </c>
      <c r="BJ130" s="1090">
        <f t="shared" si="143"/>
        <v>73</v>
      </c>
      <c r="BK130" s="1090">
        <f t="shared" si="143"/>
        <v>49</v>
      </c>
      <c r="BL130" s="1090">
        <f t="shared" si="143"/>
        <v>-10</v>
      </c>
      <c r="BM130" s="1089">
        <f t="shared" si="143"/>
        <v>112</v>
      </c>
      <c r="BN130" s="1090">
        <f t="shared" si="143"/>
        <v>102</v>
      </c>
      <c r="BO130" s="1090">
        <f t="shared" si="143"/>
        <v>110</v>
      </c>
      <c r="BP130" s="1090">
        <f t="shared" si="143"/>
        <v>34</v>
      </c>
      <c r="BQ130" s="1090">
        <f t="shared" si="143"/>
        <v>-65</v>
      </c>
      <c r="BR130" s="1089">
        <f t="shared" si="143"/>
        <v>181</v>
      </c>
      <c r="BS130" s="1090">
        <f t="shared" si="143"/>
        <v>38</v>
      </c>
      <c r="BT130" s="1090">
        <f t="shared" si="143"/>
        <v>193</v>
      </c>
      <c r="BU130" s="1090">
        <f t="shared" si="143"/>
        <v>-25</v>
      </c>
      <c r="BV130" s="1090">
        <f t="shared" si="143"/>
        <v>17</v>
      </c>
      <c r="BW130" s="1089">
        <f t="shared" si="143"/>
        <v>223</v>
      </c>
      <c r="BX130" s="1090">
        <f t="shared" si="143"/>
        <v>0</v>
      </c>
      <c r="BY130" s="1090">
        <f t="shared" si="143"/>
        <v>-328</v>
      </c>
      <c r="BZ130" s="1090">
        <f t="shared" si="143"/>
        <v>113</v>
      </c>
      <c r="CA130" s="1090">
        <f t="shared" si="143"/>
        <v>0</v>
      </c>
      <c r="CB130" s="1089">
        <f t="shared" si="143"/>
        <v>-215</v>
      </c>
      <c r="CC130" s="1090">
        <f t="shared" si="143"/>
        <v>126</v>
      </c>
      <c r="CD130" s="1090">
        <f t="shared" si="143"/>
        <v>-28</v>
      </c>
      <c r="CE130" s="1090">
        <f t="shared" si="143"/>
        <v>0</v>
      </c>
      <c r="CF130" s="1090">
        <f t="shared" si="143"/>
        <v>-1572</v>
      </c>
      <c r="CG130" s="1089">
        <f t="shared" si="143"/>
        <v>-1474</v>
      </c>
      <c r="CH130" s="1090">
        <f t="shared" si="143"/>
        <v>0</v>
      </c>
      <c r="CI130" s="1090">
        <f t="shared" si="143"/>
        <v>-12</v>
      </c>
      <c r="CJ130" s="1090">
        <f t="shared" si="143"/>
        <v>-106</v>
      </c>
      <c r="CK130" s="1090">
        <f t="shared" si="143"/>
        <v>-432</v>
      </c>
      <c r="CL130" s="1089">
        <f t="shared" si="143"/>
        <v>-550</v>
      </c>
      <c r="CM130" s="1090">
        <f>CM129+CM119+CM120+CM123+CM125+CM127+CM128</f>
        <v>380</v>
      </c>
      <c r="CN130" s="1090">
        <f>CN129+CN119+CN120+CN123+CN125+CN127+CN128</f>
        <v>0</v>
      </c>
      <c r="CO130" s="1090">
        <f>CO129+CO119+CO120+CO123+CO125+CO127+CO128</f>
        <v>-103</v>
      </c>
      <c r="CP130" s="1090">
        <f>CP129+CP119+CP120+CP123+CP125+CP127+CP128</f>
        <v>0</v>
      </c>
      <c r="CQ130" s="1089">
        <f t="shared" si="143"/>
        <v>277</v>
      </c>
      <c r="CR130" s="1090">
        <f>CR129+CR119+CR120+CR123+CR125+CR127+CR128</f>
        <v>0</v>
      </c>
      <c r="CS130" s="1090">
        <f>CS129+CS119+CS120+CS123+CS125+CS127+CS128</f>
        <v>0</v>
      </c>
      <c r="CT130" s="1090">
        <f>CT129+CT119+CT120+CT123+CT125+CT127+CT128</f>
        <v>0</v>
      </c>
      <c r="CU130" s="1090">
        <f>CU129+CU119+CU120+CU123+CU125+CU127+CU128</f>
        <v>0</v>
      </c>
      <c r="CV130" s="1089">
        <f t="shared" si="143"/>
        <v>0</v>
      </c>
      <c r="CW130" s="1089">
        <f>CW129+CW119+CW120+CW123+CW125+CW127+CW128</f>
        <v>0</v>
      </c>
      <c r="CX130" s="1089">
        <f>CX129+CX119+CX120+CX123+CX125+CX127+CX128</f>
        <v>0</v>
      </c>
      <c r="CY130" s="1089">
        <f>CY129+CY119+CY120+CY123+CY125+CY127+CY128</f>
        <v>0</v>
      </c>
      <c r="CZ130" s="271"/>
    </row>
    <row r="131" spans="1:104" ht="12" customHeight="1" thickTop="1">
      <c r="A131" s="434"/>
      <c r="B131" s="434"/>
      <c r="C131" s="434"/>
      <c r="D131" s="463"/>
      <c r="E131" s="1088"/>
      <c r="F131" s="1088"/>
      <c r="G131" s="1088"/>
      <c r="H131" s="1088"/>
      <c r="I131" s="1088"/>
      <c r="J131" s="1086"/>
      <c r="K131" s="1088"/>
      <c r="L131" s="1088"/>
      <c r="M131" s="1088"/>
      <c r="N131" s="1088"/>
      <c r="O131" s="1086"/>
      <c r="P131" s="1088"/>
      <c r="Q131" s="1088"/>
      <c r="R131" s="1088"/>
      <c r="S131" s="1088"/>
      <c r="T131" s="1086"/>
      <c r="U131" s="1088"/>
      <c r="V131" s="1088"/>
      <c r="W131" s="1088"/>
      <c r="X131" s="1088"/>
      <c r="Y131" s="1086"/>
      <c r="Z131" s="1088"/>
      <c r="AA131" s="1088"/>
      <c r="AB131" s="1088"/>
      <c r="AC131" s="1088"/>
      <c r="AD131" s="1086"/>
      <c r="AE131" s="1088"/>
      <c r="AF131" s="1088"/>
      <c r="AG131" s="1088"/>
      <c r="AH131" s="1088"/>
      <c r="AI131" s="1086"/>
      <c r="AJ131" s="1088"/>
      <c r="AK131" s="1088"/>
      <c r="AL131" s="1088"/>
      <c r="AM131" s="1088"/>
      <c r="AN131" s="1086"/>
      <c r="AO131" s="1088"/>
      <c r="AP131" s="1088"/>
      <c r="AQ131" s="1088"/>
      <c r="AR131" s="1088"/>
      <c r="AS131" s="1086"/>
      <c r="AT131" s="1088"/>
      <c r="AU131" s="1088"/>
      <c r="AV131" s="1088"/>
      <c r="AW131" s="1088"/>
      <c r="AX131" s="1086"/>
      <c r="AY131" s="1088"/>
      <c r="AZ131" s="1088"/>
      <c r="BA131" s="1088"/>
      <c r="BB131" s="1088"/>
      <c r="BC131" s="1086"/>
      <c r="BD131" s="1088"/>
      <c r="BE131" s="1088"/>
      <c r="BF131" s="1088"/>
      <c r="BG131" s="1088"/>
      <c r="BH131" s="1086"/>
      <c r="BI131" s="1088"/>
      <c r="BJ131" s="1088"/>
      <c r="BK131" s="1088"/>
      <c r="BL131" s="1088"/>
      <c r="BM131" s="1086"/>
      <c r="BN131" s="1088"/>
      <c r="BO131" s="1088"/>
      <c r="BP131" s="1088"/>
      <c r="BQ131" s="1088"/>
      <c r="BR131" s="1086"/>
      <c r="BS131" s="1104"/>
      <c r="BT131" s="1104"/>
      <c r="BU131" s="1104"/>
      <c r="BV131" s="1104"/>
      <c r="BW131" s="1102"/>
      <c r="BX131" s="1087"/>
      <c r="BY131" s="1087"/>
      <c r="BZ131" s="1087"/>
      <c r="CA131" s="1087"/>
      <c r="CB131" s="1102"/>
      <c r="CC131" s="1087"/>
      <c r="CD131" s="1087"/>
      <c r="CE131" s="1087"/>
      <c r="CF131" s="1087"/>
      <c r="CG131" s="1086"/>
      <c r="CH131" s="1087"/>
      <c r="CI131" s="1087"/>
      <c r="CJ131" s="1087"/>
      <c r="CK131" s="1087"/>
      <c r="CL131" s="1086"/>
      <c r="CM131" s="1087"/>
      <c r="CN131" s="1087"/>
      <c r="CO131" s="1087"/>
      <c r="CP131" s="1087"/>
      <c r="CQ131" s="1086"/>
      <c r="CR131" s="1087"/>
      <c r="CS131" s="1087"/>
      <c r="CT131" s="1087"/>
      <c r="CU131" s="1087"/>
      <c r="CV131" s="1086"/>
      <c r="CW131" s="1086"/>
      <c r="CX131" s="1086"/>
      <c r="CY131" s="1086"/>
      <c r="CZ131" s="434"/>
    </row>
    <row r="132" spans="1:104" ht="12" customHeight="1">
      <c r="A132" s="268"/>
      <c r="B132" s="268"/>
      <c r="C132" s="268" t="str">
        <f>+C12</f>
        <v>Otis</v>
      </c>
      <c r="D132" s="463"/>
      <c r="E132" s="407"/>
      <c r="F132" s="1113">
        <v>192</v>
      </c>
      <c r="G132" s="1113">
        <v>194</v>
      </c>
      <c r="H132" s="1113">
        <v>201</v>
      </c>
      <c r="I132" s="1113">
        <v>211</v>
      </c>
      <c r="J132" s="448">
        <f>Otis!N29</f>
        <v>798</v>
      </c>
      <c r="K132" s="449">
        <f>Otis!O29</f>
        <v>220</v>
      </c>
      <c r="L132" s="449">
        <f>Otis!P29</f>
        <v>223</v>
      </c>
      <c r="M132" s="449">
        <f>Otis!Q29</f>
        <v>164</v>
      </c>
      <c r="N132" s="449">
        <f>Otis!R29</f>
        <v>240</v>
      </c>
      <c r="O132" s="448">
        <f>Otis!S29</f>
        <v>847</v>
      </c>
      <c r="P132" s="449">
        <f>Otis!T29</f>
        <v>234</v>
      </c>
      <c r="Q132" s="449">
        <f>Otis!U29</f>
        <v>263</v>
      </c>
      <c r="R132" s="449">
        <f>Otis!V29</f>
        <v>285</v>
      </c>
      <c r="S132" s="449">
        <f>Otis!W29</f>
        <v>275</v>
      </c>
      <c r="T132" s="448">
        <f>Otis!X29</f>
        <v>1057</v>
      </c>
      <c r="U132" s="449">
        <f>Otis!Y29</f>
        <v>314</v>
      </c>
      <c r="V132" s="449">
        <f>Otis!Z29</f>
        <v>336</v>
      </c>
      <c r="W132" s="449">
        <f>Otis!AA29</f>
        <v>350</v>
      </c>
      <c r="X132" s="449">
        <f>Otis!AB29</f>
        <v>377</v>
      </c>
      <c r="Y132" s="448">
        <f>Otis!AC29</f>
        <v>1377</v>
      </c>
      <c r="Z132" s="449">
        <f>Otis!AD29</f>
        <v>302</v>
      </c>
      <c r="AA132" s="449">
        <f>Otis!AE29</f>
        <v>342</v>
      </c>
      <c r="AB132" s="449">
        <f>Otis!AF29</f>
        <v>385</v>
      </c>
      <c r="AC132" s="449">
        <f>Otis!AG29</f>
        <v>384</v>
      </c>
      <c r="AD132" s="448">
        <f>Otis!AH29</f>
        <v>1413</v>
      </c>
      <c r="AE132" s="449">
        <f>Otis!AI29</f>
        <v>422</v>
      </c>
      <c r="AF132" s="449">
        <f>Otis!AJ29</f>
        <v>422</v>
      </c>
      <c r="AG132" s="449">
        <f>Otis!AK29</f>
        <v>442</v>
      </c>
      <c r="AH132" s="449">
        <f>Otis!AL29</f>
        <v>426</v>
      </c>
      <c r="AI132" s="448">
        <f>Otis!AM29</f>
        <v>1712</v>
      </c>
      <c r="AJ132" s="449">
        <f>Otis!AN29</f>
        <v>439</v>
      </c>
      <c r="AK132" s="449">
        <f>Otis!AO29</f>
        <v>472</v>
      </c>
      <c r="AL132" s="449">
        <f>Otis!AP29</f>
        <v>463</v>
      </c>
      <c r="AM132" s="449">
        <f>Otis!AQ29</f>
        <v>514</v>
      </c>
      <c r="AN132" s="448">
        <f>Otis!AR29</f>
        <v>1888</v>
      </c>
      <c r="AO132" s="449">
        <f>Otis!AS29</f>
        <v>574</v>
      </c>
      <c r="AP132" s="449">
        <f>Otis!AT29</f>
        <v>532</v>
      </c>
      <c r="AQ132" s="449">
        <f>Otis!AU29</f>
        <v>567</v>
      </c>
      <c r="AR132" s="449">
        <f>Otis!AV29</f>
        <v>648</v>
      </c>
      <c r="AS132" s="448">
        <f>Otis!AW29</f>
        <v>2321</v>
      </c>
      <c r="AT132" s="449">
        <f>Otis!AX29</f>
        <v>580</v>
      </c>
      <c r="AU132" s="449">
        <f>Otis!AY29</f>
        <v>671</v>
      </c>
      <c r="AV132" s="449">
        <f>Otis!AZ29</f>
        <v>648</v>
      </c>
      <c r="AW132" s="449">
        <f>Otis!BA29</f>
        <v>578</v>
      </c>
      <c r="AX132" s="448">
        <f>Otis!BB29</f>
        <v>2477</v>
      </c>
      <c r="AY132" s="449">
        <f>Otis!BC29</f>
        <v>506</v>
      </c>
      <c r="AZ132" s="449">
        <f>Otis!BD29</f>
        <v>631</v>
      </c>
      <c r="BA132" s="449">
        <f>Otis!BE29</f>
        <v>633</v>
      </c>
      <c r="BB132" s="449">
        <f>Otis!BF29</f>
        <v>677</v>
      </c>
      <c r="BC132" s="448">
        <f>Otis!BG29</f>
        <v>2447</v>
      </c>
      <c r="BD132" s="449">
        <f>Otis!BH29</f>
        <v>596</v>
      </c>
      <c r="BE132" s="449">
        <f>Otis!BI29</f>
        <v>641</v>
      </c>
      <c r="BF132" s="449">
        <f>Otis!BJ29</f>
        <v>678</v>
      </c>
      <c r="BG132" s="449">
        <f>Otis!BK29</f>
        <v>660</v>
      </c>
      <c r="BH132" s="448">
        <f>Otis!BL29</f>
        <v>2575</v>
      </c>
      <c r="BI132" s="449">
        <f>Otis!BM29</f>
        <v>630</v>
      </c>
      <c r="BJ132" s="449">
        <f>Otis!BN29</f>
        <v>743</v>
      </c>
      <c r="BK132" s="449">
        <f>Otis!BO29</f>
        <v>731</v>
      </c>
      <c r="BL132" s="449">
        <f>Otis!BP29</f>
        <v>711</v>
      </c>
      <c r="BM132" s="448">
        <f>Otis!BQ29</f>
        <v>2815</v>
      </c>
      <c r="BN132" s="449">
        <f>Otis!BR29</f>
        <v>566</v>
      </c>
      <c r="BO132" s="449">
        <f>Otis!BS29</f>
        <v>651</v>
      </c>
      <c r="BP132" s="449">
        <f>Otis!BT29</f>
        <v>651</v>
      </c>
      <c r="BQ132" s="449">
        <f>Otis!BU29</f>
        <v>644</v>
      </c>
      <c r="BR132" s="448">
        <f>Otis!BV29</f>
        <v>2512</v>
      </c>
      <c r="BS132" s="449">
        <f>Otis!BW29</f>
        <v>575</v>
      </c>
      <c r="BT132" s="449">
        <f>Otis!BX29</f>
        <v>650</v>
      </c>
      <c r="BU132" s="449">
        <f>Otis!BY29</f>
        <v>681</v>
      </c>
      <c r="BV132" s="449">
        <f>Otis!BZ29</f>
        <v>684</v>
      </c>
      <c r="BW132" s="448">
        <f>Otis!CA29</f>
        <v>2590</v>
      </c>
      <c r="BX132" s="449">
        <f>Otis!CB29</f>
        <v>570</v>
      </c>
      <c r="BY132" s="449">
        <f>Otis!CC29</f>
        <v>693</v>
      </c>
      <c r="BZ132" s="449">
        <f>Otis!CD29</f>
        <v>703</v>
      </c>
      <c r="CA132" s="449">
        <f>Otis!CE29</f>
        <v>674</v>
      </c>
      <c r="CB132" s="448">
        <f>Otis!CF29</f>
        <v>2640</v>
      </c>
      <c r="CC132" s="449">
        <f>Otis!CG29</f>
        <v>527</v>
      </c>
      <c r="CD132" s="449">
        <f>Otis!CH29</f>
        <v>627</v>
      </c>
      <c r="CE132" s="449">
        <f>Otis!CI29</f>
        <v>642</v>
      </c>
      <c r="CF132" s="449">
        <f>Otis!CJ29</f>
        <v>542</v>
      </c>
      <c r="CG132" s="448">
        <f>Otis!CK29</f>
        <v>2338</v>
      </c>
      <c r="CH132" s="449">
        <f>Otis!CL29</f>
        <v>466</v>
      </c>
      <c r="CI132" s="449">
        <f>Otis!CM29</f>
        <v>581</v>
      </c>
      <c r="CJ132" s="449">
        <f>Otis!CN29</f>
        <v>584</v>
      </c>
      <c r="CK132" s="449">
        <f>Otis!CO29</f>
        <v>516</v>
      </c>
      <c r="CL132" s="448">
        <f>Otis!CP29</f>
        <v>2147</v>
      </c>
      <c r="CM132" s="449">
        <f>Otis!CQ29</f>
        <v>452</v>
      </c>
      <c r="CN132" s="449">
        <f>Otis!CR29</f>
        <v>544</v>
      </c>
      <c r="CO132" s="449">
        <f>Otis!CS29</f>
        <v>555</v>
      </c>
      <c r="CP132" s="449">
        <f>Otis!CT29</f>
        <v>495.86884998736605</v>
      </c>
      <c r="CQ132" s="448">
        <f>Otis!CU29</f>
        <v>2046.868849987366</v>
      </c>
      <c r="CR132" s="449">
        <f>Otis!CV29</f>
        <v>459.41640684847118</v>
      </c>
      <c r="CS132" s="449">
        <f>Otis!CW29</f>
        <v>560.4784765471843</v>
      </c>
      <c r="CT132" s="449">
        <f>Otis!CX29</f>
        <v>574.11630248406072</v>
      </c>
      <c r="CU132" s="449">
        <f>Otis!CY29</f>
        <v>504.82019000083437</v>
      </c>
      <c r="CV132" s="448">
        <f>Otis!CZ29</f>
        <v>2098.8313758805507</v>
      </c>
      <c r="CW132" s="448">
        <f>Otis!DA29</f>
        <v>2168.7363361165253</v>
      </c>
      <c r="CX132" s="2233">
        <f>Otis!DB29</f>
        <v>2243.8747887305672</v>
      </c>
      <c r="CY132" s="2233">
        <f>Otis!DC29</f>
        <v>2274.3008512740316</v>
      </c>
      <c r="CZ132" s="1107">
        <f t="shared" ref="CZ132:CZ137" si="144">BY78-BY106-BY119</f>
        <v>693</v>
      </c>
    </row>
    <row r="133" spans="1:104" ht="12" customHeight="1">
      <c r="A133" s="268"/>
      <c r="B133" s="268"/>
      <c r="C133" s="116" t="s">
        <v>310</v>
      </c>
      <c r="D133" s="463"/>
      <c r="E133" s="407"/>
      <c r="F133" s="1113"/>
      <c r="G133" s="1113"/>
      <c r="H133" s="1113"/>
      <c r="I133" s="1113"/>
      <c r="J133" s="448"/>
      <c r="K133" s="449"/>
      <c r="L133" s="449"/>
      <c r="M133" s="449"/>
      <c r="N133" s="449"/>
      <c r="O133" s="448"/>
      <c r="P133" s="449"/>
      <c r="Q133" s="449"/>
      <c r="R133" s="449"/>
      <c r="S133" s="449"/>
      <c r="T133" s="448"/>
      <c r="U133" s="449"/>
      <c r="V133" s="449"/>
      <c r="W133" s="449"/>
      <c r="X133" s="449"/>
      <c r="Y133" s="448"/>
      <c r="Z133" s="449"/>
      <c r="AA133" s="449"/>
      <c r="AB133" s="449"/>
      <c r="AC133" s="449"/>
      <c r="AD133" s="448"/>
      <c r="AE133" s="449"/>
      <c r="AF133" s="449"/>
      <c r="AG133" s="449"/>
      <c r="AH133" s="449"/>
      <c r="AI133" s="448"/>
      <c r="AJ133" s="449"/>
      <c r="AK133" s="449"/>
      <c r="AL133" s="449"/>
      <c r="AM133" s="449"/>
      <c r="AN133" s="448"/>
      <c r="AO133" s="449"/>
      <c r="AP133" s="449"/>
      <c r="AQ133" s="449"/>
      <c r="AR133" s="449"/>
      <c r="AS133" s="448"/>
      <c r="AT133" s="449"/>
      <c r="AU133" s="449"/>
      <c r="AV133" s="449"/>
      <c r="AW133" s="449"/>
      <c r="AX133" s="448"/>
      <c r="AY133" s="449"/>
      <c r="AZ133" s="449"/>
      <c r="BA133" s="449"/>
      <c r="BB133" s="449"/>
      <c r="BC133" s="448"/>
      <c r="BD133" s="449"/>
      <c r="BE133" s="449"/>
      <c r="BF133" s="449"/>
      <c r="BG133" s="449"/>
      <c r="BH133" s="448"/>
      <c r="BI133" s="449">
        <f>CCS!BI29</f>
        <v>471</v>
      </c>
      <c r="BJ133" s="449">
        <f>CCS!BJ29</f>
        <v>665</v>
      </c>
      <c r="BK133" s="449">
        <f>CCS!BK29</f>
        <v>615</v>
      </c>
      <c r="BL133" s="449">
        <f>CCS!BL29</f>
        <v>461</v>
      </c>
      <c r="BM133" s="448">
        <f>CCS!BM29</f>
        <v>2212</v>
      </c>
      <c r="BN133" s="449">
        <f>CCS!BN29</f>
        <v>544</v>
      </c>
      <c r="BO133" s="449">
        <f>CCS!BO29</f>
        <v>789</v>
      </c>
      <c r="BP133" s="449">
        <f>CCS!BP29</f>
        <v>632</v>
      </c>
      <c r="BQ133" s="449">
        <f>CCS!BQ29</f>
        <v>460</v>
      </c>
      <c r="BR133" s="448">
        <f>CCS!BR29</f>
        <v>2425</v>
      </c>
      <c r="BS133" s="449">
        <f>CCS!BS29</f>
        <v>520</v>
      </c>
      <c r="BT133" s="449">
        <f>CCS!BT29</f>
        <v>752</v>
      </c>
      <c r="BU133" s="449">
        <f>CCS!BU29</f>
        <v>696</v>
      </c>
      <c r="BV133" s="449">
        <f>CCS!BV29</f>
        <v>622</v>
      </c>
      <c r="BW133" s="448">
        <f>CCS!BW29</f>
        <v>2590</v>
      </c>
      <c r="BX133" s="449">
        <f>CCS!BX29</f>
        <v>537</v>
      </c>
      <c r="BY133" s="449">
        <f>CCS!BY29</f>
        <v>815</v>
      </c>
      <c r="BZ133" s="449">
        <f>CCS!BZ29</f>
        <v>807</v>
      </c>
      <c r="CA133" s="449">
        <f>CCS!CA29</f>
        <v>623</v>
      </c>
      <c r="CB133" s="448">
        <f>CCS!CB29</f>
        <v>2782</v>
      </c>
      <c r="CC133" s="449">
        <f>CCS!CC29</f>
        <v>729</v>
      </c>
      <c r="CD133" s="449">
        <f>CCS!CD29</f>
        <v>823</v>
      </c>
      <c r="CE133" s="449">
        <f>CCS!CE29</f>
        <v>771</v>
      </c>
      <c r="CF133" s="449">
        <f>CCS!CF29</f>
        <v>613</v>
      </c>
      <c r="CG133" s="448">
        <f>CCS!CG29</f>
        <v>2936</v>
      </c>
      <c r="CH133" s="449">
        <f>CCS!CH29</f>
        <v>606</v>
      </c>
      <c r="CI133" s="449">
        <f>CCS!CI29</f>
        <v>872</v>
      </c>
      <c r="CJ133" s="449">
        <f>CCS!CJ29</f>
        <v>801</v>
      </c>
      <c r="CK133" s="449">
        <f>CCS!CK29</f>
        <v>677</v>
      </c>
      <c r="CL133" s="448">
        <f>CCS!CL29</f>
        <v>2956</v>
      </c>
      <c r="CM133" s="449">
        <f>CCS!CM29</f>
        <v>963</v>
      </c>
      <c r="CN133" s="449">
        <f>CCS!CN29</f>
        <v>873</v>
      </c>
      <c r="CO133" s="449">
        <f>CCS!CO29</f>
        <v>828</v>
      </c>
      <c r="CP133" s="449">
        <f>CCS!CP29</f>
        <v>700.3229430521958</v>
      </c>
      <c r="CQ133" s="448">
        <f>CCS!CQ29</f>
        <v>3364.322943052196</v>
      </c>
      <c r="CR133" s="449">
        <f>CCS!CR29</f>
        <v>644.61160315348241</v>
      </c>
      <c r="CS133" s="449">
        <f>CCS!CS29</f>
        <v>915.22392704501783</v>
      </c>
      <c r="CT133" s="449">
        <f>CCS!CT29</f>
        <v>894.94844439453391</v>
      </c>
      <c r="CU133" s="449">
        <f>CCS!CU29</f>
        <v>779.45839384840406</v>
      </c>
      <c r="CV133" s="448">
        <f>CCS!CV29</f>
        <v>3234.242368441438</v>
      </c>
      <c r="CW133" s="448">
        <f>CCS!CW29</f>
        <v>3459.7700152950351</v>
      </c>
      <c r="CX133" s="2233">
        <f>CCS!CX29</f>
        <v>3658.471582332872</v>
      </c>
      <c r="CY133" s="2233">
        <f>CCS!CY29</f>
        <v>3860.1057077248101</v>
      </c>
      <c r="CZ133" s="1107">
        <f t="shared" si="144"/>
        <v>815</v>
      </c>
    </row>
    <row r="134" spans="1:104" ht="12" hidden="1" customHeight="1" outlineLevel="1">
      <c r="A134" s="268"/>
      <c r="B134" s="268"/>
      <c r="C134" s="268" t="str">
        <f>+C14</f>
        <v>Carrier</v>
      </c>
      <c r="D134" s="463"/>
      <c r="E134" s="407"/>
      <c r="F134" s="1112">
        <v>123</v>
      </c>
      <c r="G134" s="1112">
        <v>313</v>
      </c>
      <c r="H134" s="1112">
        <v>242</v>
      </c>
      <c r="I134" s="1112">
        <v>117</v>
      </c>
      <c r="J134" s="448">
        <v>795</v>
      </c>
      <c r="K134" s="449">
        <v>131</v>
      </c>
      <c r="L134" s="449">
        <v>317</v>
      </c>
      <c r="M134" s="449">
        <v>105</v>
      </c>
      <c r="N134" s="449">
        <v>37</v>
      </c>
      <c r="O134" s="448">
        <v>590</v>
      </c>
      <c r="P134" s="449">
        <v>61</v>
      </c>
      <c r="Q134" s="449">
        <v>335</v>
      </c>
      <c r="R134" s="449">
        <v>276</v>
      </c>
      <c r="S134" s="449">
        <v>107</v>
      </c>
      <c r="T134" s="448">
        <v>779</v>
      </c>
      <c r="U134" s="449">
        <v>151</v>
      </c>
      <c r="V134" s="449">
        <v>363</v>
      </c>
      <c r="W134" s="449">
        <v>304</v>
      </c>
      <c r="X134" s="449">
        <v>93</v>
      </c>
      <c r="Y134" s="448">
        <v>911</v>
      </c>
      <c r="Z134" s="449">
        <v>62</v>
      </c>
      <c r="AA134" s="449">
        <v>354</v>
      </c>
      <c r="AB134" s="449">
        <v>301</v>
      </c>
      <c r="AC134" s="449">
        <v>113</v>
      </c>
      <c r="AD134" s="448">
        <v>830</v>
      </c>
      <c r="AE134" s="449">
        <v>152</v>
      </c>
      <c r="AF134" s="449">
        <v>393</v>
      </c>
      <c r="AG134" s="449">
        <v>367</v>
      </c>
      <c r="AH134" s="449">
        <v>192</v>
      </c>
      <c r="AI134" s="448">
        <v>1104</v>
      </c>
      <c r="AJ134" s="449">
        <v>204</v>
      </c>
      <c r="AK134" s="449">
        <v>410</v>
      </c>
      <c r="AL134" s="449">
        <v>430</v>
      </c>
      <c r="AM134" s="449">
        <v>193</v>
      </c>
      <c r="AN134" s="448">
        <v>1237</v>
      </c>
      <c r="AO134" s="449">
        <v>213</v>
      </c>
      <c r="AP134" s="449">
        <v>489</v>
      </c>
      <c r="AQ134" s="449">
        <v>420</v>
      </c>
      <c r="AR134" s="449">
        <v>259</v>
      </c>
      <c r="AS134" s="448">
        <v>1360</v>
      </c>
      <c r="AT134" s="449">
        <v>248</v>
      </c>
      <c r="AU134" s="449">
        <v>487</v>
      </c>
      <c r="AV134" s="449">
        <v>421</v>
      </c>
      <c r="AW134" s="449">
        <v>160</v>
      </c>
      <c r="AX134" s="448">
        <v>1249</v>
      </c>
      <c r="AY134" s="449">
        <v>22</v>
      </c>
      <c r="AZ134" s="449">
        <v>260</v>
      </c>
      <c r="BA134" s="449">
        <v>312</v>
      </c>
      <c r="BB134" s="449">
        <v>146</v>
      </c>
      <c r="BC134" s="448">
        <v>656</v>
      </c>
      <c r="BD134" s="449">
        <v>139</v>
      </c>
      <c r="BE134" s="449">
        <v>333</v>
      </c>
      <c r="BF134" s="449">
        <v>380</v>
      </c>
      <c r="BG134" s="449">
        <v>210</v>
      </c>
      <c r="BH134" s="448">
        <v>1067</v>
      </c>
      <c r="BI134" s="449">
        <v>310</v>
      </c>
      <c r="BJ134" s="449">
        <v>458</v>
      </c>
      <c r="BK134" s="449">
        <v>422</v>
      </c>
      <c r="BL134" s="449">
        <v>330</v>
      </c>
      <c r="BM134" s="448">
        <v>1411</v>
      </c>
      <c r="BN134" s="449"/>
      <c r="BO134" s="449"/>
      <c r="BP134" s="449"/>
      <c r="BQ134" s="449"/>
      <c r="BR134" s="448"/>
      <c r="BS134" s="449"/>
      <c r="BT134" s="449"/>
      <c r="BU134" s="449"/>
      <c r="BV134" s="449"/>
      <c r="BW134" s="448"/>
      <c r="BX134" s="449"/>
      <c r="BY134" s="449"/>
      <c r="BZ134" s="449"/>
      <c r="CA134" s="449"/>
      <c r="CB134" s="448"/>
      <c r="CC134" s="449"/>
      <c r="CD134" s="449"/>
      <c r="CE134" s="449"/>
      <c r="CF134" s="449"/>
      <c r="CG134" s="448"/>
      <c r="CH134" s="449"/>
      <c r="CI134" s="449"/>
      <c r="CJ134" s="449"/>
      <c r="CK134" s="449"/>
      <c r="CL134" s="448"/>
      <c r="CM134" s="449"/>
      <c r="CN134" s="449"/>
      <c r="CO134" s="449"/>
      <c r="CP134" s="449"/>
      <c r="CQ134" s="448"/>
      <c r="CR134" s="449"/>
      <c r="CS134" s="449"/>
      <c r="CT134" s="449"/>
      <c r="CU134" s="449"/>
      <c r="CV134" s="448"/>
      <c r="CW134" s="448"/>
      <c r="CX134" s="2233"/>
      <c r="CY134" s="2233"/>
      <c r="CZ134" s="1107">
        <f t="shared" si="144"/>
        <v>0</v>
      </c>
    </row>
    <row r="135" spans="1:104" ht="12" hidden="1" customHeight="1" outlineLevel="1">
      <c r="A135" s="268"/>
      <c r="B135" s="268"/>
      <c r="C135" s="268" t="str">
        <f>+C15</f>
        <v>Fire &amp; Security</v>
      </c>
      <c r="D135" s="463"/>
      <c r="E135" s="407"/>
      <c r="F135" s="1112"/>
      <c r="G135" s="1112"/>
      <c r="H135" s="1112"/>
      <c r="I135" s="1112"/>
      <c r="J135" s="448"/>
      <c r="K135" s="449"/>
      <c r="L135" s="449"/>
      <c r="M135" s="449"/>
      <c r="N135" s="449"/>
      <c r="O135" s="448"/>
      <c r="P135" s="449"/>
      <c r="Q135" s="449"/>
      <c r="R135" s="449"/>
      <c r="S135" s="449"/>
      <c r="T135" s="448"/>
      <c r="U135" s="449"/>
      <c r="V135" s="449"/>
      <c r="W135" s="449">
        <v>20</v>
      </c>
      <c r="X135" s="449">
        <v>35</v>
      </c>
      <c r="Y135" s="448">
        <v>55</v>
      </c>
      <c r="Z135" s="449">
        <v>31</v>
      </c>
      <c r="AA135" s="449">
        <v>32</v>
      </c>
      <c r="AB135" s="449">
        <v>33</v>
      </c>
      <c r="AC135" s="449">
        <v>34</v>
      </c>
      <c r="AD135" s="448">
        <v>130</v>
      </c>
      <c r="AE135" s="449">
        <v>39</v>
      </c>
      <c r="AF135" s="449">
        <v>53</v>
      </c>
      <c r="AG135" s="449">
        <v>56</v>
      </c>
      <c r="AH135" s="449">
        <v>87</v>
      </c>
      <c r="AI135" s="448">
        <v>235</v>
      </c>
      <c r="AJ135" s="449">
        <v>65</v>
      </c>
      <c r="AK135" s="449">
        <v>65</v>
      </c>
      <c r="AL135" s="449">
        <v>70</v>
      </c>
      <c r="AM135" s="449">
        <v>101</v>
      </c>
      <c r="AN135" s="448">
        <v>301</v>
      </c>
      <c r="AO135" s="449">
        <v>86</v>
      </c>
      <c r="AP135" s="449">
        <v>101</v>
      </c>
      <c r="AQ135" s="449">
        <v>119</v>
      </c>
      <c r="AR135" s="449">
        <v>137</v>
      </c>
      <c r="AS135" s="448">
        <v>443</v>
      </c>
      <c r="AT135" s="449">
        <v>115</v>
      </c>
      <c r="AU135" s="449">
        <v>126</v>
      </c>
      <c r="AV135" s="449">
        <v>154</v>
      </c>
      <c r="AW135" s="449">
        <v>147</v>
      </c>
      <c r="AX135" s="448">
        <v>542</v>
      </c>
      <c r="AY135" s="449">
        <v>93</v>
      </c>
      <c r="AZ135" s="449">
        <v>55</v>
      </c>
      <c r="BA135" s="449">
        <v>149</v>
      </c>
      <c r="BB135" s="449">
        <v>196</v>
      </c>
      <c r="BC135" s="448">
        <v>493</v>
      </c>
      <c r="BD135" s="449">
        <v>123</v>
      </c>
      <c r="BE135" s="449">
        <v>168</v>
      </c>
      <c r="BF135" s="449">
        <v>187</v>
      </c>
      <c r="BG135" s="449">
        <v>236</v>
      </c>
      <c r="BH135" s="448">
        <v>714</v>
      </c>
      <c r="BI135" s="449">
        <v>162</v>
      </c>
      <c r="BJ135" s="449">
        <v>206</v>
      </c>
      <c r="BK135" s="449">
        <v>194</v>
      </c>
      <c r="BL135" s="449">
        <v>130</v>
      </c>
      <c r="BM135" s="448">
        <v>758</v>
      </c>
      <c r="BN135" s="449"/>
      <c r="BO135" s="449"/>
      <c r="BP135" s="449"/>
      <c r="BQ135" s="449"/>
      <c r="BR135" s="448"/>
      <c r="BS135" s="449"/>
      <c r="BT135" s="449"/>
      <c r="BU135" s="449"/>
      <c r="BV135" s="449"/>
      <c r="BW135" s="448"/>
      <c r="BX135" s="449"/>
      <c r="BY135" s="449"/>
      <c r="BZ135" s="449"/>
      <c r="CA135" s="449"/>
      <c r="CB135" s="448"/>
      <c r="CC135" s="449"/>
      <c r="CD135" s="449"/>
      <c r="CE135" s="449"/>
      <c r="CF135" s="449"/>
      <c r="CG135" s="448"/>
      <c r="CH135" s="449"/>
      <c r="CI135" s="449"/>
      <c r="CJ135" s="449"/>
      <c r="CK135" s="449"/>
      <c r="CL135" s="448"/>
      <c r="CM135" s="449"/>
      <c r="CN135" s="449"/>
      <c r="CO135" s="449"/>
      <c r="CP135" s="449"/>
      <c r="CQ135" s="448"/>
      <c r="CR135" s="449"/>
      <c r="CS135" s="449"/>
      <c r="CT135" s="449"/>
      <c r="CU135" s="449"/>
      <c r="CV135" s="448"/>
      <c r="CW135" s="448"/>
      <c r="CX135" s="2233"/>
      <c r="CY135" s="2233"/>
      <c r="CZ135" s="1107">
        <f t="shared" si="144"/>
        <v>0</v>
      </c>
    </row>
    <row r="136" spans="1:104" ht="12" customHeight="1" collapsed="1">
      <c r="A136" s="268"/>
      <c r="B136" s="268"/>
      <c r="C136" s="268" t="str">
        <f>+C16</f>
        <v>Pratt &amp; Whitney</v>
      </c>
      <c r="D136" s="1110"/>
      <c r="E136" s="407"/>
      <c r="F136" s="1112">
        <v>282</v>
      </c>
      <c r="G136" s="1112">
        <v>285</v>
      </c>
      <c r="H136" s="1112">
        <v>300</v>
      </c>
      <c r="I136" s="1112">
        <v>333</v>
      </c>
      <c r="J136" s="448">
        <f>Pratt!N29</f>
        <v>1200</v>
      </c>
      <c r="K136" s="449">
        <f>Pratt!O29</f>
        <v>343</v>
      </c>
      <c r="L136" s="449">
        <f>Pratt!P29</f>
        <v>353</v>
      </c>
      <c r="M136" s="449">
        <f>Pratt!Q29</f>
        <v>337</v>
      </c>
      <c r="N136" s="449">
        <f>Pratt!R29</f>
        <v>275</v>
      </c>
      <c r="O136" s="448">
        <f>Pratt!S29</f>
        <v>1308</v>
      </c>
      <c r="P136" s="449">
        <f>Pratt!T29</f>
        <v>318</v>
      </c>
      <c r="Q136" s="449">
        <f>Pratt!U29</f>
        <v>335</v>
      </c>
      <c r="R136" s="449">
        <f>Pratt!V29</f>
        <v>333</v>
      </c>
      <c r="S136" s="449">
        <f>Pratt!W29</f>
        <v>296</v>
      </c>
      <c r="T136" s="448">
        <f>Pratt!X29</f>
        <v>1282</v>
      </c>
      <c r="U136" s="449">
        <f>Pratt!Y29</f>
        <v>276</v>
      </c>
      <c r="V136" s="449">
        <f>Pratt!Z29</f>
        <v>269</v>
      </c>
      <c r="W136" s="449">
        <f>Pratt!AA29</f>
        <v>281</v>
      </c>
      <c r="X136" s="449">
        <f>Pratt!AB29</f>
        <v>299</v>
      </c>
      <c r="Y136" s="448">
        <f>Pratt!AC29</f>
        <v>1125</v>
      </c>
      <c r="Z136" s="449">
        <f>Pratt!AD29</f>
        <v>206</v>
      </c>
      <c r="AA136" s="449">
        <f>Pratt!AE29</f>
        <v>295</v>
      </c>
      <c r="AB136" s="449">
        <f>Pratt!AF29</f>
        <v>302</v>
      </c>
      <c r="AC136" s="449">
        <f>Pratt!AG29</f>
        <v>280</v>
      </c>
      <c r="AD136" s="448">
        <f>Pratt!AH29</f>
        <v>1083</v>
      </c>
      <c r="AE136" s="449">
        <f>Pratt!AI29</f>
        <v>340</v>
      </c>
      <c r="AF136" s="449">
        <f>Pratt!AJ29</f>
        <v>368</v>
      </c>
      <c r="AG136" s="449">
        <f>Pratt!AK29</f>
        <v>379</v>
      </c>
      <c r="AH136" s="449">
        <f>Pratt!AL29</f>
        <v>362</v>
      </c>
      <c r="AI136" s="448">
        <f>Pratt!AM29</f>
        <v>1449</v>
      </c>
      <c r="AJ136" s="449">
        <f>Pratt!AN29</f>
        <v>430</v>
      </c>
      <c r="AK136" s="449">
        <f>Pratt!AO29</f>
        <v>535</v>
      </c>
      <c r="AL136" s="449">
        <f>Pratt!AP29</f>
        <v>443</v>
      </c>
      <c r="AM136" s="449">
        <f>Pratt!AQ29</f>
        <v>409</v>
      </c>
      <c r="AN136" s="448">
        <f>Pratt!AR29</f>
        <v>1817</v>
      </c>
      <c r="AO136" s="449">
        <f>Pratt!AS29</f>
        <v>490</v>
      </c>
      <c r="AP136" s="449">
        <f>Pratt!AT29</f>
        <v>522</v>
      </c>
      <c r="AQ136" s="449">
        <f>Pratt!AU29</f>
        <v>503</v>
      </c>
      <c r="AR136" s="449">
        <f>Pratt!AV29</f>
        <v>496</v>
      </c>
      <c r="AS136" s="448">
        <f>Pratt!AW29</f>
        <v>2011</v>
      </c>
      <c r="AT136" s="449">
        <f>Pratt!AX29</f>
        <v>526</v>
      </c>
      <c r="AU136" s="449">
        <f>Pratt!AY29</f>
        <v>546</v>
      </c>
      <c r="AV136" s="449">
        <f>Pratt!AZ29</f>
        <v>530</v>
      </c>
      <c r="AW136" s="449">
        <f>Pratt!BA29</f>
        <v>520</v>
      </c>
      <c r="AX136" s="448">
        <f>Pratt!BB29</f>
        <v>2122</v>
      </c>
      <c r="AY136" s="449">
        <f>Pratt!BC29</f>
        <v>436</v>
      </c>
      <c r="AZ136" s="449">
        <f>Pratt!BD29</f>
        <v>467</v>
      </c>
      <c r="BA136" s="449">
        <f>Pratt!BE29</f>
        <v>444</v>
      </c>
      <c r="BB136" s="449">
        <f>Pratt!BF29</f>
        <v>488</v>
      </c>
      <c r="BC136" s="448">
        <f>Pratt!BG29</f>
        <v>1835</v>
      </c>
      <c r="BD136" s="449">
        <f>Pratt!BH29</f>
        <v>436</v>
      </c>
      <c r="BE136" s="449">
        <f>Pratt!BI29</f>
        <v>522</v>
      </c>
      <c r="BF136" s="449">
        <f>Pratt!BJ29</f>
        <v>547</v>
      </c>
      <c r="BG136" s="449">
        <f>Pratt!BK29</f>
        <v>482</v>
      </c>
      <c r="BH136" s="448">
        <f>Pratt!BL29</f>
        <v>1987</v>
      </c>
      <c r="BI136" s="449">
        <f>Pratt!BM29</f>
        <v>428</v>
      </c>
      <c r="BJ136" s="449">
        <f>Pratt!BN29</f>
        <v>424</v>
      </c>
      <c r="BK136" s="449">
        <f>Pratt!BO29</f>
        <v>496</v>
      </c>
      <c r="BL136" s="449">
        <f>Pratt!BP29</f>
        <v>519</v>
      </c>
      <c r="BM136" s="448">
        <f>Pratt!BQ29</f>
        <v>1867</v>
      </c>
      <c r="BN136" s="449">
        <f>Pratt!BR29</f>
        <v>389</v>
      </c>
      <c r="BO136" s="449">
        <f>Pratt!BS29</f>
        <v>427</v>
      </c>
      <c r="BP136" s="449">
        <f>Pratt!BT29</f>
        <v>409</v>
      </c>
      <c r="BQ136" s="449">
        <f>Pratt!BU29</f>
        <v>364</v>
      </c>
      <c r="BR136" s="448">
        <f>Pratt!BV29</f>
        <v>1589</v>
      </c>
      <c r="BS136" s="449">
        <f>Pratt!BW29</f>
        <v>406</v>
      </c>
      <c r="BT136" s="449">
        <f>Pratt!BX29</f>
        <v>567</v>
      </c>
      <c r="BU136" s="449">
        <f>Pratt!BY29</f>
        <v>439</v>
      </c>
      <c r="BV136" s="449">
        <f>Pratt!BZ29</f>
        <v>464</v>
      </c>
      <c r="BW136" s="448">
        <f>Pratt!CA29</f>
        <v>1876</v>
      </c>
      <c r="BX136" s="449">
        <f>Pratt!CB29</f>
        <v>388</v>
      </c>
      <c r="BY136" s="449">
        <f>Pratt!CC29</f>
        <v>432</v>
      </c>
      <c r="BZ136" s="449">
        <f>Pratt!CD29</f>
        <v>633</v>
      </c>
      <c r="CA136" s="449">
        <f>Pratt!CE29</f>
        <v>547</v>
      </c>
      <c r="CB136" s="448">
        <f>Pratt!CF29</f>
        <v>2000</v>
      </c>
      <c r="CC136" s="449">
        <f>Pratt!CG29</f>
        <v>419</v>
      </c>
      <c r="CD136" s="449">
        <f>Pratt!CH29</f>
        <v>487</v>
      </c>
      <c r="CE136" s="449">
        <f>Pratt!CI29</f>
        <v>419</v>
      </c>
      <c r="CF136" s="449">
        <f>Pratt!CJ29</f>
        <v>-464</v>
      </c>
      <c r="CG136" s="448">
        <f>Pratt!CK29</f>
        <v>861</v>
      </c>
      <c r="CH136" s="449">
        <f>Pratt!CL29</f>
        <v>410</v>
      </c>
      <c r="CI136" s="449">
        <f>Pratt!CM29</f>
        <v>386</v>
      </c>
      <c r="CJ136" s="449">
        <f>Pratt!CN29</f>
        <v>340</v>
      </c>
      <c r="CK136" s="449">
        <f>Pratt!CO29</f>
        <v>409</v>
      </c>
      <c r="CL136" s="448">
        <f>Pratt!CP29</f>
        <v>1545</v>
      </c>
      <c r="CM136" s="449">
        <f>Pratt!CQ29</f>
        <v>393</v>
      </c>
      <c r="CN136" s="449">
        <f>Pratt!CR29</f>
        <v>402</v>
      </c>
      <c r="CO136" s="449">
        <f>Pratt!CS29</f>
        <v>229</v>
      </c>
      <c r="CP136" s="449">
        <f>Pratt!CT29</f>
        <v>373.99416801236765</v>
      </c>
      <c r="CQ136" s="448">
        <f>Pratt!CU29</f>
        <v>1397.9941680123677</v>
      </c>
      <c r="CR136" s="449">
        <f>Pratt!CV29</f>
        <v>359.73824744690739</v>
      </c>
      <c r="CS136" s="449">
        <f>Pratt!CW29</f>
        <v>374.73824744690739</v>
      </c>
      <c r="CT136" s="449">
        <f>Pratt!CX29</f>
        <v>389.73824744690739</v>
      </c>
      <c r="CU136" s="449">
        <f>Pratt!CY29</f>
        <v>366.73241545927499</v>
      </c>
      <c r="CV136" s="448">
        <f>Pratt!CZ29</f>
        <v>1490.9471577999971</v>
      </c>
      <c r="CW136" s="448">
        <f>Pratt!DA29</f>
        <v>1952.7489388165939</v>
      </c>
      <c r="CX136" s="2233">
        <f>Pratt!DB29</f>
        <v>2239.3009636403772</v>
      </c>
      <c r="CY136" s="2233">
        <f>Pratt!DC29</f>
        <v>2320.3671167210123</v>
      </c>
      <c r="CZ136" s="1107">
        <f t="shared" si="144"/>
        <v>596</v>
      </c>
    </row>
    <row r="137" spans="1:104" ht="12" hidden="1" customHeight="1">
      <c r="A137" s="268"/>
      <c r="B137" s="268"/>
      <c r="C137" s="268" t="str">
        <f>+C17</f>
        <v>Flight System</v>
      </c>
      <c r="D137" s="1110"/>
      <c r="E137" s="407"/>
      <c r="F137" s="1112">
        <v>138</v>
      </c>
      <c r="G137" s="1112">
        <v>140</v>
      </c>
      <c r="H137" s="1112">
        <v>165</v>
      </c>
      <c r="I137" s="1112">
        <v>171</v>
      </c>
      <c r="J137" s="448">
        <v>614</v>
      </c>
      <c r="K137" s="449">
        <v>168</v>
      </c>
      <c r="L137" s="449">
        <v>179</v>
      </c>
      <c r="M137" s="449">
        <v>174</v>
      </c>
      <c r="N137" s="449">
        <v>149</v>
      </c>
      <c r="O137" s="448">
        <v>670</v>
      </c>
      <c r="P137" s="449"/>
      <c r="Q137" s="449"/>
      <c r="R137" s="449"/>
      <c r="S137" s="449"/>
      <c r="T137" s="448"/>
      <c r="U137" s="449"/>
      <c r="V137" s="449"/>
      <c r="W137" s="449"/>
      <c r="X137" s="449"/>
      <c r="Y137" s="448"/>
      <c r="Z137" s="449"/>
      <c r="AA137" s="449"/>
      <c r="AB137" s="449"/>
      <c r="AC137" s="449"/>
      <c r="AD137" s="448"/>
      <c r="AE137" s="449"/>
      <c r="AF137" s="449"/>
      <c r="AG137" s="449"/>
      <c r="AH137" s="449"/>
      <c r="AI137" s="448"/>
      <c r="AJ137" s="449"/>
      <c r="AK137" s="449"/>
      <c r="AL137" s="449"/>
      <c r="AM137" s="449"/>
      <c r="AN137" s="448"/>
      <c r="AO137" s="449"/>
      <c r="AP137" s="449"/>
      <c r="AQ137" s="449"/>
      <c r="AR137" s="449"/>
      <c r="AS137" s="448"/>
      <c r="AT137" s="449"/>
      <c r="AU137" s="449"/>
      <c r="AV137" s="449"/>
      <c r="AW137" s="449"/>
      <c r="AX137" s="448"/>
      <c r="AY137" s="449"/>
      <c r="AZ137" s="449"/>
      <c r="BA137" s="449"/>
      <c r="BB137" s="449"/>
      <c r="BC137" s="448"/>
      <c r="BD137" s="449"/>
      <c r="BE137" s="449"/>
      <c r="BF137" s="449"/>
      <c r="BG137" s="449"/>
      <c r="BH137" s="448"/>
      <c r="BI137" s="449"/>
      <c r="BJ137" s="449"/>
      <c r="BK137" s="449"/>
      <c r="BL137" s="449"/>
      <c r="BM137" s="448"/>
      <c r="BN137" s="449"/>
      <c r="BO137" s="449"/>
      <c r="BP137" s="449"/>
      <c r="BQ137" s="449"/>
      <c r="BR137" s="448"/>
      <c r="BS137" s="449"/>
      <c r="BT137" s="449"/>
      <c r="BU137" s="449"/>
      <c r="BV137" s="449"/>
      <c r="BW137" s="448"/>
      <c r="BX137" s="449"/>
      <c r="BY137" s="449"/>
      <c r="BZ137" s="449"/>
      <c r="CA137" s="449"/>
      <c r="CB137" s="448"/>
      <c r="CC137" s="449"/>
      <c r="CD137" s="449"/>
      <c r="CE137" s="449"/>
      <c r="CF137" s="449"/>
      <c r="CG137" s="448"/>
      <c r="CH137" s="449"/>
      <c r="CI137" s="449"/>
      <c r="CJ137" s="449"/>
      <c r="CK137" s="449"/>
      <c r="CL137" s="448"/>
      <c r="CM137" s="449"/>
      <c r="CN137" s="449"/>
      <c r="CO137" s="449"/>
      <c r="CP137" s="449"/>
      <c r="CQ137" s="448"/>
      <c r="CR137" s="449"/>
      <c r="CS137" s="449"/>
      <c r="CT137" s="449"/>
      <c r="CU137" s="449"/>
      <c r="CV137" s="448"/>
      <c r="CW137" s="448"/>
      <c r="CX137" s="2233"/>
      <c r="CY137" s="2233"/>
      <c r="CZ137" s="1107">
        <f t="shared" si="144"/>
        <v>606</v>
      </c>
    </row>
    <row r="138" spans="1:104" ht="12" customHeight="1">
      <c r="A138" s="268"/>
      <c r="B138" s="268"/>
      <c r="C138" s="116" t="s">
        <v>164</v>
      </c>
      <c r="D138" s="1110"/>
      <c r="E138" s="407"/>
      <c r="F138" s="1112"/>
      <c r="G138" s="1112"/>
      <c r="H138" s="1112"/>
      <c r="I138" s="1112"/>
      <c r="J138" s="448"/>
      <c r="K138" s="449"/>
      <c r="L138" s="449"/>
      <c r="M138" s="449"/>
      <c r="N138" s="449"/>
      <c r="O138" s="448"/>
      <c r="P138" s="449"/>
      <c r="Q138" s="449"/>
      <c r="R138" s="449"/>
      <c r="S138" s="449"/>
      <c r="T138" s="448"/>
      <c r="U138" s="449"/>
      <c r="V138" s="449"/>
      <c r="W138" s="449"/>
      <c r="X138" s="449"/>
      <c r="Y138" s="448"/>
      <c r="Z138" s="449"/>
      <c r="AA138" s="449"/>
      <c r="AB138" s="449"/>
      <c r="AC138" s="449"/>
      <c r="AD138" s="448"/>
      <c r="AE138" s="449"/>
      <c r="AF138" s="449"/>
      <c r="AG138" s="449"/>
      <c r="AH138" s="449"/>
      <c r="AI138" s="448"/>
      <c r="AJ138" s="449"/>
      <c r="AK138" s="449"/>
      <c r="AL138" s="449"/>
      <c r="AM138" s="449"/>
      <c r="AN138" s="448"/>
      <c r="AO138" s="449"/>
      <c r="AP138" s="449"/>
      <c r="AQ138" s="449"/>
      <c r="AR138" s="449"/>
      <c r="AS138" s="448"/>
      <c r="AT138" s="449"/>
      <c r="AU138" s="449"/>
      <c r="AV138" s="449"/>
      <c r="AW138" s="449"/>
      <c r="AX138" s="448"/>
      <c r="AY138" s="449"/>
      <c r="AZ138" s="449"/>
      <c r="BA138" s="449"/>
      <c r="BB138" s="449"/>
      <c r="BC138" s="448"/>
      <c r="BD138" s="449"/>
      <c r="BE138" s="449"/>
      <c r="BF138" s="449"/>
      <c r="BG138" s="449"/>
      <c r="BH138" s="448"/>
      <c r="BI138" s="449">
        <f>'Aerospace Systems'!O29</f>
        <v>172</v>
      </c>
      <c r="BJ138" s="449">
        <f>'Aerospace Systems'!P29</f>
        <v>185</v>
      </c>
      <c r="BK138" s="449">
        <f>'Aerospace Systems'!Q29</f>
        <v>204</v>
      </c>
      <c r="BL138" s="449">
        <f>'Aerospace Systems'!R29</f>
        <v>198</v>
      </c>
      <c r="BM138" s="448">
        <f>'Aerospace Systems'!S29</f>
        <v>759</v>
      </c>
      <c r="BN138" s="449">
        <f>'Aerospace Systems'!T29</f>
        <v>198</v>
      </c>
      <c r="BO138" s="449">
        <f>'Aerospace Systems'!U29</f>
        <v>211</v>
      </c>
      <c r="BP138" s="449">
        <f>'Aerospace Systems'!V29</f>
        <v>271</v>
      </c>
      <c r="BQ138" s="449">
        <f>'Aerospace Systems'!W29</f>
        <v>264</v>
      </c>
      <c r="BR138" s="448">
        <f>'Aerospace Systems'!X29</f>
        <v>944</v>
      </c>
      <c r="BS138" s="449">
        <f>'Aerospace Systems'!Y29</f>
        <v>501</v>
      </c>
      <c r="BT138" s="449">
        <f>'Aerospace Systems'!Z29</f>
        <v>499</v>
      </c>
      <c r="BU138" s="449">
        <f>'Aerospace Systems'!AA29</f>
        <v>501</v>
      </c>
      <c r="BV138" s="449">
        <f>'Aerospace Systems'!AB29</f>
        <v>517</v>
      </c>
      <c r="BW138" s="448">
        <f>'Aerospace Systems'!AC29</f>
        <v>2018</v>
      </c>
      <c r="BX138" s="449">
        <f>'Aerospace Systems'!AD29</f>
        <v>590</v>
      </c>
      <c r="BY138" s="449">
        <f>'Aerospace Systems'!AE29</f>
        <v>602</v>
      </c>
      <c r="BZ138" s="449">
        <f>'Aerospace Systems'!AF29</f>
        <v>575</v>
      </c>
      <c r="CA138" s="449">
        <f>'Aerospace Systems'!AG29</f>
        <v>588</v>
      </c>
      <c r="CB138" s="448">
        <f>'Aerospace Systems'!AH29</f>
        <v>2355</v>
      </c>
      <c r="CC138" s="449">
        <f>'Aerospace Systems'!AI29</f>
        <v>569</v>
      </c>
      <c r="CD138" s="449">
        <f>'Aerospace Systems'!AJ29</f>
        <v>580</v>
      </c>
      <c r="CE138" s="449">
        <f>'Aerospace Systems'!AK29</f>
        <v>572</v>
      </c>
      <c r="CF138" s="449">
        <f>'Aerospace Systems'!AL29</f>
        <v>167</v>
      </c>
      <c r="CG138" s="448">
        <f>'Aerospace Systems'!AM29</f>
        <v>1888</v>
      </c>
      <c r="CH138" s="449">
        <f>'Aerospace Systems'!AN29</f>
        <v>538</v>
      </c>
      <c r="CI138" s="449">
        <f>'Aerospace Systems'!AO29</f>
        <v>582</v>
      </c>
      <c r="CJ138" s="449">
        <f>'Aerospace Systems'!AP29</f>
        <v>600</v>
      </c>
      <c r="CK138" s="449">
        <f>'Aerospace Systems'!AQ29</f>
        <v>578</v>
      </c>
      <c r="CL138" s="448">
        <f>'Aerospace Systems'!AR29</f>
        <v>2298</v>
      </c>
      <c r="CM138" s="449">
        <f>'Aerospace Systems'!AS29</f>
        <v>576</v>
      </c>
      <c r="CN138" s="449">
        <f>'Aerospace Systems'!AT29</f>
        <v>579</v>
      </c>
      <c r="CO138" s="449">
        <f>'Aerospace Systems'!AU29</f>
        <v>616</v>
      </c>
      <c r="CP138" s="449">
        <f>'Aerospace Systems'!AV29</f>
        <v>582.61780353347467</v>
      </c>
      <c r="CQ138" s="448">
        <f>'Aerospace Systems'!AW29</f>
        <v>2353.6178035334747</v>
      </c>
      <c r="CR138" s="449">
        <f>'Aerospace Systems'!AX29</f>
        <v>594.27700000000004</v>
      </c>
      <c r="CS138" s="449">
        <f>'Aerospace Systems'!AY29</f>
        <v>621.22</v>
      </c>
      <c r="CT138" s="449">
        <f>'Aerospace Systems'!AZ29</f>
        <v>656.18849999999998</v>
      </c>
      <c r="CU138" s="449">
        <f>'Aerospace Systems'!BA29</f>
        <v>632.58803923664664</v>
      </c>
      <c r="CV138" s="448">
        <f>'Aerospace Systems'!BB29</f>
        <v>2504.2735392366467</v>
      </c>
      <c r="CW138" s="448">
        <f>'Aerospace Systems'!BC29</f>
        <v>2659.2483648996422</v>
      </c>
      <c r="CX138" s="2233">
        <f>'Aerospace Systems'!BD29</f>
        <v>2823.3094305630007</v>
      </c>
      <c r="CY138" s="2233">
        <f>'Aerospace Systems'!BE29</f>
        <v>2905.8583413144834</v>
      </c>
      <c r="CZ138" s="1107">
        <f>BY83-BY112-BY125</f>
        <v>602</v>
      </c>
    </row>
    <row r="139" spans="1:104" ht="12" hidden="1" customHeight="1" outlineLevel="1">
      <c r="A139" s="268"/>
      <c r="B139" s="268"/>
      <c r="C139" s="268" t="str">
        <f>+C19</f>
        <v>Hamilton Sundstrand</v>
      </c>
      <c r="D139" s="1110"/>
      <c r="E139" s="407"/>
      <c r="F139" s="449">
        <v>138</v>
      </c>
      <c r="G139" s="449">
        <v>140</v>
      </c>
      <c r="H139" s="449">
        <v>165</v>
      </c>
      <c r="I139" s="449">
        <f>614-F139-G139-H139</f>
        <v>171</v>
      </c>
      <c r="J139" s="448">
        <f>SUM(F139:I139)</f>
        <v>614</v>
      </c>
      <c r="K139" s="449">
        <v>168</v>
      </c>
      <c r="L139" s="449">
        <v>179</v>
      </c>
      <c r="M139" s="449">
        <v>174</v>
      </c>
      <c r="N139" s="449">
        <f>670-K139-L139-M139</f>
        <v>149</v>
      </c>
      <c r="O139" s="448">
        <v>670</v>
      </c>
      <c r="P139" s="449">
        <v>120.472334682861</v>
      </c>
      <c r="Q139" s="449">
        <v>146.39676113360323</v>
      </c>
      <c r="R139" s="449">
        <v>151.73414304993253</v>
      </c>
      <c r="S139" s="449">
        <v>146.39676113360326</v>
      </c>
      <c r="T139" s="448">
        <v>565</v>
      </c>
      <c r="U139" s="449">
        <v>138.64203821656051</v>
      </c>
      <c r="V139" s="449">
        <v>128.2624203821656</v>
      </c>
      <c r="W139" s="449">
        <v>147.53885350318473</v>
      </c>
      <c r="X139" s="449">
        <v>167.55668789808914</v>
      </c>
      <c r="Y139" s="448">
        <v>582</v>
      </c>
      <c r="Z139" s="449">
        <v>131</v>
      </c>
      <c r="AA139" s="449">
        <v>140</v>
      </c>
      <c r="AB139" s="449">
        <v>160</v>
      </c>
      <c r="AC139" s="449">
        <v>152</v>
      </c>
      <c r="AD139" s="448">
        <v>583</v>
      </c>
      <c r="AE139" s="449">
        <v>152</v>
      </c>
      <c r="AF139" s="449">
        <v>170</v>
      </c>
      <c r="AG139" s="449">
        <v>179</v>
      </c>
      <c r="AH139" s="449">
        <v>174</v>
      </c>
      <c r="AI139" s="448">
        <v>675</v>
      </c>
      <c r="AJ139" s="449">
        <v>181</v>
      </c>
      <c r="AK139" s="449">
        <v>212</v>
      </c>
      <c r="AL139" s="449">
        <v>220</v>
      </c>
      <c r="AM139" s="449">
        <v>219</v>
      </c>
      <c r="AN139" s="448">
        <v>832</v>
      </c>
      <c r="AO139" s="449">
        <v>218</v>
      </c>
      <c r="AP139" s="449">
        <v>246</v>
      </c>
      <c r="AQ139" s="449">
        <v>249</v>
      </c>
      <c r="AR139" s="449">
        <v>254</v>
      </c>
      <c r="AS139" s="448">
        <v>967</v>
      </c>
      <c r="AT139" s="449">
        <v>229</v>
      </c>
      <c r="AU139" s="449">
        <v>280</v>
      </c>
      <c r="AV139" s="449">
        <v>286</v>
      </c>
      <c r="AW139" s="449">
        <v>304</v>
      </c>
      <c r="AX139" s="448">
        <v>1074</v>
      </c>
      <c r="AY139" s="449">
        <v>192</v>
      </c>
      <c r="AZ139" s="449">
        <v>187</v>
      </c>
      <c r="BA139" s="449">
        <v>247</v>
      </c>
      <c r="BB139" s="449">
        <v>231</v>
      </c>
      <c r="BC139" s="448">
        <v>857</v>
      </c>
      <c r="BD139" s="449">
        <v>221</v>
      </c>
      <c r="BE139" s="449">
        <v>204</v>
      </c>
      <c r="BF139" s="449">
        <v>255</v>
      </c>
      <c r="BG139" s="449">
        <v>238</v>
      </c>
      <c r="BH139" s="448">
        <v>946</v>
      </c>
      <c r="BI139" s="449">
        <v>172</v>
      </c>
      <c r="BJ139" s="449">
        <v>185</v>
      </c>
      <c r="BK139" s="449">
        <v>282</v>
      </c>
      <c r="BL139" s="449">
        <v>289</v>
      </c>
      <c r="BM139" s="448">
        <v>928</v>
      </c>
      <c r="BN139" s="449">
        <v>198</v>
      </c>
      <c r="BO139" s="449">
        <v>211</v>
      </c>
      <c r="BP139" s="449">
        <v>313.81153090718135</v>
      </c>
      <c r="BQ139" s="449">
        <v>322.38615186823449</v>
      </c>
      <c r="BR139" s="448">
        <v>1045.1976827754161</v>
      </c>
      <c r="BS139" s="449"/>
      <c r="BT139" s="449"/>
      <c r="BU139" s="449"/>
      <c r="BV139" s="449"/>
      <c r="BW139" s="448"/>
      <c r="BX139" s="449"/>
      <c r="BY139" s="449"/>
      <c r="BZ139" s="449"/>
      <c r="CA139" s="449"/>
      <c r="CB139" s="448"/>
      <c r="CC139" s="449"/>
      <c r="CD139" s="449"/>
      <c r="CE139" s="449"/>
      <c r="CF139" s="449"/>
      <c r="CG139" s="448"/>
      <c r="CH139" s="449"/>
      <c r="CI139" s="449"/>
      <c r="CJ139" s="449"/>
      <c r="CK139" s="449"/>
      <c r="CL139" s="448"/>
      <c r="CM139" s="449"/>
      <c r="CN139" s="449"/>
      <c r="CO139" s="449"/>
      <c r="CP139" s="449"/>
      <c r="CQ139" s="448"/>
      <c r="CR139" s="449"/>
      <c r="CS139" s="449"/>
      <c r="CT139" s="449"/>
      <c r="CU139" s="449"/>
      <c r="CV139" s="448"/>
      <c r="CW139" s="448"/>
      <c r="CX139" s="2233"/>
      <c r="CY139" s="2233"/>
      <c r="CZ139" s="1107"/>
    </row>
    <row r="140" spans="1:104" ht="12" customHeight="1" collapsed="1">
      <c r="A140" s="268"/>
      <c r="B140" s="268"/>
      <c r="C140" s="268" t="str">
        <f>+C20</f>
        <v>Sikorsky</v>
      </c>
      <c r="D140" s="1110"/>
      <c r="E140" s="407"/>
      <c r="F140" s="1112"/>
      <c r="G140" s="1112"/>
      <c r="H140" s="1112"/>
      <c r="I140" s="1112"/>
      <c r="J140" s="448"/>
      <c r="K140" s="449"/>
      <c r="L140" s="449"/>
      <c r="M140" s="449"/>
      <c r="N140" s="449"/>
      <c r="O140" s="448"/>
      <c r="P140" s="449">
        <v>37.527665317139004</v>
      </c>
      <c r="Q140" s="449">
        <v>45.603238866396765</v>
      </c>
      <c r="R140" s="449">
        <v>47.265856950067473</v>
      </c>
      <c r="S140" s="449">
        <v>45.603238866396765</v>
      </c>
      <c r="T140" s="448">
        <v>176</v>
      </c>
      <c r="U140" s="449">
        <v>48.357961783439492</v>
      </c>
      <c r="V140" s="449">
        <v>44.737579617834399</v>
      </c>
      <c r="W140" s="449">
        <v>51.461146496815289</v>
      </c>
      <c r="X140" s="449">
        <v>58.443312101910806</v>
      </c>
      <c r="Y140" s="448">
        <v>203</v>
      </c>
      <c r="Z140" s="449">
        <v>46</v>
      </c>
      <c r="AA140" s="449">
        <v>50</v>
      </c>
      <c r="AB140" s="449">
        <v>54</v>
      </c>
      <c r="AC140" s="449">
        <v>50</v>
      </c>
      <c r="AD140" s="448">
        <v>200</v>
      </c>
      <c r="AE140" s="449">
        <v>53</v>
      </c>
      <c r="AF140" s="449">
        <v>63</v>
      </c>
      <c r="AG140" s="449">
        <v>64</v>
      </c>
      <c r="AH140" s="449">
        <v>70</v>
      </c>
      <c r="AI140" s="448">
        <v>250</v>
      </c>
      <c r="AJ140" s="449">
        <v>3</v>
      </c>
      <c r="AK140" s="449">
        <v>42</v>
      </c>
      <c r="AL140" s="449">
        <v>70</v>
      </c>
      <c r="AM140" s="449">
        <v>58</v>
      </c>
      <c r="AN140" s="448">
        <v>173</v>
      </c>
      <c r="AO140" s="449">
        <v>73</v>
      </c>
      <c r="AP140" s="449">
        <v>87</v>
      </c>
      <c r="AQ140" s="449">
        <v>103</v>
      </c>
      <c r="AR140" s="449">
        <v>110</v>
      </c>
      <c r="AS140" s="448">
        <v>373</v>
      </c>
      <c r="AT140" s="449">
        <v>82</v>
      </c>
      <c r="AU140" s="449">
        <v>111</v>
      </c>
      <c r="AV140" s="449">
        <v>133</v>
      </c>
      <c r="AW140" s="449">
        <v>152</v>
      </c>
      <c r="AX140" s="448">
        <v>478</v>
      </c>
      <c r="AY140" s="449">
        <v>116</v>
      </c>
      <c r="AZ140" s="449">
        <v>133</v>
      </c>
      <c r="BA140" s="449">
        <v>157</v>
      </c>
      <c r="BB140" s="449">
        <v>202</v>
      </c>
      <c r="BC140" s="448">
        <v>608</v>
      </c>
      <c r="BD140" s="449">
        <v>145</v>
      </c>
      <c r="BE140" s="449">
        <v>169</v>
      </c>
      <c r="BF140" s="449">
        <v>163</v>
      </c>
      <c r="BG140" s="449">
        <v>239</v>
      </c>
      <c r="BH140" s="448">
        <v>716</v>
      </c>
      <c r="BI140" s="449">
        <v>141</v>
      </c>
      <c r="BJ140" s="449">
        <v>277</v>
      </c>
      <c r="BK140" s="449">
        <v>215</v>
      </c>
      <c r="BL140" s="449">
        <v>207</v>
      </c>
      <c r="BM140" s="448">
        <v>840</v>
      </c>
      <c r="BN140" s="449">
        <v>136</v>
      </c>
      <c r="BO140" s="449">
        <v>213</v>
      </c>
      <c r="BP140" s="449">
        <v>203</v>
      </c>
      <c r="BQ140" s="449">
        <v>160</v>
      </c>
      <c r="BR140" s="448">
        <v>712</v>
      </c>
      <c r="BS140" s="449">
        <v>90</v>
      </c>
      <c r="BT140" s="449">
        <v>156</v>
      </c>
      <c r="BU140" s="449">
        <v>159</v>
      </c>
      <c r="BV140" s="449">
        <v>189</v>
      </c>
      <c r="BW140" s="448">
        <v>594</v>
      </c>
      <c r="BX140" s="449">
        <v>86</v>
      </c>
      <c r="BY140" s="449">
        <v>-317</v>
      </c>
      <c r="BZ140" s="449">
        <v>152</v>
      </c>
      <c r="CA140" s="449">
        <v>298</v>
      </c>
      <c r="CB140" s="448">
        <v>219</v>
      </c>
      <c r="CC140" s="449"/>
      <c r="CD140" s="449"/>
      <c r="CE140" s="449"/>
      <c r="CF140" s="449"/>
      <c r="CG140" s="1097"/>
      <c r="CH140" s="449"/>
      <c r="CI140" s="449"/>
      <c r="CJ140" s="449"/>
      <c r="CK140" s="449"/>
      <c r="CL140" s="448"/>
      <c r="CM140" s="449"/>
      <c r="CN140" s="449"/>
      <c r="CO140" s="449"/>
      <c r="CP140" s="449"/>
      <c r="CQ140" s="448"/>
      <c r="CR140" s="449"/>
      <c r="CS140" s="449"/>
      <c r="CT140" s="449"/>
      <c r="CU140" s="449"/>
      <c r="CV140" s="448"/>
      <c r="CW140" s="448"/>
      <c r="CX140" s="2233"/>
      <c r="CY140" s="2233"/>
      <c r="CZ140" s="1107"/>
    </row>
    <row r="141" spans="1:104" ht="12" customHeight="1">
      <c r="A141" s="268"/>
      <c r="B141" s="268"/>
      <c r="C141" s="268" t="s">
        <v>814</v>
      </c>
      <c r="D141" s="1110"/>
      <c r="E141" s="407"/>
      <c r="F141" s="1095">
        <v>-11</v>
      </c>
      <c r="G141" s="1095">
        <v>3</v>
      </c>
      <c r="H141" s="1095">
        <v>-2</v>
      </c>
      <c r="I141" s="1095">
        <f>-39-F141-G141-H141</f>
        <v>-29</v>
      </c>
      <c r="J141" s="448">
        <f>SUM(F141:I141)</f>
        <v>-39</v>
      </c>
      <c r="K141" s="1095">
        <v>-33</v>
      </c>
      <c r="L141" s="1095">
        <v>-29</v>
      </c>
      <c r="M141" s="1095">
        <v>89</v>
      </c>
      <c r="N141" s="1095">
        <f>25-M141-L141-K141</f>
        <v>-2</v>
      </c>
      <c r="O141" s="448">
        <f>SUM(K141:N141)</f>
        <v>25</v>
      </c>
      <c r="P141" s="1095">
        <v>83</v>
      </c>
      <c r="Q141" s="1095">
        <v>-40</v>
      </c>
      <c r="R141" s="1095">
        <v>-43</v>
      </c>
      <c r="S141" s="1095">
        <v>-27</v>
      </c>
      <c r="T141" s="448">
        <f>SUM(P141:S141)</f>
        <v>-27</v>
      </c>
      <c r="U141" s="1095">
        <v>-37</v>
      </c>
      <c r="V141" s="1095">
        <v>-48</v>
      </c>
      <c r="W141" s="1095">
        <v>-55</v>
      </c>
      <c r="X141" s="1095">
        <v>-34</v>
      </c>
      <c r="Y141" s="448">
        <f>SUM(U141:X141)</f>
        <v>-174</v>
      </c>
      <c r="Z141" s="1095">
        <v>217</v>
      </c>
      <c r="AA141" s="1095">
        <v>74</v>
      </c>
      <c r="AB141" s="1095">
        <v>-26</v>
      </c>
      <c r="AC141" s="449">
        <v>103</v>
      </c>
      <c r="AD141" s="448">
        <f>SUM(Z141:AC141)</f>
        <v>368</v>
      </c>
      <c r="AE141" s="1095">
        <v>11</v>
      </c>
      <c r="AF141" s="1095">
        <v>102</v>
      </c>
      <c r="AG141" s="1095">
        <v>-26</v>
      </c>
      <c r="AH141" s="1095">
        <v>-6</v>
      </c>
      <c r="AI141" s="448">
        <f>SUM(AE141:AH141)</f>
        <v>81</v>
      </c>
      <c r="AJ141" s="1095">
        <v>45</v>
      </c>
      <c r="AK141" s="1095">
        <v>84</v>
      </c>
      <c r="AL141" s="1095">
        <v>31</v>
      </c>
      <c r="AM141" s="1095">
        <v>27</v>
      </c>
      <c r="AN141" s="448">
        <f>SUM(AJ141:AM141)</f>
        <v>187</v>
      </c>
      <c r="AO141" s="1095">
        <v>-63</v>
      </c>
      <c r="AP141" s="1095">
        <v>-20</v>
      </c>
      <c r="AQ141" s="1095">
        <v>11</v>
      </c>
      <c r="AR141" s="449">
        <v>12</v>
      </c>
      <c r="AS141" s="448">
        <f>SUM(AO141:AR141)</f>
        <v>-60</v>
      </c>
      <c r="AT141" s="1095">
        <v>-9</v>
      </c>
      <c r="AU141" s="1095">
        <v>-13</v>
      </c>
      <c r="AV141" s="1095">
        <v>-33</v>
      </c>
      <c r="AW141" s="449">
        <f>AX141-AT141-AU141-AV141</f>
        <v>54</v>
      </c>
      <c r="AX141" s="448">
        <v>-1</v>
      </c>
      <c r="AY141" s="1095">
        <v>-37</v>
      </c>
      <c r="AZ141" s="1095">
        <v>-7</v>
      </c>
      <c r="BA141" s="1095">
        <v>-98</v>
      </c>
      <c r="BB141" s="449">
        <f>BC141-BA141-AZ141-AY141</f>
        <v>-113</v>
      </c>
      <c r="BC141" s="1094">
        <v>-255</v>
      </c>
      <c r="BD141" s="1095">
        <v>-60</v>
      </c>
      <c r="BE141" s="1095">
        <v>-62</v>
      </c>
      <c r="BF141" s="1095">
        <v>-199</v>
      </c>
      <c r="BG141" s="449">
        <f>BH141-BF141-BE141-BD141</f>
        <v>-88</v>
      </c>
      <c r="BH141" s="1094">
        <v>-409</v>
      </c>
      <c r="BI141" s="1095">
        <v>-53</v>
      </c>
      <c r="BJ141" s="1095">
        <v>-40</v>
      </c>
      <c r="BK141" s="1095">
        <v>-8</v>
      </c>
      <c r="BL141" s="449">
        <f>BM141-BK141-BJ141-BI141</f>
        <v>-127</v>
      </c>
      <c r="BM141" s="1094">
        <v>-228</v>
      </c>
      <c r="BN141" s="1095">
        <v>-24</v>
      </c>
      <c r="BO141" s="1095">
        <v>-8</v>
      </c>
      <c r="BP141" s="1095">
        <v>-22</v>
      </c>
      <c r="BQ141" s="449">
        <f>BR141-BP141-BO141-BN141</f>
        <v>-18</v>
      </c>
      <c r="BR141" s="1094">
        <v>-72</v>
      </c>
      <c r="BS141" s="449">
        <v>21</v>
      </c>
      <c r="BT141" s="449">
        <v>4</v>
      </c>
      <c r="BU141" s="449">
        <v>4</v>
      </c>
      <c r="BV141" s="1111">
        <v>-10</v>
      </c>
      <c r="BW141" s="1109">
        <f>SUM(BS141:BV141)</f>
        <v>19</v>
      </c>
      <c r="BX141" s="1111">
        <v>39</v>
      </c>
      <c r="BY141" s="1111">
        <v>249</v>
      </c>
      <c r="BZ141" s="1111">
        <f>BZ53-BZ74-BZ115+BZ128-BZ142</f>
        <v>0</v>
      </c>
      <c r="CA141" s="1111">
        <f>CA53-CA74-CA115+CA128-CA142</f>
        <v>-27</v>
      </c>
      <c r="CB141" s="1109">
        <f>SUM(BX141:CA141)</f>
        <v>261</v>
      </c>
      <c r="CC141" s="1111">
        <f>+CC143-CC142-SUM(CC132:CC140)</f>
        <v>48</v>
      </c>
      <c r="CD141" s="1111">
        <f>+CD143-CD142-SUM(CD132:CD140)</f>
        <v>25</v>
      </c>
      <c r="CE141" s="1111">
        <f>+CE143-CE142-SUM(CE132:CE140)</f>
        <v>-5</v>
      </c>
      <c r="CF141" s="1111">
        <f>+CF143-CF142-SUM(CF132:CF140)</f>
        <v>-338</v>
      </c>
      <c r="CG141" s="1109">
        <f>SUM(CC141:CF141)</f>
        <v>-270</v>
      </c>
      <c r="CH141" s="1111">
        <f>+CH143-CH142-SUM(CH132:CH140)</f>
        <v>16</v>
      </c>
      <c r="CI141" s="1111">
        <f>+CI143-CI142-SUM(CI132:CI140)</f>
        <v>13</v>
      </c>
      <c r="CJ141" s="1111">
        <f>+CJ143-CJ142-SUM(CJ132:CJ140)</f>
        <v>18</v>
      </c>
      <c r="CK141" s="1111">
        <f>+CK143-CK142-SUM(CK132:CK140)</f>
        <v>-415</v>
      </c>
      <c r="CL141" s="1109">
        <f>SUM(CH141:CK141)</f>
        <v>-368</v>
      </c>
      <c r="CM141" s="1111">
        <f>+CM143-CM142-SUM(CM132:CM140)</f>
        <v>-13</v>
      </c>
      <c r="CN141" s="1111">
        <f>+CN143-CN142-SUM(CN132:CN140)</f>
        <v>-2</v>
      </c>
      <c r="CO141" s="1111">
        <f>+CO143-CO142-SUM(CO132:CO140)</f>
        <v>40</v>
      </c>
      <c r="CP141" s="1111">
        <f>CP87-CP128-CP115</f>
        <v>-60</v>
      </c>
      <c r="CQ141" s="1109">
        <f>SUM(CM141:CP141)</f>
        <v>-35</v>
      </c>
      <c r="CR141" s="1111">
        <f>CR53-CR74-CR115+CR128-CR142+CR87</f>
        <v>-23.75</v>
      </c>
      <c r="CS141" s="1111">
        <f t="shared" ref="CS141:CY141" si="145">CS53-CS74-CS115+CS128-CS142+CS87</f>
        <v>-23.75</v>
      </c>
      <c r="CT141" s="1111">
        <f t="shared" si="145"/>
        <v>-23.75</v>
      </c>
      <c r="CU141" s="1111">
        <f t="shared" si="145"/>
        <v>-23.75</v>
      </c>
      <c r="CV141" s="1109">
        <f t="shared" si="145"/>
        <v>-95</v>
      </c>
      <c r="CW141" s="1109">
        <f t="shared" si="145"/>
        <v>-20</v>
      </c>
      <c r="CX141" s="1109">
        <f t="shared" si="145"/>
        <v>-20</v>
      </c>
      <c r="CY141" s="1109">
        <f t="shared" si="145"/>
        <v>-20</v>
      </c>
      <c r="CZ141" s="1107">
        <f>BY87-BY115-BY128</f>
        <v>-191</v>
      </c>
    </row>
    <row r="142" spans="1:104" ht="12" customHeight="1">
      <c r="A142" s="268"/>
      <c r="B142" s="268"/>
      <c r="C142" s="268" t="s">
        <v>815</v>
      </c>
      <c r="D142" s="1110"/>
      <c r="E142" s="407"/>
      <c r="F142" s="1095">
        <v>-57</v>
      </c>
      <c r="G142" s="1095">
        <v>-57</v>
      </c>
      <c r="H142" s="1095">
        <v>-56</v>
      </c>
      <c r="I142" s="1095">
        <f>-228-F142-G142-H142</f>
        <v>-58</v>
      </c>
      <c r="J142" s="448">
        <f>SUM(F142:I142)</f>
        <v>-228</v>
      </c>
      <c r="K142" s="1095">
        <v>-52</v>
      </c>
      <c r="L142" s="1095">
        <v>-54</v>
      </c>
      <c r="M142" s="1095">
        <v>-47</v>
      </c>
      <c r="N142" s="1095">
        <f>-207-M142-L142-K142</f>
        <v>-54</v>
      </c>
      <c r="O142" s="448">
        <f>SUM(K142:N142)</f>
        <v>-207</v>
      </c>
      <c r="P142" s="1095">
        <v>-57</v>
      </c>
      <c r="Q142" s="1095">
        <v>-54</v>
      </c>
      <c r="R142" s="1095">
        <v>-48</v>
      </c>
      <c r="S142" s="1095">
        <v>-16</v>
      </c>
      <c r="T142" s="448">
        <f>SUM(P142:S142)</f>
        <v>-175</v>
      </c>
      <c r="U142" s="1095">
        <v>-54</v>
      </c>
      <c r="V142" s="1095">
        <v>-60</v>
      </c>
      <c r="W142" s="1095">
        <v>-51</v>
      </c>
      <c r="X142" s="1095">
        <v>-69</v>
      </c>
      <c r="Y142" s="448">
        <f>SUM(U142:X142)</f>
        <v>-234</v>
      </c>
      <c r="Z142" s="1095">
        <v>-75</v>
      </c>
      <c r="AA142" s="1095">
        <v>-70</v>
      </c>
      <c r="AB142" s="1095">
        <v>-79</v>
      </c>
      <c r="AC142" s="449">
        <v>-82</v>
      </c>
      <c r="AD142" s="448">
        <f>SUM(Z142:AC142)</f>
        <v>-306</v>
      </c>
      <c r="AE142" s="1095">
        <v>-81</v>
      </c>
      <c r="AF142" s="1095">
        <v>-82</v>
      </c>
      <c r="AG142" s="1095">
        <v>-77</v>
      </c>
      <c r="AH142" s="1095">
        <v>-84</v>
      </c>
      <c r="AI142" s="448">
        <f>SUM(AE142:AH142)</f>
        <v>-324</v>
      </c>
      <c r="AJ142" s="1095">
        <v>-85</v>
      </c>
      <c r="AK142" s="1095">
        <v>-79</v>
      </c>
      <c r="AL142" s="1095">
        <v>-80</v>
      </c>
      <c r="AM142" s="1095">
        <v>-93</v>
      </c>
      <c r="AN142" s="448">
        <f>SUM(AJ142:AM142)</f>
        <v>-337</v>
      </c>
      <c r="AO142" s="1095">
        <v>-87</v>
      </c>
      <c r="AP142" s="1095">
        <v>-92</v>
      </c>
      <c r="AQ142" s="1095">
        <v>-84</v>
      </c>
      <c r="AR142" s="449">
        <v>-123</v>
      </c>
      <c r="AS142" s="448">
        <f>SUM(AO142:AR142)</f>
        <v>-386</v>
      </c>
      <c r="AT142" s="1095">
        <v>-97</v>
      </c>
      <c r="AU142" s="1095">
        <v>-109</v>
      </c>
      <c r="AV142" s="1095">
        <v>-90</v>
      </c>
      <c r="AW142" s="449">
        <f>AX142-AT142-AU142-AV142</f>
        <v>-112</v>
      </c>
      <c r="AX142" s="448">
        <v>-408</v>
      </c>
      <c r="AY142" s="1095">
        <v>-78</v>
      </c>
      <c r="AZ142" s="1095">
        <v>-89</v>
      </c>
      <c r="BA142" s="1095">
        <v>-73</v>
      </c>
      <c r="BB142" s="449">
        <f>BC142-BA142-AZ142-AY142</f>
        <v>-108</v>
      </c>
      <c r="BC142" s="1094">
        <v>-348</v>
      </c>
      <c r="BD142" s="1095">
        <v>-77</v>
      </c>
      <c r="BE142" s="1095">
        <v>-93</v>
      </c>
      <c r="BF142" s="1095">
        <v>-83</v>
      </c>
      <c r="BG142" s="449">
        <f>BH142-BF142-BE142-BD142</f>
        <v>-124</v>
      </c>
      <c r="BH142" s="1094">
        <v>-377</v>
      </c>
      <c r="BI142" s="1095">
        <v>-89</v>
      </c>
      <c r="BJ142" s="1095">
        <v>-104</v>
      </c>
      <c r="BK142" s="1095">
        <v>-102</v>
      </c>
      <c r="BL142" s="449">
        <f>BM142-BK142-BJ142-BI142</f>
        <v>-124</v>
      </c>
      <c r="BM142" s="1094">
        <v>-419</v>
      </c>
      <c r="BN142" s="1095">
        <v>-96</v>
      </c>
      <c r="BO142" s="1095">
        <v>-104</v>
      </c>
      <c r="BP142" s="1095">
        <v>-103</v>
      </c>
      <c r="BQ142" s="449">
        <f>BR142-BP142-BO142-BN142</f>
        <v>-123</v>
      </c>
      <c r="BR142" s="1094">
        <v>-426</v>
      </c>
      <c r="BS142" s="449">
        <f>+BS143-SUM(BS132:BS141)</f>
        <v>-107</v>
      </c>
      <c r="BT142" s="449">
        <f>+BT143-SUM(BT132:BT141)</f>
        <v>-121</v>
      </c>
      <c r="BU142" s="449">
        <f>+BU143-SUM(BU132:BU141)</f>
        <v>-114</v>
      </c>
      <c r="BV142" s="449">
        <f>+BV143-SUM(BV132:BV141)</f>
        <v>-136</v>
      </c>
      <c r="BW142" s="1109">
        <f>SUM(BS142:BV142)</f>
        <v>-478</v>
      </c>
      <c r="BX142" s="449">
        <f>+BX143-SUM(BX132:BX141)</f>
        <v>-112</v>
      </c>
      <c r="BY142" s="449">
        <v>-119</v>
      </c>
      <c r="BZ142" s="449">
        <v>-124</v>
      </c>
      <c r="CA142" s="449">
        <v>-133</v>
      </c>
      <c r="CB142" s="448">
        <f>SUM(BX142:CA142)</f>
        <v>-488</v>
      </c>
      <c r="CC142" s="1108">
        <v>-110</v>
      </c>
      <c r="CD142" s="1108">
        <v>-120</v>
      </c>
      <c r="CE142" s="449">
        <v>-97</v>
      </c>
      <c r="CF142" s="449">
        <v>-128</v>
      </c>
      <c r="CG142" s="448">
        <f>SUM(CC142:CF142)</f>
        <v>-455</v>
      </c>
      <c r="CH142" s="1882">
        <v>-91</v>
      </c>
      <c r="CI142" s="1882">
        <v>-97</v>
      </c>
      <c r="CJ142" s="1882">
        <v>-92</v>
      </c>
      <c r="CK142" s="1882">
        <v>-126</v>
      </c>
      <c r="CL142" s="448">
        <f>SUM(CH142:CK142)</f>
        <v>-406</v>
      </c>
      <c r="CM142" s="449">
        <v>-104</v>
      </c>
      <c r="CN142" s="449">
        <v>-106</v>
      </c>
      <c r="CO142" s="449">
        <v>-105</v>
      </c>
      <c r="CP142" s="449">
        <f>CP88+CP129</f>
        <v>-124.05225784263624</v>
      </c>
      <c r="CQ142" s="1109">
        <f>SUM(CM142:CP142)</f>
        <v>-439.05225784263621</v>
      </c>
      <c r="CR142" s="449">
        <f>+CR53-CR74+CR129-CR116</f>
        <v>-124.63806446065908</v>
      </c>
      <c r="CS142" s="449">
        <f>+CS53-CS74+CS129-CS116</f>
        <v>-124.63806446065908</v>
      </c>
      <c r="CT142" s="449">
        <f>+CT53-CT74+CT129-CT116</f>
        <v>-124.63806446065908</v>
      </c>
      <c r="CU142" s="449">
        <f>+CU53-CU74+CU129-CU116</f>
        <v>-124.63806446065908</v>
      </c>
      <c r="CV142" s="448">
        <f>+CV53-CV74</f>
        <v>-498.55225784263632</v>
      </c>
      <c r="CW142" s="448">
        <f>+CW53-CW74</f>
        <v>-498.55225784263632</v>
      </c>
      <c r="CX142" s="2233">
        <f>+CX53-CX74</f>
        <v>-498.55225784263632</v>
      </c>
      <c r="CY142" s="2233">
        <f>+CY53-CY74</f>
        <v>-498.55225784263632</v>
      </c>
      <c r="CZ142" s="1107">
        <f>BY88-BY116-BY129</f>
        <v>-119</v>
      </c>
    </row>
    <row r="143" spans="1:104" ht="12" customHeight="1" thickBot="1">
      <c r="A143" s="271"/>
      <c r="B143" s="271"/>
      <c r="C143" s="1093" t="s">
        <v>248</v>
      </c>
      <c r="D143" s="1093"/>
      <c r="E143" s="1100"/>
      <c r="F143" s="1106">
        <v>667</v>
      </c>
      <c r="G143" s="1106">
        <v>878</v>
      </c>
      <c r="H143" s="1106">
        <v>850</v>
      </c>
      <c r="I143" s="1106">
        <v>745</v>
      </c>
      <c r="J143" s="1105">
        <f>IS!J39</f>
        <v>3140</v>
      </c>
      <c r="K143" s="1090">
        <f>IS!K39</f>
        <v>777</v>
      </c>
      <c r="L143" s="1090">
        <f>IS!L39</f>
        <v>989</v>
      </c>
      <c r="M143" s="1090">
        <f>IS!M39</f>
        <v>822</v>
      </c>
      <c r="N143" s="1090">
        <f>O143-K143-L143-M143</f>
        <v>645</v>
      </c>
      <c r="O143" s="1089">
        <f>IS!O39</f>
        <v>3233</v>
      </c>
      <c r="P143" s="1090">
        <f>IS!P39</f>
        <v>797</v>
      </c>
      <c r="Q143" s="1090">
        <f>IS!Q39</f>
        <v>1031</v>
      </c>
      <c r="R143" s="1090">
        <f>IS!R39</f>
        <v>1002</v>
      </c>
      <c r="S143" s="1090">
        <f>IS!S39</f>
        <v>827</v>
      </c>
      <c r="T143" s="1089">
        <f>IS!T39</f>
        <v>3657</v>
      </c>
      <c r="U143" s="1090">
        <f>IS!U39</f>
        <v>837</v>
      </c>
      <c r="V143" s="1090">
        <f>IS!V39</f>
        <v>1033</v>
      </c>
      <c r="W143" s="1090">
        <f>IS!W39</f>
        <v>1048</v>
      </c>
      <c r="X143" s="1090">
        <f>IS!X39</f>
        <v>927</v>
      </c>
      <c r="Y143" s="1089">
        <f>IS!Y39</f>
        <v>3845</v>
      </c>
      <c r="Z143" s="1090">
        <f>IS!Z39</f>
        <v>920</v>
      </c>
      <c r="AA143" s="1090">
        <f>IS!AA39</f>
        <v>1217</v>
      </c>
      <c r="AB143" s="1090">
        <f>IS!AB39</f>
        <v>1130</v>
      </c>
      <c r="AC143" s="1090">
        <f>IS!AC39</f>
        <v>1034</v>
      </c>
      <c r="AD143" s="1089">
        <f>SUM(Z143:AC143)</f>
        <v>4301</v>
      </c>
      <c r="AE143" s="1090">
        <f>IS!AE39</f>
        <v>1088</v>
      </c>
      <c r="AF143" s="1090">
        <f>IS!AF39</f>
        <v>1489</v>
      </c>
      <c r="AG143" s="1090">
        <f>IS!AG39</f>
        <v>1384</v>
      </c>
      <c r="AH143" s="1090">
        <f>IS!AH39</f>
        <v>1221</v>
      </c>
      <c r="AI143" s="1089">
        <f>IS!AI39</f>
        <v>5182</v>
      </c>
      <c r="AJ143" s="1090">
        <f>IS!AJ39</f>
        <v>1282</v>
      </c>
      <c r="AK143" s="1090">
        <f>IS!AK39</f>
        <v>1741</v>
      </c>
      <c r="AL143" s="1090">
        <f>IS!AL39</f>
        <v>1647</v>
      </c>
      <c r="AM143" s="1090">
        <f>IS!AM39</f>
        <v>1428</v>
      </c>
      <c r="AN143" s="1089">
        <f>IS!AN39</f>
        <v>6098</v>
      </c>
      <c r="AO143" s="1090">
        <f>IS!AO39</f>
        <v>1504</v>
      </c>
      <c r="AP143" s="1090">
        <f>IS!AP39</f>
        <v>1865</v>
      </c>
      <c r="AQ143" s="1090">
        <f>IS!AQ39</f>
        <v>1888</v>
      </c>
      <c r="AR143" s="1090">
        <f>IS!AR39</f>
        <v>1793</v>
      </c>
      <c r="AS143" s="1089">
        <f>IS!AS39</f>
        <v>7050</v>
      </c>
      <c r="AT143" s="1090">
        <f>IS!AT39</f>
        <v>1674</v>
      </c>
      <c r="AU143" s="1090">
        <f>IS!AU39</f>
        <v>2099</v>
      </c>
      <c r="AV143" s="1090">
        <f>IS!AV39</f>
        <v>2049</v>
      </c>
      <c r="AW143" s="1090">
        <f>IS!AW39</f>
        <v>1803</v>
      </c>
      <c r="AX143" s="1089">
        <f>IS!AX39</f>
        <v>7625</v>
      </c>
      <c r="AY143" s="1090">
        <f>SUM(AY132,AY134:AY136,AY139:AY142)</f>
        <v>1250</v>
      </c>
      <c r="AZ143" s="1090">
        <f>SUM(AZ132,AZ134:AZ136,AZ139:AZ142)</f>
        <v>1637</v>
      </c>
      <c r="BA143" s="1090">
        <f>SUM(BA132,BA134:BA136,BA139:BA142)</f>
        <v>1771</v>
      </c>
      <c r="BB143" s="1090">
        <f>SUM(BB132,BB134:BB136,BB139:BB142)</f>
        <v>1719</v>
      </c>
      <c r="BC143" s="1089">
        <f>SUM(BC132,BC134:BC136,BC139:BC142)</f>
        <v>6293</v>
      </c>
      <c r="BD143" s="1090">
        <f>IS!BD39</f>
        <v>1523</v>
      </c>
      <c r="BE143" s="1090">
        <f>IS!BE39</f>
        <v>1882</v>
      </c>
      <c r="BF143" s="1090">
        <f>IS!BF39</f>
        <v>1928</v>
      </c>
      <c r="BG143" s="1090">
        <f>IS!BG39</f>
        <v>1853</v>
      </c>
      <c r="BH143" s="1089">
        <f>IS!BH39</f>
        <v>7186</v>
      </c>
      <c r="BI143" s="1090">
        <f>IS!BI39</f>
        <v>1700</v>
      </c>
      <c r="BJ143" s="1090">
        <f>IS!BJ39</f>
        <v>2150</v>
      </c>
      <c r="BK143" s="1090">
        <f>IS!BK39</f>
        <v>2151</v>
      </c>
      <c r="BL143" s="1090">
        <f>IS!BL39</f>
        <v>1845</v>
      </c>
      <c r="BM143" s="1089">
        <f>IS!BM39</f>
        <v>7846</v>
      </c>
      <c r="BN143" s="1090">
        <f>IS!BN39</f>
        <v>1713</v>
      </c>
      <c r="BO143" s="1090">
        <f>IS!BO39</f>
        <v>2179</v>
      </c>
      <c r="BP143" s="1090">
        <f>IS!BP39</f>
        <v>2041</v>
      </c>
      <c r="BQ143" s="1090">
        <f>IS!BQ39</f>
        <v>1751</v>
      </c>
      <c r="BR143" s="1089">
        <f>IS!BR39</f>
        <v>7684</v>
      </c>
      <c r="BS143" s="1090">
        <f>IS!BS39</f>
        <v>2006</v>
      </c>
      <c r="BT143" s="1090">
        <f>IS!BT39</f>
        <v>2507</v>
      </c>
      <c r="BU143" s="1090">
        <f>IS!BU39</f>
        <v>2366</v>
      </c>
      <c r="BV143" s="1090">
        <f>IS!BV39</f>
        <v>2330</v>
      </c>
      <c r="BW143" s="1089">
        <f>SUM(BW142,BW141,BW140,BW138,BW136,BW133,BW132)</f>
        <v>9209</v>
      </c>
      <c r="BX143" s="1090">
        <f>+IS!BX39</f>
        <v>2098</v>
      </c>
      <c r="BY143" s="1090">
        <f>+IS!BY39</f>
        <v>2355</v>
      </c>
      <c r="BZ143" s="1090">
        <f>+IS!BZ39</f>
        <v>2746</v>
      </c>
      <c r="CA143" s="1090">
        <f>+IS!CA39</f>
        <v>2570</v>
      </c>
      <c r="CB143" s="1089">
        <f>SUM(CB142,CB141,CB140,CB138,CB136,CB133,CB132)</f>
        <v>9769</v>
      </c>
      <c r="CC143" s="1090">
        <f>+IS!CC39</f>
        <v>2182</v>
      </c>
      <c r="CD143" s="1090">
        <f>+IS!CD39</f>
        <v>2422</v>
      </c>
      <c r="CE143" s="1090">
        <f>+IS!CE39</f>
        <v>2302</v>
      </c>
      <c r="CF143" s="1090">
        <f>+IS!CF39</f>
        <v>392</v>
      </c>
      <c r="CG143" s="1089">
        <f>SUM(CG142,CG141,CG140,CG138,CG136,CG133,CG132)</f>
        <v>7298</v>
      </c>
      <c r="CH143" s="1090">
        <f>+IS!CH39</f>
        <v>1945</v>
      </c>
      <c r="CI143" s="1090">
        <f>+IS!CI39</f>
        <v>2337</v>
      </c>
      <c r="CJ143" s="1090">
        <f>+IS!CJ39</f>
        <v>2251</v>
      </c>
      <c r="CK143" s="1090">
        <f>+IS!CK39</f>
        <v>1639</v>
      </c>
      <c r="CL143" s="1089">
        <f t="shared" ref="CL143:CW143" si="146">SUM(CL142,CL141,CL140,CL138,CL136,CL133,CL132)</f>
        <v>8172</v>
      </c>
      <c r="CM143" s="1090">
        <f>+IS!CM39</f>
        <v>2267</v>
      </c>
      <c r="CN143" s="1090">
        <f>+IS!CN39</f>
        <v>2290</v>
      </c>
      <c r="CO143" s="1090">
        <f>+IS!CO39</f>
        <v>2163</v>
      </c>
      <c r="CP143" s="1090">
        <f t="shared" si="146"/>
        <v>1968.751506742768</v>
      </c>
      <c r="CQ143" s="1089">
        <f t="shared" si="146"/>
        <v>8688.7515067427685</v>
      </c>
      <c r="CR143" s="1090">
        <f>SUM(CR142,CR141,CR140,CR138,CR136,CR133,CR132)</f>
        <v>1909.6551929882021</v>
      </c>
      <c r="CS143" s="1090">
        <f>SUM(CS142,CS141,CS140,CS138,CS136,CS133,CS132)</f>
        <v>2323.2725865784505</v>
      </c>
      <c r="CT143" s="1090">
        <f>SUM(CT142,CT141,CT140,CT138,CT136,CT133,CT132)</f>
        <v>2366.6034298648428</v>
      </c>
      <c r="CU143" s="1090">
        <f>SUM(CU142,CU141,CU140,CU138,CU136,CU133,CU132)</f>
        <v>2135.2109740845008</v>
      </c>
      <c r="CV143" s="1089">
        <f t="shared" si="146"/>
        <v>8734.7421835159967</v>
      </c>
      <c r="CW143" s="1089">
        <f t="shared" si="146"/>
        <v>9721.9513972851601</v>
      </c>
      <c r="CX143" s="1089">
        <f>SUM(CX142,CX141,CX140,CX138,CX136,CX133,CX132)</f>
        <v>10446.40450742418</v>
      </c>
      <c r="CY143" s="1089">
        <f>SUM(CY142,CY141,CY140,CY138,CY136,CY133,CY132)</f>
        <v>10842.0797591917</v>
      </c>
      <c r="CZ143" s="271"/>
    </row>
    <row r="144" spans="1:104" ht="12" customHeight="1" thickTop="1">
      <c r="A144" s="434"/>
      <c r="B144" s="434"/>
      <c r="C144" s="434"/>
      <c r="D144" s="463"/>
      <c r="E144" s="1088"/>
      <c r="F144" s="1088"/>
      <c r="G144" s="1088"/>
      <c r="H144" s="1088"/>
      <c r="I144" s="1088"/>
      <c r="J144" s="1086"/>
      <c r="K144" s="1088"/>
      <c r="L144" s="1088"/>
      <c r="M144" s="1088"/>
      <c r="N144" s="1088"/>
      <c r="O144" s="1086"/>
      <c r="P144" s="1088"/>
      <c r="Q144" s="1088"/>
      <c r="R144" s="1088"/>
      <c r="S144" s="1088"/>
      <c r="T144" s="1086"/>
      <c r="U144" s="1088"/>
      <c r="V144" s="1088"/>
      <c r="W144" s="1088"/>
      <c r="X144" s="1088"/>
      <c r="Y144" s="1086"/>
      <c r="Z144" s="1088"/>
      <c r="AA144" s="1088"/>
      <c r="AB144" s="1088"/>
      <c r="AC144" s="1088"/>
      <c r="AD144" s="1086"/>
      <c r="AE144" s="1088"/>
      <c r="AF144" s="1088"/>
      <c r="AG144" s="1088"/>
      <c r="AH144" s="1088"/>
      <c r="AI144" s="1086"/>
      <c r="AJ144" s="1088"/>
      <c r="AK144" s="1088"/>
      <c r="AL144" s="1088"/>
      <c r="AM144" s="1088"/>
      <c r="AN144" s="1086"/>
      <c r="AO144" s="1088"/>
      <c r="AP144" s="1088"/>
      <c r="AQ144" s="1088"/>
      <c r="AR144" s="1088"/>
      <c r="AS144" s="1086"/>
      <c r="AT144" s="1088"/>
      <c r="AU144" s="1088"/>
      <c r="AV144" s="1088"/>
      <c r="AW144" s="1088"/>
      <c r="AX144" s="1086"/>
      <c r="AY144" s="1088"/>
      <c r="AZ144" s="1088"/>
      <c r="BA144" s="1088"/>
      <c r="BB144" s="1088"/>
      <c r="BC144" s="1086"/>
      <c r="BD144" s="1088"/>
      <c r="BE144" s="1088"/>
      <c r="BF144" s="1088"/>
      <c r="BG144" s="1088"/>
      <c r="BH144" s="1086"/>
      <c r="BI144" s="1088"/>
      <c r="BJ144" s="1088"/>
      <c r="BK144" s="1088"/>
      <c r="BL144" s="1088"/>
      <c r="BM144" s="1086"/>
      <c r="BN144" s="1088"/>
      <c r="BO144" s="1088"/>
      <c r="BP144" s="1088"/>
      <c r="BQ144" s="1088"/>
      <c r="BR144" s="1086"/>
      <c r="BS144" s="1087"/>
      <c r="BT144" s="1104"/>
      <c r="BU144" s="1087"/>
      <c r="BV144" s="1087"/>
      <c r="BW144" s="1102"/>
      <c r="BX144" s="1103"/>
      <c r="BY144" s="1103"/>
      <c r="BZ144" s="1103"/>
      <c r="CA144" s="1103"/>
      <c r="CB144" s="1102"/>
      <c r="CC144" s="1087"/>
      <c r="CD144" s="1087"/>
      <c r="CE144" s="1087"/>
      <c r="CF144" s="1104"/>
      <c r="CG144" s="1086"/>
      <c r="CH144" s="1103"/>
      <c r="CI144" s="1103"/>
      <c r="CJ144" s="1103"/>
      <c r="CK144" s="1103"/>
      <c r="CL144" s="1086"/>
      <c r="CM144" s="1087"/>
      <c r="CN144" s="1087"/>
      <c r="CO144" s="1087"/>
      <c r="CP144" s="1087"/>
      <c r="CQ144" s="1086"/>
      <c r="CR144" s="1087"/>
      <c r="CS144" s="1087"/>
      <c r="CT144" s="1087"/>
      <c r="CU144" s="1087"/>
      <c r="CV144" s="1086"/>
      <c r="CW144" s="1086"/>
      <c r="CX144" s="1086"/>
      <c r="CY144" s="1086"/>
      <c r="CZ144" s="434"/>
    </row>
    <row r="145" spans="1:104" ht="12" customHeight="1">
      <c r="A145" s="268"/>
      <c r="B145" s="268"/>
      <c r="C145" s="268" t="str">
        <f>C132</f>
        <v>Otis</v>
      </c>
      <c r="D145" s="261"/>
      <c r="E145" s="407"/>
      <c r="F145" s="407"/>
      <c r="G145" s="407"/>
      <c r="H145" s="407"/>
      <c r="I145" s="407"/>
      <c r="J145" s="453"/>
      <c r="K145" s="407">
        <v>0.1421188630490956</v>
      </c>
      <c r="L145" s="407">
        <v>0.14508783344176968</v>
      </c>
      <c r="M145" s="407">
        <v>0.10553410553410554</v>
      </c>
      <c r="N145" s="407">
        <v>0.14125956444967627</v>
      </c>
      <c r="O145" s="453">
        <v>0.13363837172609655</v>
      </c>
      <c r="P145" s="259">
        <v>0.15234375</v>
      </c>
      <c r="Q145" s="259">
        <v>0.15654761904761905</v>
      </c>
      <c r="R145" s="259">
        <v>0.16332378223495703</v>
      </c>
      <c r="S145" s="259">
        <v>0.14864864864864866</v>
      </c>
      <c r="T145" s="453">
        <v>0.15519013360739981</v>
      </c>
      <c r="U145" s="259">
        <v>0.17252747252747253</v>
      </c>
      <c r="V145" s="259">
        <v>0.17177914110429449</v>
      </c>
      <c r="W145" s="259">
        <v>0.18031942297784648</v>
      </c>
      <c r="X145" s="259">
        <v>0.17058823529411765</v>
      </c>
      <c r="Y145" s="453">
        <v>0.1737101047054371</v>
      </c>
      <c r="Z145" s="259">
        <v>0.14367269267364416</v>
      </c>
      <c r="AA145" s="259">
        <v>0.15595075239398085</v>
      </c>
      <c r="AB145" s="259">
        <v>0.17280071813285458</v>
      </c>
      <c r="AC145" s="259">
        <v>0.15907207953603977</v>
      </c>
      <c r="AD145" s="453">
        <v>0.16712968107567508</v>
      </c>
      <c r="AE145" s="259">
        <v>0.18173987941429801</v>
      </c>
      <c r="AF145" s="259">
        <v>0.17474120082815736</v>
      </c>
      <c r="AG145" s="259">
        <v>0.18712955122777308</v>
      </c>
      <c r="AH145" s="259">
        <v>0.17205169628432956</v>
      </c>
      <c r="AI145" s="453">
        <v>0.17879895561357703</v>
      </c>
      <c r="AJ145" s="259">
        <f t="shared" ref="AJ145:BO145" si="147">AJ132/AJ12</f>
        <v>0.18696763202725725</v>
      </c>
      <c r="AK145" s="259">
        <f t="shared" si="147"/>
        <v>0.18663503361012257</v>
      </c>
      <c r="AL145" s="259">
        <f t="shared" si="147"/>
        <v>0.18050682261208578</v>
      </c>
      <c r="AM145" s="259">
        <f t="shared" si="147"/>
        <v>0.18047752808988765</v>
      </c>
      <c r="AN145" s="453">
        <f t="shared" si="147"/>
        <v>0.18347910592808553</v>
      </c>
      <c r="AO145" s="259">
        <f t="shared" si="147"/>
        <v>0.21041055718475074</v>
      </c>
      <c r="AP145" s="259">
        <f t="shared" si="147"/>
        <v>0.1861441567529741</v>
      </c>
      <c r="AQ145" s="259">
        <f t="shared" si="147"/>
        <v>0.19311989100817439</v>
      </c>
      <c r="AR145" s="259">
        <f t="shared" si="147"/>
        <v>0.19268510258697591</v>
      </c>
      <c r="AS145" s="453">
        <f t="shared" si="147"/>
        <v>0.19528817837610432</v>
      </c>
      <c r="AT145" s="259">
        <f t="shared" si="147"/>
        <v>0.18972849198560682</v>
      </c>
      <c r="AU145" s="259">
        <f t="shared" si="147"/>
        <v>0.19712103407755582</v>
      </c>
      <c r="AV145" s="259">
        <f t="shared" si="147"/>
        <v>0.19969183359013867</v>
      </c>
      <c r="AW145" s="259">
        <f t="shared" si="147"/>
        <v>0.17823003391921061</v>
      </c>
      <c r="AX145" s="453">
        <f t="shared" si="147"/>
        <v>0.19128890261796277</v>
      </c>
      <c r="AY145" s="259">
        <f t="shared" si="147"/>
        <v>0.19022556390977444</v>
      </c>
      <c r="AZ145" s="259">
        <f t="shared" si="147"/>
        <v>0.21706226350189198</v>
      </c>
      <c r="BA145" s="259">
        <f t="shared" si="147"/>
        <v>0.21377912867274571</v>
      </c>
      <c r="BB145" s="259">
        <f t="shared" si="147"/>
        <v>0.21189358372456965</v>
      </c>
      <c r="BC145" s="453">
        <f t="shared" si="147"/>
        <v>0.2087349654525292</v>
      </c>
      <c r="BD145" s="259">
        <f t="shared" si="147"/>
        <v>0.2186353631694791</v>
      </c>
      <c r="BE145" s="259">
        <f t="shared" si="147"/>
        <v>0.22586328400281888</v>
      </c>
      <c r="BF145" s="259">
        <f t="shared" si="147"/>
        <v>0.23314993122420907</v>
      </c>
      <c r="BG145" s="259">
        <f t="shared" si="147"/>
        <v>0.21242355970389443</v>
      </c>
      <c r="BH145" s="453">
        <f t="shared" si="147"/>
        <v>0.22238535279385094</v>
      </c>
      <c r="BI145" s="259">
        <f t="shared" si="147"/>
        <v>0.22727272727272727</v>
      </c>
      <c r="BJ145" s="259">
        <f t="shared" si="147"/>
        <v>0.23276942355889724</v>
      </c>
      <c r="BK145" s="259">
        <f t="shared" si="147"/>
        <v>0.22409564684242797</v>
      </c>
      <c r="BL145" s="259">
        <f t="shared" si="147"/>
        <v>0.2214263469324198</v>
      </c>
      <c r="BM145" s="453">
        <f t="shared" si="147"/>
        <v>0.2263407574173836</v>
      </c>
      <c r="BN145" s="259">
        <f t="shared" si="147"/>
        <v>0.20433212996389891</v>
      </c>
      <c r="BO145" s="259">
        <f t="shared" si="147"/>
        <v>0.21506442021803765</v>
      </c>
      <c r="BP145" s="259">
        <f t="shared" ref="BP145:CV145" si="148">BP132/BP12</f>
        <v>0.2131630648330059</v>
      </c>
      <c r="BQ145" s="259">
        <f t="shared" si="148"/>
        <v>0.20093603744149766</v>
      </c>
      <c r="BR145" s="453">
        <f t="shared" si="148"/>
        <v>0.20836098208360981</v>
      </c>
      <c r="BS145" s="259">
        <f t="shared" si="148"/>
        <v>0.20433546552949539</v>
      </c>
      <c r="BT145" s="259">
        <f t="shared" si="148"/>
        <v>0.20713830465264499</v>
      </c>
      <c r="BU145" s="259">
        <f t="shared" si="148"/>
        <v>0.21361355081555836</v>
      </c>
      <c r="BV145" s="259">
        <f t="shared" si="148"/>
        <v>0.20454545454545456</v>
      </c>
      <c r="BW145" s="453">
        <f t="shared" si="148"/>
        <v>0.20746555591156682</v>
      </c>
      <c r="BX145" s="259">
        <f t="shared" si="148"/>
        <v>0.19289340101522842</v>
      </c>
      <c r="BY145" s="259">
        <f t="shared" si="148"/>
        <v>0.20594353640416047</v>
      </c>
      <c r="BZ145" s="259">
        <f t="shared" si="148"/>
        <v>0.21136500300661457</v>
      </c>
      <c r="CA145" s="259">
        <f t="shared" si="148"/>
        <v>0.20203836930455635</v>
      </c>
      <c r="CB145" s="453">
        <f t="shared" si="148"/>
        <v>0.20335849637960252</v>
      </c>
      <c r="CC145" s="259">
        <f t="shared" si="148"/>
        <v>0.19198542805100183</v>
      </c>
      <c r="CD145" s="259">
        <f t="shared" si="148"/>
        <v>0.20238863783085861</v>
      </c>
      <c r="CE145" s="259">
        <f t="shared" si="148"/>
        <v>0.21097601051593823</v>
      </c>
      <c r="CF145" s="259">
        <f t="shared" si="148"/>
        <v>0.17517776341305752</v>
      </c>
      <c r="CG145" s="453">
        <f t="shared" si="148"/>
        <v>0.19625165934385375</v>
      </c>
      <c r="CH145" s="259">
        <f t="shared" si="148"/>
        <v>0.1716390423572744</v>
      </c>
      <c r="CI145" s="259">
        <f t="shared" si="148"/>
        <v>0.18760090410074265</v>
      </c>
      <c r="CJ145" s="259">
        <f t="shared" si="148"/>
        <v>0.19350563286944997</v>
      </c>
      <c r="CK145" s="259">
        <f t="shared" si="148"/>
        <v>0.16846229187071499</v>
      </c>
      <c r="CL145" s="453">
        <f t="shared" si="148"/>
        <v>0.18052636004372319</v>
      </c>
      <c r="CM145" s="259">
        <f t="shared" ref="CM145:CP146" si="149">CM132/CM12</f>
        <v>0.16119828815977175</v>
      </c>
      <c r="CN145" s="259">
        <f t="shared" ref="CN145" si="150">CN132/CN12</f>
        <v>0.1737464068987544</v>
      </c>
      <c r="CO145" s="259">
        <f t="shared" si="149"/>
        <v>0.1758555133079848</v>
      </c>
      <c r="CP145" s="259">
        <f t="shared" si="149"/>
        <v>0.1587154642935007</v>
      </c>
      <c r="CQ145" s="453">
        <f t="shared" si="148"/>
        <v>0.16756649879473073</v>
      </c>
      <c r="CR145" s="259">
        <f t="shared" si="148"/>
        <v>0.15615753361306817</v>
      </c>
      <c r="CS145" s="259">
        <f t="shared" si="148"/>
        <v>0.1667323734140134</v>
      </c>
      <c r="CT145" s="259">
        <f t="shared" si="148"/>
        <v>0.16943648959419391</v>
      </c>
      <c r="CU145" s="259">
        <f t="shared" si="148"/>
        <v>0.15876703347883855</v>
      </c>
      <c r="CV145" s="453">
        <f t="shared" si="148"/>
        <v>0.16305951248247622</v>
      </c>
      <c r="CW145" s="453">
        <f t="shared" ref="CW145:CY146" si="151">CW132/CW12</f>
        <v>0.16498715639263439</v>
      </c>
      <c r="CX145" s="453">
        <f t="shared" si="151"/>
        <v>0.16736721937538837</v>
      </c>
      <c r="CY145" s="453">
        <f t="shared" si="151"/>
        <v>0.16659406651269276</v>
      </c>
      <c r="CZ145" s="268"/>
    </row>
    <row r="146" spans="1:104" ht="12" customHeight="1">
      <c r="A146" s="268"/>
      <c r="B146" s="268"/>
      <c r="C146" s="116" t="s">
        <v>310</v>
      </c>
      <c r="D146" s="261"/>
      <c r="E146" s="407"/>
      <c r="F146" s="407"/>
      <c r="G146" s="407"/>
      <c r="H146" s="407"/>
      <c r="I146" s="407"/>
      <c r="J146" s="453"/>
      <c r="K146" s="407"/>
      <c r="L146" s="407"/>
      <c r="M146" s="407"/>
      <c r="N146" s="407"/>
      <c r="O146" s="453"/>
      <c r="P146" s="259"/>
      <c r="Q146" s="259"/>
      <c r="R146" s="259"/>
      <c r="S146" s="259"/>
      <c r="T146" s="453"/>
      <c r="U146" s="259"/>
      <c r="V146" s="259"/>
      <c r="W146" s="259"/>
      <c r="X146" s="259"/>
      <c r="Y146" s="453"/>
      <c r="Z146" s="259"/>
      <c r="AA146" s="259"/>
      <c r="AB146" s="259"/>
      <c r="AC146" s="259"/>
      <c r="AD146" s="453"/>
      <c r="AE146" s="259"/>
      <c r="AF146" s="259"/>
      <c r="AG146" s="259"/>
      <c r="AH146" s="259"/>
      <c r="AI146" s="453"/>
      <c r="AJ146" s="259"/>
      <c r="AK146" s="259"/>
      <c r="AL146" s="259"/>
      <c r="AM146" s="259"/>
      <c r="AN146" s="453"/>
      <c r="AO146" s="259"/>
      <c r="AP146" s="259"/>
      <c r="AQ146" s="259"/>
      <c r="AR146" s="259"/>
      <c r="AS146" s="453"/>
      <c r="AT146" s="259"/>
      <c r="AU146" s="259"/>
      <c r="AV146" s="259"/>
      <c r="AW146" s="259"/>
      <c r="AX146" s="453"/>
      <c r="AY146" s="259"/>
      <c r="AZ146" s="259"/>
      <c r="BA146" s="259"/>
      <c r="BB146" s="259"/>
      <c r="BC146" s="453"/>
      <c r="BD146" s="259"/>
      <c r="BE146" s="259"/>
      <c r="BF146" s="259"/>
      <c r="BG146" s="259"/>
      <c r="BH146" s="453"/>
      <c r="BI146" s="259">
        <f t="shared" ref="BI146:CV146" si="152">BI133/BI13</f>
        <v>0.10721602549510585</v>
      </c>
      <c r="BJ146" s="259">
        <f t="shared" si="152"/>
        <v>0.1293774319066148</v>
      </c>
      <c r="BK146" s="259">
        <f t="shared" si="152"/>
        <v>0.12497459865880918</v>
      </c>
      <c r="BL146" s="259">
        <f t="shared" si="152"/>
        <v>0.10453514739229025</v>
      </c>
      <c r="BM146" s="453">
        <f t="shared" si="152"/>
        <v>0.11726039016115351</v>
      </c>
      <c r="BN146" s="259">
        <f t="shared" si="152"/>
        <v>0.13229571984435798</v>
      </c>
      <c r="BO146" s="259">
        <f t="shared" si="152"/>
        <v>0.1725721784776903</v>
      </c>
      <c r="BP146" s="259">
        <f t="shared" si="152"/>
        <v>0.14839164123033577</v>
      </c>
      <c r="BQ146" s="259">
        <f t="shared" si="152"/>
        <v>0.11092355919942126</v>
      </c>
      <c r="BR146" s="453">
        <f t="shared" si="152"/>
        <v>0.14189584552369808</v>
      </c>
      <c r="BS146" s="259">
        <f t="shared" si="152"/>
        <v>0.13552254365389627</v>
      </c>
      <c r="BT146" s="259">
        <f t="shared" si="152"/>
        <v>0.16552938586836891</v>
      </c>
      <c r="BU146" s="259">
        <f t="shared" si="152"/>
        <v>0.16426717016757139</v>
      </c>
      <c r="BV146" s="259">
        <f t="shared" si="152"/>
        <v>0.14837786259541985</v>
      </c>
      <c r="BW146" s="453">
        <f t="shared" si="152"/>
        <v>0.15408412160152299</v>
      </c>
      <c r="BX146" s="259">
        <f t="shared" si="152"/>
        <v>0.13944430018177098</v>
      </c>
      <c r="BY146" s="259">
        <f t="shared" si="152"/>
        <v>0.18401445021449536</v>
      </c>
      <c r="BZ146" s="259">
        <f t="shared" si="152"/>
        <v>0.18547460353941622</v>
      </c>
      <c r="CA146" s="259">
        <f t="shared" si="152"/>
        <v>0.14861641221374045</v>
      </c>
      <c r="CB146" s="453">
        <f t="shared" si="152"/>
        <v>0.16536884027819057</v>
      </c>
      <c r="CC146" s="259">
        <f t="shared" si="152"/>
        <v>0.18925233644859812</v>
      </c>
      <c r="CD146" s="259">
        <f t="shared" si="152"/>
        <v>0.18477772788504715</v>
      </c>
      <c r="CE146" s="259">
        <f t="shared" si="152"/>
        <v>0.18018228558074317</v>
      </c>
      <c r="CF146" s="259">
        <f t="shared" si="152"/>
        <v>0.14871421639980592</v>
      </c>
      <c r="CG146" s="453">
        <f t="shared" si="152"/>
        <v>0.17573472197282577</v>
      </c>
      <c r="CH146" s="259">
        <f t="shared" si="152"/>
        <v>0.16255364806866954</v>
      </c>
      <c r="CI146" s="259">
        <f t="shared" si="152"/>
        <v>0.195559542498318</v>
      </c>
      <c r="CJ146" s="259">
        <f t="shared" si="152"/>
        <v>0.18142695356738392</v>
      </c>
      <c r="CK146" s="259">
        <f t="shared" si="152"/>
        <v>0.159331607437044</v>
      </c>
      <c r="CL146" s="453">
        <f t="shared" si="152"/>
        <v>0.1754198563883449</v>
      </c>
      <c r="CM146" s="259">
        <f t="shared" si="149"/>
        <v>0.2474306269270298</v>
      </c>
      <c r="CN146" s="259">
        <f t="shared" ref="CN146" si="153">CN133/CN13</f>
        <v>0.18527164685908321</v>
      </c>
      <c r="CO146" s="259">
        <f t="shared" si="149"/>
        <v>0.1766211604095563</v>
      </c>
      <c r="CP146" s="259">
        <f t="shared" si="149"/>
        <v>0.15395094044751631</v>
      </c>
      <c r="CQ146" s="453">
        <f t="shared" si="152"/>
        <v>0.18857254650767957</v>
      </c>
      <c r="CR146" s="259">
        <f t="shared" si="152"/>
        <v>0.15459977166375588</v>
      </c>
      <c r="CS146" s="259">
        <f t="shared" si="152"/>
        <v>0.18301156517672668</v>
      </c>
      <c r="CT146" s="259">
        <f t="shared" si="152"/>
        <v>0.17987336775701232</v>
      </c>
      <c r="CU146" s="259">
        <f t="shared" si="152"/>
        <v>0.16591314812876576</v>
      </c>
      <c r="CV146" s="453">
        <f t="shared" si="152"/>
        <v>0.17163352300144327</v>
      </c>
      <c r="CW146" s="453">
        <f t="shared" si="151"/>
        <v>0.17887673085983374</v>
      </c>
      <c r="CX146" s="453">
        <f t="shared" si="151"/>
        <v>0.18523923278725973</v>
      </c>
      <c r="CY146" s="453">
        <f t="shared" si="151"/>
        <v>0.19139663376932764</v>
      </c>
      <c r="CZ146" s="268"/>
    </row>
    <row r="147" spans="1:104" ht="12" hidden="1" customHeight="1" outlineLevel="1">
      <c r="A147" s="268"/>
      <c r="B147" s="268"/>
      <c r="C147" s="268" t="str">
        <f>C134</f>
        <v>Carrier</v>
      </c>
      <c r="D147" s="261"/>
      <c r="E147" s="407"/>
      <c r="F147" s="407"/>
      <c r="G147" s="407"/>
      <c r="H147" s="407"/>
      <c r="I147" s="407"/>
      <c r="J147" s="453"/>
      <c r="K147" s="407">
        <v>3.1894484412470024E-2</v>
      </c>
      <c r="L147" s="407">
        <v>0.12131649445082281</v>
      </c>
      <c r="M147" s="407">
        <v>4.708520179372197E-2</v>
      </c>
      <c r="N147" s="407">
        <v>5.1601423487544484E-2</v>
      </c>
      <c r="O147" s="453">
        <v>6.632939853850478E-2</v>
      </c>
      <c r="P147" s="259">
        <v>3.217299578059072E-2</v>
      </c>
      <c r="Q147" s="259">
        <v>0.13183785911058638</v>
      </c>
      <c r="R147" s="259">
        <v>0.11794871794871795</v>
      </c>
      <c r="S147" s="259">
        <v>5.3607214428857713E-2</v>
      </c>
      <c r="T147" s="453">
        <v>8.8795166989627264E-2</v>
      </c>
      <c r="U147" s="259">
        <v>7.7158916709248848E-2</v>
      </c>
      <c r="V147" s="259">
        <v>0.13750000000000001</v>
      </c>
      <c r="W147" s="259">
        <v>0.12392988177741542</v>
      </c>
      <c r="X147" s="259">
        <v>4.2349726775956283E-2</v>
      </c>
      <c r="Y147" s="453">
        <v>9.8529093662124159E-2</v>
      </c>
      <c r="Z147" s="259">
        <v>2.780269058295964E-2</v>
      </c>
      <c r="AA147" s="259">
        <v>0.1172962226640159</v>
      </c>
      <c r="AB147" s="259">
        <v>0.11252336448598131</v>
      </c>
      <c r="AC147" s="259">
        <v>4.1898405635891735E-2</v>
      </c>
      <c r="AD147" s="453">
        <v>8.2643851071831517E-2</v>
      </c>
      <c r="AE147" s="259">
        <v>5.6192236598890943E-2</v>
      </c>
      <c r="AF147" s="259">
        <v>0.11514796366832698</v>
      </c>
      <c r="AG147" s="259">
        <v>0.10951954640405849</v>
      </c>
      <c r="AH147" s="259">
        <v>6.309562931317779E-2</v>
      </c>
      <c r="AI147" s="453">
        <v>8.8235294117647065E-2</v>
      </c>
      <c r="AJ147" s="259">
        <f t="shared" ref="AJ147:BM147" si="154">AJ134/AJ14</f>
        <v>7.0247933884297523E-2</v>
      </c>
      <c r="AK147" s="259">
        <f t="shared" si="154"/>
        <v>0.10930418555051986</v>
      </c>
      <c r="AL147" s="259">
        <f t="shared" si="154"/>
        <v>0.11921264208483505</v>
      </c>
      <c r="AM147" s="259">
        <f t="shared" si="154"/>
        <v>5.9956508232370302E-2</v>
      </c>
      <c r="AN147" s="453">
        <f t="shared" si="154"/>
        <v>9.1758771604480385E-2</v>
      </c>
      <c r="AO147" s="259">
        <f t="shared" si="154"/>
        <v>6.8051118210862627E-2</v>
      </c>
      <c r="AP147" s="259">
        <f t="shared" si="154"/>
        <v>0.12059186189889026</v>
      </c>
      <c r="AQ147" s="259">
        <f t="shared" si="154"/>
        <v>0.11235955056179775</v>
      </c>
      <c r="AR147" s="259">
        <f t="shared" si="154"/>
        <v>6.9604944907282987E-2</v>
      </c>
      <c r="AS147" s="453">
        <f t="shared" si="154"/>
        <v>9.2870800327779293E-2</v>
      </c>
      <c r="AT147" s="259">
        <f t="shared" si="154"/>
        <v>7.2748606629510118E-2</v>
      </c>
      <c r="AU147" s="259">
        <f t="shared" si="154"/>
        <v>0.11179981634527089</v>
      </c>
      <c r="AV147" s="259">
        <f t="shared" si="154"/>
        <v>0.10748021444983406</v>
      </c>
      <c r="AW147" s="259">
        <f t="shared" si="154"/>
        <v>4.9049662783568364E-2</v>
      </c>
      <c r="AX147" s="453">
        <f t="shared" si="154"/>
        <v>8.3578693790149899E-2</v>
      </c>
      <c r="AY147" s="259">
        <f t="shared" si="154"/>
        <v>8.8353413654618466E-3</v>
      </c>
      <c r="AZ147" s="259">
        <f t="shared" si="154"/>
        <v>8.4060782411897836E-2</v>
      </c>
      <c r="BA147" s="259">
        <f t="shared" si="154"/>
        <v>0.10601427115188583</v>
      </c>
      <c r="BB147" s="259">
        <f t="shared" si="154"/>
        <v>5.1975792096831612E-2</v>
      </c>
      <c r="BC147" s="453">
        <f t="shared" si="154"/>
        <v>5.787384208204676E-2</v>
      </c>
      <c r="BD147" s="259">
        <f t="shared" si="154"/>
        <v>5.6343737332792868E-2</v>
      </c>
      <c r="BE147" s="259">
        <f t="shared" si="154"/>
        <v>0.10766246362754607</v>
      </c>
      <c r="BF147" s="259">
        <f t="shared" si="154"/>
        <v>0.12942779291553133</v>
      </c>
      <c r="BG147" s="259">
        <f t="shared" si="154"/>
        <v>7.2664359861591699E-2</v>
      </c>
      <c r="BH147" s="453">
        <f t="shared" si="154"/>
        <v>9.3711575619181448E-2</v>
      </c>
      <c r="BI147" s="259">
        <f t="shared" si="154"/>
        <v>0.11207519884309472</v>
      </c>
      <c r="BJ147" s="259">
        <f t="shared" si="154"/>
        <v>0.13498379015620396</v>
      </c>
      <c r="BK147" s="259">
        <f t="shared" si="154"/>
        <v>0.13291338582677165</v>
      </c>
      <c r="BL147" s="259">
        <f t="shared" si="154"/>
        <v>0.1252371916508539</v>
      </c>
      <c r="BM147" s="453">
        <f t="shared" si="154"/>
        <v>0.1178878770156237</v>
      </c>
      <c r="BN147" s="259"/>
      <c r="BO147" s="259"/>
      <c r="BP147" s="259"/>
      <c r="BQ147" s="259"/>
      <c r="BR147" s="453"/>
      <c r="BS147" s="259"/>
      <c r="BT147" s="259"/>
      <c r="BU147" s="259"/>
      <c r="BV147" s="259"/>
      <c r="BW147" s="453"/>
      <c r="BX147" s="259"/>
      <c r="BY147" s="259"/>
      <c r="BZ147" s="259"/>
      <c r="CA147" s="259"/>
      <c r="CB147" s="453"/>
      <c r="CC147" s="259"/>
      <c r="CD147" s="259"/>
      <c r="CE147" s="259"/>
      <c r="CF147" s="259"/>
      <c r="CG147" s="453"/>
      <c r="CH147" s="259"/>
      <c r="CI147" s="259"/>
      <c r="CJ147" s="259"/>
      <c r="CK147" s="259"/>
      <c r="CL147" s="453"/>
      <c r="CM147" s="259"/>
      <c r="CN147" s="259"/>
      <c r="CO147" s="259"/>
      <c r="CP147" s="259"/>
      <c r="CQ147" s="453"/>
      <c r="CR147" s="259"/>
      <c r="CS147" s="259"/>
      <c r="CT147" s="259"/>
      <c r="CU147" s="259"/>
      <c r="CV147" s="453"/>
      <c r="CW147" s="453"/>
      <c r="CX147" s="453"/>
      <c r="CY147" s="453"/>
      <c r="CZ147" s="268"/>
    </row>
    <row r="148" spans="1:104" ht="12" hidden="1" customHeight="1" outlineLevel="1">
      <c r="A148" s="268"/>
      <c r="B148" s="268"/>
      <c r="C148" s="268" t="str">
        <f>C135</f>
        <v>Fire &amp; Security</v>
      </c>
      <c r="D148" s="261"/>
      <c r="E148" s="407"/>
      <c r="F148" s="407"/>
      <c r="G148" s="407"/>
      <c r="H148" s="407"/>
      <c r="I148" s="407"/>
      <c r="J148" s="453"/>
      <c r="K148" s="407"/>
      <c r="L148" s="407"/>
      <c r="M148" s="407"/>
      <c r="N148" s="407"/>
      <c r="O148" s="453"/>
      <c r="P148" s="259" t="e">
        <v>#DIV/0!</v>
      </c>
      <c r="Q148" s="259" t="e">
        <v>#DIV/0!</v>
      </c>
      <c r="R148" s="259" t="e">
        <v>#DIV/0!</v>
      </c>
      <c r="S148" s="259" t="e">
        <v>#DIV/0!</v>
      </c>
      <c r="T148" s="453"/>
      <c r="U148" s="259" t="e">
        <v>#DIV/0!</v>
      </c>
      <c r="V148" s="259" t="e">
        <v>#DIV/0!</v>
      </c>
      <c r="W148" s="259">
        <v>4.807692307692308E-2</v>
      </c>
      <c r="X148" s="259">
        <v>4.8611111111111112E-2</v>
      </c>
      <c r="Y148" s="453">
        <v>4.8415492957746477E-2</v>
      </c>
      <c r="Z148" s="259">
        <v>4.4096728307254626E-2</v>
      </c>
      <c r="AA148" s="259">
        <v>4.5261669024045263E-2</v>
      </c>
      <c r="AB148" s="259">
        <v>4.7413793103448273E-2</v>
      </c>
      <c r="AC148" s="259">
        <v>4.3984476067270378E-2</v>
      </c>
      <c r="AD148" s="453">
        <v>4.7900034710170077E-2</v>
      </c>
      <c r="AE148" s="259">
        <v>5.1047120418848166E-2</v>
      </c>
      <c r="AF148" s="259">
        <v>4.5611015490533563E-2</v>
      </c>
      <c r="AG148" s="259">
        <v>4.9955396966993755E-2</v>
      </c>
      <c r="AH148" s="259">
        <v>7.2319201995012475E-2</v>
      </c>
      <c r="AI148" s="453">
        <v>5.5294117647058827E-2</v>
      </c>
      <c r="AJ148" s="259">
        <f t="shared" ref="AJ148:BM148" si="155">AJ135/AJ15</f>
        <v>5.845323741007194E-2</v>
      </c>
      <c r="AK148" s="259">
        <f t="shared" si="155"/>
        <v>5.5698371893744644E-2</v>
      </c>
      <c r="AL148" s="259">
        <f t="shared" si="155"/>
        <v>6.1295971978984239E-2</v>
      </c>
      <c r="AM148" s="259">
        <f t="shared" si="155"/>
        <v>7.6168929110105574E-2</v>
      </c>
      <c r="AN148" s="453">
        <f t="shared" si="155"/>
        <v>6.3408468506425106E-2</v>
      </c>
      <c r="AO148" s="259">
        <f t="shared" si="155"/>
        <v>6.9020866773675763E-2</v>
      </c>
      <c r="AP148" s="259">
        <f t="shared" si="155"/>
        <v>7.4870274277242396E-2</v>
      </c>
      <c r="AQ148" s="259">
        <f t="shared" si="155"/>
        <v>8.0897348742352146E-2</v>
      </c>
      <c r="AR148" s="259">
        <f t="shared" si="155"/>
        <v>8.1161137440758299E-2</v>
      </c>
      <c r="AS148" s="453">
        <f t="shared" si="155"/>
        <v>7.6989920055613489E-2</v>
      </c>
      <c r="AT148" s="259">
        <f t="shared" si="155"/>
        <v>7.1964956195244054E-2</v>
      </c>
      <c r="AU148" s="259">
        <f t="shared" si="155"/>
        <v>7.2497123130034521E-2</v>
      </c>
      <c r="AV148" s="259">
        <f t="shared" si="155"/>
        <v>9.4827586206896547E-2</v>
      </c>
      <c r="AW148" s="259">
        <f t="shared" si="155"/>
        <v>9.7869507323568569E-2</v>
      </c>
      <c r="AX148" s="453">
        <f t="shared" si="155"/>
        <v>8.3874961312287222E-2</v>
      </c>
      <c r="AY148" s="259">
        <f t="shared" si="155"/>
        <v>7.2599531615925056E-2</v>
      </c>
      <c r="AZ148" s="259">
        <f t="shared" si="155"/>
        <v>4.1572184429327287E-2</v>
      </c>
      <c r="BA148" s="259">
        <f t="shared" si="155"/>
        <v>0.10844250363901019</v>
      </c>
      <c r="BB148" s="259">
        <f t="shared" si="155"/>
        <v>0.12852459016393442</v>
      </c>
      <c r="BC148" s="453">
        <f t="shared" si="155"/>
        <v>8.9587497728511725E-2</v>
      </c>
      <c r="BD148" s="259">
        <f t="shared" si="155"/>
        <v>8.6925795053003532E-2</v>
      </c>
      <c r="BE148" s="259">
        <f t="shared" si="155"/>
        <v>0.10402476780185758</v>
      </c>
      <c r="BF148" s="259">
        <f t="shared" si="155"/>
        <v>0.11285455642727821</v>
      </c>
      <c r="BG148" s="259">
        <f t="shared" si="155"/>
        <v>0.13089295618413754</v>
      </c>
      <c r="BH148" s="453">
        <f t="shared" si="155"/>
        <v>0.11001540832049307</v>
      </c>
      <c r="BI148" s="259">
        <f t="shared" si="155"/>
        <v>9.9508599508599513E-2</v>
      </c>
      <c r="BJ148" s="259">
        <f t="shared" si="155"/>
        <v>0.11798396334478808</v>
      </c>
      <c r="BK148" s="259">
        <f t="shared" si="155"/>
        <v>0.1111111111111111</v>
      </c>
      <c r="BL148" s="259">
        <f t="shared" si="155"/>
        <v>7.3239436619718309E-2</v>
      </c>
      <c r="BM148" s="453">
        <f t="shared" si="155"/>
        <v>0.10993473531544598</v>
      </c>
      <c r="BN148" s="259"/>
      <c r="BO148" s="259"/>
      <c r="BP148" s="259"/>
      <c r="BQ148" s="259"/>
      <c r="BR148" s="453"/>
      <c r="BS148" s="259"/>
      <c r="BT148" s="259"/>
      <c r="BU148" s="259"/>
      <c r="BV148" s="259"/>
      <c r="BW148" s="453"/>
      <c r="BX148" s="259"/>
      <c r="BY148" s="259"/>
      <c r="BZ148" s="259"/>
      <c r="CA148" s="259"/>
      <c r="CB148" s="453"/>
      <c r="CC148" s="259"/>
      <c r="CD148" s="259"/>
      <c r="CE148" s="259"/>
      <c r="CF148" s="259"/>
      <c r="CG148" s="453"/>
      <c r="CH148" s="259"/>
      <c r="CI148" s="259"/>
      <c r="CJ148" s="259"/>
      <c r="CK148" s="259"/>
      <c r="CL148" s="453"/>
      <c r="CM148" s="259"/>
      <c r="CN148" s="259"/>
      <c r="CO148" s="259"/>
      <c r="CP148" s="259"/>
      <c r="CQ148" s="453"/>
      <c r="CR148" s="259"/>
      <c r="CS148" s="259"/>
      <c r="CT148" s="259"/>
      <c r="CU148" s="259"/>
      <c r="CV148" s="453"/>
      <c r="CW148" s="453"/>
      <c r="CX148" s="453"/>
      <c r="CY148" s="453"/>
      <c r="CZ148" s="268"/>
    </row>
    <row r="149" spans="1:104" ht="12" customHeight="1" collapsed="1">
      <c r="A149" s="268"/>
      <c r="B149" s="268"/>
      <c r="C149" s="268" t="str">
        <f>C136</f>
        <v>Pratt &amp; Whitney</v>
      </c>
      <c r="D149" s="261"/>
      <c r="E149" s="407"/>
      <c r="F149" s="407"/>
      <c r="G149" s="407"/>
      <c r="H149" s="407"/>
      <c r="I149" s="407"/>
      <c r="J149" s="453"/>
      <c r="K149" s="407">
        <v>0.18264110756123536</v>
      </c>
      <c r="L149" s="407">
        <v>0.18037812979049567</v>
      </c>
      <c r="M149" s="407">
        <v>0.17793030623020065</v>
      </c>
      <c r="N149" s="407">
        <v>0.14102564102564102</v>
      </c>
      <c r="O149" s="453">
        <v>0.17033467899466076</v>
      </c>
      <c r="P149" s="259">
        <v>0.17282608695652174</v>
      </c>
      <c r="Q149" s="259">
        <v>0.17866666666666667</v>
      </c>
      <c r="R149" s="259">
        <v>0.17693942614240171</v>
      </c>
      <c r="S149" s="259">
        <v>0.14453125</v>
      </c>
      <c r="T149" s="453">
        <v>0.16769130150425116</v>
      </c>
      <c r="U149" s="259">
        <v>0.15944540727902945</v>
      </c>
      <c r="V149" s="259">
        <v>0.13809034907597537</v>
      </c>
      <c r="W149" s="259">
        <v>0.1511565357719204</v>
      </c>
      <c r="X149" s="259">
        <v>0.1520081342145399</v>
      </c>
      <c r="Y149" s="453">
        <v>0.14990006662225183</v>
      </c>
      <c r="Z149" s="259">
        <v>0.10624033006704486</v>
      </c>
      <c r="AA149" s="259">
        <v>0.14182692307692307</v>
      </c>
      <c r="AB149" s="259">
        <v>0.1438095238095238</v>
      </c>
      <c r="AC149" s="259">
        <v>0.12950971322849214</v>
      </c>
      <c r="AD149" s="453">
        <v>0.13766108635432975</v>
      </c>
      <c r="AE149" s="259">
        <v>0.16890213611525087</v>
      </c>
      <c r="AF149" s="259">
        <v>0.16190057193136823</v>
      </c>
      <c r="AG149" s="259">
        <v>0.15700082850041425</v>
      </c>
      <c r="AH149" s="259">
        <v>0.1394990366088632</v>
      </c>
      <c r="AI149" s="453">
        <v>0.15589026358257127</v>
      </c>
      <c r="AJ149" s="259">
        <f t="shared" ref="AJ149:BM149" si="156">AJ136/AJ16</f>
        <v>0.1674454828660436</v>
      </c>
      <c r="AK149" s="259">
        <f t="shared" si="156"/>
        <v>0.19618628529519619</v>
      </c>
      <c r="AL149" s="259">
        <f t="shared" si="156"/>
        <v>0.15987008300252617</v>
      </c>
      <c r="AM149" s="259">
        <f t="shared" si="156"/>
        <v>0.13427445830597504</v>
      </c>
      <c r="AN149" s="453">
        <f t="shared" si="156"/>
        <v>0.16351691864650827</v>
      </c>
      <c r="AO149" s="259">
        <f t="shared" si="156"/>
        <v>0.17708709794000724</v>
      </c>
      <c r="AP149" s="259">
        <f t="shared" si="156"/>
        <v>0.16795366795366795</v>
      </c>
      <c r="AQ149" s="259">
        <f t="shared" si="156"/>
        <v>0.16567852437417654</v>
      </c>
      <c r="AR149" s="259">
        <f t="shared" si="156"/>
        <v>0.15413300186451212</v>
      </c>
      <c r="AS149" s="453">
        <f t="shared" si="156"/>
        <v>0.16580097287492787</v>
      </c>
      <c r="AT149" s="259">
        <f t="shared" si="156"/>
        <v>0.15184757505773672</v>
      </c>
      <c r="AU149" s="259">
        <f t="shared" si="156"/>
        <v>0.15298402913981507</v>
      </c>
      <c r="AV149" s="259">
        <f t="shared" si="156"/>
        <v>0.15492546039169833</v>
      </c>
      <c r="AW149" s="259">
        <f t="shared" si="156"/>
        <v>0.1449679397825481</v>
      </c>
      <c r="AX149" s="453">
        <f t="shared" si="156"/>
        <v>0.15112883697742327</v>
      </c>
      <c r="AY149" s="259">
        <f t="shared" si="156"/>
        <v>0.13806206459784673</v>
      </c>
      <c r="AZ149" s="259">
        <f t="shared" si="156"/>
        <v>0.15296429741238127</v>
      </c>
      <c r="BA149" s="259">
        <f t="shared" si="156"/>
        <v>0.14939434724091522</v>
      </c>
      <c r="BB149" s="259">
        <f t="shared" si="156"/>
        <v>0.15207229666562791</v>
      </c>
      <c r="BC149" s="453">
        <f t="shared" si="156"/>
        <v>0.14807940606843126</v>
      </c>
      <c r="BD149" s="259">
        <f t="shared" si="156"/>
        <v>0.15346708905315029</v>
      </c>
      <c r="BE149" s="259">
        <f t="shared" si="156"/>
        <v>0.15919487648673375</v>
      </c>
      <c r="BF149" s="259">
        <f t="shared" si="156"/>
        <v>0.16934984520123839</v>
      </c>
      <c r="BG149" s="259">
        <f t="shared" si="156"/>
        <v>0.13444909344490935</v>
      </c>
      <c r="BH149" s="453">
        <f t="shared" si="156"/>
        <v>0.15361422497100888</v>
      </c>
      <c r="BI149" s="259">
        <f t="shared" si="156"/>
        <v>0.14897319874695442</v>
      </c>
      <c r="BJ149" s="259">
        <f t="shared" si="156"/>
        <v>0.12942612942612944</v>
      </c>
      <c r="BK149" s="259">
        <f t="shared" si="156"/>
        <v>0.16098669263226226</v>
      </c>
      <c r="BL149" s="259">
        <f t="shared" si="156"/>
        <v>0.14909508761850043</v>
      </c>
      <c r="BM149" s="453">
        <f t="shared" si="156"/>
        <v>0.14688065455117616</v>
      </c>
      <c r="BN149" s="259">
        <f t="shared" ref="BN149:CV149" si="157">BN136/BN16</f>
        <v>0.12745740498034075</v>
      </c>
      <c r="BO149" s="259">
        <f t="shared" si="157"/>
        <v>0.12387583405860168</v>
      </c>
      <c r="BP149" s="259">
        <f t="shared" si="157"/>
        <v>0.11443760492445439</v>
      </c>
      <c r="BQ149" s="259">
        <f t="shared" si="157"/>
        <v>9.3549216139809821E-2</v>
      </c>
      <c r="BR149" s="453">
        <f t="shared" si="157"/>
        <v>0.11379260956745918</v>
      </c>
      <c r="BS149" s="259">
        <f t="shared" si="157"/>
        <v>0.11934156378600823</v>
      </c>
      <c r="BT149" s="259">
        <f t="shared" si="157"/>
        <v>0.1564569536423841</v>
      </c>
      <c r="BU149" s="259">
        <f t="shared" si="157"/>
        <v>0.12965150620200827</v>
      </c>
      <c r="BV149" s="259">
        <f t="shared" si="157"/>
        <v>0.11347517730496454</v>
      </c>
      <c r="BW149" s="453">
        <f t="shared" si="157"/>
        <v>0.12937038824908628</v>
      </c>
      <c r="BX149" s="259">
        <f t="shared" si="157"/>
        <v>0.11655151697206369</v>
      </c>
      <c r="BY149" s="259">
        <f t="shared" si="157"/>
        <v>0.12026726057906459</v>
      </c>
      <c r="BZ149" s="259">
        <f t="shared" si="157"/>
        <v>0.17760942760942761</v>
      </c>
      <c r="CA149" s="259">
        <f t="shared" si="157"/>
        <v>0.13596818294804872</v>
      </c>
      <c r="CB149" s="453">
        <f t="shared" si="157"/>
        <v>0.13785497656465398</v>
      </c>
      <c r="CC149" s="259">
        <f t="shared" si="157"/>
        <v>0.12575030012004801</v>
      </c>
      <c r="CD149" s="259">
        <f t="shared" si="157"/>
        <v>0.13244492793037801</v>
      </c>
      <c r="CE149" s="259">
        <f t="shared" si="157"/>
        <v>0.129560915275201</v>
      </c>
      <c r="CF149" s="259">
        <f t="shared" si="157"/>
        <v>-0.12086480854389164</v>
      </c>
      <c r="CG149" s="453">
        <f t="shared" si="157"/>
        <v>6.114188325521943E-2</v>
      </c>
      <c r="CH149" s="259">
        <f t="shared" si="157"/>
        <v>0.11426978818283166</v>
      </c>
      <c r="CI149" s="259">
        <f t="shared" si="157"/>
        <v>0.1012326252294781</v>
      </c>
      <c r="CJ149" s="259">
        <f t="shared" si="157"/>
        <v>9.7115109968580401E-2</v>
      </c>
      <c r="CK149" s="259">
        <f t="shared" si="157"/>
        <v>0.10245490981963928</v>
      </c>
      <c r="CL149" s="453">
        <f t="shared" si="157"/>
        <v>0.1037330468645092</v>
      </c>
      <c r="CM149" s="259">
        <f t="shared" ref="CM149:CP152" si="158">CM136/CM16</f>
        <v>0.10457690260777008</v>
      </c>
      <c r="CN149" s="259">
        <f t="shared" ref="CN149" si="159">CN136/CN16</f>
        <v>9.8771498771498767E-2</v>
      </c>
      <c r="CO149" s="259">
        <f t="shared" si="158"/>
        <v>5.9157840351330405E-2</v>
      </c>
      <c r="CP149" s="259">
        <f t="shared" si="158"/>
        <v>8.9247069716106381E-2</v>
      </c>
      <c r="CQ149" s="453">
        <f t="shared" si="157"/>
        <v>8.7981994833996269E-2</v>
      </c>
      <c r="CR149" s="259">
        <f t="shared" si="157"/>
        <v>8.8527393231807958E-2</v>
      </c>
      <c r="CS149" s="259">
        <f t="shared" si="157"/>
        <v>8.5149372060796188E-2</v>
      </c>
      <c r="CT149" s="259">
        <f t="shared" si="157"/>
        <v>0.10137633378528235</v>
      </c>
      <c r="CU149" s="259">
        <f t="shared" si="157"/>
        <v>8.1434664876860394E-2</v>
      </c>
      <c r="CV149" s="453">
        <f t="shared" si="157"/>
        <v>8.7588474014273623E-2</v>
      </c>
      <c r="CW149" s="453">
        <f t="shared" ref="CW149:CY152" si="160">CW136/CW16</f>
        <v>0.10700392923564141</v>
      </c>
      <c r="CX149" s="453">
        <f t="shared" si="160"/>
        <v>0.11338549008778458</v>
      </c>
      <c r="CY149" s="453">
        <f t="shared" si="160"/>
        <v>0.11158323766887616</v>
      </c>
      <c r="CZ149" s="268"/>
    </row>
    <row r="150" spans="1:104" ht="12" hidden="1" customHeight="1">
      <c r="A150" s="268"/>
      <c r="B150" s="268"/>
      <c r="C150" s="268" t="str">
        <f>C137</f>
        <v>Flight System</v>
      </c>
      <c r="D150" s="261"/>
      <c r="E150" s="407"/>
      <c r="F150" s="407"/>
      <c r="G150" s="407"/>
      <c r="H150" s="407"/>
      <c r="I150" s="407"/>
      <c r="J150" s="453"/>
      <c r="K150" s="407">
        <v>0.13397129186602871</v>
      </c>
      <c r="L150" s="407">
        <v>0.13388182498130141</v>
      </c>
      <c r="M150" s="407">
        <v>0.13842482100238662</v>
      </c>
      <c r="N150" s="407">
        <v>0.10318559556786704</v>
      </c>
      <c r="O150" s="453">
        <v>0.12660619803476947</v>
      </c>
      <c r="P150" s="259" t="e">
        <v>#DIV/0!</v>
      </c>
      <c r="Q150" s="259" t="e">
        <v>#DIV/0!</v>
      </c>
      <c r="R150" s="259" t="e">
        <v>#DIV/0!</v>
      </c>
      <c r="S150" s="259" t="e">
        <v>#DIV/0!</v>
      </c>
      <c r="T150" s="453" t="e">
        <v>#DIV/0!</v>
      </c>
      <c r="U150" s="259" t="e">
        <v>#DIV/0!</v>
      </c>
      <c r="V150" s="259" t="e">
        <v>#DIV/0!</v>
      </c>
      <c r="W150" s="259" t="e">
        <v>#DIV/0!</v>
      </c>
      <c r="X150" s="259" t="e">
        <v>#DIV/0!</v>
      </c>
      <c r="Y150" s="453" t="e">
        <v>#DIV/0!</v>
      </c>
      <c r="Z150" s="259" t="e">
        <v>#DIV/0!</v>
      </c>
      <c r="AA150" s="259" t="e">
        <v>#DIV/0!</v>
      </c>
      <c r="AB150" s="259" t="e">
        <v>#DIV/0!</v>
      </c>
      <c r="AC150" s="259" t="e">
        <v>#DIV/0!</v>
      </c>
      <c r="AD150" s="453" t="e">
        <v>#DIV/0!</v>
      </c>
      <c r="AE150" s="259" t="e">
        <v>#DIV/0!</v>
      </c>
      <c r="AF150" s="259" t="e">
        <v>#DIV/0!</v>
      </c>
      <c r="AG150" s="259" t="e">
        <v>#DIV/0!</v>
      </c>
      <c r="AH150" s="259" t="e">
        <v>#DIV/0!</v>
      </c>
      <c r="AI150" s="453" t="e">
        <v>#DIV/0!</v>
      </c>
      <c r="AJ150" s="259" t="e">
        <f t="shared" ref="AJ150:BM150" si="161">AJ137/AJ17</f>
        <v>#DIV/0!</v>
      </c>
      <c r="AK150" s="259" t="e">
        <f t="shared" si="161"/>
        <v>#DIV/0!</v>
      </c>
      <c r="AL150" s="259" t="e">
        <f t="shared" si="161"/>
        <v>#DIV/0!</v>
      </c>
      <c r="AM150" s="259" t="e">
        <f t="shared" si="161"/>
        <v>#DIV/0!</v>
      </c>
      <c r="AN150" s="453" t="e">
        <f t="shared" si="161"/>
        <v>#DIV/0!</v>
      </c>
      <c r="AO150" s="259" t="e">
        <f t="shared" si="161"/>
        <v>#DIV/0!</v>
      </c>
      <c r="AP150" s="259" t="e">
        <f t="shared" si="161"/>
        <v>#DIV/0!</v>
      </c>
      <c r="AQ150" s="259" t="e">
        <f t="shared" si="161"/>
        <v>#DIV/0!</v>
      </c>
      <c r="AR150" s="259" t="e">
        <f t="shared" si="161"/>
        <v>#DIV/0!</v>
      </c>
      <c r="AS150" s="453" t="e">
        <f t="shared" si="161"/>
        <v>#DIV/0!</v>
      </c>
      <c r="AT150" s="259" t="e">
        <f t="shared" si="161"/>
        <v>#DIV/0!</v>
      </c>
      <c r="AU150" s="259" t="e">
        <f t="shared" si="161"/>
        <v>#DIV/0!</v>
      </c>
      <c r="AV150" s="259" t="e">
        <f t="shared" si="161"/>
        <v>#DIV/0!</v>
      </c>
      <c r="AW150" s="259" t="e">
        <f t="shared" si="161"/>
        <v>#DIV/0!</v>
      </c>
      <c r="AX150" s="453" t="e">
        <f t="shared" si="161"/>
        <v>#DIV/0!</v>
      </c>
      <c r="AY150" s="259" t="e">
        <f t="shared" si="161"/>
        <v>#DIV/0!</v>
      </c>
      <c r="AZ150" s="259" t="e">
        <f t="shared" si="161"/>
        <v>#DIV/0!</v>
      </c>
      <c r="BA150" s="259" t="e">
        <f t="shared" si="161"/>
        <v>#DIV/0!</v>
      </c>
      <c r="BB150" s="259" t="e">
        <f t="shared" si="161"/>
        <v>#DIV/0!</v>
      </c>
      <c r="BC150" s="453" t="e">
        <f t="shared" si="161"/>
        <v>#DIV/0!</v>
      </c>
      <c r="BD150" s="259" t="e">
        <f t="shared" si="161"/>
        <v>#DIV/0!</v>
      </c>
      <c r="BE150" s="259" t="e">
        <f t="shared" si="161"/>
        <v>#DIV/0!</v>
      </c>
      <c r="BF150" s="259" t="e">
        <f t="shared" si="161"/>
        <v>#DIV/0!</v>
      </c>
      <c r="BG150" s="259" t="e">
        <f t="shared" si="161"/>
        <v>#DIV/0!</v>
      </c>
      <c r="BH150" s="453" t="e">
        <f t="shared" si="161"/>
        <v>#DIV/0!</v>
      </c>
      <c r="BI150" s="259" t="e">
        <f t="shared" si="161"/>
        <v>#DIV/0!</v>
      </c>
      <c r="BJ150" s="259" t="e">
        <f t="shared" si="161"/>
        <v>#DIV/0!</v>
      </c>
      <c r="BK150" s="259" t="e">
        <f t="shared" si="161"/>
        <v>#DIV/0!</v>
      </c>
      <c r="BL150" s="259" t="e">
        <f t="shared" si="161"/>
        <v>#DIV/0!</v>
      </c>
      <c r="BM150" s="453" t="e">
        <f t="shared" si="161"/>
        <v>#DIV/0!</v>
      </c>
      <c r="BN150" s="259" t="e">
        <f t="shared" ref="BN150:CV150" si="162">BN137/BN17</f>
        <v>#DIV/0!</v>
      </c>
      <c r="BO150" s="259" t="e">
        <f t="shared" si="162"/>
        <v>#DIV/0!</v>
      </c>
      <c r="BP150" s="259" t="e">
        <f t="shared" si="162"/>
        <v>#DIV/0!</v>
      </c>
      <c r="BQ150" s="259" t="e">
        <f t="shared" si="162"/>
        <v>#DIV/0!</v>
      </c>
      <c r="BR150" s="453" t="e">
        <f t="shared" si="162"/>
        <v>#DIV/0!</v>
      </c>
      <c r="BS150" s="259" t="e">
        <f t="shared" si="162"/>
        <v>#DIV/0!</v>
      </c>
      <c r="BT150" s="259" t="e">
        <f t="shared" si="162"/>
        <v>#DIV/0!</v>
      </c>
      <c r="BU150" s="259" t="e">
        <f t="shared" si="162"/>
        <v>#DIV/0!</v>
      </c>
      <c r="BV150" s="259" t="e">
        <f t="shared" si="162"/>
        <v>#DIV/0!</v>
      </c>
      <c r="BW150" s="453" t="e">
        <f t="shared" si="162"/>
        <v>#DIV/0!</v>
      </c>
      <c r="BX150" s="259" t="e">
        <f t="shared" si="162"/>
        <v>#DIV/0!</v>
      </c>
      <c r="BY150" s="259" t="e">
        <f t="shared" si="162"/>
        <v>#DIV/0!</v>
      </c>
      <c r="BZ150" s="259" t="e">
        <f t="shared" si="162"/>
        <v>#DIV/0!</v>
      </c>
      <c r="CA150" s="259" t="e">
        <f t="shared" si="162"/>
        <v>#DIV/0!</v>
      </c>
      <c r="CB150" s="453" t="e">
        <f t="shared" si="162"/>
        <v>#DIV/0!</v>
      </c>
      <c r="CC150" s="259" t="e">
        <f t="shared" si="162"/>
        <v>#DIV/0!</v>
      </c>
      <c r="CD150" s="259" t="e">
        <f t="shared" si="162"/>
        <v>#DIV/0!</v>
      </c>
      <c r="CE150" s="259" t="e">
        <f t="shared" si="162"/>
        <v>#DIV/0!</v>
      </c>
      <c r="CF150" s="259" t="e">
        <f t="shared" si="162"/>
        <v>#DIV/0!</v>
      </c>
      <c r="CG150" s="453" t="e">
        <f t="shared" si="162"/>
        <v>#DIV/0!</v>
      </c>
      <c r="CH150" s="259" t="e">
        <f t="shared" si="162"/>
        <v>#DIV/0!</v>
      </c>
      <c r="CI150" s="259" t="e">
        <f t="shared" si="162"/>
        <v>#DIV/0!</v>
      </c>
      <c r="CJ150" s="259" t="e">
        <f t="shared" si="162"/>
        <v>#DIV/0!</v>
      </c>
      <c r="CK150" s="259" t="e">
        <f t="shared" si="162"/>
        <v>#DIV/0!</v>
      </c>
      <c r="CL150" s="453" t="e">
        <f t="shared" si="162"/>
        <v>#DIV/0!</v>
      </c>
      <c r="CM150" s="259" t="e">
        <f t="shared" si="158"/>
        <v>#DIV/0!</v>
      </c>
      <c r="CN150" s="259" t="e">
        <f t="shared" ref="CN150" si="163">CN137/CN17</f>
        <v>#DIV/0!</v>
      </c>
      <c r="CO150" s="259" t="e">
        <f t="shared" si="158"/>
        <v>#DIV/0!</v>
      </c>
      <c r="CP150" s="259" t="e">
        <f t="shared" si="158"/>
        <v>#DIV/0!</v>
      </c>
      <c r="CQ150" s="453" t="e">
        <f t="shared" si="162"/>
        <v>#DIV/0!</v>
      </c>
      <c r="CR150" s="259" t="e">
        <f t="shared" si="162"/>
        <v>#DIV/0!</v>
      </c>
      <c r="CS150" s="259" t="e">
        <f t="shared" si="162"/>
        <v>#DIV/0!</v>
      </c>
      <c r="CT150" s="259" t="e">
        <f t="shared" si="162"/>
        <v>#DIV/0!</v>
      </c>
      <c r="CU150" s="259" t="e">
        <f t="shared" si="162"/>
        <v>#DIV/0!</v>
      </c>
      <c r="CV150" s="453" t="e">
        <f t="shared" si="162"/>
        <v>#DIV/0!</v>
      </c>
      <c r="CW150" s="453" t="e">
        <f t="shared" si="160"/>
        <v>#DIV/0!</v>
      </c>
      <c r="CX150" s="453" t="e">
        <f t="shared" si="160"/>
        <v>#DIV/0!</v>
      </c>
      <c r="CY150" s="453" t="e">
        <f t="shared" si="160"/>
        <v>#DIV/0!</v>
      </c>
      <c r="CZ150" s="268"/>
    </row>
    <row r="151" spans="1:104" ht="12" customHeight="1">
      <c r="A151" s="268"/>
      <c r="B151" s="268"/>
      <c r="C151" s="116" t="s">
        <v>164</v>
      </c>
      <c r="D151" s="261"/>
      <c r="E151" s="407"/>
      <c r="F151" s="407"/>
      <c r="G151" s="407"/>
      <c r="H151" s="407"/>
      <c r="I151" s="407"/>
      <c r="J151" s="453"/>
      <c r="K151" s="407"/>
      <c r="L151" s="407"/>
      <c r="M151" s="407"/>
      <c r="N151" s="407"/>
      <c r="O151" s="453"/>
      <c r="P151" s="259"/>
      <c r="Q151" s="259"/>
      <c r="R151" s="259"/>
      <c r="S151" s="259"/>
      <c r="T151" s="453"/>
      <c r="U151" s="259"/>
      <c r="V151" s="259"/>
      <c r="W151" s="259"/>
      <c r="X151" s="259"/>
      <c r="Y151" s="453"/>
      <c r="Z151" s="259"/>
      <c r="AA151" s="259"/>
      <c r="AB151" s="259"/>
      <c r="AC151" s="259"/>
      <c r="AD151" s="453"/>
      <c r="AE151" s="259"/>
      <c r="AF151" s="259"/>
      <c r="AG151" s="259"/>
      <c r="AH151" s="259"/>
      <c r="AI151" s="453"/>
      <c r="AJ151" s="259"/>
      <c r="AK151" s="259"/>
      <c r="AL151" s="259"/>
      <c r="AM151" s="259"/>
      <c r="AN151" s="453"/>
      <c r="AO151" s="259"/>
      <c r="AP151" s="259"/>
      <c r="AQ151" s="259"/>
      <c r="AR151" s="259"/>
      <c r="AS151" s="453"/>
      <c r="AT151" s="259"/>
      <c r="AU151" s="259"/>
      <c r="AV151" s="259"/>
      <c r="AW151" s="259"/>
      <c r="AX151" s="453"/>
      <c r="AY151" s="259"/>
      <c r="AZ151" s="259"/>
      <c r="BA151" s="259"/>
      <c r="BB151" s="259"/>
      <c r="BC151" s="453"/>
      <c r="BD151" s="259"/>
      <c r="BE151" s="259"/>
      <c r="BF151" s="259"/>
      <c r="BG151" s="259"/>
      <c r="BH151" s="453"/>
      <c r="BI151" s="259">
        <f t="shared" ref="BI151:BM153" si="164">BI138/BI18</f>
        <v>0.15114235500878734</v>
      </c>
      <c r="BJ151" s="259">
        <f t="shared" si="164"/>
        <v>0.15798462852263023</v>
      </c>
      <c r="BK151" s="259">
        <f t="shared" si="164"/>
        <v>0.17186183656276327</v>
      </c>
      <c r="BL151" s="259">
        <f t="shared" si="164"/>
        <v>0.15664556962025317</v>
      </c>
      <c r="BM151" s="453">
        <f t="shared" si="164"/>
        <v>0.15945378151260503</v>
      </c>
      <c r="BN151" s="259">
        <f t="shared" ref="BN151:CV151" si="165">BN138/BN18</f>
        <v>0.16019417475728157</v>
      </c>
      <c r="BO151" s="259">
        <f t="shared" si="165"/>
        <v>0.16826156299840511</v>
      </c>
      <c r="BP151" s="259">
        <f t="shared" si="165"/>
        <v>0.10149812734082397</v>
      </c>
      <c r="BQ151" s="259">
        <f t="shared" si="165"/>
        <v>8.3175803402646506E-2</v>
      </c>
      <c r="BR151" s="453">
        <f t="shared" si="165"/>
        <v>0.11327093832493401</v>
      </c>
      <c r="BS151" s="259">
        <f t="shared" si="165"/>
        <v>0.15353968740422924</v>
      </c>
      <c r="BT151" s="259">
        <f t="shared" si="165"/>
        <v>0.15025594700391448</v>
      </c>
      <c r="BU151" s="259">
        <f t="shared" si="165"/>
        <v>0.15126811594202899</v>
      </c>
      <c r="BV151" s="259">
        <f t="shared" si="165"/>
        <v>0.14981164879745001</v>
      </c>
      <c r="BW151" s="453">
        <f t="shared" si="165"/>
        <v>0.15119502509927324</v>
      </c>
      <c r="BX151" s="259">
        <f t="shared" si="165"/>
        <v>0.17101449275362318</v>
      </c>
      <c r="BY151" s="259">
        <f t="shared" si="165"/>
        <v>0.16556655665566555</v>
      </c>
      <c r="BZ151" s="259">
        <f t="shared" si="165"/>
        <v>0.16265912305516267</v>
      </c>
      <c r="CA151" s="259">
        <f t="shared" si="165"/>
        <v>0.1636060100166945</v>
      </c>
      <c r="CB151" s="453">
        <f t="shared" si="165"/>
        <v>0.16567006683081253</v>
      </c>
      <c r="CC151" s="259">
        <f t="shared" si="165"/>
        <v>0.16037204058624577</v>
      </c>
      <c r="CD151" s="259">
        <f t="shared" si="165"/>
        <v>0.15969162995594713</v>
      </c>
      <c r="CE151" s="259">
        <f t="shared" si="165"/>
        <v>0.16546138270176453</v>
      </c>
      <c r="CF151" s="259">
        <f t="shared" si="165"/>
        <v>4.8307781313277405E-2</v>
      </c>
      <c r="CG151" s="453">
        <f t="shared" si="165"/>
        <v>0.1339577125017738</v>
      </c>
      <c r="CH151" s="259">
        <f t="shared" si="165"/>
        <v>0.15349500713266762</v>
      </c>
      <c r="CI151" s="259">
        <f t="shared" si="165"/>
        <v>0.15662002152852531</v>
      </c>
      <c r="CJ151" s="259">
        <f t="shared" si="165"/>
        <v>0.16456390565002743</v>
      </c>
      <c r="CK151" s="259">
        <f t="shared" si="165"/>
        <v>0.16064480266814898</v>
      </c>
      <c r="CL151" s="453">
        <f t="shared" si="165"/>
        <v>0.158866228828206</v>
      </c>
      <c r="CM151" s="259">
        <f t="shared" si="158"/>
        <v>0.15951260038770423</v>
      </c>
      <c r="CN151" s="259">
        <f t="shared" ref="CN151" si="166">CN138/CN18</f>
        <v>0.15906593406593406</v>
      </c>
      <c r="CO151" s="259">
        <f t="shared" si="158"/>
        <v>0.16937036018696727</v>
      </c>
      <c r="CP151" s="259">
        <f t="shared" si="158"/>
        <v>0.15569970986500889</v>
      </c>
      <c r="CQ151" s="453">
        <f t="shared" si="165"/>
        <v>0.16087687380781784</v>
      </c>
      <c r="CR151" s="259">
        <f t="shared" si="165"/>
        <v>0.15742849147145963</v>
      </c>
      <c r="CS151" s="259">
        <f t="shared" si="165"/>
        <v>0.16019009777338225</v>
      </c>
      <c r="CT151" s="259">
        <f t="shared" si="165"/>
        <v>0.1693467766522942</v>
      </c>
      <c r="CU151" s="259">
        <f t="shared" si="165"/>
        <v>0.16200891955667718</v>
      </c>
      <c r="CV151" s="453">
        <f t="shared" si="165"/>
        <v>0.16227386873978308</v>
      </c>
      <c r="CW151" s="453">
        <f t="shared" si="160"/>
        <v>0.16400573010295688</v>
      </c>
      <c r="CX151" s="453">
        <f t="shared" si="160"/>
        <v>0.16649333202247424</v>
      </c>
      <c r="CY151" s="453">
        <f t="shared" si="160"/>
        <v>0.1635698521173938</v>
      </c>
      <c r="CZ151" s="268"/>
    </row>
    <row r="152" spans="1:104" ht="12" hidden="1" customHeight="1" outlineLevel="1">
      <c r="A152" s="268"/>
      <c r="B152" s="268"/>
      <c r="C152" s="268" t="str">
        <f>C139</f>
        <v>Hamilton Sundstrand</v>
      </c>
      <c r="D152" s="261"/>
      <c r="E152" s="407"/>
      <c r="F152" s="407"/>
      <c r="G152" s="407"/>
      <c r="H152" s="407"/>
      <c r="I152" s="407"/>
      <c r="J152" s="453"/>
      <c r="K152" s="407"/>
      <c r="L152" s="407"/>
      <c r="M152" s="407"/>
      <c r="N152" s="407"/>
      <c r="O152" s="453"/>
      <c r="P152" s="259">
        <v>0.16252758930424394</v>
      </c>
      <c r="Q152" s="259">
        <v>0.17315429567387638</v>
      </c>
      <c r="R152" s="259">
        <v>0.16499019087889177</v>
      </c>
      <c r="S152" s="259">
        <v>0.15465011252219921</v>
      </c>
      <c r="T152" s="453">
        <v>0.16362583260932523</v>
      </c>
      <c r="U152" s="259">
        <v>0.16904698911927746</v>
      </c>
      <c r="V152" s="259">
        <v>0.14796482208465986</v>
      </c>
      <c r="W152" s="259">
        <v>0.1663775387901355</v>
      </c>
      <c r="X152" s="259">
        <v>0.16247992694024635</v>
      </c>
      <c r="Y152" s="453">
        <v>0.16144244105409153</v>
      </c>
      <c r="Z152" s="259">
        <v>0.14146868250539957</v>
      </c>
      <c r="AA152" s="259">
        <v>0.1497326203208556</v>
      </c>
      <c r="AB152" s="259">
        <v>0.16326530612244897</v>
      </c>
      <c r="AC152" s="259">
        <v>0.14074074074074075</v>
      </c>
      <c r="AD152" s="453">
        <v>0.15529531568228105</v>
      </c>
      <c r="AE152" s="259">
        <v>0.14785992217898833</v>
      </c>
      <c r="AF152" s="259">
        <v>0.15097690941385436</v>
      </c>
      <c r="AG152" s="259">
        <v>0.16620241411327763</v>
      </c>
      <c r="AH152" s="259">
        <v>0.15117289313640314</v>
      </c>
      <c r="AI152" s="453">
        <v>0.15403925148334094</v>
      </c>
      <c r="AJ152" s="259">
        <f t="shared" ref="AJ152:BH152" si="167">AJ139/AJ19</f>
        <v>0.15549828178694158</v>
      </c>
      <c r="AK152" s="259">
        <f t="shared" si="167"/>
        <v>0.16549570647931303</v>
      </c>
      <c r="AL152" s="259">
        <f t="shared" si="167"/>
        <v>0.17557861133280128</v>
      </c>
      <c r="AM152" s="259">
        <f t="shared" si="167"/>
        <v>0.16885119506553586</v>
      </c>
      <c r="AN152" s="453">
        <f t="shared" si="167"/>
        <v>0.16656656656656657</v>
      </c>
      <c r="AO152" s="259">
        <f t="shared" si="167"/>
        <v>0.16603198781416603</v>
      </c>
      <c r="AP152" s="259">
        <f t="shared" si="167"/>
        <v>0.1752136752136752</v>
      </c>
      <c r="AQ152" s="259">
        <f t="shared" si="167"/>
        <v>0.17449194113524877</v>
      </c>
      <c r="AR152" s="259">
        <f t="shared" si="167"/>
        <v>0.17024128686327078</v>
      </c>
      <c r="AS152" s="453">
        <f t="shared" si="167"/>
        <v>0.17157558552164656</v>
      </c>
      <c r="AT152" s="259">
        <f t="shared" si="167"/>
        <v>0.1567419575633128</v>
      </c>
      <c r="AU152" s="259">
        <f t="shared" si="167"/>
        <v>0.16969696969696971</v>
      </c>
      <c r="AV152" s="259">
        <f t="shared" si="167"/>
        <v>0.1866840731070496</v>
      </c>
      <c r="AW152" s="259">
        <f t="shared" si="167"/>
        <v>0.19437340153452684</v>
      </c>
      <c r="AX152" s="453">
        <f t="shared" si="167"/>
        <v>0.17303044949250845</v>
      </c>
      <c r="AY152" s="259">
        <f t="shared" si="167"/>
        <v>0.13953488372093023</v>
      </c>
      <c r="AZ152" s="259">
        <f t="shared" si="167"/>
        <v>0.13338088445078458</v>
      </c>
      <c r="BA152" s="259">
        <f t="shared" si="167"/>
        <v>0.17911530094271211</v>
      </c>
      <c r="BB152" s="259">
        <f t="shared" si="167"/>
        <v>0.1646471846044191</v>
      </c>
      <c r="BC152" s="453">
        <f t="shared" si="167"/>
        <v>0.15413669064748201</v>
      </c>
      <c r="BD152" s="259">
        <f t="shared" si="167"/>
        <v>0.16666666666666666</v>
      </c>
      <c r="BE152" s="259">
        <f t="shared" si="167"/>
        <v>0.14793328498912256</v>
      </c>
      <c r="BF152" s="259">
        <f t="shared" si="167"/>
        <v>0.1795774647887324</v>
      </c>
      <c r="BG152" s="259">
        <f t="shared" si="167"/>
        <v>0.16048550236008091</v>
      </c>
      <c r="BH152" s="453">
        <f t="shared" si="167"/>
        <v>0.16868758915834522</v>
      </c>
      <c r="BI152" s="259">
        <f t="shared" si="164"/>
        <v>0.15114235500878734</v>
      </c>
      <c r="BJ152" s="259">
        <f t="shared" si="164"/>
        <v>0.15798462852263023</v>
      </c>
      <c r="BK152" s="259">
        <f t="shared" si="164"/>
        <v>0.18419333768778576</v>
      </c>
      <c r="BL152" s="259">
        <f t="shared" si="164"/>
        <v>0.17547055251973284</v>
      </c>
      <c r="BM152" s="453">
        <f t="shared" si="164"/>
        <v>0.16912702751959177</v>
      </c>
      <c r="BN152" s="259">
        <f t="shared" ref="BN152:CV152" si="168">BN139/BN19</f>
        <v>0.16019417475728157</v>
      </c>
      <c r="BO152" s="259">
        <f t="shared" si="168"/>
        <v>0.16826156299840511</v>
      </c>
      <c r="BP152" s="259">
        <f t="shared" si="168"/>
        <v>0.19336944092970518</v>
      </c>
      <c r="BQ152" s="259">
        <f t="shared" si="168"/>
        <v>0.18466173595687668</v>
      </c>
      <c r="BR152" s="453">
        <f t="shared" si="168"/>
        <v>0.17840156533134016</v>
      </c>
      <c r="BS152" s="259">
        <f t="shared" si="168"/>
        <v>0</v>
      </c>
      <c r="BT152" s="259">
        <f t="shared" si="168"/>
        <v>0</v>
      </c>
      <c r="BU152" s="259">
        <f t="shared" si="168"/>
        <v>0</v>
      </c>
      <c r="BV152" s="259" t="e">
        <f t="shared" si="168"/>
        <v>#DIV/0!</v>
      </c>
      <c r="BW152" s="453">
        <f t="shared" si="168"/>
        <v>0</v>
      </c>
      <c r="BX152" s="259" t="e">
        <f t="shared" si="168"/>
        <v>#DIV/0!</v>
      </c>
      <c r="BY152" s="259" t="e">
        <f t="shared" si="168"/>
        <v>#DIV/0!</v>
      </c>
      <c r="BZ152" s="259" t="e">
        <f t="shared" si="168"/>
        <v>#DIV/0!</v>
      </c>
      <c r="CA152" s="259" t="e">
        <f t="shared" si="168"/>
        <v>#DIV/0!</v>
      </c>
      <c r="CB152" s="453" t="e">
        <f t="shared" si="168"/>
        <v>#DIV/0!</v>
      </c>
      <c r="CC152" s="259" t="e">
        <f t="shared" si="168"/>
        <v>#DIV/0!</v>
      </c>
      <c r="CD152" s="259" t="e">
        <f t="shared" si="168"/>
        <v>#DIV/0!</v>
      </c>
      <c r="CE152" s="259" t="e">
        <f t="shared" si="168"/>
        <v>#DIV/0!</v>
      </c>
      <c r="CF152" s="259" t="e">
        <f t="shared" si="168"/>
        <v>#DIV/0!</v>
      </c>
      <c r="CG152" s="453" t="e">
        <f t="shared" si="168"/>
        <v>#DIV/0!</v>
      </c>
      <c r="CH152" s="259" t="e">
        <f t="shared" si="168"/>
        <v>#DIV/0!</v>
      </c>
      <c r="CI152" s="259" t="e">
        <f t="shared" si="168"/>
        <v>#DIV/0!</v>
      </c>
      <c r="CJ152" s="259" t="e">
        <f t="shared" si="168"/>
        <v>#DIV/0!</v>
      </c>
      <c r="CK152" s="259" t="e">
        <f t="shared" si="168"/>
        <v>#DIV/0!</v>
      </c>
      <c r="CL152" s="453" t="e">
        <f t="shared" si="168"/>
        <v>#DIV/0!</v>
      </c>
      <c r="CM152" s="259" t="e">
        <f t="shared" si="158"/>
        <v>#DIV/0!</v>
      </c>
      <c r="CN152" s="259" t="e">
        <f t="shared" ref="CN152" si="169">CN139/CN19</f>
        <v>#DIV/0!</v>
      </c>
      <c r="CO152" s="259" t="e">
        <f t="shared" si="158"/>
        <v>#DIV/0!</v>
      </c>
      <c r="CP152" s="259" t="e">
        <f t="shared" si="158"/>
        <v>#DIV/0!</v>
      </c>
      <c r="CQ152" s="453" t="e">
        <f t="shared" si="168"/>
        <v>#DIV/0!</v>
      </c>
      <c r="CR152" s="259" t="e">
        <f t="shared" si="168"/>
        <v>#DIV/0!</v>
      </c>
      <c r="CS152" s="259" t="e">
        <f t="shared" si="168"/>
        <v>#DIV/0!</v>
      </c>
      <c r="CT152" s="259" t="e">
        <f t="shared" si="168"/>
        <v>#DIV/0!</v>
      </c>
      <c r="CU152" s="259" t="e">
        <f t="shared" si="168"/>
        <v>#DIV/0!</v>
      </c>
      <c r="CV152" s="453" t="e">
        <f t="shared" si="168"/>
        <v>#DIV/0!</v>
      </c>
      <c r="CW152" s="453" t="e">
        <f t="shared" si="160"/>
        <v>#DIV/0!</v>
      </c>
      <c r="CX152" s="453" t="e">
        <f t="shared" si="160"/>
        <v>#DIV/0!</v>
      </c>
      <c r="CY152" s="453" t="e">
        <f t="shared" si="160"/>
        <v>#DIV/0!</v>
      </c>
      <c r="CZ152" s="268"/>
    </row>
    <row r="153" spans="1:104" ht="12" customHeight="1" collapsed="1">
      <c r="A153" s="268"/>
      <c r="B153" s="268"/>
      <c r="C153" s="268" t="str">
        <f>C140</f>
        <v>Sikorsky</v>
      </c>
      <c r="D153" s="261"/>
      <c r="E153" s="407"/>
      <c r="F153" s="407"/>
      <c r="G153" s="407"/>
      <c r="H153" s="407"/>
      <c r="I153" s="407"/>
      <c r="J153" s="453"/>
      <c r="K153" s="407"/>
      <c r="L153" s="407"/>
      <c r="M153" s="407"/>
      <c r="N153" s="407"/>
      <c r="O153" s="453"/>
      <c r="P153" s="259">
        <v>8.0228867502499371E-2</v>
      </c>
      <c r="Q153" s="259">
        <v>8.5474552994832864E-2</v>
      </c>
      <c r="R153" s="259">
        <v>8.1444487178454955E-2</v>
      </c>
      <c r="S153" s="259">
        <v>7.6340290531006813E-2</v>
      </c>
      <c r="T153" s="453">
        <v>8.0770995869664977E-2</v>
      </c>
      <c r="U153" s="259">
        <v>9.732695324188731E-2</v>
      </c>
      <c r="V153" s="259">
        <v>8.5189126381403468E-2</v>
      </c>
      <c r="W153" s="259">
        <v>9.5790046440296026E-2</v>
      </c>
      <c r="X153" s="259">
        <v>9.354603908917114E-2</v>
      </c>
      <c r="Y153" s="453">
        <v>9.2948717948717952E-2</v>
      </c>
      <c r="Z153" s="259">
        <v>8.2142857142857142E-2</v>
      </c>
      <c r="AA153" s="259">
        <v>8.0256821829855537E-2</v>
      </c>
      <c r="AB153" s="259">
        <v>8.5380366023224061E-2</v>
      </c>
      <c r="AC153" s="259">
        <v>7.6964295148034378E-2</v>
      </c>
      <c r="AD153" s="453">
        <v>8.4996009577015169E-2</v>
      </c>
      <c r="AE153" s="259">
        <v>8.7603305785123972E-2</v>
      </c>
      <c r="AF153" s="259">
        <v>8.9488636363636367E-2</v>
      </c>
      <c r="AG153" s="259">
        <v>0.10015649452269171</v>
      </c>
      <c r="AH153" s="259">
        <v>8.1967213114754092E-2</v>
      </c>
      <c r="AI153" s="453">
        <v>8.9221984296930762E-2</v>
      </c>
      <c r="AJ153" s="259">
        <f t="shared" ref="AJ153:BH153" si="170">AJ140/AJ20</f>
        <v>5.859375E-3</v>
      </c>
      <c r="AK153" s="259">
        <f t="shared" si="170"/>
        <v>5.4758800521512385E-2</v>
      </c>
      <c r="AL153" s="259">
        <f t="shared" si="170"/>
        <v>8.073817762399077E-2</v>
      </c>
      <c r="AM153" s="259">
        <f t="shared" si="170"/>
        <v>5.350553505535055E-2</v>
      </c>
      <c r="AN153" s="453">
        <f t="shared" si="170"/>
        <v>5.356037151702786E-2</v>
      </c>
      <c r="AO153" s="259">
        <f t="shared" si="170"/>
        <v>7.2564612326043734E-2</v>
      </c>
      <c r="AP153" s="259">
        <f t="shared" si="170"/>
        <v>7.2621035058430719E-2</v>
      </c>
      <c r="AQ153" s="259">
        <f t="shared" si="170"/>
        <v>7.8806426931905121E-2</v>
      </c>
      <c r="AR153" s="259">
        <f t="shared" si="170"/>
        <v>8.6071987480438178E-2</v>
      </c>
      <c r="AS153" s="453">
        <f t="shared" si="170"/>
        <v>7.7886823971601585E-2</v>
      </c>
      <c r="AT153" s="259">
        <f t="shared" si="170"/>
        <v>8.0156402737047897E-2</v>
      </c>
      <c r="AU153" s="259">
        <f t="shared" si="170"/>
        <v>8.4927314460596787E-2</v>
      </c>
      <c r="AV153" s="259">
        <f t="shared" si="170"/>
        <v>9.2489568845618916E-2</v>
      </c>
      <c r="AW153" s="259">
        <f t="shared" si="170"/>
        <v>9.5000000000000001E-2</v>
      </c>
      <c r="AX153" s="453">
        <f t="shared" si="170"/>
        <v>8.9046199701937404E-2</v>
      </c>
      <c r="AY153" s="259">
        <f t="shared" si="170"/>
        <v>8.7812263436790314E-2</v>
      </c>
      <c r="AZ153" s="259">
        <f t="shared" si="170"/>
        <v>9.6237337192474681E-2</v>
      </c>
      <c r="BA153" s="259">
        <f t="shared" si="170"/>
        <v>9.5731707317073172E-2</v>
      </c>
      <c r="BB153" s="259">
        <f t="shared" si="170"/>
        <v>0.10390946502057613</v>
      </c>
      <c r="BC153" s="453">
        <f t="shared" si="170"/>
        <v>9.6707491649435345E-2</v>
      </c>
      <c r="BD153" s="259">
        <f t="shared" si="170"/>
        <v>0.10677466863033873</v>
      </c>
      <c r="BE153" s="259">
        <f t="shared" si="170"/>
        <v>9.9881796690307334E-2</v>
      </c>
      <c r="BF153" s="259">
        <f t="shared" si="170"/>
        <v>0.10536522301228184</v>
      </c>
      <c r="BG153" s="259">
        <f t="shared" si="170"/>
        <v>0.11451844753234308</v>
      </c>
      <c r="BH153" s="453">
        <f t="shared" si="170"/>
        <v>0.10712148414123279</v>
      </c>
      <c r="BI153" s="259">
        <f t="shared" si="164"/>
        <v>8.9127686472819212E-2</v>
      </c>
      <c r="BJ153" s="259">
        <f t="shared" si="164"/>
        <v>0.15509518477043674</v>
      </c>
      <c r="BK153" s="259">
        <f t="shared" si="164"/>
        <v>0.11454448588172615</v>
      </c>
      <c r="BL153" s="259">
        <f t="shared" si="164"/>
        <v>9.8104265402843602E-2</v>
      </c>
      <c r="BM153" s="453">
        <f t="shared" si="164"/>
        <v>0.1142080217539089</v>
      </c>
      <c r="BN153" s="259">
        <f t="shared" ref="BN153:CB153" si="171">BN140/BN20</f>
        <v>0.10104011887072809</v>
      </c>
      <c r="BO153" s="259">
        <f t="shared" si="171"/>
        <v>0.13148148148148148</v>
      </c>
      <c r="BP153" s="259">
        <f t="shared" si="171"/>
        <v>0.12310491206791996</v>
      </c>
      <c r="BQ153" s="259">
        <f t="shared" si="171"/>
        <v>7.3529411764705885E-2</v>
      </c>
      <c r="BR153" s="453">
        <f t="shared" si="171"/>
        <v>0.10484464732734501</v>
      </c>
      <c r="BS153" s="259">
        <f t="shared" si="171"/>
        <v>7.2057646116893512E-2</v>
      </c>
      <c r="BT153" s="259">
        <f t="shared" si="171"/>
        <v>9.9616858237547887E-2</v>
      </c>
      <c r="BU153" s="259">
        <f t="shared" si="171"/>
        <v>0.10317975340687865</v>
      </c>
      <c r="BV153" s="259">
        <f t="shared" si="171"/>
        <v>9.9630996309963096E-2</v>
      </c>
      <c r="BW153" s="453">
        <f t="shared" si="171"/>
        <v>9.4994402686710375E-2</v>
      </c>
      <c r="BX153" s="259">
        <f t="shared" si="171"/>
        <v>6.3188831741366636E-2</v>
      </c>
      <c r="BY153" s="259">
        <f t="shared" si="171"/>
        <v>-0.13296979865771813</v>
      </c>
      <c r="BZ153" s="259">
        <f t="shared" si="171"/>
        <v>9.3827160493827166E-2</v>
      </c>
      <c r="CA153" s="259">
        <f t="shared" si="171"/>
        <v>0.14285714285714285</v>
      </c>
      <c r="CB153" s="453">
        <f t="shared" si="171"/>
        <v>2.9392027915716011E-2</v>
      </c>
      <c r="CC153" s="259"/>
      <c r="CD153" s="259"/>
      <c r="CE153" s="259"/>
      <c r="CF153" s="259"/>
      <c r="CG153" s="453"/>
      <c r="CH153" s="259"/>
      <c r="CI153" s="259"/>
      <c r="CJ153" s="259"/>
      <c r="CK153" s="259"/>
      <c r="CL153" s="453"/>
      <c r="CM153" s="259"/>
      <c r="CN153" s="259"/>
      <c r="CO153" s="259"/>
      <c r="CP153" s="259"/>
      <c r="CQ153" s="453"/>
      <c r="CR153" s="259"/>
      <c r="CS153" s="259"/>
      <c r="CT153" s="259"/>
      <c r="CU153" s="259"/>
      <c r="CV153" s="453"/>
      <c r="CW153" s="453"/>
      <c r="CX153" s="453"/>
      <c r="CY153" s="453"/>
      <c r="CZ153" s="268"/>
    </row>
    <row r="154" spans="1:104" ht="12" customHeight="1" thickBot="1">
      <c r="A154" s="268"/>
      <c r="B154" s="268"/>
      <c r="C154" s="1093" t="s">
        <v>277</v>
      </c>
      <c r="D154" s="1101"/>
      <c r="E154" s="1100"/>
      <c r="F154" s="1100"/>
      <c r="G154" s="1100"/>
      <c r="H154" s="1100"/>
      <c r="I154" s="1100"/>
      <c r="J154" s="1098"/>
      <c r="K154" s="1100">
        <v>0.11647429171038824</v>
      </c>
      <c r="L154" s="1100">
        <v>0.13488816148390617</v>
      </c>
      <c r="M154" s="1100">
        <v>0.11878612716763005</v>
      </c>
      <c r="N154" s="1100">
        <v>0.10354107648725212</v>
      </c>
      <c r="O154" s="1098">
        <v>0.11589059755529268</v>
      </c>
      <c r="P154" s="1099">
        <v>0.12503922183871979</v>
      </c>
      <c r="Q154" s="1099">
        <v>0.14077007099945385</v>
      </c>
      <c r="R154" s="1099">
        <v>0.13727907932593506</v>
      </c>
      <c r="S154" s="1099">
        <v>0.11462231462231462</v>
      </c>
      <c r="T154" s="1098">
        <v>0.12962569119523606</v>
      </c>
      <c r="U154" s="1099">
        <v>0.12488809310653537</v>
      </c>
      <c r="V154" s="1099">
        <v>0.13260590500641847</v>
      </c>
      <c r="W154" s="1099">
        <v>0.13175760623585617</v>
      </c>
      <c r="X154" s="1099">
        <v>0.10794131346064276</v>
      </c>
      <c r="Y154" s="1098">
        <v>0.12389637172133788</v>
      </c>
      <c r="Z154" s="1099">
        <v>0.10640758732361785</v>
      </c>
      <c r="AA154" s="1099">
        <v>0.12648098108501352</v>
      </c>
      <c r="AB154" s="1099">
        <v>0.12099796552093373</v>
      </c>
      <c r="AC154" s="1099">
        <v>0.10510266314291522</v>
      </c>
      <c r="AD154" s="1098">
        <v>0.11937508345573508</v>
      </c>
      <c r="AE154" s="1099">
        <v>0.11565855214202189</v>
      </c>
      <c r="AF154" s="1099">
        <v>0.13351865136298421</v>
      </c>
      <c r="AG154" s="1099">
        <v>0.12691425951398441</v>
      </c>
      <c r="AH154" s="1099">
        <v>0.10842731551371992</v>
      </c>
      <c r="AI154" s="1098">
        <v>0.12128730251609128</v>
      </c>
      <c r="AJ154" s="1099">
        <f t="shared" ref="AJ154:BO154" si="172">AJ143/AJ22</f>
        <v>0.12077249175694772</v>
      </c>
      <c r="AK154" s="1099">
        <f t="shared" si="172"/>
        <v>0.14196020874103066</v>
      </c>
      <c r="AL154" s="1099">
        <f t="shared" si="172"/>
        <v>0.13541067170928225</v>
      </c>
      <c r="AM154" s="1099">
        <f t="shared" si="172"/>
        <v>0.11167592085712051</v>
      </c>
      <c r="AN154" s="1098">
        <f t="shared" si="172"/>
        <v>0.127495870706057</v>
      </c>
      <c r="AO154" s="1099">
        <f t="shared" si="172"/>
        <v>0.1224955204430689</v>
      </c>
      <c r="AP154" s="1099">
        <f t="shared" si="172"/>
        <v>0.13413406214039125</v>
      </c>
      <c r="AQ154" s="1099">
        <f t="shared" si="172"/>
        <v>0.13618985789511651</v>
      </c>
      <c r="AR154" s="1099">
        <f t="shared" si="172"/>
        <v>0.1218567350822346</v>
      </c>
      <c r="AS154" s="1098">
        <f t="shared" si="172"/>
        <v>0.12874595956829013</v>
      </c>
      <c r="AT154" s="1099">
        <f t="shared" si="172"/>
        <v>0.119931222238143</v>
      </c>
      <c r="AU154" s="1099">
        <f t="shared" si="172"/>
        <v>0.13164826894129453</v>
      </c>
      <c r="AV154" s="1099">
        <f t="shared" si="172"/>
        <v>0.13583029499502816</v>
      </c>
      <c r="AW154" s="1099">
        <f t="shared" si="172"/>
        <v>0.12207176709546377</v>
      </c>
      <c r="AX154" s="1098">
        <f t="shared" si="172"/>
        <v>0.12760011379419983</v>
      </c>
      <c r="AY154" s="1099">
        <f t="shared" si="172"/>
        <v>0.10246741536191491</v>
      </c>
      <c r="AZ154" s="1099">
        <f t="shared" si="172"/>
        <v>0.12534456355283308</v>
      </c>
      <c r="BA154" s="1099">
        <f t="shared" si="172"/>
        <v>0.13429893076514748</v>
      </c>
      <c r="BB154" s="1099">
        <f t="shared" si="172"/>
        <v>0.12297016954002432</v>
      </c>
      <c r="BC154" s="1098">
        <f t="shared" si="172"/>
        <v>0.12003814973772055</v>
      </c>
      <c r="BD154" s="1099">
        <f t="shared" si="172"/>
        <v>0.12649501661129567</v>
      </c>
      <c r="BE154" s="1099">
        <f t="shared" si="172"/>
        <v>0.1363570497029416</v>
      </c>
      <c r="BF154" s="1099">
        <f t="shared" si="172"/>
        <v>0.14155653450807637</v>
      </c>
      <c r="BG154" s="1099">
        <f t="shared" si="172"/>
        <v>0.12466361679224973</v>
      </c>
      <c r="BH154" s="1098">
        <f t="shared" si="172"/>
        <v>0.13227552184957478</v>
      </c>
      <c r="BI154" s="1099">
        <f t="shared" si="172"/>
        <v>0.13414345458849522</v>
      </c>
      <c r="BJ154" s="1099">
        <f t="shared" si="172"/>
        <v>0.14859354481995993</v>
      </c>
      <c r="BK154" s="1099">
        <f t="shared" si="172"/>
        <v>0.15110642781875658</v>
      </c>
      <c r="BL154" s="1099">
        <f t="shared" si="172"/>
        <v>0.12832997148222855</v>
      </c>
      <c r="BM154" s="1098">
        <f t="shared" si="172"/>
        <v>0.14072532912436775</v>
      </c>
      <c r="BN154" s="1099">
        <f t="shared" si="172"/>
        <v>0.13796713917525774</v>
      </c>
      <c r="BO154" s="1099">
        <f t="shared" si="172"/>
        <v>0.15781849786340263</v>
      </c>
      <c r="BP154" s="1099">
        <f t="shared" ref="BP154:CV154" si="173">BP143/BP22</f>
        <v>0.13568674378407128</v>
      </c>
      <c r="BQ154" s="1099">
        <f t="shared" si="173"/>
        <v>0.10648908350057776</v>
      </c>
      <c r="BR154" s="1098">
        <f t="shared" si="173"/>
        <v>0.13315311568586677</v>
      </c>
      <c r="BS154" s="1099">
        <f t="shared" si="173"/>
        <v>0.13931523022432113</v>
      </c>
      <c r="BT154" s="1099">
        <f t="shared" si="173"/>
        <v>0.15662876421341998</v>
      </c>
      <c r="BU154" s="1099">
        <f t="shared" si="173"/>
        <v>0.15302030785150691</v>
      </c>
      <c r="BV154" s="1099">
        <f t="shared" si="173"/>
        <v>0.13902977504624381</v>
      </c>
      <c r="BW154" s="1098">
        <f t="shared" si="173"/>
        <v>0.14704755213489604</v>
      </c>
      <c r="BX154" s="1099">
        <f t="shared" si="173"/>
        <v>0.14228552051542895</v>
      </c>
      <c r="BY154" s="1099">
        <f t="shared" si="173"/>
        <v>0.13699028561456575</v>
      </c>
      <c r="BZ154" s="1099">
        <f t="shared" si="173"/>
        <v>0.16984166254329539</v>
      </c>
      <c r="CA154" s="1099">
        <f t="shared" si="173"/>
        <v>0.15121204989409273</v>
      </c>
      <c r="CB154" s="1098">
        <f t="shared" si="173"/>
        <v>0.15006144393241166</v>
      </c>
      <c r="CC154" s="1099">
        <f t="shared" si="173"/>
        <v>0.16381381381381382</v>
      </c>
      <c r="CD154" s="1099">
        <f t="shared" si="173"/>
        <v>0.16479553650404843</v>
      </c>
      <c r="CE154" s="1099">
        <f t="shared" si="173"/>
        <v>0.16695677400638237</v>
      </c>
      <c r="CF154" s="1099">
        <f t="shared" si="173"/>
        <v>2.7412587412587414E-2</v>
      </c>
      <c r="CG154" s="1098">
        <f t="shared" si="173"/>
        <v>0.13022931181704223</v>
      </c>
      <c r="CH154" s="1099">
        <f t="shared" si="173"/>
        <v>0.14561653065808192</v>
      </c>
      <c r="CI154" s="1099">
        <f t="shared" si="173"/>
        <v>0.15711980637353773</v>
      </c>
      <c r="CJ154" s="1099">
        <f t="shared" si="173"/>
        <v>0.15682039849519297</v>
      </c>
      <c r="CK154" s="1099">
        <f t="shared" si="173"/>
        <v>0.11180844532369193</v>
      </c>
      <c r="CL154" s="1098">
        <f t="shared" si="173"/>
        <v>0.1427573195444064</v>
      </c>
      <c r="CM154" s="1099">
        <f>CM143/CM22</f>
        <v>0.16409699601882013</v>
      </c>
      <c r="CN154" s="1099">
        <f>CN143/CN22</f>
        <v>0.14986910994764399</v>
      </c>
      <c r="CO154" s="1099">
        <f>CO143/CO22</f>
        <v>0.14360642676935334</v>
      </c>
      <c r="CP154" s="1099">
        <f>CP143/CP22</f>
        <v>0.12824682471057969</v>
      </c>
      <c r="CQ154" s="1098">
        <f t="shared" si="173"/>
        <v>0.14600914545541901</v>
      </c>
      <c r="CR154" s="1099">
        <f>CR143/CR22</f>
        <v>0.1301978254709068</v>
      </c>
      <c r="CS154" s="1099">
        <f>CS143/CS22</f>
        <v>0.14202045217314413</v>
      </c>
      <c r="CT154" s="1099">
        <f>CT143/CT22</f>
        <v>0.14978114132695775</v>
      </c>
      <c r="CU154" s="1099">
        <f>CU143/CU22</f>
        <v>0.13342600832467671</v>
      </c>
      <c r="CV154" s="1098">
        <f t="shared" si="173"/>
        <v>0.13856046211306391</v>
      </c>
      <c r="CW154" s="1098">
        <f>CW143/CW22</f>
        <v>0.14781651929063455</v>
      </c>
      <c r="CX154" s="1098">
        <f>CX143/CX22</f>
        <v>0.15220746709623387</v>
      </c>
      <c r="CY154" s="1098">
        <f>CY143/CY22</f>
        <v>0.15248083107966034</v>
      </c>
      <c r="CZ154" s="268"/>
    </row>
    <row r="155" spans="1:104" ht="12" customHeight="1" thickTop="1">
      <c r="A155" s="434"/>
      <c r="B155" s="434"/>
      <c r="C155" s="434"/>
      <c r="D155" s="463"/>
      <c r="E155" s="1088"/>
      <c r="F155" s="1088"/>
      <c r="G155" s="1088"/>
      <c r="H155" s="1088"/>
      <c r="I155" s="1088"/>
      <c r="J155" s="1086"/>
      <c r="K155" s="1088"/>
      <c r="L155" s="1088"/>
      <c r="M155" s="1088"/>
      <c r="N155" s="1088"/>
      <c r="O155" s="1086"/>
      <c r="P155" s="1088"/>
      <c r="Q155" s="1088"/>
      <c r="R155" s="1088"/>
      <c r="S155" s="1088"/>
      <c r="T155" s="1086"/>
      <c r="U155" s="1088"/>
      <c r="V155" s="1088"/>
      <c r="W155" s="1088"/>
      <c r="X155" s="1088"/>
      <c r="Y155" s="1086"/>
      <c r="Z155" s="1088"/>
      <c r="AA155" s="1088"/>
      <c r="AB155" s="1088"/>
      <c r="AC155" s="1088"/>
      <c r="AD155" s="1086"/>
      <c r="AE155" s="1088"/>
      <c r="AF155" s="1088"/>
      <c r="AG155" s="1088"/>
      <c r="AH155" s="1088"/>
      <c r="AI155" s="1086"/>
      <c r="AJ155" s="1088"/>
      <c r="AK155" s="1088"/>
      <c r="AL155" s="1088"/>
      <c r="AM155" s="1088"/>
      <c r="AN155" s="1086"/>
      <c r="AO155" s="1088"/>
      <c r="AP155" s="1088"/>
      <c r="AQ155" s="1088"/>
      <c r="AR155" s="1088"/>
      <c r="AS155" s="1086"/>
      <c r="AT155" s="1088"/>
      <c r="AU155" s="1088"/>
      <c r="AV155" s="1088"/>
      <c r="AW155" s="1088"/>
      <c r="AX155" s="1086"/>
      <c r="AY155" s="1088"/>
      <c r="AZ155" s="1088"/>
      <c r="BA155" s="1088"/>
      <c r="BB155" s="1088"/>
      <c r="BC155" s="1086"/>
      <c r="BD155" s="1088"/>
      <c r="BE155" s="1088"/>
      <c r="BF155" s="1088"/>
      <c r="BG155" s="1088"/>
      <c r="BH155" s="1086"/>
      <c r="BI155" s="1088"/>
      <c r="BJ155" s="1088"/>
      <c r="BK155" s="1088"/>
      <c r="BL155" s="1088"/>
      <c r="BM155" s="1086"/>
      <c r="BN155" s="1088"/>
      <c r="BO155" s="1088"/>
      <c r="BP155" s="1088"/>
      <c r="BQ155" s="1088"/>
      <c r="BR155" s="1086"/>
      <c r="BS155" s="1087"/>
      <c r="BT155" s="1087"/>
      <c r="BU155" s="1087"/>
      <c r="BV155" s="1087"/>
      <c r="BW155" s="1086"/>
      <c r="BX155" s="1087"/>
      <c r="BY155" s="1087"/>
      <c r="BZ155" s="1087"/>
      <c r="CA155" s="1087"/>
      <c r="CB155" s="1086"/>
      <c r="CC155" s="1087"/>
      <c r="CD155" s="1087"/>
      <c r="CE155" s="1087"/>
      <c r="CF155" s="1087"/>
      <c r="CG155" s="1086"/>
      <c r="CH155" s="1087"/>
      <c r="CI155" s="1087"/>
      <c r="CJ155" s="1087"/>
      <c r="CK155" s="1087"/>
      <c r="CL155" s="1086"/>
      <c r="CM155" s="1087"/>
      <c r="CN155" s="1087"/>
      <c r="CO155" s="1087"/>
      <c r="CP155" s="1087"/>
      <c r="CQ155" s="1086"/>
      <c r="CR155" s="1087"/>
      <c r="CS155" s="1087"/>
      <c r="CT155" s="1087"/>
      <c r="CU155" s="1087"/>
      <c r="CV155" s="1086"/>
      <c r="CW155" s="1086"/>
      <c r="CX155" s="1086"/>
      <c r="CY155" s="1086"/>
      <c r="CZ155" s="434"/>
    </row>
    <row r="156" spans="1:104">
      <c r="A156" s="268"/>
      <c r="B156" s="268"/>
      <c r="C156" s="268" t="str">
        <f>+C12</f>
        <v>Otis</v>
      </c>
      <c r="D156" s="463"/>
      <c r="E156" s="268"/>
      <c r="F156" s="1080">
        <v>0</v>
      </c>
      <c r="G156" s="1080">
        <v>0</v>
      </c>
      <c r="H156" s="1080">
        <v>0</v>
      </c>
      <c r="I156" s="1080">
        <v>0</v>
      </c>
      <c r="J156" s="448">
        <v>0</v>
      </c>
      <c r="K156" s="1079">
        <v>0</v>
      </c>
      <c r="L156" s="1079">
        <v>0</v>
      </c>
      <c r="M156" s="1079">
        <v>0</v>
      </c>
      <c r="N156" s="1079">
        <v>0</v>
      </c>
      <c r="O156" s="448">
        <v>0</v>
      </c>
      <c r="P156" s="449">
        <v>0</v>
      </c>
      <c r="Q156" s="449">
        <v>0</v>
      </c>
      <c r="R156" s="449">
        <v>0</v>
      </c>
      <c r="S156" s="449">
        <v>0</v>
      </c>
      <c r="T156" s="448">
        <v>81</v>
      </c>
      <c r="U156" s="449">
        <v>0</v>
      </c>
      <c r="V156" s="449">
        <v>0</v>
      </c>
      <c r="W156" s="449">
        <v>0</v>
      </c>
      <c r="X156" s="449">
        <v>0</v>
      </c>
      <c r="Y156" s="448">
        <v>77</v>
      </c>
      <c r="Z156" s="449">
        <v>0</v>
      </c>
      <c r="AA156" s="449">
        <v>0</v>
      </c>
      <c r="AB156" s="449">
        <v>0</v>
      </c>
      <c r="AC156" s="449">
        <v>0</v>
      </c>
      <c r="AD156" s="448">
        <v>79</v>
      </c>
      <c r="AE156" s="449">
        <v>19.75</v>
      </c>
      <c r="AF156" s="449">
        <v>19.75</v>
      </c>
      <c r="AG156" s="449">
        <v>19.75</v>
      </c>
      <c r="AH156" s="449">
        <v>19.75</v>
      </c>
      <c r="AI156" s="448">
        <v>79</v>
      </c>
      <c r="AJ156" s="449">
        <f>Otis!AN40</f>
        <v>23.25</v>
      </c>
      <c r="AK156" s="449">
        <f>Otis!AO40</f>
        <v>23.25</v>
      </c>
      <c r="AL156" s="449">
        <f>Otis!AP40</f>
        <v>23.25</v>
      </c>
      <c r="AM156" s="449">
        <f>Otis!AQ40</f>
        <v>23.25</v>
      </c>
      <c r="AN156" s="448">
        <f>Otis!AR40</f>
        <v>93</v>
      </c>
      <c r="AO156" s="449">
        <f>Otis!AS40</f>
        <v>25</v>
      </c>
      <c r="AP156" s="449">
        <f>Otis!AT40</f>
        <v>34</v>
      </c>
      <c r="AQ156" s="449">
        <f>Otis!AU40</f>
        <v>34</v>
      </c>
      <c r="AR156" s="449">
        <f>Otis!AV40</f>
        <v>43</v>
      </c>
      <c r="AS156" s="448">
        <f>Otis!AW40</f>
        <v>136</v>
      </c>
      <c r="AT156" s="449">
        <f>Otis!AX40</f>
        <v>37.5</v>
      </c>
      <c r="AU156" s="449">
        <f>Otis!AY40</f>
        <v>37.5</v>
      </c>
      <c r="AV156" s="449">
        <f>Otis!AZ40</f>
        <v>37.5</v>
      </c>
      <c r="AW156" s="449">
        <f>Otis!BA40</f>
        <v>37.5</v>
      </c>
      <c r="AX156" s="448">
        <f>Otis!BB40</f>
        <v>150</v>
      </c>
      <c r="AY156" s="449">
        <f>Otis!BC40</f>
        <v>16.75</v>
      </c>
      <c r="AZ156" s="449">
        <f>Otis!BD40</f>
        <v>16.75</v>
      </c>
      <c r="BA156" s="449">
        <f>Otis!BE40</f>
        <v>16.75</v>
      </c>
      <c r="BB156" s="449">
        <f>Otis!BF40</f>
        <v>16.75</v>
      </c>
      <c r="BC156" s="448">
        <f>Otis!BG40</f>
        <v>67</v>
      </c>
      <c r="BD156" s="449">
        <f>Otis!BH40</f>
        <v>13.75</v>
      </c>
      <c r="BE156" s="449">
        <f>Otis!BI40</f>
        <v>13.75</v>
      </c>
      <c r="BF156" s="449">
        <f>Otis!BJ40</f>
        <v>13.75</v>
      </c>
      <c r="BG156" s="449">
        <f>Otis!BK40</f>
        <v>13.75</v>
      </c>
      <c r="BH156" s="448">
        <f>Otis!BL40</f>
        <v>55</v>
      </c>
      <c r="BI156" s="449">
        <f>Otis!BM40</f>
        <v>18.75</v>
      </c>
      <c r="BJ156" s="449">
        <f>Otis!BN40</f>
        <v>18.75</v>
      </c>
      <c r="BK156" s="449">
        <f>Otis!BO40</f>
        <v>18.75</v>
      </c>
      <c r="BL156" s="449">
        <f>Otis!BP40</f>
        <v>18.75</v>
      </c>
      <c r="BM156" s="448">
        <f>Otis!BQ40</f>
        <v>75</v>
      </c>
      <c r="BN156" s="449">
        <f>Otis!BR40</f>
        <v>35.25</v>
      </c>
      <c r="BO156" s="449">
        <f>Otis!BS40</f>
        <v>35.25</v>
      </c>
      <c r="BP156" s="449">
        <f>Otis!BT40</f>
        <v>35.25</v>
      </c>
      <c r="BQ156" s="449">
        <f>Otis!BU40</f>
        <v>35.25</v>
      </c>
      <c r="BR156" s="448">
        <f>Otis!BV40</f>
        <v>141</v>
      </c>
      <c r="BS156" s="449">
        <f>Otis!BW40</f>
        <v>30.5</v>
      </c>
      <c r="BT156" s="449">
        <f>Otis!BX40</f>
        <v>30.5</v>
      </c>
      <c r="BU156" s="449">
        <f>Otis!BY40</f>
        <v>30.5</v>
      </c>
      <c r="BV156" s="449">
        <f>Otis!BZ40</f>
        <v>30.5</v>
      </c>
      <c r="BW156" s="448">
        <f>Otis!CA40</f>
        <v>122</v>
      </c>
      <c r="BX156" s="449">
        <f>Otis!CB40</f>
        <v>21.75</v>
      </c>
      <c r="BY156" s="449">
        <f>Otis!CC40</f>
        <v>21.75</v>
      </c>
      <c r="BZ156" s="449">
        <f>Otis!CD40</f>
        <v>21.75</v>
      </c>
      <c r="CA156" s="449">
        <f>Otis!CE40</f>
        <v>21.75</v>
      </c>
      <c r="CB156" s="448">
        <f>Otis!CF40</f>
        <v>87</v>
      </c>
      <c r="CC156" s="449">
        <f>Otis!CG40</f>
        <v>20.75</v>
      </c>
      <c r="CD156" s="449">
        <f>Otis!CH40</f>
        <v>20.75</v>
      </c>
      <c r="CE156" s="449">
        <f>Otis!CI40</f>
        <v>20.75</v>
      </c>
      <c r="CF156" s="449">
        <f>Otis!CJ40</f>
        <v>20.75</v>
      </c>
      <c r="CG156" s="448">
        <f>Otis!CK40</f>
        <v>83</v>
      </c>
      <c r="CH156" s="449">
        <f>Otis!CL40</f>
        <v>23.5</v>
      </c>
      <c r="CI156" s="449">
        <f>Otis!CM40</f>
        <v>23.5</v>
      </c>
      <c r="CJ156" s="449">
        <f>Otis!CN40</f>
        <v>23.5</v>
      </c>
      <c r="CK156" s="449">
        <f>Otis!CO40</f>
        <v>23.5</v>
      </c>
      <c r="CL156" s="448">
        <f>Otis!CP40</f>
        <v>94</v>
      </c>
      <c r="CM156" s="449">
        <f>Otis!CQ40</f>
        <v>24.136776264205977</v>
      </c>
      <c r="CN156" s="449">
        <f>Otis!CR40</f>
        <v>24.136776264205977</v>
      </c>
      <c r="CO156" s="449">
        <f>Otis!CS40</f>
        <v>24.136776264205977</v>
      </c>
      <c r="CP156" s="449">
        <f>Otis!CT40</f>
        <v>24.136776264205977</v>
      </c>
      <c r="CQ156" s="448">
        <f>Otis!CU40</f>
        <v>96.547105056823909</v>
      </c>
      <c r="CR156" s="449">
        <f>Otis!CV40</f>
        <v>25.433600880583025</v>
      </c>
      <c r="CS156" s="449">
        <f>Otis!CW40</f>
        <v>25.433600880583025</v>
      </c>
      <c r="CT156" s="449">
        <f>Otis!CX40</f>
        <v>25.433600880583025</v>
      </c>
      <c r="CU156" s="449">
        <f>Otis!CY40</f>
        <v>25.433600880583029</v>
      </c>
      <c r="CV156" s="448">
        <f>Otis!CZ40</f>
        <v>101.7344035223321</v>
      </c>
      <c r="CW156" s="448">
        <f>Otis!DA40</f>
        <v>103.89461863045578</v>
      </c>
      <c r="CX156" s="2233">
        <f>Otis!DB40</f>
        <v>105.96553933189217</v>
      </c>
      <c r="CY156" s="2233">
        <f>Otis!DC40</f>
        <v>107.90083842554016</v>
      </c>
      <c r="CZ156" s="268"/>
    </row>
    <row r="157" spans="1:104">
      <c r="A157" s="268"/>
      <c r="B157" s="268"/>
      <c r="C157" s="116" t="s">
        <v>310</v>
      </c>
      <c r="D157" s="463"/>
      <c r="E157" s="268"/>
      <c r="F157" s="1080"/>
      <c r="G157" s="1080"/>
      <c r="H157" s="1080"/>
      <c r="I157" s="1080"/>
      <c r="J157" s="448"/>
      <c r="K157" s="1079"/>
      <c r="L157" s="1079"/>
      <c r="M157" s="1079"/>
      <c r="N157" s="1079"/>
      <c r="O157" s="448"/>
      <c r="P157" s="449"/>
      <c r="Q157" s="449"/>
      <c r="R157" s="449"/>
      <c r="S157" s="449"/>
      <c r="T157" s="448"/>
      <c r="U157" s="449"/>
      <c r="V157" s="449"/>
      <c r="W157" s="449"/>
      <c r="X157" s="449"/>
      <c r="Y157" s="448"/>
      <c r="Z157" s="449"/>
      <c r="AA157" s="449"/>
      <c r="AB157" s="449"/>
      <c r="AC157" s="449"/>
      <c r="AD157" s="448"/>
      <c r="AE157" s="449"/>
      <c r="AF157" s="449"/>
      <c r="AG157" s="449"/>
      <c r="AH157" s="449"/>
      <c r="AI157" s="448"/>
      <c r="AJ157" s="449"/>
      <c r="AK157" s="449"/>
      <c r="AL157" s="449"/>
      <c r="AM157" s="449"/>
      <c r="AN157" s="448"/>
      <c r="AO157" s="449"/>
      <c r="AP157" s="449"/>
      <c r="AQ157" s="449"/>
      <c r="AR157" s="449"/>
      <c r="AS157" s="448"/>
      <c r="AT157" s="449"/>
      <c r="AU157" s="449"/>
      <c r="AV157" s="449"/>
      <c r="AW157" s="449"/>
      <c r="AX157" s="448"/>
      <c r="AY157" s="449"/>
      <c r="AZ157" s="449"/>
      <c r="BA157" s="449"/>
      <c r="BB157" s="449"/>
      <c r="BC157" s="448"/>
      <c r="BD157" s="449"/>
      <c r="BE157" s="449"/>
      <c r="BF157" s="449"/>
      <c r="BG157" s="449"/>
      <c r="BH157" s="448"/>
      <c r="BI157" s="449">
        <f>CCS!BI40</f>
        <v>76.25</v>
      </c>
      <c r="BJ157" s="449">
        <f>CCS!BJ40</f>
        <v>76.25</v>
      </c>
      <c r="BK157" s="449">
        <f>CCS!BK40</f>
        <v>76.25</v>
      </c>
      <c r="BL157" s="449">
        <f>CCS!BL40</f>
        <v>76.25</v>
      </c>
      <c r="BM157" s="448">
        <f>CCS!BM40</f>
        <v>305</v>
      </c>
      <c r="BN157" s="449">
        <f>CCS!BN40</f>
        <v>66.25</v>
      </c>
      <c r="BO157" s="449">
        <f>CCS!BO40</f>
        <v>66.25</v>
      </c>
      <c r="BP157" s="449">
        <f>CCS!BP40</f>
        <v>66.25</v>
      </c>
      <c r="BQ157" s="449">
        <f>CCS!BQ40</f>
        <v>66.25</v>
      </c>
      <c r="BR157" s="448">
        <f>CCS!BR40</f>
        <v>265</v>
      </c>
      <c r="BS157" s="449">
        <f>CCS!BS40</f>
        <v>66.5</v>
      </c>
      <c r="BT157" s="449">
        <f>CCS!BT40</f>
        <v>66.5</v>
      </c>
      <c r="BU157" s="449">
        <f>CCS!BU40</f>
        <v>66.5</v>
      </c>
      <c r="BV157" s="449">
        <f>CCS!BV40</f>
        <v>66.5</v>
      </c>
      <c r="BW157" s="448">
        <f>CCS!BW40</f>
        <v>266</v>
      </c>
      <c r="BX157" s="449">
        <f>CCS!BX40</f>
        <v>57</v>
      </c>
      <c r="BY157" s="449">
        <f>CCS!BY40</f>
        <v>57</v>
      </c>
      <c r="BZ157" s="449">
        <f>CCS!BZ40</f>
        <v>57</v>
      </c>
      <c r="CA157" s="449">
        <f>CCS!CA40</f>
        <v>57</v>
      </c>
      <c r="CB157" s="448">
        <f>CCS!CB40</f>
        <v>228</v>
      </c>
      <c r="CC157" s="449">
        <f>CCS!CC40</f>
        <v>65.25</v>
      </c>
      <c r="CD157" s="449">
        <f>CCS!CD40</f>
        <v>65.25</v>
      </c>
      <c r="CE157" s="449">
        <f>CCS!CE40</f>
        <v>65.25</v>
      </c>
      <c r="CF157" s="449">
        <f>CCS!CF40</f>
        <v>65.25</v>
      </c>
      <c r="CG157" s="448">
        <f>CCS!CG40</f>
        <v>261</v>
      </c>
      <c r="CH157" s="449">
        <f>CCS!CH40</f>
        <v>85</v>
      </c>
      <c r="CI157" s="449">
        <f>CCS!CI40</f>
        <v>85</v>
      </c>
      <c r="CJ157" s="449">
        <f>CCS!CJ40</f>
        <v>85</v>
      </c>
      <c r="CK157" s="449">
        <f>CCS!CK40</f>
        <v>85</v>
      </c>
      <c r="CL157" s="448">
        <f>CCS!CL40</f>
        <v>340</v>
      </c>
      <c r="CM157" s="449">
        <f>CCS!CM40</f>
        <v>89.993772682345551</v>
      </c>
      <c r="CN157" s="449">
        <f>CCS!CN40</f>
        <v>89.993772682345551</v>
      </c>
      <c r="CO157" s="449">
        <f>CCS!CO40</f>
        <v>89.993772682345551</v>
      </c>
      <c r="CP157" s="449">
        <f>CCS!CP40</f>
        <v>89.993772682345536</v>
      </c>
      <c r="CQ157" s="448">
        <f>CCS!CQ40</f>
        <v>359.9750907293822</v>
      </c>
      <c r="CR157" s="449">
        <f>CCS!CR40</f>
        <v>95.052532457072601</v>
      </c>
      <c r="CS157" s="449">
        <f>CCS!CS40</f>
        <v>95.052532457072601</v>
      </c>
      <c r="CT157" s="449">
        <f>CCS!CT40</f>
        <v>95.052532457072601</v>
      </c>
      <c r="CU157" s="449">
        <f>CCS!CU40</f>
        <v>95.05253245707263</v>
      </c>
      <c r="CV157" s="448">
        <f>CCS!CV40</f>
        <v>380.21012982829041</v>
      </c>
      <c r="CW157" s="448">
        <f>CCS!CW40</f>
        <v>390.25333199833437</v>
      </c>
      <c r="CX157" s="2233">
        <f>CCS!CX40</f>
        <v>398.49231540047953</v>
      </c>
      <c r="CY157" s="2233">
        <f>CCS!CY40</f>
        <v>406.92853137841536</v>
      </c>
      <c r="CZ157" s="268"/>
    </row>
    <row r="158" spans="1:104" ht="12.75" hidden="1" customHeight="1" outlineLevel="1">
      <c r="A158" s="268"/>
      <c r="B158" s="268"/>
      <c r="C158" s="268" t="str">
        <f>+C14</f>
        <v>Carrier</v>
      </c>
      <c r="D158" s="463"/>
      <c r="E158" s="268"/>
      <c r="F158" s="1080">
        <v>0</v>
      </c>
      <c r="G158" s="1080">
        <v>0</v>
      </c>
      <c r="H158" s="1080">
        <v>0</v>
      </c>
      <c r="I158" s="1080">
        <v>0</v>
      </c>
      <c r="J158" s="448">
        <v>0</v>
      </c>
      <c r="K158" s="1079">
        <v>0</v>
      </c>
      <c r="L158" s="1079">
        <v>0</v>
      </c>
      <c r="M158" s="1079">
        <v>0</v>
      </c>
      <c r="N158" s="1079">
        <v>0</v>
      </c>
      <c r="O158" s="448">
        <v>0</v>
      </c>
      <c r="P158" s="449">
        <v>0</v>
      </c>
      <c r="Q158" s="449">
        <v>0</v>
      </c>
      <c r="R158" s="449">
        <v>0</v>
      </c>
      <c r="S158" s="449">
        <v>0</v>
      </c>
      <c r="T158" s="448">
        <v>94</v>
      </c>
      <c r="U158" s="449">
        <v>0</v>
      </c>
      <c r="V158" s="449">
        <v>0</v>
      </c>
      <c r="W158" s="449">
        <v>0</v>
      </c>
      <c r="X158" s="449">
        <v>0</v>
      </c>
      <c r="Y158" s="448">
        <v>89</v>
      </c>
      <c r="Z158" s="449">
        <v>0</v>
      </c>
      <c r="AA158" s="449">
        <v>0</v>
      </c>
      <c r="AB158" s="449">
        <v>0</v>
      </c>
      <c r="AC158" s="449">
        <v>0</v>
      </c>
      <c r="AD158" s="448">
        <v>176</v>
      </c>
      <c r="AE158" s="449">
        <v>30</v>
      </c>
      <c r="AF158" s="449">
        <v>45</v>
      </c>
      <c r="AG158" s="449">
        <v>60.75</v>
      </c>
      <c r="AH158" s="449">
        <v>107.25</v>
      </c>
      <c r="AI158" s="448">
        <v>243</v>
      </c>
      <c r="AJ158" s="449">
        <v>18.271604938271604</v>
      </c>
      <c r="AK158" s="449">
        <v>37</v>
      </c>
      <c r="AL158" s="449">
        <v>37</v>
      </c>
      <c r="AM158" s="449">
        <v>55.728395061728392</v>
      </c>
      <c r="AN158" s="448">
        <v>148</v>
      </c>
      <c r="AO158" s="449">
        <v>30</v>
      </c>
      <c r="AP158" s="449">
        <v>45.25</v>
      </c>
      <c r="AQ158" s="449">
        <v>45.25</v>
      </c>
      <c r="AR158" s="449">
        <v>60.5</v>
      </c>
      <c r="AS158" s="448">
        <v>181</v>
      </c>
      <c r="AT158" s="449">
        <v>47.75</v>
      </c>
      <c r="AU158" s="449">
        <v>47.75</v>
      </c>
      <c r="AV158" s="449">
        <v>47.75</v>
      </c>
      <c r="AW158" s="449">
        <v>47.75</v>
      </c>
      <c r="AX158" s="448">
        <v>191</v>
      </c>
      <c r="AY158" s="449">
        <v>22.5</v>
      </c>
      <c r="AZ158" s="449">
        <v>22.5</v>
      </c>
      <c r="BA158" s="449">
        <v>22.5</v>
      </c>
      <c r="BB158" s="449">
        <v>22.5</v>
      </c>
      <c r="BC158" s="448">
        <v>90</v>
      </c>
      <c r="BD158" s="449">
        <v>34.5</v>
      </c>
      <c r="BE158" s="449">
        <v>34.5</v>
      </c>
      <c r="BF158" s="449">
        <v>34.5</v>
      </c>
      <c r="BG158" s="449">
        <v>34.5</v>
      </c>
      <c r="BH158" s="448">
        <v>138</v>
      </c>
      <c r="BI158" s="449">
        <v>47.25</v>
      </c>
      <c r="BJ158" s="449">
        <v>47.25</v>
      </c>
      <c r="BK158" s="449">
        <v>47.25</v>
      </c>
      <c r="BL158" s="449">
        <v>47.25</v>
      </c>
      <c r="BM158" s="448">
        <v>189</v>
      </c>
      <c r="BN158" s="449"/>
      <c r="BO158" s="449"/>
      <c r="BP158" s="449"/>
      <c r="BQ158" s="449"/>
      <c r="BR158" s="448"/>
      <c r="BS158" s="449"/>
      <c r="BT158" s="449"/>
      <c r="BU158" s="449"/>
      <c r="BV158" s="449"/>
      <c r="BW158" s="448"/>
      <c r="BX158" s="449"/>
      <c r="BY158" s="449"/>
      <c r="BZ158" s="449"/>
      <c r="CA158" s="449"/>
      <c r="CB158" s="448"/>
      <c r="CC158" s="449"/>
      <c r="CD158" s="449"/>
      <c r="CE158" s="449"/>
      <c r="CF158" s="449"/>
      <c r="CG158" s="448"/>
      <c r="CH158" s="449"/>
      <c r="CI158" s="449"/>
      <c r="CJ158" s="449"/>
      <c r="CK158" s="449"/>
      <c r="CL158" s="448"/>
      <c r="CM158" s="449"/>
      <c r="CN158" s="449"/>
      <c r="CO158" s="449"/>
      <c r="CP158" s="449"/>
      <c r="CQ158" s="448"/>
      <c r="CR158" s="449"/>
      <c r="CS158" s="449"/>
      <c r="CT158" s="449"/>
      <c r="CU158" s="449"/>
      <c r="CV158" s="448"/>
      <c r="CW158" s="448"/>
      <c r="CX158" s="2233"/>
      <c r="CY158" s="2233"/>
      <c r="CZ158" s="268"/>
    </row>
    <row r="159" spans="1:104" ht="12.75" hidden="1" customHeight="1" outlineLevel="1">
      <c r="A159" s="268"/>
      <c r="B159" s="268"/>
      <c r="C159" s="268" t="str">
        <f>+C15</f>
        <v>Fire &amp; Security</v>
      </c>
      <c r="D159" s="463"/>
      <c r="E159" s="268"/>
      <c r="F159" s="1080"/>
      <c r="G159" s="1080"/>
      <c r="H159" s="1080"/>
      <c r="I159" s="1080"/>
      <c r="J159" s="448"/>
      <c r="K159" s="1079"/>
      <c r="L159" s="1079"/>
      <c r="M159" s="1079"/>
      <c r="N159" s="1079"/>
      <c r="O159" s="448"/>
      <c r="P159" s="449"/>
      <c r="Q159" s="449"/>
      <c r="R159" s="449"/>
      <c r="S159" s="449"/>
      <c r="T159" s="448"/>
      <c r="U159" s="449"/>
      <c r="V159" s="449"/>
      <c r="W159" s="449">
        <v>0</v>
      </c>
      <c r="X159" s="449">
        <v>0</v>
      </c>
      <c r="Y159" s="448">
        <v>16</v>
      </c>
      <c r="Z159" s="449">
        <v>0</v>
      </c>
      <c r="AA159" s="449">
        <v>0</v>
      </c>
      <c r="AB159" s="449">
        <v>0</v>
      </c>
      <c r="AC159" s="449">
        <v>0</v>
      </c>
      <c r="AD159" s="448">
        <v>69</v>
      </c>
      <c r="AE159" s="449">
        <v>19.75</v>
      </c>
      <c r="AF159" s="449">
        <v>19.75</v>
      </c>
      <c r="AG159" s="449">
        <v>19.75</v>
      </c>
      <c r="AH159" s="449">
        <v>19.75</v>
      </c>
      <c r="AI159" s="448">
        <v>79</v>
      </c>
      <c r="AJ159" s="449">
        <v>26.5</v>
      </c>
      <c r="AK159" s="449">
        <v>26.5</v>
      </c>
      <c r="AL159" s="449">
        <v>26.5</v>
      </c>
      <c r="AM159" s="449">
        <v>26.5</v>
      </c>
      <c r="AN159" s="448">
        <v>106</v>
      </c>
      <c r="AO159" s="449">
        <v>27</v>
      </c>
      <c r="AP159" s="449">
        <v>25.25</v>
      </c>
      <c r="AQ159" s="449">
        <v>25.25</v>
      </c>
      <c r="AR159" s="449">
        <v>23.5</v>
      </c>
      <c r="AS159" s="448">
        <v>101</v>
      </c>
      <c r="AT159" s="449">
        <v>23.75</v>
      </c>
      <c r="AU159" s="449">
        <v>23.75</v>
      </c>
      <c r="AV159" s="449">
        <v>23.75</v>
      </c>
      <c r="AW159" s="449">
        <v>23.75</v>
      </c>
      <c r="AX159" s="448">
        <v>95</v>
      </c>
      <c r="AY159" s="449">
        <v>18</v>
      </c>
      <c r="AZ159" s="449">
        <v>18</v>
      </c>
      <c r="BA159" s="449">
        <v>18</v>
      </c>
      <c r="BB159" s="449">
        <v>18</v>
      </c>
      <c r="BC159" s="448">
        <v>72</v>
      </c>
      <c r="BD159" s="449">
        <v>24</v>
      </c>
      <c r="BE159" s="449">
        <v>24</v>
      </c>
      <c r="BF159" s="449">
        <v>24</v>
      </c>
      <c r="BG159" s="449">
        <v>24</v>
      </c>
      <c r="BH159" s="448">
        <v>96</v>
      </c>
      <c r="BI159" s="449">
        <v>29</v>
      </c>
      <c r="BJ159" s="449">
        <v>29</v>
      </c>
      <c r="BK159" s="449">
        <v>29</v>
      </c>
      <c r="BL159" s="449">
        <v>29</v>
      </c>
      <c r="BM159" s="448">
        <v>116</v>
      </c>
      <c r="BN159" s="449"/>
      <c r="BO159" s="449"/>
      <c r="BP159" s="449"/>
      <c r="BQ159" s="449"/>
      <c r="BR159" s="448"/>
      <c r="BS159" s="449"/>
      <c r="BT159" s="449"/>
      <c r="BU159" s="449"/>
      <c r="BV159" s="449"/>
      <c r="BW159" s="448"/>
      <c r="BX159" s="449"/>
      <c r="BY159" s="449"/>
      <c r="BZ159" s="449"/>
      <c r="CA159" s="449"/>
      <c r="CB159" s="448"/>
      <c r="CC159" s="449"/>
      <c r="CD159" s="449"/>
      <c r="CE159" s="449"/>
      <c r="CF159" s="449"/>
      <c r="CG159" s="448"/>
      <c r="CH159" s="449"/>
      <c r="CI159" s="449"/>
      <c r="CJ159" s="449"/>
      <c r="CK159" s="449"/>
      <c r="CL159" s="448"/>
      <c r="CM159" s="449"/>
      <c r="CN159" s="449"/>
      <c r="CO159" s="449"/>
      <c r="CP159" s="449"/>
      <c r="CQ159" s="448"/>
      <c r="CR159" s="449"/>
      <c r="CS159" s="449"/>
      <c r="CT159" s="449"/>
      <c r="CU159" s="449"/>
      <c r="CV159" s="448"/>
      <c r="CW159" s="448"/>
      <c r="CX159" s="2233"/>
      <c r="CY159" s="2233"/>
      <c r="CZ159" s="268"/>
    </row>
    <row r="160" spans="1:104" collapsed="1">
      <c r="A160" s="268"/>
      <c r="B160" s="268"/>
      <c r="C160" s="268" t="str">
        <f>+C16</f>
        <v>Pratt &amp; Whitney</v>
      </c>
      <c r="D160" s="463"/>
      <c r="E160" s="268"/>
      <c r="F160" s="1080"/>
      <c r="G160" s="1080"/>
      <c r="H160" s="1080"/>
      <c r="I160" s="1080"/>
      <c r="J160" s="448">
        <v>0</v>
      </c>
      <c r="K160" s="1079"/>
      <c r="L160" s="1079"/>
      <c r="M160" s="1079"/>
      <c r="N160" s="1079"/>
      <c r="O160" s="448">
        <v>0</v>
      </c>
      <c r="P160" s="449">
        <v>0</v>
      </c>
      <c r="Q160" s="449">
        <v>0</v>
      </c>
      <c r="R160" s="449">
        <v>0</v>
      </c>
      <c r="S160" s="449">
        <v>0</v>
      </c>
      <c r="T160" s="448">
        <v>257</v>
      </c>
      <c r="U160" s="449">
        <v>0</v>
      </c>
      <c r="V160" s="449">
        <v>0</v>
      </c>
      <c r="W160" s="449">
        <v>0</v>
      </c>
      <c r="X160" s="449">
        <v>0</v>
      </c>
      <c r="Y160" s="448">
        <v>192</v>
      </c>
      <c r="Z160" s="449">
        <v>0</v>
      </c>
      <c r="AA160" s="449">
        <v>0</v>
      </c>
      <c r="AB160" s="449">
        <v>0</v>
      </c>
      <c r="AC160" s="449">
        <v>0</v>
      </c>
      <c r="AD160" s="448">
        <v>244</v>
      </c>
      <c r="AE160" s="449">
        <v>40</v>
      </c>
      <c r="AF160" s="449">
        <v>40</v>
      </c>
      <c r="AG160" s="449">
        <v>75.75</v>
      </c>
      <c r="AH160" s="449">
        <v>147.25</v>
      </c>
      <c r="AI160" s="448">
        <v>303</v>
      </c>
      <c r="AJ160" s="449">
        <f>Pratt!AN40</f>
        <v>50</v>
      </c>
      <c r="AK160" s="449">
        <f>Pratt!AO40</f>
        <v>83.75</v>
      </c>
      <c r="AL160" s="449">
        <f>Pratt!AP40</f>
        <v>83.75</v>
      </c>
      <c r="AM160" s="449">
        <f>Pratt!AQ40</f>
        <v>117.5</v>
      </c>
      <c r="AN160" s="448">
        <f>Pratt!AR40</f>
        <v>335</v>
      </c>
      <c r="AO160" s="449">
        <f>Pratt!AS40</f>
        <v>55</v>
      </c>
      <c r="AP160" s="449">
        <f>Pratt!AT40</f>
        <v>96</v>
      </c>
      <c r="AQ160" s="449">
        <f>Pratt!AU40</f>
        <v>96</v>
      </c>
      <c r="AR160" s="449">
        <f>Pratt!AV40</f>
        <v>137</v>
      </c>
      <c r="AS160" s="448">
        <f>Pratt!AW40</f>
        <v>384</v>
      </c>
      <c r="AT160" s="449">
        <f>Pratt!AX40</f>
        <v>103</v>
      </c>
      <c r="AU160" s="449">
        <f>Pratt!AY40</f>
        <v>103</v>
      </c>
      <c r="AV160" s="449">
        <f>Pratt!AZ40</f>
        <v>103</v>
      </c>
      <c r="AW160" s="449">
        <f>Pratt!BA40</f>
        <v>103</v>
      </c>
      <c r="AX160" s="448">
        <f>Pratt!BB40</f>
        <v>412</v>
      </c>
      <c r="AY160" s="449">
        <f>Pratt!BC40</f>
        <v>72</v>
      </c>
      <c r="AZ160" s="449">
        <f>Pratt!BD40</f>
        <v>72</v>
      </c>
      <c r="BA160" s="449">
        <f>Pratt!BE40</f>
        <v>72</v>
      </c>
      <c r="BB160" s="449">
        <f>Pratt!BF40</f>
        <v>72</v>
      </c>
      <c r="BC160" s="448">
        <f>Pratt!BG40</f>
        <v>288</v>
      </c>
      <c r="BD160" s="449">
        <f>Pratt!BH40</f>
        <v>80.25</v>
      </c>
      <c r="BE160" s="449">
        <f>Pratt!BI40</f>
        <v>80.25</v>
      </c>
      <c r="BF160" s="449">
        <f>Pratt!BJ40</f>
        <v>80.25</v>
      </c>
      <c r="BG160" s="449">
        <f>Pratt!BK40</f>
        <v>80.25</v>
      </c>
      <c r="BH160" s="448">
        <f>Pratt!BL40</f>
        <v>321</v>
      </c>
      <c r="BI160" s="449">
        <f>Pratt!BM40</f>
        <v>72.5</v>
      </c>
      <c r="BJ160" s="449">
        <f>Pratt!BN40</f>
        <v>72.5</v>
      </c>
      <c r="BK160" s="449">
        <f>Pratt!BO40</f>
        <v>72.5</v>
      </c>
      <c r="BL160" s="449">
        <f>Pratt!BP40</f>
        <v>72.5</v>
      </c>
      <c r="BM160" s="448">
        <f>Pratt!BQ40</f>
        <v>290</v>
      </c>
      <c r="BN160" s="449">
        <f>Pratt!BR40</f>
        <v>115.5</v>
      </c>
      <c r="BO160" s="449">
        <f>Pratt!BS40</f>
        <v>115.5</v>
      </c>
      <c r="BP160" s="449">
        <f>Pratt!BT40</f>
        <v>115.5</v>
      </c>
      <c r="BQ160" s="449">
        <f>Pratt!BU40</f>
        <v>115.5</v>
      </c>
      <c r="BR160" s="448">
        <f>Pratt!BV40</f>
        <v>462</v>
      </c>
      <c r="BS160" s="449">
        <f>Pratt!BW40</f>
        <v>154.25</v>
      </c>
      <c r="BT160" s="449">
        <f>Pratt!BX40</f>
        <v>154.25</v>
      </c>
      <c r="BU160" s="449">
        <f>Pratt!BY40</f>
        <v>154.25</v>
      </c>
      <c r="BV160" s="449">
        <f>Pratt!BZ40</f>
        <v>154.25</v>
      </c>
      <c r="BW160" s="448">
        <f>Pratt!CA40</f>
        <v>617</v>
      </c>
      <c r="BX160" s="449">
        <f>Pratt!CB40</f>
        <v>172.75</v>
      </c>
      <c r="BY160" s="449">
        <f>Pratt!CC40</f>
        <v>172.75</v>
      </c>
      <c r="BZ160" s="449">
        <f>Pratt!CD40</f>
        <v>172.75</v>
      </c>
      <c r="CA160" s="449">
        <f>Pratt!CE40</f>
        <v>172.75</v>
      </c>
      <c r="CB160" s="448">
        <f>Pratt!CF40</f>
        <v>691</v>
      </c>
      <c r="CC160" s="449">
        <f>Pratt!CG40</f>
        <v>173</v>
      </c>
      <c r="CD160" s="449">
        <f>Pratt!CH40</f>
        <v>173</v>
      </c>
      <c r="CE160" s="449">
        <f>Pratt!CI40</f>
        <v>173</v>
      </c>
      <c r="CF160" s="449">
        <f>Pratt!CJ40</f>
        <v>173</v>
      </c>
      <c r="CG160" s="448">
        <f>Pratt!CK40</f>
        <v>692</v>
      </c>
      <c r="CH160" s="449">
        <f>Pratt!CL40</f>
        <v>181.25</v>
      </c>
      <c r="CI160" s="449">
        <f>Pratt!CM40</f>
        <v>181.25</v>
      </c>
      <c r="CJ160" s="449">
        <f>Pratt!CN40</f>
        <v>181.25</v>
      </c>
      <c r="CK160" s="449">
        <f>Pratt!CO40</f>
        <v>181.25</v>
      </c>
      <c r="CL160" s="448">
        <f>Pratt!CP40</f>
        <v>725</v>
      </c>
      <c r="CM160" s="449">
        <f>Pratt!CQ40</f>
        <v>198.61935539340922</v>
      </c>
      <c r="CN160" s="449">
        <f>Pratt!CR40</f>
        <v>198.61935539340922</v>
      </c>
      <c r="CO160" s="449">
        <f>Pratt!CS40</f>
        <v>198.61935539340922</v>
      </c>
      <c r="CP160" s="449">
        <f>Pratt!CT40</f>
        <v>198.61935539340925</v>
      </c>
      <c r="CQ160" s="448">
        <f>Pratt!CU40</f>
        <v>794.47742157363689</v>
      </c>
      <c r="CR160" s="449">
        <f>Pratt!CV40</f>
        <v>170.2218442071532</v>
      </c>
      <c r="CS160" s="449">
        <f>Pratt!CW40</f>
        <v>170.2218442071532</v>
      </c>
      <c r="CT160" s="449">
        <f>Pratt!CX40</f>
        <v>170.2218442071532</v>
      </c>
      <c r="CU160" s="449">
        <f>Pratt!CY40</f>
        <v>170.2218442071532</v>
      </c>
      <c r="CV160" s="448">
        <f>Pratt!CZ40</f>
        <v>680.88737682861279</v>
      </c>
      <c r="CW160" s="448">
        <f>Pratt!DA40</f>
        <v>638.726197690091</v>
      </c>
      <c r="CX160" s="2233">
        <f>Pratt!DB40</f>
        <v>592.48347259601201</v>
      </c>
      <c r="CY160" s="2233">
        <f>Pratt!DC40</f>
        <v>623.84830334643459</v>
      </c>
      <c r="CZ160" s="268"/>
    </row>
    <row r="161" spans="1:104" ht="12.75" hidden="1" customHeight="1">
      <c r="A161" s="268"/>
      <c r="B161" s="268"/>
      <c r="C161" s="268" t="str">
        <f>+C17</f>
        <v>Flight System</v>
      </c>
      <c r="D161" s="463"/>
      <c r="E161" s="268"/>
      <c r="F161" s="1080">
        <v>0</v>
      </c>
      <c r="G161" s="1080">
        <v>0</v>
      </c>
      <c r="H161" s="1080">
        <v>0</v>
      </c>
      <c r="I161" s="1080">
        <v>0</v>
      </c>
      <c r="J161" s="448">
        <v>0</v>
      </c>
      <c r="K161" s="1079">
        <v>0</v>
      </c>
      <c r="L161" s="1079">
        <v>0</v>
      </c>
      <c r="M161" s="1079">
        <v>0</v>
      </c>
      <c r="N161" s="1079">
        <v>0</v>
      </c>
      <c r="O161" s="448">
        <v>0</v>
      </c>
      <c r="P161" s="449">
        <v>0</v>
      </c>
      <c r="Q161" s="449">
        <v>0</v>
      </c>
      <c r="R161" s="449">
        <v>0</v>
      </c>
      <c r="S161" s="449">
        <v>0</v>
      </c>
      <c r="T161" s="448">
        <v>0</v>
      </c>
      <c r="U161" s="449">
        <v>0</v>
      </c>
      <c r="V161" s="449">
        <v>0</v>
      </c>
      <c r="W161" s="449">
        <v>0</v>
      </c>
      <c r="X161" s="449">
        <v>0</v>
      </c>
      <c r="Y161" s="448">
        <v>0</v>
      </c>
      <c r="Z161" s="449">
        <v>0</v>
      </c>
      <c r="AA161" s="449">
        <v>0</v>
      </c>
      <c r="AB161" s="449">
        <v>0</v>
      </c>
      <c r="AC161" s="449">
        <v>0</v>
      </c>
      <c r="AD161" s="448">
        <v>0</v>
      </c>
      <c r="AE161" s="449">
        <v>0</v>
      </c>
      <c r="AF161" s="449">
        <v>0</v>
      </c>
      <c r="AG161" s="449">
        <v>0</v>
      </c>
      <c r="AH161" s="449">
        <v>0</v>
      </c>
      <c r="AI161" s="448">
        <v>0</v>
      </c>
      <c r="AJ161" s="449">
        <v>0</v>
      </c>
      <c r="AK161" s="449">
        <v>0</v>
      </c>
      <c r="AL161" s="449">
        <v>0</v>
      </c>
      <c r="AM161" s="449">
        <v>0</v>
      </c>
      <c r="AN161" s="448">
        <v>0</v>
      </c>
      <c r="AO161" s="449">
        <v>0</v>
      </c>
      <c r="AP161" s="449">
        <v>0</v>
      </c>
      <c r="AQ161" s="449">
        <v>0</v>
      </c>
      <c r="AR161" s="449">
        <v>0</v>
      </c>
      <c r="AS161" s="448">
        <v>0</v>
      </c>
      <c r="AT161" s="449">
        <v>0</v>
      </c>
      <c r="AU161" s="449">
        <v>0</v>
      </c>
      <c r="AV161" s="449">
        <v>0</v>
      </c>
      <c r="AW161" s="449">
        <v>0</v>
      </c>
      <c r="AX161" s="448">
        <v>0</v>
      </c>
      <c r="AY161" s="449">
        <v>0</v>
      </c>
      <c r="AZ161" s="449">
        <v>0</v>
      </c>
      <c r="BA161" s="449">
        <v>0</v>
      </c>
      <c r="BB161" s="449">
        <v>0</v>
      </c>
      <c r="BC161" s="448">
        <v>0</v>
      </c>
      <c r="BD161" s="449">
        <v>0</v>
      </c>
      <c r="BE161" s="449">
        <v>0</v>
      </c>
      <c r="BF161" s="449">
        <v>0</v>
      </c>
      <c r="BG161" s="449">
        <v>0</v>
      </c>
      <c r="BH161" s="448">
        <v>0</v>
      </c>
      <c r="BI161" s="449">
        <v>0</v>
      </c>
      <c r="BJ161" s="449">
        <v>0</v>
      </c>
      <c r="BK161" s="449">
        <v>0</v>
      </c>
      <c r="BL161" s="449">
        <v>0</v>
      </c>
      <c r="BM161" s="448">
        <v>0</v>
      </c>
      <c r="BN161" s="449">
        <v>0</v>
      </c>
      <c r="BO161" s="449">
        <v>0</v>
      </c>
      <c r="BP161" s="449">
        <v>0</v>
      </c>
      <c r="BQ161" s="449">
        <v>0</v>
      </c>
      <c r="BR161" s="448">
        <v>0</v>
      </c>
      <c r="BS161" s="449"/>
      <c r="BT161" s="449"/>
      <c r="BU161" s="449"/>
      <c r="BV161" s="449"/>
      <c r="BW161" s="448"/>
      <c r="BX161" s="449"/>
      <c r="BY161" s="449"/>
      <c r="BZ161" s="449"/>
      <c r="CA161" s="449"/>
      <c r="CB161" s="448"/>
      <c r="CC161" s="449"/>
      <c r="CD161" s="449"/>
      <c r="CE161" s="449"/>
      <c r="CF161" s="449"/>
      <c r="CG161" s="448"/>
      <c r="CH161" s="449"/>
      <c r="CI161" s="449"/>
      <c r="CJ161" s="449"/>
      <c r="CK161" s="449"/>
      <c r="CL161" s="448"/>
      <c r="CM161" s="449"/>
      <c r="CN161" s="449"/>
      <c r="CO161" s="449"/>
      <c r="CP161" s="449"/>
      <c r="CQ161" s="448"/>
      <c r="CR161" s="449"/>
      <c r="CS161" s="449"/>
      <c r="CT161" s="449"/>
      <c r="CU161" s="449"/>
      <c r="CV161" s="448"/>
      <c r="CW161" s="448"/>
      <c r="CX161" s="2233"/>
      <c r="CY161" s="2233"/>
      <c r="CZ161" s="268"/>
    </row>
    <row r="162" spans="1:104">
      <c r="A162" s="268"/>
      <c r="B162" s="268"/>
      <c r="C162" s="116" t="s">
        <v>164</v>
      </c>
      <c r="D162" s="463"/>
      <c r="E162" s="268"/>
      <c r="F162" s="1080"/>
      <c r="G162" s="1080"/>
      <c r="H162" s="1080"/>
      <c r="I162" s="1080"/>
      <c r="J162" s="448"/>
      <c r="K162" s="1079"/>
      <c r="L162" s="1079"/>
      <c r="M162" s="1079"/>
      <c r="N162" s="1079"/>
      <c r="O162" s="448"/>
      <c r="P162" s="449"/>
      <c r="Q162" s="449"/>
      <c r="R162" s="449"/>
      <c r="S162" s="449"/>
      <c r="T162" s="448"/>
      <c r="U162" s="449"/>
      <c r="V162" s="449"/>
      <c r="W162" s="449"/>
      <c r="X162" s="449"/>
      <c r="Y162" s="448"/>
      <c r="Z162" s="449"/>
      <c r="AA162" s="449"/>
      <c r="AB162" s="449"/>
      <c r="AC162" s="449"/>
      <c r="AD162" s="448"/>
      <c r="AE162" s="449"/>
      <c r="AF162" s="449"/>
      <c r="AG162" s="449"/>
      <c r="AH162" s="449"/>
      <c r="AI162" s="448"/>
      <c r="AJ162" s="449"/>
      <c r="AK162" s="449"/>
      <c r="AL162" s="449"/>
      <c r="AM162" s="449"/>
      <c r="AN162" s="448"/>
      <c r="AO162" s="449"/>
      <c r="AP162" s="449"/>
      <c r="AQ162" s="449"/>
      <c r="AR162" s="449"/>
      <c r="AS162" s="448"/>
      <c r="AT162" s="449"/>
      <c r="AU162" s="449"/>
      <c r="AV162" s="449"/>
      <c r="AW162" s="449"/>
      <c r="AX162" s="448"/>
      <c r="AY162" s="449"/>
      <c r="AZ162" s="449"/>
      <c r="BA162" s="449"/>
      <c r="BB162" s="449"/>
      <c r="BC162" s="448"/>
      <c r="BD162" s="449"/>
      <c r="BE162" s="449"/>
      <c r="BF162" s="449"/>
      <c r="BG162" s="449"/>
      <c r="BH162" s="448"/>
      <c r="BI162" s="449">
        <f>'Aerospace Systems'!O41</f>
        <v>40.75</v>
      </c>
      <c r="BJ162" s="449">
        <f>'Aerospace Systems'!P41</f>
        <v>40.75</v>
      </c>
      <c r="BK162" s="449">
        <f>'Aerospace Systems'!Q41</f>
        <v>40.75</v>
      </c>
      <c r="BL162" s="449">
        <f>'Aerospace Systems'!R41</f>
        <v>40.75</v>
      </c>
      <c r="BM162" s="448">
        <f>'Aerospace Systems'!S41</f>
        <v>163</v>
      </c>
      <c r="BN162" s="449">
        <f>'Aerospace Systems'!T41</f>
        <v>91.75</v>
      </c>
      <c r="BO162" s="449">
        <f>'Aerospace Systems'!U41</f>
        <v>91.75</v>
      </c>
      <c r="BP162" s="449">
        <f>'Aerospace Systems'!V41</f>
        <v>91.75</v>
      </c>
      <c r="BQ162" s="449">
        <f>'Aerospace Systems'!W41</f>
        <v>91.75</v>
      </c>
      <c r="BR162" s="448">
        <f>'Aerospace Systems'!X41</f>
        <v>367</v>
      </c>
      <c r="BS162" s="449">
        <f>'Aerospace Systems'!Y41</f>
        <v>127.5</v>
      </c>
      <c r="BT162" s="449">
        <f>'Aerospace Systems'!Z41</f>
        <v>127.5</v>
      </c>
      <c r="BU162" s="449">
        <f>'Aerospace Systems'!AA41</f>
        <v>127.5</v>
      </c>
      <c r="BV162" s="449">
        <f>'Aerospace Systems'!AB41</f>
        <v>127.5</v>
      </c>
      <c r="BW162" s="448">
        <f>'Aerospace Systems'!AC41</f>
        <v>510</v>
      </c>
      <c r="BX162" s="449">
        <f>'Aerospace Systems'!AD41</f>
        <v>133.25</v>
      </c>
      <c r="BY162" s="449">
        <f>'Aerospace Systems'!AE41</f>
        <v>133.25</v>
      </c>
      <c r="BZ162" s="449">
        <f>'Aerospace Systems'!AF41</f>
        <v>133.25</v>
      </c>
      <c r="CA162" s="449">
        <f>'Aerospace Systems'!AG41</f>
        <v>133.25</v>
      </c>
      <c r="CB162" s="448">
        <f>'Aerospace Systems'!AH41</f>
        <v>533</v>
      </c>
      <c r="CC162" s="449">
        <f>'Aerospace Systems'!AI41</f>
        <v>134.25</v>
      </c>
      <c r="CD162" s="449">
        <f>'Aerospace Systems'!AJ41</f>
        <v>134.25</v>
      </c>
      <c r="CE162" s="449">
        <f>'Aerospace Systems'!AK41</f>
        <v>134.25</v>
      </c>
      <c r="CF162" s="449">
        <f>'Aerospace Systems'!AL41</f>
        <v>134.25</v>
      </c>
      <c r="CG162" s="448">
        <f>'Aerospace Systems'!AM41</f>
        <v>537</v>
      </c>
      <c r="CH162" s="449">
        <f>'Aerospace Systems'!AN41</f>
        <v>113</v>
      </c>
      <c r="CI162" s="449">
        <f>'Aerospace Systems'!AO41</f>
        <v>113</v>
      </c>
      <c r="CJ162" s="449">
        <f>'Aerospace Systems'!AP41</f>
        <v>113</v>
      </c>
      <c r="CK162" s="449">
        <f>'Aerospace Systems'!AQ41</f>
        <v>113</v>
      </c>
      <c r="CL162" s="448">
        <f>'Aerospace Systems'!AR41</f>
        <v>452</v>
      </c>
      <c r="CM162" s="449">
        <f>'Aerospace Systems'!AS41</f>
        <v>117.03945994600002</v>
      </c>
      <c r="CN162" s="449">
        <f>'Aerospace Systems'!AT41</f>
        <v>117.03945994600002</v>
      </c>
      <c r="CO162" s="449">
        <f>'Aerospace Systems'!AU41</f>
        <v>117.03945994600002</v>
      </c>
      <c r="CP162" s="449">
        <f>'Aerospace Systems'!AV41</f>
        <v>117.03945994600002</v>
      </c>
      <c r="CQ162" s="448">
        <f>'Aerospace Systems'!AW41</f>
        <v>468.15783978400009</v>
      </c>
      <c r="CR162" s="449">
        <f>'Aerospace Systems'!AX41</f>
        <v>127.31721292620705</v>
      </c>
      <c r="CS162" s="449">
        <f>'Aerospace Systems'!AY41</f>
        <v>127.31721292620705</v>
      </c>
      <c r="CT162" s="449">
        <f>'Aerospace Systems'!AZ41</f>
        <v>127.31721292620705</v>
      </c>
      <c r="CU162" s="449">
        <f>'Aerospace Systems'!BA41</f>
        <v>127.31721292620705</v>
      </c>
      <c r="CV162" s="448">
        <f>'Aerospace Systems'!BB41</f>
        <v>509.26885170482819</v>
      </c>
      <c r="CW162" s="448">
        <f>'Aerospace Systems'!BC41</f>
        <v>486.43087590237155</v>
      </c>
      <c r="CX162" s="2233">
        <f>'Aerospace Systems'!BD41</f>
        <v>508.72477526881863</v>
      </c>
      <c r="CY162" s="2233">
        <f>'Aerospace Systems'!BE41</f>
        <v>532.9573213581474</v>
      </c>
      <c r="CZ162" s="268"/>
    </row>
    <row r="163" spans="1:104" ht="12.75" hidden="1" customHeight="1" outlineLevel="1">
      <c r="A163" s="268"/>
      <c r="B163" s="268"/>
      <c r="C163" s="268" t="str">
        <f>+C19</f>
        <v>Hamilton Sundstrand</v>
      </c>
      <c r="D163" s="463"/>
      <c r="E163" s="268"/>
      <c r="F163" s="1080"/>
      <c r="G163" s="1080"/>
      <c r="H163" s="1080"/>
      <c r="I163" s="1080"/>
      <c r="J163" s="448"/>
      <c r="K163" s="1079"/>
      <c r="L163" s="1079"/>
      <c r="M163" s="1079"/>
      <c r="N163" s="1079"/>
      <c r="O163" s="448"/>
      <c r="P163" s="449">
        <v>0</v>
      </c>
      <c r="Q163" s="449">
        <v>0</v>
      </c>
      <c r="R163" s="449">
        <v>0</v>
      </c>
      <c r="S163" s="449">
        <v>0</v>
      </c>
      <c r="T163" s="448">
        <v>85</v>
      </c>
      <c r="U163" s="449">
        <v>0</v>
      </c>
      <c r="V163" s="449">
        <v>0</v>
      </c>
      <c r="W163" s="449">
        <v>0</v>
      </c>
      <c r="X163" s="449">
        <v>0</v>
      </c>
      <c r="Y163" s="448">
        <v>103</v>
      </c>
      <c r="Z163" s="449">
        <v>0</v>
      </c>
      <c r="AA163" s="449">
        <v>0</v>
      </c>
      <c r="AB163" s="449">
        <v>0</v>
      </c>
      <c r="AC163" s="449">
        <v>0</v>
      </c>
      <c r="AD163" s="448">
        <v>134</v>
      </c>
      <c r="AE163" s="449">
        <v>20</v>
      </c>
      <c r="AF163" s="449">
        <v>34.25</v>
      </c>
      <c r="AG163" s="449">
        <v>34.25</v>
      </c>
      <c r="AH163" s="449">
        <v>48.5</v>
      </c>
      <c r="AI163" s="448">
        <v>137</v>
      </c>
      <c r="AJ163" s="449">
        <v>30</v>
      </c>
      <c r="AK163" s="449">
        <v>35.5</v>
      </c>
      <c r="AL163" s="449">
        <v>35.5</v>
      </c>
      <c r="AM163" s="449">
        <v>41</v>
      </c>
      <c r="AN163" s="448">
        <v>142</v>
      </c>
      <c r="AO163" s="449">
        <v>35</v>
      </c>
      <c r="AP163" s="449">
        <v>40</v>
      </c>
      <c r="AQ163" s="449">
        <v>40</v>
      </c>
      <c r="AR163" s="449">
        <v>45</v>
      </c>
      <c r="AS163" s="448">
        <v>160</v>
      </c>
      <c r="AT163" s="449">
        <v>35.25</v>
      </c>
      <c r="AU163" s="449">
        <v>35.25</v>
      </c>
      <c r="AV163" s="449">
        <v>35.25</v>
      </c>
      <c r="AW163" s="449">
        <v>35.25</v>
      </c>
      <c r="AX163" s="448">
        <v>141</v>
      </c>
      <c r="AY163" s="449">
        <v>28.5</v>
      </c>
      <c r="AZ163" s="449">
        <v>28.5</v>
      </c>
      <c r="BA163" s="449">
        <v>28.5</v>
      </c>
      <c r="BB163" s="449">
        <v>28.5</v>
      </c>
      <c r="BC163" s="448">
        <v>114</v>
      </c>
      <c r="BD163" s="449">
        <v>29.25</v>
      </c>
      <c r="BE163" s="449">
        <v>29.25</v>
      </c>
      <c r="BF163" s="449">
        <v>29.25</v>
      </c>
      <c r="BG163" s="449">
        <v>29.25</v>
      </c>
      <c r="BH163" s="448">
        <v>117</v>
      </c>
      <c r="BI163" s="449">
        <v>40.75</v>
      </c>
      <c r="BJ163" s="449">
        <v>40.75</v>
      </c>
      <c r="BK163" s="449">
        <v>40.75</v>
      </c>
      <c r="BL163" s="449">
        <v>40.75</v>
      </c>
      <c r="BM163" s="448">
        <v>163</v>
      </c>
      <c r="BN163" s="449">
        <v>43.510335338071805</v>
      </c>
      <c r="BO163" s="449">
        <v>43.510335338071805</v>
      </c>
      <c r="BP163" s="449">
        <v>43.510335338071805</v>
      </c>
      <c r="BQ163" s="449">
        <v>43.510335338071805</v>
      </c>
      <c r="BR163" s="448">
        <v>174.04134135228722</v>
      </c>
      <c r="BS163" s="449"/>
      <c r="BT163" s="449"/>
      <c r="BU163" s="449"/>
      <c r="BV163" s="449"/>
      <c r="BW163" s="448"/>
      <c r="BX163" s="449"/>
      <c r="BY163" s="449"/>
      <c r="BZ163" s="449"/>
      <c r="CA163" s="449"/>
      <c r="CB163" s="448"/>
      <c r="CC163" s="449"/>
      <c r="CD163" s="449"/>
      <c r="CE163" s="449"/>
      <c r="CF163" s="449"/>
      <c r="CG163" s="448"/>
      <c r="CH163" s="449"/>
      <c r="CI163" s="449"/>
      <c r="CJ163" s="449"/>
      <c r="CK163" s="449"/>
      <c r="CL163" s="448"/>
      <c r="CM163" s="449"/>
      <c r="CN163" s="449"/>
      <c r="CO163" s="449"/>
      <c r="CP163" s="449"/>
      <c r="CQ163" s="448"/>
      <c r="CR163" s="449"/>
      <c r="CS163" s="449"/>
      <c r="CT163" s="449"/>
      <c r="CU163" s="449"/>
      <c r="CV163" s="448"/>
      <c r="CW163" s="448"/>
      <c r="CX163" s="2233"/>
      <c r="CY163" s="2233"/>
      <c r="CZ163" s="268"/>
    </row>
    <row r="164" spans="1:104" collapsed="1">
      <c r="A164" s="268"/>
      <c r="B164" s="268"/>
      <c r="C164" s="268" t="str">
        <f>+C20</f>
        <v>Sikorsky</v>
      </c>
      <c r="D164" s="463"/>
      <c r="E164" s="268"/>
      <c r="F164" s="1080"/>
      <c r="G164" s="1080"/>
      <c r="H164" s="1080"/>
      <c r="I164" s="1080"/>
      <c r="J164" s="448"/>
      <c r="K164" s="1079"/>
      <c r="L164" s="1079"/>
      <c r="M164" s="1079"/>
      <c r="N164" s="1079"/>
      <c r="O164" s="448"/>
      <c r="P164" s="449">
        <v>0</v>
      </c>
      <c r="Q164" s="449">
        <v>0</v>
      </c>
      <c r="R164" s="449">
        <v>0</v>
      </c>
      <c r="S164" s="449">
        <v>0</v>
      </c>
      <c r="T164" s="448">
        <v>41</v>
      </c>
      <c r="U164" s="449">
        <v>0</v>
      </c>
      <c r="V164" s="449">
        <v>0</v>
      </c>
      <c r="W164" s="449">
        <v>0</v>
      </c>
      <c r="X164" s="449">
        <v>0</v>
      </c>
      <c r="Y164" s="448">
        <v>35</v>
      </c>
      <c r="Z164" s="449">
        <v>0</v>
      </c>
      <c r="AA164" s="449">
        <v>0</v>
      </c>
      <c r="AB164" s="449">
        <v>0</v>
      </c>
      <c r="AC164" s="449">
        <v>0</v>
      </c>
      <c r="AD164" s="448">
        <v>46</v>
      </c>
      <c r="AE164" s="449">
        <v>12.25</v>
      </c>
      <c r="AF164" s="449">
        <v>12.25</v>
      </c>
      <c r="AG164" s="449">
        <v>12.25</v>
      </c>
      <c r="AH164" s="449">
        <v>12.25</v>
      </c>
      <c r="AI164" s="448">
        <v>49</v>
      </c>
      <c r="AJ164" s="449">
        <v>10</v>
      </c>
      <c r="AK164" s="449">
        <v>16.5</v>
      </c>
      <c r="AL164" s="449">
        <v>16.5</v>
      </c>
      <c r="AM164" s="449">
        <v>23</v>
      </c>
      <c r="AN164" s="448">
        <v>66</v>
      </c>
      <c r="AO164" s="449">
        <v>32</v>
      </c>
      <c r="AP164" s="449">
        <v>32</v>
      </c>
      <c r="AQ164" s="449">
        <v>32</v>
      </c>
      <c r="AR164" s="449">
        <v>32</v>
      </c>
      <c r="AS164" s="448">
        <v>128</v>
      </c>
      <c r="AT164" s="449">
        <v>41.25</v>
      </c>
      <c r="AU164" s="449">
        <v>41.25</v>
      </c>
      <c r="AV164" s="449">
        <v>41.25</v>
      </c>
      <c r="AW164" s="449">
        <v>41.25</v>
      </c>
      <c r="AX164" s="448">
        <v>165</v>
      </c>
      <c r="AY164" s="449">
        <v>23.75</v>
      </c>
      <c r="AZ164" s="449">
        <v>23.75</v>
      </c>
      <c r="BA164" s="449">
        <v>23.75</v>
      </c>
      <c r="BB164" s="449">
        <v>23.75</v>
      </c>
      <c r="BC164" s="448">
        <v>95</v>
      </c>
      <c r="BD164" s="449">
        <v>27</v>
      </c>
      <c r="BE164" s="449">
        <v>27</v>
      </c>
      <c r="BF164" s="449">
        <v>27</v>
      </c>
      <c r="BG164" s="449">
        <v>27</v>
      </c>
      <c r="BH164" s="448">
        <v>108</v>
      </c>
      <c r="BI164" s="449">
        <v>23</v>
      </c>
      <c r="BJ164" s="449">
        <v>23</v>
      </c>
      <c r="BK164" s="449">
        <v>23</v>
      </c>
      <c r="BL164" s="449">
        <v>23</v>
      </c>
      <c r="BM164" s="448">
        <v>92</v>
      </c>
      <c r="BN164" s="449">
        <v>23.5</v>
      </c>
      <c r="BO164" s="449">
        <v>23.5</v>
      </c>
      <c r="BP164" s="449">
        <v>23.5</v>
      </c>
      <c r="BQ164" s="449">
        <v>23.5</v>
      </c>
      <c r="BR164" s="448">
        <v>94</v>
      </c>
      <c r="BS164" s="449">
        <v>29.75</v>
      </c>
      <c r="BT164" s="449">
        <v>29.75</v>
      </c>
      <c r="BU164" s="449">
        <v>29.75</v>
      </c>
      <c r="BV164" s="449">
        <v>29.75</v>
      </c>
      <c r="BW164" s="448">
        <v>119</v>
      </c>
      <c r="BX164" s="449">
        <v>29</v>
      </c>
      <c r="BY164" s="449">
        <v>29</v>
      </c>
      <c r="BZ164" s="449">
        <v>29</v>
      </c>
      <c r="CA164" s="449">
        <v>29</v>
      </c>
      <c r="CB164" s="448">
        <v>116</v>
      </c>
      <c r="CC164" s="449"/>
      <c r="CD164" s="449"/>
      <c r="CE164" s="449"/>
      <c r="CF164" s="449"/>
      <c r="CG164" s="1097"/>
      <c r="CH164" s="449"/>
      <c r="CI164" s="449"/>
      <c r="CJ164" s="449"/>
      <c r="CK164" s="449"/>
      <c r="CL164" s="448"/>
      <c r="CM164" s="449"/>
      <c r="CN164" s="449"/>
      <c r="CO164" s="449"/>
      <c r="CP164" s="449"/>
      <c r="CQ164" s="448"/>
      <c r="CR164" s="449"/>
      <c r="CS164" s="449"/>
      <c r="CT164" s="449"/>
      <c r="CU164" s="449"/>
      <c r="CV164" s="448"/>
      <c r="CW164" s="448"/>
      <c r="CX164" s="2233"/>
      <c r="CY164" s="2233"/>
      <c r="CZ164" s="268"/>
    </row>
    <row r="165" spans="1:104">
      <c r="A165" s="268"/>
      <c r="B165" s="268"/>
      <c r="C165" s="268" t="s">
        <v>814</v>
      </c>
      <c r="D165" s="463"/>
      <c r="E165" s="268"/>
      <c r="F165" s="1080"/>
      <c r="G165" s="1080"/>
      <c r="H165" s="1080"/>
      <c r="I165" s="1080"/>
      <c r="J165" s="448"/>
      <c r="K165" s="1079"/>
      <c r="L165" s="1079"/>
      <c r="M165" s="1079"/>
      <c r="N165" s="1079"/>
      <c r="O165" s="448"/>
      <c r="P165" s="449"/>
      <c r="Q165" s="449"/>
      <c r="R165" s="449"/>
      <c r="S165" s="449"/>
      <c r="T165" s="448">
        <v>28</v>
      </c>
      <c r="U165" s="449"/>
      <c r="V165" s="449"/>
      <c r="W165" s="449"/>
      <c r="X165" s="449"/>
      <c r="Y165" s="448">
        <v>18</v>
      </c>
      <c r="Z165" s="449"/>
      <c r="AA165" s="449"/>
      <c r="AB165" s="449"/>
      <c r="AC165" s="449"/>
      <c r="AD165" s="448">
        <v>47</v>
      </c>
      <c r="AE165" s="449">
        <v>10.25</v>
      </c>
      <c r="AF165" s="449">
        <v>12</v>
      </c>
      <c r="AG165" s="449">
        <v>26.5</v>
      </c>
      <c r="AH165" s="1096">
        <v>-9.75</v>
      </c>
      <c r="AI165" s="448">
        <v>39</v>
      </c>
      <c r="AJ165" s="449">
        <f t="shared" ref="AJ165:BH165" si="174">AJ166-AJ156-AJ158-AJ159-AJ160-AJ161-AJ163-AJ164</f>
        <v>42.978395061728406</v>
      </c>
      <c r="AK165" s="449">
        <f t="shared" si="174"/>
        <v>-4.5</v>
      </c>
      <c r="AL165" s="449">
        <f t="shared" si="174"/>
        <v>-38.5</v>
      </c>
      <c r="AM165" s="449">
        <f t="shared" si="174"/>
        <v>64.021604938271594</v>
      </c>
      <c r="AN165" s="448">
        <f t="shared" si="174"/>
        <v>64</v>
      </c>
      <c r="AO165" s="449">
        <f t="shared" si="174"/>
        <v>4</v>
      </c>
      <c r="AP165" s="449">
        <f t="shared" si="174"/>
        <v>-21.5</v>
      </c>
      <c r="AQ165" s="449">
        <f t="shared" si="174"/>
        <v>-34.5</v>
      </c>
      <c r="AR165" s="449">
        <f t="shared" si="174"/>
        <v>115</v>
      </c>
      <c r="AS165" s="448">
        <f t="shared" si="174"/>
        <v>63</v>
      </c>
      <c r="AT165" s="449">
        <f t="shared" si="174"/>
        <v>-51.5</v>
      </c>
      <c r="AU165" s="449">
        <f t="shared" si="174"/>
        <v>16.5</v>
      </c>
      <c r="AV165" s="449">
        <f t="shared" si="174"/>
        <v>-20.5</v>
      </c>
      <c r="AW165" s="449">
        <f t="shared" si="174"/>
        <v>117.5</v>
      </c>
      <c r="AX165" s="448">
        <f t="shared" si="174"/>
        <v>62</v>
      </c>
      <c r="AY165" s="449">
        <f t="shared" si="174"/>
        <v>-14.5</v>
      </c>
      <c r="AZ165" s="449">
        <f t="shared" si="174"/>
        <v>-8.5</v>
      </c>
      <c r="BA165" s="449">
        <f t="shared" si="174"/>
        <v>-20.5</v>
      </c>
      <c r="BB165" s="449">
        <f t="shared" si="174"/>
        <v>143.5</v>
      </c>
      <c r="BC165" s="448">
        <f t="shared" si="174"/>
        <v>100</v>
      </c>
      <c r="BD165" s="449">
        <f t="shared" si="174"/>
        <v>-61.75</v>
      </c>
      <c r="BE165" s="449">
        <f t="shared" si="174"/>
        <v>-53.75</v>
      </c>
      <c r="BF165" s="449">
        <f t="shared" si="174"/>
        <v>-31.75</v>
      </c>
      <c r="BG165" s="449">
        <f t="shared" si="174"/>
        <v>177.25</v>
      </c>
      <c r="BH165" s="448">
        <f t="shared" si="174"/>
        <v>30</v>
      </c>
      <c r="BI165" s="449">
        <f t="shared" ref="BI165:BV165" si="175">BI166-BI156-BI157-BI160-BI162-BI164</f>
        <v>-60.25</v>
      </c>
      <c r="BJ165" s="449">
        <f t="shared" si="175"/>
        <v>-31.25</v>
      </c>
      <c r="BK165" s="449">
        <f t="shared" si="175"/>
        <v>-32.25</v>
      </c>
      <c r="BL165" s="449">
        <f t="shared" si="175"/>
        <v>127.75</v>
      </c>
      <c r="BM165" s="448">
        <f t="shared" si="175"/>
        <v>4</v>
      </c>
      <c r="BN165" s="449">
        <f t="shared" si="175"/>
        <v>-144.25</v>
      </c>
      <c r="BO165" s="449">
        <f t="shared" si="175"/>
        <v>-89.25</v>
      </c>
      <c r="BP165" s="449">
        <f t="shared" si="175"/>
        <v>-15.25</v>
      </c>
      <c r="BQ165" s="449">
        <f t="shared" si="175"/>
        <v>308.75</v>
      </c>
      <c r="BR165" s="448">
        <f t="shared" si="175"/>
        <v>60</v>
      </c>
      <c r="BS165" s="449">
        <f t="shared" si="175"/>
        <v>-113.5</v>
      </c>
      <c r="BT165" s="449">
        <f t="shared" si="175"/>
        <v>-39.5</v>
      </c>
      <c r="BU165" s="449">
        <f t="shared" si="175"/>
        <v>-25.5</v>
      </c>
      <c r="BV165" s="449">
        <f t="shared" si="175"/>
        <v>232.5</v>
      </c>
      <c r="BW165" s="448">
        <f>SUM(BS165:BV165)</f>
        <v>54</v>
      </c>
      <c r="BX165" s="449">
        <f>BX166-BX156-BX157-BX160-BX162-BX164</f>
        <v>-80.75</v>
      </c>
      <c r="BY165" s="449">
        <f>BY166-BY156-BY157-BY160-BY162-BY164</f>
        <v>-7.75</v>
      </c>
      <c r="BZ165" s="449">
        <f>BZ166-BZ156-BZ157-BZ160-BZ162-BZ164</f>
        <v>1.25</v>
      </c>
      <c r="CA165" s="449">
        <f>CA166-CA156-CA157-CA160-CA162-CA164</f>
        <v>143.25</v>
      </c>
      <c r="CB165" s="448">
        <f>SUM(BX165:CA165)</f>
        <v>56</v>
      </c>
      <c r="CC165" s="449">
        <f>CC166-CC156-CC157-CC160-CC162-CC164</f>
        <v>-45.25</v>
      </c>
      <c r="CD165" s="449">
        <f>CD166-CD156-CD157-CD160-CD162-CD164</f>
        <v>-35.25</v>
      </c>
      <c r="CE165" s="449">
        <f>CE166-CE156-CE157-CE160-CE162-CE164</f>
        <v>-3.25</v>
      </c>
      <c r="CF165" s="449">
        <f>CF166-CF156-CF157-CF160-CF162-CF164</f>
        <v>214.75</v>
      </c>
      <c r="CG165" s="448">
        <f>SUM(CC165:CF165)</f>
        <v>131</v>
      </c>
      <c r="CH165" s="449">
        <f>CH166-CH156-CH157-CH160-CH162-CH164</f>
        <v>-116.75</v>
      </c>
      <c r="CI165" s="449">
        <f>CI166-CI156-CI157-CI160-CI162-CI164</f>
        <v>-39.75</v>
      </c>
      <c r="CJ165" s="449">
        <f>CJ166-CJ156-CJ157-CJ160-CJ162-CJ164</f>
        <v>-8.75</v>
      </c>
      <c r="CK165" s="449">
        <f>CK166-CK156-CK157-CK160-CK162-CK164</f>
        <v>253.25</v>
      </c>
      <c r="CL165" s="2070">
        <f>SUM(CH165:CK165)</f>
        <v>88</v>
      </c>
      <c r="CM165" s="449">
        <f>CM166-CM156-CM157-CM160-CM162-CM164</f>
        <v>-104.78936428596077</v>
      </c>
      <c r="CN165" s="449">
        <f>CN166-CN156-CN157-CN160-CN162-CN164</f>
        <v>16.210635714039228</v>
      </c>
      <c r="CO165" s="449">
        <f>CO166-CO156-CO157-CO160-CO162-CO164</f>
        <v>13.210635714039228</v>
      </c>
      <c r="CP165" s="449">
        <v>30</v>
      </c>
      <c r="CQ165" s="1094">
        <f>SUM(CM165:CP165)</f>
        <v>-45.368092857882317</v>
      </c>
      <c r="CR165" s="449">
        <f>CV165/4</f>
        <v>15</v>
      </c>
      <c r="CS165" s="449">
        <f>CR165</f>
        <v>15</v>
      </c>
      <c r="CT165" s="449">
        <f>CS165</f>
        <v>15</v>
      </c>
      <c r="CU165" s="449">
        <f>CT165</f>
        <v>15</v>
      </c>
      <c r="CV165" s="1094">
        <v>60</v>
      </c>
      <c r="CW165" s="1094">
        <v>60</v>
      </c>
      <c r="CX165" s="1094">
        <v>60</v>
      </c>
      <c r="CY165" s="1094">
        <v>60</v>
      </c>
      <c r="CZ165" s="268"/>
    </row>
    <row r="166" spans="1:104" ht="12" customHeight="1" thickBot="1">
      <c r="A166" s="302"/>
      <c r="B166" s="302"/>
      <c r="C166" s="1093" t="s">
        <v>425</v>
      </c>
      <c r="D166" s="1093"/>
      <c r="E166" s="1093"/>
      <c r="F166" s="1092">
        <v>0</v>
      </c>
      <c r="G166" s="1092">
        <v>0</v>
      </c>
      <c r="H166" s="1092">
        <v>0</v>
      </c>
      <c r="I166" s="1092">
        <v>0</v>
      </c>
      <c r="J166" s="1089">
        <v>937</v>
      </c>
      <c r="K166" s="1091">
        <v>0</v>
      </c>
      <c r="L166" s="1091">
        <v>0</v>
      </c>
      <c r="M166" s="1091">
        <v>0</v>
      </c>
      <c r="N166" s="1091">
        <v>0</v>
      </c>
      <c r="O166" s="1089">
        <v>793</v>
      </c>
      <c r="P166" s="1090">
        <v>0</v>
      </c>
      <c r="Q166" s="1090">
        <v>0</v>
      </c>
      <c r="R166" s="1090">
        <v>0</v>
      </c>
      <c r="S166" s="1090">
        <v>0</v>
      </c>
      <c r="T166" s="1089">
        <v>586</v>
      </c>
      <c r="U166" s="1090">
        <v>0</v>
      </c>
      <c r="V166" s="1090">
        <v>0</v>
      </c>
      <c r="W166" s="1090">
        <v>0</v>
      </c>
      <c r="X166" s="1090">
        <v>0</v>
      </c>
      <c r="Y166" s="1089">
        <v>530</v>
      </c>
      <c r="Z166" s="1090">
        <v>123</v>
      </c>
      <c r="AA166" s="1090">
        <v>148</v>
      </c>
      <c r="AB166" s="1090">
        <v>180</v>
      </c>
      <c r="AC166" s="1090">
        <v>344</v>
      </c>
      <c r="AD166" s="1089">
        <v>795</v>
      </c>
      <c r="AE166" s="1090">
        <v>152</v>
      </c>
      <c r="AF166" s="1090">
        <v>183</v>
      </c>
      <c r="AG166" s="1090">
        <v>249</v>
      </c>
      <c r="AH166" s="1090">
        <v>345</v>
      </c>
      <c r="AI166" s="1089">
        <v>929</v>
      </c>
      <c r="AJ166" s="1090">
        <f>-CF!V23</f>
        <v>201</v>
      </c>
      <c r="AK166" s="1090">
        <f>-CF!W23</f>
        <v>218</v>
      </c>
      <c r="AL166" s="1090">
        <f>-CF!X23</f>
        <v>184</v>
      </c>
      <c r="AM166" s="1090">
        <f>-CF!Y23</f>
        <v>351</v>
      </c>
      <c r="AN166" s="1089">
        <f>-CF!Z23</f>
        <v>954</v>
      </c>
      <c r="AO166" s="1090">
        <f>-CF!AA23</f>
        <v>208</v>
      </c>
      <c r="AP166" s="1090">
        <f>-CF!AB23</f>
        <v>251</v>
      </c>
      <c r="AQ166" s="1090">
        <f>-CF!AC23</f>
        <v>238</v>
      </c>
      <c r="AR166" s="1090">
        <f>-CF!AD23</f>
        <v>456</v>
      </c>
      <c r="AS166" s="1089">
        <f>-CF!AE23</f>
        <v>1153</v>
      </c>
      <c r="AT166" s="1090">
        <f>-CF!AF23</f>
        <v>237</v>
      </c>
      <c r="AU166" s="1090">
        <f>-CF!AG23</f>
        <v>305</v>
      </c>
      <c r="AV166" s="1090">
        <f>-CF!AH23</f>
        <v>268</v>
      </c>
      <c r="AW166" s="1090">
        <f>-CF!AI23</f>
        <v>406</v>
      </c>
      <c r="AX166" s="1089">
        <f>-CF!AJ23</f>
        <v>1216</v>
      </c>
      <c r="AY166" s="1090">
        <f>-CF!AK23</f>
        <v>167</v>
      </c>
      <c r="AZ166" s="1090">
        <f>-CF!AL23</f>
        <v>173</v>
      </c>
      <c r="BA166" s="1090">
        <f>-CF!AM23</f>
        <v>161</v>
      </c>
      <c r="BB166" s="1090">
        <f>-CF!AN23</f>
        <v>325</v>
      </c>
      <c r="BC166" s="1089">
        <f>-CF!AO23</f>
        <v>826</v>
      </c>
      <c r="BD166" s="1090">
        <f>-CF!AP23</f>
        <v>147</v>
      </c>
      <c r="BE166" s="1090">
        <f>-CF!AQ23</f>
        <v>155</v>
      </c>
      <c r="BF166" s="1090">
        <f>-CF!AR23</f>
        <v>177</v>
      </c>
      <c r="BG166" s="1090">
        <f>-CF!AS23</f>
        <v>386</v>
      </c>
      <c r="BH166" s="1089">
        <f>-CF!AT23</f>
        <v>865</v>
      </c>
      <c r="BI166" s="1090">
        <f>-CF!AU23</f>
        <v>171</v>
      </c>
      <c r="BJ166" s="1090">
        <f>-CF!AV23</f>
        <v>200</v>
      </c>
      <c r="BK166" s="1090">
        <f>-CF!AW23</f>
        <v>199</v>
      </c>
      <c r="BL166" s="1090">
        <f>-CF!AX23</f>
        <v>359</v>
      </c>
      <c r="BM166" s="1089">
        <f>-CF!AY23</f>
        <v>929</v>
      </c>
      <c r="BN166" s="1090">
        <f>-CF!AZ23</f>
        <v>188</v>
      </c>
      <c r="BO166" s="1090">
        <f>-CF!BA23</f>
        <v>243</v>
      </c>
      <c r="BP166" s="1090">
        <f>-CF!BB23</f>
        <v>317</v>
      </c>
      <c r="BQ166" s="1090">
        <f>-CF!BC23</f>
        <v>641</v>
      </c>
      <c r="BR166" s="1089">
        <f>-CF!BD23</f>
        <v>1389</v>
      </c>
      <c r="BS166" s="1090">
        <f>-CF!BE23</f>
        <v>295</v>
      </c>
      <c r="BT166" s="1090">
        <f>-CF!BF23</f>
        <v>369</v>
      </c>
      <c r="BU166" s="1090">
        <f>-CF!BG23</f>
        <v>383</v>
      </c>
      <c r="BV166" s="1090">
        <f>-CF!BH23</f>
        <v>641</v>
      </c>
      <c r="BW166" s="1089">
        <f>-CF!BI23</f>
        <v>1688</v>
      </c>
      <c r="BX166" s="1090">
        <f>-CF!BJ23</f>
        <v>333</v>
      </c>
      <c r="BY166" s="1090">
        <f>-CF!BK23</f>
        <v>406</v>
      </c>
      <c r="BZ166" s="1090">
        <f>-CF!BL23</f>
        <v>415</v>
      </c>
      <c r="CA166" s="1090">
        <f>-CF!BM23</f>
        <v>557</v>
      </c>
      <c r="CB166" s="1089">
        <f>CB156+CB157+CB160+CB162+CB164+CB165</f>
        <v>1711</v>
      </c>
      <c r="CC166" s="1090">
        <f>-CF!BO23</f>
        <v>348</v>
      </c>
      <c r="CD166" s="1090">
        <f>-CF!BP23</f>
        <v>358</v>
      </c>
      <c r="CE166" s="1090">
        <f>-CF!BQ23</f>
        <v>390</v>
      </c>
      <c r="CF166" s="1090">
        <f>-CF!BR23</f>
        <v>608</v>
      </c>
      <c r="CG166" s="1089">
        <f>CG156+CG157+CG160+CG162+CG164+CG165</f>
        <v>1704</v>
      </c>
      <c r="CH166" s="1090">
        <f>-CF!BT23</f>
        <v>286</v>
      </c>
      <c r="CI166" s="1090">
        <f>-CF!BU23</f>
        <v>363</v>
      </c>
      <c r="CJ166" s="1090">
        <f>-CF!BV23</f>
        <v>394</v>
      </c>
      <c r="CK166" s="1090">
        <f>-CF!BW23</f>
        <v>656</v>
      </c>
      <c r="CL166" s="1089">
        <f t="shared" ref="CL166:CW166" si="176">CL156+CL157+CL160+CL162+CL164+CL165</f>
        <v>1699</v>
      </c>
      <c r="CM166" s="1090">
        <f>-CF!BY23</f>
        <v>325</v>
      </c>
      <c r="CN166" s="1090">
        <f>-CF!BZ23</f>
        <v>446</v>
      </c>
      <c r="CO166" s="1090">
        <f>-CF!CA23</f>
        <v>443</v>
      </c>
      <c r="CP166" s="1090">
        <f t="shared" si="176"/>
        <v>459.7893642859608</v>
      </c>
      <c r="CQ166" s="1089">
        <f t="shared" si="176"/>
        <v>1673.7893642859606</v>
      </c>
      <c r="CR166" s="1090">
        <f>CR156+CR157+CR160+CR162+CR164+CR165</f>
        <v>433.02519047101589</v>
      </c>
      <c r="CS166" s="1090">
        <f>CS156+CS157+CS160+CS162+CS164+CS165</f>
        <v>433.02519047101589</v>
      </c>
      <c r="CT166" s="1090">
        <f>CT156+CT157+CT160+CT162+CT164+CT165</f>
        <v>433.02519047101589</v>
      </c>
      <c r="CU166" s="1090">
        <f>CU156+CU157+CU160+CU162+CU164+CU165</f>
        <v>433.02519047101589</v>
      </c>
      <c r="CV166" s="1089">
        <f t="shared" si="176"/>
        <v>1732.1007618840636</v>
      </c>
      <c r="CW166" s="1089">
        <f t="shared" si="176"/>
        <v>1679.3050242212528</v>
      </c>
      <c r="CX166" s="1089">
        <f>CX156+CX157+CX160+CX162+CX164+CX165</f>
        <v>1665.6661025972023</v>
      </c>
      <c r="CY166" s="1089">
        <f>CY156+CY157+CY160+CY162+CY164+CY165</f>
        <v>1731.6349945085376</v>
      </c>
      <c r="CZ166" s="302"/>
    </row>
    <row r="167" spans="1:104" ht="12" customHeight="1" thickTop="1">
      <c r="A167" s="434"/>
      <c r="B167" s="434"/>
      <c r="C167" s="434"/>
      <c r="D167" s="463"/>
      <c r="E167" s="1088"/>
      <c r="F167" s="1088"/>
      <c r="G167" s="1088"/>
      <c r="H167" s="1088"/>
      <c r="I167" s="1088"/>
      <c r="J167" s="1086"/>
      <c r="K167" s="1088"/>
      <c r="L167" s="1088"/>
      <c r="M167" s="1088"/>
      <c r="N167" s="1088"/>
      <c r="O167" s="1086"/>
      <c r="P167" s="1088"/>
      <c r="Q167" s="1088"/>
      <c r="R167" s="1088"/>
      <c r="S167" s="1088"/>
      <c r="T167" s="1086"/>
      <c r="U167" s="1088"/>
      <c r="V167" s="1088"/>
      <c r="W167" s="1088"/>
      <c r="X167" s="1088"/>
      <c r="Y167" s="1086"/>
      <c r="Z167" s="1088"/>
      <c r="AA167" s="1088"/>
      <c r="AB167" s="1088"/>
      <c r="AC167" s="1088"/>
      <c r="AD167" s="1086"/>
      <c r="AE167" s="1088"/>
      <c r="AF167" s="1088"/>
      <c r="AG167" s="1088"/>
      <c r="AH167" s="1088"/>
      <c r="AI167" s="1086"/>
      <c r="AJ167" s="1088"/>
      <c r="AK167" s="1088"/>
      <c r="AL167" s="1088"/>
      <c r="AM167" s="1088"/>
      <c r="AN167" s="1086"/>
      <c r="AO167" s="1088"/>
      <c r="AP167" s="1088"/>
      <c r="AQ167" s="1088"/>
      <c r="AR167" s="1088"/>
      <c r="AS167" s="1086"/>
      <c r="AT167" s="1088"/>
      <c r="AU167" s="1088"/>
      <c r="AV167" s="1088"/>
      <c r="AW167" s="1088"/>
      <c r="AX167" s="1086"/>
      <c r="AY167" s="1088"/>
      <c r="AZ167" s="1088"/>
      <c r="BA167" s="1088"/>
      <c r="BB167" s="1088"/>
      <c r="BC167" s="1086"/>
      <c r="BD167" s="1088"/>
      <c r="BE167" s="1088"/>
      <c r="BF167" s="1088"/>
      <c r="BG167" s="1088"/>
      <c r="BH167" s="1086"/>
      <c r="BI167" s="1088"/>
      <c r="BJ167" s="1088"/>
      <c r="BK167" s="1088"/>
      <c r="BL167" s="1088"/>
      <c r="BM167" s="1086"/>
      <c r="BN167" s="1088"/>
      <c r="BO167" s="1088"/>
      <c r="BP167" s="1088"/>
      <c r="BQ167" s="1088"/>
      <c r="BR167" s="1086"/>
      <c r="BS167" s="1087"/>
      <c r="BT167" s="1087"/>
      <c r="BU167" s="1087"/>
      <c r="BV167" s="1087"/>
      <c r="BW167" s="1086"/>
      <c r="BX167" s="1087"/>
      <c r="BY167" s="1087"/>
      <c r="BZ167" s="1087"/>
      <c r="CA167" s="1087"/>
      <c r="CB167" s="1086"/>
      <c r="CC167" s="1087"/>
      <c r="CD167" s="1087"/>
      <c r="CE167" s="1087"/>
      <c r="CF167" s="1087"/>
      <c r="CG167" s="1086"/>
      <c r="CH167" s="1087"/>
      <c r="CI167" s="1087"/>
      <c r="CJ167" s="1087"/>
      <c r="CK167" s="1087"/>
      <c r="CL167" s="1086"/>
      <c r="CM167" s="1087"/>
      <c r="CN167" s="1087"/>
      <c r="CO167" s="1087"/>
      <c r="CP167" s="1087"/>
      <c r="CQ167" s="1086"/>
      <c r="CR167" s="1087"/>
      <c r="CS167" s="1087"/>
      <c r="CT167" s="1087"/>
      <c r="CU167" s="1087"/>
      <c r="CV167" s="1086"/>
      <c r="CW167" s="1086"/>
      <c r="CX167" s="1086"/>
      <c r="CY167" s="1086"/>
      <c r="CZ167" s="434"/>
    </row>
    <row r="168" spans="1:104" collapsed="1">
      <c r="A168" s="268"/>
      <c r="B168" s="268"/>
      <c r="C168" s="268" t="s">
        <v>250</v>
      </c>
      <c r="D168" s="463"/>
      <c r="E168" s="268"/>
      <c r="F168" s="1080"/>
      <c r="G168" s="1080"/>
      <c r="H168" s="1080"/>
      <c r="I168" s="1080"/>
      <c r="J168" s="448"/>
      <c r="K168" s="1079"/>
      <c r="L168" s="1079"/>
      <c r="M168" s="1079"/>
      <c r="N168" s="1079"/>
      <c r="O168" s="448"/>
      <c r="P168" s="449"/>
      <c r="Q168" s="449"/>
      <c r="R168" s="449"/>
      <c r="S168" s="449"/>
      <c r="T168" s="448"/>
      <c r="U168" s="449"/>
      <c r="V168" s="449"/>
      <c r="W168" s="449"/>
      <c r="X168" s="449"/>
      <c r="Y168" s="448"/>
      <c r="Z168" s="449"/>
      <c r="AA168" s="449"/>
      <c r="AB168" s="449"/>
      <c r="AC168" s="449"/>
      <c r="AD168" s="448"/>
      <c r="AE168" s="449"/>
      <c r="AF168" s="449"/>
      <c r="AG168" s="449"/>
      <c r="AH168" s="449"/>
      <c r="AI168" s="448"/>
      <c r="AJ168" s="449"/>
      <c r="AK168" s="449"/>
      <c r="AL168" s="449"/>
      <c r="AM168" s="449"/>
      <c r="AN168" s="448"/>
      <c r="AO168" s="449"/>
      <c r="AP168" s="449"/>
      <c r="AQ168" s="449"/>
      <c r="AR168" s="449"/>
      <c r="AS168" s="448"/>
      <c r="AT168" s="449"/>
      <c r="AU168" s="449"/>
      <c r="AV168" s="449"/>
      <c r="AW168" s="449"/>
      <c r="AX168" s="448"/>
      <c r="AY168" s="449"/>
      <c r="AZ168" s="449"/>
      <c r="BA168" s="449"/>
      <c r="BB168" s="449"/>
      <c r="BC168" s="448"/>
      <c r="BD168" s="449"/>
      <c r="BE168" s="449"/>
      <c r="BF168" s="449"/>
      <c r="BG168" s="449"/>
      <c r="BH168" s="448"/>
      <c r="BI168" s="449"/>
      <c r="BJ168" s="449"/>
      <c r="BK168" s="449"/>
      <c r="BL168" s="449"/>
      <c r="BM168" s="448"/>
      <c r="BN168" s="449">
        <f>-+BN117</f>
        <v>-111</v>
      </c>
      <c r="BO168" s="449">
        <f>-+BO117</f>
        <v>-93</v>
      </c>
      <c r="BP168" s="449">
        <f>-+BP117</f>
        <v>-128</v>
      </c>
      <c r="BQ168" s="449">
        <f>-+BQ117</f>
        <v>-258</v>
      </c>
      <c r="BR168" s="448">
        <f>SUM(BN168:BQ168)</f>
        <v>-590</v>
      </c>
      <c r="BS168" s="449">
        <f>-+BS117</f>
        <v>-52</v>
      </c>
      <c r="BT168" s="449">
        <f>-+BT117</f>
        <v>-190</v>
      </c>
      <c r="BU168" s="449">
        <f>-+BU117</f>
        <v>-103</v>
      </c>
      <c r="BV168" s="449">
        <f>-+BV117</f>
        <v>-136</v>
      </c>
      <c r="BW168" s="448">
        <f>SUM(BS168:BV168)</f>
        <v>-481</v>
      </c>
      <c r="BX168" s="449">
        <f t="shared" ref="BX168:CG168" si="177">-+BX117</f>
        <v>-125</v>
      </c>
      <c r="BY168" s="449">
        <f t="shared" si="177"/>
        <v>-55</v>
      </c>
      <c r="BZ168" s="449">
        <f t="shared" si="177"/>
        <v>-63</v>
      </c>
      <c r="CA168" s="449">
        <f t="shared" si="177"/>
        <v>-125</v>
      </c>
      <c r="CB168" s="1081">
        <f t="shared" si="177"/>
        <v>-368</v>
      </c>
      <c r="CC168" s="449">
        <f t="shared" si="177"/>
        <v>-93</v>
      </c>
      <c r="CD168" s="449">
        <f t="shared" si="177"/>
        <v>-39</v>
      </c>
      <c r="CE168" s="449">
        <f t="shared" si="177"/>
        <v>-73</v>
      </c>
      <c r="CF168" s="449">
        <f t="shared" si="177"/>
        <v>-191</v>
      </c>
      <c r="CG168" s="448">
        <f t="shared" si="177"/>
        <v>-396</v>
      </c>
      <c r="CH168" s="449"/>
      <c r="CI168" s="449"/>
      <c r="CJ168" s="449"/>
      <c r="CK168" s="449"/>
      <c r="CL168" s="448"/>
      <c r="CM168" s="449"/>
      <c r="CN168" s="449"/>
      <c r="CO168" s="449"/>
      <c r="CP168" s="449"/>
      <c r="CQ168" s="448"/>
      <c r="CR168" s="449"/>
      <c r="CS168" s="449"/>
      <c r="CT168" s="449"/>
      <c r="CU168" s="449"/>
      <c r="CV168" s="448"/>
      <c r="CW168" s="448"/>
      <c r="CX168" s="2233"/>
      <c r="CY168" s="2233"/>
      <c r="CZ168" s="268"/>
    </row>
    <row r="169" spans="1:104" collapsed="1">
      <c r="A169" s="268"/>
      <c r="B169" s="268"/>
      <c r="C169" s="268" t="s">
        <v>813</v>
      </c>
      <c r="D169" s="463"/>
      <c r="E169" s="268"/>
      <c r="F169" s="1080"/>
      <c r="G169" s="1080"/>
      <c r="H169" s="1080"/>
      <c r="I169" s="1080"/>
      <c r="J169" s="448"/>
      <c r="K169" s="1079"/>
      <c r="L169" s="1079"/>
      <c r="M169" s="1079"/>
      <c r="N169" s="1079"/>
      <c r="O169" s="448"/>
      <c r="P169" s="449"/>
      <c r="Q169" s="449"/>
      <c r="R169" s="449"/>
      <c r="S169" s="449"/>
      <c r="T169" s="448"/>
      <c r="U169" s="449"/>
      <c r="V169" s="449"/>
      <c r="W169" s="449"/>
      <c r="X169" s="449"/>
      <c r="Y169" s="448"/>
      <c r="Z169" s="449"/>
      <c r="AA169" s="449"/>
      <c r="AB169" s="449"/>
      <c r="AC169" s="449"/>
      <c r="AD169" s="448"/>
      <c r="AE169" s="449"/>
      <c r="AF169" s="449"/>
      <c r="AG169" s="449"/>
      <c r="AH169" s="449"/>
      <c r="AI169" s="448"/>
      <c r="AJ169" s="449"/>
      <c r="AK169" s="449"/>
      <c r="AL169" s="449"/>
      <c r="AM169" s="449"/>
      <c r="AN169" s="448"/>
      <c r="AO169" s="449"/>
      <c r="AP169" s="449"/>
      <c r="AQ169" s="449"/>
      <c r="AR169" s="449"/>
      <c r="AS169" s="448"/>
      <c r="AT169" s="449"/>
      <c r="AU169" s="449"/>
      <c r="AV169" s="449"/>
      <c r="AW169" s="449"/>
      <c r="AX169" s="448"/>
      <c r="AY169" s="449"/>
      <c r="AZ169" s="449"/>
      <c r="BA169" s="449"/>
      <c r="BB169" s="449"/>
      <c r="BC169" s="448"/>
      <c r="BD169" s="449"/>
      <c r="BE169" s="449"/>
      <c r="BF169" s="449"/>
      <c r="BG169" s="449"/>
      <c r="BH169" s="448"/>
      <c r="BI169" s="449"/>
      <c r="BJ169" s="449"/>
      <c r="BK169" s="449"/>
      <c r="BL169" s="449"/>
      <c r="BM169" s="448"/>
      <c r="BN169" s="449">
        <f>+BN130</f>
        <v>102</v>
      </c>
      <c r="BO169" s="449">
        <f>+BO130</f>
        <v>110</v>
      </c>
      <c r="BP169" s="449">
        <f>+BP130</f>
        <v>34</v>
      </c>
      <c r="BQ169" s="449">
        <f>+BQ130</f>
        <v>-65</v>
      </c>
      <c r="BR169" s="448">
        <f>SUM(BN169:BQ169)</f>
        <v>181</v>
      </c>
      <c r="BS169" s="449">
        <f>+BS130</f>
        <v>38</v>
      </c>
      <c r="BT169" s="449">
        <f>+BT130</f>
        <v>193</v>
      </c>
      <c r="BU169" s="449">
        <f>+BU130</f>
        <v>-25</v>
      </c>
      <c r="BV169" s="449">
        <f>+BV130</f>
        <v>17</v>
      </c>
      <c r="BW169" s="448">
        <f>SUM(BS169:BV169)</f>
        <v>223</v>
      </c>
      <c r="BX169" s="449">
        <f t="shared" ref="BX169:CF169" si="178">+BX130</f>
        <v>0</v>
      </c>
      <c r="BY169" s="449">
        <f t="shared" si="178"/>
        <v>-328</v>
      </c>
      <c r="BZ169" s="449">
        <f t="shared" si="178"/>
        <v>113</v>
      </c>
      <c r="CA169" s="449">
        <f t="shared" si="178"/>
        <v>0</v>
      </c>
      <c r="CB169" s="448">
        <f t="shared" si="178"/>
        <v>-215</v>
      </c>
      <c r="CC169" s="449">
        <f t="shared" si="178"/>
        <v>126</v>
      </c>
      <c r="CD169" s="449">
        <f t="shared" si="178"/>
        <v>-28</v>
      </c>
      <c r="CE169" s="449">
        <f t="shared" si="178"/>
        <v>0</v>
      </c>
      <c r="CF169" s="449">
        <f t="shared" si="178"/>
        <v>-1572</v>
      </c>
      <c r="CG169" s="448">
        <f>SUM(CC169:CF169)</f>
        <v>-1474</v>
      </c>
      <c r="CH169" s="449"/>
      <c r="CI169" s="449"/>
      <c r="CJ169" s="449"/>
      <c r="CK169" s="449"/>
      <c r="CL169" s="448"/>
      <c r="CM169" s="449"/>
      <c r="CN169" s="449"/>
      <c r="CO169" s="449"/>
      <c r="CP169" s="449"/>
      <c r="CQ169" s="448"/>
      <c r="CR169" s="449"/>
      <c r="CS169" s="449"/>
      <c r="CT169" s="449"/>
      <c r="CU169" s="449"/>
      <c r="CV169" s="448"/>
      <c r="CW169" s="448"/>
      <c r="CX169" s="2233"/>
      <c r="CY169" s="2233"/>
      <c r="CZ169" s="268"/>
    </row>
    <row r="170" spans="1:104" collapsed="1">
      <c r="A170" s="271"/>
      <c r="B170" s="271"/>
      <c r="C170" s="271" t="s">
        <v>812</v>
      </c>
      <c r="D170" s="1085"/>
      <c r="E170" s="271"/>
      <c r="F170" s="1084"/>
      <c r="G170" s="1084"/>
      <c r="H170" s="1084"/>
      <c r="I170" s="1084"/>
      <c r="J170" s="1081"/>
      <c r="K170" s="1083"/>
      <c r="L170" s="1083"/>
      <c r="M170" s="1083"/>
      <c r="N170" s="1083"/>
      <c r="O170" s="1081"/>
      <c r="P170" s="1082"/>
      <c r="Q170" s="1082"/>
      <c r="R170" s="1082"/>
      <c r="S170" s="1082"/>
      <c r="T170" s="1081"/>
      <c r="U170" s="1082"/>
      <c r="V170" s="1082"/>
      <c r="W170" s="1082"/>
      <c r="X170" s="1082"/>
      <c r="Y170" s="1081"/>
      <c r="Z170" s="1082"/>
      <c r="AA170" s="1082"/>
      <c r="AB170" s="1082"/>
      <c r="AC170" s="1082"/>
      <c r="AD170" s="1081"/>
      <c r="AE170" s="1082"/>
      <c r="AF170" s="1082"/>
      <c r="AG170" s="1082"/>
      <c r="AH170" s="1082"/>
      <c r="AI170" s="1081"/>
      <c r="AJ170" s="1082"/>
      <c r="AK170" s="1082"/>
      <c r="AL170" s="1082"/>
      <c r="AM170" s="1082"/>
      <c r="AN170" s="1081"/>
      <c r="AO170" s="1082"/>
      <c r="AP170" s="1082"/>
      <c r="AQ170" s="1082"/>
      <c r="AR170" s="1082"/>
      <c r="AS170" s="1081"/>
      <c r="AT170" s="1082"/>
      <c r="AU170" s="1082"/>
      <c r="AV170" s="1082"/>
      <c r="AW170" s="1082"/>
      <c r="AX170" s="1081"/>
      <c r="AY170" s="1082"/>
      <c r="AZ170" s="1082"/>
      <c r="BA170" s="1082"/>
      <c r="BB170" s="1082"/>
      <c r="BC170" s="1081"/>
      <c r="BD170" s="1082"/>
      <c r="BE170" s="1082"/>
      <c r="BF170" s="1082"/>
      <c r="BG170" s="1082"/>
      <c r="BH170" s="1081"/>
      <c r="BI170" s="1082"/>
      <c r="BJ170" s="1082"/>
      <c r="BK170" s="1082"/>
      <c r="BL170" s="1082"/>
      <c r="BM170" s="1081"/>
      <c r="BN170" s="1082">
        <f>+BN168+BN169</f>
        <v>-9</v>
      </c>
      <c r="BO170" s="1082">
        <f>+BO168+BO169</f>
        <v>17</v>
      </c>
      <c r="BP170" s="1082">
        <f>+BP168+BP169</f>
        <v>-94</v>
      </c>
      <c r="BQ170" s="1082">
        <f>+BQ168+BQ169</f>
        <v>-323</v>
      </c>
      <c r="BR170" s="1081">
        <f>SUM(BR168:BR169)</f>
        <v>-409</v>
      </c>
      <c r="BS170" s="1082">
        <f>+BS168+BS169</f>
        <v>-14</v>
      </c>
      <c r="BT170" s="1082">
        <f>+BT168+BT169</f>
        <v>3</v>
      </c>
      <c r="BU170" s="1082">
        <f>+BU168+BU169</f>
        <v>-128</v>
      </c>
      <c r="BV170" s="1082">
        <f>+BV168+BV169</f>
        <v>-119</v>
      </c>
      <c r="BW170" s="1081">
        <f>SUM(BW168:BW169)</f>
        <v>-258</v>
      </c>
      <c r="BX170" s="1082">
        <f t="shared" ref="BX170:CF170" si="179">+BX168+BX169</f>
        <v>-125</v>
      </c>
      <c r="BY170" s="1082">
        <f t="shared" si="179"/>
        <v>-383</v>
      </c>
      <c r="BZ170" s="1082">
        <f t="shared" si="179"/>
        <v>50</v>
      </c>
      <c r="CA170" s="1082">
        <f t="shared" si="179"/>
        <v>-125</v>
      </c>
      <c r="CB170" s="1081">
        <f t="shared" si="179"/>
        <v>-583</v>
      </c>
      <c r="CC170" s="1082">
        <f t="shared" si="179"/>
        <v>33</v>
      </c>
      <c r="CD170" s="1082">
        <f t="shared" si="179"/>
        <v>-67</v>
      </c>
      <c r="CE170" s="1082">
        <f t="shared" si="179"/>
        <v>-73</v>
      </c>
      <c r="CF170" s="1082">
        <f t="shared" si="179"/>
        <v>-1763</v>
      </c>
      <c r="CG170" s="448">
        <f>SUM(CC170:CF170)</f>
        <v>-1870</v>
      </c>
      <c r="CH170" s="1082"/>
      <c r="CI170" s="1082"/>
      <c r="CJ170" s="1082"/>
      <c r="CK170" s="1082"/>
      <c r="CL170" s="1081"/>
      <c r="CM170" s="1082"/>
      <c r="CN170" s="1082"/>
      <c r="CO170" s="1082"/>
      <c r="CP170" s="1082"/>
      <c r="CQ170" s="1081"/>
      <c r="CR170" s="1082"/>
      <c r="CS170" s="1082"/>
      <c r="CT170" s="1082"/>
      <c r="CU170" s="1082"/>
      <c r="CV170" s="1081"/>
      <c r="CW170" s="1081"/>
      <c r="CX170" s="1081"/>
      <c r="CY170" s="1081"/>
      <c r="CZ170" s="271"/>
    </row>
    <row r="171" spans="1:104" ht="3" customHeight="1" collapsed="1">
      <c r="A171" s="268"/>
      <c r="B171" s="268"/>
      <c r="C171" s="268"/>
      <c r="D171" s="463"/>
      <c r="E171" s="268"/>
      <c r="F171" s="1080"/>
      <c r="G171" s="1080"/>
      <c r="H171" s="1080"/>
      <c r="I171" s="1080"/>
      <c r="J171" s="448"/>
      <c r="K171" s="1079"/>
      <c r="L171" s="1079"/>
      <c r="M171" s="1079"/>
      <c r="N171" s="1079"/>
      <c r="O171" s="448"/>
      <c r="P171" s="449"/>
      <c r="Q171" s="449"/>
      <c r="R171" s="449"/>
      <c r="S171" s="449"/>
      <c r="T171" s="448"/>
      <c r="U171" s="449"/>
      <c r="V171" s="449"/>
      <c r="W171" s="449"/>
      <c r="X171" s="449"/>
      <c r="Y171" s="448"/>
      <c r="Z171" s="449"/>
      <c r="AA171" s="449"/>
      <c r="AB171" s="449"/>
      <c r="AC171" s="449"/>
      <c r="AD171" s="448"/>
      <c r="AE171" s="449"/>
      <c r="AF171" s="449"/>
      <c r="AG171" s="449"/>
      <c r="AH171" s="449"/>
      <c r="AI171" s="448"/>
      <c r="AJ171" s="449"/>
      <c r="AK171" s="449"/>
      <c r="AL171" s="449"/>
      <c r="AM171" s="449"/>
      <c r="AN171" s="448"/>
      <c r="AO171" s="449"/>
      <c r="AP171" s="449"/>
      <c r="AQ171" s="449"/>
      <c r="AR171" s="449"/>
      <c r="AS171" s="448"/>
      <c r="AT171" s="449"/>
      <c r="AU171" s="449"/>
      <c r="AV171" s="449"/>
      <c r="AW171" s="449"/>
      <c r="AX171" s="448"/>
      <c r="AY171" s="449"/>
      <c r="AZ171" s="449"/>
      <c r="BA171" s="449"/>
      <c r="BB171" s="449"/>
      <c r="BC171" s="448"/>
      <c r="BD171" s="449"/>
      <c r="BE171" s="449"/>
      <c r="BF171" s="449"/>
      <c r="BG171" s="449"/>
      <c r="BH171" s="448"/>
      <c r="BI171" s="449"/>
      <c r="BJ171" s="449"/>
      <c r="BK171" s="449"/>
      <c r="BL171" s="449"/>
      <c r="BM171" s="448"/>
      <c r="BN171" s="449"/>
      <c r="BO171" s="449"/>
      <c r="BP171" s="449"/>
      <c r="BQ171" s="449"/>
      <c r="BR171" s="448"/>
      <c r="BS171" s="449"/>
      <c r="BT171" s="449"/>
      <c r="BU171" s="449"/>
      <c r="BV171" s="449"/>
      <c r="BW171" s="448"/>
      <c r="BX171" s="449"/>
      <c r="BY171" s="449"/>
      <c r="BZ171" s="449"/>
      <c r="CA171" s="449"/>
      <c r="CB171" s="448"/>
      <c r="CC171" s="449"/>
      <c r="CD171" s="449"/>
      <c r="CE171" s="449"/>
      <c r="CF171" s="449"/>
      <c r="CG171" s="448"/>
      <c r="CH171" s="449"/>
      <c r="CI171" s="449"/>
      <c r="CJ171" s="449"/>
      <c r="CK171" s="449"/>
      <c r="CL171" s="448"/>
      <c r="CM171" s="449"/>
      <c r="CN171" s="449"/>
      <c r="CO171" s="449"/>
      <c r="CP171" s="449"/>
      <c r="CQ171" s="448"/>
      <c r="CR171" s="449"/>
      <c r="CS171" s="449"/>
      <c r="CT171" s="449"/>
      <c r="CU171" s="449"/>
      <c r="CV171" s="448"/>
      <c r="CW171" s="448"/>
      <c r="CX171" s="2233"/>
      <c r="CY171" s="2233"/>
      <c r="CZ171" s="268"/>
    </row>
    <row r="172" spans="1:104" collapsed="1">
      <c r="A172" s="268"/>
      <c r="B172" s="268"/>
      <c r="C172" s="268" t="s">
        <v>8</v>
      </c>
      <c r="D172" s="463"/>
      <c r="E172" s="268"/>
      <c r="F172" s="1080"/>
      <c r="G172" s="1080"/>
      <c r="H172" s="1080"/>
      <c r="I172" s="1080"/>
      <c r="J172" s="448"/>
      <c r="K172" s="1079"/>
      <c r="L172" s="1079"/>
      <c r="M172" s="1079"/>
      <c r="N172" s="1079"/>
      <c r="O172" s="448"/>
      <c r="P172" s="449"/>
      <c r="Q172" s="449"/>
      <c r="R172" s="449"/>
      <c r="S172" s="449"/>
      <c r="T172" s="448"/>
      <c r="U172" s="449"/>
      <c r="V172" s="449"/>
      <c r="W172" s="449"/>
      <c r="X172" s="449"/>
      <c r="Y172" s="448"/>
      <c r="Z172" s="449"/>
      <c r="AA172" s="449"/>
      <c r="AB172" s="449"/>
      <c r="AC172" s="449"/>
      <c r="AD172" s="448"/>
      <c r="AE172" s="449"/>
      <c r="AF172" s="449"/>
      <c r="AG172" s="449"/>
      <c r="AH172" s="449"/>
      <c r="AI172" s="448"/>
      <c r="AJ172" s="449"/>
      <c r="AK172" s="449"/>
      <c r="AL172" s="449"/>
      <c r="AM172" s="449"/>
      <c r="AN172" s="448"/>
      <c r="AO172" s="449"/>
      <c r="AP172" s="449"/>
      <c r="AQ172" s="449"/>
      <c r="AR172" s="449"/>
      <c r="AS172" s="448"/>
      <c r="AT172" s="449"/>
      <c r="AU172" s="449"/>
      <c r="AV172" s="449"/>
      <c r="AW172" s="449"/>
      <c r="AX172" s="448"/>
      <c r="AY172" s="449"/>
      <c r="AZ172" s="449"/>
      <c r="BA172" s="449"/>
      <c r="BB172" s="449"/>
      <c r="BC172" s="448"/>
      <c r="BD172" s="449"/>
      <c r="BE172" s="449"/>
      <c r="BF172" s="449"/>
      <c r="BG172" s="449"/>
      <c r="BH172" s="448"/>
      <c r="BI172" s="449"/>
      <c r="BJ172" s="449"/>
      <c r="BK172" s="449"/>
      <c r="BL172" s="449"/>
      <c r="BM172" s="448"/>
      <c r="BN172" s="449">
        <v>15</v>
      </c>
      <c r="BO172" s="449"/>
      <c r="BP172" s="449">
        <v>25</v>
      </c>
      <c r="BQ172" s="449"/>
      <c r="BR172" s="448">
        <f>SUM(BN172:BQ172)</f>
        <v>40</v>
      </c>
      <c r="BS172" s="449"/>
      <c r="BT172" s="449">
        <v>36</v>
      </c>
      <c r="BU172" s="449"/>
      <c r="BV172" s="449">
        <v>12</v>
      </c>
      <c r="BW172" s="448">
        <f>SUM(BS172:BV172)</f>
        <v>48</v>
      </c>
      <c r="BX172" s="449"/>
      <c r="BY172" s="449">
        <v>21</v>
      </c>
      <c r="BZ172" s="449">
        <v>23</v>
      </c>
      <c r="CA172" s="449">
        <v>23</v>
      </c>
      <c r="CB172" s="448">
        <f>SUM(BX172:CA172)</f>
        <v>67</v>
      </c>
      <c r="CC172" s="449"/>
      <c r="CD172" s="449"/>
      <c r="CE172" s="449"/>
      <c r="CF172" s="449"/>
      <c r="CG172" s="448"/>
      <c r="CH172" s="449"/>
      <c r="CI172" s="449"/>
      <c r="CJ172" s="449"/>
      <c r="CK172" s="449"/>
      <c r="CL172" s="448"/>
      <c r="CM172" s="449"/>
      <c r="CN172" s="449"/>
      <c r="CO172" s="449"/>
      <c r="CP172" s="449"/>
      <c r="CQ172" s="448"/>
      <c r="CR172" s="449"/>
      <c r="CS172" s="449"/>
      <c r="CT172" s="449"/>
      <c r="CU172" s="449"/>
      <c r="CV172" s="448"/>
      <c r="CW172" s="448"/>
      <c r="CX172" s="2233"/>
      <c r="CY172" s="2233"/>
      <c r="CZ172" s="268"/>
    </row>
    <row r="173" spans="1:104" collapsed="1">
      <c r="A173" s="268"/>
      <c r="B173" s="268"/>
      <c r="C173" s="268" t="s">
        <v>811</v>
      </c>
      <c r="D173" s="463"/>
      <c r="E173" s="268"/>
      <c r="F173" s="1080"/>
      <c r="G173" s="1080"/>
      <c r="H173" s="1080"/>
      <c r="I173" s="1080"/>
      <c r="J173" s="448"/>
      <c r="K173" s="1079"/>
      <c r="L173" s="1079"/>
      <c r="M173" s="1079"/>
      <c r="N173" s="1079"/>
      <c r="O173" s="448"/>
      <c r="P173" s="449"/>
      <c r="Q173" s="449"/>
      <c r="R173" s="449"/>
      <c r="S173" s="449"/>
      <c r="T173" s="448"/>
      <c r="U173" s="449"/>
      <c r="V173" s="449"/>
      <c r="W173" s="449"/>
      <c r="X173" s="449"/>
      <c r="Y173" s="448"/>
      <c r="Z173" s="449"/>
      <c r="AA173" s="449"/>
      <c r="AB173" s="449"/>
      <c r="AC173" s="449"/>
      <c r="AD173" s="448"/>
      <c r="AE173" s="449"/>
      <c r="AF173" s="449"/>
      <c r="AG173" s="449"/>
      <c r="AH173" s="449"/>
      <c r="AI173" s="448"/>
      <c r="AJ173" s="449"/>
      <c r="AK173" s="449"/>
      <c r="AL173" s="449"/>
      <c r="AM173" s="449"/>
      <c r="AN173" s="448"/>
      <c r="AO173" s="449"/>
      <c r="AP173" s="449"/>
      <c r="AQ173" s="449"/>
      <c r="AR173" s="449"/>
      <c r="AS173" s="448"/>
      <c r="AT173" s="449"/>
      <c r="AU173" s="449"/>
      <c r="AV173" s="449"/>
      <c r="AW173" s="449"/>
      <c r="AX173" s="448"/>
      <c r="AY173" s="449"/>
      <c r="AZ173" s="449"/>
      <c r="BA173" s="449"/>
      <c r="BB173" s="449"/>
      <c r="BC173" s="448"/>
      <c r="BD173" s="449"/>
      <c r="BE173" s="449"/>
      <c r="BF173" s="449"/>
      <c r="BG173" s="449"/>
      <c r="BH173" s="448"/>
      <c r="BI173" s="449"/>
      <c r="BJ173" s="449"/>
      <c r="BK173" s="449"/>
      <c r="BL173" s="449"/>
      <c r="BM173" s="448"/>
      <c r="BN173" s="449">
        <f>-4-BO173</f>
        <v>-23</v>
      </c>
      <c r="BO173" s="449">
        <v>19</v>
      </c>
      <c r="BP173" s="449">
        <v>34</v>
      </c>
      <c r="BQ173" s="449">
        <v>92</v>
      </c>
      <c r="BR173" s="448">
        <f>SUM(BN173:BQ173)</f>
        <v>122</v>
      </c>
      <c r="BS173" s="449">
        <v>16</v>
      </c>
      <c r="BT173" s="449">
        <v>-11</v>
      </c>
      <c r="BU173" s="449">
        <v>34</v>
      </c>
      <c r="BV173" s="449">
        <v>15</v>
      </c>
      <c r="BW173" s="448">
        <f>SUM(BS173:BV173)</f>
        <v>54</v>
      </c>
      <c r="BX173" s="449">
        <v>42</v>
      </c>
      <c r="BY173" s="449">
        <v>108</v>
      </c>
      <c r="BZ173" s="449">
        <v>5</v>
      </c>
      <c r="CA173" s="449">
        <v>5</v>
      </c>
      <c r="CB173" s="448">
        <f>SUM(BX173:CA173)</f>
        <v>160</v>
      </c>
      <c r="CC173" s="449">
        <v>30</v>
      </c>
      <c r="CD173" s="449">
        <v>23</v>
      </c>
      <c r="CE173" s="449">
        <f>-CE170*IS!CE66</f>
        <v>20.404154863078375</v>
      </c>
      <c r="CF173" s="449">
        <v>551</v>
      </c>
      <c r="CG173" s="448">
        <f>SUM(CC173:CF173)</f>
        <v>624.40415486307836</v>
      </c>
      <c r="CH173" s="449"/>
      <c r="CI173" s="449"/>
      <c r="CJ173" s="449"/>
      <c r="CK173" s="449"/>
      <c r="CL173" s="448"/>
      <c r="CM173" s="449"/>
      <c r="CN173" s="449"/>
      <c r="CO173" s="449"/>
      <c r="CP173" s="449"/>
      <c r="CQ173" s="448"/>
      <c r="CR173" s="449"/>
      <c r="CS173" s="449"/>
      <c r="CT173" s="449"/>
      <c r="CU173" s="449"/>
      <c r="CV173" s="448"/>
      <c r="CW173" s="448"/>
      <c r="CX173" s="2233"/>
      <c r="CY173" s="2233"/>
      <c r="CZ173" s="268"/>
    </row>
    <row r="174" spans="1:104" collapsed="1">
      <c r="A174" s="268"/>
      <c r="B174" s="268"/>
      <c r="C174" s="268" t="s">
        <v>810</v>
      </c>
      <c r="D174" s="463"/>
      <c r="E174" s="268"/>
      <c r="F174" s="1080"/>
      <c r="G174" s="1080"/>
      <c r="H174" s="1080"/>
      <c r="I174" s="1080"/>
      <c r="J174" s="448"/>
      <c r="K174" s="1079"/>
      <c r="L174" s="1079"/>
      <c r="M174" s="1079"/>
      <c r="N174" s="1079"/>
      <c r="O174" s="448"/>
      <c r="P174" s="449"/>
      <c r="Q174" s="449"/>
      <c r="R174" s="449"/>
      <c r="S174" s="449"/>
      <c r="T174" s="448"/>
      <c r="U174" s="449"/>
      <c r="V174" s="449"/>
      <c r="W174" s="449"/>
      <c r="X174" s="449"/>
      <c r="Y174" s="448"/>
      <c r="Z174" s="449"/>
      <c r="AA174" s="449"/>
      <c r="AB174" s="449"/>
      <c r="AC174" s="449"/>
      <c r="AD174" s="448"/>
      <c r="AE174" s="449"/>
      <c r="AF174" s="449"/>
      <c r="AG174" s="449"/>
      <c r="AH174" s="449"/>
      <c r="AI174" s="448"/>
      <c r="AJ174" s="449"/>
      <c r="AK174" s="449"/>
      <c r="AL174" s="449"/>
      <c r="AM174" s="449"/>
      <c r="AN174" s="448"/>
      <c r="AO174" s="449"/>
      <c r="AP174" s="449"/>
      <c r="AQ174" s="449"/>
      <c r="AR174" s="449"/>
      <c r="AS174" s="448"/>
      <c r="AT174" s="449"/>
      <c r="AU174" s="449"/>
      <c r="AV174" s="449"/>
      <c r="AW174" s="449"/>
      <c r="AX174" s="448"/>
      <c r="AY174" s="449"/>
      <c r="AZ174" s="449"/>
      <c r="BA174" s="449"/>
      <c r="BB174" s="449"/>
      <c r="BC174" s="448"/>
      <c r="BD174" s="449"/>
      <c r="BE174" s="449"/>
      <c r="BF174" s="449"/>
      <c r="BG174" s="449"/>
      <c r="BH174" s="448"/>
      <c r="BI174" s="449"/>
      <c r="BJ174" s="449"/>
      <c r="BK174" s="449"/>
      <c r="BL174" s="449"/>
      <c r="BM174" s="448"/>
      <c r="BN174" s="449">
        <v>203</v>
      </c>
      <c r="BO174" s="449"/>
      <c r="BP174" s="449">
        <v>34</v>
      </c>
      <c r="BQ174" s="449"/>
      <c r="BR174" s="448">
        <f>SUM(BN174:BQ174)</f>
        <v>237</v>
      </c>
      <c r="BS174" s="449">
        <v>95</v>
      </c>
      <c r="BT174" s="449">
        <v>22</v>
      </c>
      <c r="BU174" s="449">
        <v>24</v>
      </c>
      <c r="BV174" s="449">
        <v>13</v>
      </c>
      <c r="BW174" s="448">
        <f>SUM(BS174:BV174)</f>
        <v>154</v>
      </c>
      <c r="BX174" s="449"/>
      <c r="BY174" s="449">
        <v>253</v>
      </c>
      <c r="BZ174" s="449">
        <v>118</v>
      </c>
      <c r="CA174" s="449">
        <v>118</v>
      </c>
      <c r="CB174" s="448">
        <f>-SUM(CB170:CB173)+CB175</f>
        <v>489.2677147321873</v>
      </c>
      <c r="CC174" s="449">
        <v>0</v>
      </c>
      <c r="CD174" s="449"/>
      <c r="CE174" s="1078">
        <v>0</v>
      </c>
      <c r="CF174" s="1078">
        <v>-342</v>
      </c>
      <c r="CG174" s="448">
        <f>-SUM(CG170:CG173)+CG175</f>
        <v>-342</v>
      </c>
      <c r="CH174" s="1867"/>
      <c r="CI174" s="1867"/>
      <c r="CJ174" s="1867"/>
      <c r="CK174" s="1867"/>
      <c r="CL174" s="448"/>
      <c r="CM174" s="1867"/>
      <c r="CN174" s="1867"/>
      <c r="CO174" s="1867"/>
      <c r="CP174" s="1867"/>
      <c r="CQ174" s="448"/>
      <c r="CR174" s="1867"/>
      <c r="CS174" s="1867"/>
      <c r="CT174" s="1867"/>
      <c r="CU174" s="1867"/>
      <c r="CV174" s="448"/>
      <c r="CW174" s="448"/>
      <c r="CX174" s="2233"/>
      <c r="CY174" s="2233"/>
      <c r="CZ174" s="268"/>
    </row>
    <row r="175" spans="1:104" collapsed="1">
      <c r="A175" s="116"/>
      <c r="B175" s="116"/>
      <c r="C175" s="518" t="s">
        <v>809</v>
      </c>
      <c r="D175" s="1077"/>
      <c r="E175" s="518"/>
      <c r="F175" s="1076"/>
      <c r="G175" s="1076"/>
      <c r="H175" s="1076"/>
      <c r="I175" s="1076"/>
      <c r="J175" s="1073"/>
      <c r="K175" s="1075"/>
      <c r="L175" s="1075"/>
      <c r="M175" s="1075"/>
      <c r="N175" s="1075"/>
      <c r="O175" s="1073"/>
      <c r="P175" s="1074"/>
      <c r="Q175" s="1074"/>
      <c r="R175" s="1074"/>
      <c r="S175" s="1074"/>
      <c r="T175" s="1073"/>
      <c r="U175" s="1074"/>
      <c r="V175" s="1074"/>
      <c r="W175" s="1074"/>
      <c r="X175" s="1074"/>
      <c r="Y175" s="1073"/>
      <c r="Z175" s="1074"/>
      <c r="AA175" s="1074"/>
      <c r="AB175" s="1074"/>
      <c r="AC175" s="1074"/>
      <c r="AD175" s="1073"/>
      <c r="AE175" s="1074"/>
      <c r="AF175" s="1074"/>
      <c r="AG175" s="1074"/>
      <c r="AH175" s="1074"/>
      <c r="AI175" s="1073"/>
      <c r="AJ175" s="1074"/>
      <c r="AK175" s="1074"/>
      <c r="AL175" s="1074"/>
      <c r="AM175" s="1074"/>
      <c r="AN175" s="1073"/>
      <c r="AO175" s="1074"/>
      <c r="AP175" s="1074"/>
      <c r="AQ175" s="1074"/>
      <c r="AR175" s="1074"/>
      <c r="AS175" s="1073"/>
      <c r="AT175" s="1074"/>
      <c r="AU175" s="1074"/>
      <c r="AV175" s="1074"/>
      <c r="AW175" s="1074"/>
      <c r="AX175" s="1073"/>
      <c r="AY175" s="1074"/>
      <c r="AZ175" s="1074"/>
      <c r="BA175" s="1074"/>
      <c r="BB175" s="1074"/>
      <c r="BC175" s="1073"/>
      <c r="BD175" s="1074"/>
      <c r="BE175" s="1074"/>
      <c r="BF175" s="1074"/>
      <c r="BG175" s="1074"/>
      <c r="BH175" s="1073"/>
      <c r="BI175" s="1074"/>
      <c r="BJ175" s="1074"/>
      <c r="BK175" s="1074"/>
      <c r="BL175" s="1074"/>
      <c r="BM175" s="1073"/>
      <c r="BN175" s="1074">
        <f>+BN170+BN173+BN174+BN172</f>
        <v>186</v>
      </c>
      <c r="BO175" s="1074">
        <f>+BO170+BO173+BO174+BO172</f>
        <v>36</v>
      </c>
      <c r="BP175" s="1074">
        <f>+BP170+BP173+BP174+BP172</f>
        <v>-1</v>
      </c>
      <c r="BQ175" s="1074">
        <f>+BQ170+BQ173+BQ174+BQ172</f>
        <v>-231</v>
      </c>
      <c r="BR175" s="1073">
        <f>SUM(BN175:BQ175)</f>
        <v>-10</v>
      </c>
      <c r="BS175" s="1074">
        <f>+BS170+BS173+BS174+BS172</f>
        <v>97</v>
      </c>
      <c r="BT175" s="1074">
        <f>+BT170+BT173+BT174+BT172</f>
        <v>50</v>
      </c>
      <c r="BU175" s="1074">
        <f>+BU170+BU173+BU174+BU172</f>
        <v>-70</v>
      </c>
      <c r="BV175" s="1074">
        <f>+BV170+BV173+BV174+BV172</f>
        <v>-79</v>
      </c>
      <c r="BW175" s="1073">
        <f>SUM(BS175:BV175)</f>
        <v>-2</v>
      </c>
      <c r="BX175" s="1074">
        <f>+BX170+BX173+BX174+BX172</f>
        <v>-83</v>
      </c>
      <c r="BY175" s="1074">
        <f>+BY170+BY173+BY174+BY172</f>
        <v>-1</v>
      </c>
      <c r="BZ175" s="1074">
        <f>+BZ170+BZ173+BZ174+BZ172</f>
        <v>196</v>
      </c>
      <c r="CA175" s="1074">
        <f>+CA170+CA173+CA174+CA172</f>
        <v>21</v>
      </c>
      <c r="CB175" s="1073">
        <f>CB176*IS!CA99</f>
        <v>133.26771473218727</v>
      </c>
      <c r="CC175" s="1074">
        <f>+CC170+CC173+CC174+CC172</f>
        <v>63</v>
      </c>
      <c r="CD175" s="1074">
        <f>+CD170+CD173+CD174+CD172</f>
        <v>-44</v>
      </c>
      <c r="CE175" s="1074">
        <f>+CE170+CE173+CE174+CE172</f>
        <v>-52.595845136921625</v>
      </c>
      <c r="CF175" s="1074">
        <f>+CF170+CF173+CF174+CF172</f>
        <v>-1554</v>
      </c>
      <c r="CG175" s="1073">
        <f>SUM(CC175:CF175)</f>
        <v>-1587.5958451369215</v>
      </c>
      <c r="CH175" s="1074"/>
      <c r="CI175" s="1074"/>
      <c r="CJ175" s="1074"/>
      <c r="CK175" s="1074"/>
      <c r="CL175" s="1073"/>
      <c r="CM175" s="1074"/>
      <c r="CN175" s="1074"/>
      <c r="CO175" s="1074"/>
      <c r="CP175" s="1074"/>
      <c r="CQ175" s="1073"/>
      <c r="CR175" s="1074"/>
      <c r="CS175" s="1074"/>
      <c r="CT175" s="1074"/>
      <c r="CU175" s="1074"/>
      <c r="CV175" s="1073"/>
      <c r="CW175" s="1073"/>
      <c r="CX175" s="1073"/>
      <c r="CY175" s="1073"/>
      <c r="CZ175" s="116"/>
    </row>
    <row r="176" spans="1:104" ht="12" customHeight="1" thickBot="1">
      <c r="A176" s="1069"/>
      <c r="B176" s="1069"/>
      <c r="C176" s="1072" t="s">
        <v>808</v>
      </c>
      <c r="D176" s="1072"/>
      <c r="E176" s="1072"/>
      <c r="F176" s="1072"/>
      <c r="G176" s="1072"/>
      <c r="H176" s="1072"/>
      <c r="I176" s="1072"/>
      <c r="J176" s="1070"/>
      <c r="K176" s="1072"/>
      <c r="L176" s="1072"/>
      <c r="M176" s="1072"/>
      <c r="N176" s="1072"/>
      <c r="O176" s="1070"/>
      <c r="P176" s="1071"/>
      <c r="Q176" s="1071"/>
      <c r="R176" s="1071"/>
      <c r="S176" s="1071"/>
      <c r="T176" s="1070"/>
      <c r="U176" s="1071"/>
      <c r="V176" s="1071"/>
      <c r="W176" s="1071"/>
      <c r="X176" s="1071"/>
      <c r="Y176" s="1070"/>
      <c r="Z176" s="1071"/>
      <c r="AA176" s="1071"/>
      <c r="AB176" s="1071"/>
      <c r="AC176" s="1071"/>
      <c r="AD176" s="1070"/>
      <c r="AE176" s="1071"/>
      <c r="AF176" s="1071"/>
      <c r="AG176" s="1071"/>
      <c r="AH176" s="1071"/>
      <c r="AI176" s="1070"/>
      <c r="AJ176" s="1071"/>
      <c r="AK176" s="1071"/>
      <c r="AL176" s="1071"/>
      <c r="AM176" s="1071"/>
      <c r="AN176" s="1070"/>
      <c r="AO176" s="1071"/>
      <c r="AP176" s="1071"/>
      <c r="AQ176" s="1071"/>
      <c r="AR176" s="1071"/>
      <c r="AS176" s="1070"/>
      <c r="AT176" s="1071"/>
      <c r="AU176" s="1071"/>
      <c r="AV176" s="1071"/>
      <c r="AW176" s="1071"/>
      <c r="AX176" s="1070"/>
      <c r="AY176" s="1071"/>
      <c r="AZ176" s="1071"/>
      <c r="BA176" s="1071"/>
      <c r="BB176" s="1071"/>
      <c r="BC176" s="1070"/>
      <c r="BD176" s="1071"/>
      <c r="BE176" s="1071"/>
      <c r="BF176" s="1071"/>
      <c r="BG176" s="1071"/>
      <c r="BH176" s="1070"/>
      <c r="BI176" s="1071"/>
      <c r="BJ176" s="1071"/>
      <c r="BK176" s="1071"/>
      <c r="BL176" s="1071"/>
      <c r="BM176" s="1070"/>
      <c r="BN176" s="1071">
        <f>+BN175/IS!BN99</f>
        <v>0.20577497510786591</v>
      </c>
      <c r="BO176" s="1071">
        <f>+BO175/IS!BO99</f>
        <v>3.9787798408488069E-2</v>
      </c>
      <c r="BP176" s="1071">
        <f>+BP175/IS!BP99</f>
        <v>-1.1022927689594356E-3</v>
      </c>
      <c r="BQ176" s="1071">
        <f>+BQ175/IS!BQ99</f>
        <v>-0.25356750823271129</v>
      </c>
      <c r="BR176" s="1070">
        <f>SUM(BN176:BQ176)</f>
        <v>-9.1070274853167488E-3</v>
      </c>
      <c r="BS176" s="1071">
        <f>+BS175/IS!BS99</f>
        <v>0.1061269146608315</v>
      </c>
      <c r="BT176" s="1071">
        <f>+BT175/IS!BT99</f>
        <v>5.4704595185995623E-2</v>
      </c>
      <c r="BU176" s="1071">
        <f>+BU175/IS!BU99</f>
        <v>-7.6460950300382302E-2</v>
      </c>
      <c r="BV176" s="1071">
        <f>+BV175/IS!BV99</f>
        <v>-8.6150490730643403E-2</v>
      </c>
      <c r="BW176" s="1070">
        <f>SUM(BS176:BV176)</f>
        <v>-1.7799311841985854E-3</v>
      </c>
      <c r="BX176" s="1071">
        <f>+BX175/IS!BX99</f>
        <v>-9.0512540894220284E-2</v>
      </c>
      <c r="BY176" s="1071">
        <f>+BY175/IS!BY99</f>
        <v>-1.092896174863388E-3</v>
      </c>
      <c r="BZ176" s="1071">
        <f>+BZ175/IS!BZ99</f>
        <v>0.2153846153846154</v>
      </c>
      <c r="CA176" s="1071">
        <f>+CA175/IS!CA99</f>
        <v>2.3153252480705624E-2</v>
      </c>
      <c r="CB176" s="1070">
        <f>SUM(BX176:CA176)</f>
        <v>0.14693243079623736</v>
      </c>
      <c r="CC176" s="1071">
        <f>+CC175/IS!CC99</f>
        <v>6.9690265486725661E-2</v>
      </c>
      <c r="CD176" s="1071">
        <f>+CD175/IS!CD99</f>
        <v>-4.9493813273340834E-2</v>
      </c>
      <c r="CE176" s="1071">
        <f>+CE175/IS!CE99</f>
        <v>-5.9430333488047035E-2</v>
      </c>
      <c r="CF176" s="1071">
        <f>+CF175/IS!CF99</f>
        <v>-1.828235294117647</v>
      </c>
      <c r="CG176" s="1070">
        <f>+CG175/IS!CG99</f>
        <v>-1.7999952892708861</v>
      </c>
      <c r="CH176" s="1071"/>
      <c r="CI176" s="1071"/>
      <c r="CJ176" s="1071"/>
      <c r="CK176" s="1071"/>
      <c r="CL176" s="1070"/>
      <c r="CM176" s="1071"/>
      <c r="CN176" s="1071"/>
      <c r="CO176" s="1071"/>
      <c r="CP176" s="1071"/>
      <c r="CQ176" s="1070"/>
      <c r="CR176" s="1071"/>
      <c r="CS176" s="1071"/>
      <c r="CT176" s="1071"/>
      <c r="CU176" s="1071"/>
      <c r="CV176" s="1070"/>
      <c r="CW176" s="1070"/>
      <c r="CX176" s="1070"/>
      <c r="CY176" s="1070"/>
      <c r="CZ176" s="1069"/>
    </row>
    <row r="177" spans="1:104" ht="13.5" thickTop="1">
      <c r="A177" s="268"/>
      <c r="B177" s="268"/>
      <c r="C177" s="268" t="s">
        <v>807</v>
      </c>
      <c r="D177" s="268"/>
      <c r="E177" s="268"/>
      <c r="F177" s="268"/>
      <c r="G177" s="268"/>
      <c r="H177" s="268"/>
      <c r="I177" s="268"/>
      <c r="J177" s="271"/>
      <c r="K177" s="268"/>
      <c r="L177" s="268"/>
      <c r="M177" s="268"/>
      <c r="N177" s="268"/>
      <c r="O177" s="271"/>
      <c r="P177" s="268"/>
      <c r="Q177" s="268"/>
      <c r="R177" s="268"/>
      <c r="S177" s="268"/>
      <c r="T177" s="271"/>
      <c r="U177" s="268"/>
      <c r="V177" s="268"/>
      <c r="W177" s="268"/>
      <c r="X177" s="268"/>
      <c r="Y177" s="271"/>
      <c r="Z177" s="268"/>
      <c r="AA177" s="268"/>
      <c r="AB177" s="268"/>
      <c r="AC177" s="268"/>
      <c r="AD177" s="302"/>
      <c r="AE177" s="268"/>
      <c r="AF177" s="268"/>
      <c r="AG177" s="268"/>
      <c r="AH177" s="268"/>
      <c r="AI177" s="302"/>
      <c r="AJ177" s="268"/>
      <c r="AK177" s="268"/>
      <c r="AL177" s="268"/>
      <c r="AM177" s="268"/>
      <c r="AN177" s="302"/>
      <c r="AO177" s="302"/>
      <c r="AP177" s="302"/>
      <c r="AQ177" s="302"/>
      <c r="AR177" s="302"/>
      <c r="AS177" s="271"/>
      <c r="AT177" s="271"/>
      <c r="AU177" s="271"/>
      <c r="AV177" s="271"/>
      <c r="AW177" s="271"/>
      <c r="AX177" s="271"/>
      <c r="AY177" s="271"/>
      <c r="AZ177" s="271"/>
      <c r="BA177" s="271"/>
      <c r="BB177" s="271"/>
      <c r="BC177" s="271"/>
      <c r="BD177" s="271"/>
      <c r="BE177" s="271"/>
      <c r="BF177" s="271"/>
      <c r="BG177" s="271"/>
      <c r="BH177" s="271"/>
      <c r="BI177" s="302"/>
      <c r="BJ177" s="302"/>
      <c r="BK177" s="302"/>
      <c r="BL177" s="302"/>
      <c r="BM177" s="302"/>
      <c r="BN177" s="116"/>
      <c r="BO177" s="116"/>
      <c r="BP177" s="116"/>
      <c r="BQ177" s="116"/>
      <c r="BR177" s="116"/>
      <c r="BS177" s="1061">
        <f>+IS!BS83-'Divisional Summary'!BS176</f>
        <v>1.2833698030634573</v>
      </c>
      <c r="BT177" s="1061">
        <f>+IS!BT83-'Divisional Summary'!BT176</f>
        <v>1.6433260393873084</v>
      </c>
      <c r="BU177" s="1061">
        <f>+IS!BU83-'Divisional Summary'!BU176</f>
        <v>1.6220644456581104</v>
      </c>
      <c r="BV177" s="1061">
        <f>+IS!BV83-'Divisional Summary'!BV176</f>
        <v>1.6663031624863687</v>
      </c>
      <c r="BW177" s="116"/>
      <c r="BX177" s="1061">
        <f>+IS!BX83-'Divisional Summary'!BX176</f>
        <v>1.4133042529989095</v>
      </c>
      <c r="BY177" s="1061">
        <f>+IS!BY83-'Divisional Summary'!BY176</f>
        <v>1.8371584699453551</v>
      </c>
      <c r="BZ177" s="1061">
        <f>+IS!BZ83-'Divisional Summary'!BZ176</f>
        <v>1.8219780219780217</v>
      </c>
      <c r="CA177" s="1061">
        <f>+IS!CA83-'Divisional Summary'!CA176</f>
        <v>1.6008820286659315</v>
      </c>
      <c r="CB177" s="116"/>
      <c r="CC177" s="1061">
        <f>CC179-'Divisional Summary'!CC176</f>
        <v>1.4803097345132743</v>
      </c>
      <c r="CD177" s="1061">
        <f>CD179-'Divisional Summary'!CD176</f>
        <v>1.649493813273341</v>
      </c>
      <c r="CE177" s="1061">
        <f>CE179-'Divisional Summary'!CE176</f>
        <v>1.6694303334880471</v>
      </c>
      <c r="CF177" s="1061">
        <f>+IS!CF83-'Divisional Summary'!CF176</f>
        <v>3.355294117647059</v>
      </c>
      <c r="CG177" s="116"/>
      <c r="CH177" s="116"/>
      <c r="CI177" s="116"/>
      <c r="CJ177" s="116"/>
      <c r="CK177" s="116"/>
      <c r="CL177" s="116"/>
      <c r="CM177" s="116"/>
      <c r="CN177" s="116"/>
      <c r="CO177" s="116"/>
      <c r="CP177" s="116"/>
      <c r="CQ177" s="116"/>
      <c r="CR177" s="116"/>
      <c r="CS177" s="116"/>
      <c r="CT177" s="116"/>
      <c r="CU177" s="116"/>
      <c r="CV177" s="116"/>
      <c r="CW177" s="116"/>
      <c r="CX177" s="116"/>
      <c r="CY177" s="116"/>
      <c r="CZ177" s="268"/>
    </row>
    <row r="178" spans="1:104">
      <c r="A178" s="271"/>
      <c r="B178" s="271"/>
      <c r="C178" s="271" t="s">
        <v>806</v>
      </c>
      <c r="D178" s="271"/>
      <c r="E178" s="271"/>
      <c r="F178" s="271"/>
      <c r="G178" s="271"/>
      <c r="H178" s="271"/>
      <c r="I178" s="271"/>
      <c r="J178" s="271"/>
      <c r="K178" s="271"/>
      <c r="L178" s="271"/>
      <c r="M178" s="271"/>
      <c r="N178" s="271"/>
      <c r="O178" s="271"/>
      <c r="P178" s="271"/>
      <c r="Q178" s="271"/>
      <c r="R178" s="271"/>
      <c r="S178" s="271"/>
      <c r="T178" s="271"/>
      <c r="U178" s="271"/>
      <c r="V178" s="271"/>
      <c r="W178" s="271"/>
      <c r="X178" s="271"/>
      <c r="Y178" s="271"/>
      <c r="Z178" s="271"/>
      <c r="AA178" s="271"/>
      <c r="AB178" s="271"/>
      <c r="AC178" s="271"/>
      <c r="AD178" s="302"/>
      <c r="AE178" s="271"/>
      <c r="AF178" s="271"/>
      <c r="AG178" s="271"/>
      <c r="AH178" s="271"/>
      <c r="AI178" s="302"/>
      <c r="AJ178" s="271"/>
      <c r="AK178" s="271"/>
      <c r="AL178" s="271"/>
      <c r="AM178" s="271"/>
      <c r="AN178" s="302"/>
      <c r="AO178" s="302"/>
      <c r="AP178" s="302"/>
      <c r="AQ178" s="302"/>
      <c r="AR178" s="302"/>
      <c r="AS178" s="271"/>
      <c r="AT178" s="271"/>
      <c r="AU178" s="271"/>
      <c r="AV178" s="271"/>
      <c r="AW178" s="271"/>
      <c r="AX178" s="271"/>
      <c r="AY178" s="271"/>
      <c r="AZ178" s="271"/>
      <c r="BA178" s="271"/>
      <c r="BB178" s="271"/>
      <c r="BC178" s="271"/>
      <c r="BD178" s="271"/>
      <c r="BE178" s="271"/>
      <c r="BF178" s="271"/>
      <c r="BG178" s="271"/>
      <c r="BH178" s="271"/>
      <c r="BI178" s="302"/>
      <c r="BJ178" s="302"/>
      <c r="BK178" s="302"/>
      <c r="BL178" s="302"/>
      <c r="BM178" s="302"/>
      <c r="BN178" s="302"/>
      <c r="BO178" s="302"/>
      <c r="BP178" s="302"/>
      <c r="BQ178" s="302"/>
      <c r="BR178" s="302"/>
      <c r="BS178" s="1069"/>
      <c r="BT178" s="1069"/>
      <c r="BU178" s="1069"/>
      <c r="BV178" s="1069"/>
      <c r="BW178" s="302"/>
      <c r="BX178" s="1020">
        <f>+BX177/BS177-1</f>
        <v>0.10124474615601309</v>
      </c>
      <c r="BY178" s="1020">
        <f>+BY177/BT177-1</f>
        <v>0.11795129262986337</v>
      </c>
      <c r="BZ178" s="1020">
        <f>+BZ177/BU177-1</f>
        <v>0.12324638324638304</v>
      </c>
      <c r="CA178" s="1020">
        <f>+CA177/BV177-1</f>
        <v>-3.9261243267893264E-2</v>
      </c>
      <c r="CB178" s="302"/>
      <c r="CC178" s="1020">
        <f>+CC177/BX177-1</f>
        <v>4.7410514312247409E-2</v>
      </c>
      <c r="CD178" s="1020">
        <f>+CD177/BY177-1</f>
        <v>-0.10214941157340451</v>
      </c>
      <c r="CE178" s="1020">
        <f>+CE177/BZ177-1</f>
        <v>-8.3726415274955945E-2</v>
      </c>
      <c r="CF178" s="1020">
        <f>+CF177/CA177-1</f>
        <v>1.0959034192189274</v>
      </c>
      <c r="CG178" s="302"/>
      <c r="CH178" s="302"/>
      <c r="CI178" s="302"/>
      <c r="CJ178" s="302"/>
      <c r="CK178" s="302"/>
      <c r="CL178" s="302"/>
      <c r="CM178" s="302"/>
      <c r="CN178" s="302"/>
      <c r="CO178" s="302"/>
      <c r="CP178" s="302"/>
      <c r="CQ178" s="302"/>
      <c r="CR178" s="302"/>
      <c r="CS178" s="302"/>
      <c r="CT178" s="302"/>
      <c r="CU178" s="302"/>
      <c r="CV178" s="302"/>
      <c r="CW178" s="302"/>
      <c r="CX178" s="302"/>
      <c r="CY178" s="302"/>
      <c r="CZ178" s="271"/>
    </row>
    <row r="179" spans="1:104">
      <c r="A179" s="268"/>
      <c r="B179" s="268"/>
      <c r="C179" s="268"/>
      <c r="D179" s="268"/>
      <c r="E179" s="268"/>
      <c r="F179" s="268"/>
      <c r="G179" s="268"/>
      <c r="H179" s="268"/>
      <c r="I179" s="268"/>
      <c r="J179" s="271"/>
      <c r="K179" s="268"/>
      <c r="L179" s="268"/>
      <c r="M179" s="268"/>
      <c r="N179" s="268"/>
      <c r="O179" s="271"/>
      <c r="P179" s="268"/>
      <c r="Q179" s="268"/>
      <c r="R179" s="268"/>
      <c r="S179" s="268"/>
      <c r="T179" s="271"/>
      <c r="U179" s="268"/>
      <c r="V179" s="268"/>
      <c r="W179" s="268"/>
      <c r="X179" s="268"/>
      <c r="Y179" s="271"/>
      <c r="Z179" s="268"/>
      <c r="AA179" s="268"/>
      <c r="AB179" s="268"/>
      <c r="AC179" s="268"/>
      <c r="AD179" s="302"/>
      <c r="AE179" s="268"/>
      <c r="AF179" s="268"/>
      <c r="AG179" s="268"/>
      <c r="AH179" s="268"/>
      <c r="AI179" s="302"/>
      <c r="AJ179" s="268"/>
      <c r="AK179" s="268"/>
      <c r="AL179" s="268"/>
      <c r="AM179" s="268"/>
      <c r="AN179" s="302"/>
      <c r="AO179" s="302"/>
      <c r="AP179" s="302"/>
      <c r="AQ179" s="302"/>
      <c r="AR179" s="302"/>
      <c r="AS179" s="271"/>
      <c r="AT179" s="271"/>
      <c r="AU179" s="271"/>
      <c r="AV179" s="271"/>
      <c r="AW179" s="271"/>
      <c r="AX179" s="271"/>
      <c r="AY179" s="271"/>
      <c r="AZ179" s="271"/>
      <c r="BA179" s="271"/>
      <c r="BB179" s="271"/>
      <c r="BC179" s="271"/>
      <c r="BD179" s="271"/>
      <c r="BE179" s="271"/>
      <c r="BF179" s="271"/>
      <c r="BG179" s="271"/>
      <c r="BH179" s="271"/>
      <c r="BI179" s="302"/>
      <c r="BJ179" s="302"/>
      <c r="BK179" s="302"/>
      <c r="BL179" s="302"/>
      <c r="BM179" s="302"/>
      <c r="BN179" s="116"/>
      <c r="BO179" s="116"/>
      <c r="BP179" s="116"/>
      <c r="BQ179" s="116"/>
      <c r="BR179" s="116"/>
      <c r="BS179" s="1061"/>
      <c r="BT179" s="1061"/>
      <c r="BU179" s="1061"/>
      <c r="BV179" s="1061"/>
      <c r="BW179" s="116"/>
      <c r="BX179" s="1061"/>
      <c r="BY179" s="1061"/>
      <c r="BZ179" s="1061"/>
      <c r="CA179" s="1061"/>
      <c r="CB179" s="116"/>
      <c r="CC179" s="116">
        <v>1.55</v>
      </c>
      <c r="CD179" s="116">
        <v>1.6</v>
      </c>
      <c r="CE179" s="116">
        <v>1.61</v>
      </c>
      <c r="CF179" s="116"/>
      <c r="CG179" s="116"/>
      <c r="CH179" s="116"/>
      <c r="CI179" s="116"/>
      <c r="CJ179" s="116"/>
      <c r="CK179" s="116"/>
      <c r="CL179" s="116"/>
      <c r="CM179" s="116"/>
      <c r="CN179" s="116"/>
      <c r="CO179" s="116"/>
      <c r="CP179" s="116"/>
      <c r="CQ179" s="116"/>
      <c r="CR179" s="116"/>
      <c r="CS179" s="116"/>
      <c r="CT179" s="116"/>
      <c r="CU179" s="116"/>
      <c r="CV179" s="116"/>
      <c r="CW179" s="116"/>
      <c r="CX179" s="116"/>
      <c r="CY179" s="116"/>
      <c r="CZ179" s="268"/>
    </row>
    <row r="180" spans="1:104" s="1068" customFormat="1">
      <c r="A180" s="271"/>
      <c r="B180" s="271"/>
      <c r="C180" t="s">
        <v>805</v>
      </c>
      <c r="D180" s="271"/>
      <c r="E180" s="271"/>
      <c r="F180" s="271"/>
      <c r="G180" s="271"/>
      <c r="H180" s="271"/>
      <c r="I180" s="271"/>
      <c r="J180" s="271"/>
      <c r="K180" s="271"/>
      <c r="L180" s="271"/>
      <c r="M180" s="271"/>
      <c r="N180" s="271"/>
      <c r="O180" s="271"/>
      <c r="P180" s="271"/>
      <c r="Q180" s="271"/>
      <c r="R180" s="271"/>
      <c r="S180" s="271"/>
      <c r="T180" s="271"/>
      <c r="U180" s="271"/>
      <c r="V180" s="271"/>
      <c r="W180" s="271"/>
      <c r="X180" s="271"/>
      <c r="Y180" s="271"/>
      <c r="Z180" s="271"/>
      <c r="AA180" s="271"/>
      <c r="AB180" s="271"/>
      <c r="AC180" s="271"/>
      <c r="AD180" s="302"/>
      <c r="AE180" s="271"/>
      <c r="AF180" s="271"/>
      <c r="AG180" s="271"/>
      <c r="AH180" s="271"/>
      <c r="AI180" s="302"/>
      <c r="AJ180" s="271"/>
      <c r="AK180" s="271"/>
      <c r="AL180" s="271"/>
      <c r="AM180" s="271"/>
      <c r="AN180" s="302"/>
      <c r="AO180" s="302"/>
      <c r="AP180" s="302"/>
      <c r="AQ180" s="302"/>
      <c r="AR180" s="302"/>
      <c r="AS180" s="271"/>
      <c r="AT180" s="271"/>
      <c r="AU180" s="271"/>
      <c r="AV180" s="271"/>
      <c r="AW180" s="271"/>
      <c r="AX180" s="271"/>
      <c r="AY180" s="271"/>
      <c r="AZ180" s="271"/>
      <c r="BA180" s="271"/>
      <c r="BB180" s="271"/>
      <c r="BC180" s="271"/>
      <c r="BD180" s="271"/>
      <c r="BE180" s="271"/>
      <c r="BF180" s="271"/>
      <c r="BG180" s="271"/>
      <c r="BH180" s="271"/>
      <c r="BI180" s="302"/>
      <c r="BJ180" s="302"/>
      <c r="BK180" s="302"/>
      <c r="BL180" s="302"/>
      <c r="BM180" s="302"/>
      <c r="BN180" s="302"/>
      <c r="BO180" s="302"/>
      <c r="BP180" s="302"/>
      <c r="BQ180" s="302"/>
      <c r="BR180" s="302"/>
      <c r="BS180" s="1069"/>
      <c r="BT180" s="1069"/>
      <c r="BU180" s="1069"/>
      <c r="BV180" s="1069"/>
      <c r="BW180" s="302"/>
      <c r="BX180" s="1069"/>
      <c r="BY180" s="1069"/>
      <c r="BZ180" s="1069"/>
      <c r="CA180" s="1069"/>
      <c r="CB180" s="302"/>
      <c r="CC180" s="302"/>
      <c r="CD180" s="302"/>
      <c r="CE180" s="302"/>
      <c r="CF180" s="302"/>
      <c r="CG180" s="302"/>
      <c r="CH180" s="302"/>
      <c r="CI180" s="302"/>
      <c r="CJ180" s="302"/>
      <c r="CK180" s="302"/>
      <c r="CL180" s="302"/>
      <c r="CM180" s="302"/>
      <c r="CN180" s="302"/>
      <c r="CO180" s="302"/>
      <c r="CP180" s="302"/>
      <c r="CQ180" s="2307">
        <f>CQ181-CL181</f>
        <v>24.177437793858189</v>
      </c>
      <c r="CR180" s="302"/>
      <c r="CS180" s="302"/>
      <c r="CT180" s="302"/>
      <c r="CU180" s="302"/>
      <c r="CV180" s="302"/>
      <c r="CW180" s="302"/>
      <c r="CX180" s="302"/>
      <c r="CY180" s="302"/>
      <c r="CZ180" s="271"/>
    </row>
    <row r="181" spans="1:104">
      <c r="A181" s="268"/>
      <c r="B181" s="268"/>
      <c r="C181" s="268" t="s">
        <v>266</v>
      </c>
      <c r="D181" s="268"/>
      <c r="E181" s="268"/>
      <c r="F181" s="268"/>
      <c r="G181" s="268"/>
      <c r="H181" s="268"/>
      <c r="I181" s="268"/>
      <c r="J181" s="271"/>
      <c r="K181" s="268"/>
      <c r="L181" s="268"/>
      <c r="M181" s="268"/>
      <c r="N181" s="268"/>
      <c r="O181" s="1062">
        <f t="shared" ref="O181:AT181" si="180">O38</f>
        <v>1254</v>
      </c>
      <c r="P181" s="1062">
        <f t="shared" si="180"/>
        <v>338</v>
      </c>
      <c r="Q181" s="1062">
        <f t="shared" si="180"/>
        <v>305</v>
      </c>
      <c r="R181" s="1062">
        <f t="shared" si="180"/>
        <v>270</v>
      </c>
      <c r="S181" s="1062">
        <f t="shared" si="180"/>
        <v>278</v>
      </c>
      <c r="T181" s="1062">
        <f t="shared" si="180"/>
        <v>1191</v>
      </c>
      <c r="U181" s="1062">
        <f t="shared" si="180"/>
        <v>235</v>
      </c>
      <c r="V181" s="1062">
        <f t="shared" si="180"/>
        <v>281</v>
      </c>
      <c r="W181" s="1062">
        <f t="shared" si="180"/>
        <v>260</v>
      </c>
      <c r="X181" s="1062">
        <f t="shared" si="180"/>
        <v>251</v>
      </c>
      <c r="Y181" s="1062">
        <f t="shared" si="180"/>
        <v>1027</v>
      </c>
      <c r="Z181" s="1062">
        <f t="shared" si="180"/>
        <v>311</v>
      </c>
      <c r="AA181" s="1062">
        <f t="shared" si="180"/>
        <v>315</v>
      </c>
      <c r="AB181" s="1062">
        <f t="shared" si="180"/>
        <v>299</v>
      </c>
      <c r="AC181" s="1062">
        <f t="shared" si="180"/>
        <v>331</v>
      </c>
      <c r="AD181" s="1062">
        <f t="shared" si="180"/>
        <v>1256</v>
      </c>
      <c r="AE181" s="1062">
        <f t="shared" si="180"/>
        <v>291</v>
      </c>
      <c r="AF181" s="1062">
        <f t="shared" si="180"/>
        <v>318</v>
      </c>
      <c r="AG181" s="1062">
        <f t="shared" si="180"/>
        <v>335</v>
      </c>
      <c r="AH181" s="1062">
        <f t="shared" si="180"/>
        <v>423</v>
      </c>
      <c r="AI181" s="1062">
        <f t="shared" si="180"/>
        <v>1367</v>
      </c>
      <c r="AJ181" s="1062">
        <f t="shared" si="180"/>
        <v>369</v>
      </c>
      <c r="AK181" s="1062">
        <f t="shared" si="180"/>
        <v>370</v>
      </c>
      <c r="AL181" s="1062">
        <f t="shared" si="180"/>
        <v>384</v>
      </c>
      <c r="AM181" s="1062">
        <f t="shared" si="180"/>
        <v>406</v>
      </c>
      <c r="AN181" s="1062">
        <f t="shared" si="180"/>
        <v>1529</v>
      </c>
      <c r="AO181" s="1062">
        <f t="shared" si="180"/>
        <v>382</v>
      </c>
      <c r="AP181" s="1062">
        <f t="shared" si="180"/>
        <v>416</v>
      </c>
      <c r="AQ181" s="1062">
        <f t="shared" si="180"/>
        <v>399</v>
      </c>
      <c r="AR181" s="1062">
        <f t="shared" si="180"/>
        <v>481</v>
      </c>
      <c r="AS181" s="1062">
        <f t="shared" si="180"/>
        <v>1678</v>
      </c>
      <c r="AT181" s="1062">
        <f t="shared" si="180"/>
        <v>411</v>
      </c>
      <c r="AU181" s="1062">
        <f t="shared" ref="AU181:BZ181" si="181">AU38</f>
        <v>434</v>
      </c>
      <c r="AV181" s="1062">
        <f t="shared" si="181"/>
        <v>436</v>
      </c>
      <c r="AW181" s="1062">
        <f t="shared" si="181"/>
        <v>490</v>
      </c>
      <c r="AX181" s="1062">
        <f t="shared" si="181"/>
        <v>1771</v>
      </c>
      <c r="AY181" s="1062">
        <f t="shared" si="181"/>
        <v>409</v>
      </c>
      <c r="AZ181" s="1062">
        <f t="shared" si="181"/>
        <v>384</v>
      </c>
      <c r="BA181" s="1062">
        <f t="shared" si="181"/>
        <v>344</v>
      </c>
      <c r="BB181" s="1062">
        <f t="shared" si="181"/>
        <v>421</v>
      </c>
      <c r="BC181" s="1062">
        <f t="shared" si="181"/>
        <v>1558</v>
      </c>
      <c r="BD181" s="1062">
        <f t="shared" si="181"/>
        <v>397</v>
      </c>
      <c r="BE181" s="1062">
        <f t="shared" si="181"/>
        <v>459</v>
      </c>
      <c r="BF181" s="1062">
        <f t="shared" si="181"/>
        <v>433</v>
      </c>
      <c r="BG181" s="1062">
        <f t="shared" si="181"/>
        <v>457</v>
      </c>
      <c r="BH181" s="1062">
        <f t="shared" si="181"/>
        <v>1746</v>
      </c>
      <c r="BI181" s="1062">
        <f t="shared" si="181"/>
        <v>468</v>
      </c>
      <c r="BJ181" s="1062">
        <f t="shared" si="181"/>
        <v>494</v>
      </c>
      <c r="BK181" s="1062">
        <f t="shared" si="181"/>
        <v>465</v>
      </c>
      <c r="BL181" s="1062">
        <f t="shared" si="181"/>
        <v>552</v>
      </c>
      <c r="BM181" s="1062">
        <f t="shared" si="181"/>
        <v>1979</v>
      </c>
      <c r="BN181" s="1062">
        <f t="shared" si="181"/>
        <v>544</v>
      </c>
      <c r="BO181" s="1062">
        <f t="shared" si="181"/>
        <v>525</v>
      </c>
      <c r="BP181" s="1062">
        <f t="shared" si="181"/>
        <v>590</v>
      </c>
      <c r="BQ181" s="1062">
        <f t="shared" si="181"/>
        <v>712</v>
      </c>
      <c r="BR181" s="1062">
        <f t="shared" si="181"/>
        <v>2371</v>
      </c>
      <c r="BS181" s="1062">
        <f t="shared" si="181"/>
        <v>610</v>
      </c>
      <c r="BT181" s="1062">
        <f t="shared" si="181"/>
        <v>631</v>
      </c>
      <c r="BU181" s="1062">
        <f t="shared" si="181"/>
        <v>630</v>
      </c>
      <c r="BV181" s="1062">
        <f t="shared" si="181"/>
        <v>658</v>
      </c>
      <c r="BW181" s="1062">
        <f t="shared" si="181"/>
        <v>2529</v>
      </c>
      <c r="BX181" s="1062">
        <f t="shared" si="181"/>
        <v>624</v>
      </c>
      <c r="BY181" s="1062">
        <f t="shared" si="181"/>
        <v>666</v>
      </c>
      <c r="BZ181" s="1062">
        <f t="shared" si="181"/>
        <v>677</v>
      </c>
      <c r="CA181" s="1062">
        <f t="shared" ref="CA181:CU181" si="182">CA38</f>
        <v>668</v>
      </c>
      <c r="CB181" s="1062">
        <f t="shared" si="182"/>
        <v>2635</v>
      </c>
      <c r="CC181" s="1062">
        <f t="shared" si="182"/>
        <v>564</v>
      </c>
      <c r="CD181" s="1062">
        <f t="shared" si="182"/>
        <v>558</v>
      </c>
      <c r="CE181" s="1062">
        <f t="shared" si="182"/>
        <v>546</v>
      </c>
      <c r="CF181" s="1062">
        <f t="shared" si="182"/>
        <v>611</v>
      </c>
      <c r="CG181" s="1062">
        <f t="shared" si="182"/>
        <v>2279</v>
      </c>
      <c r="CH181" s="1062">
        <f t="shared" si="182"/>
        <v>541</v>
      </c>
      <c r="CI181" s="1062">
        <f t="shared" si="182"/>
        <v>588</v>
      </c>
      <c r="CJ181" s="1062">
        <f t="shared" si="182"/>
        <v>582</v>
      </c>
      <c r="CK181" s="1062">
        <f t="shared" si="182"/>
        <v>626</v>
      </c>
      <c r="CL181" s="1062">
        <f t="shared" si="182"/>
        <v>2337</v>
      </c>
      <c r="CM181" s="1062">
        <f t="shared" ref="CM181:CP182" si="183">CM38</f>
        <v>577</v>
      </c>
      <c r="CN181" s="1062">
        <f t="shared" ref="CN181" si="184">CN38</f>
        <v>609</v>
      </c>
      <c r="CO181" s="1062">
        <f t="shared" si="183"/>
        <v>582</v>
      </c>
      <c r="CP181" s="1062">
        <f t="shared" si="183"/>
        <v>593.17743779385819</v>
      </c>
      <c r="CQ181" s="1062">
        <f t="shared" si="182"/>
        <v>2361.1774377938582</v>
      </c>
      <c r="CR181" s="1062">
        <f t="shared" si="182"/>
        <v>575.93047457961802</v>
      </c>
      <c r="CS181" s="1062">
        <f t="shared" si="182"/>
        <v>627.45534619961722</v>
      </c>
      <c r="CT181" s="1062">
        <f t="shared" si="182"/>
        <v>586.83175587165988</v>
      </c>
      <c r="CU181" s="1062">
        <f t="shared" si="182"/>
        <v>594.35449641866956</v>
      </c>
      <c r="CV181" s="1062">
        <f>CV38</f>
        <v>2384.5720730695648</v>
      </c>
      <c r="CW181" s="1062">
        <f>CW38</f>
        <v>2224.8025928087827</v>
      </c>
      <c r="CX181" s="1062">
        <f>CX38</f>
        <v>2047.0933454421984</v>
      </c>
      <c r="CY181" s="1062">
        <f>CY38</f>
        <v>2120.8214840638429</v>
      </c>
      <c r="CZ181" s="268"/>
    </row>
    <row r="182" spans="1:104" s="1064" customFormat="1">
      <c r="A182" s="1066"/>
      <c r="B182" s="1066"/>
      <c r="C182" s="1066" t="s">
        <v>353</v>
      </c>
      <c r="D182" s="1066"/>
      <c r="E182" s="1066"/>
      <c r="F182" s="1066"/>
      <c r="G182" s="1066"/>
      <c r="H182" s="1066"/>
      <c r="I182" s="1066"/>
      <c r="J182" s="1067"/>
      <c r="K182" s="1066"/>
      <c r="L182" s="1066"/>
      <c r="M182" s="1066"/>
      <c r="N182" s="1066"/>
      <c r="O182" s="1064">
        <f t="shared" ref="O182:AT182" si="185">O39</f>
        <v>4.4951070007527689E-2</v>
      </c>
      <c r="P182" s="1064">
        <f t="shared" si="185"/>
        <v>5.3027925949168497E-2</v>
      </c>
      <c r="Q182" s="1064">
        <f t="shared" si="185"/>
        <v>4.1643910431458223E-2</v>
      </c>
      <c r="R182" s="1064">
        <f t="shared" si="185"/>
        <v>3.6991368680641186E-2</v>
      </c>
      <c r="S182" s="1064">
        <f t="shared" si="185"/>
        <v>3.8530838530838531E-2</v>
      </c>
      <c r="T182" s="1064">
        <f t="shared" si="185"/>
        <v>4.2216078264568267E-2</v>
      </c>
      <c r="U182" s="1064">
        <f t="shared" si="185"/>
        <v>3.5064159952253059E-2</v>
      </c>
      <c r="V182" s="1064">
        <f t="shared" si="185"/>
        <v>3.6071887034659821E-2</v>
      </c>
      <c r="W182" s="1064">
        <f t="shared" si="185"/>
        <v>3.2687955745536838E-2</v>
      </c>
      <c r="X182" s="1064">
        <f t="shared" si="185"/>
        <v>2.9226828132277595E-2</v>
      </c>
      <c r="Y182" s="1064">
        <f t="shared" si="185"/>
        <v>3.3092736998131082E-2</v>
      </c>
      <c r="Z182" s="1064">
        <f t="shared" si="185"/>
        <v>3.5970390932222991E-2</v>
      </c>
      <c r="AA182" s="1064">
        <f t="shared" si="185"/>
        <v>3.2737476616088133E-2</v>
      </c>
      <c r="AB182" s="1064">
        <f t="shared" si="185"/>
        <v>3.201627583253025E-2</v>
      </c>
      <c r="AC182" s="1064">
        <f t="shared" si="185"/>
        <v>3.3645049806871316E-2</v>
      </c>
      <c r="AD182" s="1065">
        <f t="shared" si="185"/>
        <v>3.354252904259581E-2</v>
      </c>
      <c r="AE182" s="1065">
        <f t="shared" si="185"/>
        <v>3.0934410545338579E-2</v>
      </c>
      <c r="AF182" s="1065">
        <f t="shared" si="185"/>
        <v>2.851506456241033E-2</v>
      </c>
      <c r="AG182" s="1065">
        <f t="shared" si="185"/>
        <v>3.0719853278312701E-2</v>
      </c>
      <c r="AH182" s="1065">
        <f t="shared" si="185"/>
        <v>3.7563271467898056E-2</v>
      </c>
      <c r="AI182" s="1065">
        <f t="shared" si="185"/>
        <v>3.1995318899941484E-2</v>
      </c>
      <c r="AJ182" s="1065">
        <f t="shared" si="185"/>
        <v>3.4762129062647196E-2</v>
      </c>
      <c r="AK182" s="1065">
        <f t="shared" si="185"/>
        <v>3.0169602087410305E-2</v>
      </c>
      <c r="AL182" s="1065">
        <f t="shared" si="185"/>
        <v>3.1571158431308068E-2</v>
      </c>
      <c r="AM182" s="1065">
        <f t="shared" si="185"/>
        <v>3.1750997106436224E-2</v>
      </c>
      <c r="AN182" s="1065">
        <f t="shared" si="185"/>
        <v>3.1968052854962473E-2</v>
      </c>
      <c r="AO182" s="1065">
        <f t="shared" si="185"/>
        <v>3.1112559048705E-2</v>
      </c>
      <c r="AP182" s="1065">
        <f t="shared" si="185"/>
        <v>2.9919447640966629E-2</v>
      </c>
      <c r="AQ182" s="1065">
        <f t="shared" si="185"/>
        <v>2.8781648993724301E-2</v>
      </c>
      <c r="AR182" s="1065">
        <f t="shared" si="185"/>
        <v>3.2689955144760093E-2</v>
      </c>
      <c r="AS182" s="1065">
        <f t="shared" si="185"/>
        <v>3.0643364561076719E-2</v>
      </c>
      <c r="AT182" s="1065">
        <f t="shared" si="185"/>
        <v>2.944547929502794E-2</v>
      </c>
      <c r="AU182" s="1065">
        <f t="shared" ref="AU182:BZ182" si="186">AU39</f>
        <v>2.7220270948319115E-2</v>
      </c>
      <c r="AV182" s="1065">
        <f t="shared" si="186"/>
        <v>2.8902883659264168E-2</v>
      </c>
      <c r="AW182" s="1065">
        <f t="shared" si="186"/>
        <v>3.3175355450236969E-2</v>
      </c>
      <c r="AX182" s="1065">
        <f t="shared" si="186"/>
        <v>2.9636695282561038E-2</v>
      </c>
      <c r="AY182" s="1065">
        <f t="shared" si="186"/>
        <v>3.3527338306418561E-2</v>
      </c>
      <c r="AZ182" s="1065">
        <f t="shared" si="186"/>
        <v>2.9402756508422664E-2</v>
      </c>
      <c r="BA182" s="1065">
        <f t="shared" si="186"/>
        <v>2.608629711079093E-2</v>
      </c>
      <c r="BB182" s="1065">
        <f t="shared" si="186"/>
        <v>3.0116603476643536E-2</v>
      </c>
      <c r="BC182" s="1065">
        <f t="shared" si="186"/>
        <v>2.9718645684310919E-2</v>
      </c>
      <c r="BD182" s="1065">
        <f t="shared" si="186"/>
        <v>3.2973421926910301E-2</v>
      </c>
      <c r="BE182" s="1065">
        <f t="shared" si="186"/>
        <v>3.3256049847848135E-2</v>
      </c>
      <c r="BF182" s="1065">
        <f t="shared" si="186"/>
        <v>3.1791483113069015E-2</v>
      </c>
      <c r="BG182" s="1065">
        <f t="shared" si="186"/>
        <v>3.0745425188374597E-2</v>
      </c>
      <c r="BH182" s="1065">
        <f t="shared" si="186"/>
        <v>3.2139307145749731E-2</v>
      </c>
      <c r="BI182" s="1064">
        <f t="shared" si="186"/>
        <v>3.6928903969068096E-2</v>
      </c>
      <c r="BJ182" s="1064">
        <f t="shared" si="186"/>
        <v>3.4141958670260555E-2</v>
      </c>
      <c r="BK182" s="1064">
        <f t="shared" si="186"/>
        <v>3.2665964172813484E-2</v>
      </c>
      <c r="BL182" s="1064">
        <f t="shared" si="186"/>
        <v>3.8394658134520414E-2</v>
      </c>
      <c r="BM182" s="1064">
        <f t="shared" si="186"/>
        <v>3.5495211105929618E-2</v>
      </c>
      <c r="BN182" s="1064">
        <f t="shared" si="186"/>
        <v>4.3814432989690719E-2</v>
      </c>
      <c r="BO182" s="1064">
        <f t="shared" si="186"/>
        <v>3.802419062794235E-2</v>
      </c>
      <c r="BP182" s="1064">
        <f t="shared" si="186"/>
        <v>3.9223507512298895E-2</v>
      </c>
      <c r="BQ182" s="1064">
        <f t="shared" si="186"/>
        <v>4.3301100772365139E-2</v>
      </c>
      <c r="BR182" s="1064">
        <f t="shared" si="186"/>
        <v>4.1086157898384976E-2</v>
      </c>
      <c r="BS182" s="1065">
        <f t="shared" si="186"/>
        <v>4.2364053059240223E-2</v>
      </c>
      <c r="BT182" s="1065">
        <f t="shared" si="186"/>
        <v>3.9422716481319509E-2</v>
      </c>
      <c r="BU182" s="1065">
        <f t="shared" si="186"/>
        <v>4.0745052386495922E-2</v>
      </c>
      <c r="BV182" s="1065">
        <f t="shared" si="186"/>
        <v>3.9262485828510052E-2</v>
      </c>
      <c r="BW182" s="1065">
        <f t="shared" si="186"/>
        <v>4.0382588701178425E-2</v>
      </c>
      <c r="BX182" s="1065">
        <f t="shared" si="186"/>
        <v>4.2319430315361138E-2</v>
      </c>
      <c r="BY182" s="1065">
        <f t="shared" si="186"/>
        <v>3.8741201791635156E-2</v>
      </c>
      <c r="BZ182" s="1065">
        <f t="shared" si="186"/>
        <v>4.1872835230084116E-2</v>
      </c>
      <c r="CA182" s="1065">
        <f t="shared" ref="CA182:CV182" si="187">CA39</f>
        <v>3.9303365497764177E-2</v>
      </c>
      <c r="CB182" s="1065">
        <f t="shared" si="187"/>
        <v>4.0476190476190478E-2</v>
      </c>
      <c r="CC182" s="1065">
        <f t="shared" si="187"/>
        <v>4.234234234234234E-2</v>
      </c>
      <c r="CD182" s="1065">
        <f t="shared" si="187"/>
        <v>3.7966932026944275E-2</v>
      </c>
      <c r="CE182" s="1065">
        <f t="shared" si="187"/>
        <v>3.959965187119234E-2</v>
      </c>
      <c r="CF182" s="1065">
        <f t="shared" si="187"/>
        <v>4.2727272727272725E-2</v>
      </c>
      <c r="CG182" s="1065">
        <f>CG39</f>
        <v>4.066766259674421E-2</v>
      </c>
      <c r="CH182" s="1065">
        <f t="shared" si="187"/>
        <v>4.0503106985101442E-2</v>
      </c>
      <c r="CI182" s="1065">
        <f t="shared" si="187"/>
        <v>3.953206938281565E-2</v>
      </c>
      <c r="CJ182" s="1065">
        <f t="shared" si="187"/>
        <v>4.0546189215549672E-2</v>
      </c>
      <c r="CK182" s="1065">
        <f t="shared" si="187"/>
        <v>4.2704140800873182E-2</v>
      </c>
      <c r="CL182" s="1065">
        <f>CL39</f>
        <v>4.0825239326392287E-2</v>
      </c>
      <c r="CM182" s="1065">
        <f t="shared" si="183"/>
        <v>4.17661961635903E-2</v>
      </c>
      <c r="CN182" s="1065">
        <f t="shared" ref="CN182" si="188">CN39</f>
        <v>3.9856020942408379E-2</v>
      </c>
      <c r="CO182" s="1065">
        <f>CO39</f>
        <v>3.8640286814500067E-2</v>
      </c>
      <c r="CP182" s="1065">
        <f t="shared" si="183"/>
        <v>3.8640286814500067E-2</v>
      </c>
      <c r="CQ182" s="1065">
        <f t="shared" si="187"/>
        <v>3.9678140143996121E-2</v>
      </c>
      <c r="CR182" s="1065">
        <f t="shared" si="187"/>
        <v>3.9266196163590297E-2</v>
      </c>
      <c r="CS182" s="1065">
        <f t="shared" si="187"/>
        <v>3.8356020942408378E-2</v>
      </c>
      <c r="CT182" s="1065">
        <f t="shared" si="187"/>
        <v>3.7140286814500066E-2</v>
      </c>
      <c r="CU182" s="1065">
        <f t="shared" si="187"/>
        <v>3.7140286814500066E-2</v>
      </c>
      <c r="CV182" s="1065">
        <f t="shared" si="187"/>
        <v>3.7826807184986287E-2</v>
      </c>
      <c r="CW182" s="1065">
        <f>CW39</f>
        <v>3.3826807184986291E-2</v>
      </c>
      <c r="CX182" s="1065">
        <f>CX39</f>
        <v>2.982680718498629E-2</v>
      </c>
      <c r="CY182" s="1065">
        <f>CY39</f>
        <v>2.982680718498629E-2</v>
      </c>
      <c r="CZ182" s="259"/>
    </row>
    <row r="183" spans="1:104">
      <c r="A183" s="268"/>
      <c r="B183" s="268"/>
      <c r="C183" s="268" t="s">
        <v>804</v>
      </c>
      <c r="D183" s="268"/>
      <c r="E183" s="268"/>
      <c r="F183" s="268"/>
      <c r="G183" s="268"/>
      <c r="H183" s="268"/>
      <c r="I183" s="268"/>
      <c r="J183" s="271"/>
      <c r="K183" s="268"/>
      <c r="L183" s="268"/>
      <c r="M183" s="268"/>
      <c r="N183" s="268"/>
      <c r="O183" s="1063"/>
      <c r="P183" s="268"/>
      <c r="Q183" s="268"/>
      <c r="R183" s="268"/>
      <c r="S183" s="268"/>
      <c r="T183" s="1063">
        <f>T181/O181-1</f>
        <v>-5.023923444976075E-2</v>
      </c>
      <c r="U183" s="268"/>
      <c r="V183" s="268"/>
      <c r="W183" s="268"/>
      <c r="X183" s="268"/>
      <c r="Y183" s="1063">
        <f>Y181/T181-1</f>
        <v>-0.13769941225860627</v>
      </c>
      <c r="Z183" s="268"/>
      <c r="AA183" s="268"/>
      <c r="AB183" s="268"/>
      <c r="AC183" s="268"/>
      <c r="AD183" s="1063">
        <f>AD181/Y181-1</f>
        <v>0.22297955209347609</v>
      </c>
      <c r="AE183" s="268"/>
      <c r="AF183" s="268"/>
      <c r="AG183" s="268"/>
      <c r="AH183" s="268"/>
      <c r="AI183" s="1063">
        <f>AI181/AD181-1</f>
        <v>8.8375796178344013E-2</v>
      </c>
      <c r="AJ183" s="268"/>
      <c r="AK183" s="268"/>
      <c r="AL183" s="268"/>
      <c r="AM183" s="268"/>
      <c r="AN183" s="1063">
        <f>AN181/AI181-1</f>
        <v>0.11850768105340159</v>
      </c>
      <c r="AO183" s="302"/>
      <c r="AP183" s="302"/>
      <c r="AQ183" s="302"/>
      <c r="AR183" s="302"/>
      <c r="AS183" s="1063">
        <f>AS181/AN181-1</f>
        <v>9.7449313276651406E-2</v>
      </c>
      <c r="AT183" s="271"/>
      <c r="AU183" s="271"/>
      <c r="AV183" s="271"/>
      <c r="AW183" s="271"/>
      <c r="AX183" s="1063">
        <f>AX181/AS181-1</f>
        <v>5.5423122765196675E-2</v>
      </c>
      <c r="AY183" s="271"/>
      <c r="AZ183" s="271"/>
      <c r="BA183" s="271"/>
      <c r="BB183" s="271"/>
      <c r="BC183" s="1063">
        <f>BC181/AX181-1</f>
        <v>-0.12027103331451161</v>
      </c>
      <c r="BD183" s="271"/>
      <c r="BE183" s="271"/>
      <c r="BF183" s="271"/>
      <c r="BG183" s="271"/>
      <c r="BH183" s="1063">
        <f>BH181/BC181-1</f>
        <v>0.12066752246469825</v>
      </c>
      <c r="BI183" s="302"/>
      <c r="BJ183" s="302"/>
      <c r="BK183" s="302"/>
      <c r="BL183" s="302"/>
      <c r="BM183" s="1063">
        <f>BM181/BH181-1</f>
        <v>0.13344788087056125</v>
      </c>
      <c r="BN183" s="116"/>
      <c r="BO183" s="116"/>
      <c r="BP183" s="116"/>
      <c r="BQ183" s="116"/>
      <c r="BR183" s="1063">
        <f>BR181/BM181-1</f>
        <v>0.19807983830217291</v>
      </c>
      <c r="BS183" s="1061"/>
      <c r="BT183" s="1061"/>
      <c r="BU183" s="1061"/>
      <c r="BV183" s="1061"/>
      <c r="BW183" s="1063">
        <f>BW181/BR181-1</f>
        <v>6.6638549135385805E-2</v>
      </c>
      <c r="BX183" s="1061"/>
      <c r="BY183" s="1061"/>
      <c r="BZ183" s="1061"/>
      <c r="CA183" s="1061"/>
      <c r="CB183" s="1063">
        <f>CB181/BW181-1</f>
        <v>4.1913799920917372E-2</v>
      </c>
      <c r="CC183" s="116"/>
      <c r="CD183" s="116"/>
      <c r="CE183" s="116"/>
      <c r="CF183" s="116"/>
      <c r="CG183" s="1063">
        <f>CG181/CB181-1</f>
        <v>-0.13510436432637574</v>
      </c>
      <c r="CH183" s="116"/>
      <c r="CI183" s="116"/>
      <c r="CJ183" s="116"/>
      <c r="CK183" s="116"/>
      <c r="CL183" s="1063">
        <f>CL181/CG181-1</f>
        <v>2.5449758666081568E-2</v>
      </c>
      <c r="CM183" s="116"/>
      <c r="CN183" s="116"/>
      <c r="CO183" s="116"/>
      <c r="CP183" s="116"/>
      <c r="CQ183" s="1063">
        <f>CQ181/CL181-1</f>
        <v>1.0345501837337734E-2</v>
      </c>
      <c r="CR183" s="116"/>
      <c r="CS183" s="116"/>
      <c r="CT183" s="116"/>
      <c r="CU183" s="116"/>
      <c r="CV183" s="1063">
        <f>CV181/CQ181-1</f>
        <v>9.9080377870988112E-3</v>
      </c>
      <c r="CW183" s="1063">
        <f>CW181/CV181-1</f>
        <v>-6.7001321564215566E-2</v>
      </c>
      <c r="CX183" s="1063">
        <f>CX181/CW181-1</f>
        <v>-7.9876411480727771E-2</v>
      </c>
      <c r="CY183" s="1063">
        <f>CY181/CX181-1</f>
        <v>3.6016012062077385E-2</v>
      </c>
      <c r="CZ183" s="268"/>
    </row>
    <row r="184" spans="1:104">
      <c r="A184" s="268"/>
      <c r="B184" s="268"/>
      <c r="C184" s="268" t="s">
        <v>803</v>
      </c>
      <c r="D184" s="268"/>
      <c r="E184" s="268"/>
      <c r="F184" s="268"/>
      <c r="G184" s="268"/>
      <c r="H184" s="268"/>
      <c r="I184" s="268"/>
      <c r="J184" s="271"/>
      <c r="K184" s="268"/>
      <c r="L184" s="268"/>
      <c r="M184" s="268"/>
      <c r="N184" s="268"/>
      <c r="O184" s="271"/>
      <c r="P184" s="268"/>
      <c r="Q184" s="268"/>
      <c r="R184" s="268"/>
      <c r="S184" s="268"/>
      <c r="T184" s="271"/>
      <c r="U184" s="268"/>
      <c r="V184" s="268"/>
      <c r="W184" s="268"/>
      <c r="X184" s="268"/>
      <c r="Y184" s="271"/>
      <c r="Z184" s="268"/>
      <c r="AA184" s="268"/>
      <c r="AB184" s="268"/>
      <c r="AC184" s="268"/>
      <c r="AD184" s="302"/>
      <c r="AE184" s="268"/>
      <c r="AF184" s="268"/>
      <c r="AG184" s="268"/>
      <c r="AH184" s="268"/>
      <c r="AI184" s="302"/>
      <c r="AJ184" s="268"/>
      <c r="AK184" s="268"/>
      <c r="AL184" s="268"/>
      <c r="AM184" s="268"/>
      <c r="AN184" s="302"/>
      <c r="AO184" s="302"/>
      <c r="AP184" s="302"/>
      <c r="AQ184" s="302"/>
      <c r="AR184" s="302"/>
      <c r="AS184" s="271"/>
      <c r="AT184" s="271"/>
      <c r="AU184" s="271"/>
      <c r="AV184" s="271"/>
      <c r="AW184" s="271"/>
      <c r="AX184" s="271"/>
      <c r="AY184" s="271"/>
      <c r="AZ184" s="271"/>
      <c r="BA184" s="271"/>
      <c r="BB184" s="271"/>
      <c r="BC184" s="271"/>
      <c r="BD184" s="271"/>
      <c r="BE184" s="271"/>
      <c r="BF184" s="271"/>
      <c r="BG184" s="271"/>
      <c r="BH184" s="271"/>
      <c r="BI184" s="302"/>
      <c r="BJ184" s="302"/>
      <c r="BK184" s="302"/>
      <c r="BL184" s="302"/>
      <c r="BM184" s="302"/>
      <c r="BN184" s="116"/>
      <c r="BO184" s="116"/>
      <c r="BP184" s="116"/>
      <c r="BQ184" s="116"/>
      <c r="BR184" s="116"/>
      <c r="BS184" s="1061"/>
      <c r="BT184" s="1061"/>
      <c r="BU184" s="1061"/>
      <c r="BV184" s="1061"/>
      <c r="BW184" s="116"/>
      <c r="BX184" s="1061"/>
      <c r="BY184" s="1061"/>
      <c r="BZ184" s="1061"/>
      <c r="CA184" s="1061"/>
      <c r="CB184" s="116"/>
      <c r="CC184" s="116"/>
      <c r="CD184" s="116"/>
      <c r="CE184" s="116"/>
      <c r="CF184" s="116"/>
      <c r="CG184" s="1062">
        <f>CG181-CB181</f>
        <v>-356</v>
      </c>
      <c r="CH184" s="116"/>
      <c r="CI184" s="116"/>
      <c r="CJ184" s="116"/>
      <c r="CK184" s="116"/>
      <c r="CL184" s="1062">
        <f>CL181-CG181</f>
        <v>58</v>
      </c>
      <c r="CM184" s="116"/>
      <c r="CN184" s="116"/>
      <c r="CO184" s="116"/>
      <c r="CP184" s="116"/>
      <c r="CQ184" s="1062">
        <f>CQ181-CL181</f>
        <v>24.177437793858189</v>
      </c>
      <c r="CR184" s="116"/>
      <c r="CS184" s="116"/>
      <c r="CT184" s="116"/>
      <c r="CU184" s="116"/>
      <c r="CV184" s="1062">
        <f>CV181-CQ181</f>
        <v>23.394635275706605</v>
      </c>
      <c r="CW184" s="1062">
        <f>CW181-CV181</f>
        <v>-159.76948026078207</v>
      </c>
      <c r="CX184" s="1062">
        <f>CX181-CW181</f>
        <v>-177.70924736658435</v>
      </c>
      <c r="CY184" s="1062">
        <f>CY181-CX181</f>
        <v>73.728138621644575</v>
      </c>
      <c r="CZ184" s="268"/>
    </row>
    <row r="185" spans="1:104">
      <c r="A185" s="268"/>
      <c r="B185" s="268"/>
      <c r="C185" s="268"/>
      <c r="D185" s="268"/>
      <c r="E185" s="268"/>
      <c r="F185" s="268"/>
      <c r="G185" s="268"/>
      <c r="H185" s="268"/>
      <c r="I185" s="268"/>
      <c r="J185" s="271"/>
      <c r="K185" s="268"/>
      <c r="L185" s="268"/>
      <c r="M185" s="268"/>
      <c r="N185" s="268"/>
      <c r="O185" s="271"/>
      <c r="P185" s="268"/>
      <c r="Q185" s="268"/>
      <c r="R185" s="268"/>
      <c r="S185" s="268"/>
      <c r="T185" s="271"/>
      <c r="U185" s="268"/>
      <c r="V185" s="268"/>
      <c r="W185" s="268"/>
      <c r="X185" s="268"/>
      <c r="Y185" s="271"/>
      <c r="Z185" s="268"/>
      <c r="AA185" s="268"/>
      <c r="AB185" s="268"/>
      <c r="AC185" s="268"/>
      <c r="AD185" s="302"/>
      <c r="AE185" s="268"/>
      <c r="AF185" s="268"/>
      <c r="AG185" s="268"/>
      <c r="AH185" s="268"/>
      <c r="AI185" s="302"/>
      <c r="AJ185" s="268"/>
      <c r="AK185" s="268"/>
      <c r="AL185" s="268"/>
      <c r="AM185" s="268"/>
      <c r="AN185" s="302"/>
      <c r="AO185" s="302"/>
      <c r="AP185" s="302"/>
      <c r="AQ185" s="302"/>
      <c r="AR185" s="302"/>
      <c r="AS185" s="271"/>
      <c r="AT185" s="271"/>
      <c r="AU185" s="271"/>
      <c r="AV185" s="271"/>
      <c r="AW185" s="271"/>
      <c r="AX185" s="271"/>
      <c r="AY185" s="271"/>
      <c r="AZ185" s="271"/>
      <c r="BA185" s="271"/>
      <c r="BB185" s="271"/>
      <c r="BC185" s="271"/>
      <c r="BD185" s="271"/>
      <c r="BE185" s="271"/>
      <c r="BF185" s="271"/>
      <c r="BG185" s="271"/>
      <c r="BH185" s="271"/>
      <c r="BI185" s="302"/>
      <c r="BJ185" s="302"/>
      <c r="BK185" s="302"/>
      <c r="BL185" s="302"/>
      <c r="BM185" s="302"/>
      <c r="BN185" s="116"/>
      <c r="BO185" s="116"/>
      <c r="BP185" s="116"/>
      <c r="BQ185" s="116"/>
      <c r="BR185" s="116"/>
      <c r="BS185" s="1061"/>
      <c r="BT185" s="1061"/>
      <c r="BU185" s="1061"/>
      <c r="BV185" s="1061"/>
      <c r="BW185" s="116"/>
      <c r="BX185" s="1061"/>
      <c r="BY185" s="1061"/>
      <c r="BZ185" s="1061"/>
      <c r="CA185" s="1061"/>
      <c r="CB185" s="116"/>
      <c r="CC185" s="116"/>
      <c r="CD185" s="116"/>
      <c r="CE185" s="116"/>
      <c r="CF185" s="116"/>
      <c r="CG185" s="1062"/>
      <c r="CH185" s="116"/>
      <c r="CI185" s="116"/>
      <c r="CJ185" s="116"/>
      <c r="CK185" s="116"/>
      <c r="CL185" s="1062"/>
      <c r="CM185" s="116"/>
      <c r="CN185" s="116"/>
      <c r="CO185" s="116"/>
      <c r="CP185" s="116"/>
      <c r="CQ185" s="1062"/>
      <c r="CR185" s="116"/>
      <c r="CS185" s="116"/>
      <c r="CT185" s="116"/>
      <c r="CU185" s="116"/>
      <c r="CV185" s="1062"/>
      <c r="CW185" s="1062"/>
      <c r="CX185" s="1062"/>
      <c r="CY185" s="1062"/>
      <c r="CZ185" s="268"/>
    </row>
    <row r="186" spans="1:104">
      <c r="A186" s="268"/>
      <c r="B186" s="268"/>
      <c r="C186" s="268" t="s">
        <v>802</v>
      </c>
      <c r="D186" s="268"/>
      <c r="E186" s="268"/>
      <c r="F186" s="268"/>
      <c r="G186" s="268"/>
      <c r="H186" s="268"/>
      <c r="I186" s="268"/>
      <c r="J186" s="271"/>
      <c r="K186" s="268"/>
      <c r="L186" s="268"/>
      <c r="M186" s="268"/>
      <c r="N186" s="268"/>
      <c r="O186" s="271"/>
      <c r="P186" s="268"/>
      <c r="Q186" s="268"/>
      <c r="R186" s="268"/>
      <c r="S186" s="268"/>
      <c r="T186" s="271"/>
      <c r="U186" s="268"/>
      <c r="V186" s="268"/>
      <c r="W186" s="268"/>
      <c r="X186" s="268"/>
      <c r="Y186" s="271"/>
      <c r="Z186" s="268"/>
      <c r="AA186" s="268"/>
      <c r="AB186" s="268"/>
      <c r="AC186" s="268"/>
      <c r="AD186" s="302"/>
      <c r="AE186" s="268"/>
      <c r="AF186" s="268"/>
      <c r="AG186" s="268"/>
      <c r="AH186" s="268"/>
      <c r="AI186" s="302"/>
      <c r="AJ186" s="268"/>
      <c r="AK186" s="268"/>
      <c r="AL186" s="268"/>
      <c r="AM186" s="268"/>
      <c r="AN186" s="302"/>
      <c r="AO186" s="302"/>
      <c r="AP186" s="302"/>
      <c r="AQ186" s="302"/>
      <c r="AR186" s="302"/>
      <c r="AS186" s="271"/>
      <c r="AT186" s="271"/>
      <c r="AU186" s="271"/>
      <c r="AV186" s="271"/>
      <c r="AW186" s="271"/>
      <c r="AX186" s="271"/>
      <c r="AY186" s="271"/>
      <c r="AZ186" s="271"/>
      <c r="BA186" s="271"/>
      <c r="BB186" s="271"/>
      <c r="BC186" s="271"/>
      <c r="BD186" s="271"/>
      <c r="BE186" s="271"/>
      <c r="BF186" s="271"/>
      <c r="BG186" s="271"/>
      <c r="BH186" s="271"/>
      <c r="BI186" s="302"/>
      <c r="BJ186" s="302"/>
      <c r="BK186" s="302"/>
      <c r="BL186" s="302"/>
      <c r="BM186" s="302"/>
      <c r="BN186" s="116"/>
      <c r="BO186" s="116"/>
      <c r="BP186" s="116"/>
      <c r="BQ186" s="116"/>
      <c r="BR186" s="116"/>
      <c r="BS186" s="1061"/>
      <c r="BT186" s="1061"/>
      <c r="BU186" s="1061"/>
      <c r="BV186" s="1061"/>
      <c r="BW186" s="116"/>
      <c r="BX186" s="1061"/>
      <c r="BY186" s="1061"/>
      <c r="BZ186" s="1061"/>
      <c r="CA186" s="1061"/>
      <c r="CB186" s="116"/>
      <c r="CC186" s="116"/>
      <c r="CD186" s="116"/>
      <c r="CE186" s="116"/>
      <c r="CF186" s="116"/>
      <c r="CG186" s="305">
        <f>CG184*CG187</f>
        <v>-267</v>
      </c>
      <c r="CH186" s="116"/>
      <c r="CI186" s="116"/>
      <c r="CJ186" s="116"/>
      <c r="CK186" s="116"/>
      <c r="CL186" s="305">
        <f>CL184*CL187</f>
        <v>58</v>
      </c>
      <c r="CM186" s="116"/>
      <c r="CN186" s="116"/>
      <c r="CO186" s="116"/>
      <c r="CP186" s="116"/>
      <c r="CQ186" s="305">
        <f>CQ184*CQ187</f>
        <v>18.133078345393642</v>
      </c>
      <c r="CR186" s="116"/>
      <c r="CS186" s="116"/>
      <c r="CT186" s="116"/>
      <c r="CU186" s="116"/>
      <c r="CV186" s="305">
        <f>CV184*CV187</f>
        <v>17.545976456779954</v>
      </c>
      <c r="CW186" s="305">
        <f>CW184*CW187</f>
        <v>-119.82711019558656</v>
      </c>
      <c r="CX186" s="305">
        <f>CX184*CX187</f>
        <v>-133.28193552493826</v>
      </c>
      <c r="CY186" s="305">
        <f>CY184*CY187</f>
        <v>55.296103966233431</v>
      </c>
      <c r="CZ186" s="268"/>
    </row>
    <row r="187" spans="1:104">
      <c r="A187" s="268"/>
      <c r="B187" s="268"/>
      <c r="C187" s="268" t="s">
        <v>801</v>
      </c>
      <c r="D187" s="268"/>
      <c r="E187" s="268"/>
      <c r="F187" s="268"/>
      <c r="G187" s="268"/>
      <c r="H187" s="268"/>
      <c r="I187" s="268"/>
      <c r="J187" s="271"/>
      <c r="K187" s="268"/>
      <c r="L187" s="268"/>
      <c r="M187" s="268"/>
      <c r="N187" s="268"/>
      <c r="O187" s="271"/>
      <c r="P187" s="268"/>
      <c r="Q187" s="268"/>
      <c r="R187" s="268"/>
      <c r="S187" s="268"/>
      <c r="T187" s="271"/>
      <c r="U187" s="268"/>
      <c r="V187" s="268"/>
      <c r="W187" s="268"/>
      <c r="X187" s="268"/>
      <c r="Y187" s="271"/>
      <c r="Z187" s="268"/>
      <c r="AA187" s="268"/>
      <c r="AB187" s="268"/>
      <c r="AC187" s="268"/>
      <c r="AD187" s="302"/>
      <c r="AE187" s="268"/>
      <c r="AF187" s="268"/>
      <c r="AG187" s="268"/>
      <c r="AH187" s="268"/>
      <c r="AI187" s="302"/>
      <c r="AJ187" s="268"/>
      <c r="AK187" s="268"/>
      <c r="AL187" s="268"/>
      <c r="AM187" s="268"/>
      <c r="AN187" s="302"/>
      <c r="AO187" s="302"/>
      <c r="AP187" s="302"/>
      <c r="AQ187" s="302"/>
      <c r="AR187" s="302"/>
      <c r="AS187" s="271"/>
      <c r="AT187" s="271"/>
      <c r="AU187" s="271"/>
      <c r="AV187" s="271"/>
      <c r="AW187" s="271"/>
      <c r="AX187" s="271"/>
      <c r="AY187" s="271"/>
      <c r="AZ187" s="271"/>
      <c r="BA187" s="271"/>
      <c r="BB187" s="271"/>
      <c r="BC187" s="271"/>
      <c r="BD187" s="271"/>
      <c r="BE187" s="271"/>
      <c r="BF187" s="271"/>
      <c r="BG187" s="271"/>
      <c r="BH187" s="271"/>
      <c r="BI187" s="302"/>
      <c r="BJ187" s="302"/>
      <c r="BK187" s="302"/>
      <c r="BL187" s="302"/>
      <c r="BM187" s="302"/>
      <c r="BN187" s="116"/>
      <c r="BO187" s="116"/>
      <c r="BP187" s="116"/>
      <c r="BQ187" s="116"/>
      <c r="BR187" s="116"/>
      <c r="BS187" s="1061"/>
      <c r="BT187" s="1061"/>
      <c r="BU187" s="1061"/>
      <c r="BV187" s="1061"/>
      <c r="BW187" s="116"/>
      <c r="BX187" s="1061"/>
      <c r="BY187" s="1061"/>
      <c r="BZ187" s="1061"/>
      <c r="CA187" s="1061"/>
      <c r="CB187" s="116"/>
      <c r="CC187" s="116"/>
      <c r="CD187" s="116"/>
      <c r="CE187" s="116"/>
      <c r="CF187" s="116"/>
      <c r="CG187" s="417">
        <v>0.75</v>
      </c>
      <c r="CH187" s="116"/>
      <c r="CI187" s="116"/>
      <c r="CJ187" s="116"/>
      <c r="CK187" s="116"/>
      <c r="CL187" s="417">
        <v>1</v>
      </c>
      <c r="CM187" s="116"/>
      <c r="CN187" s="116"/>
      <c r="CO187" s="116"/>
      <c r="CP187" s="116"/>
      <c r="CQ187" s="417">
        <v>0.75</v>
      </c>
      <c r="CR187" s="116"/>
      <c r="CS187" s="116"/>
      <c r="CT187" s="116"/>
      <c r="CU187" s="116"/>
      <c r="CV187" s="417">
        <f>CQ187</f>
        <v>0.75</v>
      </c>
      <c r="CW187" s="417">
        <f>CV187</f>
        <v>0.75</v>
      </c>
      <c r="CX187" s="417">
        <f>CW187</f>
        <v>0.75</v>
      </c>
      <c r="CY187" s="417">
        <f>CX187</f>
        <v>0.75</v>
      </c>
      <c r="CZ187" s="268"/>
    </row>
    <row r="188" spans="1:104">
      <c r="A188" s="268"/>
      <c r="B188" s="268"/>
      <c r="C188" s="268"/>
      <c r="D188" s="268"/>
      <c r="E188" s="268"/>
      <c r="F188" s="268"/>
      <c r="G188" s="268"/>
      <c r="H188" s="268"/>
      <c r="I188" s="268"/>
      <c r="J188" s="271"/>
      <c r="K188" s="268"/>
      <c r="L188" s="268"/>
      <c r="M188" s="268"/>
      <c r="N188" s="268"/>
      <c r="O188" s="271"/>
      <c r="P188" s="268"/>
      <c r="Q188" s="268"/>
      <c r="R188" s="268"/>
      <c r="S188" s="268"/>
      <c r="T188" s="271"/>
      <c r="U188" s="268"/>
      <c r="V188" s="268"/>
      <c r="W188" s="268"/>
      <c r="X188" s="268"/>
      <c r="Y188" s="271"/>
      <c r="Z188" s="268"/>
      <c r="AA188" s="268"/>
      <c r="AB188" s="268"/>
      <c r="AC188" s="268"/>
      <c r="AD188" s="302"/>
      <c r="AE188" s="268"/>
      <c r="AF188" s="268"/>
      <c r="AG188" s="268"/>
      <c r="AH188" s="268"/>
      <c r="AI188" s="302"/>
      <c r="AJ188" s="268"/>
      <c r="AK188" s="268"/>
      <c r="AL188" s="268"/>
      <c r="AM188" s="268"/>
      <c r="AN188" s="302"/>
      <c r="AO188" s="302"/>
      <c r="AP188" s="302"/>
      <c r="AQ188" s="302"/>
      <c r="AR188" s="302"/>
      <c r="AS188" s="271"/>
      <c r="AT188" s="271"/>
      <c r="AU188" s="271"/>
      <c r="AV188" s="271"/>
      <c r="AW188" s="271"/>
      <c r="AX188" s="271"/>
      <c r="AY188" s="271"/>
      <c r="AZ188" s="271"/>
      <c r="BA188" s="271"/>
      <c r="BB188" s="271"/>
      <c r="BC188" s="271"/>
      <c r="BD188" s="271"/>
      <c r="BE188" s="271"/>
      <c r="BF188" s="271"/>
      <c r="BG188" s="271"/>
      <c r="BH188" s="271"/>
      <c r="BI188" s="302"/>
      <c r="BJ188" s="302"/>
      <c r="BK188" s="302"/>
      <c r="BL188" s="302"/>
      <c r="BM188" s="302"/>
      <c r="BN188" s="116"/>
      <c r="BO188" s="116"/>
      <c r="BP188" s="116"/>
      <c r="BQ188" s="116"/>
      <c r="BR188" s="116"/>
      <c r="BS188" s="1061"/>
      <c r="BT188" s="1061"/>
      <c r="BU188" s="1061"/>
      <c r="BV188" s="1061"/>
      <c r="BW188" s="116"/>
      <c r="BX188" s="1061"/>
      <c r="BY188" s="1061"/>
      <c r="BZ188" s="1061"/>
      <c r="CA188" s="1061"/>
      <c r="CB188" s="116"/>
      <c r="CC188" s="116"/>
      <c r="CD188" s="116"/>
      <c r="CE188" s="116"/>
      <c r="CF188" s="116"/>
      <c r="CG188" s="417"/>
      <c r="CH188" s="116"/>
      <c r="CI188" s="116"/>
      <c r="CJ188" s="116"/>
      <c r="CK188" s="116"/>
      <c r="CL188" s="417"/>
      <c r="CM188" s="116"/>
      <c r="CN188" s="116"/>
      <c r="CO188" s="116"/>
      <c r="CP188" s="116"/>
      <c r="CQ188" s="417"/>
      <c r="CR188" s="116"/>
      <c r="CS188" s="116"/>
      <c r="CT188" s="116"/>
      <c r="CU188" s="116"/>
      <c r="CV188" s="417"/>
      <c r="CW188" s="417"/>
      <c r="CX188" s="417"/>
      <c r="CY188" s="417"/>
      <c r="CZ188" s="268"/>
    </row>
    <row r="189" spans="1:104">
      <c r="A189" s="268"/>
      <c r="B189" s="268"/>
      <c r="C189" s="268" t="s">
        <v>167</v>
      </c>
      <c r="D189" s="268"/>
      <c r="E189" s="268"/>
      <c r="F189" s="268"/>
      <c r="G189" s="268"/>
      <c r="H189" s="268"/>
      <c r="I189" s="268"/>
      <c r="J189" s="271"/>
      <c r="K189" s="268"/>
      <c r="L189" s="268"/>
      <c r="M189" s="268"/>
      <c r="N189" s="268"/>
      <c r="O189" s="271"/>
      <c r="P189" s="268"/>
      <c r="Q189" s="268"/>
      <c r="R189" s="268"/>
      <c r="S189" s="268"/>
      <c r="T189" s="271"/>
      <c r="U189" s="268"/>
      <c r="V189" s="268"/>
      <c r="W189" s="268"/>
      <c r="X189" s="268"/>
      <c r="Y189" s="271"/>
      <c r="Z189" s="268"/>
      <c r="AA189" s="268"/>
      <c r="AB189" s="268"/>
      <c r="AC189" s="268"/>
      <c r="AD189" s="302"/>
      <c r="AE189" s="268"/>
      <c r="AF189" s="268"/>
      <c r="AG189" s="268"/>
      <c r="AH189" s="268"/>
      <c r="AI189" s="302"/>
      <c r="AJ189" s="268"/>
      <c r="AK189" s="268"/>
      <c r="AL189" s="268"/>
      <c r="AM189" s="268"/>
      <c r="AN189" s="302"/>
      <c r="AO189" s="302"/>
      <c r="AP189" s="302"/>
      <c r="AQ189" s="302"/>
      <c r="AR189" s="302"/>
      <c r="AS189" s="271"/>
      <c r="AT189" s="271"/>
      <c r="AU189" s="271"/>
      <c r="AV189" s="271"/>
      <c r="AW189" s="271"/>
      <c r="AX189" s="271"/>
      <c r="AY189" s="271"/>
      <c r="AZ189" s="271"/>
      <c r="BA189" s="271"/>
      <c r="BB189" s="271"/>
      <c r="BC189" s="271"/>
      <c r="BD189" s="271"/>
      <c r="BE189" s="271"/>
      <c r="BF189" s="271"/>
      <c r="BG189" s="271"/>
      <c r="BH189" s="271"/>
      <c r="BI189" s="302"/>
      <c r="BJ189" s="302"/>
      <c r="BK189" s="302"/>
      <c r="BL189" s="302"/>
      <c r="BM189" s="302"/>
      <c r="BN189" s="116"/>
      <c r="BO189" s="116"/>
      <c r="BP189" s="116"/>
      <c r="BQ189" s="116"/>
      <c r="BR189" s="116"/>
      <c r="BS189" s="1061"/>
      <c r="BT189" s="1061"/>
      <c r="BU189" s="1061"/>
      <c r="BV189" s="1061"/>
      <c r="BW189" s="116"/>
      <c r="BX189" s="1061"/>
      <c r="BY189" s="1061"/>
      <c r="BZ189" s="1061"/>
      <c r="CA189" s="1061"/>
      <c r="CB189" s="116"/>
      <c r="CC189" s="116"/>
      <c r="CD189" s="116"/>
      <c r="CE189" s="116"/>
      <c r="CF189" s="116"/>
      <c r="CG189" s="417"/>
      <c r="CH189" s="116"/>
      <c r="CI189" s="116"/>
      <c r="CJ189" s="116"/>
      <c r="CK189" s="116"/>
      <c r="CL189" s="1922">
        <f>Otis!CP102</f>
        <v>-55.649801276732759</v>
      </c>
      <c r="CM189" s="116"/>
      <c r="CN189" s="116"/>
      <c r="CO189" s="116"/>
      <c r="CP189" s="116"/>
      <c r="CQ189" s="417"/>
      <c r="CR189" s="116"/>
      <c r="CS189" s="116"/>
      <c r="CT189" s="116"/>
      <c r="CU189" s="116"/>
      <c r="CV189" s="417"/>
      <c r="CW189" s="417"/>
      <c r="CX189" s="417"/>
      <c r="CY189" s="417"/>
      <c r="CZ189" s="268"/>
    </row>
    <row r="190" spans="1:104">
      <c r="A190" s="268"/>
      <c r="B190" s="268"/>
      <c r="C190" s="268" t="s">
        <v>166</v>
      </c>
      <c r="D190" s="268"/>
      <c r="E190" s="268"/>
      <c r="F190" s="268"/>
      <c r="G190" s="268"/>
      <c r="H190" s="268"/>
      <c r="I190" s="268"/>
      <c r="J190" s="271"/>
      <c r="K190" s="268"/>
      <c r="L190" s="268"/>
      <c r="M190" s="268"/>
      <c r="N190" s="268"/>
      <c r="O190" s="271"/>
      <c r="P190" s="268"/>
      <c r="Q190" s="268"/>
      <c r="R190" s="268"/>
      <c r="S190" s="268"/>
      <c r="T190" s="271"/>
      <c r="U190" s="268"/>
      <c r="V190" s="268"/>
      <c r="W190" s="268"/>
      <c r="X190" s="268"/>
      <c r="Y190" s="271"/>
      <c r="Z190" s="268"/>
      <c r="AA190" s="268"/>
      <c r="AB190" s="268"/>
      <c r="AC190" s="268"/>
      <c r="AD190" s="302"/>
      <c r="AE190" s="268"/>
      <c r="AF190" s="268"/>
      <c r="AG190" s="268"/>
      <c r="AH190" s="268"/>
      <c r="AI190" s="302"/>
      <c r="AJ190" s="268"/>
      <c r="AK190" s="268"/>
      <c r="AL190" s="268"/>
      <c r="AM190" s="268"/>
      <c r="AN190" s="302"/>
      <c r="AO190" s="302"/>
      <c r="AP190" s="302"/>
      <c r="AQ190" s="302"/>
      <c r="AR190" s="302"/>
      <c r="AS190" s="271"/>
      <c r="AT190" s="271"/>
      <c r="AU190" s="271"/>
      <c r="AV190" s="271"/>
      <c r="AW190" s="271"/>
      <c r="AX190" s="271"/>
      <c r="AY190" s="271"/>
      <c r="AZ190" s="271"/>
      <c r="BA190" s="271"/>
      <c r="BB190" s="271"/>
      <c r="BC190" s="271"/>
      <c r="BD190" s="271"/>
      <c r="BE190" s="271"/>
      <c r="BF190" s="271"/>
      <c r="BG190" s="271"/>
      <c r="BH190" s="271"/>
      <c r="BI190" s="302"/>
      <c r="BJ190" s="302"/>
      <c r="BK190" s="302"/>
      <c r="BL190" s="302"/>
      <c r="BM190" s="302"/>
      <c r="BN190" s="116"/>
      <c r="BO190" s="116"/>
      <c r="BP190" s="116"/>
      <c r="BQ190" s="116"/>
      <c r="BR190" s="116"/>
      <c r="BS190" s="1061"/>
      <c r="BT190" s="1061"/>
      <c r="BU190" s="1061"/>
      <c r="BV190" s="1061"/>
      <c r="BW190" s="116"/>
      <c r="BX190" s="1061"/>
      <c r="BY190" s="1061"/>
      <c r="BZ190" s="1061"/>
      <c r="CA190" s="1061"/>
      <c r="CB190" s="116"/>
      <c r="CC190" s="116"/>
      <c r="CD190" s="116"/>
      <c r="CE190" s="116"/>
      <c r="CF190" s="116"/>
      <c r="CG190" s="417"/>
      <c r="CH190" s="116"/>
      <c r="CI190" s="116"/>
      <c r="CJ190" s="116"/>
      <c r="CK190" s="116"/>
      <c r="CL190" s="1922">
        <f>CCS!CL127</f>
        <v>-48.602944873406457</v>
      </c>
      <c r="CM190" s="116"/>
      <c r="CN190" s="116"/>
      <c r="CO190" s="116"/>
      <c r="CP190" s="116"/>
      <c r="CQ190" s="417"/>
      <c r="CR190" s="116"/>
      <c r="CS190" s="116"/>
      <c r="CT190" s="116"/>
      <c r="CU190" s="116"/>
      <c r="CV190" s="417"/>
      <c r="CW190" s="417"/>
      <c r="CX190" s="417"/>
      <c r="CY190" s="417"/>
      <c r="CZ190" s="268"/>
    </row>
    <row r="191" spans="1:104">
      <c r="A191" s="268"/>
      <c r="B191" s="268"/>
      <c r="C191" s="268" t="s">
        <v>792</v>
      </c>
      <c r="D191" s="268"/>
      <c r="E191" s="268"/>
      <c r="F191" s="268"/>
      <c r="G191" s="268"/>
      <c r="H191" s="268"/>
      <c r="I191" s="268"/>
      <c r="J191" s="271"/>
      <c r="K191" s="268"/>
      <c r="L191" s="268"/>
      <c r="M191" s="268"/>
      <c r="N191" s="268"/>
      <c r="O191" s="271"/>
      <c r="P191" s="268"/>
      <c r="Q191" s="268"/>
      <c r="R191" s="268"/>
      <c r="S191" s="268"/>
      <c r="T191" s="271"/>
      <c r="U191" s="268"/>
      <c r="V191" s="268"/>
      <c r="W191" s="268"/>
      <c r="X191" s="268"/>
      <c r="Y191" s="271"/>
      <c r="Z191" s="268"/>
      <c r="AA191" s="268"/>
      <c r="AB191" s="268"/>
      <c r="AC191" s="268"/>
      <c r="AD191" s="302"/>
      <c r="AE191" s="268"/>
      <c r="AF191" s="268"/>
      <c r="AG191" s="268"/>
      <c r="AH191" s="268"/>
      <c r="AI191" s="302"/>
      <c r="AJ191" s="268"/>
      <c r="AK191" s="268"/>
      <c r="AL191" s="268"/>
      <c r="AM191" s="268"/>
      <c r="AN191" s="302"/>
      <c r="AO191" s="302"/>
      <c r="AP191" s="302"/>
      <c r="AQ191" s="302"/>
      <c r="AR191" s="302"/>
      <c r="AS191" s="271"/>
      <c r="AT191" s="271"/>
      <c r="AU191" s="271"/>
      <c r="AV191" s="271"/>
      <c r="AW191" s="271"/>
      <c r="AX191" s="271"/>
      <c r="AY191" s="271"/>
      <c r="AZ191" s="271"/>
      <c r="BA191" s="271"/>
      <c r="BB191" s="271"/>
      <c r="BC191" s="271"/>
      <c r="BD191" s="271"/>
      <c r="BE191" s="271"/>
      <c r="BF191" s="271"/>
      <c r="BG191" s="271"/>
      <c r="BH191" s="271"/>
      <c r="BI191" s="302"/>
      <c r="BJ191" s="302"/>
      <c r="BK191" s="302"/>
      <c r="BL191" s="302"/>
      <c r="BM191" s="302"/>
      <c r="BN191" s="116"/>
      <c r="BO191" s="116"/>
      <c r="BP191" s="116"/>
      <c r="BQ191" s="116"/>
      <c r="BR191" s="116"/>
      <c r="BS191" s="1061"/>
      <c r="BT191" s="1061"/>
      <c r="BU191" s="1061"/>
      <c r="BV191" s="1061"/>
      <c r="BW191" s="116"/>
      <c r="BX191" s="1061"/>
      <c r="BY191" s="1061"/>
      <c r="BZ191" s="1061"/>
      <c r="CA191" s="1061"/>
      <c r="CB191" s="116"/>
      <c r="CC191" s="116"/>
      <c r="CD191" s="116"/>
      <c r="CE191" s="116"/>
      <c r="CF191" s="116"/>
      <c r="CG191" s="417"/>
      <c r="CH191" s="116"/>
      <c r="CI191" s="116"/>
      <c r="CJ191" s="116"/>
      <c r="CK191" s="116"/>
      <c r="CL191" s="1922">
        <f>Pratt!DI41</f>
        <v>50.694208829364833</v>
      </c>
      <c r="CM191" s="116"/>
      <c r="CN191" s="116"/>
      <c r="CO191" s="116"/>
      <c r="CP191" s="116"/>
      <c r="CQ191" s="417"/>
      <c r="CR191" s="116"/>
      <c r="CS191" s="116"/>
      <c r="CT191" s="116"/>
      <c r="CU191" s="116"/>
      <c r="CV191" s="417"/>
      <c r="CW191" s="417"/>
      <c r="CX191" s="417"/>
      <c r="CY191" s="417"/>
      <c r="CZ191" s="268"/>
    </row>
    <row r="192" spans="1:104">
      <c r="A192" s="268"/>
      <c r="B192" s="268"/>
      <c r="C192" s="268" t="s">
        <v>791</v>
      </c>
      <c r="D192" s="268"/>
      <c r="E192" s="268"/>
      <c r="F192" s="268"/>
      <c r="G192" s="268"/>
      <c r="H192" s="268"/>
      <c r="I192" s="268"/>
      <c r="J192" s="271"/>
      <c r="K192" s="268"/>
      <c r="L192" s="268"/>
      <c r="M192" s="268"/>
      <c r="N192" s="268"/>
      <c r="O192" s="271"/>
      <c r="P192" s="268"/>
      <c r="Q192" s="268"/>
      <c r="R192" s="268"/>
      <c r="S192" s="268"/>
      <c r="T192" s="271"/>
      <c r="U192" s="268"/>
      <c r="V192" s="268"/>
      <c r="W192" s="268"/>
      <c r="X192" s="268"/>
      <c r="Y192" s="271"/>
      <c r="Z192" s="268"/>
      <c r="AA192" s="268"/>
      <c r="AB192" s="268"/>
      <c r="AC192" s="268"/>
      <c r="AD192" s="302"/>
      <c r="AE192" s="268"/>
      <c r="AF192" s="268"/>
      <c r="AG192" s="268"/>
      <c r="AH192" s="268"/>
      <c r="AI192" s="302"/>
      <c r="AJ192" s="268"/>
      <c r="AK192" s="268"/>
      <c r="AL192" s="268"/>
      <c r="AM192" s="268"/>
      <c r="AN192" s="302"/>
      <c r="AO192" s="302"/>
      <c r="AP192" s="302"/>
      <c r="AQ192" s="302"/>
      <c r="AR192" s="302"/>
      <c r="AS192" s="271"/>
      <c r="AT192" s="271"/>
      <c r="AU192" s="271"/>
      <c r="AV192" s="271"/>
      <c r="AW192" s="271"/>
      <c r="AX192" s="271"/>
      <c r="AY192" s="271"/>
      <c r="AZ192" s="271"/>
      <c r="BA192" s="271"/>
      <c r="BB192" s="271"/>
      <c r="BC192" s="271"/>
      <c r="BD192" s="271"/>
      <c r="BE192" s="271"/>
      <c r="BF192" s="271"/>
      <c r="BG192" s="271"/>
      <c r="BH192" s="271"/>
      <c r="BI192" s="302"/>
      <c r="BJ192" s="302"/>
      <c r="BK192" s="302"/>
      <c r="BL192" s="302"/>
      <c r="BM192" s="302"/>
      <c r="BN192" s="116"/>
      <c r="BO192" s="116"/>
      <c r="BP192" s="116"/>
      <c r="BQ192" s="116"/>
      <c r="BR192" s="116"/>
      <c r="BS192" s="1061"/>
      <c r="BT192" s="1061"/>
      <c r="BU192" s="1061"/>
      <c r="BV192" s="1061"/>
      <c r="BW192" s="116"/>
      <c r="BX192" s="1061"/>
      <c r="BY192" s="1061"/>
      <c r="BZ192" s="1061"/>
      <c r="CA192" s="1061"/>
      <c r="CB192" s="116"/>
      <c r="CC192" s="116"/>
      <c r="CD192" s="116"/>
      <c r="CE192" s="116"/>
      <c r="CF192" s="116"/>
      <c r="CG192" s="417"/>
      <c r="CH192" s="116"/>
      <c r="CI192" s="116"/>
      <c r="CJ192" s="116"/>
      <c r="CK192" s="116"/>
      <c r="CL192" s="1922">
        <f>'Aerospace Systems'!AR95</f>
        <v>-13.534482758620825</v>
      </c>
      <c r="CM192" s="116"/>
      <c r="CN192" s="116"/>
      <c r="CO192" s="116"/>
      <c r="CP192" s="116"/>
      <c r="CQ192" s="417"/>
      <c r="CR192" s="116"/>
      <c r="CS192" s="116"/>
      <c r="CT192" s="116"/>
      <c r="CU192" s="116"/>
      <c r="CV192" s="417"/>
      <c r="CW192" s="417"/>
      <c r="CX192" s="417"/>
      <c r="CY192" s="417"/>
      <c r="CZ192" s="268"/>
    </row>
    <row r="193" spans="1:104" s="1068" customFormat="1">
      <c r="A193" s="271"/>
      <c r="B193" s="271"/>
      <c r="C193" s="271" t="s">
        <v>1030</v>
      </c>
      <c r="D193" s="271"/>
      <c r="E193" s="271"/>
      <c r="F193" s="271"/>
      <c r="G193" s="271"/>
      <c r="H193" s="271"/>
      <c r="I193" s="271"/>
      <c r="J193" s="271"/>
      <c r="K193" s="271"/>
      <c r="L193" s="271"/>
      <c r="M193" s="271"/>
      <c r="N193" s="271"/>
      <c r="O193" s="271"/>
      <c r="P193" s="271"/>
      <c r="Q193" s="271"/>
      <c r="R193" s="271"/>
      <c r="S193" s="271"/>
      <c r="T193" s="271"/>
      <c r="U193" s="271"/>
      <c r="V193" s="271"/>
      <c r="W193" s="271"/>
      <c r="X193" s="271"/>
      <c r="Y193" s="271"/>
      <c r="Z193" s="271"/>
      <c r="AA193" s="271"/>
      <c r="AB193" s="271"/>
      <c r="AC193" s="271"/>
      <c r="AD193" s="302"/>
      <c r="AE193" s="271"/>
      <c r="AF193" s="271"/>
      <c r="AG193" s="271"/>
      <c r="AH193" s="271"/>
      <c r="AI193" s="302"/>
      <c r="AJ193" s="271"/>
      <c r="AK193" s="271"/>
      <c r="AL193" s="271"/>
      <c r="AM193" s="271"/>
      <c r="AN193" s="302"/>
      <c r="AO193" s="302"/>
      <c r="AP193" s="302"/>
      <c r="AQ193" s="302"/>
      <c r="AR193" s="302"/>
      <c r="AS193" s="271"/>
      <c r="AT193" s="271"/>
      <c r="AU193" s="271"/>
      <c r="AV193" s="271"/>
      <c r="AW193" s="271"/>
      <c r="AX193" s="271"/>
      <c r="AY193" s="271"/>
      <c r="AZ193" s="271"/>
      <c r="BA193" s="271"/>
      <c r="BB193" s="271"/>
      <c r="BC193" s="271"/>
      <c r="BD193" s="271"/>
      <c r="BE193" s="271"/>
      <c r="BF193" s="271"/>
      <c r="BG193" s="271"/>
      <c r="BH193" s="271"/>
      <c r="BI193" s="302"/>
      <c r="BJ193" s="302"/>
      <c r="BK193" s="302"/>
      <c r="BL193" s="302"/>
      <c r="BM193" s="302"/>
      <c r="BN193" s="302"/>
      <c r="BO193" s="302"/>
      <c r="BP193" s="302"/>
      <c r="BQ193" s="302"/>
      <c r="BR193" s="302"/>
      <c r="BS193" s="1069"/>
      <c r="BT193" s="1069"/>
      <c r="BU193" s="1069"/>
      <c r="BV193" s="1069"/>
      <c r="BW193" s="302"/>
      <c r="BX193" s="1069"/>
      <c r="BY193" s="1069"/>
      <c r="BZ193" s="1069"/>
      <c r="CA193" s="1069"/>
      <c r="CB193" s="302"/>
      <c r="CC193" s="302"/>
      <c r="CD193" s="302"/>
      <c r="CE193" s="302"/>
      <c r="CF193" s="302"/>
      <c r="CG193" s="481"/>
      <c r="CH193" s="302"/>
      <c r="CI193" s="302"/>
      <c r="CJ193" s="302"/>
      <c r="CK193" s="302"/>
      <c r="CL193" s="1923">
        <f>SUM(CL189:CL192)</f>
        <v>-67.093020079395217</v>
      </c>
      <c r="CM193" s="302"/>
      <c r="CN193" s="302"/>
      <c r="CO193" s="302"/>
      <c r="CP193" s="302"/>
      <c r="CQ193" s="481"/>
      <c r="CR193" s="302"/>
      <c r="CS193" s="302"/>
      <c r="CT193" s="302"/>
      <c r="CU193" s="302"/>
      <c r="CV193" s="481"/>
      <c r="CW193" s="481"/>
      <c r="CX193" s="481"/>
      <c r="CY193" s="481"/>
      <c r="CZ193" s="271"/>
    </row>
    <row r="194" spans="1:104">
      <c r="A194" s="268"/>
      <c r="B194" s="268"/>
      <c r="C194" s="268" t="s">
        <v>668</v>
      </c>
      <c r="D194" s="268"/>
      <c r="E194" s="268"/>
      <c r="F194" s="268"/>
      <c r="G194" s="268"/>
      <c r="H194" s="268"/>
      <c r="I194" s="268"/>
      <c r="J194" s="271"/>
      <c r="K194" s="268"/>
      <c r="L194" s="268"/>
      <c r="M194" s="268"/>
      <c r="N194" s="268"/>
      <c r="O194" s="271"/>
      <c r="P194" s="268"/>
      <c r="Q194" s="268"/>
      <c r="R194" s="268"/>
      <c r="S194" s="268"/>
      <c r="T194" s="271"/>
      <c r="U194" s="268"/>
      <c r="V194" s="268"/>
      <c r="W194" s="268"/>
      <c r="X194" s="268"/>
      <c r="Y194" s="271"/>
      <c r="Z194" s="268"/>
      <c r="AA194" s="268"/>
      <c r="AB194" s="268"/>
      <c r="AC194" s="268"/>
      <c r="AD194" s="302"/>
      <c r="AE194" s="268"/>
      <c r="AF194" s="268"/>
      <c r="AG194" s="268"/>
      <c r="AH194" s="268"/>
      <c r="AI194" s="302"/>
      <c r="AJ194" s="268"/>
      <c r="AK194" s="268"/>
      <c r="AL194" s="268"/>
      <c r="AM194" s="268"/>
      <c r="AN194" s="302"/>
      <c r="AO194" s="302"/>
      <c r="AP194" s="302"/>
      <c r="AQ194" s="302"/>
      <c r="AR194" s="302"/>
      <c r="AS194" s="271"/>
      <c r="AT194" s="271"/>
      <c r="AU194" s="271"/>
      <c r="AV194" s="271"/>
      <c r="AW194" s="271"/>
      <c r="AX194" s="271"/>
      <c r="AY194" s="271"/>
      <c r="AZ194" s="271"/>
      <c r="BA194" s="271"/>
      <c r="BB194" s="271"/>
      <c r="BC194" s="271"/>
      <c r="BD194" s="271"/>
      <c r="BE194" s="271"/>
      <c r="BF194" s="271"/>
      <c r="BG194" s="271"/>
      <c r="BH194" s="271"/>
      <c r="BI194" s="302"/>
      <c r="BJ194" s="302"/>
      <c r="BK194" s="302"/>
      <c r="BL194" s="302"/>
      <c r="BM194" s="302"/>
      <c r="BN194" s="116"/>
      <c r="BO194" s="116"/>
      <c r="BP194" s="116"/>
      <c r="BQ194" s="116"/>
      <c r="BR194" s="116"/>
      <c r="BS194" s="1061"/>
      <c r="BT194" s="1061"/>
      <c r="BU194" s="1061"/>
      <c r="BV194" s="1061"/>
      <c r="BW194" s="116"/>
      <c r="BX194" s="1061"/>
      <c r="BY194" s="1061"/>
      <c r="BZ194" s="1061"/>
      <c r="CA194" s="1061"/>
      <c r="CB194" s="116"/>
      <c r="CC194" s="116"/>
      <c r="CD194" s="116"/>
      <c r="CE194" s="116"/>
      <c r="CF194" s="116"/>
      <c r="CG194" s="116"/>
      <c r="CH194" s="116"/>
      <c r="CI194" s="116"/>
      <c r="CJ194" s="116"/>
      <c r="CK194" s="116"/>
      <c r="CL194" s="1921">
        <f>CL193*(1-IS!CK66)/IS!CK99</f>
        <v>-7.3135835994724438E-2</v>
      </c>
      <c r="CM194" s="116"/>
      <c r="CN194" s="116"/>
      <c r="CO194" s="116"/>
      <c r="CP194" s="116"/>
      <c r="CQ194" s="116"/>
      <c r="CR194" s="116"/>
      <c r="CS194" s="116"/>
      <c r="CT194" s="116"/>
      <c r="CU194" s="116"/>
      <c r="CV194" s="116"/>
      <c r="CW194" s="116"/>
      <c r="CX194" s="116"/>
      <c r="CY194" s="116"/>
      <c r="CZ194" s="268"/>
    </row>
    <row r="195" spans="1:104" hidden="1" outlineLevel="1">
      <c r="A195" s="1021"/>
      <c r="B195" s="1021"/>
      <c r="C195" s="1060" t="s">
        <v>800</v>
      </c>
      <c r="D195" s="1021"/>
      <c r="E195" s="1021"/>
      <c r="F195" s="1021"/>
      <c r="G195" s="1021"/>
      <c r="H195" s="1021"/>
      <c r="I195" s="1021"/>
      <c r="J195" s="1021"/>
      <c r="K195" s="1021"/>
      <c r="L195" s="1021"/>
      <c r="M195" s="1021"/>
      <c r="N195" s="1021"/>
      <c r="O195" s="1021"/>
      <c r="P195" s="1021"/>
      <c r="Q195" s="1021"/>
      <c r="R195" s="1021"/>
      <c r="S195" s="1021"/>
      <c r="T195" s="1021"/>
      <c r="U195" s="1021"/>
      <c r="V195" s="1021"/>
      <c r="W195" s="1021"/>
      <c r="X195" s="1021"/>
      <c r="Y195" s="1021"/>
      <c r="Z195" s="1021"/>
      <c r="AA195" s="1021"/>
      <c r="AB195" s="1021"/>
      <c r="AC195" s="1021"/>
      <c r="AD195" s="1020"/>
      <c r="AE195" s="1021"/>
      <c r="AF195" s="1021"/>
      <c r="AG195" s="1021"/>
      <c r="AH195" s="1021"/>
      <c r="AI195" s="1020"/>
      <c r="AJ195" s="1021"/>
      <c r="AK195" s="1021"/>
      <c r="AL195" s="1021"/>
      <c r="AM195" s="1021"/>
      <c r="AN195" s="1020"/>
      <c r="AO195" s="1020"/>
      <c r="AP195" s="1020"/>
      <c r="AQ195" s="1020"/>
      <c r="AR195" s="1020"/>
      <c r="AS195" s="1021"/>
      <c r="AT195" s="1021"/>
      <c r="AU195" s="1021"/>
      <c r="AV195" s="1021"/>
      <c r="AW195" s="1021"/>
      <c r="AX195" s="1021"/>
      <c r="AY195" s="1021"/>
      <c r="AZ195" s="1021"/>
      <c r="BA195" s="1021"/>
      <c r="BB195" s="1021"/>
      <c r="BC195" s="1021"/>
      <c r="BD195" s="1021"/>
      <c r="BE195" s="1021"/>
      <c r="BF195" s="1021"/>
      <c r="BG195" s="1021"/>
      <c r="BH195" s="1021"/>
      <c r="BI195" s="1020"/>
      <c r="BJ195" s="1020"/>
      <c r="BK195" s="1020"/>
      <c r="BL195" s="1020"/>
      <c r="BM195" s="1020"/>
      <c r="BN195" s="1020"/>
      <c r="BO195" s="1020"/>
      <c r="BP195" s="1020"/>
      <c r="BQ195" s="1020"/>
      <c r="BR195" s="1020"/>
      <c r="BS195" s="1020">
        <f>+BS26</f>
        <v>-2.0286726804123634E-2</v>
      </c>
      <c r="BT195" s="1020">
        <f>+BT26</f>
        <v>-5.2357499818931974E-3</v>
      </c>
      <c r="BU195" s="1020">
        <v>0.01</v>
      </c>
      <c r="BV195" s="1020">
        <v>0.04</v>
      </c>
      <c r="BW195" s="1020"/>
      <c r="BX195" s="1020">
        <v>0.05</v>
      </c>
      <c r="BY195" s="1020">
        <v>0.03</v>
      </c>
      <c r="BZ195" s="1020">
        <v>0.05</v>
      </c>
      <c r="CA195" s="1020">
        <v>0.04</v>
      </c>
      <c r="CB195" s="1020"/>
      <c r="CC195" s="1020">
        <v>0.03</v>
      </c>
      <c r="CD195" s="1020"/>
      <c r="CE195" s="1020"/>
      <c r="CF195" s="1020"/>
      <c r="CG195" s="1020"/>
      <c r="CH195" s="1020"/>
      <c r="CI195" s="1020"/>
      <c r="CJ195" s="1020"/>
      <c r="CK195" s="1020"/>
      <c r="CL195" s="1020"/>
      <c r="CM195" s="1020"/>
      <c r="CN195" s="1020"/>
      <c r="CO195" s="1020"/>
      <c r="CP195" s="1020"/>
      <c r="CQ195" s="1020"/>
      <c r="CR195" s="1020"/>
      <c r="CS195" s="1020"/>
      <c r="CT195" s="1020"/>
      <c r="CU195" s="1020"/>
      <c r="CV195" s="1020"/>
      <c r="CW195" s="1020"/>
      <c r="CX195" s="1020"/>
      <c r="CY195" s="1020"/>
      <c r="CZ195" s="1021"/>
    </row>
    <row r="196" spans="1:104" s="1059" customFormat="1" hidden="1" outlineLevel="1">
      <c r="A196" s="1012"/>
      <c r="B196" s="1012"/>
      <c r="C196" s="1012" t="s">
        <v>799</v>
      </c>
      <c r="D196" s="1012"/>
      <c r="E196" s="1012"/>
      <c r="F196" s="1012"/>
      <c r="G196" s="1012"/>
      <c r="H196" s="1012"/>
      <c r="I196" s="1012"/>
      <c r="J196" s="1021"/>
      <c r="K196" s="1012"/>
      <c r="L196" s="1012"/>
      <c r="M196" s="1012"/>
      <c r="N196" s="1012"/>
      <c r="O196" s="1021"/>
      <c r="P196" s="1012"/>
      <c r="Q196" s="1012"/>
      <c r="R196" s="1012"/>
      <c r="S196" s="1012"/>
      <c r="T196" s="1021"/>
      <c r="U196" s="1012"/>
      <c r="V196" s="1012"/>
      <c r="W196" s="1012"/>
      <c r="X196" s="1012"/>
      <c r="Y196" s="1021"/>
      <c r="Z196" s="1012"/>
      <c r="AA196" s="1012"/>
      <c r="AB196" s="1012"/>
      <c r="AC196" s="1012"/>
      <c r="AD196" s="1020"/>
      <c r="AE196" s="1012"/>
      <c r="AF196" s="1012"/>
      <c r="AG196" s="1012"/>
      <c r="AH196" s="1012"/>
      <c r="AI196" s="1020"/>
      <c r="AJ196" s="1012"/>
      <c r="AK196" s="1012"/>
      <c r="AL196" s="1012"/>
      <c r="AM196" s="1012"/>
      <c r="AN196" s="1020"/>
      <c r="AO196" s="1020"/>
      <c r="AP196" s="1020"/>
      <c r="AQ196" s="1020"/>
      <c r="AR196" s="1020"/>
      <c r="AS196" s="1021"/>
      <c r="AT196" s="1021"/>
      <c r="AU196" s="1021"/>
      <c r="AV196" s="1021"/>
      <c r="AW196" s="1021"/>
      <c r="AX196" s="1021"/>
      <c r="AY196" s="1021"/>
      <c r="AZ196" s="1021"/>
      <c r="BA196" s="1021"/>
      <c r="BB196" s="1021"/>
      <c r="BC196" s="1021"/>
      <c r="BD196" s="1021"/>
      <c r="BE196" s="1021"/>
      <c r="BF196" s="1021"/>
      <c r="BG196" s="1021"/>
      <c r="BH196" s="1021"/>
      <c r="BI196" s="1020"/>
      <c r="BJ196" s="1020"/>
      <c r="BK196" s="1020"/>
      <c r="BL196" s="1020"/>
      <c r="BM196" s="1020"/>
      <c r="BN196" s="1026"/>
      <c r="BO196" s="1026"/>
      <c r="BP196" s="1026"/>
      <c r="BQ196" s="1026"/>
      <c r="BR196" s="1026"/>
      <c r="BS196" s="1020">
        <f>((BN12*Otis!BW16)+('Divisional Summary'!BN13*CCS!BS16))/SUM(BN12:BN13)</f>
        <v>-9.6657948270851383E-3</v>
      </c>
      <c r="BT196" s="1020">
        <f>((BO12*Otis!BX16)+('Divisional Summary'!BO13*CCS!BT16))/SUM(BO12:BO13)</f>
        <v>2.2824055796815367E-2</v>
      </c>
      <c r="BU196" s="1020">
        <f>((BP12*Otis!BY16)+('Divisional Summary'!BP13*CCS!BU16))/SUM(BP12:BP13)</f>
        <v>3.2786817995350714E-2</v>
      </c>
      <c r="BV196" s="1020">
        <f>((BQ12*Otis!BZ16)+('Divisional Summary'!BQ13*CCS!BV16))/SUM(BQ12:BQ13)</f>
        <v>4.1949129488574564E-2</v>
      </c>
      <c r="BW196" s="1020"/>
      <c r="BX196" s="1020">
        <f>((BS12*Otis!CB16)+('Divisional Summary'!BS13*CCS!BX16))/SUM(BS12:BS13)</f>
        <v>4.2692828146143433E-2</v>
      </c>
      <c r="BY196" s="1020">
        <f>((BT12*Otis!CC16)+('Divisional Summary'!BT13*CCS!BY16))/SUM(BT12:BT13)</f>
        <v>2.2683244369222758E-2</v>
      </c>
      <c r="BZ196" s="1020">
        <f>((BU12*Otis!CD16)+('Divisional Summary'!BU13*CCS!BZ16))/SUM(BU12:BU13)</f>
        <v>4.4293602693602691E-2</v>
      </c>
      <c r="CA196" s="1020">
        <f>((BV12*Otis!CE16)+('Divisional Summary'!BV13*CCS!CA16))/SUM(BV12:BV13)</f>
        <v>5.000000000000001E-2</v>
      </c>
      <c r="CB196" s="1026"/>
      <c r="CC196" s="1020">
        <v>0.03</v>
      </c>
      <c r="CD196" s="1020"/>
      <c r="CE196" s="1026"/>
      <c r="CF196" s="1026"/>
      <c r="CG196" s="1026"/>
      <c r="CH196" s="1026"/>
      <c r="CI196" s="1026"/>
      <c r="CJ196" s="1026"/>
      <c r="CK196" s="1026"/>
      <c r="CL196" s="1026"/>
      <c r="CM196" s="1026"/>
      <c r="CN196" s="1026"/>
      <c r="CO196" s="1026"/>
      <c r="CP196" s="1026"/>
      <c r="CQ196" s="1026"/>
      <c r="CR196" s="1026"/>
      <c r="CS196" s="1026"/>
      <c r="CT196" s="1026"/>
      <c r="CU196" s="1026"/>
      <c r="CV196" s="1026"/>
      <c r="CW196" s="1026"/>
      <c r="CX196" s="1026"/>
      <c r="CY196" s="1026"/>
      <c r="CZ196" s="1012"/>
    </row>
    <row r="197" spans="1:104" hidden="1" outlineLevel="1">
      <c r="A197" s="1012"/>
      <c r="B197" s="1012"/>
      <c r="C197" s="1012"/>
      <c r="D197" s="1012" t="s">
        <v>798</v>
      </c>
      <c r="E197" s="1012"/>
      <c r="F197" s="1012"/>
      <c r="G197" s="1012"/>
      <c r="H197" s="1012"/>
      <c r="I197" s="1012"/>
      <c r="J197" s="1021"/>
      <c r="K197" s="1012"/>
      <c r="L197" s="1012"/>
      <c r="M197" s="1012"/>
      <c r="N197" s="1012"/>
      <c r="O197" s="1021"/>
      <c r="P197" s="1012"/>
      <c r="Q197" s="1012"/>
      <c r="R197" s="1012"/>
      <c r="S197" s="1012"/>
      <c r="T197" s="1021"/>
      <c r="U197" s="1012"/>
      <c r="V197" s="1012"/>
      <c r="W197" s="1012"/>
      <c r="X197" s="1012"/>
      <c r="Y197" s="1021"/>
      <c r="Z197" s="1012"/>
      <c r="AA197" s="1012"/>
      <c r="AB197" s="1012"/>
      <c r="AC197" s="1012"/>
      <c r="AD197" s="1020"/>
      <c r="AE197" s="1012"/>
      <c r="AF197" s="1012"/>
      <c r="AG197" s="1012"/>
      <c r="AH197" s="1012"/>
      <c r="AI197" s="1020"/>
      <c r="AJ197" s="1012"/>
      <c r="AK197" s="1012"/>
      <c r="AL197" s="1012"/>
      <c r="AM197" s="1012"/>
      <c r="AN197" s="1020"/>
      <c r="AO197" s="1020"/>
      <c r="AP197" s="1020"/>
      <c r="AQ197" s="1020"/>
      <c r="AR197" s="1020"/>
      <c r="AS197" s="1021"/>
      <c r="AT197" s="1021"/>
      <c r="AU197" s="1021"/>
      <c r="AV197" s="1021"/>
      <c r="AW197" s="1021"/>
      <c r="AX197" s="1021"/>
      <c r="AY197" s="1021"/>
      <c r="AZ197" s="1021"/>
      <c r="BA197" s="1021"/>
      <c r="BB197" s="1021"/>
      <c r="BC197" s="1021"/>
      <c r="BD197" s="1021"/>
      <c r="BE197" s="1021"/>
      <c r="BF197" s="1021"/>
      <c r="BG197" s="1021"/>
      <c r="BH197" s="1021"/>
      <c r="BI197" s="1020"/>
      <c r="BJ197" s="1020"/>
      <c r="BK197" s="1020"/>
      <c r="BL197" s="1020"/>
      <c r="BM197" s="1020"/>
      <c r="BN197" s="1026"/>
      <c r="BO197" s="1026"/>
      <c r="BP197" s="1026"/>
      <c r="BQ197" s="1026"/>
      <c r="BR197" s="1026"/>
      <c r="BS197" s="1026"/>
      <c r="BT197" s="1026"/>
      <c r="BU197" s="1026">
        <v>0.03</v>
      </c>
      <c r="BV197" s="1026">
        <v>7.0000000000000007E-2</v>
      </c>
      <c r="BW197" s="1026"/>
      <c r="BX197" s="1026">
        <v>7.0000000000000007E-2</v>
      </c>
      <c r="BY197" s="1026">
        <v>0.03</v>
      </c>
      <c r="BZ197" s="1026">
        <v>0.05</v>
      </c>
      <c r="CA197" s="1026">
        <v>0.08</v>
      </c>
      <c r="CB197" s="1026"/>
      <c r="CC197" s="1026">
        <v>0.06</v>
      </c>
      <c r="CD197" s="1026"/>
      <c r="CE197" s="1026"/>
      <c r="CF197" s="1026"/>
      <c r="CG197" s="1026"/>
      <c r="CH197" s="1026"/>
      <c r="CI197" s="1026"/>
      <c r="CJ197" s="1026"/>
      <c r="CK197" s="1026"/>
      <c r="CL197" s="1026"/>
      <c r="CM197" s="1026"/>
      <c r="CN197" s="1026"/>
      <c r="CO197" s="1026"/>
      <c r="CP197" s="1026"/>
      <c r="CQ197" s="1026"/>
      <c r="CR197" s="1026"/>
      <c r="CS197" s="1026"/>
      <c r="CT197" s="1026"/>
      <c r="CU197" s="1026"/>
      <c r="CV197" s="1026"/>
      <c r="CW197" s="1026"/>
      <c r="CX197" s="1026"/>
      <c r="CY197" s="1026"/>
      <c r="CZ197" s="1012"/>
    </row>
    <row r="198" spans="1:104" hidden="1" outlineLevel="1">
      <c r="A198" s="1012"/>
      <c r="B198" s="1012"/>
      <c r="C198" s="1012"/>
      <c r="D198" s="1012" t="s">
        <v>564</v>
      </c>
      <c r="E198" s="1012"/>
      <c r="F198" s="1012"/>
      <c r="G198" s="1012"/>
      <c r="H198" s="1012"/>
      <c r="I198" s="1012"/>
      <c r="J198" s="1021"/>
      <c r="K198" s="1012"/>
      <c r="L198" s="1012"/>
      <c r="M198" s="1012"/>
      <c r="N198" s="1012"/>
      <c r="O198" s="1021"/>
      <c r="P198" s="1012"/>
      <c r="Q198" s="1012"/>
      <c r="R198" s="1012"/>
      <c r="S198" s="1012"/>
      <c r="T198" s="1021"/>
      <c r="U198" s="1012"/>
      <c r="V198" s="1012"/>
      <c r="W198" s="1012"/>
      <c r="X198" s="1012"/>
      <c r="Y198" s="1021"/>
      <c r="Z198" s="1012"/>
      <c r="AA198" s="1012"/>
      <c r="AB198" s="1012"/>
      <c r="AC198" s="1012"/>
      <c r="AD198" s="1020"/>
      <c r="AE198" s="1012"/>
      <c r="AF198" s="1012"/>
      <c r="AG198" s="1012"/>
      <c r="AH198" s="1012"/>
      <c r="AI198" s="1020"/>
      <c r="AJ198" s="1012"/>
      <c r="AK198" s="1012"/>
      <c r="AL198" s="1012"/>
      <c r="AM198" s="1012"/>
      <c r="AN198" s="1020"/>
      <c r="AO198" s="1020"/>
      <c r="AP198" s="1020"/>
      <c r="AQ198" s="1020"/>
      <c r="AR198" s="1020"/>
      <c r="AS198" s="1021"/>
      <c r="AT198" s="1021"/>
      <c r="AU198" s="1021"/>
      <c r="AV198" s="1021"/>
      <c r="AW198" s="1021"/>
      <c r="AX198" s="1021"/>
      <c r="AY198" s="1021"/>
      <c r="AZ198" s="1021"/>
      <c r="BA198" s="1021"/>
      <c r="BB198" s="1021"/>
      <c r="BC198" s="1021"/>
      <c r="BD198" s="1021"/>
      <c r="BE198" s="1021"/>
      <c r="BF198" s="1021"/>
      <c r="BG198" s="1021"/>
      <c r="BH198" s="1021"/>
      <c r="BI198" s="1020"/>
      <c r="BJ198" s="1020"/>
      <c r="BK198" s="1020"/>
      <c r="BL198" s="1020"/>
      <c r="BM198" s="1020"/>
      <c r="BN198" s="1026"/>
      <c r="BO198" s="1026"/>
      <c r="BP198" s="1026"/>
      <c r="BQ198" s="1026"/>
      <c r="BR198" s="1026"/>
      <c r="BS198" s="1026"/>
      <c r="BT198" s="1026"/>
      <c r="BU198" s="1026">
        <v>-0.01</v>
      </c>
      <c r="BV198" s="1026">
        <v>0</v>
      </c>
      <c r="BW198" s="1026"/>
      <c r="BX198" s="1026">
        <v>0.03</v>
      </c>
      <c r="BY198" s="1026">
        <v>-0.01</v>
      </c>
      <c r="BZ198" s="1026">
        <v>0.01</v>
      </c>
      <c r="CA198" s="1026">
        <v>0.01</v>
      </c>
      <c r="CB198" s="1026"/>
      <c r="CC198" s="1026">
        <v>0.01</v>
      </c>
      <c r="CD198" s="1026"/>
      <c r="CE198" s="1026"/>
      <c r="CF198" s="1026"/>
      <c r="CG198" s="1026"/>
      <c r="CH198" s="1026"/>
      <c r="CI198" s="1026"/>
      <c r="CJ198" s="1026"/>
      <c r="CK198" s="1026"/>
      <c r="CL198" s="1026"/>
      <c r="CM198" s="1026"/>
      <c r="CN198" s="1026"/>
      <c r="CO198" s="1026"/>
      <c r="CP198" s="1026"/>
      <c r="CQ198" s="1026"/>
      <c r="CR198" s="1026"/>
      <c r="CS198" s="1026"/>
      <c r="CT198" s="1026"/>
      <c r="CU198" s="1026"/>
      <c r="CV198" s="1026"/>
      <c r="CW198" s="1026"/>
      <c r="CX198" s="1026"/>
      <c r="CY198" s="1026"/>
      <c r="CZ198" s="1012"/>
    </row>
    <row r="199" spans="1:104" hidden="1" outlineLevel="1">
      <c r="A199" s="1012"/>
      <c r="B199" s="1012"/>
      <c r="C199" s="1012"/>
      <c r="D199" s="1012" t="s">
        <v>563</v>
      </c>
      <c r="E199" s="1012"/>
      <c r="F199" s="1012"/>
      <c r="G199" s="1012"/>
      <c r="H199" s="1012"/>
      <c r="I199" s="1012"/>
      <c r="J199" s="1021"/>
      <c r="K199" s="1012"/>
      <c r="L199" s="1012"/>
      <c r="M199" s="1012"/>
      <c r="N199" s="1012"/>
      <c r="O199" s="1021"/>
      <c r="P199" s="1012"/>
      <c r="Q199" s="1012"/>
      <c r="R199" s="1012"/>
      <c r="S199" s="1012"/>
      <c r="T199" s="1021"/>
      <c r="U199" s="1012"/>
      <c r="V199" s="1012"/>
      <c r="W199" s="1012"/>
      <c r="X199" s="1012"/>
      <c r="Y199" s="1021"/>
      <c r="Z199" s="1012"/>
      <c r="AA199" s="1012"/>
      <c r="AB199" s="1012"/>
      <c r="AC199" s="1012"/>
      <c r="AD199" s="1020"/>
      <c r="AE199" s="1012"/>
      <c r="AF199" s="1012"/>
      <c r="AG199" s="1012"/>
      <c r="AH199" s="1012"/>
      <c r="AI199" s="1020"/>
      <c r="AJ199" s="1012"/>
      <c r="AK199" s="1012"/>
      <c r="AL199" s="1012"/>
      <c r="AM199" s="1012"/>
      <c r="AN199" s="1020"/>
      <c r="AO199" s="1020"/>
      <c r="AP199" s="1020"/>
      <c r="AQ199" s="1020"/>
      <c r="AR199" s="1020"/>
      <c r="AS199" s="1021"/>
      <c r="AT199" s="1021"/>
      <c r="AU199" s="1021"/>
      <c r="AV199" s="1021"/>
      <c r="AW199" s="1021"/>
      <c r="AX199" s="1021"/>
      <c r="AY199" s="1021"/>
      <c r="AZ199" s="1021"/>
      <c r="BA199" s="1021"/>
      <c r="BB199" s="1021"/>
      <c r="BC199" s="1021"/>
      <c r="BD199" s="1021"/>
      <c r="BE199" s="1021"/>
      <c r="BF199" s="1021"/>
      <c r="BG199" s="1021"/>
      <c r="BH199" s="1021"/>
      <c r="BI199" s="1020"/>
      <c r="BJ199" s="1020"/>
      <c r="BK199" s="1020"/>
      <c r="BL199" s="1020"/>
      <c r="BM199" s="1020"/>
      <c r="BN199" s="1026"/>
      <c r="BO199" s="1026"/>
      <c r="BP199" s="1026"/>
      <c r="BQ199" s="1026"/>
      <c r="BR199" s="1026"/>
      <c r="BS199" s="1026"/>
      <c r="BT199" s="1026"/>
      <c r="BU199" s="1026"/>
      <c r="BV199" s="1026">
        <v>0.04</v>
      </c>
      <c r="BW199" s="1026"/>
      <c r="BX199" s="1026">
        <v>7.0000000000000007E-2</v>
      </c>
      <c r="BY199" s="1026">
        <v>0.05</v>
      </c>
      <c r="BZ199" s="1026">
        <v>7.0000000000000007E-2</v>
      </c>
      <c r="CA199" s="1026">
        <v>7.0000000000000007E-2</v>
      </c>
      <c r="CB199" s="1026"/>
      <c r="CC199" s="1026">
        <v>0.06</v>
      </c>
      <c r="CD199" s="1026"/>
      <c r="CE199" s="1026"/>
      <c r="CF199" s="1026"/>
      <c r="CG199" s="1026"/>
      <c r="CH199" s="1026"/>
      <c r="CI199" s="1026"/>
      <c r="CJ199" s="1026"/>
      <c r="CK199" s="1026"/>
      <c r="CL199" s="1026"/>
      <c r="CM199" s="1026"/>
      <c r="CN199" s="1026"/>
      <c r="CO199" s="1026"/>
      <c r="CP199" s="1026"/>
      <c r="CQ199" s="1026"/>
      <c r="CR199" s="1026"/>
      <c r="CS199" s="1026"/>
      <c r="CT199" s="1026"/>
      <c r="CU199" s="1026"/>
      <c r="CV199" s="1026"/>
      <c r="CW199" s="1026"/>
      <c r="CX199" s="1026"/>
      <c r="CY199" s="1026"/>
      <c r="CZ199" s="1012"/>
    </row>
    <row r="200" spans="1:104" hidden="1" outlineLevel="1">
      <c r="A200" s="1012"/>
      <c r="B200" s="1012"/>
      <c r="C200" s="1012"/>
      <c r="D200" s="1058" t="s">
        <v>797</v>
      </c>
      <c r="E200" s="1012"/>
      <c r="F200" s="1012"/>
      <c r="G200" s="1012"/>
      <c r="H200" s="1012"/>
      <c r="I200" s="1012"/>
      <c r="J200" s="1021"/>
      <c r="K200" s="1012"/>
      <c r="L200" s="1012"/>
      <c r="M200" s="1012"/>
      <c r="N200" s="1012"/>
      <c r="O200" s="1021"/>
      <c r="P200" s="1012"/>
      <c r="Q200" s="1012"/>
      <c r="R200" s="1012"/>
      <c r="S200" s="1012"/>
      <c r="T200" s="1021"/>
      <c r="U200" s="1012"/>
      <c r="V200" s="1012"/>
      <c r="W200" s="1012"/>
      <c r="X200" s="1012"/>
      <c r="Y200" s="1021"/>
      <c r="Z200" s="1012"/>
      <c r="AA200" s="1012"/>
      <c r="AB200" s="1012"/>
      <c r="AC200" s="1012"/>
      <c r="AD200" s="1020"/>
      <c r="AE200" s="1012"/>
      <c r="AF200" s="1012"/>
      <c r="AG200" s="1012"/>
      <c r="AH200" s="1012"/>
      <c r="AI200" s="1020"/>
      <c r="AJ200" s="1012"/>
      <c r="AK200" s="1012"/>
      <c r="AL200" s="1012"/>
      <c r="AM200" s="1012"/>
      <c r="AN200" s="1020"/>
      <c r="AO200" s="1020"/>
      <c r="AP200" s="1020"/>
      <c r="AQ200" s="1020"/>
      <c r="AR200" s="1020"/>
      <c r="AS200" s="1021"/>
      <c r="AT200" s="1021"/>
      <c r="AU200" s="1021"/>
      <c r="AV200" s="1021"/>
      <c r="AW200" s="1021"/>
      <c r="AX200" s="1021"/>
      <c r="AY200" s="1021"/>
      <c r="AZ200" s="1021"/>
      <c r="BA200" s="1021"/>
      <c r="BB200" s="1021"/>
      <c r="BC200" s="1021"/>
      <c r="BD200" s="1021"/>
      <c r="BE200" s="1021"/>
      <c r="BF200" s="1021"/>
      <c r="BG200" s="1021"/>
      <c r="BH200" s="1021"/>
      <c r="BI200" s="1020"/>
      <c r="BJ200" s="1020"/>
      <c r="BK200" s="1020"/>
      <c r="BL200" s="1020"/>
      <c r="BM200" s="1020"/>
      <c r="BN200" s="1026"/>
      <c r="BO200" s="1026"/>
      <c r="BP200" s="1026"/>
      <c r="BQ200" s="1026"/>
      <c r="BR200" s="1026"/>
      <c r="BS200" s="1026"/>
      <c r="BT200" s="1026"/>
      <c r="BU200" s="1026">
        <v>0.11</v>
      </c>
      <c r="BV200" s="1026"/>
      <c r="BW200" s="1026"/>
      <c r="BX200" s="1026"/>
      <c r="BY200" s="1026"/>
      <c r="BZ200" s="1026"/>
      <c r="CA200" s="1026"/>
      <c r="CB200" s="1026"/>
      <c r="CC200" s="1026"/>
      <c r="CD200" s="1026"/>
      <c r="CE200" s="1026"/>
      <c r="CF200" s="1026"/>
      <c r="CG200" s="1026"/>
      <c r="CH200" s="1026"/>
      <c r="CI200" s="1026"/>
      <c r="CJ200" s="1026"/>
      <c r="CK200" s="1026"/>
      <c r="CL200" s="1026"/>
      <c r="CM200" s="1026"/>
      <c r="CN200" s="1026"/>
      <c r="CO200" s="1026"/>
      <c r="CP200" s="1026"/>
      <c r="CQ200" s="1026"/>
      <c r="CR200" s="1026"/>
      <c r="CS200" s="1026"/>
      <c r="CT200" s="1026"/>
      <c r="CU200" s="1026"/>
      <c r="CV200" s="1026"/>
      <c r="CW200" s="1026"/>
      <c r="CX200" s="1026"/>
      <c r="CY200" s="1026"/>
      <c r="CZ200" s="1012"/>
    </row>
    <row r="201" spans="1:104" hidden="1" outlineLevel="1">
      <c r="A201" s="1012"/>
      <c r="B201" s="1012"/>
      <c r="C201" s="1012"/>
      <c r="D201" s="1058" t="s">
        <v>796</v>
      </c>
      <c r="E201" s="1012"/>
      <c r="F201" s="1012"/>
      <c r="G201" s="1012"/>
      <c r="H201" s="1012"/>
      <c r="I201" s="1012"/>
      <c r="J201" s="1021"/>
      <c r="K201" s="1012"/>
      <c r="L201" s="1012"/>
      <c r="M201" s="1012"/>
      <c r="N201" s="1012"/>
      <c r="O201" s="1021"/>
      <c r="P201" s="1012"/>
      <c r="Q201" s="1012"/>
      <c r="R201" s="1012"/>
      <c r="S201" s="1012"/>
      <c r="T201" s="1021"/>
      <c r="U201" s="1012"/>
      <c r="V201" s="1012"/>
      <c r="W201" s="1012"/>
      <c r="X201" s="1012"/>
      <c r="Y201" s="1021"/>
      <c r="Z201" s="1012"/>
      <c r="AA201" s="1012"/>
      <c r="AB201" s="1012"/>
      <c r="AC201" s="1012"/>
      <c r="AD201" s="1020"/>
      <c r="AE201" s="1012"/>
      <c r="AF201" s="1012"/>
      <c r="AG201" s="1012"/>
      <c r="AH201" s="1012"/>
      <c r="AI201" s="1020"/>
      <c r="AJ201" s="1012"/>
      <c r="AK201" s="1012"/>
      <c r="AL201" s="1012"/>
      <c r="AM201" s="1012"/>
      <c r="AN201" s="1020"/>
      <c r="AO201" s="1020"/>
      <c r="AP201" s="1020"/>
      <c r="AQ201" s="1020"/>
      <c r="AR201" s="1020"/>
      <c r="AS201" s="1021"/>
      <c r="AT201" s="1021"/>
      <c r="AU201" s="1021"/>
      <c r="AV201" s="1021"/>
      <c r="AW201" s="1021"/>
      <c r="AX201" s="1021"/>
      <c r="AY201" s="1021"/>
      <c r="AZ201" s="1021"/>
      <c r="BA201" s="1021"/>
      <c r="BB201" s="1021"/>
      <c r="BC201" s="1021"/>
      <c r="BD201" s="1021"/>
      <c r="BE201" s="1021"/>
      <c r="BF201" s="1021"/>
      <c r="BG201" s="1021"/>
      <c r="BH201" s="1021"/>
      <c r="BI201" s="1020"/>
      <c r="BJ201" s="1020"/>
      <c r="BK201" s="1020"/>
      <c r="BL201" s="1020"/>
      <c r="BM201" s="1020"/>
      <c r="BN201" s="1026"/>
      <c r="BO201" s="1026"/>
      <c r="BP201" s="1026"/>
      <c r="BQ201" s="1026"/>
      <c r="BR201" s="1026"/>
      <c r="BS201" s="1026"/>
      <c r="BT201" s="1026"/>
      <c r="BU201" s="1026">
        <v>-0.04</v>
      </c>
      <c r="BV201" s="1026"/>
      <c r="BW201" s="1026"/>
      <c r="BX201" s="1026"/>
      <c r="BY201" s="1026"/>
      <c r="BZ201" s="1026"/>
      <c r="CA201" s="1026"/>
      <c r="CB201" s="1026"/>
      <c r="CC201" s="1026"/>
      <c r="CD201" s="1026"/>
      <c r="CE201" s="1026"/>
      <c r="CF201" s="1026"/>
      <c r="CG201" s="1026"/>
      <c r="CH201" s="1026"/>
      <c r="CI201" s="1026"/>
      <c r="CJ201" s="1026"/>
      <c r="CK201" s="1026"/>
      <c r="CL201" s="1026"/>
      <c r="CM201" s="1026"/>
      <c r="CN201" s="1026"/>
      <c r="CO201" s="1026"/>
      <c r="CP201" s="1026"/>
      <c r="CQ201" s="1026"/>
      <c r="CR201" s="1026"/>
      <c r="CS201" s="1026"/>
      <c r="CT201" s="1026"/>
      <c r="CU201" s="1026"/>
      <c r="CV201" s="1026"/>
      <c r="CW201" s="1026"/>
      <c r="CX201" s="1026"/>
      <c r="CY201" s="1026"/>
      <c r="CZ201" s="1012"/>
    </row>
    <row r="202" spans="1:104" hidden="1" outlineLevel="1">
      <c r="A202" s="1012"/>
      <c r="B202" s="1012"/>
      <c r="C202" s="1012"/>
      <c r="D202" s="1058"/>
      <c r="E202" s="1012"/>
      <c r="F202" s="1012"/>
      <c r="G202" s="1012"/>
      <c r="H202" s="1012"/>
      <c r="I202" s="1012"/>
      <c r="J202" s="1021"/>
      <c r="K202" s="1012"/>
      <c r="L202" s="1012"/>
      <c r="M202" s="1012"/>
      <c r="N202" s="1012"/>
      <c r="O202" s="1021"/>
      <c r="P202" s="1012"/>
      <c r="Q202" s="1012"/>
      <c r="R202" s="1012"/>
      <c r="S202" s="1012"/>
      <c r="T202" s="1021"/>
      <c r="U202" s="1012"/>
      <c r="V202" s="1012"/>
      <c r="W202" s="1012"/>
      <c r="X202" s="1012"/>
      <c r="Y202" s="1021"/>
      <c r="Z202" s="1012"/>
      <c r="AA202" s="1012"/>
      <c r="AB202" s="1012"/>
      <c r="AC202" s="1012"/>
      <c r="AD202" s="1020"/>
      <c r="AE202" s="1012"/>
      <c r="AF202" s="1012"/>
      <c r="AG202" s="1012"/>
      <c r="AH202" s="1012"/>
      <c r="AI202" s="1020"/>
      <c r="AJ202" s="1012"/>
      <c r="AK202" s="1012"/>
      <c r="AL202" s="1012"/>
      <c r="AM202" s="1012"/>
      <c r="AN202" s="1020"/>
      <c r="AO202" s="1020"/>
      <c r="AP202" s="1020"/>
      <c r="AQ202" s="1020"/>
      <c r="AR202" s="1020"/>
      <c r="AS202" s="1021"/>
      <c r="AT202" s="1021"/>
      <c r="AU202" s="1021"/>
      <c r="AV202" s="1021"/>
      <c r="AW202" s="1021"/>
      <c r="AX202" s="1021"/>
      <c r="AY202" s="1021"/>
      <c r="AZ202" s="1021"/>
      <c r="BA202" s="1021"/>
      <c r="BB202" s="1021"/>
      <c r="BC202" s="1021"/>
      <c r="BD202" s="1021"/>
      <c r="BE202" s="1021"/>
      <c r="BF202" s="1021"/>
      <c r="BG202" s="1021"/>
      <c r="BH202" s="1021"/>
      <c r="BI202" s="1020"/>
      <c r="BJ202" s="1020"/>
      <c r="BK202" s="1020"/>
      <c r="BL202" s="1020"/>
      <c r="BM202" s="1020"/>
      <c r="BN202" s="1026"/>
      <c r="BO202" s="1026"/>
      <c r="BP202" s="1026"/>
      <c r="BQ202" s="1026"/>
      <c r="BR202" s="1026"/>
      <c r="BS202" s="1026"/>
      <c r="BT202" s="1026"/>
      <c r="BU202" s="1026"/>
      <c r="BV202" s="1026"/>
      <c r="BW202" s="1026"/>
      <c r="BX202" s="1026"/>
      <c r="BY202" s="1026"/>
      <c r="BZ202" s="1026"/>
      <c r="CA202" s="1026"/>
      <c r="CB202" s="1026"/>
      <c r="CC202" s="1026"/>
      <c r="CD202" s="1026"/>
      <c r="CE202" s="1026"/>
      <c r="CF202" s="1026"/>
      <c r="CG202" s="1026"/>
      <c r="CH202" s="1026"/>
      <c r="CI202" s="1026"/>
      <c r="CJ202" s="1026"/>
      <c r="CK202" s="1026"/>
      <c r="CL202" s="1026"/>
      <c r="CM202" s="1026"/>
      <c r="CN202" s="1026"/>
      <c r="CO202" s="1026"/>
      <c r="CP202" s="1026"/>
      <c r="CQ202" s="1026"/>
      <c r="CR202" s="1026"/>
      <c r="CS202" s="1026"/>
      <c r="CT202" s="1026"/>
      <c r="CU202" s="1026"/>
      <c r="CV202" s="1026"/>
      <c r="CW202" s="1026"/>
      <c r="CX202" s="1026"/>
      <c r="CY202" s="1026"/>
      <c r="CZ202" s="1012"/>
    </row>
    <row r="203" spans="1:104" hidden="1" outlineLevel="1">
      <c r="A203" s="1012"/>
      <c r="B203" s="1012"/>
      <c r="C203" s="1012" t="s">
        <v>515</v>
      </c>
      <c r="D203" s="1012"/>
      <c r="E203" s="1012"/>
      <c r="F203" s="1012"/>
      <c r="G203" s="1012"/>
      <c r="H203" s="1012"/>
      <c r="I203" s="1012"/>
      <c r="J203" s="1021"/>
      <c r="K203" s="1012"/>
      <c r="L203" s="1012"/>
      <c r="M203" s="1012"/>
      <c r="N203" s="1012"/>
      <c r="O203" s="1021"/>
      <c r="P203" s="1012"/>
      <c r="Q203" s="1012"/>
      <c r="R203" s="1012"/>
      <c r="S203" s="1012"/>
      <c r="T203" s="1021"/>
      <c r="U203" s="1012"/>
      <c r="V203" s="1012"/>
      <c r="W203" s="1012"/>
      <c r="X203" s="1012"/>
      <c r="Y203" s="1021"/>
      <c r="Z203" s="1012"/>
      <c r="AA203" s="1012"/>
      <c r="AB203" s="1012"/>
      <c r="AC203" s="1012"/>
      <c r="AD203" s="1020"/>
      <c r="AE203" s="1012"/>
      <c r="AF203" s="1012"/>
      <c r="AG203" s="1012"/>
      <c r="AH203" s="1012"/>
      <c r="AI203" s="1020"/>
      <c r="AJ203" s="1012"/>
      <c r="AK203" s="1012"/>
      <c r="AL203" s="1012"/>
      <c r="AM203" s="1012"/>
      <c r="AN203" s="1020"/>
      <c r="AO203" s="1020"/>
      <c r="AP203" s="1020"/>
      <c r="AQ203" s="1020"/>
      <c r="AR203" s="1020"/>
      <c r="AS203" s="1021"/>
      <c r="AT203" s="1021"/>
      <c r="AU203" s="1021"/>
      <c r="AV203" s="1021"/>
      <c r="AW203" s="1021"/>
      <c r="AX203" s="1021"/>
      <c r="AY203" s="1021"/>
      <c r="AZ203" s="1021"/>
      <c r="BA203" s="1021"/>
      <c r="BB203" s="1021"/>
      <c r="BC203" s="1021"/>
      <c r="BD203" s="1021"/>
      <c r="BE203" s="1021"/>
      <c r="BF203" s="1021"/>
      <c r="BG203" s="1021"/>
      <c r="BH203" s="1021"/>
      <c r="BI203" s="1020"/>
      <c r="BJ203" s="1020"/>
      <c r="BK203" s="1020"/>
      <c r="BL203" s="1020"/>
      <c r="BM203" s="1020"/>
      <c r="BN203" s="1026"/>
      <c r="BO203" s="1026"/>
      <c r="BP203" s="1026"/>
      <c r="BQ203" s="1026"/>
      <c r="BR203" s="1026"/>
      <c r="BS203" s="1020">
        <v>-2.55236066737663E-2</v>
      </c>
      <c r="BT203" s="1020">
        <v>-3.8875177978167905E-2</v>
      </c>
      <c r="BU203" s="1020">
        <v>-6.7654884074496036E-3</v>
      </c>
      <c r="BV203" s="1020">
        <v>5.4894491938101982E-2</v>
      </c>
      <c r="BW203" s="1020"/>
      <c r="BX203" s="1020">
        <v>5.6137225170583775E-2</v>
      </c>
      <c r="BY203" s="1020">
        <v>3.7966161438138864E-2</v>
      </c>
      <c r="BZ203" s="1020">
        <v>5.4019905328316541E-2</v>
      </c>
      <c r="CA203" s="1020">
        <v>2.9720250079474413E-2</v>
      </c>
      <c r="CB203" s="1026"/>
      <c r="CC203" s="1026"/>
      <c r="CD203" s="1026"/>
      <c r="CE203" s="1026"/>
      <c r="CF203" s="1026"/>
      <c r="CG203" s="1026"/>
      <c r="CH203" s="1026"/>
      <c r="CI203" s="1026"/>
      <c r="CJ203" s="1026"/>
      <c r="CK203" s="1026"/>
      <c r="CL203" s="1026"/>
      <c r="CM203" s="1026"/>
      <c r="CN203" s="1026"/>
      <c r="CO203" s="1026"/>
      <c r="CP203" s="1026"/>
      <c r="CQ203" s="1026"/>
      <c r="CR203" s="1026"/>
      <c r="CS203" s="1026"/>
      <c r="CT203" s="1026"/>
      <c r="CU203" s="1026"/>
      <c r="CV203" s="1026"/>
      <c r="CW203" s="1026"/>
      <c r="CX203" s="1026"/>
      <c r="CY203" s="1026"/>
      <c r="CZ203" s="1012"/>
    </row>
    <row r="204" spans="1:104" hidden="1" outlineLevel="1">
      <c r="A204" s="1012"/>
      <c r="B204" s="1012"/>
      <c r="C204" s="1012"/>
      <c r="D204" s="1012" t="s">
        <v>516</v>
      </c>
      <c r="E204" s="1012"/>
      <c r="F204" s="1012"/>
      <c r="G204" s="1012"/>
      <c r="H204" s="1012"/>
      <c r="I204" s="1012"/>
      <c r="J204" s="1021"/>
      <c r="K204" s="1012"/>
      <c r="L204" s="1012"/>
      <c r="M204" s="1012"/>
      <c r="N204" s="1012"/>
      <c r="O204" s="1021"/>
      <c r="P204" s="1012"/>
      <c r="Q204" s="1012"/>
      <c r="R204" s="1012"/>
      <c r="S204" s="1012"/>
      <c r="T204" s="1021"/>
      <c r="U204" s="1012"/>
      <c r="V204" s="1012"/>
      <c r="W204" s="1012"/>
      <c r="X204" s="1012"/>
      <c r="Y204" s="1021"/>
      <c r="Z204" s="1012"/>
      <c r="AA204" s="1012"/>
      <c r="AB204" s="1012"/>
      <c r="AC204" s="1012"/>
      <c r="AD204" s="1020"/>
      <c r="AE204" s="1012"/>
      <c r="AF204" s="1012"/>
      <c r="AG204" s="1012"/>
      <c r="AH204" s="1012"/>
      <c r="AI204" s="1020"/>
      <c r="AJ204" s="1012"/>
      <c r="AK204" s="1012"/>
      <c r="AL204" s="1012"/>
      <c r="AM204" s="1012"/>
      <c r="AN204" s="1020"/>
      <c r="AO204" s="1020"/>
      <c r="AP204" s="1020"/>
      <c r="AQ204" s="1020"/>
      <c r="AR204" s="1020"/>
      <c r="AS204" s="1021"/>
      <c r="AT204" s="1021"/>
      <c r="AU204" s="1021"/>
      <c r="AV204" s="1021"/>
      <c r="AW204" s="1021"/>
      <c r="AX204" s="1021"/>
      <c r="AY204" s="1021"/>
      <c r="AZ204" s="1021"/>
      <c r="BA204" s="1021"/>
      <c r="BB204" s="1021"/>
      <c r="BC204" s="1021"/>
      <c r="BD204" s="1021"/>
      <c r="BE204" s="1021"/>
      <c r="BF204" s="1021"/>
      <c r="BG204" s="1021"/>
      <c r="BH204" s="1021"/>
      <c r="BI204" s="1020"/>
      <c r="BJ204" s="1020"/>
      <c r="BK204" s="1020"/>
      <c r="BL204" s="1020"/>
      <c r="BM204" s="1020"/>
      <c r="BN204" s="1026"/>
      <c r="BO204" s="1026"/>
      <c r="BP204" s="1026"/>
      <c r="BQ204" s="1026"/>
      <c r="BR204" s="1026"/>
      <c r="BS204" s="1026"/>
      <c r="BT204" s="1026"/>
      <c r="BU204" s="1026">
        <v>7.0000000000000007E-2</v>
      </c>
      <c r="BV204" s="1026">
        <v>0.14000000000000001</v>
      </c>
      <c r="BW204" s="1026"/>
      <c r="BX204" s="1026">
        <v>0.08</v>
      </c>
      <c r="BY204" s="1026">
        <v>7.0000000000000007E-2</v>
      </c>
      <c r="BZ204" s="1026">
        <v>0.09</v>
      </c>
      <c r="CA204" s="1026">
        <v>0</v>
      </c>
      <c r="CB204" s="1026"/>
      <c r="CC204" s="1026">
        <v>0.03</v>
      </c>
      <c r="CD204" s="1026"/>
      <c r="CE204" s="1026"/>
      <c r="CF204" s="1026"/>
      <c r="CG204" s="1026"/>
      <c r="CH204" s="1026"/>
      <c r="CI204" s="1026"/>
      <c r="CJ204" s="1026"/>
      <c r="CK204" s="1026"/>
      <c r="CL204" s="1026"/>
      <c r="CM204" s="1026"/>
      <c r="CN204" s="1026"/>
      <c r="CO204" s="1026"/>
      <c r="CP204" s="1026"/>
      <c r="CQ204" s="1026"/>
      <c r="CR204" s="1026"/>
      <c r="CS204" s="1026"/>
      <c r="CT204" s="1026"/>
      <c r="CU204" s="1026"/>
      <c r="CV204" s="1026"/>
      <c r="CW204" s="1026"/>
      <c r="CX204" s="1026"/>
      <c r="CY204" s="1026"/>
      <c r="CZ204" s="1012"/>
    </row>
    <row r="205" spans="1:104" hidden="1" outlineLevel="1">
      <c r="A205" s="1012"/>
      <c r="B205" s="1012"/>
      <c r="C205" s="1012"/>
      <c r="D205" s="1012" t="s">
        <v>795</v>
      </c>
      <c r="E205" s="1012"/>
      <c r="F205" s="1012"/>
      <c r="G205" s="1012"/>
      <c r="H205" s="1012"/>
      <c r="I205" s="1012"/>
      <c r="J205" s="1021"/>
      <c r="K205" s="1012"/>
      <c r="L205" s="1012"/>
      <c r="M205" s="1012"/>
      <c r="N205" s="1012"/>
      <c r="O205" s="1021"/>
      <c r="P205" s="1012"/>
      <c r="Q205" s="1012"/>
      <c r="R205" s="1012"/>
      <c r="S205" s="1012"/>
      <c r="T205" s="1021"/>
      <c r="U205" s="1012"/>
      <c r="V205" s="1012"/>
      <c r="W205" s="1012"/>
      <c r="X205" s="1012"/>
      <c r="Y205" s="1021"/>
      <c r="Z205" s="1012"/>
      <c r="AA205" s="1012"/>
      <c r="AB205" s="1012"/>
      <c r="AC205" s="1012"/>
      <c r="AD205" s="1020"/>
      <c r="AE205" s="1012"/>
      <c r="AF205" s="1012"/>
      <c r="AG205" s="1012"/>
      <c r="AH205" s="1012"/>
      <c r="AI205" s="1020"/>
      <c r="AJ205" s="1012"/>
      <c r="AK205" s="1012"/>
      <c r="AL205" s="1012"/>
      <c r="AM205" s="1012"/>
      <c r="AN205" s="1020"/>
      <c r="AO205" s="1020"/>
      <c r="AP205" s="1020"/>
      <c r="AQ205" s="1020"/>
      <c r="AR205" s="1020"/>
      <c r="AS205" s="1021"/>
      <c r="AT205" s="1021"/>
      <c r="AU205" s="1021"/>
      <c r="AV205" s="1021"/>
      <c r="AW205" s="1021"/>
      <c r="AX205" s="1021"/>
      <c r="AY205" s="1021"/>
      <c r="AZ205" s="1021"/>
      <c r="BA205" s="1021"/>
      <c r="BB205" s="1021"/>
      <c r="BC205" s="1021"/>
      <c r="BD205" s="1021"/>
      <c r="BE205" s="1021"/>
      <c r="BF205" s="1021"/>
      <c r="BG205" s="1021"/>
      <c r="BH205" s="1021"/>
      <c r="BI205" s="1020"/>
      <c r="BJ205" s="1020"/>
      <c r="BK205" s="1020"/>
      <c r="BL205" s="1020"/>
      <c r="BM205" s="1020"/>
      <c r="BN205" s="1026"/>
      <c r="BO205" s="1026"/>
      <c r="BP205" s="1026"/>
      <c r="BQ205" s="1026"/>
      <c r="BR205" s="1026"/>
      <c r="BS205" s="1026"/>
      <c r="BT205" s="1026"/>
      <c r="BU205" s="1026">
        <v>-0.14000000000000001</v>
      </c>
      <c r="BV205" s="1026">
        <v>-0.08</v>
      </c>
      <c r="BW205" s="1026"/>
      <c r="BX205" s="1026">
        <v>-0.02</v>
      </c>
      <c r="BY205" s="1026">
        <v>-0.04</v>
      </c>
      <c r="BZ205" s="1026">
        <v>0.03</v>
      </c>
      <c r="CA205" s="1026">
        <v>7.0000000000000007E-2</v>
      </c>
      <c r="CB205" s="1026"/>
      <c r="CC205" s="1026">
        <v>0</v>
      </c>
      <c r="CD205" s="1026"/>
      <c r="CE205" s="1026"/>
      <c r="CF205" s="1026"/>
      <c r="CG205" s="1026"/>
      <c r="CH205" s="1026"/>
      <c r="CI205" s="1026"/>
      <c r="CJ205" s="1026"/>
      <c r="CK205" s="1026"/>
      <c r="CL205" s="1026"/>
      <c r="CM205" s="1026"/>
      <c r="CN205" s="1026"/>
      <c r="CO205" s="1026"/>
      <c r="CP205" s="1026"/>
      <c r="CQ205" s="1026"/>
      <c r="CR205" s="1026"/>
      <c r="CS205" s="1026"/>
      <c r="CT205" s="1026"/>
      <c r="CU205" s="1026"/>
      <c r="CV205" s="1026"/>
      <c r="CW205" s="1026"/>
      <c r="CX205" s="1026"/>
      <c r="CY205" s="1026"/>
      <c r="CZ205" s="1012"/>
    </row>
    <row r="206" spans="1:104" hidden="1" outlineLevel="1">
      <c r="A206" s="1012"/>
      <c r="B206" s="1012"/>
      <c r="C206" s="1012"/>
      <c r="D206" s="1012"/>
      <c r="E206" s="1012"/>
      <c r="F206" s="1012"/>
      <c r="G206" s="1012"/>
      <c r="H206" s="1012"/>
      <c r="I206" s="1012"/>
      <c r="J206" s="1021"/>
      <c r="K206" s="1012"/>
      <c r="L206" s="1012"/>
      <c r="M206" s="1012"/>
      <c r="N206" s="1012"/>
      <c r="O206" s="1021"/>
      <c r="P206" s="1012"/>
      <c r="Q206" s="1012"/>
      <c r="R206" s="1012"/>
      <c r="S206" s="1012"/>
      <c r="T206" s="1021"/>
      <c r="U206" s="1012"/>
      <c r="V206" s="1012"/>
      <c r="W206" s="1012"/>
      <c r="X206" s="1012"/>
      <c r="Y206" s="1021"/>
      <c r="Z206" s="1012"/>
      <c r="AA206" s="1012"/>
      <c r="AB206" s="1012"/>
      <c r="AC206" s="1012"/>
      <c r="AD206" s="1020"/>
      <c r="AE206" s="1012"/>
      <c r="AF206" s="1012"/>
      <c r="AG206" s="1012"/>
      <c r="AH206" s="1012"/>
      <c r="AI206" s="1020"/>
      <c r="AJ206" s="1012"/>
      <c r="AK206" s="1012"/>
      <c r="AL206" s="1012"/>
      <c r="AM206" s="1012"/>
      <c r="AN206" s="1020"/>
      <c r="AO206" s="1020"/>
      <c r="AP206" s="1020"/>
      <c r="AQ206" s="1020"/>
      <c r="AR206" s="1020"/>
      <c r="AS206" s="1021"/>
      <c r="AT206" s="1021"/>
      <c r="AU206" s="1021"/>
      <c r="AV206" s="1021"/>
      <c r="AW206" s="1021"/>
      <c r="AX206" s="1021"/>
      <c r="AY206" s="1021"/>
      <c r="AZ206" s="1021"/>
      <c r="BA206" s="1021"/>
      <c r="BB206" s="1021"/>
      <c r="BC206" s="1021"/>
      <c r="BD206" s="1021"/>
      <c r="BE206" s="1021"/>
      <c r="BF206" s="1021"/>
      <c r="BG206" s="1021"/>
      <c r="BH206" s="1021"/>
      <c r="BI206" s="1020"/>
      <c r="BJ206" s="1020"/>
      <c r="BK206" s="1020"/>
      <c r="BL206" s="1020"/>
      <c r="BM206" s="1020"/>
      <c r="BN206" s="1026"/>
      <c r="BO206" s="1026"/>
      <c r="BP206" s="1026"/>
      <c r="BQ206" s="1026"/>
      <c r="BR206" s="1026"/>
      <c r="BS206" s="1026"/>
      <c r="BT206" s="1026"/>
      <c r="BU206" s="1026"/>
      <c r="BV206" s="1026"/>
      <c r="BW206" s="1026"/>
      <c r="BX206" s="1026"/>
      <c r="BY206" s="1026"/>
      <c r="BZ206" s="1026"/>
      <c r="CA206" s="1026"/>
      <c r="CB206" s="1026"/>
      <c r="CC206" s="1026"/>
      <c r="CD206" s="1026"/>
      <c r="CE206" s="1026"/>
      <c r="CF206" s="1026"/>
      <c r="CG206" s="1026"/>
      <c r="CH206" s="1026"/>
      <c r="CI206" s="1026"/>
      <c r="CJ206" s="1026"/>
      <c r="CK206" s="1026"/>
      <c r="CL206" s="1026"/>
      <c r="CM206" s="1026"/>
      <c r="CN206" s="1026"/>
      <c r="CO206" s="1026"/>
      <c r="CP206" s="1026"/>
      <c r="CQ206" s="1026"/>
      <c r="CR206" s="1026"/>
      <c r="CS206" s="1026"/>
      <c r="CT206" s="1026"/>
      <c r="CU206" s="1026"/>
      <c r="CV206" s="1026"/>
      <c r="CW206" s="1026"/>
      <c r="CX206" s="1026"/>
      <c r="CY206" s="1026"/>
      <c r="CZ206" s="1012"/>
    </row>
    <row r="207" spans="1:104" collapsed="1">
      <c r="A207" s="1012"/>
      <c r="B207" s="1012"/>
      <c r="C207" s="1021" t="s">
        <v>134</v>
      </c>
      <c r="D207" s="1012"/>
      <c r="E207" s="1012"/>
      <c r="F207" s="1012"/>
      <c r="G207" s="1012"/>
      <c r="H207" s="1012"/>
      <c r="I207" s="1012"/>
      <c r="J207" s="1021"/>
      <c r="K207" s="1012"/>
      <c r="L207" s="1012"/>
      <c r="M207" s="1012"/>
      <c r="N207" s="1012"/>
      <c r="O207" s="1021"/>
      <c r="P207" s="1012"/>
      <c r="Q207" s="1012"/>
      <c r="R207" s="1012"/>
      <c r="S207" s="1012"/>
      <c r="T207" s="1021"/>
      <c r="U207" s="1012"/>
      <c r="V207" s="1012"/>
      <c r="W207" s="1012"/>
      <c r="X207" s="1012"/>
      <c r="Y207" s="1021"/>
      <c r="Z207" s="1012"/>
      <c r="AA207" s="1012"/>
      <c r="AB207" s="1012"/>
      <c r="AC207" s="1012"/>
      <c r="AD207" s="1020"/>
      <c r="AE207" s="1012"/>
      <c r="AF207" s="1012"/>
      <c r="AG207" s="1012"/>
      <c r="AH207" s="1012"/>
      <c r="AI207" s="1020"/>
      <c r="AJ207" s="1012"/>
      <c r="AK207" s="1012"/>
      <c r="AL207" s="1012"/>
      <c r="AM207" s="1012"/>
      <c r="AN207" s="1020"/>
      <c r="AO207" s="1020"/>
      <c r="AP207" s="1020"/>
      <c r="AQ207" s="1020"/>
      <c r="AR207" s="1020"/>
      <c r="AS207" s="1021"/>
      <c r="AT207" s="1021"/>
      <c r="AU207" s="1021"/>
      <c r="AV207" s="1021"/>
      <c r="AW207" s="1021"/>
      <c r="AX207" s="1021"/>
      <c r="AY207" s="1021"/>
      <c r="AZ207" s="1021"/>
      <c r="BA207" s="1021"/>
      <c r="BB207" s="1021"/>
      <c r="BC207" s="1021"/>
      <c r="BD207" s="1021"/>
      <c r="BE207" s="1021"/>
      <c r="BF207" s="1021"/>
      <c r="BG207" s="1021"/>
      <c r="BH207" s="1021"/>
      <c r="BI207" s="1020"/>
      <c r="BJ207" s="1020"/>
      <c r="BK207" s="1020"/>
      <c r="BL207" s="1020"/>
      <c r="BM207" s="1020"/>
      <c r="BN207" s="1026"/>
      <c r="BO207" s="1026"/>
      <c r="BP207" s="1026"/>
      <c r="BQ207" s="1026"/>
      <c r="BR207" s="1026"/>
      <c r="BS207" s="1026"/>
      <c r="BT207" s="1026"/>
      <c r="BU207" s="1026"/>
      <c r="BV207" s="1026"/>
      <c r="BW207" s="1026"/>
      <c r="BX207" s="1026"/>
      <c r="BY207" s="1026"/>
      <c r="BZ207" s="1026"/>
      <c r="CA207" s="1026"/>
      <c r="CB207" s="1026"/>
      <c r="CC207" s="1026"/>
      <c r="CD207" s="1026"/>
      <c r="CE207" s="1026"/>
      <c r="CF207" s="1026"/>
      <c r="CG207" s="1026" t="s">
        <v>794</v>
      </c>
      <c r="CH207" s="1026" t="s">
        <v>793</v>
      </c>
      <c r="CI207" s="1026"/>
      <c r="CJ207" s="1026"/>
      <c r="CK207" s="1026"/>
      <c r="CL207" s="1026"/>
      <c r="CM207" s="1026" t="s">
        <v>793</v>
      </c>
      <c r="CN207" s="1026"/>
      <c r="CO207" s="1026"/>
      <c r="CP207" s="1026"/>
      <c r="CR207" s="1026" t="s">
        <v>793</v>
      </c>
      <c r="CS207" s="1026"/>
      <c r="CT207" s="1026"/>
      <c r="CU207" s="1026"/>
      <c r="CV207" s="1026"/>
      <c r="CW207" s="1026"/>
      <c r="CX207" s="1026"/>
      <c r="CY207" s="1026"/>
      <c r="CZ207" s="1012"/>
    </row>
    <row r="208" spans="1:104">
      <c r="A208" s="1012"/>
      <c r="B208" s="1012"/>
      <c r="C208" s="268" t="s">
        <v>167</v>
      </c>
      <c r="D208" s="261"/>
      <c r="E208" s="1012"/>
      <c r="F208" s="1012"/>
      <c r="G208" s="1012"/>
      <c r="H208" s="1012"/>
      <c r="I208" s="1012"/>
      <c r="J208" s="1021"/>
      <c r="K208" s="1012"/>
      <c r="L208" s="1012"/>
      <c r="M208" s="1012"/>
      <c r="N208" s="1012"/>
      <c r="O208" s="1021"/>
      <c r="P208" s="1012"/>
      <c r="Q208" s="1012"/>
      <c r="R208" s="1012"/>
      <c r="S208" s="1012"/>
      <c r="T208" s="1021"/>
      <c r="U208" s="1012"/>
      <c r="V208" s="1012"/>
      <c r="W208" s="1012"/>
      <c r="X208" s="1012"/>
      <c r="Y208" s="1021"/>
      <c r="Z208" s="1012"/>
      <c r="AA208" s="1012"/>
      <c r="AB208" s="1012"/>
      <c r="AC208" s="1012"/>
      <c r="AD208" s="1020"/>
      <c r="AE208" s="1012"/>
      <c r="AF208" s="1012"/>
      <c r="AG208" s="1012"/>
      <c r="AH208" s="1012"/>
      <c r="AI208" s="1020"/>
      <c r="AJ208" s="1012"/>
      <c r="AK208" s="1012"/>
      <c r="AL208" s="1012"/>
      <c r="AM208" s="1012"/>
      <c r="AN208" s="1020"/>
      <c r="AO208" s="1020"/>
      <c r="AP208" s="1020"/>
      <c r="AQ208" s="1020"/>
      <c r="AR208" s="1020"/>
      <c r="AS208" s="1021"/>
      <c r="AT208" s="1021"/>
      <c r="AU208" s="1021"/>
      <c r="AV208" s="1021"/>
      <c r="AW208" s="1021"/>
      <c r="AX208" s="1021"/>
      <c r="AY208" s="1021"/>
      <c r="AZ208" s="1021"/>
      <c r="BA208" s="1021"/>
      <c r="BB208" s="1021"/>
      <c r="BC208" s="1021"/>
      <c r="BD208" s="1021"/>
      <c r="BE208" s="1021"/>
      <c r="BF208" s="1021"/>
      <c r="BG208" s="1021"/>
      <c r="BH208" s="1021"/>
      <c r="BI208" s="1020"/>
      <c r="BJ208" s="1020"/>
      <c r="BK208" s="1020"/>
      <c r="BL208" s="1020"/>
      <c r="BM208" s="1020"/>
      <c r="BN208" s="1026"/>
      <c r="BO208" s="1026"/>
      <c r="BP208" s="1026"/>
      <c r="BQ208" s="1026"/>
      <c r="BR208" s="1026"/>
      <c r="BS208" s="1026"/>
      <c r="BT208" s="1026"/>
      <c r="BU208" s="1026"/>
      <c r="BV208" s="1026"/>
      <c r="BW208" s="1026"/>
      <c r="BX208" s="1026"/>
      <c r="BY208" s="1026"/>
      <c r="BZ208" s="1026"/>
      <c r="CA208" s="1026"/>
      <c r="CB208" s="1026"/>
      <c r="CC208" s="1026"/>
      <c r="CD208" s="1026"/>
      <c r="CE208" s="1026"/>
      <c r="CF208" s="1026"/>
      <c r="CG208" s="512">
        <f>-25/2</f>
        <v>-12.5</v>
      </c>
      <c r="CH208" s="512">
        <f>-40/2</f>
        <v>-20</v>
      </c>
      <c r="CI208" s="1026"/>
      <c r="CJ208" s="1026"/>
      <c r="CK208" s="1026"/>
      <c r="CL208" s="305">
        <v>25</v>
      </c>
      <c r="CM208" s="512">
        <f>-40/2</f>
        <v>-20</v>
      </c>
      <c r="CN208" s="1026"/>
      <c r="CO208" s="1026"/>
      <c r="CP208" s="1026"/>
      <c r="CQ208" s="1166">
        <v>0</v>
      </c>
      <c r="CR208" s="512">
        <f>-40/2</f>
        <v>-20</v>
      </c>
      <c r="CS208" s="1026"/>
      <c r="CT208" s="1026"/>
      <c r="CU208" s="1026"/>
      <c r="CV208" s="1922">
        <f>$CV$213*CL208/$CL$213</f>
        <v>6.875</v>
      </c>
      <c r="CW208" s="1026"/>
      <c r="CX208" s="1026"/>
      <c r="CY208" s="1026"/>
      <c r="CZ208" s="1012"/>
    </row>
    <row r="209" spans="1:104">
      <c r="A209" s="1012"/>
      <c r="B209" s="1012"/>
      <c r="C209" s="116" t="s">
        <v>166</v>
      </c>
      <c r="D209" s="261"/>
      <c r="E209" s="1012"/>
      <c r="F209" s="1012"/>
      <c r="G209" s="1012"/>
      <c r="H209" s="1012"/>
      <c r="I209" s="1012"/>
      <c r="J209" s="1021"/>
      <c r="K209" s="1012"/>
      <c r="L209" s="1012"/>
      <c r="M209" s="1012"/>
      <c r="N209" s="1012"/>
      <c r="O209" s="1021"/>
      <c r="P209" s="1012"/>
      <c r="Q209" s="1012"/>
      <c r="R209" s="1012"/>
      <c r="S209" s="1012"/>
      <c r="T209" s="1021"/>
      <c r="U209" s="1012"/>
      <c r="V209" s="1012"/>
      <c r="W209" s="1012"/>
      <c r="X209" s="1012"/>
      <c r="Y209" s="1021"/>
      <c r="Z209" s="1012"/>
      <c r="AA209" s="1012"/>
      <c r="AB209" s="1012"/>
      <c r="AC209" s="1012"/>
      <c r="AD209" s="1020"/>
      <c r="AE209" s="1012"/>
      <c r="AF209" s="1012"/>
      <c r="AG209" s="1012"/>
      <c r="AH209" s="1012"/>
      <c r="AI209" s="1020"/>
      <c r="AJ209" s="1012"/>
      <c r="AK209" s="1012"/>
      <c r="AL209" s="1012"/>
      <c r="AM209" s="1012"/>
      <c r="AN209" s="1020"/>
      <c r="AO209" s="1020"/>
      <c r="AP209" s="1020"/>
      <c r="AQ209" s="1020"/>
      <c r="AR209" s="1020"/>
      <c r="AS209" s="1021"/>
      <c r="AT209" s="1021"/>
      <c r="AU209" s="1021"/>
      <c r="AV209" s="1021"/>
      <c r="AW209" s="1021"/>
      <c r="AX209" s="1021"/>
      <c r="AY209" s="1021"/>
      <c r="AZ209" s="1021"/>
      <c r="BA209" s="1021"/>
      <c r="BB209" s="1021"/>
      <c r="BC209" s="1021"/>
      <c r="BD209" s="1021"/>
      <c r="BE209" s="1021"/>
      <c r="BF209" s="1021"/>
      <c r="BG209" s="1021"/>
      <c r="BH209" s="1021"/>
      <c r="BI209" s="1020"/>
      <c r="BJ209" s="1020"/>
      <c r="BK209" s="1020"/>
      <c r="BL209" s="1020"/>
      <c r="BM209" s="1020"/>
      <c r="BN209" s="1026"/>
      <c r="BO209" s="1026"/>
      <c r="BP209" s="1026"/>
      <c r="BQ209" s="1026"/>
      <c r="BR209" s="1026"/>
      <c r="BS209" s="1026"/>
      <c r="BT209" s="1026"/>
      <c r="BU209" s="1026"/>
      <c r="BV209" s="1026"/>
      <c r="BW209" s="1026"/>
      <c r="BX209" s="1026"/>
      <c r="BY209" s="1026"/>
      <c r="BZ209" s="1026"/>
      <c r="CA209" s="1026"/>
      <c r="CB209" s="1026"/>
      <c r="CC209" s="1026"/>
      <c r="CD209" s="1026"/>
      <c r="CE209" s="1026"/>
      <c r="CF209" s="1026"/>
      <c r="CG209" s="512">
        <f>CG208</f>
        <v>-12.5</v>
      </c>
      <c r="CH209" s="512">
        <f>CH208</f>
        <v>-20</v>
      </c>
      <c r="CI209" s="1026"/>
      <c r="CJ209" s="1026"/>
      <c r="CK209" s="1026"/>
      <c r="CL209" s="305">
        <v>50</v>
      </c>
      <c r="CM209" s="512">
        <f>CM208</f>
        <v>-20</v>
      </c>
      <c r="CN209" s="1026"/>
      <c r="CO209" s="1026"/>
      <c r="CP209" s="1026"/>
      <c r="CQ209" s="1166">
        <v>25</v>
      </c>
      <c r="CR209" s="512">
        <f>CR208</f>
        <v>-20</v>
      </c>
      <c r="CS209" s="1026"/>
      <c r="CT209" s="1026"/>
      <c r="CU209" s="1026"/>
      <c r="CV209" s="1922">
        <f t="shared" ref="CV209:CV212" si="189">$CV$213*CL209/$CL$213</f>
        <v>13.75</v>
      </c>
      <c r="CW209" s="1026"/>
      <c r="CX209" s="1026"/>
      <c r="CY209" s="1026"/>
      <c r="CZ209" s="1012"/>
    </row>
    <row r="210" spans="1:104">
      <c r="A210" s="1012"/>
      <c r="B210" s="1012"/>
      <c r="C210" s="268" t="s">
        <v>792</v>
      </c>
      <c r="D210" s="261"/>
      <c r="E210" s="1012"/>
      <c r="F210" s="1012"/>
      <c r="G210" s="1012"/>
      <c r="H210" s="1012"/>
      <c r="I210" s="1012"/>
      <c r="J210" s="1021"/>
      <c r="K210" s="1012"/>
      <c r="L210" s="1012"/>
      <c r="M210" s="1012"/>
      <c r="N210" s="1012"/>
      <c r="O210" s="1021"/>
      <c r="P210" s="1012"/>
      <c r="Q210" s="1012"/>
      <c r="R210" s="1012"/>
      <c r="S210" s="1012"/>
      <c r="T210" s="1021"/>
      <c r="U210" s="1012"/>
      <c r="V210" s="1012"/>
      <c r="W210" s="1012"/>
      <c r="X210" s="1012"/>
      <c r="Y210" s="1021"/>
      <c r="Z210" s="1012"/>
      <c r="AA210" s="1012"/>
      <c r="AB210" s="1012"/>
      <c r="AC210" s="1012"/>
      <c r="AD210" s="1020"/>
      <c r="AE210" s="1012"/>
      <c r="AF210" s="1012"/>
      <c r="AG210" s="1012"/>
      <c r="AH210" s="1012"/>
      <c r="AI210" s="1020"/>
      <c r="AJ210" s="1012"/>
      <c r="AK210" s="1012"/>
      <c r="AL210" s="1012"/>
      <c r="AM210" s="1012"/>
      <c r="AN210" s="1020"/>
      <c r="AO210" s="1020"/>
      <c r="AP210" s="1020"/>
      <c r="AQ210" s="1020"/>
      <c r="AR210" s="1020"/>
      <c r="AS210" s="1021"/>
      <c r="AT210" s="1021"/>
      <c r="AU210" s="1021"/>
      <c r="AV210" s="1021"/>
      <c r="AW210" s="1021"/>
      <c r="AX210" s="1021"/>
      <c r="AY210" s="1021"/>
      <c r="AZ210" s="1021"/>
      <c r="BA210" s="1021"/>
      <c r="BB210" s="1021"/>
      <c r="BC210" s="1021"/>
      <c r="BD210" s="1021"/>
      <c r="BE210" s="1021"/>
      <c r="BF210" s="1021"/>
      <c r="BG210" s="1021"/>
      <c r="BH210" s="1021"/>
      <c r="BI210" s="1020"/>
      <c r="BJ210" s="1020"/>
      <c r="BK210" s="1020"/>
      <c r="BL210" s="1020"/>
      <c r="BM210" s="1020"/>
      <c r="BN210" s="1026"/>
      <c r="BO210" s="1026"/>
      <c r="BP210" s="1026"/>
      <c r="BQ210" s="1026"/>
      <c r="BR210" s="1026"/>
      <c r="BS210" s="1026"/>
      <c r="BT210" s="1026"/>
      <c r="BU210" s="1026"/>
      <c r="BV210" s="1026"/>
      <c r="BW210" s="1026"/>
      <c r="BX210" s="1026"/>
      <c r="BY210" s="1026"/>
      <c r="BZ210" s="1026"/>
      <c r="CA210" s="1026"/>
      <c r="CB210" s="1026"/>
      <c r="CC210" s="1026"/>
      <c r="CD210" s="1026"/>
      <c r="CE210" s="1026"/>
      <c r="CF210" s="1026"/>
      <c r="CG210" s="512">
        <v>-75</v>
      </c>
      <c r="CH210" s="512">
        <v>-100</v>
      </c>
      <c r="CI210" s="1026"/>
      <c r="CJ210" s="1026"/>
      <c r="CK210" s="1026"/>
      <c r="CL210" s="305">
        <v>175</v>
      </c>
      <c r="CM210" s="512">
        <v>-100</v>
      </c>
      <c r="CN210" s="1026"/>
      <c r="CO210" s="1026"/>
      <c r="CP210" s="1026"/>
      <c r="CQ210" s="1166">
        <v>35</v>
      </c>
      <c r="CR210" s="512">
        <v>-100</v>
      </c>
      <c r="CS210" s="1026"/>
      <c r="CT210" s="1026"/>
      <c r="CU210" s="1026"/>
      <c r="CV210" s="1922">
        <f t="shared" si="189"/>
        <v>48.125</v>
      </c>
      <c r="CW210" s="1026"/>
      <c r="CX210" s="1026"/>
      <c r="CY210" s="1026"/>
      <c r="CZ210" s="1012"/>
    </row>
    <row r="211" spans="1:104">
      <c r="A211" s="1012"/>
      <c r="B211" s="1012"/>
      <c r="C211" s="268" t="s">
        <v>791</v>
      </c>
      <c r="D211" s="261"/>
      <c r="E211" s="1012"/>
      <c r="F211" s="1012"/>
      <c r="G211" s="1012"/>
      <c r="H211" s="1012"/>
      <c r="I211" s="1012"/>
      <c r="J211" s="1021"/>
      <c r="K211" s="1012"/>
      <c r="L211" s="1012"/>
      <c r="M211" s="1012"/>
      <c r="N211" s="1012"/>
      <c r="O211" s="1021"/>
      <c r="P211" s="1012"/>
      <c r="Q211" s="1012"/>
      <c r="R211" s="1012"/>
      <c r="S211" s="1012"/>
      <c r="T211" s="1021"/>
      <c r="U211" s="1012"/>
      <c r="V211" s="1012"/>
      <c r="W211" s="1012"/>
      <c r="X211" s="1012"/>
      <c r="Y211" s="1021"/>
      <c r="Z211" s="1012"/>
      <c r="AA211" s="1012"/>
      <c r="AB211" s="1012"/>
      <c r="AC211" s="1012"/>
      <c r="AD211" s="1020"/>
      <c r="AE211" s="1012"/>
      <c r="AF211" s="1012"/>
      <c r="AG211" s="1012"/>
      <c r="AH211" s="1012"/>
      <c r="AI211" s="1020"/>
      <c r="AJ211" s="1012"/>
      <c r="AK211" s="1012"/>
      <c r="AL211" s="1012"/>
      <c r="AM211" s="1012"/>
      <c r="AN211" s="1020"/>
      <c r="AO211" s="1020"/>
      <c r="AP211" s="1020"/>
      <c r="AQ211" s="1020"/>
      <c r="AR211" s="1020"/>
      <c r="AS211" s="1021"/>
      <c r="AT211" s="1021"/>
      <c r="AU211" s="1021"/>
      <c r="AV211" s="1021"/>
      <c r="AW211" s="1021"/>
      <c r="AX211" s="1021"/>
      <c r="AY211" s="1021"/>
      <c r="AZ211" s="1021"/>
      <c r="BA211" s="1021"/>
      <c r="BB211" s="1021"/>
      <c r="BC211" s="1021"/>
      <c r="BD211" s="1021"/>
      <c r="BE211" s="1021"/>
      <c r="BF211" s="1021"/>
      <c r="BG211" s="1021"/>
      <c r="BH211" s="1021"/>
      <c r="BI211" s="1020"/>
      <c r="BJ211" s="1020"/>
      <c r="BK211" s="1020"/>
      <c r="BL211" s="1020"/>
      <c r="BM211" s="1020"/>
      <c r="BN211" s="1026"/>
      <c r="BO211" s="1026"/>
      <c r="BP211" s="1026"/>
      <c r="BQ211" s="1026"/>
      <c r="BR211" s="1026"/>
      <c r="BS211" s="1026"/>
      <c r="BT211" s="1026"/>
      <c r="BU211" s="1026"/>
      <c r="BV211" s="1026"/>
      <c r="BW211" s="1026"/>
      <c r="BX211" s="1026"/>
      <c r="BY211" s="1026"/>
      <c r="BZ211" s="1026"/>
      <c r="CA211" s="1026"/>
      <c r="CB211" s="1026"/>
      <c r="CC211" s="1026"/>
      <c r="CD211" s="1026"/>
      <c r="CE211" s="1026"/>
      <c r="CF211" s="1026"/>
      <c r="CG211" s="512">
        <v>-50</v>
      </c>
      <c r="CH211" s="512">
        <v>-75</v>
      </c>
      <c r="CI211" s="1026"/>
      <c r="CJ211" s="1026"/>
      <c r="CK211" s="1026"/>
      <c r="CL211" s="305">
        <v>125</v>
      </c>
      <c r="CM211" s="512">
        <v>-75</v>
      </c>
      <c r="CN211" s="1026"/>
      <c r="CO211" s="1026"/>
      <c r="CP211" s="1026"/>
      <c r="CQ211" s="1166">
        <v>25</v>
      </c>
      <c r="CR211" s="512">
        <v>-75</v>
      </c>
      <c r="CS211" s="1026"/>
      <c r="CT211" s="1026"/>
      <c r="CU211" s="1026"/>
      <c r="CV211" s="1922">
        <f t="shared" si="189"/>
        <v>34.375</v>
      </c>
      <c r="CW211" s="1026"/>
      <c r="CX211" s="1026"/>
      <c r="CY211" s="1026"/>
      <c r="CZ211" s="1012"/>
    </row>
    <row r="212" spans="1:104">
      <c r="A212" s="1012"/>
      <c r="B212" s="1012"/>
      <c r="C212" s="268" t="s">
        <v>815</v>
      </c>
      <c r="D212" s="261"/>
      <c r="E212" s="1012"/>
      <c r="F212" s="1012"/>
      <c r="G212" s="1012"/>
      <c r="H212" s="1012"/>
      <c r="I212" s="1012"/>
      <c r="J212" s="1021"/>
      <c r="K212" s="1012"/>
      <c r="L212" s="1012"/>
      <c r="M212" s="1012"/>
      <c r="N212" s="1012"/>
      <c r="O212" s="1021"/>
      <c r="P212" s="1012"/>
      <c r="Q212" s="1012"/>
      <c r="R212" s="1012"/>
      <c r="S212" s="1012"/>
      <c r="T212" s="1021"/>
      <c r="U212" s="1012"/>
      <c r="V212" s="1012"/>
      <c r="W212" s="1012"/>
      <c r="X212" s="1012"/>
      <c r="Y212" s="1021"/>
      <c r="Z212" s="1012"/>
      <c r="AA212" s="1012"/>
      <c r="AB212" s="1012"/>
      <c r="AC212" s="1012"/>
      <c r="AD212" s="1020"/>
      <c r="AE212" s="1012"/>
      <c r="AF212" s="1012"/>
      <c r="AG212" s="1012"/>
      <c r="AH212" s="1012"/>
      <c r="AI212" s="1020"/>
      <c r="AJ212" s="1012"/>
      <c r="AK212" s="1012"/>
      <c r="AL212" s="1012"/>
      <c r="AM212" s="1012"/>
      <c r="AN212" s="1020"/>
      <c r="AO212" s="1020"/>
      <c r="AP212" s="1020"/>
      <c r="AQ212" s="1020"/>
      <c r="AR212" s="1020"/>
      <c r="AS212" s="1021"/>
      <c r="AT212" s="1021"/>
      <c r="AU212" s="1021"/>
      <c r="AV212" s="1021"/>
      <c r="AW212" s="1021"/>
      <c r="AX212" s="1021"/>
      <c r="AY212" s="1021"/>
      <c r="AZ212" s="1021"/>
      <c r="BA212" s="1021"/>
      <c r="BB212" s="1021"/>
      <c r="BC212" s="1021"/>
      <c r="BD212" s="1021"/>
      <c r="BE212" s="1021"/>
      <c r="BF212" s="1021"/>
      <c r="BG212" s="1021"/>
      <c r="BH212" s="1021"/>
      <c r="BI212" s="1020"/>
      <c r="BJ212" s="1020"/>
      <c r="BK212" s="1020"/>
      <c r="BL212" s="1020"/>
      <c r="BM212" s="1020"/>
      <c r="BN212" s="1026"/>
      <c r="BO212" s="1026"/>
      <c r="BP212" s="1026"/>
      <c r="BQ212" s="1026"/>
      <c r="BR212" s="1026"/>
      <c r="BS212" s="1026"/>
      <c r="BT212" s="1026"/>
      <c r="BU212" s="1026"/>
      <c r="BV212" s="1026"/>
      <c r="BW212" s="1026"/>
      <c r="BX212" s="1026"/>
      <c r="BY212" s="1026"/>
      <c r="BZ212" s="1026"/>
      <c r="CA212" s="1026"/>
      <c r="CB212" s="1026"/>
      <c r="CC212" s="1026"/>
      <c r="CD212" s="1026"/>
      <c r="CE212" s="1026"/>
      <c r="CF212" s="1026"/>
      <c r="CG212" s="512"/>
      <c r="CH212" s="512"/>
      <c r="CI212" s="1026"/>
      <c r="CJ212" s="1026"/>
      <c r="CK212" s="1026"/>
      <c r="CL212" s="305">
        <f>CL213-SUM(CL208:CL211)</f>
        <v>125</v>
      </c>
      <c r="CM212" s="512"/>
      <c r="CN212" s="1026"/>
      <c r="CO212" s="1026"/>
      <c r="CP212" s="1026"/>
      <c r="CQ212" s="1166">
        <v>-85</v>
      </c>
      <c r="CR212" s="512"/>
      <c r="CS212" s="1026"/>
      <c r="CT212" s="1026"/>
      <c r="CU212" s="1026"/>
      <c r="CV212" s="1922">
        <f t="shared" si="189"/>
        <v>34.375</v>
      </c>
      <c r="CW212" s="1026"/>
      <c r="CX212" s="1026"/>
      <c r="CY212" s="1026"/>
      <c r="CZ212" s="1012"/>
    </row>
    <row r="213" spans="1:104" s="1068" customFormat="1">
      <c r="A213" s="1000"/>
      <c r="B213" s="1000"/>
      <c r="C213" s="302" t="s">
        <v>1030</v>
      </c>
      <c r="D213" s="1898"/>
      <c r="E213" s="1000"/>
      <c r="F213" s="1000"/>
      <c r="G213" s="1000"/>
      <c r="H213" s="1000"/>
      <c r="I213" s="1000"/>
      <c r="J213" s="1000"/>
      <c r="K213" s="1000"/>
      <c r="L213" s="1000"/>
      <c r="M213" s="1000"/>
      <c r="N213" s="1000"/>
      <c r="O213" s="1000"/>
      <c r="P213" s="1000"/>
      <c r="Q213" s="1000"/>
      <c r="R213" s="1000"/>
      <c r="S213" s="1000"/>
      <c r="T213" s="1000"/>
      <c r="U213" s="1000"/>
      <c r="V213" s="1000"/>
      <c r="W213" s="1000"/>
      <c r="X213" s="1000"/>
      <c r="Y213" s="1000"/>
      <c r="Z213" s="1000"/>
      <c r="AA213" s="1000"/>
      <c r="AB213" s="1000"/>
      <c r="AC213" s="1000"/>
      <c r="AD213" s="1047"/>
      <c r="AE213" s="1000"/>
      <c r="AF213" s="1000"/>
      <c r="AG213" s="1000"/>
      <c r="AH213" s="1000"/>
      <c r="AI213" s="1047"/>
      <c r="AJ213" s="1000"/>
      <c r="AK213" s="1000"/>
      <c r="AL213" s="1000"/>
      <c r="AM213" s="1000"/>
      <c r="AN213" s="1047"/>
      <c r="AO213" s="1000"/>
      <c r="AP213" s="1000"/>
      <c r="AQ213" s="1000"/>
      <c r="AR213" s="1000"/>
      <c r="AS213" s="1047"/>
      <c r="AT213" s="1000"/>
      <c r="AU213" s="1000"/>
      <c r="AV213" s="1000"/>
      <c r="AW213" s="1000"/>
      <c r="AX213" s="1000"/>
      <c r="AY213" s="1000"/>
      <c r="AZ213" s="1000"/>
      <c r="BA213" s="1000"/>
      <c r="BB213" s="1000"/>
      <c r="BC213" s="1000"/>
      <c r="BD213" s="1000"/>
      <c r="BE213" s="1000"/>
      <c r="BF213" s="1000"/>
      <c r="BG213" s="1000"/>
      <c r="BH213" s="1000"/>
      <c r="BI213" s="1000"/>
      <c r="BJ213" s="1000"/>
      <c r="BK213" s="1000"/>
      <c r="BL213" s="1000"/>
      <c r="BM213" s="1000"/>
      <c r="BN213" s="1000"/>
      <c r="BO213" s="1000"/>
      <c r="BP213" s="1000"/>
      <c r="BQ213" s="1000"/>
      <c r="BR213" s="1000"/>
      <c r="BS213" s="1000"/>
      <c r="BT213" s="1000"/>
      <c r="BU213" s="1000"/>
      <c r="BV213" s="1000"/>
      <c r="BW213" s="1000"/>
      <c r="BX213" s="1000"/>
      <c r="BY213" s="1000"/>
      <c r="BZ213" s="1000"/>
      <c r="CA213" s="1000"/>
      <c r="CB213" s="1000"/>
      <c r="CC213" s="1000"/>
      <c r="CD213" s="1000"/>
      <c r="CE213" s="1000"/>
      <c r="CF213" s="1000"/>
      <c r="CG213" s="1899">
        <f>SUM(CG208:CG212,CG214)</f>
        <v>-160</v>
      </c>
      <c r="CH213" s="1899">
        <f>SUM(CH208:CH212,CH214)</f>
        <v>-215</v>
      </c>
      <c r="CI213" s="1000"/>
      <c r="CJ213" s="1000"/>
      <c r="CK213" s="1000"/>
      <c r="CL213" s="1899">
        <v>500</v>
      </c>
      <c r="CM213" s="1899">
        <f>SUM(CM208:CM212,CM214)</f>
        <v>-215</v>
      </c>
      <c r="CN213" s="1000"/>
      <c r="CO213" s="1000"/>
      <c r="CP213" s="1000"/>
      <c r="CQ213" s="173">
        <f>SUM(CQ208:CQ212)</f>
        <v>0</v>
      </c>
      <c r="CR213" s="1899">
        <f>SUM(CR208:CR212,CR214)</f>
        <v>-215</v>
      </c>
      <c r="CS213" s="1000"/>
      <c r="CT213" s="1000"/>
      <c r="CU213" s="1000"/>
      <c r="CV213" s="2320">
        <f>AVERAGE(125,150)</f>
        <v>137.5</v>
      </c>
      <c r="CW213" s="1000"/>
      <c r="CX213" s="1000"/>
      <c r="CY213" s="1000"/>
      <c r="CZ213" s="271"/>
    </row>
    <row r="214" spans="1:104">
      <c r="A214" s="268"/>
      <c r="B214" s="268"/>
      <c r="C214" s="268" t="s">
        <v>163</v>
      </c>
      <c r="D214" s="261"/>
      <c r="E214" s="268"/>
      <c r="F214" s="268"/>
      <c r="G214" s="268"/>
      <c r="H214" s="268"/>
      <c r="I214" s="268"/>
      <c r="J214" s="271"/>
      <c r="K214" s="268"/>
      <c r="L214" s="268"/>
      <c r="M214" s="268"/>
      <c r="N214" s="268"/>
      <c r="O214" s="271"/>
      <c r="P214" s="268"/>
      <c r="Q214" s="268"/>
      <c r="R214" s="268"/>
      <c r="S214" s="268"/>
      <c r="T214" s="271"/>
      <c r="U214" s="268"/>
      <c r="V214" s="268"/>
      <c r="W214" s="268"/>
      <c r="X214" s="268"/>
      <c r="Y214" s="271"/>
      <c r="Z214" s="268"/>
      <c r="AA214" s="268"/>
      <c r="AB214" s="268"/>
      <c r="AC214" s="268"/>
      <c r="AD214" s="302"/>
      <c r="AE214" s="268"/>
      <c r="AF214" s="268"/>
      <c r="AG214" s="268"/>
      <c r="AH214" s="268"/>
      <c r="AI214" s="302"/>
      <c r="AJ214" s="268"/>
      <c r="AK214" s="268"/>
      <c r="AL214" s="268"/>
      <c r="AM214" s="268"/>
      <c r="AN214" s="302"/>
      <c r="AO214" s="302"/>
      <c r="AP214" s="302"/>
      <c r="AQ214" s="302"/>
      <c r="AR214" s="302"/>
      <c r="AS214" s="271"/>
      <c r="AT214" s="271"/>
      <c r="AU214" s="271"/>
      <c r="AV214" s="271"/>
      <c r="AW214" s="271"/>
      <c r="AX214" s="271"/>
      <c r="AY214" s="271"/>
      <c r="AZ214" s="271"/>
      <c r="BA214" s="271"/>
      <c r="BB214" s="271"/>
      <c r="BC214" s="271"/>
      <c r="BD214" s="271"/>
      <c r="BE214" s="271"/>
      <c r="BF214" s="271"/>
      <c r="BG214" s="271"/>
      <c r="BH214" s="271"/>
      <c r="BI214" s="302"/>
      <c r="BJ214" s="302"/>
      <c r="BK214" s="302"/>
      <c r="BL214" s="302"/>
      <c r="BM214" s="302"/>
      <c r="BN214" s="116"/>
      <c r="BO214" s="116"/>
      <c r="BP214" s="116"/>
      <c r="BQ214" s="116"/>
      <c r="BR214" s="116"/>
      <c r="BS214" s="116"/>
      <c r="BT214" s="116"/>
      <c r="BU214" s="116"/>
      <c r="BV214" s="116"/>
      <c r="BW214" s="116"/>
      <c r="BX214" s="116"/>
      <c r="BY214" s="116"/>
      <c r="BZ214" s="116"/>
      <c r="CA214" s="116"/>
      <c r="CB214" s="116"/>
      <c r="CC214" s="116"/>
      <c r="CD214" s="116"/>
      <c r="CE214" s="116"/>
      <c r="CF214" s="116"/>
      <c r="CG214" s="512">
        <v>-10</v>
      </c>
      <c r="CH214" s="512"/>
      <c r="CI214" s="116"/>
      <c r="CJ214" s="116"/>
      <c r="CK214" s="116"/>
      <c r="CL214" s="511">
        <f>CL213*(1-0.29)/IS!CL99</f>
        <v>0.42971705250416098</v>
      </c>
      <c r="CM214" s="512"/>
      <c r="CN214" s="116"/>
      <c r="CO214" s="116"/>
      <c r="CP214" s="116"/>
      <c r="CR214" s="512"/>
      <c r="CS214" s="116"/>
      <c r="CT214" s="116"/>
      <c r="CU214" s="116"/>
      <c r="CV214" s="116"/>
      <c r="CW214" s="116"/>
      <c r="CX214" s="116"/>
      <c r="CY214" s="116"/>
      <c r="CZ214" s="268"/>
    </row>
    <row r="215" spans="1:104">
      <c r="A215" s="1046"/>
      <c r="B215" s="1046"/>
      <c r="C215" s="1056" t="s">
        <v>790</v>
      </c>
      <c r="D215" s="1055"/>
      <c r="E215" s="1046"/>
      <c r="F215" s="1046"/>
      <c r="G215" s="1046"/>
      <c r="H215" s="1046"/>
      <c r="I215" s="1046"/>
      <c r="J215" s="1040"/>
      <c r="K215" s="1046"/>
      <c r="L215" s="1046"/>
      <c r="M215" s="1046"/>
      <c r="N215" s="1046"/>
      <c r="O215" s="1040"/>
      <c r="P215" s="1046"/>
      <c r="Q215" s="1046"/>
      <c r="R215" s="1046"/>
      <c r="S215" s="1046"/>
      <c r="T215" s="1040"/>
      <c r="U215" s="1046"/>
      <c r="V215" s="1046"/>
      <c r="W215" s="1046"/>
      <c r="X215" s="1046"/>
      <c r="Y215" s="1040"/>
      <c r="Z215" s="1046"/>
      <c r="AA215" s="1046"/>
      <c r="AB215" s="1046"/>
      <c r="AC215" s="1046"/>
      <c r="AD215" s="1054"/>
      <c r="AE215" s="1046"/>
      <c r="AF215" s="1046"/>
      <c r="AG215" s="1046"/>
      <c r="AH215" s="1046"/>
      <c r="AI215" s="1054"/>
      <c r="AJ215" s="1046"/>
      <c r="AK215" s="1046"/>
      <c r="AL215" s="1046"/>
      <c r="AM215" s="1046"/>
      <c r="AN215" s="1054"/>
      <c r="AO215" s="1040"/>
      <c r="AP215" s="1040"/>
      <c r="AQ215" s="1040"/>
      <c r="AR215" s="1040"/>
      <c r="AS215" s="1054"/>
      <c r="AT215" s="1040"/>
      <c r="AU215" s="1040"/>
      <c r="AV215" s="1040"/>
      <c r="AW215" s="1040"/>
      <c r="AX215" s="1042"/>
      <c r="AY215" s="1042"/>
      <c r="AZ215" s="1042"/>
      <c r="BA215" s="1042"/>
      <c r="BB215" s="1042"/>
      <c r="BC215" s="1042"/>
      <c r="BD215" s="1042"/>
      <c r="BE215" s="1042"/>
      <c r="BF215" s="1042"/>
      <c r="BG215" s="1042"/>
      <c r="BH215" s="1042"/>
      <c r="BI215" s="1042"/>
      <c r="BJ215" s="1042"/>
      <c r="BK215" s="1042"/>
      <c r="BL215" s="1042"/>
      <c r="BM215" s="1042"/>
      <c r="BN215" s="1042"/>
      <c r="BO215" s="1042"/>
      <c r="BP215" s="1042"/>
      <c r="BQ215" s="1042"/>
      <c r="BR215" s="1042"/>
      <c r="BS215" s="1042"/>
      <c r="BT215" s="1042"/>
      <c r="BU215" s="1042"/>
      <c r="BV215" s="1042"/>
      <c r="BW215" s="1042"/>
      <c r="BX215" s="1042"/>
      <c r="BY215" s="1042"/>
      <c r="BZ215" s="1042"/>
      <c r="CA215" s="1042"/>
      <c r="CB215" s="1042"/>
      <c r="CC215" s="1042"/>
      <c r="CD215" s="1042"/>
      <c r="CE215" s="1042"/>
      <c r="CF215" s="1042"/>
      <c r="CG215" s="1042"/>
      <c r="CH215" s="1042"/>
      <c r="CI215" s="1042"/>
      <c r="CJ215" s="1042"/>
      <c r="CK215" s="1042"/>
      <c r="CL215" s="1042"/>
      <c r="CM215" s="1042"/>
      <c r="CN215" s="1042"/>
      <c r="CO215" s="1042"/>
      <c r="CP215" s="1042"/>
      <c r="CQ215" s="1042"/>
      <c r="CR215" s="1042"/>
      <c r="CS215" s="1042"/>
      <c r="CT215" s="1042"/>
      <c r="CU215" s="1042"/>
      <c r="CV215" s="1042"/>
      <c r="CW215" s="1042"/>
      <c r="CX215" s="1042"/>
      <c r="CY215" s="1042"/>
      <c r="CZ215" s="1042"/>
    </row>
    <row r="216" spans="1:104" hidden="1" outlineLevel="1">
      <c r="A216" s="265"/>
      <c r="B216" s="265"/>
      <c r="C216" s="302" t="s">
        <v>789</v>
      </c>
      <c r="D216" s="1048"/>
      <c r="E216" s="265"/>
      <c r="F216" s="265"/>
      <c r="G216" s="265"/>
      <c r="H216" s="265"/>
      <c r="I216" s="265"/>
      <c r="J216" s="1000"/>
      <c r="K216" s="265"/>
      <c r="L216" s="265"/>
      <c r="M216" s="265"/>
      <c r="N216" s="265"/>
      <c r="O216" s="1000"/>
      <c r="P216" s="265"/>
      <c r="Q216" s="265"/>
      <c r="R216" s="265"/>
      <c r="S216" s="265"/>
      <c r="T216" s="1000"/>
      <c r="U216" s="265"/>
      <c r="V216" s="265"/>
      <c r="W216" s="265"/>
      <c r="X216" s="265"/>
      <c r="Y216" s="1000"/>
      <c r="Z216" s="265"/>
      <c r="AA216" s="265"/>
      <c r="AB216" s="265"/>
      <c r="AC216" s="265"/>
      <c r="AD216" s="1047"/>
      <c r="AE216" s="265"/>
      <c r="AF216" s="265"/>
      <c r="AG216" s="265"/>
      <c r="AH216" s="265"/>
      <c r="AI216" s="1047"/>
      <c r="AJ216" s="265"/>
      <c r="AK216" s="265"/>
      <c r="AL216" s="265"/>
      <c r="AM216" s="265"/>
      <c r="AN216" s="1047"/>
      <c r="AO216" s="1000"/>
      <c r="AP216" s="1000"/>
      <c r="AQ216" s="1000"/>
      <c r="AR216" s="1000"/>
      <c r="AS216" s="1047"/>
      <c r="AT216" s="1000"/>
      <c r="AU216" s="1000"/>
      <c r="AV216" s="1000"/>
      <c r="AW216" s="1000"/>
      <c r="AX216" s="1000"/>
      <c r="AY216" s="1000"/>
      <c r="AZ216" s="1000"/>
      <c r="BA216" s="1000"/>
      <c r="BB216" s="1000"/>
      <c r="BC216" s="1000"/>
      <c r="BD216" s="1000"/>
      <c r="BE216" s="1000"/>
      <c r="BF216" s="1000"/>
      <c r="BG216" s="1000"/>
      <c r="BH216" s="1000"/>
      <c r="BI216" s="1000"/>
      <c r="BJ216" s="1000"/>
      <c r="BK216" s="1000"/>
      <c r="BL216" s="1000"/>
      <c r="BM216" s="1000"/>
      <c r="BN216" s="265"/>
      <c r="BO216" s="265"/>
      <c r="BP216" s="265"/>
      <c r="BQ216" s="265"/>
      <c r="BR216" s="265"/>
      <c r="BS216" s="265"/>
      <c r="BT216" s="265"/>
      <c r="BU216" s="265"/>
      <c r="BV216" s="265"/>
      <c r="BW216" s="265"/>
      <c r="BX216" s="265"/>
      <c r="BY216" s="265"/>
      <c r="BZ216" s="265"/>
      <c r="CA216" s="265"/>
      <c r="CB216" s="265"/>
      <c r="CC216" s="265"/>
      <c r="CD216" s="265"/>
      <c r="CE216" s="265"/>
      <c r="CF216" s="265"/>
      <c r="CG216" s="265"/>
      <c r="CH216" s="265"/>
      <c r="CI216" s="265"/>
      <c r="CJ216" s="265"/>
      <c r="CK216" s="265"/>
      <c r="CL216" s="265"/>
      <c r="CM216" s="265"/>
      <c r="CN216" s="265"/>
      <c r="CO216" s="265"/>
      <c r="CP216" s="265"/>
      <c r="CQ216" s="265"/>
      <c r="CR216" s="265"/>
      <c r="CS216" s="265"/>
      <c r="CT216" s="265"/>
      <c r="CU216" s="265"/>
      <c r="CV216" s="265"/>
      <c r="CW216" s="265"/>
      <c r="CX216" s="265"/>
      <c r="CY216" s="265"/>
      <c r="CZ216" s="268"/>
    </row>
    <row r="217" spans="1:104" hidden="1" outlineLevel="1">
      <c r="A217" s="265"/>
      <c r="B217" s="265"/>
      <c r="C217" s="116" t="s">
        <v>788</v>
      </c>
      <c r="D217" s="1048"/>
      <c r="E217" s="265"/>
      <c r="F217" s="265"/>
      <c r="G217" s="265"/>
      <c r="H217" s="265"/>
      <c r="I217" s="265"/>
      <c r="J217" s="1000"/>
      <c r="K217" s="265"/>
      <c r="L217" s="265"/>
      <c r="M217" s="265"/>
      <c r="N217" s="265"/>
      <c r="O217" s="1000"/>
      <c r="P217" s="265"/>
      <c r="Q217" s="265"/>
      <c r="R217" s="265"/>
      <c r="S217" s="265"/>
      <c r="T217" s="1000"/>
      <c r="U217" s="265"/>
      <c r="V217" s="265"/>
      <c r="W217" s="265"/>
      <c r="X217" s="265"/>
      <c r="Y217" s="1000"/>
      <c r="Z217" s="265"/>
      <c r="AA217" s="265"/>
      <c r="AB217" s="265"/>
      <c r="AC217" s="265"/>
      <c r="AD217" s="1047"/>
      <c r="AE217" s="265"/>
      <c r="AF217" s="265"/>
      <c r="AG217" s="265"/>
      <c r="AH217" s="265"/>
      <c r="AI217" s="1047"/>
      <c r="AJ217" s="265"/>
      <c r="AK217" s="265"/>
      <c r="AL217" s="265"/>
      <c r="AM217" s="265"/>
      <c r="AN217" s="1047"/>
      <c r="AO217" s="1000"/>
      <c r="AP217" s="1000"/>
      <c r="AQ217" s="1000"/>
      <c r="AR217" s="1000"/>
      <c r="AS217" s="1047"/>
      <c r="AT217" s="1000"/>
      <c r="AU217" s="1000"/>
      <c r="AV217" s="1000"/>
      <c r="AW217" s="1000"/>
      <c r="AX217" s="1000"/>
      <c r="AY217" s="1000"/>
      <c r="AZ217" s="1000"/>
      <c r="BA217" s="638">
        <v>-17</v>
      </c>
      <c r="BB217" s="638">
        <v>-15</v>
      </c>
      <c r="BC217" s="638"/>
      <c r="BD217" s="638">
        <v>3</v>
      </c>
      <c r="BE217" s="1000"/>
      <c r="BF217" s="1000"/>
      <c r="BG217" s="1000"/>
      <c r="BH217" s="1000"/>
      <c r="BI217" s="1000"/>
      <c r="BJ217" s="1000"/>
      <c r="BK217" s="1000"/>
      <c r="BL217" s="1000"/>
      <c r="BM217" s="1000"/>
      <c r="BN217" s="265"/>
      <c r="BO217" s="265"/>
      <c r="BP217" s="265"/>
      <c r="BQ217" s="265"/>
      <c r="BR217" s="265"/>
      <c r="BS217" s="265"/>
      <c r="BT217" s="265"/>
      <c r="BU217" s="265"/>
      <c r="BV217" s="265"/>
      <c r="BW217" s="265"/>
      <c r="BX217" s="265"/>
      <c r="BY217" s="265"/>
      <c r="BZ217" s="265"/>
      <c r="CA217" s="265"/>
      <c r="CB217" s="265"/>
      <c r="CC217" s="265"/>
      <c r="CD217" s="265"/>
      <c r="CE217" s="265"/>
      <c r="CF217" s="265"/>
      <c r="CG217" s="265"/>
      <c r="CH217" s="265"/>
      <c r="CI217" s="265"/>
      <c r="CJ217" s="265"/>
      <c r="CK217" s="265"/>
      <c r="CL217" s="265"/>
      <c r="CM217" s="265"/>
      <c r="CN217" s="265"/>
      <c r="CO217" s="265"/>
      <c r="CP217" s="265"/>
      <c r="CQ217" s="265"/>
      <c r="CR217" s="265"/>
      <c r="CS217" s="265"/>
      <c r="CT217" s="265"/>
      <c r="CU217" s="265"/>
      <c r="CV217" s="265"/>
      <c r="CW217" s="265"/>
      <c r="CX217" s="265"/>
      <c r="CY217" s="265"/>
      <c r="CZ217" s="268"/>
    </row>
    <row r="218" spans="1:104" hidden="1" outlineLevel="1">
      <c r="A218" s="265"/>
      <c r="B218" s="265"/>
      <c r="C218" s="116" t="s">
        <v>787</v>
      </c>
      <c r="D218" s="1048"/>
      <c r="E218" s="265"/>
      <c r="F218" s="265"/>
      <c r="G218" s="265"/>
      <c r="H218" s="265"/>
      <c r="I218" s="265"/>
      <c r="J218" s="1000"/>
      <c r="K218" s="265"/>
      <c r="L218" s="265"/>
      <c r="M218" s="265"/>
      <c r="N218" s="265"/>
      <c r="O218" s="1000"/>
      <c r="P218" s="265"/>
      <c r="Q218" s="265"/>
      <c r="R218" s="265"/>
      <c r="S218" s="265"/>
      <c r="T218" s="1000"/>
      <c r="U218" s="265"/>
      <c r="V218" s="265"/>
      <c r="W218" s="265"/>
      <c r="X218" s="265"/>
      <c r="Y218" s="1000"/>
      <c r="Z218" s="265"/>
      <c r="AA218" s="265"/>
      <c r="AB218" s="265"/>
      <c r="AC218" s="265"/>
      <c r="AD218" s="1047"/>
      <c r="AE218" s="265"/>
      <c r="AF218" s="265"/>
      <c r="AG218" s="265"/>
      <c r="AH218" s="265"/>
      <c r="AI218" s="1047"/>
      <c r="AJ218" s="265"/>
      <c r="AK218" s="265"/>
      <c r="AL218" s="265"/>
      <c r="AM218" s="265"/>
      <c r="AN218" s="1047"/>
      <c r="AO218" s="1000"/>
      <c r="AP218" s="1000"/>
      <c r="AQ218" s="1000"/>
      <c r="AR218" s="1000"/>
      <c r="AS218" s="1047"/>
      <c r="AT218" s="1000"/>
      <c r="AU218" s="1000"/>
      <c r="AV218" s="1000"/>
      <c r="AW218" s="1000"/>
      <c r="AX218" s="1000"/>
      <c r="AY218" s="1000"/>
      <c r="AZ218" s="1000"/>
      <c r="BA218" s="638">
        <v>-23</v>
      </c>
      <c r="BB218" s="638">
        <v>-22</v>
      </c>
      <c r="BC218" s="638"/>
      <c r="BD218" s="638">
        <v>-4</v>
      </c>
      <c r="BE218" s="1000"/>
      <c r="BF218" s="1000"/>
      <c r="BG218" s="1000"/>
      <c r="BH218" s="1000"/>
      <c r="BI218" s="1000"/>
      <c r="BJ218" s="1000"/>
      <c r="BK218" s="1000"/>
      <c r="BL218" s="1000"/>
      <c r="BM218" s="1000"/>
      <c r="BN218" s="265"/>
      <c r="BO218" s="265"/>
      <c r="BP218" s="265"/>
      <c r="BQ218" s="265"/>
      <c r="BR218" s="265"/>
      <c r="BS218" s="265"/>
      <c r="BT218" s="265"/>
      <c r="BU218" s="265"/>
      <c r="BV218" s="265"/>
      <c r="BW218" s="265"/>
      <c r="BX218" s="265"/>
      <c r="BY218" s="265"/>
      <c r="BZ218" s="265"/>
      <c r="CA218" s="265"/>
      <c r="CB218" s="265"/>
      <c r="CC218" s="265"/>
      <c r="CD218" s="265"/>
      <c r="CE218" s="265"/>
      <c r="CF218" s="265"/>
      <c r="CG218" s="265"/>
      <c r="CH218" s="265"/>
      <c r="CI218" s="265"/>
      <c r="CJ218" s="265"/>
      <c r="CK218" s="265"/>
      <c r="CL218" s="265"/>
      <c r="CM218" s="265"/>
      <c r="CN218" s="265"/>
      <c r="CO218" s="265"/>
      <c r="CP218" s="265"/>
      <c r="CQ218" s="265"/>
      <c r="CR218" s="265"/>
      <c r="CS218" s="265"/>
      <c r="CT218" s="265"/>
      <c r="CU218" s="265"/>
      <c r="CV218" s="265"/>
      <c r="CW218" s="265"/>
      <c r="CX218" s="265"/>
      <c r="CY218" s="265"/>
      <c r="CZ218" s="268"/>
    </row>
    <row r="219" spans="1:104" hidden="1" outlineLevel="1">
      <c r="A219" s="265"/>
      <c r="B219" s="265"/>
      <c r="C219" s="116" t="s">
        <v>786</v>
      </c>
      <c r="D219" s="1048"/>
      <c r="E219" s="265"/>
      <c r="F219" s="265"/>
      <c r="G219" s="265"/>
      <c r="H219" s="265"/>
      <c r="I219" s="265"/>
      <c r="J219" s="1000"/>
      <c r="K219" s="265"/>
      <c r="L219" s="265"/>
      <c r="M219" s="265"/>
      <c r="N219" s="265"/>
      <c r="O219" s="1000"/>
      <c r="P219" s="265"/>
      <c r="Q219" s="265"/>
      <c r="R219" s="265"/>
      <c r="S219" s="265"/>
      <c r="T219" s="1000"/>
      <c r="U219" s="265"/>
      <c r="V219" s="265"/>
      <c r="W219" s="265"/>
      <c r="X219" s="265"/>
      <c r="Y219" s="1000"/>
      <c r="Z219" s="265"/>
      <c r="AA219" s="265"/>
      <c r="AB219" s="265"/>
      <c r="AC219" s="265"/>
      <c r="AD219" s="1047"/>
      <c r="AE219" s="265"/>
      <c r="AF219" s="265"/>
      <c r="AG219" s="265"/>
      <c r="AH219" s="265"/>
      <c r="AI219" s="1047"/>
      <c r="AJ219" s="265"/>
      <c r="AK219" s="265"/>
      <c r="AL219" s="265"/>
      <c r="AM219" s="265"/>
      <c r="AN219" s="1047"/>
      <c r="AO219" s="1000"/>
      <c r="AP219" s="1000"/>
      <c r="AQ219" s="1000"/>
      <c r="AR219" s="1000"/>
      <c r="AS219" s="1047"/>
      <c r="AT219" s="1000"/>
      <c r="AU219" s="1000"/>
      <c r="AV219" s="1000"/>
      <c r="AW219" s="1000"/>
      <c r="AX219" s="1000"/>
      <c r="AY219" s="1000"/>
      <c r="AZ219" s="1000"/>
      <c r="BA219" s="638">
        <v>-39.9</v>
      </c>
      <c r="BB219" s="638">
        <v>-12</v>
      </c>
      <c r="BC219" s="638"/>
      <c r="BD219" s="638">
        <v>38</v>
      </c>
      <c r="BE219" s="1000"/>
      <c r="BF219" s="1000"/>
      <c r="BG219" s="1000"/>
      <c r="BH219" s="1000"/>
      <c r="BI219" s="1000"/>
      <c r="BJ219" s="1000"/>
      <c r="BK219" s="1000"/>
      <c r="BL219" s="1000"/>
      <c r="BM219" s="1000"/>
      <c r="BN219" s="265"/>
      <c r="BO219" s="265"/>
      <c r="BP219" s="265"/>
      <c r="BQ219" s="265"/>
      <c r="BR219" s="265"/>
      <c r="BS219" s="265"/>
      <c r="BT219" s="265"/>
      <c r="BU219" s="265"/>
      <c r="BV219" s="265"/>
      <c r="BW219" s="265"/>
      <c r="BX219" s="265"/>
      <c r="BY219" s="265"/>
      <c r="BZ219" s="265"/>
      <c r="CA219" s="265"/>
      <c r="CB219" s="265"/>
      <c r="CC219" s="265"/>
      <c r="CD219" s="265"/>
      <c r="CE219" s="265"/>
      <c r="CF219" s="265"/>
      <c r="CG219" s="265"/>
      <c r="CH219" s="265"/>
      <c r="CI219" s="265"/>
      <c r="CJ219" s="265"/>
      <c r="CK219" s="265"/>
      <c r="CL219" s="265"/>
      <c r="CM219" s="265"/>
      <c r="CN219" s="265"/>
      <c r="CO219" s="265"/>
      <c r="CP219" s="265"/>
      <c r="CQ219" s="265"/>
      <c r="CR219" s="265"/>
      <c r="CS219" s="265"/>
      <c r="CT219" s="265"/>
      <c r="CU219" s="265"/>
      <c r="CV219" s="265"/>
      <c r="CW219" s="265"/>
      <c r="CX219" s="265"/>
      <c r="CY219" s="265"/>
      <c r="CZ219" s="268"/>
    </row>
    <row r="220" spans="1:104" hidden="1" outlineLevel="1">
      <c r="A220" s="265"/>
      <c r="B220" s="265"/>
      <c r="C220" s="116" t="s">
        <v>785</v>
      </c>
      <c r="D220" s="1048"/>
      <c r="E220" s="265"/>
      <c r="F220" s="265"/>
      <c r="G220" s="265"/>
      <c r="H220" s="265"/>
      <c r="I220" s="265"/>
      <c r="J220" s="1000"/>
      <c r="K220" s="265"/>
      <c r="L220" s="265"/>
      <c r="M220" s="265"/>
      <c r="N220" s="265"/>
      <c r="O220" s="1000"/>
      <c r="P220" s="265"/>
      <c r="Q220" s="265"/>
      <c r="R220" s="265"/>
      <c r="S220" s="265"/>
      <c r="T220" s="1000"/>
      <c r="U220" s="265"/>
      <c r="V220" s="265"/>
      <c r="W220" s="265"/>
      <c r="X220" s="265"/>
      <c r="Y220" s="1000"/>
      <c r="Z220" s="265"/>
      <c r="AA220" s="265"/>
      <c r="AB220" s="265"/>
      <c r="AC220" s="265"/>
      <c r="AD220" s="1047"/>
      <c r="AE220" s="265"/>
      <c r="AF220" s="265"/>
      <c r="AG220" s="265"/>
      <c r="AH220" s="265"/>
      <c r="AI220" s="1047"/>
      <c r="AJ220" s="265"/>
      <c r="AK220" s="265"/>
      <c r="AL220" s="265"/>
      <c r="AM220" s="265"/>
      <c r="AN220" s="1047"/>
      <c r="AO220" s="1000"/>
      <c r="AP220" s="1000"/>
      <c r="AQ220" s="1000"/>
      <c r="AR220" s="1000"/>
      <c r="AS220" s="1047"/>
      <c r="AT220" s="1000"/>
      <c r="AU220" s="1000"/>
      <c r="AV220" s="1000"/>
      <c r="AW220" s="1000"/>
      <c r="AX220" s="1000"/>
      <c r="AY220" s="1000"/>
      <c r="AZ220" s="1000"/>
      <c r="BA220" s="638">
        <v>-4</v>
      </c>
      <c r="BB220" s="638">
        <v>15.666666666666666</v>
      </c>
      <c r="BC220" s="638"/>
      <c r="BD220" s="638">
        <v>42</v>
      </c>
      <c r="BE220" s="1000"/>
      <c r="BF220" s="1000"/>
      <c r="BG220" s="1000"/>
      <c r="BH220" s="1000"/>
      <c r="BI220" s="1000"/>
      <c r="BJ220" s="1000"/>
      <c r="BK220" s="1000"/>
      <c r="BL220" s="1000"/>
      <c r="BM220" s="1000"/>
      <c r="BN220" s="265"/>
      <c r="BO220" s="265"/>
      <c r="BP220" s="265"/>
      <c r="BQ220" s="265"/>
      <c r="BR220" s="265"/>
      <c r="BS220" s="265"/>
      <c r="BT220" s="265"/>
      <c r="BU220" s="265"/>
      <c r="BV220" s="265"/>
      <c r="BW220" s="265"/>
      <c r="BX220" s="265"/>
      <c r="BY220" s="265"/>
      <c r="BZ220" s="265"/>
      <c r="CA220" s="265"/>
      <c r="CB220" s="265"/>
      <c r="CC220" s="265"/>
      <c r="CD220" s="265"/>
      <c r="CE220" s="265"/>
      <c r="CF220" s="265"/>
      <c r="CG220" s="265"/>
      <c r="CH220" s="265"/>
      <c r="CI220" s="265"/>
      <c r="CJ220" s="265"/>
      <c r="CK220" s="265"/>
      <c r="CL220" s="265"/>
      <c r="CM220" s="265"/>
      <c r="CN220" s="265"/>
      <c r="CO220" s="265"/>
      <c r="CP220" s="265"/>
      <c r="CQ220" s="265"/>
      <c r="CR220" s="265"/>
      <c r="CS220" s="265"/>
      <c r="CT220" s="265"/>
      <c r="CU220" s="265"/>
      <c r="CV220" s="265"/>
      <c r="CW220" s="265"/>
      <c r="CX220" s="265"/>
      <c r="CY220" s="265"/>
      <c r="CZ220" s="268"/>
    </row>
    <row r="221" spans="1:104" hidden="1" outlineLevel="1">
      <c r="A221" s="265"/>
      <c r="B221" s="265"/>
      <c r="C221" s="116" t="s">
        <v>784</v>
      </c>
      <c r="D221" s="1048"/>
      <c r="E221" s="265"/>
      <c r="F221" s="265"/>
      <c r="G221" s="265"/>
      <c r="H221" s="265"/>
      <c r="I221" s="265"/>
      <c r="J221" s="1000"/>
      <c r="K221" s="265"/>
      <c r="L221" s="265"/>
      <c r="M221" s="265"/>
      <c r="N221" s="265"/>
      <c r="O221" s="1000"/>
      <c r="P221" s="265"/>
      <c r="Q221" s="265"/>
      <c r="R221" s="265"/>
      <c r="S221" s="265"/>
      <c r="T221" s="1000"/>
      <c r="U221" s="265"/>
      <c r="V221" s="265"/>
      <c r="W221" s="265"/>
      <c r="X221" s="265"/>
      <c r="Y221" s="1000"/>
      <c r="Z221" s="265"/>
      <c r="AA221" s="265"/>
      <c r="AB221" s="265"/>
      <c r="AC221" s="265"/>
      <c r="AD221" s="1047"/>
      <c r="AE221" s="265"/>
      <c r="AF221" s="265"/>
      <c r="AG221" s="265"/>
      <c r="AH221" s="265"/>
      <c r="AI221" s="1047"/>
      <c r="AJ221" s="265"/>
      <c r="AK221" s="265"/>
      <c r="AL221" s="265"/>
      <c r="AM221" s="265"/>
      <c r="AN221" s="1047"/>
      <c r="AO221" s="1000"/>
      <c r="AP221" s="1000"/>
      <c r="AQ221" s="1000"/>
      <c r="AR221" s="1000"/>
      <c r="AS221" s="1047"/>
      <c r="AT221" s="1000"/>
      <c r="AU221" s="1000"/>
      <c r="AV221" s="1000"/>
      <c r="AW221" s="1000"/>
      <c r="AX221" s="1000"/>
      <c r="AY221" s="1000"/>
      <c r="AZ221" s="1000"/>
      <c r="BA221" s="638">
        <v>-18</v>
      </c>
      <c r="BB221" s="638">
        <v>-28</v>
      </c>
      <c r="BC221" s="638"/>
      <c r="BD221" s="638">
        <v>-13</v>
      </c>
      <c r="BE221" s="1000"/>
      <c r="BF221" s="1000"/>
      <c r="BG221" s="1000"/>
      <c r="BH221" s="1000"/>
      <c r="BI221" s="1000"/>
      <c r="BJ221" s="1000"/>
      <c r="BK221" s="1000"/>
      <c r="BL221" s="1000"/>
      <c r="BM221" s="1000"/>
      <c r="BN221" s="265"/>
      <c r="BO221" s="265"/>
      <c r="BP221" s="265"/>
      <c r="BQ221" s="265"/>
      <c r="BR221" s="265"/>
      <c r="BS221" s="265"/>
      <c r="BT221" s="265"/>
      <c r="BU221" s="265"/>
      <c r="BV221" s="265"/>
      <c r="BW221" s="265"/>
      <c r="BX221" s="265"/>
      <c r="BY221" s="265"/>
      <c r="BZ221" s="265"/>
      <c r="CA221" s="265"/>
      <c r="CB221" s="265"/>
      <c r="CC221" s="265"/>
      <c r="CD221" s="265"/>
      <c r="CE221" s="265"/>
      <c r="CF221" s="265"/>
      <c r="CG221" s="265"/>
      <c r="CH221" s="265"/>
      <c r="CI221" s="265"/>
      <c r="CJ221" s="265"/>
      <c r="CK221" s="265"/>
      <c r="CL221" s="265"/>
      <c r="CM221" s="265"/>
      <c r="CN221" s="265"/>
      <c r="CO221" s="265"/>
      <c r="CP221" s="265"/>
      <c r="CQ221" s="265"/>
      <c r="CR221" s="265"/>
      <c r="CS221" s="265"/>
      <c r="CT221" s="265"/>
      <c r="CU221" s="265"/>
      <c r="CV221" s="265"/>
      <c r="CW221" s="265"/>
      <c r="CX221" s="265"/>
      <c r="CY221" s="265"/>
      <c r="CZ221" s="268"/>
    </row>
    <row r="222" spans="1:104" hidden="1" outlineLevel="1">
      <c r="A222" s="265"/>
      <c r="B222" s="265"/>
      <c r="C222" s="116" t="s">
        <v>783</v>
      </c>
      <c r="D222" s="1048"/>
      <c r="E222" s="265"/>
      <c r="F222" s="265"/>
      <c r="G222" s="265"/>
      <c r="H222" s="265"/>
      <c r="I222" s="265"/>
      <c r="J222" s="1000"/>
      <c r="K222" s="265"/>
      <c r="L222" s="265"/>
      <c r="M222" s="265"/>
      <c r="N222" s="265"/>
      <c r="O222" s="1000"/>
      <c r="P222" s="265"/>
      <c r="Q222" s="265"/>
      <c r="R222" s="265"/>
      <c r="S222" s="265"/>
      <c r="T222" s="1000"/>
      <c r="U222" s="265"/>
      <c r="V222" s="265"/>
      <c r="W222" s="265"/>
      <c r="X222" s="265"/>
      <c r="Y222" s="1000"/>
      <c r="Z222" s="265"/>
      <c r="AA222" s="265"/>
      <c r="AB222" s="265"/>
      <c r="AC222" s="265"/>
      <c r="AD222" s="1047"/>
      <c r="AE222" s="265"/>
      <c r="AF222" s="265"/>
      <c r="AG222" s="265"/>
      <c r="AH222" s="265"/>
      <c r="AI222" s="1047"/>
      <c r="AJ222" s="265"/>
      <c r="AK222" s="265"/>
      <c r="AL222" s="265"/>
      <c r="AM222" s="265"/>
      <c r="AN222" s="1047"/>
      <c r="AO222" s="1000"/>
      <c r="AP222" s="1000"/>
      <c r="AQ222" s="1000"/>
      <c r="AR222" s="1000"/>
      <c r="AS222" s="1047"/>
      <c r="AT222" s="1000"/>
      <c r="AU222" s="1000"/>
      <c r="AV222" s="1000"/>
      <c r="AW222" s="1000"/>
      <c r="AX222" s="1000"/>
      <c r="AY222" s="1000"/>
      <c r="AZ222" s="1000"/>
      <c r="BA222" s="638">
        <v>-19</v>
      </c>
      <c r="BB222" s="638">
        <v>-21</v>
      </c>
      <c r="BC222" s="638"/>
      <c r="BD222" s="638">
        <v>11</v>
      </c>
      <c r="BE222" s="1000"/>
      <c r="BF222" s="1000"/>
      <c r="BG222" s="1000"/>
      <c r="BH222" s="1000"/>
      <c r="BI222" s="1000"/>
      <c r="BJ222" s="1000"/>
      <c r="BK222" s="1000"/>
      <c r="BL222" s="1000"/>
      <c r="BM222" s="1000"/>
      <c r="BN222" s="265"/>
      <c r="BO222" s="265"/>
      <c r="BP222" s="265"/>
      <c r="BQ222" s="265"/>
      <c r="BR222" s="265"/>
      <c r="BS222" s="265"/>
      <c r="BT222" s="265"/>
      <c r="BU222" s="265"/>
      <c r="BV222" s="265"/>
      <c r="BW222" s="265"/>
      <c r="BX222" s="265"/>
      <c r="BY222" s="265"/>
      <c r="BZ222" s="265"/>
      <c r="CA222" s="265"/>
      <c r="CB222" s="265"/>
      <c r="CC222" s="265"/>
      <c r="CD222" s="265"/>
      <c r="CE222" s="265"/>
      <c r="CF222" s="265"/>
      <c r="CG222" s="265"/>
      <c r="CH222" s="265"/>
      <c r="CI222" s="265"/>
      <c r="CJ222" s="265"/>
      <c r="CK222" s="265"/>
      <c r="CL222" s="265"/>
      <c r="CM222" s="265"/>
      <c r="CN222" s="265"/>
      <c r="CO222" s="265"/>
      <c r="CP222" s="265"/>
      <c r="CQ222" s="265"/>
      <c r="CR222" s="265"/>
      <c r="CS222" s="265"/>
      <c r="CT222" s="265"/>
      <c r="CU222" s="265"/>
      <c r="CV222" s="265"/>
      <c r="CW222" s="265"/>
      <c r="CX222" s="265"/>
      <c r="CY222" s="265"/>
      <c r="CZ222" s="268"/>
    </row>
    <row r="223" spans="1:104" hidden="1" outlineLevel="1">
      <c r="A223" s="265"/>
      <c r="B223" s="265"/>
      <c r="C223" s="116" t="s">
        <v>782</v>
      </c>
      <c r="D223" s="1048"/>
      <c r="E223" s="265"/>
      <c r="F223" s="265"/>
      <c r="G223" s="265"/>
      <c r="H223" s="265"/>
      <c r="I223" s="265"/>
      <c r="J223" s="1000"/>
      <c r="K223" s="265"/>
      <c r="L223" s="265"/>
      <c r="M223" s="265"/>
      <c r="N223" s="265"/>
      <c r="O223" s="1000"/>
      <c r="P223" s="265"/>
      <c r="Q223" s="265"/>
      <c r="R223" s="265"/>
      <c r="S223" s="265"/>
      <c r="T223" s="1000"/>
      <c r="U223" s="265"/>
      <c r="V223" s="265"/>
      <c r="W223" s="265"/>
      <c r="X223" s="265"/>
      <c r="Y223" s="1000"/>
      <c r="Z223" s="265"/>
      <c r="AA223" s="265"/>
      <c r="AB223" s="265"/>
      <c r="AC223" s="265"/>
      <c r="AD223" s="1047"/>
      <c r="AE223" s="265"/>
      <c r="AF223" s="265"/>
      <c r="AG223" s="265"/>
      <c r="AH223" s="265"/>
      <c r="AI223" s="1047"/>
      <c r="AJ223" s="265"/>
      <c r="AK223" s="265"/>
      <c r="AL223" s="265"/>
      <c r="AM223" s="265"/>
      <c r="AN223" s="1047"/>
      <c r="AO223" s="1000"/>
      <c r="AP223" s="1000"/>
      <c r="AQ223" s="1000"/>
      <c r="AR223" s="1000"/>
      <c r="AS223" s="1047"/>
      <c r="AT223" s="1000"/>
      <c r="AU223" s="1000"/>
      <c r="AV223" s="1000"/>
      <c r="AW223" s="1000"/>
      <c r="AX223" s="1000"/>
      <c r="AY223" s="1000"/>
      <c r="AZ223" s="1000"/>
      <c r="BA223" s="638">
        <v>-29</v>
      </c>
      <c r="BB223" s="638">
        <v>-12</v>
      </c>
      <c r="BC223" s="638"/>
      <c r="BD223" s="638">
        <v>15.666666666666666</v>
      </c>
      <c r="BE223" s="1000"/>
      <c r="BF223" s="1000"/>
      <c r="BG223" s="1000"/>
      <c r="BH223" s="1000"/>
      <c r="BI223" s="1000"/>
      <c r="BJ223" s="1000"/>
      <c r="BK223" s="1000"/>
      <c r="BL223" s="1000"/>
      <c r="BM223" s="1000"/>
      <c r="BN223" s="265"/>
      <c r="BO223" s="265"/>
      <c r="BP223" s="265"/>
      <c r="BQ223" s="265"/>
      <c r="BR223" s="265"/>
      <c r="BS223" s="265"/>
      <c r="BT223" s="265"/>
      <c r="BU223" s="265"/>
      <c r="BV223" s="265"/>
      <c r="BW223" s="265"/>
      <c r="BX223" s="265"/>
      <c r="BY223" s="265"/>
      <c r="BZ223" s="265"/>
      <c r="CA223" s="265"/>
      <c r="CB223" s="265"/>
      <c r="CC223" s="265"/>
      <c r="CD223" s="265"/>
      <c r="CE223" s="265"/>
      <c r="CF223" s="265"/>
      <c r="CG223" s="265"/>
      <c r="CH223" s="265"/>
      <c r="CI223" s="265"/>
      <c r="CJ223" s="265"/>
      <c r="CK223" s="265"/>
      <c r="CL223" s="265"/>
      <c r="CM223" s="265"/>
      <c r="CN223" s="265"/>
      <c r="CO223" s="265"/>
      <c r="CP223" s="265"/>
      <c r="CQ223" s="265"/>
      <c r="CR223" s="265"/>
      <c r="CS223" s="265"/>
      <c r="CT223" s="265"/>
      <c r="CU223" s="265"/>
      <c r="CV223" s="265"/>
      <c r="CW223" s="265"/>
      <c r="CX223" s="265"/>
      <c r="CY223" s="265"/>
      <c r="CZ223" s="268"/>
    </row>
    <row r="224" spans="1:104" hidden="1" outlineLevel="1">
      <c r="A224" s="265"/>
      <c r="B224" s="265"/>
      <c r="C224" s="116"/>
      <c r="D224" s="1048"/>
      <c r="E224" s="265"/>
      <c r="F224" s="265"/>
      <c r="G224" s="265"/>
      <c r="H224" s="265"/>
      <c r="I224" s="265"/>
      <c r="J224" s="1000"/>
      <c r="K224" s="265"/>
      <c r="L224" s="265"/>
      <c r="M224" s="265"/>
      <c r="N224" s="265"/>
      <c r="O224" s="1000"/>
      <c r="P224" s="265"/>
      <c r="Q224" s="265"/>
      <c r="R224" s="265"/>
      <c r="S224" s="265"/>
      <c r="T224" s="1000"/>
      <c r="U224" s="265"/>
      <c r="V224" s="265"/>
      <c r="W224" s="265"/>
      <c r="X224" s="265"/>
      <c r="Y224" s="1000"/>
      <c r="Z224" s="265"/>
      <c r="AA224" s="265"/>
      <c r="AB224" s="265"/>
      <c r="AC224" s="265"/>
      <c r="AD224" s="1047"/>
      <c r="AE224" s="265"/>
      <c r="AF224" s="265"/>
      <c r="AG224" s="265"/>
      <c r="AH224" s="265"/>
      <c r="AI224" s="1047"/>
      <c r="AJ224" s="265"/>
      <c r="AK224" s="265"/>
      <c r="AL224" s="265"/>
      <c r="AM224" s="265"/>
      <c r="AN224" s="1047"/>
      <c r="AO224" s="1000"/>
      <c r="AP224" s="1000"/>
      <c r="AQ224" s="1000"/>
      <c r="AR224" s="1000"/>
      <c r="AS224" s="1047"/>
      <c r="AT224" s="1000"/>
      <c r="AU224" s="1000"/>
      <c r="AV224" s="1000"/>
      <c r="AW224" s="1000"/>
      <c r="AX224" s="1000"/>
      <c r="AY224" s="1000"/>
      <c r="AZ224" s="1000"/>
      <c r="BA224" s="1000"/>
      <c r="BB224" s="1000"/>
      <c r="BC224" s="1000"/>
      <c r="BD224" s="1000"/>
      <c r="BE224" s="1000"/>
      <c r="BF224" s="1000"/>
      <c r="BG224" s="1000"/>
      <c r="BH224" s="1000"/>
      <c r="BI224" s="1000"/>
      <c r="BJ224" s="1000"/>
      <c r="BK224" s="1000"/>
      <c r="BL224" s="1000"/>
      <c r="BM224" s="1000"/>
      <c r="BN224" s="265"/>
      <c r="BO224" s="265"/>
      <c r="BP224" s="265"/>
      <c r="BQ224" s="265"/>
      <c r="BR224" s="265"/>
      <c r="BS224" s="265"/>
      <c r="BT224" s="265"/>
      <c r="BU224" s="265"/>
      <c r="BV224" s="265"/>
      <c r="BW224" s="265"/>
      <c r="BX224" s="265"/>
      <c r="BY224" s="265"/>
      <c r="BZ224" s="265"/>
      <c r="CA224" s="265"/>
      <c r="CB224" s="265"/>
      <c r="CC224" s="265"/>
      <c r="CD224" s="265"/>
      <c r="CE224" s="265"/>
      <c r="CF224" s="265"/>
      <c r="CG224" s="265"/>
      <c r="CH224" s="265"/>
      <c r="CI224" s="265"/>
      <c r="CJ224" s="265"/>
      <c r="CK224" s="265"/>
      <c r="CL224" s="265"/>
      <c r="CM224" s="265"/>
      <c r="CN224" s="265"/>
      <c r="CO224" s="265"/>
      <c r="CP224" s="265"/>
      <c r="CQ224" s="265"/>
      <c r="CR224" s="265"/>
      <c r="CS224" s="265"/>
      <c r="CT224" s="265"/>
      <c r="CU224" s="265"/>
      <c r="CV224" s="265"/>
      <c r="CW224" s="265"/>
      <c r="CX224" s="265"/>
      <c r="CY224" s="265"/>
      <c r="CZ224" s="268"/>
    </row>
    <row r="225" spans="1:104" hidden="1" outlineLevel="1">
      <c r="A225" s="264"/>
      <c r="B225" s="266" t="s">
        <v>781</v>
      </c>
      <c r="C225" s="268"/>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c r="AA225" s="264"/>
      <c r="AB225" s="264"/>
      <c r="AC225" s="264"/>
      <c r="AD225" s="265"/>
      <c r="AE225" s="264"/>
      <c r="AF225" s="264"/>
      <c r="AG225" s="264"/>
      <c r="AH225" s="264"/>
      <c r="AI225" s="265"/>
      <c r="AJ225" s="264"/>
      <c r="AK225" s="264"/>
      <c r="AL225" s="264"/>
      <c r="AM225" s="264"/>
      <c r="AN225" s="265"/>
      <c r="AO225" s="265"/>
      <c r="AP225" s="265"/>
      <c r="AQ225" s="265"/>
      <c r="AR225" s="265"/>
      <c r="AS225" s="264"/>
      <c r="AT225" s="264"/>
      <c r="AU225" s="264"/>
      <c r="AV225" s="264"/>
      <c r="AW225" s="264"/>
      <c r="AX225" s="264"/>
      <c r="AY225" s="264"/>
      <c r="AZ225" s="264"/>
      <c r="BA225" s="264"/>
      <c r="BB225" s="264"/>
      <c r="BC225" s="264"/>
      <c r="BD225" s="266"/>
      <c r="BE225" s="266"/>
      <c r="BF225" s="266"/>
      <c r="BG225" s="266"/>
      <c r="BH225" s="266"/>
      <c r="BI225" s="1000"/>
      <c r="BJ225" s="1000"/>
      <c r="BK225" s="1000"/>
      <c r="BL225" s="1000"/>
      <c r="BM225" s="1000"/>
      <c r="BN225" s="265"/>
      <c r="BO225" s="265"/>
      <c r="BP225" s="265"/>
      <c r="BQ225" s="265"/>
      <c r="BR225" s="265"/>
      <c r="BS225" s="265"/>
      <c r="BT225" s="265"/>
      <c r="BU225" s="265"/>
      <c r="BV225" s="265"/>
      <c r="BW225" s="265"/>
      <c r="BX225" s="265"/>
      <c r="BY225" s="265"/>
      <c r="BZ225" s="265"/>
      <c r="CA225" s="265"/>
      <c r="CB225" s="265"/>
      <c r="CC225" s="265"/>
      <c r="CD225" s="265"/>
      <c r="CE225" s="265"/>
      <c r="CF225" s="265"/>
      <c r="CG225" s="265"/>
      <c r="CH225" s="265"/>
      <c r="CI225" s="265"/>
      <c r="CJ225" s="265"/>
      <c r="CK225" s="265"/>
      <c r="CL225" s="265"/>
      <c r="CM225" s="265"/>
      <c r="CN225" s="265"/>
      <c r="CO225" s="265"/>
      <c r="CP225" s="265"/>
      <c r="CQ225" s="265"/>
      <c r="CR225" s="265"/>
      <c r="CS225" s="265"/>
      <c r="CT225" s="265"/>
      <c r="CU225" s="265"/>
      <c r="CV225" s="265"/>
      <c r="CW225" s="265"/>
      <c r="CX225" s="265"/>
      <c r="CY225" s="265"/>
      <c r="CZ225" s="268"/>
    </row>
    <row r="226" spans="1:104" hidden="1" outlineLevel="1">
      <c r="A226" s="264"/>
      <c r="B226" s="264" t="s">
        <v>656</v>
      </c>
      <c r="C226" s="268"/>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c r="AA226" s="264"/>
      <c r="AB226" s="264"/>
      <c r="AC226" s="264"/>
      <c r="AD226" s="265"/>
      <c r="AE226" s="264"/>
      <c r="AF226" s="264"/>
      <c r="AG226" s="264"/>
      <c r="AH226" s="264"/>
      <c r="AI226" s="632"/>
      <c r="AJ226" s="1057"/>
      <c r="AK226" s="1057"/>
      <c r="AL226" s="1057"/>
      <c r="AM226" s="1057"/>
      <c r="AN226" s="632"/>
      <c r="AO226" s="632"/>
      <c r="AP226" s="632"/>
      <c r="AQ226" s="632"/>
      <c r="AR226" s="632"/>
      <c r="AS226" s="1057">
        <v>4</v>
      </c>
      <c r="AT226" s="1057"/>
      <c r="AU226" s="1057"/>
      <c r="AV226" s="1057"/>
      <c r="AW226" s="1057"/>
      <c r="AX226" s="1057">
        <v>1.9</v>
      </c>
      <c r="AY226" s="264"/>
      <c r="AZ226" s="264"/>
      <c r="BA226" s="264"/>
      <c r="BB226" s="264"/>
      <c r="BC226" s="1057">
        <v>-1.9</v>
      </c>
      <c r="BD226" s="266"/>
      <c r="BE226" s="266"/>
      <c r="BF226" s="266"/>
      <c r="BG226" s="266"/>
      <c r="BH226" s="1057">
        <v>3.3</v>
      </c>
      <c r="BI226" s="1000"/>
      <c r="BJ226" s="1000"/>
      <c r="BK226" s="1000"/>
      <c r="BL226" s="1000"/>
      <c r="BM226" s="1057">
        <v>3.5</v>
      </c>
      <c r="BN226" s="265"/>
      <c r="BO226" s="265"/>
      <c r="BP226" s="265"/>
      <c r="BQ226" s="265"/>
      <c r="BR226" s="265"/>
      <c r="BS226" s="265"/>
      <c r="BT226" s="265"/>
      <c r="BU226" s="265"/>
      <c r="BV226" s="265"/>
      <c r="BW226" s="265"/>
      <c r="BX226" s="265"/>
      <c r="BY226" s="265"/>
      <c r="BZ226" s="265"/>
      <c r="CA226" s="265"/>
      <c r="CB226" s="265"/>
      <c r="CC226" s="265"/>
      <c r="CD226" s="265"/>
      <c r="CE226" s="265"/>
      <c r="CF226" s="265"/>
      <c r="CG226" s="265"/>
      <c r="CH226" s="265"/>
      <c r="CI226" s="265"/>
      <c r="CJ226" s="265"/>
      <c r="CK226" s="265"/>
      <c r="CL226" s="265"/>
      <c r="CM226" s="265"/>
      <c r="CN226" s="265"/>
      <c r="CO226" s="265"/>
      <c r="CP226" s="265"/>
      <c r="CQ226" s="265"/>
      <c r="CR226" s="265"/>
      <c r="CS226" s="265"/>
      <c r="CT226" s="265"/>
      <c r="CU226" s="265"/>
      <c r="CV226" s="265"/>
      <c r="CW226" s="265"/>
      <c r="CX226" s="265"/>
      <c r="CY226" s="265"/>
      <c r="CZ226" s="268"/>
    </row>
    <row r="227" spans="1:104" hidden="1" outlineLevel="1">
      <c r="A227" s="264"/>
      <c r="B227" s="264" t="s">
        <v>500</v>
      </c>
      <c r="C227" s="268"/>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c r="AA227" s="264"/>
      <c r="AB227" s="264"/>
      <c r="AC227" s="264"/>
      <c r="AD227" s="265"/>
      <c r="AE227" s="264"/>
      <c r="AF227" s="264"/>
      <c r="AG227" s="264"/>
      <c r="AH227" s="264"/>
      <c r="AI227" s="632"/>
      <c r="AJ227" s="1057"/>
      <c r="AK227" s="1057"/>
      <c r="AL227" s="1057"/>
      <c r="AM227" s="1057"/>
      <c r="AN227" s="632"/>
      <c r="AO227" s="632"/>
      <c r="AP227" s="632"/>
      <c r="AQ227" s="632"/>
      <c r="AR227" s="632"/>
      <c r="AS227" s="1057">
        <v>2.2000000000000002</v>
      </c>
      <c r="AT227" s="1057"/>
      <c r="AU227" s="1057"/>
      <c r="AV227" s="1057"/>
      <c r="AW227" s="1057"/>
      <c r="AX227" s="1057">
        <v>0.5</v>
      </c>
      <c r="AY227" s="264"/>
      <c r="AZ227" s="264"/>
      <c r="BA227" s="264"/>
      <c r="BB227" s="264"/>
      <c r="BC227" s="1057">
        <v>-2.7</v>
      </c>
      <c r="BD227" s="266"/>
      <c r="BE227" s="266"/>
      <c r="BF227" s="266"/>
      <c r="BG227" s="266"/>
      <c r="BH227" s="1057">
        <v>3.1</v>
      </c>
      <c r="BI227" s="1000"/>
      <c r="BJ227" s="1000"/>
      <c r="BK227" s="1000"/>
      <c r="BL227" s="1000"/>
      <c r="BM227" s="1057">
        <v>3.1</v>
      </c>
      <c r="BN227" s="265"/>
      <c r="BO227" s="265"/>
      <c r="BP227" s="265"/>
      <c r="BQ227" s="265"/>
      <c r="BR227" s="265"/>
      <c r="BS227" s="265"/>
      <c r="BT227" s="265"/>
      <c r="BU227" s="265"/>
      <c r="BV227" s="265"/>
      <c r="BW227" s="265"/>
      <c r="BX227" s="265"/>
      <c r="BY227" s="265"/>
      <c r="BZ227" s="265"/>
      <c r="CA227" s="265"/>
      <c r="CB227" s="265"/>
      <c r="CC227" s="265"/>
      <c r="CD227" s="265"/>
      <c r="CE227" s="265"/>
      <c r="CF227" s="265"/>
      <c r="CG227" s="265"/>
      <c r="CH227" s="265"/>
      <c r="CI227" s="265"/>
      <c r="CJ227" s="265"/>
      <c r="CK227" s="265"/>
      <c r="CL227" s="265"/>
      <c r="CM227" s="265"/>
      <c r="CN227" s="265"/>
      <c r="CO227" s="265"/>
      <c r="CP227" s="265"/>
      <c r="CQ227" s="265"/>
      <c r="CR227" s="265"/>
      <c r="CS227" s="265"/>
      <c r="CT227" s="265"/>
      <c r="CU227" s="265"/>
      <c r="CV227" s="265"/>
      <c r="CW227" s="265"/>
      <c r="CX227" s="265"/>
      <c r="CY227" s="265"/>
      <c r="CZ227" s="268"/>
    </row>
    <row r="228" spans="1:104" hidden="1" outlineLevel="1">
      <c r="A228" s="264"/>
      <c r="B228" s="264" t="s">
        <v>655</v>
      </c>
      <c r="C228" s="268"/>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c r="AA228" s="264"/>
      <c r="AB228" s="264"/>
      <c r="AC228" s="264"/>
      <c r="AD228" s="265"/>
      <c r="AE228" s="264"/>
      <c r="AF228" s="264"/>
      <c r="AG228" s="264"/>
      <c r="AH228" s="264"/>
      <c r="AI228" s="632"/>
      <c r="AJ228" s="1057"/>
      <c r="AK228" s="1057"/>
      <c r="AL228" s="1057"/>
      <c r="AM228" s="1057"/>
      <c r="AN228" s="632"/>
      <c r="AO228" s="632"/>
      <c r="AP228" s="632"/>
      <c r="AQ228" s="632"/>
      <c r="AR228" s="632"/>
      <c r="AS228" s="1057">
        <v>2.7</v>
      </c>
      <c r="AT228" s="1057"/>
      <c r="AU228" s="1057"/>
      <c r="AV228" s="1057"/>
      <c r="AW228" s="1057"/>
      <c r="AX228" s="1057">
        <v>0.5</v>
      </c>
      <c r="AY228" s="264"/>
      <c r="AZ228" s="264"/>
      <c r="BA228" s="264"/>
      <c r="BB228" s="264"/>
      <c r="BC228" s="1057">
        <v>-4</v>
      </c>
      <c r="BD228" s="266"/>
      <c r="BE228" s="266"/>
      <c r="BF228" s="266"/>
      <c r="BG228" s="266"/>
      <c r="BH228" s="1057">
        <v>1</v>
      </c>
      <c r="BI228" s="1000"/>
      <c r="BJ228" s="1000"/>
      <c r="BK228" s="1000"/>
      <c r="BL228" s="1000"/>
      <c r="BM228" s="1057">
        <v>1.5</v>
      </c>
      <c r="BN228" s="265"/>
      <c r="BO228" s="265"/>
      <c r="BP228" s="265"/>
      <c r="BQ228" s="265"/>
      <c r="BR228" s="265"/>
      <c r="BS228" s="265"/>
      <c r="BT228" s="265"/>
      <c r="BU228" s="265"/>
      <c r="BV228" s="265"/>
      <c r="BW228" s="265"/>
      <c r="BX228" s="265"/>
      <c r="BY228" s="265"/>
      <c r="BZ228" s="265"/>
      <c r="CA228" s="265"/>
      <c r="CB228" s="265"/>
      <c r="CC228" s="265"/>
      <c r="CD228" s="265"/>
      <c r="CE228" s="265"/>
      <c r="CF228" s="265"/>
      <c r="CG228" s="265"/>
      <c r="CH228" s="265"/>
      <c r="CI228" s="265"/>
      <c r="CJ228" s="265"/>
      <c r="CK228" s="265"/>
      <c r="CL228" s="265"/>
      <c r="CM228" s="265"/>
      <c r="CN228" s="265"/>
      <c r="CO228" s="265"/>
      <c r="CP228" s="265"/>
      <c r="CQ228" s="265"/>
      <c r="CR228" s="265"/>
      <c r="CS228" s="265"/>
      <c r="CT228" s="265"/>
      <c r="CU228" s="265"/>
      <c r="CV228" s="265"/>
      <c r="CW228" s="265"/>
      <c r="CX228" s="265"/>
      <c r="CY228" s="265"/>
      <c r="CZ228" s="268"/>
    </row>
    <row r="229" spans="1:104" hidden="1" outlineLevel="1">
      <c r="A229" s="264"/>
      <c r="B229" s="264" t="s">
        <v>780</v>
      </c>
      <c r="C229" s="268"/>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c r="AA229" s="264"/>
      <c r="AB229" s="264"/>
      <c r="AC229" s="264"/>
      <c r="AD229" s="265"/>
      <c r="AE229" s="264"/>
      <c r="AF229" s="264"/>
      <c r="AG229" s="264"/>
      <c r="AH229" s="264"/>
      <c r="AI229" s="632"/>
      <c r="AJ229" s="1057"/>
      <c r="AK229" s="1057"/>
      <c r="AL229" s="1057"/>
      <c r="AM229" s="1057"/>
      <c r="AN229" s="632"/>
      <c r="AO229" s="632"/>
      <c r="AP229" s="632"/>
      <c r="AQ229" s="632"/>
      <c r="AR229" s="632"/>
      <c r="AS229" s="1057">
        <v>7</v>
      </c>
      <c r="AT229" s="1057"/>
      <c r="AU229" s="1057"/>
      <c r="AV229" s="1057"/>
      <c r="AW229" s="1057"/>
      <c r="AX229" s="1057">
        <v>4.0999999999999996</v>
      </c>
      <c r="AY229" s="264"/>
      <c r="AZ229" s="264"/>
      <c r="BA229" s="264"/>
      <c r="BB229" s="264"/>
      <c r="BC229" s="1057">
        <v>-5.5</v>
      </c>
      <c r="BD229" s="266"/>
      <c r="BE229" s="266"/>
      <c r="BF229" s="266"/>
      <c r="BG229" s="266"/>
      <c r="BH229" s="1057">
        <v>2.9</v>
      </c>
      <c r="BI229" s="1000"/>
      <c r="BJ229" s="1000"/>
      <c r="BK229" s="1000"/>
      <c r="BL229" s="1000"/>
      <c r="BM229" s="1057">
        <v>-3.8</v>
      </c>
      <c r="BN229" s="265"/>
      <c r="BO229" s="265"/>
      <c r="BP229" s="265"/>
      <c r="BQ229" s="265"/>
      <c r="BR229" s="265"/>
      <c r="BS229" s="265"/>
      <c r="BT229" s="265"/>
      <c r="BU229" s="265"/>
      <c r="BV229" s="265"/>
      <c r="BW229" s="265"/>
      <c r="BX229" s="265"/>
      <c r="BY229" s="265"/>
      <c r="BZ229" s="265"/>
      <c r="CA229" s="265"/>
      <c r="CB229" s="265"/>
      <c r="CC229" s="265"/>
      <c r="CD229" s="265"/>
      <c r="CE229" s="265"/>
      <c r="CF229" s="265"/>
      <c r="CG229" s="265"/>
      <c r="CH229" s="265"/>
      <c r="CI229" s="265"/>
      <c r="CJ229" s="265"/>
      <c r="CK229" s="265"/>
      <c r="CL229" s="265"/>
      <c r="CM229" s="265"/>
      <c r="CN229" s="265"/>
      <c r="CO229" s="265"/>
      <c r="CP229" s="265"/>
      <c r="CQ229" s="265"/>
      <c r="CR229" s="265"/>
      <c r="CS229" s="265"/>
      <c r="CT229" s="265"/>
      <c r="CU229" s="265"/>
      <c r="CV229" s="265"/>
      <c r="CW229" s="265"/>
      <c r="CX229" s="265"/>
      <c r="CY229" s="265"/>
      <c r="CZ229" s="268"/>
    </row>
    <row r="230" spans="1:104" hidden="1" outlineLevel="1">
      <c r="A230" s="264"/>
      <c r="B230" s="264" t="s">
        <v>499</v>
      </c>
      <c r="C230" s="268"/>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c r="AA230" s="264"/>
      <c r="AB230" s="264"/>
      <c r="AC230" s="264"/>
      <c r="AD230" s="265"/>
      <c r="AE230" s="264"/>
      <c r="AF230" s="264"/>
      <c r="AG230" s="264"/>
      <c r="AH230" s="264"/>
      <c r="AI230" s="632"/>
      <c r="AJ230" s="1057"/>
      <c r="AK230" s="1057"/>
      <c r="AL230" s="1057"/>
      <c r="AM230" s="1057"/>
      <c r="AN230" s="632"/>
      <c r="AO230" s="632"/>
      <c r="AP230" s="632"/>
      <c r="AQ230" s="632"/>
      <c r="AR230" s="632"/>
      <c r="AS230" s="1057">
        <v>13</v>
      </c>
      <c r="AT230" s="1057"/>
      <c r="AU230" s="1057"/>
      <c r="AV230" s="1057"/>
      <c r="AW230" s="1057"/>
      <c r="AX230" s="1057">
        <v>9.6</v>
      </c>
      <c r="AY230" s="264"/>
      <c r="AZ230" s="264"/>
      <c r="BA230" s="264"/>
      <c r="BB230" s="264"/>
      <c r="BC230" s="1057">
        <v>8.6999999999999993</v>
      </c>
      <c r="BD230" s="266"/>
      <c r="BE230" s="266"/>
      <c r="BF230" s="266"/>
      <c r="BG230" s="266"/>
      <c r="BH230" s="1057">
        <v>10.4</v>
      </c>
      <c r="BI230" s="1000"/>
      <c r="BJ230" s="1000"/>
      <c r="BK230" s="1000"/>
      <c r="BL230" s="1000"/>
      <c r="BM230" s="1057">
        <v>8.6</v>
      </c>
      <c r="BN230" s="265"/>
      <c r="BO230" s="265"/>
      <c r="BP230" s="265"/>
      <c r="BQ230" s="265"/>
      <c r="BR230" s="265"/>
      <c r="BS230" s="265"/>
      <c r="BT230" s="265"/>
      <c r="BU230" s="265"/>
      <c r="BV230" s="265"/>
      <c r="BW230" s="265"/>
      <c r="BX230" s="265"/>
      <c r="BY230" s="265"/>
      <c r="BZ230" s="265"/>
      <c r="CA230" s="265"/>
      <c r="CB230" s="265"/>
      <c r="CC230" s="265"/>
      <c r="CD230" s="265"/>
      <c r="CE230" s="265"/>
      <c r="CF230" s="265"/>
      <c r="CG230" s="265"/>
      <c r="CH230" s="265"/>
      <c r="CI230" s="265"/>
      <c r="CJ230" s="265"/>
      <c r="CK230" s="265"/>
      <c r="CL230" s="265"/>
      <c r="CM230" s="265"/>
      <c r="CN230" s="265"/>
      <c r="CO230" s="265"/>
      <c r="CP230" s="265"/>
      <c r="CQ230" s="265"/>
      <c r="CR230" s="265"/>
      <c r="CS230" s="265"/>
      <c r="CT230" s="265"/>
      <c r="CU230" s="265"/>
      <c r="CV230" s="265"/>
      <c r="CW230" s="265"/>
      <c r="CX230" s="265"/>
      <c r="CY230" s="265"/>
      <c r="CZ230" s="268"/>
    </row>
    <row r="231" spans="1:104" hidden="1" outlineLevel="1">
      <c r="A231" s="264"/>
      <c r="B231" s="264" t="s">
        <v>542</v>
      </c>
      <c r="C231" s="268"/>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c r="AA231" s="264"/>
      <c r="AB231" s="264"/>
      <c r="AC231" s="264"/>
      <c r="AD231" s="265"/>
      <c r="AE231" s="264"/>
      <c r="AF231" s="264"/>
      <c r="AG231" s="264"/>
      <c r="AH231" s="264"/>
      <c r="AI231" s="632"/>
      <c r="AJ231" s="1057"/>
      <c r="AK231" s="1057"/>
      <c r="AL231" s="1057"/>
      <c r="AM231" s="1057"/>
      <c r="AN231" s="632"/>
      <c r="AO231" s="632"/>
      <c r="AP231" s="632"/>
      <c r="AQ231" s="632"/>
      <c r="AR231" s="632"/>
      <c r="AS231" s="1057">
        <v>9.1</v>
      </c>
      <c r="AT231" s="1057"/>
      <c r="AU231" s="1057"/>
      <c r="AV231" s="1057"/>
      <c r="AW231" s="1057"/>
      <c r="AX231" s="1057">
        <v>6.1</v>
      </c>
      <c r="AY231" s="264"/>
      <c r="AZ231" s="264"/>
      <c r="BA231" s="264"/>
      <c r="BB231" s="264"/>
      <c r="BC231" s="1057">
        <v>6.6</v>
      </c>
      <c r="BD231" s="266"/>
      <c r="BE231" s="266"/>
      <c r="BF231" s="266"/>
      <c r="BG231" s="266"/>
      <c r="BH231" s="1057">
        <v>8</v>
      </c>
      <c r="BI231" s="1000"/>
      <c r="BJ231" s="1000"/>
      <c r="BK231" s="1000"/>
      <c r="BL231" s="1000"/>
      <c r="BM231" s="1057">
        <v>7.9</v>
      </c>
      <c r="BN231" s="265"/>
      <c r="BO231" s="265"/>
      <c r="BP231" s="265"/>
      <c r="BQ231" s="265"/>
      <c r="BR231" s="265"/>
      <c r="BS231" s="265"/>
      <c r="BT231" s="265"/>
      <c r="BU231" s="265"/>
      <c r="BV231" s="265"/>
      <c r="BW231" s="265"/>
      <c r="BX231" s="265"/>
      <c r="BY231" s="265"/>
      <c r="BZ231" s="265"/>
      <c r="CA231" s="265"/>
      <c r="CB231" s="265"/>
      <c r="CC231" s="265"/>
      <c r="CD231" s="265"/>
      <c r="CE231" s="265"/>
      <c r="CF231" s="265"/>
      <c r="CG231" s="265"/>
      <c r="CH231" s="265"/>
      <c r="CI231" s="265"/>
      <c r="CJ231" s="265"/>
      <c r="CK231" s="265"/>
      <c r="CL231" s="265"/>
      <c r="CM231" s="265"/>
      <c r="CN231" s="265"/>
      <c r="CO231" s="265"/>
      <c r="CP231" s="265"/>
      <c r="CQ231" s="265"/>
      <c r="CR231" s="265"/>
      <c r="CS231" s="265"/>
      <c r="CT231" s="265"/>
      <c r="CU231" s="265"/>
      <c r="CV231" s="265"/>
      <c r="CW231" s="265"/>
      <c r="CX231" s="265"/>
      <c r="CY231" s="265"/>
      <c r="CZ231" s="268"/>
    </row>
    <row r="232" spans="1:104" hidden="1" outlineLevel="1">
      <c r="A232" s="264"/>
      <c r="B232" s="264" t="s">
        <v>498</v>
      </c>
      <c r="C232" s="268"/>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c r="AA232" s="264"/>
      <c r="AB232" s="264"/>
      <c r="AC232" s="264"/>
      <c r="AD232" s="265"/>
      <c r="AE232" s="264"/>
      <c r="AF232" s="264"/>
      <c r="AG232" s="264"/>
      <c r="AH232" s="264"/>
      <c r="AI232" s="632"/>
      <c r="AJ232" s="1057"/>
      <c r="AK232" s="1057"/>
      <c r="AL232" s="1057"/>
      <c r="AM232" s="1057"/>
      <c r="AN232" s="632"/>
      <c r="AO232" s="632"/>
      <c r="AP232" s="632"/>
      <c r="AQ232" s="632"/>
      <c r="AR232" s="632"/>
      <c r="AS232" s="1057">
        <v>2.2999999999999998</v>
      </c>
      <c r="AT232" s="1057"/>
      <c r="AU232" s="1057"/>
      <c r="AV232" s="1057"/>
      <c r="AW232" s="1057"/>
      <c r="AX232" s="1057">
        <v>-1.2</v>
      </c>
      <c r="AY232" s="264"/>
      <c r="AZ232" s="264"/>
      <c r="BA232" s="264"/>
      <c r="BB232" s="264"/>
      <c r="BC232" s="1057">
        <v>-5.2</v>
      </c>
      <c r="BD232" s="266"/>
      <c r="BE232" s="266"/>
      <c r="BF232" s="266"/>
      <c r="BG232" s="266"/>
      <c r="BH232" s="1057">
        <v>1.9</v>
      </c>
      <c r="BI232" s="1000"/>
      <c r="BJ232" s="1000"/>
      <c r="BK232" s="1000"/>
      <c r="BL232" s="1000"/>
      <c r="BM232" s="1057">
        <v>1.2</v>
      </c>
      <c r="BN232" s="265"/>
      <c r="BO232" s="265"/>
      <c r="BP232" s="265"/>
      <c r="BQ232" s="265"/>
      <c r="BR232" s="265"/>
      <c r="BS232" s="265"/>
      <c r="BT232" s="265"/>
      <c r="BU232" s="265"/>
      <c r="BV232" s="265"/>
      <c r="BW232" s="265"/>
      <c r="BX232" s="265"/>
      <c r="BY232" s="265"/>
      <c r="BZ232" s="265"/>
      <c r="CA232" s="265"/>
      <c r="CB232" s="265"/>
      <c r="CC232" s="265"/>
      <c r="CD232" s="265"/>
      <c r="CE232" s="265"/>
      <c r="CF232" s="265"/>
      <c r="CG232" s="265"/>
      <c r="CH232" s="265"/>
      <c r="CI232" s="265"/>
      <c r="CJ232" s="265"/>
      <c r="CK232" s="265"/>
      <c r="CL232" s="265"/>
      <c r="CM232" s="265"/>
      <c r="CN232" s="265"/>
      <c r="CO232" s="265"/>
      <c r="CP232" s="265"/>
      <c r="CQ232" s="265"/>
      <c r="CR232" s="265"/>
      <c r="CS232" s="265"/>
      <c r="CT232" s="265"/>
      <c r="CU232" s="265"/>
      <c r="CV232" s="265"/>
      <c r="CW232" s="265"/>
      <c r="CX232" s="265"/>
      <c r="CY232" s="265"/>
      <c r="CZ232" s="268"/>
    </row>
    <row r="233" spans="1:104" hidden="1" outlineLevel="1">
      <c r="A233" s="264"/>
      <c r="B233" s="264" t="s">
        <v>652</v>
      </c>
      <c r="C233" s="268"/>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5"/>
      <c r="AE233" s="264"/>
      <c r="AF233" s="264"/>
      <c r="AG233" s="264"/>
      <c r="AH233" s="264"/>
      <c r="AI233" s="632"/>
      <c r="AJ233" s="1057"/>
      <c r="AK233" s="1057"/>
      <c r="AL233" s="1057"/>
      <c r="AM233" s="1057"/>
      <c r="AN233" s="632"/>
      <c r="AO233" s="632"/>
      <c r="AP233" s="632"/>
      <c r="AQ233" s="632"/>
      <c r="AR233" s="632"/>
      <c r="AS233" s="1057">
        <v>5</v>
      </c>
      <c r="AT233" s="1057"/>
      <c r="AU233" s="1057"/>
      <c r="AV233" s="1057"/>
      <c r="AW233" s="1057"/>
      <c r="AX233" s="1057">
        <v>4.8</v>
      </c>
      <c r="AY233" s="264"/>
      <c r="AZ233" s="264"/>
      <c r="BA233" s="264"/>
      <c r="BB233" s="264"/>
      <c r="BC233" s="1057">
        <v>0.3</v>
      </c>
      <c r="BD233" s="266"/>
      <c r="BE233" s="266"/>
      <c r="BF233" s="266"/>
      <c r="BG233" s="266"/>
      <c r="BH233" s="1057">
        <v>4.3</v>
      </c>
      <c r="BI233" s="1000"/>
      <c r="BJ233" s="1000"/>
      <c r="BK233" s="1000"/>
      <c r="BL233" s="1000"/>
      <c r="BM233" s="1057">
        <v>5.7</v>
      </c>
      <c r="BN233" s="265"/>
      <c r="BO233" s="265"/>
      <c r="BP233" s="265"/>
      <c r="BQ233" s="265"/>
      <c r="BR233" s="265"/>
      <c r="BS233" s="265"/>
      <c r="BT233" s="265"/>
      <c r="BU233" s="265"/>
      <c r="BV233" s="265"/>
      <c r="BW233" s="265"/>
      <c r="BX233" s="265"/>
      <c r="BY233" s="265"/>
      <c r="BZ233" s="265"/>
      <c r="CA233" s="265"/>
      <c r="CB233" s="265"/>
      <c r="CC233" s="265"/>
      <c r="CD233" s="265"/>
      <c r="CE233" s="265"/>
      <c r="CF233" s="265"/>
      <c r="CG233" s="265"/>
      <c r="CH233" s="265"/>
      <c r="CI233" s="265"/>
      <c r="CJ233" s="265"/>
      <c r="CK233" s="265"/>
      <c r="CL233" s="265"/>
      <c r="CM233" s="265"/>
      <c r="CN233" s="265"/>
      <c r="CO233" s="265"/>
      <c r="CP233" s="265"/>
      <c r="CQ233" s="265"/>
      <c r="CR233" s="265"/>
      <c r="CS233" s="265"/>
      <c r="CT233" s="265"/>
      <c r="CU233" s="265"/>
      <c r="CV233" s="265"/>
      <c r="CW233" s="265"/>
      <c r="CX233" s="265"/>
      <c r="CY233" s="265"/>
      <c r="CZ233" s="268"/>
    </row>
    <row r="234" spans="1:104" hidden="1" outlineLevel="1">
      <c r="A234" s="265"/>
      <c r="B234" s="265"/>
      <c r="C234" s="116"/>
      <c r="D234" s="1048"/>
      <c r="E234" s="265"/>
      <c r="F234" s="265"/>
      <c r="G234" s="265"/>
      <c r="H234" s="265"/>
      <c r="I234" s="265"/>
      <c r="J234" s="1000"/>
      <c r="K234" s="265"/>
      <c r="L234" s="265"/>
      <c r="M234" s="265"/>
      <c r="N234" s="265"/>
      <c r="O234" s="1000"/>
      <c r="P234" s="265"/>
      <c r="Q234" s="265"/>
      <c r="R234" s="265"/>
      <c r="S234" s="265"/>
      <c r="T234" s="1000"/>
      <c r="U234" s="265"/>
      <c r="V234" s="265"/>
      <c r="W234" s="265"/>
      <c r="X234" s="265"/>
      <c r="Y234" s="1000"/>
      <c r="Z234" s="265"/>
      <c r="AA234" s="265"/>
      <c r="AB234" s="265"/>
      <c r="AC234" s="265"/>
      <c r="AD234" s="1047"/>
      <c r="AE234" s="265"/>
      <c r="AF234" s="265"/>
      <c r="AG234" s="265"/>
      <c r="AH234" s="265"/>
      <c r="AI234" s="1047"/>
      <c r="AJ234" s="265"/>
      <c r="AK234" s="265"/>
      <c r="AL234" s="265"/>
      <c r="AM234" s="265"/>
      <c r="AN234" s="1047"/>
      <c r="AO234" s="1000"/>
      <c r="AP234" s="1000"/>
      <c r="AQ234" s="1000"/>
      <c r="AR234" s="1000"/>
      <c r="AS234" s="1047"/>
      <c r="AT234" s="1000"/>
      <c r="AU234" s="1000"/>
      <c r="AV234" s="1000"/>
      <c r="AW234" s="1000"/>
      <c r="AX234" s="1000"/>
      <c r="AY234" s="1000"/>
      <c r="AZ234" s="1000"/>
      <c r="BA234" s="1000"/>
      <c r="BB234" s="1000"/>
      <c r="BC234" s="1000"/>
      <c r="BD234" s="1000"/>
      <c r="BE234" s="1000"/>
      <c r="BF234" s="1000"/>
      <c r="BG234" s="1000"/>
      <c r="BH234" s="1000"/>
      <c r="BI234" s="1000"/>
      <c r="BJ234" s="1000"/>
      <c r="BK234" s="1000"/>
      <c r="BL234" s="1000"/>
      <c r="BM234" s="1000"/>
      <c r="BN234" s="265"/>
      <c r="BO234" s="265"/>
      <c r="BP234" s="265"/>
      <c r="BQ234" s="265"/>
      <c r="BR234" s="265"/>
      <c r="BS234" s="265"/>
      <c r="BT234" s="265"/>
      <c r="BU234" s="265"/>
      <c r="BV234" s="265"/>
      <c r="BW234" s="265"/>
      <c r="BX234" s="265"/>
      <c r="BY234" s="265"/>
      <c r="BZ234" s="265"/>
      <c r="CA234" s="265"/>
      <c r="CB234" s="265"/>
      <c r="CC234" s="265"/>
      <c r="CD234" s="265"/>
      <c r="CE234" s="265"/>
      <c r="CF234" s="265"/>
      <c r="CG234" s="265"/>
      <c r="CH234" s="265"/>
      <c r="CI234" s="265"/>
      <c r="CJ234" s="265"/>
      <c r="CK234" s="265"/>
      <c r="CL234" s="265"/>
      <c r="CM234" s="265"/>
      <c r="CN234" s="265"/>
      <c r="CO234" s="265"/>
      <c r="CP234" s="265"/>
      <c r="CQ234" s="265"/>
      <c r="CR234" s="265"/>
      <c r="CS234" s="265"/>
      <c r="CT234" s="265"/>
      <c r="CU234" s="265"/>
      <c r="CV234" s="265"/>
      <c r="CW234" s="265"/>
      <c r="CX234" s="265"/>
      <c r="CY234" s="265"/>
      <c r="CZ234" s="268"/>
    </row>
    <row r="235" spans="1:104" hidden="1" outlineLevel="1">
      <c r="A235" s="264"/>
      <c r="B235" s="266" t="s">
        <v>779</v>
      </c>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264"/>
      <c r="AS235" s="264"/>
      <c r="AT235" s="264"/>
      <c r="AU235" s="264"/>
      <c r="AV235" s="264"/>
      <c r="AW235" s="264"/>
      <c r="AX235" s="264"/>
      <c r="AY235" s="264"/>
      <c r="AZ235" s="264"/>
      <c r="BA235" s="264"/>
      <c r="BB235" s="264"/>
      <c r="BC235" s="264"/>
      <c r="BD235" s="264"/>
      <c r="BE235" s="264"/>
      <c r="BF235" s="264"/>
      <c r="BG235" s="264"/>
      <c r="BH235" s="264"/>
      <c r="BI235" s="264"/>
      <c r="BJ235" s="264"/>
      <c r="BK235" s="264"/>
      <c r="BL235" s="264"/>
      <c r="BM235" s="264"/>
      <c r="BN235" s="264"/>
      <c r="BO235" s="264"/>
      <c r="BP235" s="264"/>
      <c r="BQ235" s="264"/>
      <c r="BR235" s="264"/>
      <c r="BS235" s="264"/>
      <c r="BT235" s="264"/>
      <c r="BU235" s="264"/>
      <c r="BV235" s="264"/>
      <c r="BW235" s="264"/>
      <c r="BX235" s="264"/>
      <c r="BY235" s="264"/>
      <c r="BZ235" s="264"/>
      <c r="CA235" s="264"/>
      <c r="CB235" s="264"/>
      <c r="CC235" s="264"/>
      <c r="CD235" s="264"/>
      <c r="CE235" s="264"/>
      <c r="CF235" s="264"/>
      <c r="CG235" s="264"/>
      <c r="CH235" s="264"/>
      <c r="CI235" s="264"/>
      <c r="CJ235" s="264"/>
      <c r="CK235" s="264"/>
      <c r="CL235" s="264"/>
      <c r="CM235" s="264"/>
      <c r="CN235" s="264"/>
      <c r="CO235" s="264"/>
      <c r="CP235" s="264"/>
      <c r="CQ235" s="264"/>
      <c r="CR235" s="264"/>
      <c r="CS235" s="264"/>
      <c r="CT235" s="264"/>
      <c r="CU235" s="264"/>
      <c r="CV235" s="264"/>
      <c r="CW235" s="264"/>
      <c r="CX235" s="264"/>
      <c r="CY235" s="264"/>
      <c r="CZ235" s="268"/>
    </row>
    <row r="236" spans="1:104" hidden="1" outlineLevel="1">
      <c r="A236" s="264"/>
      <c r="B236" s="264" t="s">
        <v>778</v>
      </c>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264"/>
      <c r="AS236" s="264"/>
      <c r="AT236" s="264"/>
      <c r="AU236" s="264"/>
      <c r="AV236" s="264"/>
      <c r="AW236" s="264"/>
      <c r="AX236" s="264"/>
      <c r="AY236" s="264"/>
      <c r="AZ236" s="264"/>
      <c r="BA236" s="264"/>
      <c r="BB236" s="264"/>
      <c r="BC236" s="264"/>
      <c r="BD236" s="264"/>
      <c r="BE236" s="264"/>
      <c r="BF236" s="264"/>
      <c r="BG236" s="264"/>
      <c r="BH236" s="264"/>
      <c r="BI236" s="264"/>
      <c r="BJ236" s="264"/>
      <c r="BK236" s="264"/>
      <c r="BL236" s="264"/>
      <c r="BM236" s="525" t="s">
        <v>777</v>
      </c>
      <c r="BN236" s="264"/>
      <c r="BO236" s="264"/>
      <c r="BP236" s="264"/>
      <c r="BQ236" s="264"/>
      <c r="BR236" s="264"/>
      <c r="BS236" s="264"/>
      <c r="BT236" s="264"/>
      <c r="BU236" s="264"/>
      <c r="BV236" s="264"/>
      <c r="BW236" s="264"/>
      <c r="BX236" s="264"/>
      <c r="BY236" s="264"/>
      <c r="BZ236" s="264"/>
      <c r="CA236" s="264"/>
      <c r="CB236" s="264"/>
      <c r="CC236" s="264"/>
      <c r="CD236" s="264"/>
      <c r="CE236" s="264"/>
      <c r="CF236" s="264"/>
      <c r="CG236" s="264"/>
      <c r="CH236" s="264"/>
      <c r="CI236" s="264"/>
      <c r="CJ236" s="264"/>
      <c r="CK236" s="264"/>
      <c r="CL236" s="264"/>
      <c r="CM236" s="264"/>
      <c r="CN236" s="264"/>
      <c r="CO236" s="264"/>
      <c r="CP236" s="264"/>
      <c r="CQ236" s="264"/>
      <c r="CR236" s="264"/>
      <c r="CS236" s="264"/>
      <c r="CT236" s="264"/>
      <c r="CU236" s="264"/>
      <c r="CV236" s="264"/>
      <c r="CW236" s="264"/>
      <c r="CX236" s="264"/>
      <c r="CY236" s="264"/>
      <c r="CZ236" s="268"/>
    </row>
    <row r="237" spans="1:104" hidden="1" outlineLevel="1">
      <c r="A237" s="264"/>
      <c r="B237" s="264" t="s">
        <v>776</v>
      </c>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264"/>
      <c r="AS237" s="264"/>
      <c r="AT237" s="264"/>
      <c r="AU237" s="264"/>
      <c r="AV237" s="264"/>
      <c r="AW237" s="264"/>
      <c r="AX237" s="264"/>
      <c r="AY237" s="264"/>
      <c r="AZ237" s="264"/>
      <c r="BA237" s="264"/>
      <c r="BB237" s="264"/>
      <c r="BC237" s="264"/>
      <c r="BD237" s="264"/>
      <c r="BE237" s="264"/>
      <c r="BF237" s="264"/>
      <c r="BG237" s="264"/>
      <c r="BH237" s="264"/>
      <c r="BI237" s="264"/>
      <c r="BJ237" s="264"/>
      <c r="BK237" s="264"/>
      <c r="BL237" s="264"/>
      <c r="BM237" s="525" t="s">
        <v>775</v>
      </c>
      <c r="BN237" s="264"/>
      <c r="BO237" s="264"/>
      <c r="BP237" s="264"/>
      <c r="BQ237" s="264"/>
      <c r="BR237" s="264"/>
      <c r="BS237" s="264"/>
      <c r="BT237" s="264"/>
      <c r="BU237" s="264"/>
      <c r="BV237" s="264"/>
      <c r="BW237" s="264"/>
      <c r="BX237" s="264"/>
      <c r="BY237" s="264"/>
      <c r="BZ237" s="264"/>
      <c r="CA237" s="264"/>
      <c r="CB237" s="264"/>
      <c r="CC237" s="264"/>
      <c r="CD237" s="264"/>
      <c r="CE237" s="264"/>
      <c r="CF237" s="264"/>
      <c r="CG237" s="264"/>
      <c r="CH237" s="264"/>
      <c r="CI237" s="264"/>
      <c r="CJ237" s="264"/>
      <c r="CK237" s="264"/>
      <c r="CL237" s="264"/>
      <c r="CM237" s="264"/>
      <c r="CN237" s="264"/>
      <c r="CO237" s="264"/>
      <c r="CP237" s="264"/>
      <c r="CQ237" s="264"/>
      <c r="CR237" s="264"/>
      <c r="CS237" s="264"/>
      <c r="CT237" s="264"/>
      <c r="CU237" s="264"/>
      <c r="CV237" s="264"/>
      <c r="CW237" s="264"/>
      <c r="CX237" s="264"/>
      <c r="CY237" s="264"/>
      <c r="CZ237" s="268"/>
    </row>
    <row r="238" spans="1:104" hidden="1" outlineLevel="1">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264"/>
      <c r="AS238" s="264"/>
      <c r="AT238" s="264"/>
      <c r="AU238" s="264"/>
      <c r="AV238" s="264"/>
      <c r="AW238" s="264"/>
      <c r="AX238" s="264"/>
      <c r="AY238" s="264"/>
      <c r="AZ238" s="264"/>
      <c r="BA238" s="264"/>
      <c r="BB238" s="264"/>
      <c r="BC238" s="264"/>
      <c r="BD238" s="264"/>
      <c r="BE238" s="264"/>
      <c r="BF238" s="264"/>
      <c r="BG238" s="264"/>
      <c r="BH238" s="264"/>
      <c r="BI238" s="264"/>
      <c r="BJ238" s="264"/>
      <c r="BK238" s="264"/>
      <c r="BL238" s="264"/>
      <c r="BM238" s="264"/>
      <c r="BN238" s="264"/>
      <c r="BO238" s="264"/>
      <c r="BP238" s="264"/>
      <c r="BQ238" s="264"/>
      <c r="BR238" s="264"/>
      <c r="BS238" s="264"/>
      <c r="BT238" s="264"/>
      <c r="BU238" s="264"/>
      <c r="BV238" s="264"/>
      <c r="BW238" s="264"/>
      <c r="BX238" s="264"/>
      <c r="BY238" s="264"/>
      <c r="BZ238" s="264"/>
      <c r="CA238" s="264"/>
      <c r="CB238" s="264"/>
      <c r="CC238" s="264"/>
      <c r="CD238" s="264"/>
      <c r="CE238" s="264"/>
      <c r="CF238" s="264"/>
      <c r="CG238" s="264"/>
      <c r="CH238" s="264"/>
      <c r="CI238" s="264"/>
      <c r="CJ238" s="264"/>
      <c r="CK238" s="264"/>
      <c r="CL238" s="264"/>
      <c r="CM238" s="264"/>
      <c r="CN238" s="264"/>
      <c r="CO238" s="264"/>
      <c r="CP238" s="264"/>
      <c r="CQ238" s="264"/>
      <c r="CR238" s="264"/>
      <c r="CS238" s="264"/>
      <c r="CT238" s="264"/>
      <c r="CU238" s="264"/>
      <c r="CV238" s="264"/>
      <c r="CW238" s="264"/>
      <c r="CX238" s="264"/>
      <c r="CY238" s="264"/>
      <c r="CZ238" s="268"/>
    </row>
    <row r="239" spans="1:104" hidden="1" outlineLevel="1">
      <c r="A239" s="265"/>
      <c r="B239" s="1000" t="s">
        <v>774</v>
      </c>
      <c r="C239" s="116"/>
      <c r="D239" s="1048"/>
      <c r="E239" s="265"/>
      <c r="F239" s="265"/>
      <c r="G239" s="265"/>
      <c r="H239" s="265"/>
      <c r="I239" s="265"/>
      <c r="J239" s="1000"/>
      <c r="K239" s="265"/>
      <c r="L239" s="265"/>
      <c r="M239" s="265"/>
      <c r="N239" s="265"/>
      <c r="O239" s="1000"/>
      <c r="P239" s="265"/>
      <c r="Q239" s="265"/>
      <c r="R239" s="265"/>
      <c r="S239" s="265"/>
      <c r="T239" s="1000"/>
      <c r="U239" s="265"/>
      <c r="V239" s="265"/>
      <c r="W239" s="265"/>
      <c r="X239" s="265"/>
      <c r="Y239" s="1000"/>
      <c r="Z239" s="265"/>
      <c r="AA239" s="265"/>
      <c r="AB239" s="265"/>
      <c r="AC239" s="265"/>
      <c r="AD239" s="1047"/>
      <c r="AE239" s="265"/>
      <c r="AF239" s="265"/>
      <c r="AG239" s="265"/>
      <c r="AH239" s="265"/>
      <c r="AI239" s="1047"/>
      <c r="AJ239" s="265"/>
      <c r="AK239" s="265"/>
      <c r="AL239" s="265"/>
      <c r="AM239" s="265"/>
      <c r="AN239" s="1047"/>
      <c r="AO239" s="1000"/>
      <c r="AP239" s="1000"/>
      <c r="AQ239" s="1000"/>
      <c r="AR239" s="1000"/>
      <c r="AS239" s="1047"/>
      <c r="AT239" s="1000"/>
      <c r="AU239" s="1000"/>
      <c r="AV239" s="1000"/>
      <c r="AW239" s="1000"/>
      <c r="AX239" s="1000"/>
      <c r="AY239" s="1000"/>
      <c r="AZ239" s="1000"/>
      <c r="BA239" s="1000"/>
      <c r="BB239" s="1000"/>
      <c r="BC239" s="1000"/>
      <c r="BD239" s="1000"/>
      <c r="BE239" s="1000"/>
      <c r="BF239" s="1000"/>
      <c r="BG239" s="1000"/>
      <c r="BH239" s="1000"/>
      <c r="BI239" s="1000"/>
      <c r="BJ239" s="1000"/>
      <c r="BK239" s="1000"/>
      <c r="BL239" s="1000"/>
      <c r="BM239" s="1000"/>
      <c r="BN239" s="265"/>
      <c r="BO239" s="265"/>
      <c r="BP239" s="265"/>
      <c r="BQ239" s="265"/>
      <c r="BR239" s="265"/>
      <c r="BS239" s="265"/>
      <c r="BT239" s="265"/>
      <c r="BU239" s="265"/>
      <c r="BV239" s="265"/>
      <c r="BW239" s="265"/>
      <c r="BX239" s="265"/>
      <c r="BY239" s="265"/>
      <c r="BZ239" s="265"/>
      <c r="CA239" s="265"/>
      <c r="CB239" s="265"/>
      <c r="CC239" s="265"/>
      <c r="CD239" s="265"/>
      <c r="CE239" s="265"/>
      <c r="CF239" s="265"/>
      <c r="CG239" s="265"/>
      <c r="CH239" s="265"/>
      <c r="CI239" s="265"/>
      <c r="CJ239" s="265"/>
      <c r="CK239" s="265"/>
      <c r="CL239" s="265"/>
      <c r="CM239" s="265"/>
      <c r="CN239" s="265"/>
      <c r="CO239" s="265"/>
      <c r="CP239" s="265"/>
      <c r="CQ239" s="265"/>
      <c r="CR239" s="265"/>
      <c r="CS239" s="265"/>
      <c r="CT239" s="265"/>
      <c r="CU239" s="265"/>
      <c r="CV239" s="265"/>
      <c r="CW239" s="265"/>
      <c r="CX239" s="265"/>
      <c r="CY239" s="265"/>
      <c r="CZ239" s="268"/>
    </row>
    <row r="240" spans="1:104" hidden="1" outlineLevel="1">
      <c r="A240" s="265"/>
      <c r="B240" s="265" t="s">
        <v>773</v>
      </c>
      <c r="C240" s="116"/>
      <c r="D240" s="1048"/>
      <c r="E240" s="265"/>
      <c r="F240" s="265"/>
      <c r="G240" s="265"/>
      <c r="H240" s="265"/>
      <c r="I240" s="265"/>
      <c r="J240" s="1000"/>
      <c r="K240" s="265"/>
      <c r="L240" s="265"/>
      <c r="M240" s="265"/>
      <c r="N240" s="265"/>
      <c r="O240" s="1000"/>
      <c r="P240" s="265"/>
      <c r="Q240" s="265"/>
      <c r="R240" s="265"/>
      <c r="S240" s="265"/>
      <c r="T240" s="1000"/>
      <c r="U240" s="265"/>
      <c r="V240" s="265"/>
      <c r="W240" s="265"/>
      <c r="X240" s="265"/>
      <c r="Y240" s="1000"/>
      <c r="Z240" s="265"/>
      <c r="AA240" s="265"/>
      <c r="AB240" s="265"/>
      <c r="AC240" s="265"/>
      <c r="AD240" s="1047"/>
      <c r="AE240" s="265"/>
      <c r="AF240" s="265"/>
      <c r="AG240" s="265"/>
      <c r="AH240" s="265"/>
      <c r="AI240" s="575">
        <v>2.4</v>
      </c>
      <c r="AJ240" s="265"/>
      <c r="AK240" s="265"/>
      <c r="AL240" s="265"/>
      <c r="AM240" s="265"/>
      <c r="AN240" s="575">
        <v>2.9</v>
      </c>
      <c r="AO240" s="1000"/>
      <c r="AP240" s="1000"/>
      <c r="AQ240" s="1000"/>
      <c r="AR240" s="1000"/>
      <c r="AS240" s="575">
        <v>3.8</v>
      </c>
      <c r="AT240" s="1000"/>
      <c r="AU240" s="1000"/>
      <c r="AV240" s="1000"/>
      <c r="AW240" s="1000"/>
      <c r="AX240" s="575">
        <v>4.3</v>
      </c>
      <c r="AY240" s="1000"/>
      <c r="AZ240" s="1000"/>
      <c r="BA240" s="1000"/>
      <c r="BB240" s="1000"/>
      <c r="BC240" s="575">
        <v>4.3</v>
      </c>
      <c r="BD240" s="1000"/>
      <c r="BE240" s="1000"/>
      <c r="BF240" s="1000"/>
      <c r="BG240" s="1000"/>
      <c r="BH240" s="1000"/>
      <c r="BI240" s="1000"/>
      <c r="BJ240" s="1000"/>
      <c r="BK240" s="1000"/>
      <c r="BL240" s="1000"/>
      <c r="BM240" s="1000"/>
      <c r="BN240" s="265"/>
      <c r="BO240" s="265"/>
      <c r="BP240" s="265"/>
      <c r="BQ240" s="265"/>
      <c r="BR240" s="265"/>
      <c r="BS240" s="265"/>
      <c r="BT240" s="265"/>
      <c r="BU240" s="265"/>
      <c r="BV240" s="265"/>
      <c r="BW240" s="265"/>
      <c r="BX240" s="265"/>
      <c r="BY240" s="265"/>
      <c r="BZ240" s="265"/>
      <c r="CA240" s="265"/>
      <c r="CB240" s="265"/>
      <c r="CC240" s="265"/>
      <c r="CD240" s="265"/>
      <c r="CE240" s="265"/>
      <c r="CF240" s="265"/>
      <c r="CG240" s="265"/>
      <c r="CH240" s="265"/>
      <c r="CI240" s="265"/>
      <c r="CJ240" s="265"/>
      <c r="CK240" s="265"/>
      <c r="CL240" s="265"/>
      <c r="CM240" s="265"/>
      <c r="CN240" s="265"/>
      <c r="CO240" s="265"/>
      <c r="CP240" s="265"/>
      <c r="CQ240" s="265"/>
      <c r="CR240" s="265"/>
      <c r="CS240" s="265"/>
      <c r="CT240" s="265"/>
      <c r="CU240" s="265"/>
      <c r="CV240" s="265"/>
      <c r="CW240" s="265"/>
      <c r="CX240" s="265"/>
      <c r="CY240" s="265"/>
      <c r="CZ240" s="268"/>
    </row>
    <row r="241" spans="1:104" hidden="1" outlineLevel="1">
      <c r="A241" s="265"/>
      <c r="B241" s="265" t="s">
        <v>8</v>
      </c>
      <c r="C241" s="116"/>
      <c r="D241" s="1048"/>
      <c r="E241" s="265"/>
      <c r="F241" s="265"/>
      <c r="G241" s="265"/>
      <c r="H241" s="265"/>
      <c r="I241" s="265"/>
      <c r="J241" s="1000"/>
      <c r="K241" s="265"/>
      <c r="L241" s="265"/>
      <c r="M241" s="265"/>
      <c r="N241" s="265"/>
      <c r="O241" s="1000"/>
      <c r="P241" s="265"/>
      <c r="Q241" s="265"/>
      <c r="R241" s="265"/>
      <c r="S241" s="265"/>
      <c r="T241" s="1000"/>
      <c r="U241" s="265"/>
      <c r="V241" s="265"/>
      <c r="W241" s="265"/>
      <c r="X241" s="265"/>
      <c r="Y241" s="1000"/>
      <c r="Z241" s="265"/>
      <c r="AA241" s="265"/>
      <c r="AB241" s="265"/>
      <c r="AC241" s="265"/>
      <c r="AD241" s="1047"/>
      <c r="AE241" s="265"/>
      <c r="AF241" s="265"/>
      <c r="AG241" s="265"/>
      <c r="AH241" s="265"/>
      <c r="AI241" s="575">
        <v>3.7</v>
      </c>
      <c r="AJ241" s="265"/>
      <c r="AK241" s="265"/>
      <c r="AL241" s="265"/>
      <c r="AM241" s="265"/>
      <c r="AN241" s="575">
        <v>3.2</v>
      </c>
      <c r="AO241" s="1000"/>
      <c r="AP241" s="1000"/>
      <c r="AQ241" s="1000"/>
      <c r="AR241" s="1000"/>
      <c r="AS241" s="575">
        <v>4.8</v>
      </c>
      <c r="AT241" s="1000"/>
      <c r="AU241" s="1000"/>
      <c r="AV241" s="1000"/>
      <c r="AW241" s="1000"/>
      <c r="AX241" s="575">
        <v>5.7</v>
      </c>
      <c r="AY241" s="1000"/>
      <c r="AZ241" s="1000"/>
      <c r="BA241" s="1000"/>
      <c r="BB241" s="1000"/>
      <c r="BC241" s="575">
        <v>4.9000000000000004</v>
      </c>
      <c r="BD241" s="1000"/>
      <c r="BE241" s="1000"/>
      <c r="BF241" s="1000"/>
      <c r="BG241" s="1000"/>
      <c r="BH241" s="1000"/>
      <c r="BI241" s="1000"/>
      <c r="BJ241" s="1000"/>
      <c r="BK241" s="1000"/>
      <c r="BL241" s="1000"/>
      <c r="BM241" s="1000"/>
      <c r="BN241" s="265"/>
      <c r="BO241" s="265"/>
      <c r="BP241" s="265"/>
      <c r="BQ241" s="265"/>
      <c r="BR241" s="265"/>
      <c r="BS241" s="265"/>
      <c r="BT241" s="265"/>
      <c r="BU241" s="265"/>
      <c r="BV241" s="265"/>
      <c r="BW241" s="265"/>
      <c r="BX241" s="265"/>
      <c r="BY241" s="265"/>
      <c r="BZ241" s="265"/>
      <c r="CA241" s="265"/>
      <c r="CB241" s="265"/>
      <c r="CC241" s="265"/>
      <c r="CD241" s="265"/>
      <c r="CE241" s="265"/>
      <c r="CF241" s="265"/>
      <c r="CG241" s="265"/>
      <c r="CH241" s="265"/>
      <c r="CI241" s="265"/>
      <c r="CJ241" s="265"/>
      <c r="CK241" s="265"/>
      <c r="CL241" s="265"/>
      <c r="CM241" s="265"/>
      <c r="CN241" s="265"/>
      <c r="CO241" s="265"/>
      <c r="CP241" s="265"/>
      <c r="CQ241" s="265"/>
      <c r="CR241" s="265"/>
      <c r="CS241" s="265"/>
      <c r="CT241" s="265"/>
      <c r="CU241" s="265"/>
      <c r="CV241" s="265"/>
      <c r="CW241" s="265"/>
      <c r="CX241" s="265"/>
      <c r="CY241" s="265"/>
      <c r="CZ241" s="268"/>
    </row>
    <row r="242" spans="1:104" hidden="1" outlineLevel="1">
      <c r="A242" s="265"/>
      <c r="B242" s="265"/>
      <c r="C242" s="116"/>
      <c r="D242" s="1048"/>
      <c r="E242" s="265"/>
      <c r="F242" s="265"/>
      <c r="G242" s="265"/>
      <c r="H242" s="265"/>
      <c r="I242" s="265"/>
      <c r="J242" s="1000"/>
      <c r="K242" s="265"/>
      <c r="L242" s="265"/>
      <c r="M242" s="265"/>
      <c r="N242" s="265"/>
      <c r="O242" s="1000"/>
      <c r="P242" s="265"/>
      <c r="Q242" s="265"/>
      <c r="R242" s="265"/>
      <c r="S242" s="265"/>
      <c r="T242" s="1000"/>
      <c r="U242" s="265"/>
      <c r="V242" s="265"/>
      <c r="W242" s="265"/>
      <c r="X242" s="265"/>
      <c r="Y242" s="1000"/>
      <c r="Z242" s="265"/>
      <c r="AA242" s="265"/>
      <c r="AB242" s="265"/>
      <c r="AC242" s="265"/>
      <c r="AD242" s="1047"/>
      <c r="AE242" s="265"/>
      <c r="AF242" s="265"/>
      <c r="AG242" s="265"/>
      <c r="AH242" s="265"/>
      <c r="AI242" s="575"/>
      <c r="AJ242" s="265"/>
      <c r="AK242" s="265"/>
      <c r="AL242" s="265"/>
      <c r="AM242" s="265"/>
      <c r="AN242" s="575"/>
      <c r="AO242" s="1000"/>
      <c r="AP242" s="1000"/>
      <c r="AQ242" s="1000"/>
      <c r="AR242" s="1000"/>
      <c r="AS242" s="575"/>
      <c r="AT242" s="1000"/>
      <c r="AU242" s="1000"/>
      <c r="AV242" s="1000"/>
      <c r="AW242" s="1000"/>
      <c r="AX242" s="575"/>
      <c r="AY242" s="1000"/>
      <c r="AZ242" s="1000"/>
      <c r="BA242" s="1000"/>
      <c r="BB242" s="1000"/>
      <c r="BC242" s="575"/>
      <c r="BD242" s="1000"/>
      <c r="BE242" s="1000"/>
      <c r="BF242" s="1000"/>
      <c r="BG242" s="1000"/>
      <c r="BH242" s="1000"/>
      <c r="BI242" s="1000"/>
      <c r="BJ242" s="1000"/>
      <c r="BK242" s="1000"/>
      <c r="BL242" s="1000"/>
      <c r="BM242" s="1000"/>
      <c r="BN242" s="265"/>
      <c r="BO242" s="265"/>
      <c r="BP242" s="265"/>
      <c r="BQ242" s="265"/>
      <c r="BR242" s="265"/>
      <c r="BS242" s="265"/>
      <c r="BT242" s="265"/>
      <c r="BU242" s="265"/>
      <c r="BV242" s="265"/>
      <c r="BW242" s="265"/>
      <c r="BX242" s="265"/>
      <c r="BY242" s="265"/>
      <c r="BZ242" s="265"/>
      <c r="CA242" s="265"/>
      <c r="CB242" s="265"/>
      <c r="CC242" s="265"/>
      <c r="CD242" s="265"/>
      <c r="CE242" s="265"/>
      <c r="CF242" s="265"/>
      <c r="CG242" s="265"/>
      <c r="CH242" s="265"/>
      <c r="CI242" s="265"/>
      <c r="CJ242" s="265"/>
      <c r="CK242" s="265"/>
      <c r="CL242" s="265"/>
      <c r="CM242" s="265"/>
      <c r="CN242" s="265"/>
      <c r="CO242" s="265"/>
      <c r="CP242" s="265"/>
      <c r="CQ242" s="265"/>
      <c r="CR242" s="265"/>
      <c r="CS242" s="265"/>
      <c r="CT242" s="265"/>
      <c r="CU242" s="265"/>
      <c r="CV242" s="265"/>
      <c r="CW242" s="265"/>
      <c r="CX242" s="265"/>
      <c r="CY242" s="265"/>
      <c r="CZ242" s="268"/>
    </row>
    <row r="243" spans="1:104" hidden="1" outlineLevel="1">
      <c r="A243" s="265"/>
      <c r="B243" s="1000" t="s">
        <v>772</v>
      </c>
      <c r="C243" s="116"/>
      <c r="D243" s="1048"/>
      <c r="E243" s="265"/>
      <c r="F243" s="265"/>
      <c r="G243" s="265"/>
      <c r="H243" s="265"/>
      <c r="I243" s="265"/>
      <c r="J243" s="1000"/>
      <c r="K243" s="265"/>
      <c r="L243" s="265"/>
      <c r="M243" s="265"/>
      <c r="N243" s="265"/>
      <c r="O243" s="1000"/>
      <c r="P243" s="265"/>
      <c r="Q243" s="265"/>
      <c r="R243" s="265"/>
      <c r="S243" s="265"/>
      <c r="T243" s="1000"/>
      <c r="U243" s="265"/>
      <c r="V243" s="265"/>
      <c r="W243" s="265"/>
      <c r="X243" s="265"/>
      <c r="Y243" s="1000"/>
      <c r="Z243" s="265"/>
      <c r="AA243" s="265"/>
      <c r="AB243" s="265"/>
      <c r="AC243" s="265"/>
      <c r="AD243" s="1047"/>
      <c r="AE243" s="265"/>
      <c r="AF243" s="265"/>
      <c r="AG243" s="265"/>
      <c r="AH243" s="265"/>
      <c r="AI243" s="575"/>
      <c r="AJ243" s="265"/>
      <c r="AK243" s="265"/>
      <c r="AL243" s="265"/>
      <c r="AM243" s="265"/>
      <c r="AN243" s="575"/>
      <c r="AO243" s="1000"/>
      <c r="AP243" s="1000"/>
      <c r="AQ243" s="1000"/>
      <c r="AR243" s="1000"/>
      <c r="AS243" s="575"/>
      <c r="AT243" s="1000"/>
      <c r="AU243" s="1000"/>
      <c r="AV243" s="1000"/>
      <c r="AW243" s="1000"/>
      <c r="AX243" s="575"/>
      <c r="AY243" s="1000"/>
      <c r="AZ243" s="1000"/>
      <c r="BA243" s="1000"/>
      <c r="BB243" s="1000"/>
      <c r="BC243" s="575"/>
      <c r="BD243" s="1000"/>
      <c r="BE243" s="1000"/>
      <c r="BF243" s="1000"/>
      <c r="BG243" s="1000"/>
      <c r="BH243" s="1000"/>
      <c r="BI243" s="1000"/>
      <c r="BJ243" s="1000"/>
      <c r="BK243" s="1000"/>
      <c r="BL243" s="1000"/>
      <c r="BM243" s="1000"/>
      <c r="BN243" s="265"/>
      <c r="BO243" s="265"/>
      <c r="BP243" s="265"/>
      <c r="BQ243" s="265"/>
      <c r="BR243" s="265"/>
      <c r="BS243" s="265"/>
      <c r="BT243" s="265"/>
      <c r="BU243" s="265"/>
      <c r="BV243" s="265"/>
      <c r="BW243" s="265"/>
      <c r="BX243" s="265"/>
      <c r="BY243" s="265"/>
      <c r="BZ243" s="265"/>
      <c r="CA243" s="265"/>
      <c r="CB243" s="265"/>
      <c r="CC243" s="265"/>
      <c r="CD243" s="265"/>
      <c r="CE243" s="265"/>
      <c r="CF243" s="265"/>
      <c r="CG243" s="265"/>
      <c r="CH243" s="265"/>
      <c r="CI243" s="265"/>
      <c r="CJ243" s="265"/>
      <c r="CK243" s="265"/>
      <c r="CL243" s="265"/>
      <c r="CM243" s="265"/>
      <c r="CN243" s="265"/>
      <c r="CO243" s="265"/>
      <c r="CP243" s="265"/>
      <c r="CQ243" s="265"/>
      <c r="CR243" s="265"/>
      <c r="CS243" s="265"/>
      <c r="CT243" s="265"/>
      <c r="CU243" s="265"/>
      <c r="CV243" s="265"/>
      <c r="CW243" s="265"/>
      <c r="CX243" s="265"/>
      <c r="CY243" s="265"/>
      <c r="CZ243" s="268"/>
    </row>
    <row r="244" spans="1:104" hidden="1" outlineLevel="1">
      <c r="A244" s="265"/>
      <c r="B244" s="265" t="s">
        <v>771</v>
      </c>
      <c r="C244" s="116"/>
      <c r="D244" s="1048"/>
      <c r="E244" s="265"/>
      <c r="F244" s="265"/>
      <c r="G244" s="265"/>
      <c r="H244" s="265"/>
      <c r="I244" s="265"/>
      <c r="J244" s="1000"/>
      <c r="K244" s="265"/>
      <c r="L244" s="265"/>
      <c r="M244" s="265"/>
      <c r="N244" s="265"/>
      <c r="O244" s="1000"/>
      <c r="P244" s="265"/>
      <c r="Q244" s="265"/>
      <c r="R244" s="265"/>
      <c r="S244" s="265"/>
      <c r="T244" s="1000"/>
      <c r="U244" s="265"/>
      <c r="V244" s="265"/>
      <c r="W244" s="265"/>
      <c r="X244" s="265"/>
      <c r="Y244" s="1000"/>
      <c r="Z244" s="265"/>
      <c r="AA244" s="265"/>
      <c r="AB244" s="265"/>
      <c r="AC244" s="265"/>
      <c r="AD244" s="1047"/>
      <c r="AE244" s="265"/>
      <c r="AF244" s="265"/>
      <c r="AG244" s="265"/>
      <c r="AH244" s="265"/>
      <c r="AI244" s="575"/>
      <c r="AJ244" s="265"/>
      <c r="AK244" s="265"/>
      <c r="AL244" s="265"/>
      <c r="AM244" s="265"/>
      <c r="AN244" s="575"/>
      <c r="AO244" s="1000"/>
      <c r="AP244" s="1000"/>
      <c r="AQ244" s="1000"/>
      <c r="AR244" s="1000"/>
      <c r="AS244" s="575"/>
      <c r="AT244" s="1000"/>
      <c r="AU244" s="1000"/>
      <c r="AV244" s="1000"/>
      <c r="AW244" s="1000"/>
      <c r="AX244" s="575"/>
      <c r="AY244" s="1000"/>
      <c r="AZ244" s="1000"/>
      <c r="BA244" s="1000"/>
      <c r="BB244" s="1000"/>
      <c r="BC244" s="575"/>
      <c r="BD244" s="1049">
        <v>0.27</v>
      </c>
      <c r="BE244" s="1000"/>
      <c r="BF244" s="1000"/>
      <c r="BG244" s="1000"/>
      <c r="BH244" s="1000"/>
      <c r="BI244" s="1000"/>
      <c r="BJ244" s="1000"/>
      <c r="BK244" s="1000"/>
      <c r="BL244" s="1000"/>
      <c r="BM244" s="1000"/>
      <c r="BN244" s="265"/>
      <c r="BO244" s="265"/>
      <c r="BP244" s="265"/>
      <c r="BQ244" s="265"/>
      <c r="BR244" s="265"/>
      <c r="BS244" s="265"/>
      <c r="BT244" s="265"/>
      <c r="BU244" s="265"/>
      <c r="BV244" s="265"/>
      <c r="BW244" s="265"/>
      <c r="BX244" s="265"/>
      <c r="BY244" s="265"/>
      <c r="BZ244" s="265"/>
      <c r="CA244" s="265"/>
      <c r="CB244" s="265"/>
      <c r="CC244" s="265"/>
      <c r="CD244" s="265"/>
      <c r="CE244" s="265"/>
      <c r="CF244" s="265"/>
      <c r="CG244" s="265"/>
      <c r="CH244" s="265"/>
      <c r="CI244" s="265"/>
      <c r="CJ244" s="265"/>
      <c r="CK244" s="265"/>
      <c r="CL244" s="265"/>
      <c r="CM244" s="265"/>
      <c r="CN244" s="265"/>
      <c r="CO244" s="265"/>
      <c r="CP244" s="265"/>
      <c r="CQ244" s="265"/>
      <c r="CR244" s="265"/>
      <c r="CS244" s="265"/>
      <c r="CT244" s="265"/>
      <c r="CU244" s="265"/>
      <c r="CV244" s="265"/>
      <c r="CW244" s="265"/>
      <c r="CX244" s="265"/>
      <c r="CY244" s="265"/>
      <c r="CZ244" s="268"/>
    </row>
    <row r="245" spans="1:104" hidden="1" outlineLevel="1">
      <c r="A245" s="265"/>
      <c r="B245" s="265" t="s">
        <v>499</v>
      </c>
      <c r="C245" s="116"/>
      <c r="D245" s="1048"/>
      <c r="E245" s="265"/>
      <c r="F245" s="265"/>
      <c r="G245" s="265"/>
      <c r="H245" s="265"/>
      <c r="I245" s="265"/>
      <c r="J245" s="1000"/>
      <c r="K245" s="265"/>
      <c r="L245" s="265"/>
      <c r="M245" s="265"/>
      <c r="N245" s="265"/>
      <c r="O245" s="1000"/>
      <c r="P245" s="265"/>
      <c r="Q245" s="265"/>
      <c r="R245" s="265"/>
      <c r="S245" s="265"/>
      <c r="T245" s="1000"/>
      <c r="U245" s="265"/>
      <c r="V245" s="265"/>
      <c r="W245" s="265"/>
      <c r="X245" s="265"/>
      <c r="Y245" s="1000"/>
      <c r="Z245" s="265"/>
      <c r="AA245" s="265"/>
      <c r="AB245" s="265"/>
      <c r="AC245" s="265"/>
      <c r="AD245" s="1047"/>
      <c r="AE245" s="265"/>
      <c r="AF245" s="265"/>
      <c r="AG245" s="265"/>
      <c r="AH245" s="265"/>
      <c r="AI245" s="575"/>
      <c r="AJ245" s="265"/>
      <c r="AK245" s="265"/>
      <c r="AL245" s="265"/>
      <c r="AM245" s="265"/>
      <c r="AN245" s="575"/>
      <c r="AO245" s="1000"/>
      <c r="AP245" s="1000"/>
      <c r="AQ245" s="1000"/>
      <c r="AR245" s="1000"/>
      <c r="AS245" s="575"/>
      <c r="AT245" s="1000"/>
      <c r="AU245" s="1000"/>
      <c r="AV245" s="1000"/>
      <c r="AW245" s="1000"/>
      <c r="AX245" s="575"/>
      <c r="AY245" s="1000"/>
      <c r="AZ245" s="1000"/>
      <c r="BA245" s="1000"/>
      <c r="BB245" s="1000"/>
      <c r="BC245" s="575"/>
      <c r="BD245" s="1049">
        <v>0.41</v>
      </c>
      <c r="BE245" s="1000"/>
      <c r="BF245" s="1000"/>
      <c r="BG245" s="1000"/>
      <c r="BH245" s="1000"/>
      <c r="BI245" s="1000"/>
      <c r="BJ245" s="1000"/>
      <c r="BK245" s="1000"/>
      <c r="BL245" s="1000"/>
      <c r="BM245" s="1000"/>
      <c r="BN245" s="265"/>
      <c r="BO245" s="265"/>
      <c r="BP245" s="265"/>
      <c r="BQ245" s="265"/>
      <c r="BR245" s="265"/>
      <c r="BS245" s="265"/>
      <c r="BT245" s="265"/>
      <c r="BU245" s="265"/>
      <c r="BV245" s="265"/>
      <c r="BW245" s="265"/>
      <c r="BX245" s="265"/>
      <c r="BY245" s="265"/>
      <c r="BZ245" s="265"/>
      <c r="CA245" s="265"/>
      <c r="CB245" s="265"/>
      <c r="CC245" s="265"/>
      <c r="CD245" s="265"/>
      <c r="CE245" s="265"/>
      <c r="CF245" s="265"/>
      <c r="CG245" s="265"/>
      <c r="CH245" s="265"/>
      <c r="CI245" s="265"/>
      <c r="CJ245" s="265"/>
      <c r="CK245" s="265"/>
      <c r="CL245" s="265"/>
      <c r="CM245" s="265"/>
      <c r="CN245" s="265"/>
      <c r="CO245" s="265"/>
      <c r="CP245" s="265"/>
      <c r="CQ245" s="265"/>
      <c r="CR245" s="265"/>
      <c r="CS245" s="265"/>
      <c r="CT245" s="265"/>
      <c r="CU245" s="265"/>
      <c r="CV245" s="265"/>
      <c r="CW245" s="265"/>
      <c r="CX245" s="265"/>
      <c r="CY245" s="265"/>
      <c r="CZ245" s="268"/>
    </row>
    <row r="246" spans="1:104" hidden="1" outlineLevel="1">
      <c r="A246" s="265"/>
      <c r="B246" s="265" t="s">
        <v>542</v>
      </c>
      <c r="C246" s="116"/>
      <c r="D246" s="1048"/>
      <c r="E246" s="265"/>
      <c r="F246" s="265"/>
      <c r="G246" s="265"/>
      <c r="H246" s="265"/>
      <c r="I246" s="265"/>
      <c r="J246" s="1000"/>
      <c r="K246" s="265"/>
      <c r="L246" s="265"/>
      <c r="M246" s="265"/>
      <c r="N246" s="265"/>
      <c r="O246" s="1000"/>
      <c r="P246" s="265"/>
      <c r="Q246" s="265"/>
      <c r="R246" s="265"/>
      <c r="S246" s="265"/>
      <c r="T246" s="1000"/>
      <c r="U246" s="265"/>
      <c r="V246" s="265"/>
      <c r="W246" s="265"/>
      <c r="X246" s="265"/>
      <c r="Y246" s="1000"/>
      <c r="Z246" s="265"/>
      <c r="AA246" s="265"/>
      <c r="AB246" s="265"/>
      <c r="AC246" s="265"/>
      <c r="AD246" s="1047"/>
      <c r="AE246" s="265"/>
      <c r="AF246" s="265"/>
      <c r="AG246" s="265"/>
      <c r="AH246" s="265"/>
      <c r="AI246" s="575"/>
      <c r="AJ246" s="265"/>
      <c r="AK246" s="265"/>
      <c r="AL246" s="265"/>
      <c r="AM246" s="265"/>
      <c r="AN246" s="575"/>
      <c r="AO246" s="1000"/>
      <c r="AP246" s="1000"/>
      <c r="AQ246" s="1000"/>
      <c r="AR246" s="1000"/>
      <c r="AS246" s="575"/>
      <c r="AT246" s="1000"/>
      <c r="AU246" s="1000"/>
      <c r="AV246" s="1000"/>
      <c r="AW246" s="1000"/>
      <c r="AX246" s="575"/>
      <c r="AY246" s="1000"/>
      <c r="AZ246" s="1000"/>
      <c r="BA246" s="1000"/>
      <c r="BB246" s="1000"/>
      <c r="BC246" s="575"/>
      <c r="BD246" s="1049">
        <v>0.47</v>
      </c>
      <c r="BE246" s="1000"/>
      <c r="BF246" s="1000"/>
      <c r="BG246" s="1000"/>
      <c r="BH246" s="1000"/>
      <c r="BI246" s="1000"/>
      <c r="BJ246" s="1000"/>
      <c r="BK246" s="1000"/>
      <c r="BL246" s="1000"/>
      <c r="BM246" s="1000"/>
      <c r="BN246" s="265"/>
      <c r="BO246" s="265"/>
      <c r="BP246" s="265"/>
      <c r="BQ246" s="265"/>
      <c r="BR246" s="265"/>
      <c r="BS246" s="265"/>
      <c r="BT246" s="265"/>
      <c r="BU246" s="265"/>
      <c r="BV246" s="265"/>
      <c r="BW246" s="265"/>
      <c r="BX246" s="265"/>
      <c r="BY246" s="265"/>
      <c r="BZ246" s="265"/>
      <c r="CA246" s="265"/>
      <c r="CB246" s="265"/>
      <c r="CC246" s="265"/>
      <c r="CD246" s="265"/>
      <c r="CE246" s="265"/>
      <c r="CF246" s="265"/>
      <c r="CG246" s="265"/>
      <c r="CH246" s="265"/>
      <c r="CI246" s="265"/>
      <c r="CJ246" s="265"/>
      <c r="CK246" s="265"/>
      <c r="CL246" s="265"/>
      <c r="CM246" s="265"/>
      <c r="CN246" s="265"/>
      <c r="CO246" s="265"/>
      <c r="CP246" s="265"/>
      <c r="CQ246" s="265"/>
      <c r="CR246" s="265"/>
      <c r="CS246" s="265"/>
      <c r="CT246" s="265"/>
      <c r="CU246" s="265"/>
      <c r="CV246" s="265"/>
      <c r="CW246" s="265"/>
      <c r="CX246" s="265"/>
      <c r="CY246" s="265"/>
      <c r="CZ246" s="268"/>
    </row>
    <row r="247" spans="1:104" hidden="1" outlineLevel="1">
      <c r="A247" s="265"/>
      <c r="B247" s="265" t="s">
        <v>543</v>
      </c>
      <c r="C247" s="116"/>
      <c r="D247" s="1048"/>
      <c r="E247" s="265"/>
      <c r="F247" s="265"/>
      <c r="G247" s="265"/>
      <c r="H247" s="265"/>
      <c r="I247" s="265"/>
      <c r="J247" s="1000"/>
      <c r="K247" s="265"/>
      <c r="L247" s="265"/>
      <c r="M247" s="265"/>
      <c r="N247" s="265"/>
      <c r="O247" s="1000"/>
      <c r="P247" s="265"/>
      <c r="Q247" s="265"/>
      <c r="R247" s="265"/>
      <c r="S247" s="265"/>
      <c r="T247" s="1000"/>
      <c r="U247" s="265"/>
      <c r="V247" s="265"/>
      <c r="W247" s="265"/>
      <c r="X247" s="265"/>
      <c r="Y247" s="1000"/>
      <c r="Z247" s="265"/>
      <c r="AA247" s="265"/>
      <c r="AB247" s="265"/>
      <c r="AC247" s="265"/>
      <c r="AD247" s="1047"/>
      <c r="AE247" s="265"/>
      <c r="AF247" s="265"/>
      <c r="AG247" s="265"/>
      <c r="AH247" s="265"/>
      <c r="AI247" s="1047"/>
      <c r="AJ247" s="265"/>
      <c r="AK247" s="265"/>
      <c r="AL247" s="265"/>
      <c r="AM247" s="265"/>
      <c r="AN247" s="1047"/>
      <c r="AO247" s="1000"/>
      <c r="AP247" s="1000"/>
      <c r="AQ247" s="1000"/>
      <c r="AR247" s="1000"/>
      <c r="AS247" s="1047"/>
      <c r="AT247" s="1000"/>
      <c r="AU247" s="1000"/>
      <c r="AV247" s="1000"/>
      <c r="AW247" s="1000"/>
      <c r="AX247" s="1000"/>
      <c r="AY247" s="1000"/>
      <c r="AZ247" s="1000"/>
      <c r="BA247" s="1000"/>
      <c r="BB247" s="1000"/>
      <c r="BC247" s="1000"/>
      <c r="BD247" s="1049">
        <v>0.2</v>
      </c>
      <c r="BE247" s="1000"/>
      <c r="BF247" s="1000"/>
      <c r="BG247" s="1000"/>
      <c r="BH247" s="1000"/>
      <c r="BI247" s="1000"/>
      <c r="BJ247" s="1000"/>
      <c r="BK247" s="1000"/>
      <c r="BL247" s="1000"/>
      <c r="BM247" s="1000"/>
      <c r="BN247" s="265"/>
      <c r="BO247" s="265"/>
      <c r="BP247" s="265"/>
      <c r="BQ247" s="265"/>
      <c r="BR247" s="265"/>
      <c r="BS247" s="265"/>
      <c r="BT247" s="265"/>
      <c r="BU247" s="265"/>
      <c r="BV247" s="265"/>
      <c r="BW247" s="265"/>
      <c r="BX247" s="265"/>
      <c r="BY247" s="265"/>
      <c r="BZ247" s="265"/>
      <c r="CA247" s="265"/>
      <c r="CB247" s="265"/>
      <c r="CC247" s="265"/>
      <c r="CD247" s="265"/>
      <c r="CE247" s="265"/>
      <c r="CF247" s="265"/>
      <c r="CG247" s="265"/>
      <c r="CH247" s="265"/>
      <c r="CI247" s="265"/>
      <c r="CJ247" s="265"/>
      <c r="CK247" s="265"/>
      <c r="CL247" s="265"/>
      <c r="CM247" s="265"/>
      <c r="CN247" s="265"/>
      <c r="CO247" s="265"/>
      <c r="CP247" s="265"/>
      <c r="CQ247" s="265"/>
      <c r="CR247" s="265"/>
      <c r="CS247" s="265"/>
      <c r="CT247" s="265"/>
      <c r="CU247" s="265"/>
      <c r="CV247" s="265"/>
      <c r="CW247" s="265"/>
      <c r="CX247" s="265"/>
      <c r="CY247" s="265"/>
      <c r="CZ247" s="268"/>
    </row>
    <row r="248" spans="1:104" hidden="1" outlineLevel="1">
      <c r="A248" s="265"/>
      <c r="B248" s="265"/>
      <c r="C248" s="116"/>
      <c r="D248" s="1048"/>
      <c r="E248" s="265"/>
      <c r="F248" s="265"/>
      <c r="G248" s="265"/>
      <c r="H248" s="265"/>
      <c r="I248" s="265"/>
      <c r="J248" s="1000"/>
      <c r="K248" s="265"/>
      <c r="L248" s="265"/>
      <c r="M248" s="265"/>
      <c r="N248" s="265"/>
      <c r="O248" s="1000"/>
      <c r="P248" s="265"/>
      <c r="Q248" s="265"/>
      <c r="R248" s="265"/>
      <c r="S248" s="265"/>
      <c r="T248" s="1000"/>
      <c r="U248" s="265"/>
      <c r="V248" s="265"/>
      <c r="W248" s="265"/>
      <c r="X248" s="265"/>
      <c r="Y248" s="1000"/>
      <c r="Z248" s="265"/>
      <c r="AA248" s="265"/>
      <c r="AB248" s="265"/>
      <c r="AC248" s="265"/>
      <c r="AD248" s="1047"/>
      <c r="AE248" s="265"/>
      <c r="AF248" s="265"/>
      <c r="AG248" s="265"/>
      <c r="AH248" s="265"/>
      <c r="AI248" s="1047"/>
      <c r="AJ248" s="265"/>
      <c r="AK248" s="265"/>
      <c r="AL248" s="265"/>
      <c r="AM248" s="265"/>
      <c r="AN248" s="1047"/>
      <c r="AO248" s="1000"/>
      <c r="AP248" s="1000"/>
      <c r="AQ248" s="1000"/>
      <c r="AR248" s="1000"/>
      <c r="AS248" s="1047"/>
      <c r="AT248" s="1000"/>
      <c r="AU248" s="1000"/>
      <c r="AV248" s="1000"/>
      <c r="AW248" s="1000"/>
      <c r="AX248" s="1000"/>
      <c r="AY248" s="1000"/>
      <c r="AZ248" s="1000"/>
      <c r="BA248" s="1000"/>
      <c r="BB248" s="1000"/>
      <c r="BC248" s="1000"/>
      <c r="BD248" s="1000"/>
      <c r="BE248" s="1000"/>
      <c r="BF248" s="1000"/>
      <c r="BG248" s="1000"/>
      <c r="BH248" s="1000"/>
      <c r="BI248" s="1000"/>
      <c r="BJ248" s="1000"/>
      <c r="BK248" s="1000"/>
      <c r="BL248" s="1000"/>
      <c r="BM248" s="1000"/>
      <c r="BN248" s="265"/>
      <c r="BO248" s="265"/>
      <c r="BP248" s="265"/>
      <c r="BQ248" s="265"/>
      <c r="BR248" s="265"/>
      <c r="BS248" s="265"/>
      <c r="BT248" s="265"/>
      <c r="BU248" s="265"/>
      <c r="BV248" s="265"/>
      <c r="BW248" s="265"/>
      <c r="BX248" s="265"/>
      <c r="BY248" s="265"/>
      <c r="BZ248" s="265"/>
      <c r="CA248" s="265"/>
      <c r="CB248" s="265"/>
      <c r="CC248" s="265"/>
      <c r="CD248" s="265"/>
      <c r="CE248" s="265"/>
      <c r="CF248" s="265"/>
      <c r="CG248" s="265"/>
      <c r="CH248" s="265"/>
      <c r="CI248" s="265"/>
      <c r="CJ248" s="265"/>
      <c r="CK248" s="265"/>
      <c r="CL248" s="265"/>
      <c r="CM248" s="265"/>
      <c r="CN248" s="265"/>
      <c r="CO248" s="265"/>
      <c r="CP248" s="265"/>
      <c r="CQ248" s="265"/>
      <c r="CR248" s="265"/>
      <c r="CS248" s="265"/>
      <c r="CT248" s="265"/>
      <c r="CU248" s="265"/>
      <c r="CV248" s="265"/>
      <c r="CW248" s="265"/>
      <c r="CX248" s="265"/>
      <c r="CY248" s="265"/>
      <c r="CZ248" s="268"/>
    </row>
    <row r="249" spans="1:104" hidden="1" outlineLevel="1">
      <c r="A249" s="265"/>
      <c r="B249" s="1000" t="s">
        <v>770</v>
      </c>
      <c r="C249" s="116"/>
      <c r="D249" s="1048"/>
      <c r="E249" s="265"/>
      <c r="F249" s="265"/>
      <c r="G249" s="265"/>
      <c r="H249" s="265"/>
      <c r="I249" s="265"/>
      <c r="J249" s="1000"/>
      <c r="K249" s="265"/>
      <c r="L249" s="265"/>
      <c r="M249" s="265"/>
      <c r="N249" s="265"/>
      <c r="O249" s="1000"/>
      <c r="P249" s="265"/>
      <c r="Q249" s="265"/>
      <c r="R249" s="265"/>
      <c r="S249" s="265"/>
      <c r="T249" s="1000"/>
      <c r="U249" s="265"/>
      <c r="V249" s="265"/>
      <c r="W249" s="265"/>
      <c r="X249" s="265"/>
      <c r="Y249" s="1000"/>
      <c r="Z249" s="265"/>
      <c r="AA249" s="265"/>
      <c r="AB249" s="265"/>
      <c r="AC249" s="265"/>
      <c r="AD249" s="1047"/>
      <c r="AE249" s="265"/>
      <c r="AF249" s="265"/>
      <c r="AG249" s="265"/>
      <c r="AH249" s="265"/>
      <c r="AI249" s="1047"/>
      <c r="AJ249" s="265"/>
      <c r="AK249" s="265"/>
      <c r="AL249" s="265"/>
      <c r="AM249" s="265"/>
      <c r="AN249" s="1047"/>
      <c r="AO249" s="1000"/>
      <c r="AP249" s="1000"/>
      <c r="AQ249" s="1000"/>
      <c r="AR249" s="1000"/>
      <c r="AS249" s="1047"/>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00"/>
      <c r="BN249" s="265"/>
      <c r="BO249" s="265"/>
      <c r="BP249" s="265"/>
      <c r="BQ249" s="265"/>
      <c r="BR249" s="265"/>
      <c r="BS249" s="265"/>
      <c r="BT249" s="265"/>
      <c r="BU249" s="265"/>
      <c r="BV249" s="265"/>
      <c r="BW249" s="265"/>
      <c r="BX249" s="265"/>
      <c r="BY249" s="265"/>
      <c r="BZ249" s="265"/>
      <c r="CA249" s="265"/>
      <c r="CB249" s="265"/>
      <c r="CC249" s="265"/>
      <c r="CD249" s="265"/>
      <c r="CE249" s="265"/>
      <c r="CF249" s="265"/>
      <c r="CG249" s="265"/>
      <c r="CH249" s="265"/>
      <c r="CI249" s="265"/>
      <c r="CJ249" s="265"/>
      <c r="CK249" s="265"/>
      <c r="CL249" s="265"/>
      <c r="CM249" s="265"/>
      <c r="CN249" s="265"/>
      <c r="CO249" s="265"/>
      <c r="CP249" s="265"/>
      <c r="CQ249" s="265"/>
      <c r="CR249" s="265"/>
      <c r="CS249" s="265"/>
      <c r="CT249" s="265"/>
      <c r="CU249" s="265"/>
      <c r="CV249" s="265"/>
      <c r="CW249" s="265"/>
      <c r="CX249" s="265"/>
      <c r="CY249" s="265"/>
      <c r="CZ249" s="268"/>
    </row>
    <row r="250" spans="1:104" hidden="1" outlineLevel="1">
      <c r="A250" s="265"/>
      <c r="B250" s="265" t="s">
        <v>769</v>
      </c>
      <c r="C250" s="116"/>
      <c r="D250" s="1048"/>
      <c r="E250" s="265"/>
      <c r="F250" s="265"/>
      <c r="G250" s="265"/>
      <c r="H250" s="265"/>
      <c r="I250" s="265"/>
      <c r="J250" s="1000"/>
      <c r="K250" s="265"/>
      <c r="L250" s="265"/>
      <c r="M250" s="265"/>
      <c r="N250" s="265"/>
      <c r="O250" s="1000"/>
      <c r="P250" s="265"/>
      <c r="Q250" s="265"/>
      <c r="R250" s="265"/>
      <c r="S250" s="265"/>
      <c r="T250" s="1000"/>
      <c r="U250" s="265"/>
      <c r="V250" s="265"/>
      <c r="W250" s="265"/>
      <c r="X250" s="265"/>
      <c r="Y250" s="1000"/>
      <c r="Z250" s="265"/>
      <c r="AA250" s="265"/>
      <c r="AB250" s="265"/>
      <c r="AC250" s="265"/>
      <c r="AD250" s="1047"/>
      <c r="AE250" s="265"/>
      <c r="AF250" s="265"/>
      <c r="AG250" s="265"/>
      <c r="AH250" s="265"/>
      <c r="AI250" s="1047"/>
      <c r="AJ250" s="265"/>
      <c r="AK250" s="265"/>
      <c r="AL250" s="265"/>
      <c r="AM250" s="265"/>
      <c r="AN250" s="1047"/>
      <c r="AO250" s="1000"/>
      <c r="AP250" s="1000"/>
      <c r="AQ250" s="1000"/>
      <c r="AR250" s="1000"/>
      <c r="AS250" s="1047"/>
      <c r="AT250" s="1000"/>
      <c r="AU250" s="1000"/>
      <c r="AV250" s="1000"/>
      <c r="AW250" s="1000"/>
      <c r="AX250" s="1000"/>
      <c r="AY250" s="1000"/>
      <c r="AZ250" s="1000"/>
      <c r="BA250" s="1000"/>
      <c r="BB250" s="1000"/>
      <c r="BC250" s="1000"/>
      <c r="BD250" s="1000"/>
      <c r="BE250" s="1000"/>
      <c r="BF250" s="1000"/>
      <c r="BG250" s="1000"/>
      <c r="BH250" s="1000"/>
      <c r="BI250" s="1000"/>
      <c r="BJ250" s="1000"/>
      <c r="BK250" s="1000"/>
      <c r="BL250" s="1000"/>
      <c r="BM250" s="1000"/>
      <c r="BN250" s="265"/>
      <c r="BO250" s="265"/>
      <c r="BP250" s="265"/>
      <c r="BQ250" s="265"/>
      <c r="BR250" s="1049">
        <v>0.12</v>
      </c>
      <c r="BS250" s="1049"/>
      <c r="BT250" s="1049"/>
      <c r="BU250" s="1049"/>
      <c r="BV250" s="1049"/>
      <c r="BW250" s="1049"/>
      <c r="BX250" s="1049"/>
      <c r="BY250" s="1049"/>
      <c r="BZ250" s="1049"/>
      <c r="CA250" s="1049"/>
      <c r="CB250" s="1049"/>
      <c r="CC250" s="1049"/>
      <c r="CD250" s="1049"/>
      <c r="CE250" s="1049"/>
      <c r="CF250" s="1049"/>
      <c r="CG250" s="1049"/>
      <c r="CH250" s="1049"/>
      <c r="CI250" s="1049"/>
      <c r="CJ250" s="1049"/>
      <c r="CK250" s="1049"/>
      <c r="CL250" s="1049"/>
      <c r="CM250" s="1049"/>
      <c r="CN250" s="1049"/>
      <c r="CO250" s="1049"/>
      <c r="CP250" s="1049"/>
      <c r="CQ250" s="1049"/>
      <c r="CR250" s="1049"/>
      <c r="CS250" s="1049"/>
      <c r="CT250" s="1049"/>
      <c r="CU250" s="1049"/>
      <c r="CV250" s="1049"/>
      <c r="CW250" s="1049"/>
      <c r="CX250" s="1049"/>
      <c r="CY250" s="1049"/>
      <c r="CZ250" s="268"/>
    </row>
    <row r="251" spans="1:104" hidden="1" outlineLevel="1">
      <c r="A251" s="265"/>
      <c r="B251" s="265" t="s">
        <v>768</v>
      </c>
      <c r="C251" s="116"/>
      <c r="D251" s="1048"/>
      <c r="E251" s="265"/>
      <c r="F251" s="265"/>
      <c r="G251" s="265"/>
      <c r="H251" s="265"/>
      <c r="I251" s="265"/>
      <c r="J251" s="1000"/>
      <c r="K251" s="265"/>
      <c r="L251" s="265"/>
      <c r="M251" s="265"/>
      <c r="N251" s="265"/>
      <c r="O251" s="1000"/>
      <c r="P251" s="265"/>
      <c r="Q251" s="265"/>
      <c r="R251" s="265"/>
      <c r="S251" s="265"/>
      <c r="T251" s="1000"/>
      <c r="U251" s="265"/>
      <c r="V251" s="265"/>
      <c r="W251" s="265"/>
      <c r="X251" s="265"/>
      <c r="Y251" s="1000"/>
      <c r="Z251" s="265"/>
      <c r="AA251" s="265"/>
      <c r="AB251" s="265"/>
      <c r="AC251" s="265"/>
      <c r="AD251" s="1047"/>
      <c r="AE251" s="265"/>
      <c r="AF251" s="265"/>
      <c r="AG251" s="265"/>
      <c r="AH251" s="265"/>
      <c r="AI251" s="1047"/>
      <c r="AJ251" s="265"/>
      <c r="AK251" s="265"/>
      <c r="AL251" s="265"/>
      <c r="AM251" s="265"/>
      <c r="AN251" s="1047"/>
      <c r="AO251" s="1000"/>
      <c r="AP251" s="1000"/>
      <c r="AQ251" s="1000"/>
      <c r="AR251" s="1000"/>
      <c r="AS251" s="1047"/>
      <c r="AT251" s="1000"/>
      <c r="AU251" s="1000"/>
      <c r="AV251" s="1000"/>
      <c r="AW251" s="1000"/>
      <c r="AX251" s="1000"/>
      <c r="AY251" s="1000"/>
      <c r="AZ251" s="1000"/>
      <c r="BA251" s="1000"/>
      <c r="BB251" s="1000"/>
      <c r="BC251" s="1000"/>
      <c r="BD251" s="1000"/>
      <c r="BE251" s="1000"/>
      <c r="BF251" s="1000"/>
      <c r="BG251" s="1000"/>
      <c r="BH251" s="1000"/>
      <c r="BI251" s="1000"/>
      <c r="BJ251" s="1000"/>
      <c r="BK251" s="1000"/>
      <c r="BL251" s="1000"/>
      <c r="BM251" s="1000"/>
      <c r="BN251" s="265"/>
      <c r="BO251" s="265"/>
      <c r="BP251" s="265"/>
      <c r="BQ251" s="265"/>
      <c r="BR251" s="1049">
        <v>0.15</v>
      </c>
      <c r="BS251" s="1049"/>
      <c r="BT251" s="1049"/>
      <c r="BU251" s="1049"/>
      <c r="BV251" s="1049"/>
      <c r="BW251" s="1049"/>
      <c r="BX251" s="1049"/>
      <c r="BY251" s="1049"/>
      <c r="BZ251" s="1049"/>
      <c r="CA251" s="1049"/>
      <c r="CB251" s="1049"/>
      <c r="CC251" s="1049"/>
      <c r="CD251" s="1049"/>
      <c r="CE251" s="1049"/>
      <c r="CF251" s="1049"/>
      <c r="CG251" s="1049"/>
      <c r="CH251" s="1049"/>
      <c r="CI251" s="1049"/>
      <c r="CJ251" s="1049"/>
      <c r="CK251" s="1049"/>
      <c r="CL251" s="1049"/>
      <c r="CM251" s="1049"/>
      <c r="CN251" s="1049"/>
      <c r="CO251" s="1049"/>
      <c r="CP251" s="1049"/>
      <c r="CQ251" s="1049"/>
      <c r="CR251" s="1049"/>
      <c r="CS251" s="1049"/>
      <c r="CT251" s="1049"/>
      <c r="CU251" s="1049"/>
      <c r="CV251" s="1049"/>
      <c r="CW251" s="1049"/>
      <c r="CX251" s="1049"/>
      <c r="CY251" s="1049"/>
      <c r="CZ251" s="268"/>
    </row>
    <row r="252" spans="1:104" hidden="1" outlineLevel="1">
      <c r="A252" s="265"/>
      <c r="B252" s="265" t="s">
        <v>767</v>
      </c>
      <c r="C252" s="116"/>
      <c r="D252" s="1048"/>
      <c r="E252" s="265"/>
      <c r="F252" s="265"/>
      <c r="G252" s="265"/>
      <c r="H252" s="265"/>
      <c r="I252" s="265"/>
      <c r="J252" s="1000"/>
      <c r="K252" s="265"/>
      <c r="L252" s="265"/>
      <c r="M252" s="265"/>
      <c r="N252" s="265"/>
      <c r="O252" s="1000"/>
      <c r="P252" s="265"/>
      <c r="Q252" s="265"/>
      <c r="R252" s="265"/>
      <c r="S252" s="265"/>
      <c r="T252" s="1000"/>
      <c r="U252" s="265"/>
      <c r="V252" s="265"/>
      <c r="W252" s="265"/>
      <c r="X252" s="265"/>
      <c r="Y252" s="1000"/>
      <c r="Z252" s="265"/>
      <c r="AA252" s="265"/>
      <c r="AB252" s="265"/>
      <c r="AC252" s="265"/>
      <c r="AD252" s="1047"/>
      <c r="AE252" s="265"/>
      <c r="AF252" s="265"/>
      <c r="AG252" s="265"/>
      <c r="AH252" s="265"/>
      <c r="AI252" s="1047"/>
      <c r="AJ252" s="265"/>
      <c r="AK252" s="265"/>
      <c r="AL252" s="265"/>
      <c r="AM252" s="265"/>
      <c r="AN252" s="1047"/>
      <c r="AO252" s="1000"/>
      <c r="AP252" s="1000"/>
      <c r="AQ252" s="1000"/>
      <c r="AR252" s="1000"/>
      <c r="AS252" s="1047"/>
      <c r="AT252" s="1000"/>
      <c r="AU252" s="1000"/>
      <c r="AV252" s="1000"/>
      <c r="AW252" s="1000"/>
      <c r="AX252" s="1000"/>
      <c r="AY252" s="1000"/>
      <c r="AZ252" s="1000"/>
      <c r="BA252" s="1000"/>
      <c r="BB252" s="1000"/>
      <c r="BC252" s="1000"/>
      <c r="BD252" s="1000"/>
      <c r="BE252" s="1000"/>
      <c r="BF252" s="1000"/>
      <c r="BG252" s="1000"/>
      <c r="BH252" s="1000"/>
      <c r="BI252" s="1000"/>
      <c r="BJ252" s="1000"/>
      <c r="BK252" s="1000"/>
      <c r="BL252" s="1000"/>
      <c r="BM252" s="1000"/>
      <c r="BN252" s="265"/>
      <c r="BO252" s="265"/>
      <c r="BP252" s="265"/>
      <c r="BQ252" s="265"/>
      <c r="BR252" s="1049"/>
      <c r="BS252" s="1049"/>
      <c r="BT252" s="1049"/>
      <c r="BU252" s="1049"/>
      <c r="BV252" s="1049"/>
      <c r="BW252" s="1049"/>
      <c r="BX252" s="1049"/>
      <c r="BY252" s="1049"/>
      <c r="BZ252" s="1049"/>
      <c r="CA252" s="1049"/>
      <c r="CB252" s="1049">
        <v>0.14000000000000001</v>
      </c>
      <c r="CC252" s="1049"/>
      <c r="CD252" s="1049"/>
      <c r="CE252" s="1049"/>
      <c r="CF252" s="1049"/>
      <c r="CG252" s="1049"/>
      <c r="CH252" s="1049"/>
      <c r="CI252" s="1049"/>
      <c r="CJ252" s="1049"/>
      <c r="CK252" s="1049"/>
      <c r="CL252" s="1049"/>
      <c r="CM252" s="1049"/>
      <c r="CN252" s="1049"/>
      <c r="CO252" s="1049"/>
      <c r="CP252" s="1049"/>
      <c r="CQ252" s="1049"/>
      <c r="CR252" s="1049"/>
      <c r="CS252" s="1049"/>
      <c r="CT252" s="1049"/>
      <c r="CU252" s="1049"/>
      <c r="CV252" s="1049"/>
      <c r="CW252" s="1049"/>
      <c r="CX252" s="1049"/>
      <c r="CY252" s="1049"/>
      <c r="CZ252" s="268"/>
    </row>
    <row r="253" spans="1:104" hidden="1" outlineLevel="1">
      <c r="A253" s="265"/>
      <c r="B253" s="265"/>
      <c r="C253" s="116"/>
      <c r="D253" s="1048"/>
      <c r="E253" s="265"/>
      <c r="F253" s="265"/>
      <c r="G253" s="265"/>
      <c r="H253" s="265"/>
      <c r="I253" s="265"/>
      <c r="J253" s="1000"/>
      <c r="K253" s="265"/>
      <c r="L253" s="265"/>
      <c r="M253" s="265"/>
      <c r="N253" s="265"/>
      <c r="O253" s="1000"/>
      <c r="P253" s="265"/>
      <c r="Q253" s="265"/>
      <c r="R253" s="265"/>
      <c r="S253" s="265"/>
      <c r="T253" s="1000"/>
      <c r="U253" s="265"/>
      <c r="V253" s="265"/>
      <c r="W253" s="265"/>
      <c r="X253" s="265"/>
      <c r="Y253" s="1000"/>
      <c r="Z253" s="265"/>
      <c r="AA253" s="265"/>
      <c r="AB253" s="265"/>
      <c r="AC253" s="265"/>
      <c r="AD253" s="1047"/>
      <c r="AE253" s="265"/>
      <c r="AF253" s="265"/>
      <c r="AG253" s="265"/>
      <c r="AH253" s="265"/>
      <c r="AI253" s="1047"/>
      <c r="AJ253" s="265"/>
      <c r="AK253" s="265"/>
      <c r="AL253" s="265"/>
      <c r="AM253" s="265"/>
      <c r="AN253" s="1047"/>
      <c r="AO253" s="1000"/>
      <c r="AP253" s="1000"/>
      <c r="AQ253" s="1000"/>
      <c r="AR253" s="1000"/>
      <c r="AS253" s="1047"/>
      <c r="AT253" s="1000"/>
      <c r="AU253" s="1000"/>
      <c r="AV253" s="1000"/>
      <c r="AW253" s="1000"/>
      <c r="AX253" s="1000"/>
      <c r="AY253" s="1000"/>
      <c r="AZ253" s="1000"/>
      <c r="BA253" s="1000"/>
      <c r="BB253" s="1000"/>
      <c r="BC253" s="1000"/>
      <c r="BD253" s="1000"/>
      <c r="BE253" s="1000"/>
      <c r="BF253" s="1000"/>
      <c r="BG253" s="1000"/>
      <c r="BH253" s="1000"/>
      <c r="BI253" s="1000"/>
      <c r="BJ253" s="1000"/>
      <c r="BK253" s="1000"/>
      <c r="BL253" s="1000"/>
      <c r="BM253" s="1000"/>
      <c r="BN253" s="265"/>
      <c r="BO253" s="265"/>
      <c r="BP253" s="265"/>
      <c r="BQ253" s="265"/>
      <c r="BR253" s="265"/>
      <c r="BS253" s="265"/>
      <c r="BT253" s="265"/>
      <c r="BU253" s="265"/>
      <c r="BV253" s="265"/>
      <c r="BW253" s="265"/>
      <c r="BX253" s="265"/>
      <c r="BY253" s="265"/>
      <c r="BZ253" s="265"/>
      <c r="CA253" s="265"/>
      <c r="CB253" s="265"/>
      <c r="CC253" s="265"/>
      <c r="CD253" s="265"/>
      <c r="CE253" s="265"/>
      <c r="CF253" s="265"/>
      <c r="CG253" s="265"/>
      <c r="CH253" s="265"/>
      <c r="CI253" s="265"/>
      <c r="CJ253" s="265"/>
      <c r="CK253" s="265"/>
      <c r="CL253" s="265"/>
      <c r="CM253" s="265"/>
      <c r="CN253" s="265"/>
      <c r="CO253" s="265"/>
      <c r="CP253" s="265"/>
      <c r="CQ253" s="265"/>
      <c r="CR253" s="265"/>
      <c r="CS253" s="265"/>
      <c r="CT253" s="265"/>
      <c r="CU253" s="265"/>
      <c r="CV253" s="265"/>
      <c r="CW253" s="265"/>
      <c r="CX253" s="265"/>
      <c r="CY253" s="265"/>
      <c r="CZ253" s="268"/>
    </row>
    <row r="254" spans="1:104" hidden="1" outlineLevel="1">
      <c r="A254" s="265"/>
      <c r="B254" s="1000" t="s">
        <v>766</v>
      </c>
      <c r="C254" s="116"/>
      <c r="D254" s="1048"/>
      <c r="E254" s="265"/>
      <c r="F254" s="265"/>
      <c r="G254" s="265"/>
      <c r="H254" s="265"/>
      <c r="I254" s="265"/>
      <c r="J254" s="1000"/>
      <c r="K254" s="265"/>
      <c r="L254" s="265"/>
      <c r="M254" s="265"/>
      <c r="N254" s="265"/>
      <c r="O254" s="1000"/>
      <c r="P254" s="265"/>
      <c r="Q254" s="265"/>
      <c r="R254" s="265"/>
      <c r="S254" s="265"/>
      <c r="T254" s="1000"/>
      <c r="U254" s="265"/>
      <c r="V254" s="265"/>
      <c r="W254" s="265"/>
      <c r="X254" s="265"/>
      <c r="Y254" s="1000"/>
      <c r="Z254" s="265"/>
      <c r="AA254" s="265"/>
      <c r="AB254" s="265"/>
      <c r="AC254" s="265"/>
      <c r="AD254" s="1047"/>
      <c r="AE254" s="265"/>
      <c r="AF254" s="265"/>
      <c r="AG254" s="265"/>
      <c r="AH254" s="265"/>
      <c r="AI254" s="1050"/>
      <c r="AJ254" s="265"/>
      <c r="AK254" s="265"/>
      <c r="AL254" s="265"/>
      <c r="AM254" s="265"/>
      <c r="AN254" s="1050"/>
      <c r="AO254" s="1000"/>
      <c r="AP254" s="1000"/>
      <c r="AQ254" s="1000"/>
      <c r="AR254" s="1000"/>
      <c r="AS254" s="1050"/>
      <c r="AT254" s="1000"/>
      <c r="AU254" s="1000"/>
      <c r="AV254" s="1000"/>
      <c r="AW254" s="1000"/>
      <c r="AX254" s="1050"/>
      <c r="AY254" s="1000"/>
      <c r="AZ254" s="1000"/>
      <c r="BA254" s="1000"/>
      <c r="BB254" s="1000"/>
      <c r="BC254" s="1050" t="s">
        <v>765</v>
      </c>
      <c r="BD254" s="1000"/>
      <c r="BE254" s="1000"/>
      <c r="BF254" s="1000"/>
      <c r="BG254" s="1000"/>
      <c r="BH254" s="1050" t="s">
        <v>764</v>
      </c>
      <c r="BI254" s="1000"/>
      <c r="BJ254" s="1000"/>
      <c r="BK254" s="1000"/>
      <c r="BL254" s="1000"/>
      <c r="BM254" s="1000"/>
      <c r="BN254" s="265"/>
      <c r="BO254" s="265"/>
      <c r="BP254" s="265"/>
      <c r="BQ254" s="265"/>
      <c r="BR254" s="265"/>
      <c r="BS254" s="265"/>
      <c r="BT254" s="265"/>
      <c r="BU254" s="265"/>
      <c r="BV254" s="265"/>
      <c r="BW254" s="265"/>
      <c r="BX254" s="265"/>
      <c r="BY254" s="265"/>
      <c r="BZ254" s="265"/>
      <c r="CA254" s="265"/>
      <c r="CB254" s="265"/>
      <c r="CC254" s="265"/>
      <c r="CD254" s="265"/>
      <c r="CE254" s="265"/>
      <c r="CF254" s="265"/>
      <c r="CG254" s="265"/>
      <c r="CH254" s="265"/>
      <c r="CI254" s="265"/>
      <c r="CJ254" s="265"/>
      <c r="CK254" s="265"/>
      <c r="CL254" s="265"/>
      <c r="CM254" s="265"/>
      <c r="CN254" s="265"/>
      <c r="CO254" s="265"/>
      <c r="CP254" s="265"/>
      <c r="CQ254" s="265"/>
      <c r="CR254" s="265"/>
      <c r="CS254" s="265"/>
      <c r="CT254" s="265"/>
      <c r="CU254" s="265"/>
      <c r="CV254" s="265"/>
      <c r="CW254" s="265"/>
      <c r="CX254" s="265"/>
      <c r="CY254" s="265"/>
      <c r="CZ254" s="268"/>
    </row>
    <row r="255" spans="1:104" collapsed="1">
      <c r="A255" s="265"/>
      <c r="B255" s="265"/>
      <c r="C255" s="116"/>
      <c r="D255" s="1048"/>
      <c r="E255" s="265"/>
      <c r="F255" s="265"/>
      <c r="G255" s="265"/>
      <c r="H255" s="265"/>
      <c r="I255" s="265"/>
      <c r="J255" s="1000"/>
      <c r="K255" s="265"/>
      <c r="L255" s="265"/>
      <c r="M255" s="265"/>
      <c r="N255" s="265"/>
      <c r="O255" s="1000"/>
      <c r="P255" s="265"/>
      <c r="Q255" s="265"/>
      <c r="R255" s="265"/>
      <c r="S255" s="265"/>
      <c r="T255" s="1000"/>
      <c r="U255" s="265"/>
      <c r="V255" s="265"/>
      <c r="W255" s="265"/>
      <c r="X255" s="265"/>
      <c r="Y255" s="1000"/>
      <c r="Z255" s="265"/>
      <c r="AA255" s="265"/>
      <c r="AB255" s="265"/>
      <c r="AC255" s="265"/>
      <c r="AD255" s="1047"/>
      <c r="AE255" s="265"/>
      <c r="AF255" s="265"/>
      <c r="AG255" s="265"/>
      <c r="AH255" s="265"/>
      <c r="AI255" s="1047"/>
      <c r="AJ255" s="265"/>
      <c r="AK255" s="265"/>
      <c r="AL255" s="265"/>
      <c r="AM255" s="265"/>
      <c r="AN255" s="1047"/>
      <c r="AO255" s="1000"/>
      <c r="AP255" s="1000"/>
      <c r="AQ255" s="1000"/>
      <c r="AR255" s="1000"/>
      <c r="AS255" s="1047"/>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00"/>
      <c r="BN255" s="265"/>
      <c r="BO255" s="265"/>
      <c r="BP255" s="265"/>
      <c r="BQ255" s="265"/>
      <c r="BR255" s="265"/>
      <c r="BS255" s="265"/>
      <c r="BT255" s="265"/>
      <c r="BU255" s="265"/>
      <c r="BV255" s="265"/>
      <c r="BW255" s="265"/>
      <c r="BX255" s="265"/>
      <c r="BY255" s="265"/>
      <c r="BZ255" s="265"/>
      <c r="CA255" s="265"/>
      <c r="CB255" s="265"/>
      <c r="CC255" s="265"/>
      <c r="CD255" s="265"/>
      <c r="CE255" s="265"/>
      <c r="CF255" s="265"/>
      <c r="CG255" s="265"/>
      <c r="CH255" s="265"/>
      <c r="CI255" s="265"/>
      <c r="CJ255" s="265"/>
      <c r="CK255" s="265"/>
      <c r="CL255" s="265"/>
      <c r="CM255" s="265"/>
      <c r="CN255" s="265"/>
      <c r="CO255" s="265"/>
      <c r="CP255" s="265"/>
      <c r="CQ255" s="265"/>
      <c r="CR255" s="265"/>
      <c r="CS255" s="265"/>
      <c r="CT255" s="265"/>
      <c r="CU255" s="265"/>
      <c r="CV255" s="265"/>
      <c r="CW255" s="265"/>
      <c r="CX255" s="265"/>
      <c r="CY255" s="265"/>
      <c r="CZ255" s="268"/>
    </row>
    <row r="256" spans="1:104">
      <c r="A256" s="1046"/>
      <c r="B256" s="1046"/>
      <c r="C256" s="1056" t="s">
        <v>763</v>
      </c>
      <c r="D256" s="1055"/>
      <c r="E256" s="1046"/>
      <c r="F256" s="1046"/>
      <c r="G256" s="1046"/>
      <c r="H256" s="1046"/>
      <c r="I256" s="1046"/>
      <c r="J256" s="1040"/>
      <c r="K256" s="1046"/>
      <c r="L256" s="1046"/>
      <c r="M256" s="1046"/>
      <c r="N256" s="1046"/>
      <c r="O256" s="1040"/>
      <c r="P256" s="1046"/>
      <c r="Q256" s="1046"/>
      <c r="R256" s="1046"/>
      <c r="S256" s="1046"/>
      <c r="T256" s="1040"/>
      <c r="U256" s="1046"/>
      <c r="V256" s="1046"/>
      <c r="W256" s="1046"/>
      <c r="X256" s="1046"/>
      <c r="Y256" s="1040"/>
      <c r="Z256" s="1046"/>
      <c r="AA256" s="1046"/>
      <c r="AB256" s="1046"/>
      <c r="AC256" s="1046"/>
      <c r="AD256" s="1054"/>
      <c r="AE256" s="1046"/>
      <c r="AF256" s="1046"/>
      <c r="AG256" s="1046"/>
      <c r="AH256" s="1046"/>
      <c r="AI256" s="1042"/>
      <c r="AJ256" s="1042"/>
      <c r="AK256" s="1042"/>
      <c r="AL256" s="1042"/>
      <c r="AM256" s="1042"/>
      <c r="AN256" s="1042"/>
      <c r="AO256" s="1042"/>
      <c r="AP256" s="1042"/>
      <c r="AQ256" s="1042"/>
      <c r="AR256" s="1042"/>
      <c r="AS256" s="1042"/>
      <c r="AT256" s="1042"/>
      <c r="AU256" s="1042"/>
      <c r="AV256" s="1042"/>
      <c r="AW256" s="1042"/>
      <c r="AX256" s="1042"/>
      <c r="AY256" s="1042"/>
      <c r="AZ256" s="1042"/>
      <c r="BA256" s="1042"/>
      <c r="BB256" s="1042"/>
      <c r="BC256" s="1042"/>
      <c r="BD256" s="1042"/>
      <c r="BE256" s="1042"/>
      <c r="BF256" s="1042"/>
      <c r="BG256" s="1042"/>
      <c r="BH256" s="1042"/>
      <c r="BI256" s="1042"/>
      <c r="BJ256" s="1042"/>
      <c r="BK256" s="1042"/>
      <c r="BL256" s="1042"/>
      <c r="BM256" s="1042"/>
      <c r="BN256" s="1042"/>
      <c r="BO256" s="1042"/>
      <c r="BP256" s="1042"/>
      <c r="BQ256" s="1042"/>
      <c r="BR256" s="1042"/>
      <c r="BS256" s="1042"/>
      <c r="BT256" s="1042"/>
      <c r="BU256" s="1042"/>
      <c r="BV256" s="1042"/>
      <c r="BW256" s="1042"/>
      <c r="BX256" s="1042"/>
      <c r="BY256" s="1042"/>
      <c r="BZ256" s="1042"/>
      <c r="CA256" s="1042"/>
      <c r="CB256" s="1042"/>
      <c r="CC256" s="1042"/>
      <c r="CD256" s="1042"/>
      <c r="CE256" s="1042"/>
      <c r="CF256" s="1042"/>
      <c r="CG256" s="1042"/>
      <c r="CH256" s="1042"/>
      <c r="CI256" s="1042"/>
      <c r="CJ256" s="1042"/>
      <c r="CK256" s="1042"/>
      <c r="CL256" s="1042"/>
      <c r="CM256" s="1042"/>
      <c r="CN256" s="1042"/>
      <c r="CO256" s="1042"/>
      <c r="CP256" s="1042"/>
      <c r="CQ256" s="1042"/>
      <c r="CR256" s="1042"/>
      <c r="CS256" s="1042"/>
      <c r="CT256" s="1042"/>
      <c r="CU256" s="1042"/>
      <c r="CV256" s="1042"/>
      <c r="CW256" s="1042"/>
      <c r="CX256" s="1042"/>
      <c r="CY256" s="1042"/>
      <c r="CZ256" s="1042"/>
    </row>
    <row r="257" spans="1:104" hidden="1" outlineLevel="1">
      <c r="A257" s="265"/>
      <c r="B257" s="265"/>
      <c r="C257" s="265"/>
      <c r="D257" s="265"/>
      <c r="E257" s="265"/>
      <c r="F257" s="265"/>
      <c r="G257" s="265"/>
      <c r="H257" s="265"/>
      <c r="I257" s="265"/>
      <c r="J257" s="265"/>
      <c r="K257" s="265"/>
      <c r="L257" s="265"/>
      <c r="M257" s="265"/>
      <c r="N257" s="265"/>
      <c r="O257" s="265"/>
      <c r="P257" s="265"/>
      <c r="Q257" s="265"/>
      <c r="R257" s="265"/>
      <c r="S257" s="265"/>
      <c r="T257" s="265"/>
      <c r="U257" s="265"/>
      <c r="V257" s="265"/>
      <c r="W257" s="265"/>
      <c r="X257" s="265"/>
      <c r="Y257" s="265"/>
      <c r="Z257" s="265"/>
      <c r="AA257" s="265"/>
      <c r="AB257" s="265"/>
      <c r="AC257" s="265"/>
      <c r="AD257" s="265"/>
      <c r="AE257" s="265"/>
      <c r="AF257" s="265"/>
      <c r="AG257" s="265"/>
      <c r="AH257" s="265"/>
      <c r="AI257" s="265"/>
      <c r="AJ257" s="265"/>
      <c r="AK257" s="265"/>
      <c r="AL257" s="265"/>
      <c r="AM257" s="265"/>
      <c r="AN257" s="265"/>
      <c r="AO257" s="265"/>
      <c r="AP257" s="265"/>
      <c r="AQ257" s="265"/>
      <c r="AR257" s="265"/>
      <c r="AS257" s="265"/>
      <c r="AT257" s="265"/>
      <c r="AU257" s="265"/>
      <c r="AV257" s="265"/>
      <c r="AW257" s="265"/>
      <c r="AX257" s="265"/>
      <c r="AY257" s="265"/>
      <c r="AZ257" s="265"/>
      <c r="BA257" s="265"/>
      <c r="BB257" s="265"/>
      <c r="BC257" s="265"/>
      <c r="BD257" s="265"/>
      <c r="BE257" s="265"/>
      <c r="BF257" s="265"/>
      <c r="BG257" s="265"/>
      <c r="BH257" s="265"/>
      <c r="BI257" s="265"/>
      <c r="BJ257" s="265"/>
      <c r="BK257" s="265"/>
      <c r="BL257" s="265"/>
      <c r="BM257" s="265"/>
      <c r="BN257" s="265"/>
      <c r="BO257" s="265"/>
      <c r="BP257" s="265"/>
      <c r="BQ257" s="265"/>
      <c r="BR257" s="265"/>
      <c r="BS257" s="265"/>
      <c r="BT257" s="265"/>
      <c r="BU257" s="265"/>
      <c r="BV257" s="265"/>
      <c r="BW257" s="265"/>
      <c r="BX257" s="265"/>
      <c r="BY257" s="265"/>
      <c r="BZ257" s="265"/>
      <c r="CA257" s="265"/>
      <c r="CB257" s="265"/>
      <c r="CC257" s="265"/>
      <c r="CD257" s="265"/>
      <c r="CE257" s="265"/>
      <c r="CF257" s="265"/>
      <c r="CG257" s="265"/>
      <c r="CH257" s="265"/>
      <c r="CI257" s="265"/>
      <c r="CJ257" s="265"/>
      <c r="CK257" s="265"/>
      <c r="CL257" s="265"/>
      <c r="CM257" s="265"/>
      <c r="CN257" s="265"/>
      <c r="CO257" s="265"/>
      <c r="CP257" s="265"/>
      <c r="CQ257" s="265"/>
      <c r="CR257" s="265"/>
      <c r="CS257" s="265"/>
      <c r="CT257" s="265"/>
      <c r="CU257" s="265"/>
      <c r="CV257" s="265"/>
      <c r="CW257" s="265"/>
      <c r="CX257" s="265"/>
      <c r="CY257" s="265"/>
      <c r="CZ257" s="265"/>
    </row>
    <row r="258" spans="1:104" hidden="1" outlineLevel="1">
      <c r="A258" s="265"/>
      <c r="B258" s="1000" t="s">
        <v>762</v>
      </c>
      <c r="C258" s="302"/>
      <c r="D258" s="1048"/>
      <c r="E258" s="265"/>
      <c r="F258" s="265"/>
      <c r="G258" s="265"/>
      <c r="H258" s="265"/>
      <c r="I258" s="265"/>
      <c r="J258" s="1000"/>
      <c r="K258" s="265"/>
      <c r="L258" s="265"/>
      <c r="M258" s="265"/>
      <c r="N258" s="265"/>
      <c r="O258" s="1000"/>
      <c r="P258" s="265"/>
      <c r="Q258" s="265"/>
      <c r="R258" s="265"/>
      <c r="S258" s="265"/>
      <c r="T258" s="1000"/>
      <c r="U258" s="265"/>
      <c r="V258" s="265"/>
      <c r="W258" s="265"/>
      <c r="X258" s="265"/>
      <c r="Y258" s="1000"/>
      <c r="Z258" s="265"/>
      <c r="AA258" s="265"/>
      <c r="AB258" s="265"/>
      <c r="AC258" s="265"/>
      <c r="AD258" s="1047"/>
      <c r="AE258" s="265"/>
      <c r="AF258" s="265"/>
      <c r="AG258" s="265"/>
      <c r="AH258" s="265"/>
      <c r="AI258" s="1047"/>
      <c r="AJ258" s="265"/>
      <c r="AK258" s="265"/>
      <c r="AL258" s="265"/>
      <c r="AM258" s="265"/>
      <c r="AN258" s="1049"/>
      <c r="AO258" s="265"/>
      <c r="AP258" s="265"/>
      <c r="AQ258" s="265"/>
      <c r="AR258" s="265"/>
      <c r="AS258" s="1049"/>
      <c r="AT258" s="265"/>
      <c r="AU258" s="265"/>
      <c r="AV258" s="265"/>
      <c r="AW258" s="265"/>
      <c r="AX258" s="265"/>
      <c r="AY258" s="265"/>
      <c r="AZ258" s="265"/>
      <c r="BA258" s="265"/>
      <c r="BB258" s="265"/>
      <c r="BC258" s="268"/>
      <c r="BD258" s="1000"/>
      <c r="BE258" s="1000"/>
      <c r="BF258" s="1000"/>
      <c r="BG258" s="1000"/>
      <c r="BH258" s="1000"/>
      <c r="BI258" s="1000"/>
      <c r="BJ258" s="1000"/>
      <c r="BK258" s="1000"/>
      <c r="BL258" s="1000"/>
      <c r="BM258" s="1000"/>
      <c r="BN258" s="265"/>
      <c r="BO258" s="265"/>
      <c r="BP258" s="265"/>
      <c r="BQ258" s="265"/>
      <c r="BR258" s="265"/>
      <c r="BS258" s="265"/>
      <c r="BT258" s="265"/>
      <c r="BU258" s="265"/>
      <c r="BV258" s="265"/>
      <c r="BW258" s="265"/>
      <c r="BX258" s="265"/>
      <c r="BY258" s="265"/>
      <c r="BZ258" s="265"/>
      <c r="CA258" s="265"/>
      <c r="CB258" s="265"/>
      <c r="CC258" s="265"/>
      <c r="CD258" s="265"/>
      <c r="CE258" s="265"/>
      <c r="CF258" s="265"/>
      <c r="CG258" s="265"/>
      <c r="CH258" s="265"/>
      <c r="CI258" s="265"/>
      <c r="CJ258" s="265"/>
      <c r="CK258" s="265"/>
      <c r="CL258" s="265"/>
      <c r="CM258" s="265"/>
      <c r="CN258" s="265"/>
      <c r="CO258" s="265"/>
      <c r="CP258" s="265"/>
      <c r="CQ258" s="265"/>
      <c r="CR258" s="265"/>
      <c r="CS258" s="265"/>
      <c r="CT258" s="265"/>
      <c r="CU258" s="265"/>
      <c r="CV258" s="265"/>
      <c r="CW258" s="265"/>
      <c r="CX258" s="265"/>
      <c r="CY258" s="265"/>
      <c r="CZ258" s="268"/>
    </row>
    <row r="259" spans="1:104" hidden="1" outlineLevel="1">
      <c r="A259" s="265"/>
      <c r="B259" s="265" t="s">
        <v>761</v>
      </c>
      <c r="C259" s="116"/>
      <c r="D259" s="1048"/>
      <c r="E259" s="265"/>
      <c r="F259" s="265"/>
      <c r="G259" s="265"/>
      <c r="H259" s="265"/>
      <c r="I259" s="265"/>
      <c r="J259" s="1000"/>
      <c r="K259" s="265"/>
      <c r="L259" s="265"/>
      <c r="M259" s="265"/>
      <c r="N259" s="265"/>
      <c r="O259" s="1000"/>
      <c r="P259" s="265"/>
      <c r="Q259" s="265"/>
      <c r="R259" s="265"/>
      <c r="S259" s="265"/>
      <c r="T259" s="1000"/>
      <c r="U259" s="265"/>
      <c r="V259" s="265"/>
      <c r="W259" s="265"/>
      <c r="X259" s="265"/>
      <c r="Y259" s="1000"/>
      <c r="Z259" s="265"/>
      <c r="AA259" s="265"/>
      <c r="AB259" s="265"/>
      <c r="AC259" s="265"/>
      <c r="AD259" s="1047"/>
      <c r="AE259" s="265"/>
      <c r="AF259" s="265"/>
      <c r="AG259" s="265"/>
      <c r="AH259" s="265"/>
      <c r="AI259" s="1047"/>
      <c r="AJ259" s="265"/>
      <c r="AK259" s="265"/>
      <c r="AL259" s="265"/>
      <c r="AM259" s="265"/>
      <c r="AN259" s="1049"/>
      <c r="AO259" s="265"/>
      <c r="AP259" s="265"/>
      <c r="AQ259" s="265"/>
      <c r="AR259" s="265"/>
      <c r="AS259" s="1049"/>
      <c r="AT259" s="265"/>
      <c r="AU259" s="265"/>
      <c r="AV259" s="265"/>
      <c r="AW259" s="265"/>
      <c r="AX259" s="265"/>
      <c r="AY259" s="265"/>
      <c r="AZ259" s="265"/>
      <c r="BA259" s="265"/>
      <c r="BB259" s="265"/>
      <c r="BC259" s="524" t="s">
        <v>760</v>
      </c>
      <c r="BD259" s="1000"/>
      <c r="BE259" s="1000"/>
      <c r="BF259" s="1000"/>
      <c r="BG259" s="1000"/>
      <c r="BH259" s="1000"/>
      <c r="BI259" s="1000"/>
      <c r="BJ259" s="1000"/>
      <c r="BK259" s="1000"/>
      <c r="BL259" s="1000"/>
      <c r="BM259" s="1000"/>
      <c r="BN259" s="265"/>
      <c r="BO259" s="265"/>
      <c r="BP259" s="265"/>
      <c r="BQ259" s="265"/>
      <c r="BR259" s="265"/>
      <c r="BS259" s="265"/>
      <c r="BT259" s="265"/>
      <c r="BU259" s="265"/>
      <c r="BV259" s="265"/>
      <c r="BW259" s="265"/>
      <c r="BX259" s="265"/>
      <c r="BY259" s="265"/>
      <c r="BZ259" s="265"/>
      <c r="CA259" s="265"/>
      <c r="CB259" s="265"/>
      <c r="CC259" s="265"/>
      <c r="CD259" s="265"/>
      <c r="CE259" s="265"/>
      <c r="CF259" s="265"/>
      <c r="CG259" s="265"/>
      <c r="CH259" s="265"/>
      <c r="CI259" s="265"/>
      <c r="CJ259" s="265"/>
      <c r="CK259" s="265"/>
      <c r="CL259" s="265"/>
      <c r="CM259" s="265"/>
      <c r="CN259" s="265"/>
      <c r="CO259" s="265"/>
      <c r="CP259" s="265"/>
      <c r="CQ259" s="265"/>
      <c r="CR259" s="265"/>
      <c r="CS259" s="265"/>
      <c r="CT259" s="265"/>
      <c r="CU259" s="265"/>
      <c r="CV259" s="265"/>
      <c r="CW259" s="265"/>
      <c r="CX259" s="265"/>
      <c r="CY259" s="265"/>
      <c r="CZ259" s="268"/>
    </row>
    <row r="260" spans="1:104" hidden="1" outlineLevel="1">
      <c r="A260" s="265"/>
      <c r="B260" s="265" t="s">
        <v>759</v>
      </c>
      <c r="C260" s="116"/>
      <c r="D260" s="1048"/>
      <c r="E260" s="265"/>
      <c r="F260" s="265"/>
      <c r="G260" s="265"/>
      <c r="H260" s="265"/>
      <c r="I260" s="265"/>
      <c r="J260" s="1000"/>
      <c r="K260" s="265"/>
      <c r="L260" s="265"/>
      <c r="M260" s="265"/>
      <c r="N260" s="265"/>
      <c r="O260" s="1000"/>
      <c r="P260" s="265"/>
      <c r="Q260" s="265"/>
      <c r="R260" s="265"/>
      <c r="S260" s="265"/>
      <c r="T260" s="1000"/>
      <c r="U260" s="265"/>
      <c r="V260" s="265"/>
      <c r="W260" s="265"/>
      <c r="X260" s="265"/>
      <c r="Y260" s="1000"/>
      <c r="Z260" s="265"/>
      <c r="AA260" s="265"/>
      <c r="AB260" s="265"/>
      <c r="AC260" s="265"/>
      <c r="AD260" s="1047"/>
      <c r="AE260" s="265"/>
      <c r="AF260" s="265"/>
      <c r="AG260" s="265"/>
      <c r="AH260" s="265"/>
      <c r="AI260" s="1047"/>
      <c r="AJ260" s="265"/>
      <c r="AK260" s="265"/>
      <c r="AL260" s="265"/>
      <c r="AM260" s="265"/>
      <c r="AN260" s="1049"/>
      <c r="AO260" s="265"/>
      <c r="AP260" s="265"/>
      <c r="AQ260" s="265"/>
      <c r="AR260" s="265"/>
      <c r="AS260" s="1049"/>
      <c r="AT260" s="265"/>
      <c r="AU260" s="265"/>
      <c r="AV260" s="265"/>
      <c r="AW260" s="265"/>
      <c r="AX260" s="265"/>
      <c r="AY260" s="265"/>
      <c r="AZ260" s="265"/>
      <c r="BA260" s="265"/>
      <c r="BB260" s="265"/>
      <c r="BC260" s="524" t="s">
        <v>758</v>
      </c>
      <c r="BD260" s="1000"/>
      <c r="BE260" s="1000"/>
      <c r="BF260" s="1000"/>
      <c r="BG260" s="1000"/>
      <c r="BH260" s="1000"/>
      <c r="BI260" s="1000"/>
      <c r="BJ260" s="1000"/>
      <c r="BK260" s="1000"/>
      <c r="BL260" s="1000"/>
      <c r="BM260" s="1000"/>
      <c r="BN260" s="265"/>
      <c r="BO260" s="265"/>
      <c r="BP260" s="265"/>
      <c r="BQ260" s="265"/>
      <c r="BR260" s="265"/>
      <c r="BS260" s="265"/>
      <c r="BT260" s="265"/>
      <c r="BU260" s="265"/>
      <c r="BV260" s="265"/>
      <c r="BW260" s="265"/>
      <c r="BX260" s="265"/>
      <c r="BY260" s="265"/>
      <c r="BZ260" s="265"/>
      <c r="CA260" s="265"/>
      <c r="CB260" s="265"/>
      <c r="CC260" s="265"/>
      <c r="CD260" s="265"/>
      <c r="CE260" s="265"/>
      <c r="CF260" s="265"/>
      <c r="CG260" s="265"/>
      <c r="CH260" s="265"/>
      <c r="CI260" s="265"/>
      <c r="CJ260" s="265"/>
      <c r="CK260" s="265"/>
      <c r="CL260" s="265"/>
      <c r="CM260" s="265"/>
      <c r="CN260" s="265"/>
      <c r="CO260" s="265"/>
      <c r="CP260" s="265"/>
      <c r="CQ260" s="265"/>
      <c r="CR260" s="265"/>
      <c r="CS260" s="265"/>
      <c r="CT260" s="265"/>
      <c r="CU260" s="265"/>
      <c r="CV260" s="265"/>
      <c r="CW260" s="265"/>
      <c r="CX260" s="265"/>
      <c r="CY260" s="265"/>
      <c r="CZ260" s="268"/>
    </row>
    <row r="261" spans="1:104" hidden="1" outlineLevel="1">
      <c r="A261" s="265"/>
      <c r="B261" s="265" t="s">
        <v>250</v>
      </c>
      <c r="C261" s="116"/>
      <c r="D261" s="1048"/>
      <c r="E261" s="265"/>
      <c r="F261" s="265"/>
      <c r="G261" s="265"/>
      <c r="H261" s="265"/>
      <c r="I261" s="265"/>
      <c r="J261" s="1000"/>
      <c r="K261" s="265"/>
      <c r="L261" s="265"/>
      <c r="M261" s="265"/>
      <c r="N261" s="265"/>
      <c r="O261" s="1000"/>
      <c r="P261" s="265"/>
      <c r="Q261" s="265"/>
      <c r="R261" s="265"/>
      <c r="S261" s="265"/>
      <c r="T261" s="1000"/>
      <c r="U261" s="265"/>
      <c r="V261" s="265"/>
      <c r="W261" s="265"/>
      <c r="X261" s="265"/>
      <c r="Y261" s="1000"/>
      <c r="Z261" s="265"/>
      <c r="AA261" s="265"/>
      <c r="AB261" s="265"/>
      <c r="AC261" s="265"/>
      <c r="AD261" s="1047"/>
      <c r="AE261" s="265"/>
      <c r="AF261" s="265"/>
      <c r="AG261" s="265"/>
      <c r="AH261" s="265"/>
      <c r="AI261" s="1047"/>
      <c r="AJ261" s="265"/>
      <c r="AK261" s="265"/>
      <c r="AL261" s="265"/>
      <c r="AM261" s="265"/>
      <c r="AN261" s="1049"/>
      <c r="AO261" s="265"/>
      <c r="AP261" s="265"/>
      <c r="AQ261" s="265"/>
      <c r="AR261" s="265"/>
      <c r="AS261" s="1049"/>
      <c r="AT261" s="265"/>
      <c r="AU261" s="265"/>
      <c r="AV261" s="265"/>
      <c r="AW261" s="265"/>
      <c r="AX261" s="265"/>
      <c r="AY261" s="265"/>
      <c r="AZ261" s="265"/>
      <c r="BA261" s="265"/>
      <c r="BB261" s="265"/>
      <c r="BC261" s="524" t="s">
        <v>757</v>
      </c>
      <c r="BD261" s="1000"/>
      <c r="BE261" s="1000"/>
      <c r="BF261" s="1000"/>
      <c r="BG261" s="1000"/>
      <c r="BH261" s="1000"/>
      <c r="BI261" s="1000"/>
      <c r="BJ261" s="1000"/>
      <c r="BK261" s="1000"/>
      <c r="BL261" s="1000"/>
      <c r="BM261" s="1000"/>
      <c r="BN261" s="265"/>
      <c r="BO261" s="265"/>
      <c r="BP261" s="265"/>
      <c r="BQ261" s="265"/>
      <c r="BR261" s="265"/>
      <c r="BS261" s="265"/>
      <c r="BT261" s="265"/>
      <c r="BU261" s="265"/>
      <c r="BV261" s="265"/>
      <c r="BW261" s="265"/>
      <c r="BX261" s="265"/>
      <c r="BY261" s="265"/>
      <c r="BZ261" s="265"/>
      <c r="CA261" s="265"/>
      <c r="CB261" s="265"/>
      <c r="CC261" s="265"/>
      <c r="CD261" s="265"/>
      <c r="CE261" s="265"/>
      <c r="CF261" s="265"/>
      <c r="CG261" s="265"/>
      <c r="CH261" s="265"/>
      <c r="CI261" s="265"/>
      <c r="CJ261" s="265"/>
      <c r="CK261" s="265"/>
      <c r="CL261" s="265"/>
      <c r="CM261" s="265"/>
      <c r="CN261" s="265"/>
      <c r="CO261" s="265"/>
      <c r="CP261" s="265"/>
      <c r="CQ261" s="265"/>
      <c r="CR261" s="265"/>
      <c r="CS261" s="265"/>
      <c r="CT261" s="265"/>
      <c r="CU261" s="265"/>
      <c r="CV261" s="265"/>
      <c r="CW261" s="265"/>
      <c r="CX261" s="265"/>
      <c r="CY261" s="265"/>
      <c r="CZ261" s="268"/>
    </row>
    <row r="262" spans="1:104" hidden="1" outlineLevel="1">
      <c r="A262" s="265"/>
      <c r="B262" s="265" t="s">
        <v>756</v>
      </c>
      <c r="C262" s="116"/>
      <c r="D262" s="1048"/>
      <c r="E262" s="265"/>
      <c r="F262" s="265"/>
      <c r="G262" s="265"/>
      <c r="H262" s="265"/>
      <c r="I262" s="265"/>
      <c r="J262" s="1000"/>
      <c r="K262" s="265"/>
      <c r="L262" s="265"/>
      <c r="M262" s="265"/>
      <c r="N262" s="265"/>
      <c r="O262" s="1000"/>
      <c r="P262" s="265"/>
      <c r="Q262" s="265"/>
      <c r="R262" s="265"/>
      <c r="S262" s="265"/>
      <c r="T262" s="1000"/>
      <c r="U262" s="265"/>
      <c r="V262" s="265"/>
      <c r="W262" s="265"/>
      <c r="X262" s="265"/>
      <c r="Y262" s="1000"/>
      <c r="Z262" s="265"/>
      <c r="AA262" s="265"/>
      <c r="AB262" s="265"/>
      <c r="AC262" s="265"/>
      <c r="AD262" s="1047"/>
      <c r="AE262" s="265"/>
      <c r="AF262" s="265"/>
      <c r="AG262" s="265"/>
      <c r="AH262" s="265"/>
      <c r="AI262" s="1047"/>
      <c r="AJ262" s="265"/>
      <c r="AK262" s="265"/>
      <c r="AL262" s="265"/>
      <c r="AM262" s="265"/>
      <c r="AN262" s="1049"/>
      <c r="AO262" s="265"/>
      <c r="AP262" s="265"/>
      <c r="AQ262" s="265"/>
      <c r="AR262" s="265"/>
      <c r="AS262" s="1049"/>
      <c r="AT262" s="265"/>
      <c r="AU262" s="265"/>
      <c r="AV262" s="265"/>
      <c r="AW262" s="265"/>
      <c r="AX262" s="265"/>
      <c r="AY262" s="265"/>
      <c r="AZ262" s="265"/>
      <c r="BA262" s="265"/>
      <c r="BB262" s="265"/>
      <c r="BC262" s="524" t="s">
        <v>755</v>
      </c>
      <c r="BD262" s="1000"/>
      <c r="BE262" s="1000"/>
      <c r="BF262" s="1000"/>
      <c r="BG262" s="1000"/>
      <c r="BH262" s="1000"/>
      <c r="BI262" s="1000"/>
      <c r="BJ262" s="1000"/>
      <c r="BK262" s="1000"/>
      <c r="BL262" s="1000"/>
      <c r="BM262" s="1000"/>
      <c r="BN262" s="265"/>
      <c r="BO262" s="265"/>
      <c r="BP262" s="265"/>
      <c r="BQ262" s="265"/>
      <c r="BR262" s="265"/>
      <c r="BS262" s="265"/>
      <c r="BT262" s="265"/>
      <c r="BU262" s="265"/>
      <c r="BV262" s="265"/>
      <c r="BW262" s="265"/>
      <c r="BX262" s="265"/>
      <c r="BY262" s="265"/>
      <c r="BZ262" s="265"/>
      <c r="CA262" s="265"/>
      <c r="CB262" s="265"/>
      <c r="CC262" s="265"/>
      <c r="CD262" s="265"/>
      <c r="CE262" s="265"/>
      <c r="CF262" s="265"/>
      <c r="CG262" s="265"/>
      <c r="CH262" s="265"/>
      <c r="CI262" s="265"/>
      <c r="CJ262" s="265"/>
      <c r="CK262" s="265"/>
      <c r="CL262" s="265"/>
      <c r="CM262" s="265"/>
      <c r="CN262" s="265"/>
      <c r="CO262" s="265"/>
      <c r="CP262" s="265"/>
      <c r="CQ262" s="265"/>
      <c r="CR262" s="265"/>
      <c r="CS262" s="265"/>
      <c r="CT262" s="265"/>
      <c r="CU262" s="265"/>
      <c r="CV262" s="265"/>
      <c r="CW262" s="265"/>
      <c r="CX262" s="265"/>
      <c r="CY262" s="265"/>
      <c r="CZ262" s="268"/>
    </row>
    <row r="263" spans="1:104" hidden="1" outlineLevel="1">
      <c r="A263" s="265"/>
      <c r="B263" s="265" t="s">
        <v>754</v>
      </c>
      <c r="C263" s="116"/>
      <c r="D263" s="1048"/>
      <c r="E263" s="265"/>
      <c r="F263" s="265"/>
      <c r="G263" s="265"/>
      <c r="H263" s="265"/>
      <c r="I263" s="265"/>
      <c r="J263" s="1000"/>
      <c r="K263" s="265"/>
      <c r="L263" s="265"/>
      <c r="M263" s="265"/>
      <c r="N263" s="265"/>
      <c r="O263" s="1000"/>
      <c r="P263" s="265"/>
      <c r="Q263" s="265"/>
      <c r="R263" s="265"/>
      <c r="S263" s="265"/>
      <c r="T263" s="1000"/>
      <c r="U263" s="265"/>
      <c r="V263" s="265"/>
      <c r="W263" s="265"/>
      <c r="X263" s="265"/>
      <c r="Y263" s="1000"/>
      <c r="Z263" s="265"/>
      <c r="AA263" s="265"/>
      <c r="AB263" s="265"/>
      <c r="AC263" s="265"/>
      <c r="AD263" s="1047"/>
      <c r="AE263" s="265"/>
      <c r="AF263" s="265"/>
      <c r="AG263" s="265"/>
      <c r="AH263" s="265"/>
      <c r="AI263" s="1047"/>
      <c r="AJ263" s="265"/>
      <c r="AK263" s="265"/>
      <c r="AL263" s="265"/>
      <c r="AM263" s="265"/>
      <c r="AN263" s="1049"/>
      <c r="AO263" s="265"/>
      <c r="AP263" s="265"/>
      <c r="AQ263" s="265"/>
      <c r="AR263" s="265"/>
      <c r="AS263" s="1049"/>
      <c r="AT263" s="265"/>
      <c r="AU263" s="265"/>
      <c r="AV263" s="265"/>
      <c r="AW263" s="265"/>
      <c r="AX263" s="265"/>
      <c r="AY263" s="265"/>
      <c r="AZ263" s="265"/>
      <c r="BA263" s="265"/>
      <c r="BB263" s="265"/>
      <c r="BC263" s="524" t="s">
        <v>753</v>
      </c>
      <c r="BD263" s="1000"/>
      <c r="BE263" s="1000"/>
      <c r="BF263" s="1000"/>
      <c r="BG263" s="1000"/>
      <c r="BH263" s="1000"/>
      <c r="BI263" s="1000"/>
      <c r="BJ263" s="1000"/>
      <c r="BK263" s="1000"/>
      <c r="BL263" s="1000"/>
      <c r="BM263" s="1000"/>
      <c r="BN263" s="265"/>
      <c r="BO263" s="265"/>
      <c r="BP263" s="265"/>
      <c r="BQ263" s="265"/>
      <c r="BR263" s="265"/>
      <c r="BS263" s="265"/>
      <c r="BT263" s="265"/>
      <c r="BU263" s="265"/>
      <c r="BV263" s="265"/>
      <c r="BW263" s="265"/>
      <c r="BX263" s="265"/>
      <c r="BY263" s="265"/>
      <c r="BZ263" s="265"/>
      <c r="CA263" s="265"/>
      <c r="CB263" s="265"/>
      <c r="CC263" s="265"/>
      <c r="CD263" s="265"/>
      <c r="CE263" s="265"/>
      <c r="CF263" s="265"/>
      <c r="CG263" s="265"/>
      <c r="CH263" s="265"/>
      <c r="CI263" s="265"/>
      <c r="CJ263" s="265"/>
      <c r="CK263" s="265"/>
      <c r="CL263" s="265"/>
      <c r="CM263" s="265"/>
      <c r="CN263" s="265"/>
      <c r="CO263" s="265"/>
      <c r="CP263" s="265"/>
      <c r="CQ263" s="265"/>
      <c r="CR263" s="265"/>
      <c r="CS263" s="265"/>
      <c r="CT263" s="265"/>
      <c r="CU263" s="265"/>
      <c r="CV263" s="265"/>
      <c r="CW263" s="265"/>
      <c r="CX263" s="265"/>
      <c r="CY263" s="265"/>
      <c r="CZ263" s="268"/>
    </row>
    <row r="264" spans="1:104" hidden="1" outlineLevel="1">
      <c r="A264" s="265"/>
      <c r="B264" s="265"/>
      <c r="C264" s="116"/>
      <c r="D264" s="1048"/>
      <c r="E264" s="265"/>
      <c r="F264" s="265"/>
      <c r="G264" s="265"/>
      <c r="H264" s="265"/>
      <c r="I264" s="265"/>
      <c r="J264" s="1000"/>
      <c r="K264" s="265"/>
      <c r="L264" s="265"/>
      <c r="M264" s="265"/>
      <c r="N264" s="265"/>
      <c r="O264" s="1000"/>
      <c r="P264" s="265"/>
      <c r="Q264" s="265"/>
      <c r="R264" s="265"/>
      <c r="S264" s="265"/>
      <c r="T264" s="1000"/>
      <c r="U264" s="265"/>
      <c r="V264" s="265"/>
      <c r="W264" s="265"/>
      <c r="X264" s="265"/>
      <c r="Y264" s="1000"/>
      <c r="Z264" s="265"/>
      <c r="AA264" s="265"/>
      <c r="AB264" s="265"/>
      <c r="AC264" s="265"/>
      <c r="AD264" s="1047"/>
      <c r="AE264" s="265"/>
      <c r="AF264" s="265"/>
      <c r="AG264" s="265"/>
      <c r="AH264" s="265"/>
      <c r="AI264" s="1047"/>
      <c r="AJ264" s="265"/>
      <c r="AK264" s="265"/>
      <c r="AL264" s="265"/>
      <c r="AM264" s="265"/>
      <c r="AN264" s="1049"/>
      <c r="AO264" s="265"/>
      <c r="AP264" s="265"/>
      <c r="AQ264" s="265"/>
      <c r="AR264" s="265"/>
      <c r="AS264" s="1049"/>
      <c r="AT264" s="265"/>
      <c r="AU264" s="265"/>
      <c r="AV264" s="265"/>
      <c r="AW264" s="265"/>
      <c r="AX264" s="265"/>
      <c r="AY264" s="265"/>
      <c r="AZ264" s="265"/>
      <c r="BA264" s="265"/>
      <c r="BB264" s="265"/>
      <c r="BC264" s="265"/>
      <c r="BD264" s="1000"/>
      <c r="BE264" s="1000"/>
      <c r="BF264" s="1000"/>
      <c r="BG264" s="1000"/>
      <c r="BH264" s="1000"/>
      <c r="BI264" s="1000"/>
      <c r="BJ264" s="1000"/>
      <c r="BK264" s="1000"/>
      <c r="BL264" s="1000"/>
      <c r="BM264" s="1000"/>
      <c r="BN264" s="265"/>
      <c r="BO264" s="265"/>
      <c r="BP264" s="265"/>
      <c r="BQ264" s="265"/>
      <c r="BR264" s="265"/>
      <c r="BS264" s="265"/>
      <c r="BT264" s="265"/>
      <c r="BU264" s="265"/>
      <c r="BV264" s="265"/>
      <c r="BW264" s="265"/>
      <c r="BX264" s="265"/>
      <c r="BY264" s="265"/>
      <c r="BZ264" s="265"/>
      <c r="CA264" s="265"/>
      <c r="CB264" s="265"/>
      <c r="CC264" s="265"/>
      <c r="CD264" s="265"/>
      <c r="CE264" s="265"/>
      <c r="CF264" s="265"/>
      <c r="CG264" s="265"/>
      <c r="CH264" s="265"/>
      <c r="CI264" s="265"/>
      <c r="CJ264" s="265"/>
      <c r="CK264" s="265"/>
      <c r="CL264" s="265"/>
      <c r="CM264" s="265"/>
      <c r="CN264" s="265"/>
      <c r="CO264" s="265"/>
      <c r="CP264" s="265"/>
      <c r="CQ264" s="265"/>
      <c r="CR264" s="265"/>
      <c r="CS264" s="265"/>
      <c r="CT264" s="265"/>
      <c r="CU264" s="265"/>
      <c r="CV264" s="265"/>
      <c r="CW264" s="265"/>
      <c r="CX264" s="265"/>
      <c r="CY264" s="265"/>
      <c r="CZ264" s="268"/>
    </row>
    <row r="265" spans="1:104" hidden="1" outlineLevel="1">
      <c r="A265" s="265"/>
      <c r="B265" s="1000" t="s">
        <v>752</v>
      </c>
      <c r="C265" s="116"/>
      <c r="D265" s="1048"/>
      <c r="E265" s="265"/>
      <c r="F265" s="265"/>
      <c r="G265" s="265"/>
      <c r="H265" s="265"/>
      <c r="I265" s="265"/>
      <c r="J265" s="1000"/>
      <c r="K265" s="265"/>
      <c r="L265" s="265"/>
      <c r="M265" s="265"/>
      <c r="N265" s="265"/>
      <c r="O265" s="1000"/>
      <c r="P265" s="265"/>
      <c r="Q265" s="265"/>
      <c r="R265" s="265"/>
      <c r="S265" s="265"/>
      <c r="T265" s="1000"/>
      <c r="U265" s="265"/>
      <c r="V265" s="265"/>
      <c r="W265" s="265"/>
      <c r="X265" s="265"/>
      <c r="Y265" s="1000"/>
      <c r="Z265" s="265"/>
      <c r="AA265" s="265"/>
      <c r="AB265" s="265"/>
      <c r="AC265" s="265"/>
      <c r="AD265" s="1047"/>
      <c r="AE265" s="265"/>
      <c r="AF265" s="265"/>
      <c r="AG265" s="265"/>
      <c r="AH265" s="265"/>
      <c r="AI265" s="1047"/>
      <c r="AJ265" s="265"/>
      <c r="AK265" s="265"/>
      <c r="AL265" s="265"/>
      <c r="AM265" s="265"/>
      <c r="AN265" s="1049"/>
      <c r="AO265" s="265"/>
      <c r="AP265" s="265"/>
      <c r="AQ265" s="265"/>
      <c r="AR265" s="265"/>
      <c r="AS265" s="1049"/>
      <c r="AT265" s="265"/>
      <c r="AU265" s="265"/>
      <c r="AV265" s="265"/>
      <c r="AW265" s="265"/>
      <c r="AX265" s="265"/>
      <c r="AY265" s="265"/>
      <c r="AZ265" s="265"/>
      <c r="BA265" s="265"/>
      <c r="BB265" s="265"/>
      <c r="BC265" s="265"/>
      <c r="BD265" s="1000"/>
      <c r="BE265" s="1000"/>
      <c r="BF265" s="1000"/>
      <c r="BG265" s="1000"/>
      <c r="BH265" s="1000"/>
      <c r="BI265" s="1000"/>
      <c r="BJ265" s="1000"/>
      <c r="BK265" s="1000"/>
      <c r="BL265" s="1000"/>
      <c r="BM265" s="1000"/>
      <c r="BN265" s="265"/>
      <c r="BO265" s="265"/>
      <c r="BP265" s="265"/>
      <c r="BQ265" s="265"/>
      <c r="BR265" s="265"/>
      <c r="BS265" s="265"/>
      <c r="BT265" s="265"/>
      <c r="BU265" s="265"/>
      <c r="BV265" s="265"/>
      <c r="BW265" s="265"/>
      <c r="BX265" s="265"/>
      <c r="BY265" s="265"/>
      <c r="BZ265" s="265"/>
      <c r="CA265" s="265"/>
      <c r="CB265" s="265"/>
      <c r="CC265" s="265"/>
      <c r="CD265" s="265"/>
      <c r="CE265" s="265"/>
      <c r="CF265" s="265"/>
      <c r="CG265" s="265"/>
      <c r="CH265" s="265"/>
      <c r="CI265" s="265"/>
      <c r="CJ265" s="265"/>
      <c r="CK265" s="265"/>
      <c r="CL265" s="265"/>
      <c r="CM265" s="265"/>
      <c r="CN265" s="265"/>
      <c r="CO265" s="265"/>
      <c r="CP265" s="265"/>
      <c r="CQ265" s="265"/>
      <c r="CR265" s="265"/>
      <c r="CS265" s="265"/>
      <c r="CT265" s="265"/>
      <c r="CU265" s="265"/>
      <c r="CV265" s="265"/>
      <c r="CW265" s="265"/>
      <c r="CX265" s="265"/>
      <c r="CY265" s="265"/>
      <c r="CZ265" s="268"/>
    </row>
    <row r="266" spans="1:104" hidden="1" outlineLevel="1">
      <c r="A266" s="265"/>
      <c r="B266" s="265" t="s">
        <v>751</v>
      </c>
      <c r="C266" s="116"/>
      <c r="D266" s="1048"/>
      <c r="E266" s="265"/>
      <c r="F266" s="265"/>
      <c r="G266" s="265"/>
      <c r="H266" s="265"/>
      <c r="I266" s="265"/>
      <c r="J266" s="1000"/>
      <c r="K266" s="265"/>
      <c r="L266" s="265"/>
      <c r="M266" s="265"/>
      <c r="N266" s="265"/>
      <c r="O266" s="1000"/>
      <c r="P266" s="265"/>
      <c r="Q266" s="265"/>
      <c r="R266" s="265"/>
      <c r="S266" s="265"/>
      <c r="T266" s="1000"/>
      <c r="U266" s="265"/>
      <c r="V266" s="265"/>
      <c r="W266" s="265"/>
      <c r="X266" s="265"/>
      <c r="Y266" s="1000"/>
      <c r="Z266" s="265"/>
      <c r="AA266" s="265"/>
      <c r="AB266" s="265"/>
      <c r="AC266" s="265"/>
      <c r="AD266" s="1047"/>
      <c r="AE266" s="265"/>
      <c r="AF266" s="265"/>
      <c r="AG266" s="265"/>
      <c r="AH266" s="265"/>
      <c r="AI266" s="1047"/>
      <c r="AJ266" s="265"/>
      <c r="AK266" s="265"/>
      <c r="AL266" s="265"/>
      <c r="AM266" s="265"/>
      <c r="AN266" s="1049">
        <v>0.17</v>
      </c>
      <c r="AO266" s="265"/>
      <c r="AP266" s="265"/>
      <c r="AQ266" s="265"/>
      <c r="AR266" s="265"/>
      <c r="AS266" s="1049">
        <v>0.3</v>
      </c>
      <c r="AT266" s="265"/>
      <c r="AU266" s="265"/>
      <c r="AV266" s="265"/>
      <c r="AW266" s="265"/>
      <c r="AX266" s="1049">
        <v>0.49</v>
      </c>
      <c r="AY266" s="265"/>
      <c r="AZ266" s="265"/>
      <c r="BA266" s="1049">
        <v>0.66</v>
      </c>
      <c r="BB266" s="265"/>
      <c r="BC266" s="1049">
        <v>0.7</v>
      </c>
      <c r="BD266" s="1000"/>
      <c r="BE266" s="1000"/>
      <c r="BF266" s="1000"/>
      <c r="BG266" s="1000"/>
      <c r="BH266" s="1000"/>
      <c r="BI266" s="1000"/>
      <c r="BJ266" s="1000"/>
      <c r="BK266" s="1000"/>
      <c r="BL266" s="1000"/>
      <c r="BM266" s="1000"/>
      <c r="BN266" s="265"/>
      <c r="BO266" s="265"/>
      <c r="BP266" s="265"/>
      <c r="BQ266" s="265"/>
      <c r="BR266" s="265"/>
      <c r="BS266" s="265"/>
      <c r="BT266" s="265"/>
      <c r="BU266" s="265"/>
      <c r="BV266" s="265"/>
      <c r="BW266" s="265"/>
      <c r="BX266" s="265"/>
      <c r="BY266" s="265"/>
      <c r="BZ266" s="265"/>
      <c r="CA266" s="265"/>
      <c r="CB266" s="265"/>
      <c r="CC266" s="265"/>
      <c r="CD266" s="265"/>
      <c r="CE266" s="265"/>
      <c r="CF266" s="265"/>
      <c r="CG266" s="265"/>
      <c r="CH266" s="265"/>
      <c r="CI266" s="265"/>
      <c r="CJ266" s="265"/>
      <c r="CK266" s="265"/>
      <c r="CL266" s="265"/>
      <c r="CM266" s="265"/>
      <c r="CN266" s="265"/>
      <c r="CO266" s="265"/>
      <c r="CP266" s="265"/>
      <c r="CQ266" s="265"/>
      <c r="CR266" s="265"/>
      <c r="CS266" s="265"/>
      <c r="CT266" s="265"/>
      <c r="CU266" s="265"/>
      <c r="CV266" s="265"/>
      <c r="CW266" s="265"/>
      <c r="CX266" s="265"/>
      <c r="CY266" s="265"/>
      <c r="CZ266" s="268"/>
    </row>
    <row r="267" spans="1:104" hidden="1" outlineLevel="1">
      <c r="A267" s="265"/>
      <c r="B267" s="1051" t="s">
        <v>750</v>
      </c>
      <c r="C267" s="116"/>
      <c r="D267" s="1048"/>
      <c r="E267" s="265"/>
      <c r="F267" s="265"/>
      <c r="G267" s="265"/>
      <c r="H267" s="265"/>
      <c r="I267" s="265"/>
      <c r="J267" s="1000"/>
      <c r="K267" s="265"/>
      <c r="L267" s="265"/>
      <c r="M267" s="265"/>
      <c r="N267" s="265"/>
      <c r="O267" s="1000"/>
      <c r="P267" s="265"/>
      <c r="Q267" s="265"/>
      <c r="R267" s="265"/>
      <c r="S267" s="265"/>
      <c r="T267" s="1000"/>
      <c r="U267" s="265"/>
      <c r="V267" s="265"/>
      <c r="W267" s="265"/>
      <c r="X267" s="265"/>
      <c r="Y267" s="1000"/>
      <c r="Z267" s="265"/>
      <c r="AA267" s="265"/>
      <c r="AB267" s="265"/>
      <c r="AC267" s="265"/>
      <c r="AD267" s="1047"/>
      <c r="AE267" s="265"/>
      <c r="AF267" s="265"/>
      <c r="AG267" s="265"/>
      <c r="AH267" s="265"/>
      <c r="AI267" s="1047"/>
      <c r="AJ267" s="265"/>
      <c r="AK267" s="265"/>
      <c r="AL267" s="265"/>
      <c r="AM267" s="265"/>
      <c r="AN267" s="1049"/>
      <c r="AO267" s="265"/>
      <c r="AP267" s="265"/>
      <c r="AQ267" s="265"/>
      <c r="AR267" s="265"/>
      <c r="AS267" s="1049"/>
      <c r="AT267" s="265"/>
      <c r="AU267" s="265"/>
      <c r="AV267" s="265"/>
      <c r="AW267" s="265"/>
      <c r="AX267" s="265"/>
      <c r="AY267" s="265"/>
      <c r="AZ267" s="265"/>
      <c r="BA267" s="1053">
        <v>0.89</v>
      </c>
      <c r="BB267" s="265"/>
      <c r="BC267" s="265"/>
      <c r="BD267" s="1000"/>
      <c r="BE267" s="1000"/>
      <c r="BF267" s="1000"/>
      <c r="BG267" s="1000"/>
      <c r="BH267" s="1000"/>
      <c r="BI267" s="1000"/>
      <c r="BJ267" s="1000"/>
      <c r="BK267" s="1000"/>
      <c r="BL267" s="1000"/>
      <c r="BM267" s="1000"/>
      <c r="BN267" s="265"/>
      <c r="BO267" s="265"/>
      <c r="BP267" s="265"/>
      <c r="BQ267" s="265"/>
      <c r="BR267" s="265"/>
      <c r="BS267" s="265"/>
      <c r="BT267" s="265"/>
      <c r="BU267" s="265"/>
      <c r="BV267" s="265"/>
      <c r="BW267" s="265"/>
      <c r="BX267" s="265"/>
      <c r="BY267" s="265"/>
      <c r="BZ267" s="265"/>
      <c r="CA267" s="265"/>
      <c r="CB267" s="265"/>
      <c r="CC267" s="265"/>
      <c r="CD267" s="265"/>
      <c r="CE267" s="265"/>
      <c r="CF267" s="265"/>
      <c r="CG267" s="265"/>
      <c r="CH267" s="265"/>
      <c r="CI267" s="265"/>
      <c r="CJ267" s="265"/>
      <c r="CK267" s="265"/>
      <c r="CL267" s="265"/>
      <c r="CM267" s="265"/>
      <c r="CN267" s="265"/>
      <c r="CO267" s="265"/>
      <c r="CP267" s="265"/>
      <c r="CQ267" s="265"/>
      <c r="CR267" s="265"/>
      <c r="CS267" s="265"/>
      <c r="CT267" s="265"/>
      <c r="CU267" s="265"/>
      <c r="CV267" s="265"/>
      <c r="CW267" s="265"/>
      <c r="CX267" s="265"/>
      <c r="CY267" s="265"/>
      <c r="CZ267" s="268"/>
    </row>
    <row r="268" spans="1:104" hidden="1" outlineLevel="1">
      <c r="A268" s="265"/>
      <c r="B268" s="1051" t="s">
        <v>749</v>
      </c>
      <c r="C268" s="116"/>
      <c r="D268" s="1048"/>
      <c r="E268" s="265"/>
      <c r="F268" s="265"/>
      <c r="G268" s="265"/>
      <c r="H268" s="265"/>
      <c r="I268" s="265"/>
      <c r="J268" s="1000"/>
      <c r="K268" s="265"/>
      <c r="L268" s="265"/>
      <c r="M268" s="265"/>
      <c r="N268" s="265"/>
      <c r="O268" s="1000"/>
      <c r="P268" s="265"/>
      <c r="Q268" s="265"/>
      <c r="R268" s="265"/>
      <c r="S268" s="265"/>
      <c r="T268" s="1000"/>
      <c r="U268" s="265"/>
      <c r="V268" s="265"/>
      <c r="W268" s="265"/>
      <c r="X268" s="265"/>
      <c r="Y268" s="1000"/>
      <c r="Z268" s="265"/>
      <c r="AA268" s="265"/>
      <c r="AB268" s="265"/>
      <c r="AC268" s="265"/>
      <c r="AD268" s="1047"/>
      <c r="AE268" s="265"/>
      <c r="AF268" s="265"/>
      <c r="AG268" s="265"/>
      <c r="AH268" s="265"/>
      <c r="AI268" s="1047"/>
      <c r="AJ268" s="265"/>
      <c r="AK268" s="265"/>
      <c r="AL268" s="265"/>
      <c r="AM268" s="265"/>
      <c r="AN268" s="1049"/>
      <c r="AO268" s="265"/>
      <c r="AP268" s="265"/>
      <c r="AQ268" s="265"/>
      <c r="AR268" s="265"/>
      <c r="AS268" s="1049"/>
      <c r="AT268" s="265"/>
      <c r="AU268" s="265"/>
      <c r="AV268" s="265"/>
      <c r="AW268" s="265"/>
      <c r="AX268" s="265"/>
      <c r="AY268" s="265"/>
      <c r="AZ268" s="265"/>
      <c r="BA268" s="1053">
        <v>0.7</v>
      </c>
      <c r="BB268" s="265"/>
      <c r="BC268" s="265"/>
      <c r="BD268" s="1000"/>
      <c r="BE268" s="1000"/>
      <c r="BF268" s="1000"/>
      <c r="BG268" s="1000"/>
      <c r="BH268" s="1000"/>
      <c r="BI268" s="1000"/>
      <c r="BJ268" s="1000"/>
      <c r="BK268" s="1000"/>
      <c r="BL268" s="1000"/>
      <c r="BM268" s="1000"/>
      <c r="BN268" s="265"/>
      <c r="BO268" s="265"/>
      <c r="BP268" s="265"/>
      <c r="BQ268" s="265"/>
      <c r="BR268" s="265"/>
      <c r="BS268" s="265"/>
      <c r="BT268" s="265"/>
      <c r="BU268" s="265"/>
      <c r="BV268" s="265"/>
      <c r="BW268" s="265"/>
      <c r="BX268" s="265"/>
      <c r="BY268" s="265"/>
      <c r="BZ268" s="265"/>
      <c r="CA268" s="265"/>
      <c r="CB268" s="265"/>
      <c r="CC268" s="265"/>
      <c r="CD268" s="265"/>
      <c r="CE268" s="265"/>
      <c r="CF268" s="265"/>
      <c r="CG268" s="265"/>
      <c r="CH268" s="265"/>
      <c r="CI268" s="265"/>
      <c r="CJ268" s="265"/>
      <c r="CK268" s="265"/>
      <c r="CL268" s="265"/>
      <c r="CM268" s="265"/>
      <c r="CN268" s="265"/>
      <c r="CO268" s="265"/>
      <c r="CP268" s="265"/>
      <c r="CQ268" s="265"/>
      <c r="CR268" s="265"/>
      <c r="CS268" s="265"/>
      <c r="CT268" s="265"/>
      <c r="CU268" s="265"/>
      <c r="CV268" s="265"/>
      <c r="CW268" s="265"/>
      <c r="CX268" s="265"/>
      <c r="CY268" s="265"/>
      <c r="CZ268" s="268"/>
    </row>
    <row r="269" spans="1:104" hidden="1" outlineLevel="1">
      <c r="A269" s="265"/>
      <c r="B269" s="1051" t="s">
        <v>748</v>
      </c>
      <c r="C269" s="116"/>
      <c r="D269" s="1048"/>
      <c r="E269" s="265"/>
      <c r="F269" s="265"/>
      <c r="G269" s="265"/>
      <c r="H269" s="265"/>
      <c r="I269" s="265"/>
      <c r="J269" s="1000"/>
      <c r="K269" s="265"/>
      <c r="L269" s="265"/>
      <c r="M269" s="265"/>
      <c r="N269" s="265"/>
      <c r="O269" s="1000"/>
      <c r="P269" s="265"/>
      <c r="Q269" s="265"/>
      <c r="R269" s="265"/>
      <c r="S269" s="265"/>
      <c r="T269" s="1000"/>
      <c r="U269" s="265"/>
      <c r="V269" s="265"/>
      <c r="W269" s="265"/>
      <c r="X269" s="265"/>
      <c r="Y269" s="1000"/>
      <c r="Z269" s="265"/>
      <c r="AA269" s="265"/>
      <c r="AB269" s="265"/>
      <c r="AC269" s="265"/>
      <c r="AD269" s="1047"/>
      <c r="AE269" s="265"/>
      <c r="AF269" s="265"/>
      <c r="AG269" s="265"/>
      <c r="AH269" s="265"/>
      <c r="AI269" s="1047"/>
      <c r="AJ269" s="265"/>
      <c r="AK269" s="265"/>
      <c r="AL269" s="265"/>
      <c r="AM269" s="265"/>
      <c r="AN269" s="1049"/>
      <c r="AO269" s="265"/>
      <c r="AP269" s="265"/>
      <c r="AQ269" s="265"/>
      <c r="AR269" s="265"/>
      <c r="AS269" s="1049"/>
      <c r="AT269" s="265"/>
      <c r="AU269" s="265"/>
      <c r="AV269" s="265"/>
      <c r="AW269" s="265"/>
      <c r="AX269" s="265"/>
      <c r="AY269" s="265"/>
      <c r="AZ269" s="265"/>
      <c r="BA269" s="1053">
        <v>0.61</v>
      </c>
      <c r="BB269" s="265"/>
      <c r="BC269" s="265"/>
      <c r="BD269" s="1000"/>
      <c r="BE269" s="1000"/>
      <c r="BF269" s="1000"/>
      <c r="BG269" s="1000"/>
      <c r="BH269" s="1000"/>
      <c r="BI269" s="1000"/>
      <c r="BJ269" s="1000"/>
      <c r="BK269" s="1000"/>
      <c r="BL269" s="1000"/>
      <c r="BM269" s="1000"/>
      <c r="BN269" s="265"/>
      <c r="BO269" s="265"/>
      <c r="BP269" s="265"/>
      <c r="BQ269" s="265"/>
      <c r="BR269" s="265"/>
      <c r="BS269" s="265"/>
      <c r="BT269" s="265"/>
      <c r="BU269" s="265"/>
      <c r="BV269" s="265"/>
      <c r="BW269" s="265"/>
      <c r="BX269" s="265"/>
      <c r="BY269" s="265"/>
      <c r="BZ269" s="265"/>
      <c r="CA269" s="265"/>
      <c r="CB269" s="265"/>
      <c r="CC269" s="265"/>
      <c r="CD269" s="265"/>
      <c r="CE269" s="265"/>
      <c r="CF269" s="265"/>
      <c r="CG269" s="265"/>
      <c r="CH269" s="265"/>
      <c r="CI269" s="265"/>
      <c r="CJ269" s="265"/>
      <c r="CK269" s="265"/>
      <c r="CL269" s="265"/>
      <c r="CM269" s="265"/>
      <c r="CN269" s="265"/>
      <c r="CO269" s="265"/>
      <c r="CP269" s="265"/>
      <c r="CQ269" s="265"/>
      <c r="CR269" s="265"/>
      <c r="CS269" s="265"/>
      <c r="CT269" s="265"/>
      <c r="CU269" s="265"/>
      <c r="CV269" s="265"/>
      <c r="CW269" s="265"/>
      <c r="CX269" s="265"/>
      <c r="CY269" s="265"/>
      <c r="CZ269" s="268"/>
    </row>
    <row r="270" spans="1:104" hidden="1" outlineLevel="1">
      <c r="A270" s="265"/>
      <c r="B270" s="265"/>
      <c r="C270" s="116"/>
      <c r="D270" s="1048"/>
      <c r="E270" s="265"/>
      <c r="F270" s="265"/>
      <c r="G270" s="265"/>
      <c r="H270" s="265"/>
      <c r="I270" s="265"/>
      <c r="J270" s="1000"/>
      <c r="K270" s="265"/>
      <c r="L270" s="265"/>
      <c r="M270" s="265"/>
      <c r="N270" s="265"/>
      <c r="O270" s="1000"/>
      <c r="P270" s="265"/>
      <c r="Q270" s="265"/>
      <c r="R270" s="265"/>
      <c r="S270" s="265"/>
      <c r="T270" s="1000"/>
      <c r="U270" s="265"/>
      <c r="V270" s="265"/>
      <c r="W270" s="265"/>
      <c r="X270" s="265"/>
      <c r="Y270" s="1000"/>
      <c r="Z270" s="265"/>
      <c r="AA270" s="265"/>
      <c r="AB270" s="265"/>
      <c r="AC270" s="265"/>
      <c r="AD270" s="1047"/>
      <c r="AE270" s="265"/>
      <c r="AF270" s="265"/>
      <c r="AG270" s="265"/>
      <c r="AH270" s="265"/>
      <c r="AI270" s="1047"/>
      <c r="AJ270" s="265"/>
      <c r="AK270" s="265"/>
      <c r="AL270" s="265"/>
      <c r="AM270" s="265"/>
      <c r="AN270" s="1049"/>
      <c r="AO270" s="265"/>
      <c r="AP270" s="265"/>
      <c r="AQ270" s="265"/>
      <c r="AR270" s="265"/>
      <c r="AS270" s="1049"/>
      <c r="AT270" s="265"/>
      <c r="AU270" s="265"/>
      <c r="AV270" s="265"/>
      <c r="AW270" s="265"/>
      <c r="AX270" s="265"/>
      <c r="AY270" s="265"/>
      <c r="AZ270" s="265"/>
      <c r="BA270" s="265"/>
      <c r="BB270" s="265"/>
      <c r="BC270" s="265"/>
      <c r="BD270" s="1000"/>
      <c r="BE270" s="1000"/>
      <c r="BF270" s="1000"/>
      <c r="BG270" s="1000"/>
      <c r="BH270" s="1000"/>
      <c r="BI270" s="1000"/>
      <c r="BJ270" s="1000"/>
      <c r="BK270" s="1000"/>
      <c r="BL270" s="1000"/>
      <c r="BM270" s="1000"/>
      <c r="BN270" s="265"/>
      <c r="BO270" s="265"/>
      <c r="BP270" s="265"/>
      <c r="BQ270" s="265"/>
      <c r="BR270" s="265"/>
      <c r="BS270" s="265"/>
      <c r="BT270" s="265"/>
      <c r="BU270" s="265"/>
      <c r="BV270" s="265"/>
      <c r="BW270" s="265"/>
      <c r="BX270" s="265"/>
      <c r="BY270" s="265"/>
      <c r="BZ270" s="265"/>
      <c r="CA270" s="265"/>
      <c r="CB270" s="265"/>
      <c r="CC270" s="265"/>
      <c r="CD270" s="265"/>
      <c r="CE270" s="265"/>
      <c r="CF270" s="265"/>
      <c r="CG270" s="265"/>
      <c r="CH270" s="265"/>
      <c r="CI270" s="265"/>
      <c r="CJ270" s="265"/>
      <c r="CK270" s="265"/>
      <c r="CL270" s="265"/>
      <c r="CM270" s="265"/>
      <c r="CN270" s="265"/>
      <c r="CO270" s="265"/>
      <c r="CP270" s="265"/>
      <c r="CQ270" s="265"/>
      <c r="CR270" s="265"/>
      <c r="CS270" s="265"/>
      <c r="CT270" s="265"/>
      <c r="CU270" s="265"/>
      <c r="CV270" s="265"/>
      <c r="CW270" s="265"/>
      <c r="CX270" s="265"/>
      <c r="CY270" s="265"/>
      <c r="CZ270" s="268"/>
    </row>
    <row r="271" spans="1:104" hidden="1" outlineLevel="1">
      <c r="A271" s="265"/>
      <c r="B271" s="1000" t="s">
        <v>747</v>
      </c>
      <c r="C271" s="116"/>
      <c r="D271" s="1048"/>
      <c r="E271" s="265"/>
      <c r="F271" s="265"/>
      <c r="G271" s="265"/>
      <c r="H271" s="265"/>
      <c r="I271" s="265"/>
      <c r="J271" s="1000"/>
      <c r="K271" s="265"/>
      <c r="L271" s="265"/>
      <c r="M271" s="265"/>
      <c r="N271" s="265"/>
      <c r="O271" s="1000"/>
      <c r="P271" s="265"/>
      <c r="Q271" s="265"/>
      <c r="R271" s="265"/>
      <c r="S271" s="265"/>
      <c r="T271" s="1000"/>
      <c r="U271" s="265"/>
      <c r="V271" s="265"/>
      <c r="W271" s="265"/>
      <c r="X271" s="265"/>
      <c r="Y271" s="1000"/>
      <c r="Z271" s="265"/>
      <c r="AA271" s="265"/>
      <c r="AB271" s="265"/>
      <c r="AC271" s="265"/>
      <c r="AD271" s="1047"/>
      <c r="AE271" s="265"/>
      <c r="AF271" s="265"/>
      <c r="AG271" s="265"/>
      <c r="AH271" s="265"/>
      <c r="AI271" s="1047"/>
      <c r="AJ271" s="265"/>
      <c r="AK271" s="265"/>
      <c r="AL271" s="265"/>
      <c r="AM271" s="265"/>
      <c r="AN271" s="1047"/>
      <c r="AO271" s="1000"/>
      <c r="AP271" s="1000"/>
      <c r="AQ271" s="1000"/>
      <c r="AR271" s="1000"/>
      <c r="AS271" s="1047"/>
      <c r="AT271" s="1000"/>
      <c r="AU271" s="1000"/>
      <c r="AV271" s="1000"/>
      <c r="AW271" s="1000"/>
      <c r="AX271" s="1000"/>
      <c r="AY271" s="1000"/>
      <c r="AZ271" s="1000"/>
      <c r="BA271" s="1000"/>
      <c r="BB271" s="1000"/>
      <c r="BC271" s="1000"/>
      <c r="BD271" s="1000"/>
      <c r="BE271" s="1000"/>
      <c r="BF271" s="1000"/>
      <c r="BG271" s="1000"/>
      <c r="BH271" s="1000"/>
      <c r="BI271" s="1000"/>
      <c r="BJ271" s="1000"/>
      <c r="BK271" s="1000"/>
      <c r="BL271" s="1000"/>
      <c r="BM271" s="1000"/>
      <c r="BN271" s="265"/>
      <c r="BO271" s="265"/>
      <c r="BP271" s="265"/>
      <c r="BQ271" s="265"/>
      <c r="BR271" s="265"/>
      <c r="BS271" s="265"/>
      <c r="BT271" s="265"/>
      <c r="BU271" s="265"/>
      <c r="BV271" s="265"/>
      <c r="BW271" s="265"/>
      <c r="BX271" s="265"/>
      <c r="BY271" s="265"/>
      <c r="BZ271" s="265"/>
      <c r="CA271" s="265"/>
      <c r="CB271" s="265"/>
      <c r="CC271" s="265"/>
      <c r="CD271" s="265"/>
      <c r="CE271" s="265"/>
      <c r="CF271" s="265"/>
      <c r="CG271" s="265"/>
      <c r="CH271" s="265"/>
      <c r="CI271" s="265"/>
      <c r="CJ271" s="265"/>
      <c r="CK271" s="265"/>
      <c r="CL271" s="265"/>
      <c r="CM271" s="265"/>
      <c r="CN271" s="265"/>
      <c r="CO271" s="265"/>
      <c r="CP271" s="265"/>
      <c r="CQ271" s="265"/>
      <c r="CR271" s="265"/>
      <c r="CS271" s="265"/>
      <c r="CT271" s="265"/>
      <c r="CU271" s="265"/>
      <c r="CV271" s="265"/>
      <c r="CW271" s="265"/>
      <c r="CX271" s="265"/>
      <c r="CY271" s="265"/>
      <c r="CZ271" s="268"/>
    </row>
    <row r="272" spans="1:104" hidden="1" outlineLevel="1">
      <c r="A272" s="265"/>
      <c r="B272" s="265" t="s">
        <v>746</v>
      </c>
      <c r="C272" s="116"/>
      <c r="D272" s="1048"/>
      <c r="E272" s="265"/>
      <c r="F272" s="265"/>
      <c r="G272" s="265"/>
      <c r="H272" s="265"/>
      <c r="I272" s="265"/>
      <c r="J272" s="1000"/>
      <c r="K272" s="265"/>
      <c r="L272" s="265"/>
      <c r="M272" s="265"/>
      <c r="N272" s="265"/>
      <c r="O272" s="1000"/>
      <c r="P272" s="265"/>
      <c r="Q272" s="265"/>
      <c r="R272" s="265"/>
      <c r="S272" s="265"/>
      <c r="T272" s="1000"/>
      <c r="U272" s="265"/>
      <c r="V272" s="265"/>
      <c r="W272" s="265"/>
      <c r="X272" s="265"/>
      <c r="Y272" s="1000"/>
      <c r="Z272" s="265"/>
      <c r="AA272" s="265"/>
      <c r="AB272" s="265"/>
      <c r="AC272" s="265"/>
      <c r="AD272" s="1047"/>
      <c r="AE272" s="265"/>
      <c r="AF272" s="265"/>
      <c r="AG272" s="265"/>
      <c r="AH272" s="265"/>
      <c r="AI272" s="1047"/>
      <c r="AJ272" s="265"/>
      <c r="AK272" s="265"/>
      <c r="AL272" s="265"/>
      <c r="AM272" s="265"/>
      <c r="AN272" s="1047"/>
      <c r="AO272" s="1000"/>
      <c r="AP272" s="1000"/>
      <c r="AQ272" s="1000"/>
      <c r="AR272" s="1000"/>
      <c r="AS272" s="1047"/>
      <c r="AT272" s="1000"/>
      <c r="AU272" s="1000"/>
      <c r="AV272" s="1000"/>
      <c r="AW272" s="1000"/>
      <c r="AX272" s="1000"/>
      <c r="AY272" s="1000"/>
      <c r="AZ272" s="1000"/>
      <c r="BA272" s="1000"/>
      <c r="BB272" s="1000"/>
      <c r="BC272" s="1000"/>
      <c r="BD272" s="1000"/>
      <c r="BE272" s="1000"/>
      <c r="BF272" s="1000"/>
      <c r="BG272" s="1000"/>
      <c r="BH272" s="1000"/>
      <c r="BI272" s="1000"/>
      <c r="BJ272" s="1000"/>
      <c r="BK272" s="1000"/>
      <c r="BL272" s="1000"/>
      <c r="BM272" s="1000"/>
      <c r="BN272" s="265"/>
      <c r="BO272" s="265"/>
      <c r="BP272" s="265"/>
      <c r="BQ272" s="265"/>
      <c r="BR272" s="265"/>
      <c r="BS272" s="265"/>
      <c r="BT272" s="265"/>
      <c r="BU272" s="265"/>
      <c r="BV272" s="265"/>
      <c r="BW272" s="265"/>
      <c r="BX272" s="265"/>
      <c r="BY272" s="265"/>
      <c r="BZ272" s="265"/>
      <c r="CA272" s="265"/>
      <c r="CB272" s="265"/>
      <c r="CC272" s="265"/>
      <c r="CD272" s="265"/>
      <c r="CE272" s="265"/>
      <c r="CF272" s="265"/>
      <c r="CG272" s="265"/>
      <c r="CH272" s="265"/>
      <c r="CI272" s="265"/>
      <c r="CJ272" s="265"/>
      <c r="CK272" s="265"/>
      <c r="CL272" s="265"/>
      <c r="CM272" s="265"/>
      <c r="CN272" s="265"/>
      <c r="CO272" s="265"/>
      <c r="CP272" s="265"/>
      <c r="CQ272" s="265"/>
      <c r="CR272" s="265"/>
      <c r="CS272" s="265"/>
      <c r="CT272" s="265"/>
      <c r="CU272" s="265"/>
      <c r="CV272" s="265"/>
      <c r="CW272" s="265"/>
      <c r="CX272" s="265"/>
      <c r="CY272" s="265"/>
      <c r="CZ272" s="268"/>
    </row>
    <row r="273" spans="1:104" hidden="1" outlineLevel="1">
      <c r="A273" s="265"/>
      <c r="B273" s="265" t="s">
        <v>745</v>
      </c>
      <c r="C273" s="116"/>
      <c r="D273" s="1048"/>
      <c r="E273" s="265"/>
      <c r="F273" s="265"/>
      <c r="G273" s="265"/>
      <c r="H273" s="265"/>
      <c r="I273" s="265"/>
      <c r="J273" s="1000"/>
      <c r="K273" s="265"/>
      <c r="L273" s="265"/>
      <c r="M273" s="265"/>
      <c r="N273" s="265"/>
      <c r="O273" s="1000"/>
      <c r="P273" s="265"/>
      <c r="Q273" s="265"/>
      <c r="R273" s="265"/>
      <c r="S273" s="265"/>
      <c r="T273" s="1000"/>
      <c r="U273" s="265"/>
      <c r="V273" s="265"/>
      <c r="W273" s="265"/>
      <c r="X273" s="265"/>
      <c r="Y273" s="1000"/>
      <c r="Z273" s="265"/>
      <c r="AA273" s="265"/>
      <c r="AB273" s="265"/>
      <c r="AC273" s="265"/>
      <c r="AD273" s="1047"/>
      <c r="AE273" s="265"/>
      <c r="AF273" s="265"/>
      <c r="AG273" s="265"/>
      <c r="AH273" s="265"/>
      <c r="AI273" s="1047"/>
      <c r="AJ273" s="265"/>
      <c r="AK273" s="265"/>
      <c r="AL273" s="265"/>
      <c r="AM273" s="265"/>
      <c r="AN273" s="1047"/>
      <c r="AO273" s="1000"/>
      <c r="AP273" s="1000"/>
      <c r="AQ273" s="1000"/>
      <c r="AR273" s="1000"/>
      <c r="AS273" s="1049">
        <v>0.22</v>
      </c>
      <c r="AT273" s="265"/>
      <c r="AU273" s="265"/>
      <c r="AV273" s="265"/>
      <c r="AW273" s="265"/>
      <c r="AX273" s="1049">
        <v>0.34</v>
      </c>
      <c r="AY273" s="265"/>
      <c r="AZ273" s="265"/>
      <c r="BA273" s="265"/>
      <c r="BB273" s="265"/>
      <c r="BC273" s="1049">
        <v>0.48</v>
      </c>
      <c r="BD273" s="265"/>
      <c r="BE273" s="265"/>
      <c r="BF273" s="265"/>
      <c r="BG273" s="265"/>
      <c r="BH273" s="265"/>
      <c r="BI273" s="1049"/>
      <c r="BJ273" s="1049"/>
      <c r="BK273" s="1049"/>
      <c r="BL273" s="1049"/>
      <c r="BM273" s="1049">
        <v>0.7</v>
      </c>
      <c r="BN273" s="265"/>
      <c r="BO273" s="265"/>
      <c r="BP273" s="265"/>
      <c r="BQ273" s="265"/>
      <c r="BR273" s="265"/>
      <c r="BS273" s="265"/>
      <c r="BT273" s="265"/>
      <c r="BU273" s="265"/>
      <c r="BV273" s="265"/>
      <c r="BW273" s="265"/>
      <c r="BX273" s="265"/>
      <c r="BY273" s="265"/>
      <c r="BZ273" s="265"/>
      <c r="CA273" s="265"/>
      <c r="CB273" s="265"/>
      <c r="CC273" s="265"/>
      <c r="CD273" s="265"/>
      <c r="CE273" s="265"/>
      <c r="CF273" s="265"/>
      <c r="CG273" s="265"/>
      <c r="CH273" s="265"/>
      <c r="CI273" s="265"/>
      <c r="CJ273" s="265"/>
      <c r="CK273" s="265"/>
      <c r="CL273" s="265"/>
      <c r="CM273" s="265"/>
      <c r="CN273" s="265"/>
      <c r="CO273" s="265"/>
      <c r="CP273" s="265"/>
      <c r="CQ273" s="265"/>
      <c r="CR273" s="265"/>
      <c r="CS273" s="265"/>
      <c r="CT273" s="265"/>
      <c r="CU273" s="265"/>
      <c r="CV273" s="265"/>
      <c r="CW273" s="265"/>
      <c r="CX273" s="265"/>
      <c r="CY273" s="265"/>
      <c r="CZ273" s="268"/>
    </row>
    <row r="274" spans="1:104" hidden="1" outlineLevel="1">
      <c r="A274" s="265"/>
      <c r="B274" s="265"/>
      <c r="C274" s="116"/>
      <c r="D274" s="1048"/>
      <c r="E274" s="265"/>
      <c r="F274" s="265"/>
      <c r="G274" s="265"/>
      <c r="H274" s="265"/>
      <c r="I274" s="265"/>
      <c r="J274" s="1000"/>
      <c r="K274" s="265"/>
      <c r="L274" s="265"/>
      <c r="M274" s="265"/>
      <c r="N274" s="265"/>
      <c r="O274" s="1000"/>
      <c r="P274" s="265"/>
      <c r="Q274" s="265"/>
      <c r="R274" s="265"/>
      <c r="S274" s="265"/>
      <c r="T274" s="1000"/>
      <c r="U274" s="265"/>
      <c r="V274" s="265"/>
      <c r="W274" s="265"/>
      <c r="X274" s="265"/>
      <c r="Y274" s="1000"/>
      <c r="Z274" s="265"/>
      <c r="AA274" s="265"/>
      <c r="AB274" s="265"/>
      <c r="AC274" s="265"/>
      <c r="AD274" s="1047"/>
      <c r="AE274" s="265"/>
      <c r="AF274" s="265"/>
      <c r="AG274" s="265"/>
      <c r="AH274" s="265"/>
      <c r="AI274" s="1047"/>
      <c r="AJ274" s="265"/>
      <c r="AK274" s="265"/>
      <c r="AL274" s="265"/>
      <c r="AM274" s="265"/>
      <c r="AN274" s="1047"/>
      <c r="AO274" s="1000"/>
      <c r="AP274" s="1000"/>
      <c r="AQ274" s="1000"/>
      <c r="AR274" s="1000"/>
      <c r="AS274" s="1049"/>
      <c r="AT274" s="265"/>
      <c r="AU274" s="265"/>
      <c r="AV274" s="265"/>
      <c r="AW274" s="265"/>
      <c r="AX274" s="1049"/>
      <c r="AY274" s="265"/>
      <c r="AZ274" s="265"/>
      <c r="BA274" s="265"/>
      <c r="BB274" s="265"/>
      <c r="BC274" s="1049"/>
      <c r="BD274" s="265"/>
      <c r="BE274" s="265"/>
      <c r="BF274" s="265"/>
      <c r="BG274" s="265"/>
      <c r="BH274" s="265"/>
      <c r="BI274" s="1049"/>
      <c r="BJ274" s="1049"/>
      <c r="BK274" s="1049"/>
      <c r="BL274" s="1049"/>
      <c r="BM274" s="1049"/>
      <c r="BN274" s="265"/>
      <c r="BO274" s="265"/>
      <c r="BP274" s="265"/>
      <c r="BQ274" s="265"/>
      <c r="BR274" s="265"/>
      <c r="BS274" s="265"/>
      <c r="BT274" s="265"/>
      <c r="BU274" s="265"/>
      <c r="BV274" s="265"/>
      <c r="BW274" s="265"/>
      <c r="BX274" s="265"/>
      <c r="BY274" s="265"/>
      <c r="BZ274" s="265"/>
      <c r="CA274" s="265"/>
      <c r="CB274" s="265"/>
      <c r="CC274" s="265"/>
      <c r="CD274" s="265"/>
      <c r="CE274" s="265"/>
      <c r="CF274" s="265"/>
      <c r="CG274" s="265"/>
      <c r="CH274" s="265"/>
      <c r="CI274" s="265"/>
      <c r="CJ274" s="265"/>
      <c r="CK274" s="265"/>
      <c r="CL274" s="265"/>
      <c r="CM274" s="265"/>
      <c r="CN274" s="265"/>
      <c r="CO274" s="265"/>
      <c r="CP274" s="265"/>
      <c r="CQ274" s="265"/>
      <c r="CR274" s="265"/>
      <c r="CS274" s="265"/>
      <c r="CT274" s="265"/>
      <c r="CU274" s="265"/>
      <c r="CV274" s="265"/>
      <c r="CW274" s="265"/>
      <c r="CX274" s="265"/>
      <c r="CY274" s="265"/>
      <c r="CZ274" s="268"/>
    </row>
    <row r="275" spans="1:104" hidden="1" outlineLevel="1">
      <c r="A275" s="265"/>
      <c r="B275" s="1000" t="s">
        <v>744</v>
      </c>
      <c r="C275" s="116"/>
      <c r="D275" s="1048"/>
      <c r="E275" s="265"/>
      <c r="F275" s="265"/>
      <c r="G275" s="265"/>
      <c r="H275" s="265"/>
      <c r="I275" s="265"/>
      <c r="J275" s="1000"/>
      <c r="K275" s="265"/>
      <c r="L275" s="265"/>
      <c r="M275" s="265"/>
      <c r="N275" s="265"/>
      <c r="O275" s="1000"/>
      <c r="P275" s="265"/>
      <c r="Q275" s="265"/>
      <c r="R275" s="265"/>
      <c r="S275" s="265"/>
      <c r="T275" s="1000"/>
      <c r="U275" s="265"/>
      <c r="V275" s="265"/>
      <c r="W275" s="265"/>
      <c r="X275" s="265"/>
      <c r="Y275" s="1000"/>
      <c r="Z275" s="265"/>
      <c r="AA275" s="265"/>
      <c r="AB275" s="265"/>
      <c r="AC275" s="265"/>
      <c r="AD275" s="1047"/>
      <c r="AE275" s="265"/>
      <c r="AF275" s="265"/>
      <c r="AG275" s="265"/>
      <c r="AH275" s="265"/>
      <c r="AI275" s="1047"/>
      <c r="AJ275" s="265"/>
      <c r="AK275" s="265"/>
      <c r="AL275" s="265"/>
      <c r="AM275" s="265"/>
      <c r="AN275" s="1047"/>
      <c r="AO275" s="1000"/>
      <c r="AP275" s="1000"/>
      <c r="AQ275" s="1000"/>
      <c r="AR275" s="1000"/>
      <c r="AS275" s="1049"/>
      <c r="AT275" s="265"/>
      <c r="AU275" s="265"/>
      <c r="AV275" s="265"/>
      <c r="AW275" s="265"/>
      <c r="AX275" s="1049"/>
      <c r="AY275" s="265"/>
      <c r="AZ275" s="265"/>
      <c r="BA275" s="265"/>
      <c r="BB275" s="265"/>
      <c r="BC275" s="1049"/>
      <c r="BD275" s="265"/>
      <c r="BE275" s="265"/>
      <c r="BF275" s="265"/>
      <c r="BG275" s="265"/>
      <c r="BH275" s="265"/>
      <c r="BI275" s="1049"/>
      <c r="BJ275" s="1049"/>
      <c r="BK275" s="1049"/>
      <c r="BL275" s="1049"/>
      <c r="BM275" s="1049"/>
      <c r="BN275" s="265"/>
      <c r="BO275" s="265"/>
      <c r="BP275" s="265"/>
      <c r="BQ275" s="265"/>
      <c r="BR275" s="265"/>
      <c r="BS275" s="265"/>
      <c r="BT275" s="265"/>
      <c r="BU275" s="265"/>
      <c r="BV275" s="265"/>
      <c r="BW275" s="265"/>
      <c r="BX275" s="265"/>
      <c r="BY275" s="265"/>
      <c r="BZ275" s="265"/>
      <c r="CA275" s="265"/>
      <c r="CB275" s="265"/>
      <c r="CC275" s="265"/>
      <c r="CD275" s="265"/>
      <c r="CE275" s="265"/>
      <c r="CF275" s="265"/>
      <c r="CG275" s="265"/>
      <c r="CH275" s="265"/>
      <c r="CI275" s="265"/>
      <c r="CJ275" s="265"/>
      <c r="CK275" s="265"/>
      <c r="CL275" s="265"/>
      <c r="CM275" s="265"/>
      <c r="CN275" s="265"/>
      <c r="CO275" s="265"/>
      <c r="CP275" s="265"/>
      <c r="CQ275" s="265"/>
      <c r="CR275" s="265"/>
      <c r="CS275" s="265"/>
      <c r="CT275" s="265"/>
      <c r="CU275" s="265"/>
      <c r="CV275" s="265"/>
      <c r="CW275" s="265"/>
      <c r="CX275" s="265"/>
      <c r="CY275" s="265"/>
      <c r="CZ275" s="268"/>
    </row>
    <row r="276" spans="1:104" hidden="1" outlineLevel="1">
      <c r="A276" s="265"/>
      <c r="B276" s="265"/>
      <c r="C276" s="116"/>
      <c r="D276" s="1048"/>
      <c r="E276" s="265"/>
      <c r="F276" s="265"/>
      <c r="G276" s="265"/>
      <c r="H276" s="265"/>
      <c r="I276" s="265"/>
      <c r="J276" s="1000"/>
      <c r="K276" s="265"/>
      <c r="L276" s="265"/>
      <c r="M276" s="265"/>
      <c r="N276" s="265"/>
      <c r="O276" s="1000"/>
      <c r="P276" s="265"/>
      <c r="Q276" s="265"/>
      <c r="R276" s="265"/>
      <c r="S276" s="265"/>
      <c r="T276" s="1000"/>
      <c r="U276" s="265"/>
      <c r="V276" s="265"/>
      <c r="W276" s="265"/>
      <c r="X276" s="265"/>
      <c r="Y276" s="1000"/>
      <c r="Z276" s="265"/>
      <c r="AA276" s="265"/>
      <c r="AB276" s="265"/>
      <c r="AC276" s="265"/>
      <c r="AD276" s="1047"/>
      <c r="AE276" s="265"/>
      <c r="AF276" s="265"/>
      <c r="AG276" s="265"/>
      <c r="AH276" s="265"/>
      <c r="AI276" s="1047"/>
      <c r="AJ276" s="265"/>
      <c r="AK276" s="265"/>
      <c r="AL276" s="265"/>
      <c r="AM276" s="265"/>
      <c r="AN276" s="1047"/>
      <c r="AO276" s="1000"/>
      <c r="AP276" s="1000"/>
      <c r="AQ276" s="1000"/>
      <c r="AR276" s="1000"/>
      <c r="AS276" s="1049"/>
      <c r="AT276" s="265"/>
      <c r="AU276" s="265"/>
      <c r="AV276" s="265"/>
      <c r="AW276" s="265"/>
      <c r="AX276" s="1049"/>
      <c r="AY276" s="265"/>
      <c r="AZ276" s="265"/>
      <c r="BA276" s="265"/>
      <c r="BB276" s="265"/>
      <c r="BC276" s="1049"/>
      <c r="BD276" s="265"/>
      <c r="BE276" s="265"/>
      <c r="BF276" s="265"/>
      <c r="BG276" s="265"/>
      <c r="BH276" s="265"/>
      <c r="BI276" s="1049"/>
      <c r="BJ276" s="1049"/>
      <c r="BK276" s="1049"/>
      <c r="BL276" s="1049"/>
      <c r="BM276" s="1049"/>
      <c r="BN276" s="265"/>
      <c r="BO276" s="265"/>
      <c r="BP276" s="265"/>
      <c r="BQ276" s="265"/>
      <c r="BR276" s="265"/>
      <c r="BS276" s="265"/>
      <c r="BT276" s="265"/>
      <c r="BU276" s="265"/>
      <c r="BV276" s="265"/>
      <c r="BW276" s="265"/>
      <c r="BX276" s="265"/>
      <c r="BY276" s="265"/>
      <c r="BZ276" s="265"/>
      <c r="CA276" s="265"/>
      <c r="CB276" s="265"/>
      <c r="CC276" s="265"/>
      <c r="CD276" s="265"/>
      <c r="CE276" s="265"/>
      <c r="CF276" s="265"/>
      <c r="CG276" s="265"/>
      <c r="CH276" s="265"/>
      <c r="CI276" s="265"/>
      <c r="CJ276" s="265"/>
      <c r="CK276" s="265"/>
      <c r="CL276" s="265"/>
      <c r="CM276" s="265"/>
      <c r="CN276" s="265"/>
      <c r="CO276" s="265"/>
      <c r="CP276" s="265"/>
      <c r="CQ276" s="265"/>
      <c r="CR276" s="265"/>
      <c r="CS276" s="265"/>
      <c r="CT276" s="265"/>
      <c r="CU276" s="265"/>
      <c r="CV276" s="265"/>
      <c r="CW276" s="265"/>
      <c r="CX276" s="265"/>
      <c r="CY276" s="265"/>
      <c r="CZ276" s="268"/>
    </row>
    <row r="277" spans="1:104" hidden="1" outlineLevel="1">
      <c r="A277" s="265"/>
      <c r="B277" s="1000" t="s">
        <v>743</v>
      </c>
      <c r="C277" s="116"/>
      <c r="D277" s="1048"/>
      <c r="E277" s="265"/>
      <c r="F277" s="265"/>
      <c r="G277" s="265"/>
      <c r="H277" s="265"/>
      <c r="I277" s="265"/>
      <c r="J277" s="1000"/>
      <c r="K277" s="265"/>
      <c r="L277" s="265"/>
      <c r="M277" s="265"/>
      <c r="N277" s="265"/>
      <c r="O277" s="1000"/>
      <c r="P277" s="265"/>
      <c r="Q277" s="265"/>
      <c r="R277" s="265"/>
      <c r="S277" s="265"/>
      <c r="T277" s="1000"/>
      <c r="U277" s="265"/>
      <c r="V277" s="265"/>
      <c r="W277" s="265"/>
      <c r="X277" s="265"/>
      <c r="Y277" s="1000"/>
      <c r="Z277" s="265"/>
      <c r="AA277" s="265"/>
      <c r="AB277" s="265"/>
      <c r="AC277" s="265"/>
      <c r="AD277" s="1047"/>
      <c r="AE277" s="265"/>
      <c r="AF277" s="265"/>
      <c r="AG277" s="265"/>
      <c r="AH277" s="265"/>
      <c r="AI277" s="1047"/>
      <c r="AJ277" s="265"/>
      <c r="AK277" s="265"/>
      <c r="AL277" s="265"/>
      <c r="AM277" s="265"/>
      <c r="AN277" s="1047"/>
      <c r="AO277" s="1000"/>
      <c r="AP277" s="1000"/>
      <c r="AQ277" s="1000"/>
      <c r="AR277" s="1000"/>
      <c r="AS277" s="1049"/>
      <c r="AT277" s="265"/>
      <c r="AU277" s="265"/>
      <c r="AV277" s="265"/>
      <c r="AW277" s="265"/>
      <c r="AX277" s="1049"/>
      <c r="AY277" s="265"/>
      <c r="AZ277" s="265"/>
      <c r="BA277" s="265"/>
      <c r="BB277" s="265"/>
      <c r="BC277" s="1050" t="s">
        <v>742</v>
      </c>
      <c r="BD277" s="265"/>
      <c r="BE277" s="265"/>
      <c r="BF277" s="265"/>
      <c r="BG277" s="265"/>
      <c r="BH277" s="265"/>
      <c r="BI277" s="1049"/>
      <c r="BJ277" s="1049"/>
      <c r="BK277" s="1049"/>
      <c r="BL277" s="1049"/>
      <c r="BM277" s="1049"/>
      <c r="BN277" s="265"/>
      <c r="BO277" s="265"/>
      <c r="BP277" s="265"/>
      <c r="BQ277" s="265"/>
      <c r="BR277" s="265"/>
      <c r="BS277" s="265"/>
      <c r="BT277" s="265"/>
      <c r="BU277" s="265"/>
      <c r="BV277" s="265"/>
      <c r="BW277" s="265"/>
      <c r="BX277" s="265"/>
      <c r="BY277" s="265"/>
      <c r="BZ277" s="265"/>
      <c r="CA277" s="265"/>
      <c r="CB277" s="265"/>
      <c r="CC277" s="265"/>
      <c r="CD277" s="265"/>
      <c r="CE277" s="265"/>
      <c r="CF277" s="265"/>
      <c r="CG277" s="265"/>
      <c r="CH277" s="265"/>
      <c r="CI277" s="265"/>
      <c r="CJ277" s="265"/>
      <c r="CK277" s="265"/>
      <c r="CL277" s="265"/>
      <c r="CM277" s="265"/>
      <c r="CN277" s="265"/>
      <c r="CO277" s="265"/>
      <c r="CP277" s="265"/>
      <c r="CQ277" s="265"/>
      <c r="CR277" s="265"/>
      <c r="CS277" s="265"/>
      <c r="CT277" s="265"/>
      <c r="CU277" s="265"/>
      <c r="CV277" s="265"/>
      <c r="CW277" s="265"/>
      <c r="CX277" s="265"/>
      <c r="CY277" s="265"/>
      <c r="CZ277" s="268"/>
    </row>
    <row r="278" spans="1:104" hidden="1" outlineLevel="1">
      <c r="A278" s="265"/>
      <c r="B278" s="265" t="s">
        <v>309</v>
      </c>
      <c r="C278" s="116"/>
      <c r="D278" s="1048"/>
      <c r="E278" s="265"/>
      <c r="F278" s="265"/>
      <c r="G278" s="265"/>
      <c r="H278" s="265"/>
      <c r="I278" s="265"/>
      <c r="J278" s="1000"/>
      <c r="K278" s="265"/>
      <c r="L278" s="265"/>
      <c r="M278" s="265"/>
      <c r="N278" s="265"/>
      <c r="O278" s="1000"/>
      <c r="P278" s="265"/>
      <c r="Q278" s="265"/>
      <c r="R278" s="265"/>
      <c r="S278" s="265"/>
      <c r="T278" s="1000"/>
      <c r="U278" s="265"/>
      <c r="V278" s="265"/>
      <c r="W278" s="265"/>
      <c r="X278" s="265"/>
      <c r="Y278" s="1000"/>
      <c r="Z278" s="265"/>
      <c r="AA278" s="265"/>
      <c r="AB278" s="265"/>
      <c r="AC278" s="265"/>
      <c r="AD278" s="1047"/>
      <c r="AE278" s="265"/>
      <c r="AF278" s="265"/>
      <c r="AG278" s="265"/>
      <c r="AH278" s="265"/>
      <c r="AI278" s="1047"/>
      <c r="AJ278" s="265"/>
      <c r="AK278" s="265"/>
      <c r="AL278" s="265"/>
      <c r="AM278" s="265"/>
      <c r="AN278" s="1047"/>
      <c r="AO278" s="1000"/>
      <c r="AP278" s="1000"/>
      <c r="AQ278" s="1000"/>
      <c r="AR278" s="1000"/>
      <c r="AS278" s="1049"/>
      <c r="AT278" s="265"/>
      <c r="AU278" s="265"/>
      <c r="AV278" s="265"/>
      <c r="AW278" s="265"/>
      <c r="AX278" s="1049"/>
      <c r="AY278" s="265"/>
      <c r="AZ278" s="265"/>
      <c r="BA278" s="265"/>
      <c r="BB278" s="265"/>
      <c r="BC278" s="1050" t="s">
        <v>741</v>
      </c>
      <c r="BD278" s="265"/>
      <c r="BE278" s="265"/>
      <c r="BF278" s="265"/>
      <c r="BG278" s="265"/>
      <c r="BH278" s="265"/>
      <c r="BI278" s="1049"/>
      <c r="BJ278" s="1049"/>
      <c r="BK278" s="1049"/>
      <c r="BL278" s="1049"/>
      <c r="BM278" s="1049"/>
      <c r="BN278" s="265"/>
      <c r="BO278" s="265"/>
      <c r="BP278" s="265"/>
      <c r="BQ278" s="265"/>
      <c r="BR278" s="265"/>
      <c r="BS278" s="265"/>
      <c r="BT278" s="265"/>
      <c r="BU278" s="265"/>
      <c r="BV278" s="265"/>
      <c r="BW278" s="265"/>
      <c r="BX278" s="265"/>
      <c r="BY278" s="265"/>
      <c r="BZ278" s="265"/>
      <c r="CA278" s="265"/>
      <c r="CB278" s="265"/>
      <c r="CC278" s="265"/>
      <c r="CD278" s="265"/>
      <c r="CE278" s="265"/>
      <c r="CF278" s="265"/>
      <c r="CG278" s="265"/>
      <c r="CH278" s="265"/>
      <c r="CI278" s="265"/>
      <c r="CJ278" s="265"/>
      <c r="CK278" s="265"/>
      <c r="CL278" s="265"/>
      <c r="CM278" s="265"/>
      <c r="CN278" s="265"/>
      <c r="CO278" s="265"/>
      <c r="CP278" s="265"/>
      <c r="CQ278" s="265"/>
      <c r="CR278" s="265"/>
      <c r="CS278" s="265"/>
      <c r="CT278" s="265"/>
      <c r="CU278" s="265"/>
      <c r="CV278" s="265"/>
      <c r="CW278" s="265"/>
      <c r="CX278" s="265"/>
      <c r="CY278" s="265"/>
      <c r="CZ278" s="268"/>
    </row>
    <row r="279" spans="1:104" hidden="1" outlineLevel="1">
      <c r="A279" s="265"/>
      <c r="B279" s="265" t="s">
        <v>167</v>
      </c>
      <c r="C279" s="116"/>
      <c r="D279" s="1048"/>
      <c r="E279" s="265"/>
      <c r="F279" s="265"/>
      <c r="G279" s="265"/>
      <c r="H279" s="265"/>
      <c r="I279" s="265"/>
      <c r="J279" s="1000"/>
      <c r="K279" s="265"/>
      <c r="L279" s="265"/>
      <c r="M279" s="265"/>
      <c r="N279" s="265"/>
      <c r="O279" s="1000"/>
      <c r="P279" s="265"/>
      <c r="Q279" s="265"/>
      <c r="R279" s="265"/>
      <c r="S279" s="265"/>
      <c r="T279" s="1000"/>
      <c r="U279" s="265"/>
      <c r="V279" s="265"/>
      <c r="W279" s="265"/>
      <c r="X279" s="265"/>
      <c r="Y279" s="1000"/>
      <c r="Z279" s="265"/>
      <c r="AA279" s="265"/>
      <c r="AB279" s="265"/>
      <c r="AC279" s="265"/>
      <c r="AD279" s="1047"/>
      <c r="AE279" s="265"/>
      <c r="AF279" s="265"/>
      <c r="AG279" s="265"/>
      <c r="AH279" s="265"/>
      <c r="AI279" s="1047"/>
      <c r="AJ279" s="265"/>
      <c r="AK279" s="265"/>
      <c r="AL279" s="265"/>
      <c r="AM279" s="265"/>
      <c r="AN279" s="1047"/>
      <c r="AO279" s="1000"/>
      <c r="AP279" s="1000"/>
      <c r="AQ279" s="1000"/>
      <c r="AR279" s="1000"/>
      <c r="AS279" s="1049"/>
      <c r="AT279" s="265"/>
      <c r="AU279" s="265"/>
      <c r="AV279" s="265"/>
      <c r="AW279" s="265"/>
      <c r="AX279" s="1049"/>
      <c r="AY279" s="265"/>
      <c r="AZ279" s="265"/>
      <c r="BA279" s="265"/>
      <c r="BB279" s="265"/>
      <c r="BC279" s="1050" t="s">
        <v>740</v>
      </c>
      <c r="BD279" s="265"/>
      <c r="BE279" s="265"/>
      <c r="BF279" s="265"/>
      <c r="BG279" s="265"/>
      <c r="BH279" s="265"/>
      <c r="BI279" s="1049"/>
      <c r="BJ279" s="1049"/>
      <c r="BK279" s="1049"/>
      <c r="BL279" s="1049"/>
      <c r="BM279" s="1049"/>
      <c r="BN279" s="265"/>
      <c r="BO279" s="265"/>
      <c r="BP279" s="265"/>
      <c r="BQ279" s="265"/>
      <c r="BR279" s="265"/>
      <c r="BS279" s="265"/>
      <c r="BT279" s="265"/>
      <c r="BU279" s="265"/>
      <c r="BV279" s="265"/>
      <c r="BW279" s="265"/>
      <c r="BX279" s="265"/>
      <c r="BY279" s="265"/>
      <c r="BZ279" s="265"/>
      <c r="CA279" s="265"/>
      <c r="CB279" s="265"/>
      <c r="CC279" s="265"/>
      <c r="CD279" s="265"/>
      <c r="CE279" s="265"/>
      <c r="CF279" s="265"/>
      <c r="CG279" s="265"/>
      <c r="CH279" s="265"/>
      <c r="CI279" s="265"/>
      <c r="CJ279" s="265"/>
      <c r="CK279" s="265"/>
      <c r="CL279" s="265"/>
      <c r="CM279" s="265"/>
      <c r="CN279" s="265"/>
      <c r="CO279" s="265"/>
      <c r="CP279" s="265"/>
      <c r="CQ279" s="265"/>
      <c r="CR279" s="265"/>
      <c r="CS279" s="265"/>
      <c r="CT279" s="265"/>
      <c r="CU279" s="265"/>
      <c r="CV279" s="265"/>
      <c r="CW279" s="265"/>
      <c r="CX279" s="265"/>
      <c r="CY279" s="265"/>
      <c r="CZ279" s="268"/>
    </row>
    <row r="280" spans="1:104" hidden="1" outlineLevel="1">
      <c r="A280" s="265"/>
      <c r="B280" s="265" t="s">
        <v>720</v>
      </c>
      <c r="C280" s="116"/>
      <c r="D280" s="1048"/>
      <c r="E280" s="265"/>
      <c r="F280" s="265"/>
      <c r="G280" s="265"/>
      <c r="H280" s="265"/>
      <c r="I280" s="265"/>
      <c r="J280" s="1000"/>
      <c r="K280" s="265"/>
      <c r="L280" s="265"/>
      <c r="M280" s="265"/>
      <c r="N280" s="265"/>
      <c r="O280" s="1000"/>
      <c r="P280" s="265"/>
      <c r="Q280" s="265"/>
      <c r="R280" s="265"/>
      <c r="S280" s="265"/>
      <c r="T280" s="1000"/>
      <c r="U280" s="265"/>
      <c r="V280" s="265"/>
      <c r="W280" s="265"/>
      <c r="X280" s="265"/>
      <c r="Y280" s="1000"/>
      <c r="Z280" s="265"/>
      <c r="AA280" s="265"/>
      <c r="AB280" s="265"/>
      <c r="AC280" s="265"/>
      <c r="AD280" s="1047"/>
      <c r="AE280" s="265"/>
      <c r="AF280" s="265"/>
      <c r="AG280" s="265"/>
      <c r="AH280" s="265"/>
      <c r="AI280" s="1047"/>
      <c r="AJ280" s="265"/>
      <c r="AK280" s="265"/>
      <c r="AL280" s="265"/>
      <c r="AM280" s="265"/>
      <c r="AN280" s="1047"/>
      <c r="AO280" s="1000"/>
      <c r="AP280" s="1000"/>
      <c r="AQ280" s="1000"/>
      <c r="AR280" s="1000"/>
      <c r="AS280" s="1049"/>
      <c r="AT280" s="265"/>
      <c r="AU280" s="265"/>
      <c r="AV280" s="265"/>
      <c r="AW280" s="265"/>
      <c r="AX280" s="1049"/>
      <c r="AY280" s="265"/>
      <c r="AZ280" s="265"/>
      <c r="BA280" s="265"/>
      <c r="BB280" s="265"/>
      <c r="BC280" s="1050" t="s">
        <v>739</v>
      </c>
      <c r="BD280" s="265"/>
      <c r="BE280" s="265"/>
      <c r="BF280" s="265"/>
      <c r="BG280" s="265"/>
      <c r="BH280" s="265"/>
      <c r="BI280" s="1049"/>
      <c r="BJ280" s="1049"/>
      <c r="BK280" s="1049"/>
      <c r="BL280" s="1049"/>
      <c r="BM280" s="1049"/>
      <c r="BN280" s="265"/>
      <c r="BO280" s="265"/>
      <c r="BP280" s="265"/>
      <c r="BQ280" s="265"/>
      <c r="BR280" s="265"/>
      <c r="BS280" s="265"/>
      <c r="BT280" s="265"/>
      <c r="BU280" s="265"/>
      <c r="BV280" s="265"/>
      <c r="BW280" s="265"/>
      <c r="BX280" s="265"/>
      <c r="BY280" s="265"/>
      <c r="BZ280" s="265"/>
      <c r="CA280" s="265"/>
      <c r="CB280" s="265"/>
      <c r="CC280" s="265"/>
      <c r="CD280" s="265"/>
      <c r="CE280" s="265"/>
      <c r="CF280" s="265"/>
      <c r="CG280" s="265"/>
      <c r="CH280" s="265"/>
      <c r="CI280" s="265"/>
      <c r="CJ280" s="265"/>
      <c r="CK280" s="265"/>
      <c r="CL280" s="265"/>
      <c r="CM280" s="265"/>
      <c r="CN280" s="265"/>
      <c r="CO280" s="265"/>
      <c r="CP280" s="265"/>
      <c r="CQ280" s="265"/>
      <c r="CR280" s="265"/>
      <c r="CS280" s="265"/>
      <c r="CT280" s="265"/>
      <c r="CU280" s="265"/>
      <c r="CV280" s="265"/>
      <c r="CW280" s="265"/>
      <c r="CX280" s="265"/>
      <c r="CY280" s="265"/>
      <c r="CZ280" s="268"/>
    </row>
    <row r="281" spans="1:104" hidden="1" outlineLevel="1">
      <c r="A281" s="265"/>
      <c r="B281" s="265" t="s">
        <v>165</v>
      </c>
      <c r="C281" s="116"/>
      <c r="D281" s="1048"/>
      <c r="E281" s="265"/>
      <c r="F281" s="265"/>
      <c r="G281" s="265"/>
      <c r="H281" s="265"/>
      <c r="I281" s="265"/>
      <c r="J281" s="1000"/>
      <c r="K281" s="265"/>
      <c r="L281" s="265"/>
      <c r="M281" s="265"/>
      <c r="N281" s="265"/>
      <c r="O281" s="1000"/>
      <c r="P281" s="265"/>
      <c r="Q281" s="265"/>
      <c r="R281" s="265"/>
      <c r="S281" s="265"/>
      <c r="T281" s="1000"/>
      <c r="U281" s="265"/>
      <c r="V281" s="265"/>
      <c r="W281" s="265"/>
      <c r="X281" s="265"/>
      <c r="Y281" s="1000"/>
      <c r="Z281" s="265"/>
      <c r="AA281" s="265"/>
      <c r="AB281" s="265"/>
      <c r="AC281" s="265"/>
      <c r="AD281" s="1047"/>
      <c r="AE281" s="265"/>
      <c r="AF281" s="265"/>
      <c r="AG281" s="265"/>
      <c r="AH281" s="265"/>
      <c r="AI281" s="1047"/>
      <c r="AJ281" s="265"/>
      <c r="AK281" s="265"/>
      <c r="AL281" s="265"/>
      <c r="AM281" s="265"/>
      <c r="AN281" s="1047"/>
      <c r="AO281" s="1000"/>
      <c r="AP281" s="1000"/>
      <c r="AQ281" s="1000"/>
      <c r="AR281" s="1000"/>
      <c r="AS281" s="1049"/>
      <c r="AT281" s="265"/>
      <c r="AU281" s="265"/>
      <c r="AV281" s="265"/>
      <c r="AW281" s="265"/>
      <c r="AX281" s="1049"/>
      <c r="AY281" s="265"/>
      <c r="AZ281" s="265"/>
      <c r="BA281" s="265"/>
      <c r="BB281" s="265"/>
      <c r="BC281" s="1050" t="s">
        <v>738</v>
      </c>
      <c r="BD281" s="265"/>
      <c r="BE281" s="265"/>
      <c r="BF281" s="265"/>
      <c r="BG281" s="265"/>
      <c r="BH281" s="265"/>
      <c r="BI281" s="1049"/>
      <c r="BJ281" s="1049"/>
      <c r="BK281" s="1049"/>
      <c r="BL281" s="1049"/>
      <c r="BM281" s="1049"/>
      <c r="BN281" s="265"/>
      <c r="BO281" s="265"/>
      <c r="BP281" s="265"/>
      <c r="BQ281" s="265"/>
      <c r="BR281" s="265"/>
      <c r="BS281" s="265"/>
      <c r="BT281" s="265"/>
      <c r="BU281" s="265"/>
      <c r="BV281" s="265"/>
      <c r="BW281" s="265"/>
      <c r="BX281" s="265"/>
      <c r="BY281" s="265"/>
      <c r="BZ281" s="265"/>
      <c r="CA281" s="265"/>
      <c r="CB281" s="265"/>
      <c r="CC281" s="265"/>
      <c r="CD281" s="265"/>
      <c r="CE281" s="265"/>
      <c r="CF281" s="265"/>
      <c r="CG281" s="265"/>
      <c r="CH281" s="265"/>
      <c r="CI281" s="265"/>
      <c r="CJ281" s="265"/>
      <c r="CK281" s="265"/>
      <c r="CL281" s="265"/>
      <c r="CM281" s="265"/>
      <c r="CN281" s="265"/>
      <c r="CO281" s="265"/>
      <c r="CP281" s="265"/>
      <c r="CQ281" s="265"/>
      <c r="CR281" s="265"/>
      <c r="CS281" s="265"/>
      <c r="CT281" s="265"/>
      <c r="CU281" s="265"/>
      <c r="CV281" s="265"/>
      <c r="CW281" s="265"/>
      <c r="CX281" s="265"/>
      <c r="CY281" s="265"/>
      <c r="CZ281" s="268"/>
    </row>
    <row r="282" spans="1:104" hidden="1" outlineLevel="1">
      <c r="A282" s="265"/>
      <c r="B282" s="265" t="s">
        <v>717</v>
      </c>
      <c r="C282" s="116"/>
      <c r="D282" s="1048"/>
      <c r="E282" s="265"/>
      <c r="F282" s="265"/>
      <c r="G282" s="265"/>
      <c r="H282" s="265"/>
      <c r="I282" s="265"/>
      <c r="J282" s="1000"/>
      <c r="K282" s="265"/>
      <c r="L282" s="265"/>
      <c r="M282" s="265"/>
      <c r="N282" s="265"/>
      <c r="O282" s="1000"/>
      <c r="P282" s="265"/>
      <c r="Q282" s="265"/>
      <c r="R282" s="265"/>
      <c r="S282" s="265"/>
      <c r="T282" s="1000"/>
      <c r="U282" s="265"/>
      <c r="V282" s="265"/>
      <c r="W282" s="265"/>
      <c r="X282" s="265"/>
      <c r="Y282" s="1000"/>
      <c r="Z282" s="265"/>
      <c r="AA282" s="265"/>
      <c r="AB282" s="265"/>
      <c r="AC282" s="265"/>
      <c r="AD282" s="1047"/>
      <c r="AE282" s="265"/>
      <c r="AF282" s="265"/>
      <c r="AG282" s="265"/>
      <c r="AH282" s="265"/>
      <c r="AI282" s="1047"/>
      <c r="AJ282" s="265"/>
      <c r="AK282" s="265"/>
      <c r="AL282" s="265"/>
      <c r="AM282" s="265"/>
      <c r="AN282" s="1047"/>
      <c r="AO282" s="1000"/>
      <c r="AP282" s="1000"/>
      <c r="AQ282" s="1000"/>
      <c r="AR282" s="1000"/>
      <c r="AS282" s="1049"/>
      <c r="AT282" s="265"/>
      <c r="AU282" s="265"/>
      <c r="AV282" s="265"/>
      <c r="AW282" s="265"/>
      <c r="AX282" s="1049"/>
      <c r="AY282" s="265"/>
      <c r="AZ282" s="265"/>
      <c r="BA282" s="265"/>
      <c r="BB282" s="265"/>
      <c r="BC282" s="1050" t="s">
        <v>737</v>
      </c>
      <c r="BD282" s="265"/>
      <c r="BE282" s="265"/>
      <c r="BF282" s="265"/>
      <c r="BG282" s="265"/>
      <c r="BH282" s="265"/>
      <c r="BI282" s="1049"/>
      <c r="BJ282" s="1049"/>
      <c r="BK282" s="1049"/>
      <c r="BL282" s="1049"/>
      <c r="BM282" s="1049"/>
      <c r="BN282" s="265"/>
      <c r="BO282" s="265"/>
      <c r="BP282" s="265"/>
      <c r="BQ282" s="265"/>
      <c r="BR282" s="265"/>
      <c r="BS282" s="265"/>
      <c r="BT282" s="265"/>
      <c r="BU282" s="265"/>
      <c r="BV282" s="265"/>
      <c r="BW282" s="265"/>
      <c r="BX282" s="265"/>
      <c r="BY282" s="265"/>
      <c r="BZ282" s="265"/>
      <c r="CA282" s="265"/>
      <c r="CB282" s="265"/>
      <c r="CC282" s="265"/>
      <c r="CD282" s="265"/>
      <c r="CE282" s="265"/>
      <c r="CF282" s="265"/>
      <c r="CG282" s="265"/>
      <c r="CH282" s="265"/>
      <c r="CI282" s="265"/>
      <c r="CJ282" s="265"/>
      <c r="CK282" s="265"/>
      <c r="CL282" s="265"/>
      <c r="CM282" s="265"/>
      <c r="CN282" s="265"/>
      <c r="CO282" s="265"/>
      <c r="CP282" s="265"/>
      <c r="CQ282" s="265"/>
      <c r="CR282" s="265"/>
      <c r="CS282" s="265"/>
      <c r="CT282" s="265"/>
      <c r="CU282" s="265"/>
      <c r="CV282" s="265"/>
      <c r="CW282" s="265"/>
      <c r="CX282" s="265"/>
      <c r="CY282" s="265"/>
      <c r="CZ282" s="268"/>
    </row>
    <row r="283" spans="1:104" hidden="1" outlineLevel="1">
      <c r="A283" s="265"/>
      <c r="B283" s="265" t="s">
        <v>163</v>
      </c>
      <c r="C283" s="116"/>
      <c r="D283" s="1048"/>
      <c r="E283" s="265"/>
      <c r="F283" s="265"/>
      <c r="G283" s="265"/>
      <c r="H283" s="265"/>
      <c r="I283" s="265"/>
      <c r="J283" s="1000"/>
      <c r="K283" s="265"/>
      <c r="L283" s="265"/>
      <c r="M283" s="265"/>
      <c r="N283" s="265"/>
      <c r="O283" s="1000"/>
      <c r="P283" s="265"/>
      <c r="Q283" s="265"/>
      <c r="R283" s="265"/>
      <c r="S283" s="265"/>
      <c r="T283" s="1000"/>
      <c r="U283" s="265"/>
      <c r="V283" s="265"/>
      <c r="W283" s="265"/>
      <c r="X283" s="265"/>
      <c r="Y283" s="1000"/>
      <c r="Z283" s="265"/>
      <c r="AA283" s="265"/>
      <c r="AB283" s="265"/>
      <c r="AC283" s="265"/>
      <c r="AD283" s="1047"/>
      <c r="AE283" s="265"/>
      <c r="AF283" s="265"/>
      <c r="AG283" s="265"/>
      <c r="AH283" s="265"/>
      <c r="AI283" s="1047"/>
      <c r="AJ283" s="265"/>
      <c r="AK283" s="265"/>
      <c r="AL283" s="265"/>
      <c r="AM283" s="265"/>
      <c r="AN283" s="1047"/>
      <c r="AO283" s="1000"/>
      <c r="AP283" s="1000"/>
      <c r="AQ283" s="1000"/>
      <c r="AR283" s="1000"/>
      <c r="AS283" s="1049"/>
      <c r="AT283" s="265"/>
      <c r="AU283" s="265"/>
      <c r="AV283" s="265"/>
      <c r="AW283" s="265"/>
      <c r="AX283" s="1049"/>
      <c r="AY283" s="265"/>
      <c r="AZ283" s="265"/>
      <c r="BA283" s="265"/>
      <c r="BB283" s="265"/>
      <c r="BC283" s="1050" t="s">
        <v>736</v>
      </c>
      <c r="BD283" s="265"/>
      <c r="BE283" s="265"/>
      <c r="BF283" s="265"/>
      <c r="BG283" s="265"/>
      <c r="BH283" s="265"/>
      <c r="BI283" s="1049"/>
      <c r="BJ283" s="1049"/>
      <c r="BK283" s="1049"/>
      <c r="BL283" s="1049"/>
      <c r="BM283" s="1049"/>
      <c r="BN283" s="265"/>
      <c r="BO283" s="265"/>
      <c r="BP283" s="265"/>
      <c r="BQ283" s="265"/>
      <c r="BR283" s="265"/>
      <c r="BS283" s="265"/>
      <c r="BT283" s="265"/>
      <c r="BU283" s="265"/>
      <c r="BV283" s="265"/>
      <c r="BW283" s="265"/>
      <c r="BX283" s="265"/>
      <c r="BY283" s="265"/>
      <c r="BZ283" s="265"/>
      <c r="CA283" s="265"/>
      <c r="CB283" s="265"/>
      <c r="CC283" s="265"/>
      <c r="CD283" s="265"/>
      <c r="CE283" s="265"/>
      <c r="CF283" s="265"/>
      <c r="CG283" s="265"/>
      <c r="CH283" s="265"/>
      <c r="CI283" s="265"/>
      <c r="CJ283" s="265"/>
      <c r="CK283" s="265"/>
      <c r="CL283" s="265"/>
      <c r="CM283" s="265"/>
      <c r="CN283" s="265"/>
      <c r="CO283" s="265"/>
      <c r="CP283" s="265"/>
      <c r="CQ283" s="265"/>
      <c r="CR283" s="265"/>
      <c r="CS283" s="265"/>
      <c r="CT283" s="265"/>
      <c r="CU283" s="265"/>
      <c r="CV283" s="265"/>
      <c r="CW283" s="265"/>
      <c r="CX283" s="265"/>
      <c r="CY283" s="265"/>
      <c r="CZ283" s="268"/>
    </row>
    <row r="284" spans="1:104" hidden="1" outlineLevel="1">
      <c r="A284" s="265"/>
      <c r="B284" s="265"/>
      <c r="C284" s="116"/>
      <c r="D284" s="1048"/>
      <c r="E284" s="265"/>
      <c r="F284" s="265"/>
      <c r="G284" s="265"/>
      <c r="H284" s="265"/>
      <c r="I284" s="265"/>
      <c r="J284" s="1000"/>
      <c r="K284" s="265"/>
      <c r="L284" s="265"/>
      <c r="M284" s="265"/>
      <c r="N284" s="265"/>
      <c r="O284" s="1000"/>
      <c r="P284" s="265"/>
      <c r="Q284" s="265"/>
      <c r="R284" s="265"/>
      <c r="S284" s="265"/>
      <c r="T284" s="1000"/>
      <c r="U284" s="265"/>
      <c r="V284" s="265"/>
      <c r="W284" s="265"/>
      <c r="X284" s="265"/>
      <c r="Y284" s="1000"/>
      <c r="Z284" s="265"/>
      <c r="AA284" s="265"/>
      <c r="AB284" s="265"/>
      <c r="AC284" s="265"/>
      <c r="AD284" s="1047"/>
      <c r="AE284" s="265"/>
      <c r="AF284" s="265"/>
      <c r="AG284" s="265"/>
      <c r="AH284" s="265"/>
      <c r="AI284" s="1047"/>
      <c r="AJ284" s="265"/>
      <c r="AK284" s="265"/>
      <c r="AL284" s="265"/>
      <c r="AM284" s="265"/>
      <c r="AN284" s="1047"/>
      <c r="AO284" s="1000"/>
      <c r="AP284" s="1000"/>
      <c r="AQ284" s="1000"/>
      <c r="AR284" s="1000"/>
      <c r="AS284" s="1049"/>
      <c r="AT284" s="265"/>
      <c r="AU284" s="265"/>
      <c r="AV284" s="265"/>
      <c r="AW284" s="265"/>
      <c r="AX284" s="1049"/>
      <c r="AY284" s="265"/>
      <c r="AZ284" s="265"/>
      <c r="BA284" s="265"/>
      <c r="BB284" s="265"/>
      <c r="BC284" s="1050"/>
      <c r="BD284" s="265"/>
      <c r="BE284" s="265"/>
      <c r="BF284" s="265"/>
      <c r="BG284" s="265"/>
      <c r="BH284" s="265"/>
      <c r="BI284" s="1049"/>
      <c r="BJ284" s="1049"/>
      <c r="BK284" s="1049"/>
      <c r="BL284" s="1049"/>
      <c r="BM284" s="1049"/>
      <c r="BN284" s="265"/>
      <c r="BO284" s="265"/>
      <c r="BP284" s="265"/>
      <c r="BQ284" s="265"/>
      <c r="BR284" s="265"/>
      <c r="BS284" s="265"/>
      <c r="BT284" s="265"/>
      <c r="BU284" s="265"/>
      <c r="BV284" s="265"/>
      <c r="BW284" s="265"/>
      <c r="BX284" s="265"/>
      <c r="BY284" s="265"/>
      <c r="BZ284" s="265"/>
      <c r="CA284" s="265"/>
      <c r="CB284" s="265"/>
      <c r="CC284" s="265"/>
      <c r="CD284" s="265"/>
      <c r="CE284" s="265"/>
      <c r="CF284" s="265"/>
      <c r="CG284" s="265"/>
      <c r="CH284" s="265"/>
      <c r="CI284" s="265"/>
      <c r="CJ284" s="265"/>
      <c r="CK284" s="265"/>
      <c r="CL284" s="265"/>
      <c r="CM284" s="265"/>
      <c r="CN284" s="265"/>
      <c r="CO284" s="265"/>
      <c r="CP284" s="265"/>
      <c r="CQ284" s="265"/>
      <c r="CR284" s="265"/>
      <c r="CS284" s="265"/>
      <c r="CT284" s="265"/>
      <c r="CU284" s="265"/>
      <c r="CV284" s="265"/>
      <c r="CW284" s="265"/>
      <c r="CX284" s="265"/>
      <c r="CY284" s="265"/>
      <c r="CZ284" s="268"/>
    </row>
    <row r="285" spans="1:104" hidden="1" outlineLevel="1">
      <c r="A285" s="265"/>
      <c r="B285" s="1052" t="s">
        <v>723</v>
      </c>
      <c r="C285" s="116"/>
      <c r="D285" s="1048"/>
      <c r="E285" s="265"/>
      <c r="F285" s="265"/>
      <c r="G285" s="265"/>
      <c r="H285" s="265"/>
      <c r="I285" s="265"/>
      <c r="J285" s="1000"/>
      <c r="K285" s="265"/>
      <c r="L285" s="265"/>
      <c r="M285" s="265"/>
      <c r="N285" s="265"/>
      <c r="O285" s="1000"/>
      <c r="P285" s="265"/>
      <c r="Q285" s="265"/>
      <c r="R285" s="265"/>
      <c r="S285" s="265"/>
      <c r="T285" s="1000"/>
      <c r="U285" s="265"/>
      <c r="V285" s="265"/>
      <c r="W285" s="265"/>
      <c r="X285" s="265"/>
      <c r="Y285" s="1000"/>
      <c r="Z285" s="265"/>
      <c r="AA285" s="265"/>
      <c r="AB285" s="265"/>
      <c r="AC285" s="265"/>
      <c r="AD285" s="1047"/>
      <c r="AE285" s="265"/>
      <c r="AF285" s="265"/>
      <c r="AG285" s="265"/>
      <c r="AH285" s="265"/>
      <c r="AI285" s="1047"/>
      <c r="AJ285" s="265"/>
      <c r="AK285" s="265"/>
      <c r="AL285" s="265"/>
      <c r="AM285" s="265"/>
      <c r="AN285" s="1047"/>
      <c r="AO285" s="1000"/>
      <c r="AP285" s="1000"/>
      <c r="AQ285" s="1000"/>
      <c r="AR285" s="1000"/>
      <c r="AS285" s="1049"/>
      <c r="AT285" s="265"/>
      <c r="AU285" s="265"/>
      <c r="AV285" s="265"/>
      <c r="AW285" s="265"/>
      <c r="AX285" s="1049"/>
      <c r="AY285" s="265"/>
      <c r="AZ285" s="265"/>
      <c r="BA285" s="265"/>
      <c r="BB285" s="265"/>
      <c r="BC285" s="268"/>
      <c r="BD285" s="265"/>
      <c r="BE285" s="265"/>
      <c r="BF285" s="265"/>
      <c r="BG285" s="265"/>
      <c r="BH285" s="265"/>
      <c r="BI285" s="1049"/>
      <c r="BJ285" s="1049"/>
      <c r="BK285" s="1049"/>
      <c r="BL285" s="1049"/>
      <c r="BM285" s="1049"/>
      <c r="BN285" s="265"/>
      <c r="BO285" s="265"/>
      <c r="BP285" s="265"/>
      <c r="BQ285" s="265"/>
      <c r="BR285" s="265"/>
      <c r="BS285" s="265"/>
      <c r="BT285" s="265"/>
      <c r="BU285" s="265"/>
      <c r="BV285" s="265"/>
      <c r="BW285" s="265"/>
      <c r="BX285" s="265"/>
      <c r="BY285" s="265"/>
      <c r="BZ285" s="265"/>
      <c r="CA285" s="265"/>
      <c r="CB285" s="265"/>
      <c r="CC285" s="265"/>
      <c r="CD285" s="265"/>
      <c r="CE285" s="265"/>
      <c r="CF285" s="265"/>
      <c r="CG285" s="265"/>
      <c r="CH285" s="265"/>
      <c r="CI285" s="265"/>
      <c r="CJ285" s="265"/>
      <c r="CK285" s="265"/>
      <c r="CL285" s="265"/>
      <c r="CM285" s="265"/>
      <c r="CN285" s="265"/>
      <c r="CO285" s="265"/>
      <c r="CP285" s="265"/>
      <c r="CQ285" s="265"/>
      <c r="CR285" s="265"/>
      <c r="CS285" s="265"/>
      <c r="CT285" s="265"/>
      <c r="CU285" s="265"/>
      <c r="CV285" s="265"/>
      <c r="CW285" s="265"/>
      <c r="CX285" s="265"/>
      <c r="CY285" s="265"/>
      <c r="CZ285" s="268"/>
    </row>
    <row r="286" spans="1:104" hidden="1" outlineLevel="1">
      <c r="A286" s="265"/>
      <c r="B286" s="1051" t="s">
        <v>309</v>
      </c>
      <c r="C286" s="116"/>
      <c r="D286" s="1048"/>
      <c r="E286" s="265"/>
      <c r="F286" s="265"/>
      <c r="G286" s="265"/>
      <c r="H286" s="265"/>
      <c r="I286" s="265"/>
      <c r="J286" s="1000"/>
      <c r="K286" s="265"/>
      <c r="L286" s="265"/>
      <c r="M286" s="265"/>
      <c r="N286" s="265"/>
      <c r="O286" s="1000"/>
      <c r="P286" s="265"/>
      <c r="Q286" s="265"/>
      <c r="R286" s="265"/>
      <c r="S286" s="265"/>
      <c r="T286" s="1000"/>
      <c r="U286" s="265"/>
      <c r="V286" s="265"/>
      <c r="W286" s="265"/>
      <c r="X286" s="265"/>
      <c r="Y286" s="1000"/>
      <c r="Z286" s="265"/>
      <c r="AA286" s="265"/>
      <c r="AB286" s="265"/>
      <c r="AC286" s="265"/>
      <c r="AD286" s="1047"/>
      <c r="AE286" s="265"/>
      <c r="AF286" s="265"/>
      <c r="AG286" s="265"/>
      <c r="AH286" s="265"/>
      <c r="AI286" s="1047"/>
      <c r="AJ286" s="265"/>
      <c r="AK286" s="265"/>
      <c r="AL286" s="265"/>
      <c r="AM286" s="265"/>
      <c r="AN286" s="1047"/>
      <c r="AO286" s="1000"/>
      <c r="AP286" s="1000"/>
      <c r="AQ286" s="1000"/>
      <c r="AR286" s="1000"/>
      <c r="AS286" s="1049"/>
      <c r="AT286" s="265"/>
      <c r="AU286" s="265"/>
      <c r="AV286" s="265"/>
      <c r="AW286" s="265"/>
      <c r="AX286" s="1049"/>
      <c r="AY286" s="265"/>
      <c r="AZ286" s="265"/>
      <c r="BA286" s="265"/>
      <c r="BB286" s="265"/>
      <c r="BC286" s="1050" t="s">
        <v>735</v>
      </c>
      <c r="BD286" s="265"/>
      <c r="BE286" s="265"/>
      <c r="BF286" s="265"/>
      <c r="BG286" s="265"/>
      <c r="BH286" s="265"/>
      <c r="BI286" s="1049"/>
      <c r="BJ286" s="1049"/>
      <c r="BK286" s="1049"/>
      <c r="BL286" s="1049"/>
      <c r="BM286" s="1049"/>
      <c r="BN286" s="265"/>
      <c r="BO286" s="265"/>
      <c r="BP286" s="265"/>
      <c r="BQ286" s="265"/>
      <c r="BR286" s="265"/>
      <c r="BS286" s="265"/>
      <c r="BT286" s="265"/>
      <c r="BU286" s="265"/>
      <c r="BV286" s="265"/>
      <c r="BW286" s="265"/>
      <c r="BX286" s="265"/>
      <c r="BY286" s="265"/>
      <c r="BZ286" s="265"/>
      <c r="CA286" s="265"/>
      <c r="CB286" s="265"/>
      <c r="CC286" s="265"/>
      <c r="CD286" s="265"/>
      <c r="CE286" s="265"/>
      <c r="CF286" s="265"/>
      <c r="CG286" s="265"/>
      <c r="CH286" s="265"/>
      <c r="CI286" s="265"/>
      <c r="CJ286" s="265"/>
      <c r="CK286" s="265"/>
      <c r="CL286" s="265"/>
      <c r="CM286" s="265"/>
      <c r="CN286" s="265"/>
      <c r="CO286" s="265"/>
      <c r="CP286" s="265"/>
      <c r="CQ286" s="265"/>
      <c r="CR286" s="265"/>
      <c r="CS286" s="265"/>
      <c r="CT286" s="265"/>
      <c r="CU286" s="265"/>
      <c r="CV286" s="265"/>
      <c r="CW286" s="265"/>
      <c r="CX286" s="265"/>
      <c r="CY286" s="265"/>
      <c r="CZ286" s="268"/>
    </row>
    <row r="287" spans="1:104" hidden="1" outlineLevel="1">
      <c r="A287" s="265"/>
      <c r="B287" s="1051" t="s">
        <v>167</v>
      </c>
      <c r="C287" s="116"/>
      <c r="D287" s="1048"/>
      <c r="E287" s="265"/>
      <c r="F287" s="265"/>
      <c r="G287" s="265"/>
      <c r="H287" s="265"/>
      <c r="I287" s="265"/>
      <c r="J287" s="1000"/>
      <c r="K287" s="265"/>
      <c r="L287" s="265"/>
      <c r="M287" s="265"/>
      <c r="N287" s="265"/>
      <c r="O287" s="1000"/>
      <c r="P287" s="265"/>
      <c r="Q287" s="265"/>
      <c r="R287" s="265"/>
      <c r="S287" s="265"/>
      <c r="T287" s="1000"/>
      <c r="U287" s="265"/>
      <c r="V287" s="265"/>
      <c r="W287" s="265"/>
      <c r="X287" s="265"/>
      <c r="Y287" s="1000"/>
      <c r="Z287" s="265"/>
      <c r="AA287" s="265"/>
      <c r="AB287" s="265"/>
      <c r="AC287" s="265"/>
      <c r="AD287" s="1047"/>
      <c r="AE287" s="265"/>
      <c r="AF287" s="265"/>
      <c r="AG287" s="265"/>
      <c r="AH287" s="265"/>
      <c r="AI287" s="1047"/>
      <c r="AJ287" s="265"/>
      <c r="AK287" s="265"/>
      <c r="AL287" s="265"/>
      <c r="AM287" s="265"/>
      <c r="AN287" s="1047"/>
      <c r="AO287" s="1000"/>
      <c r="AP287" s="1000"/>
      <c r="AQ287" s="1000"/>
      <c r="AR287" s="1000"/>
      <c r="AS287" s="1049"/>
      <c r="AT287" s="265"/>
      <c r="AU287" s="265"/>
      <c r="AV287" s="265"/>
      <c r="AW287" s="265"/>
      <c r="AX287" s="1049"/>
      <c r="AY287" s="265"/>
      <c r="AZ287" s="265"/>
      <c r="BA287" s="265"/>
      <c r="BB287" s="265"/>
      <c r="BC287" s="1050" t="s">
        <v>734</v>
      </c>
      <c r="BD287" s="265"/>
      <c r="BE287" s="265"/>
      <c r="BF287" s="265"/>
      <c r="BG287" s="265"/>
      <c r="BH287" s="265"/>
      <c r="BI287" s="1049"/>
      <c r="BJ287" s="1049"/>
      <c r="BK287" s="1049"/>
      <c r="BL287" s="1049"/>
      <c r="BM287" s="1049"/>
      <c r="BN287" s="265"/>
      <c r="BO287" s="265"/>
      <c r="BP287" s="265"/>
      <c r="BQ287" s="265"/>
      <c r="BR287" s="265"/>
      <c r="BS287" s="265"/>
      <c r="BT287" s="265"/>
      <c r="BU287" s="265"/>
      <c r="BV287" s="265"/>
      <c r="BW287" s="265"/>
      <c r="BX287" s="265"/>
      <c r="BY287" s="265"/>
      <c r="BZ287" s="265"/>
      <c r="CA287" s="265"/>
      <c r="CB287" s="265"/>
      <c r="CC287" s="265"/>
      <c r="CD287" s="265"/>
      <c r="CE287" s="265"/>
      <c r="CF287" s="265"/>
      <c r="CG287" s="265"/>
      <c r="CH287" s="265"/>
      <c r="CI287" s="265"/>
      <c r="CJ287" s="265"/>
      <c r="CK287" s="265"/>
      <c r="CL287" s="265"/>
      <c r="CM287" s="265"/>
      <c r="CN287" s="265"/>
      <c r="CO287" s="265"/>
      <c r="CP287" s="265"/>
      <c r="CQ287" s="265"/>
      <c r="CR287" s="265"/>
      <c r="CS287" s="265"/>
      <c r="CT287" s="265"/>
      <c r="CU287" s="265"/>
      <c r="CV287" s="265"/>
      <c r="CW287" s="265"/>
      <c r="CX287" s="265"/>
      <c r="CY287" s="265"/>
      <c r="CZ287" s="268"/>
    </row>
    <row r="288" spans="1:104" hidden="1" outlineLevel="1">
      <c r="A288" s="265"/>
      <c r="B288" s="1051" t="s">
        <v>720</v>
      </c>
      <c r="C288" s="116"/>
      <c r="D288" s="1048"/>
      <c r="E288" s="265"/>
      <c r="F288" s="265"/>
      <c r="G288" s="265"/>
      <c r="H288" s="265"/>
      <c r="I288" s="265"/>
      <c r="J288" s="1000"/>
      <c r="K288" s="265"/>
      <c r="L288" s="265"/>
      <c r="M288" s="265"/>
      <c r="N288" s="265"/>
      <c r="O288" s="1000"/>
      <c r="P288" s="265"/>
      <c r="Q288" s="265"/>
      <c r="R288" s="265"/>
      <c r="S288" s="265"/>
      <c r="T288" s="1000"/>
      <c r="U288" s="265"/>
      <c r="V288" s="265"/>
      <c r="W288" s="265"/>
      <c r="X288" s="265"/>
      <c r="Y288" s="1000"/>
      <c r="Z288" s="265"/>
      <c r="AA288" s="265"/>
      <c r="AB288" s="265"/>
      <c r="AC288" s="265"/>
      <c r="AD288" s="1047"/>
      <c r="AE288" s="265"/>
      <c r="AF288" s="265"/>
      <c r="AG288" s="265"/>
      <c r="AH288" s="265"/>
      <c r="AI288" s="1047"/>
      <c r="AJ288" s="265"/>
      <c r="AK288" s="265"/>
      <c r="AL288" s="265"/>
      <c r="AM288" s="265"/>
      <c r="AN288" s="1047"/>
      <c r="AO288" s="1000"/>
      <c r="AP288" s="1000"/>
      <c r="AQ288" s="1000"/>
      <c r="AR288" s="1000"/>
      <c r="AS288" s="1049"/>
      <c r="AT288" s="265"/>
      <c r="AU288" s="265"/>
      <c r="AV288" s="265"/>
      <c r="AW288" s="265"/>
      <c r="AX288" s="1049"/>
      <c r="AY288" s="265"/>
      <c r="AZ288" s="265"/>
      <c r="BA288" s="265"/>
      <c r="BB288" s="265"/>
      <c r="BC288" s="1050" t="s">
        <v>733</v>
      </c>
      <c r="BD288" s="265"/>
      <c r="BE288" s="265"/>
      <c r="BF288" s="265"/>
      <c r="BG288" s="265"/>
      <c r="BH288" s="265"/>
      <c r="BI288" s="1049"/>
      <c r="BJ288" s="1049"/>
      <c r="BK288" s="1049"/>
      <c r="BL288" s="1049"/>
      <c r="BM288" s="1049"/>
      <c r="BN288" s="265"/>
      <c r="BO288" s="265"/>
      <c r="BP288" s="265"/>
      <c r="BQ288" s="265"/>
      <c r="BR288" s="265"/>
      <c r="BS288" s="265"/>
      <c r="BT288" s="265"/>
      <c r="BU288" s="265"/>
      <c r="BV288" s="265"/>
      <c r="BW288" s="265"/>
      <c r="BX288" s="265"/>
      <c r="BY288" s="265"/>
      <c r="BZ288" s="265"/>
      <c r="CA288" s="265"/>
      <c r="CB288" s="265"/>
      <c r="CC288" s="265"/>
      <c r="CD288" s="265"/>
      <c r="CE288" s="265"/>
      <c r="CF288" s="265"/>
      <c r="CG288" s="265"/>
      <c r="CH288" s="265"/>
      <c r="CI288" s="265"/>
      <c r="CJ288" s="265"/>
      <c r="CK288" s="265"/>
      <c r="CL288" s="265"/>
      <c r="CM288" s="265"/>
      <c r="CN288" s="265"/>
      <c r="CO288" s="265"/>
      <c r="CP288" s="265"/>
      <c r="CQ288" s="265"/>
      <c r="CR288" s="265"/>
      <c r="CS288" s="265"/>
      <c r="CT288" s="265"/>
      <c r="CU288" s="265"/>
      <c r="CV288" s="265"/>
      <c r="CW288" s="265"/>
      <c r="CX288" s="265"/>
      <c r="CY288" s="265"/>
      <c r="CZ288" s="268"/>
    </row>
    <row r="289" spans="1:104" hidden="1" outlineLevel="1">
      <c r="A289" s="265"/>
      <c r="B289" s="1051" t="s">
        <v>165</v>
      </c>
      <c r="C289" s="116"/>
      <c r="D289" s="1048"/>
      <c r="E289" s="265"/>
      <c r="F289" s="265"/>
      <c r="G289" s="265"/>
      <c r="H289" s="265"/>
      <c r="I289" s="265"/>
      <c r="J289" s="1000"/>
      <c r="K289" s="265"/>
      <c r="L289" s="265"/>
      <c r="M289" s="265"/>
      <c r="N289" s="265"/>
      <c r="O289" s="1000"/>
      <c r="P289" s="265"/>
      <c r="Q289" s="265"/>
      <c r="R289" s="265"/>
      <c r="S289" s="265"/>
      <c r="T289" s="1000"/>
      <c r="U289" s="265"/>
      <c r="V289" s="265"/>
      <c r="W289" s="265"/>
      <c r="X289" s="265"/>
      <c r="Y289" s="1000"/>
      <c r="Z289" s="265"/>
      <c r="AA289" s="265"/>
      <c r="AB289" s="265"/>
      <c r="AC289" s="265"/>
      <c r="AD289" s="1047"/>
      <c r="AE289" s="265"/>
      <c r="AF289" s="265"/>
      <c r="AG289" s="265"/>
      <c r="AH289" s="265"/>
      <c r="AI289" s="1047"/>
      <c r="AJ289" s="265"/>
      <c r="AK289" s="265"/>
      <c r="AL289" s="265"/>
      <c r="AM289" s="265"/>
      <c r="AN289" s="1047"/>
      <c r="AO289" s="1000"/>
      <c r="AP289" s="1000"/>
      <c r="AQ289" s="1000"/>
      <c r="AR289" s="1000"/>
      <c r="AS289" s="1049"/>
      <c r="AT289" s="265"/>
      <c r="AU289" s="265"/>
      <c r="AV289" s="265"/>
      <c r="AW289" s="265"/>
      <c r="AX289" s="1049"/>
      <c r="AY289" s="265"/>
      <c r="AZ289" s="265"/>
      <c r="BA289" s="265"/>
      <c r="BB289" s="265"/>
      <c r="BC289" s="1050" t="s">
        <v>732</v>
      </c>
      <c r="BD289" s="265"/>
      <c r="BE289" s="265"/>
      <c r="BF289" s="265"/>
      <c r="BG289" s="265"/>
      <c r="BH289" s="265"/>
      <c r="BI289" s="1049"/>
      <c r="BJ289" s="1049"/>
      <c r="BK289" s="1049"/>
      <c r="BL289" s="1049"/>
      <c r="BM289" s="1049"/>
      <c r="BN289" s="265"/>
      <c r="BO289" s="265"/>
      <c r="BP289" s="265"/>
      <c r="BQ289" s="265"/>
      <c r="BR289" s="265"/>
      <c r="BS289" s="265"/>
      <c r="BT289" s="265"/>
      <c r="BU289" s="265"/>
      <c r="BV289" s="265"/>
      <c r="BW289" s="265"/>
      <c r="BX289" s="265"/>
      <c r="BY289" s="265"/>
      <c r="BZ289" s="265"/>
      <c r="CA289" s="265"/>
      <c r="CB289" s="265"/>
      <c r="CC289" s="265"/>
      <c r="CD289" s="265"/>
      <c r="CE289" s="265"/>
      <c r="CF289" s="265"/>
      <c r="CG289" s="265"/>
      <c r="CH289" s="265"/>
      <c r="CI289" s="265"/>
      <c r="CJ289" s="265"/>
      <c r="CK289" s="265"/>
      <c r="CL289" s="265"/>
      <c r="CM289" s="265"/>
      <c r="CN289" s="265"/>
      <c r="CO289" s="265"/>
      <c r="CP289" s="265"/>
      <c r="CQ289" s="265"/>
      <c r="CR289" s="265"/>
      <c r="CS289" s="265"/>
      <c r="CT289" s="265"/>
      <c r="CU289" s="265"/>
      <c r="CV289" s="265"/>
      <c r="CW289" s="265"/>
      <c r="CX289" s="265"/>
      <c r="CY289" s="265"/>
      <c r="CZ289" s="268"/>
    </row>
    <row r="290" spans="1:104" hidden="1" outlineLevel="1">
      <c r="A290" s="265"/>
      <c r="B290" s="1051" t="s">
        <v>717</v>
      </c>
      <c r="C290" s="116"/>
      <c r="D290" s="1048"/>
      <c r="E290" s="265"/>
      <c r="F290" s="265"/>
      <c r="G290" s="265"/>
      <c r="H290" s="265"/>
      <c r="I290" s="265"/>
      <c r="J290" s="1000"/>
      <c r="K290" s="265"/>
      <c r="L290" s="265"/>
      <c r="M290" s="265"/>
      <c r="N290" s="265"/>
      <c r="O290" s="1000"/>
      <c r="P290" s="265"/>
      <c r="Q290" s="265"/>
      <c r="R290" s="265"/>
      <c r="S290" s="265"/>
      <c r="T290" s="1000"/>
      <c r="U290" s="265"/>
      <c r="V290" s="265"/>
      <c r="W290" s="265"/>
      <c r="X290" s="265"/>
      <c r="Y290" s="1000"/>
      <c r="Z290" s="265"/>
      <c r="AA290" s="265"/>
      <c r="AB290" s="265"/>
      <c r="AC290" s="265"/>
      <c r="AD290" s="1047"/>
      <c r="AE290" s="265"/>
      <c r="AF290" s="265"/>
      <c r="AG290" s="265"/>
      <c r="AH290" s="265"/>
      <c r="AI290" s="1047"/>
      <c r="AJ290" s="265"/>
      <c r="AK290" s="265"/>
      <c r="AL290" s="265"/>
      <c r="AM290" s="265"/>
      <c r="AN290" s="1047"/>
      <c r="AO290" s="1000"/>
      <c r="AP290" s="1000"/>
      <c r="AQ290" s="1000"/>
      <c r="AR290" s="1000"/>
      <c r="AS290" s="1049"/>
      <c r="AT290" s="265"/>
      <c r="AU290" s="265"/>
      <c r="AV290" s="265"/>
      <c r="AW290" s="265"/>
      <c r="AX290" s="1049"/>
      <c r="AY290" s="265"/>
      <c r="AZ290" s="265"/>
      <c r="BA290" s="265"/>
      <c r="BB290" s="265"/>
      <c r="BC290" s="1050" t="s">
        <v>731</v>
      </c>
      <c r="BD290" s="265"/>
      <c r="BE290" s="265"/>
      <c r="BF290" s="265"/>
      <c r="BG290" s="265"/>
      <c r="BH290" s="265"/>
      <c r="BI290" s="1049"/>
      <c r="BJ290" s="1049"/>
      <c r="BK290" s="1049"/>
      <c r="BL290" s="1049"/>
      <c r="BM290" s="1049"/>
      <c r="BN290" s="265"/>
      <c r="BO290" s="265"/>
      <c r="BP290" s="265"/>
      <c r="BQ290" s="265"/>
      <c r="BR290" s="265"/>
      <c r="BS290" s="265"/>
      <c r="BT290" s="265"/>
      <c r="BU290" s="265"/>
      <c r="BV290" s="265"/>
      <c r="BW290" s="265"/>
      <c r="BX290" s="265"/>
      <c r="BY290" s="265"/>
      <c r="BZ290" s="265"/>
      <c r="CA290" s="265"/>
      <c r="CB290" s="265"/>
      <c r="CC290" s="265"/>
      <c r="CD290" s="265"/>
      <c r="CE290" s="265"/>
      <c r="CF290" s="265"/>
      <c r="CG290" s="265"/>
      <c r="CH290" s="265"/>
      <c r="CI290" s="265"/>
      <c r="CJ290" s="265"/>
      <c r="CK290" s="265"/>
      <c r="CL290" s="265"/>
      <c r="CM290" s="265"/>
      <c r="CN290" s="265"/>
      <c r="CO290" s="265"/>
      <c r="CP290" s="265"/>
      <c r="CQ290" s="265"/>
      <c r="CR290" s="265"/>
      <c r="CS290" s="265"/>
      <c r="CT290" s="265"/>
      <c r="CU290" s="265"/>
      <c r="CV290" s="265"/>
      <c r="CW290" s="265"/>
      <c r="CX290" s="265"/>
      <c r="CY290" s="265"/>
      <c r="CZ290" s="268"/>
    </row>
    <row r="291" spans="1:104" hidden="1" outlineLevel="1">
      <c r="A291" s="265"/>
      <c r="B291" s="1051" t="s">
        <v>163</v>
      </c>
      <c r="C291" s="116"/>
      <c r="D291" s="1048"/>
      <c r="E291" s="265"/>
      <c r="F291" s="265"/>
      <c r="G291" s="265"/>
      <c r="H291" s="265"/>
      <c r="I291" s="265"/>
      <c r="J291" s="1000"/>
      <c r="K291" s="265"/>
      <c r="L291" s="265"/>
      <c r="M291" s="265"/>
      <c r="N291" s="265"/>
      <c r="O291" s="1000"/>
      <c r="P291" s="265"/>
      <c r="Q291" s="265"/>
      <c r="R291" s="265"/>
      <c r="S291" s="265"/>
      <c r="T291" s="1000"/>
      <c r="U291" s="265"/>
      <c r="V291" s="265"/>
      <c r="W291" s="265"/>
      <c r="X291" s="265"/>
      <c r="Y291" s="1000"/>
      <c r="Z291" s="265"/>
      <c r="AA291" s="265"/>
      <c r="AB291" s="265"/>
      <c r="AC291" s="265"/>
      <c r="AD291" s="1047"/>
      <c r="AE291" s="265"/>
      <c r="AF291" s="265"/>
      <c r="AG291" s="265"/>
      <c r="AH291" s="265"/>
      <c r="AI291" s="1047"/>
      <c r="AJ291" s="265"/>
      <c r="AK291" s="265"/>
      <c r="AL291" s="265"/>
      <c r="AM291" s="265"/>
      <c r="AN291" s="1047"/>
      <c r="AO291" s="1000"/>
      <c r="AP291" s="1000"/>
      <c r="AQ291" s="1000"/>
      <c r="AR291" s="1000"/>
      <c r="AS291" s="1049"/>
      <c r="AT291" s="265"/>
      <c r="AU291" s="265"/>
      <c r="AV291" s="265"/>
      <c r="AW291" s="265"/>
      <c r="AX291" s="1049"/>
      <c r="AY291" s="265"/>
      <c r="AZ291" s="265"/>
      <c r="BA291" s="265"/>
      <c r="BB291" s="265"/>
      <c r="BC291" s="1050" t="s">
        <v>730</v>
      </c>
      <c r="BD291" s="265"/>
      <c r="BE291" s="265"/>
      <c r="BF291" s="265"/>
      <c r="BG291" s="265"/>
      <c r="BH291" s="265"/>
      <c r="BI291" s="1049"/>
      <c r="BJ291" s="1049"/>
      <c r="BK291" s="1049"/>
      <c r="BL291" s="1049"/>
      <c r="BM291" s="1049"/>
      <c r="BN291" s="265"/>
      <c r="BO291" s="265"/>
      <c r="BP291" s="265"/>
      <c r="BQ291" s="265"/>
      <c r="BR291" s="265"/>
      <c r="BS291" s="265"/>
      <c r="BT291" s="265"/>
      <c r="BU291" s="265"/>
      <c r="BV291" s="265"/>
      <c r="BW291" s="265"/>
      <c r="BX291" s="265"/>
      <c r="BY291" s="265"/>
      <c r="BZ291" s="265"/>
      <c r="CA291" s="265"/>
      <c r="CB291" s="265"/>
      <c r="CC291" s="265"/>
      <c r="CD291" s="265"/>
      <c r="CE291" s="265"/>
      <c r="CF291" s="265"/>
      <c r="CG291" s="265"/>
      <c r="CH291" s="265"/>
      <c r="CI291" s="265"/>
      <c r="CJ291" s="265"/>
      <c r="CK291" s="265"/>
      <c r="CL291" s="265"/>
      <c r="CM291" s="265"/>
      <c r="CN291" s="265"/>
      <c r="CO291" s="265"/>
      <c r="CP291" s="265"/>
      <c r="CQ291" s="265"/>
      <c r="CR291" s="265"/>
      <c r="CS291" s="265"/>
      <c r="CT291" s="265"/>
      <c r="CU291" s="265"/>
      <c r="CV291" s="265"/>
      <c r="CW291" s="265"/>
      <c r="CX291" s="265"/>
      <c r="CY291" s="265"/>
      <c r="CZ291" s="268"/>
    </row>
    <row r="292" spans="1:104" hidden="1" outlineLevel="1">
      <c r="A292" s="265"/>
      <c r="B292" s="265"/>
      <c r="C292" s="116"/>
      <c r="D292" s="1048"/>
      <c r="E292" s="265"/>
      <c r="F292" s="265"/>
      <c r="G292" s="265"/>
      <c r="H292" s="265"/>
      <c r="I292" s="265"/>
      <c r="J292" s="1000"/>
      <c r="K292" s="265"/>
      <c r="L292" s="265"/>
      <c r="M292" s="265"/>
      <c r="N292" s="265"/>
      <c r="O292" s="1000"/>
      <c r="P292" s="265"/>
      <c r="Q292" s="265"/>
      <c r="R292" s="265"/>
      <c r="S292" s="265"/>
      <c r="T292" s="1000"/>
      <c r="U292" s="265"/>
      <c r="V292" s="265"/>
      <c r="W292" s="265"/>
      <c r="X292" s="265"/>
      <c r="Y292" s="1000"/>
      <c r="Z292" s="265"/>
      <c r="AA292" s="265"/>
      <c r="AB292" s="265"/>
      <c r="AC292" s="265"/>
      <c r="AD292" s="1047"/>
      <c r="AE292" s="265"/>
      <c r="AF292" s="265"/>
      <c r="AG292" s="265"/>
      <c r="AH292" s="265"/>
      <c r="AI292" s="1047"/>
      <c r="AJ292" s="265"/>
      <c r="AK292" s="265"/>
      <c r="AL292" s="265"/>
      <c r="AM292" s="265"/>
      <c r="AN292" s="1047"/>
      <c r="AO292" s="1000"/>
      <c r="AP292" s="1000"/>
      <c r="AQ292" s="1000"/>
      <c r="AR292" s="1000"/>
      <c r="AS292" s="1049"/>
      <c r="AT292" s="265"/>
      <c r="AU292" s="265"/>
      <c r="AV292" s="265"/>
      <c r="AW292" s="265"/>
      <c r="AX292" s="1049"/>
      <c r="AY292" s="265"/>
      <c r="AZ292" s="265"/>
      <c r="BA292" s="265"/>
      <c r="BB292" s="265"/>
      <c r="BC292" s="1050"/>
      <c r="BD292" s="265"/>
      <c r="BE292" s="265"/>
      <c r="BF292" s="265"/>
      <c r="BG292" s="265"/>
      <c r="BH292" s="265"/>
      <c r="BI292" s="1049"/>
      <c r="BJ292" s="1049"/>
      <c r="BK292" s="1049"/>
      <c r="BL292" s="1049"/>
      <c r="BM292" s="1049"/>
      <c r="BN292" s="265"/>
      <c r="BO292" s="265"/>
      <c r="BP292" s="265"/>
      <c r="BQ292" s="265"/>
      <c r="BR292" s="265"/>
      <c r="BS292" s="265"/>
      <c r="BT292" s="265"/>
      <c r="BU292" s="265"/>
      <c r="BV292" s="265"/>
      <c r="BW292" s="265"/>
      <c r="BX292" s="265"/>
      <c r="BY292" s="265"/>
      <c r="BZ292" s="265"/>
      <c r="CA292" s="265"/>
      <c r="CB292" s="265"/>
      <c r="CC292" s="265"/>
      <c r="CD292" s="265"/>
      <c r="CE292" s="265"/>
      <c r="CF292" s="265"/>
      <c r="CG292" s="265"/>
      <c r="CH292" s="265"/>
      <c r="CI292" s="265"/>
      <c r="CJ292" s="265"/>
      <c r="CK292" s="265"/>
      <c r="CL292" s="265"/>
      <c r="CM292" s="265"/>
      <c r="CN292" s="265"/>
      <c r="CO292" s="265"/>
      <c r="CP292" s="265"/>
      <c r="CQ292" s="265"/>
      <c r="CR292" s="265"/>
      <c r="CS292" s="265"/>
      <c r="CT292" s="265"/>
      <c r="CU292" s="265"/>
      <c r="CV292" s="265"/>
      <c r="CW292" s="265"/>
      <c r="CX292" s="265"/>
      <c r="CY292" s="265"/>
      <c r="CZ292" s="268"/>
    </row>
    <row r="293" spans="1:104" hidden="1" outlineLevel="1">
      <c r="A293" s="265"/>
      <c r="B293" s="1000" t="s">
        <v>729</v>
      </c>
      <c r="C293" s="116"/>
      <c r="D293" s="1048"/>
      <c r="E293" s="265"/>
      <c r="F293" s="265"/>
      <c r="G293" s="265"/>
      <c r="H293" s="265"/>
      <c r="I293" s="265"/>
      <c r="J293" s="1000"/>
      <c r="K293" s="265"/>
      <c r="L293" s="265"/>
      <c r="M293" s="265"/>
      <c r="N293" s="265"/>
      <c r="O293" s="1000"/>
      <c r="P293" s="265"/>
      <c r="Q293" s="265"/>
      <c r="R293" s="265"/>
      <c r="S293" s="265"/>
      <c r="T293" s="1000"/>
      <c r="U293" s="265"/>
      <c r="V293" s="265"/>
      <c r="W293" s="265"/>
      <c r="X293" s="265"/>
      <c r="Y293" s="1000"/>
      <c r="Z293" s="265"/>
      <c r="AA293" s="265"/>
      <c r="AB293" s="265"/>
      <c r="AC293" s="265"/>
      <c r="AD293" s="1047"/>
      <c r="AE293" s="265"/>
      <c r="AF293" s="265"/>
      <c r="AG293" s="265"/>
      <c r="AH293" s="265"/>
      <c r="AI293" s="1047"/>
      <c r="AJ293" s="265"/>
      <c r="AK293" s="265"/>
      <c r="AL293" s="265"/>
      <c r="AM293" s="265"/>
      <c r="AN293" s="1047"/>
      <c r="AO293" s="1000"/>
      <c r="AP293" s="1000"/>
      <c r="AQ293" s="1000"/>
      <c r="AR293" s="1000"/>
      <c r="AS293" s="1049"/>
      <c r="AT293" s="265"/>
      <c r="AU293" s="265"/>
      <c r="AV293" s="265"/>
      <c r="AW293" s="265"/>
      <c r="AX293" s="1049"/>
      <c r="AY293" s="265"/>
      <c r="AZ293" s="265"/>
      <c r="BA293" s="265"/>
      <c r="BB293" s="265"/>
      <c r="BC293" s="1050" t="s">
        <v>728</v>
      </c>
      <c r="BD293" s="265"/>
      <c r="BE293" s="265"/>
      <c r="BF293" s="265"/>
      <c r="BG293" s="265"/>
      <c r="BH293" s="265"/>
      <c r="BI293" s="1049"/>
      <c r="BJ293" s="1049"/>
      <c r="BK293" s="1049"/>
      <c r="BL293" s="1049"/>
      <c r="BM293" s="1049"/>
      <c r="BN293" s="265"/>
      <c r="BO293" s="265"/>
      <c r="BP293" s="265"/>
      <c r="BQ293" s="265"/>
      <c r="BR293" s="265"/>
      <c r="BS293" s="265"/>
      <c r="BT293" s="265"/>
      <c r="BU293" s="265"/>
      <c r="BV293" s="265"/>
      <c r="BW293" s="265"/>
      <c r="BX293" s="265"/>
      <c r="BY293" s="265"/>
      <c r="BZ293" s="265"/>
      <c r="CA293" s="265"/>
      <c r="CB293" s="265"/>
      <c r="CC293" s="265"/>
      <c r="CD293" s="265"/>
      <c r="CE293" s="265"/>
      <c r="CF293" s="265"/>
      <c r="CG293" s="265"/>
      <c r="CH293" s="265"/>
      <c r="CI293" s="265"/>
      <c r="CJ293" s="265"/>
      <c r="CK293" s="265"/>
      <c r="CL293" s="265"/>
      <c r="CM293" s="265"/>
      <c r="CN293" s="265"/>
      <c r="CO293" s="265"/>
      <c r="CP293" s="265"/>
      <c r="CQ293" s="265"/>
      <c r="CR293" s="265"/>
      <c r="CS293" s="265"/>
      <c r="CT293" s="265"/>
      <c r="CU293" s="265"/>
      <c r="CV293" s="265"/>
      <c r="CW293" s="265"/>
      <c r="CX293" s="265"/>
      <c r="CY293" s="265"/>
      <c r="CZ293" s="268"/>
    </row>
    <row r="294" spans="1:104" hidden="1" outlineLevel="1">
      <c r="A294" s="265"/>
      <c r="B294" s="265" t="s">
        <v>309</v>
      </c>
      <c r="C294" s="116"/>
      <c r="D294" s="1048"/>
      <c r="E294" s="265"/>
      <c r="F294" s="265"/>
      <c r="G294" s="265"/>
      <c r="H294" s="265"/>
      <c r="I294" s="265"/>
      <c r="J294" s="1000"/>
      <c r="K294" s="265"/>
      <c r="L294" s="265"/>
      <c r="M294" s="265"/>
      <c r="N294" s="265"/>
      <c r="O294" s="1000"/>
      <c r="P294" s="265"/>
      <c r="Q294" s="265"/>
      <c r="R294" s="265"/>
      <c r="S294" s="265"/>
      <c r="T294" s="1000"/>
      <c r="U294" s="265"/>
      <c r="V294" s="265"/>
      <c r="W294" s="265"/>
      <c r="X294" s="265"/>
      <c r="Y294" s="1000"/>
      <c r="Z294" s="265"/>
      <c r="AA294" s="265"/>
      <c r="AB294" s="265"/>
      <c r="AC294" s="265"/>
      <c r="AD294" s="1047"/>
      <c r="AE294" s="265"/>
      <c r="AF294" s="265"/>
      <c r="AG294" s="265"/>
      <c r="AH294" s="265"/>
      <c r="AI294" s="1047"/>
      <c r="AJ294" s="265"/>
      <c r="AK294" s="265"/>
      <c r="AL294" s="265"/>
      <c r="AM294" s="265"/>
      <c r="AN294" s="1047"/>
      <c r="AO294" s="1000"/>
      <c r="AP294" s="1000"/>
      <c r="AQ294" s="1000"/>
      <c r="AR294" s="1000"/>
      <c r="AS294" s="1049"/>
      <c r="AT294" s="265"/>
      <c r="AU294" s="265"/>
      <c r="AV294" s="265"/>
      <c r="AW294" s="265"/>
      <c r="AX294" s="1049"/>
      <c r="AY294" s="265"/>
      <c r="AZ294" s="265"/>
      <c r="BA294" s="265"/>
      <c r="BB294" s="265"/>
      <c r="BC294" s="1050" t="s">
        <v>727</v>
      </c>
      <c r="BD294" s="265"/>
      <c r="BE294" s="265"/>
      <c r="BF294" s="265"/>
      <c r="BG294" s="265"/>
      <c r="BH294" s="265"/>
      <c r="BI294" s="1049"/>
      <c r="BJ294" s="1049"/>
      <c r="BK294" s="1049"/>
      <c r="BL294" s="1049"/>
      <c r="BM294" s="1049"/>
      <c r="BN294" s="265"/>
      <c r="BO294" s="265"/>
      <c r="BP294" s="265"/>
      <c r="BQ294" s="265"/>
      <c r="BR294" s="265"/>
      <c r="BS294" s="265"/>
      <c r="BT294" s="265"/>
      <c r="BU294" s="265"/>
      <c r="BV294" s="265"/>
      <c r="BW294" s="265"/>
      <c r="BX294" s="265"/>
      <c r="BY294" s="265"/>
      <c r="BZ294" s="265"/>
      <c r="CA294" s="265"/>
      <c r="CB294" s="265"/>
      <c r="CC294" s="265"/>
      <c r="CD294" s="265"/>
      <c r="CE294" s="265"/>
      <c r="CF294" s="265"/>
      <c r="CG294" s="265"/>
      <c r="CH294" s="265"/>
      <c r="CI294" s="265"/>
      <c r="CJ294" s="265"/>
      <c r="CK294" s="265"/>
      <c r="CL294" s="265"/>
      <c r="CM294" s="265"/>
      <c r="CN294" s="265"/>
      <c r="CO294" s="265"/>
      <c r="CP294" s="265"/>
      <c r="CQ294" s="265"/>
      <c r="CR294" s="265"/>
      <c r="CS294" s="265"/>
      <c r="CT294" s="265"/>
      <c r="CU294" s="265"/>
      <c r="CV294" s="265"/>
      <c r="CW294" s="265"/>
      <c r="CX294" s="265"/>
      <c r="CY294" s="265"/>
      <c r="CZ294" s="268"/>
    </row>
    <row r="295" spans="1:104" hidden="1" outlineLevel="1">
      <c r="A295" s="265"/>
      <c r="B295" s="265" t="s">
        <v>167</v>
      </c>
      <c r="C295" s="116"/>
      <c r="D295" s="1048"/>
      <c r="E295" s="265"/>
      <c r="F295" s="265"/>
      <c r="G295" s="265"/>
      <c r="H295" s="265"/>
      <c r="I295" s="265"/>
      <c r="J295" s="1000"/>
      <c r="K295" s="265"/>
      <c r="L295" s="265"/>
      <c r="M295" s="265"/>
      <c r="N295" s="265"/>
      <c r="O295" s="1000"/>
      <c r="P295" s="265"/>
      <c r="Q295" s="265"/>
      <c r="R295" s="265"/>
      <c r="S295" s="265"/>
      <c r="T295" s="1000"/>
      <c r="U295" s="265"/>
      <c r="V295" s="265"/>
      <c r="W295" s="265"/>
      <c r="X295" s="265"/>
      <c r="Y295" s="1000"/>
      <c r="Z295" s="265"/>
      <c r="AA295" s="265"/>
      <c r="AB295" s="265"/>
      <c r="AC295" s="265"/>
      <c r="AD295" s="1047"/>
      <c r="AE295" s="265"/>
      <c r="AF295" s="265"/>
      <c r="AG295" s="265"/>
      <c r="AH295" s="265"/>
      <c r="AI295" s="1047"/>
      <c r="AJ295" s="265"/>
      <c r="AK295" s="265"/>
      <c r="AL295" s="265"/>
      <c r="AM295" s="265"/>
      <c r="AN295" s="1047"/>
      <c r="AO295" s="1000"/>
      <c r="AP295" s="1000"/>
      <c r="AQ295" s="1000"/>
      <c r="AR295" s="1000"/>
      <c r="AS295" s="1049"/>
      <c r="AT295" s="265"/>
      <c r="AU295" s="265"/>
      <c r="AV295" s="265"/>
      <c r="AW295" s="265"/>
      <c r="AX295" s="1049"/>
      <c r="AY295" s="265"/>
      <c r="AZ295" s="265"/>
      <c r="BA295" s="265"/>
      <c r="BB295" s="265"/>
      <c r="BC295" s="1050" t="s">
        <v>726</v>
      </c>
      <c r="BD295" s="265"/>
      <c r="BE295" s="265"/>
      <c r="BF295" s="265"/>
      <c r="BG295" s="265"/>
      <c r="BH295" s="265"/>
      <c r="BI295" s="1049"/>
      <c r="BJ295" s="1049"/>
      <c r="BK295" s="1049"/>
      <c r="BL295" s="1049"/>
      <c r="BM295" s="1049"/>
      <c r="BN295" s="265"/>
      <c r="BO295" s="265"/>
      <c r="BP295" s="265"/>
      <c r="BQ295" s="265"/>
      <c r="BR295" s="265"/>
      <c r="BS295" s="265"/>
      <c r="BT295" s="265"/>
      <c r="BU295" s="265"/>
      <c r="BV295" s="265"/>
      <c r="BW295" s="265"/>
      <c r="BX295" s="265"/>
      <c r="BY295" s="265"/>
      <c r="BZ295" s="265"/>
      <c r="CA295" s="265"/>
      <c r="CB295" s="265"/>
      <c r="CC295" s="265"/>
      <c r="CD295" s="265"/>
      <c r="CE295" s="265"/>
      <c r="CF295" s="265"/>
      <c r="CG295" s="265"/>
      <c r="CH295" s="265"/>
      <c r="CI295" s="265"/>
      <c r="CJ295" s="265"/>
      <c r="CK295" s="265"/>
      <c r="CL295" s="265"/>
      <c r="CM295" s="265"/>
      <c r="CN295" s="265"/>
      <c r="CO295" s="265"/>
      <c r="CP295" s="265"/>
      <c r="CQ295" s="265"/>
      <c r="CR295" s="265"/>
      <c r="CS295" s="265"/>
      <c r="CT295" s="265"/>
      <c r="CU295" s="265"/>
      <c r="CV295" s="265"/>
      <c r="CW295" s="265"/>
      <c r="CX295" s="265"/>
      <c r="CY295" s="265"/>
      <c r="CZ295" s="268"/>
    </row>
    <row r="296" spans="1:104" hidden="1" outlineLevel="1">
      <c r="A296" s="265"/>
      <c r="B296" s="265" t="s">
        <v>720</v>
      </c>
      <c r="C296" s="116"/>
      <c r="D296" s="1048"/>
      <c r="E296" s="265"/>
      <c r="F296" s="265"/>
      <c r="G296" s="265"/>
      <c r="H296" s="265"/>
      <c r="I296" s="265"/>
      <c r="J296" s="1000"/>
      <c r="K296" s="265"/>
      <c r="L296" s="265"/>
      <c r="M296" s="265"/>
      <c r="N296" s="265"/>
      <c r="O296" s="1000"/>
      <c r="P296" s="265"/>
      <c r="Q296" s="265"/>
      <c r="R296" s="265"/>
      <c r="S296" s="265"/>
      <c r="T296" s="1000"/>
      <c r="U296" s="265"/>
      <c r="V296" s="265"/>
      <c r="W296" s="265"/>
      <c r="X296" s="265"/>
      <c r="Y296" s="1000"/>
      <c r="Z296" s="265"/>
      <c r="AA296" s="265"/>
      <c r="AB296" s="265"/>
      <c r="AC296" s="265"/>
      <c r="AD296" s="1047"/>
      <c r="AE296" s="265"/>
      <c r="AF296" s="265"/>
      <c r="AG296" s="265"/>
      <c r="AH296" s="265"/>
      <c r="AI296" s="1047"/>
      <c r="AJ296" s="265"/>
      <c r="AK296" s="265"/>
      <c r="AL296" s="265"/>
      <c r="AM296" s="265"/>
      <c r="AN296" s="1047"/>
      <c r="AO296" s="1000"/>
      <c r="AP296" s="1000"/>
      <c r="AQ296" s="1000"/>
      <c r="AR296" s="1000"/>
      <c r="AS296" s="1049"/>
      <c r="AT296" s="265"/>
      <c r="AU296" s="265"/>
      <c r="AV296" s="265"/>
      <c r="AW296" s="265"/>
      <c r="AX296" s="1049"/>
      <c r="AY296" s="265"/>
      <c r="AZ296" s="265"/>
      <c r="BA296" s="265"/>
      <c r="BB296" s="265"/>
      <c r="BC296" s="1050" t="s">
        <v>724</v>
      </c>
      <c r="BD296" s="265"/>
      <c r="BE296" s="265"/>
      <c r="BF296" s="265"/>
      <c r="BG296" s="265"/>
      <c r="BH296" s="265"/>
      <c r="BI296" s="1049"/>
      <c r="BJ296" s="1049"/>
      <c r="BK296" s="1049"/>
      <c r="BL296" s="1049"/>
      <c r="BM296" s="1049"/>
      <c r="BN296" s="265"/>
      <c r="BO296" s="265"/>
      <c r="BP296" s="265"/>
      <c r="BQ296" s="265"/>
      <c r="BR296" s="265"/>
      <c r="BS296" s="265"/>
      <c r="BT296" s="265"/>
      <c r="BU296" s="265"/>
      <c r="BV296" s="265"/>
      <c r="BW296" s="265"/>
      <c r="BX296" s="265"/>
      <c r="BY296" s="265"/>
      <c r="BZ296" s="265"/>
      <c r="CA296" s="265"/>
      <c r="CB296" s="265"/>
      <c r="CC296" s="265"/>
      <c r="CD296" s="265"/>
      <c r="CE296" s="265"/>
      <c r="CF296" s="265"/>
      <c r="CG296" s="265"/>
      <c r="CH296" s="265"/>
      <c r="CI296" s="265"/>
      <c r="CJ296" s="265"/>
      <c r="CK296" s="265"/>
      <c r="CL296" s="265"/>
      <c r="CM296" s="265"/>
      <c r="CN296" s="265"/>
      <c r="CO296" s="265"/>
      <c r="CP296" s="265"/>
      <c r="CQ296" s="265"/>
      <c r="CR296" s="265"/>
      <c r="CS296" s="265"/>
      <c r="CT296" s="265"/>
      <c r="CU296" s="265"/>
      <c r="CV296" s="265"/>
      <c r="CW296" s="265"/>
      <c r="CX296" s="265"/>
      <c r="CY296" s="265"/>
      <c r="CZ296" s="268"/>
    </row>
    <row r="297" spans="1:104" hidden="1" outlineLevel="1">
      <c r="A297" s="265"/>
      <c r="B297" s="265" t="s">
        <v>165</v>
      </c>
      <c r="C297" s="116"/>
      <c r="D297" s="1048"/>
      <c r="E297" s="265"/>
      <c r="F297" s="265"/>
      <c r="G297" s="265"/>
      <c r="H297" s="265"/>
      <c r="I297" s="265"/>
      <c r="J297" s="1000"/>
      <c r="K297" s="265"/>
      <c r="L297" s="265"/>
      <c r="M297" s="265"/>
      <c r="N297" s="265"/>
      <c r="O297" s="1000"/>
      <c r="P297" s="265"/>
      <c r="Q297" s="265"/>
      <c r="R297" s="265"/>
      <c r="S297" s="265"/>
      <c r="T297" s="1000"/>
      <c r="U297" s="265"/>
      <c r="V297" s="265"/>
      <c r="W297" s="265"/>
      <c r="X297" s="265"/>
      <c r="Y297" s="1000"/>
      <c r="Z297" s="265"/>
      <c r="AA297" s="265"/>
      <c r="AB297" s="265"/>
      <c r="AC297" s="265"/>
      <c r="AD297" s="1047"/>
      <c r="AE297" s="265"/>
      <c r="AF297" s="265"/>
      <c r="AG297" s="265"/>
      <c r="AH297" s="265"/>
      <c r="AI297" s="1047"/>
      <c r="AJ297" s="265"/>
      <c r="AK297" s="265"/>
      <c r="AL297" s="265"/>
      <c r="AM297" s="265"/>
      <c r="AN297" s="1047"/>
      <c r="AO297" s="1000"/>
      <c r="AP297" s="1000"/>
      <c r="AQ297" s="1000"/>
      <c r="AR297" s="1000"/>
      <c r="AS297" s="1049"/>
      <c r="AT297" s="265"/>
      <c r="AU297" s="265"/>
      <c r="AV297" s="265"/>
      <c r="AW297" s="265"/>
      <c r="AX297" s="1049"/>
      <c r="AY297" s="265"/>
      <c r="AZ297" s="265"/>
      <c r="BA297" s="265"/>
      <c r="BB297" s="265"/>
      <c r="BC297" s="1050" t="s">
        <v>725</v>
      </c>
      <c r="BD297" s="265"/>
      <c r="BE297" s="265"/>
      <c r="BF297" s="265"/>
      <c r="BG297" s="265"/>
      <c r="BH297" s="265"/>
      <c r="BI297" s="1049"/>
      <c r="BJ297" s="1049"/>
      <c r="BK297" s="1049"/>
      <c r="BL297" s="1049"/>
      <c r="BM297" s="1049"/>
      <c r="BN297" s="265"/>
      <c r="BO297" s="265"/>
      <c r="BP297" s="265"/>
      <c r="BQ297" s="265"/>
      <c r="BR297" s="265"/>
      <c r="BS297" s="265"/>
      <c r="BT297" s="265"/>
      <c r="BU297" s="265"/>
      <c r="BV297" s="265"/>
      <c r="BW297" s="265"/>
      <c r="BX297" s="265"/>
      <c r="BY297" s="265"/>
      <c r="BZ297" s="265"/>
      <c r="CA297" s="265"/>
      <c r="CB297" s="265"/>
      <c r="CC297" s="265"/>
      <c r="CD297" s="265"/>
      <c r="CE297" s="265"/>
      <c r="CF297" s="265"/>
      <c r="CG297" s="265"/>
      <c r="CH297" s="265"/>
      <c r="CI297" s="265"/>
      <c r="CJ297" s="265"/>
      <c r="CK297" s="265"/>
      <c r="CL297" s="265"/>
      <c r="CM297" s="265"/>
      <c r="CN297" s="265"/>
      <c r="CO297" s="265"/>
      <c r="CP297" s="265"/>
      <c r="CQ297" s="265"/>
      <c r="CR297" s="265"/>
      <c r="CS297" s="265"/>
      <c r="CT297" s="265"/>
      <c r="CU297" s="265"/>
      <c r="CV297" s="265"/>
      <c r="CW297" s="265"/>
      <c r="CX297" s="265"/>
      <c r="CY297" s="265"/>
      <c r="CZ297" s="268"/>
    </row>
    <row r="298" spans="1:104" hidden="1" outlineLevel="1">
      <c r="A298" s="265"/>
      <c r="B298" s="265" t="s">
        <v>717</v>
      </c>
      <c r="C298" s="116"/>
      <c r="D298" s="1048"/>
      <c r="E298" s="265"/>
      <c r="F298" s="265"/>
      <c r="G298" s="265"/>
      <c r="H298" s="265"/>
      <c r="I298" s="265"/>
      <c r="J298" s="1000"/>
      <c r="K298" s="265"/>
      <c r="L298" s="265"/>
      <c r="M298" s="265"/>
      <c r="N298" s="265"/>
      <c r="O298" s="1000"/>
      <c r="P298" s="265"/>
      <c r="Q298" s="265"/>
      <c r="R298" s="265"/>
      <c r="S298" s="265"/>
      <c r="T298" s="1000"/>
      <c r="U298" s="265"/>
      <c r="V298" s="265"/>
      <c r="W298" s="265"/>
      <c r="X298" s="265"/>
      <c r="Y298" s="1000"/>
      <c r="Z298" s="265"/>
      <c r="AA298" s="265"/>
      <c r="AB298" s="265"/>
      <c r="AC298" s="265"/>
      <c r="AD298" s="1047"/>
      <c r="AE298" s="265"/>
      <c r="AF298" s="265"/>
      <c r="AG298" s="265"/>
      <c r="AH298" s="265"/>
      <c r="AI298" s="1047"/>
      <c r="AJ298" s="265"/>
      <c r="AK298" s="265"/>
      <c r="AL298" s="265"/>
      <c r="AM298" s="265"/>
      <c r="AN298" s="1047"/>
      <c r="AO298" s="1000"/>
      <c r="AP298" s="1000"/>
      <c r="AQ298" s="1000"/>
      <c r="AR298" s="1000"/>
      <c r="AS298" s="1049"/>
      <c r="AT298" s="265"/>
      <c r="AU298" s="265"/>
      <c r="AV298" s="265"/>
      <c r="AW298" s="265"/>
      <c r="AX298" s="1049"/>
      <c r="AY298" s="265"/>
      <c r="AZ298" s="265"/>
      <c r="BA298" s="265"/>
      <c r="BB298" s="265"/>
      <c r="BC298" s="1050" t="s">
        <v>724</v>
      </c>
      <c r="BD298" s="265"/>
      <c r="BE298" s="265"/>
      <c r="BF298" s="265"/>
      <c r="BG298" s="265"/>
      <c r="BH298" s="265"/>
      <c r="BI298" s="1049"/>
      <c r="BJ298" s="1049"/>
      <c r="BK298" s="1049"/>
      <c r="BL298" s="1049"/>
      <c r="BM298" s="1049"/>
      <c r="BN298" s="265"/>
      <c r="BO298" s="265"/>
      <c r="BP298" s="265"/>
      <c r="BQ298" s="265"/>
      <c r="BR298" s="265"/>
      <c r="BS298" s="265"/>
      <c r="BT298" s="265"/>
      <c r="BU298" s="265"/>
      <c r="BV298" s="265"/>
      <c r="BW298" s="265"/>
      <c r="BX298" s="265"/>
      <c r="BY298" s="265"/>
      <c r="BZ298" s="265"/>
      <c r="CA298" s="265"/>
      <c r="CB298" s="265"/>
      <c r="CC298" s="265"/>
      <c r="CD298" s="265"/>
      <c r="CE298" s="265"/>
      <c r="CF298" s="265"/>
      <c r="CG298" s="265"/>
      <c r="CH298" s="265"/>
      <c r="CI298" s="265"/>
      <c r="CJ298" s="265"/>
      <c r="CK298" s="265"/>
      <c r="CL298" s="265"/>
      <c r="CM298" s="265"/>
      <c r="CN298" s="265"/>
      <c r="CO298" s="265"/>
      <c r="CP298" s="265"/>
      <c r="CQ298" s="265"/>
      <c r="CR298" s="265"/>
      <c r="CS298" s="265"/>
      <c r="CT298" s="265"/>
      <c r="CU298" s="265"/>
      <c r="CV298" s="265"/>
      <c r="CW298" s="265"/>
      <c r="CX298" s="265"/>
      <c r="CY298" s="265"/>
      <c r="CZ298" s="268"/>
    </row>
    <row r="299" spans="1:104" hidden="1" outlineLevel="1">
      <c r="A299" s="265"/>
      <c r="B299" s="265" t="s">
        <v>163</v>
      </c>
      <c r="C299" s="116"/>
      <c r="D299" s="1048"/>
      <c r="E299" s="265"/>
      <c r="F299" s="265"/>
      <c r="G299" s="265"/>
      <c r="H299" s="265"/>
      <c r="I299" s="265"/>
      <c r="J299" s="1000"/>
      <c r="K299" s="265"/>
      <c r="L299" s="265"/>
      <c r="M299" s="265"/>
      <c r="N299" s="265"/>
      <c r="O299" s="1000"/>
      <c r="P299" s="265"/>
      <c r="Q299" s="265"/>
      <c r="R299" s="265"/>
      <c r="S299" s="265"/>
      <c r="T299" s="1000"/>
      <c r="U299" s="265"/>
      <c r="V299" s="265"/>
      <c r="W299" s="265"/>
      <c r="X299" s="265"/>
      <c r="Y299" s="1000"/>
      <c r="Z299" s="265"/>
      <c r="AA299" s="265"/>
      <c r="AB299" s="265"/>
      <c r="AC299" s="265"/>
      <c r="AD299" s="1047"/>
      <c r="AE299" s="265"/>
      <c r="AF299" s="265"/>
      <c r="AG299" s="265"/>
      <c r="AH299" s="265"/>
      <c r="AI299" s="1047"/>
      <c r="AJ299" s="265"/>
      <c r="AK299" s="265"/>
      <c r="AL299" s="265"/>
      <c r="AM299" s="265"/>
      <c r="AN299" s="1047"/>
      <c r="AO299" s="1000"/>
      <c r="AP299" s="1000"/>
      <c r="AQ299" s="1000"/>
      <c r="AR299" s="1000"/>
      <c r="AS299" s="1049"/>
      <c r="AT299" s="265"/>
      <c r="AU299" s="265"/>
      <c r="AV299" s="265"/>
      <c r="AW299" s="265"/>
      <c r="AX299" s="1049"/>
      <c r="AY299" s="265"/>
      <c r="AZ299" s="265"/>
      <c r="BA299" s="265"/>
      <c r="BB299" s="265"/>
      <c r="BC299" s="1050"/>
      <c r="BD299" s="265"/>
      <c r="BE299" s="265"/>
      <c r="BF299" s="265"/>
      <c r="BG299" s="265"/>
      <c r="BH299" s="265"/>
      <c r="BI299" s="1049"/>
      <c r="BJ299" s="1049"/>
      <c r="BK299" s="1049"/>
      <c r="BL299" s="1049"/>
      <c r="BM299" s="1049"/>
      <c r="BN299" s="265"/>
      <c r="BO299" s="265"/>
      <c r="BP299" s="265"/>
      <c r="BQ299" s="265"/>
      <c r="BR299" s="265"/>
      <c r="BS299" s="265"/>
      <c r="BT299" s="265"/>
      <c r="BU299" s="265"/>
      <c r="BV299" s="265"/>
      <c r="BW299" s="265"/>
      <c r="BX299" s="265"/>
      <c r="BY299" s="265"/>
      <c r="BZ299" s="265"/>
      <c r="CA299" s="265"/>
      <c r="CB299" s="265"/>
      <c r="CC299" s="265"/>
      <c r="CD299" s="265"/>
      <c r="CE299" s="265"/>
      <c r="CF299" s="265"/>
      <c r="CG299" s="265"/>
      <c r="CH299" s="265"/>
      <c r="CI299" s="265"/>
      <c r="CJ299" s="265"/>
      <c r="CK299" s="265"/>
      <c r="CL299" s="265"/>
      <c r="CM299" s="265"/>
      <c r="CN299" s="265"/>
      <c r="CO299" s="265"/>
      <c r="CP299" s="265"/>
      <c r="CQ299" s="265"/>
      <c r="CR299" s="265"/>
      <c r="CS299" s="265"/>
      <c r="CT299" s="265"/>
      <c r="CU299" s="265"/>
      <c r="CV299" s="265"/>
      <c r="CW299" s="265"/>
      <c r="CX299" s="265"/>
      <c r="CY299" s="265"/>
      <c r="CZ299" s="268"/>
    </row>
    <row r="300" spans="1:104" hidden="1" outlineLevel="1">
      <c r="A300" s="265"/>
      <c r="B300" s="265"/>
      <c r="C300" s="116"/>
      <c r="D300" s="1048"/>
      <c r="E300" s="265"/>
      <c r="F300" s="265"/>
      <c r="G300" s="265"/>
      <c r="H300" s="265"/>
      <c r="I300" s="265"/>
      <c r="J300" s="1000"/>
      <c r="K300" s="265"/>
      <c r="L300" s="265"/>
      <c r="M300" s="265"/>
      <c r="N300" s="265"/>
      <c r="O300" s="1000"/>
      <c r="P300" s="265"/>
      <c r="Q300" s="265"/>
      <c r="R300" s="265"/>
      <c r="S300" s="265"/>
      <c r="T300" s="1000"/>
      <c r="U300" s="265"/>
      <c r="V300" s="265"/>
      <c r="W300" s="265"/>
      <c r="X300" s="265"/>
      <c r="Y300" s="1000"/>
      <c r="Z300" s="265"/>
      <c r="AA300" s="265"/>
      <c r="AB300" s="265"/>
      <c r="AC300" s="265"/>
      <c r="AD300" s="1047"/>
      <c r="AE300" s="265"/>
      <c r="AF300" s="265"/>
      <c r="AG300" s="265"/>
      <c r="AH300" s="265"/>
      <c r="AI300" s="1047"/>
      <c r="AJ300" s="265"/>
      <c r="AK300" s="265"/>
      <c r="AL300" s="265"/>
      <c r="AM300" s="265"/>
      <c r="AN300" s="1047"/>
      <c r="AO300" s="1000"/>
      <c r="AP300" s="1000"/>
      <c r="AQ300" s="1000"/>
      <c r="AR300" s="1000"/>
      <c r="AS300" s="1049"/>
      <c r="AT300" s="265"/>
      <c r="AU300" s="265"/>
      <c r="AV300" s="265"/>
      <c r="AW300" s="265"/>
      <c r="AX300" s="1049"/>
      <c r="AY300" s="265"/>
      <c r="AZ300" s="265"/>
      <c r="BA300" s="265"/>
      <c r="BB300" s="265"/>
      <c r="BC300" s="268"/>
      <c r="BD300" s="265"/>
      <c r="BE300" s="265"/>
      <c r="BF300" s="265"/>
      <c r="BG300" s="265"/>
      <c r="BH300" s="265"/>
      <c r="BI300" s="1049"/>
      <c r="BJ300" s="1049"/>
      <c r="BK300" s="1049"/>
      <c r="BL300" s="1049"/>
      <c r="BM300" s="1049"/>
      <c r="BN300" s="265"/>
      <c r="BO300" s="265"/>
      <c r="BP300" s="265"/>
      <c r="BQ300" s="265"/>
      <c r="BR300" s="265"/>
      <c r="BS300" s="265"/>
      <c r="BT300" s="265"/>
      <c r="BU300" s="265"/>
      <c r="BV300" s="265"/>
      <c r="BW300" s="265"/>
      <c r="BX300" s="265"/>
      <c r="BY300" s="265"/>
      <c r="BZ300" s="265"/>
      <c r="CA300" s="265"/>
      <c r="CB300" s="265"/>
      <c r="CC300" s="265"/>
      <c r="CD300" s="265"/>
      <c r="CE300" s="265"/>
      <c r="CF300" s="265"/>
      <c r="CG300" s="265"/>
      <c r="CH300" s="265"/>
      <c r="CI300" s="265"/>
      <c r="CJ300" s="265"/>
      <c r="CK300" s="265"/>
      <c r="CL300" s="265"/>
      <c r="CM300" s="265"/>
      <c r="CN300" s="265"/>
      <c r="CO300" s="265"/>
      <c r="CP300" s="265"/>
      <c r="CQ300" s="265"/>
      <c r="CR300" s="265"/>
      <c r="CS300" s="265"/>
      <c r="CT300" s="265"/>
      <c r="CU300" s="265"/>
      <c r="CV300" s="265"/>
      <c r="CW300" s="265"/>
      <c r="CX300" s="265"/>
      <c r="CY300" s="265"/>
      <c r="CZ300" s="268"/>
    </row>
    <row r="301" spans="1:104" hidden="1" outlineLevel="1">
      <c r="A301" s="265"/>
      <c r="B301" s="1052" t="s">
        <v>723</v>
      </c>
      <c r="C301" s="116"/>
      <c r="D301" s="1048"/>
      <c r="E301" s="265"/>
      <c r="F301" s="265"/>
      <c r="G301" s="265"/>
      <c r="H301" s="265"/>
      <c r="I301" s="265"/>
      <c r="J301" s="1000"/>
      <c r="K301" s="265"/>
      <c r="L301" s="265"/>
      <c r="M301" s="265"/>
      <c r="N301" s="265"/>
      <c r="O301" s="1000"/>
      <c r="P301" s="265"/>
      <c r="Q301" s="265"/>
      <c r="R301" s="265"/>
      <c r="S301" s="265"/>
      <c r="T301" s="1000"/>
      <c r="U301" s="265"/>
      <c r="V301" s="265"/>
      <c r="W301" s="265"/>
      <c r="X301" s="265"/>
      <c r="Y301" s="1000"/>
      <c r="Z301" s="265"/>
      <c r="AA301" s="265"/>
      <c r="AB301" s="265"/>
      <c r="AC301" s="265"/>
      <c r="AD301" s="1047"/>
      <c r="AE301" s="265"/>
      <c r="AF301" s="265"/>
      <c r="AG301" s="265"/>
      <c r="AH301" s="265"/>
      <c r="AI301" s="1047"/>
      <c r="AJ301" s="265"/>
      <c r="AK301" s="265"/>
      <c r="AL301" s="265"/>
      <c r="AM301" s="265"/>
      <c r="AN301" s="1047"/>
      <c r="AO301" s="1000"/>
      <c r="AP301" s="1000"/>
      <c r="AQ301" s="1000"/>
      <c r="AR301" s="1000"/>
      <c r="AS301" s="1049"/>
      <c r="AT301" s="265"/>
      <c r="AU301" s="265"/>
      <c r="AV301" s="265"/>
      <c r="AW301" s="265"/>
      <c r="AX301" s="1049"/>
      <c r="AY301" s="265"/>
      <c r="AZ301" s="265"/>
      <c r="BA301" s="265"/>
      <c r="BB301" s="265"/>
      <c r="BC301" s="268"/>
      <c r="BD301" s="265"/>
      <c r="BE301" s="265"/>
      <c r="BF301" s="265"/>
      <c r="BG301" s="265"/>
      <c r="BH301" s="265"/>
      <c r="BI301" s="1049"/>
      <c r="BJ301" s="1049"/>
      <c r="BK301" s="1049"/>
      <c r="BL301" s="1049"/>
      <c r="BM301" s="1049"/>
      <c r="BN301" s="265"/>
      <c r="BO301" s="265"/>
      <c r="BP301" s="265"/>
      <c r="BQ301" s="265"/>
      <c r="BR301" s="265"/>
      <c r="BS301" s="265"/>
      <c r="BT301" s="265"/>
      <c r="BU301" s="265"/>
      <c r="BV301" s="265"/>
      <c r="BW301" s="265"/>
      <c r="BX301" s="265"/>
      <c r="BY301" s="265"/>
      <c r="BZ301" s="265"/>
      <c r="CA301" s="265"/>
      <c r="CB301" s="265"/>
      <c r="CC301" s="265"/>
      <c r="CD301" s="265"/>
      <c r="CE301" s="265"/>
      <c r="CF301" s="265"/>
      <c r="CG301" s="265"/>
      <c r="CH301" s="265"/>
      <c r="CI301" s="265"/>
      <c r="CJ301" s="265"/>
      <c r="CK301" s="265"/>
      <c r="CL301" s="265"/>
      <c r="CM301" s="265"/>
      <c r="CN301" s="265"/>
      <c r="CO301" s="265"/>
      <c r="CP301" s="265"/>
      <c r="CQ301" s="265"/>
      <c r="CR301" s="265"/>
      <c r="CS301" s="265"/>
      <c r="CT301" s="265"/>
      <c r="CU301" s="265"/>
      <c r="CV301" s="265"/>
      <c r="CW301" s="265"/>
      <c r="CX301" s="265"/>
      <c r="CY301" s="265"/>
      <c r="CZ301" s="268"/>
    </row>
    <row r="302" spans="1:104" hidden="1" outlineLevel="1">
      <c r="A302" s="265"/>
      <c r="B302" s="1051" t="s">
        <v>309</v>
      </c>
      <c r="C302" s="116"/>
      <c r="D302" s="1048"/>
      <c r="E302" s="265"/>
      <c r="F302" s="265"/>
      <c r="G302" s="265"/>
      <c r="H302" s="265"/>
      <c r="I302" s="265"/>
      <c r="J302" s="1000"/>
      <c r="K302" s="265"/>
      <c r="L302" s="265"/>
      <c r="M302" s="265"/>
      <c r="N302" s="265"/>
      <c r="O302" s="1000"/>
      <c r="P302" s="265"/>
      <c r="Q302" s="265"/>
      <c r="R302" s="265"/>
      <c r="S302" s="265"/>
      <c r="T302" s="1000"/>
      <c r="U302" s="265"/>
      <c r="V302" s="265"/>
      <c r="W302" s="265"/>
      <c r="X302" s="265"/>
      <c r="Y302" s="1000"/>
      <c r="Z302" s="265"/>
      <c r="AA302" s="265"/>
      <c r="AB302" s="265"/>
      <c r="AC302" s="265"/>
      <c r="AD302" s="1047"/>
      <c r="AE302" s="265"/>
      <c r="AF302" s="265"/>
      <c r="AG302" s="265"/>
      <c r="AH302" s="265"/>
      <c r="AI302" s="1047"/>
      <c r="AJ302" s="265"/>
      <c r="AK302" s="265"/>
      <c r="AL302" s="265"/>
      <c r="AM302" s="265"/>
      <c r="AN302" s="1047"/>
      <c r="AO302" s="1000"/>
      <c r="AP302" s="1000"/>
      <c r="AQ302" s="1000"/>
      <c r="AR302" s="1000"/>
      <c r="AS302" s="1049"/>
      <c r="AT302" s="265"/>
      <c r="AU302" s="265"/>
      <c r="AV302" s="265"/>
      <c r="AW302" s="265"/>
      <c r="AX302" s="1049"/>
      <c r="AY302" s="265"/>
      <c r="AZ302" s="265"/>
      <c r="BA302" s="265"/>
      <c r="BB302" s="265"/>
      <c r="BC302" s="1050" t="s">
        <v>722</v>
      </c>
      <c r="BD302" s="265"/>
      <c r="BE302" s="265"/>
      <c r="BF302" s="265"/>
      <c r="BG302" s="265"/>
      <c r="BH302" s="265"/>
      <c r="BI302" s="1049"/>
      <c r="BJ302" s="1049"/>
      <c r="BK302" s="1049"/>
      <c r="BL302" s="1049"/>
      <c r="BM302" s="1049"/>
      <c r="BN302" s="265"/>
      <c r="BO302" s="265"/>
      <c r="BP302" s="265"/>
      <c r="BQ302" s="265"/>
      <c r="BR302" s="265"/>
      <c r="BS302" s="265"/>
      <c r="BT302" s="265"/>
      <c r="BU302" s="265"/>
      <c r="BV302" s="265"/>
      <c r="BW302" s="265"/>
      <c r="BX302" s="265"/>
      <c r="BY302" s="265"/>
      <c r="BZ302" s="265"/>
      <c r="CA302" s="265"/>
      <c r="CB302" s="265"/>
      <c r="CC302" s="265"/>
      <c r="CD302" s="265"/>
      <c r="CE302" s="265"/>
      <c r="CF302" s="265"/>
      <c r="CG302" s="265"/>
      <c r="CH302" s="265"/>
      <c r="CI302" s="265"/>
      <c r="CJ302" s="265"/>
      <c r="CK302" s="265"/>
      <c r="CL302" s="265"/>
      <c r="CM302" s="265"/>
      <c r="CN302" s="265"/>
      <c r="CO302" s="265"/>
      <c r="CP302" s="265"/>
      <c r="CQ302" s="265"/>
      <c r="CR302" s="265"/>
      <c r="CS302" s="265"/>
      <c r="CT302" s="265"/>
      <c r="CU302" s="265"/>
      <c r="CV302" s="265"/>
      <c r="CW302" s="265"/>
      <c r="CX302" s="265"/>
      <c r="CY302" s="265"/>
      <c r="CZ302" s="268"/>
    </row>
    <row r="303" spans="1:104" hidden="1" outlineLevel="1">
      <c r="A303" s="265"/>
      <c r="B303" s="1051" t="s">
        <v>167</v>
      </c>
      <c r="C303" s="116"/>
      <c r="D303" s="1048"/>
      <c r="E303" s="265"/>
      <c r="F303" s="265"/>
      <c r="G303" s="265"/>
      <c r="H303" s="265"/>
      <c r="I303" s="265"/>
      <c r="J303" s="1000"/>
      <c r="K303" s="265"/>
      <c r="L303" s="265"/>
      <c r="M303" s="265"/>
      <c r="N303" s="265"/>
      <c r="O303" s="1000"/>
      <c r="P303" s="265"/>
      <c r="Q303" s="265"/>
      <c r="R303" s="265"/>
      <c r="S303" s="265"/>
      <c r="T303" s="1000"/>
      <c r="U303" s="265"/>
      <c r="V303" s="265"/>
      <c r="W303" s="265"/>
      <c r="X303" s="265"/>
      <c r="Y303" s="1000"/>
      <c r="Z303" s="265"/>
      <c r="AA303" s="265"/>
      <c r="AB303" s="265"/>
      <c r="AC303" s="265"/>
      <c r="AD303" s="1047"/>
      <c r="AE303" s="265"/>
      <c r="AF303" s="265"/>
      <c r="AG303" s="265"/>
      <c r="AH303" s="265"/>
      <c r="AI303" s="1047"/>
      <c r="AJ303" s="265"/>
      <c r="AK303" s="265"/>
      <c r="AL303" s="265"/>
      <c r="AM303" s="265"/>
      <c r="AN303" s="1047"/>
      <c r="AO303" s="1000"/>
      <c r="AP303" s="1000"/>
      <c r="AQ303" s="1000"/>
      <c r="AR303" s="1000"/>
      <c r="AS303" s="1049"/>
      <c r="AT303" s="265"/>
      <c r="AU303" s="265"/>
      <c r="AV303" s="265"/>
      <c r="AW303" s="265"/>
      <c r="AX303" s="1049"/>
      <c r="AY303" s="265"/>
      <c r="AZ303" s="265"/>
      <c r="BA303" s="265"/>
      <c r="BB303" s="265"/>
      <c r="BC303" s="1050" t="s">
        <v>721</v>
      </c>
      <c r="BD303" s="265"/>
      <c r="BE303" s="265"/>
      <c r="BF303" s="265"/>
      <c r="BG303" s="265"/>
      <c r="BH303" s="265"/>
      <c r="BI303" s="1049"/>
      <c r="BJ303" s="1049"/>
      <c r="BK303" s="1049"/>
      <c r="BL303" s="1049"/>
      <c r="BM303" s="1049"/>
      <c r="BN303" s="265"/>
      <c r="BO303" s="265"/>
      <c r="BP303" s="265"/>
      <c r="BQ303" s="265"/>
      <c r="BR303" s="265"/>
      <c r="BS303" s="265"/>
      <c r="BT303" s="265"/>
      <c r="BU303" s="265"/>
      <c r="BV303" s="265"/>
      <c r="BW303" s="265"/>
      <c r="BX303" s="265"/>
      <c r="BY303" s="265"/>
      <c r="BZ303" s="265"/>
      <c r="CA303" s="265"/>
      <c r="CB303" s="265"/>
      <c r="CC303" s="265"/>
      <c r="CD303" s="265"/>
      <c r="CE303" s="265"/>
      <c r="CF303" s="265"/>
      <c r="CG303" s="265"/>
      <c r="CH303" s="265"/>
      <c r="CI303" s="265"/>
      <c r="CJ303" s="265"/>
      <c r="CK303" s="265"/>
      <c r="CL303" s="265"/>
      <c r="CM303" s="265"/>
      <c r="CN303" s="265"/>
      <c r="CO303" s="265"/>
      <c r="CP303" s="265"/>
      <c r="CQ303" s="265"/>
      <c r="CR303" s="265"/>
      <c r="CS303" s="265"/>
      <c r="CT303" s="265"/>
      <c r="CU303" s="265"/>
      <c r="CV303" s="265"/>
      <c r="CW303" s="265"/>
      <c r="CX303" s="265"/>
      <c r="CY303" s="265"/>
      <c r="CZ303" s="268"/>
    </row>
    <row r="304" spans="1:104" hidden="1" outlineLevel="1">
      <c r="A304" s="265"/>
      <c r="B304" s="1051" t="s">
        <v>720</v>
      </c>
      <c r="C304" s="116"/>
      <c r="D304" s="1048"/>
      <c r="E304" s="265"/>
      <c r="F304" s="265"/>
      <c r="G304" s="265"/>
      <c r="H304" s="265"/>
      <c r="I304" s="265"/>
      <c r="J304" s="1000"/>
      <c r="K304" s="265"/>
      <c r="L304" s="265"/>
      <c r="M304" s="265"/>
      <c r="N304" s="265"/>
      <c r="O304" s="1000"/>
      <c r="P304" s="265"/>
      <c r="Q304" s="265"/>
      <c r="R304" s="265"/>
      <c r="S304" s="265"/>
      <c r="T304" s="1000"/>
      <c r="U304" s="265"/>
      <c r="V304" s="265"/>
      <c r="W304" s="265"/>
      <c r="X304" s="265"/>
      <c r="Y304" s="1000"/>
      <c r="Z304" s="265"/>
      <c r="AA304" s="265"/>
      <c r="AB304" s="265"/>
      <c r="AC304" s="265"/>
      <c r="AD304" s="1047"/>
      <c r="AE304" s="265"/>
      <c r="AF304" s="265"/>
      <c r="AG304" s="265"/>
      <c r="AH304" s="265"/>
      <c r="AI304" s="1047"/>
      <c r="AJ304" s="265"/>
      <c r="AK304" s="265"/>
      <c r="AL304" s="265"/>
      <c r="AM304" s="265"/>
      <c r="AN304" s="1047"/>
      <c r="AO304" s="1000"/>
      <c r="AP304" s="1000"/>
      <c r="AQ304" s="1000"/>
      <c r="AR304" s="1000"/>
      <c r="AS304" s="1049"/>
      <c r="AT304" s="265"/>
      <c r="AU304" s="265"/>
      <c r="AV304" s="265"/>
      <c r="AW304" s="265"/>
      <c r="AX304" s="1049"/>
      <c r="AY304" s="265"/>
      <c r="AZ304" s="265"/>
      <c r="BA304" s="265"/>
      <c r="BB304" s="265"/>
      <c r="BC304" s="1050" t="s">
        <v>719</v>
      </c>
      <c r="BD304" s="265"/>
      <c r="BE304" s="265"/>
      <c r="BF304" s="265"/>
      <c r="BG304" s="265"/>
      <c r="BH304" s="265"/>
      <c r="BI304" s="1049"/>
      <c r="BJ304" s="1049"/>
      <c r="BK304" s="1049"/>
      <c r="BL304" s="1049"/>
      <c r="BM304" s="1049"/>
      <c r="BN304" s="265"/>
      <c r="BO304" s="265"/>
      <c r="BP304" s="265"/>
      <c r="BQ304" s="265"/>
      <c r="BR304" s="265"/>
      <c r="BS304" s="265"/>
      <c r="BT304" s="265"/>
      <c r="BU304" s="265"/>
      <c r="BV304" s="265"/>
      <c r="BW304" s="265"/>
      <c r="BX304" s="265"/>
      <c r="BY304" s="265"/>
      <c r="BZ304" s="265"/>
      <c r="CA304" s="265"/>
      <c r="CB304" s="265"/>
      <c r="CC304" s="265"/>
      <c r="CD304" s="265"/>
      <c r="CE304" s="265"/>
      <c r="CF304" s="265"/>
      <c r="CG304" s="265"/>
      <c r="CH304" s="265"/>
      <c r="CI304" s="265"/>
      <c r="CJ304" s="265"/>
      <c r="CK304" s="265"/>
      <c r="CL304" s="265"/>
      <c r="CM304" s="265"/>
      <c r="CN304" s="265"/>
      <c r="CO304" s="265"/>
      <c r="CP304" s="265"/>
      <c r="CQ304" s="265"/>
      <c r="CR304" s="265"/>
      <c r="CS304" s="265"/>
      <c r="CT304" s="265"/>
      <c r="CU304" s="265"/>
      <c r="CV304" s="265"/>
      <c r="CW304" s="265"/>
      <c r="CX304" s="265"/>
      <c r="CY304" s="265"/>
      <c r="CZ304" s="268"/>
    </row>
    <row r="305" spans="1:104" hidden="1" outlineLevel="1">
      <c r="A305" s="265"/>
      <c r="B305" s="1051" t="s">
        <v>165</v>
      </c>
      <c r="C305" s="116"/>
      <c r="D305" s="1048"/>
      <c r="E305" s="265"/>
      <c r="F305" s="265"/>
      <c r="G305" s="265"/>
      <c r="H305" s="265"/>
      <c r="I305" s="265"/>
      <c r="J305" s="1000"/>
      <c r="K305" s="265"/>
      <c r="L305" s="265"/>
      <c r="M305" s="265"/>
      <c r="N305" s="265"/>
      <c r="O305" s="1000"/>
      <c r="P305" s="265"/>
      <c r="Q305" s="265"/>
      <c r="R305" s="265"/>
      <c r="S305" s="265"/>
      <c r="T305" s="1000"/>
      <c r="U305" s="265"/>
      <c r="V305" s="265"/>
      <c r="W305" s="265"/>
      <c r="X305" s="265"/>
      <c r="Y305" s="1000"/>
      <c r="Z305" s="265"/>
      <c r="AA305" s="265"/>
      <c r="AB305" s="265"/>
      <c r="AC305" s="265"/>
      <c r="AD305" s="1047"/>
      <c r="AE305" s="265"/>
      <c r="AF305" s="265"/>
      <c r="AG305" s="265"/>
      <c r="AH305" s="265"/>
      <c r="AI305" s="1047"/>
      <c r="AJ305" s="265"/>
      <c r="AK305" s="265"/>
      <c r="AL305" s="265"/>
      <c r="AM305" s="265"/>
      <c r="AN305" s="1047"/>
      <c r="AO305" s="1000"/>
      <c r="AP305" s="1000"/>
      <c r="AQ305" s="1000"/>
      <c r="AR305" s="1000"/>
      <c r="AS305" s="1049"/>
      <c r="AT305" s="265"/>
      <c r="AU305" s="265"/>
      <c r="AV305" s="265"/>
      <c r="AW305" s="265"/>
      <c r="AX305" s="1049"/>
      <c r="AY305" s="265"/>
      <c r="AZ305" s="265"/>
      <c r="BA305" s="265"/>
      <c r="BB305" s="265"/>
      <c r="BC305" s="1050" t="s">
        <v>718</v>
      </c>
      <c r="BD305" s="265"/>
      <c r="BE305" s="265"/>
      <c r="BF305" s="265"/>
      <c r="BG305" s="265"/>
      <c r="BH305" s="265"/>
      <c r="BI305" s="1049"/>
      <c r="BJ305" s="1049"/>
      <c r="BK305" s="1049"/>
      <c r="BL305" s="1049"/>
      <c r="BM305" s="1049"/>
      <c r="BN305" s="265"/>
      <c r="BO305" s="265"/>
      <c r="BP305" s="265"/>
      <c r="BQ305" s="265"/>
      <c r="BR305" s="265"/>
      <c r="BS305" s="265"/>
      <c r="BT305" s="265"/>
      <c r="BU305" s="265"/>
      <c r="BV305" s="265"/>
      <c r="BW305" s="265"/>
      <c r="BX305" s="265"/>
      <c r="BY305" s="265"/>
      <c r="BZ305" s="265"/>
      <c r="CA305" s="265"/>
      <c r="CB305" s="265"/>
      <c r="CC305" s="265"/>
      <c r="CD305" s="265"/>
      <c r="CE305" s="265"/>
      <c r="CF305" s="265"/>
      <c r="CG305" s="265"/>
      <c r="CH305" s="265"/>
      <c r="CI305" s="265"/>
      <c r="CJ305" s="265"/>
      <c r="CK305" s="265"/>
      <c r="CL305" s="265"/>
      <c r="CM305" s="265"/>
      <c r="CN305" s="265"/>
      <c r="CO305" s="265"/>
      <c r="CP305" s="265"/>
      <c r="CQ305" s="265"/>
      <c r="CR305" s="265"/>
      <c r="CS305" s="265"/>
      <c r="CT305" s="265"/>
      <c r="CU305" s="265"/>
      <c r="CV305" s="265"/>
      <c r="CW305" s="265"/>
      <c r="CX305" s="265"/>
      <c r="CY305" s="265"/>
      <c r="CZ305" s="268"/>
    </row>
    <row r="306" spans="1:104" hidden="1" outlineLevel="1">
      <c r="A306" s="265"/>
      <c r="B306" s="1051" t="s">
        <v>717</v>
      </c>
      <c r="C306" s="116"/>
      <c r="D306" s="1048"/>
      <c r="E306" s="265"/>
      <c r="F306" s="265"/>
      <c r="G306" s="265"/>
      <c r="H306" s="265"/>
      <c r="I306" s="265"/>
      <c r="J306" s="1000"/>
      <c r="K306" s="265"/>
      <c r="L306" s="265"/>
      <c r="M306" s="265"/>
      <c r="N306" s="265"/>
      <c r="O306" s="1000"/>
      <c r="P306" s="265"/>
      <c r="Q306" s="265"/>
      <c r="R306" s="265"/>
      <c r="S306" s="265"/>
      <c r="T306" s="1000"/>
      <c r="U306" s="265"/>
      <c r="V306" s="265"/>
      <c r="W306" s="265"/>
      <c r="X306" s="265"/>
      <c r="Y306" s="1000"/>
      <c r="Z306" s="265"/>
      <c r="AA306" s="265"/>
      <c r="AB306" s="265"/>
      <c r="AC306" s="265"/>
      <c r="AD306" s="1047"/>
      <c r="AE306" s="265"/>
      <c r="AF306" s="265"/>
      <c r="AG306" s="265"/>
      <c r="AH306" s="265"/>
      <c r="AI306" s="1047"/>
      <c r="AJ306" s="265"/>
      <c r="AK306" s="265"/>
      <c r="AL306" s="265"/>
      <c r="AM306" s="265"/>
      <c r="AN306" s="1047"/>
      <c r="AO306" s="1000"/>
      <c r="AP306" s="1000"/>
      <c r="AQ306" s="1000"/>
      <c r="AR306" s="1000"/>
      <c r="AS306" s="1049"/>
      <c r="AT306" s="265"/>
      <c r="AU306" s="265"/>
      <c r="AV306" s="265"/>
      <c r="AW306" s="265"/>
      <c r="AX306" s="1049"/>
      <c r="AY306" s="265"/>
      <c r="AZ306" s="265"/>
      <c r="BA306" s="265"/>
      <c r="BB306" s="265"/>
      <c r="BC306" s="1050" t="s">
        <v>716</v>
      </c>
      <c r="BD306" s="265"/>
      <c r="BE306" s="265"/>
      <c r="BF306" s="265"/>
      <c r="BG306" s="265"/>
      <c r="BH306" s="265"/>
      <c r="BI306" s="1049"/>
      <c r="BJ306" s="1049"/>
      <c r="BK306" s="1049"/>
      <c r="BL306" s="1049"/>
      <c r="BM306" s="1049"/>
      <c r="BN306" s="265"/>
      <c r="BO306" s="265"/>
      <c r="BP306" s="265"/>
      <c r="BQ306" s="265"/>
      <c r="BR306" s="265"/>
      <c r="BS306" s="265"/>
      <c r="BT306" s="265"/>
      <c r="BU306" s="265"/>
      <c r="BV306" s="265"/>
      <c r="BW306" s="265"/>
      <c r="BX306" s="265"/>
      <c r="BY306" s="265"/>
      <c r="BZ306" s="265"/>
      <c r="CA306" s="265"/>
      <c r="CB306" s="265"/>
      <c r="CC306" s="265"/>
      <c r="CD306" s="265"/>
      <c r="CE306" s="265"/>
      <c r="CF306" s="265"/>
      <c r="CG306" s="265"/>
      <c r="CH306" s="265"/>
      <c r="CI306" s="265"/>
      <c r="CJ306" s="265"/>
      <c r="CK306" s="265"/>
      <c r="CL306" s="265"/>
      <c r="CM306" s="265"/>
      <c r="CN306" s="265"/>
      <c r="CO306" s="265"/>
      <c r="CP306" s="265"/>
      <c r="CQ306" s="265"/>
      <c r="CR306" s="265"/>
      <c r="CS306" s="265"/>
      <c r="CT306" s="265"/>
      <c r="CU306" s="265"/>
      <c r="CV306" s="265"/>
      <c r="CW306" s="265"/>
      <c r="CX306" s="265"/>
      <c r="CY306" s="265"/>
      <c r="CZ306" s="268"/>
    </row>
    <row r="307" spans="1:104" hidden="1" outlineLevel="1">
      <c r="A307" s="265"/>
      <c r="B307" s="1051" t="s">
        <v>163</v>
      </c>
      <c r="C307" s="116"/>
      <c r="D307" s="1048"/>
      <c r="E307" s="265"/>
      <c r="F307" s="265"/>
      <c r="G307" s="265"/>
      <c r="H307" s="265"/>
      <c r="I307" s="265"/>
      <c r="J307" s="1000"/>
      <c r="K307" s="265"/>
      <c r="L307" s="265"/>
      <c r="M307" s="265"/>
      <c r="N307" s="265"/>
      <c r="O307" s="1000"/>
      <c r="P307" s="265"/>
      <c r="Q307" s="265"/>
      <c r="R307" s="265"/>
      <c r="S307" s="265"/>
      <c r="T307" s="1000"/>
      <c r="U307" s="265"/>
      <c r="V307" s="265"/>
      <c r="W307" s="265"/>
      <c r="X307" s="265"/>
      <c r="Y307" s="1000"/>
      <c r="Z307" s="265"/>
      <c r="AA307" s="265"/>
      <c r="AB307" s="265"/>
      <c r="AC307" s="265"/>
      <c r="AD307" s="1047"/>
      <c r="AE307" s="265"/>
      <c r="AF307" s="265"/>
      <c r="AG307" s="265"/>
      <c r="AH307" s="265"/>
      <c r="AI307" s="1047"/>
      <c r="AJ307" s="265"/>
      <c r="AK307" s="265"/>
      <c r="AL307" s="265"/>
      <c r="AM307" s="265"/>
      <c r="AN307" s="1047"/>
      <c r="AO307" s="1000"/>
      <c r="AP307" s="1000"/>
      <c r="AQ307" s="1000"/>
      <c r="AR307" s="1000"/>
      <c r="AS307" s="1049"/>
      <c r="AT307" s="265"/>
      <c r="AU307" s="265"/>
      <c r="AV307" s="265"/>
      <c r="AW307" s="265"/>
      <c r="AX307" s="1049"/>
      <c r="AY307" s="265"/>
      <c r="AZ307" s="265"/>
      <c r="BA307" s="265"/>
      <c r="BB307" s="265"/>
      <c r="BC307" s="1050" t="s">
        <v>715</v>
      </c>
      <c r="BD307" s="265"/>
      <c r="BE307" s="265"/>
      <c r="BF307" s="265"/>
      <c r="BG307" s="265"/>
      <c r="BH307" s="265"/>
      <c r="BI307" s="1049"/>
      <c r="BJ307" s="1049"/>
      <c r="BK307" s="1049"/>
      <c r="BL307" s="1049"/>
      <c r="BM307" s="1049"/>
      <c r="BN307" s="265"/>
      <c r="BO307" s="265"/>
      <c r="BP307" s="265"/>
      <c r="BQ307" s="265"/>
      <c r="BR307" s="265"/>
      <c r="BS307" s="265"/>
      <c r="BT307" s="265"/>
      <c r="BU307" s="265"/>
      <c r="BV307" s="265"/>
      <c r="BW307" s="265"/>
      <c r="BX307" s="265"/>
      <c r="BY307" s="265"/>
      <c r="BZ307" s="265"/>
      <c r="CA307" s="265"/>
      <c r="CB307" s="265"/>
      <c r="CC307" s="265"/>
      <c r="CD307" s="265"/>
      <c r="CE307" s="265"/>
      <c r="CF307" s="265"/>
      <c r="CG307" s="265"/>
      <c r="CH307" s="265"/>
      <c r="CI307" s="265"/>
      <c r="CJ307" s="265"/>
      <c r="CK307" s="265"/>
      <c r="CL307" s="265"/>
      <c r="CM307" s="265"/>
      <c r="CN307" s="265"/>
      <c r="CO307" s="265"/>
      <c r="CP307" s="265"/>
      <c r="CQ307" s="265"/>
      <c r="CR307" s="265"/>
      <c r="CS307" s="265"/>
      <c r="CT307" s="265"/>
      <c r="CU307" s="265"/>
      <c r="CV307" s="265"/>
      <c r="CW307" s="265"/>
      <c r="CX307" s="265"/>
      <c r="CY307" s="265"/>
      <c r="CZ307" s="268"/>
    </row>
    <row r="308" spans="1:104" hidden="1" outlineLevel="1">
      <c r="A308" s="265"/>
      <c r="B308" s="265"/>
      <c r="C308" s="116"/>
      <c r="D308" s="1048"/>
      <c r="E308" s="265"/>
      <c r="F308" s="265"/>
      <c r="G308" s="265"/>
      <c r="H308" s="265"/>
      <c r="I308" s="265"/>
      <c r="J308" s="1000"/>
      <c r="K308" s="265"/>
      <c r="L308" s="265"/>
      <c r="M308" s="265"/>
      <c r="N308" s="265"/>
      <c r="O308" s="1000"/>
      <c r="P308" s="265"/>
      <c r="Q308" s="265"/>
      <c r="R308" s="265"/>
      <c r="S308" s="265"/>
      <c r="T308" s="1000"/>
      <c r="U308" s="265"/>
      <c r="V308" s="265"/>
      <c r="W308" s="265"/>
      <c r="X308" s="265"/>
      <c r="Y308" s="1000"/>
      <c r="Z308" s="265"/>
      <c r="AA308" s="265"/>
      <c r="AB308" s="265"/>
      <c r="AC308" s="265"/>
      <c r="AD308" s="1047"/>
      <c r="AE308" s="265"/>
      <c r="AF308" s="265"/>
      <c r="AG308" s="265"/>
      <c r="AH308" s="265"/>
      <c r="AI308" s="1047"/>
      <c r="AJ308" s="265"/>
      <c r="AK308" s="265"/>
      <c r="AL308" s="265"/>
      <c r="AM308" s="265"/>
      <c r="AN308" s="1047"/>
      <c r="AO308" s="1000"/>
      <c r="AP308" s="1000"/>
      <c r="AQ308" s="1000"/>
      <c r="AR308" s="1000"/>
      <c r="AS308" s="1049"/>
      <c r="AT308" s="265"/>
      <c r="AU308" s="265"/>
      <c r="AV308" s="265"/>
      <c r="AW308" s="265"/>
      <c r="AX308" s="1049"/>
      <c r="AY308" s="265"/>
      <c r="AZ308" s="265"/>
      <c r="BA308" s="265"/>
      <c r="BB308" s="265"/>
      <c r="BC308" s="1049"/>
      <c r="BD308" s="265"/>
      <c r="BE308" s="265"/>
      <c r="BF308" s="265"/>
      <c r="BG308" s="265"/>
      <c r="BH308" s="265"/>
      <c r="BI308" s="1049"/>
      <c r="BJ308" s="1049"/>
      <c r="BK308" s="1049"/>
      <c r="BL308" s="1049"/>
      <c r="BM308" s="1049"/>
      <c r="BN308" s="265"/>
      <c r="BO308" s="265"/>
      <c r="BP308" s="265"/>
      <c r="BQ308" s="265"/>
      <c r="BR308" s="265"/>
      <c r="BS308" s="265"/>
      <c r="BT308" s="265"/>
      <c r="BU308" s="265"/>
      <c r="BV308" s="265"/>
      <c r="BW308" s="265"/>
      <c r="BX308" s="265"/>
      <c r="BY308" s="265"/>
      <c r="BZ308" s="265"/>
      <c r="CA308" s="265"/>
      <c r="CB308" s="265"/>
      <c r="CC308" s="265"/>
      <c r="CD308" s="265"/>
      <c r="CE308" s="265"/>
      <c r="CF308" s="265"/>
      <c r="CG308" s="265"/>
      <c r="CH308" s="265"/>
      <c r="CI308" s="265"/>
      <c r="CJ308" s="265"/>
      <c r="CK308" s="265"/>
      <c r="CL308" s="265"/>
      <c r="CM308" s="265"/>
      <c r="CN308" s="265"/>
      <c r="CO308" s="265"/>
      <c r="CP308" s="265"/>
      <c r="CQ308" s="265"/>
      <c r="CR308" s="265"/>
      <c r="CS308" s="265"/>
      <c r="CT308" s="265"/>
      <c r="CU308" s="265"/>
      <c r="CV308" s="265"/>
      <c r="CW308" s="265"/>
      <c r="CX308" s="265"/>
      <c r="CY308" s="265"/>
      <c r="CZ308" s="268"/>
    </row>
    <row r="309" spans="1:104" hidden="1" outlineLevel="1">
      <c r="A309" s="265"/>
      <c r="B309" s="265"/>
      <c r="C309" s="302" t="s">
        <v>714</v>
      </c>
      <c r="D309" s="1048"/>
      <c r="E309" s="265"/>
      <c r="F309" s="265"/>
      <c r="G309" s="265"/>
      <c r="H309" s="265"/>
      <c r="I309" s="265"/>
      <c r="J309" s="1000"/>
      <c r="K309" s="265"/>
      <c r="L309" s="265"/>
      <c r="M309" s="265"/>
      <c r="N309" s="265"/>
      <c r="O309" s="1000"/>
      <c r="P309" s="265"/>
      <c r="Q309" s="265"/>
      <c r="R309" s="265"/>
      <c r="S309" s="265"/>
      <c r="T309" s="1000"/>
      <c r="U309" s="265"/>
      <c r="V309" s="265"/>
      <c r="W309" s="265"/>
      <c r="X309" s="265"/>
      <c r="Y309" s="1000"/>
      <c r="Z309" s="265"/>
      <c r="AA309" s="265"/>
      <c r="AB309" s="265"/>
      <c r="AC309" s="265"/>
      <c r="AD309" s="1047"/>
      <c r="AE309" s="265"/>
      <c r="AF309" s="265"/>
      <c r="AG309" s="265"/>
      <c r="AH309" s="265"/>
      <c r="AI309" s="1047"/>
      <c r="AJ309" s="265"/>
      <c r="AK309" s="265"/>
      <c r="AL309" s="265"/>
      <c r="AM309" s="265"/>
      <c r="AN309" s="1047"/>
      <c r="AO309" s="1000"/>
      <c r="AP309" s="1000"/>
      <c r="AQ309" s="1000"/>
      <c r="AR309" s="1000"/>
      <c r="AS309" s="1049"/>
      <c r="AT309" s="265"/>
      <c r="AU309" s="265"/>
      <c r="AV309" s="265"/>
      <c r="AW309" s="265"/>
      <c r="AX309" s="1049"/>
      <c r="AY309" s="265"/>
      <c r="AZ309" s="265"/>
      <c r="BA309" s="265"/>
      <c r="BB309" s="265"/>
      <c r="BC309" s="1050" t="s">
        <v>713</v>
      </c>
      <c r="BD309" s="265"/>
      <c r="BE309" s="265"/>
      <c r="BF309" s="265"/>
      <c r="BG309" s="265"/>
      <c r="BH309" s="265"/>
      <c r="BI309" s="1049"/>
      <c r="BJ309" s="1049"/>
      <c r="BK309" s="1049"/>
      <c r="BL309" s="1049"/>
      <c r="BM309" s="1049"/>
      <c r="BN309" s="265"/>
      <c r="BO309" s="265"/>
      <c r="BP309" s="265"/>
      <c r="BQ309" s="265"/>
      <c r="BR309" s="265"/>
      <c r="BS309" s="265"/>
      <c r="BT309" s="265"/>
      <c r="BU309" s="265"/>
      <c r="BV309" s="265"/>
      <c r="BW309" s="265"/>
      <c r="BX309" s="265"/>
      <c r="BY309" s="265"/>
      <c r="BZ309" s="265"/>
      <c r="CA309" s="265"/>
      <c r="CB309" s="265"/>
      <c r="CC309" s="265"/>
      <c r="CD309" s="265"/>
      <c r="CE309" s="265"/>
      <c r="CF309" s="265"/>
      <c r="CG309" s="265"/>
      <c r="CH309" s="265"/>
      <c r="CI309" s="265"/>
      <c r="CJ309" s="265"/>
      <c r="CK309" s="265"/>
      <c r="CL309" s="265"/>
      <c r="CM309" s="265"/>
      <c r="CN309" s="265"/>
      <c r="CO309" s="265"/>
      <c r="CP309" s="265"/>
      <c r="CQ309" s="265"/>
      <c r="CR309" s="265"/>
      <c r="CS309" s="265"/>
      <c r="CT309" s="265"/>
      <c r="CU309" s="265"/>
      <c r="CV309" s="265"/>
      <c r="CW309" s="265"/>
      <c r="CX309" s="265"/>
      <c r="CY309" s="265"/>
      <c r="CZ309" s="268"/>
    </row>
    <row r="310" spans="1:104" hidden="1" outlineLevel="1">
      <c r="A310" s="265"/>
      <c r="B310" s="265"/>
      <c r="C310" s="116" t="s">
        <v>712</v>
      </c>
      <c r="D310" s="1048"/>
      <c r="E310" s="265"/>
      <c r="F310" s="265"/>
      <c r="G310" s="265"/>
      <c r="H310" s="265"/>
      <c r="I310" s="265"/>
      <c r="J310" s="1000"/>
      <c r="K310" s="265"/>
      <c r="L310" s="265"/>
      <c r="M310" s="265"/>
      <c r="N310" s="265"/>
      <c r="O310" s="1000"/>
      <c r="P310" s="265"/>
      <c r="Q310" s="265"/>
      <c r="R310" s="265"/>
      <c r="S310" s="265"/>
      <c r="T310" s="1000"/>
      <c r="U310" s="265"/>
      <c r="V310" s="265"/>
      <c r="W310" s="265"/>
      <c r="X310" s="265"/>
      <c r="Y310" s="1000"/>
      <c r="Z310" s="265"/>
      <c r="AA310" s="265"/>
      <c r="AB310" s="265"/>
      <c r="AC310" s="265"/>
      <c r="AD310" s="1047"/>
      <c r="AE310" s="265"/>
      <c r="AF310" s="265"/>
      <c r="AG310" s="265"/>
      <c r="AH310" s="265"/>
      <c r="AI310" s="1047"/>
      <c r="AJ310" s="265"/>
      <c r="AK310" s="265"/>
      <c r="AL310" s="265"/>
      <c r="AM310" s="265"/>
      <c r="AN310" s="1047"/>
      <c r="AO310" s="1000"/>
      <c r="AP310" s="1000"/>
      <c r="AQ310" s="1000"/>
      <c r="AR310" s="1000"/>
      <c r="AS310" s="1049"/>
      <c r="AT310" s="265"/>
      <c r="AU310" s="265"/>
      <c r="AV310" s="265"/>
      <c r="AW310" s="265"/>
      <c r="AX310" s="1049"/>
      <c r="AY310" s="265"/>
      <c r="AZ310" s="265"/>
      <c r="BA310" s="265"/>
      <c r="BB310" s="265"/>
      <c r="BC310" s="1049">
        <v>0.159</v>
      </c>
      <c r="BD310" s="265"/>
      <c r="BE310" s="265"/>
      <c r="BF310" s="265"/>
      <c r="BG310" s="265"/>
      <c r="BH310" s="265"/>
      <c r="BI310" s="1049"/>
      <c r="BJ310" s="1049"/>
      <c r="BK310" s="1049"/>
      <c r="BL310" s="1049"/>
      <c r="BM310" s="1049"/>
      <c r="BN310" s="265"/>
      <c r="BO310" s="265"/>
      <c r="BP310" s="265"/>
      <c r="BQ310" s="265"/>
      <c r="BR310" s="265"/>
      <c r="BS310" s="265"/>
      <c r="BT310" s="265"/>
      <c r="BU310" s="265"/>
      <c r="BV310" s="265"/>
      <c r="BW310" s="265"/>
      <c r="BX310" s="265"/>
      <c r="BY310" s="265"/>
      <c r="BZ310" s="265"/>
      <c r="CA310" s="265"/>
      <c r="CB310" s="265"/>
      <c r="CC310" s="265"/>
      <c r="CD310" s="265"/>
      <c r="CE310" s="265"/>
      <c r="CF310" s="265"/>
      <c r="CG310" s="265"/>
      <c r="CH310" s="265"/>
      <c r="CI310" s="265"/>
      <c r="CJ310" s="265"/>
      <c r="CK310" s="265"/>
      <c r="CL310" s="265"/>
      <c r="CM310" s="265"/>
      <c r="CN310" s="265"/>
      <c r="CO310" s="265"/>
      <c r="CP310" s="265"/>
      <c r="CQ310" s="265"/>
      <c r="CR310" s="265"/>
      <c r="CS310" s="265"/>
      <c r="CT310" s="265"/>
      <c r="CU310" s="265"/>
      <c r="CV310" s="265"/>
      <c r="CW310" s="265"/>
      <c r="CX310" s="265"/>
      <c r="CY310" s="265"/>
      <c r="CZ310" s="268"/>
    </row>
    <row r="311" spans="1:104" collapsed="1">
      <c r="A311" s="265"/>
      <c r="B311" s="265"/>
      <c r="C311" s="116"/>
      <c r="D311" s="1048"/>
      <c r="E311" s="265"/>
      <c r="F311" s="265"/>
      <c r="G311" s="265"/>
      <c r="H311" s="265"/>
      <c r="I311" s="265"/>
      <c r="J311" s="1000"/>
      <c r="K311" s="265"/>
      <c r="L311" s="265"/>
      <c r="M311" s="265"/>
      <c r="N311" s="265"/>
      <c r="O311" s="1000"/>
      <c r="P311" s="265"/>
      <c r="Q311" s="265"/>
      <c r="R311" s="265"/>
      <c r="S311" s="265"/>
      <c r="T311" s="1000"/>
      <c r="U311" s="265"/>
      <c r="V311" s="265"/>
      <c r="W311" s="265"/>
      <c r="X311" s="265"/>
      <c r="Y311" s="1000"/>
      <c r="Z311" s="265"/>
      <c r="AA311" s="265"/>
      <c r="AB311" s="265"/>
      <c r="AC311" s="265"/>
      <c r="AD311" s="1047"/>
      <c r="AE311" s="265"/>
      <c r="AF311" s="265"/>
      <c r="AG311" s="265"/>
      <c r="AH311" s="265"/>
      <c r="AI311" s="1047"/>
      <c r="AJ311" s="265"/>
      <c r="AK311" s="265"/>
      <c r="AL311" s="265"/>
      <c r="AM311" s="265"/>
      <c r="AN311" s="1047"/>
      <c r="AO311" s="1000"/>
      <c r="AP311" s="1000"/>
      <c r="AQ311" s="1000"/>
      <c r="AR311" s="1000"/>
      <c r="AS311" s="1047"/>
      <c r="AT311" s="1000"/>
      <c r="AU311" s="1000"/>
      <c r="AV311" s="1000"/>
      <c r="AW311" s="1000"/>
      <c r="AX311" s="1000"/>
      <c r="AY311" s="1000"/>
      <c r="AZ311" s="1000"/>
      <c r="BA311" s="1000"/>
      <c r="BB311" s="1000"/>
      <c r="BC311" s="1000"/>
      <c r="BD311" s="1000"/>
      <c r="BE311" s="1000"/>
      <c r="BF311" s="1000"/>
      <c r="BG311" s="1000"/>
      <c r="BH311" s="1000"/>
      <c r="BI311" s="1000"/>
      <c r="BJ311" s="1000"/>
      <c r="BK311" s="1000"/>
      <c r="BL311" s="1000"/>
      <c r="BM311" s="1000"/>
      <c r="BN311" s="265"/>
      <c r="BO311" s="265"/>
      <c r="BP311" s="265"/>
      <c r="BQ311" s="265"/>
      <c r="BR311" s="265"/>
      <c r="BS311" s="265"/>
      <c r="BT311" s="265"/>
      <c r="BU311" s="265"/>
      <c r="BV311" s="265"/>
      <c r="BW311" s="265"/>
      <c r="BX311" s="265"/>
      <c r="BY311" s="265"/>
      <c r="BZ311" s="265"/>
      <c r="CA311" s="265"/>
      <c r="CB311" s="265"/>
      <c r="CC311" s="265"/>
      <c r="CD311" s="265"/>
      <c r="CE311" s="265"/>
      <c r="CF311" s="265"/>
      <c r="CG311" s="265"/>
      <c r="CH311" s="265"/>
      <c r="CI311" s="265"/>
      <c r="CJ311" s="265"/>
      <c r="CK311" s="265"/>
      <c r="CL311" s="265"/>
      <c r="CM311" s="265"/>
      <c r="CN311" s="265"/>
      <c r="CO311" s="265"/>
      <c r="CP311" s="265"/>
      <c r="CQ311" s="265"/>
      <c r="CR311" s="265"/>
      <c r="CS311" s="265"/>
      <c r="CT311" s="265"/>
      <c r="CU311" s="265"/>
      <c r="CV311" s="265"/>
      <c r="CW311" s="265"/>
      <c r="CX311" s="265"/>
      <c r="CY311" s="265"/>
      <c r="CZ311" s="268"/>
    </row>
    <row r="312" spans="1:104">
      <c r="A312" s="1041"/>
      <c r="B312" s="1039" t="s">
        <v>711</v>
      </c>
      <c r="C312" s="1042"/>
      <c r="D312" s="1041"/>
      <c r="E312" s="1041"/>
      <c r="F312" s="1041"/>
      <c r="G312" s="1041"/>
      <c r="H312" s="1041"/>
      <c r="I312" s="1041"/>
      <c r="J312" s="1046"/>
      <c r="K312" s="1046"/>
      <c r="L312" s="1046"/>
      <c r="M312" s="1046"/>
      <c r="N312" s="1046"/>
      <c r="O312" s="1046"/>
      <c r="P312" s="1046"/>
      <c r="Q312" s="1046"/>
      <c r="R312" s="1046"/>
      <c r="S312" s="1046"/>
      <c r="T312" s="1046"/>
      <c r="U312" s="1046"/>
      <c r="V312" s="1046"/>
      <c r="W312" s="1046"/>
      <c r="X312" s="1046"/>
      <c r="Y312" s="1046"/>
      <c r="Z312" s="1046"/>
      <c r="AA312" s="1046"/>
      <c r="AB312" s="1046"/>
      <c r="AC312" s="1046"/>
      <c r="AD312" s="1046"/>
      <c r="AE312" s="1046"/>
      <c r="AF312" s="1046"/>
      <c r="AG312" s="1046"/>
      <c r="AH312" s="1046"/>
      <c r="AI312" s="1046"/>
      <c r="AJ312" s="1046"/>
      <c r="AK312" s="1046"/>
      <c r="AL312" s="1046"/>
      <c r="AM312" s="1046"/>
      <c r="AN312" s="1046"/>
      <c r="AO312" s="1046"/>
      <c r="AP312" s="1046"/>
      <c r="AQ312" s="1046"/>
      <c r="AR312" s="1046"/>
      <c r="AS312" s="1046"/>
      <c r="AT312" s="1046"/>
      <c r="AU312" s="1046"/>
      <c r="AV312" s="1046"/>
      <c r="AW312" s="1046"/>
      <c r="AX312" s="1046"/>
      <c r="AY312" s="1046"/>
      <c r="AZ312" s="1046"/>
      <c r="BA312" s="1046"/>
      <c r="BB312" s="1046"/>
      <c r="BC312" s="1046"/>
      <c r="BD312" s="1046"/>
      <c r="BE312" s="1046"/>
      <c r="BF312" s="1046"/>
      <c r="BG312" s="1046"/>
      <c r="BH312" s="1046"/>
      <c r="BI312" s="1046"/>
      <c r="BJ312" s="1046"/>
      <c r="BK312" s="1046"/>
      <c r="BL312" s="1046"/>
      <c r="BM312" s="1046"/>
      <c r="BN312" s="1046"/>
      <c r="BO312" s="1046"/>
      <c r="BP312" s="1046"/>
      <c r="BQ312" s="1046"/>
      <c r="BR312" s="1046"/>
      <c r="BS312" s="1046"/>
      <c r="BT312" s="1046"/>
      <c r="BU312" s="1046"/>
      <c r="BV312" s="1046"/>
      <c r="BW312" s="1046"/>
      <c r="BX312" s="1046"/>
      <c r="BY312" s="1046"/>
      <c r="BZ312" s="1046"/>
      <c r="CA312" s="1046"/>
      <c r="CB312" s="1046"/>
      <c r="CC312" s="1046"/>
      <c r="CD312" s="1046"/>
      <c r="CE312" s="1046"/>
      <c r="CF312" s="1046"/>
      <c r="CG312" s="1046"/>
      <c r="CH312" s="1046"/>
      <c r="CI312" s="1046"/>
      <c r="CJ312" s="1046"/>
      <c r="CK312" s="1046"/>
      <c r="CL312" s="1046"/>
      <c r="CM312" s="1046"/>
      <c r="CN312" s="1046"/>
      <c r="CO312" s="1046"/>
      <c r="CP312" s="1046"/>
      <c r="CQ312" s="1046"/>
      <c r="CR312" s="1046"/>
      <c r="CS312" s="1046"/>
      <c r="CT312" s="1046"/>
      <c r="CU312" s="1046"/>
      <c r="CV312" s="1046"/>
      <c r="CW312" s="1046"/>
      <c r="CX312" s="1046"/>
      <c r="CY312" s="1046"/>
      <c r="CZ312" s="1046"/>
    </row>
    <row r="313" spans="1:104" hidden="1" outlineLevel="1">
      <c r="A313" s="264"/>
      <c r="B313" s="1001" t="s">
        <v>710</v>
      </c>
      <c r="C313" s="268"/>
      <c r="D313" s="264"/>
      <c r="E313" s="264"/>
      <c r="F313" s="264"/>
      <c r="G313" s="264"/>
      <c r="H313" s="264"/>
      <c r="I313" s="264"/>
      <c r="J313" s="266"/>
      <c r="K313" s="264"/>
      <c r="L313" s="264"/>
      <c r="M313" s="264"/>
      <c r="N313" s="264"/>
      <c r="O313" s="266"/>
      <c r="P313" s="264"/>
      <c r="Q313" s="264"/>
      <c r="R313" s="264"/>
      <c r="S313" s="264"/>
      <c r="T313" s="266"/>
      <c r="U313" s="264"/>
      <c r="V313" s="264"/>
      <c r="W313" s="264"/>
      <c r="X313" s="264"/>
      <c r="Y313" s="266"/>
      <c r="Z313" s="264"/>
      <c r="AA313" s="264"/>
      <c r="AB313" s="264"/>
      <c r="AC313" s="264"/>
      <c r="AD313" s="1000"/>
      <c r="AE313" s="264"/>
      <c r="AF313" s="264"/>
      <c r="AG313" s="264"/>
      <c r="AH313" s="264"/>
      <c r="AI313" s="1000"/>
      <c r="AJ313" s="264"/>
      <c r="AK313" s="264"/>
      <c r="AL313" s="264"/>
      <c r="AM313" s="264"/>
      <c r="AN313" s="1000"/>
      <c r="AO313" s="1000"/>
      <c r="AP313" s="1000"/>
      <c r="AQ313" s="1000"/>
      <c r="AR313" s="1000"/>
      <c r="AS313" s="266"/>
      <c r="AT313" s="266"/>
      <c r="AU313" s="266"/>
      <c r="AV313" s="266"/>
      <c r="AW313" s="266"/>
      <c r="AX313" s="266"/>
      <c r="AY313" s="266"/>
      <c r="AZ313" s="266"/>
      <c r="BA313" s="266"/>
      <c r="BB313" s="266"/>
      <c r="BC313" s="266"/>
      <c r="BD313" s="266"/>
      <c r="BE313" s="266"/>
      <c r="BF313" s="266"/>
      <c r="BG313" s="266"/>
      <c r="BH313" s="266"/>
      <c r="BI313" s="1000"/>
      <c r="BJ313" s="1000"/>
      <c r="BK313" s="1000"/>
      <c r="BL313" s="1000"/>
      <c r="BM313" s="1000"/>
      <c r="BN313" s="265"/>
      <c r="BO313" s="265"/>
      <c r="BP313" s="265"/>
      <c r="BQ313" s="265"/>
      <c r="BR313" s="265"/>
      <c r="BS313" s="265"/>
      <c r="BT313" s="265"/>
      <c r="BU313" s="265"/>
      <c r="BV313" s="265"/>
      <c r="BW313" s="265"/>
      <c r="BX313" s="265"/>
      <c r="BY313" s="265"/>
      <c r="BZ313" s="265"/>
      <c r="CA313" s="265"/>
      <c r="CB313" s="265"/>
      <c r="CC313" s="265"/>
      <c r="CD313" s="265"/>
      <c r="CE313" s="265"/>
      <c r="CF313" s="265"/>
      <c r="CG313" s="265"/>
      <c r="CH313" s="265"/>
      <c r="CI313" s="265"/>
      <c r="CJ313" s="265"/>
      <c r="CK313" s="265"/>
      <c r="CL313" s="265"/>
      <c r="CM313" s="265"/>
      <c r="CN313" s="265"/>
      <c r="CO313" s="265"/>
      <c r="CP313" s="265"/>
      <c r="CQ313" s="265"/>
      <c r="CR313" s="265"/>
      <c r="CS313" s="265"/>
      <c r="CT313" s="265"/>
      <c r="CU313" s="265"/>
      <c r="CV313" s="265"/>
      <c r="CW313" s="265"/>
      <c r="CX313" s="265"/>
      <c r="CY313" s="265"/>
      <c r="CZ313" s="268"/>
    </row>
    <row r="314" spans="1:104" hidden="1" outlineLevel="1">
      <c r="A314" s="264"/>
      <c r="B314" s="1043" t="s">
        <v>709</v>
      </c>
      <c r="C314" s="292"/>
      <c r="D314" s="523"/>
      <c r="E314" s="264"/>
      <c r="F314" s="264"/>
      <c r="G314" s="264"/>
      <c r="H314" s="264"/>
      <c r="I314" s="264"/>
      <c r="J314" s="266"/>
      <c r="K314" s="264"/>
      <c r="L314" s="264"/>
      <c r="M314" s="264"/>
      <c r="N314" s="264"/>
      <c r="O314" s="266"/>
      <c r="P314" s="264"/>
      <c r="Q314" s="264"/>
      <c r="R314" s="264"/>
      <c r="S314" s="264"/>
      <c r="T314" s="266"/>
      <c r="U314" s="264"/>
      <c r="V314" s="264"/>
      <c r="W314" s="264"/>
      <c r="X314" s="264"/>
      <c r="Y314" s="266"/>
      <c r="Z314" s="264"/>
      <c r="AA314" s="264"/>
      <c r="AB314" s="264"/>
      <c r="AC314" s="264"/>
      <c r="AD314" s="1000"/>
      <c r="AE314" s="264"/>
      <c r="AF314" s="264"/>
      <c r="AG314" s="264"/>
      <c r="AH314" s="264"/>
      <c r="AI314" s="1000"/>
      <c r="AJ314" s="264"/>
      <c r="AK314" s="264"/>
      <c r="AL314" s="264"/>
      <c r="AM314" s="264"/>
      <c r="AN314" s="1000"/>
      <c r="AO314" s="1000"/>
      <c r="AP314" s="1000"/>
      <c r="AQ314" s="1000"/>
      <c r="AR314" s="1000"/>
      <c r="AS314" s="266"/>
      <c r="AT314" s="266"/>
      <c r="AU314" s="266"/>
      <c r="AV314" s="266"/>
      <c r="AW314" s="266"/>
      <c r="AX314" s="266"/>
      <c r="AY314" s="266"/>
      <c r="AZ314" s="266"/>
      <c r="BA314" s="266"/>
      <c r="BB314" s="266"/>
      <c r="BC314" s="266"/>
      <c r="BD314" s="266"/>
      <c r="BE314" s="266"/>
      <c r="BF314" s="266"/>
      <c r="BG314" s="266"/>
      <c r="BH314" s="266"/>
      <c r="BI314" s="1000"/>
      <c r="BJ314" s="1000"/>
      <c r="BK314" s="1000"/>
      <c r="BL314" s="1000"/>
      <c r="BM314" s="1000"/>
      <c r="BN314" s="265"/>
      <c r="BO314" s="265"/>
      <c r="BP314" s="265"/>
      <c r="BQ314" s="265"/>
      <c r="BR314" s="265"/>
      <c r="BS314" s="265"/>
      <c r="BT314" s="265"/>
      <c r="BU314" s="265"/>
      <c r="BV314" s="265"/>
      <c r="BW314" s="265"/>
      <c r="BX314" s="265"/>
      <c r="BY314" s="265"/>
      <c r="BZ314" s="265"/>
      <c r="CA314" s="265"/>
      <c r="CB314" s="265"/>
      <c r="CC314" s="265"/>
      <c r="CD314" s="265"/>
      <c r="CE314" s="265"/>
      <c r="CF314" s="265"/>
      <c r="CG314" s="265"/>
      <c r="CH314" s="265"/>
      <c r="CI314" s="265"/>
      <c r="CJ314" s="265"/>
      <c r="CK314" s="265"/>
      <c r="CL314" s="265"/>
      <c r="CM314" s="265"/>
      <c r="CN314" s="265"/>
      <c r="CO314" s="265"/>
      <c r="CP314" s="265"/>
      <c r="CQ314" s="265"/>
      <c r="CR314" s="265"/>
      <c r="CS314" s="265"/>
      <c r="CT314" s="265"/>
      <c r="CU314" s="265"/>
      <c r="CV314" s="265"/>
      <c r="CW314" s="265"/>
      <c r="CX314" s="265"/>
      <c r="CY314" s="265"/>
      <c r="CZ314" s="268"/>
    </row>
    <row r="315" spans="1:104" hidden="1" outlineLevel="1">
      <c r="A315" s="264"/>
      <c r="B315" s="266" t="s">
        <v>708</v>
      </c>
      <c r="C315" s="268"/>
      <c r="D315" s="264"/>
      <c r="E315" s="264"/>
      <c r="F315" s="264"/>
      <c r="G315" s="264"/>
      <c r="H315" s="264"/>
      <c r="I315" s="264"/>
      <c r="J315" s="266"/>
      <c r="K315" s="264"/>
      <c r="L315" s="264"/>
      <c r="M315" s="264"/>
      <c r="N315" s="264"/>
      <c r="O315" s="266"/>
      <c r="P315" s="264"/>
      <c r="Q315" s="264"/>
      <c r="R315" s="264"/>
      <c r="S315" s="264"/>
      <c r="T315" s="266"/>
      <c r="U315" s="264"/>
      <c r="V315" s="264"/>
      <c r="W315" s="264"/>
      <c r="X315" s="264"/>
      <c r="Y315" s="266"/>
      <c r="Z315" s="264"/>
      <c r="AA315" s="264"/>
      <c r="AB315" s="264"/>
      <c r="AC315" s="264"/>
      <c r="AD315" s="1000"/>
      <c r="AE315" s="264"/>
      <c r="AF315" s="264"/>
      <c r="AG315" s="264"/>
      <c r="AH315" s="264"/>
      <c r="AI315" s="1000"/>
      <c r="AJ315" s="264"/>
      <c r="AK315" s="264"/>
      <c r="AL315" s="264"/>
      <c r="AM315" s="264"/>
      <c r="AN315" s="1000"/>
      <c r="AO315" s="1000"/>
      <c r="AP315" s="1000"/>
      <c r="AQ315" s="1000"/>
      <c r="AR315" s="1000"/>
      <c r="AS315" s="266"/>
      <c r="AT315" s="266"/>
      <c r="AU315" s="266"/>
      <c r="AV315" s="266"/>
      <c r="AW315" s="266"/>
      <c r="AX315" s="266"/>
      <c r="AY315" s="266"/>
      <c r="AZ315" s="266"/>
      <c r="BA315" s="266"/>
      <c r="BB315" s="266"/>
      <c r="BC315" s="266"/>
      <c r="BD315" s="266"/>
      <c r="BE315" s="266"/>
      <c r="BF315" s="266"/>
      <c r="BG315" s="266"/>
      <c r="BH315" s="266"/>
      <c r="BI315" s="1000"/>
      <c r="BJ315" s="1000"/>
      <c r="BK315" s="1000"/>
      <c r="BL315" s="1000"/>
      <c r="BM315" s="1000"/>
      <c r="BN315" s="265"/>
      <c r="BO315" s="265"/>
      <c r="BP315" s="265"/>
      <c r="BQ315" s="265"/>
      <c r="BR315" s="265"/>
      <c r="BS315" s="265"/>
      <c r="BT315" s="265"/>
      <c r="BU315" s="265"/>
      <c r="BV315" s="265"/>
      <c r="BW315" s="265"/>
      <c r="BX315" s="265"/>
      <c r="BY315" s="265"/>
      <c r="BZ315" s="265"/>
      <c r="CA315" s="265"/>
      <c r="CB315" s="265"/>
      <c r="CC315" s="265"/>
      <c r="CD315" s="265"/>
      <c r="CE315" s="265"/>
      <c r="CF315" s="265"/>
      <c r="CG315" s="265"/>
      <c r="CH315" s="265"/>
      <c r="CI315" s="265"/>
      <c r="CJ315" s="265"/>
      <c r="CK315" s="265"/>
      <c r="CL315" s="265"/>
      <c r="CM315" s="265"/>
      <c r="CN315" s="265"/>
      <c r="CO315" s="265"/>
      <c r="CP315" s="265"/>
      <c r="CQ315" s="265"/>
      <c r="CR315" s="265"/>
      <c r="CS315" s="265"/>
      <c r="CT315" s="265"/>
      <c r="CU315" s="265"/>
      <c r="CV315" s="265"/>
      <c r="CW315" s="265"/>
      <c r="CX315" s="265"/>
      <c r="CY315" s="265"/>
      <c r="CZ315" s="268"/>
    </row>
    <row r="316" spans="1:104" hidden="1" outlineLevel="1">
      <c r="A316" s="264"/>
      <c r="B316" s="264" t="s">
        <v>165</v>
      </c>
      <c r="C316" s="268"/>
      <c r="D316" s="264"/>
      <c r="E316" s="264"/>
      <c r="F316" s="264"/>
      <c r="G316" s="264"/>
      <c r="H316" s="264"/>
      <c r="I316" s="264"/>
      <c r="J316" s="266"/>
      <c r="K316" s="264"/>
      <c r="L316" s="264"/>
      <c r="M316" s="264"/>
      <c r="N316" s="264"/>
      <c r="O316" s="266"/>
      <c r="P316" s="264"/>
      <c r="Q316" s="264"/>
      <c r="R316" s="264"/>
      <c r="S316" s="264"/>
      <c r="T316" s="266"/>
      <c r="U316" s="264"/>
      <c r="V316" s="264"/>
      <c r="W316" s="264"/>
      <c r="X316" s="264"/>
      <c r="Y316" s="266"/>
      <c r="Z316" s="264"/>
      <c r="AA316" s="264"/>
      <c r="AB316" s="264"/>
      <c r="AC316" s="264"/>
      <c r="AD316" s="1000"/>
      <c r="AE316" s="264"/>
      <c r="AF316" s="264"/>
      <c r="AG316" s="264"/>
      <c r="AH316" s="264"/>
      <c r="AI316" s="1000"/>
      <c r="AJ316" s="264"/>
      <c r="AK316" s="264"/>
      <c r="AL316" s="264"/>
      <c r="AM316" s="264"/>
      <c r="AN316" s="1000"/>
      <c r="AO316" s="1000"/>
      <c r="AP316" s="1000"/>
      <c r="AQ316" s="1000"/>
      <c r="AR316" s="1000"/>
      <c r="AS316" s="266"/>
      <c r="AT316" s="266"/>
      <c r="AU316" s="266"/>
      <c r="AV316" s="266"/>
      <c r="AW316" s="266"/>
      <c r="AX316" s="1023">
        <v>47</v>
      </c>
      <c r="AY316" s="266"/>
      <c r="AZ316" s="266"/>
      <c r="BA316" s="266"/>
      <c r="BB316" s="266"/>
      <c r="BC316" s="266"/>
      <c r="BD316" s="266"/>
      <c r="BE316" s="266"/>
      <c r="BF316" s="266"/>
      <c r="BG316" s="266"/>
      <c r="BH316" s="266"/>
      <c r="BI316" s="1000"/>
      <c r="BJ316" s="1000"/>
      <c r="BK316" s="1000"/>
      <c r="BL316" s="1000"/>
      <c r="BM316" s="1000"/>
      <c r="BN316" s="265"/>
      <c r="BO316" s="265"/>
      <c r="BP316" s="265"/>
      <c r="BQ316" s="265"/>
      <c r="BR316" s="265"/>
      <c r="BS316" s="265"/>
      <c r="BT316" s="265"/>
      <c r="BU316" s="265"/>
      <c r="BV316" s="265"/>
      <c r="BW316" s="265"/>
      <c r="BX316" s="265"/>
      <c r="BY316" s="265"/>
      <c r="BZ316" s="265"/>
      <c r="CA316" s="265"/>
      <c r="CB316" s="265"/>
      <c r="CC316" s="265"/>
      <c r="CD316" s="265"/>
      <c r="CE316" s="265"/>
      <c r="CF316" s="265"/>
      <c r="CG316" s="265"/>
      <c r="CH316" s="265"/>
      <c r="CI316" s="265"/>
      <c r="CJ316" s="265"/>
      <c r="CK316" s="265"/>
      <c r="CL316" s="265"/>
      <c r="CM316" s="265"/>
      <c r="CN316" s="265"/>
      <c r="CO316" s="265"/>
      <c r="CP316" s="265"/>
      <c r="CQ316" s="265"/>
      <c r="CR316" s="265"/>
      <c r="CS316" s="265"/>
      <c r="CT316" s="265"/>
      <c r="CU316" s="265"/>
      <c r="CV316" s="265"/>
      <c r="CW316" s="265"/>
      <c r="CX316" s="265"/>
      <c r="CY316" s="265"/>
      <c r="CZ316" s="268"/>
    </row>
    <row r="317" spans="1:104" hidden="1" outlineLevel="1">
      <c r="A317" s="264"/>
      <c r="B317" s="264" t="s">
        <v>306</v>
      </c>
      <c r="C317" s="268"/>
      <c r="D317" s="264"/>
      <c r="E317" s="264"/>
      <c r="F317" s="264"/>
      <c r="G317" s="264"/>
      <c r="H317" s="264"/>
      <c r="I317" s="264"/>
      <c r="J317" s="266"/>
      <c r="K317" s="264"/>
      <c r="L317" s="264"/>
      <c r="M317" s="264"/>
      <c r="N317" s="264"/>
      <c r="O317" s="266"/>
      <c r="P317" s="264"/>
      <c r="Q317" s="264"/>
      <c r="R317" s="264"/>
      <c r="S317" s="264"/>
      <c r="T317" s="266"/>
      <c r="U317" s="264"/>
      <c r="V317" s="264"/>
      <c r="W317" s="264"/>
      <c r="X317" s="264"/>
      <c r="Y317" s="266"/>
      <c r="Z317" s="264"/>
      <c r="AA317" s="264"/>
      <c r="AB317" s="264"/>
      <c r="AC317" s="264"/>
      <c r="AD317" s="1000"/>
      <c r="AE317" s="264"/>
      <c r="AF317" s="264"/>
      <c r="AG317" s="264"/>
      <c r="AH317" s="264"/>
      <c r="AI317" s="1000"/>
      <c r="AJ317" s="264"/>
      <c r="AK317" s="264"/>
      <c r="AL317" s="264"/>
      <c r="AM317" s="264"/>
      <c r="AN317" s="1000"/>
      <c r="AO317" s="1000"/>
      <c r="AP317" s="1000"/>
      <c r="AQ317" s="1000"/>
      <c r="AR317" s="1000"/>
      <c r="AS317" s="266"/>
      <c r="AT317" s="266"/>
      <c r="AU317" s="266"/>
      <c r="AV317" s="266"/>
      <c r="AW317" s="266"/>
      <c r="AX317" s="1023">
        <v>26</v>
      </c>
      <c r="AY317" s="266"/>
      <c r="AZ317" s="266"/>
      <c r="BA317" s="266"/>
      <c r="BB317" s="266"/>
      <c r="BC317" s="266"/>
      <c r="BD317" s="266"/>
      <c r="BE317" s="266"/>
      <c r="BF317" s="266"/>
      <c r="BG317" s="266"/>
      <c r="BH317" s="266"/>
      <c r="BI317" s="1000"/>
      <c r="BJ317" s="1000"/>
      <c r="BK317" s="1000"/>
      <c r="BL317" s="1000"/>
      <c r="BM317" s="1000"/>
      <c r="BN317" s="265"/>
      <c r="BO317" s="265"/>
      <c r="BP317" s="265"/>
      <c r="BQ317" s="265"/>
      <c r="BR317" s="265"/>
      <c r="BS317" s="265"/>
      <c r="BT317" s="265"/>
      <c r="BU317" s="265"/>
      <c r="BV317" s="265"/>
      <c r="BW317" s="265"/>
      <c r="BX317" s="265"/>
      <c r="BY317" s="265"/>
      <c r="BZ317" s="265"/>
      <c r="CA317" s="265"/>
      <c r="CB317" s="265"/>
      <c r="CC317" s="265"/>
      <c r="CD317" s="265"/>
      <c r="CE317" s="265"/>
      <c r="CF317" s="265"/>
      <c r="CG317" s="265"/>
      <c r="CH317" s="265"/>
      <c r="CI317" s="265"/>
      <c r="CJ317" s="265"/>
      <c r="CK317" s="265"/>
      <c r="CL317" s="265"/>
      <c r="CM317" s="265"/>
      <c r="CN317" s="265"/>
      <c r="CO317" s="265"/>
      <c r="CP317" s="265"/>
      <c r="CQ317" s="265"/>
      <c r="CR317" s="265"/>
      <c r="CS317" s="265"/>
      <c r="CT317" s="265"/>
      <c r="CU317" s="265"/>
      <c r="CV317" s="265"/>
      <c r="CW317" s="265"/>
      <c r="CX317" s="265"/>
      <c r="CY317" s="265"/>
      <c r="CZ317" s="268"/>
    </row>
    <row r="318" spans="1:104" hidden="1" outlineLevel="1">
      <c r="A318" s="264"/>
      <c r="B318" s="264" t="s">
        <v>163</v>
      </c>
      <c r="C318" s="268"/>
      <c r="D318" s="264"/>
      <c r="E318" s="264"/>
      <c r="F318" s="264"/>
      <c r="G318" s="264"/>
      <c r="H318" s="264"/>
      <c r="I318" s="264"/>
      <c r="J318" s="266"/>
      <c r="K318" s="264"/>
      <c r="L318" s="264"/>
      <c r="M318" s="264"/>
      <c r="N318" s="264"/>
      <c r="O318" s="266"/>
      <c r="P318" s="264"/>
      <c r="Q318" s="264"/>
      <c r="R318" s="264"/>
      <c r="S318" s="264"/>
      <c r="T318" s="266"/>
      <c r="U318" s="264"/>
      <c r="V318" s="264"/>
      <c r="W318" s="264"/>
      <c r="X318" s="264"/>
      <c r="Y318" s="266"/>
      <c r="Z318" s="264"/>
      <c r="AA318" s="264"/>
      <c r="AB318" s="264"/>
      <c r="AC318" s="264"/>
      <c r="AD318" s="1000"/>
      <c r="AE318" s="264"/>
      <c r="AF318" s="264"/>
      <c r="AG318" s="264"/>
      <c r="AH318" s="264"/>
      <c r="AI318" s="1000"/>
      <c r="AJ318" s="264"/>
      <c r="AK318" s="264"/>
      <c r="AL318" s="264"/>
      <c r="AM318" s="264"/>
      <c r="AN318" s="1000"/>
      <c r="AO318" s="1000"/>
      <c r="AP318" s="1000"/>
      <c r="AQ318" s="1000"/>
      <c r="AR318" s="1000"/>
      <c r="AS318" s="266"/>
      <c r="AT318" s="266"/>
      <c r="AU318" s="266"/>
      <c r="AV318" s="266"/>
      <c r="AW318" s="266"/>
      <c r="AX318" s="1023">
        <v>26</v>
      </c>
      <c r="AY318" s="266"/>
      <c r="AZ318" s="266"/>
      <c r="BA318" s="266"/>
      <c r="BB318" s="266"/>
      <c r="BC318" s="266"/>
      <c r="BD318" s="266"/>
      <c r="BE318" s="266"/>
      <c r="BF318" s="266"/>
      <c r="BG318" s="266"/>
      <c r="BH318" s="266"/>
      <c r="BI318" s="1000"/>
      <c r="BJ318" s="1000"/>
      <c r="BK318" s="1000"/>
      <c r="BL318" s="1000"/>
      <c r="BM318" s="1000"/>
      <c r="BN318" s="265"/>
      <c r="BO318" s="265"/>
      <c r="BP318" s="265"/>
      <c r="BQ318" s="265"/>
      <c r="BR318" s="265"/>
      <c r="BS318" s="265"/>
      <c r="BT318" s="265"/>
      <c r="BU318" s="265"/>
      <c r="BV318" s="265"/>
      <c r="BW318" s="265"/>
      <c r="BX318" s="265"/>
      <c r="BY318" s="265"/>
      <c r="BZ318" s="265"/>
      <c r="CA318" s="265"/>
      <c r="CB318" s="265"/>
      <c r="CC318" s="265"/>
      <c r="CD318" s="265"/>
      <c r="CE318" s="265"/>
      <c r="CF318" s="265"/>
      <c r="CG318" s="265"/>
      <c r="CH318" s="265"/>
      <c r="CI318" s="265"/>
      <c r="CJ318" s="265"/>
      <c r="CK318" s="265"/>
      <c r="CL318" s="265"/>
      <c r="CM318" s="265"/>
      <c r="CN318" s="265"/>
      <c r="CO318" s="265"/>
      <c r="CP318" s="265"/>
      <c r="CQ318" s="265"/>
      <c r="CR318" s="265"/>
      <c r="CS318" s="265"/>
      <c r="CT318" s="265"/>
      <c r="CU318" s="265"/>
      <c r="CV318" s="265"/>
      <c r="CW318" s="265"/>
      <c r="CX318" s="265"/>
      <c r="CY318" s="265"/>
      <c r="CZ318" s="268"/>
    </row>
    <row r="319" spans="1:104" hidden="1" outlineLevel="1">
      <c r="A319" s="264"/>
      <c r="B319" s="264" t="s">
        <v>707</v>
      </c>
      <c r="C319" s="268"/>
      <c r="D319" s="264"/>
      <c r="E319" s="264"/>
      <c r="F319" s="264"/>
      <c r="G319" s="264"/>
      <c r="H319" s="264"/>
      <c r="I319" s="264"/>
      <c r="J319" s="266"/>
      <c r="K319" s="264"/>
      <c r="L319" s="264"/>
      <c r="M319" s="264"/>
      <c r="N319" s="264"/>
      <c r="O319" s="266"/>
      <c r="P319" s="264"/>
      <c r="Q319" s="264"/>
      <c r="R319" s="264"/>
      <c r="S319" s="264"/>
      <c r="T319" s="266"/>
      <c r="U319" s="264"/>
      <c r="V319" s="264"/>
      <c r="W319" s="264"/>
      <c r="X319" s="264"/>
      <c r="Y319" s="266"/>
      <c r="Z319" s="264"/>
      <c r="AA319" s="264"/>
      <c r="AB319" s="264"/>
      <c r="AC319" s="264"/>
      <c r="AD319" s="1000"/>
      <c r="AE319" s="264"/>
      <c r="AF319" s="264"/>
      <c r="AG319" s="264"/>
      <c r="AH319" s="264"/>
      <c r="AI319" s="1000"/>
      <c r="AJ319" s="264"/>
      <c r="AK319" s="264"/>
      <c r="AL319" s="264"/>
      <c r="AM319" s="264"/>
      <c r="AN319" s="1000"/>
      <c r="AO319" s="1000"/>
      <c r="AP319" s="1000"/>
      <c r="AQ319" s="1000"/>
      <c r="AR319" s="1000"/>
      <c r="AS319" s="266"/>
      <c r="AT319" s="266"/>
      <c r="AU319" s="266"/>
      <c r="AV319" s="266"/>
      <c r="AW319" s="266"/>
      <c r="AX319" s="1023">
        <v>26</v>
      </c>
      <c r="AY319" s="266"/>
      <c r="AZ319" s="266"/>
      <c r="BA319" s="266"/>
      <c r="BB319" s="266"/>
      <c r="BC319" s="266"/>
      <c r="BD319" s="266"/>
      <c r="BE319" s="266"/>
      <c r="BF319" s="266"/>
      <c r="BG319" s="266"/>
      <c r="BH319" s="266"/>
      <c r="BI319" s="1000"/>
      <c r="BJ319" s="1000"/>
      <c r="BK319" s="1000"/>
      <c r="BL319" s="1000"/>
      <c r="BM319" s="1000"/>
      <c r="BN319" s="265"/>
      <c r="BO319" s="265"/>
      <c r="BP319" s="265"/>
      <c r="BQ319" s="265"/>
      <c r="BR319" s="265"/>
      <c r="BS319" s="265"/>
      <c r="BT319" s="265"/>
      <c r="BU319" s="265"/>
      <c r="BV319" s="265"/>
      <c r="BW319" s="265"/>
      <c r="BX319" s="265"/>
      <c r="BY319" s="265"/>
      <c r="BZ319" s="265"/>
      <c r="CA319" s="265"/>
      <c r="CB319" s="265"/>
      <c r="CC319" s="265"/>
      <c r="CD319" s="265"/>
      <c r="CE319" s="265"/>
      <c r="CF319" s="265"/>
      <c r="CG319" s="265"/>
      <c r="CH319" s="265"/>
      <c r="CI319" s="265"/>
      <c r="CJ319" s="265"/>
      <c r="CK319" s="265"/>
      <c r="CL319" s="265"/>
      <c r="CM319" s="265"/>
      <c r="CN319" s="265"/>
      <c r="CO319" s="265"/>
      <c r="CP319" s="265"/>
      <c r="CQ319" s="265"/>
      <c r="CR319" s="265"/>
      <c r="CS319" s="265"/>
      <c r="CT319" s="265"/>
      <c r="CU319" s="265"/>
      <c r="CV319" s="265"/>
      <c r="CW319" s="265"/>
      <c r="CX319" s="265"/>
      <c r="CY319" s="265"/>
      <c r="CZ319" s="268"/>
    </row>
    <row r="320" spans="1:104" hidden="1" outlineLevel="1">
      <c r="A320" s="264"/>
      <c r="B320" s="264"/>
      <c r="C320" s="268"/>
      <c r="D320" s="264"/>
      <c r="E320" s="264"/>
      <c r="F320" s="264"/>
      <c r="G320" s="264"/>
      <c r="H320" s="264"/>
      <c r="I320" s="264"/>
      <c r="J320" s="266"/>
      <c r="K320" s="264"/>
      <c r="L320" s="264"/>
      <c r="M320" s="264"/>
      <c r="N320" s="264"/>
      <c r="O320" s="266"/>
      <c r="P320" s="264"/>
      <c r="Q320" s="264"/>
      <c r="R320" s="264"/>
      <c r="S320" s="264"/>
      <c r="T320" s="266"/>
      <c r="U320" s="264"/>
      <c r="V320" s="264"/>
      <c r="W320" s="264"/>
      <c r="X320" s="264"/>
      <c r="Y320" s="266"/>
      <c r="Z320" s="264"/>
      <c r="AA320" s="264"/>
      <c r="AB320" s="264"/>
      <c r="AC320" s="264"/>
      <c r="AD320" s="1000"/>
      <c r="AE320" s="264"/>
      <c r="AF320" s="264"/>
      <c r="AG320" s="264"/>
      <c r="AH320" s="264"/>
      <c r="AI320" s="1000"/>
      <c r="AJ320" s="264"/>
      <c r="AK320" s="264"/>
      <c r="AL320" s="264"/>
      <c r="AM320" s="264"/>
      <c r="AN320" s="1000"/>
      <c r="AO320" s="1000"/>
      <c r="AP320" s="1000"/>
      <c r="AQ320" s="1000"/>
      <c r="AR320" s="1000"/>
      <c r="AS320" s="266"/>
      <c r="AT320" s="266"/>
      <c r="AU320" s="266"/>
      <c r="AV320" s="266"/>
      <c r="AW320" s="266"/>
      <c r="AX320" s="266"/>
      <c r="AY320" s="266"/>
      <c r="AZ320" s="266"/>
      <c r="BA320" s="266"/>
      <c r="BB320" s="266"/>
      <c r="BC320" s="266"/>
      <c r="BD320" s="266"/>
      <c r="BE320" s="266"/>
      <c r="BF320" s="266"/>
      <c r="BG320" s="266"/>
      <c r="BH320" s="266"/>
      <c r="BI320" s="1000"/>
      <c r="BJ320" s="1000"/>
      <c r="BK320" s="1000"/>
      <c r="BL320" s="1000"/>
      <c r="BM320" s="1000"/>
      <c r="BN320" s="265"/>
      <c r="BO320" s="265"/>
      <c r="BP320" s="265"/>
      <c r="BQ320" s="265"/>
      <c r="BR320" s="265"/>
      <c r="BS320" s="265"/>
      <c r="BT320" s="265"/>
      <c r="BU320" s="265"/>
      <c r="BV320" s="265"/>
      <c r="BW320" s="265"/>
      <c r="BX320" s="265"/>
      <c r="BY320" s="265"/>
      <c r="BZ320" s="265"/>
      <c r="CA320" s="265"/>
      <c r="CB320" s="265"/>
      <c r="CC320" s="265"/>
      <c r="CD320" s="265"/>
      <c r="CE320" s="265"/>
      <c r="CF320" s="265"/>
      <c r="CG320" s="265"/>
      <c r="CH320" s="265"/>
      <c r="CI320" s="265"/>
      <c r="CJ320" s="265"/>
      <c r="CK320" s="265"/>
      <c r="CL320" s="265"/>
      <c r="CM320" s="265"/>
      <c r="CN320" s="265"/>
      <c r="CO320" s="265"/>
      <c r="CP320" s="265"/>
      <c r="CQ320" s="265"/>
      <c r="CR320" s="265"/>
      <c r="CS320" s="265"/>
      <c r="CT320" s="265"/>
      <c r="CU320" s="265"/>
      <c r="CV320" s="265"/>
      <c r="CW320" s="265"/>
      <c r="CX320" s="265"/>
      <c r="CY320" s="265"/>
      <c r="CZ320" s="268"/>
    </row>
    <row r="321" spans="1:104" hidden="1" outlineLevel="1">
      <c r="A321" s="264"/>
      <c r="B321" s="264" t="s">
        <v>706</v>
      </c>
      <c r="C321" s="268"/>
      <c r="D321" s="264"/>
      <c r="E321" s="264"/>
      <c r="F321" s="264"/>
      <c r="G321" s="264"/>
      <c r="H321" s="264"/>
      <c r="I321" s="264"/>
      <c r="J321" s="266"/>
      <c r="K321" s="264"/>
      <c r="L321" s="264"/>
      <c r="M321" s="264"/>
      <c r="N321" s="264"/>
      <c r="O321" s="266"/>
      <c r="P321" s="264"/>
      <c r="Q321" s="264"/>
      <c r="R321" s="264"/>
      <c r="S321" s="264"/>
      <c r="T321" s="266"/>
      <c r="U321" s="264"/>
      <c r="V321" s="264"/>
      <c r="W321" s="264"/>
      <c r="X321" s="264"/>
      <c r="Y321" s="266"/>
      <c r="Z321" s="264"/>
      <c r="AA321" s="264"/>
      <c r="AB321" s="264"/>
      <c r="AC321" s="264"/>
      <c r="AD321" s="1000"/>
      <c r="AE321" s="264"/>
      <c r="AF321" s="264"/>
      <c r="AG321" s="264"/>
      <c r="AH321" s="264"/>
      <c r="AI321" s="1000"/>
      <c r="AJ321" s="264"/>
      <c r="AK321" s="264"/>
      <c r="AL321" s="264"/>
      <c r="AM321" s="264"/>
      <c r="AN321" s="1000"/>
      <c r="AO321" s="1000"/>
      <c r="AP321" s="1000"/>
      <c r="AQ321" s="1000"/>
      <c r="AR321" s="1000"/>
      <c r="AS321" s="266"/>
      <c r="AT321" s="266"/>
      <c r="AU321" s="266"/>
      <c r="AV321" s="266"/>
      <c r="AW321" s="266"/>
      <c r="AX321" s="1045">
        <v>6.0999999999999999E-2</v>
      </c>
      <c r="AY321" s="266"/>
      <c r="AZ321" s="266"/>
      <c r="BA321" s="266"/>
      <c r="BB321" s="266"/>
      <c r="BC321" s="266"/>
      <c r="BD321" s="266"/>
      <c r="BE321" s="266"/>
      <c r="BF321" s="266"/>
      <c r="BG321" s="266"/>
      <c r="BH321" s="266"/>
      <c r="BI321" s="1000"/>
      <c r="BJ321" s="1000"/>
      <c r="BK321" s="1000"/>
      <c r="BL321" s="1000"/>
      <c r="BM321" s="1000"/>
      <c r="BN321" s="265"/>
      <c r="BO321" s="265"/>
      <c r="BP321" s="265"/>
      <c r="BQ321" s="265"/>
      <c r="BR321" s="265"/>
      <c r="BS321" s="265"/>
      <c r="BT321" s="265"/>
      <c r="BU321" s="265"/>
      <c r="BV321" s="265"/>
      <c r="BW321" s="265"/>
      <c r="BX321" s="265"/>
      <c r="BY321" s="265"/>
      <c r="BZ321" s="265"/>
      <c r="CA321" s="265"/>
      <c r="CB321" s="265"/>
      <c r="CC321" s="265"/>
      <c r="CD321" s="265"/>
      <c r="CE321" s="265"/>
      <c r="CF321" s="265"/>
      <c r="CG321" s="265"/>
      <c r="CH321" s="265"/>
      <c r="CI321" s="265"/>
      <c r="CJ321" s="265"/>
      <c r="CK321" s="265"/>
      <c r="CL321" s="265"/>
      <c r="CM321" s="265"/>
      <c r="CN321" s="265"/>
      <c r="CO321" s="265"/>
      <c r="CP321" s="265"/>
      <c r="CQ321" s="265"/>
      <c r="CR321" s="265"/>
      <c r="CS321" s="265"/>
      <c r="CT321" s="265"/>
      <c r="CU321" s="265"/>
      <c r="CV321" s="265"/>
      <c r="CW321" s="265"/>
      <c r="CX321" s="265"/>
      <c r="CY321" s="265"/>
      <c r="CZ321" s="268"/>
    </row>
    <row r="322" spans="1:104" hidden="1" outlineLevel="1">
      <c r="A322" s="264"/>
      <c r="B322" s="264" t="s">
        <v>705</v>
      </c>
      <c r="C322" s="268"/>
      <c r="D322" s="264"/>
      <c r="E322" s="264"/>
      <c r="F322" s="264"/>
      <c r="G322" s="264"/>
      <c r="H322" s="264"/>
      <c r="I322" s="264"/>
      <c r="J322" s="266"/>
      <c r="K322" s="264"/>
      <c r="L322" s="264"/>
      <c r="M322" s="264"/>
      <c r="N322" s="264"/>
      <c r="O322" s="266"/>
      <c r="P322" s="264"/>
      <c r="Q322" s="264"/>
      <c r="R322" s="264"/>
      <c r="S322" s="264"/>
      <c r="T322" s="266"/>
      <c r="U322" s="264"/>
      <c r="V322" s="264"/>
      <c r="W322" s="264"/>
      <c r="X322" s="264"/>
      <c r="Y322" s="266"/>
      <c r="Z322" s="264"/>
      <c r="AA322" s="264"/>
      <c r="AB322" s="264"/>
      <c r="AC322" s="264"/>
      <c r="AD322" s="1000"/>
      <c r="AE322" s="264"/>
      <c r="AF322" s="264"/>
      <c r="AG322" s="264"/>
      <c r="AH322" s="264"/>
      <c r="AI322" s="1000"/>
      <c r="AJ322" s="264"/>
      <c r="AK322" s="264"/>
      <c r="AL322" s="264"/>
      <c r="AM322" s="264"/>
      <c r="AN322" s="1000"/>
      <c r="AO322" s="1000"/>
      <c r="AP322" s="1000"/>
      <c r="AQ322" s="1000"/>
      <c r="AR322" s="1000"/>
      <c r="AS322" s="266"/>
      <c r="AT322" s="266"/>
      <c r="AU322" s="266"/>
      <c r="AV322" s="266"/>
      <c r="AW322" s="266"/>
      <c r="AX322" s="1037">
        <v>-0.27</v>
      </c>
      <c r="AY322" s="266"/>
      <c r="AZ322" s="266"/>
      <c r="BA322" s="266"/>
      <c r="BB322" s="266"/>
      <c r="BC322" s="266"/>
      <c r="BD322" s="266"/>
      <c r="BE322" s="266"/>
      <c r="BF322" s="266"/>
      <c r="BG322" s="266"/>
      <c r="BH322" s="266"/>
      <c r="BI322" s="1000"/>
      <c r="BJ322" s="1000"/>
      <c r="BK322" s="1000"/>
      <c r="BL322" s="1000"/>
      <c r="BM322" s="1000"/>
      <c r="BN322" s="265"/>
      <c r="BO322" s="265"/>
      <c r="BP322" s="265"/>
      <c r="BQ322" s="265"/>
      <c r="BR322" s="265"/>
      <c r="BS322" s="265"/>
      <c r="BT322" s="265"/>
      <c r="BU322" s="265"/>
      <c r="BV322" s="265"/>
      <c r="BW322" s="265"/>
      <c r="BX322" s="265"/>
      <c r="BY322" s="265"/>
      <c r="BZ322" s="265"/>
      <c r="CA322" s="265"/>
      <c r="CB322" s="265"/>
      <c r="CC322" s="265"/>
      <c r="CD322" s="265"/>
      <c r="CE322" s="265"/>
      <c r="CF322" s="265"/>
      <c r="CG322" s="265"/>
      <c r="CH322" s="265"/>
      <c r="CI322" s="265"/>
      <c r="CJ322" s="265"/>
      <c r="CK322" s="265"/>
      <c r="CL322" s="265"/>
      <c r="CM322" s="265"/>
      <c r="CN322" s="265"/>
      <c r="CO322" s="265"/>
      <c r="CP322" s="265"/>
      <c r="CQ322" s="265"/>
      <c r="CR322" s="265"/>
      <c r="CS322" s="265"/>
      <c r="CT322" s="265"/>
      <c r="CU322" s="265"/>
      <c r="CV322" s="265"/>
      <c r="CW322" s="265"/>
      <c r="CX322" s="265"/>
      <c r="CY322" s="265"/>
      <c r="CZ322" s="268"/>
    </row>
    <row r="323" spans="1:104" hidden="1" outlineLevel="1">
      <c r="A323" s="264"/>
      <c r="B323" s="264" t="s">
        <v>704</v>
      </c>
      <c r="C323" s="268"/>
      <c r="D323" s="264"/>
      <c r="E323" s="264"/>
      <c r="F323" s="264"/>
      <c r="G323" s="264"/>
      <c r="H323" s="264"/>
      <c r="I323" s="264"/>
      <c r="J323" s="266"/>
      <c r="K323" s="264"/>
      <c r="L323" s="264"/>
      <c r="M323" s="264"/>
      <c r="N323" s="264"/>
      <c r="O323" s="266"/>
      <c r="P323" s="264"/>
      <c r="Q323" s="264"/>
      <c r="R323" s="264"/>
      <c r="S323" s="264"/>
      <c r="T323" s="266"/>
      <c r="U323" s="264"/>
      <c r="V323" s="264"/>
      <c r="W323" s="264"/>
      <c r="X323" s="264"/>
      <c r="Y323" s="266"/>
      <c r="Z323" s="264"/>
      <c r="AA323" s="264"/>
      <c r="AB323" s="264"/>
      <c r="AC323" s="264"/>
      <c r="AD323" s="1000"/>
      <c r="AE323" s="264"/>
      <c r="AF323" s="264"/>
      <c r="AG323" s="264"/>
      <c r="AH323" s="264"/>
      <c r="AI323" s="1000"/>
      <c r="AJ323" s="264"/>
      <c r="AK323" s="264"/>
      <c r="AL323" s="264"/>
      <c r="AM323" s="264"/>
      <c r="AN323" s="1000"/>
      <c r="AO323" s="1000"/>
      <c r="AP323" s="1000"/>
      <c r="AQ323" s="1000"/>
      <c r="AR323" s="1000"/>
      <c r="AS323" s="266"/>
      <c r="AT323" s="266"/>
      <c r="AU323" s="266"/>
      <c r="AV323" s="266"/>
      <c r="AW323" s="266"/>
      <c r="AX323" s="1037">
        <v>0.74</v>
      </c>
      <c r="AY323" s="266"/>
      <c r="AZ323" s="266"/>
      <c r="BA323" s="266"/>
      <c r="BB323" s="266"/>
      <c r="BC323" s="266"/>
      <c r="BD323" s="266"/>
      <c r="BE323" s="266"/>
      <c r="BF323" s="266"/>
      <c r="BG323" s="266"/>
      <c r="BH323" s="266"/>
      <c r="BI323" s="1000"/>
      <c r="BJ323" s="1000"/>
      <c r="BK323" s="1000"/>
      <c r="BL323" s="1000"/>
      <c r="BM323" s="1000"/>
      <c r="BN323" s="265"/>
      <c r="BO323" s="265"/>
      <c r="BP323" s="265"/>
      <c r="BQ323" s="265"/>
      <c r="BR323" s="265"/>
      <c r="BS323" s="265"/>
      <c r="BT323" s="265"/>
      <c r="BU323" s="265"/>
      <c r="BV323" s="265"/>
      <c r="BW323" s="265"/>
      <c r="BX323" s="265"/>
      <c r="BY323" s="265"/>
      <c r="BZ323" s="265"/>
      <c r="CA323" s="265"/>
      <c r="CB323" s="265"/>
      <c r="CC323" s="265"/>
      <c r="CD323" s="265"/>
      <c r="CE323" s="265"/>
      <c r="CF323" s="265"/>
      <c r="CG323" s="265"/>
      <c r="CH323" s="265"/>
      <c r="CI323" s="265"/>
      <c r="CJ323" s="265"/>
      <c r="CK323" s="265"/>
      <c r="CL323" s="265"/>
      <c r="CM323" s="265"/>
      <c r="CN323" s="265"/>
      <c r="CO323" s="265"/>
      <c r="CP323" s="265"/>
      <c r="CQ323" s="265"/>
      <c r="CR323" s="265"/>
      <c r="CS323" s="265"/>
      <c r="CT323" s="265"/>
      <c r="CU323" s="265"/>
      <c r="CV323" s="265"/>
      <c r="CW323" s="265"/>
      <c r="CX323" s="265"/>
      <c r="CY323" s="265"/>
      <c r="CZ323" s="268"/>
    </row>
    <row r="324" spans="1:104" hidden="1" outlineLevel="1">
      <c r="A324" s="264"/>
      <c r="B324" s="264" t="s">
        <v>703</v>
      </c>
      <c r="C324" s="268"/>
      <c r="D324" s="264"/>
      <c r="E324" s="264"/>
      <c r="F324" s="264"/>
      <c r="G324" s="264"/>
      <c r="H324" s="264"/>
      <c r="I324" s="264"/>
      <c r="J324" s="266"/>
      <c r="K324" s="264"/>
      <c r="L324" s="264"/>
      <c r="M324" s="264"/>
      <c r="N324" s="264"/>
      <c r="O324" s="266"/>
      <c r="P324" s="264"/>
      <c r="Q324" s="264"/>
      <c r="R324" s="264"/>
      <c r="S324" s="264"/>
      <c r="T324" s="266"/>
      <c r="U324" s="264"/>
      <c r="V324" s="264"/>
      <c r="W324" s="264"/>
      <c r="X324" s="264"/>
      <c r="Y324" s="266"/>
      <c r="Z324" s="264"/>
      <c r="AA324" s="264"/>
      <c r="AB324" s="264"/>
      <c r="AC324" s="264"/>
      <c r="AD324" s="1000"/>
      <c r="AE324" s="264"/>
      <c r="AF324" s="264"/>
      <c r="AG324" s="264"/>
      <c r="AH324" s="264"/>
      <c r="AI324" s="1000"/>
      <c r="AJ324" s="264"/>
      <c r="AK324" s="264"/>
      <c r="AL324" s="264"/>
      <c r="AM324" s="264"/>
      <c r="AN324" s="1000"/>
      <c r="AO324" s="1000"/>
      <c r="AP324" s="1000"/>
      <c r="AQ324" s="1000"/>
      <c r="AR324" s="1000"/>
      <c r="AS324" s="266"/>
      <c r="AT324" s="266"/>
      <c r="AU324" s="266"/>
      <c r="AV324" s="266"/>
      <c r="AW324" s="266"/>
      <c r="AX324" s="525" t="s">
        <v>702</v>
      </c>
      <c r="AY324" s="266"/>
      <c r="AZ324" s="266"/>
      <c r="BA324" s="266"/>
      <c r="BB324" s="266"/>
      <c r="BC324" s="266"/>
      <c r="BD324" s="266"/>
      <c r="BE324" s="266"/>
      <c r="BF324" s="266"/>
      <c r="BG324" s="266"/>
      <c r="BH324" s="266"/>
      <c r="BI324" s="1000"/>
      <c r="BJ324" s="1000"/>
      <c r="BK324" s="1000"/>
      <c r="BL324" s="1000"/>
      <c r="BM324" s="1000"/>
      <c r="BN324" s="265"/>
      <c r="BO324" s="265"/>
      <c r="BP324" s="265"/>
      <c r="BQ324" s="265"/>
      <c r="BR324" s="265"/>
      <c r="BS324" s="265"/>
      <c r="BT324" s="265"/>
      <c r="BU324" s="265"/>
      <c r="BV324" s="265"/>
      <c r="BW324" s="265"/>
      <c r="BX324" s="265"/>
      <c r="BY324" s="265"/>
      <c r="BZ324" s="265"/>
      <c r="CA324" s="265"/>
      <c r="CB324" s="265"/>
      <c r="CC324" s="265"/>
      <c r="CD324" s="265"/>
      <c r="CE324" s="265"/>
      <c r="CF324" s="265"/>
      <c r="CG324" s="265"/>
      <c r="CH324" s="265"/>
      <c r="CI324" s="265"/>
      <c r="CJ324" s="265"/>
      <c r="CK324" s="265"/>
      <c r="CL324" s="265"/>
      <c r="CM324" s="265"/>
      <c r="CN324" s="265"/>
      <c r="CO324" s="265"/>
      <c r="CP324" s="265"/>
      <c r="CQ324" s="265"/>
      <c r="CR324" s="265"/>
      <c r="CS324" s="265"/>
      <c r="CT324" s="265"/>
      <c r="CU324" s="265"/>
      <c r="CV324" s="265"/>
      <c r="CW324" s="265"/>
      <c r="CX324" s="265"/>
      <c r="CY324" s="265"/>
      <c r="CZ324" s="268"/>
    </row>
    <row r="325" spans="1:104" hidden="1" outlineLevel="1">
      <c r="A325" s="264"/>
      <c r="B325" s="264"/>
      <c r="C325" s="268"/>
      <c r="D325" s="264"/>
      <c r="E325" s="264"/>
      <c r="F325" s="264"/>
      <c r="G325" s="264"/>
      <c r="H325" s="264"/>
      <c r="I325" s="264"/>
      <c r="J325" s="266"/>
      <c r="K325" s="264"/>
      <c r="L325" s="264"/>
      <c r="M325" s="264"/>
      <c r="N325" s="264"/>
      <c r="O325" s="266"/>
      <c r="P325" s="264"/>
      <c r="Q325" s="264"/>
      <c r="R325" s="264"/>
      <c r="S325" s="264"/>
      <c r="T325" s="266"/>
      <c r="U325" s="264"/>
      <c r="V325" s="264"/>
      <c r="W325" s="264"/>
      <c r="X325" s="264"/>
      <c r="Y325" s="266"/>
      <c r="Z325" s="264"/>
      <c r="AA325" s="264"/>
      <c r="AB325" s="264"/>
      <c r="AC325" s="264"/>
      <c r="AD325" s="1000"/>
      <c r="AE325" s="264"/>
      <c r="AF325" s="264"/>
      <c r="AG325" s="264"/>
      <c r="AH325" s="264"/>
      <c r="AI325" s="1000"/>
      <c r="AJ325" s="264"/>
      <c r="AK325" s="264"/>
      <c r="AL325" s="264"/>
      <c r="AM325" s="264"/>
      <c r="AN325" s="1000"/>
      <c r="AO325" s="1000"/>
      <c r="AP325" s="1000"/>
      <c r="AQ325" s="1000"/>
      <c r="AR325" s="1000"/>
      <c r="AS325" s="266"/>
      <c r="AT325" s="266"/>
      <c r="AU325" s="266"/>
      <c r="AV325" s="266"/>
      <c r="AW325" s="266"/>
      <c r="AX325" s="266"/>
      <c r="AY325" s="266"/>
      <c r="AZ325" s="266"/>
      <c r="BA325" s="266"/>
      <c r="BB325" s="266"/>
      <c r="BC325" s="266"/>
      <c r="BD325" s="266"/>
      <c r="BE325" s="266"/>
      <c r="BF325" s="266"/>
      <c r="BG325" s="266"/>
      <c r="BH325" s="266"/>
      <c r="BI325" s="1000"/>
      <c r="BJ325" s="1000"/>
      <c r="BK325" s="1000"/>
      <c r="BL325" s="1000"/>
      <c r="BM325" s="1000"/>
      <c r="BN325" s="265"/>
      <c r="BO325" s="265"/>
      <c r="BP325" s="265"/>
      <c r="BQ325" s="265"/>
      <c r="BR325" s="265"/>
      <c r="BS325" s="265"/>
      <c r="BT325" s="265"/>
      <c r="BU325" s="265"/>
      <c r="BV325" s="265"/>
      <c r="BW325" s="265"/>
      <c r="BX325" s="265"/>
      <c r="BY325" s="265"/>
      <c r="BZ325" s="265"/>
      <c r="CA325" s="265"/>
      <c r="CB325" s="265"/>
      <c r="CC325" s="265"/>
      <c r="CD325" s="265"/>
      <c r="CE325" s="265"/>
      <c r="CF325" s="265"/>
      <c r="CG325" s="265"/>
      <c r="CH325" s="265"/>
      <c r="CI325" s="265"/>
      <c r="CJ325" s="265"/>
      <c r="CK325" s="265"/>
      <c r="CL325" s="265"/>
      <c r="CM325" s="265"/>
      <c r="CN325" s="265"/>
      <c r="CO325" s="265"/>
      <c r="CP325" s="265"/>
      <c r="CQ325" s="265"/>
      <c r="CR325" s="265"/>
      <c r="CS325" s="265"/>
      <c r="CT325" s="265"/>
      <c r="CU325" s="265"/>
      <c r="CV325" s="265"/>
      <c r="CW325" s="265"/>
      <c r="CX325" s="265"/>
      <c r="CY325" s="265"/>
      <c r="CZ325" s="268"/>
    </row>
    <row r="326" spans="1:104" hidden="1" outlineLevel="1">
      <c r="A326" s="264"/>
      <c r="B326" s="266" t="s">
        <v>701</v>
      </c>
      <c r="C326" s="268"/>
      <c r="D326" s="264"/>
      <c r="E326" s="264"/>
      <c r="F326" s="264"/>
      <c r="G326" s="264"/>
      <c r="H326" s="264"/>
      <c r="I326" s="264"/>
      <c r="J326" s="266"/>
      <c r="K326" s="264"/>
      <c r="L326" s="264"/>
      <c r="M326" s="264"/>
      <c r="N326" s="264"/>
      <c r="O326" s="266"/>
      <c r="P326" s="264"/>
      <c r="Q326" s="264"/>
      <c r="R326" s="264"/>
      <c r="S326" s="264"/>
      <c r="T326" s="266"/>
      <c r="U326" s="264"/>
      <c r="V326" s="264"/>
      <c r="W326" s="264"/>
      <c r="X326" s="264"/>
      <c r="Y326" s="266"/>
      <c r="Z326" s="264"/>
      <c r="AA326" s="264"/>
      <c r="AB326" s="264"/>
      <c r="AC326" s="264"/>
      <c r="AD326" s="1000"/>
      <c r="AE326" s="264"/>
      <c r="AF326" s="264"/>
      <c r="AG326" s="264"/>
      <c r="AH326" s="264"/>
      <c r="AI326" s="1000"/>
      <c r="AJ326" s="264"/>
      <c r="AK326" s="264"/>
      <c r="AL326" s="264"/>
      <c r="AM326" s="264"/>
      <c r="AN326" s="1000"/>
      <c r="AO326" s="1000"/>
      <c r="AP326" s="1000"/>
      <c r="AQ326" s="1000"/>
      <c r="AR326" s="1000"/>
      <c r="AS326" s="266"/>
      <c r="AT326" s="266"/>
      <c r="AU326" s="266"/>
      <c r="AV326" s="266"/>
      <c r="AW326" s="266"/>
      <c r="AX326" s="1037">
        <v>0.49</v>
      </c>
      <c r="AY326" s="266"/>
      <c r="AZ326" s="266"/>
      <c r="BA326" s="266"/>
      <c r="BB326" s="266"/>
      <c r="BC326" s="266"/>
      <c r="BD326" s="266"/>
      <c r="BE326" s="266"/>
      <c r="BF326" s="266"/>
      <c r="BG326" s="266"/>
      <c r="BH326" s="266"/>
      <c r="BI326" s="1000"/>
      <c r="BJ326" s="1000"/>
      <c r="BK326" s="1000"/>
      <c r="BL326" s="1000"/>
      <c r="BM326" s="1000"/>
      <c r="BN326" s="265"/>
      <c r="BO326" s="265"/>
      <c r="BP326" s="265"/>
      <c r="BQ326" s="265"/>
      <c r="BR326" s="265"/>
      <c r="BS326" s="265"/>
      <c r="BT326" s="265"/>
      <c r="BU326" s="265"/>
      <c r="BV326" s="265"/>
      <c r="BW326" s="265"/>
      <c r="BX326" s="265"/>
      <c r="BY326" s="265"/>
      <c r="BZ326" s="265"/>
      <c r="CA326" s="265"/>
      <c r="CB326" s="265"/>
      <c r="CC326" s="265"/>
      <c r="CD326" s="265"/>
      <c r="CE326" s="265"/>
      <c r="CF326" s="265"/>
      <c r="CG326" s="265"/>
      <c r="CH326" s="265"/>
      <c r="CI326" s="265"/>
      <c r="CJ326" s="265"/>
      <c r="CK326" s="265"/>
      <c r="CL326" s="265"/>
      <c r="CM326" s="265"/>
      <c r="CN326" s="265"/>
      <c r="CO326" s="265"/>
      <c r="CP326" s="265"/>
      <c r="CQ326" s="265"/>
      <c r="CR326" s="265"/>
      <c r="CS326" s="265"/>
      <c r="CT326" s="265"/>
      <c r="CU326" s="265"/>
      <c r="CV326" s="265"/>
      <c r="CW326" s="265"/>
      <c r="CX326" s="265"/>
      <c r="CY326" s="265"/>
      <c r="CZ326" s="268"/>
    </row>
    <row r="327" spans="1:104" hidden="1" outlineLevel="1">
      <c r="A327" s="264"/>
      <c r="B327" s="264"/>
      <c r="C327" s="268"/>
      <c r="D327" s="264"/>
      <c r="E327" s="264"/>
      <c r="F327" s="264"/>
      <c r="G327" s="264"/>
      <c r="H327" s="264"/>
      <c r="I327" s="264"/>
      <c r="J327" s="266"/>
      <c r="K327" s="264"/>
      <c r="L327" s="264"/>
      <c r="M327" s="264"/>
      <c r="N327" s="264"/>
      <c r="O327" s="266"/>
      <c r="P327" s="264"/>
      <c r="Q327" s="264"/>
      <c r="R327" s="264"/>
      <c r="S327" s="264"/>
      <c r="T327" s="266"/>
      <c r="U327" s="264"/>
      <c r="V327" s="264"/>
      <c r="W327" s="264"/>
      <c r="X327" s="264"/>
      <c r="Y327" s="266"/>
      <c r="Z327" s="264"/>
      <c r="AA327" s="264"/>
      <c r="AB327" s="264"/>
      <c r="AC327" s="264"/>
      <c r="AD327" s="1000"/>
      <c r="AE327" s="264"/>
      <c r="AF327" s="264"/>
      <c r="AG327" s="264"/>
      <c r="AH327" s="264"/>
      <c r="AI327" s="1000"/>
      <c r="AJ327" s="264"/>
      <c r="AK327" s="264"/>
      <c r="AL327" s="264"/>
      <c r="AM327" s="264"/>
      <c r="AN327" s="1000"/>
      <c r="AO327" s="1000"/>
      <c r="AP327" s="1000"/>
      <c r="AQ327" s="1000"/>
      <c r="AR327" s="1000"/>
      <c r="AS327" s="266"/>
      <c r="AT327" s="266"/>
      <c r="AU327" s="266"/>
      <c r="AV327" s="266"/>
      <c r="AW327" s="266"/>
      <c r="AX327" s="266"/>
      <c r="AY327" s="266"/>
      <c r="AZ327" s="266"/>
      <c r="BA327" s="266"/>
      <c r="BB327" s="266"/>
      <c r="BC327" s="266"/>
      <c r="BD327" s="266"/>
      <c r="BE327" s="266"/>
      <c r="BF327" s="266"/>
      <c r="BG327" s="266"/>
      <c r="BH327" s="266"/>
      <c r="BI327" s="1000"/>
      <c r="BJ327" s="1000"/>
      <c r="BK327" s="1000"/>
      <c r="BL327" s="1000"/>
      <c r="BM327" s="1000"/>
      <c r="BN327" s="265"/>
      <c r="BO327" s="265"/>
      <c r="BP327" s="265"/>
      <c r="BQ327" s="265"/>
      <c r="BR327" s="265"/>
      <c r="BS327" s="265"/>
      <c r="BT327" s="265"/>
      <c r="BU327" s="265"/>
      <c r="BV327" s="265"/>
      <c r="BW327" s="265"/>
      <c r="BX327" s="265"/>
      <c r="BY327" s="265"/>
      <c r="BZ327" s="265"/>
      <c r="CA327" s="265"/>
      <c r="CB327" s="265"/>
      <c r="CC327" s="265"/>
      <c r="CD327" s="265"/>
      <c r="CE327" s="265"/>
      <c r="CF327" s="265"/>
      <c r="CG327" s="265"/>
      <c r="CH327" s="265"/>
      <c r="CI327" s="265"/>
      <c r="CJ327" s="265"/>
      <c r="CK327" s="265"/>
      <c r="CL327" s="265"/>
      <c r="CM327" s="265"/>
      <c r="CN327" s="265"/>
      <c r="CO327" s="265"/>
      <c r="CP327" s="265"/>
      <c r="CQ327" s="265"/>
      <c r="CR327" s="265"/>
      <c r="CS327" s="265"/>
      <c r="CT327" s="265"/>
      <c r="CU327" s="265"/>
      <c r="CV327" s="265"/>
      <c r="CW327" s="265"/>
      <c r="CX327" s="265"/>
      <c r="CY327" s="265"/>
      <c r="CZ327" s="268"/>
    </row>
    <row r="328" spans="1:104" hidden="1" outlineLevel="1">
      <c r="A328" s="264"/>
      <c r="B328" s="266" t="s">
        <v>700</v>
      </c>
      <c r="C328" s="268"/>
      <c r="D328" s="264"/>
      <c r="E328" s="264"/>
      <c r="F328" s="264"/>
      <c r="G328" s="264"/>
      <c r="H328" s="264"/>
      <c r="I328" s="264"/>
      <c r="J328" s="266"/>
      <c r="K328" s="264"/>
      <c r="L328" s="264"/>
      <c r="M328" s="264"/>
      <c r="N328" s="264"/>
      <c r="O328" s="266"/>
      <c r="P328" s="264"/>
      <c r="Q328" s="264"/>
      <c r="R328" s="264"/>
      <c r="S328" s="264"/>
      <c r="T328" s="266"/>
      <c r="U328" s="264"/>
      <c r="V328" s="264"/>
      <c r="W328" s="264"/>
      <c r="X328" s="264"/>
      <c r="Y328" s="266"/>
      <c r="Z328" s="264"/>
      <c r="AA328" s="264"/>
      <c r="AB328" s="264"/>
      <c r="AC328" s="264"/>
      <c r="AD328" s="1000"/>
      <c r="AE328" s="264"/>
      <c r="AF328" s="264"/>
      <c r="AG328" s="264"/>
      <c r="AH328" s="264"/>
      <c r="AI328" s="1000"/>
      <c r="AJ328" s="264"/>
      <c r="AK328" s="264"/>
      <c r="AL328" s="264"/>
      <c r="AM328" s="264"/>
      <c r="AN328" s="1000"/>
      <c r="AO328" s="1000"/>
      <c r="AP328" s="1000"/>
      <c r="AQ328" s="1000"/>
      <c r="AR328" s="1000"/>
      <c r="AS328" s="266"/>
      <c r="AT328" s="266"/>
      <c r="AU328" s="266"/>
      <c r="AV328" s="266"/>
      <c r="AW328" s="266"/>
      <c r="AX328" s="266"/>
      <c r="AY328" s="266"/>
      <c r="AZ328" s="266"/>
      <c r="BA328" s="266"/>
      <c r="BB328" s="266"/>
      <c r="BC328" s="266"/>
      <c r="BD328" s="266"/>
      <c r="BE328" s="266"/>
      <c r="BF328" s="266"/>
      <c r="BG328" s="266"/>
      <c r="BH328" s="266"/>
      <c r="BI328" s="1000"/>
      <c r="BJ328" s="1000"/>
      <c r="BK328" s="1000"/>
      <c r="BL328" s="1000"/>
      <c r="BM328" s="1000"/>
      <c r="BN328" s="265"/>
      <c r="BO328" s="265"/>
      <c r="BP328" s="265"/>
      <c r="BQ328" s="265"/>
      <c r="BR328" s="265"/>
      <c r="BS328" s="265"/>
      <c r="BT328" s="265"/>
      <c r="BU328" s="265"/>
      <c r="BV328" s="265"/>
      <c r="BW328" s="265"/>
      <c r="BX328" s="265"/>
      <c r="BY328" s="265"/>
      <c r="BZ328" s="265"/>
      <c r="CA328" s="265"/>
      <c r="CB328" s="265"/>
      <c r="CC328" s="265"/>
      <c r="CD328" s="265"/>
      <c r="CE328" s="265"/>
      <c r="CF328" s="265"/>
      <c r="CG328" s="265"/>
      <c r="CH328" s="265"/>
      <c r="CI328" s="265"/>
      <c r="CJ328" s="265"/>
      <c r="CK328" s="265"/>
      <c r="CL328" s="265"/>
      <c r="CM328" s="265"/>
      <c r="CN328" s="265"/>
      <c r="CO328" s="265"/>
      <c r="CP328" s="265"/>
      <c r="CQ328" s="265"/>
      <c r="CR328" s="265"/>
      <c r="CS328" s="265"/>
      <c r="CT328" s="265"/>
      <c r="CU328" s="265"/>
      <c r="CV328" s="265"/>
      <c r="CW328" s="265"/>
      <c r="CX328" s="265"/>
      <c r="CY328" s="265"/>
      <c r="CZ328" s="268"/>
    </row>
    <row r="329" spans="1:104" hidden="1" outlineLevel="1">
      <c r="A329" s="264"/>
      <c r="B329" s="264" t="s">
        <v>699</v>
      </c>
      <c r="C329" s="268"/>
      <c r="D329" s="264"/>
      <c r="E329" s="264"/>
      <c r="F329" s="264"/>
      <c r="G329" s="264"/>
      <c r="H329" s="264"/>
      <c r="I329" s="264"/>
      <c r="J329" s="266"/>
      <c r="K329" s="264"/>
      <c r="L329" s="264"/>
      <c r="M329" s="264"/>
      <c r="N329" s="264"/>
      <c r="O329" s="266"/>
      <c r="P329" s="264"/>
      <c r="Q329" s="264"/>
      <c r="R329" s="264"/>
      <c r="S329" s="264"/>
      <c r="T329" s="266"/>
      <c r="U329" s="264"/>
      <c r="V329" s="264"/>
      <c r="W329" s="264"/>
      <c r="X329" s="264"/>
      <c r="Y329" s="266"/>
      <c r="Z329" s="264"/>
      <c r="AA329" s="264"/>
      <c r="AB329" s="264"/>
      <c r="AC329" s="264"/>
      <c r="AD329" s="1000"/>
      <c r="AE329" s="264"/>
      <c r="AF329" s="264"/>
      <c r="AG329" s="264"/>
      <c r="AH329" s="264"/>
      <c r="AI329" s="1000"/>
      <c r="AJ329" s="264"/>
      <c r="AK329" s="264"/>
      <c r="AL329" s="264"/>
      <c r="AM329" s="264"/>
      <c r="AN329" s="1000"/>
      <c r="AO329" s="1000"/>
      <c r="AP329" s="1000"/>
      <c r="AQ329" s="1000"/>
      <c r="AR329" s="1000"/>
      <c r="AS329" s="264">
        <v>22</v>
      </c>
      <c r="AT329" s="264"/>
      <c r="AU329" s="264"/>
      <c r="AV329" s="264"/>
      <c r="AW329" s="264"/>
      <c r="AX329" s="264">
        <v>34</v>
      </c>
      <c r="AY329" s="264"/>
      <c r="AZ329" s="264"/>
      <c r="BA329" s="264"/>
      <c r="BB329" s="264"/>
      <c r="BC329" s="264"/>
      <c r="BD329" s="264"/>
      <c r="BE329" s="264"/>
      <c r="BF329" s="264"/>
      <c r="BG329" s="264"/>
      <c r="BH329" s="264"/>
      <c r="BI329" s="265"/>
      <c r="BJ329" s="265"/>
      <c r="BK329" s="265"/>
      <c r="BL329" s="265"/>
      <c r="BM329" s="265">
        <v>70</v>
      </c>
      <c r="BN329" s="265"/>
      <c r="BO329" s="265"/>
      <c r="BP329" s="265"/>
      <c r="BQ329" s="265"/>
      <c r="BR329" s="265"/>
      <c r="BS329" s="265"/>
      <c r="BT329" s="265"/>
      <c r="BU329" s="265"/>
      <c r="BV329" s="265"/>
      <c r="BW329" s="265"/>
      <c r="BX329" s="265"/>
      <c r="BY329" s="265"/>
      <c r="BZ329" s="265"/>
      <c r="CA329" s="265"/>
      <c r="CB329" s="265"/>
      <c r="CC329" s="265"/>
      <c r="CD329" s="265"/>
      <c r="CE329" s="265"/>
      <c r="CF329" s="265"/>
      <c r="CG329" s="265"/>
      <c r="CH329" s="265"/>
      <c r="CI329" s="265"/>
      <c r="CJ329" s="265"/>
      <c r="CK329" s="265"/>
      <c r="CL329" s="265"/>
      <c r="CM329" s="265"/>
      <c r="CN329" s="265"/>
      <c r="CO329" s="265"/>
      <c r="CP329" s="265"/>
      <c r="CQ329" s="265"/>
      <c r="CR329" s="265"/>
      <c r="CS329" s="265"/>
      <c r="CT329" s="265"/>
      <c r="CU329" s="265"/>
      <c r="CV329" s="265"/>
      <c r="CW329" s="265"/>
      <c r="CX329" s="265"/>
      <c r="CY329" s="265"/>
      <c r="CZ329" s="268"/>
    </row>
    <row r="330" spans="1:104" hidden="1" outlineLevel="1">
      <c r="A330" s="264"/>
      <c r="B330" s="264"/>
      <c r="C330" s="268"/>
      <c r="D330" s="264"/>
      <c r="E330" s="264"/>
      <c r="F330" s="264"/>
      <c r="G330" s="264"/>
      <c r="H330" s="264"/>
      <c r="I330" s="264"/>
      <c r="J330" s="266"/>
      <c r="K330" s="264"/>
      <c r="L330" s="264"/>
      <c r="M330" s="264"/>
      <c r="N330" s="264"/>
      <c r="O330" s="266"/>
      <c r="P330" s="264"/>
      <c r="Q330" s="264"/>
      <c r="R330" s="264"/>
      <c r="S330" s="264"/>
      <c r="T330" s="266"/>
      <c r="U330" s="264"/>
      <c r="V330" s="264"/>
      <c r="W330" s="264"/>
      <c r="X330" s="264"/>
      <c r="Y330" s="266"/>
      <c r="Z330" s="264"/>
      <c r="AA330" s="264"/>
      <c r="AB330" s="264"/>
      <c r="AC330" s="264"/>
      <c r="AD330" s="1000"/>
      <c r="AE330" s="264"/>
      <c r="AF330" s="264"/>
      <c r="AG330" s="264"/>
      <c r="AH330" s="264"/>
      <c r="AI330" s="1000"/>
      <c r="AJ330" s="264"/>
      <c r="AK330" s="264"/>
      <c r="AL330" s="264"/>
      <c r="AM330" s="264"/>
      <c r="AN330" s="1000"/>
      <c r="AO330" s="1000"/>
      <c r="AP330" s="1000"/>
      <c r="AQ330" s="1000"/>
      <c r="AR330" s="1000"/>
      <c r="AS330" s="264"/>
      <c r="AT330" s="264"/>
      <c r="AU330" s="264"/>
      <c r="AV330" s="264"/>
      <c r="AW330" s="264"/>
      <c r="AX330" s="264"/>
      <c r="AY330" s="264"/>
      <c r="AZ330" s="264"/>
      <c r="BA330" s="264"/>
      <c r="BB330" s="264"/>
      <c r="BC330" s="264"/>
      <c r="BD330" s="264"/>
      <c r="BE330" s="264"/>
      <c r="BF330" s="264"/>
      <c r="BG330" s="264"/>
      <c r="BH330" s="264"/>
      <c r="BI330" s="265"/>
      <c r="BJ330" s="265"/>
      <c r="BK330" s="265"/>
      <c r="BL330" s="265"/>
      <c r="BM330" s="265"/>
      <c r="BN330" s="265"/>
      <c r="BO330" s="265"/>
      <c r="BP330" s="265"/>
      <c r="BQ330" s="265"/>
      <c r="BR330" s="265"/>
      <c r="BS330" s="265"/>
      <c r="BT330" s="265"/>
      <c r="BU330" s="265"/>
      <c r="BV330" s="265"/>
      <c r="BW330" s="265"/>
      <c r="BX330" s="265"/>
      <c r="BY330" s="265"/>
      <c r="BZ330" s="265"/>
      <c r="CA330" s="265"/>
      <c r="CB330" s="265"/>
      <c r="CC330" s="265"/>
      <c r="CD330" s="265"/>
      <c r="CE330" s="265"/>
      <c r="CF330" s="265"/>
      <c r="CG330" s="265"/>
      <c r="CH330" s="265"/>
      <c r="CI330" s="265"/>
      <c r="CJ330" s="265"/>
      <c r="CK330" s="265"/>
      <c r="CL330" s="265"/>
      <c r="CM330" s="265"/>
      <c r="CN330" s="265"/>
      <c r="CO330" s="265"/>
      <c r="CP330" s="265"/>
      <c r="CQ330" s="265"/>
      <c r="CR330" s="265"/>
      <c r="CS330" s="265"/>
      <c r="CT330" s="265"/>
      <c r="CU330" s="265"/>
      <c r="CV330" s="265"/>
      <c r="CW330" s="265"/>
      <c r="CX330" s="265"/>
      <c r="CY330" s="265"/>
      <c r="CZ330" s="268"/>
    </row>
    <row r="331" spans="1:104" hidden="1" outlineLevel="1">
      <c r="A331" s="264"/>
      <c r="B331" s="266" t="s">
        <v>698</v>
      </c>
      <c r="C331" s="268"/>
      <c r="D331" s="264"/>
      <c r="E331" s="264"/>
      <c r="F331" s="264"/>
      <c r="G331" s="264"/>
      <c r="H331" s="264"/>
      <c r="I331" s="264"/>
      <c r="J331" s="266"/>
      <c r="K331" s="264"/>
      <c r="L331" s="264"/>
      <c r="M331" s="264"/>
      <c r="N331" s="264"/>
      <c r="O331" s="266"/>
      <c r="P331" s="264"/>
      <c r="Q331" s="264"/>
      <c r="R331" s="264"/>
      <c r="S331" s="264"/>
      <c r="T331" s="266"/>
      <c r="U331" s="264"/>
      <c r="V331" s="264"/>
      <c r="W331" s="264"/>
      <c r="X331" s="264"/>
      <c r="Y331" s="266"/>
      <c r="Z331" s="264"/>
      <c r="AA331" s="264"/>
      <c r="AB331" s="264"/>
      <c r="AC331" s="264"/>
      <c r="AD331" s="1000"/>
      <c r="AE331" s="264"/>
      <c r="AF331" s="264"/>
      <c r="AG331" s="264"/>
      <c r="AH331" s="264"/>
      <c r="AI331" s="1000"/>
      <c r="AJ331" s="264"/>
      <c r="AK331" s="264"/>
      <c r="AL331" s="264"/>
      <c r="AM331" s="264"/>
      <c r="AN331" s="1000"/>
      <c r="AO331" s="1000"/>
      <c r="AP331" s="1000"/>
      <c r="AQ331" s="1000"/>
      <c r="AR331" s="1000"/>
      <c r="AS331" s="266"/>
      <c r="AT331" s="266"/>
      <c r="AU331" s="266"/>
      <c r="AV331" s="266"/>
      <c r="AW331" s="266"/>
      <c r="AX331" s="266"/>
      <c r="AY331" s="266"/>
      <c r="AZ331" s="266"/>
      <c r="BA331" s="266"/>
      <c r="BB331" s="266"/>
      <c r="BC331" s="266"/>
      <c r="BD331" s="266"/>
      <c r="BE331" s="266"/>
      <c r="BF331" s="266"/>
      <c r="BG331" s="266"/>
      <c r="BH331" s="266"/>
      <c r="BI331" s="1000"/>
      <c r="BJ331" s="1000"/>
      <c r="BK331" s="1000"/>
      <c r="BL331" s="1000"/>
      <c r="BM331" s="1000"/>
      <c r="BN331" s="265"/>
      <c r="BO331" s="265"/>
      <c r="BP331" s="265"/>
      <c r="BQ331" s="265"/>
      <c r="BR331" s="265"/>
      <c r="BS331" s="265"/>
      <c r="BT331" s="265"/>
      <c r="BU331" s="265"/>
      <c r="BV331" s="265"/>
      <c r="BW331" s="265"/>
      <c r="BX331" s="265"/>
      <c r="BY331" s="265"/>
      <c r="BZ331" s="265"/>
      <c r="CA331" s="265"/>
      <c r="CB331" s="265"/>
      <c r="CC331" s="265"/>
      <c r="CD331" s="265"/>
      <c r="CE331" s="265"/>
      <c r="CF331" s="265"/>
      <c r="CG331" s="265"/>
      <c r="CH331" s="265"/>
      <c r="CI331" s="265"/>
      <c r="CJ331" s="265"/>
      <c r="CK331" s="265"/>
      <c r="CL331" s="265"/>
      <c r="CM331" s="265"/>
      <c r="CN331" s="265"/>
      <c r="CO331" s="265"/>
      <c r="CP331" s="265"/>
      <c r="CQ331" s="265"/>
      <c r="CR331" s="265"/>
      <c r="CS331" s="265"/>
      <c r="CT331" s="265"/>
      <c r="CU331" s="265"/>
      <c r="CV331" s="265"/>
      <c r="CW331" s="265"/>
      <c r="CX331" s="265"/>
      <c r="CY331" s="265"/>
      <c r="CZ331" s="268"/>
    </row>
    <row r="332" spans="1:104" hidden="1" outlineLevel="1">
      <c r="A332" s="264"/>
      <c r="B332" s="264" t="s">
        <v>697</v>
      </c>
      <c r="C332" s="268"/>
      <c r="D332" s="264"/>
      <c r="E332" s="264"/>
      <c r="F332" s="264"/>
      <c r="G332" s="264"/>
      <c r="H332" s="264"/>
      <c r="I332" s="264"/>
      <c r="J332" s="266"/>
      <c r="K332" s="264"/>
      <c r="L332" s="264"/>
      <c r="M332" s="264"/>
      <c r="N332" s="264"/>
      <c r="O332" s="266"/>
      <c r="P332" s="264"/>
      <c r="Q332" s="264"/>
      <c r="R332" s="264"/>
      <c r="S332" s="264"/>
      <c r="T332" s="266"/>
      <c r="U332" s="264"/>
      <c r="V332" s="264"/>
      <c r="W332" s="264"/>
      <c r="X332" s="264"/>
      <c r="Y332" s="266"/>
      <c r="Z332" s="264"/>
      <c r="AA332" s="264"/>
      <c r="AB332" s="264"/>
      <c r="AC332" s="264"/>
      <c r="AD332" s="1000"/>
      <c r="AE332" s="264"/>
      <c r="AF332" s="264"/>
      <c r="AG332" s="264"/>
      <c r="AH332" s="264"/>
      <c r="AI332" s="1000"/>
      <c r="AJ332" s="264"/>
      <c r="AK332" s="264"/>
      <c r="AL332" s="264"/>
      <c r="AM332" s="264"/>
      <c r="AN332" s="1000"/>
      <c r="AO332" s="1000"/>
      <c r="AP332" s="1000"/>
      <c r="AQ332" s="1000"/>
      <c r="AR332" s="1000"/>
      <c r="AS332" s="266"/>
      <c r="AT332" s="266"/>
      <c r="AU332" s="266"/>
      <c r="AV332" s="266"/>
      <c r="AW332" s="266"/>
      <c r="AX332" s="1023">
        <v>13</v>
      </c>
      <c r="AY332" s="266"/>
      <c r="AZ332" s="266"/>
      <c r="BA332" s="266"/>
      <c r="BB332" s="266"/>
      <c r="BC332" s="266"/>
      <c r="BD332" s="266"/>
      <c r="BE332" s="266"/>
      <c r="BF332" s="266"/>
      <c r="BG332" s="266"/>
      <c r="BH332" s="266"/>
      <c r="BI332" s="1000"/>
      <c r="BJ332" s="1000"/>
      <c r="BK332" s="1000"/>
      <c r="BL332" s="1000"/>
      <c r="BM332" s="1000"/>
      <c r="BN332" s="265"/>
      <c r="BO332" s="265"/>
      <c r="BP332" s="265"/>
      <c r="BQ332" s="265"/>
      <c r="BR332" s="265"/>
      <c r="BS332" s="265"/>
      <c r="BT332" s="265"/>
      <c r="BU332" s="265"/>
      <c r="BV332" s="265"/>
      <c r="BW332" s="265"/>
      <c r="BX332" s="265"/>
      <c r="BY332" s="265"/>
      <c r="BZ332" s="265"/>
      <c r="CA332" s="265"/>
      <c r="CB332" s="265"/>
      <c r="CC332" s="265"/>
      <c r="CD332" s="265"/>
      <c r="CE332" s="265"/>
      <c r="CF332" s="265"/>
      <c r="CG332" s="265"/>
      <c r="CH332" s="265"/>
      <c r="CI332" s="265"/>
      <c r="CJ332" s="265"/>
      <c r="CK332" s="265"/>
      <c r="CL332" s="265"/>
      <c r="CM332" s="265"/>
      <c r="CN332" s="265"/>
      <c r="CO332" s="265"/>
      <c r="CP332" s="265"/>
      <c r="CQ332" s="265"/>
      <c r="CR332" s="265"/>
      <c r="CS332" s="265"/>
      <c r="CT332" s="265"/>
      <c r="CU332" s="265"/>
      <c r="CV332" s="265"/>
      <c r="CW332" s="265"/>
      <c r="CX332" s="265"/>
      <c r="CY332" s="265"/>
      <c r="CZ332" s="268"/>
    </row>
    <row r="333" spans="1:104" hidden="1" outlineLevel="1">
      <c r="A333" s="264"/>
      <c r="B333" s="264" t="s">
        <v>696</v>
      </c>
      <c r="C333" s="268"/>
      <c r="D333" s="264"/>
      <c r="E333" s="264"/>
      <c r="F333" s="264"/>
      <c r="G333" s="264"/>
      <c r="H333" s="264"/>
      <c r="I333" s="264"/>
      <c r="J333" s="266"/>
      <c r="K333" s="264"/>
      <c r="L333" s="264"/>
      <c r="M333" s="264"/>
      <c r="N333" s="264"/>
      <c r="O333" s="266"/>
      <c r="P333" s="264"/>
      <c r="Q333" s="264"/>
      <c r="R333" s="264"/>
      <c r="S333" s="264"/>
      <c r="T333" s="266"/>
      <c r="U333" s="264"/>
      <c r="V333" s="264"/>
      <c r="W333" s="264"/>
      <c r="X333" s="264"/>
      <c r="Y333" s="266"/>
      <c r="Z333" s="264"/>
      <c r="AA333" s="264"/>
      <c r="AB333" s="264"/>
      <c r="AC333" s="264"/>
      <c r="AD333" s="1000"/>
      <c r="AE333" s="264"/>
      <c r="AF333" s="264"/>
      <c r="AG333" s="264"/>
      <c r="AH333" s="264"/>
      <c r="AI333" s="1000"/>
      <c r="AJ333" s="264"/>
      <c r="AK333" s="264"/>
      <c r="AL333" s="264"/>
      <c r="AM333" s="264"/>
      <c r="AN333" s="1000"/>
      <c r="AO333" s="1000"/>
      <c r="AP333" s="1000"/>
      <c r="AQ333" s="1000"/>
      <c r="AR333" s="1000"/>
      <c r="AS333" s="266"/>
      <c r="AT333" s="266"/>
      <c r="AU333" s="266"/>
      <c r="AV333" s="266"/>
      <c r="AW333" s="266"/>
      <c r="AX333" s="1023">
        <v>6</v>
      </c>
      <c r="AY333" s="266"/>
      <c r="AZ333" s="266"/>
      <c r="BA333" s="266"/>
      <c r="BB333" s="266"/>
      <c r="BC333" s="266"/>
      <c r="BD333" s="266"/>
      <c r="BE333" s="266"/>
      <c r="BF333" s="266"/>
      <c r="BG333" s="266"/>
      <c r="BH333" s="266"/>
      <c r="BI333" s="1000"/>
      <c r="BJ333" s="1000"/>
      <c r="BK333" s="1000"/>
      <c r="BL333" s="1000"/>
      <c r="BM333" s="1000"/>
      <c r="BN333" s="265"/>
      <c r="BO333" s="265"/>
      <c r="BP333" s="265"/>
      <c r="BQ333" s="265"/>
      <c r="BR333" s="265"/>
      <c r="BS333" s="265"/>
      <c r="BT333" s="265"/>
      <c r="BU333" s="265"/>
      <c r="BV333" s="265"/>
      <c r="BW333" s="265"/>
      <c r="BX333" s="265"/>
      <c r="BY333" s="265"/>
      <c r="BZ333" s="265"/>
      <c r="CA333" s="265"/>
      <c r="CB333" s="265"/>
      <c r="CC333" s="265"/>
      <c r="CD333" s="265"/>
      <c r="CE333" s="265"/>
      <c r="CF333" s="265"/>
      <c r="CG333" s="265"/>
      <c r="CH333" s="265"/>
      <c r="CI333" s="265"/>
      <c r="CJ333" s="265"/>
      <c r="CK333" s="265"/>
      <c r="CL333" s="265"/>
      <c r="CM333" s="265"/>
      <c r="CN333" s="265"/>
      <c r="CO333" s="265"/>
      <c r="CP333" s="265"/>
      <c r="CQ333" s="265"/>
      <c r="CR333" s="265"/>
      <c r="CS333" s="265"/>
      <c r="CT333" s="265"/>
      <c r="CU333" s="265"/>
      <c r="CV333" s="265"/>
      <c r="CW333" s="265"/>
      <c r="CX333" s="265"/>
      <c r="CY333" s="265"/>
      <c r="CZ333" s="268"/>
    </row>
    <row r="334" spans="1:104" hidden="1" outlineLevel="1">
      <c r="A334" s="264"/>
      <c r="B334" s="264" t="s">
        <v>589</v>
      </c>
      <c r="C334" s="268"/>
      <c r="D334" s="264"/>
      <c r="E334" s="264"/>
      <c r="F334" s="264"/>
      <c r="G334" s="264"/>
      <c r="H334" s="264"/>
      <c r="I334" s="264"/>
      <c r="J334" s="266"/>
      <c r="K334" s="264"/>
      <c r="L334" s="264"/>
      <c r="M334" s="264"/>
      <c r="N334" s="264"/>
      <c r="O334" s="266"/>
      <c r="P334" s="264"/>
      <c r="Q334" s="264"/>
      <c r="R334" s="264"/>
      <c r="S334" s="264"/>
      <c r="T334" s="266"/>
      <c r="U334" s="264"/>
      <c r="V334" s="264"/>
      <c r="W334" s="264"/>
      <c r="X334" s="264"/>
      <c r="Y334" s="266"/>
      <c r="Z334" s="264"/>
      <c r="AA334" s="264"/>
      <c r="AB334" s="264"/>
      <c r="AC334" s="264"/>
      <c r="AD334" s="1000"/>
      <c r="AE334" s="264"/>
      <c r="AF334" s="264"/>
      <c r="AG334" s="264"/>
      <c r="AH334" s="264"/>
      <c r="AI334" s="1000"/>
      <c r="AJ334" s="264"/>
      <c r="AK334" s="264"/>
      <c r="AL334" s="264"/>
      <c r="AM334" s="264"/>
      <c r="AN334" s="1000"/>
      <c r="AO334" s="1000"/>
      <c r="AP334" s="1000"/>
      <c r="AQ334" s="1000"/>
      <c r="AR334" s="1000"/>
      <c r="AS334" s="266"/>
      <c r="AT334" s="266"/>
      <c r="AU334" s="266"/>
      <c r="AV334" s="266"/>
      <c r="AW334" s="266"/>
      <c r="AX334" s="1023">
        <v>4</v>
      </c>
      <c r="AY334" s="266"/>
      <c r="AZ334" s="266"/>
      <c r="BA334" s="266"/>
      <c r="BB334" s="266"/>
      <c r="BC334" s="266"/>
      <c r="BD334" s="266"/>
      <c r="BE334" s="266"/>
      <c r="BF334" s="266"/>
      <c r="BG334" s="266"/>
      <c r="BH334" s="266"/>
      <c r="BI334" s="1000"/>
      <c r="BJ334" s="1000"/>
      <c r="BK334" s="1000"/>
      <c r="BL334" s="1000"/>
      <c r="BM334" s="1000"/>
      <c r="BN334" s="265"/>
      <c r="BO334" s="265"/>
      <c r="BP334" s="265"/>
      <c r="BQ334" s="265"/>
      <c r="BR334" s="265"/>
      <c r="BS334" s="265"/>
      <c r="BT334" s="265"/>
      <c r="BU334" s="265"/>
      <c r="BV334" s="265"/>
      <c r="BW334" s="265"/>
      <c r="BX334" s="265"/>
      <c r="BY334" s="265"/>
      <c r="BZ334" s="265"/>
      <c r="CA334" s="265"/>
      <c r="CB334" s="265"/>
      <c r="CC334" s="265"/>
      <c r="CD334" s="265"/>
      <c r="CE334" s="265"/>
      <c r="CF334" s="265"/>
      <c r="CG334" s="265"/>
      <c r="CH334" s="265"/>
      <c r="CI334" s="265"/>
      <c r="CJ334" s="265"/>
      <c r="CK334" s="265"/>
      <c r="CL334" s="265"/>
      <c r="CM334" s="265"/>
      <c r="CN334" s="265"/>
      <c r="CO334" s="265"/>
      <c r="CP334" s="265"/>
      <c r="CQ334" s="265"/>
      <c r="CR334" s="265"/>
      <c r="CS334" s="265"/>
      <c r="CT334" s="265"/>
      <c r="CU334" s="265"/>
      <c r="CV334" s="265"/>
      <c r="CW334" s="265"/>
      <c r="CX334" s="265"/>
      <c r="CY334" s="265"/>
      <c r="CZ334" s="268"/>
    </row>
    <row r="335" spans="1:104" hidden="1" outlineLevel="1">
      <c r="A335" s="264"/>
      <c r="B335" s="264" t="s">
        <v>695</v>
      </c>
      <c r="C335" s="268"/>
      <c r="D335" s="264"/>
      <c r="E335" s="264"/>
      <c r="F335" s="264"/>
      <c r="G335" s="264"/>
      <c r="H335" s="264"/>
      <c r="I335" s="264"/>
      <c r="J335" s="266"/>
      <c r="K335" s="264"/>
      <c r="L335" s="264"/>
      <c r="M335" s="264"/>
      <c r="N335" s="264"/>
      <c r="O335" s="266"/>
      <c r="P335" s="264"/>
      <c r="Q335" s="264"/>
      <c r="R335" s="264"/>
      <c r="S335" s="264"/>
      <c r="T335" s="266"/>
      <c r="U335" s="264"/>
      <c r="V335" s="264"/>
      <c r="W335" s="264"/>
      <c r="X335" s="264"/>
      <c r="Y335" s="266"/>
      <c r="Z335" s="264"/>
      <c r="AA335" s="264"/>
      <c r="AB335" s="264"/>
      <c r="AC335" s="264"/>
      <c r="AD335" s="1000"/>
      <c r="AE335" s="264"/>
      <c r="AF335" s="264"/>
      <c r="AG335" s="264"/>
      <c r="AH335" s="264"/>
      <c r="AI335" s="1000"/>
      <c r="AJ335" s="264"/>
      <c r="AK335" s="264"/>
      <c r="AL335" s="264"/>
      <c r="AM335" s="264"/>
      <c r="AN335" s="1000"/>
      <c r="AO335" s="1000"/>
      <c r="AP335" s="1000"/>
      <c r="AQ335" s="1000"/>
      <c r="AR335" s="1000"/>
      <c r="AS335" s="266"/>
      <c r="AT335" s="266"/>
      <c r="AU335" s="266"/>
      <c r="AV335" s="266"/>
      <c r="AW335" s="266"/>
      <c r="AX335" s="1023">
        <v>2</v>
      </c>
      <c r="AY335" s="266"/>
      <c r="AZ335" s="266"/>
      <c r="BA335" s="266"/>
      <c r="BB335" s="266"/>
      <c r="BC335" s="266"/>
      <c r="BD335" s="266"/>
      <c r="BE335" s="266"/>
      <c r="BF335" s="266"/>
      <c r="BG335" s="266"/>
      <c r="BH335" s="266"/>
      <c r="BI335" s="1000"/>
      <c r="BJ335" s="1000"/>
      <c r="BK335" s="1000"/>
      <c r="BL335" s="1000"/>
      <c r="BM335" s="1000"/>
      <c r="BN335" s="265"/>
      <c r="BO335" s="265"/>
      <c r="BP335" s="265"/>
      <c r="BQ335" s="265"/>
      <c r="BR335" s="265"/>
      <c r="BS335" s="265"/>
      <c r="BT335" s="265"/>
      <c r="BU335" s="265"/>
      <c r="BV335" s="265"/>
      <c r="BW335" s="265"/>
      <c r="BX335" s="265"/>
      <c r="BY335" s="265"/>
      <c r="BZ335" s="265"/>
      <c r="CA335" s="265"/>
      <c r="CB335" s="265"/>
      <c r="CC335" s="265"/>
      <c r="CD335" s="265"/>
      <c r="CE335" s="265"/>
      <c r="CF335" s="265"/>
      <c r="CG335" s="265"/>
      <c r="CH335" s="265"/>
      <c r="CI335" s="265"/>
      <c r="CJ335" s="265"/>
      <c r="CK335" s="265"/>
      <c r="CL335" s="265"/>
      <c r="CM335" s="265"/>
      <c r="CN335" s="265"/>
      <c r="CO335" s="265"/>
      <c r="CP335" s="265"/>
      <c r="CQ335" s="265"/>
      <c r="CR335" s="265"/>
      <c r="CS335" s="265"/>
      <c r="CT335" s="265"/>
      <c r="CU335" s="265"/>
      <c r="CV335" s="265"/>
      <c r="CW335" s="265"/>
      <c r="CX335" s="265"/>
      <c r="CY335" s="265"/>
      <c r="CZ335" s="268"/>
    </row>
    <row r="336" spans="1:104" hidden="1" outlineLevel="1">
      <c r="A336" s="264"/>
      <c r="B336" s="264"/>
      <c r="C336" s="268"/>
      <c r="D336" s="264"/>
      <c r="E336" s="264"/>
      <c r="F336" s="264"/>
      <c r="G336" s="264"/>
      <c r="H336" s="264"/>
      <c r="I336" s="264"/>
      <c r="J336" s="266"/>
      <c r="K336" s="264"/>
      <c r="L336" s="264"/>
      <c r="M336" s="264"/>
      <c r="N336" s="264"/>
      <c r="O336" s="266"/>
      <c r="P336" s="264"/>
      <c r="Q336" s="264"/>
      <c r="R336" s="264"/>
      <c r="S336" s="264"/>
      <c r="T336" s="266"/>
      <c r="U336" s="264"/>
      <c r="V336" s="264"/>
      <c r="W336" s="264"/>
      <c r="X336" s="264"/>
      <c r="Y336" s="266"/>
      <c r="Z336" s="264"/>
      <c r="AA336" s="264"/>
      <c r="AB336" s="264"/>
      <c r="AC336" s="264"/>
      <c r="AD336" s="1000"/>
      <c r="AE336" s="264"/>
      <c r="AF336" s="264"/>
      <c r="AG336" s="264"/>
      <c r="AH336" s="264"/>
      <c r="AI336" s="1000"/>
      <c r="AJ336" s="264"/>
      <c r="AK336" s="264"/>
      <c r="AL336" s="264"/>
      <c r="AM336" s="264"/>
      <c r="AN336" s="1000"/>
      <c r="AO336" s="1000"/>
      <c r="AP336" s="1000"/>
      <c r="AQ336" s="1000"/>
      <c r="AR336" s="1000"/>
      <c r="AS336" s="266"/>
      <c r="AT336" s="266"/>
      <c r="AU336" s="266"/>
      <c r="AV336" s="266"/>
      <c r="AW336" s="266"/>
      <c r="AX336" s="266"/>
      <c r="AY336" s="266"/>
      <c r="AZ336" s="266"/>
      <c r="BA336" s="266"/>
      <c r="BB336" s="266"/>
      <c r="BC336" s="266"/>
      <c r="BD336" s="266"/>
      <c r="BE336" s="266"/>
      <c r="BF336" s="266"/>
      <c r="BG336" s="266"/>
      <c r="BH336" s="266"/>
      <c r="BI336" s="1000"/>
      <c r="BJ336" s="1000"/>
      <c r="BK336" s="1000"/>
      <c r="BL336" s="1000"/>
      <c r="BM336" s="1000"/>
      <c r="BN336" s="265"/>
      <c r="BO336" s="265"/>
      <c r="BP336" s="265"/>
      <c r="BQ336" s="265"/>
      <c r="BR336" s="265"/>
      <c r="BS336" s="265"/>
      <c r="BT336" s="265"/>
      <c r="BU336" s="265"/>
      <c r="BV336" s="265"/>
      <c r="BW336" s="265"/>
      <c r="BX336" s="265"/>
      <c r="BY336" s="265"/>
      <c r="BZ336" s="265"/>
      <c r="CA336" s="265"/>
      <c r="CB336" s="265"/>
      <c r="CC336" s="265"/>
      <c r="CD336" s="265"/>
      <c r="CE336" s="265"/>
      <c r="CF336" s="265"/>
      <c r="CG336" s="265"/>
      <c r="CH336" s="265"/>
      <c r="CI336" s="265"/>
      <c r="CJ336" s="265"/>
      <c r="CK336" s="265"/>
      <c r="CL336" s="265"/>
      <c r="CM336" s="265"/>
      <c r="CN336" s="265"/>
      <c r="CO336" s="265"/>
      <c r="CP336" s="265"/>
      <c r="CQ336" s="265"/>
      <c r="CR336" s="265"/>
      <c r="CS336" s="265"/>
      <c r="CT336" s="265"/>
      <c r="CU336" s="265"/>
      <c r="CV336" s="265"/>
      <c r="CW336" s="265"/>
      <c r="CX336" s="265"/>
      <c r="CY336" s="265"/>
      <c r="CZ336" s="268"/>
    </row>
    <row r="337" spans="1:104" hidden="1" outlineLevel="1">
      <c r="A337" s="264"/>
      <c r="B337" s="266" t="s">
        <v>694</v>
      </c>
      <c r="C337" s="268"/>
      <c r="D337" s="264"/>
      <c r="E337" s="264"/>
      <c r="F337" s="264"/>
      <c r="G337" s="264"/>
      <c r="H337" s="264"/>
      <c r="I337" s="264"/>
      <c r="J337" s="266"/>
      <c r="K337" s="264"/>
      <c r="L337" s="264"/>
      <c r="M337" s="264"/>
      <c r="N337" s="264"/>
      <c r="O337" s="266"/>
      <c r="P337" s="264"/>
      <c r="Q337" s="264"/>
      <c r="R337" s="264"/>
      <c r="S337" s="264"/>
      <c r="T337" s="266"/>
      <c r="U337" s="264"/>
      <c r="V337" s="264"/>
      <c r="W337" s="264"/>
      <c r="X337" s="264"/>
      <c r="Y337" s="266"/>
      <c r="Z337" s="264"/>
      <c r="AA337" s="264"/>
      <c r="AB337" s="264"/>
      <c r="AC337" s="264"/>
      <c r="AD337" s="1000"/>
      <c r="AE337" s="264"/>
      <c r="AF337" s="264"/>
      <c r="AG337" s="264"/>
      <c r="AH337" s="264"/>
      <c r="AI337" s="1000"/>
      <c r="AJ337" s="264"/>
      <c r="AK337" s="264"/>
      <c r="AL337" s="264"/>
      <c r="AM337" s="264"/>
      <c r="AN337" s="1000"/>
      <c r="AO337" s="1000"/>
      <c r="AP337" s="1000"/>
      <c r="AQ337" s="1000"/>
      <c r="AR337" s="1000"/>
      <c r="AS337" s="266"/>
      <c r="AT337" s="266"/>
      <c r="AU337" s="266"/>
      <c r="AV337" s="266"/>
      <c r="AW337" s="266"/>
      <c r="AX337" s="266"/>
      <c r="AY337" s="266"/>
      <c r="AZ337" s="266"/>
      <c r="BA337" s="266"/>
      <c r="BB337" s="266"/>
      <c r="BC337" s="266"/>
      <c r="BD337" s="266"/>
      <c r="BE337" s="266"/>
      <c r="BF337" s="266"/>
      <c r="BG337" s="266"/>
      <c r="BH337" s="266"/>
      <c r="BI337" s="1000"/>
      <c r="BJ337" s="1000"/>
      <c r="BK337" s="1000"/>
      <c r="BL337" s="1000"/>
      <c r="BM337" s="1000"/>
      <c r="BN337" s="265"/>
      <c r="BO337" s="265"/>
      <c r="BP337" s="265"/>
      <c r="BQ337" s="265"/>
      <c r="BR337" s="265"/>
      <c r="BS337" s="265"/>
      <c r="BT337" s="265"/>
      <c r="BU337" s="265"/>
      <c r="BV337" s="265"/>
      <c r="BW337" s="265"/>
      <c r="BX337" s="265"/>
      <c r="BY337" s="265"/>
      <c r="BZ337" s="265"/>
      <c r="CA337" s="265"/>
      <c r="CB337" s="265"/>
      <c r="CC337" s="265"/>
      <c r="CD337" s="265"/>
      <c r="CE337" s="265"/>
      <c r="CF337" s="265"/>
      <c r="CG337" s="265"/>
      <c r="CH337" s="265"/>
      <c r="CI337" s="265"/>
      <c r="CJ337" s="265"/>
      <c r="CK337" s="265"/>
      <c r="CL337" s="265"/>
      <c r="CM337" s="265"/>
      <c r="CN337" s="265"/>
      <c r="CO337" s="265"/>
      <c r="CP337" s="265"/>
      <c r="CQ337" s="265"/>
      <c r="CR337" s="265"/>
      <c r="CS337" s="265"/>
      <c r="CT337" s="265"/>
      <c r="CU337" s="265"/>
      <c r="CV337" s="265"/>
      <c r="CW337" s="265"/>
      <c r="CX337" s="265"/>
      <c r="CY337" s="265"/>
      <c r="CZ337" s="268"/>
    </row>
    <row r="338" spans="1:104" hidden="1" outlineLevel="1">
      <c r="A338" s="264"/>
      <c r="B338" s="264" t="s">
        <v>693</v>
      </c>
      <c r="C338" s="268"/>
      <c r="D338" s="264"/>
      <c r="E338" s="264"/>
      <c r="F338" s="264"/>
      <c r="G338" s="264"/>
      <c r="H338" s="264"/>
      <c r="I338" s="264"/>
      <c r="J338" s="266"/>
      <c r="K338" s="264"/>
      <c r="L338" s="264"/>
      <c r="M338" s="264"/>
      <c r="N338" s="264"/>
      <c r="O338" s="266"/>
      <c r="P338" s="264"/>
      <c r="Q338" s="264"/>
      <c r="R338" s="264"/>
      <c r="S338" s="264"/>
      <c r="T338" s="266"/>
      <c r="U338" s="264"/>
      <c r="V338" s="264"/>
      <c r="W338" s="264"/>
      <c r="X338" s="264"/>
      <c r="Y338" s="266"/>
      <c r="Z338" s="264"/>
      <c r="AA338" s="264"/>
      <c r="AB338" s="264"/>
      <c r="AC338" s="264"/>
      <c r="AD338" s="1000"/>
      <c r="AE338" s="264"/>
      <c r="AF338" s="264"/>
      <c r="AG338" s="264"/>
      <c r="AH338" s="264"/>
      <c r="AI338" s="1000"/>
      <c r="AJ338" s="264"/>
      <c r="AK338" s="264"/>
      <c r="AL338" s="264"/>
      <c r="AM338" s="264"/>
      <c r="AN338" s="1000"/>
      <c r="AO338" s="1000"/>
      <c r="AP338" s="1000"/>
      <c r="AQ338" s="1000"/>
      <c r="AR338" s="1000"/>
      <c r="AS338" s="264">
        <v>1.67</v>
      </c>
      <c r="AT338" s="264"/>
      <c r="AU338" s="264"/>
      <c r="AV338" s="264"/>
      <c r="AW338" s="264"/>
      <c r="AX338" s="264">
        <v>1.76</v>
      </c>
      <c r="AY338" s="264"/>
      <c r="AZ338" s="264"/>
      <c r="BA338" s="264"/>
      <c r="BB338" s="264"/>
      <c r="BC338" s="264"/>
      <c r="BD338" s="266"/>
      <c r="BE338" s="266"/>
      <c r="BF338" s="266"/>
      <c r="BG338" s="266"/>
      <c r="BH338" s="266"/>
      <c r="BI338" s="1000"/>
      <c r="BJ338" s="1000"/>
      <c r="BK338" s="1000"/>
      <c r="BL338" s="1000"/>
      <c r="BM338" s="1000"/>
      <c r="BN338" s="265"/>
      <c r="BO338" s="265"/>
      <c r="BP338" s="265"/>
      <c r="BQ338" s="265"/>
      <c r="BR338" s="265"/>
      <c r="BS338" s="265"/>
      <c r="BT338" s="265"/>
      <c r="BU338" s="265"/>
      <c r="BV338" s="265"/>
      <c r="BW338" s="265"/>
      <c r="BX338" s="265"/>
      <c r="BY338" s="265"/>
      <c r="BZ338" s="265"/>
      <c r="CA338" s="265"/>
      <c r="CB338" s="265"/>
      <c r="CC338" s="265"/>
      <c r="CD338" s="265"/>
      <c r="CE338" s="265"/>
      <c r="CF338" s="265"/>
      <c r="CG338" s="265"/>
      <c r="CH338" s="265"/>
      <c r="CI338" s="265"/>
      <c r="CJ338" s="265"/>
      <c r="CK338" s="265"/>
      <c r="CL338" s="265"/>
      <c r="CM338" s="265"/>
      <c r="CN338" s="265"/>
      <c r="CO338" s="265"/>
      <c r="CP338" s="265"/>
      <c r="CQ338" s="265"/>
      <c r="CR338" s="265"/>
      <c r="CS338" s="265"/>
      <c r="CT338" s="265"/>
      <c r="CU338" s="265"/>
      <c r="CV338" s="265"/>
      <c r="CW338" s="265"/>
      <c r="CX338" s="265"/>
      <c r="CY338" s="265"/>
      <c r="CZ338" s="268"/>
    </row>
    <row r="339" spans="1:104" hidden="1" outlineLevel="1">
      <c r="A339" s="264"/>
      <c r="B339" s="264" t="s">
        <v>692</v>
      </c>
      <c r="C339" s="268"/>
      <c r="D339" s="264"/>
      <c r="E339" s="264"/>
      <c r="F339" s="264"/>
      <c r="G339" s="264"/>
      <c r="H339" s="264"/>
      <c r="I339" s="264"/>
      <c r="J339" s="266"/>
      <c r="K339" s="264"/>
      <c r="L339" s="264"/>
      <c r="M339" s="264"/>
      <c r="N339" s="264"/>
      <c r="O339" s="266"/>
      <c r="P339" s="264"/>
      <c r="Q339" s="264"/>
      <c r="R339" s="264"/>
      <c r="S339" s="264"/>
      <c r="T339" s="266"/>
      <c r="U339" s="264"/>
      <c r="V339" s="264"/>
      <c r="W339" s="264"/>
      <c r="X339" s="264"/>
      <c r="Y339" s="266"/>
      <c r="Z339" s="264"/>
      <c r="AA339" s="264"/>
      <c r="AB339" s="264"/>
      <c r="AC339" s="264"/>
      <c r="AD339" s="1000"/>
      <c r="AE339" s="264"/>
      <c r="AF339" s="264"/>
      <c r="AG339" s="264"/>
      <c r="AH339" s="264"/>
      <c r="AI339" s="1000"/>
      <c r="AJ339" s="264"/>
      <c r="AK339" s="264"/>
      <c r="AL339" s="264"/>
      <c r="AM339" s="264"/>
      <c r="AN339" s="1000"/>
      <c r="AO339" s="1000"/>
      <c r="AP339" s="1000"/>
      <c r="AQ339" s="1000"/>
      <c r="AR339" s="1000"/>
      <c r="AS339" s="264">
        <v>1.87</v>
      </c>
      <c r="AT339" s="264"/>
      <c r="AU339" s="264"/>
      <c r="AV339" s="264"/>
      <c r="AW339" s="264"/>
      <c r="AX339" s="264">
        <v>1.99</v>
      </c>
      <c r="AY339" s="264"/>
      <c r="AZ339" s="264"/>
      <c r="BA339" s="264"/>
      <c r="BB339" s="264"/>
      <c r="BC339" s="264"/>
      <c r="BD339" s="266"/>
      <c r="BE339" s="266"/>
      <c r="BF339" s="266"/>
      <c r="BG339" s="266"/>
      <c r="BH339" s="266"/>
      <c r="BI339" s="1000"/>
      <c r="BJ339" s="1000"/>
      <c r="BK339" s="1000"/>
      <c r="BL339" s="1000"/>
      <c r="BM339" s="1000"/>
      <c r="BN339" s="265"/>
      <c r="BO339" s="265"/>
      <c r="BP339" s="265"/>
      <c r="BQ339" s="265"/>
      <c r="BR339" s="265"/>
      <c r="BS339" s="265"/>
      <c r="BT339" s="265"/>
      <c r="BU339" s="265"/>
      <c r="BV339" s="265"/>
      <c r="BW339" s="265"/>
      <c r="BX339" s="265"/>
      <c r="BY339" s="265"/>
      <c r="BZ339" s="265"/>
      <c r="CA339" s="265"/>
      <c r="CB339" s="265"/>
      <c r="CC339" s="265"/>
      <c r="CD339" s="265"/>
      <c r="CE339" s="265"/>
      <c r="CF339" s="265"/>
      <c r="CG339" s="265"/>
      <c r="CH339" s="265"/>
      <c r="CI339" s="265"/>
      <c r="CJ339" s="265"/>
      <c r="CK339" s="265"/>
      <c r="CL339" s="265"/>
      <c r="CM339" s="265"/>
      <c r="CN339" s="265"/>
      <c r="CO339" s="265"/>
      <c r="CP339" s="265"/>
      <c r="CQ339" s="265"/>
      <c r="CR339" s="265"/>
      <c r="CS339" s="265"/>
      <c r="CT339" s="265"/>
      <c r="CU339" s="265"/>
      <c r="CV339" s="265"/>
      <c r="CW339" s="265"/>
      <c r="CX339" s="265"/>
      <c r="CY339" s="265"/>
      <c r="CZ339" s="268"/>
    </row>
    <row r="340" spans="1:104" hidden="1" outlineLevel="1">
      <c r="A340" s="264"/>
      <c r="B340" s="264"/>
      <c r="C340" s="268"/>
      <c r="D340" s="264"/>
      <c r="E340" s="264"/>
      <c r="F340" s="264"/>
      <c r="G340" s="264"/>
      <c r="H340" s="264"/>
      <c r="I340" s="264"/>
      <c r="J340" s="266"/>
      <c r="K340" s="264"/>
      <c r="L340" s="264"/>
      <c r="M340" s="264"/>
      <c r="N340" s="264"/>
      <c r="O340" s="266"/>
      <c r="P340" s="264"/>
      <c r="Q340" s="264"/>
      <c r="R340" s="264"/>
      <c r="S340" s="264"/>
      <c r="T340" s="266"/>
      <c r="U340" s="264"/>
      <c r="V340" s="264"/>
      <c r="W340" s="264"/>
      <c r="X340" s="264"/>
      <c r="Y340" s="266"/>
      <c r="Z340" s="264"/>
      <c r="AA340" s="264"/>
      <c r="AB340" s="264"/>
      <c r="AC340" s="264"/>
      <c r="AD340" s="1000"/>
      <c r="AE340" s="264"/>
      <c r="AF340" s="264"/>
      <c r="AG340" s="264"/>
      <c r="AH340" s="264"/>
      <c r="AI340" s="1000"/>
      <c r="AJ340" s="264"/>
      <c r="AK340" s="264"/>
      <c r="AL340" s="264"/>
      <c r="AM340" s="264"/>
      <c r="AN340" s="1000"/>
      <c r="AO340" s="1000"/>
      <c r="AP340" s="1000"/>
      <c r="AQ340" s="1000"/>
      <c r="AR340" s="1000"/>
      <c r="AS340" s="264"/>
      <c r="AT340" s="264"/>
      <c r="AU340" s="264"/>
      <c r="AV340" s="264"/>
      <c r="AW340" s="264"/>
      <c r="AX340" s="264"/>
      <c r="AY340" s="264"/>
      <c r="AZ340" s="264"/>
      <c r="BA340" s="264"/>
      <c r="BB340" s="264"/>
      <c r="BC340" s="264"/>
      <c r="BD340" s="266"/>
      <c r="BE340" s="266"/>
      <c r="BF340" s="266"/>
      <c r="BG340" s="266"/>
      <c r="BH340" s="266"/>
      <c r="BI340" s="1000"/>
      <c r="BJ340" s="1000"/>
      <c r="BK340" s="1000"/>
      <c r="BL340" s="1000"/>
      <c r="BM340" s="1000"/>
      <c r="BN340" s="265"/>
      <c r="BO340" s="265"/>
      <c r="BP340" s="265"/>
      <c r="BQ340" s="265"/>
      <c r="BR340" s="265"/>
      <c r="BS340" s="265"/>
      <c r="BT340" s="265"/>
      <c r="BU340" s="265"/>
      <c r="BV340" s="265"/>
      <c r="BW340" s="265"/>
      <c r="BX340" s="265"/>
      <c r="BY340" s="265"/>
      <c r="BZ340" s="265"/>
      <c r="CA340" s="265"/>
      <c r="CB340" s="265"/>
      <c r="CC340" s="265"/>
      <c r="CD340" s="265"/>
      <c r="CE340" s="265"/>
      <c r="CF340" s="265"/>
      <c r="CG340" s="265"/>
      <c r="CH340" s="265"/>
      <c r="CI340" s="265"/>
      <c r="CJ340" s="265"/>
      <c r="CK340" s="265"/>
      <c r="CL340" s="265"/>
      <c r="CM340" s="265"/>
      <c r="CN340" s="265"/>
      <c r="CO340" s="265"/>
      <c r="CP340" s="265"/>
      <c r="CQ340" s="265"/>
      <c r="CR340" s="265"/>
      <c r="CS340" s="265"/>
      <c r="CT340" s="265"/>
      <c r="CU340" s="265"/>
      <c r="CV340" s="265"/>
      <c r="CW340" s="265"/>
      <c r="CX340" s="265"/>
      <c r="CY340" s="265"/>
      <c r="CZ340" s="268"/>
    </row>
    <row r="341" spans="1:104" hidden="1" outlineLevel="1">
      <c r="A341" s="264"/>
      <c r="B341" s="266" t="s">
        <v>691</v>
      </c>
      <c r="C341" s="268"/>
      <c r="D341" s="264"/>
      <c r="E341" s="264"/>
      <c r="F341" s="264"/>
      <c r="G341" s="264"/>
      <c r="H341" s="264"/>
      <c r="I341" s="264"/>
      <c r="J341" s="266"/>
      <c r="K341" s="264"/>
      <c r="L341" s="264"/>
      <c r="M341" s="264"/>
      <c r="N341" s="264"/>
      <c r="O341" s="266"/>
      <c r="P341" s="264"/>
      <c r="Q341" s="264"/>
      <c r="R341" s="264"/>
      <c r="S341" s="264"/>
      <c r="T341" s="266"/>
      <c r="U341" s="264"/>
      <c r="V341" s="264"/>
      <c r="W341" s="264"/>
      <c r="X341" s="264"/>
      <c r="Y341" s="266"/>
      <c r="Z341" s="264"/>
      <c r="AA341" s="264"/>
      <c r="AB341" s="264"/>
      <c r="AC341" s="264"/>
      <c r="AD341" s="1000"/>
      <c r="AE341" s="264"/>
      <c r="AF341" s="264"/>
      <c r="AG341" s="264"/>
      <c r="AH341" s="264"/>
      <c r="AI341" s="1000"/>
      <c r="AJ341" s="264"/>
      <c r="AK341" s="264"/>
      <c r="AL341" s="264"/>
      <c r="AM341" s="264"/>
      <c r="AN341" s="1000"/>
      <c r="AO341" s="1000"/>
      <c r="AP341" s="1000"/>
      <c r="AQ341" s="1000"/>
      <c r="AR341" s="1000"/>
      <c r="AS341" s="266"/>
      <c r="AT341" s="266"/>
      <c r="AU341" s="266"/>
      <c r="AV341" s="266"/>
      <c r="AW341" s="266"/>
      <c r="AX341" s="266"/>
      <c r="AY341" s="266"/>
      <c r="AZ341" s="266"/>
      <c r="BA341" s="266"/>
      <c r="BB341" s="266"/>
      <c r="BC341" s="266"/>
      <c r="BD341" s="266"/>
      <c r="BE341" s="266"/>
      <c r="BF341" s="266"/>
      <c r="BG341" s="266"/>
      <c r="BH341" s="266"/>
      <c r="BI341" s="1000"/>
      <c r="BJ341" s="1000"/>
      <c r="BK341" s="1000"/>
      <c r="BL341" s="1000"/>
      <c r="BM341" s="1000"/>
      <c r="BN341" s="265"/>
      <c r="BO341" s="265"/>
      <c r="BP341" s="265"/>
      <c r="BQ341" s="265"/>
      <c r="BR341" s="265"/>
      <c r="BS341" s="265"/>
      <c r="BT341" s="265"/>
      <c r="BU341" s="265"/>
      <c r="BV341" s="265"/>
      <c r="BW341" s="265"/>
      <c r="BX341" s="265"/>
      <c r="BY341" s="265"/>
      <c r="BZ341" s="265"/>
      <c r="CA341" s="265"/>
      <c r="CB341" s="265"/>
      <c r="CC341" s="265"/>
      <c r="CD341" s="265"/>
      <c r="CE341" s="265"/>
      <c r="CF341" s="265"/>
      <c r="CG341" s="265"/>
      <c r="CH341" s="265"/>
      <c r="CI341" s="265"/>
      <c r="CJ341" s="265"/>
      <c r="CK341" s="265"/>
      <c r="CL341" s="265"/>
      <c r="CM341" s="265"/>
      <c r="CN341" s="265"/>
      <c r="CO341" s="265"/>
      <c r="CP341" s="265"/>
      <c r="CQ341" s="265"/>
      <c r="CR341" s="265"/>
      <c r="CS341" s="265"/>
      <c r="CT341" s="265"/>
      <c r="CU341" s="265"/>
      <c r="CV341" s="265"/>
      <c r="CW341" s="265"/>
      <c r="CX341" s="265"/>
      <c r="CY341" s="265"/>
      <c r="CZ341" s="268"/>
    </row>
    <row r="342" spans="1:104" hidden="1" outlineLevel="1">
      <c r="A342" s="264"/>
      <c r="B342" s="264" t="s">
        <v>308</v>
      </c>
      <c r="C342" s="268"/>
      <c r="D342" s="264"/>
      <c r="E342" s="264"/>
      <c r="F342" s="264"/>
      <c r="G342" s="264"/>
      <c r="H342" s="264"/>
      <c r="I342" s="264"/>
      <c r="J342" s="266"/>
      <c r="K342" s="264"/>
      <c r="L342" s="264"/>
      <c r="M342" s="264"/>
      <c r="N342" s="264"/>
      <c r="O342" s="266"/>
      <c r="P342" s="264"/>
      <c r="Q342" s="264"/>
      <c r="R342" s="264"/>
      <c r="S342" s="264"/>
      <c r="T342" s="266"/>
      <c r="U342" s="264"/>
      <c r="V342" s="264"/>
      <c r="W342" s="264"/>
      <c r="X342" s="264"/>
      <c r="Y342" s="266"/>
      <c r="Z342" s="264"/>
      <c r="AA342" s="264"/>
      <c r="AB342" s="264"/>
      <c r="AC342" s="264"/>
      <c r="AD342" s="1000"/>
      <c r="AE342" s="264"/>
      <c r="AF342" s="264"/>
      <c r="AG342" s="264"/>
      <c r="AH342" s="264"/>
      <c r="AI342" s="1000"/>
      <c r="AJ342" s="264"/>
      <c r="AK342" s="264"/>
      <c r="AL342" s="264"/>
      <c r="AM342" s="264"/>
      <c r="AN342" s="1000"/>
      <c r="AO342" s="1000"/>
      <c r="AP342" s="1000"/>
      <c r="AQ342" s="1000"/>
      <c r="AR342" s="1000"/>
      <c r="AS342" s="266"/>
      <c r="AT342" s="266"/>
      <c r="AU342" s="266"/>
      <c r="AV342" s="266"/>
      <c r="AW342" s="266"/>
      <c r="AX342" s="1037">
        <v>0.46</v>
      </c>
      <c r="AY342" s="266"/>
      <c r="AZ342" s="266"/>
      <c r="BA342" s="266"/>
      <c r="BB342" s="266"/>
      <c r="BC342" s="266"/>
      <c r="BD342" s="266"/>
      <c r="BE342" s="266"/>
      <c r="BF342" s="266"/>
      <c r="BG342" s="266"/>
      <c r="BH342" s="266"/>
      <c r="BI342" s="1000"/>
      <c r="BJ342" s="1000"/>
      <c r="BK342" s="1000"/>
      <c r="BL342" s="1000"/>
      <c r="BM342" s="1000"/>
      <c r="BN342" s="265"/>
      <c r="BO342" s="265"/>
      <c r="BP342" s="265"/>
      <c r="BQ342" s="265"/>
      <c r="BR342" s="265"/>
      <c r="BS342" s="265"/>
      <c r="BT342" s="265"/>
      <c r="BU342" s="265"/>
      <c r="BV342" s="265"/>
      <c r="BW342" s="265"/>
      <c r="BX342" s="265"/>
      <c r="BY342" s="265"/>
      <c r="BZ342" s="265"/>
      <c r="CA342" s="265"/>
      <c r="CB342" s="265"/>
      <c r="CC342" s="265"/>
      <c r="CD342" s="265"/>
      <c r="CE342" s="265"/>
      <c r="CF342" s="265"/>
      <c r="CG342" s="265"/>
      <c r="CH342" s="265"/>
      <c r="CI342" s="265"/>
      <c r="CJ342" s="265"/>
      <c r="CK342" s="265"/>
      <c r="CL342" s="265"/>
      <c r="CM342" s="265"/>
      <c r="CN342" s="265"/>
      <c r="CO342" s="265"/>
      <c r="CP342" s="265"/>
      <c r="CQ342" s="265"/>
      <c r="CR342" s="265"/>
      <c r="CS342" s="265"/>
      <c r="CT342" s="265"/>
      <c r="CU342" s="265"/>
      <c r="CV342" s="265"/>
      <c r="CW342" s="265"/>
      <c r="CX342" s="265"/>
      <c r="CY342" s="265"/>
      <c r="CZ342" s="268"/>
    </row>
    <row r="343" spans="1:104" hidden="1" outlineLevel="1">
      <c r="A343" s="264"/>
      <c r="B343" s="264" t="s">
        <v>309</v>
      </c>
      <c r="C343" s="268"/>
      <c r="D343" s="264"/>
      <c r="E343" s="264"/>
      <c r="F343" s="264"/>
      <c r="G343" s="264"/>
      <c r="H343" s="264"/>
      <c r="I343" s="264"/>
      <c r="J343" s="266"/>
      <c r="K343" s="264"/>
      <c r="L343" s="264"/>
      <c r="M343" s="264"/>
      <c r="N343" s="264"/>
      <c r="O343" s="266"/>
      <c r="P343" s="264"/>
      <c r="Q343" s="264"/>
      <c r="R343" s="264"/>
      <c r="S343" s="264"/>
      <c r="T343" s="266"/>
      <c r="U343" s="264"/>
      <c r="V343" s="264"/>
      <c r="W343" s="264"/>
      <c r="X343" s="264"/>
      <c r="Y343" s="266"/>
      <c r="Z343" s="264"/>
      <c r="AA343" s="264"/>
      <c r="AB343" s="264"/>
      <c r="AC343" s="264"/>
      <c r="AD343" s="1000"/>
      <c r="AE343" s="264"/>
      <c r="AF343" s="264"/>
      <c r="AG343" s="264"/>
      <c r="AH343" s="264"/>
      <c r="AI343" s="1000"/>
      <c r="AJ343" s="264"/>
      <c r="AK343" s="264"/>
      <c r="AL343" s="264"/>
      <c r="AM343" s="264"/>
      <c r="AN343" s="1000"/>
      <c r="AO343" s="1000"/>
      <c r="AP343" s="1000"/>
      <c r="AQ343" s="1000"/>
      <c r="AR343" s="1000"/>
      <c r="AS343" s="266"/>
      <c r="AT343" s="266"/>
      <c r="AU343" s="266"/>
      <c r="AV343" s="266"/>
      <c r="AW343" s="266"/>
      <c r="AX343" s="1037">
        <v>0.21</v>
      </c>
      <c r="AY343" s="266"/>
      <c r="AZ343" s="266"/>
      <c r="BA343" s="266"/>
      <c r="BB343" s="266"/>
      <c r="BC343" s="266"/>
      <c r="BD343" s="266"/>
      <c r="BE343" s="266"/>
      <c r="BF343" s="266"/>
      <c r="BG343" s="266"/>
      <c r="BH343" s="266"/>
      <c r="BI343" s="1000"/>
      <c r="BJ343" s="1000"/>
      <c r="BK343" s="1000"/>
      <c r="BL343" s="1000"/>
      <c r="BM343" s="1000"/>
      <c r="BN343" s="265"/>
      <c r="BO343" s="265"/>
      <c r="BP343" s="265"/>
      <c r="BQ343" s="265"/>
      <c r="BR343" s="265"/>
      <c r="BS343" s="265"/>
      <c r="BT343" s="265"/>
      <c r="BU343" s="265"/>
      <c r="BV343" s="265"/>
      <c r="BW343" s="265"/>
      <c r="BX343" s="265"/>
      <c r="BY343" s="265"/>
      <c r="BZ343" s="265"/>
      <c r="CA343" s="265"/>
      <c r="CB343" s="265"/>
      <c r="CC343" s="265"/>
      <c r="CD343" s="265"/>
      <c r="CE343" s="265"/>
      <c r="CF343" s="265"/>
      <c r="CG343" s="265"/>
      <c r="CH343" s="265"/>
      <c r="CI343" s="265"/>
      <c r="CJ343" s="265"/>
      <c r="CK343" s="265"/>
      <c r="CL343" s="265"/>
      <c r="CM343" s="265"/>
      <c r="CN343" s="265"/>
      <c r="CO343" s="265"/>
      <c r="CP343" s="265"/>
      <c r="CQ343" s="265"/>
      <c r="CR343" s="265"/>
      <c r="CS343" s="265"/>
      <c r="CT343" s="265"/>
      <c r="CU343" s="265"/>
      <c r="CV343" s="265"/>
      <c r="CW343" s="265"/>
      <c r="CX343" s="265"/>
      <c r="CY343" s="265"/>
      <c r="CZ343" s="268"/>
    </row>
    <row r="344" spans="1:104" hidden="1" outlineLevel="1">
      <c r="A344" s="264"/>
      <c r="B344" s="264" t="s">
        <v>167</v>
      </c>
      <c r="C344" s="268"/>
      <c r="D344" s="264"/>
      <c r="E344" s="264"/>
      <c r="F344" s="264"/>
      <c r="G344" s="264"/>
      <c r="H344" s="264"/>
      <c r="I344" s="264"/>
      <c r="J344" s="266"/>
      <c r="K344" s="264"/>
      <c r="L344" s="264"/>
      <c r="M344" s="264"/>
      <c r="N344" s="264"/>
      <c r="O344" s="266"/>
      <c r="P344" s="264"/>
      <c r="Q344" s="264"/>
      <c r="R344" s="264"/>
      <c r="S344" s="264"/>
      <c r="T344" s="266"/>
      <c r="U344" s="264"/>
      <c r="V344" s="264"/>
      <c r="W344" s="264"/>
      <c r="X344" s="264"/>
      <c r="Y344" s="266"/>
      <c r="Z344" s="264"/>
      <c r="AA344" s="264"/>
      <c r="AB344" s="264"/>
      <c r="AC344" s="264"/>
      <c r="AD344" s="1000"/>
      <c r="AE344" s="264"/>
      <c r="AF344" s="264"/>
      <c r="AG344" s="264"/>
      <c r="AH344" s="264"/>
      <c r="AI344" s="1000"/>
      <c r="AJ344" s="264"/>
      <c r="AK344" s="264"/>
      <c r="AL344" s="264"/>
      <c r="AM344" s="264"/>
      <c r="AN344" s="1000"/>
      <c r="AO344" s="1000"/>
      <c r="AP344" s="1000"/>
      <c r="AQ344" s="1000"/>
      <c r="AR344" s="1000"/>
      <c r="AS344" s="266"/>
      <c r="AT344" s="266"/>
      <c r="AU344" s="266"/>
      <c r="AV344" s="266"/>
      <c r="AW344" s="266"/>
      <c r="AX344" s="1037">
        <v>0.1</v>
      </c>
      <c r="AY344" s="266"/>
      <c r="AZ344" s="266"/>
      <c r="BA344" s="266"/>
      <c r="BB344" s="266"/>
      <c r="BC344" s="266"/>
      <c r="BD344" s="266"/>
      <c r="BE344" s="266"/>
      <c r="BF344" s="266"/>
      <c r="BG344" s="266"/>
      <c r="BH344" s="266"/>
      <c r="BI344" s="1000"/>
      <c r="BJ344" s="1000"/>
      <c r="BK344" s="1000"/>
      <c r="BL344" s="1000"/>
      <c r="BM344" s="1000"/>
      <c r="BN344" s="265"/>
      <c r="BO344" s="265"/>
      <c r="BP344" s="265"/>
      <c r="BQ344" s="265"/>
      <c r="BR344" s="265"/>
      <c r="BS344" s="265"/>
      <c r="BT344" s="265"/>
      <c r="BU344" s="265"/>
      <c r="BV344" s="265"/>
      <c r="BW344" s="265"/>
      <c r="BX344" s="265"/>
      <c r="BY344" s="265"/>
      <c r="BZ344" s="265"/>
      <c r="CA344" s="265"/>
      <c r="CB344" s="265"/>
      <c r="CC344" s="265"/>
      <c r="CD344" s="265"/>
      <c r="CE344" s="265"/>
      <c r="CF344" s="265"/>
      <c r="CG344" s="265"/>
      <c r="CH344" s="265"/>
      <c r="CI344" s="265"/>
      <c r="CJ344" s="265"/>
      <c r="CK344" s="265"/>
      <c r="CL344" s="265"/>
      <c r="CM344" s="265"/>
      <c r="CN344" s="265"/>
      <c r="CO344" s="265"/>
      <c r="CP344" s="265"/>
      <c r="CQ344" s="265"/>
      <c r="CR344" s="265"/>
      <c r="CS344" s="265"/>
      <c r="CT344" s="265"/>
      <c r="CU344" s="265"/>
      <c r="CV344" s="265"/>
      <c r="CW344" s="265"/>
      <c r="CX344" s="265"/>
      <c r="CY344" s="265"/>
      <c r="CZ344" s="268"/>
    </row>
    <row r="345" spans="1:104" hidden="1" outlineLevel="1">
      <c r="A345" s="264"/>
      <c r="B345" s="264" t="s">
        <v>306</v>
      </c>
      <c r="C345" s="268"/>
      <c r="D345" s="264"/>
      <c r="E345" s="264"/>
      <c r="F345" s="264"/>
      <c r="G345" s="264"/>
      <c r="H345" s="264"/>
      <c r="I345" s="264"/>
      <c r="J345" s="266"/>
      <c r="K345" s="264"/>
      <c r="L345" s="264"/>
      <c r="M345" s="264"/>
      <c r="N345" s="264"/>
      <c r="O345" s="266"/>
      <c r="P345" s="264"/>
      <c r="Q345" s="264"/>
      <c r="R345" s="264"/>
      <c r="S345" s="264"/>
      <c r="T345" s="266"/>
      <c r="U345" s="264"/>
      <c r="V345" s="264"/>
      <c r="W345" s="264"/>
      <c r="X345" s="264"/>
      <c r="Y345" s="266"/>
      <c r="Z345" s="264"/>
      <c r="AA345" s="264"/>
      <c r="AB345" s="264"/>
      <c r="AC345" s="264"/>
      <c r="AD345" s="1000"/>
      <c r="AE345" s="264"/>
      <c r="AF345" s="264"/>
      <c r="AG345" s="264"/>
      <c r="AH345" s="264"/>
      <c r="AI345" s="1000"/>
      <c r="AJ345" s="264"/>
      <c r="AK345" s="264"/>
      <c r="AL345" s="264"/>
      <c r="AM345" s="264"/>
      <c r="AN345" s="1000"/>
      <c r="AO345" s="1000"/>
      <c r="AP345" s="1000"/>
      <c r="AQ345" s="1000"/>
      <c r="AR345" s="1000"/>
      <c r="AS345" s="266"/>
      <c r="AT345" s="266"/>
      <c r="AU345" s="266"/>
      <c r="AV345" s="266"/>
      <c r="AW345" s="266"/>
      <c r="AX345" s="1037">
        <v>0.13</v>
      </c>
      <c r="AY345" s="266"/>
      <c r="AZ345" s="266"/>
      <c r="BA345" s="266"/>
      <c r="BB345" s="266"/>
      <c r="BC345" s="266"/>
      <c r="BD345" s="266"/>
      <c r="BE345" s="266"/>
      <c r="BF345" s="266"/>
      <c r="BG345" s="266"/>
      <c r="BH345" s="266"/>
      <c r="BI345" s="1000"/>
      <c r="BJ345" s="1000"/>
      <c r="BK345" s="1000"/>
      <c r="BL345" s="1000"/>
      <c r="BM345" s="1000"/>
      <c r="BN345" s="265"/>
      <c r="BO345" s="265"/>
      <c r="BP345" s="265"/>
      <c r="BQ345" s="265"/>
      <c r="BR345" s="265"/>
      <c r="BS345" s="265"/>
      <c r="BT345" s="265"/>
      <c r="BU345" s="265"/>
      <c r="BV345" s="265"/>
      <c r="BW345" s="265"/>
      <c r="BX345" s="265"/>
      <c r="BY345" s="265"/>
      <c r="BZ345" s="265"/>
      <c r="CA345" s="265"/>
      <c r="CB345" s="265"/>
      <c r="CC345" s="265"/>
      <c r="CD345" s="265"/>
      <c r="CE345" s="265"/>
      <c r="CF345" s="265"/>
      <c r="CG345" s="265"/>
      <c r="CH345" s="265"/>
      <c r="CI345" s="265"/>
      <c r="CJ345" s="265"/>
      <c r="CK345" s="265"/>
      <c r="CL345" s="265"/>
      <c r="CM345" s="265"/>
      <c r="CN345" s="265"/>
      <c r="CO345" s="265"/>
      <c r="CP345" s="265"/>
      <c r="CQ345" s="265"/>
      <c r="CR345" s="265"/>
      <c r="CS345" s="265"/>
      <c r="CT345" s="265"/>
      <c r="CU345" s="265"/>
      <c r="CV345" s="265"/>
      <c r="CW345" s="265"/>
      <c r="CX345" s="265"/>
      <c r="CY345" s="265"/>
      <c r="CZ345" s="268"/>
    </row>
    <row r="346" spans="1:104" hidden="1" outlineLevel="1">
      <c r="A346" s="264"/>
      <c r="B346" s="264" t="s">
        <v>165</v>
      </c>
      <c r="C346" s="268"/>
      <c r="D346" s="264"/>
      <c r="E346" s="264"/>
      <c r="F346" s="264"/>
      <c r="G346" s="264"/>
      <c r="H346" s="264"/>
      <c r="I346" s="264"/>
      <c r="J346" s="266"/>
      <c r="K346" s="264"/>
      <c r="L346" s="264"/>
      <c r="M346" s="264"/>
      <c r="N346" s="264"/>
      <c r="O346" s="266"/>
      <c r="P346" s="264"/>
      <c r="Q346" s="264"/>
      <c r="R346" s="264"/>
      <c r="S346" s="264"/>
      <c r="T346" s="266"/>
      <c r="U346" s="264"/>
      <c r="V346" s="264"/>
      <c r="W346" s="264"/>
      <c r="X346" s="264"/>
      <c r="Y346" s="266"/>
      <c r="Z346" s="264"/>
      <c r="AA346" s="264"/>
      <c r="AB346" s="264"/>
      <c r="AC346" s="264"/>
      <c r="AD346" s="1000"/>
      <c r="AE346" s="264"/>
      <c r="AF346" s="264"/>
      <c r="AG346" s="264"/>
      <c r="AH346" s="264"/>
      <c r="AI346" s="1000"/>
      <c r="AJ346" s="264"/>
      <c r="AK346" s="264"/>
      <c r="AL346" s="264"/>
      <c r="AM346" s="264"/>
      <c r="AN346" s="1000"/>
      <c r="AO346" s="1000"/>
      <c r="AP346" s="1000"/>
      <c r="AQ346" s="1000"/>
      <c r="AR346" s="1000"/>
      <c r="AS346" s="266"/>
      <c r="AT346" s="266"/>
      <c r="AU346" s="266"/>
      <c r="AV346" s="266"/>
      <c r="AW346" s="266"/>
      <c r="AX346" s="1037">
        <v>0.08</v>
      </c>
      <c r="AY346" s="266"/>
      <c r="AZ346" s="266"/>
      <c r="BA346" s="266"/>
      <c r="BB346" s="266"/>
      <c r="BC346" s="266"/>
      <c r="BD346" s="266"/>
      <c r="BE346" s="266"/>
      <c r="BF346" s="266"/>
      <c r="BG346" s="266"/>
      <c r="BH346" s="266"/>
      <c r="BI346" s="1000"/>
      <c r="BJ346" s="1000"/>
      <c r="BK346" s="1000"/>
      <c r="BL346" s="1000"/>
      <c r="BM346" s="1000"/>
      <c r="BN346" s="265"/>
      <c r="BO346" s="265"/>
      <c r="BP346" s="265"/>
      <c r="BQ346" s="265"/>
      <c r="BR346" s="265"/>
      <c r="BS346" s="265"/>
      <c r="BT346" s="265"/>
      <c r="BU346" s="265"/>
      <c r="BV346" s="265"/>
      <c r="BW346" s="265"/>
      <c r="BX346" s="265"/>
      <c r="BY346" s="265"/>
      <c r="BZ346" s="265"/>
      <c r="CA346" s="265"/>
      <c r="CB346" s="265"/>
      <c r="CC346" s="265"/>
      <c r="CD346" s="265"/>
      <c r="CE346" s="265"/>
      <c r="CF346" s="265"/>
      <c r="CG346" s="265"/>
      <c r="CH346" s="265"/>
      <c r="CI346" s="265"/>
      <c r="CJ346" s="265"/>
      <c r="CK346" s="265"/>
      <c r="CL346" s="265"/>
      <c r="CM346" s="265"/>
      <c r="CN346" s="265"/>
      <c r="CO346" s="265"/>
      <c r="CP346" s="265"/>
      <c r="CQ346" s="265"/>
      <c r="CR346" s="265"/>
      <c r="CS346" s="265"/>
      <c r="CT346" s="265"/>
      <c r="CU346" s="265"/>
      <c r="CV346" s="265"/>
      <c r="CW346" s="265"/>
      <c r="CX346" s="265"/>
      <c r="CY346" s="265"/>
      <c r="CZ346" s="268"/>
    </row>
    <row r="347" spans="1:104" hidden="1" outlineLevel="1">
      <c r="A347" s="264"/>
      <c r="B347" s="264" t="s">
        <v>163</v>
      </c>
      <c r="C347" s="268"/>
      <c r="D347" s="264"/>
      <c r="E347" s="264"/>
      <c r="F347" s="264"/>
      <c r="G347" s="264"/>
      <c r="H347" s="264"/>
      <c r="I347" s="264"/>
      <c r="J347" s="266"/>
      <c r="K347" s="264"/>
      <c r="L347" s="264"/>
      <c r="M347" s="264"/>
      <c r="N347" s="264"/>
      <c r="O347" s="266"/>
      <c r="P347" s="264"/>
      <c r="Q347" s="264"/>
      <c r="R347" s="264"/>
      <c r="S347" s="264"/>
      <c r="T347" s="266"/>
      <c r="U347" s="264"/>
      <c r="V347" s="264"/>
      <c r="W347" s="264"/>
      <c r="X347" s="264"/>
      <c r="Y347" s="266"/>
      <c r="Z347" s="264"/>
      <c r="AA347" s="264"/>
      <c r="AB347" s="264"/>
      <c r="AC347" s="264"/>
      <c r="AD347" s="1000"/>
      <c r="AE347" s="264"/>
      <c r="AF347" s="264"/>
      <c r="AG347" s="264"/>
      <c r="AH347" s="264"/>
      <c r="AI347" s="1000"/>
      <c r="AJ347" s="264"/>
      <c r="AK347" s="264"/>
      <c r="AL347" s="264"/>
      <c r="AM347" s="264"/>
      <c r="AN347" s="1000"/>
      <c r="AO347" s="1000"/>
      <c r="AP347" s="1000"/>
      <c r="AQ347" s="1000"/>
      <c r="AR347" s="1000"/>
      <c r="AS347" s="266"/>
      <c r="AT347" s="266"/>
      <c r="AU347" s="266"/>
      <c r="AV347" s="266"/>
      <c r="AW347" s="266"/>
      <c r="AX347" s="1037">
        <v>0.02</v>
      </c>
      <c r="AY347" s="266"/>
      <c r="AZ347" s="266"/>
      <c r="BA347" s="266"/>
      <c r="BB347" s="266"/>
      <c r="BC347" s="266"/>
      <c r="BD347" s="266"/>
      <c r="BE347" s="266"/>
      <c r="BF347" s="266"/>
      <c r="BG347" s="266"/>
      <c r="BH347" s="266"/>
      <c r="BI347" s="1000"/>
      <c r="BJ347" s="1000"/>
      <c r="BK347" s="1000"/>
      <c r="BL347" s="1000"/>
      <c r="BM347" s="1000"/>
      <c r="BN347" s="265"/>
      <c r="BO347" s="265"/>
      <c r="BP347" s="265"/>
      <c r="BQ347" s="265"/>
      <c r="BR347" s="265"/>
      <c r="BS347" s="265"/>
      <c r="BT347" s="265"/>
      <c r="BU347" s="265"/>
      <c r="BV347" s="265"/>
      <c r="BW347" s="265"/>
      <c r="BX347" s="265"/>
      <c r="BY347" s="265"/>
      <c r="BZ347" s="265"/>
      <c r="CA347" s="265"/>
      <c r="CB347" s="265"/>
      <c r="CC347" s="265"/>
      <c r="CD347" s="265"/>
      <c r="CE347" s="265"/>
      <c r="CF347" s="265"/>
      <c r="CG347" s="265"/>
      <c r="CH347" s="265"/>
      <c r="CI347" s="265"/>
      <c r="CJ347" s="265"/>
      <c r="CK347" s="265"/>
      <c r="CL347" s="265"/>
      <c r="CM347" s="265"/>
      <c r="CN347" s="265"/>
      <c r="CO347" s="265"/>
      <c r="CP347" s="265"/>
      <c r="CQ347" s="265"/>
      <c r="CR347" s="265"/>
      <c r="CS347" s="265"/>
      <c r="CT347" s="265"/>
      <c r="CU347" s="265"/>
      <c r="CV347" s="265"/>
      <c r="CW347" s="265"/>
      <c r="CX347" s="265"/>
      <c r="CY347" s="265"/>
      <c r="CZ347" s="268"/>
    </row>
    <row r="348" spans="1:104" hidden="1" outlineLevel="1">
      <c r="A348" s="264"/>
      <c r="B348" s="264"/>
      <c r="C348" s="268"/>
      <c r="D348" s="264"/>
      <c r="E348" s="264"/>
      <c r="F348" s="264"/>
      <c r="G348" s="264"/>
      <c r="H348" s="264"/>
      <c r="I348" s="264"/>
      <c r="J348" s="266"/>
      <c r="K348" s="264"/>
      <c r="L348" s="264"/>
      <c r="M348" s="264"/>
      <c r="N348" s="264"/>
      <c r="O348" s="266"/>
      <c r="P348" s="264"/>
      <c r="Q348" s="264"/>
      <c r="R348" s="264"/>
      <c r="S348" s="264"/>
      <c r="T348" s="266"/>
      <c r="U348" s="264"/>
      <c r="V348" s="264"/>
      <c r="W348" s="264"/>
      <c r="X348" s="264"/>
      <c r="Y348" s="266"/>
      <c r="Z348" s="264"/>
      <c r="AA348" s="264"/>
      <c r="AB348" s="264"/>
      <c r="AC348" s="264"/>
      <c r="AD348" s="1000"/>
      <c r="AE348" s="264"/>
      <c r="AF348" s="264"/>
      <c r="AG348" s="264"/>
      <c r="AH348" s="264"/>
      <c r="AI348" s="1000"/>
      <c r="AJ348" s="264"/>
      <c r="AK348" s="264"/>
      <c r="AL348" s="264"/>
      <c r="AM348" s="264"/>
      <c r="AN348" s="1000"/>
      <c r="AO348" s="1000"/>
      <c r="AP348" s="1000"/>
      <c r="AQ348" s="1000"/>
      <c r="AR348" s="1000"/>
      <c r="AS348" s="266"/>
      <c r="AT348" s="266"/>
      <c r="AU348" s="266"/>
      <c r="AV348" s="266"/>
      <c r="AW348" s="266"/>
      <c r="AX348" s="266"/>
      <c r="AY348" s="266"/>
      <c r="AZ348" s="266"/>
      <c r="BA348" s="266"/>
      <c r="BB348" s="266"/>
      <c r="BC348" s="266"/>
      <c r="BD348" s="266"/>
      <c r="BE348" s="266"/>
      <c r="BF348" s="266"/>
      <c r="BG348" s="266"/>
      <c r="BH348" s="266"/>
      <c r="BI348" s="1000"/>
      <c r="BJ348" s="1000"/>
      <c r="BK348" s="1000"/>
      <c r="BL348" s="1000"/>
      <c r="BM348" s="1000"/>
      <c r="BN348" s="265"/>
      <c r="BO348" s="265"/>
      <c r="BP348" s="265"/>
      <c r="BQ348" s="265"/>
      <c r="BR348" s="265"/>
      <c r="BS348" s="265"/>
      <c r="BT348" s="265"/>
      <c r="BU348" s="265"/>
      <c r="BV348" s="265"/>
      <c r="BW348" s="265"/>
      <c r="BX348" s="265"/>
      <c r="BY348" s="265"/>
      <c r="BZ348" s="265"/>
      <c r="CA348" s="265"/>
      <c r="CB348" s="265"/>
      <c r="CC348" s="265"/>
      <c r="CD348" s="265"/>
      <c r="CE348" s="265"/>
      <c r="CF348" s="265"/>
      <c r="CG348" s="265"/>
      <c r="CH348" s="265"/>
      <c r="CI348" s="265"/>
      <c r="CJ348" s="265"/>
      <c r="CK348" s="265"/>
      <c r="CL348" s="265"/>
      <c r="CM348" s="265"/>
      <c r="CN348" s="265"/>
      <c r="CO348" s="265"/>
      <c r="CP348" s="265"/>
      <c r="CQ348" s="265"/>
      <c r="CR348" s="265"/>
      <c r="CS348" s="265"/>
      <c r="CT348" s="265"/>
      <c r="CU348" s="265"/>
      <c r="CV348" s="265"/>
      <c r="CW348" s="265"/>
      <c r="CX348" s="265"/>
      <c r="CY348" s="265"/>
      <c r="CZ348" s="268"/>
    </row>
    <row r="349" spans="1:104" hidden="1" outlineLevel="1">
      <c r="A349" s="264"/>
      <c r="B349" s="266" t="s">
        <v>690</v>
      </c>
      <c r="C349" s="268"/>
      <c r="D349" s="264"/>
      <c r="E349" s="264"/>
      <c r="F349" s="264"/>
      <c r="G349" s="264"/>
      <c r="H349" s="264"/>
      <c r="I349" s="264"/>
      <c r="J349" s="266"/>
      <c r="K349" s="264"/>
      <c r="L349" s="264"/>
      <c r="M349" s="264"/>
      <c r="N349" s="264"/>
      <c r="O349" s="266"/>
      <c r="P349" s="264"/>
      <c r="Q349" s="264"/>
      <c r="R349" s="264"/>
      <c r="S349" s="264"/>
      <c r="T349" s="266"/>
      <c r="U349" s="264"/>
      <c r="V349" s="264"/>
      <c r="W349" s="264"/>
      <c r="X349" s="264"/>
      <c r="Y349" s="266"/>
      <c r="Z349" s="264"/>
      <c r="AA349" s="264"/>
      <c r="AB349" s="264"/>
      <c r="AC349" s="264"/>
      <c r="AD349" s="1000"/>
      <c r="AE349" s="264"/>
      <c r="AF349" s="264"/>
      <c r="AG349" s="264"/>
      <c r="AH349" s="264"/>
      <c r="AI349" s="1000"/>
      <c r="AJ349" s="264"/>
      <c r="AK349" s="264"/>
      <c r="AL349" s="264"/>
      <c r="AM349" s="264"/>
      <c r="AN349" s="1000"/>
      <c r="AO349" s="1000"/>
      <c r="AP349" s="1000"/>
      <c r="AQ349" s="1000"/>
      <c r="AR349" s="1000"/>
      <c r="AS349" s="266"/>
      <c r="AT349" s="266"/>
      <c r="AU349" s="266"/>
      <c r="AV349" s="266"/>
      <c r="AW349" s="266"/>
      <c r="AX349" s="266"/>
      <c r="AY349" s="266"/>
      <c r="AZ349" s="266"/>
      <c r="BA349" s="266"/>
      <c r="BB349" s="266"/>
      <c r="BC349" s="266"/>
      <c r="BD349" s="266"/>
      <c r="BE349" s="266"/>
      <c r="BF349" s="266"/>
      <c r="BG349" s="266"/>
      <c r="BH349" s="266"/>
      <c r="BI349" s="1000"/>
      <c r="BJ349" s="1000"/>
      <c r="BK349" s="1000"/>
      <c r="BL349" s="1000"/>
      <c r="BM349" s="1000"/>
      <c r="BN349" s="265"/>
      <c r="BO349" s="265"/>
      <c r="BP349" s="265"/>
      <c r="BQ349" s="265"/>
      <c r="BR349" s="265"/>
      <c r="BS349" s="265"/>
      <c r="BT349" s="265"/>
      <c r="BU349" s="265"/>
      <c r="BV349" s="265"/>
      <c r="BW349" s="265"/>
      <c r="BX349" s="265"/>
      <c r="BY349" s="265"/>
      <c r="BZ349" s="265"/>
      <c r="CA349" s="265"/>
      <c r="CB349" s="265"/>
      <c r="CC349" s="265"/>
      <c r="CD349" s="265"/>
      <c r="CE349" s="265"/>
      <c r="CF349" s="265"/>
      <c r="CG349" s="265"/>
      <c r="CH349" s="265"/>
      <c r="CI349" s="265"/>
      <c r="CJ349" s="265"/>
      <c r="CK349" s="265"/>
      <c r="CL349" s="265"/>
      <c r="CM349" s="265"/>
      <c r="CN349" s="265"/>
      <c r="CO349" s="265"/>
      <c r="CP349" s="265"/>
      <c r="CQ349" s="265"/>
      <c r="CR349" s="265"/>
      <c r="CS349" s="265"/>
      <c r="CT349" s="265"/>
      <c r="CU349" s="265"/>
      <c r="CV349" s="265"/>
      <c r="CW349" s="265"/>
      <c r="CX349" s="265"/>
      <c r="CY349" s="265"/>
      <c r="CZ349" s="268"/>
    </row>
    <row r="350" spans="1:104" hidden="1" outlineLevel="1">
      <c r="A350" s="264"/>
      <c r="B350" s="266" t="s">
        <v>650</v>
      </c>
      <c r="C350" s="268"/>
      <c r="D350" s="264"/>
      <c r="E350" s="264"/>
      <c r="F350" s="264"/>
      <c r="G350" s="264"/>
      <c r="H350" s="264"/>
      <c r="I350" s="264"/>
      <c r="J350" s="266"/>
      <c r="K350" s="264"/>
      <c r="L350" s="264"/>
      <c r="M350" s="264"/>
      <c r="N350" s="264"/>
      <c r="O350" s="266"/>
      <c r="P350" s="264"/>
      <c r="Q350" s="264"/>
      <c r="R350" s="264"/>
      <c r="S350" s="264"/>
      <c r="T350" s="266"/>
      <c r="U350" s="264"/>
      <c r="V350" s="264"/>
      <c r="W350" s="264"/>
      <c r="X350" s="264"/>
      <c r="Y350" s="266"/>
      <c r="Z350" s="264"/>
      <c r="AA350" s="264"/>
      <c r="AB350" s="264"/>
      <c r="AC350" s="264"/>
      <c r="AD350" s="1000"/>
      <c r="AE350" s="264"/>
      <c r="AF350" s="264"/>
      <c r="AG350" s="264"/>
      <c r="AH350" s="264"/>
      <c r="AI350" s="1000"/>
      <c r="AJ350" s="264"/>
      <c r="AK350" s="264"/>
      <c r="AL350" s="264"/>
      <c r="AM350" s="264"/>
      <c r="AN350" s="1000"/>
      <c r="AO350" s="1000"/>
      <c r="AP350" s="1000"/>
      <c r="AQ350" s="1000"/>
      <c r="AR350" s="1000"/>
      <c r="AS350" s="266"/>
      <c r="AT350" s="266"/>
      <c r="AU350" s="266"/>
      <c r="AV350" s="266"/>
      <c r="AW350" s="266"/>
      <c r="AX350" s="266">
        <v>40</v>
      </c>
      <c r="AY350" s="266"/>
      <c r="AZ350" s="266"/>
      <c r="BA350" s="266"/>
      <c r="BB350" s="266"/>
      <c r="BC350" s="266"/>
      <c r="BD350" s="266"/>
      <c r="BE350" s="266"/>
      <c r="BF350" s="266"/>
      <c r="BG350" s="266"/>
      <c r="BH350" s="266"/>
      <c r="BI350" s="1000"/>
      <c r="BJ350" s="1000"/>
      <c r="BK350" s="1000"/>
      <c r="BL350" s="1000"/>
      <c r="BM350" s="1000"/>
      <c r="BN350" s="265"/>
      <c r="BO350" s="265"/>
      <c r="BP350" s="265"/>
      <c r="BQ350" s="265"/>
      <c r="BR350" s="265"/>
      <c r="BS350" s="265"/>
      <c r="BT350" s="265"/>
      <c r="BU350" s="265"/>
      <c r="BV350" s="265"/>
      <c r="BW350" s="265"/>
      <c r="BX350" s="265"/>
      <c r="BY350" s="265"/>
      <c r="BZ350" s="265"/>
      <c r="CA350" s="265"/>
      <c r="CB350" s="265"/>
      <c r="CC350" s="265"/>
      <c r="CD350" s="265"/>
      <c r="CE350" s="265"/>
      <c r="CF350" s="265"/>
      <c r="CG350" s="265"/>
      <c r="CH350" s="265"/>
      <c r="CI350" s="265"/>
      <c r="CJ350" s="265"/>
      <c r="CK350" s="265"/>
      <c r="CL350" s="265"/>
      <c r="CM350" s="265"/>
      <c r="CN350" s="265"/>
      <c r="CO350" s="265"/>
      <c r="CP350" s="265"/>
      <c r="CQ350" s="265"/>
      <c r="CR350" s="265"/>
      <c r="CS350" s="265"/>
      <c r="CT350" s="265"/>
      <c r="CU350" s="265"/>
      <c r="CV350" s="265"/>
      <c r="CW350" s="265"/>
      <c r="CX350" s="265"/>
      <c r="CY350" s="265"/>
      <c r="CZ350" s="268"/>
    </row>
    <row r="351" spans="1:104" hidden="1" outlineLevel="1">
      <c r="A351" s="264"/>
      <c r="B351" s="592" t="s">
        <v>689</v>
      </c>
      <c r="C351" s="268"/>
      <c r="D351" s="264"/>
      <c r="E351" s="264"/>
      <c r="F351" s="264"/>
      <c r="G351" s="264"/>
      <c r="H351" s="264"/>
      <c r="I351" s="264"/>
      <c r="J351" s="266"/>
      <c r="K351" s="264"/>
      <c r="L351" s="264"/>
      <c r="M351" s="264"/>
      <c r="N351" s="264"/>
      <c r="O351" s="266"/>
      <c r="P351" s="264"/>
      <c r="Q351" s="264"/>
      <c r="R351" s="264"/>
      <c r="S351" s="264"/>
      <c r="T351" s="266"/>
      <c r="U351" s="264"/>
      <c r="V351" s="264"/>
      <c r="W351" s="264"/>
      <c r="X351" s="264"/>
      <c r="Y351" s="266"/>
      <c r="Z351" s="264"/>
      <c r="AA351" s="264"/>
      <c r="AB351" s="264"/>
      <c r="AC351" s="264"/>
      <c r="AD351" s="1000"/>
      <c r="AE351" s="264"/>
      <c r="AF351" s="264"/>
      <c r="AG351" s="264"/>
      <c r="AH351" s="264"/>
      <c r="AI351" s="1000"/>
      <c r="AJ351" s="264"/>
      <c r="AK351" s="264"/>
      <c r="AL351" s="264"/>
      <c r="AM351" s="264"/>
      <c r="AN351" s="1000"/>
      <c r="AO351" s="1000"/>
      <c r="AP351" s="1000"/>
      <c r="AQ351" s="1000"/>
      <c r="AR351" s="1000"/>
      <c r="AS351" s="266"/>
      <c r="AT351" s="266"/>
      <c r="AU351" s="266"/>
      <c r="AV351" s="266"/>
      <c r="AW351" s="266"/>
      <c r="AX351" s="1044">
        <v>55</v>
      </c>
      <c r="AY351" s="266"/>
      <c r="AZ351" s="266"/>
      <c r="BA351" s="266"/>
      <c r="BB351" s="266"/>
      <c r="BC351" s="266"/>
      <c r="BD351" s="266"/>
      <c r="BE351" s="266"/>
      <c r="BF351" s="266"/>
      <c r="BG351" s="266"/>
      <c r="BH351" s="266"/>
      <c r="BI351" s="1000"/>
      <c r="BJ351" s="1000"/>
      <c r="BK351" s="1000"/>
      <c r="BL351" s="1000"/>
      <c r="BM351" s="1000"/>
      <c r="BN351" s="265"/>
      <c r="BO351" s="265"/>
      <c r="BP351" s="265"/>
      <c r="BQ351" s="265"/>
      <c r="BR351" s="265"/>
      <c r="BS351" s="265"/>
      <c r="BT351" s="265"/>
      <c r="BU351" s="265"/>
      <c r="BV351" s="265"/>
      <c r="BW351" s="265"/>
      <c r="BX351" s="265"/>
      <c r="BY351" s="265"/>
      <c r="BZ351" s="265"/>
      <c r="CA351" s="265"/>
      <c r="CB351" s="265"/>
      <c r="CC351" s="265"/>
      <c r="CD351" s="265"/>
      <c r="CE351" s="265"/>
      <c r="CF351" s="265"/>
      <c r="CG351" s="265"/>
      <c r="CH351" s="265"/>
      <c r="CI351" s="265"/>
      <c r="CJ351" s="265"/>
      <c r="CK351" s="265"/>
      <c r="CL351" s="265"/>
      <c r="CM351" s="265"/>
      <c r="CN351" s="265"/>
      <c r="CO351" s="265"/>
      <c r="CP351" s="265"/>
      <c r="CQ351" s="265"/>
      <c r="CR351" s="265"/>
      <c r="CS351" s="265"/>
      <c r="CT351" s="265"/>
      <c r="CU351" s="265"/>
      <c r="CV351" s="265"/>
      <c r="CW351" s="265"/>
      <c r="CX351" s="265"/>
      <c r="CY351" s="265"/>
      <c r="CZ351" s="268"/>
    </row>
    <row r="352" spans="1:104" hidden="1" outlineLevel="1">
      <c r="A352" s="264"/>
      <c r="B352" s="592" t="s">
        <v>685</v>
      </c>
      <c r="C352" s="268"/>
      <c r="D352" s="264"/>
      <c r="E352" s="264"/>
      <c r="F352" s="264"/>
      <c r="G352" s="264"/>
      <c r="H352" s="264"/>
      <c r="I352" s="264"/>
      <c r="J352" s="266"/>
      <c r="K352" s="264"/>
      <c r="L352" s="264"/>
      <c r="M352" s="264"/>
      <c r="N352" s="264"/>
      <c r="O352" s="266"/>
      <c r="P352" s="264"/>
      <c r="Q352" s="264"/>
      <c r="R352" s="264"/>
      <c r="S352" s="264"/>
      <c r="T352" s="266"/>
      <c r="U352" s="264"/>
      <c r="V352" s="264"/>
      <c r="W352" s="264"/>
      <c r="X352" s="264"/>
      <c r="Y352" s="266"/>
      <c r="Z352" s="264"/>
      <c r="AA352" s="264"/>
      <c r="AB352" s="264"/>
      <c r="AC352" s="264"/>
      <c r="AD352" s="1000"/>
      <c r="AE352" s="264"/>
      <c r="AF352" s="264"/>
      <c r="AG352" s="264"/>
      <c r="AH352" s="264"/>
      <c r="AI352" s="1000"/>
      <c r="AJ352" s="264"/>
      <c r="AK352" s="264"/>
      <c r="AL352" s="264"/>
      <c r="AM352" s="264"/>
      <c r="AN352" s="1000"/>
      <c r="AO352" s="1000"/>
      <c r="AP352" s="1000"/>
      <c r="AQ352" s="1000"/>
      <c r="AR352" s="1000"/>
      <c r="AS352" s="266"/>
      <c r="AT352" s="266"/>
      <c r="AU352" s="266"/>
      <c r="AV352" s="266"/>
      <c r="AW352" s="266"/>
      <c r="AX352" s="1044">
        <v>35</v>
      </c>
      <c r="AY352" s="266"/>
      <c r="AZ352" s="266"/>
      <c r="BA352" s="266"/>
      <c r="BB352" s="266"/>
      <c r="BC352" s="266"/>
      <c r="BD352" s="266"/>
      <c r="BE352" s="266"/>
      <c r="BF352" s="266"/>
      <c r="BG352" s="266"/>
      <c r="BH352" s="266"/>
      <c r="BI352" s="1000"/>
      <c r="BJ352" s="1000"/>
      <c r="BK352" s="1000"/>
      <c r="BL352" s="1000"/>
      <c r="BM352" s="1000"/>
      <c r="BN352" s="265"/>
      <c r="BO352" s="265"/>
      <c r="BP352" s="265"/>
      <c r="BQ352" s="265"/>
      <c r="BR352" s="265"/>
      <c r="BS352" s="265"/>
      <c r="BT352" s="265"/>
      <c r="BU352" s="265"/>
      <c r="BV352" s="265"/>
      <c r="BW352" s="265"/>
      <c r="BX352" s="265"/>
      <c r="BY352" s="265"/>
      <c r="BZ352" s="265"/>
      <c r="CA352" s="265"/>
      <c r="CB352" s="265"/>
      <c r="CC352" s="265"/>
      <c r="CD352" s="265"/>
      <c r="CE352" s="265"/>
      <c r="CF352" s="265"/>
      <c r="CG352" s="265"/>
      <c r="CH352" s="265"/>
      <c r="CI352" s="265"/>
      <c r="CJ352" s="265"/>
      <c r="CK352" s="265"/>
      <c r="CL352" s="265"/>
      <c r="CM352" s="265"/>
      <c r="CN352" s="265"/>
      <c r="CO352" s="265"/>
      <c r="CP352" s="265"/>
      <c r="CQ352" s="265"/>
      <c r="CR352" s="265"/>
      <c r="CS352" s="265"/>
      <c r="CT352" s="265"/>
      <c r="CU352" s="265"/>
      <c r="CV352" s="265"/>
      <c r="CW352" s="265"/>
      <c r="CX352" s="265"/>
      <c r="CY352" s="265"/>
      <c r="CZ352" s="268"/>
    </row>
    <row r="353" spans="1:104" hidden="1" outlineLevel="1">
      <c r="A353" s="264"/>
      <c r="B353" s="592" t="s">
        <v>686</v>
      </c>
      <c r="C353" s="268"/>
      <c r="D353" s="264"/>
      <c r="E353" s="264"/>
      <c r="F353" s="264"/>
      <c r="G353" s="264"/>
      <c r="H353" s="264"/>
      <c r="I353" s="264"/>
      <c r="J353" s="266"/>
      <c r="K353" s="264"/>
      <c r="L353" s="264"/>
      <c r="M353" s="264"/>
      <c r="N353" s="264"/>
      <c r="O353" s="266"/>
      <c r="P353" s="264"/>
      <c r="Q353" s="264"/>
      <c r="R353" s="264"/>
      <c r="S353" s="264"/>
      <c r="T353" s="266"/>
      <c r="U353" s="264"/>
      <c r="V353" s="264"/>
      <c r="W353" s="264"/>
      <c r="X353" s="264"/>
      <c r="Y353" s="266"/>
      <c r="Z353" s="264"/>
      <c r="AA353" s="264"/>
      <c r="AB353" s="264"/>
      <c r="AC353" s="264"/>
      <c r="AD353" s="1000"/>
      <c r="AE353" s="264"/>
      <c r="AF353" s="264"/>
      <c r="AG353" s="264"/>
      <c r="AH353" s="264"/>
      <c r="AI353" s="1000"/>
      <c r="AJ353" s="264"/>
      <c r="AK353" s="264"/>
      <c r="AL353" s="264"/>
      <c r="AM353" s="264"/>
      <c r="AN353" s="1000"/>
      <c r="AO353" s="1000"/>
      <c r="AP353" s="1000"/>
      <c r="AQ353" s="1000"/>
      <c r="AR353" s="1000"/>
      <c r="AS353" s="266"/>
      <c r="AT353" s="266"/>
      <c r="AU353" s="266"/>
      <c r="AV353" s="266"/>
      <c r="AW353" s="266"/>
      <c r="AX353" s="1044">
        <v>10</v>
      </c>
      <c r="AY353" s="266"/>
      <c r="AZ353" s="266"/>
      <c r="BA353" s="266"/>
      <c r="BB353" s="266"/>
      <c r="BC353" s="266"/>
      <c r="BD353" s="266"/>
      <c r="BE353" s="266"/>
      <c r="BF353" s="266"/>
      <c r="BG353" s="266"/>
      <c r="BH353" s="266"/>
      <c r="BI353" s="1000"/>
      <c r="BJ353" s="1000"/>
      <c r="BK353" s="1000"/>
      <c r="BL353" s="1000"/>
      <c r="BM353" s="1000"/>
      <c r="BN353" s="265"/>
      <c r="BO353" s="265"/>
      <c r="BP353" s="265"/>
      <c r="BQ353" s="265"/>
      <c r="BR353" s="265"/>
      <c r="BS353" s="265"/>
      <c r="BT353" s="265"/>
      <c r="BU353" s="265"/>
      <c r="BV353" s="265"/>
      <c r="BW353" s="265"/>
      <c r="BX353" s="265"/>
      <c r="BY353" s="265"/>
      <c r="BZ353" s="265"/>
      <c r="CA353" s="265"/>
      <c r="CB353" s="265"/>
      <c r="CC353" s="265"/>
      <c r="CD353" s="265"/>
      <c r="CE353" s="265"/>
      <c r="CF353" s="265"/>
      <c r="CG353" s="265"/>
      <c r="CH353" s="265"/>
      <c r="CI353" s="265"/>
      <c r="CJ353" s="265"/>
      <c r="CK353" s="265"/>
      <c r="CL353" s="265"/>
      <c r="CM353" s="265"/>
      <c r="CN353" s="265"/>
      <c r="CO353" s="265"/>
      <c r="CP353" s="265"/>
      <c r="CQ353" s="265"/>
      <c r="CR353" s="265"/>
      <c r="CS353" s="265"/>
      <c r="CT353" s="265"/>
      <c r="CU353" s="265"/>
      <c r="CV353" s="265"/>
      <c r="CW353" s="265"/>
      <c r="CX353" s="265"/>
      <c r="CY353" s="265"/>
      <c r="CZ353" s="268"/>
    </row>
    <row r="354" spans="1:104" hidden="1" outlineLevel="1">
      <c r="A354" s="264"/>
      <c r="B354" s="266" t="s">
        <v>649</v>
      </c>
      <c r="C354" s="268"/>
      <c r="D354" s="264"/>
      <c r="E354" s="264"/>
      <c r="F354" s="264"/>
      <c r="G354" s="264"/>
      <c r="H354" s="264"/>
      <c r="I354" s="264"/>
      <c r="J354" s="266"/>
      <c r="K354" s="264"/>
      <c r="L354" s="264"/>
      <c r="M354" s="264"/>
      <c r="N354" s="264"/>
      <c r="O354" s="266"/>
      <c r="P354" s="264"/>
      <c r="Q354" s="264"/>
      <c r="R354" s="264"/>
      <c r="S354" s="264"/>
      <c r="T354" s="266"/>
      <c r="U354" s="264"/>
      <c r="V354" s="264"/>
      <c r="W354" s="264"/>
      <c r="X354" s="264"/>
      <c r="Y354" s="266"/>
      <c r="Z354" s="264"/>
      <c r="AA354" s="264"/>
      <c r="AB354" s="264"/>
      <c r="AC354" s="264"/>
      <c r="AD354" s="1000"/>
      <c r="AE354" s="264"/>
      <c r="AF354" s="264"/>
      <c r="AG354" s="264"/>
      <c r="AH354" s="264"/>
      <c r="AI354" s="1000"/>
      <c r="AJ354" s="264"/>
      <c r="AK354" s="264"/>
      <c r="AL354" s="264"/>
      <c r="AM354" s="264"/>
      <c r="AN354" s="1000"/>
      <c r="AO354" s="1000"/>
      <c r="AP354" s="1000"/>
      <c r="AQ354" s="1000"/>
      <c r="AR354" s="1000"/>
      <c r="AS354" s="266"/>
      <c r="AT354" s="266"/>
      <c r="AU354" s="266"/>
      <c r="AV354" s="266"/>
      <c r="AW354" s="266"/>
      <c r="AX354" s="266">
        <v>60</v>
      </c>
      <c r="AY354" s="266"/>
      <c r="AZ354" s="266"/>
      <c r="BA354" s="266"/>
      <c r="BB354" s="266"/>
      <c r="BC354" s="266"/>
      <c r="BD354" s="266"/>
      <c r="BE354" s="266"/>
      <c r="BF354" s="266"/>
      <c r="BG354" s="266"/>
      <c r="BH354" s="266"/>
      <c r="BI354" s="1000"/>
      <c r="BJ354" s="1000"/>
      <c r="BK354" s="1000"/>
      <c r="BL354" s="1000"/>
      <c r="BM354" s="1000"/>
      <c r="BN354" s="265"/>
      <c r="BO354" s="265"/>
      <c r="BP354" s="265"/>
      <c r="BQ354" s="265"/>
      <c r="BR354" s="265"/>
      <c r="BS354" s="265"/>
      <c r="BT354" s="265"/>
      <c r="BU354" s="265"/>
      <c r="BV354" s="265"/>
      <c r="BW354" s="265"/>
      <c r="BX354" s="265"/>
      <c r="BY354" s="265"/>
      <c r="BZ354" s="265"/>
      <c r="CA354" s="265"/>
      <c r="CB354" s="265"/>
      <c r="CC354" s="265"/>
      <c r="CD354" s="265"/>
      <c r="CE354" s="265"/>
      <c r="CF354" s="265"/>
      <c r="CG354" s="265"/>
      <c r="CH354" s="265"/>
      <c r="CI354" s="265"/>
      <c r="CJ354" s="265"/>
      <c r="CK354" s="265"/>
      <c r="CL354" s="265"/>
      <c r="CM354" s="265"/>
      <c r="CN354" s="265"/>
      <c r="CO354" s="265"/>
      <c r="CP354" s="265"/>
      <c r="CQ354" s="265"/>
      <c r="CR354" s="265"/>
      <c r="CS354" s="265"/>
      <c r="CT354" s="265"/>
      <c r="CU354" s="265"/>
      <c r="CV354" s="265"/>
      <c r="CW354" s="265"/>
      <c r="CX354" s="265"/>
      <c r="CY354" s="265"/>
      <c r="CZ354" s="268"/>
    </row>
    <row r="355" spans="1:104" hidden="1" outlineLevel="1">
      <c r="A355" s="264"/>
      <c r="B355" s="264" t="s">
        <v>688</v>
      </c>
      <c r="C355" s="268"/>
      <c r="D355" s="264"/>
      <c r="E355" s="264"/>
      <c r="F355" s="264"/>
      <c r="G355" s="264"/>
      <c r="H355" s="264"/>
      <c r="I355" s="264"/>
      <c r="J355" s="266"/>
      <c r="K355" s="264"/>
      <c r="L355" s="264"/>
      <c r="M355" s="264"/>
      <c r="N355" s="264"/>
      <c r="O355" s="266"/>
      <c r="P355" s="264"/>
      <c r="Q355" s="264"/>
      <c r="R355" s="264"/>
      <c r="S355" s="264"/>
      <c r="T355" s="266"/>
      <c r="U355" s="264"/>
      <c r="V355" s="264"/>
      <c r="W355" s="264"/>
      <c r="X355" s="264"/>
      <c r="Y355" s="266"/>
      <c r="Z355" s="264"/>
      <c r="AA355" s="264"/>
      <c r="AB355" s="264"/>
      <c r="AC355" s="264"/>
      <c r="AD355" s="1000"/>
      <c r="AE355" s="264"/>
      <c r="AF355" s="264"/>
      <c r="AG355" s="264"/>
      <c r="AH355" s="264"/>
      <c r="AI355" s="1000"/>
      <c r="AJ355" s="264"/>
      <c r="AK355" s="264"/>
      <c r="AL355" s="264"/>
      <c r="AM355" s="264"/>
      <c r="AN355" s="1000"/>
      <c r="AO355" s="1000"/>
      <c r="AP355" s="1000"/>
      <c r="AQ355" s="1000"/>
      <c r="AR355" s="1000"/>
      <c r="AS355" s="266"/>
      <c r="AT355" s="266"/>
      <c r="AU355" s="266"/>
      <c r="AV355" s="266"/>
      <c r="AW355" s="266"/>
      <c r="AX355" s="1044">
        <v>30</v>
      </c>
      <c r="AY355" s="266"/>
      <c r="AZ355" s="266"/>
      <c r="BA355" s="266"/>
      <c r="BB355" s="266"/>
      <c r="BC355" s="266"/>
      <c r="BD355" s="266"/>
      <c r="BE355" s="266"/>
      <c r="BF355" s="266"/>
      <c r="BG355" s="266"/>
      <c r="BH355" s="266"/>
      <c r="BI355" s="1000"/>
      <c r="BJ355" s="1000"/>
      <c r="BK355" s="1000"/>
      <c r="BL355" s="1000"/>
      <c r="BM355" s="1000"/>
      <c r="BN355" s="265"/>
      <c r="BO355" s="265"/>
      <c r="BP355" s="265"/>
      <c r="BQ355" s="265"/>
      <c r="BR355" s="265"/>
      <c r="BS355" s="265"/>
      <c r="BT355" s="265"/>
      <c r="BU355" s="265"/>
      <c r="BV355" s="265"/>
      <c r="BW355" s="265"/>
      <c r="BX355" s="265"/>
      <c r="BY355" s="265"/>
      <c r="BZ355" s="265"/>
      <c r="CA355" s="265"/>
      <c r="CB355" s="265"/>
      <c r="CC355" s="265"/>
      <c r="CD355" s="265"/>
      <c r="CE355" s="265"/>
      <c r="CF355" s="265"/>
      <c r="CG355" s="265"/>
      <c r="CH355" s="265"/>
      <c r="CI355" s="265"/>
      <c r="CJ355" s="265"/>
      <c r="CK355" s="265"/>
      <c r="CL355" s="265"/>
      <c r="CM355" s="265"/>
      <c r="CN355" s="265"/>
      <c r="CO355" s="265"/>
      <c r="CP355" s="265"/>
      <c r="CQ355" s="265"/>
      <c r="CR355" s="265"/>
      <c r="CS355" s="265"/>
      <c r="CT355" s="265"/>
      <c r="CU355" s="265"/>
      <c r="CV355" s="265"/>
      <c r="CW355" s="265"/>
      <c r="CX355" s="265"/>
      <c r="CY355" s="265"/>
      <c r="CZ355" s="268"/>
    </row>
    <row r="356" spans="1:104" hidden="1" outlineLevel="1">
      <c r="A356" s="264"/>
      <c r="B356" s="264" t="s">
        <v>687</v>
      </c>
      <c r="C356" s="268"/>
      <c r="D356" s="264"/>
      <c r="E356" s="264"/>
      <c r="F356" s="264"/>
      <c r="G356" s="264"/>
      <c r="H356" s="264"/>
      <c r="I356" s="264"/>
      <c r="J356" s="266"/>
      <c r="K356" s="264"/>
      <c r="L356" s="264"/>
      <c r="M356" s="264"/>
      <c r="N356" s="264"/>
      <c r="O356" s="266"/>
      <c r="P356" s="264"/>
      <c r="Q356" s="264"/>
      <c r="R356" s="264"/>
      <c r="S356" s="264"/>
      <c r="T356" s="266"/>
      <c r="U356" s="264"/>
      <c r="V356" s="264"/>
      <c r="W356" s="264"/>
      <c r="X356" s="264"/>
      <c r="Y356" s="266"/>
      <c r="Z356" s="264"/>
      <c r="AA356" s="264"/>
      <c r="AB356" s="264"/>
      <c r="AC356" s="264"/>
      <c r="AD356" s="1000"/>
      <c r="AE356" s="264"/>
      <c r="AF356" s="264"/>
      <c r="AG356" s="264"/>
      <c r="AH356" s="264"/>
      <c r="AI356" s="1000"/>
      <c r="AJ356" s="264"/>
      <c r="AK356" s="264"/>
      <c r="AL356" s="264"/>
      <c r="AM356" s="264"/>
      <c r="AN356" s="1000"/>
      <c r="AO356" s="1000"/>
      <c r="AP356" s="1000"/>
      <c r="AQ356" s="1000"/>
      <c r="AR356" s="1000"/>
      <c r="AS356" s="266"/>
      <c r="AT356" s="266"/>
      <c r="AU356" s="266"/>
      <c r="AV356" s="266"/>
      <c r="AW356" s="266"/>
      <c r="AX356" s="1044">
        <v>35</v>
      </c>
      <c r="AY356" s="266"/>
      <c r="AZ356" s="266"/>
      <c r="BA356" s="266"/>
      <c r="BB356" s="266"/>
      <c r="BC356" s="266"/>
      <c r="BD356" s="266"/>
      <c r="BE356" s="266"/>
      <c r="BF356" s="266"/>
      <c r="BG356" s="266"/>
      <c r="BH356" s="266"/>
      <c r="BI356" s="1000"/>
      <c r="BJ356" s="1000"/>
      <c r="BK356" s="1000"/>
      <c r="BL356" s="1000"/>
      <c r="BM356" s="1000"/>
      <c r="BN356" s="265"/>
      <c r="BO356" s="265"/>
      <c r="BP356" s="265"/>
      <c r="BQ356" s="265"/>
      <c r="BR356" s="265"/>
      <c r="BS356" s="265"/>
      <c r="BT356" s="265"/>
      <c r="BU356" s="265"/>
      <c r="BV356" s="265"/>
      <c r="BW356" s="265"/>
      <c r="BX356" s="265"/>
      <c r="BY356" s="265"/>
      <c r="BZ356" s="265"/>
      <c r="CA356" s="265"/>
      <c r="CB356" s="265"/>
      <c r="CC356" s="265"/>
      <c r="CD356" s="265"/>
      <c r="CE356" s="265"/>
      <c r="CF356" s="265"/>
      <c r="CG356" s="265"/>
      <c r="CH356" s="265"/>
      <c r="CI356" s="265"/>
      <c r="CJ356" s="265"/>
      <c r="CK356" s="265"/>
      <c r="CL356" s="265"/>
      <c r="CM356" s="265"/>
      <c r="CN356" s="265"/>
      <c r="CO356" s="265"/>
      <c r="CP356" s="265"/>
      <c r="CQ356" s="265"/>
      <c r="CR356" s="265"/>
      <c r="CS356" s="265"/>
      <c r="CT356" s="265"/>
      <c r="CU356" s="265"/>
      <c r="CV356" s="265"/>
      <c r="CW356" s="265"/>
      <c r="CX356" s="265"/>
      <c r="CY356" s="265"/>
      <c r="CZ356" s="268"/>
    </row>
    <row r="357" spans="1:104" hidden="1" outlineLevel="1">
      <c r="A357" s="264"/>
      <c r="B357" s="264" t="s">
        <v>686</v>
      </c>
      <c r="C357" s="268"/>
      <c r="D357" s="264"/>
      <c r="E357" s="264"/>
      <c r="F357" s="264"/>
      <c r="G357" s="264"/>
      <c r="H357" s="264"/>
      <c r="I357" s="264"/>
      <c r="J357" s="266"/>
      <c r="K357" s="264"/>
      <c r="L357" s="264"/>
      <c r="M357" s="264"/>
      <c r="N357" s="264"/>
      <c r="O357" s="266"/>
      <c r="P357" s="264"/>
      <c r="Q357" s="264"/>
      <c r="R357" s="264"/>
      <c r="S357" s="264"/>
      <c r="T357" s="266"/>
      <c r="U357" s="264"/>
      <c r="V357" s="264"/>
      <c r="W357" s="264"/>
      <c r="X357" s="264"/>
      <c r="Y357" s="266"/>
      <c r="Z357" s="264"/>
      <c r="AA357" s="264"/>
      <c r="AB357" s="264"/>
      <c r="AC357" s="264"/>
      <c r="AD357" s="1000"/>
      <c r="AE357" s="264"/>
      <c r="AF357" s="264"/>
      <c r="AG357" s="264"/>
      <c r="AH357" s="264"/>
      <c r="AI357" s="1000"/>
      <c r="AJ357" s="264"/>
      <c r="AK357" s="264"/>
      <c r="AL357" s="264"/>
      <c r="AM357" s="264"/>
      <c r="AN357" s="1000"/>
      <c r="AO357" s="1000"/>
      <c r="AP357" s="1000"/>
      <c r="AQ357" s="1000"/>
      <c r="AR357" s="1000"/>
      <c r="AS357" s="266"/>
      <c r="AT357" s="266"/>
      <c r="AU357" s="266"/>
      <c r="AV357" s="266"/>
      <c r="AW357" s="266"/>
      <c r="AX357" s="1044">
        <v>15</v>
      </c>
      <c r="AY357" s="266"/>
      <c r="AZ357" s="266"/>
      <c r="BA357" s="266"/>
      <c r="BB357" s="266"/>
      <c r="BC357" s="266"/>
      <c r="BD357" s="266"/>
      <c r="BE357" s="266"/>
      <c r="BF357" s="266"/>
      <c r="BG357" s="266"/>
      <c r="BH357" s="266"/>
      <c r="BI357" s="1000"/>
      <c r="BJ357" s="1000"/>
      <c r="BK357" s="1000"/>
      <c r="BL357" s="1000"/>
      <c r="BM357" s="1000"/>
      <c r="BN357" s="265"/>
      <c r="BO357" s="265"/>
      <c r="BP357" s="265"/>
      <c r="BQ357" s="265"/>
      <c r="BR357" s="265"/>
      <c r="BS357" s="265"/>
      <c r="BT357" s="265"/>
      <c r="BU357" s="265"/>
      <c r="BV357" s="265"/>
      <c r="BW357" s="265"/>
      <c r="BX357" s="265"/>
      <c r="BY357" s="265"/>
      <c r="BZ357" s="265"/>
      <c r="CA357" s="265"/>
      <c r="CB357" s="265"/>
      <c r="CC357" s="265"/>
      <c r="CD357" s="265"/>
      <c r="CE357" s="265"/>
      <c r="CF357" s="265"/>
      <c r="CG357" s="265"/>
      <c r="CH357" s="265"/>
      <c r="CI357" s="265"/>
      <c r="CJ357" s="265"/>
      <c r="CK357" s="265"/>
      <c r="CL357" s="265"/>
      <c r="CM357" s="265"/>
      <c r="CN357" s="265"/>
      <c r="CO357" s="265"/>
      <c r="CP357" s="265"/>
      <c r="CQ357" s="265"/>
      <c r="CR357" s="265"/>
      <c r="CS357" s="265"/>
      <c r="CT357" s="265"/>
      <c r="CU357" s="265"/>
      <c r="CV357" s="265"/>
      <c r="CW357" s="265"/>
      <c r="CX357" s="265"/>
      <c r="CY357" s="265"/>
      <c r="CZ357" s="268"/>
    </row>
    <row r="358" spans="1:104" hidden="1" outlineLevel="1">
      <c r="A358" s="264"/>
      <c r="B358" s="264" t="s">
        <v>685</v>
      </c>
      <c r="C358" s="268"/>
      <c r="D358" s="264"/>
      <c r="E358" s="264"/>
      <c r="F358" s="264"/>
      <c r="G358" s="264"/>
      <c r="H358" s="264"/>
      <c r="I358" s="264"/>
      <c r="J358" s="266"/>
      <c r="K358" s="264"/>
      <c r="L358" s="264"/>
      <c r="M358" s="264"/>
      <c r="N358" s="264"/>
      <c r="O358" s="266"/>
      <c r="P358" s="264"/>
      <c r="Q358" s="264"/>
      <c r="R358" s="264"/>
      <c r="S358" s="264"/>
      <c r="T358" s="266"/>
      <c r="U358" s="264"/>
      <c r="V358" s="264"/>
      <c r="W358" s="264"/>
      <c r="X358" s="264"/>
      <c r="Y358" s="266"/>
      <c r="Z358" s="264"/>
      <c r="AA358" s="264"/>
      <c r="AB358" s="264"/>
      <c r="AC358" s="264"/>
      <c r="AD358" s="1000"/>
      <c r="AE358" s="264"/>
      <c r="AF358" s="264"/>
      <c r="AG358" s="264"/>
      <c r="AH358" s="264"/>
      <c r="AI358" s="1000"/>
      <c r="AJ358" s="264"/>
      <c r="AK358" s="264"/>
      <c r="AL358" s="264"/>
      <c r="AM358" s="264"/>
      <c r="AN358" s="1000"/>
      <c r="AO358" s="1000"/>
      <c r="AP358" s="1000"/>
      <c r="AQ358" s="1000"/>
      <c r="AR358" s="1000"/>
      <c r="AS358" s="266"/>
      <c r="AT358" s="266"/>
      <c r="AU358" s="266"/>
      <c r="AV358" s="266"/>
      <c r="AW358" s="266"/>
      <c r="AX358" s="1044">
        <v>15</v>
      </c>
      <c r="AY358" s="266"/>
      <c r="AZ358" s="266"/>
      <c r="BA358" s="266"/>
      <c r="BB358" s="266"/>
      <c r="BC358" s="266"/>
      <c r="BD358" s="266"/>
      <c r="BE358" s="266"/>
      <c r="BF358" s="266"/>
      <c r="BG358" s="266"/>
      <c r="BH358" s="266"/>
      <c r="BI358" s="1000"/>
      <c r="BJ358" s="1000"/>
      <c r="BK358" s="1000"/>
      <c r="BL358" s="1000"/>
      <c r="BM358" s="1000"/>
      <c r="BN358" s="265"/>
      <c r="BO358" s="265"/>
      <c r="BP358" s="265"/>
      <c r="BQ358" s="265"/>
      <c r="BR358" s="265"/>
      <c r="BS358" s="265"/>
      <c r="BT358" s="265"/>
      <c r="BU358" s="265"/>
      <c r="BV358" s="265"/>
      <c r="BW358" s="265"/>
      <c r="BX358" s="265"/>
      <c r="BY358" s="265"/>
      <c r="BZ358" s="265"/>
      <c r="CA358" s="265"/>
      <c r="CB358" s="265"/>
      <c r="CC358" s="265"/>
      <c r="CD358" s="265"/>
      <c r="CE358" s="265"/>
      <c r="CF358" s="265"/>
      <c r="CG358" s="265"/>
      <c r="CH358" s="265"/>
      <c r="CI358" s="265"/>
      <c r="CJ358" s="265"/>
      <c r="CK358" s="265"/>
      <c r="CL358" s="265"/>
      <c r="CM358" s="265"/>
      <c r="CN358" s="265"/>
      <c r="CO358" s="265"/>
      <c r="CP358" s="265"/>
      <c r="CQ358" s="265"/>
      <c r="CR358" s="265"/>
      <c r="CS358" s="265"/>
      <c r="CT358" s="265"/>
      <c r="CU358" s="265"/>
      <c r="CV358" s="265"/>
      <c r="CW358" s="265"/>
      <c r="CX358" s="265"/>
      <c r="CY358" s="265"/>
      <c r="CZ358" s="268"/>
    </row>
    <row r="359" spans="1:104" hidden="1" outlineLevel="1">
      <c r="A359" s="264"/>
      <c r="B359" s="264"/>
      <c r="C359" s="268"/>
      <c r="D359" s="264"/>
      <c r="E359" s="264"/>
      <c r="F359" s="264"/>
      <c r="G359" s="264"/>
      <c r="H359" s="264"/>
      <c r="I359" s="264"/>
      <c r="J359" s="266"/>
      <c r="K359" s="264"/>
      <c r="L359" s="264"/>
      <c r="M359" s="264"/>
      <c r="N359" s="264"/>
      <c r="O359" s="266"/>
      <c r="P359" s="264"/>
      <c r="Q359" s="264"/>
      <c r="R359" s="264"/>
      <c r="S359" s="264"/>
      <c r="T359" s="266"/>
      <c r="U359" s="264"/>
      <c r="V359" s="264"/>
      <c r="W359" s="264"/>
      <c r="X359" s="264"/>
      <c r="Y359" s="266"/>
      <c r="Z359" s="264"/>
      <c r="AA359" s="264"/>
      <c r="AB359" s="264"/>
      <c r="AC359" s="264"/>
      <c r="AD359" s="1000"/>
      <c r="AE359" s="264"/>
      <c r="AF359" s="264"/>
      <c r="AG359" s="264"/>
      <c r="AH359" s="264"/>
      <c r="AI359" s="1000"/>
      <c r="AJ359" s="264"/>
      <c r="AK359" s="264"/>
      <c r="AL359" s="264"/>
      <c r="AM359" s="264"/>
      <c r="AN359" s="1000"/>
      <c r="AO359" s="1000"/>
      <c r="AP359" s="1000"/>
      <c r="AQ359" s="1000"/>
      <c r="AR359" s="1000"/>
      <c r="AS359" s="266"/>
      <c r="AT359" s="266"/>
      <c r="AU359" s="266"/>
      <c r="AV359" s="266"/>
      <c r="AW359" s="266"/>
      <c r="AX359" s="266"/>
      <c r="AY359" s="266"/>
      <c r="AZ359" s="266"/>
      <c r="BA359" s="266"/>
      <c r="BB359" s="266"/>
      <c r="BC359" s="266"/>
      <c r="BD359" s="266"/>
      <c r="BE359" s="266"/>
      <c r="BF359" s="266"/>
      <c r="BG359" s="266"/>
      <c r="BH359" s="266"/>
      <c r="BI359" s="1000"/>
      <c r="BJ359" s="1000"/>
      <c r="BK359" s="1000"/>
      <c r="BL359" s="1000"/>
      <c r="BM359" s="1000"/>
      <c r="BN359" s="265"/>
      <c r="BO359" s="265"/>
      <c r="BP359" s="265"/>
      <c r="BQ359" s="265"/>
      <c r="BR359" s="265"/>
      <c r="BS359" s="265"/>
      <c r="BT359" s="265"/>
      <c r="BU359" s="265"/>
      <c r="BV359" s="265"/>
      <c r="BW359" s="265"/>
      <c r="BX359" s="265"/>
      <c r="BY359" s="265"/>
      <c r="BZ359" s="265"/>
      <c r="CA359" s="265"/>
      <c r="CB359" s="265"/>
      <c r="CC359" s="265"/>
      <c r="CD359" s="265"/>
      <c r="CE359" s="265"/>
      <c r="CF359" s="265"/>
      <c r="CG359" s="265"/>
      <c r="CH359" s="265"/>
      <c r="CI359" s="265"/>
      <c r="CJ359" s="265"/>
      <c r="CK359" s="265"/>
      <c r="CL359" s="265"/>
      <c r="CM359" s="265"/>
      <c r="CN359" s="265"/>
      <c r="CO359" s="265"/>
      <c r="CP359" s="265"/>
      <c r="CQ359" s="265"/>
      <c r="CR359" s="265"/>
      <c r="CS359" s="265"/>
      <c r="CT359" s="265"/>
      <c r="CU359" s="265"/>
      <c r="CV359" s="265"/>
      <c r="CW359" s="265"/>
      <c r="CX359" s="265"/>
      <c r="CY359" s="265"/>
      <c r="CZ359" s="268"/>
    </row>
    <row r="360" spans="1:104" hidden="1" outlineLevel="1">
      <c r="A360" s="1043"/>
      <c r="B360" s="298" t="s">
        <v>684</v>
      </c>
      <c r="C360" s="1043"/>
      <c r="D360" s="1043"/>
      <c r="E360" s="264"/>
      <c r="F360" s="264"/>
      <c r="G360" s="264"/>
      <c r="H360" s="264"/>
      <c r="I360" s="264"/>
      <c r="J360" s="266"/>
      <c r="K360" s="264"/>
      <c r="L360" s="264"/>
      <c r="M360" s="264"/>
      <c r="N360" s="264"/>
      <c r="O360" s="266"/>
      <c r="P360" s="264"/>
      <c r="Q360" s="264"/>
      <c r="R360" s="264"/>
      <c r="S360" s="264"/>
      <c r="T360" s="266"/>
      <c r="U360" s="264"/>
      <c r="V360" s="264"/>
      <c r="W360" s="264"/>
      <c r="X360" s="264"/>
      <c r="Y360" s="266"/>
      <c r="Z360" s="264"/>
      <c r="AA360" s="264"/>
      <c r="AB360" s="264"/>
      <c r="AC360" s="264"/>
      <c r="AD360" s="1000"/>
      <c r="AE360" s="264"/>
      <c r="AF360" s="264"/>
      <c r="AG360" s="264"/>
      <c r="AH360" s="264"/>
      <c r="AI360" s="1000"/>
      <c r="AJ360" s="264"/>
      <c r="AK360" s="264"/>
      <c r="AL360" s="264"/>
      <c r="AM360" s="264"/>
      <c r="AN360" s="1000"/>
      <c r="AO360" s="1000"/>
      <c r="AP360" s="1000"/>
      <c r="AQ360" s="1000"/>
      <c r="AR360" s="1000"/>
      <c r="AS360" s="266"/>
      <c r="AT360" s="266"/>
      <c r="AU360" s="266"/>
      <c r="AV360" s="266"/>
      <c r="AW360" s="266"/>
      <c r="AX360" s="266"/>
      <c r="AY360" s="266"/>
      <c r="AZ360" s="266"/>
      <c r="BA360" s="266"/>
      <c r="BB360" s="266"/>
      <c r="BC360" s="266"/>
      <c r="BD360" s="266"/>
      <c r="BE360" s="266"/>
      <c r="BF360" s="266"/>
      <c r="BG360" s="266"/>
      <c r="BH360" s="266"/>
      <c r="BI360" s="1000"/>
      <c r="BJ360" s="1000"/>
      <c r="BK360" s="1000"/>
      <c r="BL360" s="1000"/>
      <c r="BM360" s="1000"/>
      <c r="BN360" s="265"/>
      <c r="BO360" s="265"/>
      <c r="BP360" s="265"/>
      <c r="BQ360" s="265"/>
      <c r="BR360" s="265"/>
      <c r="BS360" s="265"/>
      <c r="BT360" s="265"/>
      <c r="BU360" s="265"/>
      <c r="BV360" s="265"/>
      <c r="BW360" s="265"/>
      <c r="BX360" s="265"/>
      <c r="BY360" s="265"/>
      <c r="BZ360" s="265"/>
      <c r="CA360" s="265"/>
      <c r="CB360" s="265"/>
      <c r="CC360" s="265"/>
      <c r="CD360" s="265"/>
      <c r="CE360" s="265"/>
      <c r="CF360" s="265"/>
      <c r="CG360" s="265"/>
      <c r="CH360" s="265"/>
      <c r="CI360" s="265"/>
      <c r="CJ360" s="265"/>
      <c r="CK360" s="265"/>
      <c r="CL360" s="265"/>
      <c r="CM360" s="265"/>
      <c r="CN360" s="265"/>
      <c r="CO360" s="265"/>
      <c r="CP360" s="265"/>
      <c r="CQ360" s="265"/>
      <c r="CR360" s="265"/>
      <c r="CS360" s="265"/>
      <c r="CT360" s="265"/>
      <c r="CU360" s="265"/>
      <c r="CV360" s="265"/>
      <c r="CW360" s="265"/>
      <c r="CX360" s="265"/>
      <c r="CY360" s="265"/>
      <c r="CZ360" s="268"/>
    </row>
    <row r="361" spans="1:104" hidden="1" outlineLevel="1">
      <c r="A361" s="264"/>
      <c r="B361" s="266" t="s">
        <v>244</v>
      </c>
      <c r="C361" s="268"/>
      <c r="D361" s="264"/>
      <c r="E361" s="264"/>
      <c r="F361" s="264"/>
      <c r="G361" s="264"/>
      <c r="H361" s="264"/>
      <c r="I361" s="264"/>
      <c r="J361" s="266"/>
      <c r="K361" s="264"/>
      <c r="L361" s="264"/>
      <c r="M361" s="264"/>
      <c r="N361" s="264"/>
      <c r="O361" s="266"/>
      <c r="P361" s="264"/>
      <c r="Q361" s="264"/>
      <c r="R361" s="264"/>
      <c r="S361" s="264"/>
      <c r="T361" s="266"/>
      <c r="U361" s="264"/>
      <c r="V361" s="264"/>
      <c r="W361" s="264"/>
      <c r="X361" s="264"/>
      <c r="Y361" s="266"/>
      <c r="Z361" s="264"/>
      <c r="AA361" s="264"/>
      <c r="AB361" s="264"/>
      <c r="AC361" s="264"/>
      <c r="AD361" s="1000"/>
      <c r="AE361" s="264"/>
      <c r="AF361" s="264"/>
      <c r="AG361" s="264"/>
      <c r="AH361" s="264"/>
      <c r="AI361" s="1000"/>
      <c r="AJ361" s="264"/>
      <c r="AK361" s="264"/>
      <c r="AL361" s="264"/>
      <c r="AM361" s="264"/>
      <c r="AN361" s="1000"/>
      <c r="AO361" s="1000"/>
      <c r="AP361" s="1000"/>
      <c r="AQ361" s="1000"/>
      <c r="AR361" s="1000"/>
      <c r="AS361" s="266"/>
      <c r="AT361" s="266"/>
      <c r="AU361" s="266"/>
      <c r="AV361" s="266"/>
      <c r="AW361" s="266"/>
      <c r="AX361" s="266"/>
      <c r="AY361" s="266"/>
      <c r="AZ361" s="266"/>
      <c r="BA361" s="266"/>
      <c r="BB361" s="266"/>
      <c r="BC361" s="266"/>
      <c r="BD361" s="266"/>
      <c r="BE361" s="266"/>
      <c r="BF361" s="266"/>
      <c r="BG361" s="266"/>
      <c r="BH361" s="266"/>
      <c r="BI361" s="1000"/>
      <c r="BJ361" s="1000"/>
      <c r="BK361" s="1000"/>
      <c r="BL361" s="1000"/>
      <c r="BM361" s="1000"/>
      <c r="BN361" s="265"/>
      <c r="BO361" s="265"/>
      <c r="BP361" s="265"/>
      <c r="BQ361" s="265"/>
      <c r="BR361" s="265"/>
      <c r="BS361" s="265"/>
      <c r="BT361" s="265"/>
      <c r="BU361" s="265"/>
      <c r="BV361" s="265"/>
      <c r="BW361" s="265"/>
      <c r="BX361" s="265"/>
      <c r="BY361" s="265"/>
      <c r="BZ361" s="265"/>
      <c r="CA361" s="265"/>
      <c r="CB361" s="265"/>
      <c r="CC361" s="265"/>
      <c r="CD361" s="265"/>
      <c r="CE361" s="265"/>
      <c r="CF361" s="265"/>
      <c r="CG361" s="265"/>
      <c r="CH361" s="265"/>
      <c r="CI361" s="265"/>
      <c r="CJ361" s="265"/>
      <c r="CK361" s="265"/>
      <c r="CL361" s="265"/>
      <c r="CM361" s="265"/>
      <c r="CN361" s="265"/>
      <c r="CO361" s="265"/>
      <c r="CP361" s="265"/>
      <c r="CQ361" s="265"/>
      <c r="CR361" s="265"/>
      <c r="CS361" s="265"/>
      <c r="CT361" s="265"/>
      <c r="CU361" s="265"/>
      <c r="CV361" s="265"/>
      <c r="CW361" s="265"/>
      <c r="CX361" s="265"/>
      <c r="CY361" s="265"/>
      <c r="CZ361" s="268"/>
    </row>
    <row r="362" spans="1:104" hidden="1" outlineLevel="1">
      <c r="A362" s="264"/>
      <c r="B362" s="264" t="s">
        <v>167</v>
      </c>
      <c r="C362" s="268"/>
      <c r="D362" s="264"/>
      <c r="E362" s="264"/>
      <c r="F362" s="264"/>
      <c r="G362" s="264"/>
      <c r="H362" s="264"/>
      <c r="I362" s="264"/>
      <c r="J362" s="266"/>
      <c r="K362" s="264"/>
      <c r="L362" s="264"/>
      <c r="M362" s="264"/>
      <c r="N362" s="264"/>
      <c r="O362" s="266"/>
      <c r="P362" s="264"/>
      <c r="Q362" s="264"/>
      <c r="R362" s="264"/>
      <c r="S362" s="264"/>
      <c r="T362" s="266"/>
      <c r="U362" s="264"/>
      <c r="V362" s="264"/>
      <c r="W362" s="264"/>
      <c r="X362" s="264"/>
      <c r="Y362" s="266"/>
      <c r="Z362" s="264"/>
      <c r="AA362" s="264"/>
      <c r="AB362" s="264"/>
      <c r="AC362" s="264"/>
      <c r="AD362" s="1000"/>
      <c r="AE362" s="264"/>
      <c r="AF362" s="264"/>
      <c r="AG362" s="264"/>
      <c r="AH362" s="264"/>
      <c r="AI362" s="1000"/>
      <c r="AJ362" s="264"/>
      <c r="AK362" s="264"/>
      <c r="AL362" s="264"/>
      <c r="AM362" s="264"/>
      <c r="AN362" s="1000"/>
      <c r="AO362" s="1000"/>
      <c r="AP362" s="1000"/>
      <c r="AQ362" s="1000"/>
      <c r="AR362" s="1000"/>
      <c r="AS362" s="266"/>
      <c r="AT362" s="266"/>
      <c r="AU362" s="266"/>
      <c r="AV362" s="266"/>
      <c r="AW362" s="266"/>
      <c r="AX362" s="591">
        <v>0.193</v>
      </c>
      <c r="AY362" s="266"/>
      <c r="AZ362" s="266"/>
      <c r="BA362" s="266"/>
      <c r="BB362" s="266"/>
      <c r="BC362" s="266"/>
      <c r="BD362" s="266"/>
      <c r="BE362" s="266"/>
      <c r="BF362" s="266"/>
      <c r="BG362" s="266"/>
      <c r="BH362" s="266"/>
      <c r="BI362" s="1000"/>
      <c r="BJ362" s="1000"/>
      <c r="BK362" s="1000"/>
      <c r="BL362" s="1000"/>
      <c r="BM362" s="1000"/>
      <c r="BN362" s="265"/>
      <c r="BO362" s="265"/>
      <c r="BP362" s="265"/>
      <c r="BQ362" s="265"/>
      <c r="BR362" s="265"/>
      <c r="BS362" s="265"/>
      <c r="BT362" s="265"/>
      <c r="BU362" s="265"/>
      <c r="BV362" s="265"/>
      <c r="BW362" s="265"/>
      <c r="BX362" s="265"/>
      <c r="BY362" s="265"/>
      <c r="BZ362" s="265"/>
      <c r="CA362" s="265"/>
      <c r="CB362" s="265"/>
      <c r="CC362" s="265"/>
      <c r="CD362" s="265"/>
      <c r="CE362" s="265"/>
      <c r="CF362" s="265"/>
      <c r="CG362" s="265"/>
      <c r="CH362" s="265"/>
      <c r="CI362" s="265"/>
      <c r="CJ362" s="265"/>
      <c r="CK362" s="265"/>
      <c r="CL362" s="265"/>
      <c r="CM362" s="265"/>
      <c r="CN362" s="265"/>
      <c r="CO362" s="265"/>
      <c r="CP362" s="265"/>
      <c r="CQ362" s="265"/>
      <c r="CR362" s="265"/>
      <c r="CS362" s="265"/>
      <c r="CT362" s="265"/>
      <c r="CU362" s="265"/>
      <c r="CV362" s="265"/>
      <c r="CW362" s="265"/>
      <c r="CX362" s="265"/>
      <c r="CY362" s="265"/>
      <c r="CZ362" s="268"/>
    </row>
    <row r="363" spans="1:104" hidden="1" outlineLevel="1">
      <c r="A363" s="264"/>
      <c r="B363" s="264" t="s">
        <v>682</v>
      </c>
      <c r="C363" s="268"/>
      <c r="D363" s="264"/>
      <c r="E363" s="264"/>
      <c r="F363" s="264"/>
      <c r="G363" s="264"/>
      <c r="H363" s="264"/>
      <c r="I363" s="264"/>
      <c r="J363" s="266"/>
      <c r="K363" s="264"/>
      <c r="L363" s="264"/>
      <c r="M363" s="264"/>
      <c r="N363" s="264"/>
      <c r="O363" s="266"/>
      <c r="P363" s="264"/>
      <c r="Q363" s="264"/>
      <c r="R363" s="264"/>
      <c r="S363" s="264"/>
      <c r="T363" s="266"/>
      <c r="U363" s="264"/>
      <c r="V363" s="264"/>
      <c r="W363" s="264"/>
      <c r="X363" s="264"/>
      <c r="Y363" s="266"/>
      <c r="Z363" s="264"/>
      <c r="AA363" s="264"/>
      <c r="AB363" s="264"/>
      <c r="AC363" s="264"/>
      <c r="AD363" s="1000"/>
      <c r="AE363" s="264"/>
      <c r="AF363" s="264"/>
      <c r="AG363" s="264"/>
      <c r="AH363" s="264"/>
      <c r="AI363" s="1000"/>
      <c r="AJ363" s="264"/>
      <c r="AK363" s="264"/>
      <c r="AL363" s="264"/>
      <c r="AM363" s="264"/>
      <c r="AN363" s="1000"/>
      <c r="AO363" s="1000"/>
      <c r="AP363" s="1000"/>
      <c r="AQ363" s="1000"/>
      <c r="AR363" s="1000"/>
      <c r="AS363" s="266"/>
      <c r="AT363" s="266"/>
      <c r="AU363" s="266"/>
      <c r="AV363" s="266"/>
      <c r="AW363" s="266"/>
      <c r="AX363" s="591">
        <v>0.08</v>
      </c>
      <c r="AY363" s="266"/>
      <c r="AZ363" s="266"/>
      <c r="BA363" s="266"/>
      <c r="BB363" s="266"/>
      <c r="BC363" s="266"/>
      <c r="BD363" s="266"/>
      <c r="BE363" s="266"/>
      <c r="BF363" s="266"/>
      <c r="BG363" s="266"/>
      <c r="BH363" s="266"/>
      <c r="BI363" s="1000"/>
      <c r="BJ363" s="1000"/>
      <c r="BK363" s="1000"/>
      <c r="BL363" s="1000"/>
      <c r="BM363" s="1000"/>
      <c r="BN363" s="265"/>
      <c r="BO363" s="265"/>
      <c r="BP363" s="265"/>
      <c r="BQ363" s="265"/>
      <c r="BR363" s="265"/>
      <c r="BS363" s="265"/>
      <c r="BT363" s="265"/>
      <c r="BU363" s="265"/>
      <c r="BV363" s="265"/>
      <c r="BW363" s="265"/>
      <c r="BX363" s="265"/>
      <c r="BY363" s="265"/>
      <c r="BZ363" s="265"/>
      <c r="CA363" s="265"/>
      <c r="CB363" s="265"/>
      <c r="CC363" s="265"/>
      <c r="CD363" s="265"/>
      <c r="CE363" s="265"/>
      <c r="CF363" s="265"/>
      <c r="CG363" s="265"/>
      <c r="CH363" s="265"/>
      <c r="CI363" s="265"/>
      <c r="CJ363" s="265"/>
      <c r="CK363" s="265"/>
      <c r="CL363" s="265"/>
      <c r="CM363" s="265"/>
      <c r="CN363" s="265"/>
      <c r="CO363" s="265"/>
      <c r="CP363" s="265"/>
      <c r="CQ363" s="265"/>
      <c r="CR363" s="265"/>
      <c r="CS363" s="265"/>
      <c r="CT363" s="265"/>
      <c r="CU363" s="265"/>
      <c r="CV363" s="265"/>
      <c r="CW363" s="265"/>
      <c r="CX363" s="265"/>
      <c r="CY363" s="265"/>
      <c r="CZ363" s="268"/>
    </row>
    <row r="364" spans="1:104" hidden="1" outlineLevel="1">
      <c r="A364" s="264"/>
      <c r="B364" s="264" t="s">
        <v>683</v>
      </c>
      <c r="C364" s="268"/>
      <c r="D364" s="264"/>
      <c r="E364" s="264"/>
      <c r="F364" s="264"/>
      <c r="G364" s="264"/>
      <c r="H364" s="264"/>
      <c r="I364" s="264"/>
      <c r="J364" s="266"/>
      <c r="K364" s="264"/>
      <c r="L364" s="264"/>
      <c r="M364" s="264"/>
      <c r="N364" s="264"/>
      <c r="O364" s="266"/>
      <c r="P364" s="264"/>
      <c r="Q364" s="264"/>
      <c r="R364" s="264"/>
      <c r="S364" s="264"/>
      <c r="T364" s="266"/>
      <c r="U364" s="264"/>
      <c r="V364" s="264"/>
      <c r="W364" s="264"/>
      <c r="X364" s="264"/>
      <c r="Y364" s="266"/>
      <c r="Z364" s="264"/>
      <c r="AA364" s="264"/>
      <c r="AB364" s="264"/>
      <c r="AC364" s="264"/>
      <c r="AD364" s="1000"/>
      <c r="AE364" s="264"/>
      <c r="AF364" s="264"/>
      <c r="AG364" s="264"/>
      <c r="AH364" s="264"/>
      <c r="AI364" s="1000"/>
      <c r="AJ364" s="264"/>
      <c r="AK364" s="264"/>
      <c r="AL364" s="264"/>
      <c r="AM364" s="264"/>
      <c r="AN364" s="1000"/>
      <c r="AO364" s="1000"/>
      <c r="AP364" s="1000"/>
      <c r="AQ364" s="1000"/>
      <c r="AR364" s="1000"/>
      <c r="AS364" s="266"/>
      <c r="AT364" s="266"/>
      <c r="AU364" s="266"/>
      <c r="AV364" s="266"/>
      <c r="AW364" s="266"/>
      <c r="AX364" s="591">
        <v>9.4E-2</v>
      </c>
      <c r="AY364" s="266"/>
      <c r="AZ364" s="266"/>
      <c r="BA364" s="266"/>
      <c r="BB364" s="266"/>
      <c r="BC364" s="266"/>
      <c r="BD364" s="266"/>
      <c r="BE364" s="266"/>
      <c r="BF364" s="266"/>
      <c r="BG364" s="266"/>
      <c r="BH364" s="266"/>
      <c r="BI364" s="1000"/>
      <c r="BJ364" s="1000"/>
      <c r="BK364" s="1000"/>
      <c r="BL364" s="1000"/>
      <c r="BM364" s="1000"/>
      <c r="BN364" s="265"/>
      <c r="BO364" s="265"/>
      <c r="BP364" s="265"/>
      <c r="BQ364" s="265"/>
      <c r="BR364" s="265"/>
      <c r="BS364" s="265"/>
      <c r="BT364" s="265"/>
      <c r="BU364" s="265"/>
      <c r="BV364" s="265"/>
      <c r="BW364" s="265"/>
      <c r="BX364" s="265"/>
      <c r="BY364" s="265"/>
      <c r="BZ364" s="265"/>
      <c r="CA364" s="265"/>
      <c r="CB364" s="265"/>
      <c r="CC364" s="265"/>
      <c r="CD364" s="265"/>
      <c r="CE364" s="265"/>
      <c r="CF364" s="265"/>
      <c r="CG364" s="265"/>
      <c r="CH364" s="265"/>
      <c r="CI364" s="265"/>
      <c r="CJ364" s="265"/>
      <c r="CK364" s="265"/>
      <c r="CL364" s="265"/>
      <c r="CM364" s="265"/>
      <c r="CN364" s="265"/>
      <c r="CO364" s="265"/>
      <c r="CP364" s="265"/>
      <c r="CQ364" s="265"/>
      <c r="CR364" s="265"/>
      <c r="CS364" s="265"/>
      <c r="CT364" s="265"/>
      <c r="CU364" s="265"/>
      <c r="CV364" s="265"/>
      <c r="CW364" s="265"/>
      <c r="CX364" s="265"/>
      <c r="CY364" s="265"/>
      <c r="CZ364" s="268"/>
    </row>
    <row r="365" spans="1:104" hidden="1" outlineLevel="1">
      <c r="A365" s="264"/>
      <c r="B365" s="264" t="s">
        <v>682</v>
      </c>
      <c r="C365" s="268"/>
      <c r="D365" s="264"/>
      <c r="E365" s="264"/>
      <c r="F365" s="264"/>
      <c r="G365" s="264"/>
      <c r="H365" s="264"/>
      <c r="I365" s="264"/>
      <c r="J365" s="266"/>
      <c r="K365" s="264"/>
      <c r="L365" s="264"/>
      <c r="M365" s="264"/>
      <c r="N365" s="264"/>
      <c r="O365" s="266"/>
      <c r="P365" s="264"/>
      <c r="Q365" s="264"/>
      <c r="R365" s="264"/>
      <c r="S365" s="264"/>
      <c r="T365" s="266"/>
      <c r="U365" s="264"/>
      <c r="V365" s="264"/>
      <c r="W365" s="264"/>
      <c r="X365" s="264"/>
      <c r="Y365" s="266"/>
      <c r="Z365" s="264"/>
      <c r="AA365" s="264"/>
      <c r="AB365" s="264"/>
      <c r="AC365" s="264"/>
      <c r="AD365" s="1000"/>
      <c r="AE365" s="264"/>
      <c r="AF365" s="264"/>
      <c r="AG365" s="264"/>
      <c r="AH365" s="264"/>
      <c r="AI365" s="1000"/>
      <c r="AJ365" s="264"/>
      <c r="AK365" s="264"/>
      <c r="AL365" s="264"/>
      <c r="AM365" s="264"/>
      <c r="AN365" s="1000"/>
      <c r="AO365" s="1000"/>
      <c r="AP365" s="1000"/>
      <c r="AQ365" s="1000"/>
      <c r="AR365" s="1000"/>
      <c r="AS365" s="266"/>
      <c r="AT365" s="266"/>
      <c r="AU365" s="266"/>
      <c r="AV365" s="266"/>
      <c r="AW365" s="266"/>
      <c r="AX365" s="591">
        <v>0.1</v>
      </c>
      <c r="AY365" s="266"/>
      <c r="AZ365" s="266"/>
      <c r="BA365" s="266"/>
      <c r="BB365" s="266"/>
      <c r="BC365" s="266"/>
      <c r="BD365" s="266"/>
      <c r="BE365" s="266"/>
      <c r="BF365" s="266"/>
      <c r="BG365" s="266"/>
      <c r="BH365" s="266"/>
      <c r="BI365" s="1000"/>
      <c r="BJ365" s="1000"/>
      <c r="BK365" s="1000"/>
      <c r="BL365" s="1000"/>
      <c r="BM365" s="1000"/>
      <c r="BN365" s="265"/>
      <c r="BO365" s="265"/>
      <c r="BP365" s="265"/>
      <c r="BQ365" s="265"/>
      <c r="BR365" s="265"/>
      <c r="BS365" s="265"/>
      <c r="BT365" s="265"/>
      <c r="BU365" s="265"/>
      <c r="BV365" s="265"/>
      <c r="BW365" s="265"/>
      <c r="BX365" s="265"/>
      <c r="BY365" s="265"/>
      <c r="BZ365" s="265"/>
      <c r="CA365" s="265"/>
      <c r="CB365" s="265"/>
      <c r="CC365" s="265"/>
      <c r="CD365" s="265"/>
      <c r="CE365" s="265"/>
      <c r="CF365" s="265"/>
      <c r="CG365" s="265"/>
      <c r="CH365" s="265"/>
      <c r="CI365" s="265"/>
      <c r="CJ365" s="265"/>
      <c r="CK365" s="265"/>
      <c r="CL365" s="265"/>
      <c r="CM365" s="265"/>
      <c r="CN365" s="265"/>
      <c r="CO365" s="265"/>
      <c r="CP365" s="265"/>
      <c r="CQ365" s="265"/>
      <c r="CR365" s="265"/>
      <c r="CS365" s="265"/>
      <c r="CT365" s="265"/>
      <c r="CU365" s="265"/>
      <c r="CV365" s="265"/>
      <c r="CW365" s="265"/>
      <c r="CX365" s="265"/>
      <c r="CY365" s="265"/>
      <c r="CZ365" s="268"/>
    </row>
    <row r="366" spans="1:104" hidden="1" outlineLevel="1">
      <c r="A366" s="264"/>
      <c r="B366" s="264" t="s">
        <v>309</v>
      </c>
      <c r="C366" s="268"/>
      <c r="D366" s="264"/>
      <c r="E366" s="264"/>
      <c r="F366" s="264"/>
      <c r="G366" s="264"/>
      <c r="H366" s="264"/>
      <c r="I366" s="264"/>
      <c r="J366" s="266"/>
      <c r="K366" s="264"/>
      <c r="L366" s="264"/>
      <c r="M366" s="264"/>
      <c r="N366" s="264"/>
      <c r="O366" s="266"/>
      <c r="P366" s="264"/>
      <c r="Q366" s="264"/>
      <c r="R366" s="264"/>
      <c r="S366" s="264"/>
      <c r="T366" s="266"/>
      <c r="U366" s="264"/>
      <c r="V366" s="264"/>
      <c r="W366" s="264"/>
      <c r="X366" s="264"/>
      <c r="Y366" s="266"/>
      <c r="Z366" s="264"/>
      <c r="AA366" s="264"/>
      <c r="AB366" s="264"/>
      <c r="AC366" s="264"/>
      <c r="AD366" s="1000"/>
      <c r="AE366" s="264"/>
      <c r="AF366" s="264"/>
      <c r="AG366" s="264"/>
      <c r="AH366" s="264"/>
      <c r="AI366" s="1000"/>
      <c r="AJ366" s="264"/>
      <c r="AK366" s="264"/>
      <c r="AL366" s="264"/>
      <c r="AM366" s="264"/>
      <c r="AN366" s="1000"/>
      <c r="AO366" s="1000"/>
      <c r="AP366" s="1000"/>
      <c r="AQ366" s="1000"/>
      <c r="AR366" s="1000"/>
      <c r="AS366" s="266"/>
      <c r="AT366" s="266"/>
      <c r="AU366" s="266"/>
      <c r="AV366" s="266"/>
      <c r="AW366" s="266"/>
      <c r="AX366" s="591">
        <v>9.2999999999999999E-2</v>
      </c>
      <c r="AY366" s="266"/>
      <c r="AZ366" s="266"/>
      <c r="BA366" s="266"/>
      <c r="BB366" s="266"/>
      <c r="BC366" s="266"/>
      <c r="BD366" s="266"/>
      <c r="BE366" s="266"/>
      <c r="BF366" s="266"/>
      <c r="BG366" s="266"/>
      <c r="BH366" s="266"/>
      <c r="BI366" s="1000"/>
      <c r="BJ366" s="1000"/>
      <c r="BK366" s="1000"/>
      <c r="BL366" s="1000"/>
      <c r="BM366" s="1000"/>
      <c r="BN366" s="265"/>
      <c r="BO366" s="265"/>
      <c r="BP366" s="265"/>
      <c r="BQ366" s="265"/>
      <c r="BR366" s="265"/>
      <c r="BS366" s="265"/>
      <c r="BT366" s="265"/>
      <c r="BU366" s="265"/>
      <c r="BV366" s="265"/>
      <c r="BW366" s="265"/>
      <c r="BX366" s="265"/>
      <c r="BY366" s="265"/>
      <c r="BZ366" s="265"/>
      <c r="CA366" s="265"/>
      <c r="CB366" s="265"/>
      <c r="CC366" s="265"/>
      <c r="CD366" s="265"/>
      <c r="CE366" s="265"/>
      <c r="CF366" s="265"/>
      <c r="CG366" s="265"/>
      <c r="CH366" s="265"/>
      <c r="CI366" s="265"/>
      <c r="CJ366" s="265"/>
      <c r="CK366" s="265"/>
      <c r="CL366" s="265"/>
      <c r="CM366" s="265"/>
      <c r="CN366" s="265"/>
      <c r="CO366" s="265"/>
      <c r="CP366" s="265"/>
      <c r="CQ366" s="265"/>
      <c r="CR366" s="265"/>
      <c r="CS366" s="265"/>
      <c r="CT366" s="265"/>
      <c r="CU366" s="265"/>
      <c r="CV366" s="265"/>
      <c r="CW366" s="265"/>
      <c r="CX366" s="265"/>
      <c r="CY366" s="265"/>
      <c r="CZ366" s="268"/>
    </row>
    <row r="367" spans="1:104" hidden="1" outlineLevel="1">
      <c r="A367" s="264"/>
      <c r="B367" s="264" t="s">
        <v>682</v>
      </c>
      <c r="C367" s="268"/>
      <c r="D367" s="264"/>
      <c r="E367" s="264"/>
      <c r="F367" s="264"/>
      <c r="G367" s="264"/>
      <c r="H367" s="264"/>
      <c r="I367" s="264"/>
      <c r="J367" s="266"/>
      <c r="K367" s="264"/>
      <c r="L367" s="264"/>
      <c r="M367" s="264"/>
      <c r="N367" s="264"/>
      <c r="O367" s="266"/>
      <c r="P367" s="264"/>
      <c r="Q367" s="264"/>
      <c r="R367" s="264"/>
      <c r="S367" s="264"/>
      <c r="T367" s="266"/>
      <c r="U367" s="264"/>
      <c r="V367" s="264"/>
      <c r="W367" s="264"/>
      <c r="X367" s="264"/>
      <c r="Y367" s="266"/>
      <c r="Z367" s="264"/>
      <c r="AA367" s="264"/>
      <c r="AB367" s="264"/>
      <c r="AC367" s="264"/>
      <c r="AD367" s="1000"/>
      <c r="AE367" s="264"/>
      <c r="AF367" s="264"/>
      <c r="AG367" s="264"/>
      <c r="AH367" s="264"/>
      <c r="AI367" s="1000"/>
      <c r="AJ367" s="264"/>
      <c r="AK367" s="264"/>
      <c r="AL367" s="264"/>
      <c r="AM367" s="264"/>
      <c r="AN367" s="1000"/>
      <c r="AO367" s="1000"/>
      <c r="AP367" s="1000"/>
      <c r="AQ367" s="1000"/>
      <c r="AR367" s="1000"/>
      <c r="AS367" s="266"/>
      <c r="AT367" s="266"/>
      <c r="AU367" s="266"/>
      <c r="AV367" s="266"/>
      <c r="AW367" s="266"/>
      <c r="AX367" s="591">
        <v>7.8E-2</v>
      </c>
      <c r="AY367" s="266"/>
      <c r="AZ367" s="266"/>
      <c r="BA367" s="266"/>
      <c r="BB367" s="266"/>
      <c r="BC367" s="266"/>
      <c r="BD367" s="266"/>
      <c r="BE367" s="266"/>
      <c r="BF367" s="266"/>
      <c r="BG367" s="266"/>
      <c r="BH367" s="266"/>
      <c r="BI367" s="1000"/>
      <c r="BJ367" s="1000"/>
      <c r="BK367" s="1000"/>
      <c r="BL367" s="1000"/>
      <c r="BM367" s="1000"/>
      <c r="BN367" s="265"/>
      <c r="BO367" s="265"/>
      <c r="BP367" s="265"/>
      <c r="BQ367" s="265"/>
      <c r="BR367" s="265"/>
      <c r="BS367" s="265"/>
      <c r="BT367" s="265"/>
      <c r="BU367" s="265"/>
      <c r="BV367" s="265"/>
      <c r="BW367" s="265"/>
      <c r="BX367" s="265"/>
      <c r="BY367" s="265"/>
      <c r="BZ367" s="265"/>
      <c r="CA367" s="265"/>
      <c r="CB367" s="265"/>
      <c r="CC367" s="265"/>
      <c r="CD367" s="265"/>
      <c r="CE367" s="265"/>
      <c r="CF367" s="265"/>
      <c r="CG367" s="265"/>
      <c r="CH367" s="265"/>
      <c r="CI367" s="265"/>
      <c r="CJ367" s="265"/>
      <c r="CK367" s="265"/>
      <c r="CL367" s="265"/>
      <c r="CM367" s="265"/>
      <c r="CN367" s="265"/>
      <c r="CO367" s="265"/>
      <c r="CP367" s="265"/>
      <c r="CQ367" s="265"/>
      <c r="CR367" s="265"/>
      <c r="CS367" s="265"/>
      <c r="CT367" s="265"/>
      <c r="CU367" s="265"/>
      <c r="CV367" s="265"/>
      <c r="CW367" s="265"/>
      <c r="CX367" s="265"/>
      <c r="CY367" s="265"/>
      <c r="CZ367" s="268"/>
    </row>
    <row r="368" spans="1:104" hidden="1" outlineLevel="1">
      <c r="A368" s="264"/>
      <c r="B368" s="264"/>
      <c r="C368" s="268"/>
      <c r="D368" s="264"/>
      <c r="E368" s="264"/>
      <c r="F368" s="264"/>
      <c r="G368" s="264"/>
      <c r="H368" s="264"/>
      <c r="I368" s="264"/>
      <c r="J368" s="266"/>
      <c r="K368" s="264"/>
      <c r="L368" s="264"/>
      <c r="M368" s="264"/>
      <c r="N368" s="264"/>
      <c r="O368" s="266"/>
      <c r="P368" s="264"/>
      <c r="Q368" s="264"/>
      <c r="R368" s="264"/>
      <c r="S368" s="264"/>
      <c r="T368" s="266"/>
      <c r="U368" s="264"/>
      <c r="V368" s="264"/>
      <c r="W368" s="264"/>
      <c r="X368" s="264"/>
      <c r="Y368" s="266"/>
      <c r="Z368" s="264"/>
      <c r="AA368" s="264"/>
      <c r="AB368" s="264"/>
      <c r="AC368" s="264"/>
      <c r="AD368" s="1000"/>
      <c r="AE368" s="264"/>
      <c r="AF368" s="264"/>
      <c r="AG368" s="264"/>
      <c r="AH368" s="264"/>
      <c r="AI368" s="1000"/>
      <c r="AJ368" s="264"/>
      <c r="AK368" s="264"/>
      <c r="AL368" s="264"/>
      <c r="AM368" s="264"/>
      <c r="AN368" s="1000"/>
      <c r="AO368" s="1000"/>
      <c r="AP368" s="1000"/>
      <c r="AQ368" s="1000"/>
      <c r="AR368" s="1000"/>
      <c r="AS368" s="266"/>
      <c r="AT368" s="266"/>
      <c r="AU368" s="266"/>
      <c r="AV368" s="266"/>
      <c r="AW368" s="266"/>
      <c r="AX368" s="266"/>
      <c r="AY368" s="266"/>
      <c r="AZ368" s="266"/>
      <c r="BA368" s="266"/>
      <c r="BB368" s="266"/>
      <c r="BC368" s="266"/>
      <c r="BD368" s="266"/>
      <c r="BE368" s="266"/>
      <c r="BF368" s="266"/>
      <c r="BG368" s="266"/>
      <c r="BH368" s="266"/>
      <c r="BI368" s="1000"/>
      <c r="BJ368" s="1000"/>
      <c r="BK368" s="1000"/>
      <c r="BL368" s="1000"/>
      <c r="BM368" s="1000"/>
      <c r="BN368" s="265"/>
      <c r="BO368" s="265"/>
      <c r="BP368" s="265"/>
      <c r="BQ368" s="265"/>
      <c r="BR368" s="265"/>
      <c r="BS368" s="265"/>
      <c r="BT368" s="265"/>
      <c r="BU368" s="265"/>
      <c r="BV368" s="265"/>
      <c r="BW368" s="265"/>
      <c r="BX368" s="265"/>
      <c r="BY368" s="265"/>
      <c r="BZ368" s="265"/>
      <c r="CA368" s="265"/>
      <c r="CB368" s="265"/>
      <c r="CC368" s="265"/>
      <c r="CD368" s="265"/>
      <c r="CE368" s="265"/>
      <c r="CF368" s="265"/>
      <c r="CG368" s="265"/>
      <c r="CH368" s="265"/>
      <c r="CI368" s="265"/>
      <c r="CJ368" s="265"/>
      <c r="CK368" s="265"/>
      <c r="CL368" s="265"/>
      <c r="CM368" s="265"/>
      <c r="CN368" s="265"/>
      <c r="CO368" s="265"/>
      <c r="CP368" s="265"/>
      <c r="CQ368" s="265"/>
      <c r="CR368" s="265"/>
      <c r="CS368" s="265"/>
      <c r="CT368" s="265"/>
      <c r="CU368" s="265"/>
      <c r="CV368" s="265"/>
      <c r="CW368" s="265"/>
      <c r="CX368" s="265"/>
      <c r="CY368" s="265"/>
      <c r="CZ368" s="268"/>
    </row>
    <row r="369" spans="1:104" hidden="1" outlineLevel="1">
      <c r="A369" s="264"/>
      <c r="B369" s="266" t="s">
        <v>681</v>
      </c>
      <c r="C369" s="268"/>
      <c r="D369" s="264"/>
      <c r="E369" s="264"/>
      <c r="F369" s="264"/>
      <c r="G369" s="264"/>
      <c r="H369" s="264"/>
      <c r="I369" s="264"/>
      <c r="J369" s="266"/>
      <c r="K369" s="264"/>
      <c r="L369" s="264"/>
      <c r="M369" s="264"/>
      <c r="N369" s="264"/>
      <c r="O369" s="266"/>
      <c r="P369" s="264"/>
      <c r="Q369" s="264"/>
      <c r="R369" s="264"/>
      <c r="S369" s="264"/>
      <c r="T369" s="266"/>
      <c r="U369" s="264"/>
      <c r="V369" s="264"/>
      <c r="W369" s="264"/>
      <c r="X369" s="264"/>
      <c r="Y369" s="266"/>
      <c r="Z369" s="264"/>
      <c r="AA369" s="264"/>
      <c r="AB369" s="264"/>
      <c r="AC369" s="264"/>
      <c r="AD369" s="1000"/>
      <c r="AE369" s="264"/>
      <c r="AF369" s="264"/>
      <c r="AG369" s="264"/>
      <c r="AH369" s="264"/>
      <c r="AI369" s="1000"/>
      <c r="AJ369" s="264"/>
      <c r="AK369" s="264"/>
      <c r="AL369" s="264"/>
      <c r="AM369" s="264"/>
      <c r="AN369" s="1000"/>
      <c r="AO369" s="1000"/>
      <c r="AP369" s="1000"/>
      <c r="AQ369" s="1000"/>
      <c r="AR369" s="1000"/>
      <c r="AS369" s="266"/>
      <c r="AT369" s="266"/>
      <c r="AU369" s="266"/>
      <c r="AV369" s="266"/>
      <c r="AW369" s="266"/>
      <c r="AX369" s="266"/>
      <c r="AY369" s="266"/>
      <c r="AZ369" s="266"/>
      <c r="BA369" s="266"/>
      <c r="BB369" s="266"/>
      <c r="BC369" s="266"/>
      <c r="BD369" s="266"/>
      <c r="BE369" s="266"/>
      <c r="BF369" s="266"/>
      <c r="BG369" s="266"/>
      <c r="BH369" s="266"/>
      <c r="BI369" s="1000"/>
      <c r="BJ369" s="1000"/>
      <c r="BK369" s="1000"/>
      <c r="BL369" s="1000"/>
      <c r="BM369" s="1000"/>
      <c r="BN369" s="265"/>
      <c r="BO369" s="265"/>
      <c r="BP369" s="265"/>
      <c r="BQ369" s="265"/>
      <c r="BR369" s="265"/>
      <c r="BS369" s="265"/>
      <c r="BT369" s="265"/>
      <c r="BU369" s="265"/>
      <c r="BV369" s="265"/>
      <c r="BW369" s="265"/>
      <c r="BX369" s="265"/>
      <c r="BY369" s="265"/>
      <c r="BZ369" s="265"/>
      <c r="CA369" s="265"/>
      <c r="CB369" s="265"/>
      <c r="CC369" s="265"/>
      <c r="CD369" s="265"/>
      <c r="CE369" s="265"/>
      <c r="CF369" s="265"/>
      <c r="CG369" s="265"/>
      <c r="CH369" s="265"/>
      <c r="CI369" s="265"/>
      <c r="CJ369" s="265"/>
      <c r="CK369" s="265"/>
      <c r="CL369" s="265"/>
      <c r="CM369" s="265"/>
      <c r="CN369" s="265"/>
      <c r="CO369" s="265"/>
      <c r="CP369" s="265"/>
      <c r="CQ369" s="265"/>
      <c r="CR369" s="265"/>
      <c r="CS369" s="265"/>
      <c r="CT369" s="265"/>
      <c r="CU369" s="265"/>
      <c r="CV369" s="265"/>
      <c r="CW369" s="265"/>
      <c r="CX369" s="265"/>
      <c r="CY369" s="265"/>
      <c r="CZ369" s="268"/>
    </row>
    <row r="370" spans="1:104" hidden="1" outlineLevel="1">
      <c r="A370" s="264"/>
      <c r="B370" s="266" t="s">
        <v>680</v>
      </c>
      <c r="C370" s="268"/>
      <c r="D370" s="264"/>
      <c r="E370" s="264"/>
      <c r="F370" s="264"/>
      <c r="G370" s="264"/>
      <c r="H370" s="264"/>
      <c r="I370" s="264"/>
      <c r="J370" s="266"/>
      <c r="K370" s="264"/>
      <c r="L370" s="264"/>
      <c r="M370" s="264"/>
      <c r="N370" s="264"/>
      <c r="O370" s="266"/>
      <c r="P370" s="264"/>
      <c r="Q370" s="264"/>
      <c r="R370" s="264"/>
      <c r="S370" s="264"/>
      <c r="T370" s="266"/>
      <c r="U370" s="264"/>
      <c r="V370" s="264"/>
      <c r="W370" s="264"/>
      <c r="X370" s="264"/>
      <c r="Y370" s="266"/>
      <c r="Z370" s="264"/>
      <c r="AA370" s="264"/>
      <c r="AB370" s="264"/>
      <c r="AC370" s="264"/>
      <c r="AD370" s="1000"/>
      <c r="AE370" s="264"/>
      <c r="AF370" s="264"/>
      <c r="AG370" s="264"/>
      <c r="AH370" s="264"/>
      <c r="AI370" s="1000"/>
      <c r="AJ370" s="264"/>
      <c r="AK370" s="264"/>
      <c r="AL370" s="264"/>
      <c r="AM370" s="264"/>
      <c r="AN370" s="1000"/>
      <c r="AO370" s="1000"/>
      <c r="AP370" s="1000"/>
      <c r="AQ370" s="1000"/>
      <c r="AR370" s="1000"/>
      <c r="AS370" s="266"/>
      <c r="AT370" s="266"/>
      <c r="AU370" s="266"/>
      <c r="AV370" s="266"/>
      <c r="AW370" s="266"/>
      <c r="AX370" s="266"/>
      <c r="AY370" s="266"/>
      <c r="AZ370" s="266"/>
      <c r="BA370" s="266"/>
      <c r="BB370" s="266"/>
      <c r="BC370" s="266"/>
      <c r="BD370" s="266"/>
      <c r="BE370" s="266"/>
      <c r="BF370" s="266"/>
      <c r="BG370" s="266"/>
      <c r="BH370" s="266"/>
      <c r="BI370" s="1000"/>
      <c r="BJ370" s="1000"/>
      <c r="BK370" s="1000"/>
      <c r="BL370" s="1000"/>
      <c r="BM370" s="1000"/>
      <c r="BN370" s="265"/>
      <c r="BO370" s="265"/>
      <c r="BP370" s="265"/>
      <c r="BQ370" s="265"/>
      <c r="BR370" s="265"/>
      <c r="BS370" s="265"/>
      <c r="BT370" s="265"/>
      <c r="BU370" s="265"/>
      <c r="BV370" s="265"/>
      <c r="BW370" s="265"/>
      <c r="BX370" s="265"/>
      <c r="BY370" s="265"/>
      <c r="BZ370" s="265"/>
      <c r="CA370" s="265"/>
      <c r="CB370" s="265"/>
      <c r="CC370" s="265"/>
      <c r="CD370" s="265"/>
      <c r="CE370" s="265"/>
      <c r="CF370" s="265"/>
      <c r="CG370" s="265"/>
      <c r="CH370" s="265"/>
      <c r="CI370" s="265"/>
      <c r="CJ370" s="265"/>
      <c r="CK370" s="265"/>
      <c r="CL370" s="265"/>
      <c r="CM370" s="265"/>
      <c r="CN370" s="265"/>
      <c r="CO370" s="265"/>
      <c r="CP370" s="265"/>
      <c r="CQ370" s="265"/>
      <c r="CR370" s="265"/>
      <c r="CS370" s="265"/>
      <c r="CT370" s="265"/>
      <c r="CU370" s="265"/>
      <c r="CV370" s="265"/>
      <c r="CW370" s="265"/>
      <c r="CX370" s="265"/>
      <c r="CY370" s="265"/>
      <c r="CZ370" s="268"/>
    </row>
    <row r="371" spans="1:104" hidden="1" outlineLevel="1">
      <c r="A371" s="264"/>
      <c r="B371" s="264" t="s">
        <v>167</v>
      </c>
      <c r="C371" s="268"/>
      <c r="D371" s="264"/>
      <c r="E371" s="264"/>
      <c r="F371" s="264"/>
      <c r="G371" s="264"/>
      <c r="H371" s="264"/>
      <c r="I371" s="264"/>
      <c r="J371" s="266"/>
      <c r="K371" s="264"/>
      <c r="L371" s="264"/>
      <c r="M371" s="264"/>
      <c r="N371" s="264"/>
      <c r="O371" s="266"/>
      <c r="P371" s="264"/>
      <c r="Q371" s="264"/>
      <c r="R371" s="264"/>
      <c r="S371" s="264"/>
      <c r="T371" s="266"/>
      <c r="U371" s="264"/>
      <c r="V371" s="264"/>
      <c r="W371" s="264"/>
      <c r="X371" s="264"/>
      <c r="Y371" s="266"/>
      <c r="Z371" s="264"/>
      <c r="AA371" s="264"/>
      <c r="AB371" s="264"/>
      <c r="AC371" s="264"/>
      <c r="AD371" s="1000"/>
      <c r="AE371" s="264"/>
      <c r="AF371" s="264"/>
      <c r="AG371" s="264"/>
      <c r="AH371" s="264"/>
      <c r="AI371" s="1000"/>
      <c r="AJ371" s="264"/>
      <c r="AK371" s="264"/>
      <c r="AL371" s="264"/>
      <c r="AM371" s="264"/>
      <c r="AN371" s="1000"/>
      <c r="AO371" s="1000"/>
      <c r="AP371" s="1000"/>
      <c r="AQ371" s="1000"/>
      <c r="AR371" s="1000"/>
      <c r="AS371" s="266"/>
      <c r="AT371" s="266"/>
      <c r="AU371" s="266"/>
      <c r="AV371" s="266"/>
      <c r="AW371" s="266"/>
      <c r="AX371" s="264">
        <v>8.1</v>
      </c>
      <c r="AY371" s="266"/>
      <c r="AZ371" s="266"/>
      <c r="BA371" s="266"/>
      <c r="BB371" s="266"/>
      <c r="BC371" s="266"/>
      <c r="BD371" s="266"/>
      <c r="BE371" s="266"/>
      <c r="BF371" s="266"/>
      <c r="BG371" s="266"/>
      <c r="BH371" s="266"/>
      <c r="BI371" s="1000"/>
      <c r="BJ371" s="1000"/>
      <c r="BK371" s="1000"/>
      <c r="BL371" s="1000"/>
      <c r="BM371" s="1000"/>
      <c r="BN371" s="265"/>
      <c r="BO371" s="265"/>
      <c r="BP371" s="265"/>
      <c r="BQ371" s="265"/>
      <c r="BR371" s="265"/>
      <c r="BS371" s="265"/>
      <c r="BT371" s="265"/>
      <c r="BU371" s="265"/>
      <c r="BV371" s="265"/>
      <c r="BW371" s="265"/>
      <c r="BX371" s="265"/>
      <c r="BY371" s="265"/>
      <c r="BZ371" s="265"/>
      <c r="CA371" s="265"/>
      <c r="CB371" s="265"/>
      <c r="CC371" s="265"/>
      <c r="CD371" s="265"/>
      <c r="CE371" s="265"/>
      <c r="CF371" s="265"/>
      <c r="CG371" s="265"/>
      <c r="CH371" s="265"/>
      <c r="CI371" s="265"/>
      <c r="CJ371" s="265"/>
      <c r="CK371" s="265"/>
      <c r="CL371" s="265"/>
      <c r="CM371" s="265"/>
      <c r="CN371" s="265"/>
      <c r="CO371" s="265"/>
      <c r="CP371" s="265"/>
      <c r="CQ371" s="265"/>
      <c r="CR371" s="265"/>
      <c r="CS371" s="265"/>
      <c r="CT371" s="265"/>
      <c r="CU371" s="265"/>
      <c r="CV371" s="265"/>
      <c r="CW371" s="265"/>
      <c r="CX371" s="265"/>
      <c r="CY371" s="265"/>
      <c r="CZ371" s="268"/>
    </row>
    <row r="372" spans="1:104" hidden="1" outlineLevel="1">
      <c r="A372" s="264"/>
      <c r="B372" s="264" t="s">
        <v>678</v>
      </c>
      <c r="C372" s="268"/>
      <c r="D372" s="264"/>
      <c r="E372" s="264"/>
      <c r="F372" s="264"/>
      <c r="G372" s="264"/>
      <c r="H372" s="264"/>
      <c r="I372" s="264"/>
      <c r="J372" s="266"/>
      <c r="K372" s="264"/>
      <c r="L372" s="264"/>
      <c r="M372" s="264"/>
      <c r="N372" s="264"/>
      <c r="O372" s="266"/>
      <c r="P372" s="264"/>
      <c r="Q372" s="264"/>
      <c r="R372" s="264"/>
      <c r="S372" s="264"/>
      <c r="T372" s="266"/>
      <c r="U372" s="264"/>
      <c r="V372" s="264"/>
      <c r="W372" s="264"/>
      <c r="X372" s="264"/>
      <c r="Y372" s="266"/>
      <c r="Z372" s="264"/>
      <c r="AA372" s="264"/>
      <c r="AB372" s="264"/>
      <c r="AC372" s="264"/>
      <c r="AD372" s="1000"/>
      <c r="AE372" s="264"/>
      <c r="AF372" s="264"/>
      <c r="AG372" s="264"/>
      <c r="AH372" s="264"/>
      <c r="AI372" s="1000"/>
      <c r="AJ372" s="264"/>
      <c r="AK372" s="264"/>
      <c r="AL372" s="264"/>
      <c r="AM372" s="264"/>
      <c r="AN372" s="1000"/>
      <c r="AO372" s="1000"/>
      <c r="AP372" s="1000"/>
      <c r="AQ372" s="1000"/>
      <c r="AR372" s="1000"/>
      <c r="AS372" s="266"/>
      <c r="AT372" s="266"/>
      <c r="AU372" s="266"/>
      <c r="AV372" s="266"/>
      <c r="AW372" s="266"/>
      <c r="AX372" s="264">
        <v>4.38</v>
      </c>
      <c r="AY372" s="266"/>
      <c r="AZ372" s="266"/>
      <c r="BA372" s="266"/>
      <c r="BB372" s="266"/>
      <c r="BC372" s="266"/>
      <c r="BD372" s="266"/>
      <c r="BE372" s="266"/>
      <c r="BF372" s="266"/>
      <c r="BG372" s="266"/>
      <c r="BH372" s="266"/>
      <c r="BI372" s="1000"/>
      <c r="BJ372" s="1000"/>
      <c r="BK372" s="1000"/>
      <c r="BL372" s="1000"/>
      <c r="BM372" s="1000"/>
      <c r="BN372" s="265"/>
      <c r="BO372" s="265"/>
      <c r="BP372" s="265"/>
      <c r="BQ372" s="265"/>
      <c r="BR372" s="265"/>
      <c r="BS372" s="265"/>
      <c r="BT372" s="265"/>
      <c r="BU372" s="265"/>
      <c r="BV372" s="265"/>
      <c r="BW372" s="265"/>
      <c r="BX372" s="265"/>
      <c r="BY372" s="265"/>
      <c r="BZ372" s="265"/>
      <c r="CA372" s="265"/>
      <c r="CB372" s="265"/>
      <c r="CC372" s="265"/>
      <c r="CD372" s="265"/>
      <c r="CE372" s="265"/>
      <c r="CF372" s="265"/>
      <c r="CG372" s="265"/>
      <c r="CH372" s="265"/>
      <c r="CI372" s="265"/>
      <c r="CJ372" s="265"/>
      <c r="CK372" s="265"/>
      <c r="CL372" s="265"/>
      <c r="CM372" s="265"/>
      <c r="CN372" s="265"/>
      <c r="CO372" s="265"/>
      <c r="CP372" s="265"/>
      <c r="CQ372" s="265"/>
      <c r="CR372" s="265"/>
      <c r="CS372" s="265"/>
      <c r="CT372" s="265"/>
      <c r="CU372" s="265"/>
      <c r="CV372" s="265"/>
      <c r="CW372" s="265"/>
      <c r="CX372" s="265"/>
      <c r="CY372" s="265"/>
      <c r="CZ372" s="268"/>
    </row>
    <row r="373" spans="1:104" hidden="1" outlineLevel="1">
      <c r="A373" s="264"/>
      <c r="B373" s="264" t="s">
        <v>677</v>
      </c>
      <c r="C373" s="268"/>
      <c r="D373" s="264"/>
      <c r="E373" s="264"/>
      <c r="F373" s="264"/>
      <c r="G373" s="264"/>
      <c r="H373" s="264"/>
      <c r="I373" s="264"/>
      <c r="J373" s="266"/>
      <c r="K373" s="264"/>
      <c r="L373" s="264"/>
      <c r="M373" s="264"/>
      <c r="N373" s="264"/>
      <c r="O373" s="266"/>
      <c r="P373" s="264"/>
      <c r="Q373" s="264"/>
      <c r="R373" s="264"/>
      <c r="S373" s="264"/>
      <c r="T373" s="266"/>
      <c r="U373" s="264"/>
      <c r="V373" s="264"/>
      <c r="W373" s="264"/>
      <c r="X373" s="264"/>
      <c r="Y373" s="266"/>
      <c r="Z373" s="264"/>
      <c r="AA373" s="264"/>
      <c r="AB373" s="264"/>
      <c r="AC373" s="264"/>
      <c r="AD373" s="1000"/>
      <c r="AE373" s="264"/>
      <c r="AF373" s="264"/>
      <c r="AG373" s="264"/>
      <c r="AH373" s="264"/>
      <c r="AI373" s="1000"/>
      <c r="AJ373" s="264"/>
      <c r="AK373" s="264"/>
      <c r="AL373" s="264"/>
      <c r="AM373" s="264"/>
      <c r="AN373" s="1000"/>
      <c r="AO373" s="1000"/>
      <c r="AP373" s="1000"/>
      <c r="AQ373" s="1000"/>
      <c r="AR373" s="1000"/>
      <c r="AS373" s="266"/>
      <c r="AT373" s="266"/>
      <c r="AU373" s="266"/>
      <c r="AV373" s="266"/>
      <c r="AW373" s="266"/>
      <c r="AX373" s="264">
        <v>5.29</v>
      </c>
      <c r="AY373" s="266"/>
      <c r="AZ373" s="266"/>
      <c r="BA373" s="266"/>
      <c r="BB373" s="266"/>
      <c r="BC373" s="266"/>
      <c r="BD373" s="266"/>
      <c r="BE373" s="266"/>
      <c r="BF373" s="266"/>
      <c r="BG373" s="266"/>
      <c r="BH373" s="266"/>
      <c r="BI373" s="1000"/>
      <c r="BJ373" s="1000"/>
      <c r="BK373" s="1000"/>
      <c r="BL373" s="1000"/>
      <c r="BM373" s="1000"/>
      <c r="BN373" s="265"/>
      <c r="BO373" s="265"/>
      <c r="BP373" s="265"/>
      <c r="BQ373" s="265"/>
      <c r="BR373" s="265"/>
      <c r="BS373" s="265"/>
      <c r="BT373" s="265"/>
      <c r="BU373" s="265"/>
      <c r="BV373" s="265"/>
      <c r="BW373" s="265"/>
      <c r="BX373" s="265"/>
      <c r="BY373" s="265"/>
      <c r="BZ373" s="265"/>
      <c r="CA373" s="265"/>
      <c r="CB373" s="265"/>
      <c r="CC373" s="265"/>
      <c r="CD373" s="265"/>
      <c r="CE373" s="265"/>
      <c r="CF373" s="265"/>
      <c r="CG373" s="265"/>
      <c r="CH373" s="265"/>
      <c r="CI373" s="265"/>
      <c r="CJ373" s="265"/>
      <c r="CK373" s="265"/>
      <c r="CL373" s="265"/>
      <c r="CM373" s="265"/>
      <c r="CN373" s="265"/>
      <c r="CO373" s="265"/>
      <c r="CP373" s="265"/>
      <c r="CQ373" s="265"/>
      <c r="CR373" s="265"/>
      <c r="CS373" s="265"/>
      <c r="CT373" s="265"/>
      <c r="CU373" s="265"/>
      <c r="CV373" s="265"/>
      <c r="CW373" s="265"/>
      <c r="CX373" s="265"/>
      <c r="CY373" s="265"/>
      <c r="CZ373" s="268"/>
    </row>
    <row r="374" spans="1:104" hidden="1" outlineLevel="1">
      <c r="A374" s="264"/>
      <c r="B374" s="264" t="s">
        <v>676</v>
      </c>
      <c r="C374" s="268"/>
      <c r="D374" s="264"/>
      <c r="E374" s="264"/>
      <c r="F374" s="264"/>
      <c r="G374" s="264"/>
      <c r="H374" s="264"/>
      <c r="I374" s="264"/>
      <c r="J374" s="266"/>
      <c r="K374" s="264"/>
      <c r="L374" s="264"/>
      <c r="M374" s="264"/>
      <c r="N374" s="264"/>
      <c r="O374" s="266"/>
      <c r="P374" s="264"/>
      <c r="Q374" s="264"/>
      <c r="R374" s="264"/>
      <c r="S374" s="264"/>
      <c r="T374" s="266"/>
      <c r="U374" s="264"/>
      <c r="V374" s="264"/>
      <c r="W374" s="264"/>
      <c r="X374" s="264"/>
      <c r="Y374" s="266"/>
      <c r="Z374" s="264"/>
      <c r="AA374" s="264"/>
      <c r="AB374" s="264"/>
      <c r="AC374" s="264"/>
      <c r="AD374" s="1000"/>
      <c r="AE374" s="264"/>
      <c r="AF374" s="264"/>
      <c r="AG374" s="264"/>
      <c r="AH374" s="264"/>
      <c r="AI374" s="1000"/>
      <c r="AJ374" s="264"/>
      <c r="AK374" s="264"/>
      <c r="AL374" s="264"/>
      <c r="AM374" s="264"/>
      <c r="AN374" s="1000"/>
      <c r="AO374" s="1000"/>
      <c r="AP374" s="1000"/>
      <c r="AQ374" s="1000"/>
      <c r="AR374" s="1000"/>
      <c r="AS374" s="266"/>
      <c r="AT374" s="266"/>
      <c r="AU374" s="266"/>
      <c r="AV374" s="266"/>
      <c r="AW374" s="266"/>
      <c r="AX374" s="264">
        <v>5.1100000000000003</v>
      </c>
      <c r="AY374" s="266"/>
      <c r="AZ374" s="266"/>
      <c r="BA374" s="266"/>
      <c r="BB374" s="266"/>
      <c r="BC374" s="266"/>
      <c r="BD374" s="266"/>
      <c r="BE374" s="266"/>
      <c r="BF374" s="266"/>
      <c r="BG374" s="266"/>
      <c r="BH374" s="266"/>
      <c r="BI374" s="1000"/>
      <c r="BJ374" s="1000"/>
      <c r="BK374" s="1000"/>
      <c r="BL374" s="1000"/>
      <c r="BM374" s="1000"/>
      <c r="BN374" s="265"/>
      <c r="BO374" s="265"/>
      <c r="BP374" s="265"/>
      <c r="BQ374" s="265"/>
      <c r="BR374" s="265"/>
      <c r="BS374" s="265"/>
      <c r="BT374" s="265"/>
      <c r="BU374" s="265"/>
      <c r="BV374" s="265"/>
      <c r="BW374" s="265"/>
      <c r="BX374" s="265"/>
      <c r="BY374" s="265"/>
      <c r="BZ374" s="265"/>
      <c r="CA374" s="265"/>
      <c r="CB374" s="265"/>
      <c r="CC374" s="265"/>
      <c r="CD374" s="265"/>
      <c r="CE374" s="265"/>
      <c r="CF374" s="265"/>
      <c r="CG374" s="265"/>
      <c r="CH374" s="265"/>
      <c r="CI374" s="265"/>
      <c r="CJ374" s="265"/>
      <c r="CK374" s="265"/>
      <c r="CL374" s="265"/>
      <c r="CM374" s="265"/>
      <c r="CN374" s="265"/>
      <c r="CO374" s="265"/>
      <c r="CP374" s="265"/>
      <c r="CQ374" s="265"/>
      <c r="CR374" s="265"/>
      <c r="CS374" s="265"/>
      <c r="CT374" s="265"/>
      <c r="CU374" s="265"/>
      <c r="CV374" s="265"/>
      <c r="CW374" s="265"/>
      <c r="CX374" s="265"/>
      <c r="CY374" s="265"/>
      <c r="CZ374" s="268"/>
    </row>
    <row r="375" spans="1:104" hidden="1" outlineLevel="1">
      <c r="A375" s="264"/>
      <c r="B375" s="264" t="s">
        <v>675</v>
      </c>
      <c r="C375" s="268"/>
      <c r="D375" s="264"/>
      <c r="E375" s="264"/>
      <c r="F375" s="264"/>
      <c r="G375" s="264"/>
      <c r="H375" s="264"/>
      <c r="I375" s="264"/>
      <c r="J375" s="266"/>
      <c r="K375" s="264"/>
      <c r="L375" s="264"/>
      <c r="M375" s="264"/>
      <c r="N375" s="264"/>
      <c r="O375" s="266"/>
      <c r="P375" s="264"/>
      <c r="Q375" s="264"/>
      <c r="R375" s="264"/>
      <c r="S375" s="264"/>
      <c r="T375" s="266"/>
      <c r="U375" s="264"/>
      <c r="V375" s="264"/>
      <c r="W375" s="264"/>
      <c r="X375" s="264"/>
      <c r="Y375" s="266"/>
      <c r="Z375" s="264"/>
      <c r="AA375" s="264"/>
      <c r="AB375" s="264"/>
      <c r="AC375" s="264"/>
      <c r="AD375" s="1000"/>
      <c r="AE375" s="264"/>
      <c r="AF375" s="264"/>
      <c r="AG375" s="264"/>
      <c r="AH375" s="264"/>
      <c r="AI375" s="1000"/>
      <c r="AJ375" s="264"/>
      <c r="AK375" s="264"/>
      <c r="AL375" s="264"/>
      <c r="AM375" s="264"/>
      <c r="AN375" s="1000"/>
      <c r="AO375" s="1000"/>
      <c r="AP375" s="1000"/>
      <c r="AQ375" s="1000"/>
      <c r="AR375" s="1000"/>
      <c r="AS375" s="266"/>
      <c r="AT375" s="266"/>
      <c r="AU375" s="266"/>
      <c r="AV375" s="266"/>
      <c r="AW375" s="266"/>
      <c r="AX375" s="264">
        <v>3.5</v>
      </c>
      <c r="AY375" s="266"/>
      <c r="AZ375" s="266"/>
      <c r="BA375" s="266"/>
      <c r="BB375" s="266"/>
      <c r="BC375" s="266"/>
      <c r="BD375" s="266"/>
      <c r="BE375" s="266"/>
      <c r="BF375" s="266"/>
      <c r="BG375" s="266"/>
      <c r="BH375" s="266"/>
      <c r="BI375" s="1000"/>
      <c r="BJ375" s="1000"/>
      <c r="BK375" s="1000"/>
      <c r="BL375" s="1000"/>
      <c r="BM375" s="1000"/>
      <c r="BN375" s="265"/>
      <c r="BO375" s="265"/>
      <c r="BP375" s="265"/>
      <c r="BQ375" s="265"/>
      <c r="BR375" s="265"/>
      <c r="BS375" s="265"/>
      <c r="BT375" s="265"/>
      <c r="BU375" s="265"/>
      <c r="BV375" s="265"/>
      <c r="BW375" s="265"/>
      <c r="BX375" s="265"/>
      <c r="BY375" s="265"/>
      <c r="BZ375" s="265"/>
      <c r="CA375" s="265"/>
      <c r="CB375" s="265"/>
      <c r="CC375" s="265"/>
      <c r="CD375" s="265"/>
      <c r="CE375" s="265"/>
      <c r="CF375" s="265"/>
      <c r="CG375" s="265"/>
      <c r="CH375" s="265"/>
      <c r="CI375" s="265"/>
      <c r="CJ375" s="265"/>
      <c r="CK375" s="265"/>
      <c r="CL375" s="265"/>
      <c r="CM375" s="265"/>
      <c r="CN375" s="265"/>
      <c r="CO375" s="265"/>
      <c r="CP375" s="265"/>
      <c r="CQ375" s="265"/>
      <c r="CR375" s="265"/>
      <c r="CS375" s="265"/>
      <c r="CT375" s="265"/>
      <c r="CU375" s="265"/>
      <c r="CV375" s="265"/>
      <c r="CW375" s="265"/>
      <c r="CX375" s="265"/>
      <c r="CY375" s="265"/>
      <c r="CZ375" s="268"/>
    </row>
    <row r="376" spans="1:104" hidden="1" outlineLevel="1">
      <c r="A376" s="264"/>
      <c r="B376" s="264" t="s">
        <v>674</v>
      </c>
      <c r="C376" s="268"/>
      <c r="D376" s="264"/>
      <c r="E376" s="264"/>
      <c r="F376" s="264"/>
      <c r="G376" s="264"/>
      <c r="H376" s="264"/>
      <c r="I376" s="264"/>
      <c r="J376" s="266"/>
      <c r="K376" s="264"/>
      <c r="L376" s="264"/>
      <c r="M376" s="264"/>
      <c r="N376" s="264"/>
      <c r="O376" s="266"/>
      <c r="P376" s="264"/>
      <c r="Q376" s="264"/>
      <c r="R376" s="264"/>
      <c r="S376" s="264"/>
      <c r="T376" s="266"/>
      <c r="U376" s="264"/>
      <c r="V376" s="264"/>
      <c r="W376" s="264"/>
      <c r="X376" s="264"/>
      <c r="Y376" s="266"/>
      <c r="Z376" s="264"/>
      <c r="AA376" s="264"/>
      <c r="AB376" s="264"/>
      <c r="AC376" s="264"/>
      <c r="AD376" s="1000"/>
      <c r="AE376" s="264"/>
      <c r="AF376" s="264"/>
      <c r="AG376" s="264"/>
      <c r="AH376" s="264"/>
      <c r="AI376" s="1000"/>
      <c r="AJ376" s="264"/>
      <c r="AK376" s="264"/>
      <c r="AL376" s="264"/>
      <c r="AM376" s="264"/>
      <c r="AN376" s="1000"/>
      <c r="AO376" s="1000"/>
      <c r="AP376" s="1000"/>
      <c r="AQ376" s="1000"/>
      <c r="AR376" s="1000"/>
      <c r="AS376" s="266"/>
      <c r="AT376" s="266"/>
      <c r="AU376" s="266"/>
      <c r="AV376" s="266"/>
      <c r="AW376" s="266"/>
      <c r="AX376" s="264">
        <v>1.33</v>
      </c>
      <c r="AY376" s="266"/>
      <c r="AZ376" s="266"/>
      <c r="BA376" s="266"/>
      <c r="BB376" s="266"/>
      <c r="BC376" s="266"/>
      <c r="BD376" s="266"/>
      <c r="BE376" s="266"/>
      <c r="BF376" s="266"/>
      <c r="BG376" s="266"/>
      <c r="BH376" s="266"/>
      <c r="BI376" s="1000"/>
      <c r="BJ376" s="1000"/>
      <c r="BK376" s="1000"/>
      <c r="BL376" s="1000"/>
      <c r="BM376" s="1000"/>
      <c r="BN376" s="265"/>
      <c r="BO376" s="265"/>
      <c r="BP376" s="265"/>
      <c r="BQ376" s="265"/>
      <c r="BR376" s="265"/>
      <c r="BS376" s="265"/>
      <c r="BT376" s="265"/>
      <c r="BU376" s="265"/>
      <c r="BV376" s="265"/>
      <c r="BW376" s="265"/>
      <c r="BX376" s="265"/>
      <c r="BY376" s="265"/>
      <c r="BZ376" s="265"/>
      <c r="CA376" s="265"/>
      <c r="CB376" s="265"/>
      <c r="CC376" s="265"/>
      <c r="CD376" s="265"/>
      <c r="CE376" s="265"/>
      <c r="CF376" s="265"/>
      <c r="CG376" s="265"/>
      <c r="CH376" s="265"/>
      <c r="CI376" s="265"/>
      <c r="CJ376" s="265"/>
      <c r="CK376" s="265"/>
      <c r="CL376" s="265"/>
      <c r="CM376" s="265"/>
      <c r="CN376" s="265"/>
      <c r="CO376" s="265"/>
      <c r="CP376" s="265"/>
      <c r="CQ376" s="265"/>
      <c r="CR376" s="265"/>
      <c r="CS376" s="265"/>
      <c r="CT376" s="265"/>
      <c r="CU376" s="265"/>
      <c r="CV376" s="265"/>
      <c r="CW376" s="265"/>
      <c r="CX376" s="265"/>
      <c r="CY376" s="265"/>
      <c r="CZ376" s="268"/>
    </row>
    <row r="377" spans="1:104" hidden="1" outlineLevel="1">
      <c r="A377" s="264"/>
      <c r="B377" s="264" t="s">
        <v>673</v>
      </c>
      <c r="C377" s="268"/>
      <c r="D377" s="264"/>
      <c r="E377" s="264"/>
      <c r="F377" s="264"/>
      <c r="G377" s="264"/>
      <c r="H377" s="264"/>
      <c r="I377" s="264"/>
      <c r="J377" s="266"/>
      <c r="K377" s="264"/>
      <c r="L377" s="264"/>
      <c r="M377" s="264"/>
      <c r="N377" s="264"/>
      <c r="O377" s="266"/>
      <c r="P377" s="264"/>
      <c r="Q377" s="264"/>
      <c r="R377" s="264"/>
      <c r="S377" s="264"/>
      <c r="T377" s="266"/>
      <c r="U377" s="264"/>
      <c r="V377" s="264"/>
      <c r="W377" s="264"/>
      <c r="X377" s="264"/>
      <c r="Y377" s="266"/>
      <c r="Z377" s="264"/>
      <c r="AA377" s="264"/>
      <c r="AB377" s="264"/>
      <c r="AC377" s="264"/>
      <c r="AD377" s="1000"/>
      <c r="AE377" s="264"/>
      <c r="AF377" s="264"/>
      <c r="AG377" s="264"/>
      <c r="AH377" s="264"/>
      <c r="AI377" s="1000"/>
      <c r="AJ377" s="264"/>
      <c r="AK377" s="264"/>
      <c r="AL377" s="264"/>
      <c r="AM377" s="264"/>
      <c r="AN377" s="1000"/>
      <c r="AO377" s="1000"/>
      <c r="AP377" s="1000"/>
      <c r="AQ377" s="1000"/>
      <c r="AR377" s="1000"/>
      <c r="AS377" s="266"/>
      <c r="AT377" s="266"/>
      <c r="AU377" s="266"/>
      <c r="AV377" s="266"/>
      <c r="AW377" s="266"/>
      <c r="AX377" s="264">
        <v>4.47</v>
      </c>
      <c r="AY377" s="266"/>
      <c r="AZ377" s="266"/>
      <c r="BA377" s="266"/>
      <c r="BB377" s="266"/>
      <c r="BC377" s="266"/>
      <c r="BD377" s="266"/>
      <c r="BE377" s="266"/>
      <c r="BF377" s="266"/>
      <c r="BG377" s="266"/>
      <c r="BH377" s="266"/>
      <c r="BI377" s="1000"/>
      <c r="BJ377" s="1000"/>
      <c r="BK377" s="1000"/>
      <c r="BL377" s="1000"/>
      <c r="BM377" s="1000"/>
      <c r="BN377" s="265"/>
      <c r="BO377" s="265"/>
      <c r="BP377" s="265"/>
      <c r="BQ377" s="265"/>
      <c r="BR377" s="265"/>
      <c r="BS377" s="265"/>
      <c r="BT377" s="265"/>
      <c r="BU377" s="265"/>
      <c r="BV377" s="265"/>
      <c r="BW377" s="265"/>
      <c r="BX377" s="265"/>
      <c r="BY377" s="265"/>
      <c r="BZ377" s="265"/>
      <c r="CA377" s="265"/>
      <c r="CB377" s="265"/>
      <c r="CC377" s="265"/>
      <c r="CD377" s="265"/>
      <c r="CE377" s="265"/>
      <c r="CF377" s="265"/>
      <c r="CG377" s="265"/>
      <c r="CH377" s="265"/>
      <c r="CI377" s="265"/>
      <c r="CJ377" s="265"/>
      <c r="CK377" s="265"/>
      <c r="CL377" s="265"/>
      <c r="CM377" s="265"/>
      <c r="CN377" s="265"/>
      <c r="CO377" s="265"/>
      <c r="CP377" s="265"/>
      <c r="CQ377" s="265"/>
      <c r="CR377" s="265"/>
      <c r="CS377" s="265"/>
      <c r="CT377" s="265"/>
      <c r="CU377" s="265"/>
      <c r="CV377" s="265"/>
      <c r="CW377" s="265"/>
      <c r="CX377" s="265"/>
      <c r="CY377" s="265"/>
      <c r="CZ377" s="268"/>
    </row>
    <row r="378" spans="1:104" hidden="1" outlineLevel="1">
      <c r="A378" s="264"/>
      <c r="B378" s="264" t="s">
        <v>672</v>
      </c>
      <c r="C378" s="268"/>
      <c r="D378" s="264"/>
      <c r="E378" s="264"/>
      <c r="F378" s="264"/>
      <c r="G378" s="264"/>
      <c r="H378" s="264"/>
      <c r="I378" s="264"/>
      <c r="J378" s="266"/>
      <c r="K378" s="264"/>
      <c r="L378" s="264"/>
      <c r="M378" s="264"/>
      <c r="N378" s="264"/>
      <c r="O378" s="266"/>
      <c r="P378" s="264"/>
      <c r="Q378" s="264"/>
      <c r="R378" s="264"/>
      <c r="S378" s="264"/>
      <c r="T378" s="266"/>
      <c r="U378" s="264"/>
      <c r="V378" s="264"/>
      <c r="W378" s="264"/>
      <c r="X378" s="264"/>
      <c r="Y378" s="266"/>
      <c r="Z378" s="264"/>
      <c r="AA378" s="264"/>
      <c r="AB378" s="264"/>
      <c r="AC378" s="264"/>
      <c r="AD378" s="1000"/>
      <c r="AE378" s="264"/>
      <c r="AF378" s="264"/>
      <c r="AG378" s="264"/>
      <c r="AH378" s="264"/>
      <c r="AI378" s="1000"/>
      <c r="AJ378" s="264"/>
      <c r="AK378" s="264"/>
      <c r="AL378" s="264"/>
      <c r="AM378" s="264"/>
      <c r="AN378" s="1000"/>
      <c r="AO378" s="1000"/>
      <c r="AP378" s="1000"/>
      <c r="AQ378" s="1000"/>
      <c r="AR378" s="1000"/>
      <c r="AS378" s="266"/>
      <c r="AT378" s="266"/>
      <c r="AU378" s="266"/>
      <c r="AV378" s="266"/>
      <c r="AW378" s="266"/>
      <c r="AX378" s="264">
        <v>4.5</v>
      </c>
      <c r="AY378" s="266"/>
      <c r="AZ378" s="266"/>
      <c r="BA378" s="266"/>
      <c r="BB378" s="266"/>
      <c r="BC378" s="266"/>
      <c r="BD378" s="266"/>
      <c r="BE378" s="266"/>
      <c r="BF378" s="266"/>
      <c r="BG378" s="266"/>
      <c r="BH378" s="266"/>
      <c r="BI378" s="1000"/>
      <c r="BJ378" s="1000"/>
      <c r="BK378" s="1000"/>
      <c r="BL378" s="1000"/>
      <c r="BM378" s="1000"/>
      <c r="BN378" s="265"/>
      <c r="BO378" s="265"/>
      <c r="BP378" s="265"/>
      <c r="BQ378" s="265"/>
      <c r="BR378" s="265"/>
      <c r="BS378" s="265"/>
      <c r="BT378" s="265"/>
      <c r="BU378" s="265"/>
      <c r="BV378" s="265"/>
      <c r="BW378" s="265"/>
      <c r="BX378" s="265"/>
      <c r="BY378" s="265"/>
      <c r="BZ378" s="265"/>
      <c r="CA378" s="265"/>
      <c r="CB378" s="265"/>
      <c r="CC378" s="265"/>
      <c r="CD378" s="265"/>
      <c r="CE378" s="265"/>
      <c r="CF378" s="265"/>
      <c r="CG378" s="265"/>
      <c r="CH378" s="265"/>
      <c r="CI378" s="265"/>
      <c r="CJ378" s="265"/>
      <c r="CK378" s="265"/>
      <c r="CL378" s="265"/>
      <c r="CM378" s="265"/>
      <c r="CN378" s="265"/>
      <c r="CO378" s="265"/>
      <c r="CP378" s="265"/>
      <c r="CQ378" s="265"/>
      <c r="CR378" s="265"/>
      <c r="CS378" s="265"/>
      <c r="CT378" s="265"/>
      <c r="CU378" s="265"/>
      <c r="CV378" s="265"/>
      <c r="CW378" s="265"/>
      <c r="CX378" s="265"/>
      <c r="CY378" s="265"/>
      <c r="CZ378" s="268"/>
    </row>
    <row r="379" spans="1:104" hidden="1" outlineLevel="1">
      <c r="A379" s="264"/>
      <c r="B379" s="264" t="s">
        <v>671</v>
      </c>
      <c r="C379" s="268"/>
      <c r="D379" s="264"/>
      <c r="E379" s="264"/>
      <c r="F379" s="264"/>
      <c r="G379" s="264"/>
      <c r="H379" s="264"/>
      <c r="I379" s="264"/>
      <c r="J379" s="266"/>
      <c r="K379" s="264"/>
      <c r="L379" s="264"/>
      <c r="M379" s="264"/>
      <c r="N379" s="264"/>
      <c r="O379" s="266"/>
      <c r="P379" s="264"/>
      <c r="Q379" s="264"/>
      <c r="R379" s="264"/>
      <c r="S379" s="264"/>
      <c r="T379" s="266"/>
      <c r="U379" s="264"/>
      <c r="V379" s="264"/>
      <c r="W379" s="264"/>
      <c r="X379" s="264"/>
      <c r="Y379" s="266"/>
      <c r="Z379" s="264"/>
      <c r="AA379" s="264"/>
      <c r="AB379" s="264"/>
      <c r="AC379" s="264"/>
      <c r="AD379" s="1000"/>
      <c r="AE379" s="264"/>
      <c r="AF379" s="264"/>
      <c r="AG379" s="264"/>
      <c r="AH379" s="264"/>
      <c r="AI379" s="1000"/>
      <c r="AJ379" s="264"/>
      <c r="AK379" s="264"/>
      <c r="AL379" s="264"/>
      <c r="AM379" s="264"/>
      <c r="AN379" s="1000"/>
      <c r="AO379" s="1000"/>
      <c r="AP379" s="1000"/>
      <c r="AQ379" s="1000"/>
      <c r="AR379" s="1000"/>
      <c r="AS379" s="266"/>
      <c r="AT379" s="266"/>
      <c r="AU379" s="266"/>
      <c r="AV379" s="266"/>
      <c r="AW379" s="266"/>
      <c r="AX379" s="264">
        <v>8.25</v>
      </c>
      <c r="AY379" s="266"/>
      <c r="AZ379" s="266"/>
      <c r="BA379" s="266"/>
      <c r="BB379" s="266"/>
      <c r="BC379" s="266"/>
      <c r="BD379" s="266"/>
      <c r="BE379" s="266"/>
      <c r="BF379" s="266"/>
      <c r="BG379" s="266"/>
      <c r="BH379" s="266"/>
      <c r="BI379" s="1000"/>
      <c r="BJ379" s="1000"/>
      <c r="BK379" s="1000"/>
      <c r="BL379" s="1000"/>
      <c r="BM379" s="1000"/>
      <c r="BN379" s="265"/>
      <c r="BO379" s="265"/>
      <c r="BP379" s="265"/>
      <c r="BQ379" s="265"/>
      <c r="BR379" s="265"/>
      <c r="BS379" s="265"/>
      <c r="BT379" s="265"/>
      <c r="BU379" s="265"/>
      <c r="BV379" s="265"/>
      <c r="BW379" s="265"/>
      <c r="BX379" s="265"/>
      <c r="BY379" s="265"/>
      <c r="BZ379" s="265"/>
      <c r="CA379" s="265"/>
      <c r="CB379" s="265"/>
      <c r="CC379" s="265"/>
      <c r="CD379" s="265"/>
      <c r="CE379" s="265"/>
      <c r="CF379" s="265"/>
      <c r="CG379" s="265"/>
      <c r="CH379" s="265"/>
      <c r="CI379" s="265"/>
      <c r="CJ379" s="265"/>
      <c r="CK379" s="265"/>
      <c r="CL379" s="265"/>
      <c r="CM379" s="265"/>
      <c r="CN379" s="265"/>
      <c r="CO379" s="265"/>
      <c r="CP379" s="265"/>
      <c r="CQ379" s="265"/>
      <c r="CR379" s="265"/>
      <c r="CS379" s="265"/>
      <c r="CT379" s="265"/>
      <c r="CU379" s="265"/>
      <c r="CV379" s="265"/>
      <c r="CW379" s="265"/>
      <c r="CX379" s="265"/>
      <c r="CY379" s="265"/>
      <c r="CZ379" s="268"/>
    </row>
    <row r="380" spans="1:104" hidden="1" outlineLevel="1">
      <c r="A380" s="264"/>
      <c r="B380" s="264"/>
      <c r="C380" s="268"/>
      <c r="D380" s="264"/>
      <c r="E380" s="264"/>
      <c r="F380" s="264"/>
      <c r="G380" s="264"/>
      <c r="H380" s="264"/>
      <c r="I380" s="264"/>
      <c r="J380" s="266"/>
      <c r="K380" s="264"/>
      <c r="L380" s="264"/>
      <c r="M380" s="264"/>
      <c r="N380" s="264"/>
      <c r="O380" s="266"/>
      <c r="P380" s="264"/>
      <c r="Q380" s="264"/>
      <c r="R380" s="264"/>
      <c r="S380" s="264"/>
      <c r="T380" s="266"/>
      <c r="U380" s="264"/>
      <c r="V380" s="264"/>
      <c r="W380" s="264"/>
      <c r="X380" s="264"/>
      <c r="Y380" s="266"/>
      <c r="Z380" s="264"/>
      <c r="AA380" s="264"/>
      <c r="AB380" s="264"/>
      <c r="AC380" s="264"/>
      <c r="AD380" s="1000"/>
      <c r="AE380" s="264"/>
      <c r="AF380" s="264"/>
      <c r="AG380" s="264"/>
      <c r="AH380" s="264"/>
      <c r="AI380" s="1000"/>
      <c r="AJ380" s="264"/>
      <c r="AK380" s="264"/>
      <c r="AL380" s="264"/>
      <c r="AM380" s="264"/>
      <c r="AN380" s="1000"/>
      <c r="AO380" s="1000"/>
      <c r="AP380" s="1000"/>
      <c r="AQ380" s="1000"/>
      <c r="AR380" s="1000"/>
      <c r="AS380" s="266"/>
      <c r="AT380" s="266"/>
      <c r="AU380" s="266"/>
      <c r="AV380" s="266"/>
      <c r="AW380" s="266"/>
      <c r="AX380" s="264"/>
      <c r="AY380" s="266"/>
      <c r="AZ380" s="266"/>
      <c r="BA380" s="266"/>
      <c r="BB380" s="266"/>
      <c r="BC380" s="266"/>
      <c r="BD380" s="266"/>
      <c r="BE380" s="266"/>
      <c r="BF380" s="266"/>
      <c r="BG380" s="266"/>
      <c r="BH380" s="266"/>
      <c r="BI380" s="1000"/>
      <c r="BJ380" s="1000"/>
      <c r="BK380" s="1000"/>
      <c r="BL380" s="1000"/>
      <c r="BM380" s="1000"/>
      <c r="BN380" s="265"/>
      <c r="BO380" s="265"/>
      <c r="BP380" s="265"/>
      <c r="BQ380" s="265"/>
      <c r="BR380" s="265"/>
      <c r="BS380" s="265"/>
      <c r="BT380" s="265"/>
      <c r="BU380" s="265"/>
      <c r="BV380" s="265"/>
      <c r="BW380" s="265"/>
      <c r="BX380" s="265"/>
      <c r="BY380" s="265"/>
      <c r="BZ380" s="265"/>
      <c r="CA380" s="265"/>
      <c r="CB380" s="265"/>
      <c r="CC380" s="265"/>
      <c r="CD380" s="265"/>
      <c r="CE380" s="265"/>
      <c r="CF380" s="265"/>
      <c r="CG380" s="265"/>
      <c r="CH380" s="265"/>
      <c r="CI380" s="265"/>
      <c r="CJ380" s="265"/>
      <c r="CK380" s="265"/>
      <c r="CL380" s="265"/>
      <c r="CM380" s="265"/>
      <c r="CN380" s="265"/>
      <c r="CO380" s="265"/>
      <c r="CP380" s="265"/>
      <c r="CQ380" s="265"/>
      <c r="CR380" s="265"/>
      <c r="CS380" s="265"/>
      <c r="CT380" s="265"/>
      <c r="CU380" s="265"/>
      <c r="CV380" s="265"/>
      <c r="CW380" s="265"/>
      <c r="CX380" s="265"/>
      <c r="CY380" s="265"/>
      <c r="CZ380" s="268"/>
    </row>
    <row r="381" spans="1:104" hidden="1" outlineLevel="1">
      <c r="A381" s="264"/>
      <c r="B381" s="266" t="s">
        <v>679</v>
      </c>
      <c r="C381" s="268"/>
      <c r="D381" s="264"/>
      <c r="E381" s="264"/>
      <c r="F381" s="264"/>
      <c r="G381" s="264"/>
      <c r="H381" s="264"/>
      <c r="I381" s="264"/>
      <c r="J381" s="266"/>
      <c r="K381" s="264"/>
      <c r="L381" s="264"/>
      <c r="M381" s="264"/>
      <c r="N381" s="264"/>
      <c r="O381" s="266"/>
      <c r="P381" s="264"/>
      <c r="Q381" s="264"/>
      <c r="R381" s="264"/>
      <c r="S381" s="264"/>
      <c r="T381" s="266"/>
      <c r="U381" s="264"/>
      <c r="V381" s="264"/>
      <c r="W381" s="264"/>
      <c r="X381" s="264"/>
      <c r="Y381" s="266"/>
      <c r="Z381" s="264"/>
      <c r="AA381" s="264"/>
      <c r="AB381" s="264"/>
      <c r="AC381" s="264"/>
      <c r="AD381" s="1000"/>
      <c r="AE381" s="264"/>
      <c r="AF381" s="264"/>
      <c r="AG381" s="264"/>
      <c r="AH381" s="264"/>
      <c r="AI381" s="1000"/>
      <c r="AJ381" s="264"/>
      <c r="AK381" s="264"/>
      <c r="AL381" s="264"/>
      <c r="AM381" s="264"/>
      <c r="AN381" s="1000"/>
      <c r="AO381" s="1000"/>
      <c r="AP381" s="1000"/>
      <c r="AQ381" s="1000"/>
      <c r="AR381" s="1000"/>
      <c r="AS381" s="266"/>
      <c r="AT381" s="266"/>
      <c r="AU381" s="266"/>
      <c r="AV381" s="266"/>
      <c r="AW381" s="266"/>
      <c r="AX381" s="264"/>
      <c r="AY381" s="266"/>
      <c r="AZ381" s="266"/>
      <c r="BA381" s="266"/>
      <c r="BB381" s="266"/>
      <c r="BC381" s="266"/>
      <c r="BD381" s="266"/>
      <c r="BE381" s="266"/>
      <c r="BF381" s="266"/>
      <c r="BG381" s="266"/>
      <c r="BH381" s="266"/>
      <c r="BI381" s="1000"/>
      <c r="BJ381" s="1000"/>
      <c r="BK381" s="1000"/>
      <c r="BL381" s="1000"/>
      <c r="BM381" s="1000"/>
      <c r="BN381" s="265"/>
      <c r="BO381" s="265"/>
      <c r="BP381" s="265"/>
      <c r="BQ381" s="265"/>
      <c r="BR381" s="265"/>
      <c r="BS381" s="265"/>
      <c r="BT381" s="265"/>
      <c r="BU381" s="265"/>
      <c r="BV381" s="265"/>
      <c r="BW381" s="265"/>
      <c r="BX381" s="265"/>
      <c r="BY381" s="265"/>
      <c r="BZ381" s="265"/>
      <c r="CA381" s="265"/>
      <c r="CB381" s="265"/>
      <c r="CC381" s="265"/>
      <c r="CD381" s="265"/>
      <c r="CE381" s="265"/>
      <c r="CF381" s="265"/>
      <c r="CG381" s="265"/>
      <c r="CH381" s="265"/>
      <c r="CI381" s="265"/>
      <c r="CJ381" s="265"/>
      <c r="CK381" s="265"/>
      <c r="CL381" s="265"/>
      <c r="CM381" s="265"/>
      <c r="CN381" s="265"/>
      <c r="CO381" s="265"/>
      <c r="CP381" s="265"/>
      <c r="CQ381" s="265"/>
      <c r="CR381" s="265"/>
      <c r="CS381" s="265"/>
      <c r="CT381" s="265"/>
      <c r="CU381" s="265"/>
      <c r="CV381" s="265"/>
      <c r="CW381" s="265"/>
      <c r="CX381" s="265"/>
      <c r="CY381" s="265"/>
      <c r="CZ381" s="268"/>
    </row>
    <row r="382" spans="1:104" hidden="1" outlineLevel="1">
      <c r="A382" s="264"/>
      <c r="B382" s="264" t="s">
        <v>167</v>
      </c>
      <c r="C382" s="268"/>
      <c r="D382" s="264"/>
      <c r="E382" s="264"/>
      <c r="F382" s="264"/>
      <c r="G382" s="264"/>
      <c r="H382" s="264"/>
      <c r="I382" s="264"/>
      <c r="J382" s="266"/>
      <c r="K382" s="264"/>
      <c r="L382" s="264"/>
      <c r="M382" s="264"/>
      <c r="N382" s="264"/>
      <c r="O382" s="266"/>
      <c r="P382" s="264"/>
      <c r="Q382" s="264"/>
      <c r="R382" s="264"/>
      <c r="S382" s="264"/>
      <c r="T382" s="266"/>
      <c r="U382" s="264"/>
      <c r="V382" s="264"/>
      <c r="W382" s="264"/>
      <c r="X382" s="264"/>
      <c r="Y382" s="266"/>
      <c r="Z382" s="264"/>
      <c r="AA382" s="264"/>
      <c r="AB382" s="264"/>
      <c r="AC382" s="264"/>
      <c r="AD382" s="1000"/>
      <c r="AE382" s="264"/>
      <c r="AF382" s="264"/>
      <c r="AG382" s="264"/>
      <c r="AH382" s="264"/>
      <c r="AI382" s="1000"/>
      <c r="AJ382" s="264"/>
      <c r="AK382" s="264"/>
      <c r="AL382" s="264"/>
      <c r="AM382" s="264"/>
      <c r="AN382" s="1000"/>
      <c r="AO382" s="1000"/>
      <c r="AP382" s="1000"/>
      <c r="AQ382" s="1000"/>
      <c r="AR382" s="1000"/>
      <c r="AS382" s="266"/>
      <c r="AT382" s="266"/>
      <c r="AU382" s="266"/>
      <c r="AV382" s="266"/>
      <c r="AW382" s="266"/>
      <c r="AX382" s="264">
        <v>8.09</v>
      </c>
      <c r="AY382" s="266"/>
      <c r="AZ382" s="266"/>
      <c r="BA382" s="266"/>
      <c r="BB382" s="266"/>
      <c r="BC382" s="266"/>
      <c r="BD382" s="266"/>
      <c r="BE382" s="266"/>
      <c r="BF382" s="266"/>
      <c r="BG382" s="266"/>
      <c r="BH382" s="266"/>
      <c r="BI382" s="1000"/>
      <c r="BJ382" s="1000"/>
      <c r="BK382" s="1000"/>
      <c r="BL382" s="1000"/>
      <c r="BM382" s="1000"/>
      <c r="BN382" s="265"/>
      <c r="BO382" s="265"/>
      <c r="BP382" s="265"/>
      <c r="BQ382" s="265"/>
      <c r="BR382" s="265"/>
      <c r="BS382" s="265"/>
      <c r="BT382" s="265"/>
      <c r="BU382" s="265"/>
      <c r="BV382" s="265"/>
      <c r="BW382" s="265"/>
      <c r="BX382" s="265"/>
      <c r="BY382" s="265"/>
      <c r="BZ382" s="265"/>
      <c r="CA382" s="265"/>
      <c r="CB382" s="265"/>
      <c r="CC382" s="265"/>
      <c r="CD382" s="265"/>
      <c r="CE382" s="265"/>
      <c r="CF382" s="265"/>
      <c r="CG382" s="265"/>
      <c r="CH382" s="265"/>
      <c r="CI382" s="265"/>
      <c r="CJ382" s="265"/>
      <c r="CK382" s="265"/>
      <c r="CL382" s="265"/>
      <c r="CM382" s="265"/>
      <c r="CN382" s="265"/>
      <c r="CO382" s="265"/>
      <c r="CP382" s="265"/>
      <c r="CQ382" s="265"/>
      <c r="CR382" s="265"/>
      <c r="CS382" s="265"/>
      <c r="CT382" s="265"/>
      <c r="CU382" s="265"/>
      <c r="CV382" s="265"/>
      <c r="CW382" s="265"/>
      <c r="CX382" s="265"/>
      <c r="CY382" s="265"/>
      <c r="CZ382" s="268"/>
    </row>
    <row r="383" spans="1:104" hidden="1" outlineLevel="1">
      <c r="A383" s="264"/>
      <c r="B383" s="264" t="s">
        <v>678</v>
      </c>
      <c r="C383" s="268"/>
      <c r="D383" s="264"/>
      <c r="E383" s="264"/>
      <c r="F383" s="264"/>
      <c r="G383" s="264"/>
      <c r="H383" s="264"/>
      <c r="I383" s="264"/>
      <c r="J383" s="266"/>
      <c r="K383" s="264"/>
      <c r="L383" s="264"/>
      <c r="M383" s="264"/>
      <c r="N383" s="264"/>
      <c r="O383" s="266"/>
      <c r="P383" s="264"/>
      <c r="Q383" s="264"/>
      <c r="R383" s="264"/>
      <c r="S383" s="264"/>
      <c r="T383" s="266"/>
      <c r="U383" s="264"/>
      <c r="V383" s="264"/>
      <c r="W383" s="264"/>
      <c r="X383" s="264"/>
      <c r="Y383" s="266"/>
      <c r="Z383" s="264"/>
      <c r="AA383" s="264"/>
      <c r="AB383" s="264"/>
      <c r="AC383" s="264"/>
      <c r="AD383" s="1000"/>
      <c r="AE383" s="264"/>
      <c r="AF383" s="264"/>
      <c r="AG383" s="264"/>
      <c r="AH383" s="264"/>
      <c r="AI383" s="1000"/>
      <c r="AJ383" s="264"/>
      <c r="AK383" s="264"/>
      <c r="AL383" s="264"/>
      <c r="AM383" s="264"/>
      <c r="AN383" s="1000"/>
      <c r="AO383" s="1000"/>
      <c r="AP383" s="1000"/>
      <c r="AQ383" s="1000"/>
      <c r="AR383" s="1000"/>
      <c r="AS383" s="266"/>
      <c r="AT383" s="266"/>
      <c r="AU383" s="266"/>
      <c r="AV383" s="266"/>
      <c r="AW383" s="266"/>
      <c r="AX383" s="264">
        <v>6.85</v>
      </c>
      <c r="AY383" s="266"/>
      <c r="AZ383" s="266"/>
      <c r="BA383" s="266"/>
      <c r="BB383" s="266"/>
      <c r="BC383" s="266"/>
      <c r="BD383" s="266"/>
      <c r="BE383" s="266"/>
      <c r="BF383" s="266"/>
      <c r="BG383" s="266"/>
      <c r="BH383" s="266"/>
      <c r="BI383" s="1000"/>
      <c r="BJ383" s="1000"/>
      <c r="BK383" s="1000"/>
      <c r="BL383" s="1000"/>
      <c r="BM383" s="1000"/>
      <c r="BN383" s="265"/>
      <c r="BO383" s="265"/>
      <c r="BP383" s="265"/>
      <c r="BQ383" s="265"/>
      <c r="BR383" s="265"/>
      <c r="BS383" s="265"/>
      <c r="BT383" s="265"/>
      <c r="BU383" s="265"/>
      <c r="BV383" s="265"/>
      <c r="BW383" s="265"/>
      <c r="BX383" s="265"/>
      <c r="BY383" s="265"/>
      <c r="BZ383" s="265"/>
      <c r="CA383" s="265"/>
      <c r="CB383" s="265"/>
      <c r="CC383" s="265"/>
      <c r="CD383" s="265"/>
      <c r="CE383" s="265"/>
      <c r="CF383" s="265"/>
      <c r="CG383" s="265"/>
      <c r="CH383" s="265"/>
      <c r="CI383" s="265"/>
      <c r="CJ383" s="265"/>
      <c r="CK383" s="265"/>
      <c r="CL383" s="265"/>
      <c r="CM383" s="265"/>
      <c r="CN383" s="265"/>
      <c r="CO383" s="265"/>
      <c r="CP383" s="265"/>
      <c r="CQ383" s="265"/>
      <c r="CR383" s="265"/>
      <c r="CS383" s="265"/>
      <c r="CT383" s="265"/>
      <c r="CU383" s="265"/>
      <c r="CV383" s="265"/>
      <c r="CW383" s="265"/>
      <c r="CX383" s="265"/>
      <c r="CY383" s="265"/>
      <c r="CZ383" s="268"/>
    </row>
    <row r="384" spans="1:104" hidden="1" outlineLevel="1">
      <c r="A384" s="264"/>
      <c r="B384" s="264" t="s">
        <v>677</v>
      </c>
      <c r="C384" s="268"/>
      <c r="D384" s="264"/>
      <c r="E384" s="264"/>
      <c r="F384" s="264"/>
      <c r="G384" s="264"/>
      <c r="H384" s="264"/>
      <c r="I384" s="264"/>
      <c r="J384" s="266"/>
      <c r="K384" s="264"/>
      <c r="L384" s="264"/>
      <c r="M384" s="264"/>
      <c r="N384" s="264"/>
      <c r="O384" s="266"/>
      <c r="P384" s="264"/>
      <c r="Q384" s="264"/>
      <c r="R384" s="264"/>
      <c r="S384" s="264"/>
      <c r="T384" s="266"/>
      <c r="U384" s="264"/>
      <c r="V384" s="264"/>
      <c r="W384" s="264"/>
      <c r="X384" s="264"/>
      <c r="Y384" s="266"/>
      <c r="Z384" s="264"/>
      <c r="AA384" s="264"/>
      <c r="AB384" s="264"/>
      <c r="AC384" s="264"/>
      <c r="AD384" s="1000"/>
      <c r="AE384" s="264"/>
      <c r="AF384" s="264"/>
      <c r="AG384" s="264"/>
      <c r="AH384" s="264"/>
      <c r="AI384" s="1000"/>
      <c r="AJ384" s="264"/>
      <c r="AK384" s="264"/>
      <c r="AL384" s="264"/>
      <c r="AM384" s="264"/>
      <c r="AN384" s="1000"/>
      <c r="AO384" s="1000"/>
      <c r="AP384" s="1000"/>
      <c r="AQ384" s="1000"/>
      <c r="AR384" s="1000"/>
      <c r="AS384" s="266"/>
      <c r="AT384" s="266"/>
      <c r="AU384" s="266"/>
      <c r="AV384" s="266"/>
      <c r="AW384" s="266"/>
      <c r="AX384" s="264">
        <v>4.1399999999999997</v>
      </c>
      <c r="AY384" s="266"/>
      <c r="AZ384" s="266"/>
      <c r="BA384" s="266"/>
      <c r="BB384" s="266"/>
      <c r="BC384" s="266"/>
      <c r="BD384" s="266"/>
      <c r="BE384" s="266"/>
      <c r="BF384" s="266"/>
      <c r="BG384" s="266"/>
      <c r="BH384" s="266"/>
      <c r="BI384" s="1000"/>
      <c r="BJ384" s="1000"/>
      <c r="BK384" s="1000"/>
      <c r="BL384" s="1000"/>
      <c r="BM384" s="1000"/>
      <c r="BN384" s="265"/>
      <c r="BO384" s="265"/>
      <c r="BP384" s="265"/>
      <c r="BQ384" s="265"/>
      <c r="BR384" s="265"/>
      <c r="BS384" s="265"/>
      <c r="BT384" s="265"/>
      <c r="BU384" s="265"/>
      <c r="BV384" s="265"/>
      <c r="BW384" s="265"/>
      <c r="BX384" s="265"/>
      <c r="BY384" s="265"/>
      <c r="BZ384" s="265"/>
      <c r="CA384" s="265"/>
      <c r="CB384" s="265"/>
      <c r="CC384" s="265"/>
      <c r="CD384" s="265"/>
      <c r="CE384" s="265"/>
      <c r="CF384" s="265"/>
      <c r="CG384" s="265"/>
      <c r="CH384" s="265"/>
      <c r="CI384" s="265"/>
      <c r="CJ384" s="265"/>
      <c r="CK384" s="265"/>
      <c r="CL384" s="265"/>
      <c r="CM384" s="265"/>
      <c r="CN384" s="265"/>
      <c r="CO384" s="265"/>
      <c r="CP384" s="265"/>
      <c r="CQ384" s="265"/>
      <c r="CR384" s="265"/>
      <c r="CS384" s="265"/>
      <c r="CT384" s="265"/>
      <c r="CU384" s="265"/>
      <c r="CV384" s="265"/>
      <c r="CW384" s="265"/>
      <c r="CX384" s="265"/>
      <c r="CY384" s="265"/>
      <c r="CZ384" s="268"/>
    </row>
    <row r="385" spans="1:104" hidden="1" outlineLevel="1">
      <c r="A385" s="264"/>
      <c r="B385" s="264" t="s">
        <v>676</v>
      </c>
      <c r="C385" s="268"/>
      <c r="D385" s="264"/>
      <c r="E385" s="264"/>
      <c r="F385" s="264"/>
      <c r="G385" s="264"/>
      <c r="H385" s="264"/>
      <c r="I385" s="264"/>
      <c r="J385" s="266"/>
      <c r="K385" s="264"/>
      <c r="L385" s="264"/>
      <c r="M385" s="264"/>
      <c r="N385" s="264"/>
      <c r="O385" s="266"/>
      <c r="P385" s="264"/>
      <c r="Q385" s="264"/>
      <c r="R385" s="264"/>
      <c r="S385" s="264"/>
      <c r="T385" s="266"/>
      <c r="U385" s="264"/>
      <c r="V385" s="264"/>
      <c r="W385" s="264"/>
      <c r="X385" s="264"/>
      <c r="Y385" s="266"/>
      <c r="Z385" s="264"/>
      <c r="AA385" s="264"/>
      <c r="AB385" s="264"/>
      <c r="AC385" s="264"/>
      <c r="AD385" s="1000"/>
      <c r="AE385" s="264"/>
      <c r="AF385" s="264"/>
      <c r="AG385" s="264"/>
      <c r="AH385" s="264"/>
      <c r="AI385" s="1000"/>
      <c r="AJ385" s="264"/>
      <c r="AK385" s="264"/>
      <c r="AL385" s="264"/>
      <c r="AM385" s="264"/>
      <c r="AN385" s="1000"/>
      <c r="AO385" s="1000"/>
      <c r="AP385" s="1000"/>
      <c r="AQ385" s="1000"/>
      <c r="AR385" s="1000"/>
      <c r="AS385" s="266"/>
      <c r="AT385" s="266"/>
      <c r="AU385" s="266"/>
      <c r="AV385" s="266"/>
      <c r="AW385" s="266"/>
      <c r="AX385" s="264">
        <v>3.38</v>
      </c>
      <c r="AY385" s="266"/>
      <c r="AZ385" s="266"/>
      <c r="BA385" s="266"/>
      <c r="BB385" s="266"/>
      <c r="BC385" s="266"/>
      <c r="BD385" s="266"/>
      <c r="BE385" s="266"/>
      <c r="BF385" s="266"/>
      <c r="BG385" s="266"/>
      <c r="BH385" s="266"/>
      <c r="BI385" s="1000"/>
      <c r="BJ385" s="1000"/>
      <c r="BK385" s="1000"/>
      <c r="BL385" s="1000"/>
      <c r="BM385" s="1000"/>
      <c r="BN385" s="265"/>
      <c r="BO385" s="265"/>
      <c r="BP385" s="265"/>
      <c r="BQ385" s="265"/>
      <c r="BR385" s="265"/>
      <c r="BS385" s="265"/>
      <c r="BT385" s="265"/>
      <c r="BU385" s="265"/>
      <c r="BV385" s="265"/>
      <c r="BW385" s="265"/>
      <c r="BX385" s="265"/>
      <c r="BY385" s="265"/>
      <c r="BZ385" s="265"/>
      <c r="CA385" s="265"/>
      <c r="CB385" s="265"/>
      <c r="CC385" s="265"/>
      <c r="CD385" s="265"/>
      <c r="CE385" s="265"/>
      <c r="CF385" s="265"/>
      <c r="CG385" s="265"/>
      <c r="CH385" s="265"/>
      <c r="CI385" s="265"/>
      <c r="CJ385" s="265"/>
      <c r="CK385" s="265"/>
      <c r="CL385" s="265"/>
      <c r="CM385" s="265"/>
      <c r="CN385" s="265"/>
      <c r="CO385" s="265"/>
      <c r="CP385" s="265"/>
      <c r="CQ385" s="265"/>
      <c r="CR385" s="265"/>
      <c r="CS385" s="265"/>
      <c r="CT385" s="265"/>
      <c r="CU385" s="265"/>
      <c r="CV385" s="265"/>
      <c r="CW385" s="265"/>
      <c r="CX385" s="265"/>
      <c r="CY385" s="265"/>
      <c r="CZ385" s="268"/>
    </row>
    <row r="386" spans="1:104" hidden="1" outlineLevel="1">
      <c r="A386" s="264"/>
      <c r="B386" s="264" t="s">
        <v>675</v>
      </c>
      <c r="C386" s="268"/>
      <c r="D386" s="264"/>
      <c r="E386" s="264"/>
      <c r="F386" s="264"/>
      <c r="G386" s="264"/>
      <c r="H386" s="264"/>
      <c r="I386" s="264"/>
      <c r="J386" s="266"/>
      <c r="K386" s="264"/>
      <c r="L386" s="264"/>
      <c r="M386" s="264"/>
      <c r="N386" s="264"/>
      <c r="O386" s="266"/>
      <c r="P386" s="264"/>
      <c r="Q386" s="264"/>
      <c r="R386" s="264"/>
      <c r="S386" s="264"/>
      <c r="T386" s="266"/>
      <c r="U386" s="264"/>
      <c r="V386" s="264"/>
      <c r="W386" s="264"/>
      <c r="X386" s="264"/>
      <c r="Y386" s="266"/>
      <c r="Z386" s="264"/>
      <c r="AA386" s="264"/>
      <c r="AB386" s="264"/>
      <c r="AC386" s="264"/>
      <c r="AD386" s="1000"/>
      <c r="AE386" s="264"/>
      <c r="AF386" s="264"/>
      <c r="AG386" s="264"/>
      <c r="AH386" s="264"/>
      <c r="AI386" s="1000"/>
      <c r="AJ386" s="264"/>
      <c r="AK386" s="264"/>
      <c r="AL386" s="264"/>
      <c r="AM386" s="264"/>
      <c r="AN386" s="1000"/>
      <c r="AO386" s="1000"/>
      <c r="AP386" s="1000"/>
      <c r="AQ386" s="1000"/>
      <c r="AR386" s="1000"/>
      <c r="AS386" s="266"/>
      <c r="AT386" s="266"/>
      <c r="AU386" s="266"/>
      <c r="AV386" s="266"/>
      <c r="AW386" s="266"/>
      <c r="AX386" s="264">
        <v>1.67</v>
      </c>
      <c r="AY386" s="266"/>
      <c r="AZ386" s="266"/>
      <c r="BA386" s="266"/>
      <c r="BB386" s="266"/>
      <c r="BC386" s="266"/>
      <c r="BD386" s="266"/>
      <c r="BE386" s="266"/>
      <c r="BF386" s="266"/>
      <c r="BG386" s="266"/>
      <c r="BH386" s="266"/>
      <c r="BI386" s="1000"/>
      <c r="BJ386" s="1000"/>
      <c r="BK386" s="1000"/>
      <c r="BL386" s="1000"/>
      <c r="BM386" s="1000"/>
      <c r="BN386" s="265"/>
      <c r="BO386" s="265"/>
      <c r="BP386" s="265"/>
      <c r="BQ386" s="265"/>
      <c r="BR386" s="265"/>
      <c r="BS386" s="265"/>
      <c r="BT386" s="265"/>
      <c r="BU386" s="265"/>
      <c r="BV386" s="265"/>
      <c r="BW386" s="265"/>
      <c r="BX386" s="265"/>
      <c r="BY386" s="265"/>
      <c r="BZ386" s="265"/>
      <c r="CA386" s="265"/>
      <c r="CB386" s="265"/>
      <c r="CC386" s="265"/>
      <c r="CD386" s="265"/>
      <c r="CE386" s="265"/>
      <c r="CF386" s="265"/>
      <c r="CG386" s="265"/>
      <c r="CH386" s="265"/>
      <c r="CI386" s="265"/>
      <c r="CJ386" s="265"/>
      <c r="CK386" s="265"/>
      <c r="CL386" s="265"/>
      <c r="CM386" s="265"/>
      <c r="CN386" s="265"/>
      <c r="CO386" s="265"/>
      <c r="CP386" s="265"/>
      <c r="CQ386" s="265"/>
      <c r="CR386" s="265"/>
      <c r="CS386" s="265"/>
      <c r="CT386" s="265"/>
      <c r="CU386" s="265"/>
      <c r="CV386" s="265"/>
      <c r="CW386" s="265"/>
      <c r="CX386" s="265"/>
      <c r="CY386" s="265"/>
      <c r="CZ386" s="268"/>
    </row>
    <row r="387" spans="1:104" hidden="1" outlineLevel="1">
      <c r="A387" s="264"/>
      <c r="B387" s="264" t="s">
        <v>674</v>
      </c>
      <c r="C387" s="268"/>
      <c r="D387" s="264"/>
      <c r="E387" s="264"/>
      <c r="F387" s="264"/>
      <c r="G387" s="264"/>
      <c r="H387" s="264"/>
      <c r="I387" s="264"/>
      <c r="J387" s="266"/>
      <c r="K387" s="264"/>
      <c r="L387" s="264"/>
      <c r="M387" s="264"/>
      <c r="N387" s="264"/>
      <c r="O387" s="266"/>
      <c r="P387" s="264"/>
      <c r="Q387" s="264"/>
      <c r="R387" s="264"/>
      <c r="S387" s="264"/>
      <c r="T387" s="266"/>
      <c r="U387" s="264"/>
      <c r="V387" s="264"/>
      <c r="W387" s="264"/>
      <c r="X387" s="264"/>
      <c r="Y387" s="266"/>
      <c r="Z387" s="264"/>
      <c r="AA387" s="264"/>
      <c r="AB387" s="264"/>
      <c r="AC387" s="264"/>
      <c r="AD387" s="1000"/>
      <c r="AE387" s="264"/>
      <c r="AF387" s="264"/>
      <c r="AG387" s="264"/>
      <c r="AH387" s="264"/>
      <c r="AI387" s="1000"/>
      <c r="AJ387" s="264"/>
      <c r="AK387" s="264"/>
      <c r="AL387" s="264"/>
      <c r="AM387" s="264"/>
      <c r="AN387" s="1000"/>
      <c r="AO387" s="1000"/>
      <c r="AP387" s="1000"/>
      <c r="AQ387" s="1000"/>
      <c r="AR387" s="1000"/>
      <c r="AS387" s="266"/>
      <c r="AT387" s="266"/>
      <c r="AU387" s="266"/>
      <c r="AV387" s="266"/>
      <c r="AW387" s="266"/>
      <c r="AX387" s="264">
        <v>0.64</v>
      </c>
      <c r="AY387" s="266"/>
      <c r="AZ387" s="266"/>
      <c r="BA387" s="266"/>
      <c r="BB387" s="266"/>
      <c r="BC387" s="266"/>
      <c r="BD387" s="266"/>
      <c r="BE387" s="266"/>
      <c r="BF387" s="266"/>
      <c r="BG387" s="266"/>
      <c r="BH387" s="266"/>
      <c r="BI387" s="1000"/>
      <c r="BJ387" s="1000"/>
      <c r="BK387" s="1000"/>
      <c r="BL387" s="1000"/>
      <c r="BM387" s="1000"/>
      <c r="BN387" s="265"/>
      <c r="BO387" s="265"/>
      <c r="BP387" s="265"/>
      <c r="BQ387" s="265"/>
      <c r="BR387" s="265"/>
      <c r="BS387" s="265"/>
      <c r="BT387" s="265"/>
      <c r="BU387" s="265"/>
      <c r="BV387" s="265"/>
      <c r="BW387" s="265"/>
      <c r="BX387" s="265"/>
      <c r="BY387" s="265"/>
      <c r="BZ387" s="265"/>
      <c r="CA387" s="265"/>
      <c r="CB387" s="265"/>
      <c r="CC387" s="265"/>
      <c r="CD387" s="265"/>
      <c r="CE387" s="265"/>
      <c r="CF387" s="265"/>
      <c r="CG387" s="265"/>
      <c r="CH387" s="265"/>
      <c r="CI387" s="265"/>
      <c r="CJ387" s="265"/>
      <c r="CK387" s="265"/>
      <c r="CL387" s="265"/>
      <c r="CM387" s="265"/>
      <c r="CN387" s="265"/>
      <c r="CO387" s="265"/>
      <c r="CP387" s="265"/>
      <c r="CQ387" s="265"/>
      <c r="CR387" s="265"/>
      <c r="CS387" s="265"/>
      <c r="CT387" s="265"/>
      <c r="CU387" s="265"/>
      <c r="CV387" s="265"/>
      <c r="CW387" s="265"/>
      <c r="CX387" s="265"/>
      <c r="CY387" s="265"/>
      <c r="CZ387" s="268"/>
    </row>
    <row r="388" spans="1:104" hidden="1" outlineLevel="1">
      <c r="A388" s="264"/>
      <c r="B388" s="264" t="s">
        <v>673</v>
      </c>
      <c r="C388" s="268"/>
      <c r="D388" s="264"/>
      <c r="E388" s="264"/>
      <c r="F388" s="264"/>
      <c r="G388" s="264"/>
      <c r="H388" s="264"/>
      <c r="I388" s="264"/>
      <c r="J388" s="266"/>
      <c r="K388" s="264"/>
      <c r="L388" s="264"/>
      <c r="M388" s="264"/>
      <c r="N388" s="264"/>
      <c r="O388" s="266"/>
      <c r="P388" s="264"/>
      <c r="Q388" s="264"/>
      <c r="R388" s="264"/>
      <c r="S388" s="264"/>
      <c r="T388" s="266"/>
      <c r="U388" s="264"/>
      <c r="V388" s="264"/>
      <c r="W388" s="264"/>
      <c r="X388" s="264"/>
      <c r="Y388" s="266"/>
      <c r="Z388" s="264"/>
      <c r="AA388" s="264"/>
      <c r="AB388" s="264"/>
      <c r="AC388" s="264"/>
      <c r="AD388" s="1000"/>
      <c r="AE388" s="264"/>
      <c r="AF388" s="264"/>
      <c r="AG388" s="264"/>
      <c r="AH388" s="264"/>
      <c r="AI388" s="1000"/>
      <c r="AJ388" s="264"/>
      <c r="AK388" s="264"/>
      <c r="AL388" s="264"/>
      <c r="AM388" s="264"/>
      <c r="AN388" s="1000"/>
      <c r="AO388" s="1000"/>
      <c r="AP388" s="1000"/>
      <c r="AQ388" s="1000"/>
      <c r="AR388" s="1000"/>
      <c r="AS388" s="266"/>
      <c r="AT388" s="266"/>
      <c r="AU388" s="266"/>
      <c r="AV388" s="266"/>
      <c r="AW388" s="266"/>
      <c r="AX388" s="264">
        <v>1.27</v>
      </c>
      <c r="AY388" s="266"/>
      <c r="AZ388" s="266"/>
      <c r="BA388" s="266"/>
      <c r="BB388" s="266"/>
      <c r="BC388" s="266"/>
      <c r="BD388" s="266"/>
      <c r="BE388" s="266"/>
      <c r="BF388" s="266"/>
      <c r="BG388" s="266"/>
      <c r="BH388" s="266"/>
      <c r="BI388" s="1000"/>
      <c r="BJ388" s="1000"/>
      <c r="BK388" s="1000"/>
      <c r="BL388" s="1000"/>
      <c r="BM388" s="1000"/>
      <c r="BN388" s="265"/>
      <c r="BO388" s="265"/>
      <c r="BP388" s="265"/>
      <c r="BQ388" s="265"/>
      <c r="BR388" s="265"/>
      <c r="BS388" s="265"/>
      <c r="BT388" s="265"/>
      <c r="BU388" s="265"/>
      <c r="BV388" s="265"/>
      <c r="BW388" s="265"/>
      <c r="BX388" s="265"/>
      <c r="BY388" s="265"/>
      <c r="BZ388" s="265"/>
      <c r="CA388" s="265"/>
      <c r="CB388" s="265"/>
      <c r="CC388" s="265"/>
      <c r="CD388" s="265"/>
      <c r="CE388" s="265"/>
      <c r="CF388" s="265"/>
      <c r="CG388" s="265"/>
      <c r="CH388" s="265"/>
      <c r="CI388" s="265"/>
      <c r="CJ388" s="265"/>
      <c r="CK388" s="265"/>
      <c r="CL388" s="265"/>
      <c r="CM388" s="265"/>
      <c r="CN388" s="265"/>
      <c r="CO388" s="265"/>
      <c r="CP388" s="265"/>
      <c r="CQ388" s="265"/>
      <c r="CR388" s="265"/>
      <c r="CS388" s="265"/>
      <c r="CT388" s="265"/>
      <c r="CU388" s="265"/>
      <c r="CV388" s="265"/>
      <c r="CW388" s="265"/>
      <c r="CX388" s="265"/>
      <c r="CY388" s="265"/>
      <c r="CZ388" s="268"/>
    </row>
    <row r="389" spans="1:104" hidden="1" outlineLevel="1">
      <c r="A389" s="264"/>
      <c r="B389" s="264" t="s">
        <v>672</v>
      </c>
      <c r="C389" s="268"/>
      <c r="D389" s="264"/>
      <c r="E389" s="264"/>
      <c r="F389" s="264"/>
      <c r="G389" s="264"/>
      <c r="H389" s="264"/>
      <c r="I389" s="264"/>
      <c r="J389" s="266"/>
      <c r="K389" s="264"/>
      <c r="L389" s="264"/>
      <c r="M389" s="264"/>
      <c r="N389" s="264"/>
      <c r="O389" s="266"/>
      <c r="P389" s="264"/>
      <c r="Q389" s="264"/>
      <c r="R389" s="264"/>
      <c r="S389" s="264"/>
      <c r="T389" s="266"/>
      <c r="U389" s="264"/>
      <c r="V389" s="264"/>
      <c r="W389" s="264"/>
      <c r="X389" s="264"/>
      <c r="Y389" s="266"/>
      <c r="Z389" s="264"/>
      <c r="AA389" s="264"/>
      <c r="AB389" s="264"/>
      <c r="AC389" s="264"/>
      <c r="AD389" s="1000"/>
      <c r="AE389" s="264"/>
      <c r="AF389" s="264"/>
      <c r="AG389" s="264"/>
      <c r="AH389" s="264"/>
      <c r="AI389" s="1000"/>
      <c r="AJ389" s="264"/>
      <c r="AK389" s="264"/>
      <c r="AL389" s="264"/>
      <c r="AM389" s="264"/>
      <c r="AN389" s="1000"/>
      <c r="AO389" s="1000"/>
      <c r="AP389" s="1000"/>
      <c r="AQ389" s="1000"/>
      <c r="AR389" s="1000"/>
      <c r="AS389" s="266"/>
      <c r="AT389" s="266"/>
      <c r="AU389" s="266"/>
      <c r="AV389" s="266"/>
      <c r="AW389" s="266"/>
      <c r="AX389" s="264">
        <v>1.8</v>
      </c>
      <c r="AY389" s="266"/>
      <c r="AZ389" s="266"/>
      <c r="BA389" s="266"/>
      <c r="BB389" s="266"/>
      <c r="BC389" s="266"/>
      <c r="BD389" s="266"/>
      <c r="BE389" s="266"/>
      <c r="BF389" s="266"/>
      <c r="BG389" s="266"/>
      <c r="BH389" s="266"/>
      <c r="BI389" s="1000"/>
      <c r="BJ389" s="1000"/>
      <c r="BK389" s="1000"/>
      <c r="BL389" s="1000"/>
      <c r="BM389" s="1000"/>
      <c r="BN389" s="265"/>
      <c r="BO389" s="265"/>
      <c r="BP389" s="265"/>
      <c r="BQ389" s="265"/>
      <c r="BR389" s="265"/>
      <c r="BS389" s="265"/>
      <c r="BT389" s="265"/>
      <c r="BU389" s="265"/>
      <c r="BV389" s="265"/>
      <c r="BW389" s="265"/>
      <c r="BX389" s="265"/>
      <c r="BY389" s="265"/>
      <c r="BZ389" s="265"/>
      <c r="CA389" s="265"/>
      <c r="CB389" s="265"/>
      <c r="CC389" s="265"/>
      <c r="CD389" s="265"/>
      <c r="CE389" s="265"/>
      <c r="CF389" s="265"/>
      <c r="CG389" s="265"/>
      <c r="CH389" s="265"/>
      <c r="CI389" s="265"/>
      <c r="CJ389" s="265"/>
      <c r="CK389" s="265"/>
      <c r="CL389" s="265"/>
      <c r="CM389" s="265"/>
      <c r="CN389" s="265"/>
      <c r="CO389" s="265"/>
      <c r="CP389" s="265"/>
      <c r="CQ389" s="265"/>
      <c r="CR389" s="265"/>
      <c r="CS389" s="265"/>
      <c r="CT389" s="265"/>
      <c r="CU389" s="265"/>
      <c r="CV389" s="265"/>
      <c r="CW389" s="265"/>
      <c r="CX389" s="265"/>
      <c r="CY389" s="265"/>
      <c r="CZ389" s="268"/>
    </row>
    <row r="390" spans="1:104" hidden="1" outlineLevel="1">
      <c r="A390" s="264"/>
      <c r="B390" s="264" t="s">
        <v>671</v>
      </c>
      <c r="C390" s="268"/>
      <c r="D390" s="264"/>
      <c r="E390" s="264"/>
      <c r="F390" s="264"/>
      <c r="G390" s="264"/>
      <c r="H390" s="264"/>
      <c r="I390" s="264"/>
      <c r="J390" s="266"/>
      <c r="K390" s="264"/>
      <c r="L390" s="264"/>
      <c r="M390" s="264"/>
      <c r="N390" s="264"/>
      <c r="O390" s="266"/>
      <c r="P390" s="264"/>
      <c r="Q390" s="264"/>
      <c r="R390" s="264"/>
      <c r="S390" s="264"/>
      <c r="T390" s="266"/>
      <c r="U390" s="264"/>
      <c r="V390" s="264"/>
      <c r="W390" s="264"/>
      <c r="X390" s="264"/>
      <c r="Y390" s="266"/>
      <c r="Z390" s="264"/>
      <c r="AA390" s="264"/>
      <c r="AB390" s="264"/>
      <c r="AC390" s="264"/>
      <c r="AD390" s="1000"/>
      <c r="AE390" s="264"/>
      <c r="AF390" s="264"/>
      <c r="AG390" s="264"/>
      <c r="AH390" s="264"/>
      <c r="AI390" s="1000"/>
      <c r="AJ390" s="264"/>
      <c r="AK390" s="264"/>
      <c r="AL390" s="264"/>
      <c r="AM390" s="264"/>
      <c r="AN390" s="1000"/>
      <c r="AO390" s="1000"/>
      <c r="AP390" s="1000"/>
      <c r="AQ390" s="1000"/>
      <c r="AR390" s="1000"/>
      <c r="AS390" s="266"/>
      <c r="AT390" s="266"/>
      <c r="AU390" s="266"/>
      <c r="AV390" s="266"/>
      <c r="AW390" s="266"/>
      <c r="AX390" s="264">
        <v>2.4300000000000002</v>
      </c>
      <c r="AY390" s="266"/>
      <c r="AZ390" s="266"/>
      <c r="BA390" s="266"/>
      <c r="BB390" s="266"/>
      <c r="BC390" s="266"/>
      <c r="BD390" s="266"/>
      <c r="BE390" s="266"/>
      <c r="BF390" s="266"/>
      <c r="BG390" s="266"/>
      <c r="BH390" s="266"/>
      <c r="BI390" s="1000"/>
      <c r="BJ390" s="1000"/>
      <c r="BK390" s="1000"/>
      <c r="BL390" s="1000"/>
      <c r="BM390" s="1000"/>
      <c r="BN390" s="265"/>
      <c r="BO390" s="265"/>
      <c r="BP390" s="265"/>
      <c r="BQ390" s="265"/>
      <c r="BR390" s="265"/>
      <c r="BS390" s="265"/>
      <c r="BT390" s="265"/>
      <c r="BU390" s="265"/>
      <c r="BV390" s="265"/>
      <c r="BW390" s="265"/>
      <c r="BX390" s="265"/>
      <c r="BY390" s="265"/>
      <c r="BZ390" s="265"/>
      <c r="CA390" s="265"/>
      <c r="CB390" s="265"/>
      <c r="CC390" s="265"/>
      <c r="CD390" s="265"/>
      <c r="CE390" s="265"/>
      <c r="CF390" s="265"/>
      <c r="CG390" s="265"/>
      <c r="CH390" s="265"/>
      <c r="CI390" s="265"/>
      <c r="CJ390" s="265"/>
      <c r="CK390" s="265"/>
      <c r="CL390" s="265"/>
      <c r="CM390" s="265"/>
      <c r="CN390" s="265"/>
      <c r="CO390" s="265"/>
      <c r="CP390" s="265"/>
      <c r="CQ390" s="265"/>
      <c r="CR390" s="265"/>
      <c r="CS390" s="265"/>
      <c r="CT390" s="265"/>
      <c r="CU390" s="265"/>
      <c r="CV390" s="265"/>
      <c r="CW390" s="265"/>
      <c r="CX390" s="265"/>
      <c r="CY390" s="265"/>
      <c r="CZ390" s="268"/>
    </row>
    <row r="391" spans="1:104" collapsed="1">
      <c r="A391" s="264"/>
      <c r="B391" s="264"/>
      <c r="C391" s="268"/>
      <c r="D391" s="264"/>
      <c r="E391" s="264"/>
      <c r="F391" s="264"/>
      <c r="G391" s="264"/>
      <c r="H391" s="264"/>
      <c r="I391" s="264"/>
      <c r="J391" s="266"/>
      <c r="K391" s="264"/>
      <c r="L391" s="264"/>
      <c r="M391" s="264"/>
      <c r="N391" s="264"/>
      <c r="O391" s="266"/>
      <c r="P391" s="264"/>
      <c r="Q391" s="264"/>
      <c r="R391" s="264"/>
      <c r="S391" s="264"/>
      <c r="T391" s="266"/>
      <c r="U391" s="264"/>
      <c r="V391" s="264"/>
      <c r="W391" s="264"/>
      <c r="X391" s="264"/>
      <c r="Y391" s="266"/>
      <c r="Z391" s="264"/>
      <c r="AA391" s="264"/>
      <c r="AB391" s="264"/>
      <c r="AC391" s="264"/>
      <c r="AD391" s="1000"/>
      <c r="AE391" s="264"/>
      <c r="AF391" s="264"/>
      <c r="AG391" s="264"/>
      <c r="AH391" s="264"/>
      <c r="AI391" s="1000"/>
      <c r="AJ391" s="264"/>
      <c r="AK391" s="264"/>
      <c r="AL391" s="264"/>
      <c r="AM391" s="264"/>
      <c r="AN391" s="1000"/>
      <c r="AO391" s="1000"/>
      <c r="AP391" s="1000"/>
      <c r="AQ391" s="1000"/>
      <c r="AR391" s="1000"/>
      <c r="AS391" s="266"/>
      <c r="AT391" s="266"/>
      <c r="AU391" s="266"/>
      <c r="AV391" s="266"/>
      <c r="AW391" s="266"/>
      <c r="AX391" s="264"/>
      <c r="AY391" s="266"/>
      <c r="AZ391" s="266"/>
      <c r="BA391" s="266"/>
      <c r="BB391" s="266"/>
      <c r="BC391" s="266"/>
      <c r="BD391" s="266"/>
      <c r="BE391" s="266"/>
      <c r="BF391" s="266"/>
      <c r="BG391" s="266"/>
      <c r="BH391" s="266"/>
      <c r="BI391" s="1000"/>
      <c r="BJ391" s="1000"/>
      <c r="BK391" s="1000"/>
      <c r="BL391" s="1000"/>
      <c r="BM391" s="1000"/>
      <c r="BN391" s="265"/>
      <c r="BO391" s="265"/>
      <c r="BP391" s="265"/>
      <c r="BQ391" s="265"/>
      <c r="BR391" s="265"/>
      <c r="BS391" s="265"/>
      <c r="BT391" s="265"/>
      <c r="BU391" s="265"/>
      <c r="BV391" s="265"/>
      <c r="BW391" s="265"/>
      <c r="BX391" s="265"/>
      <c r="BY391" s="265"/>
      <c r="BZ391" s="265"/>
      <c r="CA391" s="265"/>
      <c r="CB391" s="265"/>
      <c r="CC391" s="265"/>
      <c r="CD391" s="265"/>
      <c r="CE391" s="265"/>
      <c r="CF391" s="265"/>
      <c r="CG391" s="265"/>
      <c r="CH391" s="265"/>
      <c r="CI391" s="265"/>
      <c r="CJ391" s="265"/>
      <c r="CK391" s="265"/>
      <c r="CL391" s="265"/>
      <c r="CM391" s="265"/>
      <c r="CN391" s="265"/>
      <c r="CO391" s="265"/>
      <c r="CP391" s="265"/>
      <c r="CQ391" s="265"/>
      <c r="CR391" s="265"/>
      <c r="CS391" s="265"/>
      <c r="CT391" s="265"/>
      <c r="CU391" s="265"/>
      <c r="CV391" s="265"/>
      <c r="CW391" s="265"/>
      <c r="CX391" s="265"/>
      <c r="CY391" s="265"/>
      <c r="CZ391" s="268"/>
    </row>
    <row r="392" spans="1:104">
      <c r="A392" s="1041"/>
      <c r="B392" s="1039" t="s">
        <v>615</v>
      </c>
      <c r="C392" s="1042"/>
      <c r="D392" s="1041"/>
      <c r="E392" s="1041"/>
      <c r="F392" s="1041"/>
      <c r="G392" s="1041"/>
      <c r="H392" s="1041"/>
      <c r="I392" s="1041"/>
      <c r="J392" s="1039"/>
      <c r="K392" s="1041"/>
      <c r="L392" s="1041"/>
      <c r="M392" s="1041"/>
      <c r="N392" s="1041"/>
      <c r="O392" s="1039"/>
      <c r="P392" s="1041"/>
      <c r="Q392" s="1041"/>
      <c r="R392" s="1041"/>
      <c r="S392" s="1041"/>
      <c r="T392" s="1039"/>
      <c r="U392" s="1041"/>
      <c r="V392" s="1041"/>
      <c r="W392" s="1041"/>
      <c r="X392" s="1041"/>
      <c r="Y392" s="1039"/>
      <c r="Z392" s="1041"/>
      <c r="AA392" s="1041"/>
      <c r="AB392" s="1041"/>
      <c r="AC392" s="1041"/>
      <c r="AD392" s="1040"/>
      <c r="AE392" s="1041"/>
      <c r="AF392" s="1041"/>
      <c r="AG392" s="1041"/>
      <c r="AH392" s="1041"/>
      <c r="AI392" s="1040"/>
      <c r="AJ392" s="1041"/>
      <c r="AK392" s="1041"/>
      <c r="AL392" s="1041"/>
      <c r="AM392" s="1041"/>
      <c r="AN392" s="1040"/>
      <c r="AO392" s="1040"/>
      <c r="AP392" s="1040"/>
      <c r="AQ392" s="1040"/>
      <c r="AR392" s="1040"/>
      <c r="AS392" s="1039"/>
      <c r="AT392" s="1039"/>
      <c r="AU392" s="1039"/>
      <c r="AV392" s="1039"/>
      <c r="AW392" s="1039"/>
      <c r="AX392" s="1039"/>
      <c r="AY392" s="1039"/>
      <c r="AZ392" s="1039"/>
      <c r="BA392" s="1039"/>
      <c r="BB392" s="1039"/>
      <c r="BC392" s="1039"/>
      <c r="BD392" s="1039"/>
      <c r="BE392" s="1039"/>
      <c r="BF392" s="1039"/>
      <c r="BG392" s="1039"/>
      <c r="BH392" s="1039"/>
      <c r="BI392" s="1039"/>
      <c r="BJ392" s="1039"/>
      <c r="BK392" s="1039"/>
      <c r="BL392" s="1039"/>
      <c r="BM392" s="1039"/>
      <c r="BN392" s="1039"/>
      <c r="BO392" s="1039"/>
      <c r="BP392" s="1039"/>
      <c r="BQ392" s="1039"/>
      <c r="BR392" s="1039"/>
      <c r="BS392" s="1039"/>
      <c r="BT392" s="1039"/>
      <c r="BU392" s="1039"/>
      <c r="BV392" s="1039"/>
      <c r="BW392" s="1039"/>
      <c r="BX392" s="1039"/>
      <c r="BY392" s="1039"/>
      <c r="BZ392" s="1039"/>
      <c r="CA392" s="1039"/>
      <c r="CB392" s="1039"/>
      <c r="CC392" s="1039"/>
      <c r="CD392" s="1039"/>
      <c r="CE392" s="1039"/>
      <c r="CF392" s="1039"/>
      <c r="CG392" s="1039"/>
      <c r="CH392" s="1039"/>
      <c r="CI392" s="1039"/>
      <c r="CJ392" s="1039"/>
      <c r="CK392" s="1039"/>
      <c r="CL392" s="1039"/>
      <c r="CM392" s="1039"/>
      <c r="CN392" s="1039"/>
      <c r="CO392" s="1039"/>
      <c r="CP392" s="1039"/>
      <c r="CQ392" s="1039"/>
      <c r="CR392" s="1039"/>
      <c r="CS392" s="1039"/>
      <c r="CT392" s="1039"/>
      <c r="CU392" s="1039"/>
      <c r="CV392" s="1039"/>
      <c r="CW392" s="1039"/>
      <c r="CX392" s="1039"/>
      <c r="CY392" s="1039"/>
      <c r="CZ392" s="1039"/>
    </row>
    <row r="393" spans="1:104" hidden="1" outlineLevel="1">
      <c r="A393" s="264"/>
      <c r="B393" s="264" t="s">
        <v>670</v>
      </c>
      <c r="C393" s="268"/>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c r="AA393" s="264"/>
      <c r="AB393" s="264"/>
      <c r="AC393" s="264"/>
      <c r="AD393" s="265"/>
      <c r="AE393" s="264"/>
      <c r="AF393" s="264"/>
      <c r="AG393" s="264"/>
      <c r="AH393" s="264"/>
      <c r="AI393" s="265"/>
      <c r="AJ393" s="264"/>
      <c r="AK393" s="264"/>
      <c r="AL393" s="264"/>
      <c r="AM393" s="264"/>
      <c r="AN393" s="265"/>
      <c r="AO393" s="265"/>
      <c r="AP393" s="265"/>
      <c r="AQ393" s="265"/>
      <c r="AR393" s="265"/>
      <c r="AS393" s="1037">
        <v>0.11</v>
      </c>
      <c r="AT393" s="264"/>
      <c r="AU393" s="264"/>
      <c r="AV393" s="264"/>
      <c r="AW393" s="264"/>
      <c r="AX393" s="264"/>
      <c r="AY393" s="264"/>
      <c r="AZ393" s="264"/>
      <c r="BA393" s="264"/>
      <c r="BB393" s="264"/>
      <c r="BC393" s="264"/>
      <c r="BD393" s="266"/>
      <c r="BE393" s="266"/>
      <c r="BF393" s="266"/>
      <c r="BG393" s="266"/>
      <c r="BH393" s="266"/>
      <c r="BI393" s="1000"/>
      <c r="BJ393" s="1000"/>
      <c r="BK393" s="1000"/>
      <c r="BL393" s="1000"/>
      <c r="BM393" s="1000"/>
      <c r="BN393" s="265"/>
      <c r="BO393" s="265"/>
      <c r="BP393" s="265"/>
      <c r="BQ393" s="265"/>
      <c r="BR393" s="265"/>
      <c r="BS393" s="265"/>
      <c r="BT393" s="265"/>
      <c r="BU393" s="265"/>
      <c r="BV393" s="265"/>
      <c r="BW393" s="265"/>
      <c r="BX393" s="265"/>
      <c r="BY393" s="265"/>
      <c r="BZ393" s="265"/>
      <c r="CA393" s="265"/>
      <c r="CB393" s="265"/>
      <c r="CC393" s="265"/>
      <c r="CD393" s="265"/>
      <c r="CE393" s="265"/>
      <c r="CF393" s="265"/>
      <c r="CG393" s="265"/>
      <c r="CH393" s="265"/>
      <c r="CI393" s="265"/>
      <c r="CJ393" s="265"/>
      <c r="CK393" s="265"/>
      <c r="CL393" s="265"/>
      <c r="CM393" s="265"/>
      <c r="CN393" s="265"/>
      <c r="CO393" s="265"/>
      <c r="CP393" s="265"/>
      <c r="CQ393" s="265"/>
      <c r="CR393" s="265"/>
      <c r="CS393" s="265"/>
      <c r="CT393" s="265"/>
      <c r="CU393" s="265"/>
      <c r="CV393" s="265"/>
      <c r="CW393" s="265"/>
      <c r="CX393" s="265"/>
      <c r="CY393" s="265"/>
      <c r="CZ393" s="268"/>
    </row>
    <row r="394" spans="1:104" hidden="1" outlineLevel="1">
      <c r="A394" s="264"/>
      <c r="B394" s="264" t="s">
        <v>669</v>
      </c>
      <c r="C394" s="268"/>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c r="AA394" s="264"/>
      <c r="AB394" s="264"/>
      <c r="AC394" s="264"/>
      <c r="AD394" s="265"/>
      <c r="AE394" s="264"/>
      <c r="AF394" s="264"/>
      <c r="AG394" s="264"/>
      <c r="AH394" s="264"/>
      <c r="AI394" s="265"/>
      <c r="AJ394" s="264"/>
      <c r="AK394" s="264"/>
      <c r="AL394" s="264"/>
      <c r="AM394" s="264"/>
      <c r="AN394" s="265"/>
      <c r="AO394" s="265"/>
      <c r="AP394" s="265"/>
      <c r="AQ394" s="265"/>
      <c r="AR394" s="265"/>
      <c r="AS394" s="1037">
        <v>0.14000000000000001</v>
      </c>
      <c r="AT394" s="264"/>
      <c r="AU394" s="264"/>
      <c r="AV394" s="264"/>
      <c r="AW394" s="264"/>
      <c r="AX394" s="264"/>
      <c r="AY394" s="264"/>
      <c r="AZ394" s="264"/>
      <c r="BA394" s="264"/>
      <c r="BB394" s="264"/>
      <c r="BC394" s="264"/>
      <c r="BD394" s="266"/>
      <c r="BE394" s="266"/>
      <c r="BF394" s="266"/>
      <c r="BG394" s="266"/>
      <c r="BH394" s="266"/>
      <c r="BI394" s="1000"/>
      <c r="BJ394" s="1000"/>
      <c r="BK394" s="1000"/>
      <c r="BL394" s="1000"/>
      <c r="BM394" s="1000"/>
      <c r="BN394" s="265"/>
      <c r="BO394" s="265"/>
      <c r="BP394" s="265"/>
      <c r="BQ394" s="265"/>
      <c r="BR394" s="265"/>
      <c r="BS394" s="265"/>
      <c r="BT394" s="265"/>
      <c r="BU394" s="265"/>
      <c r="BV394" s="265"/>
      <c r="BW394" s="265"/>
      <c r="BX394" s="265"/>
      <c r="BY394" s="265"/>
      <c r="BZ394" s="265"/>
      <c r="CA394" s="265"/>
      <c r="CB394" s="265"/>
      <c r="CC394" s="265"/>
      <c r="CD394" s="265"/>
      <c r="CE394" s="265"/>
      <c r="CF394" s="265"/>
      <c r="CG394" s="265"/>
      <c r="CH394" s="265"/>
      <c r="CI394" s="265"/>
      <c r="CJ394" s="265"/>
      <c r="CK394" s="265"/>
      <c r="CL394" s="265"/>
      <c r="CM394" s="265"/>
      <c r="CN394" s="265"/>
      <c r="CO394" s="265"/>
      <c r="CP394" s="265"/>
      <c r="CQ394" s="265"/>
      <c r="CR394" s="265"/>
      <c r="CS394" s="265"/>
      <c r="CT394" s="265"/>
      <c r="CU394" s="265"/>
      <c r="CV394" s="265"/>
      <c r="CW394" s="265"/>
      <c r="CX394" s="265"/>
      <c r="CY394" s="265"/>
      <c r="CZ394" s="268"/>
    </row>
    <row r="395" spans="1:104" hidden="1" outlineLevel="1">
      <c r="A395" s="264"/>
      <c r="B395" s="264" t="s">
        <v>668</v>
      </c>
      <c r="C395" s="268"/>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c r="AA395" s="264"/>
      <c r="AB395" s="264"/>
      <c r="AC395" s="264"/>
      <c r="AD395" s="265"/>
      <c r="AE395" s="264"/>
      <c r="AF395" s="264"/>
      <c r="AG395" s="264"/>
      <c r="AH395" s="264"/>
      <c r="AI395" s="265"/>
      <c r="AJ395" s="264"/>
      <c r="AK395" s="264"/>
      <c r="AL395" s="264"/>
      <c r="AM395" s="264"/>
      <c r="AN395" s="265"/>
      <c r="AO395" s="265"/>
      <c r="AP395" s="265"/>
      <c r="AQ395" s="265"/>
      <c r="AR395" s="265"/>
      <c r="AS395" s="264"/>
      <c r="AT395" s="264"/>
      <c r="AU395" s="264"/>
      <c r="AV395" s="264"/>
      <c r="AW395" s="264"/>
      <c r="AX395" s="525" t="s">
        <v>521</v>
      </c>
      <c r="AY395" s="264"/>
      <c r="AZ395" s="264"/>
      <c r="BA395" s="264"/>
      <c r="BB395" s="264"/>
      <c r="BC395" s="264"/>
      <c r="BD395" s="266"/>
      <c r="BE395" s="266"/>
      <c r="BF395" s="266"/>
      <c r="BG395" s="266"/>
      <c r="BH395" s="266"/>
      <c r="BI395" s="1000"/>
      <c r="BJ395" s="1000"/>
      <c r="BK395" s="1000"/>
      <c r="BL395" s="1000"/>
      <c r="BM395" s="1000"/>
      <c r="BN395" s="265"/>
      <c r="BO395" s="265"/>
      <c r="BP395" s="265"/>
      <c r="BQ395" s="265"/>
      <c r="BR395" s="265"/>
      <c r="BS395" s="265"/>
      <c r="BT395" s="265"/>
      <c r="BU395" s="265"/>
      <c r="BV395" s="265"/>
      <c r="BW395" s="265"/>
      <c r="BX395" s="265"/>
      <c r="BY395" s="265"/>
      <c r="BZ395" s="265"/>
      <c r="CA395" s="265"/>
      <c r="CB395" s="265"/>
      <c r="CC395" s="265"/>
      <c r="CD395" s="265"/>
      <c r="CE395" s="265"/>
      <c r="CF395" s="265"/>
      <c r="CG395" s="265"/>
      <c r="CH395" s="265"/>
      <c r="CI395" s="265"/>
      <c r="CJ395" s="265"/>
      <c r="CK395" s="265"/>
      <c r="CL395" s="265"/>
      <c r="CM395" s="265"/>
      <c r="CN395" s="265"/>
      <c r="CO395" s="265"/>
      <c r="CP395" s="265"/>
      <c r="CQ395" s="265"/>
      <c r="CR395" s="265"/>
      <c r="CS395" s="265"/>
      <c r="CT395" s="265"/>
      <c r="CU395" s="265"/>
      <c r="CV395" s="265"/>
      <c r="CW395" s="265"/>
      <c r="CX395" s="265"/>
      <c r="CY395" s="265"/>
      <c r="CZ395" s="268"/>
    </row>
    <row r="396" spans="1:104" hidden="1" outlineLevel="1">
      <c r="A396" s="264"/>
      <c r="B396" s="264" t="s">
        <v>101</v>
      </c>
      <c r="C396" s="268"/>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c r="AA396" s="264"/>
      <c r="AB396" s="264"/>
      <c r="AC396" s="264"/>
      <c r="AD396" s="265"/>
      <c r="AE396" s="264"/>
      <c r="AF396" s="264"/>
      <c r="AG396" s="264"/>
      <c r="AH396" s="264"/>
      <c r="AI396" s="265"/>
      <c r="AJ396" s="264"/>
      <c r="AK396" s="264"/>
      <c r="AL396" s="264"/>
      <c r="AM396" s="264"/>
      <c r="AN396" s="265"/>
      <c r="AO396" s="265"/>
      <c r="AP396" s="265"/>
      <c r="AQ396" s="265"/>
      <c r="AR396" s="265"/>
      <c r="AS396" s="264"/>
      <c r="AT396" s="264"/>
      <c r="AU396" s="264"/>
      <c r="AV396" s="264"/>
      <c r="AW396" s="264"/>
      <c r="AX396" s="525" t="s">
        <v>667</v>
      </c>
      <c r="AY396" s="264"/>
      <c r="AZ396" s="264"/>
      <c r="BA396" s="264"/>
      <c r="BB396" s="264"/>
      <c r="BC396" s="264"/>
      <c r="BD396" s="266"/>
      <c r="BE396" s="266"/>
      <c r="BF396" s="266"/>
      <c r="BG396" s="266"/>
      <c r="BH396" s="266"/>
      <c r="BI396" s="1000"/>
      <c r="BJ396" s="1000"/>
      <c r="BK396" s="1000"/>
      <c r="BL396" s="1000"/>
      <c r="BM396" s="1000"/>
      <c r="BN396" s="265"/>
      <c r="BO396" s="265"/>
      <c r="BP396" s="265"/>
      <c r="BQ396" s="265"/>
      <c r="BR396" s="265"/>
      <c r="BS396" s="265"/>
      <c r="BT396" s="265"/>
      <c r="BU396" s="265"/>
      <c r="BV396" s="265"/>
      <c r="BW396" s="265"/>
      <c r="BX396" s="265"/>
      <c r="BY396" s="265"/>
      <c r="BZ396" s="265"/>
      <c r="CA396" s="265"/>
      <c r="CB396" s="265"/>
      <c r="CC396" s="265"/>
      <c r="CD396" s="265"/>
      <c r="CE396" s="265"/>
      <c r="CF396" s="265"/>
      <c r="CG396" s="265"/>
      <c r="CH396" s="265"/>
      <c r="CI396" s="265"/>
      <c r="CJ396" s="265"/>
      <c r="CK396" s="265"/>
      <c r="CL396" s="265"/>
      <c r="CM396" s="265"/>
      <c r="CN396" s="265"/>
      <c r="CO396" s="265"/>
      <c r="CP396" s="265"/>
      <c r="CQ396" s="265"/>
      <c r="CR396" s="265"/>
      <c r="CS396" s="265"/>
      <c r="CT396" s="265"/>
      <c r="CU396" s="265"/>
      <c r="CV396" s="265"/>
      <c r="CW396" s="265"/>
      <c r="CX396" s="265"/>
      <c r="CY396" s="265"/>
      <c r="CZ396" s="268"/>
    </row>
    <row r="397" spans="1:104" hidden="1" outlineLevel="1">
      <c r="A397" s="264"/>
      <c r="B397" s="264" t="s">
        <v>666</v>
      </c>
      <c r="C397" s="268"/>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c r="AA397" s="264"/>
      <c r="AB397" s="264"/>
      <c r="AC397" s="264"/>
      <c r="AD397" s="265"/>
      <c r="AE397" s="264"/>
      <c r="AF397" s="264"/>
      <c r="AG397" s="264"/>
      <c r="AH397" s="264"/>
      <c r="AI397" s="265"/>
      <c r="AJ397" s="264"/>
      <c r="AK397" s="264"/>
      <c r="AL397" s="264"/>
      <c r="AM397" s="264"/>
      <c r="AN397" s="265"/>
      <c r="AO397" s="265"/>
      <c r="AP397" s="265"/>
      <c r="AQ397" s="265"/>
      <c r="AR397" s="265"/>
      <c r="AS397" s="1037">
        <v>0.1</v>
      </c>
      <c r="AT397" s="264"/>
      <c r="AU397" s="264"/>
      <c r="AV397" s="264"/>
      <c r="AW397" s="264"/>
      <c r="AX397" s="264"/>
      <c r="AY397" s="264"/>
      <c r="AZ397" s="264"/>
      <c r="BA397" s="264"/>
      <c r="BB397" s="264"/>
      <c r="BC397" s="264"/>
      <c r="BD397" s="266"/>
      <c r="BE397" s="266"/>
      <c r="BF397" s="266"/>
      <c r="BG397" s="266"/>
      <c r="BH397" s="266"/>
      <c r="BI397" s="1000"/>
      <c r="BJ397" s="1000"/>
      <c r="BK397" s="1000"/>
      <c r="BL397" s="1000"/>
      <c r="BM397" s="1000"/>
      <c r="BN397" s="265"/>
      <c r="BO397" s="265"/>
      <c r="BP397" s="265"/>
      <c r="BQ397" s="265"/>
      <c r="BR397" s="265"/>
      <c r="BS397" s="265"/>
      <c r="BT397" s="265"/>
      <c r="BU397" s="265"/>
      <c r="BV397" s="265"/>
      <c r="BW397" s="265"/>
      <c r="BX397" s="265"/>
      <c r="BY397" s="265"/>
      <c r="BZ397" s="265"/>
      <c r="CA397" s="265"/>
      <c r="CB397" s="265"/>
      <c r="CC397" s="265"/>
      <c r="CD397" s="265"/>
      <c r="CE397" s="265"/>
      <c r="CF397" s="265"/>
      <c r="CG397" s="265"/>
      <c r="CH397" s="265"/>
      <c r="CI397" s="265"/>
      <c r="CJ397" s="265"/>
      <c r="CK397" s="265"/>
      <c r="CL397" s="265"/>
      <c r="CM397" s="265"/>
      <c r="CN397" s="265"/>
      <c r="CO397" s="265"/>
      <c r="CP397" s="265"/>
      <c r="CQ397" s="265"/>
      <c r="CR397" s="265"/>
      <c r="CS397" s="265"/>
      <c r="CT397" s="265"/>
      <c r="CU397" s="265"/>
      <c r="CV397" s="265"/>
      <c r="CW397" s="265"/>
      <c r="CX397" s="265"/>
      <c r="CY397" s="265"/>
      <c r="CZ397" s="268"/>
    </row>
    <row r="398" spans="1:104" hidden="1" outlineLevel="1">
      <c r="A398" s="264"/>
      <c r="B398" s="264"/>
      <c r="C398" s="268"/>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c r="AA398" s="264"/>
      <c r="AB398" s="264"/>
      <c r="AC398" s="264"/>
      <c r="AD398" s="265"/>
      <c r="AE398" s="264"/>
      <c r="AF398" s="264"/>
      <c r="AG398" s="264"/>
      <c r="AH398" s="264"/>
      <c r="AI398" s="265"/>
      <c r="AJ398" s="264"/>
      <c r="AK398" s="264"/>
      <c r="AL398" s="264"/>
      <c r="AM398" s="264"/>
      <c r="AN398" s="265"/>
      <c r="AO398" s="265"/>
      <c r="AP398" s="265"/>
      <c r="AQ398" s="265"/>
      <c r="AR398" s="265"/>
      <c r="AS398" s="264"/>
      <c r="AT398" s="264"/>
      <c r="AU398" s="264"/>
      <c r="AV398" s="264"/>
      <c r="AW398" s="264"/>
      <c r="AX398" s="264"/>
      <c r="AY398" s="264"/>
      <c r="AZ398" s="264"/>
      <c r="BA398" s="264"/>
      <c r="BB398" s="264"/>
      <c r="BC398" s="264"/>
      <c r="BD398" s="266"/>
      <c r="BE398" s="266"/>
      <c r="BF398" s="266"/>
      <c r="BG398" s="266"/>
      <c r="BH398" s="266"/>
      <c r="BI398" s="1000"/>
      <c r="BJ398" s="1000"/>
      <c r="BK398" s="1000"/>
      <c r="BL398" s="1000"/>
      <c r="BM398" s="1000"/>
      <c r="BN398" s="265"/>
      <c r="BO398" s="265"/>
      <c r="BP398" s="265"/>
      <c r="BQ398" s="265"/>
      <c r="BR398" s="265"/>
      <c r="BS398" s="265"/>
      <c r="BT398" s="265"/>
      <c r="BU398" s="265"/>
      <c r="BV398" s="265"/>
      <c r="BW398" s="265"/>
      <c r="BX398" s="265"/>
      <c r="BY398" s="265"/>
      <c r="BZ398" s="265"/>
      <c r="CA398" s="265"/>
      <c r="CB398" s="265"/>
      <c r="CC398" s="265"/>
      <c r="CD398" s="265"/>
      <c r="CE398" s="265"/>
      <c r="CF398" s="265"/>
      <c r="CG398" s="265"/>
      <c r="CH398" s="265"/>
      <c r="CI398" s="265"/>
      <c r="CJ398" s="265"/>
      <c r="CK398" s="265"/>
      <c r="CL398" s="265"/>
      <c r="CM398" s="265"/>
      <c r="CN398" s="265"/>
      <c r="CO398" s="265"/>
      <c r="CP398" s="265"/>
      <c r="CQ398" s="265"/>
      <c r="CR398" s="265"/>
      <c r="CS398" s="265"/>
      <c r="CT398" s="265"/>
      <c r="CU398" s="265"/>
      <c r="CV398" s="265"/>
      <c r="CW398" s="265"/>
      <c r="CX398" s="265"/>
      <c r="CY398" s="265"/>
      <c r="CZ398" s="268"/>
    </row>
    <row r="399" spans="1:104" hidden="1" outlineLevel="1">
      <c r="A399" s="264"/>
      <c r="B399" s="266" t="s">
        <v>665</v>
      </c>
      <c r="C399" s="268"/>
      <c r="D399" s="264"/>
      <c r="E399" s="264"/>
      <c r="F399" s="264"/>
      <c r="G399" s="264"/>
      <c r="H399" s="264"/>
      <c r="I399" s="264"/>
      <c r="J399" s="264">
        <v>1.6</v>
      </c>
      <c r="K399" s="264"/>
      <c r="L399" s="264"/>
      <c r="M399" s="264"/>
      <c r="N399" s="264"/>
      <c r="O399" s="264">
        <v>1.6</v>
      </c>
      <c r="P399" s="264"/>
      <c r="Q399" s="264"/>
      <c r="R399" s="264"/>
      <c r="S399" s="264"/>
      <c r="T399" s="264">
        <v>1.7</v>
      </c>
      <c r="U399" s="264"/>
      <c r="V399" s="264"/>
      <c r="W399" s="264"/>
      <c r="X399" s="264"/>
      <c r="Y399" s="264">
        <v>1.9</v>
      </c>
      <c r="Z399" s="264"/>
      <c r="AA399" s="264"/>
      <c r="AB399" s="264"/>
      <c r="AC399" s="264"/>
      <c r="AD399" s="265">
        <v>2</v>
      </c>
      <c r="AE399" s="264"/>
      <c r="AF399" s="264"/>
      <c r="AG399" s="264"/>
      <c r="AH399" s="264"/>
      <c r="AI399" s="265">
        <v>2.1</v>
      </c>
      <c r="AJ399" s="264"/>
      <c r="AK399" s="264"/>
      <c r="AL399" s="264"/>
      <c r="AM399" s="264"/>
      <c r="AN399" s="265">
        <v>1.8</v>
      </c>
      <c r="AO399" s="265"/>
      <c r="AP399" s="265"/>
      <c r="AQ399" s="265"/>
      <c r="AR399" s="265"/>
      <c r="AS399" s="264">
        <v>1.3</v>
      </c>
      <c r="AT399" s="264">
        <v>0.9</v>
      </c>
      <c r="AU399" s="264"/>
      <c r="AV399" s="264"/>
      <c r="AW399" s="264"/>
      <c r="AX399" s="264"/>
      <c r="AY399" s="264"/>
      <c r="AZ399" s="264"/>
      <c r="BA399" s="264"/>
      <c r="BB399" s="264"/>
      <c r="BC399" s="264"/>
      <c r="BD399" s="266"/>
      <c r="BE399" s="266"/>
      <c r="BF399" s="266"/>
      <c r="BG399" s="266"/>
      <c r="BH399" s="266"/>
      <c r="BI399" s="1000"/>
      <c r="BJ399" s="1000"/>
      <c r="BK399" s="1000"/>
      <c r="BL399" s="1000"/>
      <c r="BM399" s="1000"/>
      <c r="BN399" s="265"/>
      <c r="BO399" s="265"/>
      <c r="BP399" s="265"/>
      <c r="BQ399" s="265"/>
      <c r="BR399" s="265"/>
      <c r="BS399" s="265"/>
      <c r="BT399" s="265"/>
      <c r="BU399" s="265"/>
      <c r="BV399" s="265"/>
      <c r="BW399" s="265"/>
      <c r="BX399" s="265"/>
      <c r="BY399" s="265"/>
      <c r="BZ399" s="265"/>
      <c r="CA399" s="265"/>
      <c r="CB399" s="265"/>
      <c r="CC399" s="265"/>
      <c r="CD399" s="265"/>
      <c r="CE399" s="265"/>
      <c r="CF399" s="265"/>
      <c r="CG399" s="265"/>
      <c r="CH399" s="265"/>
      <c r="CI399" s="265"/>
      <c r="CJ399" s="265"/>
      <c r="CK399" s="265"/>
      <c r="CL399" s="265"/>
      <c r="CM399" s="265"/>
      <c r="CN399" s="265"/>
      <c r="CO399" s="265"/>
      <c r="CP399" s="265"/>
      <c r="CQ399" s="265"/>
      <c r="CR399" s="265"/>
      <c r="CS399" s="265"/>
      <c r="CT399" s="265"/>
      <c r="CU399" s="265"/>
      <c r="CV399" s="265"/>
      <c r="CW399" s="265"/>
      <c r="CX399" s="265"/>
      <c r="CY399" s="265"/>
      <c r="CZ399" s="268"/>
    </row>
    <row r="400" spans="1:104" hidden="1" outlineLevel="1">
      <c r="A400" s="264"/>
      <c r="B400" s="266" t="s">
        <v>664</v>
      </c>
      <c r="C400" s="268"/>
      <c r="D400" s="264"/>
      <c r="E400" s="264"/>
      <c r="F400" s="264"/>
      <c r="G400" s="264"/>
      <c r="H400" s="264"/>
      <c r="I400" s="264"/>
      <c r="J400" s="264">
        <v>2.1</v>
      </c>
      <c r="K400" s="264"/>
      <c r="L400" s="264"/>
      <c r="M400" s="264"/>
      <c r="N400" s="264"/>
      <c r="O400" s="264">
        <v>2.0499999999999998</v>
      </c>
      <c r="P400" s="264"/>
      <c r="Q400" s="264"/>
      <c r="R400" s="264"/>
      <c r="S400" s="264"/>
      <c r="T400" s="264">
        <v>2.0499999999999998</v>
      </c>
      <c r="U400" s="264"/>
      <c r="V400" s="264"/>
      <c r="W400" s="264"/>
      <c r="X400" s="264"/>
      <c r="Y400" s="264">
        <v>2.1</v>
      </c>
      <c r="Z400" s="264"/>
      <c r="AA400" s="264"/>
      <c r="AB400" s="264"/>
      <c r="AC400" s="264"/>
      <c r="AD400" s="265">
        <v>2.4</v>
      </c>
      <c r="AE400" s="264"/>
      <c r="AF400" s="264"/>
      <c r="AG400" s="264"/>
      <c r="AH400" s="264"/>
      <c r="AI400" s="265">
        <v>2.5</v>
      </c>
      <c r="AJ400" s="264"/>
      <c r="AK400" s="264"/>
      <c r="AL400" s="264"/>
      <c r="AM400" s="264"/>
      <c r="AN400" s="265">
        <v>2.7</v>
      </c>
      <c r="AO400" s="265"/>
      <c r="AP400" s="265"/>
      <c r="AQ400" s="265"/>
      <c r="AR400" s="265"/>
      <c r="AS400" s="264">
        <v>2.9</v>
      </c>
      <c r="AT400" s="264">
        <v>3</v>
      </c>
      <c r="AU400" s="264"/>
      <c r="AV400" s="264"/>
      <c r="AW400" s="264"/>
      <c r="AX400" s="264"/>
      <c r="AY400" s="264"/>
      <c r="AZ400" s="264"/>
      <c r="BA400" s="264"/>
      <c r="BB400" s="264"/>
      <c r="BC400" s="264"/>
      <c r="BD400" s="266"/>
      <c r="BE400" s="266"/>
      <c r="BF400" s="266"/>
      <c r="BG400" s="266"/>
      <c r="BH400" s="266"/>
      <c r="BI400" s="1000"/>
      <c r="BJ400" s="1000"/>
      <c r="BK400" s="1000"/>
      <c r="BL400" s="1000"/>
      <c r="BM400" s="1000"/>
      <c r="BN400" s="265"/>
      <c r="BO400" s="265"/>
      <c r="BP400" s="265"/>
      <c r="BQ400" s="265"/>
      <c r="BR400" s="265"/>
      <c r="BS400" s="265"/>
      <c r="BT400" s="265"/>
      <c r="BU400" s="265"/>
      <c r="BV400" s="265"/>
      <c r="BW400" s="265"/>
      <c r="BX400" s="265"/>
      <c r="BY400" s="265"/>
      <c r="BZ400" s="265"/>
      <c r="CA400" s="265"/>
      <c r="CB400" s="265"/>
      <c r="CC400" s="265"/>
      <c r="CD400" s="265"/>
      <c r="CE400" s="265"/>
      <c r="CF400" s="265"/>
      <c r="CG400" s="265"/>
      <c r="CH400" s="265"/>
      <c r="CI400" s="265"/>
      <c r="CJ400" s="265"/>
      <c r="CK400" s="265"/>
      <c r="CL400" s="265"/>
      <c r="CM400" s="265"/>
      <c r="CN400" s="265"/>
      <c r="CO400" s="265"/>
      <c r="CP400" s="265"/>
      <c r="CQ400" s="265"/>
      <c r="CR400" s="265"/>
      <c r="CS400" s="265"/>
      <c r="CT400" s="265"/>
      <c r="CU400" s="265"/>
      <c r="CV400" s="265"/>
      <c r="CW400" s="265"/>
      <c r="CX400" s="265"/>
      <c r="CY400" s="265"/>
      <c r="CZ400" s="268"/>
    </row>
    <row r="401" spans="1:104" hidden="1" outlineLevel="1">
      <c r="A401" s="264"/>
      <c r="B401" s="266" t="s">
        <v>663</v>
      </c>
      <c r="C401" s="268"/>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c r="AA401" s="264"/>
      <c r="AB401" s="264"/>
      <c r="AC401" s="264"/>
      <c r="AD401" s="265"/>
      <c r="AE401" s="264"/>
      <c r="AF401" s="264"/>
      <c r="AG401" s="264"/>
      <c r="AH401" s="264"/>
      <c r="AI401" s="265"/>
      <c r="AJ401" s="264"/>
      <c r="AK401" s="264"/>
      <c r="AL401" s="264"/>
      <c r="AM401" s="264"/>
      <c r="AN401" s="265"/>
      <c r="AO401" s="265"/>
      <c r="AP401" s="265"/>
      <c r="AQ401" s="265"/>
      <c r="AR401" s="265"/>
      <c r="AS401" s="264"/>
      <c r="AT401" s="264"/>
      <c r="AU401" s="264"/>
      <c r="AV401" s="264"/>
      <c r="AW401" s="264"/>
      <c r="AX401" s="264"/>
      <c r="AY401" s="264"/>
      <c r="AZ401" s="264"/>
      <c r="BA401" s="264"/>
      <c r="BB401" s="264"/>
      <c r="BC401" s="264"/>
      <c r="BD401" s="266"/>
      <c r="BE401" s="266"/>
      <c r="BF401" s="266"/>
      <c r="BG401" s="266"/>
      <c r="BH401" s="266"/>
      <c r="BI401" s="1000"/>
      <c r="BJ401" s="1000"/>
      <c r="BK401" s="1000"/>
      <c r="BL401" s="1000"/>
      <c r="BM401" s="1000"/>
      <c r="BN401" s="265"/>
      <c r="BO401" s="265"/>
      <c r="BP401" s="265"/>
      <c r="BQ401" s="265"/>
      <c r="BR401" s="265"/>
      <c r="BS401" s="265"/>
      <c r="BT401" s="265"/>
      <c r="BU401" s="265"/>
      <c r="BV401" s="265"/>
      <c r="BW401" s="265"/>
      <c r="BX401" s="265"/>
      <c r="BY401" s="265"/>
      <c r="BZ401" s="265"/>
      <c r="CA401" s="265"/>
      <c r="CB401" s="265"/>
      <c r="CC401" s="265"/>
      <c r="CD401" s="265"/>
      <c r="CE401" s="265"/>
      <c r="CF401" s="265"/>
      <c r="CG401" s="265"/>
      <c r="CH401" s="265"/>
      <c r="CI401" s="265"/>
      <c r="CJ401" s="265"/>
      <c r="CK401" s="265"/>
      <c r="CL401" s="265"/>
      <c r="CM401" s="265"/>
      <c r="CN401" s="265"/>
      <c r="CO401" s="265"/>
      <c r="CP401" s="265"/>
      <c r="CQ401" s="265"/>
      <c r="CR401" s="265"/>
      <c r="CS401" s="265"/>
      <c r="CT401" s="265"/>
      <c r="CU401" s="265"/>
      <c r="CV401" s="265"/>
      <c r="CW401" s="265"/>
      <c r="CX401" s="265"/>
      <c r="CY401" s="265"/>
      <c r="CZ401" s="268"/>
    </row>
    <row r="402" spans="1:104" hidden="1" outlineLevel="1">
      <c r="A402" s="264"/>
      <c r="B402" s="264" t="s">
        <v>662</v>
      </c>
      <c r="C402" s="268"/>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c r="AA402" s="264"/>
      <c r="AB402" s="264"/>
      <c r="AC402" s="264"/>
      <c r="AD402" s="265"/>
      <c r="AE402" s="264"/>
      <c r="AF402" s="264"/>
      <c r="AG402" s="264"/>
      <c r="AH402" s="264"/>
      <c r="AI402" s="265"/>
      <c r="AJ402" s="264"/>
      <c r="AK402" s="264"/>
      <c r="AL402" s="264"/>
      <c r="AM402" s="264"/>
      <c r="AN402" s="265"/>
      <c r="AO402" s="265">
        <v>1.0009999999999999</v>
      </c>
      <c r="AP402" s="265">
        <v>1.032</v>
      </c>
      <c r="AQ402" s="265">
        <v>1.048</v>
      </c>
      <c r="AR402" s="265">
        <v>1.103</v>
      </c>
      <c r="AS402" s="264"/>
      <c r="AT402" s="264">
        <v>1.1359999999999999</v>
      </c>
      <c r="AU402" s="264"/>
      <c r="AV402" s="264"/>
      <c r="AW402" s="264"/>
      <c r="AX402" s="264"/>
      <c r="AY402" s="264"/>
      <c r="AZ402" s="264"/>
      <c r="BA402" s="264"/>
      <c r="BB402" s="264"/>
      <c r="BC402" s="264"/>
      <c r="BD402" s="266"/>
      <c r="BE402" s="266"/>
      <c r="BF402" s="266"/>
      <c r="BG402" s="266"/>
      <c r="BH402" s="266"/>
      <c r="BI402" s="1000"/>
      <c r="BJ402" s="1000"/>
      <c r="BK402" s="1000"/>
      <c r="BL402" s="1000"/>
      <c r="BM402" s="1000"/>
      <c r="BN402" s="265"/>
      <c r="BO402" s="265"/>
      <c r="BP402" s="265"/>
      <c r="BQ402" s="265"/>
      <c r="BR402" s="265"/>
      <c r="BS402" s="265"/>
      <c r="BT402" s="265"/>
      <c r="BU402" s="265"/>
      <c r="BV402" s="265"/>
      <c r="BW402" s="265"/>
      <c r="BX402" s="265"/>
      <c r="BY402" s="265"/>
      <c r="BZ402" s="265"/>
      <c r="CA402" s="265"/>
      <c r="CB402" s="265"/>
      <c r="CC402" s="265"/>
      <c r="CD402" s="265"/>
      <c r="CE402" s="265"/>
      <c r="CF402" s="265"/>
      <c r="CG402" s="265"/>
      <c r="CH402" s="265"/>
      <c r="CI402" s="265"/>
      <c r="CJ402" s="265"/>
      <c r="CK402" s="265"/>
      <c r="CL402" s="265"/>
      <c r="CM402" s="265"/>
      <c r="CN402" s="265"/>
      <c r="CO402" s="265"/>
      <c r="CP402" s="265"/>
      <c r="CQ402" s="265"/>
      <c r="CR402" s="265"/>
      <c r="CS402" s="265"/>
      <c r="CT402" s="265"/>
      <c r="CU402" s="265"/>
      <c r="CV402" s="265"/>
      <c r="CW402" s="265"/>
      <c r="CX402" s="265"/>
      <c r="CY402" s="265"/>
      <c r="CZ402" s="268"/>
    </row>
    <row r="403" spans="1:104" hidden="1" outlineLevel="1">
      <c r="A403" s="264"/>
      <c r="B403" s="264" t="s">
        <v>171</v>
      </c>
      <c r="C403" s="268"/>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c r="AA403" s="264"/>
      <c r="AB403" s="264"/>
      <c r="AC403" s="264"/>
      <c r="AD403" s="265"/>
      <c r="AE403" s="264"/>
      <c r="AF403" s="264"/>
      <c r="AG403" s="264"/>
      <c r="AH403" s="264"/>
      <c r="AI403" s="265"/>
      <c r="AJ403" s="264"/>
      <c r="AK403" s="264"/>
      <c r="AL403" s="264"/>
      <c r="AM403" s="264"/>
      <c r="AN403" s="265"/>
      <c r="AO403" s="265">
        <v>1.0009999999999999</v>
      </c>
      <c r="AP403" s="265">
        <v>1.0620000000000001</v>
      </c>
      <c r="AQ403" s="265">
        <v>1.117</v>
      </c>
      <c r="AR403" s="265">
        <v>1.196</v>
      </c>
      <c r="AS403" s="264"/>
      <c r="AT403" s="264">
        <v>1.171</v>
      </c>
      <c r="AU403" s="264"/>
      <c r="AV403" s="264"/>
      <c r="AW403" s="264"/>
      <c r="AX403" s="264"/>
      <c r="AY403" s="264"/>
      <c r="AZ403" s="264"/>
      <c r="BA403" s="264"/>
      <c r="BB403" s="264"/>
      <c r="BC403" s="264"/>
      <c r="BD403" s="266"/>
      <c r="BE403" s="266"/>
      <c r="BF403" s="266"/>
      <c r="BG403" s="266"/>
      <c r="BH403" s="266"/>
      <c r="BI403" s="1000"/>
      <c r="BJ403" s="1000"/>
      <c r="BK403" s="1000"/>
      <c r="BL403" s="1000"/>
      <c r="BM403" s="1000"/>
      <c r="BN403" s="265"/>
      <c r="BO403" s="265"/>
      <c r="BP403" s="265"/>
      <c r="BQ403" s="265"/>
      <c r="BR403" s="265"/>
      <c r="BS403" s="265"/>
      <c r="BT403" s="265"/>
      <c r="BU403" s="265"/>
      <c r="BV403" s="265"/>
      <c r="BW403" s="265"/>
      <c r="BX403" s="265"/>
      <c r="BY403" s="265"/>
      <c r="BZ403" s="265"/>
      <c r="CA403" s="265"/>
      <c r="CB403" s="265"/>
      <c r="CC403" s="265"/>
      <c r="CD403" s="265"/>
      <c r="CE403" s="265"/>
      <c r="CF403" s="265"/>
      <c r="CG403" s="265"/>
      <c r="CH403" s="265"/>
      <c r="CI403" s="265"/>
      <c r="CJ403" s="265"/>
      <c r="CK403" s="265"/>
      <c r="CL403" s="265"/>
      <c r="CM403" s="265"/>
      <c r="CN403" s="265"/>
      <c r="CO403" s="265"/>
      <c r="CP403" s="265"/>
      <c r="CQ403" s="265"/>
      <c r="CR403" s="265"/>
      <c r="CS403" s="265"/>
      <c r="CT403" s="265"/>
      <c r="CU403" s="265"/>
      <c r="CV403" s="265"/>
      <c r="CW403" s="265"/>
      <c r="CX403" s="265"/>
      <c r="CY403" s="265"/>
      <c r="CZ403" s="268"/>
    </row>
    <row r="404" spans="1:104" hidden="1" outlineLevel="1">
      <c r="A404" s="264"/>
      <c r="B404" s="264"/>
      <c r="C404" s="268"/>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c r="AA404" s="264"/>
      <c r="AB404" s="264"/>
      <c r="AC404" s="264"/>
      <c r="AD404" s="265"/>
      <c r="AE404" s="264"/>
      <c r="AF404" s="264"/>
      <c r="AG404" s="264"/>
      <c r="AH404" s="264"/>
      <c r="AI404" s="265"/>
      <c r="AJ404" s="264"/>
      <c r="AK404" s="264"/>
      <c r="AL404" s="264"/>
      <c r="AM404" s="264"/>
      <c r="AN404" s="265"/>
      <c r="AO404" s="265"/>
      <c r="AP404" s="265"/>
      <c r="AQ404" s="265"/>
      <c r="AR404" s="265"/>
      <c r="AS404" s="264"/>
      <c r="AT404" s="264"/>
      <c r="AU404" s="264"/>
      <c r="AV404" s="264"/>
      <c r="AW404" s="264"/>
      <c r="AX404" s="264"/>
      <c r="AY404" s="264"/>
      <c r="AZ404" s="264"/>
      <c r="BA404" s="264"/>
      <c r="BB404" s="264"/>
      <c r="BC404" s="264"/>
      <c r="BD404" s="266"/>
      <c r="BE404" s="266"/>
      <c r="BF404" s="266"/>
      <c r="BG404" s="266"/>
      <c r="BH404" s="266"/>
      <c r="BI404" s="1000"/>
      <c r="BJ404" s="1000"/>
      <c r="BK404" s="1000"/>
      <c r="BL404" s="1000"/>
      <c r="BM404" s="1000"/>
      <c r="BN404" s="265"/>
      <c r="BO404" s="265"/>
      <c r="BP404" s="265"/>
      <c r="BQ404" s="265"/>
      <c r="BR404" s="265"/>
      <c r="BS404" s="265"/>
      <c r="BT404" s="265"/>
      <c r="BU404" s="265"/>
      <c r="BV404" s="265"/>
      <c r="BW404" s="265"/>
      <c r="BX404" s="265"/>
      <c r="BY404" s="265"/>
      <c r="BZ404" s="265"/>
      <c r="CA404" s="265"/>
      <c r="CB404" s="265"/>
      <c r="CC404" s="265"/>
      <c r="CD404" s="265"/>
      <c r="CE404" s="265"/>
      <c r="CF404" s="265"/>
      <c r="CG404" s="265"/>
      <c r="CH404" s="265"/>
      <c r="CI404" s="265"/>
      <c r="CJ404" s="265"/>
      <c r="CK404" s="265"/>
      <c r="CL404" s="265"/>
      <c r="CM404" s="265"/>
      <c r="CN404" s="265"/>
      <c r="CO404" s="265"/>
      <c r="CP404" s="265"/>
      <c r="CQ404" s="265"/>
      <c r="CR404" s="265"/>
      <c r="CS404" s="265"/>
      <c r="CT404" s="265"/>
      <c r="CU404" s="265"/>
      <c r="CV404" s="265"/>
      <c r="CW404" s="265"/>
      <c r="CX404" s="265"/>
      <c r="CY404" s="265"/>
      <c r="CZ404" s="268"/>
    </row>
    <row r="405" spans="1:104" hidden="1" outlineLevel="1">
      <c r="A405" s="264"/>
      <c r="B405" s="266" t="s">
        <v>661</v>
      </c>
      <c r="C405" s="268"/>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c r="AA405" s="264"/>
      <c r="AB405" s="264"/>
      <c r="AC405" s="264"/>
      <c r="AD405" s="265"/>
      <c r="AE405" s="264"/>
      <c r="AF405" s="264"/>
      <c r="AG405" s="264"/>
      <c r="AH405" s="264"/>
      <c r="AI405" s="265"/>
      <c r="AJ405" s="264"/>
      <c r="AK405" s="264"/>
      <c r="AL405" s="264"/>
      <c r="AM405" s="264"/>
      <c r="AN405" s="265"/>
      <c r="AO405" s="265"/>
      <c r="AP405" s="265"/>
      <c r="AQ405" s="265"/>
      <c r="AR405" s="265"/>
      <c r="AS405" s="264"/>
      <c r="AT405" s="264"/>
      <c r="AU405" s="264"/>
      <c r="AV405" s="264"/>
      <c r="AW405" s="264"/>
      <c r="AX405" s="264"/>
      <c r="AY405" s="264"/>
      <c r="AZ405" s="264"/>
      <c r="BA405" s="264"/>
      <c r="BB405" s="264"/>
      <c r="BC405" s="264"/>
      <c r="BD405" s="266"/>
      <c r="BE405" s="266"/>
      <c r="BF405" s="266"/>
      <c r="BG405" s="266"/>
      <c r="BH405" s="266"/>
      <c r="BI405" s="1000"/>
      <c r="BJ405" s="1000"/>
      <c r="BK405" s="1000"/>
      <c r="BL405" s="1000"/>
      <c r="BM405" s="1000"/>
      <c r="BN405" s="265"/>
      <c r="BO405" s="265"/>
      <c r="BP405" s="265"/>
      <c r="BQ405" s="265"/>
      <c r="BR405" s="265"/>
      <c r="BS405" s="265"/>
      <c r="BT405" s="265"/>
      <c r="BU405" s="265"/>
      <c r="BV405" s="265"/>
      <c r="BW405" s="265"/>
      <c r="BX405" s="265"/>
      <c r="BY405" s="265"/>
      <c r="BZ405" s="265"/>
      <c r="CA405" s="265"/>
      <c r="CB405" s="265"/>
      <c r="CC405" s="265"/>
      <c r="CD405" s="265"/>
      <c r="CE405" s="265"/>
      <c r="CF405" s="265"/>
      <c r="CG405" s="265"/>
      <c r="CH405" s="265"/>
      <c r="CI405" s="265"/>
      <c r="CJ405" s="265"/>
      <c r="CK405" s="265"/>
      <c r="CL405" s="265"/>
      <c r="CM405" s="265"/>
      <c r="CN405" s="265"/>
      <c r="CO405" s="265"/>
      <c r="CP405" s="265"/>
      <c r="CQ405" s="265"/>
      <c r="CR405" s="265"/>
      <c r="CS405" s="265"/>
      <c r="CT405" s="265"/>
      <c r="CU405" s="265"/>
      <c r="CV405" s="265"/>
      <c r="CW405" s="265"/>
      <c r="CX405" s="265"/>
      <c r="CY405" s="265"/>
      <c r="CZ405" s="268"/>
    </row>
    <row r="406" spans="1:104" hidden="1" outlineLevel="1">
      <c r="A406" s="264"/>
      <c r="B406" s="264" t="s">
        <v>660</v>
      </c>
      <c r="C406" s="268"/>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c r="AA406" s="264"/>
      <c r="AB406" s="264"/>
      <c r="AC406" s="264"/>
      <c r="AD406" s="265"/>
      <c r="AE406" s="264"/>
      <c r="AF406" s="264"/>
      <c r="AG406" s="264"/>
      <c r="AH406" s="264"/>
      <c r="AI406" s="265"/>
      <c r="AJ406" s="264"/>
      <c r="AK406" s="264"/>
      <c r="AL406" s="264"/>
      <c r="AM406" s="264"/>
      <c r="AN406" s="265"/>
      <c r="AO406" s="265">
        <v>1</v>
      </c>
      <c r="AP406" s="265">
        <v>1.1180000000000001</v>
      </c>
      <c r="AQ406" s="265">
        <v>1.2929999999999999</v>
      </c>
      <c r="AR406" s="265">
        <v>1.5589999999999999</v>
      </c>
      <c r="AS406" s="264"/>
      <c r="AT406" s="264">
        <v>1.68</v>
      </c>
      <c r="AU406" s="264"/>
      <c r="AV406" s="264"/>
      <c r="AW406" s="264"/>
      <c r="AX406" s="264"/>
      <c r="AY406" s="264"/>
      <c r="AZ406" s="264"/>
      <c r="BA406" s="264"/>
      <c r="BB406" s="264"/>
      <c r="BC406" s="264"/>
      <c r="BD406" s="266"/>
      <c r="BE406" s="266"/>
      <c r="BF406" s="266"/>
      <c r="BG406" s="266"/>
      <c r="BH406" s="266"/>
      <c r="BI406" s="1000"/>
      <c r="BJ406" s="1000"/>
      <c r="BK406" s="1000"/>
      <c r="BL406" s="1000"/>
      <c r="BM406" s="1000"/>
      <c r="BN406" s="265"/>
      <c r="BO406" s="265"/>
      <c r="BP406" s="265"/>
      <c r="BQ406" s="265"/>
      <c r="BR406" s="265"/>
      <c r="BS406" s="265"/>
      <c r="BT406" s="265"/>
      <c r="BU406" s="265"/>
      <c r="BV406" s="265"/>
      <c r="BW406" s="265"/>
      <c r="BX406" s="265"/>
      <c r="BY406" s="265"/>
      <c r="BZ406" s="265"/>
      <c r="CA406" s="265"/>
      <c r="CB406" s="265"/>
      <c r="CC406" s="265"/>
      <c r="CD406" s="265"/>
      <c r="CE406" s="265"/>
      <c r="CF406" s="265"/>
      <c r="CG406" s="265"/>
      <c r="CH406" s="265"/>
      <c r="CI406" s="265"/>
      <c r="CJ406" s="265"/>
      <c r="CK406" s="265"/>
      <c r="CL406" s="265"/>
      <c r="CM406" s="265"/>
      <c r="CN406" s="265"/>
      <c r="CO406" s="265"/>
      <c r="CP406" s="265"/>
      <c r="CQ406" s="265"/>
      <c r="CR406" s="265"/>
      <c r="CS406" s="265"/>
      <c r="CT406" s="265"/>
      <c r="CU406" s="265"/>
      <c r="CV406" s="265"/>
      <c r="CW406" s="265"/>
      <c r="CX406" s="265"/>
      <c r="CY406" s="265"/>
      <c r="CZ406" s="268"/>
    </row>
    <row r="407" spans="1:104" hidden="1" outlineLevel="1">
      <c r="A407" s="264"/>
      <c r="B407" s="264" t="s">
        <v>659</v>
      </c>
      <c r="C407" s="268"/>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c r="AA407" s="264"/>
      <c r="AB407" s="264"/>
      <c r="AC407" s="264"/>
      <c r="AD407" s="265"/>
      <c r="AE407" s="264"/>
      <c r="AF407" s="264"/>
      <c r="AG407" s="264"/>
      <c r="AH407" s="264"/>
      <c r="AI407" s="265"/>
      <c r="AJ407" s="264"/>
      <c r="AK407" s="264"/>
      <c r="AL407" s="264"/>
      <c r="AM407" s="264"/>
      <c r="AN407" s="265"/>
      <c r="AO407" s="265">
        <v>1.006</v>
      </c>
      <c r="AP407" s="265">
        <v>1.284</v>
      </c>
      <c r="AQ407" s="265">
        <v>1.302</v>
      </c>
      <c r="AR407" s="265">
        <v>1.2210000000000001</v>
      </c>
      <c r="AS407" s="264"/>
      <c r="AT407" s="264">
        <v>1.3080000000000001</v>
      </c>
      <c r="AU407" s="264"/>
      <c r="AV407" s="264"/>
      <c r="AW407" s="264"/>
      <c r="AX407" s="264"/>
      <c r="AY407" s="264"/>
      <c r="AZ407" s="264"/>
      <c r="BA407" s="264"/>
      <c r="BB407" s="264"/>
      <c r="BC407" s="264"/>
      <c r="BD407" s="266"/>
      <c r="BE407" s="266"/>
      <c r="BF407" s="266"/>
      <c r="BG407" s="266"/>
      <c r="BH407" s="266"/>
      <c r="BI407" s="1000"/>
      <c r="BJ407" s="1000"/>
      <c r="BK407" s="1000"/>
      <c r="BL407" s="1000"/>
      <c r="BM407" s="1000"/>
      <c r="BN407" s="265"/>
      <c r="BO407" s="265"/>
      <c r="BP407" s="265"/>
      <c r="BQ407" s="265"/>
      <c r="BR407" s="265"/>
      <c r="BS407" s="265"/>
      <c r="BT407" s="265"/>
      <c r="BU407" s="265"/>
      <c r="BV407" s="265"/>
      <c r="BW407" s="265"/>
      <c r="BX407" s="265"/>
      <c r="BY407" s="265"/>
      <c r="BZ407" s="265"/>
      <c r="CA407" s="265"/>
      <c r="CB407" s="265"/>
      <c r="CC407" s="265"/>
      <c r="CD407" s="265"/>
      <c r="CE407" s="265"/>
      <c r="CF407" s="265"/>
      <c r="CG407" s="265"/>
      <c r="CH407" s="265"/>
      <c r="CI407" s="265"/>
      <c r="CJ407" s="265"/>
      <c r="CK407" s="265"/>
      <c r="CL407" s="265"/>
      <c r="CM407" s="265"/>
      <c r="CN407" s="265"/>
      <c r="CO407" s="265"/>
      <c r="CP407" s="265"/>
      <c r="CQ407" s="265"/>
      <c r="CR407" s="265"/>
      <c r="CS407" s="265"/>
      <c r="CT407" s="265"/>
      <c r="CU407" s="265"/>
      <c r="CV407" s="265"/>
      <c r="CW407" s="265"/>
      <c r="CX407" s="265"/>
      <c r="CY407" s="265"/>
      <c r="CZ407" s="268"/>
    </row>
    <row r="408" spans="1:104" hidden="1" outlineLevel="1">
      <c r="A408" s="264"/>
      <c r="B408" s="264" t="s">
        <v>658</v>
      </c>
      <c r="C408" s="268"/>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c r="AA408" s="264"/>
      <c r="AB408" s="264"/>
      <c r="AC408" s="264"/>
      <c r="AD408" s="265"/>
      <c r="AE408" s="264"/>
      <c r="AF408" s="264"/>
      <c r="AG408" s="264"/>
      <c r="AH408" s="264"/>
      <c r="AI408" s="265"/>
      <c r="AJ408" s="264"/>
      <c r="AK408" s="264"/>
      <c r="AL408" s="264"/>
      <c r="AM408" s="264"/>
      <c r="AN408" s="265"/>
      <c r="AO408" s="265">
        <v>1.0029999999999999</v>
      </c>
      <c r="AP408" s="265">
        <v>1.024</v>
      </c>
      <c r="AQ408" s="265">
        <v>1.006</v>
      </c>
      <c r="AR408" s="265">
        <v>1.006</v>
      </c>
      <c r="AS408" s="264"/>
      <c r="AT408" s="264">
        <v>1.2270000000000001</v>
      </c>
      <c r="AU408" s="264"/>
      <c r="AV408" s="264"/>
      <c r="AW408" s="264"/>
      <c r="AX408" s="264"/>
      <c r="AY408" s="264"/>
      <c r="AZ408" s="264"/>
      <c r="BA408" s="264"/>
      <c r="BB408" s="264"/>
      <c r="BC408" s="264"/>
      <c r="BD408" s="266"/>
      <c r="BE408" s="266"/>
      <c r="BF408" s="266"/>
      <c r="BG408" s="266"/>
      <c r="BH408" s="266"/>
      <c r="BI408" s="1000"/>
      <c r="BJ408" s="1000"/>
      <c r="BK408" s="1000"/>
      <c r="BL408" s="1000"/>
      <c r="BM408" s="1000"/>
      <c r="BN408" s="265"/>
      <c r="BO408" s="265"/>
      <c r="BP408" s="265"/>
      <c r="BQ408" s="265"/>
      <c r="BR408" s="265"/>
      <c r="BS408" s="265"/>
      <c r="BT408" s="265"/>
      <c r="BU408" s="265"/>
      <c r="BV408" s="265"/>
      <c r="BW408" s="265"/>
      <c r="BX408" s="265"/>
      <c r="BY408" s="265"/>
      <c r="BZ408" s="265"/>
      <c r="CA408" s="265"/>
      <c r="CB408" s="265"/>
      <c r="CC408" s="265"/>
      <c r="CD408" s="265"/>
      <c r="CE408" s="265"/>
      <c r="CF408" s="265"/>
      <c r="CG408" s="265"/>
      <c r="CH408" s="265"/>
      <c r="CI408" s="265"/>
      <c r="CJ408" s="265"/>
      <c r="CK408" s="265"/>
      <c r="CL408" s="265"/>
      <c r="CM408" s="265"/>
      <c r="CN408" s="265"/>
      <c r="CO408" s="265"/>
      <c r="CP408" s="265"/>
      <c r="CQ408" s="265"/>
      <c r="CR408" s="265"/>
      <c r="CS408" s="265"/>
      <c r="CT408" s="265"/>
      <c r="CU408" s="265"/>
      <c r="CV408" s="265"/>
      <c r="CW408" s="265"/>
      <c r="CX408" s="265"/>
      <c r="CY408" s="265"/>
      <c r="CZ408" s="268"/>
    </row>
    <row r="409" spans="1:104" hidden="1" outlineLevel="1">
      <c r="A409" s="264"/>
      <c r="B409" s="264"/>
      <c r="C409" s="268"/>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c r="AA409" s="264"/>
      <c r="AB409" s="264"/>
      <c r="AC409" s="264"/>
      <c r="AD409" s="265"/>
      <c r="AE409" s="264"/>
      <c r="AF409" s="264"/>
      <c r="AG409" s="264"/>
      <c r="AH409" s="264"/>
      <c r="AI409" s="265"/>
      <c r="AJ409" s="264"/>
      <c r="AK409" s="264"/>
      <c r="AL409" s="264"/>
      <c r="AM409" s="264"/>
      <c r="AN409" s="265"/>
      <c r="AO409" s="265"/>
      <c r="AP409" s="265"/>
      <c r="AQ409" s="265"/>
      <c r="AR409" s="265"/>
      <c r="AS409" s="264"/>
      <c r="AT409" s="264"/>
      <c r="AU409" s="264"/>
      <c r="AV409" s="264"/>
      <c r="AW409" s="264"/>
      <c r="AX409" s="264"/>
      <c r="AY409" s="264"/>
      <c r="AZ409" s="264"/>
      <c r="BA409" s="264"/>
      <c r="BB409" s="264"/>
      <c r="BC409" s="264"/>
      <c r="BD409" s="266"/>
      <c r="BE409" s="266"/>
      <c r="BF409" s="266"/>
      <c r="BG409" s="266"/>
      <c r="BH409" s="266"/>
      <c r="BI409" s="1000"/>
      <c r="BJ409" s="1000"/>
      <c r="BK409" s="1000"/>
      <c r="BL409" s="1000"/>
      <c r="BM409" s="1000"/>
      <c r="BN409" s="265"/>
      <c r="BO409" s="265"/>
      <c r="BP409" s="265"/>
      <c r="BQ409" s="265"/>
      <c r="BR409" s="265"/>
      <c r="BS409" s="265"/>
      <c r="BT409" s="265"/>
      <c r="BU409" s="265"/>
      <c r="BV409" s="265"/>
      <c r="BW409" s="265"/>
      <c r="BX409" s="265"/>
      <c r="BY409" s="265"/>
      <c r="BZ409" s="265"/>
      <c r="CA409" s="265"/>
      <c r="CB409" s="265"/>
      <c r="CC409" s="265"/>
      <c r="CD409" s="265"/>
      <c r="CE409" s="265"/>
      <c r="CF409" s="265"/>
      <c r="CG409" s="265"/>
      <c r="CH409" s="265"/>
      <c r="CI409" s="265"/>
      <c r="CJ409" s="265"/>
      <c r="CK409" s="265"/>
      <c r="CL409" s="265"/>
      <c r="CM409" s="265"/>
      <c r="CN409" s="265"/>
      <c r="CO409" s="265"/>
      <c r="CP409" s="265"/>
      <c r="CQ409" s="265"/>
      <c r="CR409" s="265"/>
      <c r="CS409" s="265"/>
      <c r="CT409" s="265"/>
      <c r="CU409" s="265"/>
      <c r="CV409" s="265"/>
      <c r="CW409" s="265"/>
      <c r="CX409" s="265"/>
      <c r="CY409" s="265"/>
      <c r="CZ409" s="268"/>
    </row>
    <row r="410" spans="1:104" hidden="1" outlineLevel="1">
      <c r="A410" s="264"/>
      <c r="B410" s="266" t="s">
        <v>657</v>
      </c>
      <c r="C410" s="268"/>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c r="AA410" s="264"/>
      <c r="AB410" s="264"/>
      <c r="AC410" s="264"/>
      <c r="AD410" s="265"/>
      <c r="AE410" s="264"/>
      <c r="AF410" s="264"/>
      <c r="AG410" s="264"/>
      <c r="AH410" s="264"/>
      <c r="AI410" s="265"/>
      <c r="AJ410" s="264"/>
      <c r="AK410" s="264"/>
      <c r="AL410" s="264"/>
      <c r="AM410" s="264"/>
      <c r="AN410" s="265"/>
      <c r="AO410" s="265"/>
      <c r="AP410" s="265"/>
      <c r="AQ410" s="265"/>
      <c r="AR410" s="265"/>
      <c r="AS410" s="264"/>
      <c r="AT410" s="264"/>
      <c r="AU410" s="264"/>
      <c r="AV410" s="264"/>
      <c r="AW410" s="264"/>
      <c r="AX410" s="264"/>
      <c r="AY410" s="264"/>
      <c r="AZ410" s="264"/>
      <c r="BA410" s="264"/>
      <c r="BB410" s="264"/>
      <c r="BC410" s="264"/>
      <c r="BD410" s="266"/>
      <c r="BE410" s="266"/>
      <c r="BF410" s="266"/>
      <c r="BG410" s="266"/>
      <c r="BH410" s="266"/>
      <c r="BI410" s="1000"/>
      <c r="BJ410" s="1000"/>
      <c r="BK410" s="1000"/>
      <c r="BL410" s="1000"/>
      <c r="BM410" s="1000"/>
      <c r="BN410" s="265"/>
      <c r="BO410" s="265"/>
      <c r="BP410" s="265"/>
      <c r="BQ410" s="265"/>
      <c r="BR410" s="265"/>
      <c r="BS410" s="265"/>
      <c r="BT410" s="265"/>
      <c r="BU410" s="265"/>
      <c r="BV410" s="265"/>
      <c r="BW410" s="265"/>
      <c r="BX410" s="265"/>
      <c r="BY410" s="265"/>
      <c r="BZ410" s="265"/>
      <c r="CA410" s="265"/>
      <c r="CB410" s="265"/>
      <c r="CC410" s="265"/>
      <c r="CD410" s="265"/>
      <c r="CE410" s="265"/>
      <c r="CF410" s="265"/>
      <c r="CG410" s="265"/>
      <c r="CH410" s="265"/>
      <c r="CI410" s="265"/>
      <c r="CJ410" s="265"/>
      <c r="CK410" s="265"/>
      <c r="CL410" s="265"/>
      <c r="CM410" s="265"/>
      <c r="CN410" s="265"/>
      <c r="CO410" s="265"/>
      <c r="CP410" s="265"/>
      <c r="CQ410" s="265"/>
      <c r="CR410" s="265"/>
      <c r="CS410" s="265"/>
      <c r="CT410" s="265"/>
      <c r="CU410" s="265"/>
      <c r="CV410" s="265"/>
      <c r="CW410" s="265"/>
      <c r="CX410" s="265"/>
      <c r="CY410" s="265"/>
      <c r="CZ410" s="268"/>
    </row>
    <row r="411" spans="1:104" hidden="1" outlineLevel="1">
      <c r="A411" s="264"/>
      <c r="B411" s="264" t="s">
        <v>656</v>
      </c>
      <c r="C411" s="268"/>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c r="AA411" s="264"/>
      <c r="AB411" s="264"/>
      <c r="AC411" s="264"/>
      <c r="AD411" s="265"/>
      <c r="AE411" s="264"/>
      <c r="AF411" s="264"/>
      <c r="AG411" s="264"/>
      <c r="AH411" s="264"/>
      <c r="AI411" s="575">
        <v>3.4</v>
      </c>
      <c r="AJ411" s="1038"/>
      <c r="AK411" s="1038"/>
      <c r="AL411" s="1038"/>
      <c r="AM411" s="1038"/>
      <c r="AN411" s="575">
        <v>4</v>
      </c>
      <c r="AO411" s="575"/>
      <c r="AP411" s="575"/>
      <c r="AQ411" s="575"/>
      <c r="AR411" s="575"/>
      <c r="AS411" s="1038">
        <v>3.9</v>
      </c>
      <c r="AT411" s="1038"/>
      <c r="AU411" s="1038"/>
      <c r="AV411" s="1038"/>
      <c r="AW411" s="1038"/>
      <c r="AX411" s="1038">
        <v>3</v>
      </c>
      <c r="AY411" s="264"/>
      <c r="AZ411" s="264"/>
      <c r="BA411" s="264"/>
      <c r="BB411" s="264"/>
      <c r="BC411" s="264"/>
      <c r="BD411" s="266"/>
      <c r="BE411" s="266"/>
      <c r="BF411" s="266"/>
      <c r="BG411" s="266"/>
      <c r="BH411" s="266"/>
      <c r="BI411" s="1000"/>
      <c r="BJ411" s="1000"/>
      <c r="BK411" s="1000"/>
      <c r="BL411" s="1000"/>
      <c r="BM411" s="1000"/>
      <c r="BN411" s="265"/>
      <c r="BO411" s="265"/>
      <c r="BP411" s="265"/>
      <c r="BQ411" s="265"/>
      <c r="BR411" s="265"/>
      <c r="BS411" s="265"/>
      <c r="BT411" s="265"/>
      <c r="BU411" s="265"/>
      <c r="BV411" s="265"/>
      <c r="BW411" s="265"/>
      <c r="BX411" s="265"/>
      <c r="BY411" s="265"/>
      <c r="BZ411" s="265"/>
      <c r="CA411" s="265"/>
      <c r="CB411" s="265"/>
      <c r="CC411" s="265"/>
      <c r="CD411" s="265"/>
      <c r="CE411" s="265"/>
      <c r="CF411" s="265"/>
      <c r="CG411" s="265"/>
      <c r="CH411" s="265"/>
      <c r="CI411" s="265"/>
      <c r="CJ411" s="265"/>
      <c r="CK411" s="265"/>
      <c r="CL411" s="265"/>
      <c r="CM411" s="265"/>
      <c r="CN411" s="265"/>
      <c r="CO411" s="265"/>
      <c r="CP411" s="265"/>
      <c r="CQ411" s="265"/>
      <c r="CR411" s="265"/>
      <c r="CS411" s="265"/>
      <c r="CT411" s="265"/>
      <c r="CU411" s="265"/>
      <c r="CV411" s="265"/>
      <c r="CW411" s="265"/>
      <c r="CX411" s="265"/>
      <c r="CY411" s="265"/>
      <c r="CZ411" s="268"/>
    </row>
    <row r="412" spans="1:104" hidden="1" outlineLevel="1">
      <c r="A412" s="264"/>
      <c r="B412" s="264" t="s">
        <v>500</v>
      </c>
      <c r="C412" s="268"/>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c r="AA412" s="264"/>
      <c r="AB412" s="264"/>
      <c r="AC412" s="264"/>
      <c r="AD412" s="265"/>
      <c r="AE412" s="264"/>
      <c r="AF412" s="264"/>
      <c r="AG412" s="264"/>
      <c r="AH412" s="264"/>
      <c r="AI412" s="575">
        <v>3.1</v>
      </c>
      <c r="AJ412" s="1038"/>
      <c r="AK412" s="1038"/>
      <c r="AL412" s="1038"/>
      <c r="AM412" s="1038"/>
      <c r="AN412" s="575">
        <v>3</v>
      </c>
      <c r="AO412" s="575"/>
      <c r="AP412" s="575"/>
      <c r="AQ412" s="575"/>
      <c r="AR412" s="575"/>
      <c r="AS412" s="1038">
        <v>2.2999999999999998</v>
      </c>
      <c r="AT412" s="1038"/>
      <c r="AU412" s="1038"/>
      <c r="AV412" s="1038"/>
      <c r="AW412" s="1038"/>
      <c r="AX412" s="1038">
        <v>1.3</v>
      </c>
      <c r="AY412" s="264"/>
      <c r="AZ412" s="264"/>
      <c r="BA412" s="264"/>
      <c r="BB412" s="264"/>
      <c r="BC412" s="264"/>
      <c r="BD412" s="266"/>
      <c r="BE412" s="266"/>
      <c r="BF412" s="266"/>
      <c r="BG412" s="266"/>
      <c r="BH412" s="266"/>
      <c r="BI412" s="1000"/>
      <c r="BJ412" s="1000"/>
      <c r="BK412" s="1000"/>
      <c r="BL412" s="1000"/>
      <c r="BM412" s="1000"/>
      <c r="BN412" s="265"/>
      <c r="BO412" s="265"/>
      <c r="BP412" s="265"/>
      <c r="BQ412" s="265"/>
      <c r="BR412" s="265"/>
      <c r="BS412" s="265"/>
      <c r="BT412" s="265"/>
      <c r="BU412" s="265"/>
      <c r="BV412" s="265"/>
      <c r="BW412" s="265"/>
      <c r="BX412" s="265"/>
      <c r="BY412" s="265"/>
      <c r="BZ412" s="265"/>
      <c r="CA412" s="265"/>
      <c r="CB412" s="265"/>
      <c r="CC412" s="265"/>
      <c r="CD412" s="265"/>
      <c r="CE412" s="265"/>
      <c r="CF412" s="265"/>
      <c r="CG412" s="265"/>
      <c r="CH412" s="265"/>
      <c r="CI412" s="265"/>
      <c r="CJ412" s="265"/>
      <c r="CK412" s="265"/>
      <c r="CL412" s="265"/>
      <c r="CM412" s="265"/>
      <c r="CN412" s="265"/>
      <c r="CO412" s="265"/>
      <c r="CP412" s="265"/>
      <c r="CQ412" s="265"/>
      <c r="CR412" s="265"/>
      <c r="CS412" s="265"/>
      <c r="CT412" s="265"/>
      <c r="CU412" s="265"/>
      <c r="CV412" s="265"/>
      <c r="CW412" s="265"/>
      <c r="CX412" s="265"/>
      <c r="CY412" s="265"/>
      <c r="CZ412" s="268"/>
    </row>
    <row r="413" spans="1:104" hidden="1" outlineLevel="1">
      <c r="A413" s="264"/>
      <c r="B413" s="264" t="s">
        <v>655</v>
      </c>
      <c r="C413" s="268"/>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c r="AA413" s="264"/>
      <c r="AB413" s="264"/>
      <c r="AC413" s="264"/>
      <c r="AD413" s="265"/>
      <c r="AE413" s="264"/>
      <c r="AF413" s="264"/>
      <c r="AG413" s="264"/>
      <c r="AH413" s="264"/>
      <c r="AI413" s="575">
        <v>1.8</v>
      </c>
      <c r="AJ413" s="1038"/>
      <c r="AK413" s="1038"/>
      <c r="AL413" s="1038"/>
      <c r="AM413" s="1038"/>
      <c r="AN413" s="575">
        <v>2.9</v>
      </c>
      <c r="AO413" s="575"/>
      <c r="AP413" s="575"/>
      <c r="AQ413" s="575"/>
      <c r="AR413" s="575"/>
      <c r="AS413" s="1038">
        <v>2.7</v>
      </c>
      <c r="AT413" s="1038"/>
      <c r="AU413" s="1038"/>
      <c r="AV413" s="1038"/>
      <c r="AW413" s="1038"/>
      <c r="AX413" s="1038">
        <v>1.5</v>
      </c>
      <c r="AY413" s="264"/>
      <c r="AZ413" s="264"/>
      <c r="BA413" s="264"/>
      <c r="BB413" s="264"/>
      <c r="BC413" s="264"/>
      <c r="BD413" s="266"/>
      <c r="BE413" s="266"/>
      <c r="BF413" s="266"/>
      <c r="BG413" s="266"/>
      <c r="BH413" s="266"/>
      <c r="BI413" s="1000"/>
      <c r="BJ413" s="1000"/>
      <c r="BK413" s="1000"/>
      <c r="BL413" s="1000"/>
      <c r="BM413" s="1000"/>
      <c r="BN413" s="265"/>
      <c r="BO413" s="265"/>
      <c r="BP413" s="265"/>
      <c r="BQ413" s="265"/>
      <c r="BR413" s="265"/>
      <c r="BS413" s="265"/>
      <c r="BT413" s="265"/>
      <c r="BU413" s="265"/>
      <c r="BV413" s="265"/>
      <c r="BW413" s="265"/>
      <c r="BX413" s="265"/>
      <c r="BY413" s="265"/>
      <c r="BZ413" s="265"/>
      <c r="CA413" s="265"/>
      <c r="CB413" s="265"/>
      <c r="CC413" s="265"/>
      <c r="CD413" s="265"/>
      <c r="CE413" s="265"/>
      <c r="CF413" s="265"/>
      <c r="CG413" s="265"/>
      <c r="CH413" s="265"/>
      <c r="CI413" s="265"/>
      <c r="CJ413" s="265"/>
      <c r="CK413" s="265"/>
      <c r="CL413" s="265"/>
      <c r="CM413" s="265"/>
      <c r="CN413" s="265"/>
      <c r="CO413" s="265"/>
      <c r="CP413" s="265"/>
      <c r="CQ413" s="265"/>
      <c r="CR413" s="265"/>
      <c r="CS413" s="265"/>
      <c r="CT413" s="265"/>
      <c r="CU413" s="265"/>
      <c r="CV413" s="265"/>
      <c r="CW413" s="265"/>
      <c r="CX413" s="265"/>
      <c r="CY413" s="265"/>
      <c r="CZ413" s="268"/>
    </row>
    <row r="414" spans="1:104" hidden="1" outlineLevel="1">
      <c r="A414" s="264"/>
      <c r="B414" s="264" t="s">
        <v>654</v>
      </c>
      <c r="C414" s="268"/>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c r="AA414" s="264"/>
      <c r="AB414" s="264"/>
      <c r="AC414" s="264"/>
      <c r="AD414" s="265"/>
      <c r="AE414" s="264"/>
      <c r="AF414" s="264"/>
      <c r="AG414" s="264"/>
      <c r="AH414" s="264"/>
      <c r="AI414" s="575">
        <v>6.9</v>
      </c>
      <c r="AJ414" s="1038"/>
      <c r="AK414" s="1038"/>
      <c r="AL414" s="1038"/>
      <c r="AM414" s="1038"/>
      <c r="AN414" s="575">
        <v>8.3000000000000007</v>
      </c>
      <c r="AO414" s="575"/>
      <c r="AP414" s="575"/>
      <c r="AQ414" s="575"/>
      <c r="AR414" s="575"/>
      <c r="AS414" s="1038">
        <v>8.6</v>
      </c>
      <c r="AT414" s="1038"/>
      <c r="AU414" s="1038"/>
      <c r="AV414" s="1038"/>
      <c r="AW414" s="1038"/>
      <c r="AX414" s="1038">
        <v>7.2</v>
      </c>
      <c r="AY414" s="264"/>
      <c r="AZ414" s="264"/>
      <c r="BA414" s="264"/>
      <c r="BB414" s="264"/>
      <c r="BC414" s="264"/>
      <c r="BD414" s="266"/>
      <c r="BE414" s="266"/>
      <c r="BF414" s="266"/>
      <c r="BG414" s="266"/>
      <c r="BH414" s="266"/>
      <c r="BI414" s="1000"/>
      <c r="BJ414" s="1000"/>
      <c r="BK414" s="1000"/>
      <c r="BL414" s="1000"/>
      <c r="BM414" s="1000"/>
      <c r="BN414" s="265"/>
      <c r="BO414" s="265"/>
      <c r="BP414" s="265"/>
      <c r="BQ414" s="265"/>
      <c r="BR414" s="265"/>
      <c r="BS414" s="265"/>
      <c r="BT414" s="265"/>
      <c r="BU414" s="265"/>
      <c r="BV414" s="265"/>
      <c r="BW414" s="265"/>
      <c r="BX414" s="265"/>
      <c r="BY414" s="265"/>
      <c r="BZ414" s="265"/>
      <c r="CA414" s="265"/>
      <c r="CB414" s="265"/>
      <c r="CC414" s="265"/>
      <c r="CD414" s="265"/>
      <c r="CE414" s="265"/>
      <c r="CF414" s="265"/>
      <c r="CG414" s="265"/>
      <c r="CH414" s="265"/>
      <c r="CI414" s="265"/>
      <c r="CJ414" s="265"/>
      <c r="CK414" s="265"/>
      <c r="CL414" s="265"/>
      <c r="CM414" s="265"/>
      <c r="CN414" s="265"/>
      <c r="CO414" s="265"/>
      <c r="CP414" s="265"/>
      <c r="CQ414" s="265"/>
      <c r="CR414" s="265"/>
      <c r="CS414" s="265"/>
      <c r="CT414" s="265"/>
      <c r="CU414" s="265"/>
      <c r="CV414" s="265"/>
      <c r="CW414" s="265"/>
      <c r="CX414" s="265"/>
      <c r="CY414" s="265"/>
      <c r="CZ414" s="268"/>
    </row>
    <row r="415" spans="1:104" hidden="1" outlineLevel="1">
      <c r="A415" s="264"/>
      <c r="B415" s="264" t="s">
        <v>653</v>
      </c>
      <c r="C415" s="268"/>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c r="AA415" s="264"/>
      <c r="AB415" s="264"/>
      <c r="AC415" s="264"/>
      <c r="AD415" s="265"/>
      <c r="AE415" s="264"/>
      <c r="AF415" s="264"/>
      <c r="AG415" s="264"/>
      <c r="AH415" s="264"/>
      <c r="AI415" s="575">
        <v>7.2</v>
      </c>
      <c r="AJ415" s="1038"/>
      <c r="AK415" s="1038"/>
      <c r="AL415" s="1038"/>
      <c r="AM415" s="1038"/>
      <c r="AN415" s="575">
        <v>7.7</v>
      </c>
      <c r="AO415" s="575"/>
      <c r="AP415" s="575"/>
      <c r="AQ415" s="575"/>
      <c r="AR415" s="575"/>
      <c r="AS415" s="1038">
        <v>8</v>
      </c>
      <c r="AT415" s="1038"/>
      <c r="AU415" s="1038"/>
      <c r="AV415" s="1038"/>
      <c r="AW415" s="1038"/>
      <c r="AX415" s="1038">
        <v>7.1</v>
      </c>
      <c r="AY415" s="264"/>
      <c r="AZ415" s="264"/>
      <c r="BA415" s="264"/>
      <c r="BB415" s="264"/>
      <c r="BC415" s="264"/>
      <c r="BD415" s="266"/>
      <c r="BE415" s="266"/>
      <c r="BF415" s="266"/>
      <c r="BG415" s="266"/>
      <c r="BH415" s="266"/>
      <c r="BI415" s="1000"/>
      <c r="BJ415" s="1000"/>
      <c r="BK415" s="1000"/>
      <c r="BL415" s="1000"/>
      <c r="BM415" s="1000"/>
      <c r="BN415" s="265"/>
      <c r="BO415" s="265"/>
      <c r="BP415" s="265"/>
      <c r="BQ415" s="265"/>
      <c r="BR415" s="265"/>
      <c r="BS415" s="265"/>
      <c r="BT415" s="265"/>
      <c r="BU415" s="265"/>
      <c r="BV415" s="265"/>
      <c r="BW415" s="265"/>
      <c r="BX415" s="265"/>
      <c r="BY415" s="265"/>
      <c r="BZ415" s="265"/>
      <c r="CA415" s="265"/>
      <c r="CB415" s="265"/>
      <c r="CC415" s="265"/>
      <c r="CD415" s="265"/>
      <c r="CE415" s="265"/>
      <c r="CF415" s="265"/>
      <c r="CG415" s="265"/>
      <c r="CH415" s="265"/>
      <c r="CI415" s="265"/>
      <c r="CJ415" s="265"/>
      <c r="CK415" s="265"/>
      <c r="CL415" s="265"/>
      <c r="CM415" s="265"/>
      <c r="CN415" s="265"/>
      <c r="CO415" s="265"/>
      <c r="CP415" s="265"/>
      <c r="CQ415" s="265"/>
      <c r="CR415" s="265"/>
      <c r="CS415" s="265"/>
      <c r="CT415" s="265"/>
      <c r="CU415" s="265"/>
      <c r="CV415" s="265"/>
      <c r="CW415" s="265"/>
      <c r="CX415" s="265"/>
      <c r="CY415" s="265"/>
      <c r="CZ415" s="268"/>
    </row>
    <row r="416" spans="1:104" hidden="1" outlineLevel="1">
      <c r="A416" s="264"/>
      <c r="B416" s="264" t="s">
        <v>652</v>
      </c>
      <c r="C416" s="268"/>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c r="AA416" s="264"/>
      <c r="AB416" s="264"/>
      <c r="AC416" s="264"/>
      <c r="AD416" s="265"/>
      <c r="AE416" s="264"/>
      <c r="AF416" s="264"/>
      <c r="AG416" s="264"/>
      <c r="AH416" s="264"/>
      <c r="AI416" s="575">
        <v>5.9</v>
      </c>
      <c r="AJ416" s="1038"/>
      <c r="AK416" s="1038"/>
      <c r="AL416" s="1038"/>
      <c r="AM416" s="1038"/>
      <c r="AN416" s="575">
        <v>5.6</v>
      </c>
      <c r="AO416" s="575"/>
      <c r="AP416" s="575"/>
      <c r="AQ416" s="575"/>
      <c r="AR416" s="575"/>
      <c r="AS416" s="1038">
        <v>5</v>
      </c>
      <c r="AT416" s="1038"/>
      <c r="AU416" s="1038"/>
      <c r="AV416" s="1038"/>
      <c r="AW416" s="1038"/>
      <c r="AX416" s="1038">
        <v>6.1</v>
      </c>
      <c r="AY416" s="264"/>
      <c r="AZ416" s="264"/>
      <c r="BA416" s="264"/>
      <c r="BB416" s="264"/>
      <c r="BC416" s="264"/>
      <c r="BD416" s="266"/>
      <c r="BE416" s="266"/>
      <c r="BF416" s="266"/>
      <c r="BG416" s="266"/>
      <c r="BH416" s="266"/>
      <c r="BI416" s="1000"/>
      <c r="BJ416" s="1000"/>
      <c r="BK416" s="1000"/>
      <c r="BL416" s="1000"/>
      <c r="BM416" s="1000"/>
      <c r="BN416" s="265"/>
      <c r="BO416" s="265"/>
      <c r="BP416" s="265"/>
      <c r="BQ416" s="265"/>
      <c r="BR416" s="265"/>
      <c r="BS416" s="265"/>
      <c r="BT416" s="265"/>
      <c r="BU416" s="265"/>
      <c r="BV416" s="265"/>
      <c r="BW416" s="265"/>
      <c r="BX416" s="265"/>
      <c r="BY416" s="265"/>
      <c r="BZ416" s="265"/>
      <c r="CA416" s="265"/>
      <c r="CB416" s="265"/>
      <c r="CC416" s="265"/>
      <c r="CD416" s="265"/>
      <c r="CE416" s="265"/>
      <c r="CF416" s="265"/>
      <c r="CG416" s="265"/>
      <c r="CH416" s="265"/>
      <c r="CI416" s="265"/>
      <c r="CJ416" s="265"/>
      <c r="CK416" s="265"/>
      <c r="CL416" s="265"/>
      <c r="CM416" s="265"/>
      <c r="CN416" s="265"/>
      <c r="CO416" s="265"/>
      <c r="CP416" s="265"/>
      <c r="CQ416" s="265"/>
      <c r="CR416" s="265"/>
      <c r="CS416" s="265"/>
      <c r="CT416" s="265"/>
      <c r="CU416" s="265"/>
      <c r="CV416" s="265"/>
      <c r="CW416" s="265"/>
      <c r="CX416" s="265"/>
      <c r="CY416" s="265"/>
      <c r="CZ416" s="268"/>
    </row>
    <row r="417" spans="1:104" hidden="1" outlineLevel="1">
      <c r="A417" s="264"/>
      <c r="B417" s="264"/>
      <c r="C417" s="268"/>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c r="AA417" s="264"/>
      <c r="AB417" s="264"/>
      <c r="AC417" s="264"/>
      <c r="AD417" s="265"/>
      <c r="AE417" s="264"/>
      <c r="AF417" s="264"/>
      <c r="AG417" s="264"/>
      <c r="AH417" s="264"/>
      <c r="AI417" s="265"/>
      <c r="AJ417" s="264"/>
      <c r="AK417" s="264"/>
      <c r="AL417" s="264"/>
      <c r="AM417" s="264"/>
      <c r="AN417" s="265"/>
      <c r="AO417" s="265"/>
      <c r="AP417" s="265"/>
      <c r="AQ417" s="265"/>
      <c r="AR417" s="265"/>
      <c r="AS417" s="264"/>
      <c r="AT417" s="264"/>
      <c r="AU417" s="264"/>
      <c r="AV417" s="264"/>
      <c r="AW417" s="264"/>
      <c r="AX417" s="264"/>
      <c r="AY417" s="264"/>
      <c r="AZ417" s="264"/>
      <c r="BA417" s="264"/>
      <c r="BB417" s="264"/>
      <c r="BC417" s="264"/>
      <c r="BD417" s="266"/>
      <c r="BE417" s="266"/>
      <c r="BF417" s="266"/>
      <c r="BG417" s="266"/>
      <c r="BH417" s="266"/>
      <c r="BI417" s="1000"/>
      <c r="BJ417" s="1000"/>
      <c r="BK417" s="1000"/>
      <c r="BL417" s="1000"/>
      <c r="BM417" s="1000"/>
      <c r="BN417" s="265"/>
      <c r="BO417" s="265"/>
      <c r="BP417" s="265"/>
      <c r="BQ417" s="265"/>
      <c r="BR417" s="265"/>
      <c r="BS417" s="265"/>
      <c r="BT417" s="265"/>
      <c r="BU417" s="265"/>
      <c r="BV417" s="265"/>
      <c r="BW417" s="265"/>
      <c r="BX417" s="265"/>
      <c r="BY417" s="265"/>
      <c r="BZ417" s="265"/>
      <c r="CA417" s="265"/>
      <c r="CB417" s="265"/>
      <c r="CC417" s="265"/>
      <c r="CD417" s="265"/>
      <c r="CE417" s="265"/>
      <c r="CF417" s="265"/>
      <c r="CG417" s="265"/>
      <c r="CH417" s="265"/>
      <c r="CI417" s="265"/>
      <c r="CJ417" s="265"/>
      <c r="CK417" s="265"/>
      <c r="CL417" s="265"/>
      <c r="CM417" s="265"/>
      <c r="CN417" s="265"/>
      <c r="CO417" s="265"/>
      <c r="CP417" s="265"/>
      <c r="CQ417" s="265"/>
      <c r="CR417" s="265"/>
      <c r="CS417" s="265"/>
      <c r="CT417" s="265"/>
      <c r="CU417" s="265"/>
      <c r="CV417" s="265"/>
      <c r="CW417" s="265"/>
      <c r="CX417" s="265"/>
      <c r="CY417" s="265"/>
      <c r="CZ417" s="268"/>
    </row>
    <row r="418" spans="1:104" hidden="1" outlineLevel="1">
      <c r="A418" s="264"/>
      <c r="B418" s="266" t="s">
        <v>651</v>
      </c>
      <c r="C418" s="268"/>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c r="AA418" s="264"/>
      <c r="AB418" s="264"/>
      <c r="AC418" s="264"/>
      <c r="AD418" s="265"/>
      <c r="AE418" s="264"/>
      <c r="AF418" s="264"/>
      <c r="AG418" s="264"/>
      <c r="AH418" s="264"/>
      <c r="AI418" s="265"/>
      <c r="AJ418" s="264"/>
      <c r="AK418" s="264"/>
      <c r="AL418" s="264"/>
      <c r="AM418" s="264"/>
      <c r="AN418" s="265"/>
      <c r="AO418" s="265"/>
      <c r="AP418" s="265"/>
      <c r="AQ418" s="265"/>
      <c r="AR418" s="265"/>
      <c r="AS418" s="264"/>
      <c r="AT418" s="264"/>
      <c r="AU418" s="264"/>
      <c r="AV418" s="264"/>
      <c r="AW418" s="264"/>
      <c r="AX418" s="264"/>
      <c r="AY418" s="264"/>
      <c r="AZ418" s="264"/>
      <c r="BA418" s="264"/>
      <c r="BB418" s="264"/>
      <c r="BC418" s="264"/>
      <c r="BD418" s="266"/>
      <c r="BE418" s="266"/>
      <c r="BF418" s="266"/>
      <c r="BG418" s="266"/>
      <c r="BH418" s="266"/>
      <c r="BI418" s="1000"/>
      <c r="BJ418" s="1000"/>
      <c r="BK418" s="1000"/>
      <c r="BL418" s="1000"/>
      <c r="BM418" s="1000"/>
      <c r="BN418" s="265"/>
      <c r="BO418" s="265"/>
      <c r="BP418" s="265"/>
      <c r="BQ418" s="265"/>
      <c r="BR418" s="265"/>
      <c r="BS418" s="265"/>
      <c r="BT418" s="265"/>
      <c r="BU418" s="265"/>
      <c r="BV418" s="265"/>
      <c r="BW418" s="265"/>
      <c r="BX418" s="265"/>
      <c r="BY418" s="265"/>
      <c r="BZ418" s="265"/>
      <c r="CA418" s="265"/>
      <c r="CB418" s="265"/>
      <c r="CC418" s="265"/>
      <c r="CD418" s="265"/>
      <c r="CE418" s="265"/>
      <c r="CF418" s="265"/>
      <c r="CG418" s="265"/>
      <c r="CH418" s="265"/>
      <c r="CI418" s="265"/>
      <c r="CJ418" s="265"/>
      <c r="CK418" s="265"/>
      <c r="CL418" s="265"/>
      <c r="CM418" s="265"/>
      <c r="CN418" s="265"/>
      <c r="CO418" s="265"/>
      <c r="CP418" s="265"/>
      <c r="CQ418" s="265"/>
      <c r="CR418" s="265"/>
      <c r="CS418" s="265"/>
      <c r="CT418" s="265"/>
      <c r="CU418" s="265"/>
      <c r="CV418" s="265"/>
      <c r="CW418" s="265"/>
      <c r="CX418" s="265"/>
      <c r="CY418" s="265"/>
      <c r="CZ418" s="268"/>
    </row>
    <row r="419" spans="1:104" hidden="1" outlineLevel="1">
      <c r="A419" s="264"/>
      <c r="B419" s="266" t="s">
        <v>650</v>
      </c>
      <c r="C419" s="268"/>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c r="AA419" s="264"/>
      <c r="AB419" s="264"/>
      <c r="AC419" s="264"/>
      <c r="AD419" s="265"/>
      <c r="AE419" s="264"/>
      <c r="AF419" s="264"/>
      <c r="AG419" s="264"/>
      <c r="AH419" s="264"/>
      <c r="AI419" s="265"/>
      <c r="AJ419" s="264"/>
      <c r="AK419" s="264"/>
      <c r="AL419" s="264"/>
      <c r="AM419" s="264"/>
      <c r="AN419" s="265"/>
      <c r="AO419" s="265"/>
      <c r="AP419" s="265"/>
      <c r="AQ419" s="265"/>
      <c r="AR419" s="265"/>
      <c r="AS419" s="1037">
        <v>0.6</v>
      </c>
      <c r="AT419" s="264"/>
      <c r="AU419" s="264"/>
      <c r="AV419" s="264"/>
      <c r="AW419" s="264"/>
      <c r="AX419" s="264"/>
      <c r="AY419" s="264"/>
      <c r="AZ419" s="264"/>
      <c r="BA419" s="264"/>
      <c r="BB419" s="264"/>
      <c r="BC419" s="264"/>
      <c r="BD419" s="266"/>
      <c r="BE419" s="266"/>
      <c r="BF419" s="266"/>
      <c r="BG419" s="266"/>
      <c r="BH419" s="266"/>
      <c r="BI419" s="1000"/>
      <c r="BJ419" s="1000"/>
      <c r="BK419" s="1000"/>
      <c r="BL419" s="1000"/>
      <c r="BM419" s="1000"/>
      <c r="BN419" s="265"/>
      <c r="BO419" s="265"/>
      <c r="BP419" s="265"/>
      <c r="BQ419" s="265"/>
      <c r="BR419" s="265"/>
      <c r="BS419" s="265"/>
      <c r="BT419" s="265"/>
      <c r="BU419" s="265"/>
      <c r="BV419" s="265"/>
      <c r="BW419" s="265"/>
      <c r="BX419" s="265"/>
      <c r="BY419" s="265"/>
      <c r="BZ419" s="265"/>
      <c r="CA419" s="265"/>
      <c r="CB419" s="265"/>
      <c r="CC419" s="265"/>
      <c r="CD419" s="265"/>
      <c r="CE419" s="265"/>
      <c r="CF419" s="265"/>
      <c r="CG419" s="265"/>
      <c r="CH419" s="265"/>
      <c r="CI419" s="265"/>
      <c r="CJ419" s="265"/>
      <c r="CK419" s="265"/>
      <c r="CL419" s="265"/>
      <c r="CM419" s="265"/>
      <c r="CN419" s="265"/>
      <c r="CO419" s="265"/>
      <c r="CP419" s="265"/>
      <c r="CQ419" s="265"/>
      <c r="CR419" s="265"/>
      <c r="CS419" s="265"/>
      <c r="CT419" s="265"/>
      <c r="CU419" s="265"/>
      <c r="CV419" s="265"/>
      <c r="CW419" s="265"/>
      <c r="CX419" s="265"/>
      <c r="CY419" s="265"/>
      <c r="CZ419" s="268"/>
    </row>
    <row r="420" spans="1:104" hidden="1" outlineLevel="1">
      <c r="A420" s="264"/>
      <c r="B420" s="268" t="s">
        <v>648</v>
      </c>
      <c r="C420" s="268"/>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c r="AA420" s="264"/>
      <c r="AB420" s="264"/>
      <c r="AC420" s="264"/>
      <c r="AD420" s="265"/>
      <c r="AE420" s="264"/>
      <c r="AF420" s="264"/>
      <c r="AG420" s="264"/>
      <c r="AH420" s="264"/>
      <c r="AI420" s="265"/>
      <c r="AJ420" s="264"/>
      <c r="AK420" s="264"/>
      <c r="AL420" s="264"/>
      <c r="AM420" s="264"/>
      <c r="AN420" s="265"/>
      <c r="AO420" s="265"/>
      <c r="AP420" s="265"/>
      <c r="AQ420" s="265"/>
      <c r="AR420" s="265"/>
      <c r="AS420" s="1036">
        <v>0.38</v>
      </c>
      <c r="AT420" s="264"/>
      <c r="AU420" s="264"/>
      <c r="AV420" s="264"/>
      <c r="AW420" s="264"/>
      <c r="AX420" s="264"/>
      <c r="AY420" s="264"/>
      <c r="AZ420" s="264"/>
      <c r="BA420" s="264"/>
      <c r="BB420" s="264"/>
      <c r="BC420" s="264"/>
      <c r="BD420" s="266"/>
      <c r="BE420" s="266"/>
      <c r="BF420" s="266"/>
      <c r="BG420" s="266"/>
      <c r="BH420" s="266"/>
      <c r="BI420" s="1000"/>
      <c r="BJ420" s="1000"/>
      <c r="BK420" s="1000"/>
      <c r="BL420" s="1000"/>
      <c r="BM420" s="1000"/>
      <c r="BN420" s="265"/>
      <c r="BO420" s="265"/>
      <c r="BP420" s="265"/>
      <c r="BQ420" s="265"/>
      <c r="BR420" s="265"/>
      <c r="BS420" s="265"/>
      <c r="BT420" s="265"/>
      <c r="BU420" s="265"/>
      <c r="BV420" s="265"/>
      <c r="BW420" s="265"/>
      <c r="BX420" s="265"/>
      <c r="BY420" s="265"/>
      <c r="BZ420" s="265"/>
      <c r="CA420" s="265"/>
      <c r="CB420" s="265"/>
      <c r="CC420" s="265"/>
      <c r="CD420" s="265"/>
      <c r="CE420" s="265"/>
      <c r="CF420" s="265"/>
      <c r="CG420" s="265"/>
      <c r="CH420" s="265"/>
      <c r="CI420" s="265"/>
      <c r="CJ420" s="265"/>
      <c r="CK420" s="265"/>
      <c r="CL420" s="265"/>
      <c r="CM420" s="265"/>
      <c r="CN420" s="265"/>
      <c r="CO420" s="265"/>
      <c r="CP420" s="265"/>
      <c r="CQ420" s="265"/>
      <c r="CR420" s="265"/>
      <c r="CS420" s="265"/>
      <c r="CT420" s="265"/>
      <c r="CU420" s="265"/>
      <c r="CV420" s="265"/>
      <c r="CW420" s="265"/>
      <c r="CX420" s="265"/>
      <c r="CY420" s="265"/>
      <c r="CZ420" s="268"/>
    </row>
    <row r="421" spans="1:104" hidden="1" outlineLevel="1">
      <c r="A421" s="264"/>
      <c r="B421" s="264" t="s">
        <v>647</v>
      </c>
      <c r="C421" s="268"/>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c r="AA421" s="264"/>
      <c r="AB421" s="264"/>
      <c r="AC421" s="264"/>
      <c r="AD421" s="265"/>
      <c r="AE421" s="264"/>
      <c r="AF421" s="264"/>
      <c r="AG421" s="264"/>
      <c r="AH421" s="264"/>
      <c r="AI421" s="265"/>
      <c r="AJ421" s="264"/>
      <c r="AK421" s="264"/>
      <c r="AL421" s="264"/>
      <c r="AM421" s="264"/>
      <c r="AN421" s="265"/>
      <c r="AO421" s="265"/>
      <c r="AP421" s="265"/>
      <c r="AQ421" s="265"/>
      <c r="AR421" s="265"/>
      <c r="AS421" s="1036">
        <v>0.22</v>
      </c>
      <c r="AT421" s="264"/>
      <c r="AU421" s="264"/>
      <c r="AV421" s="264"/>
      <c r="AW421" s="264"/>
      <c r="AX421" s="264"/>
      <c r="AY421" s="264"/>
      <c r="AZ421" s="264"/>
      <c r="BA421" s="264"/>
      <c r="BB421" s="264"/>
      <c r="BC421" s="264"/>
      <c r="BD421" s="266"/>
      <c r="BE421" s="266"/>
      <c r="BF421" s="266"/>
      <c r="BG421" s="266"/>
      <c r="BH421" s="266"/>
      <c r="BI421" s="1000"/>
      <c r="BJ421" s="1000"/>
      <c r="BK421" s="1000"/>
      <c r="BL421" s="1000"/>
      <c r="BM421" s="1000"/>
      <c r="BN421" s="265"/>
      <c r="BO421" s="265"/>
      <c r="BP421" s="265"/>
      <c r="BQ421" s="265"/>
      <c r="BR421" s="265"/>
      <c r="BS421" s="265"/>
      <c r="BT421" s="265"/>
      <c r="BU421" s="265"/>
      <c r="BV421" s="265"/>
      <c r="BW421" s="265"/>
      <c r="BX421" s="265"/>
      <c r="BY421" s="265"/>
      <c r="BZ421" s="265"/>
      <c r="CA421" s="265"/>
      <c r="CB421" s="265"/>
      <c r="CC421" s="265"/>
      <c r="CD421" s="265"/>
      <c r="CE421" s="265"/>
      <c r="CF421" s="265"/>
      <c r="CG421" s="265"/>
      <c r="CH421" s="265"/>
      <c r="CI421" s="265"/>
      <c r="CJ421" s="265"/>
      <c r="CK421" s="265"/>
      <c r="CL421" s="265"/>
      <c r="CM421" s="265"/>
      <c r="CN421" s="265"/>
      <c r="CO421" s="265"/>
      <c r="CP421" s="265"/>
      <c r="CQ421" s="265"/>
      <c r="CR421" s="265"/>
      <c r="CS421" s="265"/>
      <c r="CT421" s="265"/>
      <c r="CU421" s="265"/>
      <c r="CV421" s="265"/>
      <c r="CW421" s="265"/>
      <c r="CX421" s="265"/>
      <c r="CY421" s="265"/>
      <c r="CZ421" s="268"/>
    </row>
    <row r="422" spans="1:104" hidden="1" outlineLevel="1">
      <c r="A422" s="264"/>
      <c r="B422" s="266" t="s">
        <v>649</v>
      </c>
      <c r="C422" s="268"/>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c r="AA422" s="264"/>
      <c r="AB422" s="264"/>
      <c r="AC422" s="264"/>
      <c r="AD422" s="265"/>
      <c r="AE422" s="264"/>
      <c r="AF422" s="264"/>
      <c r="AG422" s="264"/>
      <c r="AH422" s="264"/>
      <c r="AI422" s="265"/>
      <c r="AJ422" s="264"/>
      <c r="AK422" s="264"/>
      <c r="AL422" s="264"/>
      <c r="AM422" s="264"/>
      <c r="AN422" s="265"/>
      <c r="AO422" s="265"/>
      <c r="AP422" s="265"/>
      <c r="AQ422" s="265"/>
      <c r="AR422" s="265"/>
      <c r="AS422" s="1037">
        <v>0.4</v>
      </c>
      <c r="AT422" s="264"/>
      <c r="AU422" s="264"/>
      <c r="AV422" s="264"/>
      <c r="AW422" s="264"/>
      <c r="AX422" s="264"/>
      <c r="AY422" s="264"/>
      <c r="AZ422" s="264"/>
      <c r="BA422" s="264"/>
      <c r="BB422" s="264"/>
      <c r="BC422" s="264"/>
      <c r="BD422" s="266"/>
      <c r="BE422" s="266"/>
      <c r="BF422" s="266"/>
      <c r="BG422" s="266"/>
      <c r="BH422" s="266"/>
      <c r="BI422" s="1000"/>
      <c r="BJ422" s="1000"/>
      <c r="BK422" s="1000"/>
      <c r="BL422" s="1000"/>
      <c r="BM422" s="1000"/>
      <c r="BN422" s="265"/>
      <c r="BO422" s="265"/>
      <c r="BP422" s="265"/>
      <c r="BQ422" s="265"/>
      <c r="BR422" s="265"/>
      <c r="BS422" s="265"/>
      <c r="BT422" s="265"/>
      <c r="BU422" s="265"/>
      <c r="BV422" s="265"/>
      <c r="BW422" s="265"/>
      <c r="BX422" s="265"/>
      <c r="BY422" s="265"/>
      <c r="BZ422" s="265"/>
      <c r="CA422" s="265"/>
      <c r="CB422" s="265"/>
      <c r="CC422" s="265"/>
      <c r="CD422" s="265"/>
      <c r="CE422" s="265"/>
      <c r="CF422" s="265"/>
      <c r="CG422" s="265"/>
      <c r="CH422" s="265"/>
      <c r="CI422" s="265"/>
      <c r="CJ422" s="265"/>
      <c r="CK422" s="265"/>
      <c r="CL422" s="265"/>
      <c r="CM422" s="265"/>
      <c r="CN422" s="265"/>
      <c r="CO422" s="265"/>
      <c r="CP422" s="265"/>
      <c r="CQ422" s="265"/>
      <c r="CR422" s="265"/>
      <c r="CS422" s="265"/>
      <c r="CT422" s="265"/>
      <c r="CU422" s="265"/>
      <c r="CV422" s="265"/>
      <c r="CW422" s="265"/>
      <c r="CX422" s="265"/>
      <c r="CY422" s="265"/>
      <c r="CZ422" s="268"/>
    </row>
    <row r="423" spans="1:104" hidden="1" outlineLevel="1">
      <c r="A423" s="264"/>
      <c r="B423" s="264" t="s">
        <v>648</v>
      </c>
      <c r="C423" s="268"/>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c r="AA423" s="264"/>
      <c r="AB423" s="264"/>
      <c r="AC423" s="264"/>
      <c r="AD423" s="265"/>
      <c r="AE423" s="264"/>
      <c r="AF423" s="264"/>
      <c r="AG423" s="264"/>
      <c r="AH423" s="264"/>
      <c r="AI423" s="265"/>
      <c r="AJ423" s="264"/>
      <c r="AK423" s="264"/>
      <c r="AL423" s="264"/>
      <c r="AM423" s="264"/>
      <c r="AN423" s="265"/>
      <c r="AO423" s="265"/>
      <c r="AP423" s="265"/>
      <c r="AQ423" s="265"/>
      <c r="AR423" s="265"/>
      <c r="AS423" s="1036">
        <v>0.21</v>
      </c>
      <c r="AT423" s="264"/>
      <c r="AU423" s="264"/>
      <c r="AV423" s="264"/>
      <c r="AW423" s="264"/>
      <c r="AX423" s="264"/>
      <c r="AY423" s="264"/>
      <c r="AZ423" s="264"/>
      <c r="BA423" s="264"/>
      <c r="BB423" s="264"/>
      <c r="BC423" s="264"/>
      <c r="BD423" s="266"/>
      <c r="BE423" s="266"/>
      <c r="BF423" s="266"/>
      <c r="BG423" s="266"/>
      <c r="BH423" s="266"/>
      <c r="BI423" s="1000"/>
      <c r="BJ423" s="1000"/>
      <c r="BK423" s="1000"/>
      <c r="BL423" s="1000"/>
      <c r="BM423" s="1000"/>
      <c r="BN423" s="265"/>
      <c r="BO423" s="265"/>
      <c r="BP423" s="265"/>
      <c r="BQ423" s="265"/>
      <c r="BR423" s="265"/>
      <c r="BS423" s="265"/>
      <c r="BT423" s="265"/>
      <c r="BU423" s="265"/>
      <c r="BV423" s="265"/>
      <c r="BW423" s="265"/>
      <c r="BX423" s="265"/>
      <c r="BY423" s="265"/>
      <c r="BZ423" s="265"/>
      <c r="CA423" s="265"/>
      <c r="CB423" s="265"/>
      <c r="CC423" s="265"/>
      <c r="CD423" s="265"/>
      <c r="CE423" s="265"/>
      <c r="CF423" s="265"/>
      <c r="CG423" s="265"/>
      <c r="CH423" s="265"/>
      <c r="CI423" s="265"/>
      <c r="CJ423" s="265"/>
      <c r="CK423" s="265"/>
      <c r="CL423" s="265"/>
      <c r="CM423" s="265"/>
      <c r="CN423" s="265"/>
      <c r="CO423" s="265"/>
      <c r="CP423" s="265"/>
      <c r="CQ423" s="265"/>
      <c r="CR423" s="265"/>
      <c r="CS423" s="265"/>
      <c r="CT423" s="265"/>
      <c r="CU423" s="265"/>
      <c r="CV423" s="265"/>
      <c r="CW423" s="265"/>
      <c r="CX423" s="265"/>
      <c r="CY423" s="265"/>
      <c r="CZ423" s="268"/>
    </row>
    <row r="424" spans="1:104" hidden="1" outlineLevel="1">
      <c r="A424" s="264"/>
      <c r="B424" s="264" t="s">
        <v>647</v>
      </c>
      <c r="C424" s="268"/>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c r="AA424" s="264"/>
      <c r="AB424" s="264"/>
      <c r="AC424" s="264"/>
      <c r="AD424" s="265"/>
      <c r="AE424" s="264"/>
      <c r="AF424" s="264"/>
      <c r="AG424" s="264"/>
      <c r="AH424" s="264"/>
      <c r="AI424" s="265"/>
      <c r="AJ424" s="264"/>
      <c r="AK424" s="264"/>
      <c r="AL424" s="264"/>
      <c r="AM424" s="264"/>
      <c r="AN424" s="265"/>
      <c r="AO424" s="265"/>
      <c r="AP424" s="265"/>
      <c r="AQ424" s="265"/>
      <c r="AR424" s="265"/>
      <c r="AS424" s="1036">
        <v>0.19</v>
      </c>
      <c r="AT424" s="264"/>
      <c r="AU424" s="264"/>
      <c r="AV424" s="264"/>
      <c r="AW424" s="264"/>
      <c r="AX424" s="264"/>
      <c r="AY424" s="264"/>
      <c r="AZ424" s="264"/>
      <c r="BA424" s="264"/>
      <c r="BB424" s="264"/>
      <c r="BC424" s="264"/>
      <c r="BD424" s="266"/>
      <c r="BE424" s="266"/>
      <c r="BF424" s="266"/>
      <c r="BG424" s="266"/>
      <c r="BH424" s="266"/>
      <c r="BI424" s="1000"/>
      <c r="BJ424" s="1000"/>
      <c r="BK424" s="1000"/>
      <c r="BL424" s="1000"/>
      <c r="BM424" s="1000"/>
      <c r="BN424" s="265"/>
      <c r="BO424" s="265"/>
      <c r="BP424" s="265"/>
      <c r="BQ424" s="265"/>
      <c r="BR424" s="265"/>
      <c r="BS424" s="265"/>
      <c r="BT424" s="265"/>
      <c r="BU424" s="265"/>
      <c r="BV424" s="265"/>
      <c r="BW424" s="265"/>
      <c r="BX424" s="265"/>
      <c r="BY424" s="265"/>
      <c r="BZ424" s="265"/>
      <c r="CA424" s="265"/>
      <c r="CB424" s="265"/>
      <c r="CC424" s="265"/>
      <c r="CD424" s="265"/>
      <c r="CE424" s="265"/>
      <c r="CF424" s="265"/>
      <c r="CG424" s="265"/>
      <c r="CH424" s="265"/>
      <c r="CI424" s="265"/>
      <c r="CJ424" s="265"/>
      <c r="CK424" s="265"/>
      <c r="CL424" s="265"/>
      <c r="CM424" s="265"/>
      <c r="CN424" s="265"/>
      <c r="CO424" s="265"/>
      <c r="CP424" s="265"/>
      <c r="CQ424" s="265"/>
      <c r="CR424" s="265"/>
      <c r="CS424" s="265"/>
      <c r="CT424" s="265"/>
      <c r="CU424" s="265"/>
      <c r="CV424" s="265"/>
      <c r="CW424" s="265"/>
      <c r="CX424" s="265"/>
      <c r="CY424" s="265"/>
      <c r="CZ424" s="268"/>
    </row>
    <row r="425" spans="1:104" hidden="1" outlineLevel="1">
      <c r="A425" s="264"/>
      <c r="B425" s="264"/>
      <c r="C425" s="268"/>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c r="AA425" s="264"/>
      <c r="AB425" s="264"/>
      <c r="AC425" s="264"/>
      <c r="AD425" s="265"/>
      <c r="AE425" s="264"/>
      <c r="AF425" s="264"/>
      <c r="AG425" s="264"/>
      <c r="AH425" s="264"/>
      <c r="AI425" s="265"/>
      <c r="AJ425" s="264"/>
      <c r="AK425" s="264"/>
      <c r="AL425" s="264"/>
      <c r="AM425" s="264"/>
      <c r="AN425" s="265"/>
      <c r="AO425" s="265"/>
      <c r="AP425" s="265"/>
      <c r="AQ425" s="265"/>
      <c r="AR425" s="265"/>
      <c r="AS425" s="264"/>
      <c r="AT425" s="264"/>
      <c r="AU425" s="264"/>
      <c r="AV425" s="264"/>
      <c r="AW425" s="264"/>
      <c r="AX425" s="264"/>
      <c r="AY425" s="264"/>
      <c r="AZ425" s="264"/>
      <c r="BA425" s="264"/>
      <c r="BB425" s="264"/>
      <c r="BC425" s="264"/>
      <c r="BD425" s="266"/>
      <c r="BE425" s="266"/>
      <c r="BF425" s="266"/>
      <c r="BG425" s="266"/>
      <c r="BH425" s="264"/>
      <c r="BI425" s="265"/>
      <c r="BJ425" s="265"/>
      <c r="BK425" s="265"/>
      <c r="BL425" s="265"/>
      <c r="BM425" s="265"/>
      <c r="BN425" s="265"/>
      <c r="BO425" s="265"/>
      <c r="BP425" s="265"/>
      <c r="BQ425" s="265"/>
      <c r="BR425" s="265"/>
      <c r="BS425" s="265"/>
      <c r="BT425" s="265"/>
      <c r="BU425" s="265"/>
      <c r="BV425" s="265"/>
      <c r="BW425" s="265"/>
      <c r="BX425" s="265"/>
      <c r="BY425" s="265"/>
      <c r="BZ425" s="265"/>
      <c r="CA425" s="265"/>
      <c r="CB425" s="265"/>
      <c r="CC425" s="265"/>
      <c r="CD425" s="265"/>
      <c r="CE425" s="265"/>
      <c r="CF425" s="265"/>
      <c r="CG425" s="265"/>
      <c r="CH425" s="265"/>
      <c r="CI425" s="265"/>
      <c r="CJ425" s="265"/>
      <c r="CK425" s="265"/>
      <c r="CL425" s="265"/>
      <c r="CM425" s="265"/>
      <c r="CN425" s="265"/>
      <c r="CO425" s="265"/>
      <c r="CP425" s="265"/>
      <c r="CQ425" s="265"/>
      <c r="CR425" s="265"/>
      <c r="CS425" s="265"/>
      <c r="CT425" s="265"/>
      <c r="CU425" s="265"/>
      <c r="CV425" s="265"/>
      <c r="CW425" s="265"/>
      <c r="CX425" s="265"/>
      <c r="CY425" s="265"/>
      <c r="CZ425" s="268"/>
    </row>
    <row r="426" spans="1:104" hidden="1" outlineLevel="1">
      <c r="A426" s="264"/>
      <c r="B426" s="266" t="s">
        <v>646</v>
      </c>
      <c r="C426" s="268"/>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c r="AA426" s="264"/>
      <c r="AB426" s="264"/>
      <c r="AC426" s="264"/>
      <c r="AD426" s="265"/>
      <c r="AE426" s="264"/>
      <c r="AF426" s="264"/>
      <c r="AG426" s="264"/>
      <c r="AH426" s="264"/>
      <c r="AI426" s="265"/>
      <c r="AJ426" s="264"/>
      <c r="AK426" s="264"/>
      <c r="AL426" s="264"/>
      <c r="AM426" s="264"/>
      <c r="AN426" s="265"/>
      <c r="AO426" s="265"/>
      <c r="AP426" s="265"/>
      <c r="AQ426" s="265"/>
      <c r="AR426" s="265"/>
      <c r="AS426" s="264"/>
      <c r="AT426" s="264"/>
      <c r="AU426" s="264"/>
      <c r="AV426" s="264"/>
      <c r="AW426" s="264"/>
      <c r="AX426" s="264"/>
      <c r="AY426" s="264"/>
      <c r="AZ426" s="264"/>
      <c r="BA426" s="264"/>
      <c r="BB426" s="264"/>
      <c r="BC426" s="264"/>
      <c r="BD426" s="266"/>
      <c r="BE426" s="266"/>
      <c r="BF426" s="266"/>
      <c r="BG426" s="266"/>
      <c r="BH426" s="264"/>
      <c r="BI426" s="265"/>
      <c r="BJ426" s="265"/>
      <c r="BK426" s="265"/>
      <c r="BL426" s="265"/>
      <c r="BM426" s="265"/>
      <c r="BN426" s="265"/>
      <c r="BO426" s="265"/>
      <c r="BP426" s="265"/>
      <c r="BQ426" s="265"/>
      <c r="BR426" s="265"/>
      <c r="BS426" s="265"/>
      <c r="BT426" s="265"/>
      <c r="BU426" s="265"/>
      <c r="BV426" s="265"/>
      <c r="BW426" s="265"/>
      <c r="BX426" s="265"/>
      <c r="BY426" s="265"/>
      <c r="BZ426" s="265"/>
      <c r="CA426" s="265"/>
      <c r="CB426" s="265"/>
      <c r="CC426" s="265"/>
      <c r="CD426" s="265"/>
      <c r="CE426" s="265"/>
      <c r="CF426" s="265"/>
      <c r="CG426" s="265"/>
      <c r="CH426" s="265"/>
      <c r="CI426" s="265"/>
      <c r="CJ426" s="265"/>
      <c r="CK426" s="265"/>
      <c r="CL426" s="265">
        <v>2020</v>
      </c>
      <c r="CM426" s="265"/>
      <c r="CN426" s="265"/>
      <c r="CO426" s="265"/>
      <c r="CP426" s="265"/>
      <c r="CQ426" s="265">
        <v>2025</v>
      </c>
      <c r="CR426" s="265"/>
      <c r="CS426" s="265"/>
      <c r="CT426" s="265"/>
      <c r="CU426" s="265"/>
      <c r="CV426" s="265">
        <v>2025</v>
      </c>
      <c r="CW426" s="265">
        <v>2025</v>
      </c>
      <c r="CX426" s="265">
        <v>2025</v>
      </c>
      <c r="CY426" s="265">
        <v>2025</v>
      </c>
      <c r="CZ426" s="268">
        <v>2030</v>
      </c>
    </row>
    <row r="427" spans="1:104" hidden="1" outlineLevel="1">
      <c r="A427" s="264"/>
      <c r="B427" s="264" t="s">
        <v>645</v>
      </c>
      <c r="C427" s="268"/>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c r="AA427" s="264"/>
      <c r="AB427" s="264"/>
      <c r="AC427" s="264"/>
      <c r="AD427" s="265"/>
      <c r="AE427" s="264"/>
      <c r="AF427" s="264"/>
      <c r="AG427" s="264"/>
      <c r="AH427" s="264"/>
      <c r="AI427" s="265">
        <v>1579</v>
      </c>
      <c r="AJ427" s="264"/>
      <c r="AK427" s="264"/>
      <c r="AL427" s="264"/>
      <c r="AM427" s="264"/>
      <c r="AN427" s="265"/>
      <c r="AO427" s="265"/>
      <c r="AP427" s="265"/>
      <c r="AQ427" s="265"/>
      <c r="AR427" s="265"/>
      <c r="AS427" s="264"/>
      <c r="AT427" s="264"/>
      <c r="AU427" s="264"/>
      <c r="AV427" s="264"/>
      <c r="AW427" s="264"/>
      <c r="AX427" s="264"/>
      <c r="AY427" s="264"/>
      <c r="AZ427" s="264"/>
      <c r="BA427" s="264"/>
      <c r="BB427" s="264"/>
      <c r="BC427" s="264"/>
      <c r="BD427" s="266"/>
      <c r="BE427" s="266"/>
      <c r="BF427" s="266"/>
      <c r="BG427" s="266"/>
      <c r="BH427" s="264">
        <v>1786</v>
      </c>
      <c r="BI427" s="265"/>
      <c r="BJ427" s="265"/>
      <c r="BK427" s="265"/>
      <c r="BL427" s="265"/>
      <c r="BM427" s="265"/>
      <c r="BN427" s="265"/>
      <c r="BO427" s="265"/>
      <c r="BP427" s="265"/>
      <c r="BQ427" s="265"/>
      <c r="BR427" s="265"/>
      <c r="BS427" s="265"/>
      <c r="BT427" s="265"/>
      <c r="BU427" s="265"/>
      <c r="BV427" s="265"/>
      <c r="BW427" s="265"/>
      <c r="BX427" s="265"/>
      <c r="BY427" s="265"/>
      <c r="BZ427" s="265"/>
      <c r="CA427" s="265"/>
      <c r="CB427" s="265"/>
      <c r="CC427" s="265"/>
      <c r="CD427" s="265"/>
      <c r="CE427" s="265"/>
      <c r="CF427" s="265"/>
      <c r="CG427" s="265">
        <v>2000</v>
      </c>
      <c r="CH427" s="265"/>
      <c r="CI427" s="265"/>
      <c r="CJ427" s="265"/>
      <c r="CK427" s="265"/>
      <c r="CL427" s="265">
        <v>2222</v>
      </c>
      <c r="CM427" s="265"/>
      <c r="CN427" s="265"/>
      <c r="CO427" s="265"/>
      <c r="CP427" s="265"/>
      <c r="CQ427" s="265">
        <v>2452</v>
      </c>
      <c r="CR427" s="265"/>
      <c r="CS427" s="265"/>
      <c r="CT427" s="265"/>
      <c r="CU427" s="265"/>
      <c r="CV427" s="265">
        <v>2452</v>
      </c>
      <c r="CW427" s="265">
        <v>2452</v>
      </c>
      <c r="CX427" s="265">
        <v>2452</v>
      </c>
      <c r="CY427" s="265">
        <v>2452</v>
      </c>
      <c r="CZ427" s="268">
        <v>2683</v>
      </c>
    </row>
    <row r="428" spans="1:104" hidden="1" outlineLevel="1">
      <c r="A428" s="264"/>
      <c r="B428" s="264"/>
      <c r="C428" s="268"/>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c r="AA428" s="264"/>
      <c r="AB428" s="264"/>
      <c r="AC428" s="264"/>
      <c r="AD428" s="265"/>
      <c r="AE428" s="264"/>
      <c r="AF428" s="264"/>
      <c r="AG428" s="264"/>
      <c r="AH428" s="264"/>
      <c r="AI428" s="265"/>
      <c r="AJ428" s="264"/>
      <c r="AK428" s="264"/>
      <c r="AL428" s="264"/>
      <c r="AM428" s="264"/>
      <c r="AN428" s="265"/>
      <c r="AO428" s="265"/>
      <c r="AP428" s="265"/>
      <c r="AQ428" s="265"/>
      <c r="AR428" s="265"/>
      <c r="AS428" s="264"/>
      <c r="AT428" s="264"/>
      <c r="AU428" s="264"/>
      <c r="AV428" s="264"/>
      <c r="AW428" s="264"/>
      <c r="AX428" s="264"/>
      <c r="AY428" s="264"/>
      <c r="AZ428" s="264"/>
      <c r="BA428" s="264"/>
      <c r="BB428" s="264"/>
      <c r="BC428" s="264"/>
      <c r="BD428" s="266"/>
      <c r="BE428" s="266"/>
      <c r="BF428" s="266"/>
      <c r="BG428" s="266"/>
      <c r="BH428" s="264"/>
      <c r="BI428" s="265"/>
      <c r="BJ428" s="265"/>
      <c r="BK428" s="265"/>
      <c r="BL428" s="265"/>
      <c r="BM428" s="265"/>
      <c r="BN428" s="265"/>
      <c r="BO428" s="265"/>
      <c r="BP428" s="265"/>
      <c r="BQ428" s="265"/>
      <c r="BR428" s="265"/>
      <c r="BS428" s="265"/>
      <c r="BT428" s="265"/>
      <c r="BU428" s="265"/>
      <c r="BV428" s="265"/>
      <c r="BW428" s="265"/>
      <c r="BX428" s="265"/>
      <c r="BY428" s="265"/>
      <c r="BZ428" s="265"/>
      <c r="CA428" s="265"/>
      <c r="CB428" s="265"/>
      <c r="CC428" s="265"/>
      <c r="CD428" s="265"/>
      <c r="CE428" s="265"/>
      <c r="CF428" s="265"/>
      <c r="CG428" s="265"/>
      <c r="CH428" s="265"/>
      <c r="CI428" s="265"/>
      <c r="CJ428" s="265"/>
      <c r="CK428" s="265"/>
      <c r="CL428" s="265"/>
      <c r="CM428" s="265"/>
      <c r="CN428" s="265"/>
      <c r="CO428" s="265"/>
      <c r="CP428" s="265"/>
      <c r="CQ428" s="265"/>
      <c r="CR428" s="265"/>
      <c r="CS428" s="265"/>
      <c r="CT428" s="265"/>
      <c r="CU428" s="265"/>
      <c r="CV428" s="265"/>
      <c r="CW428" s="265"/>
      <c r="CX428" s="265"/>
      <c r="CY428" s="265"/>
      <c r="CZ428" s="268"/>
    </row>
    <row r="429" spans="1:104" hidden="1" outlineLevel="1">
      <c r="A429" s="264"/>
      <c r="B429" s="266" t="s">
        <v>644</v>
      </c>
      <c r="C429" s="268"/>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c r="AA429" s="264"/>
      <c r="AB429" s="264"/>
      <c r="AC429" s="264"/>
      <c r="AD429" s="265"/>
      <c r="AE429" s="264"/>
      <c r="AF429" s="264"/>
      <c r="AG429" s="264"/>
      <c r="AH429" s="264"/>
      <c r="AI429" s="265"/>
      <c r="AJ429" s="264"/>
      <c r="AK429" s="264"/>
      <c r="AL429" s="264"/>
      <c r="AM429" s="264"/>
      <c r="AN429" s="265"/>
      <c r="AO429" s="265"/>
      <c r="AP429" s="265"/>
      <c r="AQ429" s="265"/>
      <c r="AR429" s="265"/>
      <c r="AS429" s="264">
        <v>1069</v>
      </c>
      <c r="AT429" s="264"/>
      <c r="AU429" s="264"/>
      <c r="AV429" s="264"/>
      <c r="AW429" s="264"/>
      <c r="AX429" s="264">
        <v>1213</v>
      </c>
      <c r="AY429" s="264"/>
      <c r="AZ429" s="264"/>
      <c r="BA429" s="264"/>
      <c r="BB429" s="264"/>
      <c r="BC429" s="264">
        <v>1305</v>
      </c>
      <c r="BD429" s="266"/>
      <c r="BE429" s="266"/>
      <c r="BF429" s="266"/>
      <c r="BG429" s="266"/>
      <c r="BH429" s="264">
        <v>1356</v>
      </c>
      <c r="BI429" s="265"/>
      <c r="BJ429" s="265"/>
      <c r="BK429" s="265"/>
      <c r="BL429" s="265"/>
      <c r="BM429" s="265">
        <v>1328</v>
      </c>
      <c r="BN429" s="265"/>
      <c r="BO429" s="265"/>
      <c r="BP429" s="265"/>
      <c r="BQ429" s="265"/>
      <c r="BR429" s="265"/>
      <c r="BS429" s="265"/>
      <c r="BT429" s="265"/>
      <c r="BU429" s="265"/>
      <c r="BV429" s="265"/>
      <c r="BW429" s="265"/>
      <c r="BX429" s="265"/>
      <c r="BY429" s="265"/>
      <c r="BZ429" s="265"/>
      <c r="CA429" s="265"/>
      <c r="CB429" s="265"/>
      <c r="CC429" s="265"/>
      <c r="CD429" s="265"/>
      <c r="CE429" s="265"/>
      <c r="CF429" s="265"/>
      <c r="CG429" s="265"/>
      <c r="CH429" s="265"/>
      <c r="CI429" s="265"/>
      <c r="CJ429" s="265"/>
      <c r="CK429" s="265"/>
      <c r="CL429" s="265"/>
      <c r="CM429" s="265"/>
      <c r="CN429" s="265"/>
      <c r="CO429" s="265"/>
      <c r="CP429" s="265"/>
      <c r="CQ429" s="265"/>
      <c r="CR429" s="265"/>
      <c r="CS429" s="265"/>
      <c r="CT429" s="265"/>
      <c r="CU429" s="265"/>
      <c r="CV429" s="265"/>
      <c r="CW429" s="265"/>
      <c r="CX429" s="265"/>
      <c r="CY429" s="265"/>
      <c r="CZ429" s="268"/>
    </row>
    <row r="430" spans="1:104" hidden="1" outlineLevel="1">
      <c r="A430" s="264"/>
      <c r="B430" s="266" t="s">
        <v>643</v>
      </c>
      <c r="C430" s="268"/>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c r="AA430" s="264"/>
      <c r="AB430" s="264"/>
      <c r="AC430" s="264"/>
      <c r="AD430" s="265"/>
      <c r="AE430" s="264"/>
      <c r="AF430" s="264"/>
      <c r="AG430" s="264"/>
      <c r="AH430" s="264"/>
      <c r="AI430" s="265"/>
      <c r="AJ430" s="264"/>
      <c r="AK430" s="264"/>
      <c r="AL430" s="264"/>
      <c r="AM430" s="264"/>
      <c r="AN430" s="265"/>
      <c r="AO430" s="265"/>
      <c r="AP430" s="265"/>
      <c r="AQ430" s="265"/>
      <c r="AR430" s="265"/>
      <c r="AS430" s="264">
        <v>1511</v>
      </c>
      <c r="AT430" s="264"/>
      <c r="AU430" s="264"/>
      <c r="AV430" s="264"/>
      <c r="AW430" s="264"/>
      <c r="AX430" s="264">
        <v>2004</v>
      </c>
      <c r="AY430" s="264"/>
      <c r="AZ430" s="264"/>
      <c r="BA430" s="264"/>
      <c r="BB430" s="264"/>
      <c r="BC430" s="264">
        <v>2299</v>
      </c>
      <c r="BD430" s="266"/>
      <c r="BE430" s="266"/>
      <c r="BF430" s="266"/>
      <c r="BG430" s="266"/>
      <c r="BH430" s="264">
        <v>2496</v>
      </c>
      <c r="BI430" s="265"/>
      <c r="BJ430" s="265"/>
      <c r="BK430" s="265"/>
      <c r="BL430" s="265"/>
      <c r="BM430" s="265">
        <v>2603</v>
      </c>
      <c r="BN430" s="265"/>
      <c r="BO430" s="265"/>
      <c r="BP430" s="265"/>
      <c r="BQ430" s="265"/>
      <c r="BR430" s="265"/>
      <c r="BS430" s="265"/>
      <c r="BT430" s="265"/>
      <c r="BU430" s="265"/>
      <c r="BV430" s="265"/>
      <c r="BW430" s="265"/>
      <c r="BX430" s="265"/>
      <c r="BY430" s="265"/>
      <c r="BZ430" s="265"/>
      <c r="CA430" s="265"/>
      <c r="CB430" s="265"/>
      <c r="CC430" s="265"/>
      <c r="CD430" s="265"/>
      <c r="CE430" s="265"/>
      <c r="CF430" s="265"/>
      <c r="CG430" s="265"/>
      <c r="CH430" s="265"/>
      <c r="CI430" s="265"/>
      <c r="CJ430" s="265"/>
      <c r="CK430" s="265"/>
      <c r="CL430" s="265"/>
      <c r="CM430" s="265"/>
      <c r="CN430" s="265"/>
      <c r="CO430" s="265"/>
      <c r="CP430" s="265"/>
      <c r="CQ430" s="265"/>
      <c r="CR430" s="265"/>
      <c r="CS430" s="265"/>
      <c r="CT430" s="265"/>
      <c r="CU430" s="265"/>
      <c r="CV430" s="265"/>
      <c r="CW430" s="265"/>
      <c r="CX430" s="265"/>
      <c r="CY430" s="265"/>
      <c r="CZ430" s="268"/>
    </row>
    <row r="431" spans="1:104" hidden="1" outlineLevel="1">
      <c r="A431" s="264"/>
      <c r="B431" s="264"/>
      <c r="C431" s="268"/>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c r="AA431" s="264"/>
      <c r="AB431" s="264"/>
      <c r="AC431" s="264"/>
      <c r="AD431" s="265"/>
      <c r="AE431" s="264"/>
      <c r="AF431" s="264"/>
      <c r="AG431" s="264"/>
      <c r="AH431" s="264"/>
      <c r="AI431" s="265"/>
      <c r="AJ431" s="264"/>
      <c r="AK431" s="264"/>
      <c r="AL431" s="264"/>
      <c r="AM431" s="264"/>
      <c r="AN431" s="265"/>
      <c r="AO431" s="265"/>
      <c r="AP431" s="265"/>
      <c r="AQ431" s="265"/>
      <c r="AR431" s="265"/>
      <c r="AS431" s="264"/>
      <c r="AT431" s="264"/>
      <c r="AU431" s="264"/>
      <c r="AV431" s="264"/>
      <c r="AW431" s="264"/>
      <c r="AX431" s="264"/>
      <c r="AY431" s="264"/>
      <c r="AZ431" s="264"/>
      <c r="BA431" s="264"/>
      <c r="BB431" s="264"/>
      <c r="BC431" s="264"/>
      <c r="BD431" s="266"/>
      <c r="BE431" s="266"/>
      <c r="BF431" s="266"/>
      <c r="BG431" s="266"/>
      <c r="BH431" s="264"/>
      <c r="BI431" s="265"/>
      <c r="BJ431" s="265"/>
      <c r="BK431" s="265"/>
      <c r="BL431" s="265"/>
      <c r="BM431" s="265"/>
      <c r="BN431" s="265"/>
      <c r="BO431" s="265"/>
      <c r="BP431" s="265"/>
      <c r="BQ431" s="265"/>
      <c r="BR431" s="265"/>
      <c r="BS431" s="265"/>
      <c r="BT431" s="265"/>
      <c r="BU431" s="265"/>
      <c r="BV431" s="265"/>
      <c r="BW431" s="265"/>
      <c r="BX431" s="265"/>
      <c r="BY431" s="265"/>
      <c r="BZ431" s="265"/>
      <c r="CA431" s="265"/>
      <c r="CB431" s="265"/>
      <c r="CC431" s="265"/>
      <c r="CD431" s="265"/>
      <c r="CE431" s="265"/>
      <c r="CF431" s="265"/>
      <c r="CG431" s="265"/>
      <c r="CH431" s="265"/>
      <c r="CI431" s="265"/>
      <c r="CJ431" s="265"/>
      <c r="CK431" s="265"/>
      <c r="CL431" s="265"/>
      <c r="CM431" s="265"/>
      <c r="CN431" s="265"/>
      <c r="CO431" s="265"/>
      <c r="CP431" s="265"/>
      <c r="CQ431" s="265"/>
      <c r="CR431" s="265"/>
      <c r="CS431" s="265"/>
      <c r="CT431" s="265"/>
      <c r="CU431" s="265"/>
      <c r="CV431" s="265"/>
      <c r="CW431" s="265"/>
      <c r="CX431" s="265"/>
      <c r="CY431" s="265"/>
      <c r="CZ431" s="268"/>
    </row>
    <row r="432" spans="1:104" hidden="1" outlineLevel="1">
      <c r="A432" s="264"/>
      <c r="B432" s="266" t="s">
        <v>642</v>
      </c>
      <c r="C432" s="268"/>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c r="AA432" s="264"/>
      <c r="AB432" s="264"/>
      <c r="AC432" s="264"/>
      <c r="AD432" s="265">
        <v>448</v>
      </c>
      <c r="AE432" s="264"/>
      <c r="AF432" s="264"/>
      <c r="AG432" s="264"/>
      <c r="AH432" s="264"/>
      <c r="AI432" s="265"/>
      <c r="AJ432" s="264"/>
      <c r="AK432" s="264"/>
      <c r="AL432" s="264"/>
      <c r="AM432" s="264"/>
      <c r="AN432" s="265"/>
      <c r="AO432" s="265"/>
      <c r="AP432" s="265"/>
      <c r="AQ432" s="265"/>
      <c r="AR432" s="265"/>
      <c r="AS432" s="264"/>
      <c r="AT432" s="264"/>
      <c r="AU432" s="264"/>
      <c r="AV432" s="264"/>
      <c r="AW432" s="264"/>
      <c r="AX432" s="264"/>
      <c r="AY432" s="264"/>
      <c r="AZ432" s="264"/>
      <c r="BA432" s="264"/>
      <c r="BB432" s="264"/>
      <c r="BC432" s="264"/>
      <c r="BD432" s="266"/>
      <c r="BE432" s="266"/>
      <c r="BF432" s="266"/>
      <c r="BG432" s="266"/>
      <c r="BH432" s="266"/>
      <c r="BI432" s="1000"/>
      <c r="BJ432" s="1000"/>
      <c r="BK432" s="1000"/>
      <c r="BL432" s="1000"/>
      <c r="BM432" s="1000"/>
      <c r="BN432" s="265"/>
      <c r="BO432" s="265"/>
      <c r="BP432" s="265"/>
      <c r="BQ432" s="265"/>
      <c r="BR432" s="265"/>
      <c r="BS432" s="265"/>
      <c r="BT432" s="265"/>
      <c r="BU432" s="265"/>
      <c r="BV432" s="265"/>
      <c r="BW432" s="265"/>
      <c r="BX432" s="265"/>
      <c r="BY432" s="265"/>
      <c r="BZ432" s="265"/>
      <c r="CA432" s="265"/>
      <c r="CB432" s="265"/>
      <c r="CC432" s="265"/>
      <c r="CD432" s="265"/>
      <c r="CE432" s="265"/>
      <c r="CF432" s="265"/>
      <c r="CG432" s="265"/>
      <c r="CH432" s="265"/>
      <c r="CI432" s="265"/>
      <c r="CJ432" s="265"/>
      <c r="CK432" s="265"/>
      <c r="CL432" s="265"/>
      <c r="CM432" s="265"/>
      <c r="CN432" s="265"/>
      <c r="CO432" s="265"/>
      <c r="CP432" s="265"/>
      <c r="CQ432" s="265"/>
      <c r="CR432" s="265"/>
      <c r="CS432" s="265"/>
      <c r="CT432" s="265"/>
      <c r="CU432" s="265"/>
      <c r="CV432" s="265"/>
      <c r="CW432" s="265"/>
      <c r="CX432" s="265"/>
      <c r="CY432" s="265"/>
      <c r="CZ432" s="268">
        <v>698</v>
      </c>
    </row>
    <row r="433" spans="1:104" hidden="1" outlineLevel="1">
      <c r="A433" s="264"/>
      <c r="B433" s="264"/>
      <c r="C433" s="268"/>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c r="AA433" s="264"/>
      <c r="AB433" s="264"/>
      <c r="AC433" s="264"/>
      <c r="AD433" s="265"/>
      <c r="AE433" s="264"/>
      <c r="AF433" s="264"/>
      <c r="AG433" s="264"/>
      <c r="AH433" s="264"/>
      <c r="AI433" s="265"/>
      <c r="AJ433" s="264"/>
      <c r="AK433" s="264"/>
      <c r="AL433" s="264"/>
      <c r="AM433" s="264"/>
      <c r="AN433" s="265"/>
      <c r="AO433" s="265"/>
      <c r="AP433" s="265"/>
      <c r="AQ433" s="265"/>
      <c r="AR433" s="265"/>
      <c r="AS433" s="264"/>
      <c r="AT433" s="264"/>
      <c r="AU433" s="264"/>
      <c r="AV433" s="264"/>
      <c r="AW433" s="264"/>
      <c r="AX433" s="264"/>
      <c r="AY433" s="264"/>
      <c r="AZ433" s="264"/>
      <c r="BA433" s="264"/>
      <c r="BB433" s="264"/>
      <c r="BC433" s="264"/>
      <c r="BD433" s="266"/>
      <c r="BE433" s="266"/>
      <c r="BF433" s="266"/>
      <c r="BG433" s="266"/>
      <c r="BH433" s="266"/>
      <c r="BI433" s="1000"/>
      <c r="BJ433" s="1000"/>
      <c r="BK433" s="1000"/>
      <c r="BL433" s="1000"/>
      <c r="BM433" s="1000"/>
      <c r="BN433" s="265"/>
      <c r="BO433" s="265"/>
      <c r="BP433" s="265"/>
      <c r="BQ433" s="265"/>
      <c r="BR433" s="265"/>
      <c r="BS433" s="265"/>
      <c r="BT433" s="265"/>
      <c r="BU433" s="265"/>
      <c r="BV433" s="265"/>
      <c r="BW433" s="265"/>
      <c r="BX433" s="265"/>
      <c r="BY433" s="265"/>
      <c r="BZ433" s="265"/>
      <c r="CA433" s="265"/>
      <c r="CB433" s="265"/>
      <c r="CC433" s="265"/>
      <c r="CD433" s="265"/>
      <c r="CE433" s="265"/>
      <c r="CF433" s="265"/>
      <c r="CG433" s="265"/>
      <c r="CH433" s="265"/>
      <c r="CI433" s="265"/>
      <c r="CJ433" s="265"/>
      <c r="CK433" s="265"/>
      <c r="CL433" s="265"/>
      <c r="CM433" s="265"/>
      <c r="CN433" s="265"/>
      <c r="CO433" s="265"/>
      <c r="CP433" s="265"/>
      <c r="CQ433" s="265"/>
      <c r="CR433" s="265"/>
      <c r="CS433" s="265"/>
      <c r="CT433" s="265"/>
      <c r="CU433" s="265"/>
      <c r="CV433" s="265"/>
      <c r="CW433" s="265"/>
      <c r="CX433" s="265"/>
      <c r="CY433" s="265"/>
      <c r="CZ433" s="268"/>
    </row>
    <row r="434" spans="1:104" hidden="1" outlineLevel="1">
      <c r="A434" s="264"/>
      <c r="B434" s="266" t="s">
        <v>641</v>
      </c>
      <c r="C434" s="268"/>
      <c r="D434" s="264"/>
      <c r="E434" s="264"/>
      <c r="F434" s="264"/>
      <c r="G434" s="264"/>
      <c r="H434" s="264"/>
      <c r="I434" s="264"/>
      <c r="J434" s="264">
        <v>12</v>
      </c>
      <c r="K434" s="264"/>
      <c r="L434" s="264"/>
      <c r="M434" s="264"/>
      <c r="N434" s="264"/>
      <c r="O434" s="264">
        <v>12.6</v>
      </c>
      <c r="P434" s="264"/>
      <c r="Q434" s="264"/>
      <c r="R434" s="264"/>
      <c r="S434" s="264"/>
      <c r="T434" s="264">
        <v>13.4</v>
      </c>
      <c r="U434" s="264"/>
      <c r="V434" s="264"/>
      <c r="W434" s="264"/>
      <c r="X434" s="264"/>
      <c r="Y434" s="264">
        <v>13</v>
      </c>
      <c r="Z434" s="264"/>
      <c r="AA434" s="264"/>
      <c r="AB434" s="264"/>
      <c r="AC434" s="264"/>
      <c r="AD434" s="265">
        <v>13.1</v>
      </c>
      <c r="AE434" s="264"/>
      <c r="AF434" s="264"/>
      <c r="AG434" s="264"/>
      <c r="AH434" s="264"/>
      <c r="AI434" s="265">
        <v>13.3</v>
      </c>
      <c r="AJ434" s="264"/>
      <c r="AK434" s="264"/>
      <c r="AL434" s="264"/>
      <c r="AM434" s="264"/>
      <c r="AN434" s="265">
        <v>13.3</v>
      </c>
      <c r="AO434" s="265"/>
      <c r="AP434" s="265"/>
      <c r="AQ434" s="265"/>
      <c r="AR434" s="265"/>
      <c r="AS434" s="264">
        <v>13.7</v>
      </c>
      <c r="AT434" s="264"/>
      <c r="AU434" s="264"/>
      <c r="AV434" s="264"/>
      <c r="AW434" s="264"/>
      <c r="AX434" s="264"/>
      <c r="AY434" s="264"/>
      <c r="AZ434" s="264"/>
      <c r="BA434" s="264"/>
      <c r="BB434" s="264"/>
      <c r="BC434" s="264"/>
      <c r="BD434" s="266"/>
      <c r="BE434" s="266"/>
      <c r="BF434" s="266"/>
      <c r="BG434" s="266"/>
      <c r="BH434" s="266"/>
      <c r="BI434" s="1000"/>
      <c r="BJ434" s="1000"/>
      <c r="BK434" s="1000"/>
      <c r="BL434" s="1000"/>
      <c r="BM434" s="1000"/>
      <c r="BN434" s="265"/>
      <c r="BO434" s="265"/>
      <c r="BP434" s="265"/>
      <c r="BQ434" s="265"/>
      <c r="BR434" s="265"/>
      <c r="BS434" s="265"/>
      <c r="BT434" s="265"/>
      <c r="BU434" s="265"/>
      <c r="BV434" s="265"/>
      <c r="BW434" s="265"/>
      <c r="BX434" s="265"/>
      <c r="BY434" s="265"/>
      <c r="BZ434" s="265"/>
      <c r="CA434" s="265"/>
      <c r="CB434" s="265"/>
      <c r="CC434" s="265"/>
      <c r="CD434" s="265"/>
      <c r="CE434" s="265"/>
      <c r="CF434" s="265"/>
      <c r="CG434" s="265"/>
      <c r="CH434" s="265"/>
      <c r="CI434" s="265"/>
      <c r="CJ434" s="265"/>
      <c r="CK434" s="265"/>
      <c r="CL434" s="265"/>
      <c r="CM434" s="265"/>
      <c r="CN434" s="265"/>
      <c r="CO434" s="265"/>
      <c r="CP434" s="265"/>
      <c r="CQ434" s="265"/>
      <c r="CR434" s="265"/>
      <c r="CS434" s="265"/>
      <c r="CT434" s="265"/>
      <c r="CU434" s="265"/>
      <c r="CV434" s="265"/>
      <c r="CW434" s="265"/>
      <c r="CX434" s="265"/>
      <c r="CY434" s="265"/>
      <c r="CZ434" s="268"/>
    </row>
    <row r="435" spans="1:104" hidden="1" outlineLevel="1">
      <c r="A435" s="264"/>
      <c r="B435" s="264"/>
      <c r="C435" s="268"/>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c r="AA435" s="264"/>
      <c r="AB435" s="264"/>
      <c r="AC435" s="264"/>
      <c r="AD435" s="265"/>
      <c r="AE435" s="264"/>
      <c r="AF435" s="264"/>
      <c r="AG435" s="264"/>
      <c r="AH435" s="264"/>
      <c r="AI435" s="265"/>
      <c r="AJ435" s="264"/>
      <c r="AK435" s="264"/>
      <c r="AL435" s="264"/>
      <c r="AM435" s="264"/>
      <c r="AN435" s="265"/>
      <c r="AO435" s="265"/>
      <c r="AP435" s="265"/>
      <c r="AQ435" s="265"/>
      <c r="AR435" s="265"/>
      <c r="AS435" s="264"/>
      <c r="AT435" s="264"/>
      <c r="AU435" s="264"/>
      <c r="AV435" s="264"/>
      <c r="AW435" s="264"/>
      <c r="AX435" s="264"/>
      <c r="AY435" s="264"/>
      <c r="AZ435" s="264"/>
      <c r="BA435" s="264"/>
      <c r="BB435" s="264"/>
      <c r="BC435" s="264"/>
      <c r="BD435" s="266"/>
      <c r="BE435" s="266"/>
      <c r="BF435" s="266"/>
      <c r="BG435" s="266"/>
      <c r="BH435" s="266"/>
      <c r="BI435" s="1000"/>
      <c r="BJ435" s="1000"/>
      <c r="BK435" s="1000"/>
      <c r="BL435" s="1000"/>
      <c r="BM435" s="1000"/>
      <c r="BN435" s="265"/>
      <c r="BO435" s="265"/>
      <c r="BP435" s="265"/>
      <c r="BQ435" s="265"/>
      <c r="BR435" s="265"/>
      <c r="BS435" s="265"/>
      <c r="BT435" s="265"/>
      <c r="BU435" s="265"/>
      <c r="BV435" s="265"/>
      <c r="BW435" s="265"/>
      <c r="BX435" s="265"/>
      <c r="BY435" s="265"/>
      <c r="BZ435" s="265"/>
      <c r="CA435" s="265"/>
      <c r="CB435" s="265"/>
      <c r="CC435" s="265"/>
      <c r="CD435" s="265"/>
      <c r="CE435" s="265"/>
      <c r="CF435" s="265"/>
      <c r="CG435" s="265"/>
      <c r="CH435" s="265"/>
      <c r="CI435" s="265"/>
      <c r="CJ435" s="265"/>
      <c r="CK435" s="265"/>
      <c r="CL435" s="265"/>
      <c r="CM435" s="265"/>
      <c r="CN435" s="265"/>
      <c r="CO435" s="265"/>
      <c r="CP435" s="265"/>
      <c r="CQ435" s="265"/>
      <c r="CR435" s="265"/>
      <c r="CS435" s="265"/>
      <c r="CT435" s="265"/>
      <c r="CU435" s="265"/>
      <c r="CV435" s="265"/>
      <c r="CW435" s="265"/>
      <c r="CX435" s="265"/>
      <c r="CY435" s="265"/>
      <c r="CZ435" s="268"/>
    </row>
    <row r="436" spans="1:104" hidden="1" outlineLevel="1">
      <c r="A436" s="264"/>
      <c r="B436" s="266" t="s">
        <v>640</v>
      </c>
      <c r="C436" s="268"/>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c r="AA436" s="264"/>
      <c r="AB436" s="264"/>
      <c r="AC436" s="264"/>
      <c r="AD436" s="265"/>
      <c r="AE436" s="264"/>
      <c r="AF436" s="264"/>
      <c r="AG436" s="264"/>
      <c r="AH436" s="264"/>
      <c r="AI436" s="265"/>
      <c r="AJ436" s="264"/>
      <c r="AK436" s="264"/>
      <c r="AL436" s="264"/>
      <c r="AM436" s="264"/>
      <c r="AN436" s="265"/>
      <c r="AO436" s="265"/>
      <c r="AP436" s="265"/>
      <c r="AQ436" s="265"/>
      <c r="AR436" s="265"/>
      <c r="AS436" s="264"/>
      <c r="AT436" s="264"/>
      <c r="AU436" s="264"/>
      <c r="AV436" s="264"/>
      <c r="AW436" s="264"/>
      <c r="AX436" s="264"/>
      <c r="AY436" s="264"/>
      <c r="AZ436" s="264"/>
      <c r="BA436" s="264"/>
      <c r="BB436" s="264"/>
      <c r="BC436" s="264"/>
      <c r="BD436" s="266"/>
      <c r="BE436" s="266"/>
      <c r="BF436" s="266"/>
      <c r="BG436" s="266"/>
      <c r="BH436" s="266"/>
      <c r="BI436" s="1000"/>
      <c r="BJ436" s="1000"/>
      <c r="BK436" s="1000"/>
      <c r="BL436" s="1000"/>
      <c r="BM436" s="1000"/>
      <c r="BN436" s="265"/>
      <c r="BO436" s="265"/>
      <c r="BP436" s="265"/>
      <c r="BQ436" s="265"/>
      <c r="BR436" s="265"/>
      <c r="BS436" s="265"/>
      <c r="BT436" s="265"/>
      <c r="BU436" s="265"/>
      <c r="BV436" s="265"/>
      <c r="BW436" s="265"/>
      <c r="BX436" s="265"/>
      <c r="BY436" s="265"/>
      <c r="BZ436" s="265"/>
      <c r="CA436" s="265"/>
      <c r="CB436" s="265"/>
      <c r="CC436" s="265"/>
      <c r="CD436" s="265"/>
      <c r="CE436" s="265"/>
      <c r="CF436" s="265"/>
      <c r="CG436" s="265"/>
      <c r="CH436" s="265"/>
      <c r="CI436" s="265"/>
      <c r="CJ436" s="265"/>
      <c r="CK436" s="265"/>
      <c r="CL436" s="265"/>
      <c r="CM436" s="265"/>
      <c r="CN436" s="265"/>
      <c r="CO436" s="265"/>
      <c r="CP436" s="265"/>
      <c r="CQ436" s="265"/>
      <c r="CR436" s="265"/>
      <c r="CS436" s="265"/>
      <c r="CT436" s="265"/>
      <c r="CU436" s="265"/>
      <c r="CV436" s="265"/>
      <c r="CW436" s="265"/>
      <c r="CX436" s="265"/>
      <c r="CY436" s="265"/>
      <c r="CZ436" s="268"/>
    </row>
    <row r="437" spans="1:104" hidden="1" outlineLevel="1">
      <c r="A437" s="264"/>
      <c r="B437" s="264" t="s">
        <v>639</v>
      </c>
      <c r="C437" s="268"/>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c r="AA437" s="264"/>
      <c r="AB437" s="264"/>
      <c r="AC437" s="264"/>
      <c r="AD437" s="265"/>
      <c r="AE437" s="264"/>
      <c r="AF437" s="264"/>
      <c r="AG437" s="264"/>
      <c r="AH437" s="264"/>
      <c r="AI437" s="265">
        <v>115</v>
      </c>
      <c r="AJ437" s="264"/>
      <c r="AK437" s="264"/>
      <c r="AL437" s="264"/>
      <c r="AM437" s="264"/>
      <c r="AN437" s="265">
        <v>128.4</v>
      </c>
      <c r="AO437" s="265"/>
      <c r="AP437" s="265"/>
      <c r="AQ437" s="265"/>
      <c r="AR437" s="265"/>
      <c r="AS437" s="264">
        <v>147.19999999999999</v>
      </c>
      <c r="AT437" s="264"/>
      <c r="AU437" s="264"/>
      <c r="AV437" s="264"/>
      <c r="AW437" s="264"/>
      <c r="AX437" s="264"/>
      <c r="AY437" s="264"/>
      <c r="AZ437" s="264"/>
      <c r="BA437" s="264"/>
      <c r="BB437" s="264"/>
      <c r="BC437" s="264"/>
      <c r="BD437" s="266"/>
      <c r="BE437" s="266"/>
      <c r="BF437" s="266"/>
      <c r="BG437" s="266"/>
      <c r="BH437" s="266"/>
      <c r="BI437" s="1000"/>
      <c r="BJ437" s="1000"/>
      <c r="BK437" s="1000"/>
      <c r="BL437" s="1000"/>
      <c r="BM437" s="1000"/>
      <c r="BN437" s="265"/>
      <c r="BO437" s="265"/>
      <c r="BP437" s="265"/>
      <c r="BQ437" s="265"/>
      <c r="BR437" s="265"/>
      <c r="BS437" s="265"/>
      <c r="BT437" s="265"/>
      <c r="BU437" s="265"/>
      <c r="BV437" s="265"/>
      <c r="BW437" s="265"/>
      <c r="BX437" s="265"/>
      <c r="BY437" s="265"/>
      <c r="BZ437" s="265"/>
      <c r="CA437" s="265"/>
      <c r="CB437" s="265"/>
      <c r="CC437" s="265"/>
      <c r="CD437" s="265"/>
      <c r="CE437" s="265"/>
      <c r="CF437" s="265"/>
      <c r="CG437" s="265"/>
      <c r="CH437" s="265"/>
      <c r="CI437" s="265"/>
      <c r="CJ437" s="265"/>
      <c r="CK437" s="265"/>
      <c r="CL437" s="265"/>
      <c r="CM437" s="265"/>
      <c r="CN437" s="265"/>
      <c r="CO437" s="265"/>
      <c r="CP437" s="265"/>
      <c r="CQ437" s="265"/>
      <c r="CR437" s="265"/>
      <c r="CS437" s="265"/>
      <c r="CT437" s="265"/>
      <c r="CU437" s="265"/>
      <c r="CV437" s="265"/>
      <c r="CW437" s="265"/>
      <c r="CX437" s="265"/>
      <c r="CY437" s="265"/>
      <c r="CZ437" s="268"/>
    </row>
    <row r="438" spans="1:104" hidden="1" outlineLevel="1">
      <c r="A438" s="264"/>
      <c r="B438" s="264" t="s">
        <v>638</v>
      </c>
      <c r="C438" s="268"/>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c r="AA438" s="264"/>
      <c r="AB438" s="264"/>
      <c r="AC438" s="264"/>
      <c r="AD438" s="265"/>
      <c r="AE438" s="264"/>
      <c r="AF438" s="264"/>
      <c r="AG438" s="264"/>
      <c r="AH438" s="264"/>
      <c r="AI438" s="265">
        <v>117.2</v>
      </c>
      <c r="AJ438" s="264"/>
      <c r="AK438" s="264"/>
      <c r="AL438" s="264"/>
      <c r="AM438" s="264"/>
      <c r="AN438" s="265">
        <v>131.1</v>
      </c>
      <c r="AO438" s="265"/>
      <c r="AP438" s="265"/>
      <c r="AQ438" s="265"/>
      <c r="AR438" s="265"/>
      <c r="AS438" s="264">
        <v>154.30000000000001</v>
      </c>
      <c r="AT438" s="264"/>
      <c r="AU438" s="264"/>
      <c r="AV438" s="264"/>
      <c r="AW438" s="264"/>
      <c r="AX438" s="264"/>
      <c r="AY438" s="264"/>
      <c r="AZ438" s="264"/>
      <c r="BA438" s="264"/>
      <c r="BB438" s="264"/>
      <c r="BC438" s="264"/>
      <c r="BD438" s="266"/>
      <c r="BE438" s="266"/>
      <c r="BF438" s="266"/>
      <c r="BG438" s="266"/>
      <c r="BH438" s="266"/>
      <c r="BI438" s="1000"/>
      <c r="BJ438" s="1000"/>
      <c r="BK438" s="1000"/>
      <c r="BL438" s="1000"/>
      <c r="BM438" s="1000"/>
      <c r="BN438" s="265"/>
      <c r="BO438" s="265"/>
      <c r="BP438" s="265"/>
      <c r="BQ438" s="265"/>
      <c r="BR438" s="265"/>
      <c r="BS438" s="265"/>
      <c r="BT438" s="265"/>
      <c r="BU438" s="265"/>
      <c r="BV438" s="265"/>
      <c r="BW438" s="265"/>
      <c r="BX438" s="265"/>
      <c r="BY438" s="265"/>
      <c r="BZ438" s="265"/>
      <c r="CA438" s="265"/>
      <c r="CB438" s="265"/>
      <c r="CC438" s="265"/>
      <c r="CD438" s="265"/>
      <c r="CE438" s="265"/>
      <c r="CF438" s="265"/>
      <c r="CG438" s="265"/>
      <c r="CH438" s="265"/>
      <c r="CI438" s="265"/>
      <c r="CJ438" s="265"/>
      <c r="CK438" s="265"/>
      <c r="CL438" s="265"/>
      <c r="CM438" s="265"/>
      <c r="CN438" s="265"/>
      <c r="CO438" s="265"/>
      <c r="CP438" s="265"/>
      <c r="CQ438" s="265"/>
      <c r="CR438" s="265"/>
      <c r="CS438" s="265"/>
      <c r="CT438" s="265"/>
      <c r="CU438" s="265"/>
      <c r="CV438" s="265"/>
      <c r="CW438" s="265"/>
      <c r="CX438" s="265"/>
      <c r="CY438" s="265"/>
      <c r="CZ438" s="268"/>
    </row>
    <row r="439" spans="1:104" hidden="1" outlineLevel="1">
      <c r="A439" s="264"/>
      <c r="B439" s="264" t="s">
        <v>101</v>
      </c>
      <c r="C439" s="268"/>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c r="AA439" s="264"/>
      <c r="AB439" s="264"/>
      <c r="AC439" s="264"/>
      <c r="AD439" s="265"/>
      <c r="AE439" s="264"/>
      <c r="AF439" s="264"/>
      <c r="AG439" s="264"/>
      <c r="AH439" s="264"/>
      <c r="AI439" s="265">
        <v>121.6</v>
      </c>
      <c r="AJ439" s="264"/>
      <c r="AK439" s="264"/>
      <c r="AL439" s="264"/>
      <c r="AM439" s="264"/>
      <c r="AN439" s="265">
        <v>137.4</v>
      </c>
      <c r="AO439" s="265"/>
      <c r="AP439" s="265"/>
      <c r="AQ439" s="265"/>
      <c r="AR439" s="265"/>
      <c r="AS439" s="264">
        <v>149.1</v>
      </c>
      <c r="AT439" s="264"/>
      <c r="AU439" s="264"/>
      <c r="AV439" s="264"/>
      <c r="AW439" s="264"/>
      <c r="AX439" s="264"/>
      <c r="AY439" s="264"/>
      <c r="AZ439" s="264"/>
      <c r="BA439" s="264"/>
      <c r="BB439" s="264"/>
      <c r="BC439" s="264"/>
      <c r="BD439" s="266"/>
      <c r="BE439" s="266"/>
      <c r="BF439" s="266"/>
      <c r="BG439" s="266"/>
      <c r="BH439" s="266"/>
      <c r="BI439" s="1000"/>
      <c r="BJ439" s="1000"/>
      <c r="BK439" s="1000"/>
      <c r="BL439" s="1000"/>
      <c r="BM439" s="1000"/>
      <c r="BN439" s="265"/>
      <c r="BO439" s="265"/>
      <c r="BP439" s="265"/>
      <c r="BQ439" s="265"/>
      <c r="BR439" s="265"/>
      <c r="BS439" s="265"/>
      <c r="BT439" s="265"/>
      <c r="BU439" s="265"/>
      <c r="BV439" s="265"/>
      <c r="BW439" s="265"/>
      <c r="BX439" s="265"/>
      <c r="BY439" s="265"/>
      <c r="BZ439" s="265"/>
      <c r="CA439" s="265"/>
      <c r="CB439" s="265"/>
      <c r="CC439" s="265"/>
      <c r="CD439" s="265"/>
      <c r="CE439" s="265"/>
      <c r="CF439" s="265"/>
      <c r="CG439" s="265"/>
      <c r="CH439" s="265"/>
      <c r="CI439" s="265"/>
      <c r="CJ439" s="265"/>
      <c r="CK439" s="265"/>
      <c r="CL439" s="265"/>
      <c r="CM439" s="265"/>
      <c r="CN439" s="265"/>
      <c r="CO439" s="265"/>
      <c r="CP439" s="265"/>
      <c r="CQ439" s="265"/>
      <c r="CR439" s="265"/>
      <c r="CS439" s="265"/>
      <c r="CT439" s="265"/>
      <c r="CU439" s="265"/>
      <c r="CV439" s="265"/>
      <c r="CW439" s="265"/>
      <c r="CX439" s="265"/>
      <c r="CY439" s="265"/>
      <c r="CZ439" s="268"/>
    </row>
    <row r="440" spans="1:104" hidden="1" outlineLevel="1">
      <c r="A440" s="264"/>
      <c r="B440" s="264" t="s">
        <v>637</v>
      </c>
      <c r="C440" s="268"/>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c r="AA440" s="264"/>
      <c r="AB440" s="264"/>
      <c r="AC440" s="264"/>
      <c r="AD440" s="265"/>
      <c r="AE440" s="264"/>
      <c r="AF440" s="264"/>
      <c r="AG440" s="264"/>
      <c r="AH440" s="264"/>
      <c r="AI440" s="265">
        <v>104.5</v>
      </c>
      <c r="AJ440" s="264"/>
      <c r="AK440" s="264"/>
      <c r="AL440" s="264"/>
      <c r="AM440" s="264"/>
      <c r="AN440" s="265">
        <v>102.3</v>
      </c>
      <c r="AO440" s="265"/>
      <c r="AP440" s="265"/>
      <c r="AQ440" s="265"/>
      <c r="AR440" s="265"/>
      <c r="AS440" s="264">
        <v>107.7</v>
      </c>
      <c r="AT440" s="264"/>
      <c r="AU440" s="264"/>
      <c r="AV440" s="264"/>
      <c r="AW440" s="264"/>
      <c r="AX440" s="264"/>
      <c r="AY440" s="264"/>
      <c r="AZ440" s="264"/>
      <c r="BA440" s="264"/>
      <c r="BB440" s="264"/>
      <c r="BC440" s="264"/>
      <c r="BD440" s="266"/>
      <c r="BE440" s="266"/>
      <c r="BF440" s="266"/>
      <c r="BG440" s="266"/>
      <c r="BH440" s="266"/>
      <c r="BI440" s="1000"/>
      <c r="BJ440" s="1000"/>
      <c r="BK440" s="1000"/>
      <c r="BL440" s="1000"/>
      <c r="BM440" s="1000"/>
      <c r="BN440" s="265"/>
      <c r="BO440" s="265"/>
      <c r="BP440" s="265"/>
      <c r="BQ440" s="265"/>
      <c r="BR440" s="265"/>
      <c r="BS440" s="265"/>
      <c r="BT440" s="265"/>
      <c r="BU440" s="265"/>
      <c r="BV440" s="265"/>
      <c r="BW440" s="265"/>
      <c r="BX440" s="265"/>
      <c r="BY440" s="265"/>
      <c r="BZ440" s="265"/>
      <c r="CA440" s="265"/>
      <c r="CB440" s="265"/>
      <c r="CC440" s="265"/>
      <c r="CD440" s="265"/>
      <c r="CE440" s="265"/>
      <c r="CF440" s="265"/>
      <c r="CG440" s="265"/>
      <c r="CH440" s="265"/>
      <c r="CI440" s="265"/>
      <c r="CJ440" s="265"/>
      <c r="CK440" s="265"/>
      <c r="CL440" s="265"/>
      <c r="CM440" s="265"/>
      <c r="CN440" s="265"/>
      <c r="CO440" s="265"/>
      <c r="CP440" s="265"/>
      <c r="CQ440" s="265"/>
      <c r="CR440" s="265"/>
      <c r="CS440" s="265"/>
      <c r="CT440" s="265"/>
      <c r="CU440" s="265"/>
      <c r="CV440" s="265"/>
      <c r="CW440" s="265"/>
      <c r="CX440" s="265"/>
      <c r="CY440" s="265"/>
      <c r="CZ440" s="268"/>
    </row>
    <row r="441" spans="1:104" hidden="1" outlineLevel="1">
      <c r="A441" s="264"/>
      <c r="B441" s="264" t="s">
        <v>636</v>
      </c>
      <c r="C441" s="268"/>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c r="AA441" s="264"/>
      <c r="AB441" s="264"/>
      <c r="AC441" s="264"/>
      <c r="AD441" s="265"/>
      <c r="AE441" s="264"/>
      <c r="AF441" s="264"/>
      <c r="AG441" s="264"/>
      <c r="AH441" s="264"/>
      <c r="AI441" s="265">
        <v>99.1</v>
      </c>
      <c r="AJ441" s="264"/>
      <c r="AK441" s="264"/>
      <c r="AL441" s="264"/>
      <c r="AM441" s="264"/>
      <c r="AN441" s="265">
        <v>98.2</v>
      </c>
      <c r="AO441" s="265"/>
      <c r="AP441" s="265"/>
      <c r="AQ441" s="265"/>
      <c r="AR441" s="265"/>
      <c r="AS441" s="264">
        <v>101.8</v>
      </c>
      <c r="AT441" s="264"/>
      <c r="AU441" s="264"/>
      <c r="AV441" s="264"/>
      <c r="AW441" s="264"/>
      <c r="AX441" s="264"/>
      <c r="AY441" s="264"/>
      <c r="AZ441" s="264"/>
      <c r="BA441" s="264"/>
      <c r="BB441" s="264"/>
      <c r="BC441" s="264"/>
      <c r="BD441" s="266"/>
      <c r="BE441" s="266"/>
      <c r="BF441" s="266"/>
      <c r="BG441" s="266"/>
      <c r="BH441" s="266"/>
      <c r="BI441" s="1000"/>
      <c r="BJ441" s="1000"/>
      <c r="BK441" s="1000"/>
      <c r="BL441" s="1000"/>
      <c r="BM441" s="1000"/>
      <c r="BN441" s="265"/>
      <c r="BO441" s="265"/>
      <c r="BP441" s="265"/>
      <c r="BQ441" s="265"/>
      <c r="BR441" s="265"/>
      <c r="BS441" s="265"/>
      <c r="BT441" s="265"/>
      <c r="BU441" s="265"/>
      <c r="BV441" s="265"/>
      <c r="BW441" s="265"/>
      <c r="BX441" s="265"/>
      <c r="BY441" s="265"/>
      <c r="BZ441" s="265"/>
      <c r="CA441" s="265"/>
      <c r="CB441" s="265"/>
      <c r="CC441" s="265"/>
      <c r="CD441" s="265"/>
      <c r="CE441" s="265"/>
      <c r="CF441" s="265"/>
      <c r="CG441" s="265"/>
      <c r="CH441" s="265"/>
      <c r="CI441" s="265"/>
      <c r="CJ441" s="265"/>
      <c r="CK441" s="265"/>
      <c r="CL441" s="265"/>
      <c r="CM441" s="265"/>
      <c r="CN441" s="265"/>
      <c r="CO441" s="265"/>
      <c r="CP441" s="265"/>
      <c r="CQ441" s="265"/>
      <c r="CR441" s="265"/>
      <c r="CS441" s="265"/>
      <c r="CT441" s="265"/>
      <c r="CU441" s="265"/>
      <c r="CV441" s="265"/>
      <c r="CW441" s="265"/>
      <c r="CX441" s="265"/>
      <c r="CY441" s="265"/>
      <c r="CZ441" s="268"/>
    </row>
    <row r="442" spans="1:104" hidden="1" outlineLevel="1">
      <c r="A442" s="264"/>
      <c r="B442" s="264"/>
      <c r="C442" s="268"/>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c r="AA442" s="264"/>
      <c r="AB442" s="264"/>
      <c r="AC442" s="264"/>
      <c r="AD442" s="265"/>
      <c r="AE442" s="264"/>
      <c r="AF442" s="264"/>
      <c r="AG442" s="264"/>
      <c r="AH442" s="264"/>
      <c r="AI442" s="265"/>
      <c r="AJ442" s="264"/>
      <c r="AK442" s="264"/>
      <c r="AL442" s="264"/>
      <c r="AM442" s="264"/>
      <c r="AN442" s="265"/>
      <c r="AO442" s="265"/>
      <c r="AP442" s="265"/>
      <c r="AQ442" s="265"/>
      <c r="AR442" s="265"/>
      <c r="AS442" s="264"/>
      <c r="AT442" s="264"/>
      <c r="AU442" s="264"/>
      <c r="AV442" s="264"/>
      <c r="AW442" s="264"/>
      <c r="AX442" s="264"/>
      <c r="AY442" s="264"/>
      <c r="AZ442" s="264"/>
      <c r="BA442" s="264"/>
      <c r="BB442" s="264"/>
      <c r="BC442" s="264"/>
      <c r="BD442" s="266"/>
      <c r="BE442" s="266"/>
      <c r="BF442" s="266"/>
      <c r="BG442" s="266"/>
      <c r="BH442" s="266"/>
      <c r="BI442" s="1000"/>
      <c r="BJ442" s="1000"/>
      <c r="BK442" s="1000"/>
      <c r="BL442" s="1000"/>
      <c r="BM442" s="1000"/>
      <c r="BN442" s="265"/>
      <c r="BO442" s="265"/>
      <c r="BP442" s="265"/>
      <c r="BQ442" s="265"/>
      <c r="BR442" s="265"/>
      <c r="BS442" s="265"/>
      <c r="BT442" s="265"/>
      <c r="BU442" s="265"/>
      <c r="BV442" s="265"/>
      <c r="BW442" s="265"/>
      <c r="BX442" s="265"/>
      <c r="BY442" s="265"/>
      <c r="BZ442" s="265"/>
      <c r="CA442" s="265"/>
      <c r="CB442" s="265"/>
      <c r="CC442" s="265"/>
      <c r="CD442" s="265"/>
      <c r="CE442" s="265"/>
      <c r="CF442" s="265"/>
      <c r="CG442" s="265"/>
      <c r="CH442" s="265"/>
      <c r="CI442" s="265"/>
      <c r="CJ442" s="265"/>
      <c r="CK442" s="265"/>
      <c r="CL442" s="265"/>
      <c r="CM442" s="265"/>
      <c r="CN442" s="265"/>
      <c r="CO442" s="265"/>
      <c r="CP442" s="265"/>
      <c r="CQ442" s="265"/>
      <c r="CR442" s="265"/>
      <c r="CS442" s="265"/>
      <c r="CT442" s="265"/>
      <c r="CU442" s="265"/>
      <c r="CV442" s="265"/>
      <c r="CW442" s="265"/>
      <c r="CX442" s="265"/>
      <c r="CY442" s="265"/>
      <c r="CZ442" s="268"/>
    </row>
    <row r="443" spans="1:104" hidden="1" outlineLevel="1">
      <c r="A443" s="264"/>
      <c r="B443" s="266" t="s">
        <v>635</v>
      </c>
      <c r="C443" s="268"/>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c r="AA443" s="264"/>
      <c r="AB443" s="264"/>
      <c r="AC443" s="264"/>
      <c r="AD443" s="265"/>
      <c r="AE443" s="264"/>
      <c r="AF443" s="264"/>
      <c r="AG443" s="264"/>
      <c r="AH443" s="264"/>
      <c r="AI443" s="265"/>
      <c r="AJ443" s="264"/>
      <c r="AK443" s="264"/>
      <c r="AL443" s="264"/>
      <c r="AM443" s="264"/>
      <c r="AN443" s="265"/>
      <c r="AO443" s="265"/>
      <c r="AP443" s="265"/>
      <c r="AQ443" s="265"/>
      <c r="AR443" s="265"/>
      <c r="AS443" s="264"/>
      <c r="AT443" s="264"/>
      <c r="AU443" s="264"/>
      <c r="AV443" s="264"/>
      <c r="AW443" s="264"/>
      <c r="AX443" s="264"/>
      <c r="AY443" s="264"/>
      <c r="AZ443" s="264"/>
      <c r="BA443" s="264"/>
      <c r="BB443" s="264"/>
      <c r="BC443" s="264"/>
      <c r="BD443" s="266"/>
      <c r="BE443" s="266"/>
      <c r="BF443" s="266"/>
      <c r="BG443" s="266"/>
      <c r="BH443" s="266"/>
      <c r="BI443" s="1000"/>
      <c r="BJ443" s="1000"/>
      <c r="BK443" s="1000"/>
      <c r="BL443" s="1000"/>
      <c r="BM443" s="1000"/>
      <c r="BN443" s="265"/>
      <c r="BO443" s="265"/>
      <c r="BP443" s="265"/>
      <c r="BQ443" s="265"/>
      <c r="BR443" s="265"/>
      <c r="BS443" s="265"/>
      <c r="BT443" s="265"/>
      <c r="BU443" s="265"/>
      <c r="BV443" s="265"/>
      <c r="BW443" s="265"/>
      <c r="BX443" s="265"/>
      <c r="BY443" s="265"/>
      <c r="BZ443" s="265"/>
      <c r="CA443" s="265"/>
      <c r="CB443" s="265"/>
      <c r="CC443" s="265"/>
      <c r="CD443" s="265"/>
      <c r="CE443" s="265"/>
      <c r="CF443" s="265"/>
      <c r="CG443" s="265"/>
      <c r="CH443" s="265"/>
      <c r="CI443" s="265"/>
      <c r="CJ443" s="265"/>
      <c r="CK443" s="265"/>
      <c r="CL443" s="265"/>
      <c r="CM443" s="265"/>
      <c r="CN443" s="265"/>
      <c r="CO443" s="265"/>
      <c r="CP443" s="265"/>
      <c r="CQ443" s="265"/>
      <c r="CR443" s="265"/>
      <c r="CS443" s="265"/>
      <c r="CT443" s="265"/>
      <c r="CU443" s="265"/>
      <c r="CV443" s="265"/>
      <c r="CW443" s="265"/>
      <c r="CX443" s="265"/>
      <c r="CY443" s="265"/>
      <c r="CZ443" s="268"/>
    </row>
    <row r="444" spans="1:104" hidden="1" outlineLevel="1">
      <c r="A444" s="264"/>
      <c r="B444" s="264" t="s">
        <v>155</v>
      </c>
      <c r="C444" s="268"/>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c r="AA444" s="264"/>
      <c r="AB444" s="264"/>
      <c r="AC444" s="264"/>
      <c r="AD444" s="265"/>
      <c r="AE444" s="264"/>
      <c r="AF444" s="264"/>
      <c r="AG444" s="264"/>
      <c r="AH444" s="264"/>
      <c r="AI444" s="265"/>
      <c r="AJ444" s="264"/>
      <c r="AK444" s="264"/>
      <c r="AL444" s="264"/>
      <c r="AM444" s="264"/>
      <c r="AN444" s="265"/>
      <c r="AO444" s="265"/>
      <c r="AP444" s="265"/>
      <c r="AQ444" s="265"/>
      <c r="AR444" s="265"/>
      <c r="AS444" s="264">
        <v>63</v>
      </c>
      <c r="AT444" s="264"/>
      <c r="AU444" s="264"/>
      <c r="AV444" s="264"/>
      <c r="AW444" s="264"/>
      <c r="AX444" s="264"/>
      <c r="AY444" s="264"/>
      <c r="AZ444" s="264"/>
      <c r="BA444" s="264"/>
      <c r="BB444" s="264"/>
      <c r="BC444" s="264"/>
      <c r="BD444" s="266"/>
      <c r="BE444" s="266"/>
      <c r="BF444" s="266"/>
      <c r="BG444" s="266"/>
      <c r="BH444" s="266"/>
      <c r="BI444" s="1000"/>
      <c r="BJ444" s="1000"/>
      <c r="BK444" s="1000"/>
      <c r="BL444" s="1000"/>
      <c r="BM444" s="1000"/>
      <c r="BN444" s="265"/>
      <c r="BO444" s="265"/>
      <c r="BP444" s="265"/>
      <c r="BQ444" s="265"/>
      <c r="BR444" s="265"/>
      <c r="BS444" s="265"/>
      <c r="BT444" s="265"/>
      <c r="BU444" s="265"/>
      <c r="BV444" s="265"/>
      <c r="BW444" s="265"/>
      <c r="BX444" s="265"/>
      <c r="BY444" s="265"/>
      <c r="BZ444" s="265"/>
      <c r="CA444" s="265"/>
      <c r="CB444" s="265"/>
      <c r="CC444" s="265"/>
      <c r="CD444" s="265"/>
      <c r="CE444" s="265"/>
      <c r="CF444" s="265"/>
      <c r="CG444" s="265"/>
      <c r="CH444" s="265"/>
      <c r="CI444" s="265"/>
      <c r="CJ444" s="265"/>
      <c r="CK444" s="265"/>
      <c r="CL444" s="265"/>
      <c r="CM444" s="265"/>
      <c r="CN444" s="265"/>
      <c r="CO444" s="265"/>
      <c r="CP444" s="265"/>
      <c r="CQ444" s="265"/>
      <c r="CR444" s="265"/>
      <c r="CS444" s="265"/>
      <c r="CT444" s="265"/>
      <c r="CU444" s="265"/>
      <c r="CV444" s="265"/>
      <c r="CW444" s="265"/>
      <c r="CX444" s="265"/>
      <c r="CY444" s="265"/>
      <c r="CZ444" s="268"/>
    </row>
    <row r="445" spans="1:104" hidden="1" outlineLevel="1">
      <c r="A445" s="264"/>
      <c r="B445" s="264" t="s">
        <v>9</v>
      </c>
      <c r="C445" s="268"/>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c r="AA445" s="264"/>
      <c r="AB445" s="264"/>
      <c r="AC445" s="264"/>
      <c r="AD445" s="265"/>
      <c r="AE445" s="264"/>
      <c r="AF445" s="264"/>
      <c r="AG445" s="264"/>
      <c r="AH445" s="264"/>
      <c r="AI445" s="265"/>
      <c r="AJ445" s="264"/>
      <c r="AK445" s="264"/>
      <c r="AL445" s="264"/>
      <c r="AM445" s="264"/>
      <c r="AN445" s="265"/>
      <c r="AO445" s="265"/>
      <c r="AP445" s="265"/>
      <c r="AQ445" s="265"/>
      <c r="AR445" s="265"/>
      <c r="AS445" s="264">
        <v>47</v>
      </c>
      <c r="AT445" s="264"/>
      <c r="AU445" s="264"/>
      <c r="AV445" s="264"/>
      <c r="AW445" s="264"/>
      <c r="AX445" s="264"/>
      <c r="AY445" s="264"/>
      <c r="AZ445" s="264"/>
      <c r="BA445" s="264"/>
      <c r="BB445" s="264"/>
      <c r="BC445" s="264"/>
      <c r="BD445" s="266"/>
      <c r="BE445" s="266"/>
      <c r="BF445" s="266"/>
      <c r="BG445" s="266"/>
      <c r="BH445" s="266"/>
      <c r="BI445" s="1000"/>
      <c r="BJ445" s="1000"/>
      <c r="BK445" s="1000"/>
      <c r="BL445" s="1000"/>
      <c r="BM445" s="1000"/>
      <c r="BN445" s="265"/>
      <c r="BO445" s="265"/>
      <c r="BP445" s="265"/>
      <c r="BQ445" s="265"/>
      <c r="BR445" s="265"/>
      <c r="BS445" s="265"/>
      <c r="BT445" s="265"/>
      <c r="BU445" s="265"/>
      <c r="BV445" s="265"/>
      <c r="BW445" s="265"/>
      <c r="BX445" s="265"/>
      <c r="BY445" s="265"/>
      <c r="BZ445" s="265"/>
      <c r="CA445" s="265"/>
      <c r="CB445" s="265"/>
      <c r="CC445" s="265"/>
      <c r="CD445" s="265"/>
      <c r="CE445" s="265"/>
      <c r="CF445" s="265"/>
      <c r="CG445" s="265"/>
      <c r="CH445" s="265"/>
      <c r="CI445" s="265"/>
      <c r="CJ445" s="265"/>
      <c r="CK445" s="265"/>
      <c r="CL445" s="265"/>
      <c r="CM445" s="265"/>
      <c r="CN445" s="265"/>
      <c r="CO445" s="265"/>
      <c r="CP445" s="265"/>
      <c r="CQ445" s="265"/>
      <c r="CR445" s="265"/>
      <c r="CS445" s="265"/>
      <c r="CT445" s="265"/>
      <c r="CU445" s="265"/>
      <c r="CV445" s="265"/>
      <c r="CW445" s="265"/>
      <c r="CX445" s="265"/>
      <c r="CY445" s="265"/>
      <c r="CZ445" s="268"/>
    </row>
    <row r="446" spans="1:104" hidden="1" outlineLevel="1">
      <c r="A446" s="264"/>
      <c r="B446" s="264" t="s">
        <v>634</v>
      </c>
      <c r="C446" s="268"/>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c r="AA446" s="264"/>
      <c r="AB446" s="264"/>
      <c r="AC446" s="264"/>
      <c r="AD446" s="265"/>
      <c r="AE446" s="264"/>
      <c r="AF446" s="264"/>
      <c r="AG446" s="264"/>
      <c r="AH446" s="264"/>
      <c r="AI446" s="265"/>
      <c r="AJ446" s="264"/>
      <c r="AK446" s="264"/>
      <c r="AL446" s="264"/>
      <c r="AM446" s="264"/>
      <c r="AN446" s="265"/>
      <c r="AO446" s="265"/>
      <c r="AP446" s="265"/>
      <c r="AQ446" s="265"/>
      <c r="AR446" s="265"/>
      <c r="AS446" s="264">
        <v>7</v>
      </c>
      <c r="AT446" s="264"/>
      <c r="AU446" s="264"/>
      <c r="AV446" s="264"/>
      <c r="AW446" s="264"/>
      <c r="AX446" s="264"/>
      <c r="AY446" s="264"/>
      <c r="AZ446" s="264"/>
      <c r="BA446" s="264"/>
      <c r="BB446" s="264"/>
      <c r="BC446" s="264"/>
      <c r="BD446" s="266"/>
      <c r="BE446" s="266"/>
      <c r="BF446" s="266"/>
      <c r="BG446" s="266"/>
      <c r="BH446" s="266"/>
      <c r="BI446" s="1000"/>
      <c r="BJ446" s="1000"/>
      <c r="BK446" s="1000"/>
      <c r="BL446" s="1000"/>
      <c r="BM446" s="1000"/>
      <c r="BN446" s="265"/>
      <c r="BO446" s="265"/>
      <c r="BP446" s="265"/>
      <c r="BQ446" s="265"/>
      <c r="BR446" s="265"/>
      <c r="BS446" s="265"/>
      <c r="BT446" s="265"/>
      <c r="BU446" s="265"/>
      <c r="BV446" s="265"/>
      <c r="BW446" s="265"/>
      <c r="BX446" s="265"/>
      <c r="BY446" s="265"/>
      <c r="BZ446" s="265"/>
      <c r="CA446" s="265"/>
      <c r="CB446" s="265"/>
      <c r="CC446" s="265"/>
      <c r="CD446" s="265"/>
      <c r="CE446" s="265"/>
      <c r="CF446" s="265"/>
      <c r="CG446" s="265"/>
      <c r="CH446" s="265"/>
      <c r="CI446" s="265"/>
      <c r="CJ446" s="265"/>
      <c r="CK446" s="265"/>
      <c r="CL446" s="265"/>
      <c r="CM446" s="265"/>
      <c r="CN446" s="265"/>
      <c r="CO446" s="265"/>
      <c r="CP446" s="265"/>
      <c r="CQ446" s="265"/>
      <c r="CR446" s="265"/>
      <c r="CS446" s="265"/>
      <c r="CT446" s="265"/>
      <c r="CU446" s="265"/>
      <c r="CV446" s="265"/>
      <c r="CW446" s="265"/>
      <c r="CX446" s="265"/>
      <c r="CY446" s="265"/>
      <c r="CZ446" s="268"/>
    </row>
    <row r="447" spans="1:104" hidden="1" outlineLevel="1">
      <c r="A447" s="264"/>
      <c r="B447" s="264"/>
      <c r="C447" s="268"/>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c r="AA447" s="264"/>
      <c r="AB447" s="264"/>
      <c r="AC447" s="264"/>
      <c r="AD447" s="265"/>
      <c r="AE447" s="264"/>
      <c r="AF447" s="264"/>
      <c r="AG447" s="264"/>
      <c r="AH447" s="264"/>
      <c r="AI447" s="265"/>
      <c r="AJ447" s="264"/>
      <c r="AK447" s="264"/>
      <c r="AL447" s="264"/>
      <c r="AM447" s="264"/>
      <c r="AN447" s="265"/>
      <c r="AO447" s="265"/>
      <c r="AP447" s="265"/>
      <c r="AQ447" s="265"/>
      <c r="AR447" s="265"/>
      <c r="AS447" s="264"/>
      <c r="AT447" s="264"/>
      <c r="AU447" s="264"/>
      <c r="AV447" s="264"/>
      <c r="AW447" s="264"/>
      <c r="AX447" s="264"/>
      <c r="AY447" s="264"/>
      <c r="AZ447" s="264"/>
      <c r="BA447" s="264"/>
      <c r="BB447" s="264"/>
      <c r="BC447" s="264"/>
      <c r="BD447" s="266"/>
      <c r="BE447" s="266"/>
      <c r="BF447" s="266"/>
      <c r="BG447" s="266"/>
      <c r="BH447" s="266"/>
      <c r="BI447" s="1000"/>
      <c r="BJ447" s="1000"/>
      <c r="BK447" s="1000"/>
      <c r="BL447" s="1000"/>
      <c r="BM447" s="1000"/>
      <c r="BN447" s="265"/>
      <c r="BO447" s="265"/>
      <c r="BP447" s="265"/>
      <c r="BQ447" s="265"/>
      <c r="BR447" s="265"/>
      <c r="BS447" s="265"/>
      <c r="BT447" s="265"/>
      <c r="BU447" s="265"/>
      <c r="BV447" s="265"/>
      <c r="BW447" s="265"/>
      <c r="BX447" s="265"/>
      <c r="BY447" s="265"/>
      <c r="BZ447" s="265"/>
      <c r="CA447" s="265"/>
      <c r="CB447" s="265"/>
      <c r="CC447" s="265"/>
      <c r="CD447" s="265"/>
      <c r="CE447" s="265"/>
      <c r="CF447" s="265"/>
      <c r="CG447" s="265"/>
      <c r="CH447" s="265"/>
      <c r="CI447" s="265"/>
      <c r="CJ447" s="265"/>
      <c r="CK447" s="265"/>
      <c r="CL447" s="265"/>
      <c r="CM447" s="265"/>
      <c r="CN447" s="265"/>
      <c r="CO447" s="265"/>
      <c r="CP447" s="265"/>
      <c r="CQ447" s="265"/>
      <c r="CR447" s="265"/>
      <c r="CS447" s="265"/>
      <c r="CT447" s="265"/>
      <c r="CU447" s="265"/>
      <c r="CV447" s="265"/>
      <c r="CW447" s="265"/>
      <c r="CX447" s="265"/>
      <c r="CY447" s="265"/>
      <c r="CZ447" s="268"/>
    </row>
    <row r="448" spans="1:104" hidden="1" outlineLevel="1">
      <c r="A448" s="264"/>
      <c r="B448" s="266" t="s">
        <v>633</v>
      </c>
      <c r="C448" s="268"/>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c r="AA448" s="264"/>
      <c r="AB448" s="264"/>
      <c r="AC448" s="264"/>
      <c r="AD448" s="265"/>
      <c r="AE448" s="264"/>
      <c r="AF448" s="264"/>
      <c r="AG448" s="264"/>
      <c r="AH448" s="264"/>
      <c r="AI448" s="265"/>
      <c r="AJ448" s="264"/>
      <c r="AK448" s="264"/>
      <c r="AL448" s="264"/>
      <c r="AM448" s="264"/>
      <c r="AN448" s="265"/>
      <c r="AO448" s="265"/>
      <c r="AP448" s="265"/>
      <c r="AQ448" s="265"/>
      <c r="AR448" s="265"/>
      <c r="AS448" s="264"/>
      <c r="AT448" s="264"/>
      <c r="AU448" s="264"/>
      <c r="AV448" s="264"/>
      <c r="AW448" s="264"/>
      <c r="AX448" s="264"/>
      <c r="AY448" s="264"/>
      <c r="AZ448" s="264"/>
      <c r="BA448" s="264"/>
      <c r="BB448" s="264"/>
      <c r="BC448" s="264"/>
      <c r="BD448" s="266"/>
      <c r="BE448" s="266"/>
      <c r="BF448" s="266"/>
      <c r="BG448" s="266"/>
      <c r="BH448" s="266"/>
      <c r="BI448" s="1000"/>
      <c r="BJ448" s="1000"/>
      <c r="BK448" s="1000"/>
      <c r="BL448" s="1000"/>
      <c r="BM448" s="1000"/>
      <c r="BN448" s="265"/>
      <c r="BO448" s="265"/>
      <c r="BP448" s="265"/>
      <c r="BQ448" s="265"/>
      <c r="BR448" s="265"/>
      <c r="BS448" s="265"/>
      <c r="BT448" s="265"/>
      <c r="BU448" s="265"/>
      <c r="BV448" s="265"/>
      <c r="BW448" s="265"/>
      <c r="BX448" s="265"/>
      <c r="BY448" s="265"/>
      <c r="BZ448" s="265"/>
      <c r="CA448" s="265"/>
      <c r="CB448" s="265"/>
      <c r="CC448" s="265"/>
      <c r="CD448" s="265"/>
      <c r="CE448" s="265"/>
      <c r="CF448" s="265"/>
      <c r="CG448" s="265"/>
      <c r="CH448" s="265"/>
      <c r="CI448" s="265"/>
      <c r="CJ448" s="265"/>
      <c r="CK448" s="265"/>
      <c r="CL448" s="265"/>
      <c r="CM448" s="265"/>
      <c r="CN448" s="265"/>
      <c r="CO448" s="265"/>
      <c r="CP448" s="265"/>
      <c r="CQ448" s="265"/>
      <c r="CR448" s="265"/>
      <c r="CS448" s="265"/>
      <c r="CT448" s="265"/>
      <c r="CU448" s="265"/>
      <c r="CV448" s="265"/>
      <c r="CW448" s="265"/>
      <c r="CX448" s="265"/>
      <c r="CY448" s="265"/>
      <c r="CZ448" s="268"/>
    </row>
    <row r="449" spans="1:104" hidden="1" outlineLevel="1">
      <c r="A449" s="264"/>
      <c r="B449" s="264" t="s">
        <v>632</v>
      </c>
      <c r="C449" s="268"/>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c r="AA449" s="264"/>
      <c r="AB449" s="264"/>
      <c r="AC449" s="264"/>
      <c r="AD449" s="265"/>
      <c r="AE449" s="264"/>
      <c r="AF449" s="264"/>
      <c r="AG449" s="264"/>
      <c r="AH449" s="264"/>
      <c r="AI449" s="265"/>
      <c r="AJ449" s="264"/>
      <c r="AK449" s="264"/>
      <c r="AL449" s="264"/>
      <c r="AM449" s="264"/>
      <c r="AN449" s="265"/>
      <c r="AO449" s="265"/>
      <c r="AP449" s="265"/>
      <c r="AQ449" s="265"/>
      <c r="AR449" s="265"/>
      <c r="AS449" s="264">
        <v>75</v>
      </c>
      <c r="AT449" s="264"/>
      <c r="AU449" s="264"/>
      <c r="AV449" s="264"/>
      <c r="AW449" s="264"/>
      <c r="AX449" s="264"/>
      <c r="AY449" s="264"/>
      <c r="AZ449" s="264"/>
      <c r="BA449" s="264"/>
      <c r="BB449" s="264"/>
      <c r="BC449" s="264"/>
      <c r="BD449" s="266"/>
      <c r="BE449" s="266"/>
      <c r="BF449" s="266"/>
      <c r="BG449" s="266"/>
      <c r="BH449" s="266"/>
      <c r="BI449" s="1000"/>
      <c r="BJ449" s="1000"/>
      <c r="BK449" s="1000"/>
      <c r="BL449" s="1000"/>
      <c r="BM449" s="1000"/>
      <c r="BN449" s="265"/>
      <c r="BO449" s="265"/>
      <c r="BP449" s="265"/>
      <c r="BQ449" s="265"/>
      <c r="BR449" s="265"/>
      <c r="BS449" s="265"/>
      <c r="BT449" s="265"/>
      <c r="BU449" s="265"/>
      <c r="BV449" s="265"/>
      <c r="BW449" s="265"/>
      <c r="BX449" s="265"/>
      <c r="BY449" s="265"/>
      <c r="BZ449" s="265"/>
      <c r="CA449" s="265"/>
      <c r="CB449" s="265"/>
      <c r="CC449" s="265"/>
      <c r="CD449" s="265"/>
      <c r="CE449" s="265"/>
      <c r="CF449" s="265"/>
      <c r="CG449" s="265"/>
      <c r="CH449" s="265"/>
      <c r="CI449" s="265"/>
      <c r="CJ449" s="265"/>
      <c r="CK449" s="265"/>
      <c r="CL449" s="265"/>
      <c r="CM449" s="265"/>
      <c r="CN449" s="265"/>
      <c r="CO449" s="265"/>
      <c r="CP449" s="265"/>
      <c r="CQ449" s="265"/>
      <c r="CR449" s="265"/>
      <c r="CS449" s="265"/>
      <c r="CT449" s="265"/>
      <c r="CU449" s="265"/>
      <c r="CV449" s="265"/>
      <c r="CW449" s="265"/>
      <c r="CX449" s="265"/>
      <c r="CY449" s="265"/>
      <c r="CZ449" s="268"/>
    </row>
    <row r="450" spans="1:104" hidden="1" outlineLevel="1">
      <c r="A450" s="264"/>
      <c r="B450" s="264" t="s">
        <v>589</v>
      </c>
      <c r="C450" s="268"/>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c r="AA450" s="264"/>
      <c r="AB450" s="264"/>
      <c r="AC450" s="264"/>
      <c r="AD450" s="265"/>
      <c r="AE450" s="264"/>
      <c r="AF450" s="264"/>
      <c r="AG450" s="264"/>
      <c r="AH450" s="264"/>
      <c r="AI450" s="265"/>
      <c r="AJ450" s="264"/>
      <c r="AK450" s="264"/>
      <c r="AL450" s="264"/>
      <c r="AM450" s="264"/>
      <c r="AN450" s="265"/>
      <c r="AO450" s="265"/>
      <c r="AP450" s="265"/>
      <c r="AQ450" s="265"/>
      <c r="AR450" s="265"/>
      <c r="AS450" s="264">
        <v>17</v>
      </c>
      <c r="AT450" s="264"/>
      <c r="AU450" s="264"/>
      <c r="AV450" s="264"/>
      <c r="AW450" s="264"/>
      <c r="AX450" s="264"/>
      <c r="AY450" s="264"/>
      <c r="AZ450" s="264"/>
      <c r="BA450" s="264"/>
      <c r="BB450" s="264"/>
      <c r="BC450" s="264"/>
      <c r="BD450" s="266"/>
      <c r="BE450" s="266"/>
      <c r="BF450" s="266"/>
      <c r="BG450" s="266"/>
      <c r="BH450" s="266"/>
      <c r="BI450" s="1000"/>
      <c r="BJ450" s="1000"/>
      <c r="BK450" s="1000"/>
      <c r="BL450" s="1000"/>
      <c r="BM450" s="1000"/>
      <c r="BN450" s="265"/>
      <c r="BO450" s="265"/>
      <c r="BP450" s="265"/>
      <c r="BQ450" s="265"/>
      <c r="BR450" s="265"/>
      <c r="BS450" s="265"/>
      <c r="BT450" s="265"/>
      <c r="BU450" s="265"/>
      <c r="BV450" s="265"/>
      <c r="BW450" s="265"/>
      <c r="BX450" s="265"/>
      <c r="BY450" s="265"/>
      <c r="BZ450" s="265"/>
      <c r="CA450" s="265"/>
      <c r="CB450" s="265"/>
      <c r="CC450" s="265"/>
      <c r="CD450" s="265"/>
      <c r="CE450" s="265"/>
      <c r="CF450" s="265"/>
      <c r="CG450" s="265"/>
      <c r="CH450" s="265"/>
      <c r="CI450" s="265"/>
      <c r="CJ450" s="265"/>
      <c r="CK450" s="265"/>
      <c r="CL450" s="265"/>
      <c r="CM450" s="265"/>
      <c r="CN450" s="265"/>
      <c r="CO450" s="265"/>
      <c r="CP450" s="265"/>
      <c r="CQ450" s="265"/>
      <c r="CR450" s="265"/>
      <c r="CS450" s="265"/>
      <c r="CT450" s="265"/>
      <c r="CU450" s="265"/>
      <c r="CV450" s="265"/>
      <c r="CW450" s="265"/>
      <c r="CX450" s="265"/>
      <c r="CY450" s="265"/>
      <c r="CZ450" s="268"/>
    </row>
    <row r="451" spans="1:104" hidden="1" outlineLevel="1">
      <c r="A451" s="264"/>
      <c r="B451" s="264" t="s">
        <v>631</v>
      </c>
      <c r="C451" s="268"/>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c r="AA451" s="264"/>
      <c r="AB451" s="264"/>
      <c r="AC451" s="264"/>
      <c r="AD451" s="265"/>
      <c r="AE451" s="264"/>
      <c r="AF451" s="264"/>
      <c r="AG451" s="264"/>
      <c r="AH451" s="264"/>
      <c r="AI451" s="265"/>
      <c r="AJ451" s="264"/>
      <c r="AK451" s="264"/>
      <c r="AL451" s="264"/>
      <c r="AM451" s="264"/>
      <c r="AN451" s="265"/>
      <c r="AO451" s="265"/>
      <c r="AP451" s="265"/>
      <c r="AQ451" s="265"/>
      <c r="AR451" s="265"/>
      <c r="AS451" s="264">
        <v>8</v>
      </c>
      <c r="AT451" s="264"/>
      <c r="AU451" s="264"/>
      <c r="AV451" s="264"/>
      <c r="AW451" s="264"/>
      <c r="AX451" s="264"/>
      <c r="AY451" s="264"/>
      <c r="AZ451" s="264"/>
      <c r="BA451" s="264"/>
      <c r="BB451" s="264"/>
      <c r="BC451" s="264"/>
      <c r="BD451" s="266"/>
      <c r="BE451" s="266"/>
      <c r="BF451" s="266"/>
      <c r="BG451" s="266"/>
      <c r="BH451" s="266"/>
      <c r="BI451" s="1000"/>
      <c r="BJ451" s="1000"/>
      <c r="BK451" s="1000"/>
      <c r="BL451" s="1000"/>
      <c r="BM451" s="1000"/>
      <c r="BN451" s="265"/>
      <c r="BO451" s="265"/>
      <c r="BP451" s="265"/>
      <c r="BQ451" s="265"/>
      <c r="BR451" s="265"/>
      <c r="BS451" s="265"/>
      <c r="BT451" s="265"/>
      <c r="BU451" s="265"/>
      <c r="BV451" s="265"/>
      <c r="BW451" s="265"/>
      <c r="BX451" s="265"/>
      <c r="BY451" s="265"/>
      <c r="BZ451" s="265"/>
      <c r="CA451" s="265"/>
      <c r="CB451" s="265"/>
      <c r="CC451" s="265"/>
      <c r="CD451" s="265"/>
      <c r="CE451" s="265"/>
      <c r="CF451" s="265"/>
      <c r="CG451" s="265"/>
      <c r="CH451" s="265"/>
      <c r="CI451" s="265"/>
      <c r="CJ451" s="265"/>
      <c r="CK451" s="265"/>
      <c r="CL451" s="265"/>
      <c r="CM451" s="265"/>
      <c r="CN451" s="265"/>
      <c r="CO451" s="265"/>
      <c r="CP451" s="265"/>
      <c r="CQ451" s="265"/>
      <c r="CR451" s="265"/>
      <c r="CS451" s="265"/>
      <c r="CT451" s="265"/>
      <c r="CU451" s="265"/>
      <c r="CV451" s="265"/>
      <c r="CW451" s="265"/>
      <c r="CX451" s="265"/>
      <c r="CY451" s="265"/>
      <c r="CZ451" s="268"/>
    </row>
    <row r="452" spans="1:104" hidden="1" outlineLevel="1">
      <c r="A452" s="264"/>
      <c r="B452" s="264"/>
      <c r="C452" s="268"/>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c r="AA452" s="264"/>
      <c r="AB452" s="264"/>
      <c r="AC452" s="264"/>
      <c r="AD452" s="265"/>
      <c r="AE452" s="264"/>
      <c r="AF452" s="264"/>
      <c r="AG452" s="264"/>
      <c r="AH452" s="264"/>
      <c r="AI452" s="265"/>
      <c r="AJ452" s="264"/>
      <c r="AK452" s="264"/>
      <c r="AL452" s="264"/>
      <c r="AM452" s="264"/>
      <c r="AN452" s="265"/>
      <c r="AO452" s="265"/>
      <c r="AP452" s="265"/>
      <c r="AQ452" s="265"/>
      <c r="AR452" s="265"/>
      <c r="AS452" s="264"/>
      <c r="AT452" s="264"/>
      <c r="AU452" s="264"/>
      <c r="AV452" s="264"/>
      <c r="AW452" s="264"/>
      <c r="AX452" s="264"/>
      <c r="AY452" s="264"/>
      <c r="AZ452" s="264"/>
      <c r="BA452" s="264"/>
      <c r="BB452" s="264"/>
      <c r="BC452" s="264"/>
      <c r="BD452" s="266"/>
      <c r="BE452" s="266"/>
      <c r="BF452" s="266"/>
      <c r="BG452" s="266"/>
      <c r="BH452" s="266"/>
      <c r="BI452" s="1000"/>
      <c r="BJ452" s="1000"/>
      <c r="BK452" s="1000"/>
      <c r="BL452" s="1000"/>
      <c r="BM452" s="1000"/>
      <c r="BN452" s="265"/>
      <c r="BO452" s="265"/>
      <c r="BP452" s="265"/>
      <c r="BQ452" s="265"/>
      <c r="BR452" s="265"/>
      <c r="BS452" s="265"/>
      <c r="BT452" s="265"/>
      <c r="BU452" s="265"/>
      <c r="BV452" s="265"/>
      <c r="BW452" s="265"/>
      <c r="BX452" s="265"/>
      <c r="BY452" s="265"/>
      <c r="BZ452" s="265"/>
      <c r="CA452" s="265"/>
      <c r="CB452" s="265"/>
      <c r="CC452" s="265"/>
      <c r="CD452" s="265"/>
      <c r="CE452" s="265"/>
      <c r="CF452" s="265"/>
      <c r="CG452" s="265"/>
      <c r="CH452" s="265"/>
      <c r="CI452" s="265"/>
      <c r="CJ452" s="265"/>
      <c r="CK452" s="265"/>
      <c r="CL452" s="265"/>
      <c r="CM452" s="265"/>
      <c r="CN452" s="265"/>
      <c r="CO452" s="265"/>
      <c r="CP452" s="265"/>
      <c r="CQ452" s="265"/>
      <c r="CR452" s="265"/>
      <c r="CS452" s="265"/>
      <c r="CT452" s="265"/>
      <c r="CU452" s="265"/>
      <c r="CV452" s="265"/>
      <c r="CW452" s="265"/>
      <c r="CX452" s="265"/>
      <c r="CY452" s="265"/>
      <c r="CZ452" s="268"/>
    </row>
    <row r="453" spans="1:104" hidden="1" outlineLevel="1">
      <c r="A453" s="264"/>
      <c r="B453" s="266" t="s">
        <v>630</v>
      </c>
      <c r="C453" s="268"/>
      <c r="D453" s="264"/>
      <c r="E453" s="264"/>
      <c r="F453" s="264"/>
      <c r="G453" s="264"/>
      <c r="H453" s="264"/>
      <c r="I453" s="264"/>
      <c r="J453" s="264"/>
      <c r="K453" s="264"/>
      <c r="L453" s="264"/>
      <c r="M453" s="264"/>
      <c r="N453" s="264"/>
      <c r="O453" s="264"/>
      <c r="P453" s="264"/>
      <c r="Q453" s="264"/>
      <c r="R453" s="264"/>
      <c r="S453" s="264"/>
      <c r="T453" s="264">
        <v>5.5</v>
      </c>
      <c r="U453" s="264"/>
      <c r="V453" s="264"/>
      <c r="W453" s="264"/>
      <c r="X453" s="264"/>
      <c r="Y453" s="264">
        <v>5.7</v>
      </c>
      <c r="Z453" s="264"/>
      <c r="AA453" s="264"/>
      <c r="AB453" s="264"/>
      <c r="AC453" s="264"/>
      <c r="AD453" s="265">
        <v>6.8</v>
      </c>
      <c r="AE453" s="264"/>
      <c r="AF453" s="264"/>
      <c r="AG453" s="264"/>
      <c r="AH453" s="264"/>
      <c r="AI453" s="265">
        <v>6.7</v>
      </c>
      <c r="AJ453" s="264"/>
      <c r="AK453" s="264"/>
      <c r="AL453" s="264"/>
      <c r="AM453" s="264"/>
      <c r="AN453" s="265">
        <v>6.8</v>
      </c>
      <c r="AO453" s="265"/>
      <c r="AP453" s="265"/>
      <c r="AQ453" s="265"/>
      <c r="AR453" s="265"/>
      <c r="AS453" s="264">
        <v>7.8</v>
      </c>
      <c r="AT453" s="264">
        <v>7.7</v>
      </c>
      <c r="AU453" s="264"/>
      <c r="AV453" s="264"/>
      <c r="AW453" s="264"/>
      <c r="AX453" s="264"/>
      <c r="AY453" s="264"/>
      <c r="AZ453" s="264"/>
      <c r="BA453" s="264"/>
      <c r="BB453" s="264"/>
      <c r="BC453" s="264"/>
      <c r="BD453" s="266"/>
      <c r="BE453" s="266"/>
      <c r="BF453" s="266"/>
      <c r="BG453" s="266"/>
      <c r="BH453" s="266"/>
      <c r="BI453" s="1000"/>
      <c r="BJ453" s="1000"/>
      <c r="BK453" s="1000"/>
      <c r="BL453" s="1000"/>
      <c r="BM453" s="1000"/>
      <c r="BN453" s="265"/>
      <c r="BO453" s="265"/>
      <c r="BP453" s="265"/>
      <c r="BQ453" s="265"/>
      <c r="BR453" s="265"/>
      <c r="BS453" s="265"/>
      <c r="BT453" s="265"/>
      <c r="BU453" s="265"/>
      <c r="BV453" s="265"/>
      <c r="BW453" s="265"/>
      <c r="BX453" s="265"/>
      <c r="BY453" s="265"/>
      <c r="BZ453" s="265"/>
      <c r="CA453" s="265"/>
      <c r="CB453" s="265"/>
      <c r="CC453" s="265"/>
      <c r="CD453" s="265"/>
      <c r="CE453" s="265"/>
      <c r="CF453" s="265"/>
      <c r="CG453" s="265"/>
      <c r="CH453" s="265"/>
      <c r="CI453" s="265"/>
      <c r="CJ453" s="265"/>
      <c r="CK453" s="265"/>
      <c r="CL453" s="265"/>
      <c r="CM453" s="265"/>
      <c r="CN453" s="265"/>
      <c r="CO453" s="265"/>
      <c r="CP453" s="265"/>
      <c r="CQ453" s="265"/>
      <c r="CR453" s="265"/>
      <c r="CS453" s="265"/>
      <c r="CT453" s="265"/>
      <c r="CU453" s="265"/>
      <c r="CV453" s="265"/>
      <c r="CW453" s="265"/>
      <c r="CX453" s="265"/>
      <c r="CY453" s="265"/>
      <c r="CZ453" s="268"/>
    </row>
    <row r="454" spans="1:104" hidden="1" outlineLevel="1">
      <c r="A454" s="264"/>
      <c r="B454" s="266" t="s">
        <v>629</v>
      </c>
      <c r="C454" s="268"/>
      <c r="D454" s="264"/>
      <c r="E454" s="264"/>
      <c r="F454" s="264"/>
      <c r="G454" s="264"/>
      <c r="H454" s="264"/>
      <c r="I454" s="264"/>
      <c r="J454" s="264"/>
      <c r="K454" s="264"/>
      <c r="L454" s="264"/>
      <c r="M454" s="264"/>
      <c r="N454" s="264"/>
      <c r="O454" s="264"/>
      <c r="P454" s="264"/>
      <c r="Q454" s="264"/>
      <c r="R454" s="264"/>
      <c r="S454" s="264"/>
      <c r="T454" s="264">
        <v>4.4000000000000004</v>
      </c>
      <c r="U454" s="264"/>
      <c r="V454" s="264"/>
      <c r="W454" s="264"/>
      <c r="X454" s="264"/>
      <c r="Y454" s="264">
        <v>4.5</v>
      </c>
      <c r="Z454" s="264"/>
      <c r="AA454" s="264"/>
      <c r="AB454" s="264"/>
      <c r="AC454" s="264"/>
      <c r="AD454" s="265">
        <v>5.4</v>
      </c>
      <c r="AE454" s="264"/>
      <c r="AF454" s="264"/>
      <c r="AG454" s="264"/>
      <c r="AH454" s="264"/>
      <c r="AI454" s="265">
        <v>5.3</v>
      </c>
      <c r="AJ454" s="264"/>
      <c r="AK454" s="264"/>
      <c r="AL454" s="264"/>
      <c r="AM454" s="264"/>
      <c r="AN454" s="265">
        <v>5.2</v>
      </c>
      <c r="AO454" s="265"/>
      <c r="AP454" s="265"/>
      <c r="AQ454" s="265"/>
      <c r="AR454" s="265"/>
      <c r="AS454" s="264">
        <v>5</v>
      </c>
      <c r="AT454" s="264">
        <v>4.8499999999999996</v>
      </c>
      <c r="AU454" s="264"/>
      <c r="AV454" s="264"/>
      <c r="AW454" s="264"/>
      <c r="AX454" s="264"/>
      <c r="AY454" s="264"/>
      <c r="AZ454" s="264"/>
      <c r="BA454" s="264"/>
      <c r="BB454" s="264"/>
      <c r="BC454" s="264"/>
      <c r="BD454" s="266"/>
      <c r="BE454" s="266"/>
      <c r="BF454" s="266"/>
      <c r="BG454" s="266"/>
      <c r="BH454" s="266"/>
      <c r="BI454" s="1000"/>
      <c r="BJ454" s="1000"/>
      <c r="BK454" s="1000"/>
      <c r="BL454" s="1000"/>
      <c r="BM454" s="1000"/>
      <c r="BN454" s="265"/>
      <c r="BO454" s="265"/>
      <c r="BP454" s="265"/>
      <c r="BQ454" s="265"/>
      <c r="BR454" s="265"/>
      <c r="BS454" s="265"/>
      <c r="BT454" s="265"/>
      <c r="BU454" s="265"/>
      <c r="BV454" s="265"/>
      <c r="BW454" s="265"/>
      <c r="BX454" s="265"/>
      <c r="BY454" s="265"/>
      <c r="BZ454" s="265"/>
      <c r="CA454" s="265"/>
      <c r="CB454" s="265"/>
      <c r="CC454" s="265"/>
      <c r="CD454" s="265"/>
      <c r="CE454" s="265"/>
      <c r="CF454" s="265"/>
      <c r="CG454" s="265"/>
      <c r="CH454" s="265"/>
      <c r="CI454" s="265"/>
      <c r="CJ454" s="265"/>
      <c r="CK454" s="265"/>
      <c r="CL454" s="265"/>
      <c r="CM454" s="265"/>
      <c r="CN454" s="265"/>
      <c r="CO454" s="265"/>
      <c r="CP454" s="265"/>
      <c r="CQ454" s="265"/>
      <c r="CR454" s="265"/>
      <c r="CS454" s="265"/>
      <c r="CT454" s="265"/>
      <c r="CU454" s="265"/>
      <c r="CV454" s="265"/>
      <c r="CW454" s="265"/>
      <c r="CX454" s="265"/>
      <c r="CY454" s="265"/>
      <c r="CZ454" s="268"/>
    </row>
    <row r="455" spans="1:104" hidden="1" outlineLevel="1">
      <c r="A455" s="264"/>
      <c r="B455" s="264"/>
      <c r="C455" s="268"/>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c r="AA455" s="264"/>
      <c r="AB455" s="264"/>
      <c r="AC455" s="264"/>
      <c r="AD455" s="265"/>
      <c r="AE455" s="264"/>
      <c r="AF455" s="264"/>
      <c r="AG455" s="264"/>
      <c r="AH455" s="264"/>
      <c r="AI455" s="265"/>
      <c r="AJ455" s="264"/>
      <c r="AK455" s="264"/>
      <c r="AL455" s="264"/>
      <c r="AM455" s="264"/>
      <c r="AN455" s="265"/>
      <c r="AO455" s="265"/>
      <c r="AP455" s="265"/>
      <c r="AQ455" s="265"/>
      <c r="AR455" s="265"/>
      <c r="AS455" s="264"/>
      <c r="AT455" s="264"/>
      <c r="AU455" s="264"/>
      <c r="AV455" s="264"/>
      <c r="AW455" s="264"/>
      <c r="AX455" s="264"/>
      <c r="AY455" s="264"/>
      <c r="AZ455" s="264"/>
      <c r="BA455" s="264"/>
      <c r="BB455" s="264"/>
      <c r="BC455" s="264"/>
      <c r="BD455" s="266"/>
      <c r="BE455" s="266"/>
      <c r="BF455" s="266"/>
      <c r="BG455" s="266"/>
      <c r="BH455" s="266"/>
      <c r="BI455" s="1000"/>
      <c r="BJ455" s="1000"/>
      <c r="BK455" s="1000"/>
      <c r="BL455" s="1000"/>
      <c r="BM455" s="1000"/>
      <c r="BN455" s="265"/>
      <c r="BO455" s="265"/>
      <c r="BP455" s="265"/>
      <c r="BQ455" s="265"/>
      <c r="BR455" s="265"/>
      <c r="BS455" s="265"/>
      <c r="BT455" s="265"/>
      <c r="BU455" s="265"/>
      <c r="BV455" s="265"/>
      <c r="BW455" s="265"/>
      <c r="BX455" s="265"/>
      <c r="BY455" s="265"/>
      <c r="BZ455" s="265"/>
      <c r="CA455" s="265"/>
      <c r="CB455" s="265"/>
      <c r="CC455" s="265"/>
      <c r="CD455" s="265"/>
      <c r="CE455" s="265"/>
      <c r="CF455" s="265"/>
      <c r="CG455" s="265"/>
      <c r="CH455" s="265"/>
      <c r="CI455" s="265"/>
      <c r="CJ455" s="265"/>
      <c r="CK455" s="265"/>
      <c r="CL455" s="265"/>
      <c r="CM455" s="265"/>
      <c r="CN455" s="265"/>
      <c r="CO455" s="265"/>
      <c r="CP455" s="265"/>
      <c r="CQ455" s="265"/>
      <c r="CR455" s="265"/>
      <c r="CS455" s="265"/>
      <c r="CT455" s="265"/>
      <c r="CU455" s="265"/>
      <c r="CV455" s="265"/>
      <c r="CW455" s="265"/>
      <c r="CX455" s="265"/>
      <c r="CY455" s="265"/>
      <c r="CZ455" s="268"/>
    </row>
    <row r="456" spans="1:104" hidden="1" outlineLevel="1">
      <c r="A456" s="264"/>
      <c r="B456" s="266" t="s">
        <v>628</v>
      </c>
      <c r="C456" s="268"/>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v>2</v>
      </c>
      <c r="Z456" s="264"/>
      <c r="AA456" s="264"/>
      <c r="AB456" s="264"/>
      <c r="AC456" s="264"/>
      <c r="AD456" s="265">
        <v>8</v>
      </c>
      <c r="AE456" s="264"/>
      <c r="AF456" s="264"/>
      <c r="AG456" s="264"/>
      <c r="AH456" s="264"/>
      <c r="AI456" s="265">
        <v>7</v>
      </c>
      <c r="AJ456" s="264"/>
      <c r="AK456" s="264"/>
      <c r="AL456" s="264"/>
      <c r="AM456" s="264"/>
      <c r="AN456" s="265">
        <v>9</v>
      </c>
      <c r="AO456" s="265"/>
      <c r="AP456" s="265"/>
      <c r="AQ456" s="265"/>
      <c r="AR456" s="265"/>
      <c r="AS456" s="264">
        <v>9</v>
      </c>
      <c r="AT456" s="264">
        <v>7</v>
      </c>
      <c r="AU456" s="264"/>
      <c r="AV456" s="264"/>
      <c r="AW456" s="264"/>
      <c r="AX456" s="264"/>
      <c r="AY456" s="264"/>
      <c r="AZ456" s="264"/>
      <c r="BA456" s="264"/>
      <c r="BB456" s="264"/>
      <c r="BC456" s="264"/>
      <c r="BD456" s="266"/>
      <c r="BE456" s="266"/>
      <c r="BF456" s="266"/>
      <c r="BG456" s="266"/>
      <c r="BH456" s="266"/>
      <c r="BI456" s="1000"/>
      <c r="BJ456" s="1000"/>
      <c r="BK456" s="1000"/>
      <c r="BL456" s="1000"/>
      <c r="BM456" s="1000"/>
      <c r="BN456" s="265"/>
      <c r="BO456" s="265"/>
      <c r="BP456" s="265"/>
      <c r="BQ456" s="265"/>
      <c r="BR456" s="265"/>
      <c r="BS456" s="265"/>
      <c r="BT456" s="265"/>
      <c r="BU456" s="265"/>
      <c r="BV456" s="265"/>
      <c r="BW456" s="265"/>
      <c r="BX456" s="265"/>
      <c r="BY456" s="265"/>
      <c r="BZ456" s="265"/>
      <c r="CA456" s="265"/>
      <c r="CB456" s="265"/>
      <c r="CC456" s="265"/>
      <c r="CD456" s="265"/>
      <c r="CE456" s="265"/>
      <c r="CF456" s="265"/>
      <c r="CG456" s="265"/>
      <c r="CH456" s="265"/>
      <c r="CI456" s="265"/>
      <c r="CJ456" s="265"/>
      <c r="CK456" s="265"/>
      <c r="CL456" s="265"/>
      <c r="CM456" s="265"/>
      <c r="CN456" s="265"/>
      <c r="CO456" s="265"/>
      <c r="CP456" s="265"/>
      <c r="CQ456" s="265"/>
      <c r="CR456" s="265"/>
      <c r="CS456" s="265"/>
      <c r="CT456" s="265"/>
      <c r="CU456" s="265"/>
      <c r="CV456" s="265"/>
      <c r="CW456" s="265"/>
      <c r="CX456" s="265"/>
      <c r="CY456" s="265"/>
      <c r="CZ456" s="268"/>
    </row>
    <row r="457" spans="1:104" hidden="1" outlineLevel="1">
      <c r="A457" s="264"/>
      <c r="B457" s="264"/>
      <c r="C457" s="268"/>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c r="AA457" s="264"/>
      <c r="AB457" s="264"/>
      <c r="AC457" s="264"/>
      <c r="AD457" s="265"/>
      <c r="AE457" s="264"/>
      <c r="AF457" s="264"/>
      <c r="AG457" s="264"/>
      <c r="AH457" s="264"/>
      <c r="AI457" s="265"/>
      <c r="AJ457" s="264"/>
      <c r="AK457" s="264"/>
      <c r="AL457" s="264"/>
      <c r="AM457" s="264"/>
      <c r="AN457" s="265"/>
      <c r="AO457" s="265"/>
      <c r="AP457" s="265"/>
      <c r="AQ457" s="265"/>
      <c r="AR457" s="265"/>
      <c r="AS457" s="264"/>
      <c r="AT457" s="264"/>
      <c r="AU457" s="264"/>
      <c r="AV457" s="264"/>
      <c r="AW457" s="264"/>
      <c r="AX457" s="264"/>
      <c r="AY457" s="264"/>
      <c r="AZ457" s="264"/>
      <c r="BA457" s="264"/>
      <c r="BB457" s="264"/>
      <c r="BC457" s="264"/>
      <c r="BD457" s="266"/>
      <c r="BE457" s="266"/>
      <c r="BF457" s="266"/>
      <c r="BG457" s="266"/>
      <c r="BH457" s="266"/>
      <c r="BI457" s="1000"/>
      <c r="BJ457" s="1000"/>
      <c r="BK457" s="1000"/>
      <c r="BL457" s="1000"/>
      <c r="BM457" s="1000"/>
      <c r="BN457" s="265"/>
      <c r="BO457" s="265"/>
      <c r="BP457" s="265"/>
      <c r="BQ457" s="265"/>
      <c r="BR457" s="265"/>
      <c r="BS457" s="265"/>
      <c r="BT457" s="265"/>
      <c r="BU457" s="265"/>
      <c r="BV457" s="265"/>
      <c r="BW457" s="265"/>
      <c r="BX457" s="265"/>
      <c r="BY457" s="265"/>
      <c r="BZ457" s="265"/>
      <c r="CA457" s="265"/>
      <c r="CB457" s="265"/>
      <c r="CC457" s="265"/>
      <c r="CD457" s="265"/>
      <c r="CE457" s="265"/>
      <c r="CF457" s="265"/>
      <c r="CG457" s="265"/>
      <c r="CH457" s="265"/>
      <c r="CI457" s="265"/>
      <c r="CJ457" s="265"/>
      <c r="CK457" s="265"/>
      <c r="CL457" s="265"/>
      <c r="CM457" s="265"/>
      <c r="CN457" s="265"/>
      <c r="CO457" s="265"/>
      <c r="CP457" s="265"/>
      <c r="CQ457" s="265"/>
      <c r="CR457" s="265"/>
      <c r="CS457" s="265"/>
      <c r="CT457" s="265"/>
      <c r="CU457" s="265"/>
      <c r="CV457" s="265"/>
      <c r="CW457" s="265"/>
      <c r="CX457" s="265"/>
      <c r="CY457" s="265"/>
      <c r="CZ457" s="268"/>
    </row>
    <row r="458" spans="1:104" hidden="1" outlineLevel="1">
      <c r="A458" s="264"/>
      <c r="B458" s="266" t="s">
        <v>627</v>
      </c>
      <c r="C458" s="268"/>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c r="AA458" s="264"/>
      <c r="AB458" s="264"/>
      <c r="AC458" s="264"/>
      <c r="AD458" s="265"/>
      <c r="AE458" s="264"/>
      <c r="AF458" s="264"/>
      <c r="AG458" s="264"/>
      <c r="AH458" s="264"/>
      <c r="AI458" s="265"/>
      <c r="AJ458" s="264"/>
      <c r="AK458" s="264"/>
      <c r="AL458" s="264"/>
      <c r="AM458" s="264"/>
      <c r="AN458" s="265"/>
      <c r="AO458" s="265"/>
      <c r="AP458" s="265"/>
      <c r="AQ458" s="265"/>
      <c r="AR458" s="265"/>
      <c r="AS458" s="264"/>
      <c r="AT458" s="264"/>
      <c r="AU458" s="264"/>
      <c r="AV458" s="264"/>
      <c r="AW458" s="264"/>
      <c r="AX458" s="264"/>
      <c r="AY458" s="264"/>
      <c r="AZ458" s="264"/>
      <c r="BA458" s="264"/>
      <c r="BB458" s="264"/>
      <c r="BC458" s="264"/>
      <c r="BD458" s="266"/>
      <c r="BE458" s="266"/>
      <c r="BF458" s="266"/>
      <c r="BG458" s="266"/>
      <c r="BH458" s="266"/>
      <c r="BI458" s="1000"/>
      <c r="BJ458" s="1000"/>
      <c r="BK458" s="1000"/>
      <c r="BL458" s="1000"/>
      <c r="BM458" s="1000"/>
      <c r="BN458" s="265"/>
      <c r="BO458" s="265"/>
      <c r="BP458" s="265"/>
      <c r="BQ458" s="265"/>
      <c r="BR458" s="265"/>
      <c r="BS458" s="265"/>
      <c r="BT458" s="265"/>
      <c r="BU458" s="265"/>
      <c r="BV458" s="265"/>
      <c r="BW458" s="265"/>
      <c r="BX458" s="265"/>
      <c r="BY458" s="265"/>
      <c r="BZ458" s="265"/>
      <c r="CA458" s="265"/>
      <c r="CB458" s="265"/>
      <c r="CC458" s="265"/>
      <c r="CD458" s="265"/>
      <c r="CE458" s="265"/>
      <c r="CF458" s="265"/>
      <c r="CG458" s="265"/>
      <c r="CH458" s="265"/>
      <c r="CI458" s="265"/>
      <c r="CJ458" s="265"/>
      <c r="CK458" s="265"/>
      <c r="CL458" s="265"/>
      <c r="CM458" s="265"/>
      <c r="CN458" s="265"/>
      <c r="CO458" s="265"/>
      <c r="CP458" s="265"/>
      <c r="CQ458" s="265"/>
      <c r="CR458" s="265"/>
      <c r="CS458" s="265"/>
      <c r="CT458" s="265"/>
      <c r="CU458" s="265"/>
      <c r="CV458" s="265"/>
      <c r="CW458" s="265"/>
      <c r="CX458" s="265"/>
      <c r="CY458" s="265"/>
      <c r="CZ458" s="268"/>
    </row>
    <row r="459" spans="1:104" hidden="1" outlineLevel="1">
      <c r="A459" s="264"/>
      <c r="B459" s="264" t="s">
        <v>626</v>
      </c>
      <c r="C459" s="268"/>
      <c r="D459" s="264"/>
      <c r="E459" s="264"/>
      <c r="F459" s="264"/>
      <c r="G459" s="264"/>
      <c r="H459" s="264"/>
      <c r="I459" s="264"/>
      <c r="J459" s="1034">
        <v>26888</v>
      </c>
      <c r="K459" s="264"/>
      <c r="L459" s="264"/>
      <c r="M459" s="264"/>
      <c r="N459" s="264"/>
      <c r="O459" s="1034">
        <v>28163</v>
      </c>
      <c r="P459" s="264"/>
      <c r="Q459" s="264"/>
      <c r="R459" s="264"/>
      <c r="S459" s="264"/>
      <c r="T459" s="1034">
        <v>28782</v>
      </c>
      <c r="U459" s="264"/>
      <c r="V459" s="264"/>
      <c r="W459" s="264"/>
      <c r="X459" s="264"/>
      <c r="Y459" s="1034">
        <v>31515</v>
      </c>
      <c r="Z459" s="264"/>
      <c r="AA459" s="264"/>
      <c r="AB459" s="264"/>
      <c r="AC459" s="264"/>
      <c r="AD459" s="1035">
        <v>37144</v>
      </c>
      <c r="AE459" s="264"/>
      <c r="AF459" s="264"/>
      <c r="AG459" s="264"/>
      <c r="AH459" s="264"/>
      <c r="AI459" s="1035">
        <v>42816</v>
      </c>
      <c r="AJ459" s="264"/>
      <c r="AK459" s="264"/>
      <c r="AL459" s="264"/>
      <c r="AM459" s="264"/>
      <c r="AN459" s="1035">
        <v>47855</v>
      </c>
      <c r="AO459" s="265"/>
      <c r="AP459" s="265"/>
      <c r="AQ459" s="265"/>
      <c r="AR459" s="265"/>
      <c r="AS459" s="1034">
        <v>54837</v>
      </c>
      <c r="AT459" s="264"/>
      <c r="AU459" s="264"/>
      <c r="AV459" s="264"/>
      <c r="AW459" s="264"/>
      <c r="AX459" s="264"/>
      <c r="AY459" s="264"/>
      <c r="AZ459" s="264"/>
      <c r="BA459" s="264"/>
      <c r="BB459" s="264"/>
      <c r="BC459" s="264"/>
      <c r="BD459" s="266"/>
      <c r="BE459" s="266"/>
      <c r="BF459" s="266"/>
      <c r="BG459" s="266"/>
      <c r="BH459" s="266"/>
      <c r="BI459" s="1000"/>
      <c r="BJ459" s="1000"/>
      <c r="BK459" s="1000"/>
      <c r="BL459" s="1000"/>
      <c r="BM459" s="1000"/>
      <c r="BN459" s="265"/>
      <c r="BO459" s="265"/>
      <c r="BP459" s="265"/>
      <c r="BQ459" s="265"/>
      <c r="BR459" s="265"/>
      <c r="BS459" s="265"/>
      <c r="BT459" s="265"/>
      <c r="BU459" s="265"/>
      <c r="BV459" s="265"/>
      <c r="BW459" s="265"/>
      <c r="BX459" s="265"/>
      <c r="BY459" s="265"/>
      <c r="BZ459" s="265"/>
      <c r="CA459" s="265"/>
      <c r="CB459" s="265"/>
      <c r="CC459" s="265"/>
      <c r="CD459" s="265"/>
      <c r="CE459" s="265"/>
      <c r="CF459" s="265"/>
      <c r="CG459" s="265"/>
      <c r="CH459" s="265"/>
      <c r="CI459" s="265"/>
      <c r="CJ459" s="265"/>
      <c r="CK459" s="265"/>
      <c r="CL459" s="265"/>
      <c r="CM459" s="265"/>
      <c r="CN459" s="265"/>
      <c r="CO459" s="265"/>
      <c r="CP459" s="265"/>
      <c r="CQ459" s="265"/>
      <c r="CR459" s="265"/>
      <c r="CS459" s="265"/>
      <c r="CT459" s="265"/>
      <c r="CU459" s="265"/>
      <c r="CV459" s="265"/>
      <c r="CW459" s="265"/>
      <c r="CX459" s="265"/>
      <c r="CY459" s="265"/>
      <c r="CZ459" s="268"/>
    </row>
    <row r="460" spans="1:104" hidden="1" outlineLevel="1">
      <c r="A460" s="264"/>
      <c r="B460" s="264" t="s">
        <v>625</v>
      </c>
      <c r="C460" s="268"/>
      <c r="D460" s="264"/>
      <c r="E460" s="264"/>
      <c r="F460" s="264"/>
      <c r="G460" s="264"/>
      <c r="H460" s="264"/>
      <c r="I460" s="264"/>
      <c r="J460" s="1034">
        <v>26888</v>
      </c>
      <c r="K460" s="264"/>
      <c r="L460" s="264"/>
      <c r="M460" s="264"/>
      <c r="N460" s="264"/>
      <c r="O460" s="1034">
        <v>28163</v>
      </c>
      <c r="P460" s="264"/>
      <c r="Q460" s="264"/>
      <c r="R460" s="264"/>
      <c r="S460" s="264"/>
      <c r="T460" s="1034">
        <v>28782</v>
      </c>
      <c r="U460" s="264"/>
      <c r="V460" s="264"/>
      <c r="W460" s="264"/>
      <c r="X460" s="264"/>
      <c r="Y460" s="1034">
        <v>31465</v>
      </c>
      <c r="Z460" s="264"/>
      <c r="AA460" s="264"/>
      <c r="AB460" s="264"/>
      <c r="AC460" s="264"/>
      <c r="AD460" s="1035">
        <v>37144</v>
      </c>
      <c r="AE460" s="264"/>
      <c r="AF460" s="264"/>
      <c r="AG460" s="264"/>
      <c r="AH460" s="264"/>
      <c r="AI460" s="1035">
        <v>42816</v>
      </c>
      <c r="AJ460" s="264"/>
      <c r="AK460" s="264"/>
      <c r="AL460" s="264"/>
      <c r="AM460" s="264"/>
      <c r="AN460" s="1035">
        <v>47769</v>
      </c>
      <c r="AO460" s="265"/>
      <c r="AP460" s="265"/>
      <c r="AQ460" s="265"/>
      <c r="AR460" s="265"/>
      <c r="AS460" s="1034">
        <v>54645</v>
      </c>
      <c r="AT460" s="264"/>
      <c r="AU460" s="264"/>
      <c r="AV460" s="264"/>
      <c r="AW460" s="264"/>
      <c r="AX460" s="264"/>
      <c r="AY460" s="264"/>
      <c r="AZ460" s="264"/>
      <c r="BA460" s="264"/>
      <c r="BB460" s="264"/>
      <c r="BC460" s="264"/>
      <c r="BD460" s="266"/>
      <c r="BE460" s="266"/>
      <c r="BF460" s="266"/>
      <c r="BG460" s="266"/>
      <c r="BH460" s="266"/>
      <c r="BI460" s="1000"/>
      <c r="BJ460" s="1000"/>
      <c r="BK460" s="1000"/>
      <c r="BL460" s="1000"/>
      <c r="BM460" s="1000"/>
      <c r="BN460" s="265"/>
      <c r="BO460" s="265"/>
      <c r="BP460" s="265"/>
      <c r="BQ460" s="265"/>
      <c r="BR460" s="265"/>
      <c r="BS460" s="265"/>
      <c r="BT460" s="265"/>
      <c r="BU460" s="265"/>
      <c r="BV460" s="265"/>
      <c r="BW460" s="265"/>
      <c r="BX460" s="265"/>
      <c r="BY460" s="265"/>
      <c r="BZ460" s="265"/>
      <c r="CA460" s="265"/>
      <c r="CB460" s="265"/>
      <c r="CC460" s="265"/>
      <c r="CD460" s="265"/>
      <c r="CE460" s="265"/>
      <c r="CF460" s="265"/>
      <c r="CG460" s="265"/>
      <c r="CH460" s="265"/>
      <c r="CI460" s="265"/>
      <c r="CJ460" s="265"/>
      <c r="CK460" s="265"/>
      <c r="CL460" s="265"/>
      <c r="CM460" s="265"/>
      <c r="CN460" s="265"/>
      <c r="CO460" s="265"/>
      <c r="CP460" s="265"/>
      <c r="CQ460" s="265"/>
      <c r="CR460" s="265"/>
      <c r="CS460" s="265"/>
      <c r="CT460" s="265"/>
      <c r="CU460" s="265"/>
      <c r="CV460" s="265"/>
      <c r="CW460" s="265"/>
      <c r="CX460" s="265"/>
      <c r="CY460" s="265"/>
      <c r="CZ460" s="268"/>
    </row>
    <row r="461" spans="1:104" hidden="1" outlineLevel="1">
      <c r="A461" s="264"/>
      <c r="B461" s="264" t="s">
        <v>624</v>
      </c>
      <c r="C461" s="268"/>
      <c r="D461" s="264"/>
      <c r="E461" s="264"/>
      <c r="F461" s="264"/>
      <c r="G461" s="264"/>
      <c r="H461" s="264"/>
      <c r="I461" s="264"/>
      <c r="J461" s="1034">
        <v>3222</v>
      </c>
      <c r="K461" s="264"/>
      <c r="L461" s="264"/>
      <c r="M461" s="264"/>
      <c r="N461" s="264"/>
      <c r="O461" s="1034">
        <v>3196</v>
      </c>
      <c r="P461" s="264"/>
      <c r="Q461" s="264"/>
      <c r="R461" s="264"/>
      <c r="S461" s="264"/>
      <c r="T461" s="1034">
        <v>3636</v>
      </c>
      <c r="U461" s="264"/>
      <c r="V461" s="264"/>
      <c r="W461" s="264"/>
      <c r="X461" s="264"/>
      <c r="Y461" s="1034">
        <v>4014</v>
      </c>
      <c r="Z461" s="264"/>
      <c r="AA461" s="264"/>
      <c r="AB461" s="264"/>
      <c r="AC461" s="264"/>
      <c r="AD461" s="1035">
        <v>4239</v>
      </c>
      <c r="AE461" s="264"/>
      <c r="AF461" s="264"/>
      <c r="AG461" s="264"/>
      <c r="AH461" s="264"/>
      <c r="AI461" s="1035">
        <v>5425</v>
      </c>
      <c r="AJ461" s="264"/>
      <c r="AK461" s="264"/>
      <c r="AL461" s="264"/>
      <c r="AM461" s="264"/>
      <c r="AN461" s="1035">
        <v>6248</v>
      </c>
      <c r="AO461" s="265"/>
      <c r="AP461" s="265"/>
      <c r="AQ461" s="265"/>
      <c r="AR461" s="265"/>
      <c r="AS461" s="1034">
        <v>7496</v>
      </c>
      <c r="AT461" s="264"/>
      <c r="AU461" s="264"/>
      <c r="AV461" s="264"/>
      <c r="AW461" s="264"/>
      <c r="AX461" s="264"/>
      <c r="AY461" s="264"/>
      <c r="AZ461" s="264"/>
      <c r="BA461" s="264"/>
      <c r="BB461" s="264"/>
      <c r="BC461" s="264"/>
      <c r="BD461" s="266"/>
      <c r="BE461" s="266"/>
      <c r="BF461" s="266"/>
      <c r="BG461" s="266"/>
      <c r="BH461" s="266"/>
      <c r="BI461" s="1000"/>
      <c r="BJ461" s="1000"/>
      <c r="BK461" s="1000"/>
      <c r="BL461" s="1000"/>
      <c r="BM461" s="1000"/>
      <c r="BN461" s="265"/>
      <c r="BO461" s="265"/>
      <c r="BP461" s="265"/>
      <c r="BQ461" s="265"/>
      <c r="BR461" s="265"/>
      <c r="BS461" s="265"/>
      <c r="BT461" s="265"/>
      <c r="BU461" s="265"/>
      <c r="BV461" s="265"/>
      <c r="BW461" s="265"/>
      <c r="BX461" s="265"/>
      <c r="BY461" s="265"/>
      <c r="BZ461" s="265"/>
      <c r="CA461" s="265"/>
      <c r="CB461" s="265"/>
      <c r="CC461" s="265"/>
      <c r="CD461" s="265"/>
      <c r="CE461" s="265"/>
      <c r="CF461" s="265"/>
      <c r="CG461" s="265"/>
      <c r="CH461" s="265"/>
      <c r="CI461" s="265"/>
      <c r="CJ461" s="265"/>
      <c r="CK461" s="265"/>
      <c r="CL461" s="265"/>
      <c r="CM461" s="265"/>
      <c r="CN461" s="265"/>
      <c r="CO461" s="265"/>
      <c r="CP461" s="265"/>
      <c r="CQ461" s="265"/>
      <c r="CR461" s="265"/>
      <c r="CS461" s="265"/>
      <c r="CT461" s="265"/>
      <c r="CU461" s="265"/>
      <c r="CV461" s="265"/>
      <c r="CW461" s="265"/>
      <c r="CX461" s="265"/>
      <c r="CY461" s="265"/>
      <c r="CZ461" s="268"/>
    </row>
    <row r="462" spans="1:104" hidden="1" outlineLevel="1">
      <c r="A462" s="264"/>
      <c r="B462" s="264" t="s">
        <v>623</v>
      </c>
      <c r="C462" s="268"/>
      <c r="D462" s="264"/>
      <c r="E462" s="264"/>
      <c r="F462" s="264"/>
      <c r="G462" s="264"/>
      <c r="H462" s="264"/>
      <c r="I462" s="264"/>
      <c r="J462" s="1034">
        <v>3222</v>
      </c>
      <c r="K462" s="264"/>
      <c r="L462" s="264"/>
      <c r="M462" s="264"/>
      <c r="N462" s="264"/>
      <c r="O462" s="1034">
        <v>3544</v>
      </c>
      <c r="P462" s="264"/>
      <c r="Q462" s="264"/>
      <c r="R462" s="264"/>
      <c r="S462" s="264"/>
      <c r="T462" s="1034">
        <v>3867</v>
      </c>
      <c r="U462" s="264"/>
      <c r="V462" s="264"/>
      <c r="W462" s="264"/>
      <c r="X462" s="264"/>
      <c r="Y462" s="1034">
        <v>4099</v>
      </c>
      <c r="Z462" s="264"/>
      <c r="AA462" s="264"/>
      <c r="AB462" s="264"/>
      <c r="AC462" s="264"/>
      <c r="AD462" s="1035">
        <v>4856</v>
      </c>
      <c r="AE462" s="264"/>
      <c r="AF462" s="264"/>
      <c r="AG462" s="264"/>
      <c r="AH462" s="264"/>
      <c r="AI462" s="1035">
        <v>5686</v>
      </c>
      <c r="AJ462" s="264"/>
      <c r="AK462" s="264"/>
      <c r="AL462" s="264"/>
      <c r="AM462" s="264"/>
      <c r="AN462" s="1035">
        <v>6366</v>
      </c>
      <c r="AO462" s="265"/>
      <c r="AP462" s="265"/>
      <c r="AQ462" s="265"/>
      <c r="AR462" s="265"/>
      <c r="AS462" s="1034">
        <v>7491</v>
      </c>
      <c r="AT462" s="264"/>
      <c r="AU462" s="264"/>
      <c r="AV462" s="264"/>
      <c r="AW462" s="264"/>
      <c r="AX462" s="264"/>
      <c r="AY462" s="264"/>
      <c r="AZ462" s="264"/>
      <c r="BA462" s="264"/>
      <c r="BB462" s="264"/>
      <c r="BC462" s="264"/>
      <c r="BD462" s="266"/>
      <c r="BE462" s="266"/>
      <c r="BF462" s="266"/>
      <c r="BG462" s="266"/>
      <c r="BH462" s="266"/>
      <c r="BI462" s="1000"/>
      <c r="BJ462" s="1000"/>
      <c r="BK462" s="1000"/>
      <c r="BL462" s="1000"/>
      <c r="BM462" s="1000"/>
      <c r="BN462" s="265"/>
      <c r="BO462" s="265"/>
      <c r="BP462" s="265"/>
      <c r="BQ462" s="265"/>
      <c r="BR462" s="265"/>
      <c r="BS462" s="265"/>
      <c r="BT462" s="265"/>
      <c r="BU462" s="265"/>
      <c r="BV462" s="265"/>
      <c r="BW462" s="265"/>
      <c r="BX462" s="265"/>
      <c r="BY462" s="265"/>
      <c r="BZ462" s="265"/>
      <c r="CA462" s="265"/>
      <c r="CB462" s="265"/>
      <c r="CC462" s="265"/>
      <c r="CD462" s="265"/>
      <c r="CE462" s="265"/>
      <c r="CF462" s="265"/>
      <c r="CG462" s="265"/>
      <c r="CH462" s="265"/>
      <c r="CI462" s="265"/>
      <c r="CJ462" s="265"/>
      <c r="CK462" s="265"/>
      <c r="CL462" s="265"/>
      <c r="CM462" s="265"/>
      <c r="CN462" s="265"/>
      <c r="CO462" s="265"/>
      <c r="CP462" s="265"/>
      <c r="CQ462" s="265"/>
      <c r="CR462" s="265"/>
      <c r="CS462" s="265"/>
      <c r="CT462" s="265"/>
      <c r="CU462" s="265"/>
      <c r="CV462" s="265"/>
      <c r="CW462" s="265"/>
      <c r="CX462" s="265"/>
      <c r="CY462" s="265"/>
      <c r="CZ462" s="268"/>
    </row>
    <row r="463" spans="1:104" hidden="1" outlineLevel="1">
      <c r="A463" s="264"/>
      <c r="B463" s="264" t="s">
        <v>622</v>
      </c>
      <c r="C463" s="268"/>
      <c r="D463" s="264"/>
      <c r="E463" s="264"/>
      <c r="F463" s="264"/>
      <c r="G463" s="264"/>
      <c r="H463" s="264"/>
      <c r="I463" s="264"/>
      <c r="J463" s="591">
        <v>0.12</v>
      </c>
      <c r="K463" s="591"/>
      <c r="L463" s="591"/>
      <c r="M463" s="591"/>
      <c r="N463" s="591"/>
      <c r="O463" s="591">
        <v>0.113</v>
      </c>
      <c r="P463" s="591"/>
      <c r="Q463" s="591"/>
      <c r="R463" s="591"/>
      <c r="S463" s="591"/>
      <c r="T463" s="591">
        <v>0.126</v>
      </c>
      <c r="U463" s="591"/>
      <c r="V463" s="591"/>
      <c r="W463" s="591"/>
      <c r="X463" s="591"/>
      <c r="Y463" s="591">
        <v>0.127</v>
      </c>
      <c r="Z463" s="591"/>
      <c r="AA463" s="591"/>
      <c r="AB463" s="591"/>
      <c r="AC463" s="591"/>
      <c r="AD463" s="1033">
        <v>0.114</v>
      </c>
      <c r="AE463" s="591"/>
      <c r="AF463" s="591"/>
      <c r="AG463" s="591"/>
      <c r="AH463" s="591"/>
      <c r="AI463" s="1033">
        <v>0.127</v>
      </c>
      <c r="AJ463" s="591"/>
      <c r="AK463" s="591"/>
      <c r="AL463" s="591"/>
      <c r="AM463" s="591"/>
      <c r="AN463" s="1033">
        <v>0.13100000000000001</v>
      </c>
      <c r="AO463" s="1033"/>
      <c r="AP463" s="1033"/>
      <c r="AQ463" s="1033"/>
      <c r="AR463" s="1033"/>
      <c r="AS463" s="591">
        <v>0.13700000000000001</v>
      </c>
      <c r="AT463" s="264"/>
      <c r="AU463" s="264"/>
      <c r="AV463" s="264"/>
      <c r="AW463" s="264"/>
      <c r="AX463" s="264"/>
      <c r="AY463" s="264"/>
      <c r="AZ463" s="264"/>
      <c r="BA463" s="264"/>
      <c r="BB463" s="264"/>
      <c r="BC463" s="264"/>
      <c r="BD463" s="266"/>
      <c r="BE463" s="266"/>
      <c r="BF463" s="266"/>
      <c r="BG463" s="266"/>
      <c r="BH463" s="266"/>
      <c r="BI463" s="1000"/>
      <c r="BJ463" s="1000"/>
      <c r="BK463" s="1000"/>
      <c r="BL463" s="1000"/>
      <c r="BM463" s="1000"/>
      <c r="BN463" s="265"/>
      <c r="BO463" s="265"/>
      <c r="BP463" s="265"/>
      <c r="BQ463" s="265"/>
      <c r="BR463" s="265"/>
      <c r="BS463" s="265"/>
      <c r="BT463" s="265"/>
      <c r="BU463" s="265"/>
      <c r="BV463" s="265"/>
      <c r="BW463" s="265"/>
      <c r="BX463" s="265"/>
      <c r="BY463" s="265"/>
      <c r="BZ463" s="265"/>
      <c r="CA463" s="265"/>
      <c r="CB463" s="265"/>
      <c r="CC463" s="265"/>
      <c r="CD463" s="265"/>
      <c r="CE463" s="265"/>
      <c r="CF463" s="265"/>
      <c r="CG463" s="265"/>
      <c r="CH463" s="265"/>
      <c r="CI463" s="265"/>
      <c r="CJ463" s="265"/>
      <c r="CK463" s="265"/>
      <c r="CL463" s="265"/>
      <c r="CM463" s="265"/>
      <c r="CN463" s="265"/>
      <c r="CO463" s="265"/>
      <c r="CP463" s="265"/>
      <c r="CQ463" s="265"/>
      <c r="CR463" s="265"/>
      <c r="CS463" s="265"/>
      <c r="CT463" s="265"/>
      <c r="CU463" s="265"/>
      <c r="CV463" s="265"/>
      <c r="CW463" s="265"/>
      <c r="CX463" s="265"/>
      <c r="CY463" s="265"/>
      <c r="CZ463" s="268"/>
    </row>
    <row r="464" spans="1:104" hidden="1" outlineLevel="1">
      <c r="A464" s="264"/>
      <c r="B464" s="264" t="s">
        <v>621</v>
      </c>
      <c r="C464" s="268"/>
      <c r="D464" s="264"/>
      <c r="E464" s="264"/>
      <c r="F464" s="264"/>
      <c r="G464" s="264"/>
      <c r="H464" s="264"/>
      <c r="I464" s="264"/>
      <c r="J464" s="591">
        <v>0.12</v>
      </c>
      <c r="K464" s="591"/>
      <c r="L464" s="591"/>
      <c r="M464" s="591"/>
      <c r="N464" s="591"/>
      <c r="O464" s="591">
        <v>0.126</v>
      </c>
      <c r="P464" s="591"/>
      <c r="Q464" s="591"/>
      <c r="R464" s="591"/>
      <c r="S464" s="591"/>
      <c r="T464" s="591">
        <v>0.13400000000000001</v>
      </c>
      <c r="U464" s="591"/>
      <c r="V464" s="591"/>
      <c r="W464" s="591"/>
      <c r="X464" s="591"/>
      <c r="Y464" s="591">
        <v>0.13</v>
      </c>
      <c r="Z464" s="591"/>
      <c r="AA464" s="591"/>
      <c r="AB464" s="591"/>
      <c r="AC464" s="591"/>
      <c r="AD464" s="1033">
        <v>0.13100000000000001</v>
      </c>
      <c r="AE464" s="591"/>
      <c r="AF464" s="591"/>
      <c r="AG464" s="591"/>
      <c r="AH464" s="591"/>
      <c r="AI464" s="1033">
        <v>0.13300000000000001</v>
      </c>
      <c r="AJ464" s="591"/>
      <c r="AK464" s="591"/>
      <c r="AL464" s="591"/>
      <c r="AM464" s="591"/>
      <c r="AN464" s="1033">
        <v>0.13300000000000001</v>
      </c>
      <c r="AO464" s="1033"/>
      <c r="AP464" s="1033"/>
      <c r="AQ464" s="1033"/>
      <c r="AR464" s="1033"/>
      <c r="AS464" s="591">
        <v>0.13700000000000001</v>
      </c>
      <c r="AT464" s="264"/>
      <c r="AU464" s="264"/>
      <c r="AV464" s="264"/>
      <c r="AW464" s="264"/>
      <c r="AX464" s="264"/>
      <c r="AY464" s="264"/>
      <c r="AZ464" s="264"/>
      <c r="BA464" s="264"/>
      <c r="BB464" s="264"/>
      <c r="BC464" s="264"/>
      <c r="BD464" s="266"/>
      <c r="BE464" s="266"/>
      <c r="BF464" s="266"/>
      <c r="BG464" s="266"/>
      <c r="BH464" s="266"/>
      <c r="BI464" s="1000"/>
      <c r="BJ464" s="1000"/>
      <c r="BK464" s="1000"/>
      <c r="BL464" s="1000"/>
      <c r="BM464" s="1000"/>
      <c r="BN464" s="265"/>
      <c r="BO464" s="265"/>
      <c r="BP464" s="265"/>
      <c r="BQ464" s="265"/>
      <c r="BR464" s="265"/>
      <c r="BS464" s="265"/>
      <c r="BT464" s="265"/>
      <c r="BU464" s="265"/>
      <c r="BV464" s="265"/>
      <c r="BW464" s="265"/>
      <c r="BX464" s="265"/>
      <c r="BY464" s="265"/>
      <c r="BZ464" s="265"/>
      <c r="CA464" s="265"/>
      <c r="CB464" s="265"/>
      <c r="CC464" s="265"/>
      <c r="CD464" s="265"/>
      <c r="CE464" s="265"/>
      <c r="CF464" s="265"/>
      <c r="CG464" s="265"/>
      <c r="CH464" s="265"/>
      <c r="CI464" s="265"/>
      <c r="CJ464" s="265"/>
      <c r="CK464" s="265"/>
      <c r="CL464" s="265"/>
      <c r="CM464" s="265"/>
      <c r="CN464" s="265"/>
      <c r="CO464" s="265"/>
      <c r="CP464" s="265"/>
      <c r="CQ464" s="265"/>
      <c r="CR464" s="265"/>
      <c r="CS464" s="265"/>
      <c r="CT464" s="265"/>
      <c r="CU464" s="265"/>
      <c r="CV464" s="265"/>
      <c r="CW464" s="265"/>
      <c r="CX464" s="265"/>
      <c r="CY464" s="265"/>
      <c r="CZ464" s="268"/>
    </row>
    <row r="465" spans="1:104" hidden="1" outlineLevel="1">
      <c r="A465" s="264"/>
      <c r="B465" s="264"/>
      <c r="C465" s="268"/>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c r="AA465" s="264"/>
      <c r="AB465" s="264"/>
      <c r="AC465" s="264"/>
      <c r="AD465" s="265"/>
      <c r="AE465" s="264"/>
      <c r="AF465" s="264"/>
      <c r="AG465" s="264"/>
      <c r="AH465" s="264"/>
      <c r="AI465" s="265"/>
      <c r="AJ465" s="264"/>
      <c r="AK465" s="264"/>
      <c r="AL465" s="264"/>
      <c r="AM465" s="264"/>
      <c r="AN465" s="265"/>
      <c r="AO465" s="265"/>
      <c r="AP465" s="265"/>
      <c r="AQ465" s="265"/>
      <c r="AR465" s="265"/>
      <c r="AS465" s="264"/>
      <c r="AT465" s="264"/>
      <c r="AU465" s="264"/>
      <c r="AV465" s="264"/>
      <c r="AW465" s="264"/>
      <c r="AX465" s="264"/>
      <c r="AY465" s="264"/>
      <c r="AZ465" s="264"/>
      <c r="BA465" s="264"/>
      <c r="BB465" s="264"/>
      <c r="BC465" s="264"/>
      <c r="BD465" s="266"/>
      <c r="BE465" s="266"/>
      <c r="BF465" s="266"/>
      <c r="BG465" s="266"/>
      <c r="BH465" s="266"/>
      <c r="BI465" s="1000"/>
      <c r="BJ465" s="1000"/>
      <c r="BK465" s="1000"/>
      <c r="BL465" s="1000"/>
      <c r="BM465" s="1000"/>
      <c r="BN465" s="265"/>
      <c r="BO465" s="265"/>
      <c r="BP465" s="265"/>
      <c r="BQ465" s="265"/>
      <c r="BR465" s="265"/>
      <c r="BS465" s="265"/>
      <c r="BT465" s="265"/>
      <c r="BU465" s="265"/>
      <c r="BV465" s="265"/>
      <c r="BW465" s="265"/>
      <c r="BX465" s="265"/>
      <c r="BY465" s="265"/>
      <c r="BZ465" s="265"/>
      <c r="CA465" s="265"/>
      <c r="CB465" s="265"/>
      <c r="CC465" s="265"/>
      <c r="CD465" s="265"/>
      <c r="CE465" s="265"/>
      <c r="CF465" s="265"/>
      <c r="CG465" s="265"/>
      <c r="CH465" s="265"/>
      <c r="CI465" s="265"/>
      <c r="CJ465" s="265"/>
      <c r="CK465" s="265"/>
      <c r="CL465" s="265"/>
      <c r="CM465" s="265"/>
      <c r="CN465" s="265"/>
      <c r="CO465" s="265"/>
      <c r="CP465" s="265"/>
      <c r="CQ465" s="265"/>
      <c r="CR465" s="265"/>
      <c r="CS465" s="265"/>
      <c r="CT465" s="265"/>
      <c r="CU465" s="265"/>
      <c r="CV465" s="265"/>
      <c r="CW465" s="265"/>
      <c r="CX465" s="265"/>
      <c r="CY465" s="265"/>
      <c r="CZ465" s="268"/>
    </row>
    <row r="466" spans="1:104" hidden="1" outlineLevel="1">
      <c r="A466" s="264"/>
      <c r="B466" s="266" t="s">
        <v>620</v>
      </c>
      <c r="C466" s="268"/>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c r="AA466" s="264"/>
      <c r="AB466" s="264"/>
      <c r="AC466" s="264"/>
      <c r="AD466" s="265"/>
      <c r="AE466" s="264"/>
      <c r="AF466" s="264"/>
      <c r="AG466" s="264"/>
      <c r="AH466" s="264"/>
      <c r="AI466" s="265"/>
      <c r="AJ466" s="264"/>
      <c r="AK466" s="264"/>
      <c r="AL466" s="264"/>
      <c r="AM466" s="264"/>
      <c r="AN466" s="265"/>
      <c r="AO466" s="265">
        <v>35</v>
      </c>
      <c r="AP466" s="265">
        <v>25</v>
      </c>
      <c r="AQ466" s="265">
        <v>43</v>
      </c>
      <c r="AR466" s="265">
        <v>63</v>
      </c>
      <c r="AS466" s="264">
        <v>166</v>
      </c>
      <c r="AT466" s="264">
        <v>34</v>
      </c>
      <c r="AU466" s="264"/>
      <c r="AV466" s="264"/>
      <c r="AW466" s="264"/>
      <c r="AX466" s="264"/>
      <c r="AY466" s="264"/>
      <c r="AZ466" s="264"/>
      <c r="BA466" s="264"/>
      <c r="BB466" s="264"/>
      <c r="BC466" s="264"/>
      <c r="BD466" s="266"/>
      <c r="BE466" s="266"/>
      <c r="BF466" s="266"/>
      <c r="BG466" s="266"/>
      <c r="BH466" s="266"/>
      <c r="BI466" s="1000"/>
      <c r="BJ466" s="1000"/>
      <c r="BK466" s="1000"/>
      <c r="BL466" s="1000"/>
      <c r="BM466" s="1000"/>
      <c r="BN466" s="265"/>
      <c r="BO466" s="265"/>
      <c r="BP466" s="265"/>
      <c r="BQ466" s="265"/>
      <c r="BR466" s="265"/>
      <c r="BS466" s="265"/>
      <c r="BT466" s="265"/>
      <c r="BU466" s="265"/>
      <c r="BV466" s="265"/>
      <c r="BW466" s="265"/>
      <c r="BX466" s="265"/>
      <c r="BY466" s="265"/>
      <c r="BZ466" s="265"/>
      <c r="CA466" s="265"/>
      <c r="CB466" s="265"/>
      <c r="CC466" s="265"/>
      <c r="CD466" s="265"/>
      <c r="CE466" s="265"/>
      <c r="CF466" s="265"/>
      <c r="CG466" s="265"/>
      <c r="CH466" s="265"/>
      <c r="CI466" s="265"/>
      <c r="CJ466" s="265"/>
      <c r="CK466" s="265"/>
      <c r="CL466" s="265"/>
      <c r="CM466" s="265"/>
      <c r="CN466" s="265"/>
      <c r="CO466" s="265"/>
      <c r="CP466" s="265"/>
      <c r="CQ466" s="265"/>
      <c r="CR466" s="265"/>
      <c r="CS466" s="265"/>
      <c r="CT466" s="265"/>
      <c r="CU466" s="265"/>
      <c r="CV466" s="265"/>
      <c r="CW466" s="265"/>
      <c r="CX466" s="265"/>
      <c r="CY466" s="265"/>
      <c r="CZ466" s="268"/>
    </row>
    <row r="467" spans="1:104" hidden="1" outlineLevel="1">
      <c r="A467" s="264"/>
      <c r="B467" s="264"/>
      <c r="C467" s="268"/>
      <c r="D467" s="264"/>
      <c r="E467" s="264"/>
      <c r="F467" s="264"/>
      <c r="G467" s="264"/>
      <c r="H467" s="264"/>
      <c r="I467" s="264"/>
      <c r="J467" s="266"/>
      <c r="K467" s="264"/>
      <c r="L467" s="264"/>
      <c r="M467" s="264"/>
      <c r="N467" s="264"/>
      <c r="O467" s="266"/>
      <c r="P467" s="264"/>
      <c r="Q467" s="264"/>
      <c r="R467" s="264"/>
      <c r="S467" s="264"/>
      <c r="T467" s="266"/>
      <c r="U467" s="264"/>
      <c r="V467" s="264"/>
      <c r="W467" s="264"/>
      <c r="X467" s="264"/>
      <c r="Y467" s="266"/>
      <c r="Z467" s="264"/>
      <c r="AA467" s="264"/>
      <c r="AB467" s="264"/>
      <c r="AC467" s="264"/>
      <c r="AD467" s="1000"/>
      <c r="AE467" s="264"/>
      <c r="AF467" s="264"/>
      <c r="AG467" s="264"/>
      <c r="AH467" s="264"/>
      <c r="AI467" s="1000"/>
      <c r="AJ467" s="264"/>
      <c r="AK467" s="264"/>
      <c r="AL467" s="264"/>
      <c r="AM467" s="264"/>
      <c r="AN467" s="1000"/>
      <c r="AO467" s="1000"/>
      <c r="AP467" s="1000"/>
      <c r="AQ467" s="1000"/>
      <c r="AR467" s="1000"/>
      <c r="AS467" s="266"/>
      <c r="AT467" s="266"/>
      <c r="AU467" s="266"/>
      <c r="AV467" s="266"/>
      <c r="AW467" s="266"/>
      <c r="AX467" s="266"/>
      <c r="AY467" s="266"/>
      <c r="AZ467" s="266"/>
      <c r="BA467" s="266"/>
      <c r="BB467" s="266"/>
      <c r="BC467" s="266"/>
      <c r="BD467" s="266"/>
      <c r="BE467" s="266"/>
      <c r="BF467" s="266"/>
      <c r="BG467" s="266"/>
      <c r="BH467" s="266"/>
      <c r="BI467" s="1000"/>
      <c r="BJ467" s="1000"/>
      <c r="BK467" s="1000"/>
      <c r="BL467" s="1000"/>
      <c r="BM467" s="1000"/>
      <c r="BN467" s="265"/>
      <c r="BO467" s="265"/>
      <c r="BP467" s="265"/>
      <c r="BQ467" s="265"/>
      <c r="BR467" s="265"/>
      <c r="BS467" s="265"/>
      <c r="BT467" s="265"/>
      <c r="BU467" s="265"/>
      <c r="BV467" s="265"/>
      <c r="BW467" s="265"/>
      <c r="BX467" s="265"/>
      <c r="BY467" s="265"/>
      <c r="BZ467" s="265"/>
      <c r="CA467" s="265"/>
      <c r="CB467" s="265"/>
      <c r="CC467" s="265"/>
      <c r="CD467" s="265"/>
      <c r="CE467" s="265"/>
      <c r="CF467" s="265"/>
      <c r="CG467" s="265"/>
      <c r="CH467" s="265"/>
      <c r="CI467" s="265"/>
      <c r="CJ467" s="265"/>
      <c r="CK467" s="265"/>
      <c r="CL467" s="265"/>
      <c r="CM467" s="265"/>
      <c r="CN467" s="265"/>
      <c r="CO467" s="265"/>
      <c r="CP467" s="265"/>
      <c r="CQ467" s="265"/>
      <c r="CR467" s="265"/>
      <c r="CS467" s="265"/>
      <c r="CT467" s="265"/>
      <c r="CU467" s="265"/>
      <c r="CV467" s="265"/>
      <c r="CW467" s="265"/>
      <c r="CX467" s="265"/>
      <c r="CY467" s="265"/>
      <c r="CZ467" s="268"/>
    </row>
    <row r="468" spans="1:104" hidden="1" outlineLevel="1">
      <c r="A468" s="264"/>
      <c r="B468" s="266" t="s">
        <v>619</v>
      </c>
      <c r="C468" s="268"/>
      <c r="D468" s="264"/>
      <c r="E468" s="264"/>
      <c r="F468" s="264"/>
      <c r="G468" s="264"/>
      <c r="H468" s="264"/>
      <c r="I468" s="264"/>
      <c r="J468" s="266"/>
      <c r="K468" s="264"/>
      <c r="L468" s="264"/>
      <c r="M468" s="264"/>
      <c r="N468" s="264"/>
      <c r="O468" s="266"/>
      <c r="P468" s="264"/>
      <c r="Q468" s="264"/>
      <c r="R468" s="264"/>
      <c r="S468" s="264"/>
      <c r="T468" s="266"/>
      <c r="U468" s="264"/>
      <c r="V468" s="264"/>
      <c r="W468" s="264"/>
      <c r="X468" s="264"/>
      <c r="Y468" s="266"/>
      <c r="Z468" s="264"/>
      <c r="AA468" s="264"/>
      <c r="AB468" s="264"/>
      <c r="AC468" s="264"/>
      <c r="AD468" s="1000"/>
      <c r="AE468" s="264"/>
      <c r="AF468" s="264"/>
      <c r="AG468" s="264"/>
      <c r="AH468" s="264"/>
      <c r="AI468" s="1000"/>
      <c r="AJ468" s="264"/>
      <c r="AK468" s="264"/>
      <c r="AL468" s="264"/>
      <c r="AM468" s="264"/>
      <c r="AN468" s="1000"/>
      <c r="AO468" s="1000"/>
      <c r="AP468" s="1000"/>
      <c r="AQ468" s="1000"/>
      <c r="AR468" s="1000"/>
      <c r="AS468" s="266"/>
      <c r="AT468" s="266"/>
      <c r="AU468" s="266"/>
      <c r="AV468" s="266"/>
      <c r="AW468" s="266"/>
      <c r="AX468" s="266"/>
      <c r="AY468" s="266"/>
      <c r="AZ468" s="266"/>
      <c r="BA468" s="266"/>
      <c r="BB468" s="266"/>
      <c r="BC468" s="266"/>
      <c r="BD468" s="266"/>
      <c r="BE468" s="266"/>
      <c r="BF468" s="266"/>
      <c r="BG468" s="266"/>
      <c r="BH468" s="266"/>
      <c r="BI468" s="1000"/>
      <c r="BJ468" s="1000"/>
      <c r="BK468" s="1000"/>
      <c r="BL468" s="1000"/>
      <c r="BM468" s="1000"/>
      <c r="BN468" s="265"/>
      <c r="BO468" s="265"/>
      <c r="BP468" s="265"/>
      <c r="BQ468" s="265"/>
      <c r="BR468" s="265"/>
      <c r="BS468" s="265"/>
      <c r="BT468" s="265"/>
      <c r="BU468" s="265"/>
      <c r="BV468" s="265"/>
      <c r="BW468" s="265"/>
      <c r="BX468" s="265"/>
      <c r="BY468" s="265"/>
      <c r="BZ468" s="265"/>
      <c r="CA468" s="265"/>
      <c r="CB468" s="265"/>
      <c r="CC468" s="265"/>
      <c r="CD468" s="265"/>
      <c r="CE468" s="265"/>
      <c r="CF468" s="265"/>
      <c r="CG468" s="265"/>
      <c r="CH468" s="265"/>
      <c r="CI468" s="265"/>
      <c r="CJ468" s="265"/>
      <c r="CK468" s="265"/>
      <c r="CL468" s="265"/>
      <c r="CM468" s="265"/>
      <c r="CN468" s="265"/>
      <c r="CO468" s="265"/>
      <c r="CP468" s="265"/>
      <c r="CQ468" s="265"/>
      <c r="CR468" s="265"/>
      <c r="CS468" s="265"/>
      <c r="CT468" s="265"/>
      <c r="CU468" s="265"/>
      <c r="CV468" s="265"/>
      <c r="CW468" s="265"/>
      <c r="CX468" s="265"/>
      <c r="CY468" s="265"/>
      <c r="CZ468" s="268"/>
    </row>
    <row r="469" spans="1:104" hidden="1" outlineLevel="1">
      <c r="A469" s="264"/>
      <c r="B469" s="264" t="s">
        <v>618</v>
      </c>
      <c r="C469" s="268"/>
      <c r="D469" s="264"/>
      <c r="E469" s="264"/>
      <c r="F469" s="264"/>
      <c r="G469" s="264"/>
      <c r="H469" s="264"/>
      <c r="I469" s="264"/>
      <c r="J469" s="266"/>
      <c r="K469" s="264"/>
      <c r="L469" s="264"/>
      <c r="M469" s="264"/>
      <c r="N469" s="264"/>
      <c r="O469" s="266"/>
      <c r="P469" s="264"/>
      <c r="Q469" s="264"/>
      <c r="R469" s="264"/>
      <c r="S469" s="264"/>
      <c r="T469" s="266"/>
      <c r="U469" s="264"/>
      <c r="V469" s="264"/>
      <c r="W469" s="264"/>
      <c r="X469" s="264"/>
      <c r="Y469" s="264">
        <v>4.0999999999999996</v>
      </c>
      <c r="Z469" s="264"/>
      <c r="AA469" s="264"/>
      <c r="AB469" s="264"/>
      <c r="AC469" s="264"/>
      <c r="AD469" s="265">
        <v>5</v>
      </c>
      <c r="AE469" s="264"/>
      <c r="AF469" s="264"/>
      <c r="AG469" s="264"/>
      <c r="AH469" s="264"/>
      <c r="AI469" s="265">
        <v>6.05</v>
      </c>
      <c r="AJ469" s="264"/>
      <c r="AK469" s="264"/>
      <c r="AL469" s="264"/>
      <c r="AM469" s="264"/>
      <c r="AN469" s="265">
        <v>7.65</v>
      </c>
      <c r="AO469" s="265"/>
      <c r="AP469" s="265"/>
      <c r="AQ469" s="265"/>
      <c r="AR469" s="265"/>
      <c r="AS469" s="264">
        <v>8.4</v>
      </c>
      <c r="AT469" s="264"/>
      <c r="AU469" s="266"/>
      <c r="AV469" s="266"/>
      <c r="AW469" s="266"/>
      <c r="AX469" s="266"/>
      <c r="AY469" s="266"/>
      <c r="AZ469" s="266"/>
      <c r="BA469" s="266"/>
      <c r="BB469" s="266"/>
      <c r="BC469" s="266"/>
      <c r="BD469" s="266"/>
      <c r="BE469" s="266"/>
      <c r="BF469" s="266"/>
      <c r="BG469" s="266"/>
      <c r="BH469" s="266"/>
      <c r="BI469" s="1000"/>
      <c r="BJ469" s="1000"/>
      <c r="BK469" s="1000"/>
      <c r="BL469" s="1000"/>
      <c r="BM469" s="1000"/>
      <c r="BN469" s="265"/>
      <c r="BO469" s="265"/>
      <c r="BP469" s="265"/>
      <c r="BQ469" s="265"/>
      <c r="BR469" s="265"/>
      <c r="BS469" s="265"/>
      <c r="BT469" s="265"/>
      <c r="BU469" s="265"/>
      <c r="BV469" s="265"/>
      <c r="BW469" s="265"/>
      <c r="BX469" s="265"/>
      <c r="BY469" s="265"/>
      <c r="BZ469" s="265"/>
      <c r="CA469" s="265"/>
      <c r="CB469" s="265"/>
      <c r="CC469" s="265"/>
      <c r="CD469" s="265"/>
      <c r="CE469" s="265"/>
      <c r="CF469" s="265"/>
      <c r="CG469" s="265"/>
      <c r="CH469" s="265"/>
      <c r="CI469" s="265"/>
      <c r="CJ469" s="265"/>
      <c r="CK469" s="265"/>
      <c r="CL469" s="265"/>
      <c r="CM469" s="265"/>
      <c r="CN469" s="265"/>
      <c r="CO469" s="265"/>
      <c r="CP469" s="265"/>
      <c r="CQ469" s="265"/>
      <c r="CR469" s="265"/>
      <c r="CS469" s="265"/>
      <c r="CT469" s="265"/>
      <c r="CU469" s="265"/>
      <c r="CV469" s="265"/>
      <c r="CW469" s="265"/>
      <c r="CX469" s="265"/>
      <c r="CY469" s="265"/>
      <c r="CZ469" s="268"/>
    </row>
    <row r="470" spans="1:104" hidden="1" outlineLevel="1">
      <c r="A470" s="264"/>
      <c r="B470" s="264"/>
      <c r="C470" s="268"/>
      <c r="D470" s="264"/>
      <c r="E470" s="264"/>
      <c r="F470" s="264"/>
      <c r="G470" s="264"/>
      <c r="H470" s="264"/>
      <c r="I470" s="264"/>
      <c r="J470" s="266"/>
      <c r="K470" s="264"/>
      <c r="L470" s="264"/>
      <c r="M470" s="264"/>
      <c r="N470" s="264"/>
      <c r="O470" s="266"/>
      <c r="P470" s="264"/>
      <c r="Q470" s="264"/>
      <c r="R470" s="264"/>
      <c r="S470" s="264"/>
      <c r="T470" s="266"/>
      <c r="U470" s="264"/>
      <c r="V470" s="264"/>
      <c r="W470" s="264"/>
      <c r="X470" s="264"/>
      <c r="Y470" s="266"/>
      <c r="Z470" s="264"/>
      <c r="AA470" s="264"/>
      <c r="AB470" s="264"/>
      <c r="AC470" s="264"/>
      <c r="AD470" s="1000"/>
      <c r="AE470" s="264"/>
      <c r="AF470" s="264"/>
      <c r="AG470" s="264"/>
      <c r="AH470" s="264"/>
      <c r="AI470" s="1000"/>
      <c r="AJ470" s="264"/>
      <c r="AK470" s="264"/>
      <c r="AL470" s="264"/>
      <c r="AM470" s="264"/>
      <c r="AN470" s="1000"/>
      <c r="AO470" s="1000"/>
      <c r="AP470" s="1000"/>
      <c r="AQ470" s="1000"/>
      <c r="AR470" s="1000"/>
      <c r="AS470" s="266"/>
      <c r="AT470" s="266"/>
      <c r="AU470" s="266"/>
      <c r="AV470" s="266"/>
      <c r="AW470" s="266"/>
      <c r="AX470" s="266"/>
      <c r="AY470" s="266"/>
      <c r="AZ470" s="266"/>
      <c r="BA470" s="266"/>
      <c r="BB470" s="266"/>
      <c r="BC470" s="266"/>
      <c r="BD470" s="266"/>
      <c r="BE470" s="266"/>
      <c r="BF470" s="266"/>
      <c r="BG470" s="266"/>
      <c r="BH470" s="266"/>
      <c r="BI470" s="1000"/>
      <c r="BJ470" s="1000"/>
      <c r="BK470" s="1000"/>
      <c r="BL470" s="1000"/>
      <c r="BM470" s="1000"/>
      <c r="BN470" s="265"/>
      <c r="BO470" s="265"/>
      <c r="BP470" s="265"/>
      <c r="BQ470" s="265"/>
      <c r="BR470" s="265"/>
      <c r="BS470" s="265"/>
      <c r="BT470" s="265"/>
      <c r="BU470" s="265"/>
      <c r="BV470" s="265"/>
      <c r="BW470" s="265"/>
      <c r="BX470" s="265"/>
      <c r="BY470" s="265"/>
      <c r="BZ470" s="265"/>
      <c r="CA470" s="265"/>
      <c r="CB470" s="265"/>
      <c r="CC470" s="265"/>
      <c r="CD470" s="265"/>
      <c r="CE470" s="265"/>
      <c r="CF470" s="265"/>
      <c r="CG470" s="265"/>
      <c r="CH470" s="265"/>
      <c r="CI470" s="265"/>
      <c r="CJ470" s="265"/>
      <c r="CK470" s="265"/>
      <c r="CL470" s="265"/>
      <c r="CM470" s="265"/>
      <c r="CN470" s="265"/>
      <c r="CO470" s="265"/>
      <c r="CP470" s="265"/>
      <c r="CQ470" s="265"/>
      <c r="CR470" s="265"/>
      <c r="CS470" s="265"/>
      <c r="CT470" s="265"/>
      <c r="CU470" s="265"/>
      <c r="CV470" s="265"/>
      <c r="CW470" s="265"/>
      <c r="CX470" s="265"/>
      <c r="CY470" s="265"/>
      <c r="CZ470" s="268"/>
    </row>
    <row r="471" spans="1:104" hidden="1" outlineLevel="1">
      <c r="A471" s="268"/>
      <c r="B471" s="271" t="s">
        <v>617</v>
      </c>
      <c r="C471" s="268"/>
      <c r="D471" s="268"/>
      <c r="E471" s="268"/>
      <c r="F471" s="268"/>
      <c r="G471" s="268"/>
      <c r="H471" s="268"/>
      <c r="I471" s="268"/>
      <c r="J471" s="271"/>
      <c r="K471" s="268"/>
      <c r="L471" s="268"/>
      <c r="M471" s="268"/>
      <c r="N471" s="268"/>
      <c r="O471" s="271"/>
      <c r="P471" s="268"/>
      <c r="Q471" s="268"/>
      <c r="R471" s="268"/>
      <c r="S471" s="268"/>
      <c r="T471" s="271"/>
      <c r="U471" s="268"/>
      <c r="V471" s="268"/>
      <c r="W471" s="268"/>
      <c r="X471" s="268"/>
      <c r="Y471" s="271"/>
      <c r="Z471" s="268"/>
      <c r="AA471" s="268"/>
      <c r="AB471" s="268"/>
      <c r="AC471" s="268"/>
      <c r="AD471" s="302"/>
      <c r="AE471" s="268"/>
      <c r="AF471" s="268"/>
      <c r="AG471" s="268"/>
      <c r="AH471" s="268"/>
      <c r="AI471" s="302"/>
      <c r="AJ471" s="268"/>
      <c r="AK471" s="268"/>
      <c r="AL471" s="268"/>
      <c r="AM471" s="268"/>
      <c r="AN471" s="302"/>
      <c r="AO471" s="302"/>
      <c r="AP471" s="302"/>
      <c r="AQ471" s="302"/>
      <c r="AR471" s="302"/>
      <c r="AS471" s="271"/>
      <c r="AT471" s="271"/>
      <c r="AU471" s="271"/>
      <c r="AV471" s="271"/>
      <c r="AW471" s="271"/>
      <c r="AX471" s="271"/>
      <c r="AY471" s="302"/>
      <c r="AZ471" s="302"/>
      <c r="BA471" s="302"/>
      <c r="BB471" s="116"/>
      <c r="BC471" s="116"/>
      <c r="BD471" s="116"/>
      <c r="BE471" s="116"/>
      <c r="BF471" s="116"/>
      <c r="BG471" s="116"/>
      <c r="BH471" s="268"/>
      <c r="BI471" s="268"/>
      <c r="BJ471" s="268"/>
      <c r="BK471" s="268"/>
      <c r="BL471" s="268"/>
      <c r="BM471" s="268"/>
      <c r="BN471" s="268"/>
      <c r="BO471" s="268"/>
      <c r="BP471" s="268"/>
      <c r="BQ471" s="268"/>
      <c r="BR471" s="268"/>
      <c r="BS471" s="268"/>
      <c r="BT471" s="268"/>
      <c r="BU471" s="268"/>
      <c r="BV471" s="268"/>
      <c r="BW471" s="268"/>
      <c r="BX471" s="268"/>
      <c r="BY471" s="268"/>
      <c r="BZ471" s="268"/>
      <c r="CA471" s="268"/>
      <c r="CB471" s="268"/>
      <c r="CC471" s="268"/>
      <c r="CD471" s="268"/>
      <c r="CE471" s="268"/>
      <c r="CF471" s="268"/>
      <c r="CG471" s="268"/>
      <c r="CH471" s="268"/>
      <c r="CI471" s="268"/>
      <c r="CJ471" s="268"/>
      <c r="CK471" s="268"/>
      <c r="CL471" s="268"/>
      <c r="CM471" s="268"/>
      <c r="CN471" s="268"/>
      <c r="CO471" s="268"/>
      <c r="CP471" s="268"/>
      <c r="CQ471" s="268"/>
      <c r="CR471" s="268"/>
      <c r="CS471" s="268"/>
      <c r="CT471" s="268"/>
      <c r="CU471" s="268"/>
      <c r="CV471" s="268"/>
      <c r="CW471" s="268"/>
      <c r="CX471" s="268"/>
      <c r="CY471" s="268"/>
      <c r="CZ471" s="268"/>
    </row>
    <row r="472" spans="1:104" hidden="1" outlineLevel="1">
      <c r="A472" s="268"/>
      <c r="B472" s="268"/>
      <c r="C472" s="268"/>
      <c r="D472" s="268"/>
      <c r="E472" s="268"/>
      <c r="F472" s="268"/>
      <c r="G472" s="268"/>
      <c r="H472" s="268"/>
      <c r="I472" s="268"/>
      <c r="J472" s="271"/>
      <c r="K472" s="268"/>
      <c r="L472" s="268"/>
      <c r="M472" s="268"/>
      <c r="N472" s="268"/>
      <c r="O472" s="271"/>
      <c r="P472" s="268"/>
      <c r="Q472" s="268"/>
      <c r="R472" s="268"/>
      <c r="S472" s="268"/>
      <c r="T472" s="271"/>
      <c r="U472" s="268"/>
      <c r="V472" s="268"/>
      <c r="W472" s="268"/>
      <c r="X472" s="268"/>
      <c r="Y472" s="271"/>
      <c r="Z472" s="268"/>
      <c r="AA472" s="268"/>
      <c r="AB472" s="268"/>
      <c r="AC472" s="268"/>
      <c r="AD472" s="302"/>
      <c r="AE472" s="268"/>
      <c r="AF472" s="268"/>
      <c r="AG472" s="268"/>
      <c r="AH472" s="268"/>
      <c r="AI472" s="302"/>
      <c r="AJ472" s="268"/>
      <c r="AK472" s="268"/>
      <c r="AL472" s="268"/>
      <c r="AM472" s="268"/>
      <c r="AN472" s="302"/>
      <c r="AO472" s="302"/>
      <c r="AP472" s="302"/>
      <c r="AQ472" s="302"/>
      <c r="AR472" s="302"/>
      <c r="AS472" s="271"/>
      <c r="AT472" s="271"/>
      <c r="AU472" s="271"/>
      <c r="AV472" s="271"/>
      <c r="AW472" s="271"/>
      <c r="AX472" s="271"/>
      <c r="AY472" s="302"/>
      <c r="AZ472" s="302"/>
      <c r="BA472" s="302"/>
      <c r="BB472" s="116"/>
      <c r="BC472" s="116"/>
      <c r="BD472" s="116"/>
      <c r="BE472" s="116"/>
      <c r="BF472" s="116"/>
      <c r="BG472" s="116"/>
      <c r="BH472" s="268"/>
      <c r="BI472" s="268"/>
      <c r="BJ472" s="268"/>
      <c r="BK472" s="268"/>
      <c r="BL472" s="268"/>
      <c r="BM472" s="268"/>
      <c r="BN472" s="268"/>
      <c r="BO472" s="268"/>
      <c r="BP472" s="268"/>
      <c r="BQ472" s="268"/>
      <c r="BR472" s="268"/>
      <c r="BS472" s="268"/>
      <c r="BT472" s="268"/>
      <c r="BU472" s="268"/>
      <c r="BV472" s="268"/>
      <c r="BW472" s="268"/>
      <c r="BX472" s="268"/>
      <c r="BY472" s="268"/>
      <c r="BZ472" s="268"/>
      <c r="CA472" s="268"/>
      <c r="CB472" s="268"/>
      <c r="CC472" s="268"/>
      <c r="CD472" s="268"/>
      <c r="CE472" s="268"/>
      <c r="CF472" s="268"/>
      <c r="CG472" s="268"/>
      <c r="CH472" s="268"/>
      <c r="CI472" s="268"/>
      <c r="CJ472" s="268"/>
      <c r="CK472" s="268"/>
      <c r="CL472" s="268"/>
      <c r="CM472" s="268"/>
      <c r="CN472" s="268"/>
      <c r="CO472" s="268"/>
      <c r="CP472" s="268"/>
      <c r="CQ472" s="268"/>
      <c r="CR472" s="268"/>
      <c r="CS472" s="268"/>
      <c r="CT472" s="268"/>
      <c r="CU472" s="268"/>
      <c r="CV472" s="268"/>
      <c r="CW472" s="268"/>
      <c r="CX472" s="268"/>
      <c r="CY472" s="268"/>
      <c r="CZ472" s="268"/>
    </row>
    <row r="473" spans="1:104" hidden="1" outlineLevel="1">
      <c r="A473" s="268"/>
      <c r="B473" s="271" t="s">
        <v>616</v>
      </c>
      <c r="C473" s="268"/>
      <c r="D473" s="268"/>
      <c r="E473" s="268"/>
      <c r="F473" s="268"/>
      <c r="G473" s="268"/>
      <c r="H473" s="268"/>
      <c r="I473" s="268"/>
      <c r="J473" s="271"/>
      <c r="K473" s="268"/>
      <c r="L473" s="268"/>
      <c r="M473" s="268"/>
      <c r="N473" s="268"/>
      <c r="O473" s="271"/>
      <c r="P473" s="268"/>
      <c r="Q473" s="268"/>
      <c r="R473" s="268"/>
      <c r="S473" s="268"/>
      <c r="T473" s="271"/>
      <c r="U473" s="268"/>
      <c r="V473" s="268"/>
      <c r="W473" s="268"/>
      <c r="X473" s="268"/>
      <c r="Y473" s="271"/>
      <c r="Z473" s="268"/>
      <c r="AA473" s="268"/>
      <c r="AB473" s="268"/>
      <c r="AC473" s="268"/>
      <c r="AD473" s="302"/>
      <c r="AE473" s="268"/>
      <c r="AF473" s="268"/>
      <c r="AG473" s="268"/>
      <c r="AH473" s="268"/>
      <c r="AI473" s="302"/>
      <c r="AJ473" s="268"/>
      <c r="AK473" s="268"/>
      <c r="AL473" s="268"/>
      <c r="AM473" s="268"/>
      <c r="AN473" s="302"/>
      <c r="AO473" s="302"/>
      <c r="AP473" s="302"/>
      <c r="AQ473" s="302"/>
      <c r="AR473" s="302"/>
      <c r="AS473" s="271"/>
      <c r="AT473" s="271" t="s">
        <v>615</v>
      </c>
      <c r="AU473" s="271"/>
      <c r="AV473" s="271"/>
      <c r="AW473" s="271"/>
      <c r="AX473" s="271"/>
      <c r="AY473" s="302"/>
      <c r="AZ473" s="302"/>
      <c r="BA473" s="302"/>
      <c r="BB473" s="116"/>
      <c r="BC473" s="116"/>
      <c r="BD473" s="116"/>
      <c r="BE473" s="116"/>
      <c r="BF473" s="116"/>
      <c r="BG473" s="116"/>
      <c r="BH473" s="268"/>
      <c r="BI473" s="268"/>
      <c r="BJ473" s="268"/>
      <c r="BK473" s="268"/>
      <c r="BL473" s="268"/>
      <c r="BM473" s="268"/>
      <c r="BN473" s="268"/>
      <c r="BO473" s="268"/>
      <c r="BP473" s="268"/>
      <c r="BQ473" s="268"/>
      <c r="BR473" s="268"/>
      <c r="BS473" s="268"/>
      <c r="BT473" s="268"/>
      <c r="BU473" s="268"/>
      <c r="BV473" s="268"/>
      <c r="BW473" s="268"/>
      <c r="BX473" s="268"/>
      <c r="BY473" s="268"/>
      <c r="BZ473" s="268"/>
      <c r="CA473" s="268"/>
      <c r="CB473" s="268"/>
      <c r="CC473" s="268"/>
      <c r="CD473" s="268"/>
      <c r="CE473" s="268"/>
      <c r="CF473" s="268"/>
      <c r="CG473" s="268"/>
      <c r="CH473" s="268"/>
      <c r="CI473" s="268"/>
      <c r="CJ473" s="268"/>
      <c r="CK473" s="268"/>
      <c r="CL473" s="268"/>
      <c r="CM473" s="268"/>
      <c r="CN473" s="268"/>
      <c r="CO473" s="268"/>
      <c r="CP473" s="268"/>
      <c r="CQ473" s="268"/>
      <c r="CR473" s="268"/>
      <c r="CS473" s="268"/>
      <c r="CT473" s="268"/>
      <c r="CU473" s="268"/>
      <c r="CV473" s="268"/>
      <c r="CW473" s="268"/>
      <c r="CX473" s="268"/>
      <c r="CY473" s="268"/>
      <c r="CZ473" s="268"/>
    </row>
    <row r="474" spans="1:104" hidden="1" outlineLevel="1">
      <c r="A474" s="268"/>
      <c r="B474" s="1023" t="s">
        <v>165</v>
      </c>
      <c r="C474" s="268"/>
      <c r="D474" s="268"/>
      <c r="E474" s="268"/>
      <c r="F474" s="268"/>
      <c r="G474" s="268"/>
      <c r="H474" s="268"/>
      <c r="I474" s="268"/>
      <c r="J474" s="271"/>
      <c r="K474" s="268"/>
      <c r="L474" s="268"/>
      <c r="M474" s="268"/>
      <c r="N474" s="268"/>
      <c r="O474" s="271"/>
      <c r="P474" s="268"/>
      <c r="Q474" s="268"/>
      <c r="R474" s="268"/>
      <c r="S474" s="268"/>
      <c r="T474" s="271"/>
      <c r="U474" s="268"/>
      <c r="V474" s="268"/>
      <c r="W474" s="268"/>
      <c r="X474" s="268"/>
      <c r="Y474" s="271"/>
      <c r="Z474" s="268"/>
      <c r="AA474" s="268"/>
      <c r="AB474" s="268"/>
      <c r="AC474" s="268"/>
      <c r="AD474" s="302"/>
      <c r="AE474" s="268"/>
      <c r="AF474" s="268"/>
      <c r="AG474" s="268"/>
      <c r="AH474" s="268"/>
      <c r="AI474" s="302"/>
      <c r="AJ474" s="268"/>
      <c r="AK474" s="268"/>
      <c r="AL474" s="268"/>
      <c r="AM474" s="268"/>
      <c r="AN474" s="1032">
        <v>17</v>
      </c>
      <c r="AO474" s="302"/>
      <c r="AP474" s="302"/>
      <c r="AQ474" s="302"/>
      <c r="AR474" s="302"/>
      <c r="AS474" s="1032">
        <v>23.4</v>
      </c>
      <c r="AT474" s="268">
        <v>23.4</v>
      </c>
      <c r="AU474" s="271"/>
      <c r="AV474" s="271"/>
      <c r="AW474" s="271"/>
      <c r="AX474" s="271"/>
      <c r="AY474" s="302"/>
      <c r="AZ474" s="302"/>
      <c r="BA474" s="302"/>
      <c r="BB474" s="116"/>
      <c r="BC474" s="116"/>
      <c r="BD474" s="116"/>
      <c r="BE474" s="116"/>
      <c r="BF474" s="116"/>
      <c r="BG474" s="116"/>
      <c r="BH474" s="268"/>
      <c r="BI474" s="268"/>
      <c r="BJ474" s="268"/>
      <c r="BK474" s="268"/>
      <c r="BL474" s="268"/>
      <c r="BM474" s="268"/>
      <c r="BN474" s="268"/>
      <c r="BO474" s="268"/>
      <c r="BP474" s="268"/>
      <c r="BQ474" s="268"/>
      <c r="BR474" s="268"/>
      <c r="BS474" s="268"/>
      <c r="BT474" s="268"/>
      <c r="BU474" s="268"/>
      <c r="BV474" s="268"/>
      <c r="BW474" s="268"/>
      <c r="BX474" s="268"/>
      <c r="BY474" s="268"/>
      <c r="BZ474" s="268"/>
      <c r="CA474" s="268"/>
      <c r="CB474" s="268"/>
      <c r="CC474" s="268"/>
      <c r="CD474" s="268"/>
      <c r="CE474" s="268"/>
      <c r="CF474" s="268"/>
      <c r="CG474" s="268"/>
      <c r="CH474" s="268"/>
      <c r="CI474" s="268"/>
      <c r="CJ474" s="268"/>
      <c r="CK474" s="268"/>
      <c r="CL474" s="268"/>
      <c r="CM474" s="268"/>
      <c r="CN474" s="268"/>
      <c r="CO474" s="268"/>
      <c r="CP474" s="268"/>
      <c r="CQ474" s="268"/>
      <c r="CR474" s="268"/>
      <c r="CS474" s="268"/>
      <c r="CT474" s="268"/>
      <c r="CU474" s="268"/>
      <c r="CV474" s="268"/>
      <c r="CW474" s="268"/>
      <c r="CX474" s="268"/>
      <c r="CY474" s="268"/>
      <c r="CZ474" s="268"/>
    </row>
    <row r="475" spans="1:104" hidden="1" outlineLevel="1">
      <c r="A475" s="268"/>
      <c r="B475" s="1023" t="s">
        <v>167</v>
      </c>
      <c r="C475" s="268"/>
      <c r="D475" s="268"/>
      <c r="E475" s="268"/>
      <c r="F475" s="268"/>
      <c r="G475" s="268"/>
      <c r="H475" s="268"/>
      <c r="I475" s="268"/>
      <c r="J475" s="271"/>
      <c r="K475" s="268"/>
      <c r="L475" s="268"/>
      <c r="M475" s="268"/>
      <c r="N475" s="268"/>
      <c r="O475" s="271"/>
      <c r="P475" s="268"/>
      <c r="Q475" s="268"/>
      <c r="R475" s="268"/>
      <c r="S475" s="268"/>
      <c r="T475" s="271"/>
      <c r="U475" s="268"/>
      <c r="V475" s="268"/>
      <c r="W475" s="268"/>
      <c r="X475" s="268"/>
      <c r="Y475" s="271"/>
      <c r="Z475" s="268"/>
      <c r="AA475" s="268"/>
      <c r="AB475" s="268"/>
      <c r="AC475" s="268"/>
      <c r="AD475" s="302"/>
      <c r="AE475" s="268"/>
      <c r="AF475" s="268"/>
      <c r="AG475" s="268"/>
      <c r="AH475" s="268"/>
      <c r="AI475" s="302"/>
      <c r="AJ475" s="268"/>
      <c r="AK475" s="268"/>
      <c r="AL475" s="268"/>
      <c r="AM475" s="268"/>
      <c r="AN475" s="1032">
        <v>12.4</v>
      </c>
      <c r="AO475" s="302"/>
      <c r="AP475" s="302"/>
      <c r="AQ475" s="302"/>
      <c r="AR475" s="302"/>
      <c r="AS475" s="1032">
        <v>14.5</v>
      </c>
      <c r="AT475" s="268">
        <v>15.3</v>
      </c>
      <c r="AU475" s="271"/>
      <c r="AV475" s="271"/>
      <c r="AW475" s="271"/>
      <c r="AX475" s="271"/>
      <c r="AY475" s="302"/>
      <c r="AZ475" s="302"/>
      <c r="BA475" s="302"/>
      <c r="BB475" s="116"/>
      <c r="BC475" s="116"/>
      <c r="BD475" s="116"/>
      <c r="BE475" s="116"/>
      <c r="BF475" s="116"/>
      <c r="BG475" s="116"/>
      <c r="BH475" s="268"/>
      <c r="BI475" s="268"/>
      <c r="BJ475" s="268"/>
      <c r="BK475" s="268"/>
      <c r="BL475" s="268"/>
      <c r="BM475" s="268"/>
      <c r="BN475" s="268"/>
      <c r="BO475" s="268"/>
      <c r="BP475" s="268"/>
      <c r="BQ475" s="268"/>
      <c r="BR475" s="268"/>
      <c r="BS475" s="268"/>
      <c r="BT475" s="268"/>
      <c r="BU475" s="268"/>
      <c r="BV475" s="268"/>
      <c r="BW475" s="268"/>
      <c r="BX475" s="268"/>
      <c r="BY475" s="268"/>
      <c r="BZ475" s="268"/>
      <c r="CA475" s="268"/>
      <c r="CB475" s="268"/>
      <c r="CC475" s="268"/>
      <c r="CD475" s="268"/>
      <c r="CE475" s="268"/>
      <c r="CF475" s="268"/>
      <c r="CG475" s="268"/>
      <c r="CH475" s="268"/>
      <c r="CI475" s="268"/>
      <c r="CJ475" s="268"/>
      <c r="CK475" s="268"/>
      <c r="CL475" s="268"/>
      <c r="CM475" s="268"/>
      <c r="CN475" s="268"/>
      <c r="CO475" s="268"/>
      <c r="CP475" s="268"/>
      <c r="CQ475" s="268"/>
      <c r="CR475" s="268"/>
      <c r="CS475" s="268"/>
      <c r="CT475" s="268"/>
      <c r="CU475" s="268"/>
      <c r="CV475" s="268"/>
      <c r="CW475" s="268"/>
      <c r="CX475" s="268"/>
      <c r="CY475" s="268"/>
      <c r="CZ475" s="268"/>
    </row>
    <row r="476" spans="1:104" hidden="1" outlineLevel="1">
      <c r="A476" s="268"/>
      <c r="B476" s="1023" t="s">
        <v>163</v>
      </c>
      <c r="C476" s="268"/>
      <c r="D476" s="268"/>
      <c r="E476" s="268"/>
      <c r="F476" s="268"/>
      <c r="G476" s="268"/>
      <c r="H476" s="268"/>
      <c r="I476" s="268"/>
      <c r="J476" s="271"/>
      <c r="K476" s="268"/>
      <c r="L476" s="268"/>
      <c r="M476" s="268"/>
      <c r="N476" s="268"/>
      <c r="O476" s="271"/>
      <c r="P476" s="268"/>
      <c r="Q476" s="268"/>
      <c r="R476" s="268"/>
      <c r="S476" s="268"/>
      <c r="T476" s="271"/>
      <c r="U476" s="268"/>
      <c r="V476" s="268"/>
      <c r="W476" s="268"/>
      <c r="X476" s="268"/>
      <c r="Y476" s="271"/>
      <c r="Z476" s="268"/>
      <c r="AA476" s="268"/>
      <c r="AB476" s="268"/>
      <c r="AC476" s="268"/>
      <c r="AD476" s="302"/>
      <c r="AE476" s="268"/>
      <c r="AF476" s="268"/>
      <c r="AG476" s="268"/>
      <c r="AH476" s="268"/>
      <c r="AI476" s="302"/>
      <c r="AJ476" s="268"/>
      <c r="AK476" s="268"/>
      <c r="AL476" s="268"/>
      <c r="AM476" s="268"/>
      <c r="AN476" s="1032">
        <v>8.6</v>
      </c>
      <c r="AO476" s="302"/>
      <c r="AP476" s="302"/>
      <c r="AQ476" s="302"/>
      <c r="AR476" s="302"/>
      <c r="AS476" s="1032">
        <v>11.2</v>
      </c>
      <c r="AT476" s="268">
        <v>12.1</v>
      </c>
      <c r="AU476" s="271"/>
      <c r="AV476" s="271"/>
      <c r="AW476" s="271"/>
      <c r="AX476" s="271"/>
      <c r="AY476" s="302"/>
      <c r="AZ476" s="302"/>
      <c r="BA476" s="302"/>
      <c r="BB476" s="116"/>
      <c r="BC476" s="116"/>
      <c r="BD476" s="116"/>
      <c r="BE476" s="116"/>
      <c r="BF476" s="116"/>
      <c r="BG476" s="116"/>
      <c r="BH476" s="268"/>
      <c r="BI476" s="268"/>
      <c r="BJ476" s="268"/>
      <c r="BK476" s="268"/>
      <c r="BL476" s="268"/>
      <c r="BM476" s="268"/>
      <c r="BN476" s="268"/>
      <c r="BO476" s="268"/>
      <c r="BP476" s="268"/>
      <c r="BQ476" s="268"/>
      <c r="BR476" s="268"/>
      <c r="BS476" s="268"/>
      <c r="BT476" s="268"/>
      <c r="BU476" s="268"/>
      <c r="BV476" s="268"/>
      <c r="BW476" s="268"/>
      <c r="BX476" s="268"/>
      <c r="BY476" s="268"/>
      <c r="BZ476" s="268"/>
      <c r="CA476" s="268"/>
      <c r="CB476" s="268"/>
      <c r="CC476" s="268"/>
      <c r="CD476" s="268"/>
      <c r="CE476" s="268"/>
      <c r="CF476" s="268"/>
      <c r="CG476" s="268"/>
      <c r="CH476" s="268"/>
      <c r="CI476" s="268"/>
      <c r="CJ476" s="268"/>
      <c r="CK476" s="268"/>
      <c r="CL476" s="268"/>
      <c r="CM476" s="268"/>
      <c r="CN476" s="268"/>
      <c r="CO476" s="268"/>
      <c r="CP476" s="268"/>
      <c r="CQ476" s="268"/>
      <c r="CR476" s="268"/>
      <c r="CS476" s="268"/>
      <c r="CT476" s="268"/>
      <c r="CU476" s="268"/>
      <c r="CV476" s="268"/>
      <c r="CW476" s="268"/>
      <c r="CX476" s="268"/>
      <c r="CY476" s="268"/>
      <c r="CZ476" s="268"/>
    </row>
    <row r="477" spans="1:104" hidden="1" outlineLevel="1">
      <c r="A477" s="268"/>
      <c r="B477" s="1023" t="s">
        <v>306</v>
      </c>
      <c r="C477" s="268"/>
      <c r="D477" s="268"/>
      <c r="E477" s="268"/>
      <c r="F477" s="268"/>
      <c r="G477" s="268"/>
      <c r="H477" s="268"/>
      <c r="I477" s="268"/>
      <c r="J477" s="271"/>
      <c r="K477" s="268"/>
      <c r="L477" s="268"/>
      <c r="M477" s="268"/>
      <c r="N477" s="268"/>
      <c r="O477" s="271"/>
      <c r="P477" s="268"/>
      <c r="Q477" s="268"/>
      <c r="R477" s="268"/>
      <c r="S477" s="268"/>
      <c r="T477" s="271"/>
      <c r="U477" s="268"/>
      <c r="V477" s="268"/>
      <c r="W477" s="268"/>
      <c r="X477" s="268"/>
      <c r="Y477" s="271"/>
      <c r="Z477" s="268"/>
      <c r="AA477" s="268"/>
      <c r="AB477" s="268"/>
      <c r="AC477" s="268"/>
      <c r="AD477" s="302"/>
      <c r="AE477" s="268"/>
      <c r="AF477" s="268"/>
      <c r="AG477" s="268"/>
      <c r="AH477" s="268"/>
      <c r="AI477" s="302"/>
      <c r="AJ477" s="268"/>
      <c r="AK477" s="268"/>
      <c r="AL477" s="268"/>
      <c r="AM477" s="268"/>
      <c r="AN477" s="1032">
        <v>4.4000000000000004</v>
      </c>
      <c r="AO477" s="302"/>
      <c r="AP477" s="302"/>
      <c r="AQ477" s="302"/>
      <c r="AR477" s="302"/>
      <c r="AS477" s="1032">
        <v>5</v>
      </c>
      <c r="AT477" s="268">
        <v>5.6</v>
      </c>
      <c r="AU477" s="271"/>
      <c r="AV477" s="271"/>
      <c r="AW477" s="271"/>
      <c r="AX477" s="271"/>
      <c r="AY477" s="302"/>
      <c r="AZ477" s="302"/>
      <c r="BA477" s="302"/>
      <c r="BB477" s="116"/>
      <c r="BC477" s="116"/>
      <c r="BD477" s="116"/>
      <c r="BE477" s="116"/>
      <c r="BF477" s="116"/>
      <c r="BG477" s="116"/>
      <c r="BH477" s="268"/>
      <c r="BI477" s="268"/>
      <c r="BJ477" s="268"/>
      <c r="BK477" s="268"/>
      <c r="BL477" s="268"/>
      <c r="BM477" s="268"/>
      <c r="BN477" s="268"/>
      <c r="BO477" s="268"/>
      <c r="BP477" s="268"/>
      <c r="BQ477" s="268"/>
      <c r="BR477" s="268"/>
      <c r="BS477" s="268"/>
      <c r="BT477" s="268"/>
      <c r="BU477" s="268"/>
      <c r="BV477" s="268"/>
      <c r="BW477" s="268"/>
      <c r="BX477" s="268"/>
      <c r="BY477" s="268"/>
      <c r="BZ477" s="268"/>
      <c r="CA477" s="268"/>
      <c r="CB477" s="268"/>
      <c r="CC477" s="268"/>
      <c r="CD477" s="268"/>
      <c r="CE477" s="268"/>
      <c r="CF477" s="268"/>
      <c r="CG477" s="268"/>
      <c r="CH477" s="268"/>
      <c r="CI477" s="268"/>
      <c r="CJ477" s="268"/>
      <c r="CK477" s="268"/>
      <c r="CL477" s="268"/>
      <c r="CM477" s="268"/>
      <c r="CN477" s="268"/>
      <c r="CO477" s="268"/>
      <c r="CP477" s="268"/>
      <c r="CQ477" s="268"/>
      <c r="CR477" s="268"/>
      <c r="CS477" s="268"/>
      <c r="CT477" s="268"/>
      <c r="CU477" s="268"/>
      <c r="CV477" s="268"/>
      <c r="CW477" s="268"/>
      <c r="CX477" s="268"/>
      <c r="CY477" s="268"/>
      <c r="CZ477" s="268"/>
    </row>
    <row r="478" spans="1:104" hidden="1" outlineLevel="1">
      <c r="A478" s="268"/>
      <c r="B478" s="1023" t="s">
        <v>309</v>
      </c>
      <c r="C478" s="268"/>
      <c r="D478" s="268"/>
      <c r="E478" s="268"/>
      <c r="F478" s="268"/>
      <c r="G478" s="268"/>
      <c r="H478" s="268"/>
      <c r="I478" s="268"/>
      <c r="J478" s="271"/>
      <c r="K478" s="268"/>
      <c r="L478" s="268"/>
      <c r="M478" s="268"/>
      <c r="N478" s="268"/>
      <c r="O478" s="271"/>
      <c r="P478" s="268"/>
      <c r="Q478" s="268"/>
      <c r="R478" s="268"/>
      <c r="S478" s="268"/>
      <c r="T478" s="271"/>
      <c r="U478" s="268"/>
      <c r="V478" s="268"/>
      <c r="W478" s="268"/>
      <c r="X478" s="268"/>
      <c r="Y478" s="271"/>
      <c r="Z478" s="268"/>
      <c r="AA478" s="268"/>
      <c r="AB478" s="268"/>
      <c r="AC478" s="268"/>
      <c r="AD478" s="302"/>
      <c r="AE478" s="268"/>
      <c r="AF478" s="268"/>
      <c r="AG478" s="268"/>
      <c r="AH478" s="268"/>
      <c r="AI478" s="302"/>
      <c r="AJ478" s="268"/>
      <c r="AK478" s="268"/>
      <c r="AL478" s="268"/>
      <c r="AM478" s="268"/>
      <c r="AN478" s="1032">
        <v>2.2999999999999998</v>
      </c>
      <c r="AO478" s="302"/>
      <c r="AP478" s="302"/>
      <c r="AQ478" s="302"/>
      <c r="AR478" s="302"/>
      <c r="AS478" s="1032">
        <v>2.2999999999999998</v>
      </c>
      <c r="AT478" s="268">
        <v>2.2000000000000002</v>
      </c>
      <c r="AU478" s="271"/>
      <c r="AV478" s="271"/>
      <c r="AW478" s="271"/>
      <c r="AX478" s="271"/>
      <c r="AY478" s="302"/>
      <c r="AZ478" s="302"/>
      <c r="BA478" s="302"/>
      <c r="BB478" s="116"/>
      <c r="BC478" s="116"/>
      <c r="BD478" s="116"/>
      <c r="BE478" s="116"/>
      <c r="BF478" s="116"/>
      <c r="BG478" s="116"/>
      <c r="BH478" s="268"/>
      <c r="BI478" s="268"/>
      <c r="BJ478" s="268"/>
      <c r="BK478" s="268"/>
      <c r="BL478" s="268"/>
      <c r="BM478" s="268"/>
      <c r="BN478" s="268"/>
      <c r="BO478" s="268"/>
      <c r="BP478" s="268"/>
      <c r="BQ478" s="268"/>
      <c r="BR478" s="268"/>
      <c r="BS478" s="268"/>
      <c r="BT478" s="268"/>
      <c r="BU478" s="268"/>
      <c r="BV478" s="268"/>
      <c r="BW478" s="268"/>
      <c r="BX478" s="268"/>
      <c r="BY478" s="268"/>
      <c r="BZ478" s="268"/>
      <c r="CA478" s="268"/>
      <c r="CB478" s="268"/>
      <c r="CC478" s="268"/>
      <c r="CD478" s="268"/>
      <c r="CE478" s="268"/>
      <c r="CF478" s="268"/>
      <c r="CG478" s="268"/>
      <c r="CH478" s="268"/>
      <c r="CI478" s="268"/>
      <c r="CJ478" s="268"/>
      <c r="CK478" s="268"/>
      <c r="CL478" s="268"/>
      <c r="CM478" s="268"/>
      <c r="CN478" s="268"/>
      <c r="CO478" s="268"/>
      <c r="CP478" s="268"/>
      <c r="CQ478" s="268"/>
      <c r="CR478" s="268"/>
      <c r="CS478" s="268"/>
      <c r="CT478" s="268"/>
      <c r="CU478" s="268"/>
      <c r="CV478" s="268"/>
      <c r="CW478" s="268"/>
      <c r="CX478" s="268"/>
      <c r="CY478" s="268"/>
      <c r="CZ478" s="268"/>
    </row>
    <row r="479" spans="1:104" hidden="1" outlineLevel="1">
      <c r="A479" s="268"/>
      <c r="B479" s="1023" t="s">
        <v>308</v>
      </c>
      <c r="C479" s="268"/>
      <c r="D479" s="268"/>
      <c r="E479" s="268"/>
      <c r="F479" s="268"/>
      <c r="G479" s="268"/>
      <c r="H479" s="268"/>
      <c r="I479" s="268"/>
      <c r="J479" s="271"/>
      <c r="K479" s="268"/>
      <c r="L479" s="268"/>
      <c r="M479" s="268"/>
      <c r="N479" s="268"/>
      <c r="O479" s="271"/>
      <c r="P479" s="268"/>
      <c r="Q479" s="268"/>
      <c r="R479" s="268"/>
      <c r="S479" s="268"/>
      <c r="T479" s="271"/>
      <c r="U479" s="268"/>
      <c r="V479" s="268"/>
      <c r="W479" s="268"/>
      <c r="X479" s="268"/>
      <c r="Y479" s="271"/>
      <c r="Z479" s="268"/>
      <c r="AA479" s="268"/>
      <c r="AB479" s="268"/>
      <c r="AC479" s="268"/>
      <c r="AD479" s="302"/>
      <c r="AE479" s="268"/>
      <c r="AF479" s="268"/>
      <c r="AG479" s="268"/>
      <c r="AH479" s="268"/>
      <c r="AI479" s="302"/>
      <c r="AJ479" s="268"/>
      <c r="AK479" s="268"/>
      <c r="AL479" s="268"/>
      <c r="AM479" s="268"/>
      <c r="AN479" s="1032">
        <v>0.7</v>
      </c>
      <c r="AO479" s="302"/>
      <c r="AP479" s="302"/>
      <c r="AQ479" s="302"/>
      <c r="AR479" s="302"/>
      <c r="AS479" s="1032">
        <v>1</v>
      </c>
      <c r="AT479" s="268">
        <v>1.4</v>
      </c>
      <c r="AU479" s="271"/>
      <c r="AV479" s="271"/>
      <c r="AW479" s="271"/>
      <c r="AX479" s="271"/>
      <c r="AY479" s="302"/>
      <c r="AZ479" s="302"/>
      <c r="BA479" s="302"/>
      <c r="BB479" s="116"/>
      <c r="BC479" s="116"/>
      <c r="BD479" s="116"/>
      <c r="BE479" s="116"/>
      <c r="BF479" s="116"/>
      <c r="BG479" s="116"/>
      <c r="BH479" s="268"/>
      <c r="BI479" s="268"/>
      <c r="BJ479" s="268"/>
      <c r="BK479" s="268"/>
      <c r="BL479" s="268"/>
      <c r="BM479" s="268"/>
      <c r="BN479" s="268"/>
      <c r="BO479" s="268"/>
      <c r="BP479" s="268"/>
      <c r="BQ479" s="268"/>
      <c r="BR479" s="268"/>
      <c r="BS479" s="268"/>
      <c r="BT479" s="268"/>
      <c r="BU479" s="268"/>
      <c r="BV479" s="268"/>
      <c r="BW479" s="268"/>
      <c r="BX479" s="268"/>
      <c r="BY479" s="268"/>
      <c r="BZ479" s="268"/>
      <c r="CA479" s="268"/>
      <c r="CB479" s="268"/>
      <c r="CC479" s="268"/>
      <c r="CD479" s="268"/>
      <c r="CE479" s="268"/>
      <c r="CF479" s="268"/>
      <c r="CG479" s="268"/>
      <c r="CH479" s="268"/>
      <c r="CI479" s="268"/>
      <c r="CJ479" s="268"/>
      <c r="CK479" s="268"/>
      <c r="CL479" s="268"/>
      <c r="CM479" s="268"/>
      <c r="CN479" s="268"/>
      <c r="CO479" s="268"/>
      <c r="CP479" s="268"/>
      <c r="CQ479" s="268"/>
      <c r="CR479" s="268"/>
      <c r="CS479" s="268"/>
      <c r="CT479" s="268"/>
      <c r="CU479" s="268"/>
      <c r="CV479" s="268"/>
      <c r="CW479" s="268"/>
      <c r="CX479" s="268"/>
      <c r="CY479" s="268"/>
      <c r="CZ479" s="268"/>
    </row>
    <row r="480" spans="1:104" hidden="1" outlineLevel="1">
      <c r="A480" s="268"/>
      <c r="B480" s="268"/>
      <c r="C480" s="268"/>
      <c r="D480" s="268"/>
      <c r="E480" s="268"/>
      <c r="F480" s="268"/>
      <c r="G480" s="268"/>
      <c r="H480" s="268"/>
      <c r="I480" s="268"/>
      <c r="J480" s="271"/>
      <c r="K480" s="268"/>
      <c r="L480" s="268"/>
      <c r="M480" s="268"/>
      <c r="N480" s="268"/>
      <c r="O480" s="271"/>
      <c r="P480" s="268"/>
      <c r="Q480" s="268"/>
      <c r="R480" s="268"/>
      <c r="S480" s="268"/>
      <c r="T480" s="271"/>
      <c r="U480" s="268"/>
      <c r="V480" s="268"/>
      <c r="W480" s="268"/>
      <c r="X480" s="268"/>
      <c r="Y480" s="271"/>
      <c r="Z480" s="268"/>
      <c r="AA480" s="268"/>
      <c r="AB480" s="268"/>
      <c r="AC480" s="268"/>
      <c r="AD480" s="302"/>
      <c r="AE480" s="268"/>
      <c r="AF480" s="268"/>
      <c r="AG480" s="268"/>
      <c r="AH480" s="268"/>
      <c r="AI480" s="302"/>
      <c r="AJ480" s="268"/>
      <c r="AK480" s="268"/>
      <c r="AL480" s="268"/>
      <c r="AM480" s="268"/>
      <c r="AN480" s="302"/>
      <c r="AO480" s="302"/>
      <c r="AP480" s="302"/>
      <c r="AQ480" s="302"/>
      <c r="AR480" s="302"/>
      <c r="AS480" s="271"/>
      <c r="AT480" s="271"/>
      <c r="AU480" s="271"/>
      <c r="AV480" s="271"/>
      <c r="AW480" s="271"/>
      <c r="AX480" s="271"/>
      <c r="AY480" s="302"/>
      <c r="AZ480" s="302"/>
      <c r="BA480" s="302"/>
      <c r="BB480" s="116"/>
      <c r="BC480" s="116"/>
      <c r="BD480" s="116"/>
      <c r="BE480" s="116"/>
      <c r="BF480" s="116"/>
      <c r="BG480" s="116"/>
      <c r="BH480" s="268"/>
      <c r="BI480" s="268"/>
      <c r="BJ480" s="268"/>
      <c r="BK480" s="268"/>
      <c r="BL480" s="268"/>
      <c r="BM480" s="268"/>
      <c r="BN480" s="268"/>
      <c r="BO480" s="268"/>
      <c r="BP480" s="268"/>
      <c r="BQ480" s="268"/>
      <c r="BR480" s="268"/>
      <c r="BS480" s="268"/>
      <c r="BT480" s="268"/>
      <c r="BU480" s="268"/>
      <c r="BV480" s="268"/>
      <c r="BW480" s="268"/>
      <c r="BX480" s="268"/>
      <c r="BY480" s="268"/>
      <c r="BZ480" s="268"/>
      <c r="CA480" s="268"/>
      <c r="CB480" s="268"/>
      <c r="CC480" s="268"/>
      <c r="CD480" s="268"/>
      <c r="CE480" s="268"/>
      <c r="CF480" s="268"/>
      <c r="CG480" s="268"/>
      <c r="CH480" s="268"/>
      <c r="CI480" s="268"/>
      <c r="CJ480" s="268"/>
      <c r="CK480" s="268"/>
      <c r="CL480" s="268"/>
      <c r="CM480" s="268"/>
      <c r="CN480" s="268"/>
      <c r="CO480" s="268"/>
      <c r="CP480" s="268"/>
      <c r="CQ480" s="268"/>
      <c r="CR480" s="268"/>
      <c r="CS480" s="268"/>
      <c r="CT480" s="268"/>
      <c r="CU480" s="268"/>
      <c r="CV480" s="268"/>
      <c r="CW480" s="268"/>
      <c r="CX480" s="268"/>
      <c r="CY480" s="268"/>
      <c r="CZ480" s="268"/>
    </row>
    <row r="481" spans="1:104" hidden="1" outlineLevel="1">
      <c r="A481" s="268"/>
      <c r="B481" s="271" t="s">
        <v>614</v>
      </c>
      <c r="C481" s="268"/>
      <c r="D481" s="268"/>
      <c r="E481" s="268"/>
      <c r="F481" s="268"/>
      <c r="G481" s="268"/>
      <c r="H481" s="268"/>
      <c r="I481" s="268"/>
      <c r="J481" s="271"/>
      <c r="K481" s="268"/>
      <c r="L481" s="268"/>
      <c r="M481" s="268"/>
      <c r="N481" s="268"/>
      <c r="O481" s="271"/>
      <c r="P481" s="268"/>
      <c r="Q481" s="268"/>
      <c r="R481" s="268"/>
      <c r="S481" s="268"/>
      <c r="T481" s="271"/>
      <c r="U481" s="268"/>
      <c r="V481" s="268"/>
      <c r="W481" s="268"/>
      <c r="X481" s="268"/>
      <c r="Y481" s="271"/>
      <c r="Z481" s="268"/>
      <c r="AA481" s="268"/>
      <c r="AB481" s="268"/>
      <c r="AC481" s="268"/>
      <c r="AD481" s="302"/>
      <c r="AE481" s="268"/>
      <c r="AF481" s="268"/>
      <c r="AG481" s="268"/>
      <c r="AH481" s="268"/>
      <c r="AI481" s="302"/>
      <c r="AJ481" s="268"/>
      <c r="AK481" s="268"/>
      <c r="AL481" s="268"/>
      <c r="AM481" s="268"/>
      <c r="AN481" s="302"/>
      <c r="AO481" s="302"/>
      <c r="AP481" s="302"/>
      <c r="AQ481" s="302"/>
      <c r="AR481" s="302"/>
      <c r="AS481" s="271"/>
      <c r="AT481" s="271"/>
      <c r="AU481" s="271"/>
      <c r="AV481" s="271"/>
      <c r="AW481" s="271"/>
      <c r="AX481" s="271"/>
      <c r="AY481" s="302"/>
      <c r="AZ481" s="302"/>
      <c r="BA481" s="302"/>
      <c r="BB481" s="116"/>
      <c r="BC481" s="116"/>
      <c r="BD481" s="116"/>
      <c r="BE481" s="116"/>
      <c r="BF481" s="116"/>
      <c r="BG481" s="116"/>
      <c r="BH481" s="268"/>
      <c r="BI481" s="268"/>
      <c r="BJ481" s="268"/>
      <c r="BK481" s="268"/>
      <c r="BL481" s="268"/>
      <c r="BM481" s="268"/>
      <c r="BN481" s="268"/>
      <c r="BO481" s="268"/>
      <c r="BP481" s="268"/>
      <c r="BQ481" s="268"/>
      <c r="BR481" s="268"/>
      <c r="BS481" s="268"/>
      <c r="BT481" s="268"/>
      <c r="BU481" s="268"/>
      <c r="BV481" s="268"/>
      <c r="BW481" s="268"/>
      <c r="BX481" s="268"/>
      <c r="BY481" s="268"/>
      <c r="BZ481" s="268"/>
      <c r="CA481" s="268"/>
      <c r="CB481" s="268"/>
      <c r="CC481" s="268"/>
      <c r="CD481" s="268"/>
      <c r="CE481" s="268"/>
      <c r="CF481" s="268"/>
      <c r="CG481" s="268"/>
      <c r="CH481" s="268"/>
      <c r="CI481" s="268"/>
      <c r="CJ481" s="268"/>
      <c r="CK481" s="268"/>
      <c r="CL481" s="268"/>
      <c r="CM481" s="268"/>
      <c r="CN481" s="268"/>
      <c r="CO481" s="268"/>
      <c r="CP481" s="268"/>
      <c r="CQ481" s="268"/>
      <c r="CR481" s="268"/>
      <c r="CS481" s="268"/>
      <c r="CT481" s="268"/>
      <c r="CU481" s="268"/>
      <c r="CV481" s="268"/>
      <c r="CW481" s="268"/>
      <c r="CX481" s="268"/>
      <c r="CY481" s="268"/>
      <c r="CZ481" s="268"/>
    </row>
    <row r="482" spans="1:104" hidden="1" outlineLevel="1">
      <c r="A482" s="268"/>
      <c r="B482" s="1023" t="s">
        <v>309</v>
      </c>
      <c r="C482" s="268"/>
      <c r="D482" s="268"/>
      <c r="E482" s="268"/>
      <c r="F482" s="268"/>
      <c r="G482" s="268"/>
      <c r="H482" s="268"/>
      <c r="I482" s="268"/>
      <c r="J482" s="271"/>
      <c r="K482" s="268"/>
      <c r="L482" s="268"/>
      <c r="M482" s="268"/>
      <c r="N482" s="268"/>
      <c r="O482" s="271"/>
      <c r="P482" s="268"/>
      <c r="Q482" s="268"/>
      <c r="R482" s="268"/>
      <c r="S482" s="268"/>
      <c r="T482" s="271"/>
      <c r="U482" s="268"/>
      <c r="V482" s="268"/>
      <c r="W482" s="268"/>
      <c r="X482" s="268"/>
      <c r="Y482" s="271"/>
      <c r="Z482" s="268"/>
      <c r="AA482" s="268"/>
      <c r="AB482" s="268"/>
      <c r="AC482" s="268"/>
      <c r="AD482" s="302"/>
      <c r="AE482" s="268"/>
      <c r="AF482" s="268"/>
      <c r="AG482" s="268"/>
      <c r="AH482" s="268"/>
      <c r="AI482" s="302"/>
      <c r="AJ482" s="268"/>
      <c r="AK482" s="268"/>
      <c r="AL482" s="268"/>
      <c r="AM482" s="268"/>
      <c r="AN482" s="302"/>
      <c r="AO482" s="302"/>
      <c r="AP482" s="302"/>
      <c r="AQ482" s="302"/>
      <c r="AR482" s="302"/>
      <c r="AS482" s="1032">
        <v>27</v>
      </c>
      <c r="AT482" s="271"/>
      <c r="AU482" s="271"/>
      <c r="AV482" s="271"/>
      <c r="AW482" s="271"/>
      <c r="AX482" s="271"/>
      <c r="AY482" s="302"/>
      <c r="AZ482" s="302"/>
      <c r="BA482" s="302"/>
      <c r="BB482" s="116"/>
      <c r="BC482" s="116"/>
      <c r="BD482" s="116"/>
      <c r="BE482" s="116"/>
      <c r="BF482" s="116"/>
      <c r="BG482" s="116"/>
      <c r="BH482" s="268"/>
      <c r="BI482" s="268"/>
      <c r="BJ482" s="268"/>
      <c r="BK482" s="268"/>
      <c r="BL482" s="268"/>
      <c r="BM482" s="268"/>
      <c r="BN482" s="268"/>
      <c r="BO482" s="268"/>
      <c r="BP482" s="268"/>
      <c r="BQ482" s="268"/>
      <c r="BR482" s="268"/>
      <c r="BS482" s="268"/>
      <c r="BT482" s="268"/>
      <c r="BU482" s="268"/>
      <c r="BV482" s="268"/>
      <c r="BW482" s="268"/>
      <c r="BX482" s="268"/>
      <c r="BY482" s="268"/>
      <c r="BZ482" s="268"/>
      <c r="CA482" s="268"/>
      <c r="CB482" s="268"/>
      <c r="CC482" s="268"/>
      <c r="CD482" s="268"/>
      <c r="CE482" s="268"/>
      <c r="CF482" s="268"/>
      <c r="CG482" s="268"/>
      <c r="CH482" s="268"/>
      <c r="CI482" s="268"/>
      <c r="CJ482" s="268"/>
      <c r="CK482" s="268"/>
      <c r="CL482" s="268"/>
      <c r="CM482" s="268"/>
      <c r="CN482" s="268"/>
      <c r="CO482" s="268"/>
      <c r="CP482" s="268"/>
      <c r="CQ482" s="268"/>
      <c r="CR482" s="268"/>
      <c r="CS482" s="268"/>
      <c r="CT482" s="268"/>
      <c r="CU482" s="268"/>
      <c r="CV482" s="268"/>
      <c r="CW482" s="268"/>
      <c r="CX482" s="268"/>
      <c r="CY482" s="268"/>
      <c r="CZ482" s="268"/>
    </row>
    <row r="483" spans="1:104" hidden="1" outlineLevel="1">
      <c r="A483" s="268"/>
      <c r="B483" s="1023" t="s">
        <v>165</v>
      </c>
      <c r="C483" s="268"/>
      <c r="D483" s="268"/>
      <c r="E483" s="268"/>
      <c r="F483" s="268"/>
      <c r="G483" s="268"/>
      <c r="H483" s="268"/>
      <c r="I483" s="268"/>
      <c r="J483" s="271"/>
      <c r="K483" s="268"/>
      <c r="L483" s="268"/>
      <c r="M483" s="268"/>
      <c r="N483" s="268"/>
      <c r="O483" s="271"/>
      <c r="P483" s="268"/>
      <c r="Q483" s="268"/>
      <c r="R483" s="268"/>
      <c r="S483" s="268"/>
      <c r="T483" s="271"/>
      <c r="U483" s="268"/>
      <c r="V483" s="268"/>
      <c r="W483" s="268"/>
      <c r="X483" s="268"/>
      <c r="Y483" s="271"/>
      <c r="Z483" s="268"/>
      <c r="AA483" s="268"/>
      <c r="AB483" s="268"/>
      <c r="AC483" s="268"/>
      <c r="AD483" s="302"/>
      <c r="AE483" s="268"/>
      <c r="AF483" s="268"/>
      <c r="AG483" s="268"/>
      <c r="AH483" s="268"/>
      <c r="AI483" s="302"/>
      <c r="AJ483" s="268"/>
      <c r="AK483" s="268"/>
      <c r="AL483" s="268"/>
      <c r="AM483" s="268"/>
      <c r="AN483" s="302"/>
      <c r="AO483" s="302"/>
      <c r="AP483" s="302"/>
      <c r="AQ483" s="302"/>
      <c r="AR483" s="302"/>
      <c r="AS483" s="1032">
        <v>21</v>
      </c>
      <c r="AT483" s="271"/>
      <c r="AU483" s="271"/>
      <c r="AV483" s="271"/>
      <c r="AW483" s="271"/>
      <c r="AX483" s="271"/>
      <c r="AY483" s="302"/>
      <c r="AZ483" s="302"/>
      <c r="BA483" s="302"/>
      <c r="BB483" s="116"/>
      <c r="BC483" s="116"/>
      <c r="BD483" s="116"/>
      <c r="BE483" s="116"/>
      <c r="BF483" s="116"/>
      <c r="BG483" s="116"/>
      <c r="BH483" s="268"/>
      <c r="BI483" s="268"/>
      <c r="BJ483" s="268"/>
      <c r="BK483" s="268"/>
      <c r="BL483" s="268"/>
      <c r="BM483" s="268"/>
      <c r="BN483" s="268"/>
      <c r="BO483" s="268"/>
      <c r="BP483" s="268"/>
      <c r="BQ483" s="268"/>
      <c r="BR483" s="268"/>
      <c r="BS483" s="268"/>
      <c r="BT483" s="268"/>
      <c r="BU483" s="268"/>
      <c r="BV483" s="268"/>
      <c r="BW483" s="268"/>
      <c r="BX483" s="268"/>
      <c r="BY483" s="268"/>
      <c r="BZ483" s="268"/>
      <c r="CA483" s="268"/>
      <c r="CB483" s="268"/>
      <c r="CC483" s="268"/>
      <c r="CD483" s="268"/>
      <c r="CE483" s="268"/>
      <c r="CF483" s="268"/>
      <c r="CG483" s="268"/>
      <c r="CH483" s="268"/>
      <c r="CI483" s="268"/>
      <c r="CJ483" s="268"/>
      <c r="CK483" s="268"/>
      <c r="CL483" s="268"/>
      <c r="CM483" s="268"/>
      <c r="CN483" s="268"/>
      <c r="CO483" s="268"/>
      <c r="CP483" s="268"/>
      <c r="CQ483" s="268"/>
      <c r="CR483" s="268"/>
      <c r="CS483" s="268"/>
      <c r="CT483" s="268"/>
      <c r="CU483" s="268"/>
      <c r="CV483" s="268"/>
      <c r="CW483" s="268"/>
      <c r="CX483" s="268"/>
      <c r="CY483" s="268"/>
      <c r="CZ483" s="268"/>
    </row>
    <row r="484" spans="1:104" hidden="1" outlineLevel="1">
      <c r="A484" s="268"/>
      <c r="B484" s="1023" t="s">
        <v>167</v>
      </c>
      <c r="C484" s="268"/>
      <c r="D484" s="268"/>
      <c r="E484" s="268"/>
      <c r="F484" s="268"/>
      <c r="G484" s="268"/>
      <c r="H484" s="268"/>
      <c r="I484" s="268"/>
      <c r="J484" s="271"/>
      <c r="K484" s="268"/>
      <c r="L484" s="268"/>
      <c r="M484" s="268"/>
      <c r="N484" s="268"/>
      <c r="O484" s="271"/>
      <c r="P484" s="268"/>
      <c r="Q484" s="268"/>
      <c r="R484" s="268"/>
      <c r="S484" s="268"/>
      <c r="T484" s="271"/>
      <c r="U484" s="268"/>
      <c r="V484" s="268"/>
      <c r="W484" s="268"/>
      <c r="X484" s="268"/>
      <c r="Y484" s="271"/>
      <c r="Z484" s="268"/>
      <c r="AA484" s="268"/>
      <c r="AB484" s="268"/>
      <c r="AC484" s="268"/>
      <c r="AD484" s="302"/>
      <c r="AE484" s="268"/>
      <c r="AF484" s="268"/>
      <c r="AG484" s="268"/>
      <c r="AH484" s="268"/>
      <c r="AI484" s="302"/>
      <c r="AJ484" s="268"/>
      <c r="AK484" s="268"/>
      <c r="AL484" s="268"/>
      <c r="AM484" s="268"/>
      <c r="AN484" s="302"/>
      <c r="AO484" s="302"/>
      <c r="AP484" s="302"/>
      <c r="AQ484" s="302"/>
      <c r="AR484" s="302"/>
      <c r="AS484" s="1032">
        <v>19</v>
      </c>
      <c r="AT484" s="271"/>
      <c r="AU484" s="271"/>
      <c r="AV484" s="271"/>
      <c r="AW484" s="271"/>
      <c r="AX484" s="271"/>
      <c r="AY484" s="302"/>
      <c r="AZ484" s="302"/>
      <c r="BA484" s="302"/>
      <c r="BB484" s="116"/>
      <c r="BC484" s="116"/>
      <c r="BD484" s="116"/>
      <c r="BE484" s="116"/>
      <c r="BF484" s="116"/>
      <c r="BG484" s="116"/>
      <c r="BH484" s="268"/>
      <c r="BI484" s="268"/>
      <c r="BJ484" s="268"/>
      <c r="BK484" s="268"/>
      <c r="BL484" s="268"/>
      <c r="BM484" s="268"/>
      <c r="BN484" s="268"/>
      <c r="BO484" s="268"/>
      <c r="BP484" s="268"/>
      <c r="BQ484" s="268"/>
      <c r="BR484" s="268"/>
      <c r="BS484" s="268"/>
      <c r="BT484" s="268"/>
      <c r="BU484" s="268"/>
      <c r="BV484" s="268"/>
      <c r="BW484" s="268"/>
      <c r="BX484" s="268"/>
      <c r="BY484" s="268"/>
      <c r="BZ484" s="268"/>
      <c r="CA484" s="268"/>
      <c r="CB484" s="268"/>
      <c r="CC484" s="268"/>
      <c r="CD484" s="268"/>
      <c r="CE484" s="268"/>
      <c r="CF484" s="268"/>
      <c r="CG484" s="268"/>
      <c r="CH484" s="268"/>
      <c r="CI484" s="268"/>
      <c r="CJ484" s="268"/>
      <c r="CK484" s="268"/>
      <c r="CL484" s="268"/>
      <c r="CM484" s="268"/>
      <c r="CN484" s="268"/>
      <c r="CO484" s="268"/>
      <c r="CP484" s="268"/>
      <c r="CQ484" s="268"/>
      <c r="CR484" s="268"/>
      <c r="CS484" s="268"/>
      <c r="CT484" s="268"/>
      <c r="CU484" s="268"/>
      <c r="CV484" s="268"/>
      <c r="CW484" s="268"/>
      <c r="CX484" s="268"/>
      <c r="CY484" s="268"/>
      <c r="CZ484" s="268"/>
    </row>
    <row r="485" spans="1:104" hidden="1" outlineLevel="1">
      <c r="A485" s="268"/>
      <c r="B485" s="1023" t="s">
        <v>308</v>
      </c>
      <c r="C485" s="268"/>
      <c r="D485" s="268"/>
      <c r="E485" s="268"/>
      <c r="F485" s="268"/>
      <c r="G485" s="268"/>
      <c r="H485" s="268"/>
      <c r="I485" s="268"/>
      <c r="J485" s="271"/>
      <c r="K485" s="268"/>
      <c r="L485" s="268"/>
      <c r="M485" s="268"/>
      <c r="N485" s="268"/>
      <c r="O485" s="271"/>
      <c r="P485" s="268"/>
      <c r="Q485" s="268"/>
      <c r="R485" s="268"/>
      <c r="S485" s="268"/>
      <c r="T485" s="271"/>
      <c r="U485" s="268"/>
      <c r="V485" s="268"/>
      <c r="W485" s="268"/>
      <c r="X485" s="268"/>
      <c r="Y485" s="271"/>
      <c r="Z485" s="268"/>
      <c r="AA485" s="268"/>
      <c r="AB485" s="268"/>
      <c r="AC485" s="268"/>
      <c r="AD485" s="302"/>
      <c r="AE485" s="268"/>
      <c r="AF485" s="268"/>
      <c r="AG485" s="268"/>
      <c r="AH485" s="268"/>
      <c r="AI485" s="302"/>
      <c r="AJ485" s="268"/>
      <c r="AK485" s="268"/>
      <c r="AL485" s="268"/>
      <c r="AM485" s="268"/>
      <c r="AN485" s="302"/>
      <c r="AO485" s="302"/>
      <c r="AP485" s="302"/>
      <c r="AQ485" s="302"/>
      <c r="AR485" s="302"/>
      <c r="AS485" s="1032">
        <v>11</v>
      </c>
      <c r="AT485" s="271"/>
      <c r="AU485" s="271"/>
      <c r="AV485" s="271"/>
      <c r="AW485" s="271"/>
      <c r="AX485" s="271"/>
      <c r="AY485" s="302"/>
      <c r="AZ485" s="302"/>
      <c r="BA485" s="302"/>
      <c r="BB485" s="116"/>
      <c r="BC485" s="116"/>
      <c r="BD485" s="116"/>
      <c r="BE485" s="116"/>
      <c r="BF485" s="116"/>
      <c r="BG485" s="116"/>
      <c r="BH485" s="268"/>
      <c r="BI485" s="268"/>
      <c r="BJ485" s="268"/>
      <c r="BK485" s="268"/>
      <c r="BL485" s="268"/>
      <c r="BM485" s="268"/>
      <c r="BN485" s="268"/>
      <c r="BO485" s="268"/>
      <c r="BP485" s="268"/>
      <c r="BQ485" s="268"/>
      <c r="BR485" s="268"/>
      <c r="BS485" s="268"/>
      <c r="BT485" s="268"/>
      <c r="BU485" s="268"/>
      <c r="BV485" s="268"/>
      <c r="BW485" s="268"/>
      <c r="BX485" s="268"/>
      <c r="BY485" s="268"/>
      <c r="BZ485" s="268"/>
      <c r="CA485" s="268"/>
      <c r="CB485" s="268"/>
      <c r="CC485" s="268"/>
      <c r="CD485" s="268"/>
      <c r="CE485" s="268"/>
      <c r="CF485" s="268"/>
      <c r="CG485" s="268"/>
      <c r="CH485" s="268"/>
      <c r="CI485" s="268"/>
      <c r="CJ485" s="268"/>
      <c r="CK485" s="268"/>
      <c r="CL485" s="268"/>
      <c r="CM485" s="268"/>
      <c r="CN485" s="268"/>
      <c r="CO485" s="268"/>
      <c r="CP485" s="268"/>
      <c r="CQ485" s="268"/>
      <c r="CR485" s="268"/>
      <c r="CS485" s="268"/>
      <c r="CT485" s="268"/>
      <c r="CU485" s="268"/>
      <c r="CV485" s="268"/>
      <c r="CW485" s="268"/>
      <c r="CX485" s="268"/>
      <c r="CY485" s="268"/>
      <c r="CZ485" s="268"/>
    </row>
    <row r="486" spans="1:104" hidden="1" outlineLevel="1">
      <c r="A486" s="268"/>
      <c r="B486" s="1023" t="s">
        <v>306</v>
      </c>
      <c r="C486" s="268"/>
      <c r="D486" s="268"/>
      <c r="E486" s="268"/>
      <c r="F486" s="268"/>
      <c r="G486" s="268"/>
      <c r="H486" s="268"/>
      <c r="I486" s="268"/>
      <c r="J486" s="271"/>
      <c r="K486" s="268"/>
      <c r="L486" s="268"/>
      <c r="M486" s="268"/>
      <c r="N486" s="268"/>
      <c r="O486" s="271"/>
      <c r="P486" s="268"/>
      <c r="Q486" s="268"/>
      <c r="R486" s="268"/>
      <c r="S486" s="268"/>
      <c r="T486" s="271"/>
      <c r="U486" s="268"/>
      <c r="V486" s="268"/>
      <c r="W486" s="268"/>
      <c r="X486" s="268"/>
      <c r="Y486" s="271"/>
      <c r="Z486" s="268"/>
      <c r="AA486" s="268"/>
      <c r="AB486" s="268"/>
      <c r="AC486" s="268"/>
      <c r="AD486" s="302"/>
      <c r="AE486" s="268"/>
      <c r="AF486" s="268"/>
      <c r="AG486" s="268"/>
      <c r="AH486" s="268"/>
      <c r="AI486" s="302"/>
      <c r="AJ486" s="268"/>
      <c r="AK486" s="268"/>
      <c r="AL486" s="268"/>
      <c r="AM486" s="268"/>
      <c r="AN486" s="302"/>
      <c r="AO486" s="302"/>
      <c r="AP486" s="302"/>
      <c r="AQ486" s="302"/>
      <c r="AR486" s="302"/>
      <c r="AS486" s="1032">
        <v>11</v>
      </c>
      <c r="AT486" s="271"/>
      <c r="AU486" s="271"/>
      <c r="AV486" s="271"/>
      <c r="AW486" s="271"/>
      <c r="AX486" s="271"/>
      <c r="AY486" s="302"/>
      <c r="AZ486" s="302"/>
      <c r="BA486" s="302"/>
      <c r="BB486" s="116"/>
      <c r="BC486" s="116"/>
      <c r="BD486" s="116"/>
      <c r="BE486" s="116"/>
      <c r="BF486" s="116"/>
      <c r="BG486" s="116"/>
      <c r="BH486" s="268"/>
      <c r="BI486" s="268"/>
      <c r="BJ486" s="268"/>
      <c r="BK486" s="268"/>
      <c r="BL486" s="268"/>
      <c r="BM486" s="268"/>
      <c r="BN486" s="268"/>
      <c r="BO486" s="268"/>
      <c r="BP486" s="268"/>
      <c r="BQ486" s="268"/>
      <c r="BR486" s="268"/>
      <c r="BS486" s="268"/>
      <c r="BT486" s="268"/>
      <c r="BU486" s="268"/>
      <c r="BV486" s="268"/>
      <c r="BW486" s="268"/>
      <c r="BX486" s="268"/>
      <c r="BY486" s="268"/>
      <c r="BZ486" s="268"/>
      <c r="CA486" s="268"/>
      <c r="CB486" s="268"/>
      <c r="CC486" s="268"/>
      <c r="CD486" s="268"/>
      <c r="CE486" s="268"/>
      <c r="CF486" s="268"/>
      <c r="CG486" s="268"/>
      <c r="CH486" s="268"/>
      <c r="CI486" s="268"/>
      <c r="CJ486" s="268"/>
      <c r="CK486" s="268"/>
      <c r="CL486" s="268"/>
      <c r="CM486" s="268"/>
      <c r="CN486" s="268"/>
      <c r="CO486" s="268"/>
      <c r="CP486" s="268"/>
      <c r="CQ486" s="268"/>
      <c r="CR486" s="268"/>
      <c r="CS486" s="268"/>
      <c r="CT486" s="268"/>
      <c r="CU486" s="268"/>
      <c r="CV486" s="268"/>
      <c r="CW486" s="268"/>
      <c r="CX486" s="268"/>
      <c r="CY486" s="268"/>
      <c r="CZ486" s="268"/>
    </row>
    <row r="487" spans="1:104" hidden="1" outlineLevel="1">
      <c r="A487" s="268"/>
      <c r="B487" s="1023" t="s">
        <v>163</v>
      </c>
      <c r="C487" s="268"/>
      <c r="D487" s="268"/>
      <c r="E487" s="268"/>
      <c r="F487" s="268"/>
      <c r="G487" s="268"/>
      <c r="H487" s="268"/>
      <c r="I487" s="268"/>
      <c r="J487" s="271"/>
      <c r="K487" s="268"/>
      <c r="L487" s="268"/>
      <c r="M487" s="268"/>
      <c r="N487" s="268"/>
      <c r="O487" s="271"/>
      <c r="P487" s="268"/>
      <c r="Q487" s="268"/>
      <c r="R487" s="268"/>
      <c r="S487" s="268"/>
      <c r="T487" s="271"/>
      <c r="U487" s="268"/>
      <c r="V487" s="268"/>
      <c r="W487" s="268"/>
      <c r="X487" s="268"/>
      <c r="Y487" s="271"/>
      <c r="Z487" s="268"/>
      <c r="AA487" s="268"/>
      <c r="AB487" s="268"/>
      <c r="AC487" s="268"/>
      <c r="AD487" s="302"/>
      <c r="AE487" s="268"/>
      <c r="AF487" s="268"/>
      <c r="AG487" s="268"/>
      <c r="AH487" s="268"/>
      <c r="AI487" s="302"/>
      <c r="AJ487" s="268"/>
      <c r="AK487" s="268"/>
      <c r="AL487" s="268"/>
      <c r="AM487" s="268"/>
      <c r="AN487" s="302"/>
      <c r="AO487" s="302"/>
      <c r="AP487" s="302"/>
      <c r="AQ487" s="302"/>
      <c r="AR487" s="302"/>
      <c r="AS487" s="1032">
        <v>11</v>
      </c>
      <c r="AT487" s="271"/>
      <c r="AU487" s="271"/>
      <c r="AV487" s="271"/>
      <c r="AW487" s="271"/>
      <c r="AX487" s="271"/>
      <c r="AY487" s="302"/>
      <c r="AZ487" s="302"/>
      <c r="BA487" s="302"/>
      <c r="BB487" s="116"/>
      <c r="BC487" s="116"/>
      <c r="BD487" s="116"/>
      <c r="BE487" s="116"/>
      <c r="BF487" s="116"/>
      <c r="BG487" s="116"/>
      <c r="BH487" s="268"/>
      <c r="BI487" s="268"/>
      <c r="BJ487" s="268"/>
      <c r="BK487" s="268"/>
      <c r="BL487" s="268"/>
      <c r="BM487" s="268"/>
      <c r="BN487" s="268"/>
      <c r="BO487" s="268"/>
      <c r="BP487" s="268"/>
      <c r="BQ487" s="268"/>
      <c r="BR487" s="268"/>
      <c r="BS487" s="268"/>
      <c r="BT487" s="268"/>
      <c r="BU487" s="268"/>
      <c r="BV487" s="268"/>
      <c r="BW487" s="268"/>
      <c r="BX487" s="268"/>
      <c r="BY487" s="268"/>
      <c r="BZ487" s="268"/>
      <c r="CA487" s="268"/>
      <c r="CB487" s="268"/>
      <c r="CC487" s="268"/>
      <c r="CD487" s="268"/>
      <c r="CE487" s="268"/>
      <c r="CF487" s="268"/>
      <c r="CG487" s="268"/>
      <c r="CH487" s="268"/>
      <c r="CI487" s="268"/>
      <c r="CJ487" s="268"/>
      <c r="CK487" s="268"/>
      <c r="CL487" s="268"/>
      <c r="CM487" s="268"/>
      <c r="CN487" s="268"/>
      <c r="CO487" s="268"/>
      <c r="CP487" s="268"/>
      <c r="CQ487" s="268"/>
      <c r="CR487" s="268"/>
      <c r="CS487" s="268"/>
      <c r="CT487" s="268"/>
      <c r="CU487" s="268"/>
      <c r="CV487" s="268"/>
      <c r="CW487" s="268"/>
      <c r="CX487" s="268"/>
      <c r="CY487" s="268"/>
      <c r="CZ487" s="268"/>
    </row>
    <row r="488" spans="1:104" hidden="1" outlineLevel="1">
      <c r="A488" s="268"/>
      <c r="B488" s="268"/>
      <c r="C488" s="268"/>
      <c r="D488" s="268"/>
      <c r="E488" s="268"/>
      <c r="F488" s="268"/>
      <c r="G488" s="268"/>
      <c r="H488" s="268"/>
      <c r="I488" s="268"/>
      <c r="J488" s="271"/>
      <c r="K488" s="268"/>
      <c r="L488" s="268"/>
      <c r="M488" s="268"/>
      <c r="N488" s="268"/>
      <c r="O488" s="271"/>
      <c r="P488" s="268"/>
      <c r="Q488" s="268"/>
      <c r="R488" s="268"/>
      <c r="S488" s="268"/>
      <c r="T488" s="271"/>
      <c r="U488" s="268"/>
      <c r="V488" s="268"/>
      <c r="W488" s="268"/>
      <c r="X488" s="268"/>
      <c r="Y488" s="271"/>
      <c r="Z488" s="268"/>
      <c r="AA488" s="268"/>
      <c r="AB488" s="268"/>
      <c r="AC488" s="268"/>
      <c r="AD488" s="302"/>
      <c r="AE488" s="268"/>
      <c r="AF488" s="268"/>
      <c r="AG488" s="268"/>
      <c r="AH488" s="268"/>
      <c r="AI488" s="302"/>
      <c r="AJ488" s="268"/>
      <c r="AK488" s="268"/>
      <c r="AL488" s="268"/>
      <c r="AM488" s="268"/>
      <c r="AN488" s="302"/>
      <c r="AO488" s="302"/>
      <c r="AP488" s="302"/>
      <c r="AQ488" s="302"/>
      <c r="AR488" s="302"/>
      <c r="AS488" s="271"/>
      <c r="AT488" s="271"/>
      <c r="AU488" s="271"/>
      <c r="AV488" s="271"/>
      <c r="AW488" s="271"/>
      <c r="AX488" s="271"/>
      <c r="AY488" s="302"/>
      <c r="AZ488" s="302"/>
      <c r="BA488" s="302"/>
      <c r="BB488" s="116"/>
      <c r="BC488" s="116"/>
      <c r="BD488" s="116"/>
      <c r="BE488" s="116"/>
      <c r="BF488" s="116"/>
      <c r="BG488" s="116"/>
      <c r="BH488" s="268"/>
      <c r="BI488" s="268"/>
      <c r="BJ488" s="268"/>
      <c r="BK488" s="268"/>
      <c r="BL488" s="268"/>
      <c r="BM488" s="268"/>
      <c r="BN488" s="268"/>
      <c r="BO488" s="268"/>
      <c r="BP488" s="268"/>
      <c r="BQ488" s="268"/>
      <c r="BR488" s="268"/>
      <c r="BS488" s="268"/>
      <c r="BT488" s="268"/>
      <c r="BU488" s="268"/>
      <c r="BV488" s="268"/>
      <c r="BW488" s="268"/>
      <c r="BX488" s="268"/>
      <c r="BY488" s="268"/>
      <c r="BZ488" s="268"/>
      <c r="CA488" s="268"/>
      <c r="CB488" s="268"/>
      <c r="CC488" s="268"/>
      <c r="CD488" s="268"/>
      <c r="CE488" s="268"/>
      <c r="CF488" s="268"/>
      <c r="CG488" s="268"/>
      <c r="CH488" s="268"/>
      <c r="CI488" s="268"/>
      <c r="CJ488" s="268"/>
      <c r="CK488" s="268"/>
      <c r="CL488" s="268"/>
      <c r="CM488" s="268"/>
      <c r="CN488" s="268"/>
      <c r="CO488" s="268"/>
      <c r="CP488" s="268"/>
      <c r="CQ488" s="268"/>
      <c r="CR488" s="268"/>
      <c r="CS488" s="268"/>
      <c r="CT488" s="268"/>
      <c r="CU488" s="268"/>
      <c r="CV488" s="268"/>
      <c r="CW488" s="268"/>
      <c r="CX488" s="268"/>
      <c r="CY488" s="268"/>
      <c r="CZ488" s="268"/>
    </row>
    <row r="489" spans="1:104" hidden="1" outlineLevel="1">
      <c r="A489" s="268"/>
      <c r="B489" s="271" t="s">
        <v>613</v>
      </c>
      <c r="C489" s="268"/>
      <c r="D489" s="268"/>
      <c r="E489" s="268"/>
      <c r="F489" s="268"/>
      <c r="G489" s="268"/>
      <c r="H489" s="268"/>
      <c r="I489" s="268"/>
      <c r="J489" s="271"/>
      <c r="K489" s="268"/>
      <c r="L489" s="268"/>
      <c r="M489" s="268"/>
      <c r="N489" s="268"/>
      <c r="O489" s="271"/>
      <c r="P489" s="268"/>
      <c r="Q489" s="268"/>
      <c r="R489" s="268"/>
      <c r="S489" s="268"/>
      <c r="T489" s="271"/>
      <c r="U489" s="268"/>
      <c r="V489" s="268"/>
      <c r="W489" s="268"/>
      <c r="X489" s="268"/>
      <c r="Y489" s="271"/>
      <c r="Z489" s="268"/>
      <c r="AA489" s="268"/>
      <c r="AB489" s="268"/>
      <c r="AC489" s="268"/>
      <c r="AD489" s="302"/>
      <c r="AE489" s="268"/>
      <c r="AF489" s="268"/>
      <c r="AG489" s="268"/>
      <c r="AH489" s="268"/>
      <c r="AI489" s="302"/>
      <c r="AJ489" s="268"/>
      <c r="AK489" s="268"/>
      <c r="AL489" s="268"/>
      <c r="AM489" s="268"/>
      <c r="AN489" s="302"/>
      <c r="AO489" s="302"/>
      <c r="AP489" s="302"/>
      <c r="AQ489" s="302"/>
      <c r="AR489" s="302"/>
      <c r="AS489" s="271"/>
      <c r="AT489" s="271"/>
      <c r="AU489" s="271"/>
      <c r="AV489" s="271"/>
      <c r="AW489" s="271"/>
      <c r="AX489" s="271"/>
      <c r="AY489" s="302"/>
      <c r="AZ489" s="302"/>
      <c r="BA489" s="302"/>
      <c r="BB489" s="116"/>
      <c r="BC489" s="116"/>
      <c r="BD489" s="116"/>
      <c r="BE489" s="116"/>
      <c r="BF489" s="116"/>
      <c r="BG489" s="116"/>
      <c r="BH489" s="268"/>
      <c r="BI489" s="268"/>
      <c r="BJ489" s="268"/>
      <c r="BK489" s="268"/>
      <c r="BL489" s="268"/>
      <c r="BM489" s="268"/>
      <c r="BN489" s="268"/>
      <c r="BO489" s="268"/>
      <c r="BP489" s="268"/>
      <c r="BQ489" s="268"/>
      <c r="BR489" s="268"/>
      <c r="BS489" s="268"/>
      <c r="BT489" s="268"/>
      <c r="BU489" s="268"/>
      <c r="BV489" s="268"/>
      <c r="BW489" s="268"/>
      <c r="BX489" s="268"/>
      <c r="BY489" s="268"/>
      <c r="BZ489" s="268"/>
      <c r="CA489" s="268"/>
      <c r="CB489" s="268"/>
      <c r="CC489" s="268"/>
      <c r="CD489" s="268"/>
      <c r="CE489" s="268"/>
      <c r="CF489" s="268"/>
      <c r="CG489" s="268"/>
      <c r="CH489" s="268"/>
      <c r="CI489" s="268"/>
      <c r="CJ489" s="268"/>
      <c r="CK489" s="268"/>
      <c r="CL489" s="268"/>
      <c r="CM489" s="268"/>
      <c r="CN489" s="268"/>
      <c r="CO489" s="268"/>
      <c r="CP489" s="268"/>
      <c r="CQ489" s="268"/>
      <c r="CR489" s="268"/>
      <c r="CS489" s="268"/>
      <c r="CT489" s="268"/>
      <c r="CU489" s="268"/>
      <c r="CV489" s="268"/>
      <c r="CW489" s="268"/>
      <c r="CX489" s="268"/>
      <c r="CY489" s="268"/>
      <c r="CZ489" s="268"/>
    </row>
    <row r="490" spans="1:104" hidden="1" outlineLevel="1">
      <c r="A490" s="268"/>
      <c r="B490" s="1023" t="s">
        <v>565</v>
      </c>
      <c r="C490" s="268"/>
      <c r="D490" s="268"/>
      <c r="E490" s="268"/>
      <c r="F490" s="268"/>
      <c r="G490" s="268"/>
      <c r="H490" s="268"/>
      <c r="I490" s="268"/>
      <c r="J490" s="271"/>
      <c r="K490" s="268"/>
      <c r="L490" s="268"/>
      <c r="M490" s="268"/>
      <c r="N490" s="268"/>
      <c r="O490" s="271"/>
      <c r="P490" s="268"/>
      <c r="Q490" s="268"/>
      <c r="R490" s="268"/>
      <c r="S490" s="268"/>
      <c r="T490" s="271"/>
      <c r="U490" s="268"/>
      <c r="V490" s="268"/>
      <c r="W490" s="268"/>
      <c r="X490" s="268"/>
      <c r="Y490" s="271"/>
      <c r="Z490" s="268"/>
      <c r="AA490" s="268"/>
      <c r="AB490" s="268"/>
      <c r="AC490" s="268"/>
      <c r="AD490" s="302"/>
      <c r="AE490" s="268"/>
      <c r="AF490" s="268"/>
      <c r="AG490" s="268"/>
      <c r="AH490" s="268"/>
      <c r="AI490" s="302"/>
      <c r="AJ490" s="268"/>
      <c r="AK490" s="268"/>
      <c r="AL490" s="268"/>
      <c r="AM490" s="268"/>
      <c r="AN490" s="302"/>
      <c r="AO490" s="302"/>
      <c r="AP490" s="302"/>
      <c r="AQ490" s="302"/>
      <c r="AR490" s="302"/>
      <c r="AS490" s="1022">
        <v>0.35</v>
      </c>
      <c r="AT490" s="271"/>
      <c r="AU490" s="271"/>
      <c r="AV490" s="271"/>
      <c r="AW490" s="271"/>
      <c r="AX490" s="271"/>
      <c r="AY490" s="302"/>
      <c r="AZ490" s="302"/>
      <c r="BA490" s="302"/>
      <c r="BB490" s="116"/>
      <c r="BC490" s="116"/>
      <c r="BD490" s="116"/>
      <c r="BE490" s="116"/>
      <c r="BF490" s="116"/>
      <c r="BG490" s="116"/>
      <c r="BH490" s="268"/>
      <c r="BI490" s="268"/>
      <c r="BJ490" s="268"/>
      <c r="BK490" s="268"/>
      <c r="BL490" s="268"/>
      <c r="BM490" s="268"/>
      <c r="BN490" s="268"/>
      <c r="BO490" s="268"/>
      <c r="BP490" s="268"/>
      <c r="BQ490" s="268"/>
      <c r="BR490" s="268"/>
      <c r="BS490" s="268"/>
      <c r="BT490" s="268"/>
      <c r="BU490" s="268"/>
      <c r="BV490" s="268"/>
      <c r="BW490" s="268"/>
      <c r="BX490" s="268"/>
      <c r="BY490" s="268"/>
      <c r="BZ490" s="268"/>
      <c r="CA490" s="268"/>
      <c r="CB490" s="268"/>
      <c r="CC490" s="268"/>
      <c r="CD490" s="268"/>
      <c r="CE490" s="268"/>
      <c r="CF490" s="268"/>
      <c r="CG490" s="268"/>
      <c r="CH490" s="268"/>
      <c r="CI490" s="268"/>
      <c r="CJ490" s="268"/>
      <c r="CK490" s="268"/>
      <c r="CL490" s="268"/>
      <c r="CM490" s="268"/>
      <c r="CN490" s="268"/>
      <c r="CO490" s="268"/>
      <c r="CP490" s="268"/>
      <c r="CQ490" s="268"/>
      <c r="CR490" s="268"/>
      <c r="CS490" s="268"/>
      <c r="CT490" s="268"/>
      <c r="CU490" s="268"/>
      <c r="CV490" s="268"/>
      <c r="CW490" s="268"/>
      <c r="CX490" s="268"/>
      <c r="CY490" s="268"/>
      <c r="CZ490" s="268"/>
    </row>
    <row r="491" spans="1:104" hidden="1" outlineLevel="1">
      <c r="A491" s="268"/>
      <c r="B491" s="1023" t="s">
        <v>9</v>
      </c>
      <c r="C491" s="268"/>
      <c r="D491" s="268"/>
      <c r="E491" s="268"/>
      <c r="F491" s="268"/>
      <c r="G491" s="268"/>
      <c r="H491" s="268"/>
      <c r="I491" s="268"/>
      <c r="J491" s="271"/>
      <c r="K491" s="268"/>
      <c r="L491" s="268"/>
      <c r="M491" s="268"/>
      <c r="N491" s="268"/>
      <c r="O491" s="271"/>
      <c r="P491" s="268"/>
      <c r="Q491" s="268"/>
      <c r="R491" s="268"/>
      <c r="S491" s="268"/>
      <c r="T491" s="271"/>
      <c r="U491" s="268"/>
      <c r="V491" s="268"/>
      <c r="W491" s="268"/>
      <c r="X491" s="268"/>
      <c r="Y491" s="271"/>
      <c r="Z491" s="268"/>
      <c r="AA491" s="268"/>
      <c r="AB491" s="268"/>
      <c r="AC491" s="268"/>
      <c r="AD491" s="302"/>
      <c r="AE491" s="268"/>
      <c r="AF491" s="268"/>
      <c r="AG491" s="268"/>
      <c r="AH491" s="268"/>
      <c r="AI491" s="302"/>
      <c r="AJ491" s="268"/>
      <c r="AK491" s="268"/>
      <c r="AL491" s="268"/>
      <c r="AM491" s="268"/>
      <c r="AN491" s="302"/>
      <c r="AO491" s="302"/>
      <c r="AP491" s="302"/>
      <c r="AQ491" s="302"/>
      <c r="AR491" s="302"/>
      <c r="AS491" s="1022">
        <v>0.3</v>
      </c>
      <c r="AT491" s="271"/>
      <c r="AU491" s="271"/>
      <c r="AV491" s="271"/>
      <c r="AW491" s="271"/>
      <c r="AX491" s="271"/>
      <c r="AY491" s="302"/>
      <c r="AZ491" s="302"/>
      <c r="BA491" s="302"/>
      <c r="BB491" s="116"/>
      <c r="BC491" s="116"/>
      <c r="BD491" s="116"/>
      <c r="BE491" s="116"/>
      <c r="BF491" s="116"/>
      <c r="BG491" s="116"/>
      <c r="BH491" s="268"/>
      <c r="BI491" s="268"/>
      <c r="BJ491" s="268"/>
      <c r="BK491" s="268"/>
      <c r="BL491" s="268"/>
      <c r="BM491" s="268"/>
      <c r="BN491" s="268"/>
      <c r="BO491" s="268"/>
      <c r="BP491" s="268"/>
      <c r="BQ491" s="268"/>
      <c r="BR491" s="268"/>
      <c r="BS491" s="268"/>
      <c r="BT491" s="268"/>
      <c r="BU491" s="268"/>
      <c r="BV491" s="268"/>
      <c r="BW491" s="268"/>
      <c r="BX491" s="268"/>
      <c r="BY491" s="268"/>
      <c r="BZ491" s="268"/>
      <c r="CA491" s="268"/>
      <c r="CB491" s="268"/>
      <c r="CC491" s="268"/>
      <c r="CD491" s="268"/>
      <c r="CE491" s="268"/>
      <c r="CF491" s="268"/>
      <c r="CG491" s="268"/>
      <c r="CH491" s="268"/>
      <c r="CI491" s="268"/>
      <c r="CJ491" s="268"/>
      <c r="CK491" s="268"/>
      <c r="CL491" s="268"/>
      <c r="CM491" s="268"/>
      <c r="CN491" s="268"/>
      <c r="CO491" s="268"/>
      <c r="CP491" s="268"/>
      <c r="CQ491" s="268"/>
      <c r="CR491" s="268"/>
      <c r="CS491" s="268"/>
      <c r="CT491" s="268"/>
      <c r="CU491" s="268"/>
      <c r="CV491" s="268"/>
      <c r="CW491" s="268"/>
      <c r="CX491" s="268"/>
      <c r="CY491" s="268"/>
      <c r="CZ491" s="268"/>
    </row>
    <row r="492" spans="1:104" hidden="1" outlineLevel="1">
      <c r="A492" s="268"/>
      <c r="B492" s="1023" t="s">
        <v>612</v>
      </c>
      <c r="C492" s="268"/>
      <c r="D492" s="268"/>
      <c r="E492" s="268"/>
      <c r="F492" s="268"/>
      <c r="G492" s="268"/>
      <c r="H492" s="268"/>
      <c r="I492" s="268"/>
      <c r="J492" s="271"/>
      <c r="K492" s="268"/>
      <c r="L492" s="268"/>
      <c r="M492" s="268"/>
      <c r="N492" s="268"/>
      <c r="O492" s="271"/>
      <c r="P492" s="268"/>
      <c r="Q492" s="268"/>
      <c r="R492" s="268"/>
      <c r="S492" s="268"/>
      <c r="T492" s="271"/>
      <c r="U492" s="268"/>
      <c r="V492" s="268"/>
      <c r="W492" s="268"/>
      <c r="X492" s="268"/>
      <c r="Y492" s="271"/>
      <c r="Z492" s="268"/>
      <c r="AA492" s="268"/>
      <c r="AB492" s="268"/>
      <c r="AC492" s="268"/>
      <c r="AD492" s="302"/>
      <c r="AE492" s="268"/>
      <c r="AF492" s="268"/>
      <c r="AG492" s="268"/>
      <c r="AH492" s="268"/>
      <c r="AI492" s="302"/>
      <c r="AJ492" s="268"/>
      <c r="AK492" s="268"/>
      <c r="AL492" s="268"/>
      <c r="AM492" s="268"/>
      <c r="AN492" s="302"/>
      <c r="AO492" s="302"/>
      <c r="AP492" s="302"/>
      <c r="AQ492" s="302"/>
      <c r="AR492" s="302"/>
      <c r="AS492" s="1022">
        <v>0.2</v>
      </c>
      <c r="AT492" s="271"/>
      <c r="AU492" s="271"/>
      <c r="AV492" s="271"/>
      <c r="AW492" s="271"/>
      <c r="AX492" s="271"/>
      <c r="AY492" s="302"/>
      <c r="AZ492" s="302"/>
      <c r="BA492" s="302"/>
      <c r="BB492" s="116"/>
      <c r="BC492" s="116"/>
      <c r="BD492" s="116"/>
      <c r="BE492" s="116"/>
      <c r="BF492" s="116"/>
      <c r="BG492" s="116"/>
      <c r="BH492" s="268"/>
      <c r="BI492" s="268"/>
      <c r="BJ492" s="268"/>
      <c r="BK492" s="268"/>
      <c r="BL492" s="268"/>
      <c r="BM492" s="268"/>
      <c r="BN492" s="268"/>
      <c r="BO492" s="268"/>
      <c r="BP492" s="268"/>
      <c r="BQ492" s="268"/>
      <c r="BR492" s="268"/>
      <c r="BS492" s="268"/>
      <c r="BT492" s="268"/>
      <c r="BU492" s="268"/>
      <c r="BV492" s="268"/>
      <c r="BW492" s="268"/>
      <c r="BX492" s="268"/>
      <c r="BY492" s="268"/>
      <c r="BZ492" s="268"/>
      <c r="CA492" s="268"/>
      <c r="CB492" s="268"/>
      <c r="CC492" s="268"/>
      <c r="CD492" s="268"/>
      <c r="CE492" s="268"/>
      <c r="CF492" s="268"/>
      <c r="CG492" s="268"/>
      <c r="CH492" s="268"/>
      <c r="CI492" s="268"/>
      <c r="CJ492" s="268"/>
      <c r="CK492" s="268"/>
      <c r="CL492" s="268"/>
      <c r="CM492" s="268"/>
      <c r="CN492" s="268"/>
      <c r="CO492" s="268"/>
      <c r="CP492" s="268"/>
      <c r="CQ492" s="268"/>
      <c r="CR492" s="268"/>
      <c r="CS492" s="268"/>
      <c r="CT492" s="268"/>
      <c r="CU492" s="268"/>
      <c r="CV492" s="268"/>
      <c r="CW492" s="268"/>
      <c r="CX492" s="268"/>
      <c r="CY492" s="268"/>
      <c r="CZ492" s="268"/>
    </row>
    <row r="493" spans="1:104" hidden="1" outlineLevel="1">
      <c r="A493" s="268"/>
      <c r="B493" s="1023" t="s">
        <v>561</v>
      </c>
      <c r="C493" s="268"/>
      <c r="D493" s="268"/>
      <c r="E493" s="268"/>
      <c r="F493" s="268"/>
      <c r="G493" s="268"/>
      <c r="H493" s="268"/>
      <c r="I493" s="268"/>
      <c r="J493" s="271"/>
      <c r="K493" s="268"/>
      <c r="L493" s="268"/>
      <c r="M493" s="268"/>
      <c r="N493" s="268"/>
      <c r="O493" s="271"/>
      <c r="P493" s="268"/>
      <c r="Q493" s="268"/>
      <c r="R493" s="268"/>
      <c r="S493" s="268"/>
      <c r="T493" s="271"/>
      <c r="U493" s="268"/>
      <c r="V493" s="268"/>
      <c r="W493" s="268"/>
      <c r="X493" s="268"/>
      <c r="Y493" s="271"/>
      <c r="Z493" s="268"/>
      <c r="AA493" s="268"/>
      <c r="AB493" s="268"/>
      <c r="AC493" s="268"/>
      <c r="AD493" s="302"/>
      <c r="AE493" s="268"/>
      <c r="AF493" s="268"/>
      <c r="AG493" s="268"/>
      <c r="AH493" s="268"/>
      <c r="AI493" s="302"/>
      <c r="AJ493" s="268"/>
      <c r="AK493" s="268"/>
      <c r="AL493" s="268"/>
      <c r="AM493" s="268"/>
      <c r="AN493" s="302"/>
      <c r="AO493" s="302"/>
      <c r="AP493" s="302"/>
      <c r="AQ493" s="302"/>
      <c r="AR493" s="302"/>
      <c r="AS493" s="1022">
        <v>7.0000000000000007E-2</v>
      </c>
      <c r="AT493" s="271"/>
      <c r="AU493" s="271"/>
      <c r="AV493" s="271"/>
      <c r="AW493" s="271"/>
      <c r="AX493" s="271"/>
      <c r="AY493" s="302"/>
      <c r="AZ493" s="302"/>
      <c r="BA493" s="302"/>
      <c r="BB493" s="116"/>
      <c r="BC493" s="116"/>
      <c r="BD493" s="116"/>
      <c r="BE493" s="116"/>
      <c r="BF493" s="116"/>
      <c r="BG493" s="116"/>
      <c r="BH493" s="268"/>
      <c r="BI493" s="268"/>
      <c r="BJ493" s="268"/>
      <c r="BK493" s="268"/>
      <c r="BL493" s="268"/>
      <c r="BM493" s="268"/>
      <c r="BN493" s="268"/>
      <c r="BO493" s="268"/>
      <c r="BP493" s="268"/>
      <c r="BQ493" s="268"/>
      <c r="BR493" s="268"/>
      <c r="BS493" s="268"/>
      <c r="BT493" s="268"/>
      <c r="BU493" s="268"/>
      <c r="BV493" s="268"/>
      <c r="BW493" s="268"/>
      <c r="BX493" s="268"/>
      <c r="BY493" s="268"/>
      <c r="BZ493" s="268"/>
      <c r="CA493" s="268"/>
      <c r="CB493" s="268"/>
      <c r="CC493" s="268"/>
      <c r="CD493" s="268"/>
      <c r="CE493" s="268"/>
      <c r="CF493" s="268"/>
      <c r="CG493" s="268"/>
      <c r="CH493" s="268"/>
      <c r="CI493" s="268"/>
      <c r="CJ493" s="268"/>
      <c r="CK493" s="268"/>
      <c r="CL493" s="268"/>
      <c r="CM493" s="268"/>
      <c r="CN493" s="268"/>
      <c r="CO493" s="268"/>
      <c r="CP493" s="268"/>
      <c r="CQ493" s="268"/>
      <c r="CR493" s="268"/>
      <c r="CS493" s="268"/>
      <c r="CT493" s="268"/>
      <c r="CU493" s="268"/>
      <c r="CV493" s="268"/>
      <c r="CW493" s="268"/>
      <c r="CX493" s="268"/>
      <c r="CY493" s="268"/>
      <c r="CZ493" s="268"/>
    </row>
    <row r="494" spans="1:104" hidden="1" outlineLevel="1">
      <c r="A494" s="268"/>
      <c r="B494" s="1023" t="s">
        <v>611</v>
      </c>
      <c r="C494" s="268"/>
      <c r="D494" s="268"/>
      <c r="E494" s="268"/>
      <c r="F494" s="268"/>
      <c r="G494" s="268"/>
      <c r="H494" s="268"/>
      <c r="I494" s="268"/>
      <c r="J494" s="271"/>
      <c r="K494" s="268"/>
      <c r="L494" s="268"/>
      <c r="M494" s="268"/>
      <c r="N494" s="268"/>
      <c r="O494" s="271"/>
      <c r="P494" s="268"/>
      <c r="Q494" s="268"/>
      <c r="R494" s="268"/>
      <c r="S494" s="268"/>
      <c r="T494" s="271"/>
      <c r="U494" s="268"/>
      <c r="V494" s="268"/>
      <c r="W494" s="268"/>
      <c r="X494" s="268"/>
      <c r="Y494" s="271"/>
      <c r="Z494" s="268"/>
      <c r="AA494" s="268"/>
      <c r="AB494" s="268"/>
      <c r="AC494" s="268"/>
      <c r="AD494" s="302"/>
      <c r="AE494" s="268"/>
      <c r="AF494" s="268"/>
      <c r="AG494" s="268"/>
      <c r="AH494" s="268"/>
      <c r="AI494" s="302"/>
      <c r="AJ494" s="268"/>
      <c r="AK494" s="268"/>
      <c r="AL494" s="268"/>
      <c r="AM494" s="268"/>
      <c r="AN494" s="302"/>
      <c r="AO494" s="302"/>
      <c r="AP494" s="302"/>
      <c r="AQ494" s="302"/>
      <c r="AR494" s="302"/>
      <c r="AS494" s="1022">
        <v>0.05</v>
      </c>
      <c r="AT494" s="271"/>
      <c r="AU494" s="271"/>
      <c r="AV494" s="271"/>
      <c r="AW494" s="271"/>
      <c r="AX494" s="271"/>
      <c r="AY494" s="302"/>
      <c r="AZ494" s="302"/>
      <c r="BA494" s="302"/>
      <c r="BB494" s="116"/>
      <c r="BC494" s="116"/>
      <c r="BD494" s="116"/>
      <c r="BE494" s="116"/>
      <c r="BF494" s="116"/>
      <c r="BG494" s="116"/>
      <c r="BH494" s="268"/>
      <c r="BI494" s="268"/>
      <c r="BJ494" s="268"/>
      <c r="BK494" s="268"/>
      <c r="BL494" s="268"/>
      <c r="BM494" s="268"/>
      <c r="BN494" s="268"/>
      <c r="BO494" s="268"/>
      <c r="BP494" s="268"/>
      <c r="BQ494" s="268"/>
      <c r="BR494" s="268"/>
      <c r="BS494" s="268"/>
      <c r="BT494" s="268"/>
      <c r="BU494" s="268"/>
      <c r="BV494" s="268"/>
      <c r="BW494" s="268"/>
      <c r="BX494" s="268"/>
      <c r="BY494" s="268"/>
      <c r="BZ494" s="268"/>
      <c r="CA494" s="268"/>
      <c r="CB494" s="268"/>
      <c r="CC494" s="268"/>
      <c r="CD494" s="268"/>
      <c r="CE494" s="268"/>
      <c r="CF494" s="268"/>
      <c r="CG494" s="268"/>
      <c r="CH494" s="268"/>
      <c r="CI494" s="268"/>
      <c r="CJ494" s="268"/>
      <c r="CK494" s="268"/>
      <c r="CL494" s="268"/>
      <c r="CM494" s="268"/>
      <c r="CN494" s="268"/>
      <c r="CO494" s="268"/>
      <c r="CP494" s="268"/>
      <c r="CQ494" s="268"/>
      <c r="CR494" s="268"/>
      <c r="CS494" s="268"/>
      <c r="CT494" s="268"/>
      <c r="CU494" s="268"/>
      <c r="CV494" s="268"/>
      <c r="CW494" s="268"/>
      <c r="CX494" s="268"/>
      <c r="CY494" s="268"/>
      <c r="CZ494" s="268"/>
    </row>
    <row r="495" spans="1:104" hidden="1" outlineLevel="1">
      <c r="A495" s="268"/>
      <c r="B495" s="1023" t="s">
        <v>8</v>
      </c>
      <c r="C495" s="268"/>
      <c r="D495" s="268"/>
      <c r="E495" s="268"/>
      <c r="F495" s="268"/>
      <c r="G495" s="268"/>
      <c r="H495" s="268"/>
      <c r="I495" s="268"/>
      <c r="J495" s="271"/>
      <c r="K495" s="268"/>
      <c r="L495" s="268"/>
      <c r="M495" s="268"/>
      <c r="N495" s="268"/>
      <c r="O495" s="271"/>
      <c r="P495" s="268"/>
      <c r="Q495" s="268"/>
      <c r="R495" s="268"/>
      <c r="S495" s="268"/>
      <c r="T495" s="271"/>
      <c r="U495" s="268"/>
      <c r="V495" s="268"/>
      <c r="W495" s="268"/>
      <c r="X495" s="268"/>
      <c r="Y495" s="271"/>
      <c r="Z495" s="268"/>
      <c r="AA495" s="268"/>
      <c r="AB495" s="268"/>
      <c r="AC495" s="268"/>
      <c r="AD495" s="302"/>
      <c r="AE495" s="268"/>
      <c r="AF495" s="268"/>
      <c r="AG495" s="268"/>
      <c r="AH495" s="268"/>
      <c r="AI495" s="302"/>
      <c r="AJ495" s="268"/>
      <c r="AK495" s="268"/>
      <c r="AL495" s="268"/>
      <c r="AM495" s="268"/>
      <c r="AN495" s="302"/>
      <c r="AO495" s="302"/>
      <c r="AP495" s="302"/>
      <c r="AQ495" s="302"/>
      <c r="AR495" s="302"/>
      <c r="AS495" s="1022">
        <v>0.03</v>
      </c>
      <c r="AT495" s="271"/>
      <c r="AU495" s="271"/>
      <c r="AV495" s="271"/>
      <c r="AW495" s="271"/>
      <c r="AX495" s="271"/>
      <c r="AY495" s="302"/>
      <c r="AZ495" s="302"/>
      <c r="BA495" s="302"/>
      <c r="BB495" s="116"/>
      <c r="BC495" s="116"/>
      <c r="BD495" s="116"/>
      <c r="BE495" s="116"/>
      <c r="BF495" s="116"/>
      <c r="BG495" s="116"/>
      <c r="BH495" s="268"/>
      <c r="BI495" s="268"/>
      <c r="BJ495" s="268"/>
      <c r="BK495" s="268"/>
      <c r="BL495" s="268"/>
      <c r="BM495" s="268"/>
      <c r="BN495" s="268"/>
      <c r="BO495" s="268"/>
      <c r="BP495" s="268"/>
      <c r="BQ495" s="268"/>
      <c r="BR495" s="268"/>
      <c r="BS495" s="268"/>
      <c r="BT495" s="268"/>
      <c r="BU495" s="268"/>
      <c r="BV495" s="268"/>
      <c r="BW495" s="268"/>
      <c r="BX495" s="268"/>
      <c r="BY495" s="268"/>
      <c r="BZ495" s="268"/>
      <c r="CA495" s="268"/>
      <c r="CB495" s="268"/>
      <c r="CC495" s="268"/>
      <c r="CD495" s="268"/>
      <c r="CE495" s="268"/>
      <c r="CF495" s="268"/>
      <c r="CG495" s="268"/>
      <c r="CH495" s="268"/>
      <c r="CI495" s="268"/>
      <c r="CJ495" s="268"/>
      <c r="CK495" s="268"/>
      <c r="CL495" s="268"/>
      <c r="CM495" s="268"/>
      <c r="CN495" s="268"/>
      <c r="CO495" s="268"/>
      <c r="CP495" s="268"/>
      <c r="CQ495" s="268"/>
      <c r="CR495" s="268"/>
      <c r="CS495" s="268"/>
      <c r="CT495" s="268"/>
      <c r="CU495" s="268"/>
      <c r="CV495" s="268"/>
      <c r="CW495" s="268"/>
      <c r="CX495" s="268"/>
      <c r="CY495" s="268"/>
      <c r="CZ495" s="268"/>
    </row>
    <row r="496" spans="1:104" hidden="1" outlineLevel="1">
      <c r="A496" s="268"/>
      <c r="B496" s="268"/>
      <c r="C496" s="268"/>
      <c r="D496" s="268"/>
      <c r="E496" s="268"/>
      <c r="F496" s="268"/>
      <c r="G496" s="268"/>
      <c r="H496" s="268"/>
      <c r="I496" s="268"/>
      <c r="J496" s="271"/>
      <c r="K496" s="268"/>
      <c r="L496" s="268"/>
      <c r="M496" s="268"/>
      <c r="N496" s="268"/>
      <c r="O496" s="271"/>
      <c r="P496" s="268"/>
      <c r="Q496" s="268"/>
      <c r="R496" s="268"/>
      <c r="S496" s="268"/>
      <c r="T496" s="271"/>
      <c r="U496" s="268"/>
      <c r="V496" s="268"/>
      <c r="W496" s="268"/>
      <c r="X496" s="268"/>
      <c r="Y496" s="271"/>
      <c r="Z496" s="268"/>
      <c r="AA496" s="268"/>
      <c r="AB496" s="268"/>
      <c r="AC496" s="268"/>
      <c r="AD496" s="302"/>
      <c r="AE496" s="268"/>
      <c r="AF496" s="268"/>
      <c r="AG496" s="268"/>
      <c r="AH496" s="268"/>
      <c r="AI496" s="302"/>
      <c r="AJ496" s="268"/>
      <c r="AK496" s="268"/>
      <c r="AL496" s="268"/>
      <c r="AM496" s="268"/>
      <c r="AN496" s="302"/>
      <c r="AO496" s="302"/>
      <c r="AP496" s="302"/>
      <c r="AQ496" s="302"/>
      <c r="AR496" s="302"/>
      <c r="AS496" s="271"/>
      <c r="AT496" s="271"/>
      <c r="AU496" s="271"/>
      <c r="AV496" s="271"/>
      <c r="AW496" s="271"/>
      <c r="AX496" s="271"/>
      <c r="AY496" s="302"/>
      <c r="AZ496" s="302"/>
      <c r="BA496" s="302"/>
      <c r="BB496" s="116"/>
      <c r="BC496" s="116"/>
      <c r="BD496" s="116"/>
      <c r="BE496" s="116"/>
      <c r="BF496" s="116"/>
      <c r="BG496" s="116"/>
      <c r="BH496" s="268"/>
      <c r="BI496" s="268"/>
      <c r="BJ496" s="268"/>
      <c r="BK496" s="268"/>
      <c r="BL496" s="268"/>
      <c r="BM496" s="268"/>
      <c r="BN496" s="268"/>
      <c r="BO496" s="268"/>
      <c r="BP496" s="268"/>
      <c r="BQ496" s="268"/>
      <c r="BR496" s="268"/>
      <c r="BS496" s="268"/>
      <c r="BT496" s="268"/>
      <c r="BU496" s="268"/>
      <c r="BV496" s="268"/>
      <c r="BW496" s="268"/>
      <c r="BX496" s="268"/>
      <c r="BY496" s="268"/>
      <c r="BZ496" s="268"/>
      <c r="CA496" s="268"/>
      <c r="CB496" s="268"/>
      <c r="CC496" s="268"/>
      <c r="CD496" s="268"/>
      <c r="CE496" s="268"/>
      <c r="CF496" s="268"/>
      <c r="CG496" s="268"/>
      <c r="CH496" s="268"/>
      <c r="CI496" s="268"/>
      <c r="CJ496" s="268"/>
      <c r="CK496" s="268"/>
      <c r="CL496" s="268"/>
      <c r="CM496" s="268"/>
      <c r="CN496" s="268"/>
      <c r="CO496" s="268"/>
      <c r="CP496" s="268"/>
      <c r="CQ496" s="268"/>
      <c r="CR496" s="268"/>
      <c r="CS496" s="268"/>
      <c r="CT496" s="268"/>
      <c r="CU496" s="268"/>
      <c r="CV496" s="268"/>
      <c r="CW496" s="268"/>
      <c r="CX496" s="268"/>
      <c r="CY496" s="268"/>
      <c r="CZ496" s="268"/>
    </row>
    <row r="497" spans="1:104" hidden="1" outlineLevel="1">
      <c r="A497" s="268" t="s">
        <v>610</v>
      </c>
      <c r="B497" s="268"/>
      <c r="C497" s="268"/>
      <c r="D497" s="268"/>
      <c r="E497" s="268"/>
      <c r="F497" s="268"/>
      <c r="G497" s="268"/>
      <c r="H497" s="268"/>
      <c r="I497" s="268"/>
      <c r="J497" s="271"/>
      <c r="K497" s="268"/>
      <c r="L497" s="268"/>
      <c r="M497" s="268"/>
      <c r="N497" s="268"/>
      <c r="O497" s="271"/>
      <c r="P497" s="268"/>
      <c r="Q497" s="268"/>
      <c r="R497" s="268"/>
      <c r="S497" s="268"/>
      <c r="T497" s="271"/>
      <c r="U497" s="268"/>
      <c r="V497" s="268"/>
      <c r="W497" s="268"/>
      <c r="X497" s="268"/>
      <c r="Y497" s="271"/>
      <c r="Z497" s="268"/>
      <c r="AA497" s="268"/>
      <c r="AB497" s="268"/>
      <c r="AC497" s="268"/>
      <c r="AD497" s="302"/>
      <c r="AE497" s="268"/>
      <c r="AF497" s="268"/>
      <c r="AG497" s="268"/>
      <c r="AH497" s="268"/>
      <c r="AI497" s="302"/>
      <c r="AJ497" s="268"/>
      <c r="AK497" s="268"/>
      <c r="AL497" s="268"/>
      <c r="AM497" s="268"/>
      <c r="AN497" s="302"/>
      <c r="AO497" s="302"/>
      <c r="AP497" s="302"/>
      <c r="AQ497" s="302"/>
      <c r="AR497" s="302"/>
      <c r="AS497" s="271"/>
      <c r="AT497" s="271"/>
      <c r="AU497" s="271"/>
      <c r="AV497" s="271"/>
      <c r="AW497" s="271"/>
      <c r="AX497" s="271"/>
      <c r="AY497" s="302"/>
      <c r="AZ497" s="302"/>
      <c r="BA497" s="302"/>
      <c r="BB497" s="116"/>
      <c r="BC497" s="116"/>
      <c r="BD497" s="116"/>
      <c r="BE497" s="116"/>
      <c r="BF497" s="116"/>
      <c r="BG497" s="116"/>
      <c r="BH497" s="268"/>
      <c r="BI497" s="268"/>
      <c r="BJ497" s="268"/>
      <c r="BK497" s="268"/>
      <c r="BL497" s="268"/>
      <c r="BM497" s="268"/>
      <c r="BN497" s="268"/>
      <c r="BO497" s="268"/>
      <c r="BP497" s="268"/>
      <c r="BQ497" s="268"/>
      <c r="BR497" s="268"/>
      <c r="BS497" s="268"/>
      <c r="BT497" s="268"/>
      <c r="BU497" s="268"/>
      <c r="BV497" s="268"/>
      <c r="BW497" s="268"/>
      <c r="BX497" s="268"/>
      <c r="BY497" s="268"/>
      <c r="BZ497" s="268"/>
      <c r="CA497" s="268"/>
      <c r="CB497" s="268"/>
      <c r="CC497" s="268"/>
      <c r="CD497" s="268"/>
      <c r="CE497" s="268"/>
      <c r="CF497" s="268"/>
      <c r="CG497" s="268"/>
      <c r="CH497" s="268"/>
      <c r="CI497" s="268"/>
      <c r="CJ497" s="268"/>
      <c r="CK497" s="268"/>
      <c r="CL497" s="268"/>
      <c r="CM497" s="268"/>
      <c r="CN497" s="268"/>
      <c r="CO497" s="268"/>
      <c r="CP497" s="268"/>
      <c r="CQ497" s="268"/>
      <c r="CR497" s="268"/>
      <c r="CS497" s="268"/>
      <c r="CT497" s="268"/>
      <c r="CU497" s="268"/>
      <c r="CV497" s="268"/>
      <c r="CW497" s="268"/>
      <c r="CX497" s="268"/>
      <c r="CY497" s="268"/>
      <c r="CZ497" s="268"/>
    </row>
    <row r="498" spans="1:104" hidden="1" outlineLevel="1">
      <c r="A498" s="268"/>
      <c r="B498" s="271" t="s">
        <v>609</v>
      </c>
      <c r="C498" s="268"/>
      <c r="D498" s="268"/>
      <c r="E498" s="268"/>
      <c r="F498" s="268"/>
      <c r="G498" s="268"/>
      <c r="H498" s="268"/>
      <c r="I498" s="268"/>
      <c r="J498" s="271"/>
      <c r="K498" s="268"/>
      <c r="L498" s="268"/>
      <c r="M498" s="268"/>
      <c r="N498" s="268"/>
      <c r="O498" s="271"/>
      <c r="P498" s="268"/>
      <c r="Q498" s="268"/>
      <c r="R498" s="268"/>
      <c r="S498" s="268"/>
      <c r="T498" s="271"/>
      <c r="U498" s="268"/>
      <c r="V498" s="268"/>
      <c r="W498" s="268"/>
      <c r="X498" s="268"/>
      <c r="Y498" s="271"/>
      <c r="Z498" s="268"/>
      <c r="AA498" s="268"/>
      <c r="AB498" s="268"/>
      <c r="AC498" s="268"/>
      <c r="AD498" s="302"/>
      <c r="AE498" s="268"/>
      <c r="AF498" s="268"/>
      <c r="AG498" s="268"/>
      <c r="AH498" s="268"/>
      <c r="AI498" s="302"/>
      <c r="AJ498" s="268"/>
      <c r="AK498" s="268"/>
      <c r="AL498" s="268"/>
      <c r="AM498" s="268"/>
      <c r="AN498" s="302"/>
      <c r="AO498" s="302"/>
      <c r="AP498" s="302"/>
      <c r="AQ498" s="302"/>
      <c r="AR498" s="302"/>
      <c r="AS498" s="996" t="s">
        <v>608</v>
      </c>
      <c r="AT498" s="996"/>
      <c r="AU498" s="996"/>
      <c r="AV498" s="996"/>
      <c r="AW498" s="996"/>
      <c r="AX498" s="996">
        <v>2008</v>
      </c>
      <c r="AY498" s="302"/>
      <c r="AZ498" s="302"/>
      <c r="BA498" s="302"/>
      <c r="BB498" s="116"/>
      <c r="BC498" s="116"/>
      <c r="BD498" s="116"/>
      <c r="BE498" s="116"/>
      <c r="BF498" s="116"/>
      <c r="BG498" s="116"/>
      <c r="BH498" s="268"/>
      <c r="BI498" s="268"/>
      <c r="BJ498" s="268"/>
      <c r="BK498" s="268"/>
      <c r="BL498" s="268"/>
      <c r="BM498" s="268"/>
      <c r="BN498" s="268"/>
      <c r="BO498" s="268"/>
      <c r="BP498" s="268"/>
      <c r="BQ498" s="268"/>
      <c r="BR498" s="268"/>
      <c r="BS498" s="268"/>
      <c r="BT498" s="268"/>
      <c r="BU498" s="268"/>
      <c r="BV498" s="268"/>
      <c r="BW498" s="268"/>
      <c r="BX498" s="268"/>
      <c r="BY498" s="268"/>
      <c r="BZ498" s="268"/>
      <c r="CA498" s="268"/>
      <c r="CB498" s="268"/>
      <c r="CC498" s="268"/>
      <c r="CD498" s="268"/>
      <c r="CE498" s="268"/>
      <c r="CF498" s="268"/>
      <c r="CG498" s="268"/>
      <c r="CH498" s="268"/>
      <c r="CI498" s="268"/>
      <c r="CJ498" s="268"/>
      <c r="CK498" s="268"/>
      <c r="CL498" s="268"/>
      <c r="CM498" s="268"/>
      <c r="CN498" s="268"/>
      <c r="CO498" s="268"/>
      <c r="CP498" s="268"/>
      <c r="CQ498" s="268"/>
      <c r="CR498" s="268"/>
      <c r="CS498" s="268"/>
      <c r="CT498" s="268"/>
      <c r="CU498" s="268"/>
      <c r="CV498" s="268"/>
      <c r="CW498" s="268"/>
      <c r="CX498" s="268"/>
      <c r="CY498" s="268"/>
      <c r="CZ498" s="268"/>
    </row>
    <row r="499" spans="1:104" hidden="1" outlineLevel="1">
      <c r="A499" s="268"/>
      <c r="B499" s="268" t="s">
        <v>607</v>
      </c>
      <c r="C499" s="268"/>
      <c r="D499" s="268"/>
      <c r="E499" s="268"/>
      <c r="F499" s="268"/>
      <c r="G499" s="268"/>
      <c r="H499" s="268"/>
      <c r="I499" s="268"/>
      <c r="J499" s="271"/>
      <c r="K499" s="268"/>
      <c r="L499" s="268"/>
      <c r="M499" s="268"/>
      <c r="N499" s="268"/>
      <c r="O499" s="271"/>
      <c r="P499" s="268"/>
      <c r="Q499" s="268"/>
      <c r="R499" s="268"/>
      <c r="S499" s="268"/>
      <c r="T499" s="271"/>
      <c r="U499" s="268"/>
      <c r="V499" s="268"/>
      <c r="W499" s="268"/>
      <c r="X499" s="268"/>
      <c r="Y499" s="271"/>
      <c r="Z499" s="268"/>
      <c r="AA499" s="268"/>
      <c r="AB499" s="268"/>
      <c r="AC499" s="268"/>
      <c r="AD499" s="302"/>
      <c r="AE499" s="268"/>
      <c r="AF499" s="268"/>
      <c r="AG499" s="268"/>
      <c r="AH499" s="268"/>
      <c r="AI499" s="302"/>
      <c r="AJ499" s="268"/>
      <c r="AK499" s="268"/>
      <c r="AL499" s="268"/>
      <c r="AM499" s="268"/>
      <c r="AN499" s="302"/>
      <c r="AO499" s="302"/>
      <c r="AP499" s="302"/>
      <c r="AQ499" s="302"/>
      <c r="AR499" s="302"/>
      <c r="AS499" s="1013">
        <v>215</v>
      </c>
      <c r="AT499" s="268"/>
      <c r="AU499" s="268"/>
      <c r="AV499" s="268"/>
      <c r="AW499" s="268"/>
      <c r="AX499" s="268">
        <v>196.8</v>
      </c>
      <c r="AY499" s="302"/>
      <c r="AZ499" s="302"/>
      <c r="BA499" s="302"/>
      <c r="BB499" s="116"/>
      <c r="BC499" s="116"/>
      <c r="BD499" s="116"/>
      <c r="BE499" s="116"/>
      <c r="BF499" s="116"/>
      <c r="BG499" s="116"/>
      <c r="BH499" s="268"/>
      <c r="BI499" s="268"/>
      <c r="BJ499" s="268"/>
      <c r="BK499" s="268"/>
      <c r="BL499" s="268"/>
      <c r="BM499" s="268"/>
      <c r="BN499" s="268"/>
      <c r="BO499" s="268"/>
      <c r="BP499" s="268"/>
      <c r="BQ499" s="268"/>
      <c r="BR499" s="268"/>
      <c r="BS499" s="268"/>
      <c r="BT499" s="268"/>
      <c r="BU499" s="268"/>
      <c r="BV499" s="268"/>
      <c r="BW499" s="268"/>
      <c r="BX499" s="268"/>
      <c r="BY499" s="268"/>
      <c r="BZ499" s="268"/>
      <c r="CA499" s="268"/>
      <c r="CB499" s="268"/>
      <c r="CC499" s="268"/>
      <c r="CD499" s="268"/>
      <c r="CE499" s="268"/>
      <c r="CF499" s="268"/>
      <c r="CG499" s="268"/>
      <c r="CH499" s="268"/>
      <c r="CI499" s="268"/>
      <c r="CJ499" s="268"/>
      <c r="CK499" s="268"/>
      <c r="CL499" s="268"/>
      <c r="CM499" s="268"/>
      <c r="CN499" s="268"/>
      <c r="CO499" s="268"/>
      <c r="CP499" s="268"/>
      <c r="CQ499" s="268"/>
      <c r="CR499" s="268"/>
      <c r="CS499" s="268"/>
      <c r="CT499" s="268"/>
      <c r="CU499" s="268"/>
      <c r="CV499" s="268"/>
      <c r="CW499" s="268"/>
      <c r="CX499" s="268"/>
      <c r="CY499" s="268"/>
      <c r="CZ499" s="268"/>
    </row>
    <row r="500" spans="1:104" hidden="1" outlineLevel="1">
      <c r="A500" s="268"/>
      <c r="B500" s="268" t="s">
        <v>606</v>
      </c>
      <c r="C500" s="268"/>
      <c r="D500" s="268"/>
      <c r="E500" s="268"/>
      <c r="F500" s="268"/>
      <c r="G500" s="268"/>
      <c r="H500" s="268"/>
      <c r="I500" s="268"/>
      <c r="J500" s="271"/>
      <c r="K500" s="268"/>
      <c r="L500" s="268"/>
      <c r="M500" s="268"/>
      <c r="N500" s="268"/>
      <c r="O500" s="271"/>
      <c r="P500" s="268"/>
      <c r="Q500" s="268"/>
      <c r="R500" s="268"/>
      <c r="S500" s="268"/>
      <c r="T500" s="271"/>
      <c r="U500" s="268"/>
      <c r="V500" s="268"/>
      <c r="W500" s="268"/>
      <c r="X500" s="268"/>
      <c r="Y500" s="271"/>
      <c r="Z500" s="268"/>
      <c r="AA500" s="268"/>
      <c r="AB500" s="268"/>
      <c r="AC500" s="268"/>
      <c r="AD500" s="302"/>
      <c r="AE500" s="268"/>
      <c r="AF500" s="268"/>
      <c r="AG500" s="268"/>
      <c r="AH500" s="268"/>
      <c r="AI500" s="302"/>
      <c r="AJ500" s="268"/>
      <c r="AK500" s="268"/>
      <c r="AL500" s="268"/>
      <c r="AM500" s="268"/>
      <c r="AN500" s="302"/>
      <c r="AO500" s="302"/>
      <c r="AP500" s="302"/>
      <c r="AQ500" s="302"/>
      <c r="AR500" s="302"/>
      <c r="AS500" s="449">
        <v>2126</v>
      </c>
      <c r="AT500" s="449"/>
      <c r="AU500" s="449"/>
      <c r="AV500" s="449"/>
      <c r="AW500" s="449"/>
      <c r="AX500" s="449">
        <v>1969</v>
      </c>
      <c r="AY500" s="302"/>
      <c r="AZ500" s="302"/>
      <c r="BA500" s="302"/>
      <c r="BB500" s="116"/>
      <c r="BC500" s="116"/>
      <c r="BD500" s="116"/>
      <c r="BE500" s="116"/>
      <c r="BF500" s="116"/>
      <c r="BG500" s="116"/>
      <c r="BH500" s="268"/>
      <c r="BI500" s="268"/>
      <c r="BJ500" s="268"/>
      <c r="BK500" s="268"/>
      <c r="BL500" s="268"/>
      <c r="BM500" s="268"/>
      <c r="BN500" s="268"/>
      <c r="BO500" s="268"/>
      <c r="BP500" s="268"/>
      <c r="BQ500" s="268"/>
      <c r="BR500" s="268"/>
      <c r="BS500" s="268"/>
      <c r="BT500" s="268"/>
      <c r="BU500" s="268"/>
      <c r="BV500" s="268"/>
      <c r="BW500" s="268"/>
      <c r="BX500" s="268"/>
      <c r="BY500" s="268"/>
      <c r="BZ500" s="268"/>
      <c r="CA500" s="268"/>
      <c r="CB500" s="268"/>
      <c r="CC500" s="268"/>
      <c r="CD500" s="268"/>
      <c r="CE500" s="268"/>
      <c r="CF500" s="268"/>
      <c r="CG500" s="268"/>
      <c r="CH500" s="268"/>
      <c r="CI500" s="268"/>
      <c r="CJ500" s="268"/>
      <c r="CK500" s="268"/>
      <c r="CL500" s="268"/>
      <c r="CM500" s="268"/>
      <c r="CN500" s="268"/>
      <c r="CO500" s="268"/>
      <c r="CP500" s="268"/>
      <c r="CQ500" s="268"/>
      <c r="CR500" s="268"/>
      <c r="CS500" s="268"/>
      <c r="CT500" s="268"/>
      <c r="CU500" s="268"/>
      <c r="CV500" s="268"/>
      <c r="CW500" s="268"/>
      <c r="CX500" s="268"/>
      <c r="CY500" s="268"/>
      <c r="CZ500" s="268"/>
    </row>
    <row r="501" spans="1:104" hidden="1" outlineLevel="1">
      <c r="A501" s="268"/>
      <c r="B501" s="268" t="s">
        <v>605</v>
      </c>
      <c r="C501" s="268"/>
      <c r="D501" s="268"/>
      <c r="E501" s="268"/>
      <c r="F501" s="268"/>
      <c r="G501" s="268"/>
      <c r="H501" s="268"/>
      <c r="I501" s="268"/>
      <c r="J501" s="271"/>
      <c r="K501" s="268"/>
      <c r="L501" s="268"/>
      <c r="M501" s="268"/>
      <c r="N501" s="268"/>
      <c r="O501" s="271"/>
      <c r="P501" s="268"/>
      <c r="Q501" s="268"/>
      <c r="R501" s="268"/>
      <c r="S501" s="268"/>
      <c r="T501" s="271"/>
      <c r="U501" s="268"/>
      <c r="V501" s="268"/>
      <c r="W501" s="268"/>
      <c r="X501" s="268"/>
      <c r="Y501" s="271"/>
      <c r="Z501" s="268"/>
      <c r="AA501" s="268"/>
      <c r="AB501" s="268"/>
      <c r="AC501" s="268"/>
      <c r="AD501" s="302"/>
      <c r="AE501" s="268"/>
      <c r="AF501" s="268"/>
      <c r="AG501" s="268"/>
      <c r="AH501" s="268"/>
      <c r="AI501" s="302"/>
      <c r="AJ501" s="268"/>
      <c r="AK501" s="268"/>
      <c r="AL501" s="268"/>
      <c r="AM501" s="268"/>
      <c r="AN501" s="302"/>
      <c r="AO501" s="302"/>
      <c r="AP501" s="302"/>
      <c r="AQ501" s="302"/>
      <c r="AR501" s="302"/>
      <c r="AS501" s="408">
        <v>3.7999999999999999E-2</v>
      </c>
      <c r="AT501" s="408"/>
      <c r="AU501" s="408"/>
      <c r="AV501" s="408"/>
      <c r="AW501" s="408"/>
      <c r="AX501" s="408">
        <v>3.2000000000000001E-2</v>
      </c>
      <c r="AY501" s="302"/>
      <c r="AZ501" s="302"/>
      <c r="BA501" s="302"/>
      <c r="BB501" s="116"/>
      <c r="BC501" s="116"/>
      <c r="BD501" s="116"/>
      <c r="BE501" s="116"/>
      <c r="BF501" s="116"/>
      <c r="BG501" s="116"/>
      <c r="BH501" s="268"/>
      <c r="BI501" s="268"/>
      <c r="BJ501" s="268"/>
      <c r="BK501" s="268"/>
      <c r="BL501" s="268"/>
      <c r="BM501" s="268"/>
      <c r="BN501" s="268"/>
      <c r="BO501" s="268"/>
      <c r="BP501" s="268"/>
      <c r="BQ501" s="268"/>
      <c r="BR501" s="268"/>
      <c r="BS501" s="268"/>
      <c r="BT501" s="268"/>
      <c r="BU501" s="268"/>
      <c r="BV501" s="268"/>
      <c r="BW501" s="268"/>
      <c r="BX501" s="268"/>
      <c r="BY501" s="268"/>
      <c r="BZ501" s="268"/>
      <c r="CA501" s="268"/>
      <c r="CB501" s="268"/>
      <c r="CC501" s="268"/>
      <c r="CD501" s="268"/>
      <c r="CE501" s="268"/>
      <c r="CF501" s="268"/>
      <c r="CG501" s="268"/>
      <c r="CH501" s="268"/>
      <c r="CI501" s="268"/>
      <c r="CJ501" s="268"/>
      <c r="CK501" s="268"/>
      <c r="CL501" s="268"/>
      <c r="CM501" s="268"/>
      <c r="CN501" s="268"/>
      <c r="CO501" s="268"/>
      <c r="CP501" s="268"/>
      <c r="CQ501" s="268"/>
      <c r="CR501" s="268"/>
      <c r="CS501" s="268"/>
      <c r="CT501" s="268"/>
      <c r="CU501" s="268"/>
      <c r="CV501" s="268"/>
      <c r="CW501" s="268"/>
      <c r="CX501" s="268"/>
      <c r="CY501" s="268"/>
      <c r="CZ501" s="268"/>
    </row>
    <row r="502" spans="1:104" hidden="1" outlineLevel="1">
      <c r="A502" s="268"/>
      <c r="B502" s="268" t="s">
        <v>604</v>
      </c>
      <c r="C502" s="268"/>
      <c r="D502" s="268"/>
      <c r="E502" s="268"/>
      <c r="F502" s="268"/>
      <c r="G502" s="268"/>
      <c r="H502" s="268"/>
      <c r="I502" s="268"/>
      <c r="J502" s="271"/>
      <c r="K502" s="268"/>
      <c r="L502" s="268"/>
      <c r="M502" s="268"/>
      <c r="N502" s="268"/>
      <c r="O502" s="271"/>
      <c r="P502" s="268"/>
      <c r="Q502" s="268"/>
      <c r="R502" s="268"/>
      <c r="S502" s="268"/>
      <c r="T502" s="271"/>
      <c r="U502" s="268"/>
      <c r="V502" s="268"/>
      <c r="W502" s="268"/>
      <c r="X502" s="268"/>
      <c r="Y502" s="271"/>
      <c r="Z502" s="268"/>
      <c r="AA502" s="268"/>
      <c r="AB502" s="268"/>
      <c r="AC502" s="268"/>
      <c r="AD502" s="302"/>
      <c r="AE502" s="268"/>
      <c r="AF502" s="268"/>
      <c r="AG502" s="268"/>
      <c r="AH502" s="268"/>
      <c r="AI502" s="302"/>
      <c r="AJ502" s="268"/>
      <c r="AK502" s="268"/>
      <c r="AL502" s="268"/>
      <c r="AM502" s="268"/>
      <c r="AN502" s="302"/>
      <c r="AO502" s="302"/>
      <c r="AP502" s="302"/>
      <c r="AQ502" s="302"/>
      <c r="AR502" s="302"/>
      <c r="AS502" s="408">
        <v>2.1999999999999999E-2</v>
      </c>
      <c r="AT502" s="408"/>
      <c r="AU502" s="408"/>
      <c r="AV502" s="408"/>
      <c r="AW502" s="408"/>
      <c r="AX502" s="408">
        <v>1.4E-2</v>
      </c>
      <c r="AY502" s="302"/>
      <c r="AZ502" s="302"/>
      <c r="BA502" s="302"/>
      <c r="BB502" s="116"/>
      <c r="BC502" s="116"/>
      <c r="BD502" s="116"/>
      <c r="BE502" s="116"/>
      <c r="BF502" s="116"/>
      <c r="BG502" s="116"/>
      <c r="BH502" s="268"/>
      <c r="BI502" s="268"/>
      <c r="BJ502" s="268"/>
      <c r="BK502" s="268"/>
      <c r="BL502" s="268"/>
      <c r="BM502" s="268"/>
      <c r="BN502" s="268"/>
      <c r="BO502" s="268"/>
      <c r="BP502" s="268"/>
      <c r="BQ502" s="268"/>
      <c r="BR502" s="268"/>
      <c r="BS502" s="268"/>
      <c r="BT502" s="268"/>
      <c r="BU502" s="268"/>
      <c r="BV502" s="268"/>
      <c r="BW502" s="268"/>
      <c r="BX502" s="268"/>
      <c r="BY502" s="268"/>
      <c r="BZ502" s="268"/>
      <c r="CA502" s="268"/>
      <c r="CB502" s="268"/>
      <c r="CC502" s="268"/>
      <c r="CD502" s="268"/>
      <c r="CE502" s="268"/>
      <c r="CF502" s="268"/>
      <c r="CG502" s="268"/>
      <c r="CH502" s="268"/>
      <c r="CI502" s="268"/>
      <c r="CJ502" s="268"/>
      <c r="CK502" s="268"/>
      <c r="CL502" s="268"/>
      <c r="CM502" s="268"/>
      <c r="CN502" s="268"/>
      <c r="CO502" s="268"/>
      <c r="CP502" s="268"/>
      <c r="CQ502" s="268"/>
      <c r="CR502" s="268"/>
      <c r="CS502" s="268"/>
      <c r="CT502" s="268"/>
      <c r="CU502" s="268"/>
      <c r="CV502" s="268"/>
      <c r="CW502" s="268"/>
      <c r="CX502" s="268"/>
      <c r="CY502" s="268"/>
      <c r="CZ502" s="268"/>
    </row>
    <row r="503" spans="1:104" hidden="1" outlineLevel="1">
      <c r="A503" s="268"/>
      <c r="B503" s="268"/>
      <c r="C503" s="268"/>
      <c r="D503" s="268"/>
      <c r="E503" s="268"/>
      <c r="F503" s="268"/>
      <c r="G503" s="268"/>
      <c r="H503" s="268"/>
      <c r="I503" s="268"/>
      <c r="J503" s="271"/>
      <c r="K503" s="268"/>
      <c r="L503" s="268"/>
      <c r="M503" s="268"/>
      <c r="N503" s="268"/>
      <c r="O503" s="271"/>
      <c r="P503" s="268"/>
      <c r="Q503" s="268"/>
      <c r="R503" s="268"/>
      <c r="S503" s="268"/>
      <c r="T503" s="271"/>
      <c r="U503" s="268"/>
      <c r="V503" s="268"/>
      <c r="W503" s="268"/>
      <c r="X503" s="268"/>
      <c r="Y503" s="271"/>
      <c r="Z503" s="268"/>
      <c r="AA503" s="268"/>
      <c r="AB503" s="268"/>
      <c r="AC503" s="268"/>
      <c r="AD503" s="302"/>
      <c r="AE503" s="268"/>
      <c r="AF503" s="268"/>
      <c r="AG503" s="268"/>
      <c r="AH503" s="268"/>
      <c r="AI503" s="302"/>
      <c r="AJ503" s="268"/>
      <c r="AK503" s="268"/>
      <c r="AL503" s="268"/>
      <c r="AM503" s="268"/>
      <c r="AN503" s="302"/>
      <c r="AO503" s="302"/>
      <c r="AP503" s="302"/>
      <c r="AQ503" s="302"/>
      <c r="AR503" s="302"/>
      <c r="AS503" s="271"/>
      <c r="AT503" s="271"/>
      <c r="AU503" s="271"/>
      <c r="AV503" s="271"/>
      <c r="AW503" s="271"/>
      <c r="AX503" s="271"/>
      <c r="AY503" s="302"/>
      <c r="AZ503" s="302"/>
      <c r="BA503" s="302"/>
      <c r="BB503" s="116"/>
      <c r="BC503" s="116"/>
      <c r="BD503" s="116"/>
      <c r="BE503" s="116"/>
      <c r="BF503" s="116"/>
      <c r="BG503" s="116"/>
      <c r="BH503" s="268"/>
      <c r="BI503" s="268"/>
      <c r="BJ503" s="268"/>
      <c r="BK503" s="268"/>
      <c r="BL503" s="268"/>
      <c r="BM503" s="268"/>
      <c r="BN503" s="268"/>
      <c r="BO503" s="268"/>
      <c r="BP503" s="268"/>
      <c r="BQ503" s="268"/>
      <c r="BR503" s="268"/>
      <c r="BS503" s="268"/>
      <c r="BT503" s="268"/>
      <c r="BU503" s="268"/>
      <c r="BV503" s="268"/>
      <c r="BW503" s="268"/>
      <c r="BX503" s="268"/>
      <c r="BY503" s="268"/>
      <c r="BZ503" s="268"/>
      <c r="CA503" s="268"/>
      <c r="CB503" s="268"/>
      <c r="CC503" s="268"/>
      <c r="CD503" s="268"/>
      <c r="CE503" s="268"/>
      <c r="CF503" s="268"/>
      <c r="CG503" s="268"/>
      <c r="CH503" s="268"/>
      <c r="CI503" s="268"/>
      <c r="CJ503" s="268"/>
      <c r="CK503" s="268"/>
      <c r="CL503" s="268"/>
      <c r="CM503" s="268"/>
      <c r="CN503" s="268"/>
      <c r="CO503" s="268"/>
      <c r="CP503" s="268"/>
      <c r="CQ503" s="268"/>
      <c r="CR503" s="268"/>
      <c r="CS503" s="268"/>
      <c r="CT503" s="268"/>
      <c r="CU503" s="268"/>
      <c r="CV503" s="268"/>
      <c r="CW503" s="268"/>
      <c r="CX503" s="268"/>
      <c r="CY503" s="268"/>
      <c r="CZ503" s="268"/>
    </row>
    <row r="504" spans="1:104" hidden="1" outlineLevel="1">
      <c r="A504" s="268"/>
      <c r="B504" s="271" t="s">
        <v>603</v>
      </c>
      <c r="C504" s="268"/>
      <c r="D504" s="268"/>
      <c r="E504" s="268"/>
      <c r="F504" s="268"/>
      <c r="G504" s="268"/>
      <c r="H504" s="268"/>
      <c r="I504" s="268"/>
      <c r="J504" s="271"/>
      <c r="K504" s="268"/>
      <c r="L504" s="268"/>
      <c r="M504" s="268"/>
      <c r="N504" s="268"/>
      <c r="O504" s="271"/>
      <c r="P504" s="268"/>
      <c r="Q504" s="268"/>
      <c r="R504" s="268"/>
      <c r="S504" s="268"/>
      <c r="T504" s="271"/>
      <c r="U504" s="268"/>
      <c r="V504" s="268"/>
      <c r="W504" s="268"/>
      <c r="X504" s="268"/>
      <c r="Y504" s="271"/>
      <c r="Z504" s="268"/>
      <c r="AA504" s="268"/>
      <c r="AB504" s="268"/>
      <c r="AC504" s="268"/>
      <c r="AD504" s="302"/>
      <c r="AE504" s="268"/>
      <c r="AF504" s="268"/>
      <c r="AG504" s="268"/>
      <c r="AH504" s="268"/>
      <c r="AI504" s="302"/>
      <c r="AJ504" s="268"/>
      <c r="AK504" s="268"/>
      <c r="AL504" s="268"/>
      <c r="AM504" s="268"/>
      <c r="AN504" s="302"/>
      <c r="AO504" s="302"/>
      <c r="AP504" s="302"/>
      <c r="AQ504" s="302"/>
      <c r="AR504" s="302"/>
      <c r="AS504" s="996" t="s">
        <v>155</v>
      </c>
      <c r="AT504" s="996"/>
      <c r="AU504" s="996"/>
      <c r="AV504" s="996"/>
      <c r="AW504" s="996"/>
      <c r="AX504" s="996" t="s">
        <v>9</v>
      </c>
      <c r="AY504" s="626"/>
      <c r="AZ504" s="626"/>
      <c r="BA504" s="626"/>
      <c r="BB504" s="626"/>
      <c r="BC504" s="626" t="s">
        <v>499</v>
      </c>
      <c r="BD504" s="626"/>
      <c r="BE504" s="626"/>
      <c r="BF504" s="626"/>
      <c r="BG504" s="626"/>
      <c r="BH504" s="996" t="s">
        <v>498</v>
      </c>
      <c r="BI504" s="996"/>
      <c r="BJ504" s="996"/>
      <c r="BK504" s="996"/>
      <c r="BL504" s="996"/>
      <c r="BM504" s="996" t="s">
        <v>542</v>
      </c>
      <c r="BN504" s="268"/>
      <c r="BO504" s="268"/>
      <c r="BP504" s="268"/>
      <c r="BQ504" s="268"/>
      <c r="BR504" s="268"/>
      <c r="BS504" s="268"/>
      <c r="BT504" s="268"/>
      <c r="BU504" s="268"/>
      <c r="BV504" s="268"/>
      <c r="BW504" s="268"/>
      <c r="BX504" s="268"/>
      <c r="BY504" s="268"/>
      <c r="BZ504" s="268"/>
      <c r="CA504" s="268"/>
      <c r="CB504" s="268"/>
      <c r="CC504" s="268"/>
      <c r="CD504" s="268"/>
      <c r="CE504" s="268"/>
      <c r="CF504" s="268"/>
      <c r="CG504" s="268"/>
      <c r="CH504" s="268"/>
      <c r="CI504" s="268"/>
      <c r="CJ504" s="268"/>
      <c r="CK504" s="268"/>
      <c r="CL504" s="268"/>
      <c r="CM504" s="268"/>
      <c r="CN504" s="268"/>
      <c r="CO504" s="268"/>
      <c r="CP504" s="268"/>
      <c r="CQ504" s="268"/>
      <c r="CR504" s="268"/>
      <c r="CS504" s="268"/>
      <c r="CT504" s="268"/>
      <c r="CU504" s="268"/>
      <c r="CV504" s="268"/>
      <c r="CW504" s="268"/>
      <c r="CX504" s="268"/>
      <c r="CY504" s="268"/>
      <c r="CZ504" s="268"/>
    </row>
    <row r="505" spans="1:104" hidden="1" outlineLevel="1">
      <c r="A505" s="268"/>
      <c r="B505" s="268" t="s">
        <v>602</v>
      </c>
      <c r="C505" s="268"/>
      <c r="D505" s="268"/>
      <c r="E505" s="268"/>
      <c r="F505" s="268"/>
      <c r="G505" s="268"/>
      <c r="H505" s="268"/>
      <c r="I505" s="268"/>
      <c r="J505" s="271"/>
      <c r="K505" s="268"/>
      <c r="L505" s="268"/>
      <c r="M505" s="268"/>
      <c r="N505" s="268"/>
      <c r="O505" s="271"/>
      <c r="P505" s="268"/>
      <c r="Q505" s="268"/>
      <c r="R505" s="268"/>
      <c r="S505" s="268"/>
      <c r="T505" s="271"/>
      <c r="U505" s="268"/>
      <c r="V505" s="268"/>
      <c r="W505" s="268"/>
      <c r="X505" s="268"/>
      <c r="Y505" s="271"/>
      <c r="Z505" s="268"/>
      <c r="AA505" s="268"/>
      <c r="AB505" s="268"/>
      <c r="AC505" s="268"/>
      <c r="AD505" s="302"/>
      <c r="AE505" s="268"/>
      <c r="AF505" s="268"/>
      <c r="AG505" s="268"/>
      <c r="AH505" s="268"/>
      <c r="AI505" s="302"/>
      <c r="AJ505" s="268"/>
      <c r="AK505" s="268"/>
      <c r="AL505" s="268"/>
      <c r="AM505" s="268"/>
      <c r="AN505" s="302"/>
      <c r="AO505" s="302"/>
      <c r="AP505" s="302"/>
      <c r="AQ505" s="302"/>
      <c r="AR505" s="302"/>
      <c r="AS505" s="1030">
        <v>48</v>
      </c>
      <c r="AT505" s="1030"/>
      <c r="AU505" s="1030"/>
      <c r="AV505" s="1030"/>
      <c r="AW505" s="1030"/>
      <c r="AX505" s="1030">
        <v>20</v>
      </c>
      <c r="AY505" s="1030"/>
      <c r="AZ505" s="1030"/>
      <c r="BA505" s="1030"/>
      <c r="BB505" s="1030"/>
      <c r="BC505" s="1030">
        <v>6</v>
      </c>
      <c r="BD505" s="1030"/>
      <c r="BE505" s="1030"/>
      <c r="BF505" s="1030"/>
      <c r="BG505" s="1030"/>
      <c r="BH505" s="1030">
        <v>40</v>
      </c>
      <c r="BI505" s="1030"/>
      <c r="BJ505" s="1030"/>
      <c r="BK505" s="1030"/>
      <c r="BL505" s="1030"/>
      <c r="BM505" s="1030">
        <v>1</v>
      </c>
      <c r="BN505" s="268"/>
      <c r="BO505" s="268"/>
      <c r="BP505" s="268"/>
      <c r="BQ505" s="268"/>
      <c r="BR505" s="268"/>
      <c r="BS505" s="268"/>
      <c r="BT505" s="268"/>
      <c r="BU505" s="268"/>
      <c r="BV505" s="268"/>
      <c r="BW505" s="268"/>
      <c r="BX505" s="268"/>
      <c r="BY505" s="268"/>
      <c r="BZ505" s="268"/>
      <c r="CA505" s="268"/>
      <c r="CB505" s="268"/>
      <c r="CC505" s="268"/>
      <c r="CD505" s="268"/>
      <c r="CE505" s="268"/>
      <c r="CF505" s="268"/>
      <c r="CG505" s="268"/>
      <c r="CH505" s="268"/>
      <c r="CI505" s="268"/>
      <c r="CJ505" s="268"/>
      <c r="CK505" s="268"/>
      <c r="CL505" s="268"/>
      <c r="CM505" s="268"/>
      <c r="CN505" s="268"/>
      <c r="CO505" s="268"/>
      <c r="CP505" s="268"/>
      <c r="CQ505" s="268"/>
      <c r="CR505" s="268"/>
      <c r="CS505" s="268"/>
      <c r="CT505" s="268"/>
      <c r="CU505" s="268"/>
      <c r="CV505" s="268"/>
      <c r="CW505" s="268"/>
      <c r="CX505" s="268"/>
      <c r="CY505" s="268"/>
      <c r="CZ505" s="268"/>
    </row>
    <row r="506" spans="1:104" hidden="1" outlineLevel="1">
      <c r="A506" s="268"/>
      <c r="B506" s="268" t="s">
        <v>560</v>
      </c>
      <c r="C506" s="268"/>
      <c r="D506" s="268"/>
      <c r="E506" s="268"/>
      <c r="F506" s="268"/>
      <c r="G506" s="268"/>
      <c r="H506" s="268"/>
      <c r="I506" s="268"/>
      <c r="J506" s="271"/>
      <c r="K506" s="268"/>
      <c r="L506" s="268"/>
      <c r="M506" s="268"/>
      <c r="N506" s="268"/>
      <c r="O506" s="271"/>
      <c r="P506" s="268"/>
      <c r="Q506" s="268"/>
      <c r="R506" s="268"/>
      <c r="S506" s="268"/>
      <c r="T506" s="271"/>
      <c r="U506" s="268"/>
      <c r="V506" s="268"/>
      <c r="W506" s="268"/>
      <c r="X506" s="268"/>
      <c r="Y506" s="271"/>
      <c r="Z506" s="268"/>
      <c r="AA506" s="268"/>
      <c r="AB506" s="268"/>
      <c r="AC506" s="268"/>
      <c r="AD506" s="302"/>
      <c r="AE506" s="268"/>
      <c r="AF506" s="268"/>
      <c r="AG506" s="268"/>
      <c r="AH506" s="268"/>
      <c r="AI506" s="302"/>
      <c r="AJ506" s="268"/>
      <c r="AK506" s="268"/>
      <c r="AL506" s="268"/>
      <c r="AM506" s="268"/>
      <c r="AN506" s="302"/>
      <c r="AO506" s="302"/>
      <c r="AP506" s="302"/>
      <c r="AQ506" s="302"/>
      <c r="AR506" s="302"/>
      <c r="AS506" s="1030">
        <v>12</v>
      </c>
      <c r="AT506" s="1030"/>
      <c r="AU506" s="1030"/>
      <c r="AV506" s="1030"/>
      <c r="AW506" s="1030"/>
      <c r="AX506" s="1030">
        <v>11</v>
      </c>
      <c r="AY506" s="1030"/>
      <c r="AZ506" s="1030"/>
      <c r="BA506" s="1030"/>
      <c r="BB506" s="1030"/>
      <c r="BC506" s="1029">
        <v>0.5</v>
      </c>
      <c r="BD506" s="1030"/>
      <c r="BE506" s="1030"/>
      <c r="BF506" s="1030"/>
      <c r="BG506" s="1030"/>
      <c r="BH506" s="1030">
        <v>15</v>
      </c>
      <c r="BI506" s="1029"/>
      <c r="BJ506" s="1029"/>
      <c r="BK506" s="1029"/>
      <c r="BL506" s="1029"/>
      <c r="BM506" s="1029">
        <v>0.1</v>
      </c>
      <c r="BN506" s="268"/>
      <c r="BO506" s="268"/>
      <c r="BP506" s="268"/>
      <c r="BQ506" s="268"/>
      <c r="BR506" s="268"/>
      <c r="BS506" s="268"/>
      <c r="BT506" s="268"/>
      <c r="BU506" s="268"/>
      <c r="BV506" s="268"/>
      <c r="BW506" s="268"/>
      <c r="BX506" s="268"/>
      <c r="BY506" s="268"/>
      <c r="BZ506" s="268"/>
      <c r="CA506" s="268"/>
      <c r="CB506" s="268"/>
      <c r="CC506" s="268"/>
      <c r="CD506" s="268"/>
      <c r="CE506" s="268"/>
      <c r="CF506" s="268"/>
      <c r="CG506" s="268"/>
      <c r="CH506" s="268"/>
      <c r="CI506" s="268"/>
      <c r="CJ506" s="268"/>
      <c r="CK506" s="268"/>
      <c r="CL506" s="268"/>
      <c r="CM506" s="268"/>
      <c r="CN506" s="268"/>
      <c r="CO506" s="268"/>
      <c r="CP506" s="268"/>
      <c r="CQ506" s="268"/>
      <c r="CR506" s="268"/>
      <c r="CS506" s="268"/>
      <c r="CT506" s="268"/>
      <c r="CU506" s="268"/>
      <c r="CV506" s="268"/>
      <c r="CW506" s="268"/>
      <c r="CX506" s="268"/>
      <c r="CY506" s="268"/>
      <c r="CZ506" s="268"/>
    </row>
    <row r="507" spans="1:104" hidden="1" outlineLevel="1">
      <c r="A507" s="268"/>
      <c r="B507" s="268" t="s">
        <v>601</v>
      </c>
      <c r="C507" s="268"/>
      <c r="D507" s="268"/>
      <c r="E507" s="268"/>
      <c r="F507" s="268"/>
      <c r="G507" s="268"/>
      <c r="H507" s="268"/>
      <c r="I507" s="268"/>
      <c r="J507" s="271"/>
      <c r="K507" s="268"/>
      <c r="L507" s="268"/>
      <c r="M507" s="268"/>
      <c r="N507" s="268"/>
      <c r="O507" s="271"/>
      <c r="P507" s="268"/>
      <c r="Q507" s="268"/>
      <c r="R507" s="268"/>
      <c r="S507" s="268"/>
      <c r="T507" s="271"/>
      <c r="U507" s="268"/>
      <c r="V507" s="268"/>
      <c r="W507" s="268"/>
      <c r="X507" s="268"/>
      <c r="Y507" s="271"/>
      <c r="Z507" s="268"/>
      <c r="AA507" s="268"/>
      <c r="AB507" s="268"/>
      <c r="AC507" s="268"/>
      <c r="AD507" s="302"/>
      <c r="AE507" s="268"/>
      <c r="AF507" s="268"/>
      <c r="AG507" s="268"/>
      <c r="AH507" s="268"/>
      <c r="AI507" s="302"/>
      <c r="AJ507" s="268"/>
      <c r="AK507" s="268"/>
      <c r="AL507" s="268"/>
      <c r="AM507" s="268"/>
      <c r="AN507" s="302"/>
      <c r="AO507" s="302"/>
      <c r="AP507" s="302"/>
      <c r="AQ507" s="302"/>
      <c r="AR507" s="302"/>
      <c r="AS507" s="429">
        <v>2727</v>
      </c>
      <c r="AT507" s="1030"/>
      <c r="AU507" s="1030"/>
      <c r="AV507" s="1030"/>
      <c r="AW507" s="1030"/>
      <c r="AX507" s="429">
        <v>1348</v>
      </c>
      <c r="AY507" s="429"/>
      <c r="AZ507" s="429"/>
      <c r="BA507" s="429"/>
      <c r="BB507" s="429"/>
      <c r="BC507" s="429">
        <v>170</v>
      </c>
      <c r="BD507" s="429"/>
      <c r="BE507" s="429"/>
      <c r="BF507" s="429"/>
      <c r="BG507" s="429"/>
      <c r="BH507" s="429">
        <v>805</v>
      </c>
      <c r="BI507" s="429"/>
      <c r="BJ507" s="429"/>
      <c r="BK507" s="429"/>
      <c r="BL507" s="429"/>
      <c r="BM507" s="429">
        <v>37</v>
      </c>
      <c r="BN507" s="268"/>
      <c r="BO507" s="268"/>
      <c r="BP507" s="268"/>
      <c r="BQ507" s="268"/>
      <c r="BR507" s="268"/>
      <c r="BS507" s="268"/>
      <c r="BT507" s="268"/>
      <c r="BU507" s="268"/>
      <c r="BV507" s="268"/>
      <c r="BW507" s="268"/>
      <c r="BX507" s="268"/>
      <c r="BY507" s="268"/>
      <c r="BZ507" s="268"/>
      <c r="CA507" s="268"/>
      <c r="CB507" s="268"/>
      <c r="CC507" s="268"/>
      <c r="CD507" s="268"/>
      <c r="CE507" s="268"/>
      <c r="CF507" s="268"/>
      <c r="CG507" s="268"/>
      <c r="CH507" s="268"/>
      <c r="CI507" s="268"/>
      <c r="CJ507" s="268"/>
      <c r="CK507" s="268"/>
      <c r="CL507" s="268"/>
      <c r="CM507" s="268"/>
      <c r="CN507" s="268"/>
      <c r="CO507" s="268"/>
      <c r="CP507" s="268"/>
      <c r="CQ507" s="268"/>
      <c r="CR507" s="268"/>
      <c r="CS507" s="268"/>
      <c r="CT507" s="268"/>
      <c r="CU507" s="268"/>
      <c r="CV507" s="268"/>
      <c r="CW507" s="268"/>
      <c r="CX507" s="268"/>
      <c r="CY507" s="268"/>
      <c r="CZ507" s="268"/>
    </row>
    <row r="508" spans="1:104" hidden="1" outlineLevel="1">
      <c r="A508" s="268"/>
      <c r="B508" s="268" t="s">
        <v>494</v>
      </c>
      <c r="C508" s="268"/>
      <c r="D508" s="268"/>
      <c r="E508" s="268"/>
      <c r="F508" s="268"/>
      <c r="G508" s="268"/>
      <c r="H508" s="268"/>
      <c r="I508" s="268"/>
      <c r="J508" s="271"/>
      <c r="K508" s="268"/>
      <c r="L508" s="268"/>
      <c r="M508" s="268"/>
      <c r="N508" s="268"/>
      <c r="O508" s="271"/>
      <c r="P508" s="268"/>
      <c r="Q508" s="268"/>
      <c r="R508" s="268"/>
      <c r="S508" s="268"/>
      <c r="T508" s="271"/>
      <c r="U508" s="268"/>
      <c r="V508" s="268"/>
      <c r="W508" s="268"/>
      <c r="X508" s="268"/>
      <c r="Y508" s="271"/>
      <c r="Z508" s="268"/>
      <c r="AA508" s="268"/>
      <c r="AB508" s="268"/>
      <c r="AC508" s="268"/>
      <c r="AD508" s="302"/>
      <c r="AE508" s="268"/>
      <c r="AF508" s="268"/>
      <c r="AG508" s="268"/>
      <c r="AH508" s="268"/>
      <c r="AI508" s="302"/>
      <c r="AJ508" s="268"/>
      <c r="AK508" s="268"/>
      <c r="AL508" s="268"/>
      <c r="AM508" s="268"/>
      <c r="AN508" s="302"/>
      <c r="AO508" s="302"/>
      <c r="AP508" s="302"/>
      <c r="AQ508" s="302"/>
      <c r="AR508" s="302"/>
      <c r="AS508" s="1031">
        <v>2.2999999999999998</v>
      </c>
      <c r="AT508" s="1030"/>
      <c r="AU508" s="1030"/>
      <c r="AV508" s="1030"/>
      <c r="AW508" s="1030"/>
      <c r="AX508" s="1031">
        <v>9.3000000000000007</v>
      </c>
      <c r="AY508" s="1031"/>
      <c r="AZ508" s="1031"/>
      <c r="BA508" s="1031"/>
      <c r="BB508" s="1031"/>
      <c r="BC508" s="1031">
        <v>0.6</v>
      </c>
      <c r="BD508" s="1031"/>
      <c r="BE508" s="1031"/>
      <c r="BF508" s="1031"/>
      <c r="BG508" s="1031"/>
      <c r="BH508" s="1031">
        <v>5.0999999999999996</v>
      </c>
      <c r="BI508" s="1031"/>
      <c r="BJ508" s="1031"/>
      <c r="BK508" s="1031"/>
      <c r="BL508" s="1031"/>
      <c r="BM508" s="1031">
        <v>0.1</v>
      </c>
      <c r="BN508" s="268"/>
      <c r="BO508" s="268"/>
      <c r="BP508" s="268"/>
      <c r="BQ508" s="268"/>
      <c r="BR508" s="268"/>
      <c r="BS508" s="268"/>
      <c r="BT508" s="268"/>
      <c r="BU508" s="268"/>
      <c r="BV508" s="268"/>
      <c r="BW508" s="268"/>
      <c r="BX508" s="268"/>
      <c r="BY508" s="268"/>
      <c r="BZ508" s="268"/>
      <c r="CA508" s="268"/>
      <c r="CB508" s="268"/>
      <c r="CC508" s="268"/>
      <c r="CD508" s="268"/>
      <c r="CE508" s="268"/>
      <c r="CF508" s="268"/>
      <c r="CG508" s="268"/>
      <c r="CH508" s="268"/>
      <c r="CI508" s="268"/>
      <c r="CJ508" s="268"/>
      <c r="CK508" s="268"/>
      <c r="CL508" s="268"/>
      <c r="CM508" s="268"/>
      <c r="CN508" s="268"/>
      <c r="CO508" s="268"/>
      <c r="CP508" s="268"/>
      <c r="CQ508" s="268"/>
      <c r="CR508" s="268"/>
      <c r="CS508" s="268"/>
      <c r="CT508" s="268"/>
      <c r="CU508" s="268"/>
      <c r="CV508" s="268"/>
      <c r="CW508" s="268"/>
      <c r="CX508" s="268"/>
      <c r="CY508" s="268"/>
      <c r="CZ508" s="268"/>
    </row>
    <row r="509" spans="1:104" hidden="1" outlineLevel="1">
      <c r="A509" s="268"/>
      <c r="B509" s="268" t="s">
        <v>600</v>
      </c>
      <c r="C509" s="268"/>
      <c r="D509" s="268"/>
      <c r="E509" s="268"/>
      <c r="F509" s="268"/>
      <c r="G509" s="268"/>
      <c r="H509" s="268"/>
      <c r="I509" s="268"/>
      <c r="J509" s="271"/>
      <c r="K509" s="268"/>
      <c r="L509" s="268"/>
      <c r="M509" s="268"/>
      <c r="N509" s="268"/>
      <c r="O509" s="271"/>
      <c r="P509" s="268"/>
      <c r="Q509" s="268"/>
      <c r="R509" s="268"/>
      <c r="S509" s="268"/>
      <c r="T509" s="271"/>
      <c r="U509" s="268"/>
      <c r="V509" s="268"/>
      <c r="W509" s="268"/>
      <c r="X509" s="268"/>
      <c r="Y509" s="271"/>
      <c r="Z509" s="268"/>
      <c r="AA509" s="268"/>
      <c r="AB509" s="268"/>
      <c r="AC509" s="268"/>
      <c r="AD509" s="302"/>
      <c r="AE509" s="268"/>
      <c r="AF509" s="268"/>
      <c r="AG509" s="268"/>
      <c r="AH509" s="268"/>
      <c r="AI509" s="302"/>
      <c r="AJ509" s="268"/>
      <c r="AK509" s="268"/>
      <c r="AL509" s="268"/>
      <c r="AM509" s="268"/>
      <c r="AN509" s="302"/>
      <c r="AO509" s="302"/>
      <c r="AP509" s="302"/>
      <c r="AQ509" s="302"/>
      <c r="AR509" s="302"/>
      <c r="AS509" s="1030">
        <v>99</v>
      </c>
      <c r="AT509" s="1030"/>
      <c r="AU509" s="1030"/>
      <c r="AV509" s="1030"/>
      <c r="AW509" s="1030"/>
      <c r="AX509" s="1030">
        <v>22</v>
      </c>
      <c r="AY509" s="1030"/>
      <c r="AZ509" s="1030"/>
      <c r="BA509" s="1030"/>
      <c r="BB509" s="1030"/>
      <c r="BC509" s="1030">
        <v>1</v>
      </c>
      <c r="BD509" s="1030"/>
      <c r="BE509" s="1030"/>
      <c r="BF509" s="1030"/>
      <c r="BG509" s="1030"/>
      <c r="BH509" s="1030">
        <v>37</v>
      </c>
      <c r="BI509" s="1029"/>
      <c r="BJ509" s="1029"/>
      <c r="BK509" s="1029"/>
      <c r="BL509" s="1029"/>
      <c r="BM509" s="1029">
        <v>0.2</v>
      </c>
      <c r="BN509" s="268"/>
      <c r="BO509" s="268"/>
      <c r="BP509" s="268"/>
      <c r="BQ509" s="268"/>
      <c r="BR509" s="268"/>
      <c r="BS509" s="268"/>
      <c r="BT509" s="268"/>
      <c r="BU509" s="268"/>
      <c r="BV509" s="268"/>
      <c r="BW509" s="268"/>
      <c r="BX509" s="268"/>
      <c r="BY509" s="268"/>
      <c r="BZ509" s="268"/>
      <c r="CA509" s="268"/>
      <c r="CB509" s="268"/>
      <c r="CC509" s="268"/>
      <c r="CD509" s="268"/>
      <c r="CE509" s="268"/>
      <c r="CF509" s="268"/>
      <c r="CG509" s="268"/>
      <c r="CH509" s="268"/>
      <c r="CI509" s="268"/>
      <c r="CJ509" s="268"/>
      <c r="CK509" s="268"/>
      <c r="CL509" s="268"/>
      <c r="CM509" s="268"/>
      <c r="CN509" s="268"/>
      <c r="CO509" s="268"/>
      <c r="CP509" s="268"/>
      <c r="CQ509" s="268"/>
      <c r="CR509" s="268"/>
      <c r="CS509" s="268"/>
      <c r="CT509" s="268"/>
      <c r="CU509" s="268"/>
      <c r="CV509" s="268"/>
      <c r="CW509" s="268"/>
      <c r="CX509" s="268"/>
      <c r="CY509" s="268"/>
      <c r="CZ509" s="268"/>
    </row>
    <row r="510" spans="1:104" hidden="1" outlineLevel="1">
      <c r="A510" s="268"/>
      <c r="B510" s="268" t="s">
        <v>599</v>
      </c>
      <c r="C510" s="268"/>
      <c r="D510" s="268"/>
      <c r="E510" s="268"/>
      <c r="F510" s="268"/>
      <c r="G510" s="268"/>
      <c r="H510" s="268"/>
      <c r="I510" s="268"/>
      <c r="J510" s="271"/>
      <c r="K510" s="268"/>
      <c r="L510" s="268"/>
      <c r="M510" s="268"/>
      <c r="N510" s="268"/>
      <c r="O510" s="271"/>
      <c r="P510" s="268"/>
      <c r="Q510" s="268"/>
      <c r="R510" s="268"/>
      <c r="S510" s="268"/>
      <c r="T510" s="271"/>
      <c r="U510" s="268"/>
      <c r="V510" s="268"/>
      <c r="W510" s="268"/>
      <c r="X510" s="268"/>
      <c r="Y510" s="271"/>
      <c r="Z510" s="268"/>
      <c r="AA510" s="268"/>
      <c r="AB510" s="268"/>
      <c r="AC510" s="268"/>
      <c r="AD510" s="302"/>
      <c r="AE510" s="268"/>
      <c r="AF510" s="268"/>
      <c r="AG510" s="268"/>
      <c r="AH510" s="268"/>
      <c r="AI510" s="302"/>
      <c r="AJ510" s="268"/>
      <c r="AK510" s="268"/>
      <c r="AL510" s="268"/>
      <c r="AM510" s="268"/>
      <c r="AN510" s="302"/>
      <c r="AO510" s="302"/>
      <c r="AP510" s="302"/>
      <c r="AQ510" s="302"/>
      <c r="AR510" s="302"/>
      <c r="AS510" s="1030">
        <v>50</v>
      </c>
      <c r="AT510" s="1030"/>
      <c r="AU510" s="1030"/>
      <c r="AV510" s="1030"/>
      <c r="AW510" s="1030"/>
      <c r="AX510" s="1030">
        <v>12</v>
      </c>
      <c r="AY510" s="1030"/>
      <c r="AZ510" s="1030"/>
      <c r="BA510" s="1030"/>
      <c r="BB510" s="1030"/>
      <c r="BC510" s="1030">
        <v>2</v>
      </c>
      <c r="BD510" s="1030"/>
      <c r="BE510" s="1030"/>
      <c r="BF510" s="1030"/>
      <c r="BG510" s="1030"/>
      <c r="BH510" s="1030">
        <v>14</v>
      </c>
      <c r="BI510" s="1029"/>
      <c r="BJ510" s="1029"/>
      <c r="BK510" s="1029"/>
      <c r="BL510" s="1029"/>
      <c r="BM510" s="1029">
        <v>0.3</v>
      </c>
      <c r="BN510" s="268"/>
      <c r="BO510" s="268"/>
      <c r="BP510" s="268"/>
      <c r="BQ510" s="268"/>
      <c r="BR510" s="268"/>
      <c r="BS510" s="268"/>
      <c r="BT510" s="268"/>
      <c r="BU510" s="268"/>
      <c r="BV510" s="268"/>
      <c r="BW510" s="268"/>
      <c r="BX510" s="268"/>
      <c r="BY510" s="268"/>
      <c r="BZ510" s="268"/>
      <c r="CA510" s="268"/>
      <c r="CB510" s="268"/>
      <c r="CC510" s="268"/>
      <c r="CD510" s="268"/>
      <c r="CE510" s="268"/>
      <c r="CF510" s="268"/>
      <c r="CG510" s="268"/>
      <c r="CH510" s="268"/>
      <c r="CI510" s="268"/>
      <c r="CJ510" s="268"/>
      <c r="CK510" s="268"/>
      <c r="CL510" s="268"/>
      <c r="CM510" s="268"/>
      <c r="CN510" s="268"/>
      <c r="CO510" s="268"/>
      <c r="CP510" s="268"/>
      <c r="CQ510" s="268"/>
      <c r="CR510" s="268"/>
      <c r="CS510" s="268"/>
      <c r="CT510" s="268"/>
      <c r="CU510" s="268"/>
      <c r="CV510" s="268"/>
      <c r="CW510" s="268"/>
      <c r="CX510" s="268"/>
      <c r="CY510" s="268"/>
      <c r="CZ510" s="268"/>
    </row>
    <row r="511" spans="1:104" hidden="1" outlineLevel="1">
      <c r="A511" s="268" t="s">
        <v>598</v>
      </c>
      <c r="B511" s="268" t="s">
        <v>597</v>
      </c>
      <c r="C511" s="268"/>
      <c r="D511" s="268"/>
      <c r="E511" s="268"/>
      <c r="F511" s="268"/>
      <c r="G511" s="268"/>
      <c r="H511" s="268"/>
      <c r="I511" s="268"/>
      <c r="J511" s="271"/>
      <c r="K511" s="268"/>
      <c r="L511" s="268"/>
      <c r="M511" s="268"/>
      <c r="N511" s="268"/>
      <c r="O511" s="271"/>
      <c r="P511" s="268"/>
      <c r="Q511" s="268"/>
      <c r="R511" s="268"/>
      <c r="S511" s="268"/>
      <c r="T511" s="271"/>
      <c r="U511" s="268"/>
      <c r="V511" s="268"/>
      <c r="W511" s="268"/>
      <c r="X511" s="268"/>
      <c r="Y511" s="271"/>
      <c r="Z511" s="268"/>
      <c r="AA511" s="268"/>
      <c r="AB511" s="268"/>
      <c r="AC511" s="268"/>
      <c r="AD511" s="302"/>
      <c r="AE511" s="268"/>
      <c r="AF511" s="268"/>
      <c r="AG511" s="268"/>
      <c r="AH511" s="268"/>
      <c r="AI511" s="302"/>
      <c r="AJ511" s="268"/>
      <c r="AK511" s="268"/>
      <c r="AL511" s="268"/>
      <c r="AM511" s="268"/>
      <c r="AN511" s="302"/>
      <c r="AO511" s="302"/>
      <c r="AP511" s="302"/>
      <c r="AQ511" s="302"/>
      <c r="AR511" s="302"/>
      <c r="AS511" s="1030">
        <v>48</v>
      </c>
      <c r="AT511" s="1030"/>
      <c r="AU511" s="1030"/>
      <c r="AV511" s="1030"/>
      <c r="AW511" s="1030"/>
      <c r="AX511" s="1030">
        <v>20</v>
      </c>
      <c r="AY511" s="1030"/>
      <c r="AZ511" s="1030"/>
      <c r="BA511" s="1030"/>
      <c r="BB511" s="1030"/>
      <c r="BC511" s="1030">
        <v>4</v>
      </c>
      <c r="BD511" s="1030"/>
      <c r="BE511" s="1030"/>
      <c r="BF511" s="1030"/>
      <c r="BG511" s="1030"/>
      <c r="BH511" s="1030" t="s">
        <v>596</v>
      </c>
      <c r="BI511" s="1029"/>
      <c r="BJ511" s="1029"/>
      <c r="BK511" s="1029"/>
      <c r="BL511" s="1029"/>
      <c r="BM511" s="1029"/>
      <c r="BN511" s="268"/>
      <c r="BO511" s="268"/>
      <c r="BP511" s="268"/>
      <c r="BQ511" s="268"/>
      <c r="BR511" s="268"/>
      <c r="BS511" s="268"/>
      <c r="BT511" s="268"/>
      <c r="BU511" s="268"/>
      <c r="BV511" s="268"/>
      <c r="BW511" s="268"/>
      <c r="BX511" s="268"/>
      <c r="BY511" s="268"/>
      <c r="BZ511" s="268"/>
      <c r="CA511" s="268"/>
      <c r="CB511" s="268"/>
      <c r="CC511" s="268"/>
      <c r="CD511" s="268"/>
      <c r="CE511" s="268"/>
      <c r="CF511" s="268"/>
      <c r="CG511" s="268"/>
      <c r="CH511" s="268"/>
      <c r="CI511" s="268"/>
      <c r="CJ511" s="268"/>
      <c r="CK511" s="268"/>
      <c r="CL511" s="268"/>
      <c r="CM511" s="268"/>
      <c r="CN511" s="268"/>
      <c r="CO511" s="268"/>
      <c r="CP511" s="268"/>
      <c r="CQ511" s="268"/>
      <c r="CR511" s="268"/>
      <c r="CS511" s="268"/>
      <c r="CT511" s="268"/>
      <c r="CU511" s="268"/>
      <c r="CV511" s="268"/>
      <c r="CW511" s="268"/>
      <c r="CX511" s="268"/>
      <c r="CY511" s="268"/>
      <c r="CZ511" s="268"/>
    </row>
    <row r="512" spans="1:104" hidden="1" outlineLevel="1">
      <c r="A512" s="268"/>
      <c r="B512" s="268"/>
      <c r="C512" s="268"/>
      <c r="D512" s="268"/>
      <c r="E512" s="268"/>
      <c r="F512" s="268"/>
      <c r="G512" s="268"/>
      <c r="H512" s="268"/>
      <c r="I512" s="268"/>
      <c r="J512" s="271"/>
      <c r="K512" s="268"/>
      <c r="L512" s="268"/>
      <c r="M512" s="268"/>
      <c r="N512" s="268"/>
      <c r="O512" s="271"/>
      <c r="P512" s="268"/>
      <c r="Q512" s="268"/>
      <c r="R512" s="268"/>
      <c r="S512" s="268"/>
      <c r="T512" s="271"/>
      <c r="U512" s="268"/>
      <c r="V512" s="268"/>
      <c r="W512" s="268"/>
      <c r="X512" s="268"/>
      <c r="Y512" s="271"/>
      <c r="Z512" s="268"/>
      <c r="AA512" s="268"/>
      <c r="AB512" s="268"/>
      <c r="AC512" s="268"/>
      <c r="AD512" s="302"/>
      <c r="AE512" s="268"/>
      <c r="AF512" s="268"/>
      <c r="AG512" s="268"/>
      <c r="AH512" s="268"/>
      <c r="AI512" s="302"/>
      <c r="AJ512" s="268"/>
      <c r="AK512" s="268"/>
      <c r="AL512" s="268"/>
      <c r="AM512" s="268"/>
      <c r="AN512" s="302"/>
      <c r="AO512" s="302"/>
      <c r="AP512" s="302"/>
      <c r="AQ512" s="302"/>
      <c r="AR512" s="302"/>
      <c r="AS512" s="271"/>
      <c r="AT512" s="271"/>
      <c r="AU512" s="271"/>
      <c r="AV512" s="271"/>
      <c r="AW512" s="271"/>
      <c r="AX512" s="271"/>
      <c r="AY512" s="302"/>
      <c r="AZ512" s="302"/>
      <c r="BA512" s="302"/>
      <c r="BB512" s="116"/>
      <c r="BC512" s="116"/>
      <c r="BD512" s="116"/>
      <c r="BE512" s="116"/>
      <c r="BF512" s="116"/>
      <c r="BG512" s="116"/>
      <c r="BH512" s="268"/>
      <c r="BI512" s="268"/>
      <c r="BJ512" s="268"/>
      <c r="BK512" s="268"/>
      <c r="BL512" s="268"/>
      <c r="BM512" s="268"/>
      <c r="BN512" s="268"/>
      <c r="BO512" s="268"/>
      <c r="BP512" s="268"/>
      <c r="BQ512" s="268"/>
      <c r="BR512" s="268"/>
      <c r="BS512" s="268"/>
      <c r="BT512" s="268"/>
      <c r="BU512" s="268"/>
      <c r="BV512" s="268"/>
      <c r="BW512" s="268"/>
      <c r="BX512" s="268"/>
      <c r="BY512" s="268"/>
      <c r="BZ512" s="268"/>
      <c r="CA512" s="268"/>
      <c r="CB512" s="268"/>
      <c r="CC512" s="268"/>
      <c r="CD512" s="268"/>
      <c r="CE512" s="268"/>
      <c r="CF512" s="268"/>
      <c r="CG512" s="268"/>
      <c r="CH512" s="268"/>
      <c r="CI512" s="268"/>
      <c r="CJ512" s="268"/>
      <c r="CK512" s="268"/>
      <c r="CL512" s="268"/>
      <c r="CM512" s="268"/>
      <c r="CN512" s="268"/>
      <c r="CO512" s="268"/>
      <c r="CP512" s="268"/>
      <c r="CQ512" s="268"/>
      <c r="CR512" s="268"/>
      <c r="CS512" s="268"/>
      <c r="CT512" s="268"/>
      <c r="CU512" s="268"/>
      <c r="CV512" s="268"/>
      <c r="CW512" s="268"/>
      <c r="CX512" s="268"/>
      <c r="CY512" s="268"/>
      <c r="CZ512" s="268"/>
    </row>
    <row r="513" spans="1:104" hidden="1" outlineLevel="1">
      <c r="A513" s="268"/>
      <c r="B513" s="271" t="s">
        <v>595</v>
      </c>
      <c r="C513" s="268"/>
      <c r="D513" s="268"/>
      <c r="E513" s="268"/>
      <c r="F513" s="268"/>
      <c r="G513" s="268"/>
      <c r="H513" s="268"/>
      <c r="I513" s="268"/>
      <c r="J513" s="271"/>
      <c r="K513" s="268"/>
      <c r="L513" s="268"/>
      <c r="M513" s="268"/>
      <c r="N513" s="268"/>
      <c r="O513" s="271"/>
      <c r="P513" s="268"/>
      <c r="Q513" s="268"/>
      <c r="R513" s="268"/>
      <c r="S513" s="268"/>
      <c r="T513" s="271"/>
      <c r="U513" s="268"/>
      <c r="V513" s="268"/>
      <c r="W513" s="268"/>
      <c r="X513" s="268"/>
      <c r="Y513" s="271"/>
      <c r="Z513" s="268"/>
      <c r="AA513" s="268"/>
      <c r="AB513" s="268"/>
      <c r="AC513" s="268"/>
      <c r="AD513" s="302"/>
      <c r="AE513" s="268"/>
      <c r="AF513" s="268"/>
      <c r="AG513" s="268"/>
      <c r="AH513" s="268"/>
      <c r="AI513" s="302"/>
      <c r="AJ513" s="268"/>
      <c r="AK513" s="268"/>
      <c r="AL513" s="268"/>
      <c r="AM513" s="268"/>
      <c r="AN513" s="302"/>
      <c r="AO513" s="302"/>
      <c r="AP513" s="302"/>
      <c r="AQ513" s="302"/>
      <c r="AR513" s="302"/>
      <c r="AS513" s="271"/>
      <c r="AT513" s="271"/>
      <c r="AU513" s="271"/>
      <c r="AV513" s="271"/>
      <c r="AW513" s="271"/>
      <c r="AX513" s="271"/>
      <c r="AY513" s="302"/>
      <c r="AZ513" s="302"/>
      <c r="BA513" s="302"/>
      <c r="BB513" s="116"/>
      <c r="BC513" s="116"/>
      <c r="BD513" s="116"/>
      <c r="BE513" s="116"/>
      <c r="BF513" s="116"/>
      <c r="BG513" s="116"/>
      <c r="BH513" s="268"/>
      <c r="BI513" s="268"/>
      <c r="BJ513" s="268"/>
      <c r="BK513" s="268"/>
      <c r="BL513" s="268"/>
      <c r="BM513" s="268"/>
      <c r="BN513" s="268"/>
      <c r="BO513" s="268"/>
      <c r="BP513" s="268"/>
      <c r="BQ513" s="268"/>
      <c r="BR513" s="268"/>
      <c r="BS513" s="268"/>
      <c r="BT513" s="268"/>
      <c r="BU513" s="268"/>
      <c r="BV513" s="268"/>
      <c r="BW513" s="268"/>
      <c r="BX513" s="268"/>
      <c r="BY513" s="268"/>
      <c r="BZ513" s="268"/>
      <c r="CA513" s="268"/>
      <c r="CB513" s="268"/>
      <c r="CC513" s="268"/>
      <c r="CD513" s="268"/>
      <c r="CE513" s="268"/>
      <c r="CF513" s="268"/>
      <c r="CG513" s="268"/>
      <c r="CH513" s="268"/>
      <c r="CI513" s="268"/>
      <c r="CJ513" s="268"/>
      <c r="CK513" s="268"/>
      <c r="CL513" s="268"/>
      <c r="CM513" s="268"/>
      <c r="CN513" s="268"/>
      <c r="CO513" s="268"/>
      <c r="CP513" s="268"/>
      <c r="CQ513" s="268"/>
      <c r="CR513" s="268"/>
      <c r="CS513" s="268"/>
      <c r="CT513" s="268"/>
      <c r="CU513" s="268"/>
      <c r="CV513" s="268"/>
      <c r="CW513" s="268"/>
      <c r="CX513" s="268"/>
      <c r="CY513" s="268"/>
      <c r="CZ513" s="268"/>
    </row>
    <row r="514" spans="1:104" hidden="1" outlineLevel="1">
      <c r="A514" s="268"/>
      <c r="B514" s="268" t="s">
        <v>594</v>
      </c>
      <c r="C514" s="268"/>
      <c r="D514" s="268"/>
      <c r="E514" s="268"/>
      <c r="F514" s="268"/>
      <c r="G514" s="268"/>
      <c r="H514" s="268"/>
      <c r="I514" s="268"/>
      <c r="J514" s="271"/>
      <c r="K514" s="268"/>
      <c r="L514" s="268"/>
      <c r="M514" s="268"/>
      <c r="N514" s="268"/>
      <c r="O514" s="271"/>
      <c r="P514" s="268"/>
      <c r="Q514" s="268"/>
      <c r="R514" s="268"/>
      <c r="S514" s="268"/>
      <c r="T514" s="271"/>
      <c r="U514" s="268"/>
      <c r="V514" s="268"/>
      <c r="W514" s="268"/>
      <c r="X514" s="268"/>
      <c r="Y514" s="271"/>
      <c r="Z514" s="268"/>
      <c r="AA514" s="268"/>
      <c r="AB514" s="268"/>
      <c r="AC514" s="268"/>
      <c r="AD514" s="302"/>
      <c r="AE514" s="268"/>
      <c r="AF514" s="268"/>
      <c r="AG514" s="268"/>
      <c r="AH514" s="268"/>
      <c r="AI514" s="302"/>
      <c r="AJ514" s="268"/>
      <c r="AK514" s="268"/>
      <c r="AL514" s="268"/>
      <c r="AM514" s="268"/>
      <c r="AN514" s="302"/>
      <c r="AO514" s="302"/>
      <c r="AP514" s="302"/>
      <c r="AQ514" s="302"/>
      <c r="AR514" s="302"/>
      <c r="AS514" s="1028">
        <v>247000</v>
      </c>
      <c r="AT514" s="271"/>
      <c r="AU514" s="271"/>
      <c r="AV514" s="271"/>
      <c r="AW514" s="271"/>
      <c r="AX514" s="271"/>
      <c r="AY514" s="302"/>
      <c r="AZ514" s="302"/>
      <c r="BA514" s="302"/>
      <c r="BB514" s="116"/>
      <c r="BC514" s="116"/>
      <c r="BD514" s="116"/>
      <c r="BE514" s="116"/>
      <c r="BF514" s="116"/>
      <c r="BG514" s="116"/>
      <c r="BH514" s="268"/>
      <c r="BI514" s="268"/>
      <c r="BJ514" s="268"/>
      <c r="BK514" s="268"/>
      <c r="BL514" s="268"/>
      <c r="BM514" s="268"/>
      <c r="BN514" s="268"/>
      <c r="BO514" s="268"/>
      <c r="BP514" s="268"/>
      <c r="BQ514" s="268"/>
      <c r="BR514" s="268"/>
      <c r="BS514" s="268"/>
      <c r="BT514" s="268"/>
      <c r="BU514" s="268"/>
      <c r="BV514" s="268"/>
      <c r="BW514" s="268"/>
      <c r="BX514" s="268"/>
      <c r="BY514" s="268"/>
      <c r="BZ514" s="268"/>
      <c r="CA514" s="268"/>
      <c r="CB514" s="268"/>
      <c r="CC514" s="268"/>
      <c r="CD514" s="268"/>
      <c r="CE514" s="268"/>
      <c r="CF514" s="268"/>
      <c r="CG514" s="268"/>
      <c r="CH514" s="268"/>
      <c r="CI514" s="268"/>
      <c r="CJ514" s="268"/>
      <c r="CK514" s="268"/>
      <c r="CL514" s="268"/>
      <c r="CM514" s="268"/>
      <c r="CN514" s="268"/>
      <c r="CO514" s="268"/>
      <c r="CP514" s="268"/>
      <c r="CQ514" s="268"/>
      <c r="CR514" s="268"/>
      <c r="CS514" s="268"/>
      <c r="CT514" s="268"/>
      <c r="CU514" s="268"/>
      <c r="CV514" s="268"/>
      <c r="CW514" s="268"/>
      <c r="CX514" s="268"/>
      <c r="CY514" s="268"/>
      <c r="CZ514" s="268"/>
    </row>
    <row r="515" spans="1:104" hidden="1" outlineLevel="1">
      <c r="A515" s="268"/>
      <c r="B515" s="268" t="s">
        <v>593</v>
      </c>
      <c r="C515" s="268"/>
      <c r="D515" s="268"/>
      <c r="E515" s="268"/>
      <c r="F515" s="268"/>
      <c r="G515" s="268"/>
      <c r="H515" s="268"/>
      <c r="I515" s="268"/>
      <c r="J515" s="271"/>
      <c r="K515" s="268"/>
      <c r="L515" s="268"/>
      <c r="M515" s="268"/>
      <c r="N515" s="268"/>
      <c r="O515" s="271"/>
      <c r="P515" s="268"/>
      <c r="Q515" s="268"/>
      <c r="R515" s="268"/>
      <c r="S515" s="268"/>
      <c r="T515" s="271"/>
      <c r="U515" s="268"/>
      <c r="V515" s="268"/>
      <c r="W515" s="268"/>
      <c r="X515" s="268"/>
      <c r="Y515" s="271"/>
      <c r="Z515" s="268"/>
      <c r="AA515" s="268"/>
      <c r="AB515" s="268"/>
      <c r="AC515" s="268"/>
      <c r="AD515" s="302"/>
      <c r="AE515" s="268"/>
      <c r="AF515" s="268"/>
      <c r="AG515" s="268"/>
      <c r="AH515" s="268"/>
      <c r="AI515" s="302"/>
      <c r="AJ515" s="268"/>
      <c r="AK515" s="268"/>
      <c r="AL515" s="268"/>
      <c r="AM515" s="268"/>
      <c r="AN515" s="302"/>
      <c r="AO515" s="302"/>
      <c r="AP515" s="302"/>
      <c r="AQ515" s="302"/>
      <c r="AR515" s="302"/>
      <c r="AS515" s="1027">
        <v>1237</v>
      </c>
      <c r="AT515" s="271"/>
      <c r="AU515" s="271"/>
      <c r="AV515" s="271"/>
      <c r="AW515" s="271"/>
      <c r="AX515" s="271"/>
      <c r="AY515" s="302"/>
      <c r="AZ515" s="302"/>
      <c r="BA515" s="302"/>
      <c r="BB515" s="116"/>
      <c r="BC515" s="116"/>
      <c r="BD515" s="116"/>
      <c r="BE515" s="116"/>
      <c r="BF515" s="116"/>
      <c r="BG515" s="116"/>
      <c r="BH515" s="268"/>
      <c r="BI515" s="268"/>
      <c r="BJ515" s="268"/>
      <c r="BK515" s="268"/>
      <c r="BL515" s="268"/>
      <c r="BM515" s="268"/>
      <c r="BN515" s="268"/>
      <c r="BO515" s="268"/>
      <c r="BP515" s="268"/>
      <c r="BQ515" s="268"/>
      <c r="BR515" s="268"/>
      <c r="BS515" s="268"/>
      <c r="BT515" s="268"/>
      <c r="BU515" s="268"/>
      <c r="BV515" s="268"/>
      <c r="BW515" s="268"/>
      <c r="BX515" s="268"/>
      <c r="BY515" s="268"/>
      <c r="BZ515" s="268"/>
      <c r="CA515" s="268"/>
      <c r="CB515" s="268"/>
      <c r="CC515" s="268"/>
      <c r="CD515" s="268"/>
      <c r="CE515" s="268"/>
      <c r="CF515" s="268"/>
      <c r="CG515" s="268"/>
      <c r="CH515" s="268"/>
      <c r="CI515" s="268"/>
      <c r="CJ515" s="268"/>
      <c r="CK515" s="268"/>
      <c r="CL515" s="268"/>
      <c r="CM515" s="268"/>
      <c r="CN515" s="268"/>
      <c r="CO515" s="268"/>
      <c r="CP515" s="268"/>
      <c r="CQ515" s="268"/>
      <c r="CR515" s="268"/>
      <c r="CS515" s="268"/>
      <c r="CT515" s="268"/>
      <c r="CU515" s="268"/>
      <c r="CV515" s="268"/>
      <c r="CW515" s="268"/>
      <c r="CX515" s="268"/>
      <c r="CY515" s="268"/>
      <c r="CZ515" s="268"/>
    </row>
    <row r="516" spans="1:104" hidden="1" outlineLevel="1">
      <c r="A516" s="268"/>
      <c r="B516" s="268"/>
      <c r="C516" s="268"/>
      <c r="D516" s="268"/>
      <c r="E516" s="268"/>
      <c r="F516" s="268"/>
      <c r="G516" s="268"/>
      <c r="H516" s="268"/>
      <c r="I516" s="268"/>
      <c r="J516" s="271"/>
      <c r="K516" s="268"/>
      <c r="L516" s="268"/>
      <c r="M516" s="268"/>
      <c r="N516" s="268"/>
      <c r="O516" s="271"/>
      <c r="P516" s="268"/>
      <c r="Q516" s="268"/>
      <c r="R516" s="268"/>
      <c r="S516" s="268"/>
      <c r="T516" s="271"/>
      <c r="U516" s="268"/>
      <c r="V516" s="268"/>
      <c r="W516" s="268"/>
      <c r="X516" s="268"/>
      <c r="Y516" s="271"/>
      <c r="Z516" s="268"/>
      <c r="AA516" s="268"/>
      <c r="AB516" s="268"/>
      <c r="AC516" s="268"/>
      <c r="AD516" s="302"/>
      <c r="AE516" s="268"/>
      <c r="AF516" s="268"/>
      <c r="AG516" s="268"/>
      <c r="AH516" s="268"/>
      <c r="AI516" s="302"/>
      <c r="AJ516" s="268"/>
      <c r="AK516" s="268"/>
      <c r="AL516" s="268"/>
      <c r="AM516" s="268"/>
      <c r="AN516" s="302"/>
      <c r="AO516" s="302"/>
      <c r="AP516" s="302"/>
      <c r="AQ516" s="302"/>
      <c r="AR516" s="302"/>
      <c r="AS516" s="268"/>
      <c r="AT516" s="271"/>
      <c r="AU516" s="271"/>
      <c r="AV516" s="271"/>
      <c r="AW516" s="271"/>
      <c r="AX516" s="271"/>
      <c r="AY516" s="302"/>
      <c r="AZ516" s="302"/>
      <c r="BA516" s="302"/>
      <c r="BB516" s="116"/>
      <c r="BC516" s="116"/>
      <c r="BD516" s="116"/>
      <c r="BE516" s="116"/>
      <c r="BF516" s="116"/>
      <c r="BG516" s="116"/>
      <c r="BH516" s="268"/>
      <c r="BI516" s="268"/>
      <c r="BJ516" s="268"/>
      <c r="BK516" s="268"/>
      <c r="BL516" s="268"/>
      <c r="BM516" s="268"/>
      <c r="BN516" s="268"/>
      <c r="BO516" s="268"/>
      <c r="BP516" s="268"/>
      <c r="BQ516" s="268"/>
      <c r="BR516" s="268"/>
      <c r="BS516" s="268"/>
      <c r="BT516" s="268"/>
      <c r="BU516" s="268"/>
      <c r="BV516" s="268"/>
      <c r="BW516" s="268"/>
      <c r="BX516" s="268"/>
      <c r="BY516" s="268"/>
      <c r="BZ516" s="268"/>
      <c r="CA516" s="268"/>
      <c r="CB516" s="268"/>
      <c r="CC516" s="268"/>
      <c r="CD516" s="268"/>
      <c r="CE516" s="268"/>
      <c r="CF516" s="268"/>
      <c r="CG516" s="268"/>
      <c r="CH516" s="268"/>
      <c r="CI516" s="268"/>
      <c r="CJ516" s="268"/>
      <c r="CK516" s="268"/>
      <c r="CL516" s="268"/>
      <c r="CM516" s="268"/>
      <c r="CN516" s="268"/>
      <c r="CO516" s="268"/>
      <c r="CP516" s="268"/>
      <c r="CQ516" s="268"/>
      <c r="CR516" s="268"/>
      <c r="CS516" s="268"/>
      <c r="CT516" s="268"/>
      <c r="CU516" s="268"/>
      <c r="CV516" s="268"/>
      <c r="CW516" s="268"/>
      <c r="CX516" s="268"/>
      <c r="CY516" s="268"/>
      <c r="CZ516" s="268"/>
    </row>
    <row r="517" spans="1:104" hidden="1" outlineLevel="1">
      <c r="A517" s="268"/>
      <c r="B517" s="271" t="s">
        <v>592</v>
      </c>
      <c r="C517" s="268"/>
      <c r="D517" s="268"/>
      <c r="E517" s="268"/>
      <c r="F517" s="268"/>
      <c r="G517" s="268"/>
      <c r="H517" s="268"/>
      <c r="I517" s="268"/>
      <c r="J517" s="271"/>
      <c r="K517" s="268"/>
      <c r="L517" s="268"/>
      <c r="M517" s="268"/>
      <c r="N517" s="268"/>
      <c r="O517" s="271"/>
      <c r="P517" s="268"/>
      <c r="Q517" s="268"/>
      <c r="R517" s="268"/>
      <c r="S517" s="268"/>
      <c r="T517" s="271"/>
      <c r="U517" s="268"/>
      <c r="V517" s="268"/>
      <c r="W517" s="268"/>
      <c r="X517" s="268"/>
      <c r="Y517" s="271"/>
      <c r="Z517" s="268"/>
      <c r="AA517" s="268"/>
      <c r="AB517" s="268"/>
      <c r="AC517" s="268"/>
      <c r="AD517" s="302"/>
      <c r="AE517" s="268"/>
      <c r="AF517" s="268"/>
      <c r="AG517" s="268"/>
      <c r="AH517" s="268"/>
      <c r="AI517" s="302"/>
      <c r="AJ517" s="268"/>
      <c r="AK517" s="268"/>
      <c r="AL517" s="268"/>
      <c r="AM517" s="268"/>
      <c r="AN517" s="302"/>
      <c r="AO517" s="302"/>
      <c r="AP517" s="302"/>
      <c r="AQ517" s="302"/>
      <c r="AR517" s="302"/>
      <c r="AS517" s="268"/>
      <c r="AT517" s="271"/>
      <c r="AU517" s="271"/>
      <c r="AV517" s="271"/>
      <c r="AW517" s="271"/>
      <c r="AX517" s="271"/>
      <c r="AY517" s="302"/>
      <c r="AZ517" s="302"/>
      <c r="BA517" s="302"/>
      <c r="BB517" s="116"/>
      <c r="BC517" s="116"/>
      <c r="BD517" s="116"/>
      <c r="BE517" s="116"/>
      <c r="BF517" s="116"/>
      <c r="BG517" s="116"/>
      <c r="BH517" s="268"/>
      <c r="BI517" s="268"/>
      <c r="BJ517" s="268"/>
      <c r="BK517" s="268"/>
      <c r="BL517" s="268"/>
      <c r="BM517" s="268"/>
      <c r="BN517" s="268"/>
      <c r="BO517" s="268"/>
      <c r="BP517" s="268"/>
      <c r="BQ517" s="268"/>
      <c r="BR517" s="268"/>
      <c r="BS517" s="268"/>
      <c r="BT517" s="268"/>
      <c r="BU517" s="268"/>
      <c r="BV517" s="268"/>
      <c r="BW517" s="268"/>
      <c r="BX517" s="268"/>
      <c r="BY517" s="268"/>
      <c r="BZ517" s="268"/>
      <c r="CA517" s="268"/>
      <c r="CB517" s="268"/>
      <c r="CC517" s="268"/>
      <c r="CD517" s="268"/>
      <c r="CE517" s="268"/>
      <c r="CF517" s="268"/>
      <c r="CG517" s="268"/>
      <c r="CH517" s="268"/>
      <c r="CI517" s="268"/>
      <c r="CJ517" s="268"/>
      <c r="CK517" s="268"/>
      <c r="CL517" s="268"/>
      <c r="CM517" s="268"/>
      <c r="CN517" s="268"/>
      <c r="CO517" s="268"/>
      <c r="CP517" s="268"/>
      <c r="CQ517" s="268"/>
      <c r="CR517" s="268"/>
      <c r="CS517" s="268"/>
      <c r="CT517" s="268"/>
      <c r="CU517" s="268"/>
      <c r="CV517" s="268"/>
      <c r="CW517" s="268"/>
      <c r="CX517" s="268"/>
      <c r="CY517" s="268"/>
      <c r="CZ517" s="268"/>
    </row>
    <row r="518" spans="1:104" hidden="1" outlineLevel="1">
      <c r="A518" s="268"/>
      <c r="B518" s="268" t="s">
        <v>591</v>
      </c>
      <c r="C518" s="268"/>
      <c r="D518" s="268"/>
      <c r="E518" s="268"/>
      <c r="F518" s="268"/>
      <c r="G518" s="268"/>
      <c r="H518" s="268"/>
      <c r="I518" s="268"/>
      <c r="J518" s="271"/>
      <c r="K518" s="268"/>
      <c r="L518" s="268"/>
      <c r="M518" s="268"/>
      <c r="N518" s="268"/>
      <c r="O518" s="271"/>
      <c r="P518" s="268"/>
      <c r="Q518" s="268"/>
      <c r="R518" s="268"/>
      <c r="S518" s="268"/>
      <c r="T518" s="271"/>
      <c r="U518" s="268"/>
      <c r="V518" s="268"/>
      <c r="W518" s="268"/>
      <c r="X518" s="268"/>
      <c r="Y518" s="271"/>
      <c r="Z518" s="268"/>
      <c r="AA518" s="268"/>
      <c r="AB518" s="268"/>
      <c r="AC518" s="268"/>
      <c r="AD518" s="302"/>
      <c r="AE518" s="268"/>
      <c r="AF518" s="268"/>
      <c r="AG518" s="268"/>
      <c r="AH518" s="268"/>
      <c r="AI518" s="302"/>
      <c r="AJ518" s="268"/>
      <c r="AK518" s="268"/>
      <c r="AL518" s="268"/>
      <c r="AM518" s="268"/>
      <c r="AN518" s="302"/>
      <c r="AO518" s="302"/>
      <c r="AP518" s="302"/>
      <c r="AQ518" s="302"/>
      <c r="AR518" s="302"/>
      <c r="AS518" s="1012">
        <v>0.75</v>
      </c>
      <c r="AT518" s="271"/>
      <c r="AU518" s="271"/>
      <c r="AV518" s="271"/>
      <c r="AW518" s="271"/>
      <c r="AX518" s="271"/>
      <c r="AY518" s="302"/>
      <c r="AZ518" s="302"/>
      <c r="BA518" s="302"/>
      <c r="BB518" s="116"/>
      <c r="BC518" s="116"/>
      <c r="BD518" s="116"/>
      <c r="BE518" s="116"/>
      <c r="BF518" s="116"/>
      <c r="BG518" s="116"/>
      <c r="BH518" s="268"/>
      <c r="BI518" s="268"/>
      <c r="BJ518" s="268"/>
      <c r="BK518" s="268"/>
      <c r="BL518" s="268"/>
      <c r="BM518" s="268"/>
      <c r="BN518" s="268"/>
      <c r="BO518" s="268"/>
      <c r="BP518" s="268"/>
      <c r="BQ518" s="268"/>
      <c r="BR518" s="268"/>
      <c r="BS518" s="268"/>
      <c r="BT518" s="268"/>
      <c r="BU518" s="268"/>
      <c r="BV518" s="268"/>
      <c r="BW518" s="268"/>
      <c r="BX518" s="268"/>
      <c r="BY518" s="268"/>
      <c r="BZ518" s="268"/>
      <c r="CA518" s="268"/>
      <c r="CB518" s="268"/>
      <c r="CC518" s="268"/>
      <c r="CD518" s="268"/>
      <c r="CE518" s="268"/>
      <c r="CF518" s="268"/>
      <c r="CG518" s="268"/>
      <c r="CH518" s="268"/>
      <c r="CI518" s="268"/>
      <c r="CJ518" s="268"/>
      <c r="CK518" s="268"/>
      <c r="CL518" s="268"/>
      <c r="CM518" s="268"/>
      <c r="CN518" s="268"/>
      <c r="CO518" s="268"/>
      <c r="CP518" s="268"/>
      <c r="CQ518" s="268"/>
      <c r="CR518" s="268"/>
      <c r="CS518" s="268"/>
      <c r="CT518" s="268"/>
      <c r="CU518" s="268"/>
      <c r="CV518" s="268"/>
      <c r="CW518" s="268"/>
      <c r="CX518" s="268"/>
      <c r="CY518" s="268"/>
      <c r="CZ518" s="268"/>
    </row>
    <row r="519" spans="1:104" hidden="1" outlineLevel="1">
      <c r="A519" s="268"/>
      <c r="B519" s="268" t="s">
        <v>590</v>
      </c>
      <c r="C519" s="268"/>
      <c r="D519" s="268"/>
      <c r="E519" s="268"/>
      <c r="F519" s="268"/>
      <c r="G519" s="268"/>
      <c r="H519" s="268"/>
      <c r="I519" s="268"/>
      <c r="J519" s="271"/>
      <c r="K519" s="268"/>
      <c r="L519" s="268"/>
      <c r="M519" s="268"/>
      <c r="N519" s="268"/>
      <c r="O519" s="271"/>
      <c r="P519" s="268"/>
      <c r="Q519" s="268"/>
      <c r="R519" s="268"/>
      <c r="S519" s="268"/>
      <c r="T519" s="271"/>
      <c r="U519" s="268"/>
      <c r="V519" s="268"/>
      <c r="W519" s="268"/>
      <c r="X519" s="268"/>
      <c r="Y519" s="271"/>
      <c r="Z519" s="268"/>
      <c r="AA519" s="268"/>
      <c r="AB519" s="268"/>
      <c r="AC519" s="268"/>
      <c r="AD519" s="302"/>
      <c r="AE519" s="268"/>
      <c r="AF519" s="268"/>
      <c r="AG519" s="268"/>
      <c r="AH519" s="268"/>
      <c r="AI519" s="302"/>
      <c r="AJ519" s="268"/>
      <c r="AK519" s="268"/>
      <c r="AL519" s="268"/>
      <c r="AM519" s="268"/>
      <c r="AN519" s="302"/>
      <c r="AO519" s="302"/>
      <c r="AP519" s="302"/>
      <c r="AQ519" s="302"/>
      <c r="AR519" s="302"/>
      <c r="AS519" s="1012">
        <v>0.18</v>
      </c>
      <c r="AT519" s="271"/>
      <c r="AU519" s="271"/>
      <c r="AV519" s="271"/>
      <c r="AW519" s="271"/>
      <c r="AX519" s="271"/>
      <c r="AY519" s="302"/>
      <c r="AZ519" s="302"/>
      <c r="BA519" s="302"/>
      <c r="BB519" s="116"/>
      <c r="BC519" s="116"/>
      <c r="BD519" s="116"/>
      <c r="BE519" s="116"/>
      <c r="BF519" s="116"/>
      <c r="BG519" s="116"/>
      <c r="BH519" s="268"/>
      <c r="BI519" s="268"/>
      <c r="BJ519" s="268"/>
      <c r="BK519" s="268"/>
      <c r="BL519" s="268"/>
      <c r="BM519" s="268"/>
      <c r="BN519" s="268"/>
      <c r="BO519" s="268"/>
      <c r="BP519" s="268"/>
      <c r="BQ519" s="268"/>
      <c r="BR519" s="268"/>
      <c r="BS519" s="268"/>
      <c r="BT519" s="268"/>
      <c r="BU519" s="268"/>
      <c r="BV519" s="268"/>
      <c r="BW519" s="268"/>
      <c r="BX519" s="268"/>
      <c r="BY519" s="268"/>
      <c r="BZ519" s="268"/>
      <c r="CA519" s="268"/>
      <c r="CB519" s="268"/>
      <c r="CC519" s="268"/>
      <c r="CD519" s="268"/>
      <c r="CE519" s="268"/>
      <c r="CF519" s="268"/>
      <c r="CG519" s="268"/>
      <c r="CH519" s="268"/>
      <c r="CI519" s="268"/>
      <c r="CJ519" s="268"/>
      <c r="CK519" s="268"/>
      <c r="CL519" s="268"/>
      <c r="CM519" s="268"/>
      <c r="CN519" s="268"/>
      <c r="CO519" s="268"/>
      <c r="CP519" s="268"/>
      <c r="CQ519" s="268"/>
      <c r="CR519" s="268"/>
      <c r="CS519" s="268"/>
      <c r="CT519" s="268"/>
      <c r="CU519" s="268"/>
      <c r="CV519" s="268"/>
      <c r="CW519" s="268"/>
      <c r="CX519" s="268"/>
      <c r="CY519" s="268"/>
      <c r="CZ519" s="268"/>
    </row>
    <row r="520" spans="1:104" hidden="1" outlineLevel="1">
      <c r="A520" s="268"/>
      <c r="B520" s="268" t="s">
        <v>589</v>
      </c>
      <c r="C520" s="268"/>
      <c r="D520" s="268"/>
      <c r="E520" s="268"/>
      <c r="F520" s="268"/>
      <c r="G520" s="268"/>
      <c r="H520" s="268"/>
      <c r="I520" s="268"/>
      <c r="J520" s="271"/>
      <c r="K520" s="268"/>
      <c r="L520" s="268"/>
      <c r="M520" s="268"/>
      <c r="N520" s="268"/>
      <c r="O520" s="271"/>
      <c r="P520" s="268"/>
      <c r="Q520" s="268"/>
      <c r="R520" s="268"/>
      <c r="S520" s="268"/>
      <c r="T520" s="271"/>
      <c r="U520" s="268"/>
      <c r="V520" s="268"/>
      <c r="W520" s="268"/>
      <c r="X520" s="268"/>
      <c r="Y520" s="271"/>
      <c r="Z520" s="268"/>
      <c r="AA520" s="268"/>
      <c r="AB520" s="268"/>
      <c r="AC520" s="268"/>
      <c r="AD520" s="302"/>
      <c r="AE520" s="268"/>
      <c r="AF520" s="268"/>
      <c r="AG520" s="268"/>
      <c r="AH520" s="268"/>
      <c r="AI520" s="302"/>
      <c r="AJ520" s="268"/>
      <c r="AK520" s="268"/>
      <c r="AL520" s="268"/>
      <c r="AM520" s="268"/>
      <c r="AN520" s="302"/>
      <c r="AO520" s="302"/>
      <c r="AP520" s="302"/>
      <c r="AQ520" s="302"/>
      <c r="AR520" s="302"/>
      <c r="AS520" s="1012">
        <v>7.0000000000000007E-2</v>
      </c>
      <c r="AT520" s="271"/>
      <c r="AU520" s="271"/>
      <c r="AV520" s="271"/>
      <c r="AW520" s="271"/>
      <c r="AX520" s="271"/>
      <c r="AY520" s="302"/>
      <c r="AZ520" s="302"/>
      <c r="BA520" s="302"/>
      <c r="BB520" s="116"/>
      <c r="BC520" s="116"/>
      <c r="BD520" s="116"/>
      <c r="BE520" s="116"/>
      <c r="BF520" s="116"/>
      <c r="BG520" s="116"/>
      <c r="BH520" s="268"/>
      <c r="BI520" s="268"/>
      <c r="BJ520" s="268"/>
      <c r="BK520" s="268"/>
      <c r="BL520" s="268"/>
      <c r="BM520" s="268"/>
      <c r="BN520" s="268"/>
      <c r="BO520" s="268"/>
      <c r="BP520" s="268"/>
      <c r="BQ520" s="268"/>
      <c r="BR520" s="268"/>
      <c r="BS520" s="268"/>
      <c r="BT520" s="268"/>
      <c r="BU520" s="268"/>
      <c r="BV520" s="268"/>
      <c r="BW520" s="268"/>
      <c r="BX520" s="268"/>
      <c r="BY520" s="268"/>
      <c r="BZ520" s="268"/>
      <c r="CA520" s="268"/>
      <c r="CB520" s="268"/>
      <c r="CC520" s="268"/>
      <c r="CD520" s="268"/>
      <c r="CE520" s="268"/>
      <c r="CF520" s="268"/>
      <c r="CG520" s="268"/>
      <c r="CH520" s="268"/>
      <c r="CI520" s="268"/>
      <c r="CJ520" s="268"/>
      <c r="CK520" s="268"/>
      <c r="CL520" s="268"/>
      <c r="CM520" s="268"/>
      <c r="CN520" s="268"/>
      <c r="CO520" s="268"/>
      <c r="CP520" s="268"/>
      <c r="CQ520" s="268"/>
      <c r="CR520" s="268"/>
      <c r="CS520" s="268"/>
      <c r="CT520" s="268"/>
      <c r="CU520" s="268"/>
      <c r="CV520" s="268"/>
      <c r="CW520" s="268"/>
      <c r="CX520" s="268"/>
      <c r="CY520" s="268"/>
      <c r="CZ520" s="268"/>
    </row>
    <row r="521" spans="1:104" hidden="1" outlineLevel="1">
      <c r="A521" s="268"/>
      <c r="B521" s="268"/>
      <c r="C521" s="268"/>
      <c r="D521" s="268"/>
      <c r="E521" s="268"/>
      <c r="F521" s="268"/>
      <c r="G521" s="268"/>
      <c r="H521" s="268"/>
      <c r="I521" s="268"/>
      <c r="J521" s="271"/>
      <c r="K521" s="268"/>
      <c r="L521" s="268"/>
      <c r="M521" s="268"/>
      <c r="N521" s="268"/>
      <c r="O521" s="271"/>
      <c r="P521" s="268"/>
      <c r="Q521" s="268"/>
      <c r="R521" s="268"/>
      <c r="S521" s="268"/>
      <c r="T521" s="271"/>
      <c r="U521" s="268"/>
      <c r="V521" s="268"/>
      <c r="W521" s="268"/>
      <c r="X521" s="268"/>
      <c r="Y521" s="271"/>
      <c r="Z521" s="268"/>
      <c r="AA521" s="268"/>
      <c r="AB521" s="268"/>
      <c r="AC521" s="268"/>
      <c r="AD521" s="302"/>
      <c r="AE521" s="268"/>
      <c r="AF521" s="268"/>
      <c r="AG521" s="268"/>
      <c r="AH521" s="268"/>
      <c r="AI521" s="302"/>
      <c r="AJ521" s="268"/>
      <c r="AK521" s="268"/>
      <c r="AL521" s="268"/>
      <c r="AM521" s="268"/>
      <c r="AN521" s="302"/>
      <c r="AO521" s="302"/>
      <c r="AP521" s="302"/>
      <c r="AQ521" s="302"/>
      <c r="AR521" s="302"/>
      <c r="AS521" s="271"/>
      <c r="AT521" s="271"/>
      <c r="AU521" s="271"/>
      <c r="AV521" s="271"/>
      <c r="AW521" s="271"/>
      <c r="AX521" s="271"/>
      <c r="AY521" s="302"/>
      <c r="AZ521" s="302"/>
      <c r="BA521" s="302"/>
      <c r="BB521" s="116"/>
      <c r="BC521" s="116"/>
      <c r="BD521" s="116"/>
      <c r="BE521" s="116"/>
      <c r="BF521" s="116"/>
      <c r="BG521" s="116"/>
      <c r="BH521" s="268"/>
      <c r="BI521" s="268"/>
      <c r="BJ521" s="268"/>
      <c r="BK521" s="268"/>
      <c r="BL521" s="268"/>
      <c r="BM521" s="268"/>
      <c r="BN521" s="268"/>
      <c r="BO521" s="268"/>
      <c r="BP521" s="268"/>
      <c r="BQ521" s="268"/>
      <c r="BR521" s="268"/>
      <c r="BS521" s="268"/>
      <c r="BT521" s="268"/>
      <c r="BU521" s="268"/>
      <c r="BV521" s="268"/>
      <c r="BW521" s="268"/>
      <c r="BX521" s="268"/>
      <c r="BY521" s="268"/>
      <c r="BZ521" s="268"/>
      <c r="CA521" s="268"/>
      <c r="CB521" s="268"/>
      <c r="CC521" s="268"/>
      <c r="CD521" s="268"/>
      <c r="CE521" s="268"/>
      <c r="CF521" s="268"/>
      <c r="CG521" s="268"/>
      <c r="CH521" s="268"/>
      <c r="CI521" s="268"/>
      <c r="CJ521" s="268"/>
      <c r="CK521" s="268"/>
      <c r="CL521" s="268"/>
      <c r="CM521" s="268"/>
      <c r="CN521" s="268"/>
      <c r="CO521" s="268"/>
      <c r="CP521" s="268"/>
      <c r="CQ521" s="268"/>
      <c r="CR521" s="268"/>
      <c r="CS521" s="268"/>
      <c r="CT521" s="268"/>
      <c r="CU521" s="268"/>
      <c r="CV521" s="268"/>
      <c r="CW521" s="268"/>
      <c r="CX521" s="268"/>
      <c r="CY521" s="268"/>
      <c r="CZ521" s="268"/>
    </row>
    <row r="522" spans="1:104" hidden="1" outlineLevel="1">
      <c r="A522" s="268"/>
      <c r="B522" s="271" t="s">
        <v>588</v>
      </c>
      <c r="C522" s="268"/>
      <c r="D522" s="268"/>
      <c r="E522" s="268"/>
      <c r="F522" s="268"/>
      <c r="G522" s="268"/>
      <c r="H522" s="268"/>
      <c r="I522" s="268"/>
      <c r="J522" s="271"/>
      <c r="K522" s="268"/>
      <c r="L522" s="268"/>
      <c r="M522" s="268"/>
      <c r="N522" s="268"/>
      <c r="O522" s="271"/>
      <c r="P522" s="268"/>
      <c r="Q522" s="268"/>
      <c r="R522" s="268"/>
      <c r="S522" s="268"/>
      <c r="T522" s="271"/>
      <c r="U522" s="268"/>
      <c r="V522" s="268"/>
      <c r="W522" s="268"/>
      <c r="X522" s="268"/>
      <c r="Y522" s="271"/>
      <c r="Z522" s="268"/>
      <c r="AA522" s="268"/>
      <c r="AB522" s="268"/>
      <c r="AC522" s="268"/>
      <c r="AD522" s="302"/>
      <c r="AE522" s="268"/>
      <c r="AF522" s="268"/>
      <c r="AG522" s="268"/>
      <c r="AH522" s="268"/>
      <c r="AI522" s="302"/>
      <c r="AJ522" s="268"/>
      <c r="AK522" s="268"/>
      <c r="AL522" s="268"/>
      <c r="AM522" s="268"/>
      <c r="AN522" s="302"/>
      <c r="AO522" s="302"/>
      <c r="AP522" s="302"/>
      <c r="AQ522" s="302"/>
      <c r="AR522" s="302"/>
      <c r="AS522" s="271"/>
      <c r="AT522" s="271"/>
      <c r="AU522" s="271"/>
      <c r="AV522" s="271"/>
      <c r="AW522" s="271"/>
      <c r="AX522" s="271"/>
      <c r="AY522" s="302"/>
      <c r="AZ522" s="302"/>
      <c r="BA522" s="302"/>
      <c r="BB522" s="116"/>
      <c r="BC522" s="116"/>
      <c r="BD522" s="116"/>
      <c r="BE522" s="116"/>
      <c r="BF522" s="116"/>
      <c r="BG522" s="116"/>
      <c r="BH522" s="268"/>
      <c r="BI522" s="268"/>
      <c r="BJ522" s="268"/>
      <c r="BK522" s="268"/>
      <c r="BL522" s="268"/>
      <c r="BM522" s="268"/>
      <c r="BN522" s="268"/>
      <c r="BO522" s="268"/>
      <c r="BP522" s="268"/>
      <c r="BQ522" s="268"/>
      <c r="BR522" s="268"/>
      <c r="BS522" s="268"/>
      <c r="BT522" s="268"/>
      <c r="BU522" s="268"/>
      <c r="BV522" s="268"/>
      <c r="BW522" s="268"/>
      <c r="BX522" s="268"/>
      <c r="BY522" s="268"/>
      <c r="BZ522" s="268"/>
      <c r="CA522" s="268"/>
      <c r="CB522" s="268"/>
      <c r="CC522" s="268"/>
      <c r="CD522" s="268"/>
      <c r="CE522" s="268"/>
      <c r="CF522" s="268"/>
      <c r="CG522" s="268"/>
      <c r="CH522" s="268"/>
      <c r="CI522" s="268"/>
      <c r="CJ522" s="268"/>
      <c r="CK522" s="268"/>
      <c r="CL522" s="268"/>
      <c r="CM522" s="268"/>
      <c r="CN522" s="268"/>
      <c r="CO522" s="268"/>
      <c r="CP522" s="268"/>
      <c r="CQ522" s="268"/>
      <c r="CR522" s="268"/>
      <c r="CS522" s="268"/>
      <c r="CT522" s="268"/>
      <c r="CU522" s="268"/>
      <c r="CV522" s="268"/>
      <c r="CW522" s="268"/>
      <c r="CX522" s="268"/>
      <c r="CY522" s="268"/>
      <c r="CZ522" s="268"/>
    </row>
    <row r="523" spans="1:104" hidden="1" outlineLevel="1">
      <c r="A523" s="268"/>
      <c r="B523" s="268" t="s">
        <v>587</v>
      </c>
      <c r="C523" s="268"/>
      <c r="D523" s="268"/>
      <c r="E523" s="268"/>
      <c r="F523" s="268"/>
      <c r="G523" s="268"/>
      <c r="H523" s="268"/>
      <c r="I523" s="268"/>
      <c r="J523" s="271"/>
      <c r="K523" s="268"/>
      <c r="L523" s="268"/>
      <c r="M523" s="268"/>
      <c r="N523" s="268"/>
      <c r="O523" s="271"/>
      <c r="P523" s="268"/>
      <c r="Q523" s="268"/>
      <c r="R523" s="268"/>
      <c r="S523" s="268"/>
      <c r="T523" s="271"/>
      <c r="U523" s="268"/>
      <c r="V523" s="268"/>
      <c r="W523" s="268"/>
      <c r="X523" s="268"/>
      <c r="Y523" s="271"/>
      <c r="Z523" s="268"/>
      <c r="AA523" s="268"/>
      <c r="AB523" s="268"/>
      <c r="AC523" s="268"/>
      <c r="AD523" s="302"/>
      <c r="AE523" s="268"/>
      <c r="AF523" s="268"/>
      <c r="AG523" s="268"/>
      <c r="AH523" s="268"/>
      <c r="AI523" s="302"/>
      <c r="AJ523" s="268"/>
      <c r="AK523" s="268"/>
      <c r="AL523" s="268"/>
      <c r="AM523" s="268"/>
      <c r="AN523" s="302"/>
      <c r="AO523" s="302"/>
      <c r="AP523" s="302"/>
      <c r="AQ523" s="302"/>
      <c r="AR523" s="302"/>
      <c r="AS523" s="1012">
        <v>0.27</v>
      </c>
      <c r="AT523" s="271"/>
      <c r="AU523" s="271"/>
      <c r="AV523" s="271"/>
      <c r="AW523" s="271"/>
      <c r="AX523" s="271"/>
      <c r="AY523" s="302"/>
      <c r="AZ523" s="302"/>
      <c r="BA523" s="302"/>
      <c r="BB523" s="116"/>
      <c r="BC523" s="116"/>
      <c r="BD523" s="116"/>
      <c r="BE523" s="116"/>
      <c r="BF523" s="116"/>
      <c r="BG523" s="116"/>
      <c r="BH523" s="268"/>
      <c r="BI523" s="268"/>
      <c r="BJ523" s="268"/>
      <c r="BK523" s="268"/>
      <c r="BL523" s="268"/>
      <c r="BM523" s="268"/>
      <c r="BN523" s="268"/>
      <c r="BO523" s="268"/>
      <c r="BP523" s="268"/>
      <c r="BQ523" s="268"/>
      <c r="BR523" s="268"/>
      <c r="BS523" s="268"/>
      <c r="BT523" s="268"/>
      <c r="BU523" s="268"/>
      <c r="BV523" s="268"/>
      <c r="BW523" s="268"/>
      <c r="BX523" s="268"/>
      <c r="BY523" s="268"/>
      <c r="BZ523" s="268"/>
      <c r="CA523" s="268"/>
      <c r="CB523" s="268"/>
      <c r="CC523" s="268"/>
      <c r="CD523" s="268"/>
      <c r="CE523" s="268"/>
      <c r="CF523" s="268"/>
      <c r="CG523" s="268"/>
      <c r="CH523" s="268"/>
      <c r="CI523" s="268"/>
      <c r="CJ523" s="268"/>
      <c r="CK523" s="268"/>
      <c r="CL523" s="268"/>
      <c r="CM523" s="268"/>
      <c r="CN523" s="268"/>
      <c r="CO523" s="268"/>
      <c r="CP523" s="268"/>
      <c r="CQ523" s="268"/>
      <c r="CR523" s="268"/>
      <c r="CS523" s="268"/>
      <c r="CT523" s="268"/>
      <c r="CU523" s="268"/>
      <c r="CV523" s="268"/>
      <c r="CW523" s="268"/>
      <c r="CX523" s="268"/>
      <c r="CY523" s="268"/>
      <c r="CZ523" s="268"/>
    </row>
    <row r="524" spans="1:104" hidden="1" outlineLevel="1">
      <c r="A524" s="268"/>
      <c r="B524" s="268" t="s">
        <v>586</v>
      </c>
      <c r="C524" s="268"/>
      <c r="D524" s="268"/>
      <c r="E524" s="268"/>
      <c r="F524" s="268"/>
      <c r="G524" s="268"/>
      <c r="H524" s="268"/>
      <c r="I524" s="268"/>
      <c r="J524" s="271"/>
      <c r="K524" s="268"/>
      <c r="L524" s="268"/>
      <c r="M524" s="268"/>
      <c r="N524" s="268"/>
      <c r="O524" s="271"/>
      <c r="P524" s="268"/>
      <c r="Q524" s="268"/>
      <c r="R524" s="268"/>
      <c r="S524" s="268"/>
      <c r="T524" s="271"/>
      <c r="U524" s="268"/>
      <c r="V524" s="268"/>
      <c r="W524" s="268"/>
      <c r="X524" s="268"/>
      <c r="Y524" s="271"/>
      <c r="Z524" s="268"/>
      <c r="AA524" s="268"/>
      <c r="AB524" s="268"/>
      <c r="AC524" s="268"/>
      <c r="AD524" s="302"/>
      <c r="AE524" s="268"/>
      <c r="AF524" s="268"/>
      <c r="AG524" s="268"/>
      <c r="AH524" s="268"/>
      <c r="AI524" s="302"/>
      <c r="AJ524" s="268"/>
      <c r="AK524" s="268"/>
      <c r="AL524" s="268"/>
      <c r="AM524" s="268"/>
      <c r="AN524" s="302"/>
      <c r="AO524" s="302"/>
      <c r="AP524" s="302"/>
      <c r="AQ524" s="302"/>
      <c r="AR524" s="302"/>
      <c r="AS524" s="1012">
        <f>1-AS523</f>
        <v>0.73</v>
      </c>
      <c r="AT524" s="271"/>
      <c r="AU524" s="271"/>
      <c r="AV524" s="271"/>
      <c r="AW524" s="271"/>
      <c r="AX524" s="271"/>
      <c r="AY524" s="302"/>
      <c r="AZ524" s="302"/>
      <c r="BA524" s="302"/>
      <c r="BB524" s="116"/>
      <c r="BC524" s="116"/>
      <c r="BD524" s="116"/>
      <c r="BE524" s="116"/>
      <c r="BF524" s="116"/>
      <c r="BG524" s="116"/>
      <c r="BH524" s="268"/>
      <c r="BI524" s="268"/>
      <c r="BJ524" s="268"/>
      <c r="BK524" s="268"/>
      <c r="BL524" s="268"/>
      <c r="BM524" s="268"/>
      <c r="BN524" s="268"/>
      <c r="BO524" s="268"/>
      <c r="BP524" s="268"/>
      <c r="BQ524" s="268"/>
      <c r="BR524" s="268"/>
      <c r="BS524" s="268"/>
      <c r="BT524" s="268"/>
      <c r="BU524" s="268"/>
      <c r="BV524" s="268"/>
      <c r="BW524" s="268"/>
      <c r="BX524" s="268"/>
      <c r="BY524" s="268"/>
      <c r="BZ524" s="268"/>
      <c r="CA524" s="268"/>
      <c r="CB524" s="268"/>
      <c r="CC524" s="268"/>
      <c r="CD524" s="268"/>
      <c r="CE524" s="268"/>
      <c r="CF524" s="268"/>
      <c r="CG524" s="268"/>
      <c r="CH524" s="268"/>
      <c r="CI524" s="268"/>
      <c r="CJ524" s="268"/>
      <c r="CK524" s="268"/>
      <c r="CL524" s="268"/>
      <c r="CM524" s="268"/>
      <c r="CN524" s="268"/>
      <c r="CO524" s="268"/>
      <c r="CP524" s="268"/>
      <c r="CQ524" s="268"/>
      <c r="CR524" s="268"/>
      <c r="CS524" s="268"/>
      <c r="CT524" s="268"/>
      <c r="CU524" s="268"/>
      <c r="CV524" s="268"/>
      <c r="CW524" s="268"/>
      <c r="CX524" s="268"/>
      <c r="CY524" s="268"/>
      <c r="CZ524" s="268"/>
    </row>
    <row r="525" spans="1:104" hidden="1" outlineLevel="1">
      <c r="A525" s="268"/>
      <c r="B525" s="268"/>
      <c r="C525" s="268"/>
      <c r="D525" s="268"/>
      <c r="E525" s="268"/>
      <c r="F525" s="268"/>
      <c r="G525" s="268"/>
      <c r="H525" s="268"/>
      <c r="I525" s="268"/>
      <c r="J525" s="271"/>
      <c r="K525" s="268"/>
      <c r="L525" s="268"/>
      <c r="M525" s="268"/>
      <c r="N525" s="268"/>
      <c r="O525" s="271"/>
      <c r="P525" s="268"/>
      <c r="Q525" s="268"/>
      <c r="R525" s="268"/>
      <c r="S525" s="268"/>
      <c r="T525" s="271"/>
      <c r="U525" s="268"/>
      <c r="V525" s="268"/>
      <c r="W525" s="268"/>
      <c r="X525" s="268"/>
      <c r="Y525" s="271"/>
      <c r="Z525" s="268"/>
      <c r="AA525" s="268"/>
      <c r="AB525" s="268"/>
      <c r="AC525" s="268"/>
      <c r="AD525" s="302"/>
      <c r="AE525" s="268"/>
      <c r="AF525" s="268"/>
      <c r="AG525" s="268"/>
      <c r="AH525" s="268"/>
      <c r="AI525" s="302"/>
      <c r="AJ525" s="268"/>
      <c r="AK525" s="268"/>
      <c r="AL525" s="268"/>
      <c r="AM525" s="268"/>
      <c r="AN525" s="302"/>
      <c r="AO525" s="302"/>
      <c r="AP525" s="302"/>
      <c r="AQ525" s="302"/>
      <c r="AR525" s="302"/>
      <c r="AS525" s="271"/>
      <c r="AT525" s="271"/>
      <c r="AU525" s="271"/>
      <c r="AV525" s="271"/>
      <c r="AW525" s="271"/>
      <c r="AX525" s="271"/>
      <c r="AY525" s="302"/>
      <c r="AZ525" s="302"/>
      <c r="BA525" s="302"/>
      <c r="BB525" s="116"/>
      <c r="BC525" s="116"/>
      <c r="BD525" s="116"/>
      <c r="BE525" s="116"/>
      <c r="BF525" s="116"/>
      <c r="BG525" s="116"/>
      <c r="BH525" s="268"/>
      <c r="BI525" s="268"/>
      <c r="BJ525" s="268"/>
      <c r="BK525" s="268"/>
      <c r="BL525" s="268"/>
      <c r="BM525" s="268"/>
      <c r="BN525" s="268"/>
      <c r="BO525" s="268"/>
      <c r="BP525" s="268"/>
      <c r="BQ525" s="268"/>
      <c r="BR525" s="268"/>
      <c r="BS525" s="268"/>
      <c r="BT525" s="268"/>
      <c r="BU525" s="268"/>
      <c r="BV525" s="268"/>
      <c r="BW525" s="268"/>
      <c r="BX525" s="268"/>
      <c r="BY525" s="268"/>
      <c r="BZ525" s="268"/>
      <c r="CA525" s="268"/>
      <c r="CB525" s="268"/>
      <c r="CC525" s="268"/>
      <c r="CD525" s="268"/>
      <c r="CE525" s="268"/>
      <c r="CF525" s="268"/>
      <c r="CG525" s="268"/>
      <c r="CH525" s="268"/>
      <c r="CI525" s="268"/>
      <c r="CJ525" s="268"/>
      <c r="CK525" s="268"/>
      <c r="CL525" s="268"/>
      <c r="CM525" s="268"/>
      <c r="CN525" s="268"/>
      <c r="CO525" s="268"/>
      <c r="CP525" s="268"/>
      <c r="CQ525" s="268"/>
      <c r="CR525" s="268"/>
      <c r="CS525" s="268"/>
      <c r="CT525" s="268"/>
      <c r="CU525" s="268"/>
      <c r="CV525" s="268"/>
      <c r="CW525" s="268"/>
      <c r="CX525" s="268"/>
      <c r="CY525" s="268"/>
      <c r="CZ525" s="268"/>
    </row>
    <row r="526" spans="1:104" hidden="1" outlineLevel="1">
      <c r="A526" s="268"/>
      <c r="B526" s="271" t="s">
        <v>585</v>
      </c>
      <c r="C526" s="268"/>
      <c r="D526" s="268"/>
      <c r="E526" s="268"/>
      <c r="F526" s="268"/>
      <c r="G526" s="268"/>
      <c r="H526" s="268"/>
      <c r="I526" s="268"/>
      <c r="J526" s="271"/>
      <c r="K526" s="268"/>
      <c r="L526" s="268"/>
      <c r="M526" s="268"/>
      <c r="N526" s="268"/>
      <c r="O526" s="271"/>
      <c r="P526" s="268"/>
      <c r="Q526" s="268"/>
      <c r="R526" s="268"/>
      <c r="S526" s="268"/>
      <c r="T526" s="271"/>
      <c r="U526" s="268"/>
      <c r="V526" s="268"/>
      <c r="W526" s="268"/>
      <c r="X526" s="268"/>
      <c r="Y526" s="271"/>
      <c r="Z526" s="268"/>
      <c r="AA526" s="268"/>
      <c r="AB526" s="268"/>
      <c r="AC526" s="268"/>
      <c r="AD526" s="302"/>
      <c r="AE526" s="268"/>
      <c r="AF526" s="268"/>
      <c r="AG526" s="268"/>
      <c r="AH526" s="268"/>
      <c r="AI526" s="302"/>
      <c r="AJ526" s="268"/>
      <c r="AK526" s="268"/>
      <c r="AL526" s="268"/>
      <c r="AM526" s="268"/>
      <c r="AN526" s="302"/>
      <c r="AO526" s="302"/>
      <c r="AP526" s="302"/>
      <c r="AQ526" s="302"/>
      <c r="AR526" s="302"/>
      <c r="AS526" s="271"/>
      <c r="AT526" s="271"/>
      <c r="AU526" s="271"/>
      <c r="AV526" s="271"/>
      <c r="AW526" s="271"/>
      <c r="AX526" s="271"/>
      <c r="AY526" s="302"/>
      <c r="AZ526" s="302"/>
      <c r="BA526" s="302"/>
      <c r="BB526" s="116"/>
      <c r="BC526" s="116"/>
      <c r="BD526" s="116"/>
      <c r="BE526" s="116"/>
      <c r="BF526" s="116"/>
      <c r="BG526" s="116"/>
      <c r="BH526" s="268"/>
      <c r="BI526" s="268"/>
      <c r="BJ526" s="268"/>
      <c r="BK526" s="268"/>
      <c r="BL526" s="268"/>
      <c r="BM526" s="268"/>
      <c r="BN526" s="268"/>
      <c r="BO526" s="268"/>
      <c r="BP526" s="268"/>
      <c r="BQ526" s="268"/>
      <c r="BR526" s="268"/>
      <c r="BS526" s="268"/>
      <c r="BT526" s="268"/>
      <c r="BU526" s="268"/>
      <c r="BV526" s="268"/>
      <c r="BW526" s="268"/>
      <c r="BX526" s="268"/>
      <c r="BY526" s="268"/>
      <c r="BZ526" s="268"/>
      <c r="CA526" s="268"/>
      <c r="CB526" s="268"/>
      <c r="CC526" s="268"/>
      <c r="CD526" s="268"/>
      <c r="CE526" s="268"/>
      <c r="CF526" s="268"/>
      <c r="CG526" s="268"/>
      <c r="CH526" s="268"/>
      <c r="CI526" s="268"/>
      <c r="CJ526" s="268"/>
      <c r="CK526" s="268"/>
      <c r="CL526" s="268"/>
      <c r="CM526" s="268"/>
      <c r="CN526" s="268"/>
      <c r="CO526" s="268"/>
      <c r="CP526" s="268"/>
      <c r="CQ526" s="268"/>
      <c r="CR526" s="268"/>
      <c r="CS526" s="268"/>
      <c r="CT526" s="268"/>
      <c r="CU526" s="268"/>
      <c r="CV526" s="268"/>
      <c r="CW526" s="268"/>
      <c r="CX526" s="268"/>
      <c r="CY526" s="268"/>
      <c r="CZ526" s="268"/>
    </row>
    <row r="527" spans="1:104" hidden="1" outlineLevel="1">
      <c r="A527" s="268"/>
      <c r="B527" s="1023" t="s">
        <v>309</v>
      </c>
      <c r="C527" s="268"/>
      <c r="D527" s="268"/>
      <c r="E527" s="268"/>
      <c r="F527" s="268"/>
      <c r="G527" s="268"/>
      <c r="H527" s="268"/>
      <c r="I527" s="268"/>
      <c r="J527" s="271"/>
      <c r="K527" s="268"/>
      <c r="L527" s="268"/>
      <c r="M527" s="268"/>
      <c r="N527" s="268"/>
      <c r="O527" s="271"/>
      <c r="P527" s="268"/>
      <c r="Q527" s="268"/>
      <c r="R527" s="268"/>
      <c r="S527" s="268"/>
      <c r="T527" s="271"/>
      <c r="U527" s="268"/>
      <c r="V527" s="268"/>
      <c r="W527" s="268"/>
      <c r="X527" s="268"/>
      <c r="Y527" s="271"/>
      <c r="Z527" s="268"/>
      <c r="AA527" s="268"/>
      <c r="AB527" s="268"/>
      <c r="AC527" s="268"/>
      <c r="AD527" s="302"/>
      <c r="AE527" s="268"/>
      <c r="AF527" s="268"/>
      <c r="AG527" s="268"/>
      <c r="AH527" s="268"/>
      <c r="AI527" s="302"/>
      <c r="AJ527" s="268"/>
      <c r="AK527" s="268"/>
      <c r="AL527" s="268"/>
      <c r="AM527" s="268"/>
      <c r="AN527" s="302"/>
      <c r="AO527" s="302"/>
      <c r="AP527" s="302"/>
      <c r="AQ527" s="302"/>
      <c r="AR527" s="302"/>
      <c r="AS527" s="268">
        <v>2.2999999999999998</v>
      </c>
      <c r="AT527" s="271"/>
      <c r="AU527" s="271"/>
      <c r="AV527" s="271"/>
      <c r="AW527" s="271"/>
      <c r="AX527" s="271"/>
      <c r="AY527" s="302"/>
      <c r="AZ527" s="302"/>
      <c r="BA527" s="302"/>
      <c r="BB527" s="116"/>
      <c r="BC527" s="116"/>
      <c r="BD527" s="116"/>
      <c r="BE527" s="116"/>
      <c r="BF527" s="116"/>
      <c r="BG527" s="116"/>
      <c r="BH527" s="268"/>
      <c r="BI527" s="268"/>
      <c r="BJ527" s="268"/>
      <c r="BK527" s="268"/>
      <c r="BL527" s="268"/>
      <c r="BM527" s="268"/>
      <c r="BN527" s="268"/>
      <c r="BO527" s="268"/>
      <c r="BP527" s="268"/>
      <c r="BQ527" s="268"/>
      <c r="BR527" s="268"/>
      <c r="BS527" s="268"/>
      <c r="BT527" s="268"/>
      <c r="BU527" s="268"/>
      <c r="BV527" s="268"/>
      <c r="BW527" s="268"/>
      <c r="BX527" s="268"/>
      <c r="BY527" s="268"/>
      <c r="BZ527" s="268"/>
      <c r="CA527" s="268"/>
      <c r="CB527" s="268"/>
      <c r="CC527" s="268"/>
      <c r="CD527" s="268"/>
      <c r="CE527" s="268"/>
      <c r="CF527" s="268"/>
      <c r="CG527" s="268"/>
      <c r="CH527" s="268"/>
      <c r="CI527" s="268"/>
      <c r="CJ527" s="268"/>
      <c r="CK527" s="268"/>
      <c r="CL527" s="268"/>
      <c r="CM527" s="268"/>
      <c r="CN527" s="268"/>
      <c r="CO527" s="268"/>
      <c r="CP527" s="268"/>
      <c r="CQ527" s="268"/>
      <c r="CR527" s="268"/>
      <c r="CS527" s="268"/>
      <c r="CT527" s="268"/>
      <c r="CU527" s="268"/>
      <c r="CV527" s="268"/>
      <c r="CW527" s="268"/>
      <c r="CX527" s="268"/>
      <c r="CY527" s="268"/>
      <c r="CZ527" s="268"/>
    </row>
    <row r="528" spans="1:104" hidden="1" outlineLevel="1">
      <c r="A528" s="268"/>
      <c r="B528" s="1023" t="s">
        <v>165</v>
      </c>
      <c r="C528" s="268"/>
      <c r="D528" s="268"/>
      <c r="E528" s="268"/>
      <c r="F528" s="268"/>
      <c r="G528" s="268"/>
      <c r="H528" s="268"/>
      <c r="I528" s="268"/>
      <c r="J528" s="271"/>
      <c r="K528" s="268"/>
      <c r="L528" s="268"/>
      <c r="M528" s="268"/>
      <c r="N528" s="268"/>
      <c r="O528" s="271"/>
      <c r="P528" s="268"/>
      <c r="Q528" s="268"/>
      <c r="R528" s="268"/>
      <c r="S528" s="268"/>
      <c r="T528" s="271"/>
      <c r="U528" s="268"/>
      <c r="V528" s="268"/>
      <c r="W528" s="268"/>
      <c r="X528" s="268"/>
      <c r="Y528" s="271"/>
      <c r="Z528" s="268"/>
      <c r="AA528" s="268"/>
      <c r="AB528" s="268"/>
      <c r="AC528" s="268"/>
      <c r="AD528" s="302"/>
      <c r="AE528" s="268"/>
      <c r="AF528" s="268"/>
      <c r="AG528" s="268"/>
      <c r="AH528" s="268"/>
      <c r="AI528" s="302"/>
      <c r="AJ528" s="268"/>
      <c r="AK528" s="268"/>
      <c r="AL528" s="268"/>
      <c r="AM528" s="268"/>
      <c r="AN528" s="302"/>
      <c r="AO528" s="302"/>
      <c r="AP528" s="302"/>
      <c r="AQ528" s="302"/>
      <c r="AR528" s="302"/>
      <c r="AS528" s="268">
        <v>1.2</v>
      </c>
      <c r="AT528" s="271"/>
      <c r="AU528" s="271"/>
      <c r="AV528" s="271"/>
      <c r="AW528" s="271"/>
      <c r="AX528" s="271"/>
      <c r="AY528" s="302"/>
      <c r="AZ528" s="302"/>
      <c r="BA528" s="302"/>
      <c r="BB528" s="116"/>
      <c r="BC528" s="116"/>
      <c r="BD528" s="116"/>
      <c r="BE528" s="116"/>
      <c r="BF528" s="116"/>
      <c r="BG528" s="116"/>
      <c r="BH528" s="268"/>
      <c r="BI528" s="268"/>
      <c r="BJ528" s="268"/>
      <c r="BK528" s="268"/>
      <c r="BL528" s="268"/>
      <c r="BM528" s="268"/>
      <c r="BN528" s="268"/>
      <c r="BO528" s="268"/>
      <c r="BP528" s="268"/>
      <c r="BQ528" s="268"/>
      <c r="BR528" s="268"/>
      <c r="BS528" s="268"/>
      <c r="BT528" s="268"/>
      <c r="BU528" s="268"/>
      <c r="BV528" s="268"/>
      <c r="BW528" s="268"/>
      <c r="BX528" s="268"/>
      <c r="BY528" s="268"/>
      <c r="BZ528" s="268"/>
      <c r="CA528" s="268"/>
      <c r="CB528" s="268"/>
      <c r="CC528" s="268"/>
      <c r="CD528" s="268"/>
      <c r="CE528" s="268"/>
      <c r="CF528" s="268"/>
      <c r="CG528" s="268"/>
      <c r="CH528" s="268"/>
      <c r="CI528" s="268"/>
      <c r="CJ528" s="268"/>
      <c r="CK528" s="268"/>
      <c r="CL528" s="268"/>
      <c r="CM528" s="268"/>
      <c r="CN528" s="268"/>
      <c r="CO528" s="268"/>
      <c r="CP528" s="268"/>
      <c r="CQ528" s="268"/>
      <c r="CR528" s="268"/>
      <c r="CS528" s="268"/>
      <c r="CT528" s="268"/>
      <c r="CU528" s="268"/>
      <c r="CV528" s="268"/>
      <c r="CW528" s="268"/>
      <c r="CX528" s="268"/>
      <c r="CY528" s="268"/>
      <c r="CZ528" s="268"/>
    </row>
    <row r="529" spans="1:104" hidden="1" outlineLevel="1">
      <c r="A529" s="268"/>
      <c r="B529" s="1023" t="s">
        <v>167</v>
      </c>
      <c r="C529" s="268"/>
      <c r="D529" s="268"/>
      <c r="E529" s="268"/>
      <c r="F529" s="268"/>
      <c r="G529" s="268"/>
      <c r="H529" s="268"/>
      <c r="I529" s="268"/>
      <c r="J529" s="271"/>
      <c r="K529" s="268"/>
      <c r="L529" s="268"/>
      <c r="M529" s="268"/>
      <c r="N529" s="268"/>
      <c r="O529" s="271"/>
      <c r="P529" s="268"/>
      <c r="Q529" s="268"/>
      <c r="R529" s="268"/>
      <c r="S529" s="268"/>
      <c r="T529" s="271"/>
      <c r="U529" s="268"/>
      <c r="V529" s="268"/>
      <c r="W529" s="268"/>
      <c r="X529" s="268"/>
      <c r="Y529" s="271"/>
      <c r="Z529" s="268"/>
      <c r="AA529" s="268"/>
      <c r="AB529" s="268"/>
      <c r="AC529" s="268"/>
      <c r="AD529" s="302"/>
      <c r="AE529" s="268"/>
      <c r="AF529" s="268"/>
      <c r="AG529" s="268"/>
      <c r="AH529" s="268"/>
      <c r="AI529" s="302"/>
      <c r="AJ529" s="268"/>
      <c r="AK529" s="268"/>
      <c r="AL529" s="268"/>
      <c r="AM529" s="268"/>
      <c r="AN529" s="302"/>
      <c r="AO529" s="302"/>
      <c r="AP529" s="302"/>
      <c r="AQ529" s="302"/>
      <c r="AR529" s="302"/>
      <c r="AS529" s="268">
        <v>1.4</v>
      </c>
      <c r="AT529" s="271"/>
      <c r="AU529" s="271"/>
      <c r="AV529" s="271"/>
      <c r="AW529" s="271"/>
      <c r="AX529" s="271"/>
      <c r="AY529" s="302"/>
      <c r="AZ529" s="302"/>
      <c r="BA529" s="302"/>
      <c r="BB529" s="116"/>
      <c r="BC529" s="116"/>
      <c r="BD529" s="116"/>
      <c r="BE529" s="116"/>
      <c r="BF529" s="116"/>
      <c r="BG529" s="116"/>
      <c r="BH529" s="268"/>
      <c r="BI529" s="268"/>
      <c r="BJ529" s="268"/>
      <c r="BK529" s="268"/>
      <c r="BL529" s="268"/>
      <c r="BM529" s="268"/>
      <c r="BN529" s="268"/>
      <c r="BO529" s="268"/>
      <c r="BP529" s="268"/>
      <c r="BQ529" s="268"/>
      <c r="BR529" s="268"/>
      <c r="BS529" s="268"/>
      <c r="BT529" s="268"/>
      <c r="BU529" s="268"/>
      <c r="BV529" s="268"/>
      <c r="BW529" s="268"/>
      <c r="BX529" s="268"/>
      <c r="BY529" s="268"/>
      <c r="BZ529" s="268"/>
      <c r="CA529" s="268"/>
      <c r="CB529" s="268"/>
      <c r="CC529" s="268"/>
      <c r="CD529" s="268"/>
      <c r="CE529" s="268"/>
      <c r="CF529" s="268"/>
      <c r="CG529" s="268"/>
      <c r="CH529" s="268"/>
      <c r="CI529" s="268"/>
      <c r="CJ529" s="268"/>
      <c r="CK529" s="268"/>
      <c r="CL529" s="268"/>
      <c r="CM529" s="268"/>
      <c r="CN529" s="268"/>
      <c r="CO529" s="268"/>
      <c r="CP529" s="268"/>
      <c r="CQ529" s="268"/>
      <c r="CR529" s="268"/>
      <c r="CS529" s="268"/>
      <c r="CT529" s="268"/>
      <c r="CU529" s="268"/>
      <c r="CV529" s="268"/>
      <c r="CW529" s="268"/>
      <c r="CX529" s="268"/>
      <c r="CY529" s="268"/>
      <c r="CZ529" s="268"/>
    </row>
    <row r="530" spans="1:104" hidden="1" outlineLevel="1">
      <c r="A530" s="268"/>
      <c r="B530" s="1023" t="s">
        <v>308</v>
      </c>
      <c r="C530" s="268"/>
      <c r="D530" s="268"/>
      <c r="E530" s="268"/>
      <c r="F530" s="268"/>
      <c r="G530" s="268"/>
      <c r="H530" s="268"/>
      <c r="I530" s="268"/>
      <c r="J530" s="271"/>
      <c r="K530" s="268"/>
      <c r="L530" s="268"/>
      <c r="M530" s="268"/>
      <c r="N530" s="268"/>
      <c r="O530" s="271"/>
      <c r="P530" s="268"/>
      <c r="Q530" s="268"/>
      <c r="R530" s="268"/>
      <c r="S530" s="268"/>
      <c r="T530" s="271"/>
      <c r="U530" s="268"/>
      <c r="V530" s="268"/>
      <c r="W530" s="268"/>
      <c r="X530" s="268"/>
      <c r="Y530" s="271"/>
      <c r="Z530" s="268"/>
      <c r="AA530" s="268"/>
      <c r="AB530" s="268"/>
      <c r="AC530" s="268"/>
      <c r="AD530" s="302"/>
      <c r="AE530" s="268"/>
      <c r="AF530" s="268"/>
      <c r="AG530" s="268"/>
      <c r="AH530" s="268"/>
      <c r="AI530" s="302"/>
      <c r="AJ530" s="268"/>
      <c r="AK530" s="268"/>
      <c r="AL530" s="268"/>
      <c r="AM530" s="268"/>
      <c r="AN530" s="302"/>
      <c r="AO530" s="302"/>
      <c r="AP530" s="302"/>
      <c r="AQ530" s="302"/>
      <c r="AR530" s="302"/>
      <c r="AS530" s="268">
        <v>6.6</v>
      </c>
      <c r="AT530" s="271"/>
      <c r="AU530" s="271"/>
      <c r="AV530" s="271"/>
      <c r="AW530" s="271"/>
      <c r="AX530" s="271"/>
      <c r="AY530" s="302"/>
      <c r="AZ530" s="302"/>
      <c r="BA530" s="302"/>
      <c r="BB530" s="116"/>
      <c r="BC530" s="116"/>
      <c r="BD530" s="116"/>
      <c r="BE530" s="116"/>
      <c r="BF530" s="116"/>
      <c r="BG530" s="116"/>
      <c r="BH530" s="268"/>
      <c r="BI530" s="268"/>
      <c r="BJ530" s="268"/>
      <c r="BK530" s="268"/>
      <c r="BL530" s="268"/>
      <c r="BM530" s="268"/>
      <c r="BN530" s="268"/>
      <c r="BO530" s="268"/>
      <c r="BP530" s="268"/>
      <c r="BQ530" s="268"/>
      <c r="BR530" s="268"/>
      <c r="BS530" s="268"/>
      <c r="BT530" s="268"/>
      <c r="BU530" s="268"/>
      <c r="BV530" s="268"/>
      <c r="BW530" s="268"/>
      <c r="BX530" s="268"/>
      <c r="BY530" s="268"/>
      <c r="BZ530" s="268"/>
      <c r="CA530" s="268"/>
      <c r="CB530" s="268"/>
      <c r="CC530" s="268"/>
      <c r="CD530" s="268"/>
      <c r="CE530" s="268"/>
      <c r="CF530" s="268"/>
      <c r="CG530" s="268"/>
      <c r="CH530" s="268"/>
      <c r="CI530" s="268"/>
      <c r="CJ530" s="268"/>
      <c r="CK530" s="268"/>
      <c r="CL530" s="268"/>
      <c r="CM530" s="268"/>
      <c r="CN530" s="268"/>
      <c r="CO530" s="268"/>
      <c r="CP530" s="268"/>
      <c r="CQ530" s="268"/>
      <c r="CR530" s="268"/>
      <c r="CS530" s="268"/>
      <c r="CT530" s="268"/>
      <c r="CU530" s="268"/>
      <c r="CV530" s="268"/>
      <c r="CW530" s="268"/>
      <c r="CX530" s="268"/>
      <c r="CY530" s="268"/>
      <c r="CZ530" s="268"/>
    </row>
    <row r="531" spans="1:104" hidden="1" outlineLevel="1">
      <c r="A531" s="268"/>
      <c r="B531" s="1023" t="s">
        <v>306</v>
      </c>
      <c r="C531" s="268"/>
      <c r="D531" s="268"/>
      <c r="E531" s="268"/>
      <c r="F531" s="268"/>
      <c r="G531" s="268"/>
      <c r="H531" s="268"/>
      <c r="I531" s="268"/>
      <c r="J531" s="271"/>
      <c r="K531" s="268"/>
      <c r="L531" s="268"/>
      <c r="M531" s="268"/>
      <c r="N531" s="268"/>
      <c r="O531" s="271"/>
      <c r="P531" s="268"/>
      <c r="Q531" s="268"/>
      <c r="R531" s="268"/>
      <c r="S531" s="268"/>
      <c r="T531" s="271"/>
      <c r="U531" s="268"/>
      <c r="V531" s="268"/>
      <c r="W531" s="268"/>
      <c r="X531" s="268"/>
      <c r="Y531" s="271"/>
      <c r="Z531" s="268"/>
      <c r="AA531" s="268"/>
      <c r="AB531" s="268"/>
      <c r="AC531" s="268"/>
      <c r="AD531" s="302"/>
      <c r="AE531" s="268"/>
      <c r="AF531" s="268"/>
      <c r="AG531" s="268"/>
      <c r="AH531" s="268"/>
      <c r="AI531" s="302"/>
      <c r="AJ531" s="268"/>
      <c r="AK531" s="268"/>
      <c r="AL531" s="268"/>
      <c r="AM531" s="268"/>
      <c r="AN531" s="302"/>
      <c r="AO531" s="302"/>
      <c r="AP531" s="302"/>
      <c r="AQ531" s="302"/>
      <c r="AR531" s="302"/>
      <c r="AS531" s="268">
        <v>1.8</v>
      </c>
      <c r="AT531" s="271"/>
      <c r="AU531" s="271"/>
      <c r="AV531" s="271"/>
      <c r="AW531" s="271"/>
      <c r="AX531" s="271"/>
      <c r="AY531" s="302"/>
      <c r="AZ531" s="302"/>
      <c r="BA531" s="302"/>
      <c r="BB531" s="116"/>
      <c r="BC531" s="116"/>
      <c r="BD531" s="116"/>
      <c r="BE531" s="116"/>
      <c r="BF531" s="116"/>
      <c r="BG531" s="116"/>
      <c r="BH531" s="268"/>
      <c r="BI531" s="268"/>
      <c r="BJ531" s="268"/>
      <c r="BK531" s="268"/>
      <c r="BL531" s="268"/>
      <c r="BM531" s="268"/>
      <c r="BN531" s="268"/>
      <c r="BO531" s="268"/>
      <c r="BP531" s="268"/>
      <c r="BQ531" s="268"/>
      <c r="BR531" s="268"/>
      <c r="BS531" s="268"/>
      <c r="BT531" s="268"/>
      <c r="BU531" s="268"/>
      <c r="BV531" s="268"/>
      <c r="BW531" s="268"/>
      <c r="BX531" s="268"/>
      <c r="BY531" s="268"/>
      <c r="BZ531" s="268"/>
      <c r="CA531" s="268"/>
      <c r="CB531" s="268"/>
      <c r="CC531" s="268"/>
      <c r="CD531" s="268"/>
      <c r="CE531" s="268"/>
      <c r="CF531" s="268"/>
      <c r="CG531" s="268"/>
      <c r="CH531" s="268"/>
      <c r="CI531" s="268"/>
      <c r="CJ531" s="268"/>
      <c r="CK531" s="268"/>
      <c r="CL531" s="268"/>
      <c r="CM531" s="268"/>
      <c r="CN531" s="268"/>
      <c r="CO531" s="268"/>
      <c r="CP531" s="268"/>
      <c r="CQ531" s="268"/>
      <c r="CR531" s="268"/>
      <c r="CS531" s="268"/>
      <c r="CT531" s="268"/>
      <c r="CU531" s="268"/>
      <c r="CV531" s="268"/>
      <c r="CW531" s="268"/>
      <c r="CX531" s="268"/>
      <c r="CY531" s="268"/>
      <c r="CZ531" s="268"/>
    </row>
    <row r="532" spans="1:104" hidden="1" outlineLevel="1">
      <c r="A532" s="268"/>
      <c r="B532" s="1023" t="s">
        <v>163</v>
      </c>
      <c r="C532" s="268"/>
      <c r="D532" s="268"/>
      <c r="E532" s="268"/>
      <c r="F532" s="268"/>
      <c r="G532" s="268"/>
      <c r="H532" s="268"/>
      <c r="I532" s="268"/>
      <c r="J532" s="271"/>
      <c r="K532" s="268"/>
      <c r="L532" s="268"/>
      <c r="M532" s="268"/>
      <c r="N532" s="268"/>
      <c r="O532" s="271"/>
      <c r="P532" s="268"/>
      <c r="Q532" s="268"/>
      <c r="R532" s="268"/>
      <c r="S532" s="268"/>
      <c r="T532" s="271"/>
      <c r="U532" s="268"/>
      <c r="V532" s="268"/>
      <c r="W532" s="268"/>
      <c r="X532" s="268"/>
      <c r="Y532" s="271"/>
      <c r="Z532" s="268"/>
      <c r="AA532" s="268"/>
      <c r="AB532" s="268"/>
      <c r="AC532" s="268"/>
      <c r="AD532" s="302"/>
      <c r="AE532" s="268"/>
      <c r="AF532" s="268"/>
      <c r="AG532" s="268"/>
      <c r="AH532" s="268"/>
      <c r="AI532" s="302"/>
      <c r="AJ532" s="268"/>
      <c r="AK532" s="268"/>
      <c r="AL532" s="268"/>
      <c r="AM532" s="268"/>
      <c r="AN532" s="302"/>
      <c r="AO532" s="302"/>
      <c r="AP532" s="302"/>
      <c r="AQ532" s="302"/>
      <c r="AR532" s="302"/>
      <c r="AS532" s="268">
        <v>0.4</v>
      </c>
      <c r="AT532" s="271"/>
      <c r="AU532" s="271"/>
      <c r="AV532" s="271"/>
      <c r="AW532" s="271"/>
      <c r="AX532" s="271"/>
      <c r="AY532" s="302"/>
      <c r="AZ532" s="302"/>
      <c r="BA532" s="302"/>
      <c r="BB532" s="116"/>
      <c r="BC532" s="116"/>
      <c r="BD532" s="116"/>
      <c r="BE532" s="116"/>
      <c r="BF532" s="116"/>
      <c r="BG532" s="116"/>
      <c r="BH532" s="268"/>
      <c r="BI532" s="268"/>
      <c r="BJ532" s="268"/>
      <c r="BK532" s="268"/>
      <c r="BL532" s="268"/>
      <c r="BM532" s="268"/>
      <c r="BN532" s="268"/>
      <c r="BO532" s="268"/>
      <c r="BP532" s="268"/>
      <c r="BQ532" s="268"/>
      <c r="BR532" s="268"/>
      <c r="BS532" s="268"/>
      <c r="BT532" s="268"/>
      <c r="BU532" s="268"/>
      <c r="BV532" s="268"/>
      <c r="BW532" s="268"/>
      <c r="BX532" s="268"/>
      <c r="BY532" s="268"/>
      <c r="BZ532" s="268"/>
      <c r="CA532" s="268"/>
      <c r="CB532" s="268"/>
      <c r="CC532" s="268"/>
      <c r="CD532" s="268"/>
      <c r="CE532" s="268"/>
      <c r="CF532" s="268"/>
      <c r="CG532" s="268"/>
      <c r="CH532" s="268"/>
      <c r="CI532" s="268"/>
      <c r="CJ532" s="268"/>
      <c r="CK532" s="268"/>
      <c r="CL532" s="268"/>
      <c r="CM532" s="268"/>
      <c r="CN532" s="268"/>
      <c r="CO532" s="268"/>
      <c r="CP532" s="268"/>
      <c r="CQ532" s="268"/>
      <c r="CR532" s="268"/>
      <c r="CS532" s="268"/>
      <c r="CT532" s="268"/>
      <c r="CU532" s="268"/>
      <c r="CV532" s="268"/>
      <c r="CW532" s="268"/>
      <c r="CX532" s="268"/>
      <c r="CY532" s="268"/>
      <c r="CZ532" s="268"/>
    </row>
    <row r="533" spans="1:104" hidden="1" outlineLevel="1">
      <c r="A533" s="268"/>
      <c r="B533" s="1023"/>
      <c r="C533" s="268"/>
      <c r="D533" s="268"/>
      <c r="E533" s="268"/>
      <c r="F533" s="268"/>
      <c r="G533" s="268"/>
      <c r="H533" s="268"/>
      <c r="I533" s="268"/>
      <c r="J533" s="271"/>
      <c r="K533" s="268"/>
      <c r="L533" s="268"/>
      <c r="M533" s="268"/>
      <c r="N533" s="268"/>
      <c r="O533" s="271"/>
      <c r="P533" s="268"/>
      <c r="Q533" s="268"/>
      <c r="R533" s="268"/>
      <c r="S533" s="268"/>
      <c r="T533" s="271"/>
      <c r="U533" s="268"/>
      <c r="V533" s="268"/>
      <c r="W533" s="268"/>
      <c r="X533" s="268"/>
      <c r="Y533" s="271"/>
      <c r="Z533" s="268"/>
      <c r="AA533" s="268"/>
      <c r="AB533" s="268"/>
      <c r="AC533" s="268"/>
      <c r="AD533" s="302"/>
      <c r="AE533" s="268"/>
      <c r="AF533" s="268"/>
      <c r="AG533" s="268"/>
      <c r="AH533" s="268"/>
      <c r="AI533" s="302"/>
      <c r="AJ533" s="268"/>
      <c r="AK533" s="268"/>
      <c r="AL533" s="268"/>
      <c r="AM533" s="268"/>
      <c r="AN533" s="302"/>
      <c r="AO533" s="302"/>
      <c r="AP533" s="302"/>
      <c r="AQ533" s="302"/>
      <c r="AR533" s="302"/>
      <c r="AS533" s="268"/>
      <c r="AT533" s="271"/>
      <c r="AU533" s="271"/>
      <c r="AV533" s="271"/>
      <c r="AW533" s="271"/>
      <c r="AX533" s="271"/>
      <c r="AY533" s="302"/>
      <c r="AZ533" s="302"/>
      <c r="BA533" s="302"/>
      <c r="BB533" s="116"/>
      <c r="BC533" s="116"/>
      <c r="BD533" s="116"/>
      <c r="BE533" s="116"/>
      <c r="BF533" s="116"/>
      <c r="BG533" s="116"/>
      <c r="BH533" s="268"/>
      <c r="BI533" s="268"/>
      <c r="BJ533" s="268"/>
      <c r="BK533" s="268"/>
      <c r="BL533" s="268"/>
      <c r="BM533" s="268"/>
      <c r="BN533" s="268"/>
      <c r="BO533" s="268"/>
      <c r="BP533" s="268"/>
      <c r="BQ533" s="268"/>
      <c r="BR533" s="268"/>
      <c r="BS533" s="268"/>
      <c r="BT533" s="268"/>
      <c r="BU533" s="268"/>
      <c r="BV533" s="268"/>
      <c r="BW533" s="268"/>
      <c r="BX533" s="268"/>
      <c r="BY533" s="268"/>
      <c r="BZ533" s="268"/>
      <c r="CA533" s="268"/>
      <c r="CB533" s="268"/>
      <c r="CC533" s="268"/>
      <c r="CD533" s="268"/>
      <c r="CE533" s="268"/>
      <c r="CF533" s="268"/>
      <c r="CG533" s="268"/>
      <c r="CH533" s="268"/>
      <c r="CI533" s="268"/>
      <c r="CJ533" s="268"/>
      <c r="CK533" s="268"/>
      <c r="CL533" s="268"/>
      <c r="CM533" s="268"/>
      <c r="CN533" s="268"/>
      <c r="CO533" s="268"/>
      <c r="CP533" s="268"/>
      <c r="CQ533" s="268"/>
      <c r="CR533" s="268"/>
      <c r="CS533" s="268"/>
      <c r="CT533" s="268"/>
      <c r="CU533" s="268"/>
      <c r="CV533" s="268"/>
      <c r="CW533" s="268"/>
      <c r="CX533" s="268"/>
      <c r="CY533" s="268"/>
      <c r="CZ533" s="268"/>
    </row>
    <row r="534" spans="1:104" hidden="1" outlineLevel="1">
      <c r="A534" s="268" t="s">
        <v>584</v>
      </c>
      <c r="B534" s="268"/>
      <c r="C534" s="271" t="s">
        <v>583</v>
      </c>
      <c r="D534" s="268"/>
      <c r="E534" s="268"/>
      <c r="F534" s="268"/>
      <c r="G534" s="268"/>
      <c r="H534" s="268"/>
      <c r="I534" s="268"/>
      <c r="J534" s="271"/>
      <c r="K534" s="268"/>
      <c r="L534" s="268"/>
      <c r="M534" s="268"/>
      <c r="N534" s="268"/>
      <c r="O534" s="271"/>
      <c r="P534" s="268"/>
      <c r="Q534" s="268"/>
      <c r="R534" s="268"/>
      <c r="S534" s="268"/>
      <c r="T534" s="271"/>
      <c r="U534" s="268"/>
      <c r="V534" s="268"/>
      <c r="W534" s="268"/>
      <c r="X534" s="268"/>
      <c r="Y534" s="271"/>
      <c r="Z534" s="268"/>
      <c r="AA534" s="268"/>
      <c r="AB534" s="268"/>
      <c r="AC534" s="268"/>
      <c r="AD534" s="302"/>
      <c r="AE534" s="268"/>
      <c r="AF534" s="268"/>
      <c r="AG534" s="268"/>
      <c r="AH534" s="268"/>
      <c r="AI534" s="302"/>
      <c r="AJ534" s="268"/>
      <c r="AK534" s="268"/>
      <c r="AL534" s="268"/>
      <c r="AM534" s="268"/>
      <c r="AN534" s="302"/>
      <c r="AO534" s="302"/>
      <c r="AP534" s="302"/>
      <c r="AQ534" s="302"/>
      <c r="AR534" s="302"/>
      <c r="AS534" s="271"/>
      <c r="AT534" s="271"/>
      <c r="AU534" s="271"/>
      <c r="AV534" s="271"/>
      <c r="AW534" s="271"/>
      <c r="AX534" s="271"/>
      <c r="AY534" s="271"/>
      <c r="AZ534" s="271"/>
      <c r="BA534" s="271"/>
      <c r="BB534" s="271"/>
      <c r="BC534" s="271"/>
      <c r="BD534" s="271"/>
      <c r="BE534" s="271"/>
      <c r="BF534" s="271"/>
      <c r="BG534" s="271"/>
      <c r="BH534" s="271"/>
      <c r="BI534" s="302"/>
      <c r="BJ534" s="302"/>
      <c r="BK534" s="302"/>
      <c r="BL534" s="302"/>
      <c r="BM534" s="302"/>
      <c r="BN534" s="116"/>
      <c r="BO534" s="116"/>
      <c r="BP534" s="116"/>
      <c r="BQ534" s="116"/>
      <c r="BR534" s="116"/>
      <c r="BS534" s="116"/>
      <c r="BT534" s="116"/>
      <c r="BU534" s="116"/>
      <c r="BV534" s="116"/>
      <c r="BW534" s="116"/>
      <c r="BX534" s="116"/>
      <c r="BY534" s="116"/>
      <c r="BZ534" s="116"/>
      <c r="CA534" s="116"/>
      <c r="CB534" s="116"/>
      <c r="CC534" s="116"/>
      <c r="CD534" s="116"/>
      <c r="CE534" s="116"/>
      <c r="CF534" s="116"/>
      <c r="CG534" s="116"/>
      <c r="CH534" s="116"/>
      <c r="CI534" s="116"/>
      <c r="CJ534" s="116"/>
      <c r="CK534" s="116"/>
      <c r="CL534" s="116"/>
      <c r="CM534" s="116"/>
      <c r="CN534" s="116"/>
      <c r="CO534" s="116"/>
      <c r="CP534" s="116"/>
      <c r="CQ534" s="116"/>
      <c r="CR534" s="116"/>
      <c r="CS534" s="116"/>
      <c r="CT534" s="116"/>
      <c r="CU534" s="116"/>
      <c r="CV534" s="116"/>
      <c r="CW534" s="116"/>
      <c r="CX534" s="116"/>
      <c r="CY534" s="116"/>
      <c r="CZ534" s="268"/>
    </row>
    <row r="535" spans="1:104" hidden="1" outlineLevel="1">
      <c r="A535" s="268"/>
      <c r="B535" s="268"/>
      <c r="C535" s="268" t="s">
        <v>582</v>
      </c>
      <c r="D535" s="268"/>
      <c r="E535" s="268"/>
      <c r="F535" s="268"/>
      <c r="G535" s="268"/>
      <c r="H535" s="268"/>
      <c r="I535" s="268"/>
      <c r="J535" s="271"/>
      <c r="K535" s="268"/>
      <c r="L535" s="268"/>
      <c r="M535" s="268"/>
      <c r="N535" s="268"/>
      <c r="O535" s="271"/>
      <c r="P535" s="268"/>
      <c r="Q535" s="268"/>
      <c r="R535" s="268"/>
      <c r="S535" s="268"/>
      <c r="T535" s="271"/>
      <c r="U535" s="268"/>
      <c r="V535" s="268"/>
      <c r="W535" s="268"/>
      <c r="X535" s="268"/>
      <c r="Y535" s="271"/>
      <c r="Z535" s="268"/>
      <c r="AA535" s="268"/>
      <c r="AB535" s="268"/>
      <c r="AC535" s="268"/>
      <c r="AD535" s="302"/>
      <c r="AE535" s="268">
        <v>6</v>
      </c>
      <c r="AF535" s="268">
        <v>7</v>
      </c>
      <c r="AG535" s="268">
        <v>7</v>
      </c>
      <c r="AH535" s="268">
        <v>4</v>
      </c>
      <c r="AI535" s="302"/>
      <c r="AJ535" s="268">
        <v>4</v>
      </c>
      <c r="AK535" s="268">
        <v>-9</v>
      </c>
      <c r="AL535" s="268">
        <v>-19</v>
      </c>
      <c r="AM535" s="268">
        <v>-25</v>
      </c>
      <c r="AN535" s="116"/>
      <c r="AO535" s="116">
        <v>-31</v>
      </c>
      <c r="AP535" s="116">
        <v>-21</v>
      </c>
      <c r="AQ535" s="116">
        <v>-23</v>
      </c>
      <c r="AR535" s="116">
        <v>-27</v>
      </c>
      <c r="AS535" s="268"/>
      <c r="AT535" s="1012">
        <v>-0.33</v>
      </c>
      <c r="AU535" s="1012">
        <v>-0.34</v>
      </c>
      <c r="AV535" s="1012">
        <v>-0.19</v>
      </c>
      <c r="AW535" s="1012">
        <v>-0.06</v>
      </c>
      <c r="AX535" s="271"/>
      <c r="AY535" s="268"/>
      <c r="AZ535" s="268"/>
      <c r="BA535" s="268"/>
      <c r="BB535" s="268"/>
      <c r="BC535" s="271"/>
      <c r="BD535" s="268"/>
      <c r="BE535" s="268"/>
      <c r="BF535" s="268"/>
      <c r="BG535" s="268"/>
      <c r="BH535" s="271"/>
      <c r="BI535" s="302"/>
      <c r="BJ535" s="302"/>
      <c r="BK535" s="302"/>
      <c r="BL535" s="302"/>
      <c r="BM535" s="302"/>
      <c r="BN535" s="116"/>
      <c r="BO535" s="116"/>
      <c r="BP535" s="116"/>
      <c r="BQ535" s="116"/>
      <c r="BR535" s="116"/>
      <c r="BS535" s="116"/>
      <c r="BT535" s="116"/>
      <c r="BU535" s="116"/>
      <c r="BV535" s="116"/>
      <c r="BW535" s="116"/>
      <c r="BX535" s="116"/>
      <c r="BY535" s="116"/>
      <c r="BZ535" s="116"/>
      <c r="CA535" s="116"/>
      <c r="CB535" s="116"/>
      <c r="CC535" s="116"/>
      <c r="CD535" s="116"/>
      <c r="CE535" s="116"/>
      <c r="CF535" s="116"/>
      <c r="CG535" s="116"/>
      <c r="CH535" s="116"/>
      <c r="CI535" s="116"/>
      <c r="CJ535" s="116"/>
      <c r="CK535" s="116"/>
      <c r="CL535" s="116"/>
      <c r="CM535" s="116"/>
      <c r="CN535" s="116"/>
      <c r="CO535" s="116"/>
      <c r="CP535" s="116"/>
      <c r="CQ535" s="116"/>
      <c r="CR535" s="116"/>
      <c r="CS535" s="116"/>
      <c r="CT535" s="116"/>
      <c r="CU535" s="116"/>
      <c r="CV535" s="116"/>
      <c r="CW535" s="116"/>
      <c r="CX535" s="116"/>
      <c r="CY535" s="116"/>
      <c r="CZ535" s="268"/>
    </row>
    <row r="536" spans="1:104" hidden="1" outlineLevel="1">
      <c r="A536" s="268"/>
      <c r="B536" s="268"/>
      <c r="C536" s="268" t="s">
        <v>581</v>
      </c>
      <c r="D536" s="268"/>
      <c r="E536" s="268"/>
      <c r="F536" s="268"/>
      <c r="G536" s="268"/>
      <c r="H536" s="268"/>
      <c r="I536" s="268"/>
      <c r="J536" s="271"/>
      <c r="K536" s="268"/>
      <c r="L536" s="268"/>
      <c r="M536" s="268"/>
      <c r="N536" s="268"/>
      <c r="O536" s="271"/>
      <c r="P536" s="268"/>
      <c r="Q536" s="268"/>
      <c r="R536" s="268"/>
      <c r="S536" s="268"/>
      <c r="T536" s="271"/>
      <c r="U536" s="268"/>
      <c r="V536" s="268"/>
      <c r="W536" s="268"/>
      <c r="X536" s="268"/>
      <c r="Y536" s="271"/>
      <c r="Z536" s="268"/>
      <c r="AA536" s="268"/>
      <c r="AB536" s="268"/>
      <c r="AC536" s="268"/>
      <c r="AD536" s="302"/>
      <c r="AE536" s="268"/>
      <c r="AF536" s="268"/>
      <c r="AG536" s="268"/>
      <c r="AH536" s="268"/>
      <c r="AI536" s="116">
        <v>2.1</v>
      </c>
      <c r="AJ536" s="268"/>
      <c r="AK536" s="268"/>
      <c r="AL536" s="268"/>
      <c r="AM536" s="268"/>
      <c r="AN536" s="116">
        <v>1.8</v>
      </c>
      <c r="AO536" s="116"/>
      <c r="AP536" s="116"/>
      <c r="AQ536" s="116"/>
      <c r="AR536" s="116"/>
      <c r="AS536" s="268">
        <v>1.3</v>
      </c>
      <c r="AT536" s="268"/>
      <c r="AU536" s="268"/>
      <c r="AV536" s="268"/>
      <c r="AW536" s="268"/>
      <c r="AX536" s="268">
        <v>1</v>
      </c>
      <c r="AY536" s="271"/>
      <c r="AZ536" s="271"/>
      <c r="BA536" s="271"/>
      <c r="BB536" s="271"/>
      <c r="BC536" s="271"/>
      <c r="BD536" s="271"/>
      <c r="BE536" s="271"/>
      <c r="BF536" s="271"/>
      <c r="BG536" s="271"/>
      <c r="BH536" s="271"/>
      <c r="BI536" s="302"/>
      <c r="BJ536" s="302"/>
      <c r="BK536" s="302"/>
      <c r="BL536" s="302"/>
      <c r="BM536" s="302"/>
      <c r="BN536" s="116"/>
      <c r="BO536" s="116"/>
      <c r="BP536" s="116"/>
      <c r="BQ536" s="116"/>
      <c r="BR536" s="116"/>
      <c r="BS536" s="116"/>
      <c r="BT536" s="116"/>
      <c r="BU536" s="116"/>
      <c r="BV536" s="116"/>
      <c r="BW536" s="116"/>
      <c r="BX536" s="116"/>
      <c r="BY536" s="116"/>
      <c r="BZ536" s="116"/>
      <c r="CA536" s="116"/>
      <c r="CB536" s="116"/>
      <c r="CC536" s="116"/>
      <c r="CD536" s="116"/>
      <c r="CE536" s="116"/>
      <c r="CF536" s="116"/>
      <c r="CG536" s="116"/>
      <c r="CH536" s="116"/>
      <c r="CI536" s="116"/>
      <c r="CJ536" s="116"/>
      <c r="CK536" s="116"/>
      <c r="CL536" s="116"/>
      <c r="CM536" s="116"/>
      <c r="CN536" s="116"/>
      <c r="CO536" s="116"/>
      <c r="CP536" s="116"/>
      <c r="CQ536" s="116"/>
      <c r="CR536" s="116"/>
      <c r="CS536" s="116"/>
      <c r="CT536" s="116"/>
      <c r="CU536" s="116"/>
      <c r="CV536" s="116"/>
      <c r="CW536" s="116"/>
      <c r="CX536" s="116"/>
      <c r="CY536" s="116"/>
      <c r="CZ536" s="268"/>
    </row>
    <row r="537" spans="1:104" hidden="1" outlineLevel="1">
      <c r="A537" s="268" t="s">
        <v>510</v>
      </c>
      <c r="B537" s="268"/>
      <c r="C537" s="268" t="s">
        <v>580</v>
      </c>
      <c r="D537" s="268"/>
      <c r="E537" s="268"/>
      <c r="F537" s="268"/>
      <c r="G537" s="268"/>
      <c r="H537" s="268"/>
      <c r="I537" s="268"/>
      <c r="J537" s="271"/>
      <c r="K537" s="268"/>
      <c r="L537" s="268"/>
      <c r="M537" s="268"/>
      <c r="N537" s="268"/>
      <c r="O537" s="271"/>
      <c r="P537" s="268"/>
      <c r="Q537" s="268"/>
      <c r="R537" s="268"/>
      <c r="S537" s="268"/>
      <c r="T537" s="271"/>
      <c r="U537" s="268"/>
      <c r="V537" s="268"/>
      <c r="W537" s="268"/>
      <c r="X537" s="268"/>
      <c r="Y537" s="271"/>
      <c r="Z537" s="268"/>
      <c r="AA537" s="268"/>
      <c r="AB537" s="268"/>
      <c r="AC537" s="268"/>
      <c r="AD537" s="302"/>
      <c r="AE537" s="268"/>
      <c r="AF537" s="268"/>
      <c r="AG537" s="268"/>
      <c r="AH537" s="268"/>
      <c r="AI537" s="116"/>
      <c r="AJ537" s="268"/>
      <c r="AK537" s="268"/>
      <c r="AL537" s="268"/>
      <c r="AM537" s="268"/>
      <c r="AN537" s="1026">
        <v>-0.19</v>
      </c>
      <c r="AO537" s="1026"/>
      <c r="AP537" s="1026"/>
      <c r="AQ537" s="1026"/>
      <c r="AR537" s="1026"/>
      <c r="AS537" s="1012">
        <v>-0.11</v>
      </c>
      <c r="AT537" s="268"/>
      <c r="AU537" s="268"/>
      <c r="AV537" s="268"/>
      <c r="AW537" s="268"/>
      <c r="AX537" s="1025" t="s">
        <v>579</v>
      </c>
      <c r="AY537" s="271"/>
      <c r="AZ537" s="271"/>
      <c r="BA537" s="271"/>
      <c r="BB537" s="271"/>
      <c r="BC537" s="271"/>
      <c r="BD537" s="271"/>
      <c r="BE537" s="271"/>
      <c r="BF537" s="271"/>
      <c r="BG537" s="271"/>
      <c r="BH537" s="271"/>
      <c r="BI537" s="302"/>
      <c r="BJ537" s="302"/>
      <c r="BK537" s="302"/>
      <c r="BL537" s="302"/>
      <c r="BM537" s="302"/>
      <c r="BN537" s="116"/>
      <c r="BO537" s="116"/>
      <c r="BP537" s="116"/>
      <c r="BQ537" s="116"/>
      <c r="BR537" s="116"/>
      <c r="BS537" s="116"/>
      <c r="BT537" s="116"/>
      <c r="BU537" s="116"/>
      <c r="BV537" s="116"/>
      <c r="BW537" s="116"/>
      <c r="BX537" s="116"/>
      <c r="BY537" s="116"/>
      <c r="BZ537" s="116"/>
      <c r="CA537" s="116"/>
      <c r="CB537" s="116"/>
      <c r="CC537" s="116"/>
      <c r="CD537" s="116"/>
      <c r="CE537" s="116"/>
      <c r="CF537" s="116"/>
      <c r="CG537" s="116"/>
      <c r="CH537" s="116"/>
      <c r="CI537" s="116"/>
      <c r="CJ537" s="116"/>
      <c r="CK537" s="116"/>
      <c r="CL537" s="116"/>
      <c r="CM537" s="116"/>
      <c r="CN537" s="116"/>
      <c r="CO537" s="116"/>
      <c r="CP537" s="116"/>
      <c r="CQ537" s="116"/>
      <c r="CR537" s="116"/>
      <c r="CS537" s="116"/>
      <c r="CT537" s="116"/>
      <c r="CU537" s="116"/>
      <c r="CV537" s="116"/>
      <c r="CW537" s="116"/>
      <c r="CX537" s="116"/>
      <c r="CY537" s="116"/>
      <c r="CZ537" s="268"/>
    </row>
    <row r="538" spans="1:104" hidden="1" outlineLevel="1">
      <c r="A538" s="268"/>
      <c r="B538" s="268"/>
      <c r="C538" s="268"/>
      <c r="D538" s="268"/>
      <c r="E538" s="268"/>
      <c r="F538" s="268"/>
      <c r="G538" s="268"/>
      <c r="H538" s="268"/>
      <c r="I538" s="268"/>
      <c r="J538" s="271"/>
      <c r="K538" s="268"/>
      <c r="L538" s="268"/>
      <c r="M538" s="268"/>
      <c r="N538" s="268"/>
      <c r="O538" s="271"/>
      <c r="P538" s="268"/>
      <c r="Q538" s="268"/>
      <c r="R538" s="268"/>
      <c r="S538" s="268"/>
      <c r="T538" s="271"/>
      <c r="U538" s="268"/>
      <c r="V538" s="268"/>
      <c r="W538" s="268"/>
      <c r="X538" s="268"/>
      <c r="Y538" s="271"/>
      <c r="Z538" s="268"/>
      <c r="AA538" s="268"/>
      <c r="AB538" s="268"/>
      <c r="AC538" s="268"/>
      <c r="AD538" s="302"/>
      <c r="AE538" s="268"/>
      <c r="AF538" s="268"/>
      <c r="AG538" s="268"/>
      <c r="AH538" s="268"/>
      <c r="AI538" s="116"/>
      <c r="AJ538" s="268"/>
      <c r="AK538" s="268"/>
      <c r="AL538" s="268"/>
      <c r="AM538" s="268"/>
      <c r="AN538" s="116"/>
      <c r="AO538" s="116"/>
      <c r="AP538" s="116"/>
      <c r="AQ538" s="116"/>
      <c r="AR538" s="116"/>
      <c r="AS538" s="268"/>
      <c r="AT538" s="268"/>
      <c r="AU538" s="268"/>
      <c r="AV538" s="268"/>
      <c r="AW538" s="268"/>
      <c r="AX538" s="268"/>
      <c r="AY538" s="271"/>
      <c r="AZ538" s="271"/>
      <c r="BA538" s="271"/>
      <c r="BB538" s="271"/>
      <c r="BC538" s="271"/>
      <c r="BD538" s="271"/>
      <c r="BE538" s="271"/>
      <c r="BF538" s="271"/>
      <c r="BG538" s="271"/>
      <c r="BH538" s="271"/>
      <c r="BI538" s="302"/>
      <c r="BJ538" s="302"/>
      <c r="BK538" s="302"/>
      <c r="BL538" s="302"/>
      <c r="BM538" s="302"/>
      <c r="BN538" s="116"/>
      <c r="BO538" s="116"/>
      <c r="BP538" s="116"/>
      <c r="BQ538" s="116"/>
      <c r="BR538" s="116"/>
      <c r="BS538" s="116"/>
      <c r="BT538" s="116"/>
      <c r="BU538" s="116"/>
      <c r="BV538" s="116"/>
      <c r="BW538" s="116"/>
      <c r="BX538" s="116"/>
      <c r="BY538" s="116"/>
      <c r="BZ538" s="116"/>
      <c r="CA538" s="116"/>
      <c r="CB538" s="116"/>
      <c r="CC538" s="116"/>
      <c r="CD538" s="116"/>
      <c r="CE538" s="116"/>
      <c r="CF538" s="116"/>
      <c r="CG538" s="116"/>
      <c r="CH538" s="116"/>
      <c r="CI538" s="116"/>
      <c r="CJ538" s="116"/>
      <c r="CK538" s="116"/>
      <c r="CL538" s="116"/>
      <c r="CM538" s="116"/>
      <c r="CN538" s="116"/>
      <c r="CO538" s="116"/>
      <c r="CP538" s="116"/>
      <c r="CQ538" s="116"/>
      <c r="CR538" s="116"/>
      <c r="CS538" s="116"/>
      <c r="CT538" s="116"/>
      <c r="CU538" s="116"/>
      <c r="CV538" s="116"/>
      <c r="CW538" s="116"/>
      <c r="CX538" s="116"/>
      <c r="CY538" s="116"/>
      <c r="CZ538" s="268"/>
    </row>
    <row r="539" spans="1:104" hidden="1" outlineLevel="1">
      <c r="A539" s="268"/>
      <c r="B539" s="268"/>
      <c r="C539" s="271" t="s">
        <v>578</v>
      </c>
      <c r="D539" s="268"/>
      <c r="E539" s="268"/>
      <c r="F539" s="268"/>
      <c r="G539" s="268"/>
      <c r="H539" s="268"/>
      <c r="I539" s="268"/>
      <c r="J539" s="271"/>
      <c r="K539" s="268"/>
      <c r="L539" s="268"/>
      <c r="M539" s="268"/>
      <c r="N539" s="268"/>
      <c r="O539" s="271"/>
      <c r="P539" s="268"/>
      <c r="Q539" s="268"/>
      <c r="R539" s="268"/>
      <c r="S539" s="268"/>
      <c r="T539" s="271"/>
      <c r="U539" s="268"/>
      <c r="V539" s="268"/>
      <c r="W539" s="268"/>
      <c r="X539" s="268"/>
      <c r="Y539" s="271"/>
      <c r="Z539" s="268"/>
      <c r="AA539" s="268"/>
      <c r="AB539" s="268"/>
      <c r="AC539" s="268"/>
      <c r="AD539" s="302"/>
      <c r="AE539" s="268"/>
      <c r="AF539" s="268"/>
      <c r="AG539" s="268"/>
      <c r="AH539" s="268"/>
      <c r="AI539" s="116"/>
      <c r="AJ539" s="268"/>
      <c r="AK539" s="268"/>
      <c r="AL539" s="268"/>
      <c r="AM539" s="268"/>
      <c r="AN539" s="116"/>
      <c r="AO539" s="116"/>
      <c r="AP539" s="116"/>
      <c r="AQ539" s="116"/>
      <c r="AR539" s="116"/>
      <c r="AS539" s="268"/>
      <c r="AT539" s="268"/>
      <c r="AU539" s="268"/>
      <c r="AV539" s="268"/>
      <c r="AW539" s="268"/>
      <c r="AX539" s="268"/>
      <c r="AY539" s="271"/>
      <c r="AZ539" s="271"/>
      <c r="BA539" s="271"/>
      <c r="BB539" s="271"/>
      <c r="BC539" s="271"/>
      <c r="BD539" s="271"/>
      <c r="BE539" s="271"/>
      <c r="BF539" s="271"/>
      <c r="BG539" s="271"/>
      <c r="BH539" s="271"/>
      <c r="BI539" s="302"/>
      <c r="BJ539" s="302"/>
      <c r="BK539" s="302"/>
      <c r="BL539" s="302"/>
      <c r="BM539" s="302"/>
      <c r="BN539" s="116"/>
      <c r="BO539" s="116"/>
      <c r="BP539" s="116"/>
      <c r="BQ539" s="116"/>
      <c r="BR539" s="116"/>
      <c r="BS539" s="116"/>
      <c r="BT539" s="116"/>
      <c r="BU539" s="116"/>
      <c r="BV539" s="116"/>
      <c r="BW539" s="116"/>
      <c r="BX539" s="116"/>
      <c r="BY539" s="116"/>
      <c r="BZ539" s="116"/>
      <c r="CA539" s="116"/>
      <c r="CB539" s="116"/>
      <c r="CC539" s="116"/>
      <c r="CD539" s="116"/>
      <c r="CE539" s="116"/>
      <c r="CF539" s="116"/>
      <c r="CG539" s="116"/>
      <c r="CH539" s="116"/>
      <c r="CI539" s="116"/>
      <c r="CJ539" s="116"/>
      <c r="CK539" s="116"/>
      <c r="CL539" s="116"/>
      <c r="CM539" s="116"/>
      <c r="CN539" s="116"/>
      <c r="CO539" s="116"/>
      <c r="CP539" s="116"/>
      <c r="CQ539" s="116"/>
      <c r="CR539" s="116"/>
      <c r="CS539" s="116"/>
      <c r="CT539" s="116"/>
      <c r="CU539" s="116"/>
      <c r="CV539" s="116"/>
      <c r="CW539" s="116"/>
      <c r="CX539" s="116"/>
      <c r="CY539" s="116"/>
      <c r="CZ539" s="268"/>
    </row>
    <row r="540" spans="1:104" hidden="1" outlineLevel="1">
      <c r="A540" s="268"/>
      <c r="B540" s="268"/>
      <c r="C540" s="268" t="s">
        <v>226</v>
      </c>
      <c r="D540" s="268"/>
      <c r="E540" s="268"/>
      <c r="F540" s="268"/>
      <c r="G540" s="268"/>
      <c r="H540" s="268"/>
      <c r="I540" s="268"/>
      <c r="J540" s="271"/>
      <c r="K540" s="268"/>
      <c r="L540" s="268"/>
      <c r="M540" s="268"/>
      <c r="N540" s="268"/>
      <c r="O540" s="271"/>
      <c r="P540" s="268"/>
      <c r="Q540" s="268"/>
      <c r="R540" s="268"/>
      <c r="S540" s="268"/>
      <c r="T540" s="271"/>
      <c r="U540" s="268"/>
      <c r="V540" s="268"/>
      <c r="W540" s="268"/>
      <c r="X540" s="268"/>
      <c r="Y540" s="271"/>
      <c r="Z540" s="268"/>
      <c r="AA540" s="268"/>
      <c r="AB540" s="268"/>
      <c r="AC540" s="268"/>
      <c r="AD540" s="302"/>
      <c r="AE540" s="268"/>
      <c r="AF540" s="268"/>
      <c r="AG540" s="268"/>
      <c r="AH540" s="268"/>
      <c r="AI540" s="116"/>
      <c r="AJ540" s="268"/>
      <c r="AK540" s="268"/>
      <c r="AL540" s="268"/>
      <c r="AM540" s="268"/>
      <c r="AN540" s="116"/>
      <c r="AO540" s="116"/>
      <c r="AP540" s="116"/>
      <c r="AQ540" s="116"/>
      <c r="AR540" s="116"/>
      <c r="AS540" s="1012">
        <v>3.49</v>
      </c>
      <c r="AT540" s="268"/>
      <c r="AU540" s="268"/>
      <c r="AV540" s="268"/>
      <c r="AW540" s="268"/>
      <c r="AX540" s="268"/>
      <c r="AY540" s="271"/>
      <c r="AZ540" s="271"/>
      <c r="BA540" s="271"/>
      <c r="BB540" s="271"/>
      <c r="BC540" s="271"/>
      <c r="BD540" s="271"/>
      <c r="BE540" s="271"/>
      <c r="BF540" s="271"/>
      <c r="BG540" s="271"/>
      <c r="BH540" s="271"/>
      <c r="BI540" s="302"/>
      <c r="BJ540" s="302"/>
      <c r="BK540" s="302"/>
      <c r="BL540" s="302"/>
      <c r="BM540" s="302"/>
      <c r="BN540" s="116"/>
      <c r="BO540" s="116"/>
      <c r="BP540" s="116"/>
      <c r="BQ540" s="116"/>
      <c r="BR540" s="116"/>
      <c r="BS540" s="116"/>
      <c r="BT540" s="116"/>
      <c r="BU540" s="116"/>
      <c r="BV540" s="116"/>
      <c r="BW540" s="116"/>
      <c r="BX540" s="116"/>
      <c r="BY540" s="116"/>
      <c r="BZ540" s="116"/>
      <c r="CA540" s="116"/>
      <c r="CB540" s="116"/>
      <c r="CC540" s="116"/>
      <c r="CD540" s="116"/>
      <c r="CE540" s="116"/>
      <c r="CF540" s="116"/>
      <c r="CG540" s="116"/>
      <c r="CH540" s="116"/>
      <c r="CI540" s="116"/>
      <c r="CJ540" s="116"/>
      <c r="CK540" s="116"/>
      <c r="CL540" s="116"/>
      <c r="CM540" s="116"/>
      <c r="CN540" s="116"/>
      <c r="CO540" s="116"/>
      <c r="CP540" s="116"/>
      <c r="CQ540" s="116"/>
      <c r="CR540" s="116"/>
      <c r="CS540" s="116"/>
      <c r="CT540" s="116"/>
      <c r="CU540" s="116"/>
      <c r="CV540" s="116"/>
      <c r="CW540" s="116"/>
      <c r="CX540" s="116"/>
      <c r="CY540" s="116"/>
      <c r="CZ540" s="268"/>
    </row>
    <row r="541" spans="1:104" hidden="1" outlineLevel="1">
      <c r="A541" s="268"/>
      <c r="B541" s="268"/>
      <c r="C541" s="268" t="s">
        <v>577</v>
      </c>
      <c r="D541" s="268"/>
      <c r="E541" s="268"/>
      <c r="F541" s="268"/>
      <c r="G541" s="268"/>
      <c r="H541" s="268"/>
      <c r="I541" s="268"/>
      <c r="J541" s="271"/>
      <c r="K541" s="268"/>
      <c r="L541" s="268"/>
      <c r="M541" s="268"/>
      <c r="N541" s="268"/>
      <c r="O541" s="271"/>
      <c r="P541" s="268"/>
      <c r="Q541" s="268"/>
      <c r="R541" s="268"/>
      <c r="S541" s="268"/>
      <c r="T541" s="271"/>
      <c r="U541" s="268"/>
      <c r="V541" s="268"/>
      <c r="W541" s="268"/>
      <c r="X541" s="268"/>
      <c r="Y541" s="271"/>
      <c r="Z541" s="268"/>
      <c r="AA541" s="268"/>
      <c r="AB541" s="268"/>
      <c r="AC541" s="268"/>
      <c r="AD541" s="302"/>
      <c r="AE541" s="268"/>
      <c r="AF541" s="268"/>
      <c r="AG541" s="268"/>
      <c r="AH541" s="268"/>
      <c r="AI541" s="116"/>
      <c r="AJ541" s="268"/>
      <c r="AK541" s="268"/>
      <c r="AL541" s="268"/>
      <c r="AM541" s="268"/>
      <c r="AN541" s="116"/>
      <c r="AO541" s="116"/>
      <c r="AP541" s="116"/>
      <c r="AQ541" s="116"/>
      <c r="AR541" s="116"/>
      <c r="AS541" s="1012">
        <v>0.96</v>
      </c>
      <c r="AT541" s="268"/>
      <c r="AU541" s="268"/>
      <c r="AV541" s="268"/>
      <c r="AW541" s="268"/>
      <c r="AX541" s="268"/>
      <c r="AY541" s="271"/>
      <c r="AZ541" s="271"/>
      <c r="BA541" s="271"/>
      <c r="BB541" s="271"/>
      <c r="BC541" s="271"/>
      <c r="BD541" s="271"/>
      <c r="BE541" s="271"/>
      <c r="BF541" s="271"/>
      <c r="BG541" s="271"/>
      <c r="BH541" s="271"/>
      <c r="BI541" s="302"/>
      <c r="BJ541" s="302"/>
      <c r="BK541" s="302"/>
      <c r="BL541" s="302"/>
      <c r="BM541" s="302"/>
      <c r="BN541" s="116"/>
      <c r="BO541" s="116"/>
      <c r="BP541" s="116"/>
      <c r="BQ541" s="116"/>
      <c r="BR541" s="116"/>
      <c r="BS541" s="116"/>
      <c r="BT541" s="116"/>
      <c r="BU541" s="116"/>
      <c r="BV541" s="116"/>
      <c r="BW541" s="116"/>
      <c r="BX541" s="116"/>
      <c r="BY541" s="116"/>
      <c r="BZ541" s="116"/>
      <c r="CA541" s="116"/>
      <c r="CB541" s="116"/>
      <c r="CC541" s="116"/>
      <c r="CD541" s="116"/>
      <c r="CE541" s="116"/>
      <c r="CF541" s="116"/>
      <c r="CG541" s="116"/>
      <c r="CH541" s="116"/>
      <c r="CI541" s="116"/>
      <c r="CJ541" s="116"/>
      <c r="CK541" s="116"/>
      <c r="CL541" s="116"/>
      <c r="CM541" s="116"/>
      <c r="CN541" s="116"/>
      <c r="CO541" s="116"/>
      <c r="CP541" s="116"/>
      <c r="CQ541" s="116"/>
      <c r="CR541" s="116"/>
      <c r="CS541" s="116"/>
      <c r="CT541" s="116"/>
      <c r="CU541" s="116"/>
      <c r="CV541" s="116"/>
      <c r="CW541" s="116"/>
      <c r="CX541" s="116"/>
      <c r="CY541" s="116"/>
      <c r="CZ541" s="268"/>
    </row>
    <row r="542" spans="1:104" hidden="1" outlineLevel="1">
      <c r="A542" s="268"/>
      <c r="B542" s="268"/>
      <c r="C542" s="268" t="s">
        <v>151</v>
      </c>
      <c r="D542" s="268"/>
      <c r="E542" s="268"/>
      <c r="F542" s="268"/>
      <c r="G542" s="268"/>
      <c r="H542" s="268"/>
      <c r="I542" s="268"/>
      <c r="J542" s="271"/>
      <c r="K542" s="268"/>
      <c r="L542" s="268"/>
      <c r="M542" s="268"/>
      <c r="N542" s="268"/>
      <c r="O542" s="271"/>
      <c r="P542" s="268"/>
      <c r="Q542" s="268"/>
      <c r="R542" s="268"/>
      <c r="S542" s="268"/>
      <c r="T542" s="271"/>
      <c r="U542" s="268"/>
      <c r="V542" s="268"/>
      <c r="W542" s="268"/>
      <c r="X542" s="268"/>
      <c r="Y542" s="271"/>
      <c r="Z542" s="268"/>
      <c r="AA542" s="268"/>
      <c r="AB542" s="268"/>
      <c r="AC542" s="268"/>
      <c r="AD542" s="302"/>
      <c r="AE542" s="268"/>
      <c r="AF542" s="268"/>
      <c r="AG542" s="268"/>
      <c r="AH542" s="268"/>
      <c r="AI542" s="116"/>
      <c r="AJ542" s="268"/>
      <c r="AK542" s="268"/>
      <c r="AL542" s="268"/>
      <c r="AM542" s="268"/>
      <c r="AN542" s="116"/>
      <c r="AO542" s="116"/>
      <c r="AP542" s="116"/>
      <c r="AQ542" s="116"/>
      <c r="AR542" s="116"/>
      <c r="AS542" s="1012">
        <v>0.64</v>
      </c>
      <c r="AT542" s="268"/>
      <c r="AU542" s="268"/>
      <c r="AV542" s="268"/>
      <c r="AW542" s="268"/>
      <c r="AX542" s="268"/>
      <c r="AY542" s="271"/>
      <c r="AZ542" s="271"/>
      <c r="BA542" s="271"/>
      <c r="BB542" s="271"/>
      <c r="BC542" s="271"/>
      <c r="BD542" s="271"/>
      <c r="BE542" s="271"/>
      <c r="BF542" s="271"/>
      <c r="BG542" s="271"/>
      <c r="BH542" s="271"/>
      <c r="BI542" s="302"/>
      <c r="BJ542" s="302"/>
      <c r="BK542" s="302"/>
      <c r="BL542" s="302"/>
      <c r="BM542" s="302"/>
      <c r="BN542" s="116"/>
      <c r="BO542" s="116"/>
      <c r="BP542" s="116"/>
      <c r="BQ542" s="116"/>
      <c r="BR542" s="116"/>
      <c r="BS542" s="116"/>
      <c r="BT542" s="116"/>
      <c r="BU542" s="116"/>
      <c r="BV542" s="116"/>
      <c r="BW542" s="116"/>
      <c r="BX542" s="116"/>
      <c r="BY542" s="116"/>
      <c r="BZ542" s="116"/>
      <c r="CA542" s="116"/>
      <c r="CB542" s="116"/>
      <c r="CC542" s="116"/>
      <c r="CD542" s="116"/>
      <c r="CE542" s="116"/>
      <c r="CF542" s="116"/>
      <c r="CG542" s="116"/>
      <c r="CH542" s="116"/>
      <c r="CI542" s="116"/>
      <c r="CJ542" s="116"/>
      <c r="CK542" s="116"/>
      <c r="CL542" s="116"/>
      <c r="CM542" s="116"/>
      <c r="CN542" s="116"/>
      <c r="CO542" s="116"/>
      <c r="CP542" s="116"/>
      <c r="CQ542" s="116"/>
      <c r="CR542" s="116"/>
      <c r="CS542" s="116"/>
      <c r="CT542" s="116"/>
      <c r="CU542" s="116"/>
      <c r="CV542" s="116"/>
      <c r="CW542" s="116"/>
      <c r="CX542" s="116"/>
      <c r="CY542" s="116"/>
      <c r="CZ542" s="268"/>
    </row>
    <row r="543" spans="1:104" hidden="1" outlineLevel="1">
      <c r="A543" s="268"/>
      <c r="B543" s="268"/>
      <c r="C543" s="268" t="s">
        <v>576</v>
      </c>
      <c r="D543" s="268"/>
      <c r="E543" s="268"/>
      <c r="F543" s="268"/>
      <c r="G543" s="268"/>
      <c r="H543" s="268"/>
      <c r="I543" s="268"/>
      <c r="J543" s="271"/>
      <c r="K543" s="268"/>
      <c r="L543" s="268"/>
      <c r="M543" s="268"/>
      <c r="N543" s="268"/>
      <c r="O543" s="271"/>
      <c r="P543" s="268"/>
      <c r="Q543" s="268"/>
      <c r="R543" s="268"/>
      <c r="S543" s="268"/>
      <c r="T543" s="271"/>
      <c r="U543" s="268"/>
      <c r="V543" s="268"/>
      <c r="W543" s="268"/>
      <c r="X543" s="268"/>
      <c r="Y543" s="271"/>
      <c r="Z543" s="268"/>
      <c r="AA543" s="268"/>
      <c r="AB543" s="268"/>
      <c r="AC543" s="268"/>
      <c r="AD543" s="302"/>
      <c r="AE543" s="268"/>
      <c r="AF543" s="268"/>
      <c r="AG543" s="268"/>
      <c r="AH543" s="268"/>
      <c r="AI543" s="116"/>
      <c r="AJ543" s="268"/>
      <c r="AK543" s="268"/>
      <c r="AL543" s="268"/>
      <c r="AM543" s="268"/>
      <c r="AN543" s="116"/>
      <c r="AO543" s="116"/>
      <c r="AP543" s="116"/>
      <c r="AQ543" s="116"/>
      <c r="AR543" s="116"/>
      <c r="AS543" s="1012">
        <v>0.45</v>
      </c>
      <c r="AT543" s="268"/>
      <c r="AU543" s="268"/>
      <c r="AV543" s="268"/>
      <c r="AW543" s="268"/>
      <c r="AX543" s="268"/>
      <c r="AY543" s="271"/>
      <c r="AZ543" s="271"/>
      <c r="BA543" s="271"/>
      <c r="BB543" s="271"/>
      <c r="BC543" s="271"/>
      <c r="BD543" s="271"/>
      <c r="BE543" s="271"/>
      <c r="BF543" s="271"/>
      <c r="BG543" s="271"/>
      <c r="BH543" s="271"/>
      <c r="BI543" s="302"/>
      <c r="BJ543" s="302"/>
      <c r="BK543" s="302"/>
      <c r="BL543" s="302"/>
      <c r="BM543" s="302"/>
      <c r="BN543" s="116"/>
      <c r="BO543" s="116"/>
      <c r="BP543" s="116"/>
      <c r="BQ543" s="116"/>
      <c r="BR543" s="116"/>
      <c r="BS543" s="116"/>
      <c r="BT543" s="116"/>
      <c r="BU543" s="116"/>
      <c r="BV543" s="116"/>
      <c r="BW543" s="116"/>
      <c r="BX543" s="116"/>
      <c r="BY543" s="116"/>
      <c r="BZ543" s="116"/>
      <c r="CA543" s="116"/>
      <c r="CB543" s="116"/>
      <c r="CC543" s="116"/>
      <c r="CD543" s="116"/>
      <c r="CE543" s="116"/>
      <c r="CF543" s="116"/>
      <c r="CG543" s="116"/>
      <c r="CH543" s="116"/>
      <c r="CI543" s="116"/>
      <c r="CJ543" s="116"/>
      <c r="CK543" s="116"/>
      <c r="CL543" s="116"/>
      <c r="CM543" s="116"/>
      <c r="CN543" s="116"/>
      <c r="CO543" s="116"/>
      <c r="CP543" s="116"/>
      <c r="CQ543" s="116"/>
      <c r="CR543" s="116"/>
      <c r="CS543" s="116"/>
      <c r="CT543" s="116"/>
      <c r="CU543" s="116"/>
      <c r="CV543" s="116"/>
      <c r="CW543" s="116"/>
      <c r="CX543" s="116"/>
      <c r="CY543" s="116"/>
      <c r="CZ543" s="268"/>
    </row>
    <row r="544" spans="1:104" hidden="1" outlineLevel="1">
      <c r="A544" s="268"/>
      <c r="B544" s="268"/>
      <c r="C544" s="268" t="s">
        <v>575</v>
      </c>
      <c r="D544" s="268"/>
      <c r="E544" s="268"/>
      <c r="F544" s="268"/>
      <c r="G544" s="268"/>
      <c r="H544" s="268"/>
      <c r="I544" s="268"/>
      <c r="J544" s="271"/>
      <c r="K544" s="268"/>
      <c r="L544" s="268"/>
      <c r="M544" s="268"/>
      <c r="N544" s="268"/>
      <c r="O544" s="271"/>
      <c r="P544" s="268"/>
      <c r="Q544" s="268"/>
      <c r="R544" s="268"/>
      <c r="S544" s="268"/>
      <c r="T544" s="271"/>
      <c r="U544" s="268"/>
      <c r="V544" s="268"/>
      <c r="W544" s="268"/>
      <c r="X544" s="268"/>
      <c r="Y544" s="271"/>
      <c r="Z544" s="268"/>
      <c r="AA544" s="268"/>
      <c r="AB544" s="268"/>
      <c r="AC544" s="268"/>
      <c r="AD544" s="302"/>
      <c r="AE544" s="268"/>
      <c r="AF544" s="268"/>
      <c r="AG544" s="268"/>
      <c r="AH544" s="268"/>
      <c r="AI544" s="116"/>
      <c r="AJ544" s="268"/>
      <c r="AK544" s="268"/>
      <c r="AL544" s="268"/>
      <c r="AM544" s="268"/>
      <c r="AN544" s="116"/>
      <c r="AO544" s="116"/>
      <c r="AP544" s="116"/>
      <c r="AQ544" s="116"/>
      <c r="AR544" s="116"/>
      <c r="AS544" s="1012">
        <v>0.03</v>
      </c>
      <c r="AT544" s="268"/>
      <c r="AU544" s="268"/>
      <c r="AV544" s="268"/>
      <c r="AW544" s="268"/>
      <c r="AX544" s="268"/>
      <c r="AY544" s="271"/>
      <c r="AZ544" s="271"/>
      <c r="BA544" s="271"/>
      <c r="BB544" s="271"/>
      <c r="BC544" s="271"/>
      <c r="BD544" s="271"/>
      <c r="BE544" s="271"/>
      <c r="BF544" s="271"/>
      <c r="BG544" s="271"/>
      <c r="BH544" s="271"/>
      <c r="BI544" s="302"/>
      <c r="BJ544" s="302"/>
      <c r="BK544" s="302"/>
      <c r="BL544" s="302"/>
      <c r="BM544" s="302"/>
      <c r="BN544" s="116"/>
      <c r="BO544" s="116"/>
      <c r="BP544" s="116"/>
      <c r="BQ544" s="116"/>
      <c r="BR544" s="116"/>
      <c r="BS544" s="116"/>
      <c r="BT544" s="116"/>
      <c r="BU544" s="116"/>
      <c r="BV544" s="116"/>
      <c r="BW544" s="116"/>
      <c r="BX544" s="116"/>
      <c r="BY544" s="116"/>
      <c r="BZ544" s="116"/>
      <c r="CA544" s="116"/>
      <c r="CB544" s="116"/>
      <c r="CC544" s="116"/>
      <c r="CD544" s="116"/>
      <c r="CE544" s="116"/>
      <c r="CF544" s="116"/>
      <c r="CG544" s="116"/>
      <c r="CH544" s="116"/>
      <c r="CI544" s="116"/>
      <c r="CJ544" s="116"/>
      <c r="CK544" s="116"/>
      <c r="CL544" s="116"/>
      <c r="CM544" s="116"/>
      <c r="CN544" s="116"/>
      <c r="CO544" s="116"/>
      <c r="CP544" s="116"/>
      <c r="CQ544" s="116"/>
      <c r="CR544" s="116"/>
      <c r="CS544" s="116"/>
      <c r="CT544" s="116"/>
      <c r="CU544" s="116"/>
      <c r="CV544" s="116"/>
      <c r="CW544" s="116"/>
      <c r="CX544" s="116"/>
      <c r="CY544" s="116"/>
      <c r="CZ544" s="268"/>
    </row>
    <row r="545" spans="1:104" hidden="1" outlineLevel="1">
      <c r="A545" s="268"/>
      <c r="B545" s="268"/>
      <c r="C545" s="268" t="s">
        <v>574</v>
      </c>
      <c r="D545" s="268"/>
      <c r="E545" s="268"/>
      <c r="F545" s="268"/>
      <c r="G545" s="268"/>
      <c r="H545" s="268"/>
      <c r="I545" s="268"/>
      <c r="J545" s="271"/>
      <c r="K545" s="268"/>
      <c r="L545" s="268"/>
      <c r="M545" s="268"/>
      <c r="N545" s="268"/>
      <c r="O545" s="271"/>
      <c r="P545" s="268"/>
      <c r="Q545" s="268"/>
      <c r="R545" s="268"/>
      <c r="S545" s="268"/>
      <c r="T545" s="271"/>
      <c r="U545" s="268"/>
      <c r="V545" s="268"/>
      <c r="W545" s="268"/>
      <c r="X545" s="268"/>
      <c r="Y545" s="271"/>
      <c r="Z545" s="268"/>
      <c r="AA545" s="268"/>
      <c r="AB545" s="268"/>
      <c r="AC545" s="268"/>
      <c r="AD545" s="302"/>
      <c r="AE545" s="268"/>
      <c r="AF545" s="268"/>
      <c r="AG545" s="268"/>
      <c r="AH545" s="268"/>
      <c r="AI545" s="116"/>
      <c r="AJ545" s="268"/>
      <c r="AK545" s="268"/>
      <c r="AL545" s="268"/>
      <c r="AM545" s="268"/>
      <c r="AN545" s="116"/>
      <c r="AO545" s="116"/>
      <c r="AP545" s="116"/>
      <c r="AQ545" s="116"/>
      <c r="AR545" s="116"/>
      <c r="AS545" s="1012">
        <v>-0.05</v>
      </c>
      <c r="AT545" s="268"/>
      <c r="AU545" s="268"/>
      <c r="AV545" s="268"/>
      <c r="AW545" s="268"/>
      <c r="AX545" s="268"/>
      <c r="AY545" s="271"/>
      <c r="AZ545" s="271"/>
      <c r="BA545" s="271"/>
      <c r="BB545" s="271"/>
      <c r="BC545" s="271"/>
      <c r="BD545" s="271"/>
      <c r="BE545" s="271"/>
      <c r="BF545" s="271"/>
      <c r="BG545" s="271"/>
      <c r="BH545" s="271"/>
      <c r="BI545" s="302"/>
      <c r="BJ545" s="302"/>
      <c r="BK545" s="302"/>
      <c r="BL545" s="302"/>
      <c r="BM545" s="302"/>
      <c r="BN545" s="116"/>
      <c r="BO545" s="116"/>
      <c r="BP545" s="116"/>
      <c r="BQ545" s="116"/>
      <c r="BR545" s="116"/>
      <c r="BS545" s="116"/>
      <c r="BT545" s="116"/>
      <c r="BU545" s="116"/>
      <c r="BV545" s="116"/>
      <c r="BW545" s="116"/>
      <c r="BX545" s="116"/>
      <c r="BY545" s="116"/>
      <c r="BZ545" s="116"/>
      <c r="CA545" s="116"/>
      <c r="CB545" s="116"/>
      <c r="CC545" s="116"/>
      <c r="CD545" s="116"/>
      <c r="CE545" s="116"/>
      <c r="CF545" s="116"/>
      <c r="CG545" s="116"/>
      <c r="CH545" s="116"/>
      <c r="CI545" s="116"/>
      <c r="CJ545" s="116"/>
      <c r="CK545" s="116"/>
      <c r="CL545" s="116"/>
      <c r="CM545" s="116"/>
      <c r="CN545" s="116"/>
      <c r="CO545" s="116"/>
      <c r="CP545" s="116"/>
      <c r="CQ545" s="116"/>
      <c r="CR545" s="116"/>
      <c r="CS545" s="116"/>
      <c r="CT545" s="116"/>
      <c r="CU545" s="116"/>
      <c r="CV545" s="116"/>
      <c r="CW545" s="116"/>
      <c r="CX545" s="116"/>
      <c r="CY545" s="116"/>
      <c r="CZ545" s="268"/>
    </row>
    <row r="546" spans="1:104" hidden="1" outlineLevel="1">
      <c r="A546" s="268"/>
      <c r="B546" s="268"/>
      <c r="C546" s="268" t="s">
        <v>573</v>
      </c>
      <c r="D546" s="268"/>
      <c r="E546" s="268"/>
      <c r="F546" s="268"/>
      <c r="G546" s="268"/>
      <c r="H546" s="268"/>
      <c r="I546" s="268"/>
      <c r="J546" s="271"/>
      <c r="K546" s="268"/>
      <c r="L546" s="268"/>
      <c r="M546" s="268"/>
      <c r="N546" s="268"/>
      <c r="O546" s="271"/>
      <c r="P546" s="268"/>
      <c r="Q546" s="268"/>
      <c r="R546" s="268"/>
      <c r="S546" s="268"/>
      <c r="T546" s="271"/>
      <c r="U546" s="268"/>
      <c r="V546" s="268"/>
      <c r="W546" s="268"/>
      <c r="X546" s="268"/>
      <c r="Y546" s="271"/>
      <c r="Z546" s="268"/>
      <c r="AA546" s="268"/>
      <c r="AB546" s="268"/>
      <c r="AC546" s="268"/>
      <c r="AD546" s="302"/>
      <c r="AE546" s="268"/>
      <c r="AF546" s="268"/>
      <c r="AG546" s="268"/>
      <c r="AH546" s="268"/>
      <c r="AI546" s="116"/>
      <c r="AJ546" s="268"/>
      <c r="AK546" s="268"/>
      <c r="AL546" s="268"/>
      <c r="AM546" s="268"/>
      <c r="AN546" s="116"/>
      <c r="AO546" s="116"/>
      <c r="AP546" s="116"/>
      <c r="AQ546" s="116"/>
      <c r="AR546" s="116"/>
      <c r="AS546" s="1012">
        <v>-0.27</v>
      </c>
      <c r="AT546" s="268"/>
      <c r="AU546" s="268"/>
      <c r="AV546" s="268"/>
      <c r="AW546" s="268"/>
      <c r="AX546" s="268"/>
      <c r="AY546" s="271"/>
      <c r="AZ546" s="271"/>
      <c r="BA546" s="271"/>
      <c r="BB546" s="271"/>
      <c r="BC546" s="271"/>
      <c r="BD546" s="271"/>
      <c r="BE546" s="271"/>
      <c r="BF546" s="271"/>
      <c r="BG546" s="271"/>
      <c r="BH546" s="271"/>
      <c r="BI546" s="302"/>
      <c r="BJ546" s="302"/>
      <c r="BK546" s="302"/>
      <c r="BL546" s="302"/>
      <c r="BM546" s="302"/>
      <c r="BN546" s="116"/>
      <c r="BO546" s="116"/>
      <c r="BP546" s="116"/>
      <c r="BQ546" s="116"/>
      <c r="BR546" s="116"/>
      <c r="BS546" s="116"/>
      <c r="BT546" s="116"/>
      <c r="BU546" s="116"/>
      <c r="BV546" s="116"/>
      <c r="BW546" s="116"/>
      <c r="BX546" s="116"/>
      <c r="BY546" s="116"/>
      <c r="BZ546" s="116"/>
      <c r="CA546" s="116"/>
      <c r="CB546" s="116"/>
      <c r="CC546" s="116"/>
      <c r="CD546" s="116"/>
      <c r="CE546" s="116"/>
      <c r="CF546" s="116"/>
      <c r="CG546" s="116"/>
      <c r="CH546" s="116"/>
      <c r="CI546" s="116"/>
      <c r="CJ546" s="116"/>
      <c r="CK546" s="116"/>
      <c r="CL546" s="116"/>
      <c r="CM546" s="116"/>
      <c r="CN546" s="116"/>
      <c r="CO546" s="116"/>
      <c r="CP546" s="116"/>
      <c r="CQ546" s="116"/>
      <c r="CR546" s="116"/>
      <c r="CS546" s="116"/>
      <c r="CT546" s="116"/>
      <c r="CU546" s="116"/>
      <c r="CV546" s="116"/>
      <c r="CW546" s="116"/>
      <c r="CX546" s="116"/>
      <c r="CY546" s="116"/>
      <c r="CZ546" s="268"/>
    </row>
    <row r="547" spans="1:104" hidden="1" outlineLevel="1">
      <c r="A547" s="268"/>
      <c r="B547" s="268"/>
      <c r="C547" s="268"/>
      <c r="D547" s="268"/>
      <c r="E547" s="268"/>
      <c r="F547" s="268"/>
      <c r="G547" s="268"/>
      <c r="H547" s="268"/>
      <c r="I547" s="268"/>
      <c r="J547" s="271"/>
      <c r="K547" s="268"/>
      <c r="L547" s="268"/>
      <c r="M547" s="268"/>
      <c r="N547" s="268"/>
      <c r="O547" s="271"/>
      <c r="P547" s="268"/>
      <c r="Q547" s="268"/>
      <c r="R547" s="268"/>
      <c r="S547" s="268"/>
      <c r="T547" s="271"/>
      <c r="U547" s="268"/>
      <c r="V547" s="268"/>
      <c r="W547" s="268"/>
      <c r="X547" s="268"/>
      <c r="Y547" s="271"/>
      <c r="Z547" s="268"/>
      <c r="AA547" s="268"/>
      <c r="AB547" s="268"/>
      <c r="AC547" s="268"/>
      <c r="AD547" s="302"/>
      <c r="AE547" s="268"/>
      <c r="AF547" s="268"/>
      <c r="AG547" s="268"/>
      <c r="AH547" s="268"/>
      <c r="AI547" s="116"/>
      <c r="AJ547" s="268"/>
      <c r="AK547" s="268"/>
      <c r="AL547" s="268"/>
      <c r="AM547" s="268"/>
      <c r="AN547" s="116"/>
      <c r="AO547" s="116"/>
      <c r="AP547" s="116"/>
      <c r="AQ547" s="116"/>
      <c r="AR547" s="116"/>
      <c r="AS547" s="1012"/>
      <c r="AT547" s="268"/>
      <c r="AU547" s="268"/>
      <c r="AV547" s="268"/>
      <c r="AW547" s="268"/>
      <c r="AX547" s="268"/>
      <c r="AY547" s="271"/>
      <c r="AZ547" s="271"/>
      <c r="BA547" s="271"/>
      <c r="BB547" s="271"/>
      <c r="BC547" s="271"/>
      <c r="BD547" s="271"/>
      <c r="BE547" s="271"/>
      <c r="BF547" s="271"/>
      <c r="BG547" s="271"/>
      <c r="BH547" s="271"/>
      <c r="BI547" s="302"/>
      <c r="BJ547" s="302"/>
      <c r="BK547" s="302"/>
      <c r="BL547" s="302"/>
      <c r="BM547" s="302"/>
      <c r="BN547" s="116"/>
      <c r="BO547" s="116"/>
      <c r="BP547" s="116"/>
      <c r="BQ547" s="116"/>
      <c r="BR547" s="116"/>
      <c r="BS547" s="116"/>
      <c r="BT547" s="116"/>
      <c r="BU547" s="116"/>
      <c r="BV547" s="116"/>
      <c r="BW547" s="116"/>
      <c r="BX547" s="116"/>
      <c r="BY547" s="116"/>
      <c r="BZ547" s="116"/>
      <c r="CA547" s="116"/>
      <c r="CB547" s="116"/>
      <c r="CC547" s="116"/>
      <c r="CD547" s="116"/>
      <c r="CE547" s="116"/>
      <c r="CF547" s="116"/>
      <c r="CG547" s="116"/>
      <c r="CH547" s="116"/>
      <c r="CI547" s="116"/>
      <c r="CJ547" s="116"/>
      <c r="CK547" s="116"/>
      <c r="CL547" s="116"/>
      <c r="CM547" s="116"/>
      <c r="CN547" s="116"/>
      <c r="CO547" s="116"/>
      <c r="CP547" s="116"/>
      <c r="CQ547" s="116"/>
      <c r="CR547" s="116"/>
      <c r="CS547" s="116"/>
      <c r="CT547" s="116"/>
      <c r="CU547" s="116"/>
      <c r="CV547" s="116"/>
      <c r="CW547" s="116"/>
      <c r="CX547" s="116"/>
      <c r="CY547" s="116"/>
      <c r="CZ547" s="268"/>
    </row>
    <row r="548" spans="1:104" hidden="1" outlineLevel="1">
      <c r="A548" s="268" t="s">
        <v>572</v>
      </c>
      <c r="B548" s="271" t="s">
        <v>571</v>
      </c>
      <c r="C548" s="268"/>
      <c r="D548" s="268"/>
      <c r="E548" s="268"/>
      <c r="F548" s="268"/>
      <c r="G548" s="268"/>
      <c r="H548" s="268"/>
      <c r="I548" s="268"/>
      <c r="J548" s="271"/>
      <c r="K548" s="268"/>
      <c r="L548" s="268"/>
      <c r="M548" s="268"/>
      <c r="N548" s="268"/>
      <c r="O548" s="271"/>
      <c r="P548" s="268"/>
      <c r="Q548" s="268"/>
      <c r="R548" s="268"/>
      <c r="S548" s="268"/>
      <c r="T548" s="271"/>
      <c r="U548" s="268"/>
      <c r="V548" s="268"/>
      <c r="W548" s="268"/>
      <c r="X548" s="268"/>
      <c r="Y548" s="271"/>
      <c r="Z548" s="268"/>
      <c r="AA548" s="268"/>
      <c r="AB548" s="268"/>
      <c r="AC548" s="268"/>
      <c r="AD548" s="302"/>
      <c r="AE548" s="268"/>
      <c r="AF548" s="268"/>
      <c r="AG548" s="268"/>
      <c r="AH548" s="268"/>
      <c r="AI548" s="116"/>
      <c r="AJ548" s="268"/>
      <c r="AK548" s="268"/>
      <c r="AL548" s="268"/>
      <c r="AM548" s="268"/>
      <c r="AN548" s="116"/>
      <c r="AO548" s="116"/>
      <c r="AP548" s="116"/>
      <c r="AQ548" s="116"/>
      <c r="AR548" s="116"/>
      <c r="AS548" s="996" t="s">
        <v>570</v>
      </c>
      <c r="AT548" s="268"/>
      <c r="AU548" s="268"/>
      <c r="AV548" s="268"/>
      <c r="AW548" s="268"/>
      <c r="AX548" s="268"/>
      <c r="AY548" s="271"/>
      <c r="AZ548" s="271"/>
      <c r="BA548" s="271"/>
      <c r="BB548" s="271"/>
      <c r="BC548" s="271"/>
      <c r="BD548" s="271"/>
      <c r="BE548" s="271"/>
      <c r="BF548" s="271"/>
      <c r="BG548" s="271"/>
      <c r="BH548" s="271"/>
      <c r="BI548" s="302"/>
      <c r="BJ548" s="302"/>
      <c r="BK548" s="302"/>
      <c r="BL548" s="302"/>
      <c r="BM548" s="302"/>
      <c r="BN548" s="116"/>
      <c r="BO548" s="116"/>
      <c r="BP548" s="116"/>
      <c r="BQ548" s="116"/>
      <c r="BR548" s="116"/>
      <c r="BS548" s="116"/>
      <c r="BT548" s="116"/>
      <c r="BU548" s="116"/>
      <c r="BV548" s="116"/>
      <c r="BW548" s="116"/>
      <c r="BX548" s="116"/>
      <c r="BY548" s="116"/>
      <c r="BZ548" s="116"/>
      <c r="CA548" s="116"/>
      <c r="CB548" s="116"/>
      <c r="CC548" s="116"/>
      <c r="CD548" s="116"/>
      <c r="CE548" s="116"/>
      <c r="CF548" s="116"/>
      <c r="CG548" s="116"/>
      <c r="CH548" s="116"/>
      <c r="CI548" s="116"/>
      <c r="CJ548" s="116"/>
      <c r="CK548" s="116"/>
      <c r="CL548" s="116"/>
      <c r="CM548" s="116"/>
      <c r="CN548" s="116"/>
      <c r="CO548" s="116"/>
      <c r="CP548" s="116"/>
      <c r="CQ548" s="116"/>
      <c r="CR548" s="116"/>
      <c r="CS548" s="116"/>
      <c r="CT548" s="116"/>
      <c r="CU548" s="116"/>
      <c r="CV548" s="116"/>
      <c r="CW548" s="116"/>
      <c r="CX548" s="116"/>
      <c r="CY548" s="116"/>
      <c r="CZ548" s="268"/>
    </row>
    <row r="549" spans="1:104" hidden="1" outlineLevel="1">
      <c r="A549" s="268"/>
      <c r="B549" s="268"/>
      <c r="C549" s="268" t="s">
        <v>569</v>
      </c>
      <c r="D549" s="268"/>
      <c r="E549" s="268"/>
      <c r="F549" s="268"/>
      <c r="G549" s="268"/>
      <c r="H549" s="268"/>
      <c r="I549" s="268"/>
      <c r="J549" s="271"/>
      <c r="K549" s="268"/>
      <c r="L549" s="268"/>
      <c r="M549" s="268"/>
      <c r="N549" s="268"/>
      <c r="O549" s="1012">
        <v>0.48666666666666669</v>
      </c>
      <c r="P549" s="268"/>
      <c r="Q549" s="268"/>
      <c r="R549" s="268"/>
      <c r="S549" s="268"/>
      <c r="T549" s="271"/>
      <c r="U549" s="268"/>
      <c r="V549" s="268"/>
      <c r="W549" s="268"/>
      <c r="X549" s="268"/>
      <c r="Y549" s="271"/>
      <c r="Z549" s="268"/>
      <c r="AA549" s="268"/>
      <c r="AB549" s="268"/>
      <c r="AC549" s="268"/>
      <c r="AD549" s="302"/>
      <c r="AE549" s="268"/>
      <c r="AF549" s="268"/>
      <c r="AG549" s="268"/>
      <c r="AH549" s="268"/>
      <c r="AI549" s="116"/>
      <c r="AJ549" s="268"/>
      <c r="AK549" s="268"/>
      <c r="AL549" s="268"/>
      <c r="AM549" s="268"/>
      <c r="AN549" s="116"/>
      <c r="AO549" s="116"/>
      <c r="AP549" s="116"/>
      <c r="AQ549" s="116"/>
      <c r="AR549" s="116"/>
      <c r="AS549" s="1012">
        <v>0.36666666666666664</v>
      </c>
      <c r="AT549" s="268"/>
      <c r="AU549" s="268"/>
      <c r="AV549" s="268"/>
      <c r="AW549" s="268"/>
      <c r="AX549" s="268"/>
      <c r="AY549" s="271"/>
      <c r="AZ549" s="271"/>
      <c r="BA549" s="271"/>
      <c r="BB549" s="271"/>
      <c r="BC549" s="271"/>
      <c r="BD549" s="271"/>
      <c r="BE549" s="271"/>
      <c r="BF549" s="271"/>
      <c r="BG549" s="271"/>
      <c r="BH549" s="271"/>
      <c r="BI549" s="302"/>
      <c r="BJ549" s="302"/>
      <c r="BK549" s="302"/>
      <c r="BL549" s="302"/>
      <c r="BM549" s="302"/>
      <c r="BN549" s="116"/>
      <c r="BO549" s="116"/>
      <c r="BP549" s="116"/>
      <c r="BQ549" s="116"/>
      <c r="BR549" s="116"/>
      <c r="BS549" s="116"/>
      <c r="BT549" s="116"/>
      <c r="BU549" s="116"/>
      <c r="BV549" s="116"/>
      <c r="BW549" s="116"/>
      <c r="BX549" s="116"/>
      <c r="BY549" s="116"/>
      <c r="BZ549" s="116"/>
      <c r="CA549" s="116"/>
      <c r="CB549" s="116"/>
      <c r="CC549" s="116"/>
      <c r="CD549" s="116"/>
      <c r="CE549" s="116"/>
      <c r="CF549" s="116"/>
      <c r="CG549" s="116"/>
      <c r="CH549" s="116"/>
      <c r="CI549" s="116"/>
      <c r="CJ549" s="116"/>
      <c r="CK549" s="116"/>
      <c r="CL549" s="116"/>
      <c r="CM549" s="116"/>
      <c r="CN549" s="116"/>
      <c r="CO549" s="116"/>
      <c r="CP549" s="116"/>
      <c r="CQ549" s="116"/>
      <c r="CR549" s="116"/>
      <c r="CS549" s="116"/>
      <c r="CT549" s="116"/>
      <c r="CU549" s="116"/>
      <c r="CV549" s="116"/>
      <c r="CW549" s="116"/>
      <c r="CX549" s="116"/>
      <c r="CY549" s="116"/>
      <c r="CZ549" s="268"/>
    </row>
    <row r="550" spans="1:104" hidden="1" outlineLevel="1">
      <c r="A550" s="268"/>
      <c r="B550" s="268"/>
      <c r="C550" s="268" t="s">
        <v>10</v>
      </c>
      <c r="D550" s="268"/>
      <c r="E550" s="268"/>
      <c r="F550" s="268"/>
      <c r="G550" s="268"/>
      <c r="H550" s="268"/>
      <c r="I550" s="268"/>
      <c r="J550" s="271"/>
      <c r="K550" s="268"/>
      <c r="L550" s="268"/>
      <c r="M550" s="268"/>
      <c r="N550" s="268"/>
      <c r="O550" s="1012">
        <v>0.51333333333333331</v>
      </c>
      <c r="P550" s="268"/>
      <c r="Q550" s="268"/>
      <c r="R550" s="268"/>
      <c r="S550" s="268"/>
      <c r="T550" s="271"/>
      <c r="U550" s="268"/>
      <c r="V550" s="268"/>
      <c r="W550" s="268"/>
      <c r="X550" s="268"/>
      <c r="Y550" s="271"/>
      <c r="Z550" s="268"/>
      <c r="AA550" s="268"/>
      <c r="AB550" s="268"/>
      <c r="AC550" s="268"/>
      <c r="AD550" s="302"/>
      <c r="AE550" s="268"/>
      <c r="AF550" s="268"/>
      <c r="AG550" s="268"/>
      <c r="AH550" s="268"/>
      <c r="AI550" s="116"/>
      <c r="AJ550" s="268"/>
      <c r="AK550" s="268"/>
      <c r="AL550" s="268"/>
      <c r="AM550" s="268"/>
      <c r="AN550" s="116"/>
      <c r="AO550" s="116"/>
      <c r="AP550" s="116"/>
      <c r="AQ550" s="116"/>
      <c r="AR550" s="116"/>
      <c r="AS550" s="1012">
        <f>1-AS549</f>
        <v>0.6333333333333333</v>
      </c>
      <c r="AT550" s="268"/>
      <c r="AU550" s="268"/>
      <c r="AV550" s="268"/>
      <c r="AW550" s="268"/>
      <c r="AX550" s="268"/>
      <c r="AY550" s="271"/>
      <c r="AZ550" s="271"/>
      <c r="BA550" s="271"/>
      <c r="BB550" s="271"/>
      <c r="BC550" s="271"/>
      <c r="BD550" s="271"/>
      <c r="BE550" s="271"/>
      <c r="BF550" s="271"/>
      <c r="BG550" s="271"/>
      <c r="BH550" s="271"/>
      <c r="BI550" s="302"/>
      <c r="BJ550" s="302"/>
      <c r="BK550" s="302"/>
      <c r="BL550" s="302"/>
      <c r="BM550" s="302"/>
      <c r="BN550" s="116"/>
      <c r="BO550" s="116"/>
      <c r="BP550" s="116"/>
      <c r="BQ550" s="116"/>
      <c r="BR550" s="116"/>
      <c r="BS550" s="116"/>
      <c r="BT550" s="116"/>
      <c r="BU550" s="116"/>
      <c r="BV550" s="116"/>
      <c r="BW550" s="116"/>
      <c r="BX550" s="116"/>
      <c r="BY550" s="116"/>
      <c r="BZ550" s="116"/>
      <c r="CA550" s="116"/>
      <c r="CB550" s="116"/>
      <c r="CC550" s="116"/>
      <c r="CD550" s="116"/>
      <c r="CE550" s="116"/>
      <c r="CF550" s="116"/>
      <c r="CG550" s="116"/>
      <c r="CH550" s="116"/>
      <c r="CI550" s="116"/>
      <c r="CJ550" s="116"/>
      <c r="CK550" s="116"/>
      <c r="CL550" s="116"/>
      <c r="CM550" s="116"/>
      <c r="CN550" s="116"/>
      <c r="CO550" s="116"/>
      <c r="CP550" s="116"/>
      <c r="CQ550" s="116"/>
      <c r="CR550" s="116"/>
      <c r="CS550" s="116"/>
      <c r="CT550" s="116"/>
      <c r="CU550" s="116"/>
      <c r="CV550" s="116"/>
      <c r="CW550" s="116"/>
      <c r="CX550" s="116"/>
      <c r="CY550" s="116"/>
      <c r="CZ550" s="268"/>
    </row>
    <row r="551" spans="1:104" hidden="1" outlineLevel="1">
      <c r="A551" s="268"/>
      <c r="B551" s="268"/>
      <c r="C551" s="268"/>
      <c r="D551" s="268"/>
      <c r="E551" s="268"/>
      <c r="F551" s="268"/>
      <c r="G551" s="268"/>
      <c r="H551" s="268"/>
      <c r="I551" s="268"/>
      <c r="J551" s="271"/>
      <c r="K551" s="268"/>
      <c r="L551" s="268"/>
      <c r="M551" s="268"/>
      <c r="N551" s="268"/>
      <c r="O551" s="271"/>
      <c r="P551" s="268"/>
      <c r="Q551" s="268"/>
      <c r="R551" s="268"/>
      <c r="S551" s="268"/>
      <c r="T551" s="271"/>
      <c r="U551" s="268"/>
      <c r="V551" s="268"/>
      <c r="W551" s="268"/>
      <c r="X551" s="268"/>
      <c r="Y551" s="271"/>
      <c r="Z551" s="268"/>
      <c r="AA551" s="268"/>
      <c r="AB551" s="268"/>
      <c r="AC551" s="268"/>
      <c r="AD551" s="302"/>
      <c r="AE551" s="268"/>
      <c r="AF551" s="268"/>
      <c r="AG551" s="268"/>
      <c r="AH551" s="268"/>
      <c r="AI551" s="116"/>
      <c r="AJ551" s="268"/>
      <c r="AK551" s="268"/>
      <c r="AL551" s="268"/>
      <c r="AM551" s="268"/>
      <c r="AN551" s="116"/>
      <c r="AO551" s="116"/>
      <c r="AP551" s="116"/>
      <c r="AQ551" s="116"/>
      <c r="AR551" s="116"/>
      <c r="AS551" s="1012"/>
      <c r="AT551" s="268"/>
      <c r="AU551" s="268"/>
      <c r="AV551" s="268"/>
      <c r="AW551" s="268"/>
      <c r="AX551" s="268"/>
      <c r="AY551" s="271"/>
      <c r="AZ551" s="271"/>
      <c r="BA551" s="271"/>
      <c r="BB551" s="271"/>
      <c r="BC551" s="271"/>
      <c r="BD551" s="271"/>
      <c r="BE551" s="271"/>
      <c r="BF551" s="271"/>
      <c r="BG551" s="271"/>
      <c r="BH551" s="271"/>
      <c r="BI551" s="302"/>
      <c r="BJ551" s="302"/>
      <c r="BK551" s="302"/>
      <c r="BL551" s="302"/>
      <c r="BM551" s="302"/>
      <c r="BN551" s="116"/>
      <c r="BO551" s="116"/>
      <c r="BP551" s="116"/>
      <c r="BQ551" s="116"/>
      <c r="BR551" s="116"/>
      <c r="BS551" s="116"/>
      <c r="BT551" s="116"/>
      <c r="BU551" s="116"/>
      <c r="BV551" s="116"/>
      <c r="BW551" s="116"/>
      <c r="BX551" s="116"/>
      <c r="BY551" s="116"/>
      <c r="BZ551" s="116"/>
      <c r="CA551" s="116"/>
      <c r="CB551" s="116"/>
      <c r="CC551" s="116"/>
      <c r="CD551" s="116"/>
      <c r="CE551" s="116"/>
      <c r="CF551" s="116"/>
      <c r="CG551" s="116"/>
      <c r="CH551" s="116"/>
      <c r="CI551" s="116"/>
      <c r="CJ551" s="116"/>
      <c r="CK551" s="116"/>
      <c r="CL551" s="116"/>
      <c r="CM551" s="116"/>
      <c r="CN551" s="116"/>
      <c r="CO551" s="116"/>
      <c r="CP551" s="116"/>
      <c r="CQ551" s="116"/>
      <c r="CR551" s="116"/>
      <c r="CS551" s="116"/>
      <c r="CT551" s="116"/>
      <c r="CU551" s="116"/>
      <c r="CV551" s="116"/>
      <c r="CW551" s="116"/>
      <c r="CX551" s="116"/>
      <c r="CY551" s="116"/>
      <c r="CZ551" s="268"/>
    </row>
    <row r="552" spans="1:104" hidden="1" outlineLevel="1">
      <c r="A552" s="268"/>
      <c r="B552" s="268"/>
      <c r="C552" s="268" t="s">
        <v>568</v>
      </c>
      <c r="D552" s="268"/>
      <c r="E552" s="268"/>
      <c r="F552" s="268"/>
      <c r="G552" s="268"/>
      <c r="H552" s="268"/>
      <c r="I552" s="268"/>
      <c r="J552" s="271"/>
      <c r="K552" s="268"/>
      <c r="L552" s="268"/>
      <c r="M552" s="268"/>
      <c r="N552" s="268"/>
      <c r="O552" s="1012">
        <v>0.20861111111111114</v>
      </c>
      <c r="P552" s="268"/>
      <c r="Q552" s="268"/>
      <c r="R552" s="268"/>
      <c r="S552" s="268"/>
      <c r="T552" s="271"/>
      <c r="U552" s="268"/>
      <c r="V552" s="268"/>
      <c r="W552" s="268"/>
      <c r="X552" s="268"/>
      <c r="Y552" s="271"/>
      <c r="Z552" s="268"/>
      <c r="AA552" s="268"/>
      <c r="AB552" s="268"/>
      <c r="AC552" s="268"/>
      <c r="AD552" s="302"/>
      <c r="AE552" s="268"/>
      <c r="AF552" s="268"/>
      <c r="AG552" s="268"/>
      <c r="AH552" s="268"/>
      <c r="AI552" s="116"/>
      <c r="AJ552" s="268"/>
      <c r="AK552" s="268"/>
      <c r="AL552" s="268"/>
      <c r="AM552" s="268"/>
      <c r="AN552" s="116"/>
      <c r="AO552" s="116"/>
      <c r="AP552" s="116"/>
      <c r="AQ552" s="116"/>
      <c r="AR552" s="116"/>
      <c r="AS552" s="1012">
        <f>75.1/360+6%</f>
        <v>0.26861111111111113</v>
      </c>
      <c r="AT552" s="268"/>
      <c r="AU552" s="268"/>
      <c r="AV552" s="268"/>
      <c r="AW552" s="268"/>
      <c r="AX552" s="268"/>
      <c r="AY552" s="271"/>
      <c r="AZ552" s="271"/>
      <c r="BA552" s="271"/>
      <c r="BB552" s="271"/>
      <c r="BC552" s="271"/>
      <c r="BD552" s="271"/>
      <c r="BE552" s="271"/>
      <c r="BF552" s="271"/>
      <c r="BG552" s="271"/>
      <c r="BH552" s="271"/>
      <c r="BI552" s="302"/>
      <c r="BJ552" s="302"/>
      <c r="BK552" s="302"/>
      <c r="BL552" s="302"/>
      <c r="BM552" s="302"/>
      <c r="BN552" s="116"/>
      <c r="BO552" s="116"/>
      <c r="BP552" s="116"/>
      <c r="BQ552" s="116"/>
      <c r="BR552" s="116"/>
      <c r="BS552" s="116"/>
      <c r="BT552" s="116"/>
      <c r="BU552" s="116"/>
      <c r="BV552" s="116"/>
      <c r="BW552" s="116"/>
      <c r="BX552" s="116"/>
      <c r="BY552" s="116"/>
      <c r="BZ552" s="116"/>
      <c r="CA552" s="116"/>
      <c r="CB552" s="116"/>
      <c r="CC552" s="116"/>
      <c r="CD552" s="116"/>
      <c r="CE552" s="116"/>
      <c r="CF552" s="116"/>
      <c r="CG552" s="116"/>
      <c r="CH552" s="116"/>
      <c r="CI552" s="116"/>
      <c r="CJ552" s="116"/>
      <c r="CK552" s="116"/>
      <c r="CL552" s="116"/>
      <c r="CM552" s="116"/>
      <c r="CN552" s="116"/>
      <c r="CO552" s="116"/>
      <c r="CP552" s="116"/>
      <c r="CQ552" s="116"/>
      <c r="CR552" s="116"/>
      <c r="CS552" s="116"/>
      <c r="CT552" s="116"/>
      <c r="CU552" s="116"/>
      <c r="CV552" s="116"/>
      <c r="CW552" s="116"/>
      <c r="CX552" s="116"/>
      <c r="CY552" s="116"/>
      <c r="CZ552" s="268"/>
    </row>
    <row r="553" spans="1:104" hidden="1" outlineLevel="1">
      <c r="A553" s="268"/>
      <c r="B553" s="268"/>
      <c r="C553" s="268" t="s">
        <v>567</v>
      </c>
      <c r="D553" s="268"/>
      <c r="E553" s="268"/>
      <c r="F553" s="268"/>
      <c r="G553" s="268"/>
      <c r="H553" s="268"/>
      <c r="I553" s="268"/>
      <c r="J553" s="271"/>
      <c r="K553" s="268"/>
      <c r="L553" s="268"/>
      <c r="M553" s="268"/>
      <c r="N553" s="268"/>
      <c r="O553" s="1012">
        <v>0.79138888888888892</v>
      </c>
      <c r="P553" s="268"/>
      <c r="Q553" s="268"/>
      <c r="R553" s="268"/>
      <c r="S553" s="268"/>
      <c r="T553" s="271"/>
      <c r="U553" s="268"/>
      <c r="V553" s="268"/>
      <c r="W553" s="268"/>
      <c r="X553" s="268"/>
      <c r="Y553" s="271"/>
      <c r="Z553" s="268"/>
      <c r="AA553" s="268"/>
      <c r="AB553" s="268"/>
      <c r="AC553" s="268"/>
      <c r="AD553" s="302"/>
      <c r="AE553" s="268"/>
      <c r="AF553" s="268"/>
      <c r="AG553" s="268"/>
      <c r="AH553" s="268"/>
      <c r="AI553" s="116"/>
      <c r="AJ553" s="268"/>
      <c r="AK553" s="268"/>
      <c r="AL553" s="268"/>
      <c r="AM553" s="268"/>
      <c r="AN553" s="116"/>
      <c r="AO553" s="116"/>
      <c r="AP553" s="116"/>
      <c r="AQ553" s="116"/>
      <c r="AR553" s="116"/>
      <c r="AS553" s="1012">
        <f>1-AS552</f>
        <v>0.73138888888888887</v>
      </c>
      <c r="AT553" s="268"/>
      <c r="AU553" s="268"/>
      <c r="AV553" s="268"/>
      <c r="AW553" s="268"/>
      <c r="AX553" s="268"/>
      <c r="AY553" s="271"/>
      <c r="AZ553" s="271"/>
      <c r="BA553" s="271"/>
      <c r="BB553" s="271"/>
      <c r="BC553" s="271"/>
      <c r="BD553" s="271"/>
      <c r="BE553" s="271"/>
      <c r="BF553" s="271"/>
      <c r="BG553" s="271"/>
      <c r="BH553" s="271"/>
      <c r="BI553" s="302"/>
      <c r="BJ553" s="302"/>
      <c r="BK553" s="302"/>
      <c r="BL553" s="302"/>
      <c r="BM553" s="302"/>
      <c r="BN553" s="116"/>
      <c r="BO553" s="116"/>
      <c r="BP553" s="116"/>
      <c r="BQ553" s="116"/>
      <c r="BR553" s="116"/>
      <c r="BS553" s="116"/>
      <c r="BT553" s="116"/>
      <c r="BU553" s="116"/>
      <c r="BV553" s="116"/>
      <c r="BW553" s="116"/>
      <c r="BX553" s="116"/>
      <c r="BY553" s="116"/>
      <c r="BZ553" s="116"/>
      <c r="CA553" s="116"/>
      <c r="CB553" s="116"/>
      <c r="CC553" s="116"/>
      <c r="CD553" s="116"/>
      <c r="CE553" s="116"/>
      <c r="CF553" s="116"/>
      <c r="CG553" s="116"/>
      <c r="CH553" s="116"/>
      <c r="CI553" s="116"/>
      <c r="CJ553" s="116"/>
      <c r="CK553" s="116"/>
      <c r="CL553" s="116"/>
      <c r="CM553" s="116"/>
      <c r="CN553" s="116"/>
      <c r="CO553" s="116"/>
      <c r="CP553" s="116"/>
      <c r="CQ553" s="116"/>
      <c r="CR553" s="116"/>
      <c r="CS553" s="116"/>
      <c r="CT553" s="116"/>
      <c r="CU553" s="116"/>
      <c r="CV553" s="116"/>
      <c r="CW553" s="116"/>
      <c r="CX553" s="116"/>
      <c r="CY553" s="116"/>
      <c r="CZ553" s="268"/>
    </row>
    <row r="554" spans="1:104" hidden="1" outlineLevel="1">
      <c r="A554" s="268"/>
      <c r="B554" s="268"/>
      <c r="C554" s="268"/>
      <c r="D554" s="268"/>
      <c r="E554" s="268"/>
      <c r="F554" s="268"/>
      <c r="G554" s="268"/>
      <c r="H554" s="268"/>
      <c r="I554" s="268"/>
      <c r="J554" s="271"/>
      <c r="K554" s="268"/>
      <c r="L554" s="268"/>
      <c r="M554" s="268"/>
      <c r="N554" s="268"/>
      <c r="O554" s="271"/>
      <c r="P554" s="268"/>
      <c r="Q554" s="268"/>
      <c r="R554" s="268"/>
      <c r="S554" s="268"/>
      <c r="T554" s="271"/>
      <c r="U554" s="268"/>
      <c r="V554" s="268"/>
      <c r="W554" s="268"/>
      <c r="X554" s="268"/>
      <c r="Y554" s="271"/>
      <c r="Z554" s="268"/>
      <c r="AA554" s="268"/>
      <c r="AB554" s="268"/>
      <c r="AC554" s="268"/>
      <c r="AD554" s="302"/>
      <c r="AE554" s="268"/>
      <c r="AF554" s="268"/>
      <c r="AG554" s="268"/>
      <c r="AH554" s="268"/>
      <c r="AI554" s="116"/>
      <c r="AJ554" s="268"/>
      <c r="AK554" s="268"/>
      <c r="AL554" s="268"/>
      <c r="AM554" s="268"/>
      <c r="AN554" s="116"/>
      <c r="AO554" s="116"/>
      <c r="AP554" s="116"/>
      <c r="AQ554" s="116"/>
      <c r="AR554" s="116"/>
      <c r="AS554" s="1012"/>
      <c r="AT554" s="268"/>
      <c r="AU554" s="268"/>
      <c r="AV554" s="268"/>
      <c r="AW554" s="268"/>
      <c r="AX554" s="268"/>
      <c r="AY554" s="271"/>
      <c r="AZ554" s="271"/>
      <c r="BA554" s="271"/>
      <c r="BB554" s="271"/>
      <c r="BC554" s="271"/>
      <c r="BD554" s="271"/>
      <c r="BE554" s="271"/>
      <c r="BF554" s="271"/>
      <c r="BG554" s="271"/>
      <c r="BH554" s="271"/>
      <c r="BI554" s="302"/>
      <c r="BJ554" s="302"/>
      <c r="BK554" s="302"/>
      <c r="BL554" s="302"/>
      <c r="BM554" s="302"/>
      <c r="BN554" s="116"/>
      <c r="BO554" s="116"/>
      <c r="BP554" s="116"/>
      <c r="BQ554" s="116"/>
      <c r="BR554" s="116"/>
      <c r="BS554" s="116"/>
      <c r="BT554" s="116"/>
      <c r="BU554" s="116"/>
      <c r="BV554" s="116"/>
      <c r="BW554" s="116"/>
      <c r="BX554" s="116"/>
      <c r="BY554" s="116"/>
      <c r="BZ554" s="116"/>
      <c r="CA554" s="116"/>
      <c r="CB554" s="116"/>
      <c r="CC554" s="116"/>
      <c r="CD554" s="116"/>
      <c r="CE554" s="116"/>
      <c r="CF554" s="116"/>
      <c r="CG554" s="116"/>
      <c r="CH554" s="116"/>
      <c r="CI554" s="116"/>
      <c r="CJ554" s="116"/>
      <c r="CK554" s="116"/>
      <c r="CL554" s="116"/>
      <c r="CM554" s="116"/>
      <c r="CN554" s="116"/>
      <c r="CO554" s="116"/>
      <c r="CP554" s="116"/>
      <c r="CQ554" s="116"/>
      <c r="CR554" s="116"/>
      <c r="CS554" s="116"/>
      <c r="CT554" s="116"/>
      <c r="CU554" s="116"/>
      <c r="CV554" s="116"/>
      <c r="CW554" s="116"/>
      <c r="CX554" s="116"/>
      <c r="CY554" s="116"/>
      <c r="CZ554" s="268"/>
    </row>
    <row r="555" spans="1:104" hidden="1" outlineLevel="1">
      <c r="A555" s="268" t="s">
        <v>502</v>
      </c>
      <c r="B555" s="1024" t="s">
        <v>566</v>
      </c>
      <c r="C555" s="268"/>
      <c r="D555" s="268"/>
      <c r="E555" s="268"/>
      <c r="F555" s="268"/>
      <c r="G555" s="268"/>
      <c r="H555" s="268"/>
      <c r="I555" s="268"/>
      <c r="J555" s="271"/>
      <c r="K555" s="268"/>
      <c r="L555" s="268"/>
      <c r="M555" s="268"/>
      <c r="N555" s="268"/>
      <c r="O555" s="271"/>
      <c r="P555" s="268"/>
      <c r="Q555" s="268"/>
      <c r="R555" s="268"/>
      <c r="S555" s="268"/>
      <c r="T555" s="271"/>
      <c r="U555" s="268"/>
      <c r="V555" s="268"/>
      <c r="W555" s="268"/>
      <c r="X555" s="268"/>
      <c r="Y555" s="271"/>
      <c r="Z555" s="268"/>
      <c r="AA555" s="268"/>
      <c r="AB555" s="268"/>
      <c r="AC555" s="268"/>
      <c r="AD555" s="302"/>
      <c r="AE555" s="268"/>
      <c r="AF555" s="268"/>
      <c r="AG555" s="268"/>
      <c r="AH555" s="268"/>
      <c r="AI555" s="302"/>
      <c r="AJ555" s="268"/>
      <c r="AK555" s="268"/>
      <c r="AL555" s="268"/>
      <c r="AM555" s="268"/>
      <c r="AN555" s="302"/>
      <c r="AO555" s="302"/>
      <c r="AP555" s="302"/>
      <c r="AQ555" s="302"/>
      <c r="AR555" s="302"/>
      <c r="AS555" s="271"/>
      <c r="AT555" s="271"/>
      <c r="AU555" s="271"/>
      <c r="AV555" s="271"/>
      <c r="AW555" s="271"/>
      <c r="AX555" s="271"/>
      <c r="AY555" s="302"/>
      <c r="AZ555" s="302"/>
      <c r="BA555" s="302"/>
      <c r="BB555" s="116"/>
      <c r="BC555" s="116"/>
      <c r="BD555" s="116"/>
      <c r="BE555" s="116"/>
      <c r="BF555" s="116"/>
      <c r="BG555" s="116"/>
      <c r="BH555" s="268"/>
      <c r="BI555" s="268"/>
      <c r="BJ555" s="268"/>
      <c r="BK555" s="268"/>
      <c r="BL555" s="268"/>
      <c r="BM555" s="268"/>
      <c r="BN555" s="268"/>
      <c r="BO555" s="268"/>
      <c r="BP555" s="268"/>
      <c r="BQ555" s="268"/>
      <c r="BR555" s="268"/>
      <c r="BS555" s="268"/>
      <c r="BT555" s="268"/>
      <c r="BU555" s="268"/>
      <c r="BV555" s="268"/>
      <c r="BW555" s="268"/>
      <c r="BX555" s="268"/>
      <c r="BY555" s="268"/>
      <c r="BZ555" s="268"/>
      <c r="CA555" s="268"/>
      <c r="CB555" s="268"/>
      <c r="CC555" s="268"/>
      <c r="CD555" s="268"/>
      <c r="CE555" s="268"/>
      <c r="CF555" s="268"/>
      <c r="CG555" s="268"/>
      <c r="CH555" s="268"/>
      <c r="CI555" s="268"/>
      <c r="CJ555" s="268"/>
      <c r="CK555" s="268"/>
      <c r="CL555" s="268"/>
      <c r="CM555" s="268"/>
      <c r="CN555" s="268"/>
      <c r="CO555" s="268"/>
      <c r="CP555" s="268"/>
      <c r="CQ555" s="268"/>
      <c r="CR555" s="268"/>
      <c r="CS555" s="268"/>
      <c r="CT555" s="268"/>
      <c r="CU555" s="268"/>
      <c r="CV555" s="268"/>
      <c r="CW555" s="268"/>
      <c r="CX555" s="268"/>
      <c r="CY555" s="268"/>
      <c r="CZ555" s="268"/>
    </row>
    <row r="556" spans="1:104" hidden="1" outlineLevel="1">
      <c r="A556" s="268"/>
      <c r="B556" s="268"/>
      <c r="C556" s="1023" t="s">
        <v>565</v>
      </c>
      <c r="D556" s="268"/>
      <c r="E556" s="268"/>
      <c r="F556" s="268"/>
      <c r="G556" s="268"/>
      <c r="H556" s="268"/>
      <c r="I556" s="268"/>
      <c r="J556" s="271"/>
      <c r="K556" s="268"/>
      <c r="L556" s="268"/>
      <c r="M556" s="268"/>
      <c r="N556" s="268"/>
      <c r="O556" s="271"/>
      <c r="P556" s="268"/>
      <c r="Q556" s="268"/>
      <c r="R556" s="268"/>
      <c r="S556" s="268"/>
      <c r="T556" s="271"/>
      <c r="U556" s="268"/>
      <c r="V556" s="268"/>
      <c r="W556" s="268"/>
      <c r="X556" s="268"/>
      <c r="Y556" s="271"/>
      <c r="Z556" s="268"/>
      <c r="AA556" s="268"/>
      <c r="AB556" s="268"/>
      <c r="AC556" s="268"/>
      <c r="AD556" s="302"/>
      <c r="AE556" s="268"/>
      <c r="AF556" s="268"/>
      <c r="AG556" s="268"/>
      <c r="AH556" s="268"/>
      <c r="AI556" s="302"/>
      <c r="AJ556" s="268"/>
      <c r="AK556" s="268"/>
      <c r="AL556" s="268"/>
      <c r="AM556" s="268"/>
      <c r="AN556" s="302"/>
      <c r="AO556" s="302"/>
      <c r="AP556" s="302"/>
      <c r="AQ556" s="302"/>
      <c r="AR556" s="302"/>
      <c r="AS556" s="1022">
        <f>130.9/360</f>
        <v>0.36361111111111111</v>
      </c>
      <c r="AT556" s="271"/>
      <c r="AU556" s="271"/>
      <c r="AV556" s="271"/>
      <c r="AW556" s="271"/>
      <c r="AX556" s="271"/>
      <c r="AY556" s="302"/>
      <c r="AZ556" s="302"/>
      <c r="BA556" s="302"/>
      <c r="BB556" s="116"/>
      <c r="BC556" s="116"/>
      <c r="BD556" s="116"/>
      <c r="BE556" s="116"/>
      <c r="BF556" s="116"/>
      <c r="BG556" s="116"/>
      <c r="BH556" s="268"/>
      <c r="BI556" s="268"/>
      <c r="BJ556" s="268"/>
      <c r="BK556" s="268"/>
      <c r="BL556" s="268"/>
      <c r="BM556" s="268"/>
      <c r="BN556" s="268"/>
      <c r="BO556" s="268"/>
      <c r="BP556" s="268"/>
      <c r="BQ556" s="268"/>
      <c r="BR556" s="268"/>
      <c r="BS556" s="268"/>
      <c r="BT556" s="268"/>
      <c r="BU556" s="268"/>
      <c r="BV556" s="268"/>
      <c r="BW556" s="268"/>
      <c r="BX556" s="268"/>
      <c r="BY556" s="268"/>
      <c r="BZ556" s="268"/>
      <c r="CA556" s="268"/>
      <c r="CB556" s="268"/>
      <c r="CC556" s="268"/>
      <c r="CD556" s="268"/>
      <c r="CE556" s="268"/>
      <c r="CF556" s="268"/>
      <c r="CG556" s="268"/>
      <c r="CH556" s="268"/>
      <c r="CI556" s="268"/>
      <c r="CJ556" s="268"/>
      <c r="CK556" s="268"/>
      <c r="CL556" s="268"/>
      <c r="CM556" s="268"/>
      <c r="CN556" s="268"/>
      <c r="CO556" s="268"/>
      <c r="CP556" s="268"/>
      <c r="CQ556" s="268"/>
      <c r="CR556" s="268"/>
      <c r="CS556" s="268"/>
      <c r="CT556" s="268"/>
      <c r="CU556" s="268"/>
      <c r="CV556" s="268"/>
      <c r="CW556" s="268"/>
      <c r="CX556" s="268"/>
      <c r="CY556" s="268"/>
      <c r="CZ556" s="268"/>
    </row>
    <row r="557" spans="1:104" hidden="1" outlineLevel="1">
      <c r="A557" s="268"/>
      <c r="B557" s="268"/>
      <c r="C557" s="1023" t="s">
        <v>564</v>
      </c>
      <c r="D557" s="268"/>
      <c r="E557" s="268"/>
      <c r="F557" s="268"/>
      <c r="G557" s="268"/>
      <c r="H557" s="268"/>
      <c r="I557" s="268"/>
      <c r="J557" s="271"/>
      <c r="K557" s="268"/>
      <c r="L557" s="268"/>
      <c r="M557" s="268"/>
      <c r="N557" s="268"/>
      <c r="O557" s="271"/>
      <c r="P557" s="268"/>
      <c r="Q557" s="268"/>
      <c r="R557" s="268"/>
      <c r="S557" s="268"/>
      <c r="T557" s="271"/>
      <c r="U557" s="268"/>
      <c r="V557" s="268"/>
      <c r="W557" s="268"/>
      <c r="X557" s="268"/>
      <c r="Y557" s="271"/>
      <c r="Z557" s="268"/>
      <c r="AA557" s="268"/>
      <c r="AB557" s="268"/>
      <c r="AC557" s="268"/>
      <c r="AD557" s="302"/>
      <c r="AE557" s="268"/>
      <c r="AF557" s="268"/>
      <c r="AG557" s="268"/>
      <c r="AH557" s="268"/>
      <c r="AI557" s="302"/>
      <c r="AJ557" s="268"/>
      <c r="AK557" s="268"/>
      <c r="AL557" s="268"/>
      <c r="AM557" s="268"/>
      <c r="AN557" s="302"/>
      <c r="AO557" s="302"/>
      <c r="AP557" s="302"/>
      <c r="AQ557" s="302"/>
      <c r="AR557" s="302"/>
      <c r="AS557" s="1022">
        <v>0.35833333333333334</v>
      </c>
      <c r="AT557" s="271"/>
      <c r="AU557" s="271"/>
      <c r="AV557" s="271"/>
      <c r="AW557" s="271"/>
      <c r="AX557" s="271"/>
      <c r="AY557" s="302"/>
      <c r="AZ557" s="302"/>
      <c r="BA557" s="302"/>
      <c r="BB557" s="116"/>
      <c r="BC557" s="116"/>
      <c r="BD557" s="116"/>
      <c r="BE557" s="116"/>
      <c r="BF557" s="116"/>
      <c r="BG557" s="116"/>
      <c r="BH557" s="268"/>
      <c r="BI557" s="268"/>
      <c r="BJ557" s="268"/>
      <c r="BK557" s="268"/>
      <c r="BL557" s="268"/>
      <c r="BM557" s="268"/>
      <c r="BN557" s="268"/>
      <c r="BO557" s="268"/>
      <c r="BP557" s="268"/>
      <c r="BQ557" s="268"/>
      <c r="BR557" s="268"/>
      <c r="BS557" s="268"/>
      <c r="BT557" s="268"/>
      <c r="BU557" s="268"/>
      <c r="BV557" s="268"/>
      <c r="BW557" s="268"/>
      <c r="BX557" s="268"/>
      <c r="BY557" s="268"/>
      <c r="BZ557" s="268"/>
      <c r="CA557" s="268"/>
      <c r="CB557" s="268"/>
      <c r="CC557" s="268"/>
      <c r="CD557" s="268"/>
      <c r="CE557" s="268"/>
      <c r="CF557" s="268"/>
      <c r="CG557" s="268"/>
      <c r="CH557" s="268"/>
      <c r="CI557" s="268"/>
      <c r="CJ557" s="268"/>
      <c r="CK557" s="268"/>
      <c r="CL557" s="268"/>
      <c r="CM557" s="268"/>
      <c r="CN557" s="268"/>
      <c r="CO557" s="268"/>
      <c r="CP557" s="268"/>
      <c r="CQ557" s="268"/>
      <c r="CR557" s="268"/>
      <c r="CS557" s="268"/>
      <c r="CT557" s="268"/>
      <c r="CU557" s="268"/>
      <c r="CV557" s="268"/>
      <c r="CW557" s="268"/>
      <c r="CX557" s="268"/>
      <c r="CY557" s="268"/>
      <c r="CZ557" s="268"/>
    </row>
    <row r="558" spans="1:104" hidden="1" outlineLevel="1">
      <c r="A558" s="268"/>
      <c r="B558" s="268"/>
      <c r="C558" s="1023" t="s">
        <v>563</v>
      </c>
      <c r="D558" s="268"/>
      <c r="E558" s="268"/>
      <c r="F558" s="268"/>
      <c r="G558" s="268"/>
      <c r="H558" s="268"/>
      <c r="I558" s="268"/>
      <c r="J558" s="271"/>
      <c r="K558" s="268"/>
      <c r="L558" s="268"/>
      <c r="M558" s="268"/>
      <c r="N558" s="268"/>
      <c r="O558" s="271"/>
      <c r="P558" s="268"/>
      <c r="Q558" s="268"/>
      <c r="R558" s="268"/>
      <c r="S558" s="268"/>
      <c r="T558" s="271"/>
      <c r="U558" s="268"/>
      <c r="V558" s="268"/>
      <c r="W558" s="268"/>
      <c r="X558" s="268"/>
      <c r="Y558" s="271"/>
      <c r="Z558" s="268"/>
      <c r="AA558" s="268"/>
      <c r="AB558" s="268"/>
      <c r="AC558" s="268"/>
      <c r="AD558" s="302"/>
      <c r="AE558" s="268"/>
      <c r="AF558" s="268"/>
      <c r="AG558" s="268"/>
      <c r="AH558" s="268"/>
      <c r="AI558" s="302"/>
      <c r="AJ558" s="268"/>
      <c r="AK558" s="268"/>
      <c r="AL558" s="268"/>
      <c r="AM558" s="268"/>
      <c r="AN558" s="302"/>
      <c r="AO558" s="302"/>
      <c r="AP558" s="302"/>
      <c r="AQ558" s="302"/>
      <c r="AR558" s="302"/>
      <c r="AS558" s="1022">
        <f>36.4/360</f>
        <v>0.10111111111111111</v>
      </c>
      <c r="AT558" s="271"/>
      <c r="AU558" s="271"/>
      <c r="AV558" s="271"/>
      <c r="AW558" s="271"/>
      <c r="AX558" s="271"/>
      <c r="AY558" s="302"/>
      <c r="AZ558" s="302"/>
      <c r="BA558" s="302"/>
      <c r="BB558" s="116"/>
      <c r="BC558" s="116"/>
      <c r="BD558" s="116"/>
      <c r="BE558" s="116"/>
      <c r="BF558" s="116"/>
      <c r="BG558" s="116"/>
      <c r="BH558" s="268"/>
      <c r="BI558" s="268"/>
      <c r="BJ558" s="268"/>
      <c r="BK558" s="268"/>
      <c r="BL558" s="268"/>
      <c r="BM558" s="268"/>
      <c r="BN558" s="268"/>
      <c r="BO558" s="268"/>
      <c r="BP558" s="268"/>
      <c r="BQ558" s="268"/>
      <c r="BR558" s="268"/>
      <c r="BS558" s="268"/>
      <c r="BT558" s="268"/>
      <c r="BU558" s="268"/>
      <c r="BV558" s="268"/>
      <c r="BW558" s="268"/>
      <c r="BX558" s="268"/>
      <c r="BY558" s="268"/>
      <c r="BZ558" s="268"/>
      <c r="CA558" s="268"/>
      <c r="CB558" s="268"/>
      <c r="CC558" s="268"/>
      <c r="CD558" s="268"/>
      <c r="CE558" s="268"/>
      <c r="CF558" s="268"/>
      <c r="CG558" s="268"/>
      <c r="CH558" s="268"/>
      <c r="CI558" s="268"/>
      <c r="CJ558" s="268"/>
      <c r="CK558" s="268"/>
      <c r="CL558" s="268"/>
      <c r="CM558" s="268"/>
      <c r="CN558" s="268"/>
      <c r="CO558" s="268"/>
      <c r="CP558" s="268"/>
      <c r="CQ558" s="268"/>
      <c r="CR558" s="268"/>
      <c r="CS558" s="268"/>
      <c r="CT558" s="268"/>
      <c r="CU558" s="268"/>
      <c r="CV558" s="268"/>
      <c r="CW558" s="268"/>
      <c r="CX558" s="268"/>
      <c r="CY558" s="268"/>
      <c r="CZ558" s="268"/>
    </row>
    <row r="559" spans="1:104" hidden="1" outlineLevel="1">
      <c r="A559" s="268"/>
      <c r="B559" s="268"/>
      <c r="C559" s="1023" t="s">
        <v>562</v>
      </c>
      <c r="D559" s="268"/>
      <c r="E559" s="268"/>
      <c r="F559" s="268"/>
      <c r="G559" s="268"/>
      <c r="H559" s="268"/>
      <c r="I559" s="268"/>
      <c r="J559" s="271"/>
      <c r="K559" s="268"/>
      <c r="L559" s="268"/>
      <c r="M559" s="268"/>
      <c r="N559" s="268"/>
      <c r="O559" s="271"/>
      <c r="P559" s="268"/>
      <c r="Q559" s="268"/>
      <c r="R559" s="268"/>
      <c r="S559" s="268"/>
      <c r="T559" s="271"/>
      <c r="U559" s="268"/>
      <c r="V559" s="268"/>
      <c r="W559" s="268"/>
      <c r="X559" s="268"/>
      <c r="Y559" s="271"/>
      <c r="Z559" s="268"/>
      <c r="AA559" s="268"/>
      <c r="AB559" s="268"/>
      <c r="AC559" s="268"/>
      <c r="AD559" s="302"/>
      <c r="AE559" s="268"/>
      <c r="AF559" s="268"/>
      <c r="AG559" s="268"/>
      <c r="AH559" s="268"/>
      <c r="AI559" s="302"/>
      <c r="AJ559" s="268"/>
      <c r="AK559" s="268"/>
      <c r="AL559" s="268"/>
      <c r="AM559" s="268"/>
      <c r="AN559" s="302"/>
      <c r="AO559" s="302"/>
      <c r="AP559" s="302"/>
      <c r="AQ559" s="302"/>
      <c r="AR559" s="302"/>
      <c r="AS559" s="1022">
        <f>45.6/360</f>
        <v>0.12666666666666668</v>
      </c>
      <c r="AT559" s="271"/>
      <c r="AU559" s="271"/>
      <c r="AV559" s="271"/>
      <c r="AW559" s="271"/>
      <c r="AX559" s="271"/>
      <c r="AY559" s="302"/>
      <c r="AZ559" s="302"/>
      <c r="BA559" s="302"/>
      <c r="BB559" s="116"/>
      <c r="BC559" s="116"/>
      <c r="BD559" s="116"/>
      <c r="BE559" s="116"/>
      <c r="BF559" s="116"/>
      <c r="BG559" s="116"/>
      <c r="BH559" s="268"/>
      <c r="BI559" s="268"/>
      <c r="BJ559" s="268"/>
      <c r="BK559" s="268"/>
      <c r="BL559" s="268"/>
      <c r="BM559" s="268"/>
      <c r="BN559" s="268"/>
      <c r="BO559" s="268"/>
      <c r="BP559" s="268"/>
      <c r="BQ559" s="268"/>
      <c r="BR559" s="268"/>
      <c r="BS559" s="268"/>
      <c r="BT559" s="268"/>
      <c r="BU559" s="268"/>
      <c r="BV559" s="268"/>
      <c r="BW559" s="268"/>
      <c r="BX559" s="268"/>
      <c r="BY559" s="268"/>
      <c r="BZ559" s="268"/>
      <c r="CA559" s="268"/>
      <c r="CB559" s="268"/>
      <c r="CC559" s="268"/>
      <c r="CD559" s="268"/>
      <c r="CE559" s="268"/>
      <c r="CF559" s="268"/>
      <c r="CG559" s="268"/>
      <c r="CH559" s="268"/>
      <c r="CI559" s="268"/>
      <c r="CJ559" s="268"/>
      <c r="CK559" s="268"/>
      <c r="CL559" s="268"/>
      <c r="CM559" s="268"/>
      <c r="CN559" s="268"/>
      <c r="CO559" s="268"/>
      <c r="CP559" s="268"/>
      <c r="CQ559" s="268"/>
      <c r="CR559" s="268"/>
      <c r="CS559" s="268"/>
      <c r="CT559" s="268"/>
      <c r="CU559" s="268"/>
      <c r="CV559" s="268"/>
      <c r="CW559" s="268"/>
      <c r="CX559" s="268"/>
      <c r="CY559" s="268"/>
      <c r="CZ559" s="268"/>
    </row>
    <row r="560" spans="1:104" hidden="1" outlineLevel="1">
      <c r="A560" s="268"/>
      <c r="B560" s="268"/>
      <c r="C560" s="1023" t="s">
        <v>561</v>
      </c>
      <c r="D560" s="268"/>
      <c r="E560" s="268"/>
      <c r="F560" s="268"/>
      <c r="G560" s="268"/>
      <c r="H560" s="268"/>
      <c r="I560" s="268"/>
      <c r="J560" s="271"/>
      <c r="K560" s="268"/>
      <c r="L560" s="268"/>
      <c r="M560" s="268"/>
      <c r="N560" s="268"/>
      <c r="O560" s="271"/>
      <c r="P560" s="268"/>
      <c r="Q560" s="268"/>
      <c r="R560" s="268"/>
      <c r="S560" s="268"/>
      <c r="T560" s="271"/>
      <c r="U560" s="268"/>
      <c r="V560" s="268"/>
      <c r="W560" s="268"/>
      <c r="X560" s="268"/>
      <c r="Y560" s="271"/>
      <c r="Z560" s="268"/>
      <c r="AA560" s="268"/>
      <c r="AB560" s="268"/>
      <c r="AC560" s="268"/>
      <c r="AD560" s="302"/>
      <c r="AE560" s="268"/>
      <c r="AF560" s="268"/>
      <c r="AG560" s="268"/>
      <c r="AH560" s="268"/>
      <c r="AI560" s="302"/>
      <c r="AJ560" s="268"/>
      <c r="AK560" s="268"/>
      <c r="AL560" s="268"/>
      <c r="AM560" s="268"/>
      <c r="AN560" s="302"/>
      <c r="AO560" s="302"/>
      <c r="AP560" s="302"/>
      <c r="AQ560" s="302"/>
      <c r="AR560" s="302"/>
      <c r="AS560" s="1022">
        <f>18.2/360</f>
        <v>5.0555555555555555E-2</v>
      </c>
      <c r="AT560" s="271"/>
      <c r="AU560" s="271"/>
      <c r="AV560" s="271"/>
      <c r="AW560" s="271"/>
      <c r="AX560" s="271"/>
      <c r="AY560" s="302"/>
      <c r="AZ560" s="302"/>
      <c r="BA560" s="302"/>
      <c r="BB560" s="116"/>
      <c r="BC560" s="116"/>
      <c r="BD560" s="116"/>
      <c r="BE560" s="116"/>
      <c r="BF560" s="116"/>
      <c r="BG560" s="116"/>
      <c r="BH560" s="268"/>
      <c r="BI560" s="268"/>
      <c r="BJ560" s="268"/>
      <c r="BK560" s="268"/>
      <c r="BL560" s="268"/>
      <c r="BM560" s="268"/>
      <c r="BN560" s="268"/>
      <c r="BO560" s="268"/>
      <c r="BP560" s="268"/>
      <c r="BQ560" s="268"/>
      <c r="BR560" s="268"/>
      <c r="BS560" s="268"/>
      <c r="BT560" s="268"/>
      <c r="BU560" s="268"/>
      <c r="BV560" s="268"/>
      <c r="BW560" s="268"/>
      <c r="BX560" s="268"/>
      <c r="BY560" s="268"/>
      <c r="BZ560" s="268"/>
      <c r="CA560" s="268"/>
      <c r="CB560" s="268"/>
      <c r="CC560" s="268"/>
      <c r="CD560" s="268"/>
      <c r="CE560" s="268"/>
      <c r="CF560" s="268"/>
      <c r="CG560" s="268"/>
      <c r="CH560" s="268"/>
      <c r="CI560" s="268"/>
      <c r="CJ560" s="268"/>
      <c r="CK560" s="268"/>
      <c r="CL560" s="268"/>
      <c r="CM560" s="268"/>
      <c r="CN560" s="268"/>
      <c r="CO560" s="268"/>
      <c r="CP560" s="268"/>
      <c r="CQ560" s="268"/>
      <c r="CR560" s="268"/>
      <c r="CS560" s="268"/>
      <c r="CT560" s="268"/>
      <c r="CU560" s="268"/>
      <c r="CV560" s="268"/>
      <c r="CW560" s="268"/>
      <c r="CX560" s="268"/>
      <c r="CY560" s="268"/>
      <c r="CZ560" s="268"/>
    </row>
    <row r="561" spans="1:104" hidden="1" outlineLevel="1">
      <c r="A561" s="268"/>
      <c r="B561" s="268"/>
      <c r="C561" s="268"/>
      <c r="D561" s="268"/>
      <c r="E561" s="268"/>
      <c r="F561" s="268"/>
      <c r="G561" s="268"/>
      <c r="H561" s="268"/>
      <c r="I561" s="268"/>
      <c r="J561" s="271"/>
      <c r="K561" s="268"/>
      <c r="L561" s="268"/>
      <c r="M561" s="268"/>
      <c r="N561" s="268"/>
      <c r="O561" s="271"/>
      <c r="P561" s="268"/>
      <c r="Q561" s="268"/>
      <c r="R561" s="268"/>
      <c r="S561" s="268"/>
      <c r="T561" s="271"/>
      <c r="U561" s="268"/>
      <c r="V561" s="268"/>
      <c r="W561" s="268"/>
      <c r="X561" s="268"/>
      <c r="Y561" s="271"/>
      <c r="Z561" s="268"/>
      <c r="AA561" s="268"/>
      <c r="AB561" s="268"/>
      <c r="AC561" s="268"/>
      <c r="AD561" s="302"/>
      <c r="AE561" s="268"/>
      <c r="AF561" s="268"/>
      <c r="AG561" s="268"/>
      <c r="AH561" s="268"/>
      <c r="AI561" s="302"/>
      <c r="AJ561" s="268"/>
      <c r="AK561" s="268"/>
      <c r="AL561" s="268"/>
      <c r="AM561" s="268"/>
      <c r="AN561" s="302"/>
      <c r="AO561" s="302"/>
      <c r="AP561" s="302"/>
      <c r="AQ561" s="302"/>
      <c r="AR561" s="302"/>
      <c r="AS561" s="271"/>
      <c r="AT561" s="271"/>
      <c r="AU561" s="271"/>
      <c r="AV561" s="271"/>
      <c r="AW561" s="271"/>
      <c r="AX561" s="271"/>
      <c r="AY561" s="302"/>
      <c r="AZ561" s="302"/>
      <c r="BA561" s="302"/>
      <c r="BB561" s="116"/>
      <c r="BC561" s="116"/>
      <c r="BD561" s="116"/>
      <c r="BE561" s="116"/>
      <c r="BF561" s="116"/>
      <c r="BG561" s="116"/>
      <c r="BH561" s="268"/>
      <c r="BI561" s="268"/>
      <c r="BJ561" s="268"/>
      <c r="BK561" s="268"/>
      <c r="BL561" s="268"/>
      <c r="BM561" s="268"/>
      <c r="BN561" s="268"/>
      <c r="BO561" s="268"/>
      <c r="BP561" s="268"/>
      <c r="BQ561" s="268"/>
      <c r="BR561" s="268"/>
      <c r="BS561" s="268"/>
      <c r="BT561" s="268"/>
      <c r="BU561" s="268"/>
      <c r="BV561" s="268"/>
      <c r="BW561" s="268"/>
      <c r="BX561" s="268"/>
      <c r="BY561" s="268"/>
      <c r="BZ561" s="268"/>
      <c r="CA561" s="268"/>
      <c r="CB561" s="268"/>
      <c r="CC561" s="268"/>
      <c r="CD561" s="268"/>
      <c r="CE561" s="268"/>
      <c r="CF561" s="268"/>
      <c r="CG561" s="268"/>
      <c r="CH561" s="268"/>
      <c r="CI561" s="268"/>
      <c r="CJ561" s="268"/>
      <c r="CK561" s="268"/>
      <c r="CL561" s="268"/>
      <c r="CM561" s="268"/>
      <c r="CN561" s="268"/>
      <c r="CO561" s="268"/>
      <c r="CP561" s="268"/>
      <c r="CQ561" s="268"/>
      <c r="CR561" s="268"/>
      <c r="CS561" s="268"/>
      <c r="CT561" s="268"/>
      <c r="CU561" s="268"/>
      <c r="CV561" s="268"/>
      <c r="CW561" s="268"/>
      <c r="CX561" s="268"/>
      <c r="CY561" s="268"/>
      <c r="CZ561" s="268"/>
    </row>
    <row r="562" spans="1:104" hidden="1" outlineLevel="1">
      <c r="A562" s="268"/>
      <c r="B562" s="268"/>
      <c r="C562" s="268" t="s">
        <v>560</v>
      </c>
      <c r="D562" s="268"/>
      <c r="E562" s="268"/>
      <c r="F562" s="268"/>
      <c r="G562" s="268"/>
      <c r="H562" s="268"/>
      <c r="I562" s="268"/>
      <c r="J562" s="271"/>
      <c r="K562" s="268"/>
      <c r="L562" s="268"/>
      <c r="M562" s="268"/>
      <c r="N562" s="268"/>
      <c r="O562" s="271"/>
      <c r="P562" s="268"/>
      <c r="Q562" s="268"/>
      <c r="R562" s="268"/>
      <c r="S562" s="268"/>
      <c r="T562" s="271"/>
      <c r="U562" s="268"/>
      <c r="V562" s="268"/>
      <c r="W562" s="268"/>
      <c r="X562" s="268"/>
      <c r="Y562" s="271"/>
      <c r="Z562" s="268"/>
      <c r="AA562" s="268"/>
      <c r="AB562" s="268"/>
      <c r="AC562" s="268"/>
      <c r="AD562" s="302"/>
      <c r="AE562" s="268"/>
      <c r="AF562" s="268"/>
      <c r="AG562" s="268"/>
      <c r="AH562" s="268"/>
      <c r="AI562" s="302"/>
      <c r="AJ562" s="268"/>
      <c r="AK562" s="268"/>
      <c r="AL562" s="268"/>
      <c r="AM562" s="268"/>
      <c r="AN562" s="302"/>
      <c r="AO562" s="302"/>
      <c r="AP562" s="302"/>
      <c r="AQ562" s="302"/>
      <c r="AR562" s="302"/>
      <c r="AS562" s="1012">
        <f>105.8/360</f>
        <v>0.29388888888888887</v>
      </c>
      <c r="AT562" s="271"/>
      <c r="AU562" s="271"/>
      <c r="AV562" s="271"/>
      <c r="AW562" s="271"/>
      <c r="AX562" s="271"/>
      <c r="AY562" s="302"/>
      <c r="AZ562" s="302"/>
      <c r="BA562" s="302"/>
      <c r="BB562" s="116"/>
      <c r="BC562" s="116"/>
      <c r="BD562" s="116"/>
      <c r="BE562" s="116"/>
      <c r="BF562" s="116"/>
      <c r="BG562" s="116"/>
      <c r="BH562" s="268"/>
      <c r="BI562" s="268"/>
      <c r="BJ562" s="268"/>
      <c r="BK562" s="268"/>
      <c r="BL562" s="268"/>
      <c r="BM562" s="268"/>
      <c r="BN562" s="268"/>
      <c r="BO562" s="268"/>
      <c r="BP562" s="268"/>
      <c r="BQ562" s="268"/>
      <c r="BR562" s="268"/>
      <c r="BS562" s="268"/>
      <c r="BT562" s="268"/>
      <c r="BU562" s="268"/>
      <c r="BV562" s="268"/>
      <c r="BW562" s="268"/>
      <c r="BX562" s="268"/>
      <c r="BY562" s="268"/>
      <c r="BZ562" s="268"/>
      <c r="CA562" s="268"/>
      <c r="CB562" s="268"/>
      <c r="CC562" s="268"/>
      <c r="CD562" s="268"/>
      <c r="CE562" s="268"/>
      <c r="CF562" s="268"/>
      <c r="CG562" s="268"/>
      <c r="CH562" s="268"/>
      <c r="CI562" s="268"/>
      <c r="CJ562" s="268"/>
      <c r="CK562" s="268"/>
      <c r="CL562" s="268"/>
      <c r="CM562" s="268"/>
      <c r="CN562" s="268"/>
      <c r="CO562" s="268"/>
      <c r="CP562" s="268"/>
      <c r="CQ562" s="268"/>
      <c r="CR562" s="268"/>
      <c r="CS562" s="268"/>
      <c r="CT562" s="268"/>
      <c r="CU562" s="268"/>
      <c r="CV562" s="268"/>
      <c r="CW562" s="268"/>
      <c r="CX562" s="268"/>
      <c r="CY562" s="268"/>
      <c r="CZ562" s="268"/>
    </row>
    <row r="563" spans="1:104" hidden="1" outlineLevel="1">
      <c r="A563" s="268"/>
      <c r="B563" s="268"/>
      <c r="C563" s="268" t="s">
        <v>559</v>
      </c>
      <c r="D563" s="268"/>
      <c r="E563" s="268"/>
      <c r="F563" s="268"/>
      <c r="G563" s="268"/>
      <c r="H563" s="268"/>
      <c r="I563" s="268"/>
      <c r="J563" s="271"/>
      <c r="K563" s="268"/>
      <c r="L563" s="268"/>
      <c r="M563" s="268"/>
      <c r="N563" s="268"/>
      <c r="O563" s="271"/>
      <c r="P563" s="268"/>
      <c r="Q563" s="268"/>
      <c r="R563" s="268"/>
      <c r="S563" s="268"/>
      <c r="T563" s="271"/>
      <c r="U563" s="268"/>
      <c r="V563" s="268"/>
      <c r="W563" s="268"/>
      <c r="X563" s="268"/>
      <c r="Y563" s="271"/>
      <c r="Z563" s="268"/>
      <c r="AA563" s="268"/>
      <c r="AB563" s="268"/>
      <c r="AC563" s="268"/>
      <c r="AD563" s="302"/>
      <c r="AE563" s="268"/>
      <c r="AF563" s="268"/>
      <c r="AG563" s="268"/>
      <c r="AH563" s="268"/>
      <c r="AI563" s="302"/>
      <c r="AJ563" s="268"/>
      <c r="AK563" s="268"/>
      <c r="AL563" s="268"/>
      <c r="AM563" s="268"/>
      <c r="AN563" s="302"/>
      <c r="AO563" s="302"/>
      <c r="AP563" s="302"/>
      <c r="AQ563" s="302"/>
      <c r="AR563" s="302"/>
      <c r="AS563" s="1012">
        <f>101.8/360</f>
        <v>0.28277777777777779</v>
      </c>
      <c r="AT563" s="271"/>
      <c r="AU563" s="271"/>
      <c r="AV563" s="271"/>
      <c r="AW563" s="271"/>
      <c r="AX563" s="271"/>
      <c r="AY563" s="302"/>
      <c r="AZ563" s="302"/>
      <c r="BA563" s="302"/>
      <c r="BB563" s="116"/>
      <c r="BC563" s="116"/>
      <c r="BD563" s="116"/>
      <c r="BE563" s="116"/>
      <c r="BF563" s="116"/>
      <c r="BG563" s="116"/>
      <c r="BH563" s="268"/>
      <c r="BI563" s="268"/>
      <c r="BJ563" s="268"/>
      <c r="BK563" s="268"/>
      <c r="BL563" s="268"/>
      <c r="BM563" s="268"/>
      <c r="BN563" s="268"/>
      <c r="BO563" s="268"/>
      <c r="BP563" s="268"/>
      <c r="BQ563" s="268"/>
      <c r="BR563" s="268"/>
      <c r="BS563" s="268"/>
      <c r="BT563" s="268"/>
      <c r="BU563" s="268"/>
      <c r="BV563" s="268"/>
      <c r="BW563" s="268"/>
      <c r="BX563" s="268"/>
      <c r="BY563" s="268"/>
      <c r="BZ563" s="268"/>
      <c r="CA563" s="268"/>
      <c r="CB563" s="268"/>
      <c r="CC563" s="268"/>
      <c r="CD563" s="268"/>
      <c r="CE563" s="268"/>
      <c r="CF563" s="268"/>
      <c r="CG563" s="268"/>
      <c r="CH563" s="268"/>
      <c r="CI563" s="268"/>
      <c r="CJ563" s="268"/>
      <c r="CK563" s="268"/>
      <c r="CL563" s="268"/>
      <c r="CM563" s="268"/>
      <c r="CN563" s="268"/>
      <c r="CO563" s="268"/>
      <c r="CP563" s="268"/>
      <c r="CQ563" s="268"/>
      <c r="CR563" s="268"/>
      <c r="CS563" s="268"/>
      <c r="CT563" s="268"/>
      <c r="CU563" s="268"/>
      <c r="CV563" s="268"/>
      <c r="CW563" s="268"/>
      <c r="CX563" s="268"/>
      <c r="CY563" s="268"/>
      <c r="CZ563" s="268"/>
    </row>
    <row r="564" spans="1:104" hidden="1" outlineLevel="1">
      <c r="A564" s="268"/>
      <c r="B564" s="268"/>
      <c r="C564" s="268" t="s">
        <v>558</v>
      </c>
      <c r="D564" s="268"/>
      <c r="E564" s="268"/>
      <c r="F564" s="268"/>
      <c r="G564" s="268"/>
      <c r="H564" s="268"/>
      <c r="I564" s="268"/>
      <c r="J564" s="271"/>
      <c r="K564" s="268"/>
      <c r="L564" s="268"/>
      <c r="M564" s="268"/>
      <c r="N564" s="268"/>
      <c r="O564" s="271"/>
      <c r="P564" s="268"/>
      <c r="Q564" s="268"/>
      <c r="R564" s="268"/>
      <c r="S564" s="268"/>
      <c r="T564" s="271"/>
      <c r="U564" s="268"/>
      <c r="V564" s="268"/>
      <c r="W564" s="268"/>
      <c r="X564" s="268"/>
      <c r="Y564" s="271"/>
      <c r="Z564" s="268"/>
      <c r="AA564" s="268"/>
      <c r="AB564" s="268"/>
      <c r="AC564" s="268"/>
      <c r="AD564" s="302"/>
      <c r="AE564" s="268"/>
      <c r="AF564" s="268"/>
      <c r="AG564" s="268"/>
      <c r="AH564" s="268"/>
      <c r="AI564" s="302"/>
      <c r="AJ564" s="268"/>
      <c r="AK564" s="268"/>
      <c r="AL564" s="268"/>
      <c r="AM564" s="268"/>
      <c r="AN564" s="302"/>
      <c r="AO564" s="302"/>
      <c r="AP564" s="302"/>
      <c r="AQ564" s="302"/>
      <c r="AR564" s="302"/>
      <c r="AS564" s="1012">
        <f>92.4/360</f>
        <v>0.25666666666666671</v>
      </c>
      <c r="AT564" s="271"/>
      <c r="AU564" s="271"/>
      <c r="AV564" s="271"/>
      <c r="AW564" s="271"/>
      <c r="AX564" s="271"/>
      <c r="AY564" s="302"/>
      <c r="AZ564" s="302"/>
      <c r="BA564" s="302"/>
      <c r="BB564" s="116"/>
      <c r="BC564" s="116"/>
      <c r="BD564" s="116"/>
      <c r="BE564" s="116"/>
      <c r="BF564" s="116"/>
      <c r="BG564" s="116"/>
      <c r="BH564" s="268"/>
      <c r="BI564" s="268"/>
      <c r="BJ564" s="268"/>
      <c r="BK564" s="268"/>
      <c r="BL564" s="268"/>
      <c r="BM564" s="268"/>
      <c r="BN564" s="268"/>
      <c r="BO564" s="268"/>
      <c r="BP564" s="268"/>
      <c r="BQ564" s="268"/>
      <c r="BR564" s="268"/>
      <c r="BS564" s="268"/>
      <c r="BT564" s="268"/>
      <c r="BU564" s="268"/>
      <c r="BV564" s="268"/>
      <c r="BW564" s="268"/>
      <c r="BX564" s="268"/>
      <c r="BY564" s="268"/>
      <c r="BZ564" s="268"/>
      <c r="CA564" s="268"/>
      <c r="CB564" s="268"/>
      <c r="CC564" s="268"/>
      <c r="CD564" s="268"/>
      <c r="CE564" s="268"/>
      <c r="CF564" s="268"/>
      <c r="CG564" s="268"/>
      <c r="CH564" s="268"/>
      <c r="CI564" s="268"/>
      <c r="CJ564" s="268"/>
      <c r="CK564" s="268"/>
      <c r="CL564" s="268"/>
      <c r="CM564" s="268"/>
      <c r="CN564" s="268"/>
      <c r="CO564" s="268"/>
      <c r="CP564" s="268"/>
      <c r="CQ564" s="268"/>
      <c r="CR564" s="268"/>
      <c r="CS564" s="268"/>
      <c r="CT564" s="268"/>
      <c r="CU564" s="268"/>
      <c r="CV564" s="268"/>
      <c r="CW564" s="268"/>
      <c r="CX564" s="268"/>
      <c r="CY564" s="268"/>
      <c r="CZ564" s="268"/>
    </row>
    <row r="565" spans="1:104" hidden="1" outlineLevel="1">
      <c r="A565" s="268"/>
      <c r="B565" s="268"/>
      <c r="C565" s="268" t="s">
        <v>557</v>
      </c>
      <c r="D565" s="268"/>
      <c r="E565" s="268"/>
      <c r="F565" s="268"/>
      <c r="G565" s="268"/>
      <c r="H565" s="268"/>
      <c r="I565" s="268"/>
      <c r="J565" s="271"/>
      <c r="K565" s="268"/>
      <c r="L565" s="268"/>
      <c r="M565" s="268"/>
      <c r="N565" s="268"/>
      <c r="O565" s="271"/>
      <c r="P565" s="268"/>
      <c r="Q565" s="268"/>
      <c r="R565" s="268"/>
      <c r="S565" s="268"/>
      <c r="T565" s="271"/>
      <c r="U565" s="268"/>
      <c r="V565" s="268"/>
      <c r="W565" s="268"/>
      <c r="X565" s="268"/>
      <c r="Y565" s="271"/>
      <c r="Z565" s="268"/>
      <c r="AA565" s="268"/>
      <c r="AB565" s="268"/>
      <c r="AC565" s="268"/>
      <c r="AD565" s="302"/>
      <c r="AE565" s="268"/>
      <c r="AF565" s="268"/>
      <c r="AG565" s="268"/>
      <c r="AH565" s="268"/>
      <c r="AI565" s="302"/>
      <c r="AJ565" s="268"/>
      <c r="AK565" s="268"/>
      <c r="AL565" s="268"/>
      <c r="AM565" s="268"/>
      <c r="AN565" s="302"/>
      <c r="AO565" s="302"/>
      <c r="AP565" s="302"/>
      <c r="AQ565" s="302"/>
      <c r="AR565" s="302"/>
      <c r="AS565" s="1012">
        <f>60.5/360</f>
        <v>0.16805555555555557</v>
      </c>
      <c r="AT565" s="271"/>
      <c r="AU565" s="271"/>
      <c r="AV565" s="271"/>
      <c r="AW565" s="271"/>
      <c r="AX565" s="271"/>
      <c r="AY565" s="302"/>
      <c r="AZ565" s="302"/>
      <c r="BA565" s="302"/>
      <c r="BB565" s="116"/>
      <c r="BC565" s="116"/>
      <c r="BD565" s="116"/>
      <c r="BE565" s="116"/>
      <c r="BF565" s="116"/>
      <c r="BG565" s="116"/>
      <c r="BH565" s="268"/>
      <c r="BI565" s="268"/>
      <c r="BJ565" s="268"/>
      <c r="BK565" s="268"/>
      <c r="BL565" s="268"/>
      <c r="BM565" s="268"/>
      <c r="BN565" s="268"/>
      <c r="BO565" s="268"/>
      <c r="BP565" s="268"/>
      <c r="BQ565" s="268"/>
      <c r="BR565" s="268"/>
      <c r="BS565" s="268"/>
      <c r="BT565" s="268"/>
      <c r="BU565" s="268"/>
      <c r="BV565" s="268"/>
      <c r="BW565" s="268"/>
      <c r="BX565" s="268"/>
      <c r="BY565" s="268"/>
      <c r="BZ565" s="268"/>
      <c r="CA565" s="268"/>
      <c r="CB565" s="268"/>
      <c r="CC565" s="268"/>
      <c r="CD565" s="268"/>
      <c r="CE565" s="268"/>
      <c r="CF565" s="268"/>
      <c r="CG565" s="268"/>
      <c r="CH565" s="268"/>
      <c r="CI565" s="268"/>
      <c r="CJ565" s="268"/>
      <c r="CK565" s="268"/>
      <c r="CL565" s="268"/>
      <c r="CM565" s="268"/>
      <c r="CN565" s="268"/>
      <c r="CO565" s="268"/>
      <c r="CP565" s="268"/>
      <c r="CQ565" s="268"/>
      <c r="CR565" s="268"/>
      <c r="CS565" s="268"/>
      <c r="CT565" s="268"/>
      <c r="CU565" s="268"/>
      <c r="CV565" s="268"/>
      <c r="CW565" s="268"/>
      <c r="CX565" s="268"/>
      <c r="CY565" s="268"/>
      <c r="CZ565" s="268"/>
    </row>
    <row r="566" spans="1:104" hidden="1" outlineLevel="1">
      <c r="A566" s="268"/>
      <c r="B566" s="268"/>
      <c r="C566" s="268"/>
      <c r="D566" s="268"/>
      <c r="E566" s="268"/>
      <c r="F566" s="268"/>
      <c r="G566" s="268"/>
      <c r="H566" s="268"/>
      <c r="I566" s="268"/>
      <c r="J566" s="271"/>
      <c r="K566" s="268"/>
      <c r="L566" s="268"/>
      <c r="M566" s="268"/>
      <c r="N566" s="268"/>
      <c r="O566" s="271"/>
      <c r="P566" s="268"/>
      <c r="Q566" s="268"/>
      <c r="R566" s="268"/>
      <c r="S566" s="268"/>
      <c r="T566" s="271"/>
      <c r="U566" s="268"/>
      <c r="V566" s="268"/>
      <c r="W566" s="268"/>
      <c r="X566" s="268"/>
      <c r="Y566" s="271"/>
      <c r="Z566" s="268"/>
      <c r="AA566" s="268"/>
      <c r="AB566" s="268"/>
      <c r="AC566" s="268"/>
      <c r="AD566" s="302"/>
      <c r="AE566" s="268"/>
      <c r="AF566" s="268"/>
      <c r="AG566" s="268"/>
      <c r="AH566" s="268"/>
      <c r="AI566" s="302"/>
      <c r="AJ566" s="268"/>
      <c r="AK566" s="268"/>
      <c r="AL566" s="268"/>
      <c r="AM566" s="268"/>
      <c r="AN566" s="302"/>
      <c r="AO566" s="302"/>
      <c r="AP566" s="302"/>
      <c r="AQ566" s="302"/>
      <c r="AR566" s="302"/>
      <c r="AS566" s="1012"/>
      <c r="AT566" s="271"/>
      <c r="AU566" s="271"/>
      <c r="AV566" s="271"/>
      <c r="AW566" s="271"/>
      <c r="AX566" s="271"/>
      <c r="AY566" s="302"/>
      <c r="AZ566" s="302"/>
      <c r="BA566" s="302"/>
      <c r="BB566" s="116"/>
      <c r="BC566" s="116"/>
      <c r="BD566" s="116"/>
      <c r="BE566" s="116"/>
      <c r="BF566" s="116"/>
      <c r="BG566" s="116"/>
      <c r="BH566" s="268"/>
      <c r="BI566" s="268"/>
      <c r="BJ566" s="268"/>
      <c r="BK566" s="268"/>
      <c r="BL566" s="268"/>
      <c r="BM566" s="268"/>
      <c r="BN566" s="268"/>
      <c r="BO566" s="268"/>
      <c r="BP566" s="268"/>
      <c r="BQ566" s="268"/>
      <c r="BR566" s="268"/>
      <c r="BS566" s="268"/>
      <c r="BT566" s="268"/>
      <c r="BU566" s="268"/>
      <c r="BV566" s="268"/>
      <c r="BW566" s="268"/>
      <c r="BX566" s="268"/>
      <c r="BY566" s="268"/>
      <c r="BZ566" s="268"/>
      <c r="CA566" s="268"/>
      <c r="CB566" s="268"/>
      <c r="CC566" s="268"/>
      <c r="CD566" s="268"/>
      <c r="CE566" s="268"/>
      <c r="CF566" s="268"/>
      <c r="CG566" s="268"/>
      <c r="CH566" s="268"/>
      <c r="CI566" s="268"/>
      <c r="CJ566" s="268"/>
      <c r="CK566" s="268"/>
      <c r="CL566" s="268"/>
      <c r="CM566" s="268"/>
      <c r="CN566" s="268"/>
      <c r="CO566" s="268"/>
      <c r="CP566" s="268"/>
      <c r="CQ566" s="268"/>
      <c r="CR566" s="268"/>
      <c r="CS566" s="268"/>
      <c r="CT566" s="268"/>
      <c r="CU566" s="268"/>
      <c r="CV566" s="268"/>
      <c r="CW566" s="268"/>
      <c r="CX566" s="268"/>
      <c r="CY566" s="268"/>
      <c r="CZ566" s="268"/>
    </row>
    <row r="567" spans="1:104" hidden="1" outlineLevel="1">
      <c r="A567" s="268"/>
      <c r="B567" s="268"/>
      <c r="C567" s="268" t="s">
        <v>556</v>
      </c>
      <c r="D567" s="268"/>
      <c r="E567" s="268"/>
      <c r="F567" s="268"/>
      <c r="G567" s="268"/>
      <c r="H567" s="268"/>
      <c r="I567" s="268"/>
      <c r="J567" s="271"/>
      <c r="K567" s="268"/>
      <c r="L567" s="268"/>
      <c r="M567" s="268"/>
      <c r="N567" s="268"/>
      <c r="O567" s="271"/>
      <c r="P567" s="268"/>
      <c r="Q567" s="268"/>
      <c r="R567" s="268"/>
      <c r="S567" s="268"/>
      <c r="T567" s="271"/>
      <c r="U567" s="268"/>
      <c r="V567" s="268"/>
      <c r="W567" s="268"/>
      <c r="X567" s="268"/>
      <c r="Y567" s="271"/>
      <c r="Z567" s="268"/>
      <c r="AA567" s="268"/>
      <c r="AB567" s="268"/>
      <c r="AC567" s="268"/>
      <c r="AD567" s="302"/>
      <c r="AE567" s="268"/>
      <c r="AF567" s="268"/>
      <c r="AG567" s="268"/>
      <c r="AH567" s="268"/>
      <c r="AI567" s="302"/>
      <c r="AJ567" s="268"/>
      <c r="AK567" s="268"/>
      <c r="AL567" s="268"/>
      <c r="AM567" s="268"/>
      <c r="AN567" s="302"/>
      <c r="AO567" s="302"/>
      <c r="AP567" s="302"/>
      <c r="AQ567" s="302"/>
      <c r="AR567" s="302"/>
      <c r="AS567" s="1012">
        <f>119.5/360</f>
        <v>0.33194444444444443</v>
      </c>
      <c r="AT567" s="271"/>
      <c r="AU567" s="271"/>
      <c r="AV567" s="271"/>
      <c r="AW567" s="271"/>
      <c r="AX567" s="271"/>
      <c r="AY567" s="302"/>
      <c r="AZ567" s="302"/>
      <c r="BA567" s="302"/>
      <c r="BB567" s="116"/>
      <c r="BC567" s="116"/>
      <c r="BD567" s="116"/>
      <c r="BE567" s="116"/>
      <c r="BF567" s="116"/>
      <c r="BG567" s="116"/>
      <c r="BH567" s="268"/>
      <c r="BI567" s="268"/>
      <c r="BJ567" s="268"/>
      <c r="BK567" s="268"/>
      <c r="BL567" s="268"/>
      <c r="BM567" s="268"/>
      <c r="BN567" s="268"/>
      <c r="BO567" s="268"/>
      <c r="BP567" s="268"/>
      <c r="BQ567" s="268"/>
      <c r="BR567" s="268"/>
      <c r="BS567" s="268"/>
      <c r="BT567" s="268"/>
      <c r="BU567" s="268"/>
      <c r="BV567" s="268"/>
      <c r="BW567" s="268"/>
      <c r="BX567" s="268"/>
      <c r="BY567" s="268"/>
      <c r="BZ567" s="268"/>
      <c r="CA567" s="268"/>
      <c r="CB567" s="268"/>
      <c r="CC567" s="268"/>
      <c r="CD567" s="268"/>
      <c r="CE567" s="268"/>
      <c r="CF567" s="268"/>
      <c r="CG567" s="268"/>
      <c r="CH567" s="268"/>
      <c r="CI567" s="268"/>
      <c r="CJ567" s="268"/>
      <c r="CK567" s="268"/>
      <c r="CL567" s="268"/>
      <c r="CM567" s="268"/>
      <c r="CN567" s="268"/>
      <c r="CO567" s="268"/>
      <c r="CP567" s="268"/>
      <c r="CQ567" s="268"/>
      <c r="CR567" s="268"/>
      <c r="CS567" s="268"/>
      <c r="CT567" s="268"/>
      <c r="CU567" s="268"/>
      <c r="CV567" s="268"/>
      <c r="CW567" s="268"/>
      <c r="CX567" s="268"/>
      <c r="CY567" s="268"/>
      <c r="CZ567" s="268"/>
    </row>
    <row r="568" spans="1:104" hidden="1" outlineLevel="1">
      <c r="A568" s="268"/>
      <c r="B568" s="268"/>
      <c r="C568" s="268" t="s">
        <v>555</v>
      </c>
      <c r="D568" s="268"/>
      <c r="E568" s="268"/>
      <c r="F568" s="268"/>
      <c r="G568" s="268"/>
      <c r="H568" s="268"/>
      <c r="I568" s="268"/>
      <c r="J568" s="271"/>
      <c r="K568" s="268"/>
      <c r="L568" s="268"/>
      <c r="M568" s="268"/>
      <c r="N568" s="268"/>
      <c r="O568" s="271"/>
      <c r="P568" s="268"/>
      <c r="Q568" s="268"/>
      <c r="R568" s="268"/>
      <c r="S568" s="268"/>
      <c r="T568" s="271"/>
      <c r="U568" s="268"/>
      <c r="V568" s="268"/>
      <c r="W568" s="268"/>
      <c r="X568" s="268"/>
      <c r="Y568" s="271"/>
      <c r="Z568" s="268"/>
      <c r="AA568" s="268"/>
      <c r="AB568" s="268"/>
      <c r="AC568" s="268"/>
      <c r="AD568" s="302"/>
      <c r="AE568" s="268"/>
      <c r="AF568" s="268"/>
      <c r="AG568" s="268"/>
      <c r="AH568" s="268"/>
      <c r="AI568" s="302"/>
      <c r="AJ568" s="268"/>
      <c r="AK568" s="268"/>
      <c r="AL568" s="268"/>
      <c r="AM568" s="268"/>
      <c r="AN568" s="302"/>
      <c r="AO568" s="302"/>
      <c r="AP568" s="302"/>
      <c r="AQ568" s="302"/>
      <c r="AR568" s="302"/>
      <c r="AS568" s="1012">
        <f>119.6/360</f>
        <v>0.3322222222222222</v>
      </c>
      <c r="AT568" s="271"/>
      <c r="AU568" s="271"/>
      <c r="AV568" s="271"/>
      <c r="AW568" s="271"/>
      <c r="AX568" s="271"/>
      <c r="AY568" s="302"/>
      <c r="AZ568" s="302"/>
      <c r="BA568" s="302"/>
      <c r="BB568" s="116"/>
      <c r="BC568" s="116"/>
      <c r="BD568" s="116"/>
      <c r="BE568" s="116"/>
      <c r="BF568" s="116"/>
      <c r="BG568" s="116"/>
      <c r="BH568" s="268"/>
      <c r="BI568" s="268"/>
      <c r="BJ568" s="268"/>
      <c r="BK568" s="268"/>
      <c r="BL568" s="268"/>
      <c r="BM568" s="268"/>
      <c r="BN568" s="268"/>
      <c r="BO568" s="268"/>
      <c r="BP568" s="268"/>
      <c r="BQ568" s="268"/>
      <c r="BR568" s="268"/>
      <c r="BS568" s="268"/>
      <c r="BT568" s="268"/>
      <c r="BU568" s="268"/>
      <c r="BV568" s="268"/>
      <c r="BW568" s="268"/>
      <c r="BX568" s="268"/>
      <c r="BY568" s="268"/>
      <c r="BZ568" s="268"/>
      <c r="CA568" s="268"/>
      <c r="CB568" s="268"/>
      <c r="CC568" s="268"/>
      <c r="CD568" s="268"/>
      <c r="CE568" s="268"/>
      <c r="CF568" s="268"/>
      <c r="CG568" s="268"/>
      <c r="CH568" s="268"/>
      <c r="CI568" s="268"/>
      <c r="CJ568" s="268"/>
      <c r="CK568" s="268"/>
      <c r="CL568" s="268"/>
      <c r="CM568" s="268"/>
      <c r="CN568" s="268"/>
      <c r="CO568" s="268"/>
      <c r="CP568" s="268"/>
      <c r="CQ568" s="268"/>
      <c r="CR568" s="268"/>
      <c r="CS568" s="268"/>
      <c r="CT568" s="268"/>
      <c r="CU568" s="268"/>
      <c r="CV568" s="268"/>
      <c r="CW568" s="268"/>
      <c r="CX568" s="268"/>
      <c r="CY568" s="268"/>
      <c r="CZ568" s="268"/>
    </row>
    <row r="569" spans="1:104" hidden="1" outlineLevel="1">
      <c r="A569" s="268"/>
      <c r="B569" s="268"/>
      <c r="C569" s="268" t="s">
        <v>554</v>
      </c>
      <c r="D569" s="268"/>
      <c r="E569" s="268"/>
      <c r="F569" s="268"/>
      <c r="G569" s="268"/>
      <c r="H569" s="268"/>
      <c r="I569" s="268"/>
      <c r="J569" s="271"/>
      <c r="K569" s="268"/>
      <c r="L569" s="268"/>
      <c r="M569" s="268"/>
      <c r="N569" s="268"/>
      <c r="O569" s="271"/>
      <c r="P569" s="268"/>
      <c r="Q569" s="268"/>
      <c r="R569" s="268"/>
      <c r="S569" s="268"/>
      <c r="T569" s="271"/>
      <c r="U569" s="268"/>
      <c r="V569" s="268"/>
      <c r="W569" s="268"/>
      <c r="X569" s="268"/>
      <c r="Y569" s="271"/>
      <c r="Z569" s="268"/>
      <c r="AA569" s="268"/>
      <c r="AB569" s="268"/>
      <c r="AC569" s="268"/>
      <c r="AD569" s="302"/>
      <c r="AE569" s="268"/>
      <c r="AF569" s="268"/>
      <c r="AG569" s="268"/>
      <c r="AH569" s="268"/>
      <c r="AI569" s="302"/>
      <c r="AJ569" s="268"/>
      <c r="AK569" s="268"/>
      <c r="AL569" s="268"/>
      <c r="AM569" s="268"/>
      <c r="AN569" s="302"/>
      <c r="AO569" s="302"/>
      <c r="AP569" s="302"/>
      <c r="AQ569" s="302"/>
      <c r="AR569" s="302"/>
      <c r="AS569" s="1012">
        <f>120.97/360</f>
        <v>0.33602777777777776</v>
      </c>
      <c r="AT569" s="271"/>
      <c r="AU569" s="271"/>
      <c r="AV569" s="271"/>
      <c r="AW569" s="271"/>
      <c r="AX569" s="271"/>
      <c r="AY569" s="302"/>
      <c r="AZ569" s="302"/>
      <c r="BA569" s="302"/>
      <c r="BB569" s="116"/>
      <c r="BC569" s="116"/>
      <c r="BD569" s="116"/>
      <c r="BE569" s="116"/>
      <c r="BF569" s="116"/>
      <c r="BG569" s="116"/>
      <c r="BH569" s="268"/>
      <c r="BI569" s="268"/>
      <c r="BJ569" s="268"/>
      <c r="BK569" s="268"/>
      <c r="BL569" s="268"/>
      <c r="BM569" s="268"/>
      <c r="BN569" s="268"/>
      <c r="BO569" s="268"/>
      <c r="BP569" s="268"/>
      <c r="BQ569" s="268"/>
      <c r="BR569" s="268"/>
      <c r="BS569" s="268"/>
      <c r="BT569" s="268"/>
      <c r="BU569" s="268"/>
      <c r="BV569" s="268"/>
      <c r="BW569" s="268"/>
      <c r="BX569" s="268"/>
      <c r="BY569" s="268"/>
      <c r="BZ569" s="268"/>
      <c r="CA569" s="268"/>
      <c r="CB569" s="268"/>
      <c r="CC569" s="268"/>
      <c r="CD569" s="268"/>
      <c r="CE569" s="268"/>
      <c r="CF569" s="268"/>
      <c r="CG569" s="268"/>
      <c r="CH569" s="268"/>
      <c r="CI569" s="268"/>
      <c r="CJ569" s="268"/>
      <c r="CK569" s="268"/>
      <c r="CL569" s="268"/>
      <c r="CM569" s="268"/>
      <c r="CN569" s="268"/>
      <c r="CO569" s="268"/>
      <c r="CP569" s="268"/>
      <c r="CQ569" s="268"/>
      <c r="CR569" s="268"/>
      <c r="CS569" s="268"/>
      <c r="CT569" s="268"/>
      <c r="CU569" s="268"/>
      <c r="CV569" s="268"/>
      <c r="CW569" s="268"/>
      <c r="CX569" s="268"/>
      <c r="CY569" s="268"/>
      <c r="CZ569" s="268"/>
    </row>
    <row r="570" spans="1:104" hidden="1" outlineLevel="1">
      <c r="A570" s="268"/>
      <c r="B570" s="268"/>
      <c r="C570" s="268"/>
      <c r="D570" s="268"/>
      <c r="E570" s="268"/>
      <c r="F570" s="268"/>
      <c r="G570" s="268"/>
      <c r="H570" s="268"/>
      <c r="I570" s="268"/>
      <c r="J570" s="271"/>
      <c r="K570" s="268"/>
      <c r="L570" s="268"/>
      <c r="M570" s="268"/>
      <c r="N570" s="268"/>
      <c r="O570" s="271"/>
      <c r="P570" s="268"/>
      <c r="Q570" s="268"/>
      <c r="R570" s="268"/>
      <c r="S570" s="268"/>
      <c r="T570" s="271"/>
      <c r="U570" s="268"/>
      <c r="V570" s="268"/>
      <c r="W570" s="268"/>
      <c r="X570" s="268"/>
      <c r="Y570" s="271"/>
      <c r="Z570" s="268"/>
      <c r="AA570" s="268"/>
      <c r="AB570" s="268"/>
      <c r="AC570" s="268"/>
      <c r="AD570" s="302"/>
      <c r="AE570" s="268"/>
      <c r="AF570" s="268"/>
      <c r="AG570" s="268"/>
      <c r="AH570" s="268"/>
      <c r="AI570" s="302"/>
      <c r="AJ570" s="268"/>
      <c r="AK570" s="268"/>
      <c r="AL570" s="268"/>
      <c r="AM570" s="268"/>
      <c r="AN570" s="302"/>
      <c r="AO570" s="302"/>
      <c r="AP570" s="302"/>
      <c r="AQ570" s="302"/>
      <c r="AR570" s="302"/>
      <c r="AS570" s="1012"/>
      <c r="AT570" s="271"/>
      <c r="AU570" s="271"/>
      <c r="AV570" s="271"/>
      <c r="AW570" s="271"/>
      <c r="AX570" s="271"/>
      <c r="AY570" s="302"/>
      <c r="AZ570" s="302"/>
      <c r="BA570" s="302"/>
      <c r="BB570" s="116"/>
      <c r="BC570" s="116"/>
      <c r="BD570" s="116"/>
      <c r="BE570" s="116"/>
      <c r="BF570" s="116"/>
      <c r="BG570" s="116"/>
      <c r="BH570" s="268"/>
      <c r="BI570" s="268"/>
      <c r="BJ570" s="268"/>
      <c r="BK570" s="268"/>
      <c r="BL570" s="268"/>
      <c r="BM570" s="268"/>
      <c r="BN570" s="268"/>
      <c r="BO570" s="268"/>
      <c r="BP570" s="268"/>
      <c r="BQ570" s="268"/>
      <c r="BR570" s="268"/>
      <c r="BS570" s="268"/>
      <c r="BT570" s="268"/>
      <c r="BU570" s="268"/>
      <c r="BV570" s="268"/>
      <c r="BW570" s="268"/>
      <c r="BX570" s="268"/>
      <c r="BY570" s="268"/>
      <c r="BZ570" s="268"/>
      <c r="CA570" s="268"/>
      <c r="CB570" s="268"/>
      <c r="CC570" s="268"/>
      <c r="CD570" s="268"/>
      <c r="CE570" s="268"/>
      <c r="CF570" s="268"/>
      <c r="CG570" s="268"/>
      <c r="CH570" s="268"/>
      <c r="CI570" s="268"/>
      <c r="CJ570" s="268"/>
      <c r="CK570" s="268"/>
      <c r="CL570" s="268"/>
      <c r="CM570" s="268"/>
      <c r="CN570" s="268"/>
      <c r="CO570" s="268"/>
      <c r="CP570" s="268"/>
      <c r="CQ570" s="268"/>
      <c r="CR570" s="268"/>
      <c r="CS570" s="268"/>
      <c r="CT570" s="268"/>
      <c r="CU570" s="268"/>
      <c r="CV570" s="268"/>
      <c r="CW570" s="268"/>
      <c r="CX570" s="268"/>
      <c r="CY570" s="268"/>
      <c r="CZ570" s="268"/>
    </row>
    <row r="571" spans="1:104" hidden="1" outlineLevel="1">
      <c r="A571" s="268"/>
      <c r="B571" s="268" t="s">
        <v>553</v>
      </c>
      <c r="C571" s="268"/>
      <c r="D571" s="268"/>
      <c r="E571" s="268"/>
      <c r="F571" s="268"/>
      <c r="G571" s="268"/>
      <c r="H571" s="268"/>
      <c r="I571" s="268"/>
      <c r="J571" s="271"/>
      <c r="K571" s="268"/>
      <c r="L571" s="268"/>
      <c r="M571" s="268"/>
      <c r="N571" s="268"/>
      <c r="O571" s="271"/>
      <c r="P571" s="268"/>
      <c r="Q571" s="268"/>
      <c r="R571" s="268"/>
      <c r="S571" s="268"/>
      <c r="T571" s="271"/>
      <c r="U571" s="268"/>
      <c r="V571" s="268"/>
      <c r="W571" s="268"/>
      <c r="X571" s="268"/>
      <c r="Y571" s="271"/>
      <c r="Z571" s="268"/>
      <c r="AA571" s="268"/>
      <c r="AB571" s="268"/>
      <c r="AC571" s="268"/>
      <c r="AD571" s="302"/>
      <c r="AE571" s="268"/>
      <c r="AF571" s="268"/>
      <c r="AG571" s="268"/>
      <c r="AH571" s="268"/>
      <c r="AI571" s="302"/>
      <c r="AJ571" s="268"/>
      <c r="AK571" s="268"/>
      <c r="AL571" s="268"/>
      <c r="AM571" s="268"/>
      <c r="AN571" s="302">
        <v>1999</v>
      </c>
      <c r="AO571" s="302"/>
      <c r="AP571" s="302"/>
      <c r="AQ571" s="302"/>
      <c r="AR571" s="302"/>
      <c r="AS571" s="271">
        <v>2007</v>
      </c>
      <c r="AT571" s="271"/>
      <c r="AU571" s="271"/>
      <c r="AV571" s="271"/>
      <c r="AW571" s="271"/>
      <c r="AX571" s="271">
        <v>2015</v>
      </c>
      <c r="AY571" s="271"/>
      <c r="AZ571" s="271"/>
      <c r="BA571" s="271"/>
      <c r="BB571" s="271"/>
      <c r="BC571" s="271"/>
      <c r="BD571" s="271"/>
      <c r="BE571" s="271"/>
      <c r="BF571" s="271"/>
      <c r="BG571" s="271"/>
      <c r="BH571" s="271"/>
      <c r="BI571" s="302"/>
      <c r="BJ571" s="302"/>
      <c r="BK571" s="302"/>
      <c r="BL571" s="302"/>
      <c r="BM571" s="302"/>
      <c r="BN571" s="116"/>
      <c r="BO571" s="116"/>
      <c r="BP571" s="116"/>
      <c r="BQ571" s="116"/>
      <c r="BR571" s="116"/>
      <c r="BS571" s="116"/>
      <c r="BT571" s="116"/>
      <c r="BU571" s="116"/>
      <c r="BV571" s="116"/>
      <c r="BW571" s="116"/>
      <c r="BX571" s="116"/>
      <c r="BY571" s="116"/>
      <c r="BZ571" s="116"/>
      <c r="CA571" s="116"/>
      <c r="CB571" s="116"/>
      <c r="CC571" s="116"/>
      <c r="CD571" s="116"/>
      <c r="CE571" s="116"/>
      <c r="CF571" s="116"/>
      <c r="CG571" s="116"/>
      <c r="CH571" s="116"/>
      <c r="CI571" s="116"/>
      <c r="CJ571" s="116"/>
      <c r="CK571" s="116"/>
      <c r="CL571" s="116"/>
      <c r="CM571" s="116"/>
      <c r="CN571" s="116"/>
      <c r="CO571" s="116"/>
      <c r="CP571" s="116"/>
      <c r="CQ571" s="116"/>
      <c r="CR571" s="116"/>
      <c r="CS571" s="116"/>
      <c r="CT571" s="116"/>
      <c r="CU571" s="116"/>
      <c r="CV571" s="116"/>
      <c r="CW571" s="116"/>
      <c r="CX571" s="116"/>
      <c r="CY571" s="116"/>
      <c r="CZ571" s="268"/>
    </row>
    <row r="572" spans="1:104" hidden="1" outlineLevel="1">
      <c r="A572" s="268"/>
      <c r="B572" s="268"/>
      <c r="C572" s="268" t="s">
        <v>552</v>
      </c>
      <c r="D572" s="268"/>
      <c r="E572" s="268"/>
      <c r="F572" s="268"/>
      <c r="G572" s="268"/>
      <c r="H572" s="268"/>
      <c r="I572" s="268"/>
      <c r="J572" s="271"/>
      <c r="K572" s="268"/>
      <c r="L572" s="268"/>
      <c r="M572" s="268"/>
      <c r="N572" s="268"/>
      <c r="O572" s="271"/>
      <c r="P572" s="268"/>
      <c r="Q572" s="268"/>
      <c r="R572" s="268"/>
      <c r="S572" s="268"/>
      <c r="T572" s="271"/>
      <c r="U572" s="268"/>
      <c r="V572" s="268"/>
      <c r="W572" s="268"/>
      <c r="X572" s="268"/>
      <c r="Y572" s="271"/>
      <c r="Z572" s="268"/>
      <c r="AA572" s="268"/>
      <c r="AB572" s="268"/>
      <c r="AC572" s="268"/>
      <c r="AD572" s="302"/>
      <c r="AE572" s="268"/>
      <c r="AF572" s="268"/>
      <c r="AG572" s="268"/>
      <c r="AH572" s="268"/>
      <c r="AI572" s="302"/>
      <c r="AJ572" s="268"/>
      <c r="AK572" s="268"/>
      <c r="AL572" s="268"/>
      <c r="AM572" s="268"/>
      <c r="AN572" s="1014">
        <f>40+33/168*40</f>
        <v>47.857142857142854</v>
      </c>
      <c r="AO572" s="1014"/>
      <c r="AP572" s="1014"/>
      <c r="AQ572" s="1014"/>
      <c r="AR572" s="1014"/>
      <c r="AS572" s="1013">
        <f>40+0.827380952380952*40</f>
        <v>73.095238095238074</v>
      </c>
      <c r="AT572" s="271"/>
      <c r="AU572" s="271"/>
      <c r="AV572" s="271"/>
      <c r="AW572" s="271"/>
      <c r="AX572" s="273">
        <f>80+133/165*40</f>
        <v>112.24242424242425</v>
      </c>
      <c r="AY572" s="302"/>
      <c r="AZ572" s="302"/>
      <c r="BA572" s="302"/>
      <c r="BB572" s="116"/>
      <c r="BC572" s="116"/>
      <c r="BD572" s="116"/>
      <c r="BE572" s="116"/>
      <c r="BF572" s="116"/>
      <c r="BG572" s="116"/>
      <c r="BH572" s="268"/>
      <c r="BI572" s="268"/>
      <c r="BJ572" s="268"/>
      <c r="BK572" s="268"/>
      <c r="BL572" s="268"/>
      <c r="BM572" s="268"/>
      <c r="BN572" s="268"/>
      <c r="BO572" s="268"/>
      <c r="BP572" s="268"/>
      <c r="BQ572" s="268"/>
      <c r="BR572" s="268"/>
      <c r="BS572" s="268"/>
      <c r="BT572" s="268"/>
      <c r="BU572" s="268"/>
      <c r="BV572" s="268"/>
      <c r="BW572" s="268"/>
      <c r="BX572" s="268"/>
      <c r="BY572" s="268"/>
      <c r="BZ572" s="268"/>
      <c r="CA572" s="268"/>
      <c r="CB572" s="268"/>
      <c r="CC572" s="268"/>
      <c r="CD572" s="268"/>
      <c r="CE572" s="268"/>
      <c r="CF572" s="268"/>
      <c r="CG572" s="268"/>
      <c r="CH572" s="268"/>
      <c r="CI572" s="268"/>
      <c r="CJ572" s="268"/>
      <c r="CK572" s="268"/>
      <c r="CL572" s="268"/>
      <c r="CM572" s="268"/>
      <c r="CN572" s="268"/>
      <c r="CO572" s="268"/>
      <c r="CP572" s="268"/>
      <c r="CQ572" s="268"/>
      <c r="CR572" s="268"/>
      <c r="CS572" s="268"/>
      <c r="CT572" s="268"/>
      <c r="CU572" s="268"/>
      <c r="CV572" s="268"/>
      <c r="CW572" s="268"/>
      <c r="CX572" s="268"/>
      <c r="CY572" s="268"/>
      <c r="CZ572" s="268"/>
    </row>
    <row r="573" spans="1:104" hidden="1" outlineLevel="1">
      <c r="A573" s="268"/>
      <c r="B573" s="268"/>
      <c r="C573" s="268"/>
      <c r="D573" s="268"/>
      <c r="E573" s="268"/>
      <c r="F573" s="268"/>
      <c r="G573" s="268"/>
      <c r="H573" s="268"/>
      <c r="I573" s="268"/>
      <c r="J573" s="271"/>
      <c r="K573" s="268"/>
      <c r="L573" s="268"/>
      <c r="M573" s="268"/>
      <c r="N573" s="268"/>
      <c r="O573" s="271"/>
      <c r="P573" s="268"/>
      <c r="Q573" s="268"/>
      <c r="R573" s="268"/>
      <c r="S573" s="268"/>
      <c r="T573" s="271"/>
      <c r="U573" s="268"/>
      <c r="V573" s="268"/>
      <c r="W573" s="268"/>
      <c r="X573" s="268"/>
      <c r="Y573" s="271"/>
      <c r="Z573" s="268"/>
      <c r="AA573" s="268"/>
      <c r="AB573" s="268"/>
      <c r="AC573" s="268"/>
      <c r="AD573" s="302"/>
      <c r="AE573" s="268"/>
      <c r="AF573" s="268"/>
      <c r="AG573" s="268"/>
      <c r="AH573" s="268"/>
      <c r="AI573" s="302"/>
      <c r="AJ573" s="268"/>
      <c r="AK573" s="268"/>
      <c r="AL573" s="268"/>
      <c r="AM573" s="268"/>
      <c r="AN573" s="302"/>
      <c r="AO573" s="302"/>
      <c r="AP573" s="302"/>
      <c r="AQ573" s="302"/>
      <c r="AR573" s="302"/>
      <c r="AS573" s="1012"/>
      <c r="AT573" s="271"/>
      <c r="AU573" s="271"/>
      <c r="AV573" s="271"/>
      <c r="AW573" s="271"/>
      <c r="AX573" s="271"/>
      <c r="AY573" s="302"/>
      <c r="AZ573" s="302"/>
      <c r="BA573" s="302"/>
      <c r="BB573" s="116"/>
      <c r="BC573" s="116"/>
      <c r="BD573" s="116"/>
      <c r="BE573" s="116"/>
      <c r="BF573" s="116"/>
      <c r="BG573" s="116"/>
      <c r="BH573" s="268"/>
      <c r="BI573" s="268"/>
      <c r="BJ573" s="268"/>
      <c r="BK573" s="268"/>
      <c r="BL573" s="268"/>
      <c r="BM573" s="268"/>
      <c r="BN573" s="268"/>
      <c r="BO573" s="268"/>
      <c r="BP573" s="268"/>
      <c r="BQ573" s="268"/>
      <c r="BR573" s="268"/>
      <c r="BS573" s="268"/>
      <c r="BT573" s="268"/>
      <c r="BU573" s="268"/>
      <c r="BV573" s="268"/>
      <c r="BW573" s="268"/>
      <c r="BX573" s="268"/>
      <c r="BY573" s="268"/>
      <c r="BZ573" s="268"/>
      <c r="CA573" s="268"/>
      <c r="CB573" s="268"/>
      <c r="CC573" s="268"/>
      <c r="CD573" s="268"/>
      <c r="CE573" s="268"/>
      <c r="CF573" s="268"/>
      <c r="CG573" s="268"/>
      <c r="CH573" s="268"/>
      <c r="CI573" s="268"/>
      <c r="CJ573" s="268"/>
      <c r="CK573" s="268"/>
      <c r="CL573" s="268"/>
      <c r="CM573" s="268"/>
      <c r="CN573" s="268"/>
      <c r="CO573" s="268"/>
      <c r="CP573" s="268"/>
      <c r="CQ573" s="268"/>
      <c r="CR573" s="268"/>
      <c r="CS573" s="268"/>
      <c r="CT573" s="268"/>
      <c r="CU573" s="268"/>
      <c r="CV573" s="268"/>
      <c r="CW573" s="268"/>
      <c r="CX573" s="268"/>
      <c r="CY573" s="268"/>
      <c r="CZ573" s="268"/>
    </row>
    <row r="574" spans="1:104" hidden="1" outlineLevel="1">
      <c r="A574" s="268"/>
      <c r="B574" s="268" t="s">
        <v>551</v>
      </c>
      <c r="C574" s="268"/>
      <c r="D574" s="268"/>
      <c r="E574" s="268"/>
      <c r="F574" s="268"/>
      <c r="G574" s="268"/>
      <c r="H574" s="268"/>
      <c r="I574" s="268"/>
      <c r="J574" s="271"/>
      <c r="K574" s="268"/>
      <c r="L574" s="268"/>
      <c r="M574" s="268"/>
      <c r="N574" s="268"/>
      <c r="O574" s="271"/>
      <c r="P574" s="268"/>
      <c r="Q574" s="268"/>
      <c r="R574" s="268"/>
      <c r="S574" s="268"/>
      <c r="T574" s="271"/>
      <c r="U574" s="268"/>
      <c r="V574" s="268"/>
      <c r="W574" s="268"/>
      <c r="X574" s="268"/>
      <c r="Y574" s="271"/>
      <c r="Z574" s="268"/>
      <c r="AA574" s="268"/>
      <c r="AB574" s="268"/>
      <c r="AC574" s="268"/>
      <c r="AD574" s="302"/>
      <c r="AE574" s="268"/>
      <c r="AF574" s="268"/>
      <c r="AG574" s="268"/>
      <c r="AH574" s="268"/>
      <c r="AI574" s="302"/>
      <c r="AJ574" s="268"/>
      <c r="AK574" s="268"/>
      <c r="AL574" s="268"/>
      <c r="AM574" s="268"/>
      <c r="AN574" s="302"/>
      <c r="AO574" s="302"/>
      <c r="AP574" s="302"/>
      <c r="AQ574" s="302"/>
      <c r="AR574" s="302"/>
      <c r="AS574" s="1012"/>
      <c r="AT574" s="271"/>
      <c r="AU574" s="271"/>
      <c r="AV574" s="271"/>
      <c r="AW574" s="271"/>
      <c r="AX574" s="271"/>
      <c r="AY574" s="302"/>
      <c r="AZ574" s="302"/>
      <c r="BA574" s="302"/>
      <c r="BB574" s="116"/>
      <c r="BC574" s="116"/>
      <c r="BD574" s="116"/>
      <c r="BE574" s="116"/>
      <c r="BF574" s="116"/>
      <c r="BG574" s="116"/>
      <c r="BH574" s="268"/>
      <c r="BI574" s="268"/>
      <c r="BJ574" s="268"/>
      <c r="BK574" s="268"/>
      <c r="BL574" s="268"/>
      <c r="BM574" s="268"/>
      <c r="BN574" s="268"/>
      <c r="BO574" s="268"/>
      <c r="BP574" s="268"/>
      <c r="BQ574" s="268"/>
      <c r="BR574" s="268"/>
      <c r="BS574" s="268"/>
      <c r="BT574" s="268"/>
      <c r="BU574" s="268"/>
      <c r="BV574" s="268"/>
      <c r="BW574" s="268"/>
      <c r="BX574" s="268"/>
      <c r="BY574" s="268"/>
      <c r="BZ574" s="268"/>
      <c r="CA574" s="268"/>
      <c r="CB574" s="268"/>
      <c r="CC574" s="268"/>
      <c r="CD574" s="268"/>
      <c r="CE574" s="268"/>
      <c r="CF574" s="268"/>
      <c r="CG574" s="268"/>
      <c r="CH574" s="268"/>
      <c r="CI574" s="268"/>
      <c r="CJ574" s="268"/>
      <c r="CK574" s="268"/>
      <c r="CL574" s="268"/>
      <c r="CM574" s="268"/>
      <c r="CN574" s="268"/>
      <c r="CO574" s="268"/>
      <c r="CP574" s="268"/>
      <c r="CQ574" s="268"/>
      <c r="CR574" s="268"/>
      <c r="CS574" s="268"/>
      <c r="CT574" s="268"/>
      <c r="CU574" s="268"/>
      <c r="CV574" s="268"/>
      <c r="CW574" s="268"/>
      <c r="CX574" s="268"/>
      <c r="CY574" s="268"/>
      <c r="CZ574" s="268"/>
    </row>
    <row r="575" spans="1:104" hidden="1" outlineLevel="1">
      <c r="A575" s="268"/>
      <c r="B575" s="271" t="s">
        <v>550</v>
      </c>
      <c r="C575" s="268"/>
      <c r="D575" s="268"/>
      <c r="E575" s="268"/>
      <c r="F575" s="268"/>
      <c r="G575" s="268"/>
      <c r="H575" s="268"/>
      <c r="I575" s="268"/>
      <c r="J575" s="271"/>
      <c r="K575" s="268"/>
      <c r="L575" s="268"/>
      <c r="M575" s="268"/>
      <c r="N575" s="268"/>
      <c r="O575" s="271"/>
      <c r="P575" s="268"/>
      <c r="Q575" s="268"/>
      <c r="R575" s="268"/>
      <c r="S575" s="268"/>
      <c r="T575" s="271"/>
      <c r="U575" s="268"/>
      <c r="V575" s="268"/>
      <c r="W575" s="268"/>
      <c r="X575" s="268"/>
      <c r="Y575" s="271"/>
      <c r="Z575" s="268"/>
      <c r="AA575" s="268"/>
      <c r="AB575" s="268"/>
      <c r="AC575" s="268"/>
      <c r="AD575" s="302"/>
      <c r="AE575" s="268"/>
      <c r="AF575" s="268"/>
      <c r="AG575" s="268"/>
      <c r="AH575" s="268"/>
      <c r="AI575" s="302"/>
      <c r="AJ575" s="268"/>
      <c r="AK575" s="268"/>
      <c r="AL575" s="268"/>
      <c r="AM575" s="268"/>
      <c r="AN575" s="302"/>
      <c r="AO575" s="302"/>
      <c r="AP575" s="302"/>
      <c r="AQ575" s="302"/>
      <c r="AR575" s="302"/>
      <c r="AS575" s="1012"/>
      <c r="AT575" s="271"/>
      <c r="AU575" s="271"/>
      <c r="AV575" s="271"/>
      <c r="AW575" s="271"/>
      <c r="AX575" s="271"/>
      <c r="AY575" s="302"/>
      <c r="AZ575" s="302"/>
      <c r="BA575" s="302"/>
      <c r="BB575" s="116"/>
      <c r="BC575" s="116"/>
      <c r="BD575" s="116"/>
      <c r="BE575" s="116"/>
      <c r="BF575" s="116"/>
      <c r="BG575" s="116"/>
      <c r="BH575" s="268"/>
      <c r="BI575" s="268"/>
      <c r="BJ575" s="268"/>
      <c r="BK575" s="268"/>
      <c r="BL575" s="268"/>
      <c r="BM575" s="268"/>
      <c r="BN575" s="268"/>
      <c r="BO575" s="268"/>
      <c r="BP575" s="268"/>
      <c r="BQ575" s="268"/>
      <c r="BR575" s="268"/>
      <c r="BS575" s="268"/>
      <c r="BT575" s="268"/>
      <c r="BU575" s="268"/>
      <c r="BV575" s="268"/>
      <c r="BW575" s="268"/>
      <c r="BX575" s="268"/>
      <c r="BY575" s="268"/>
      <c r="BZ575" s="268"/>
      <c r="CA575" s="268"/>
      <c r="CB575" s="268"/>
      <c r="CC575" s="268"/>
      <c r="CD575" s="268"/>
      <c r="CE575" s="268"/>
      <c r="CF575" s="268"/>
      <c r="CG575" s="268"/>
      <c r="CH575" s="268"/>
      <c r="CI575" s="268"/>
      <c r="CJ575" s="268"/>
      <c r="CK575" s="268"/>
      <c r="CL575" s="268"/>
      <c r="CM575" s="268"/>
      <c r="CN575" s="268"/>
      <c r="CO575" s="268"/>
      <c r="CP575" s="268"/>
      <c r="CQ575" s="268"/>
      <c r="CR575" s="268"/>
      <c r="CS575" s="268"/>
      <c r="CT575" s="268"/>
      <c r="CU575" s="268"/>
      <c r="CV575" s="268"/>
      <c r="CW575" s="268"/>
      <c r="CX575" s="268"/>
      <c r="CY575" s="268"/>
      <c r="CZ575" s="268"/>
    </row>
    <row r="576" spans="1:104" hidden="1" outlineLevel="1">
      <c r="A576" s="268"/>
      <c r="B576" s="268"/>
      <c r="C576" s="268" t="s">
        <v>499</v>
      </c>
      <c r="D576" s="268"/>
      <c r="E576" s="268"/>
      <c r="F576" s="268"/>
      <c r="G576" s="268"/>
      <c r="H576" s="268"/>
      <c r="I576" s="268"/>
      <c r="J576" s="271"/>
      <c r="K576" s="268"/>
      <c r="L576" s="268"/>
      <c r="M576" s="268"/>
      <c r="N576" s="268"/>
      <c r="O576" s="271"/>
      <c r="P576" s="268"/>
      <c r="Q576" s="268"/>
      <c r="R576" s="268"/>
      <c r="S576" s="268"/>
      <c r="T576" s="271"/>
      <c r="U576" s="268"/>
      <c r="V576" s="268"/>
      <c r="W576" s="268"/>
      <c r="X576" s="268"/>
      <c r="Y576" s="271"/>
      <c r="Z576" s="268"/>
      <c r="AA576" s="268"/>
      <c r="AB576" s="268"/>
      <c r="AC576" s="268"/>
      <c r="AD576" s="302"/>
      <c r="AE576" s="268"/>
      <c r="AF576" s="268"/>
      <c r="AG576" s="268"/>
      <c r="AH576" s="268"/>
      <c r="AI576" s="302"/>
      <c r="AJ576" s="268"/>
      <c r="AK576" s="268"/>
      <c r="AL576" s="268"/>
      <c r="AM576" s="268"/>
      <c r="AN576" s="302"/>
      <c r="AO576" s="302"/>
      <c r="AP576" s="302"/>
      <c r="AQ576" s="302"/>
      <c r="AR576" s="302"/>
      <c r="AS576" s="1019">
        <f>240+29/35*80</f>
        <v>306.28571428571428</v>
      </c>
      <c r="AT576" s="271"/>
      <c r="AU576" s="271"/>
      <c r="AV576" s="271"/>
      <c r="AW576" s="271"/>
      <c r="AX576" s="271"/>
      <c r="AY576" s="302"/>
      <c r="AZ576" s="302"/>
      <c r="BA576" s="302"/>
      <c r="BB576" s="116"/>
      <c r="BC576" s="116"/>
      <c r="BD576" s="116"/>
      <c r="BE576" s="116"/>
      <c r="BF576" s="116"/>
      <c r="BG576" s="116"/>
      <c r="BH576" s="268"/>
      <c r="BI576" s="268"/>
      <c r="BJ576" s="268"/>
      <c r="BK576" s="268"/>
      <c r="BL576" s="268"/>
      <c r="BM576" s="268"/>
      <c r="BN576" s="268"/>
      <c r="BO576" s="268"/>
      <c r="BP576" s="268"/>
      <c r="BQ576" s="268"/>
      <c r="BR576" s="268"/>
      <c r="BS576" s="268"/>
      <c r="BT576" s="268"/>
      <c r="BU576" s="268"/>
      <c r="BV576" s="268"/>
      <c r="BW576" s="268"/>
      <c r="BX576" s="268"/>
      <c r="BY576" s="268"/>
      <c r="BZ576" s="268"/>
      <c r="CA576" s="268"/>
      <c r="CB576" s="268"/>
      <c r="CC576" s="268"/>
      <c r="CD576" s="268"/>
      <c r="CE576" s="268"/>
      <c r="CF576" s="268"/>
      <c r="CG576" s="268"/>
      <c r="CH576" s="268"/>
      <c r="CI576" s="268"/>
      <c r="CJ576" s="268"/>
      <c r="CK576" s="268"/>
      <c r="CL576" s="268"/>
      <c r="CM576" s="268"/>
      <c r="CN576" s="268"/>
      <c r="CO576" s="268"/>
      <c r="CP576" s="268"/>
      <c r="CQ576" s="268"/>
      <c r="CR576" s="268"/>
      <c r="CS576" s="268"/>
      <c r="CT576" s="268"/>
      <c r="CU576" s="268"/>
      <c r="CV576" s="268"/>
      <c r="CW576" s="268"/>
      <c r="CX576" s="268"/>
      <c r="CY576" s="268"/>
      <c r="CZ576" s="268"/>
    </row>
    <row r="577" spans="1:104" hidden="1" outlineLevel="1">
      <c r="A577" s="268"/>
      <c r="B577" s="268"/>
      <c r="C577" s="268" t="s">
        <v>9</v>
      </c>
      <c r="D577" s="268"/>
      <c r="E577" s="268"/>
      <c r="F577" s="268"/>
      <c r="G577" s="268"/>
      <c r="H577" s="268"/>
      <c r="I577" s="268"/>
      <c r="J577" s="271"/>
      <c r="K577" s="268"/>
      <c r="L577" s="268"/>
      <c r="M577" s="268"/>
      <c r="N577" s="268"/>
      <c r="O577" s="271"/>
      <c r="P577" s="268"/>
      <c r="Q577" s="268"/>
      <c r="R577" s="268"/>
      <c r="S577" s="268"/>
      <c r="T577" s="271"/>
      <c r="U577" s="268"/>
      <c r="V577" s="268"/>
      <c r="W577" s="268"/>
      <c r="X577" s="268"/>
      <c r="Y577" s="271"/>
      <c r="Z577" s="268"/>
      <c r="AA577" s="268"/>
      <c r="AB577" s="268"/>
      <c r="AC577" s="268"/>
      <c r="AD577" s="302"/>
      <c r="AE577" s="268"/>
      <c r="AF577" s="268"/>
      <c r="AG577" s="268"/>
      <c r="AH577" s="268"/>
      <c r="AI577" s="302"/>
      <c r="AJ577" s="268"/>
      <c r="AK577" s="268"/>
      <c r="AL577" s="268"/>
      <c r="AM577" s="268"/>
      <c r="AN577" s="302"/>
      <c r="AO577" s="302"/>
      <c r="AP577" s="302"/>
      <c r="AQ577" s="302"/>
      <c r="AR577" s="302"/>
      <c r="AS577" s="1019">
        <f>240+8/35*80</f>
        <v>258.28571428571428</v>
      </c>
      <c r="AT577" s="271"/>
      <c r="AU577" s="271"/>
      <c r="AV577" s="271"/>
      <c r="AW577" s="271"/>
      <c r="AX577" s="271"/>
      <c r="AY577" s="302"/>
      <c r="AZ577" s="302"/>
      <c r="BA577" s="302"/>
      <c r="BB577" s="116"/>
      <c r="BC577" s="116"/>
      <c r="BD577" s="116"/>
      <c r="BE577" s="116"/>
      <c r="BF577" s="116"/>
      <c r="BG577" s="116"/>
      <c r="BH577" s="268"/>
      <c r="BI577" s="268"/>
      <c r="BJ577" s="268"/>
      <c r="BK577" s="268"/>
      <c r="BL577" s="268"/>
      <c r="BM577" s="268"/>
      <c r="BN577" s="268"/>
      <c r="BO577" s="268"/>
      <c r="BP577" s="268"/>
      <c r="BQ577" s="268"/>
      <c r="BR577" s="268"/>
      <c r="BS577" s="268"/>
      <c r="BT577" s="268"/>
      <c r="BU577" s="268"/>
      <c r="BV577" s="268"/>
      <c r="BW577" s="268"/>
      <c r="BX577" s="268"/>
      <c r="BY577" s="268"/>
      <c r="BZ577" s="268"/>
      <c r="CA577" s="268"/>
      <c r="CB577" s="268"/>
      <c r="CC577" s="268"/>
      <c r="CD577" s="268"/>
      <c r="CE577" s="268"/>
      <c r="CF577" s="268"/>
      <c r="CG577" s="268"/>
      <c r="CH577" s="268"/>
      <c r="CI577" s="268"/>
      <c r="CJ577" s="268"/>
      <c r="CK577" s="268"/>
      <c r="CL577" s="268"/>
      <c r="CM577" s="268"/>
      <c r="CN577" s="268"/>
      <c r="CO577" s="268"/>
      <c r="CP577" s="268"/>
      <c r="CQ577" s="268"/>
      <c r="CR577" s="268"/>
      <c r="CS577" s="268"/>
      <c r="CT577" s="268"/>
      <c r="CU577" s="268"/>
      <c r="CV577" s="268"/>
      <c r="CW577" s="268"/>
      <c r="CX577" s="268"/>
      <c r="CY577" s="268"/>
      <c r="CZ577" s="268"/>
    </row>
    <row r="578" spans="1:104" hidden="1" outlineLevel="1">
      <c r="A578" s="268"/>
      <c r="B578" s="268"/>
      <c r="C578" s="268" t="s">
        <v>542</v>
      </c>
      <c r="D578" s="268"/>
      <c r="E578" s="268"/>
      <c r="F578" s="268"/>
      <c r="G578" s="268"/>
      <c r="H578" s="268"/>
      <c r="I578" s="268"/>
      <c r="J578" s="271"/>
      <c r="K578" s="268"/>
      <c r="L578" s="268"/>
      <c r="M578" s="268"/>
      <c r="N578" s="268"/>
      <c r="O578" s="271"/>
      <c r="P578" s="268"/>
      <c r="Q578" s="268"/>
      <c r="R578" s="268"/>
      <c r="S578" s="268"/>
      <c r="T578" s="271"/>
      <c r="U578" s="268"/>
      <c r="V578" s="268"/>
      <c r="W578" s="268"/>
      <c r="X578" s="268"/>
      <c r="Y578" s="271"/>
      <c r="Z578" s="268"/>
      <c r="AA578" s="268"/>
      <c r="AB578" s="268"/>
      <c r="AC578" s="268"/>
      <c r="AD578" s="302"/>
      <c r="AE578" s="268"/>
      <c r="AF578" s="268"/>
      <c r="AG578" s="268"/>
      <c r="AH578" s="268"/>
      <c r="AI578" s="302"/>
      <c r="AJ578" s="268"/>
      <c r="AK578" s="268"/>
      <c r="AL578" s="268"/>
      <c r="AM578" s="268"/>
      <c r="AN578" s="302"/>
      <c r="AO578" s="302"/>
      <c r="AP578" s="302"/>
      <c r="AQ578" s="302"/>
      <c r="AR578" s="302"/>
      <c r="AS578" s="1019">
        <f>160+24/35*80</f>
        <v>214.85714285714286</v>
      </c>
      <c r="AT578" s="271"/>
      <c r="AU578" s="271"/>
      <c r="AV578" s="271"/>
      <c r="AW578" s="271"/>
      <c r="AX578" s="271"/>
      <c r="AY578" s="302"/>
      <c r="AZ578" s="302"/>
      <c r="BA578" s="302"/>
      <c r="BB578" s="116"/>
      <c r="BC578" s="116"/>
      <c r="BD578" s="116"/>
      <c r="BE578" s="116"/>
      <c r="BF578" s="116"/>
      <c r="BG578" s="116"/>
      <c r="BH578" s="268"/>
      <c r="BI578" s="268"/>
      <c r="BJ578" s="268"/>
      <c r="BK578" s="268"/>
      <c r="BL578" s="268"/>
      <c r="BM578" s="268"/>
      <c r="BN578" s="268"/>
      <c r="BO578" s="268"/>
      <c r="BP578" s="268"/>
      <c r="BQ578" s="268"/>
      <c r="BR578" s="268"/>
      <c r="BS578" s="268"/>
      <c r="BT578" s="268"/>
      <c r="BU578" s="268"/>
      <c r="BV578" s="268"/>
      <c r="BW578" s="268"/>
      <c r="BX578" s="268"/>
      <c r="BY578" s="268"/>
      <c r="BZ578" s="268"/>
      <c r="CA578" s="268"/>
      <c r="CB578" s="268"/>
      <c r="CC578" s="268"/>
      <c r="CD578" s="268"/>
      <c r="CE578" s="268"/>
      <c r="CF578" s="268"/>
      <c r="CG578" s="268"/>
      <c r="CH578" s="268"/>
      <c r="CI578" s="268"/>
      <c r="CJ578" s="268"/>
      <c r="CK578" s="268"/>
      <c r="CL578" s="268"/>
      <c r="CM578" s="268"/>
      <c r="CN578" s="268"/>
      <c r="CO578" s="268"/>
      <c r="CP578" s="268"/>
      <c r="CQ578" s="268"/>
      <c r="CR578" s="268"/>
      <c r="CS578" s="268"/>
      <c r="CT578" s="268"/>
      <c r="CU578" s="268"/>
      <c r="CV578" s="268"/>
      <c r="CW578" s="268"/>
      <c r="CX578" s="268"/>
      <c r="CY578" s="268"/>
      <c r="CZ578" s="268"/>
    </row>
    <row r="579" spans="1:104" hidden="1" outlineLevel="1">
      <c r="A579" s="268"/>
      <c r="B579" s="268"/>
      <c r="C579" s="268" t="s">
        <v>549</v>
      </c>
      <c r="D579" s="268"/>
      <c r="E579" s="268"/>
      <c r="F579" s="268"/>
      <c r="G579" s="268"/>
      <c r="H579" s="268"/>
      <c r="I579" s="268"/>
      <c r="J579" s="271"/>
      <c r="K579" s="268"/>
      <c r="L579" s="268"/>
      <c r="M579" s="268"/>
      <c r="N579" s="268"/>
      <c r="O579" s="271"/>
      <c r="P579" s="268"/>
      <c r="Q579" s="268"/>
      <c r="R579" s="268"/>
      <c r="S579" s="268"/>
      <c r="T579" s="271"/>
      <c r="U579" s="268"/>
      <c r="V579" s="268"/>
      <c r="W579" s="268"/>
      <c r="X579" s="268"/>
      <c r="Y579" s="271"/>
      <c r="Z579" s="268"/>
      <c r="AA579" s="268"/>
      <c r="AB579" s="268"/>
      <c r="AC579" s="268"/>
      <c r="AD579" s="302"/>
      <c r="AE579" s="268"/>
      <c r="AF579" s="268"/>
      <c r="AG579" s="268"/>
      <c r="AH579" s="268"/>
      <c r="AI579" s="302"/>
      <c r="AJ579" s="268"/>
      <c r="AK579" s="268"/>
      <c r="AL579" s="268"/>
      <c r="AM579" s="268"/>
      <c r="AN579" s="302"/>
      <c r="AO579" s="302"/>
      <c r="AP579" s="302"/>
      <c r="AQ579" s="302"/>
      <c r="AR579" s="302"/>
      <c r="AS579" s="1019">
        <f>160+3/35*80</f>
        <v>166.85714285714286</v>
      </c>
      <c r="AT579" s="271"/>
      <c r="AU579" s="271"/>
      <c r="AV579" s="271"/>
      <c r="AW579" s="271"/>
      <c r="AX579" s="271"/>
      <c r="AY579" s="302"/>
      <c r="AZ579" s="302"/>
      <c r="BA579" s="302"/>
      <c r="BB579" s="116"/>
      <c r="BC579" s="116"/>
      <c r="BD579" s="116"/>
      <c r="BE579" s="116"/>
      <c r="BF579" s="116"/>
      <c r="BG579" s="116"/>
      <c r="BH579" s="268"/>
      <c r="BI579" s="268"/>
      <c r="BJ579" s="268"/>
      <c r="BK579" s="268"/>
      <c r="BL579" s="268"/>
      <c r="BM579" s="268"/>
      <c r="BN579" s="268"/>
      <c r="BO579" s="268"/>
      <c r="BP579" s="268"/>
      <c r="BQ579" s="268"/>
      <c r="BR579" s="268"/>
      <c r="BS579" s="268"/>
      <c r="BT579" s="268"/>
      <c r="BU579" s="268"/>
      <c r="BV579" s="268"/>
      <c r="BW579" s="268"/>
      <c r="BX579" s="268"/>
      <c r="BY579" s="268"/>
      <c r="BZ579" s="268"/>
      <c r="CA579" s="268"/>
      <c r="CB579" s="268"/>
      <c r="CC579" s="268"/>
      <c r="CD579" s="268"/>
      <c r="CE579" s="268"/>
      <c r="CF579" s="268"/>
      <c r="CG579" s="268"/>
      <c r="CH579" s="268"/>
      <c r="CI579" s="268"/>
      <c r="CJ579" s="268"/>
      <c r="CK579" s="268"/>
      <c r="CL579" s="268"/>
      <c r="CM579" s="268"/>
      <c r="CN579" s="268"/>
      <c r="CO579" s="268"/>
      <c r="CP579" s="268"/>
      <c r="CQ579" s="268"/>
      <c r="CR579" s="268"/>
      <c r="CS579" s="268"/>
      <c r="CT579" s="268"/>
      <c r="CU579" s="268"/>
      <c r="CV579" s="268"/>
      <c r="CW579" s="268"/>
      <c r="CX579" s="268"/>
      <c r="CY579" s="268"/>
      <c r="CZ579" s="268"/>
    </row>
    <row r="580" spans="1:104" hidden="1" outlineLevel="1">
      <c r="A580" s="268"/>
      <c r="B580" s="268"/>
      <c r="C580" s="268" t="s">
        <v>548</v>
      </c>
      <c r="D580" s="268"/>
      <c r="E580" s="268"/>
      <c r="F580" s="268"/>
      <c r="G580" s="268"/>
      <c r="H580" s="268"/>
      <c r="I580" s="268"/>
      <c r="J580" s="271"/>
      <c r="K580" s="268"/>
      <c r="L580" s="268"/>
      <c r="M580" s="268"/>
      <c r="N580" s="268"/>
      <c r="O580" s="271"/>
      <c r="P580" s="268"/>
      <c r="Q580" s="268"/>
      <c r="R580" s="268"/>
      <c r="S580" s="268"/>
      <c r="T580" s="271"/>
      <c r="U580" s="268"/>
      <c r="V580" s="268"/>
      <c r="W580" s="268"/>
      <c r="X580" s="268"/>
      <c r="Y580" s="271"/>
      <c r="Z580" s="268"/>
      <c r="AA580" s="268"/>
      <c r="AB580" s="268"/>
      <c r="AC580" s="268"/>
      <c r="AD580" s="302"/>
      <c r="AE580" s="268"/>
      <c r="AF580" s="268"/>
      <c r="AG580" s="268"/>
      <c r="AH580" s="268"/>
      <c r="AI580" s="302"/>
      <c r="AJ580" s="268"/>
      <c r="AK580" s="268"/>
      <c r="AL580" s="268"/>
      <c r="AM580" s="268"/>
      <c r="AN580" s="302"/>
      <c r="AO580" s="302"/>
      <c r="AP580" s="302"/>
      <c r="AQ580" s="302"/>
      <c r="AR580" s="302"/>
      <c r="AS580" s="1019">
        <f>80+27/36*80</f>
        <v>140</v>
      </c>
      <c r="AT580" s="271"/>
      <c r="AU580" s="271"/>
      <c r="AV580" s="271"/>
      <c r="AW580" s="271"/>
      <c r="AX580" s="271"/>
      <c r="AY580" s="302"/>
      <c r="AZ580" s="302"/>
      <c r="BA580" s="302"/>
      <c r="BB580" s="116"/>
      <c r="BC580" s="116"/>
      <c r="BD580" s="116"/>
      <c r="BE580" s="116"/>
      <c r="BF580" s="116"/>
      <c r="BG580" s="116"/>
      <c r="BH580" s="268"/>
      <c r="BI580" s="268"/>
      <c r="BJ580" s="268"/>
      <c r="BK580" s="268"/>
      <c r="BL580" s="268"/>
      <c r="BM580" s="268"/>
      <c r="BN580" s="268"/>
      <c r="BO580" s="268"/>
      <c r="BP580" s="268"/>
      <c r="BQ580" s="268"/>
      <c r="BR580" s="268"/>
      <c r="BS580" s="268"/>
      <c r="BT580" s="268"/>
      <c r="BU580" s="268"/>
      <c r="BV580" s="268"/>
      <c r="BW580" s="268"/>
      <c r="BX580" s="268"/>
      <c r="BY580" s="268"/>
      <c r="BZ580" s="268"/>
      <c r="CA580" s="268"/>
      <c r="CB580" s="268"/>
      <c r="CC580" s="268"/>
      <c r="CD580" s="268"/>
      <c r="CE580" s="268"/>
      <c r="CF580" s="268"/>
      <c r="CG580" s="268"/>
      <c r="CH580" s="268"/>
      <c r="CI580" s="268"/>
      <c r="CJ580" s="268"/>
      <c r="CK580" s="268"/>
      <c r="CL580" s="268"/>
      <c r="CM580" s="268"/>
      <c r="CN580" s="268"/>
      <c r="CO580" s="268"/>
      <c r="CP580" s="268"/>
      <c r="CQ580" s="268"/>
      <c r="CR580" s="268"/>
      <c r="CS580" s="268"/>
      <c r="CT580" s="268"/>
      <c r="CU580" s="268"/>
      <c r="CV580" s="268"/>
      <c r="CW580" s="268"/>
      <c r="CX580" s="268"/>
      <c r="CY580" s="268"/>
      <c r="CZ580" s="268"/>
    </row>
    <row r="581" spans="1:104" hidden="1" outlineLevel="1">
      <c r="A581" s="268"/>
      <c r="B581" s="268"/>
      <c r="C581" s="268" t="s">
        <v>500</v>
      </c>
      <c r="D581" s="268"/>
      <c r="E581" s="268"/>
      <c r="F581" s="268"/>
      <c r="G581" s="268"/>
      <c r="H581" s="268"/>
      <c r="I581" s="268"/>
      <c r="J581" s="271"/>
      <c r="K581" s="268"/>
      <c r="L581" s="268"/>
      <c r="M581" s="268"/>
      <c r="N581" s="268"/>
      <c r="O581" s="271"/>
      <c r="P581" s="268"/>
      <c r="Q581" s="268"/>
      <c r="R581" s="268"/>
      <c r="S581" s="268"/>
      <c r="T581" s="271"/>
      <c r="U581" s="268"/>
      <c r="V581" s="268"/>
      <c r="W581" s="268"/>
      <c r="X581" s="268"/>
      <c r="Y581" s="271"/>
      <c r="Z581" s="268"/>
      <c r="AA581" s="268"/>
      <c r="AB581" s="268"/>
      <c r="AC581" s="268"/>
      <c r="AD581" s="302"/>
      <c r="AE581" s="268"/>
      <c r="AF581" s="268"/>
      <c r="AG581" s="268"/>
      <c r="AH581" s="268"/>
      <c r="AI581" s="302"/>
      <c r="AJ581" s="268"/>
      <c r="AK581" s="268"/>
      <c r="AL581" s="268"/>
      <c r="AM581" s="268"/>
      <c r="AN581" s="302"/>
      <c r="AO581" s="302"/>
      <c r="AP581" s="302"/>
      <c r="AQ581" s="302"/>
      <c r="AR581" s="302"/>
      <c r="AS581" s="1019">
        <f>12/36*80</f>
        <v>26.666666666666664</v>
      </c>
      <c r="AT581" s="271"/>
      <c r="AU581" s="271"/>
      <c r="AV581" s="271"/>
      <c r="AW581" s="271"/>
      <c r="AX581" s="271"/>
      <c r="AY581" s="302"/>
      <c r="AZ581" s="302"/>
      <c r="BA581" s="302"/>
      <c r="BB581" s="116"/>
      <c r="BC581" s="116"/>
      <c r="BD581" s="116"/>
      <c r="BE581" s="116"/>
      <c r="BF581" s="116"/>
      <c r="BG581" s="116"/>
      <c r="BH581" s="268"/>
      <c r="BI581" s="268"/>
      <c r="BJ581" s="268"/>
      <c r="BK581" s="268"/>
      <c r="BL581" s="268"/>
      <c r="BM581" s="268"/>
      <c r="BN581" s="268"/>
      <c r="BO581" s="268"/>
      <c r="BP581" s="268"/>
      <c r="BQ581" s="268"/>
      <c r="BR581" s="268"/>
      <c r="BS581" s="268"/>
      <c r="BT581" s="268"/>
      <c r="BU581" s="268"/>
      <c r="BV581" s="268"/>
      <c r="BW581" s="268"/>
      <c r="BX581" s="268"/>
      <c r="BY581" s="268"/>
      <c r="BZ581" s="268"/>
      <c r="CA581" s="268"/>
      <c r="CB581" s="268"/>
      <c r="CC581" s="268"/>
      <c r="CD581" s="268"/>
      <c r="CE581" s="268"/>
      <c r="CF581" s="268"/>
      <c r="CG581" s="268"/>
      <c r="CH581" s="268"/>
      <c r="CI581" s="268"/>
      <c r="CJ581" s="268"/>
      <c r="CK581" s="268"/>
      <c r="CL581" s="268"/>
      <c r="CM581" s="268"/>
      <c r="CN581" s="268"/>
      <c r="CO581" s="268"/>
      <c r="CP581" s="268"/>
      <c r="CQ581" s="268"/>
      <c r="CR581" s="268"/>
      <c r="CS581" s="268"/>
      <c r="CT581" s="268"/>
      <c r="CU581" s="268"/>
      <c r="CV581" s="268"/>
      <c r="CW581" s="268"/>
      <c r="CX581" s="268"/>
      <c r="CY581" s="268"/>
      <c r="CZ581" s="268"/>
    </row>
    <row r="582" spans="1:104" hidden="1" outlineLevel="1">
      <c r="A582" s="268"/>
      <c r="B582" s="268"/>
      <c r="C582" s="268" t="s">
        <v>498</v>
      </c>
      <c r="D582" s="268"/>
      <c r="E582" s="268"/>
      <c r="F582" s="268"/>
      <c r="G582" s="268"/>
      <c r="H582" s="268"/>
      <c r="I582" s="268"/>
      <c r="J582" s="271"/>
      <c r="K582" s="268"/>
      <c r="L582" s="268"/>
      <c r="M582" s="268"/>
      <c r="N582" s="268"/>
      <c r="O582" s="271"/>
      <c r="P582" s="268"/>
      <c r="Q582" s="268"/>
      <c r="R582" s="268"/>
      <c r="S582" s="268"/>
      <c r="T582" s="271"/>
      <c r="U582" s="268"/>
      <c r="V582" s="268"/>
      <c r="W582" s="268"/>
      <c r="X582" s="268"/>
      <c r="Y582" s="271"/>
      <c r="Z582" s="268"/>
      <c r="AA582" s="268"/>
      <c r="AB582" s="268"/>
      <c r="AC582" s="268"/>
      <c r="AD582" s="302"/>
      <c r="AE582" s="268"/>
      <c r="AF582" s="268"/>
      <c r="AG582" s="268"/>
      <c r="AH582" s="268"/>
      <c r="AI582" s="302"/>
      <c r="AJ582" s="268"/>
      <c r="AK582" s="268"/>
      <c r="AL582" s="268"/>
      <c r="AM582" s="268"/>
      <c r="AN582" s="302"/>
      <c r="AO582" s="302"/>
      <c r="AP582" s="302"/>
      <c r="AQ582" s="302"/>
      <c r="AR582" s="302"/>
      <c r="AS582" s="1019">
        <f>5/36*80</f>
        <v>11.111111111111111</v>
      </c>
      <c r="AT582" s="271"/>
      <c r="AU582" s="271"/>
      <c r="AV582" s="271"/>
      <c r="AW582" s="271"/>
      <c r="AX582" s="271"/>
      <c r="AY582" s="302"/>
      <c r="AZ582" s="302"/>
      <c r="BA582" s="302"/>
      <c r="BB582" s="116"/>
      <c r="BC582" s="116"/>
      <c r="BD582" s="116"/>
      <c r="BE582" s="116"/>
      <c r="BF582" s="116"/>
      <c r="BG582" s="116"/>
      <c r="BH582" s="268"/>
      <c r="BI582" s="268"/>
      <c r="BJ582" s="268"/>
      <c r="BK582" s="268"/>
      <c r="BL582" s="268"/>
      <c r="BM582" s="268"/>
      <c r="BN582" s="268"/>
      <c r="BO582" s="268"/>
      <c r="BP582" s="268"/>
      <c r="BQ582" s="268"/>
      <c r="BR582" s="268"/>
      <c r="BS582" s="268"/>
      <c r="BT582" s="268"/>
      <c r="BU582" s="268"/>
      <c r="BV582" s="268"/>
      <c r="BW582" s="268"/>
      <c r="BX582" s="268"/>
      <c r="BY582" s="268"/>
      <c r="BZ582" s="268"/>
      <c r="CA582" s="268"/>
      <c r="CB582" s="268"/>
      <c r="CC582" s="268"/>
      <c r="CD582" s="268"/>
      <c r="CE582" s="268"/>
      <c r="CF582" s="268"/>
      <c r="CG582" s="268"/>
      <c r="CH582" s="268"/>
      <c r="CI582" s="268"/>
      <c r="CJ582" s="268"/>
      <c r="CK582" s="268"/>
      <c r="CL582" s="268"/>
      <c r="CM582" s="268"/>
      <c r="CN582" s="268"/>
      <c r="CO582" s="268"/>
      <c r="CP582" s="268"/>
      <c r="CQ582" s="268"/>
      <c r="CR582" s="268"/>
      <c r="CS582" s="268"/>
      <c r="CT582" s="268"/>
      <c r="CU582" s="268"/>
      <c r="CV582" s="268"/>
      <c r="CW582" s="268"/>
      <c r="CX582" s="268"/>
      <c r="CY582" s="268"/>
      <c r="CZ582" s="268"/>
    </row>
    <row r="583" spans="1:104" hidden="1" outlineLevel="1">
      <c r="A583" s="268"/>
      <c r="B583" s="268"/>
      <c r="C583" s="268"/>
      <c r="D583" s="268"/>
      <c r="E583" s="268"/>
      <c r="F583" s="268"/>
      <c r="G583" s="268"/>
      <c r="H583" s="268"/>
      <c r="I583" s="268"/>
      <c r="J583" s="271"/>
      <c r="K583" s="268"/>
      <c r="L583" s="268"/>
      <c r="M583" s="268"/>
      <c r="N583" s="268"/>
      <c r="O583" s="271"/>
      <c r="P583" s="268"/>
      <c r="Q583" s="268"/>
      <c r="R583" s="268"/>
      <c r="S583" s="268"/>
      <c r="T583" s="271"/>
      <c r="U583" s="268"/>
      <c r="V583" s="268"/>
      <c r="W583" s="268"/>
      <c r="X583" s="268"/>
      <c r="Y583" s="271"/>
      <c r="Z583" s="268"/>
      <c r="AA583" s="268"/>
      <c r="AB583" s="268"/>
      <c r="AC583" s="268"/>
      <c r="AD583" s="302"/>
      <c r="AE583" s="268"/>
      <c r="AF583" s="268"/>
      <c r="AG583" s="268"/>
      <c r="AH583" s="268"/>
      <c r="AI583" s="302"/>
      <c r="AJ583" s="268"/>
      <c r="AK583" s="268"/>
      <c r="AL583" s="268"/>
      <c r="AM583" s="268"/>
      <c r="AN583" s="302"/>
      <c r="AO583" s="302"/>
      <c r="AP583" s="302"/>
      <c r="AQ583" s="302"/>
      <c r="AR583" s="302"/>
      <c r="AS583" s="1019"/>
      <c r="AT583" s="271"/>
      <c r="AU583" s="271"/>
      <c r="AV583" s="271"/>
      <c r="AW583" s="271"/>
      <c r="AX583" s="271"/>
      <c r="AY583" s="302"/>
      <c r="AZ583" s="302"/>
      <c r="BA583" s="302"/>
      <c r="BB583" s="116"/>
      <c r="BC583" s="116"/>
      <c r="BD583" s="116"/>
      <c r="BE583" s="116"/>
      <c r="BF583" s="116"/>
      <c r="BG583" s="116"/>
      <c r="BH583" s="268"/>
      <c r="BI583" s="268"/>
      <c r="BJ583" s="268"/>
      <c r="BK583" s="268"/>
      <c r="BL583" s="268"/>
      <c r="BM583" s="268"/>
      <c r="BN583" s="268"/>
      <c r="BO583" s="268"/>
      <c r="BP583" s="268"/>
      <c r="BQ583" s="268"/>
      <c r="BR583" s="268"/>
      <c r="BS583" s="268"/>
      <c r="BT583" s="268"/>
      <c r="BU583" s="268"/>
      <c r="BV583" s="268"/>
      <c r="BW583" s="268"/>
      <c r="BX583" s="268"/>
      <c r="BY583" s="268"/>
      <c r="BZ583" s="268"/>
      <c r="CA583" s="268"/>
      <c r="CB583" s="268"/>
      <c r="CC583" s="268"/>
      <c r="CD583" s="268"/>
      <c r="CE583" s="268"/>
      <c r="CF583" s="268"/>
      <c r="CG583" s="268"/>
      <c r="CH583" s="268"/>
      <c r="CI583" s="268"/>
      <c r="CJ583" s="268"/>
      <c r="CK583" s="268"/>
      <c r="CL583" s="268"/>
      <c r="CM583" s="268"/>
      <c r="CN583" s="268"/>
      <c r="CO583" s="268"/>
      <c r="CP583" s="268"/>
      <c r="CQ583" s="268"/>
      <c r="CR583" s="268"/>
      <c r="CS583" s="268"/>
      <c r="CT583" s="268"/>
      <c r="CU583" s="268"/>
      <c r="CV583" s="268"/>
      <c r="CW583" s="268"/>
      <c r="CX583" s="268"/>
      <c r="CY583" s="268"/>
      <c r="CZ583" s="268"/>
    </row>
    <row r="584" spans="1:104" hidden="1" outlineLevel="1">
      <c r="A584" s="268"/>
      <c r="B584" s="271" t="s">
        <v>547</v>
      </c>
      <c r="C584" s="268"/>
      <c r="D584" s="268"/>
      <c r="E584" s="268"/>
      <c r="F584" s="268"/>
      <c r="G584" s="268"/>
      <c r="H584" s="268"/>
      <c r="I584" s="268"/>
      <c r="J584" s="271"/>
      <c r="K584" s="268"/>
      <c r="L584" s="268"/>
      <c r="M584" s="268"/>
      <c r="N584" s="268"/>
      <c r="O584" s="271"/>
      <c r="P584" s="268"/>
      <c r="Q584" s="268"/>
      <c r="R584" s="268"/>
      <c r="S584" s="268"/>
      <c r="T584" s="271"/>
      <c r="U584" s="268"/>
      <c r="V584" s="268"/>
      <c r="W584" s="268"/>
      <c r="X584" s="268"/>
      <c r="Y584" s="271"/>
      <c r="Z584" s="268"/>
      <c r="AA584" s="268"/>
      <c r="AB584" s="268"/>
      <c r="AC584" s="268"/>
      <c r="AD584" s="302"/>
      <c r="AE584" s="268"/>
      <c r="AF584" s="268"/>
      <c r="AG584" s="268"/>
      <c r="AH584" s="268"/>
      <c r="AI584" s="302"/>
      <c r="AJ584" s="268"/>
      <c r="AK584" s="268"/>
      <c r="AL584" s="268"/>
      <c r="AM584" s="268"/>
      <c r="AN584" s="302"/>
      <c r="AO584" s="302"/>
      <c r="AP584" s="302"/>
      <c r="AQ584" s="302"/>
      <c r="AR584" s="302"/>
      <c r="AS584" s="1012"/>
      <c r="AT584" s="271"/>
      <c r="AU584" s="271"/>
      <c r="AV584" s="271"/>
      <c r="AW584" s="271"/>
      <c r="AX584" s="271"/>
      <c r="AY584" s="302"/>
      <c r="AZ584" s="302"/>
      <c r="BA584" s="302"/>
      <c r="BB584" s="116"/>
      <c r="BC584" s="116"/>
      <c r="BD584" s="116"/>
      <c r="BE584" s="116"/>
      <c r="BF584" s="116"/>
      <c r="BG584" s="116"/>
      <c r="BH584" s="268"/>
      <c r="BI584" s="268"/>
      <c r="BJ584" s="268"/>
      <c r="BK584" s="268"/>
      <c r="BL584" s="268"/>
      <c r="BM584" s="268"/>
      <c r="BN584" s="268"/>
      <c r="BO584" s="268"/>
      <c r="BP584" s="268"/>
      <c r="BQ584" s="268"/>
      <c r="BR584" s="268"/>
      <c r="BS584" s="268"/>
      <c r="BT584" s="268"/>
      <c r="BU584" s="268"/>
      <c r="BV584" s="268"/>
      <c r="BW584" s="268"/>
      <c r="BX584" s="268"/>
      <c r="BY584" s="268"/>
      <c r="BZ584" s="268"/>
      <c r="CA584" s="268"/>
      <c r="CB584" s="268"/>
      <c r="CC584" s="268"/>
      <c r="CD584" s="268"/>
      <c r="CE584" s="268"/>
      <c r="CF584" s="268"/>
      <c r="CG584" s="268"/>
      <c r="CH584" s="268"/>
      <c r="CI584" s="268"/>
      <c r="CJ584" s="268"/>
      <c r="CK584" s="268"/>
      <c r="CL584" s="268"/>
      <c r="CM584" s="268"/>
      <c r="CN584" s="268"/>
      <c r="CO584" s="268"/>
      <c r="CP584" s="268"/>
      <c r="CQ584" s="268"/>
      <c r="CR584" s="268"/>
      <c r="CS584" s="268"/>
      <c r="CT584" s="268"/>
      <c r="CU584" s="268"/>
      <c r="CV584" s="268"/>
      <c r="CW584" s="268"/>
      <c r="CX584" s="268"/>
      <c r="CY584" s="268"/>
      <c r="CZ584" s="268"/>
    </row>
    <row r="585" spans="1:104" hidden="1" outlineLevel="1">
      <c r="A585" s="268"/>
      <c r="B585" s="268" t="s">
        <v>546</v>
      </c>
      <c r="C585" s="268"/>
      <c r="D585" s="268"/>
      <c r="E585" s="268"/>
      <c r="F585" s="268"/>
      <c r="G585" s="268"/>
      <c r="H585" s="268"/>
      <c r="I585" s="268"/>
      <c r="J585" s="271"/>
      <c r="K585" s="268"/>
      <c r="L585" s="268"/>
      <c r="M585" s="268"/>
      <c r="N585" s="268"/>
      <c r="O585" s="271"/>
      <c r="P585" s="268"/>
      <c r="Q585" s="268"/>
      <c r="R585" s="268"/>
      <c r="S585" s="268"/>
      <c r="T585" s="271"/>
      <c r="U585" s="268"/>
      <c r="V585" s="268"/>
      <c r="W585" s="268"/>
      <c r="X585" s="268"/>
      <c r="Y585" s="271"/>
      <c r="Z585" s="268"/>
      <c r="AA585" s="268"/>
      <c r="AB585" s="268"/>
      <c r="AC585" s="268"/>
      <c r="AD585" s="302"/>
      <c r="AE585" s="268"/>
      <c r="AF585" s="268"/>
      <c r="AG585" s="268"/>
      <c r="AH585" s="268"/>
      <c r="AI585" s="302"/>
      <c r="AJ585" s="268"/>
      <c r="AK585" s="268"/>
      <c r="AL585" s="268"/>
      <c r="AM585" s="268"/>
      <c r="AN585" s="302"/>
      <c r="AO585" s="302"/>
      <c r="AP585" s="302"/>
      <c r="AQ585" s="302"/>
      <c r="AR585" s="302"/>
      <c r="AS585" s="1012"/>
      <c r="AT585" s="271"/>
      <c r="AU585" s="271"/>
      <c r="AV585" s="271"/>
      <c r="AW585" s="271"/>
      <c r="AX585" s="271"/>
      <c r="AY585" s="302"/>
      <c r="AZ585" s="302"/>
      <c r="BA585" s="302"/>
      <c r="BB585" s="116"/>
      <c r="BC585" s="116"/>
      <c r="BD585" s="116"/>
      <c r="BE585" s="116"/>
      <c r="BF585" s="116"/>
      <c r="BG585" s="116"/>
      <c r="BH585" s="268"/>
      <c r="BI585" s="268"/>
      <c r="BJ585" s="268"/>
      <c r="BK585" s="268"/>
      <c r="BL585" s="268"/>
      <c r="BM585" s="268"/>
      <c r="BN585" s="268"/>
      <c r="BO585" s="268"/>
      <c r="BP585" s="268"/>
      <c r="BQ585" s="268"/>
      <c r="BR585" s="268"/>
      <c r="BS585" s="268"/>
      <c r="BT585" s="268"/>
      <c r="BU585" s="268"/>
      <c r="BV585" s="268"/>
      <c r="BW585" s="268"/>
      <c r="BX585" s="268"/>
      <c r="BY585" s="268"/>
      <c r="BZ585" s="268"/>
      <c r="CA585" s="268"/>
      <c r="CB585" s="268"/>
      <c r="CC585" s="268"/>
      <c r="CD585" s="268"/>
      <c r="CE585" s="268"/>
      <c r="CF585" s="268"/>
      <c r="CG585" s="268"/>
      <c r="CH585" s="268"/>
      <c r="CI585" s="268"/>
      <c r="CJ585" s="268"/>
      <c r="CK585" s="268"/>
      <c r="CL585" s="268"/>
      <c r="CM585" s="268"/>
      <c r="CN585" s="268"/>
      <c r="CO585" s="268"/>
      <c r="CP585" s="268"/>
      <c r="CQ585" s="268"/>
      <c r="CR585" s="268"/>
      <c r="CS585" s="268"/>
      <c r="CT585" s="268"/>
      <c r="CU585" s="268"/>
      <c r="CV585" s="268"/>
      <c r="CW585" s="268"/>
      <c r="CX585" s="268"/>
      <c r="CY585" s="268"/>
      <c r="CZ585" s="268"/>
    </row>
    <row r="586" spans="1:104" hidden="1" outlineLevel="1">
      <c r="A586" s="268"/>
      <c r="B586" s="268"/>
      <c r="C586" s="268" t="s">
        <v>10</v>
      </c>
      <c r="D586" s="268"/>
      <c r="E586" s="268"/>
      <c r="F586" s="268"/>
      <c r="G586" s="268"/>
      <c r="H586" s="268"/>
      <c r="I586" s="268"/>
      <c r="J586" s="271"/>
      <c r="K586" s="268"/>
      <c r="L586" s="268"/>
      <c r="M586" s="268"/>
      <c r="N586" s="268"/>
      <c r="O586" s="271"/>
      <c r="P586" s="268"/>
      <c r="Q586" s="268"/>
      <c r="R586" s="268"/>
      <c r="S586" s="268"/>
      <c r="T586" s="271"/>
      <c r="U586" s="268"/>
      <c r="V586" s="268"/>
      <c r="W586" s="268"/>
      <c r="X586" s="268"/>
      <c r="Y586" s="271"/>
      <c r="Z586" s="268"/>
      <c r="AA586" s="268"/>
      <c r="AB586" s="268"/>
      <c r="AC586" s="268"/>
      <c r="AD586" s="302"/>
      <c r="AE586" s="268"/>
      <c r="AF586" s="268"/>
      <c r="AG586" s="268"/>
      <c r="AH586" s="268"/>
      <c r="AI586" s="302"/>
      <c r="AJ586" s="268"/>
      <c r="AK586" s="268"/>
      <c r="AL586" s="268"/>
      <c r="AM586" s="268"/>
      <c r="AN586" s="302"/>
      <c r="AO586" s="302"/>
      <c r="AP586" s="302"/>
      <c r="AQ586" s="302"/>
      <c r="AR586" s="302"/>
      <c r="AS586" s="273">
        <f>3600+0.96*1800</f>
        <v>5328</v>
      </c>
      <c r="AT586" s="271"/>
      <c r="AU586" s="271"/>
      <c r="AV586" s="271"/>
      <c r="AW586" s="271"/>
      <c r="AX586" s="271"/>
      <c r="AY586" s="302"/>
      <c r="AZ586" s="302"/>
      <c r="BA586" s="302"/>
      <c r="BB586" s="116"/>
      <c r="BC586" s="116"/>
      <c r="BD586" s="116"/>
      <c r="BE586" s="116"/>
      <c r="BF586" s="116"/>
      <c r="BG586" s="116"/>
      <c r="BH586" s="268"/>
      <c r="BI586" s="268"/>
      <c r="BJ586" s="268"/>
      <c r="BK586" s="268"/>
      <c r="BL586" s="268"/>
      <c r="BM586" s="268"/>
      <c r="BN586" s="268"/>
      <c r="BO586" s="268"/>
      <c r="BP586" s="268"/>
      <c r="BQ586" s="268"/>
      <c r="BR586" s="268"/>
      <c r="BS586" s="268"/>
      <c r="BT586" s="268"/>
      <c r="BU586" s="268"/>
      <c r="BV586" s="268"/>
      <c r="BW586" s="268"/>
      <c r="BX586" s="268"/>
      <c r="BY586" s="268"/>
      <c r="BZ586" s="268"/>
      <c r="CA586" s="268"/>
      <c r="CB586" s="268"/>
      <c r="CC586" s="268"/>
      <c r="CD586" s="268"/>
      <c r="CE586" s="268"/>
      <c r="CF586" s="268"/>
      <c r="CG586" s="268"/>
      <c r="CH586" s="268"/>
      <c r="CI586" s="268"/>
      <c r="CJ586" s="268"/>
      <c r="CK586" s="268"/>
      <c r="CL586" s="268"/>
      <c r="CM586" s="268"/>
      <c r="CN586" s="268"/>
      <c r="CO586" s="268"/>
      <c r="CP586" s="268"/>
      <c r="CQ586" s="268"/>
      <c r="CR586" s="268"/>
      <c r="CS586" s="268"/>
      <c r="CT586" s="268"/>
      <c r="CU586" s="268"/>
      <c r="CV586" s="268"/>
      <c r="CW586" s="268"/>
      <c r="CX586" s="268"/>
      <c r="CY586" s="268"/>
      <c r="CZ586" s="268"/>
    </row>
    <row r="587" spans="1:104" hidden="1" outlineLevel="1">
      <c r="A587" s="268"/>
      <c r="B587" s="268"/>
      <c r="C587" s="268" t="s">
        <v>545</v>
      </c>
      <c r="D587" s="268"/>
      <c r="E587" s="268"/>
      <c r="F587" s="268"/>
      <c r="G587" s="268"/>
      <c r="H587" s="268"/>
      <c r="I587" s="268"/>
      <c r="J587" s="271"/>
      <c r="K587" s="268"/>
      <c r="L587" s="268"/>
      <c r="M587" s="268"/>
      <c r="N587" s="268"/>
      <c r="O587" s="271"/>
      <c r="P587" s="268"/>
      <c r="Q587" s="268"/>
      <c r="R587" s="268"/>
      <c r="S587" s="268"/>
      <c r="T587" s="271"/>
      <c r="U587" s="268"/>
      <c r="V587" s="268"/>
      <c r="W587" s="268"/>
      <c r="X587" s="268"/>
      <c r="Y587" s="271"/>
      <c r="Z587" s="268"/>
      <c r="AA587" s="268"/>
      <c r="AB587" s="268"/>
      <c r="AC587" s="268"/>
      <c r="AD587" s="302"/>
      <c r="AE587" s="268"/>
      <c r="AF587" s="268"/>
      <c r="AG587" s="268"/>
      <c r="AH587" s="268"/>
      <c r="AI587" s="302"/>
      <c r="AJ587" s="268"/>
      <c r="AK587" s="268"/>
      <c r="AL587" s="268"/>
      <c r="AM587" s="268"/>
      <c r="AN587" s="302"/>
      <c r="AO587" s="302"/>
      <c r="AP587" s="302"/>
      <c r="AQ587" s="302"/>
      <c r="AR587" s="302"/>
      <c r="AS587" s="273">
        <f>1800+32/48*1800</f>
        <v>3000</v>
      </c>
      <c r="AT587" s="271"/>
      <c r="AU587" s="271"/>
      <c r="AV587" s="271"/>
      <c r="AW587" s="271"/>
      <c r="AX587" s="271"/>
      <c r="AY587" s="302"/>
      <c r="AZ587" s="302"/>
      <c r="BA587" s="302"/>
      <c r="BB587" s="116"/>
      <c r="BC587" s="116"/>
      <c r="BD587" s="116"/>
      <c r="BE587" s="116"/>
      <c r="BF587" s="116"/>
      <c r="BG587" s="116"/>
      <c r="BH587" s="268"/>
      <c r="BI587" s="268"/>
      <c r="BJ587" s="268"/>
      <c r="BK587" s="268"/>
      <c r="BL587" s="268"/>
      <c r="BM587" s="268"/>
      <c r="BN587" s="268"/>
      <c r="BO587" s="268"/>
      <c r="BP587" s="268"/>
      <c r="BQ587" s="268"/>
      <c r="BR587" s="268"/>
      <c r="BS587" s="268"/>
      <c r="BT587" s="268"/>
      <c r="BU587" s="268"/>
      <c r="BV587" s="268"/>
      <c r="BW587" s="268"/>
      <c r="BX587" s="268"/>
      <c r="BY587" s="268"/>
      <c r="BZ587" s="268"/>
      <c r="CA587" s="268"/>
      <c r="CB587" s="268"/>
      <c r="CC587" s="268"/>
      <c r="CD587" s="268"/>
      <c r="CE587" s="268"/>
      <c r="CF587" s="268"/>
      <c r="CG587" s="268"/>
      <c r="CH587" s="268"/>
      <c r="CI587" s="268"/>
      <c r="CJ587" s="268"/>
      <c r="CK587" s="268"/>
      <c r="CL587" s="268"/>
      <c r="CM587" s="268"/>
      <c r="CN587" s="268"/>
      <c r="CO587" s="268"/>
      <c r="CP587" s="268"/>
      <c r="CQ587" s="268"/>
      <c r="CR587" s="268"/>
      <c r="CS587" s="268"/>
      <c r="CT587" s="268"/>
      <c r="CU587" s="268"/>
      <c r="CV587" s="268"/>
      <c r="CW587" s="268"/>
      <c r="CX587" s="268"/>
      <c r="CY587" s="268"/>
      <c r="CZ587" s="268"/>
    </row>
    <row r="588" spans="1:104" hidden="1" outlineLevel="1">
      <c r="A588" s="268"/>
      <c r="B588" s="268"/>
      <c r="C588" s="268" t="s">
        <v>544</v>
      </c>
      <c r="D588" s="268"/>
      <c r="E588" s="268"/>
      <c r="F588" s="268"/>
      <c r="G588" s="268"/>
      <c r="H588" s="268"/>
      <c r="I588" s="268"/>
      <c r="J588" s="271"/>
      <c r="K588" s="268"/>
      <c r="L588" s="268"/>
      <c r="M588" s="268"/>
      <c r="N588" s="268"/>
      <c r="O588" s="271"/>
      <c r="P588" s="268"/>
      <c r="Q588" s="268"/>
      <c r="R588" s="268"/>
      <c r="S588" s="268"/>
      <c r="T588" s="271"/>
      <c r="U588" s="268"/>
      <c r="V588" s="268"/>
      <c r="W588" s="268"/>
      <c r="X588" s="268"/>
      <c r="Y588" s="271"/>
      <c r="Z588" s="268"/>
      <c r="AA588" s="268"/>
      <c r="AB588" s="268"/>
      <c r="AC588" s="268"/>
      <c r="AD588" s="302"/>
      <c r="AE588" s="268"/>
      <c r="AF588" s="268"/>
      <c r="AG588" s="268"/>
      <c r="AH588" s="268"/>
      <c r="AI588" s="302"/>
      <c r="AJ588" s="268"/>
      <c r="AK588" s="268"/>
      <c r="AL588" s="268"/>
      <c r="AM588" s="268"/>
      <c r="AN588" s="302"/>
      <c r="AO588" s="302"/>
      <c r="AP588" s="302"/>
      <c r="AQ588" s="302"/>
      <c r="AR588" s="302"/>
      <c r="AS588" s="273">
        <f>1800+5/48*1800</f>
        <v>1987.5</v>
      </c>
      <c r="AT588" s="271"/>
      <c r="AU588" s="271"/>
      <c r="AV588" s="271"/>
      <c r="AW588" s="271"/>
      <c r="AX588" s="271"/>
      <c r="AY588" s="302"/>
      <c r="AZ588" s="302"/>
      <c r="BA588" s="302"/>
      <c r="BB588" s="116"/>
      <c r="BC588" s="116"/>
      <c r="BD588" s="116"/>
      <c r="BE588" s="116"/>
      <c r="BF588" s="116"/>
      <c r="BG588" s="116"/>
      <c r="BH588" s="268"/>
      <c r="BI588" s="268"/>
      <c r="BJ588" s="268"/>
      <c r="BK588" s="268"/>
      <c r="BL588" s="268"/>
      <c r="BM588" s="268"/>
      <c r="BN588" s="268"/>
      <c r="BO588" s="268"/>
      <c r="BP588" s="268"/>
      <c r="BQ588" s="268"/>
      <c r="BR588" s="268"/>
      <c r="BS588" s="268"/>
      <c r="BT588" s="268"/>
      <c r="BU588" s="268"/>
      <c r="BV588" s="268"/>
      <c r="BW588" s="268"/>
      <c r="BX588" s="268"/>
      <c r="BY588" s="268"/>
      <c r="BZ588" s="268"/>
      <c r="CA588" s="268"/>
      <c r="CB588" s="268"/>
      <c r="CC588" s="268"/>
      <c r="CD588" s="268"/>
      <c r="CE588" s="268"/>
      <c r="CF588" s="268"/>
      <c r="CG588" s="268"/>
      <c r="CH588" s="268"/>
      <c r="CI588" s="268"/>
      <c r="CJ588" s="268"/>
      <c r="CK588" s="268"/>
      <c r="CL588" s="268"/>
      <c r="CM588" s="268"/>
      <c r="CN588" s="268"/>
      <c r="CO588" s="268"/>
      <c r="CP588" s="268"/>
      <c r="CQ588" s="268"/>
      <c r="CR588" s="268"/>
      <c r="CS588" s="268"/>
      <c r="CT588" s="268"/>
      <c r="CU588" s="268"/>
      <c r="CV588" s="268"/>
      <c r="CW588" s="268"/>
      <c r="CX588" s="268"/>
      <c r="CY588" s="268"/>
      <c r="CZ588" s="268"/>
    </row>
    <row r="589" spans="1:104" hidden="1" outlineLevel="1">
      <c r="A589" s="268"/>
      <c r="B589" s="268"/>
      <c r="C589" s="268" t="s">
        <v>543</v>
      </c>
      <c r="D589" s="268"/>
      <c r="E589" s="268"/>
      <c r="F589" s="268"/>
      <c r="G589" s="268"/>
      <c r="H589" s="268"/>
      <c r="I589" s="268"/>
      <c r="J589" s="271"/>
      <c r="K589" s="268"/>
      <c r="L589" s="268"/>
      <c r="M589" s="268"/>
      <c r="N589" s="268"/>
      <c r="O589" s="271"/>
      <c r="P589" s="268"/>
      <c r="Q589" s="268"/>
      <c r="R589" s="268"/>
      <c r="S589" s="268"/>
      <c r="T589" s="271"/>
      <c r="U589" s="268"/>
      <c r="V589" s="268"/>
      <c r="W589" s="268"/>
      <c r="X589" s="268"/>
      <c r="Y589" s="271"/>
      <c r="Z589" s="268"/>
      <c r="AA589" s="268"/>
      <c r="AB589" s="268"/>
      <c r="AC589" s="268"/>
      <c r="AD589" s="302"/>
      <c r="AE589" s="268"/>
      <c r="AF589" s="268"/>
      <c r="AG589" s="268"/>
      <c r="AH589" s="268"/>
      <c r="AI589" s="302"/>
      <c r="AJ589" s="268"/>
      <c r="AK589" s="268"/>
      <c r="AL589" s="268"/>
      <c r="AM589" s="268"/>
      <c r="AN589" s="302"/>
      <c r="AO589" s="302"/>
      <c r="AP589" s="302"/>
      <c r="AQ589" s="302"/>
      <c r="AR589" s="302"/>
      <c r="AS589" s="273">
        <f>0.12*1800</f>
        <v>216</v>
      </c>
      <c r="AT589" s="271"/>
      <c r="AU589" s="271"/>
      <c r="AV589" s="271"/>
      <c r="AW589" s="271"/>
      <c r="AX589" s="271"/>
      <c r="AY589" s="302"/>
      <c r="AZ589" s="302"/>
      <c r="BA589" s="302"/>
      <c r="BB589" s="116"/>
      <c r="BC589" s="116"/>
      <c r="BD589" s="116"/>
      <c r="BE589" s="116"/>
      <c r="BF589" s="116"/>
      <c r="BG589" s="116"/>
      <c r="BH589" s="268"/>
      <c r="BI589" s="268"/>
      <c r="BJ589" s="268"/>
      <c r="BK589" s="268"/>
      <c r="BL589" s="268"/>
      <c r="BM589" s="268"/>
      <c r="BN589" s="268"/>
      <c r="BO589" s="268"/>
      <c r="BP589" s="268"/>
      <c r="BQ589" s="268"/>
      <c r="BR589" s="268"/>
      <c r="BS589" s="268"/>
      <c r="BT589" s="268"/>
      <c r="BU589" s="268"/>
      <c r="BV589" s="268"/>
      <c r="BW589" s="268"/>
      <c r="BX589" s="268"/>
      <c r="BY589" s="268"/>
      <c r="BZ589" s="268"/>
      <c r="CA589" s="268"/>
      <c r="CB589" s="268"/>
      <c r="CC589" s="268"/>
      <c r="CD589" s="268"/>
      <c r="CE589" s="268"/>
      <c r="CF589" s="268"/>
      <c r="CG589" s="268"/>
      <c r="CH589" s="268"/>
      <c r="CI589" s="268"/>
      <c r="CJ589" s="268"/>
      <c r="CK589" s="268"/>
      <c r="CL589" s="268"/>
      <c r="CM589" s="268"/>
      <c r="CN589" s="268"/>
      <c r="CO589" s="268"/>
      <c r="CP589" s="268"/>
      <c r="CQ589" s="268"/>
      <c r="CR589" s="268"/>
      <c r="CS589" s="268"/>
      <c r="CT589" s="268"/>
      <c r="CU589" s="268"/>
      <c r="CV589" s="268"/>
      <c r="CW589" s="268"/>
      <c r="CX589" s="268"/>
      <c r="CY589" s="268"/>
      <c r="CZ589" s="268"/>
    </row>
    <row r="590" spans="1:104" hidden="1" outlineLevel="1">
      <c r="A590" s="268"/>
      <c r="B590" s="268"/>
      <c r="C590" s="268" t="s">
        <v>499</v>
      </c>
      <c r="D590" s="268"/>
      <c r="E590" s="268"/>
      <c r="F590" s="268"/>
      <c r="G590" s="268"/>
      <c r="H590" s="268"/>
      <c r="I590" s="268"/>
      <c r="J590" s="271"/>
      <c r="K590" s="268"/>
      <c r="L590" s="268"/>
      <c r="M590" s="268"/>
      <c r="N590" s="268"/>
      <c r="O590" s="271"/>
      <c r="P590" s="268"/>
      <c r="Q590" s="268"/>
      <c r="R590" s="268"/>
      <c r="S590" s="268"/>
      <c r="T590" s="271"/>
      <c r="U590" s="268"/>
      <c r="V590" s="268"/>
      <c r="W590" s="268"/>
      <c r="X590" s="268"/>
      <c r="Y590" s="271"/>
      <c r="Z590" s="268"/>
      <c r="AA590" s="268"/>
      <c r="AB590" s="268"/>
      <c r="AC590" s="268"/>
      <c r="AD590" s="302"/>
      <c r="AE590" s="268"/>
      <c r="AF590" s="268"/>
      <c r="AG590" s="268"/>
      <c r="AH590" s="268"/>
      <c r="AI590" s="302"/>
      <c r="AJ590" s="268"/>
      <c r="AK590" s="268"/>
      <c r="AL590" s="268"/>
      <c r="AM590" s="268"/>
      <c r="AN590" s="302"/>
      <c r="AO590" s="302"/>
      <c r="AP590" s="302"/>
      <c r="AQ590" s="302"/>
      <c r="AR590" s="302"/>
      <c r="AS590" s="273">
        <f>5/50*1800</f>
        <v>180</v>
      </c>
      <c r="AT590" s="271"/>
      <c r="AU590" s="271"/>
      <c r="AV590" s="271"/>
      <c r="AW590" s="271"/>
      <c r="AX590" s="271"/>
      <c r="AY590" s="302"/>
      <c r="AZ590" s="302"/>
      <c r="BA590" s="302"/>
      <c r="BB590" s="116"/>
      <c r="BC590" s="116"/>
      <c r="BD590" s="116"/>
      <c r="BE590" s="116"/>
      <c r="BF590" s="116"/>
      <c r="BG590" s="116"/>
      <c r="BH590" s="268"/>
      <c r="BI590" s="268"/>
      <c r="BJ590" s="268"/>
      <c r="BK590" s="268"/>
      <c r="BL590" s="268"/>
      <c r="BM590" s="268"/>
      <c r="BN590" s="268"/>
      <c r="BO590" s="268"/>
      <c r="BP590" s="268"/>
      <c r="BQ590" s="268"/>
      <c r="BR590" s="268"/>
      <c r="BS590" s="268"/>
      <c r="BT590" s="268"/>
      <c r="BU590" s="268"/>
      <c r="BV590" s="268"/>
      <c r="BW590" s="268"/>
      <c r="BX590" s="268"/>
      <c r="BY590" s="268"/>
      <c r="BZ590" s="268"/>
      <c r="CA590" s="268"/>
      <c r="CB590" s="268"/>
      <c r="CC590" s="268"/>
      <c r="CD590" s="268"/>
      <c r="CE590" s="268"/>
      <c r="CF590" s="268"/>
      <c r="CG590" s="268"/>
      <c r="CH590" s="268"/>
      <c r="CI590" s="268"/>
      <c r="CJ590" s="268"/>
      <c r="CK590" s="268"/>
      <c r="CL590" s="268"/>
      <c r="CM590" s="268"/>
      <c r="CN590" s="268"/>
      <c r="CO590" s="268"/>
      <c r="CP590" s="268"/>
      <c r="CQ590" s="268"/>
      <c r="CR590" s="268"/>
      <c r="CS590" s="268"/>
      <c r="CT590" s="268"/>
      <c r="CU590" s="268"/>
      <c r="CV590" s="268"/>
      <c r="CW590" s="268"/>
      <c r="CX590" s="268"/>
      <c r="CY590" s="268"/>
      <c r="CZ590" s="268"/>
    </row>
    <row r="591" spans="1:104" hidden="1" outlineLevel="1">
      <c r="A591" s="268"/>
      <c r="B591" s="268"/>
      <c r="C591" s="268" t="s">
        <v>542</v>
      </c>
      <c r="D591" s="268"/>
      <c r="E591" s="268"/>
      <c r="F591" s="268"/>
      <c r="G591" s="268"/>
      <c r="H591" s="268"/>
      <c r="I591" s="268"/>
      <c r="J591" s="271"/>
      <c r="K591" s="268"/>
      <c r="L591" s="268"/>
      <c r="M591" s="268"/>
      <c r="N591" s="268"/>
      <c r="O591" s="271"/>
      <c r="P591" s="268"/>
      <c r="Q591" s="268"/>
      <c r="R591" s="268"/>
      <c r="S591" s="268"/>
      <c r="T591" s="271"/>
      <c r="U591" s="268"/>
      <c r="V591" s="268"/>
      <c r="W591" s="268"/>
      <c r="X591" s="268"/>
      <c r="Y591" s="271"/>
      <c r="Z591" s="268"/>
      <c r="AA591" s="268"/>
      <c r="AB591" s="268"/>
      <c r="AC591" s="268"/>
      <c r="AD591" s="302"/>
      <c r="AE591" s="268"/>
      <c r="AF591" s="268"/>
      <c r="AG591" s="268"/>
      <c r="AH591" s="268"/>
      <c r="AI591" s="302"/>
      <c r="AJ591" s="268"/>
      <c r="AK591" s="268"/>
      <c r="AL591" s="268"/>
      <c r="AM591" s="268"/>
      <c r="AN591" s="302"/>
      <c r="AO591" s="302"/>
      <c r="AP591" s="302"/>
      <c r="AQ591" s="302"/>
      <c r="AR591" s="302"/>
      <c r="AS591" s="273" t="s">
        <v>284</v>
      </c>
      <c r="AT591" s="271"/>
      <c r="AU591" s="271"/>
      <c r="AV591" s="271"/>
      <c r="AW591" s="271"/>
      <c r="AX591" s="271"/>
      <c r="AY591" s="302"/>
      <c r="AZ591" s="302"/>
      <c r="BA591" s="302"/>
      <c r="BB591" s="116"/>
      <c r="BC591" s="116"/>
      <c r="BD591" s="116"/>
      <c r="BE591" s="116"/>
      <c r="BF591" s="116"/>
      <c r="BG591" s="116"/>
      <c r="BH591" s="268"/>
      <c r="BI591" s="268"/>
      <c r="BJ591" s="268"/>
      <c r="BK591" s="268"/>
      <c r="BL591" s="268"/>
      <c r="BM591" s="268"/>
      <c r="BN591" s="268"/>
      <c r="BO591" s="268"/>
      <c r="BP591" s="268"/>
      <c r="BQ591" s="268"/>
      <c r="BR591" s="268"/>
      <c r="BS591" s="268"/>
      <c r="BT591" s="268"/>
      <c r="BU591" s="268"/>
      <c r="BV591" s="268"/>
      <c r="BW591" s="268"/>
      <c r="BX591" s="268"/>
      <c r="BY591" s="268"/>
      <c r="BZ591" s="268"/>
      <c r="CA591" s="268"/>
      <c r="CB591" s="268"/>
      <c r="CC591" s="268"/>
      <c r="CD591" s="268"/>
      <c r="CE591" s="268"/>
      <c r="CF591" s="268"/>
      <c r="CG591" s="268"/>
      <c r="CH591" s="268"/>
      <c r="CI591" s="268"/>
      <c r="CJ591" s="268"/>
      <c r="CK591" s="268"/>
      <c r="CL591" s="268"/>
      <c r="CM591" s="268"/>
      <c r="CN591" s="268"/>
      <c r="CO591" s="268"/>
      <c r="CP591" s="268"/>
      <c r="CQ591" s="268"/>
      <c r="CR591" s="268"/>
      <c r="CS591" s="268"/>
      <c r="CT591" s="268"/>
      <c r="CU591" s="268"/>
      <c r="CV591" s="268"/>
      <c r="CW591" s="268"/>
      <c r="CX591" s="268"/>
      <c r="CY591" s="268"/>
      <c r="CZ591" s="268"/>
    </row>
    <row r="592" spans="1:104" hidden="1" outlineLevel="1">
      <c r="A592" s="268"/>
      <c r="B592" s="268"/>
      <c r="C592" s="268"/>
      <c r="D592" s="268"/>
      <c r="E592" s="268"/>
      <c r="F592" s="268"/>
      <c r="G592" s="268"/>
      <c r="H592" s="268"/>
      <c r="I592" s="268"/>
      <c r="J592" s="271"/>
      <c r="K592" s="268"/>
      <c r="L592" s="268"/>
      <c r="M592" s="268"/>
      <c r="N592" s="268"/>
      <c r="O592" s="271"/>
      <c r="P592" s="268"/>
      <c r="Q592" s="268"/>
      <c r="R592" s="268"/>
      <c r="S592" s="268"/>
      <c r="T592" s="271"/>
      <c r="U592" s="268"/>
      <c r="V592" s="268"/>
      <c r="W592" s="268"/>
      <c r="X592" s="268"/>
      <c r="Y592" s="271"/>
      <c r="Z592" s="268"/>
      <c r="AA592" s="268"/>
      <c r="AB592" s="268"/>
      <c r="AC592" s="268"/>
      <c r="AD592" s="302"/>
      <c r="AE592" s="268"/>
      <c r="AF592" s="268"/>
      <c r="AG592" s="268"/>
      <c r="AH592" s="268"/>
      <c r="AI592" s="302"/>
      <c r="AJ592" s="268"/>
      <c r="AK592" s="268"/>
      <c r="AL592" s="268"/>
      <c r="AM592" s="268"/>
      <c r="AN592" s="302"/>
      <c r="AO592" s="302"/>
      <c r="AP592" s="302"/>
      <c r="AQ592" s="302"/>
      <c r="AR592" s="302"/>
      <c r="AS592" s="1012"/>
      <c r="AT592" s="271"/>
      <c r="AU592" s="271"/>
      <c r="AV592" s="271"/>
      <c r="AW592" s="271"/>
      <c r="AX592" s="271"/>
      <c r="AY592" s="302"/>
      <c r="AZ592" s="302"/>
      <c r="BA592" s="302"/>
      <c r="BB592" s="116"/>
      <c r="BC592" s="116"/>
      <c r="BD592" s="116"/>
      <c r="BE592" s="116"/>
      <c r="BF592" s="116"/>
      <c r="BG592" s="116"/>
      <c r="BH592" s="268"/>
      <c r="BI592" s="268"/>
      <c r="BJ592" s="268"/>
      <c r="BK592" s="268"/>
      <c r="BL592" s="268"/>
      <c r="BM592" s="268"/>
      <c r="BN592" s="268"/>
      <c r="BO592" s="268"/>
      <c r="BP592" s="268"/>
      <c r="BQ592" s="268"/>
      <c r="BR592" s="268"/>
      <c r="BS592" s="268"/>
      <c r="BT592" s="268"/>
      <c r="BU592" s="268"/>
      <c r="BV592" s="268"/>
      <c r="BW592" s="268"/>
      <c r="BX592" s="268"/>
      <c r="BY592" s="268"/>
      <c r="BZ592" s="268"/>
      <c r="CA592" s="268"/>
      <c r="CB592" s="268"/>
      <c r="CC592" s="268"/>
      <c r="CD592" s="268"/>
      <c r="CE592" s="268"/>
      <c r="CF592" s="268"/>
      <c r="CG592" s="268"/>
      <c r="CH592" s="268"/>
      <c r="CI592" s="268"/>
      <c r="CJ592" s="268"/>
      <c r="CK592" s="268"/>
      <c r="CL592" s="268"/>
      <c r="CM592" s="268"/>
      <c r="CN592" s="268"/>
      <c r="CO592" s="268"/>
      <c r="CP592" s="268"/>
      <c r="CQ592" s="268"/>
      <c r="CR592" s="268"/>
      <c r="CS592" s="268"/>
      <c r="CT592" s="268"/>
      <c r="CU592" s="268"/>
      <c r="CV592" s="268"/>
      <c r="CW592" s="268"/>
      <c r="CX592" s="268"/>
      <c r="CY592" s="268"/>
      <c r="CZ592" s="268"/>
    </row>
    <row r="593" spans="1:104" hidden="1" outlineLevel="1">
      <c r="A593" s="268"/>
      <c r="B593" s="271" t="s">
        <v>541</v>
      </c>
      <c r="C593" s="268"/>
      <c r="D593" s="268"/>
      <c r="E593" s="268"/>
      <c r="F593" s="268"/>
      <c r="G593" s="268"/>
      <c r="H593" s="268"/>
      <c r="I593" s="268"/>
      <c r="J593" s="271"/>
      <c r="K593" s="268"/>
      <c r="L593" s="268"/>
      <c r="M593" s="268"/>
      <c r="N593" s="268"/>
      <c r="O593" s="271"/>
      <c r="P593" s="268"/>
      <c r="Q593" s="268"/>
      <c r="R593" s="268"/>
      <c r="S593" s="268"/>
      <c r="T593" s="271"/>
      <c r="U593" s="268"/>
      <c r="V593" s="268"/>
      <c r="W593" s="268"/>
      <c r="X593" s="268"/>
      <c r="Y593" s="271"/>
      <c r="Z593" s="268"/>
      <c r="AA593" s="268"/>
      <c r="AB593" s="268"/>
      <c r="AC593" s="268"/>
      <c r="AD593" s="302"/>
      <c r="AE593" s="268"/>
      <c r="AF593" s="268"/>
      <c r="AG593" s="268"/>
      <c r="AH593" s="268"/>
      <c r="AI593" s="302"/>
      <c r="AJ593" s="268"/>
      <c r="AK593" s="268"/>
      <c r="AL593" s="268"/>
      <c r="AM593" s="268"/>
      <c r="AN593" s="302"/>
      <c r="AO593" s="302"/>
      <c r="AP593" s="302"/>
      <c r="AQ593" s="302"/>
      <c r="AR593" s="302"/>
      <c r="AS593" s="1012"/>
      <c r="AT593" s="271"/>
      <c r="AU593" s="271"/>
      <c r="AV593" s="271"/>
      <c r="AW593" s="271"/>
      <c r="AX593" s="271"/>
      <c r="AY593" s="302"/>
      <c r="AZ593" s="302"/>
      <c r="BA593" s="302"/>
      <c r="BB593" s="116"/>
      <c r="BC593" s="116"/>
      <c r="BD593" s="116"/>
      <c r="BE593" s="116"/>
      <c r="BF593" s="116"/>
      <c r="BG593" s="116"/>
      <c r="BH593" s="268"/>
      <c r="BI593" s="268"/>
      <c r="BJ593" s="268"/>
      <c r="BK593" s="268"/>
      <c r="BL593" s="268"/>
      <c r="BM593" s="268"/>
      <c r="BN593" s="268"/>
      <c r="BO593" s="268"/>
      <c r="BP593" s="268"/>
      <c r="BQ593" s="268"/>
      <c r="BR593" s="268"/>
      <c r="BS593" s="268"/>
      <c r="BT593" s="268"/>
      <c r="BU593" s="268"/>
      <c r="BV593" s="268"/>
      <c r="BW593" s="268"/>
      <c r="BX593" s="268"/>
      <c r="BY593" s="268"/>
      <c r="BZ593" s="268"/>
      <c r="CA593" s="268"/>
      <c r="CB593" s="268"/>
      <c r="CC593" s="268"/>
      <c r="CD593" s="268"/>
      <c r="CE593" s="268"/>
      <c r="CF593" s="268"/>
      <c r="CG593" s="268"/>
      <c r="CH593" s="268"/>
      <c r="CI593" s="268"/>
      <c r="CJ593" s="268"/>
      <c r="CK593" s="268"/>
      <c r="CL593" s="268"/>
      <c r="CM593" s="268"/>
      <c r="CN593" s="268"/>
      <c r="CO593" s="268"/>
      <c r="CP593" s="268"/>
      <c r="CQ593" s="268"/>
      <c r="CR593" s="268"/>
      <c r="CS593" s="268"/>
      <c r="CT593" s="268"/>
      <c r="CU593" s="268"/>
      <c r="CV593" s="268"/>
      <c r="CW593" s="268"/>
      <c r="CX593" s="268"/>
      <c r="CY593" s="268"/>
      <c r="CZ593" s="268"/>
    </row>
    <row r="594" spans="1:104" hidden="1" outlineLevel="1">
      <c r="A594" s="268"/>
      <c r="B594" s="268"/>
      <c r="C594" s="268" t="s">
        <v>540</v>
      </c>
      <c r="D594" s="268"/>
      <c r="E594" s="268"/>
      <c r="F594" s="268"/>
      <c r="G594" s="268"/>
      <c r="H594" s="268"/>
      <c r="I594" s="268"/>
      <c r="J594" s="271"/>
      <c r="K594" s="268"/>
      <c r="L594" s="268"/>
      <c r="M594" s="268"/>
      <c r="N594" s="268"/>
      <c r="O594" s="271"/>
      <c r="P594" s="268"/>
      <c r="Q594" s="268"/>
      <c r="R594" s="268"/>
      <c r="S594" s="268"/>
      <c r="T594" s="1012">
        <v>0.185</v>
      </c>
      <c r="U594" s="1012"/>
      <c r="V594" s="1012"/>
      <c r="W594" s="1012"/>
      <c r="X594" s="1012"/>
      <c r="Y594" s="1021"/>
      <c r="Z594" s="1012"/>
      <c r="AA594" s="1012"/>
      <c r="AB594" s="1012"/>
      <c r="AC594" s="1012"/>
      <c r="AD594" s="1020"/>
      <c r="AE594" s="1012"/>
      <c r="AF594" s="1012"/>
      <c r="AG594" s="1012"/>
      <c r="AH594" s="1012"/>
      <c r="AI594" s="1020"/>
      <c r="AJ594" s="1012"/>
      <c r="AK594" s="1012"/>
      <c r="AL594" s="1012"/>
      <c r="AM594" s="1012"/>
      <c r="AN594" s="1020"/>
      <c r="AO594" s="1020"/>
      <c r="AP594" s="1020"/>
      <c r="AQ594" s="1020"/>
      <c r="AR594" s="1020"/>
      <c r="AS594" s="1012">
        <f>(10+9/40*10)%</f>
        <v>0.1225</v>
      </c>
      <c r="AT594" s="271"/>
      <c r="AU594" s="271"/>
      <c r="AV594" s="271"/>
      <c r="AW594" s="271"/>
      <c r="AX594" s="271"/>
      <c r="AY594" s="302"/>
      <c r="AZ594" s="302"/>
      <c r="BA594" s="302"/>
      <c r="BB594" s="116"/>
      <c r="BC594" s="116"/>
      <c r="BD594" s="116"/>
      <c r="BE594" s="116"/>
      <c r="BF594" s="116"/>
      <c r="BG594" s="116"/>
      <c r="BH594" s="268"/>
      <c r="BI594" s="268"/>
      <c r="BJ594" s="268"/>
      <c r="BK594" s="268"/>
      <c r="BL594" s="268"/>
      <c r="BM594" s="268"/>
      <c r="BN594" s="268"/>
      <c r="BO594" s="268"/>
      <c r="BP594" s="268"/>
      <c r="BQ594" s="268"/>
      <c r="BR594" s="268"/>
      <c r="BS594" s="268"/>
      <c r="BT594" s="268"/>
      <c r="BU594" s="268"/>
      <c r="BV594" s="268"/>
      <c r="BW594" s="268"/>
      <c r="BX594" s="268"/>
      <c r="BY594" s="268"/>
      <c r="BZ594" s="268"/>
      <c r="CA594" s="268"/>
      <c r="CB594" s="268"/>
      <c r="CC594" s="268"/>
      <c r="CD594" s="268"/>
      <c r="CE594" s="268"/>
      <c r="CF594" s="268"/>
      <c r="CG594" s="268"/>
      <c r="CH594" s="268"/>
      <c r="CI594" s="268"/>
      <c r="CJ594" s="268"/>
      <c r="CK594" s="268"/>
      <c r="CL594" s="268"/>
      <c r="CM594" s="268"/>
      <c r="CN594" s="268"/>
      <c r="CO594" s="268"/>
      <c r="CP594" s="268"/>
      <c r="CQ594" s="268"/>
      <c r="CR594" s="268"/>
      <c r="CS594" s="268"/>
      <c r="CT594" s="268"/>
      <c r="CU594" s="268"/>
      <c r="CV594" s="268"/>
      <c r="CW594" s="268"/>
      <c r="CX594" s="268"/>
      <c r="CY594" s="268"/>
      <c r="CZ594" s="268"/>
    </row>
    <row r="595" spans="1:104" hidden="1" outlineLevel="1">
      <c r="A595" s="268"/>
      <c r="B595" s="268"/>
      <c r="C595" s="268" t="s">
        <v>539</v>
      </c>
      <c r="D595" s="268"/>
      <c r="E595" s="268"/>
      <c r="F595" s="268"/>
      <c r="G595" s="268"/>
      <c r="H595" s="268"/>
      <c r="I595" s="268"/>
      <c r="J595" s="271"/>
      <c r="K595" s="268"/>
      <c r="L595" s="268"/>
      <c r="M595" s="268"/>
      <c r="N595" s="268"/>
      <c r="O595" s="271"/>
      <c r="P595" s="268"/>
      <c r="Q595" s="268"/>
      <c r="R595" s="268"/>
      <c r="S595" s="268"/>
      <c r="T595" s="1012">
        <v>0.32</v>
      </c>
      <c r="U595" s="1012"/>
      <c r="V595" s="1012"/>
      <c r="W595" s="1012"/>
      <c r="X595" s="1012"/>
      <c r="Y595" s="1021"/>
      <c r="Z595" s="1012"/>
      <c r="AA595" s="1012"/>
      <c r="AB595" s="1012"/>
      <c r="AC595" s="1012"/>
      <c r="AD595" s="1020"/>
      <c r="AE595" s="1012"/>
      <c r="AF595" s="1012"/>
      <c r="AG595" s="1012"/>
      <c r="AH595" s="1012"/>
      <c r="AI595" s="1020"/>
      <c r="AJ595" s="1012"/>
      <c r="AK595" s="1012"/>
      <c r="AL595" s="1012"/>
      <c r="AM595" s="1012"/>
      <c r="AN595" s="1020"/>
      <c r="AO595" s="1020"/>
      <c r="AP595" s="1020"/>
      <c r="AQ595" s="1020"/>
      <c r="AR595" s="1020"/>
      <c r="AS595" s="1012">
        <f>0.375*10%</f>
        <v>3.7500000000000006E-2</v>
      </c>
      <c r="AT595" s="271"/>
      <c r="AU595" s="271"/>
      <c r="AV595" s="271"/>
      <c r="AW595" s="271"/>
      <c r="AX595" s="271"/>
      <c r="AY595" s="302"/>
      <c r="AZ595" s="302"/>
      <c r="BA595" s="302"/>
      <c r="BB595" s="116"/>
      <c r="BC595" s="116"/>
      <c r="BD595" s="116"/>
      <c r="BE595" s="116"/>
      <c r="BF595" s="116"/>
      <c r="BG595" s="116"/>
      <c r="BH595" s="268"/>
      <c r="BI595" s="268"/>
      <c r="BJ595" s="268"/>
      <c r="BK595" s="268"/>
      <c r="BL595" s="268"/>
      <c r="BM595" s="268"/>
      <c r="BN595" s="268"/>
      <c r="BO595" s="268"/>
      <c r="BP595" s="268"/>
      <c r="BQ595" s="268"/>
      <c r="BR595" s="268"/>
      <c r="BS595" s="268"/>
      <c r="BT595" s="268"/>
      <c r="BU595" s="268"/>
      <c r="BV595" s="268"/>
      <c r="BW595" s="268"/>
      <c r="BX595" s="268"/>
      <c r="BY595" s="268"/>
      <c r="BZ595" s="268"/>
      <c r="CA595" s="268"/>
      <c r="CB595" s="268"/>
      <c r="CC595" s="268"/>
      <c r="CD595" s="268"/>
      <c r="CE595" s="268"/>
      <c r="CF595" s="268"/>
      <c r="CG595" s="268"/>
      <c r="CH595" s="268"/>
      <c r="CI595" s="268"/>
      <c r="CJ595" s="268"/>
      <c r="CK595" s="268"/>
      <c r="CL595" s="268"/>
      <c r="CM595" s="268"/>
      <c r="CN595" s="268"/>
      <c r="CO595" s="268"/>
      <c r="CP595" s="268"/>
      <c r="CQ595" s="268"/>
      <c r="CR595" s="268"/>
      <c r="CS595" s="268"/>
      <c r="CT595" s="268"/>
      <c r="CU595" s="268"/>
      <c r="CV595" s="268"/>
      <c r="CW595" s="268"/>
      <c r="CX595" s="268"/>
      <c r="CY595" s="268"/>
      <c r="CZ595" s="268"/>
    </row>
    <row r="596" spans="1:104" hidden="1" outlineLevel="1">
      <c r="A596" s="268"/>
      <c r="B596" s="268"/>
      <c r="C596" s="268" t="s">
        <v>538</v>
      </c>
      <c r="D596" s="268"/>
      <c r="E596" s="268"/>
      <c r="F596" s="268"/>
      <c r="G596" s="268"/>
      <c r="H596" s="268"/>
      <c r="I596" s="268"/>
      <c r="J596" s="271"/>
      <c r="K596" s="268"/>
      <c r="L596" s="268"/>
      <c r="M596" s="268"/>
      <c r="N596" s="268"/>
      <c r="O596" s="271"/>
      <c r="P596" s="268"/>
      <c r="Q596" s="268"/>
      <c r="R596" s="268"/>
      <c r="S596" s="268"/>
      <c r="T596" s="1012">
        <v>5.2499999999999998E-2</v>
      </c>
      <c r="U596" s="1012"/>
      <c r="V596" s="1012"/>
      <c r="W596" s="1012"/>
      <c r="X596" s="1012"/>
      <c r="Y596" s="1021"/>
      <c r="Z596" s="1012"/>
      <c r="AA596" s="1012"/>
      <c r="AB596" s="1012"/>
      <c r="AC596" s="1012"/>
      <c r="AD596" s="1020"/>
      <c r="AE596" s="1012"/>
      <c r="AF596" s="1012"/>
      <c r="AG596" s="1012"/>
      <c r="AH596" s="1012"/>
      <c r="AI596" s="1020"/>
      <c r="AJ596" s="1012"/>
      <c r="AK596" s="1012"/>
      <c r="AL596" s="1012"/>
      <c r="AM596" s="1012"/>
      <c r="AN596" s="1020"/>
      <c r="AO596" s="1020"/>
      <c r="AP596" s="1020"/>
      <c r="AQ596" s="1020"/>
      <c r="AR596" s="1020"/>
      <c r="AS596" s="1012">
        <f>0.35*10%</f>
        <v>3.4999999999999996E-2</v>
      </c>
      <c r="AT596" s="271"/>
      <c r="AU596" s="271"/>
      <c r="AV596" s="271"/>
      <c r="AW596" s="271"/>
      <c r="AX596" s="271"/>
      <c r="AY596" s="302"/>
      <c r="AZ596" s="302"/>
      <c r="BA596" s="302"/>
      <c r="BB596" s="116"/>
      <c r="BC596" s="116"/>
      <c r="BD596" s="116"/>
      <c r="BE596" s="116"/>
      <c r="BF596" s="116"/>
      <c r="BG596" s="116"/>
      <c r="BH596" s="268"/>
      <c r="BI596" s="268"/>
      <c r="BJ596" s="268"/>
      <c r="BK596" s="268"/>
      <c r="BL596" s="268"/>
      <c r="BM596" s="268"/>
      <c r="BN596" s="268"/>
      <c r="BO596" s="268"/>
      <c r="BP596" s="268"/>
      <c r="BQ596" s="268"/>
      <c r="BR596" s="268"/>
      <c r="BS596" s="268"/>
      <c r="BT596" s="268"/>
      <c r="BU596" s="268"/>
      <c r="BV596" s="268"/>
      <c r="BW596" s="268"/>
      <c r="BX596" s="268"/>
      <c r="BY596" s="268"/>
      <c r="BZ596" s="268"/>
      <c r="CA596" s="268"/>
      <c r="CB596" s="268"/>
      <c r="CC596" s="268"/>
      <c r="CD596" s="268"/>
      <c r="CE596" s="268"/>
      <c r="CF596" s="268"/>
      <c r="CG596" s="268"/>
      <c r="CH596" s="268"/>
      <c r="CI596" s="268"/>
      <c r="CJ596" s="268"/>
      <c r="CK596" s="268"/>
      <c r="CL596" s="268"/>
      <c r="CM596" s="268"/>
      <c r="CN596" s="268"/>
      <c r="CO596" s="268"/>
      <c r="CP596" s="268"/>
      <c r="CQ596" s="268"/>
      <c r="CR596" s="268"/>
      <c r="CS596" s="268"/>
      <c r="CT596" s="268"/>
      <c r="CU596" s="268"/>
      <c r="CV596" s="268"/>
      <c r="CW596" s="268"/>
      <c r="CX596" s="268"/>
      <c r="CY596" s="268"/>
      <c r="CZ596" s="268"/>
    </row>
    <row r="597" spans="1:104" hidden="1" outlineLevel="1">
      <c r="A597" s="268"/>
      <c r="B597" s="268"/>
      <c r="C597" s="268" t="s">
        <v>537</v>
      </c>
      <c r="D597" s="268"/>
      <c r="E597" s="268"/>
      <c r="F597" s="268"/>
      <c r="G597" s="268"/>
      <c r="H597" s="268"/>
      <c r="I597" s="268"/>
      <c r="J597" s="271"/>
      <c r="K597" s="268"/>
      <c r="L597" s="268"/>
      <c r="M597" s="268"/>
      <c r="N597" s="268"/>
      <c r="O597" s="271"/>
      <c r="P597" s="268"/>
      <c r="Q597" s="268"/>
      <c r="R597" s="268"/>
      <c r="S597" s="268"/>
      <c r="T597" s="1012">
        <v>0.15</v>
      </c>
      <c r="U597" s="1012"/>
      <c r="V597" s="1012"/>
      <c r="W597" s="1012"/>
      <c r="X597" s="1012"/>
      <c r="Y597" s="1021"/>
      <c r="Z597" s="1012"/>
      <c r="AA597" s="1012"/>
      <c r="AB597" s="1012"/>
      <c r="AC597" s="1012"/>
      <c r="AD597" s="1020"/>
      <c r="AE597" s="1012"/>
      <c r="AF597" s="1012"/>
      <c r="AG597" s="1012"/>
      <c r="AH597" s="1012"/>
      <c r="AI597" s="1020"/>
      <c r="AJ597" s="1012"/>
      <c r="AK597" s="1012"/>
      <c r="AL597" s="1012"/>
      <c r="AM597" s="1012"/>
      <c r="AN597" s="1020"/>
      <c r="AO597" s="1020"/>
      <c r="AP597" s="1020"/>
      <c r="AQ597" s="1020"/>
      <c r="AR597" s="1020"/>
      <c r="AS597" s="1012">
        <f>8/40*10%</f>
        <v>2.0000000000000004E-2</v>
      </c>
      <c r="AT597" s="271"/>
      <c r="AU597" s="271"/>
      <c r="AV597" s="271"/>
      <c r="AW597" s="271"/>
      <c r="AX597" s="271"/>
      <c r="AY597" s="302"/>
      <c r="AZ597" s="302"/>
      <c r="BA597" s="302"/>
      <c r="BB597" s="116"/>
      <c r="BC597" s="116"/>
      <c r="BD597" s="116"/>
      <c r="BE597" s="116"/>
      <c r="BF597" s="116"/>
      <c r="BG597" s="116"/>
      <c r="BH597" s="268"/>
      <c r="BI597" s="268"/>
      <c r="BJ597" s="268"/>
      <c r="BK597" s="268"/>
      <c r="BL597" s="268"/>
      <c r="BM597" s="268"/>
      <c r="BN597" s="268"/>
      <c r="BO597" s="268"/>
      <c r="BP597" s="268"/>
      <c r="BQ597" s="268"/>
      <c r="BR597" s="268"/>
      <c r="BS597" s="268"/>
      <c r="BT597" s="268"/>
      <c r="BU597" s="268"/>
      <c r="BV597" s="268"/>
      <c r="BW597" s="268"/>
      <c r="BX597" s="268"/>
      <c r="BY597" s="268"/>
      <c r="BZ597" s="268"/>
      <c r="CA597" s="268"/>
      <c r="CB597" s="268"/>
      <c r="CC597" s="268"/>
      <c r="CD597" s="268"/>
      <c r="CE597" s="268"/>
      <c r="CF597" s="268"/>
      <c r="CG597" s="268"/>
      <c r="CH597" s="268"/>
      <c r="CI597" s="268"/>
      <c r="CJ597" s="268"/>
      <c r="CK597" s="268"/>
      <c r="CL597" s="268"/>
      <c r="CM597" s="268"/>
      <c r="CN597" s="268"/>
      <c r="CO597" s="268"/>
      <c r="CP597" s="268"/>
      <c r="CQ597" s="268"/>
      <c r="CR597" s="268"/>
      <c r="CS597" s="268"/>
      <c r="CT597" s="268"/>
      <c r="CU597" s="268"/>
      <c r="CV597" s="268"/>
      <c r="CW597" s="268"/>
      <c r="CX597" s="268"/>
      <c r="CY597" s="268"/>
      <c r="CZ597" s="268"/>
    </row>
    <row r="598" spans="1:104" hidden="1" outlineLevel="1">
      <c r="A598" s="268"/>
      <c r="B598" s="268"/>
      <c r="C598" s="268" t="s">
        <v>536</v>
      </c>
      <c r="D598" s="268"/>
      <c r="E598" s="268"/>
      <c r="F598" s="268"/>
      <c r="G598" s="268"/>
      <c r="H598" s="268"/>
      <c r="I598" s="268"/>
      <c r="J598" s="271"/>
      <c r="K598" s="268"/>
      <c r="L598" s="268"/>
      <c r="M598" s="268"/>
      <c r="N598" s="268"/>
      <c r="O598" s="271"/>
      <c r="P598" s="268"/>
      <c r="Q598" s="268"/>
      <c r="R598" s="268"/>
      <c r="S598" s="268"/>
      <c r="T598" s="1012">
        <v>0.3</v>
      </c>
      <c r="U598" s="268"/>
      <c r="V598" s="268"/>
      <c r="W598" s="268"/>
      <c r="X598" s="268"/>
      <c r="Y598" s="271"/>
      <c r="Z598" s="268"/>
      <c r="AA598" s="268"/>
      <c r="AB598" s="268"/>
      <c r="AC598" s="268"/>
      <c r="AD598" s="302"/>
      <c r="AE598" s="268"/>
      <c r="AF598" s="268"/>
      <c r="AG598" s="268"/>
      <c r="AH598" s="268"/>
      <c r="AI598" s="302"/>
      <c r="AJ598" s="268"/>
      <c r="AK598" s="268"/>
      <c r="AL598" s="268"/>
      <c r="AM598" s="268"/>
      <c r="AN598" s="302"/>
      <c r="AO598" s="302"/>
      <c r="AP598" s="302"/>
      <c r="AQ598" s="302"/>
      <c r="AR598" s="302"/>
      <c r="AS598" s="1012">
        <f>0.225*10%</f>
        <v>2.2500000000000003E-2</v>
      </c>
      <c r="AT598" s="271"/>
      <c r="AU598" s="271"/>
      <c r="AV598" s="271"/>
      <c r="AW598" s="271"/>
      <c r="AX598" s="271"/>
      <c r="AY598" s="302"/>
      <c r="AZ598" s="302"/>
      <c r="BA598" s="302"/>
      <c r="BB598" s="116"/>
      <c r="BC598" s="116"/>
      <c r="BD598" s="116"/>
      <c r="BE598" s="116"/>
      <c r="BF598" s="116"/>
      <c r="BG598" s="116"/>
      <c r="BH598" s="268"/>
      <c r="BI598" s="268"/>
      <c r="BJ598" s="268"/>
      <c r="BK598" s="268"/>
      <c r="BL598" s="268"/>
      <c r="BM598" s="268"/>
      <c r="BN598" s="268"/>
      <c r="BO598" s="268"/>
      <c r="BP598" s="268"/>
      <c r="BQ598" s="268"/>
      <c r="BR598" s="268"/>
      <c r="BS598" s="268"/>
      <c r="BT598" s="268"/>
      <c r="BU598" s="268"/>
      <c r="BV598" s="268"/>
      <c r="BW598" s="268"/>
      <c r="BX598" s="268"/>
      <c r="BY598" s="268"/>
      <c r="BZ598" s="268"/>
      <c r="CA598" s="268"/>
      <c r="CB598" s="268"/>
      <c r="CC598" s="268"/>
      <c r="CD598" s="268"/>
      <c r="CE598" s="268"/>
      <c r="CF598" s="268"/>
      <c r="CG598" s="268"/>
      <c r="CH598" s="268"/>
      <c r="CI598" s="268"/>
      <c r="CJ598" s="268"/>
      <c r="CK598" s="268"/>
      <c r="CL598" s="268"/>
      <c r="CM598" s="268"/>
      <c r="CN598" s="268"/>
      <c r="CO598" s="268"/>
      <c r="CP598" s="268"/>
      <c r="CQ598" s="268"/>
      <c r="CR598" s="268"/>
      <c r="CS598" s="268"/>
      <c r="CT598" s="268"/>
      <c r="CU598" s="268"/>
      <c r="CV598" s="268"/>
      <c r="CW598" s="268"/>
      <c r="CX598" s="268"/>
      <c r="CY598" s="268"/>
      <c r="CZ598" s="268"/>
    </row>
    <row r="599" spans="1:104" hidden="1" outlineLevel="1">
      <c r="A599" s="268"/>
      <c r="B599" s="268"/>
      <c r="C599" s="268" t="s">
        <v>535</v>
      </c>
      <c r="D599" s="268"/>
      <c r="E599" s="268"/>
      <c r="F599" s="268"/>
      <c r="G599" s="268"/>
      <c r="H599" s="268"/>
      <c r="I599" s="268"/>
      <c r="J599" s="271"/>
      <c r="K599" s="268"/>
      <c r="L599" s="268"/>
      <c r="M599" s="268"/>
      <c r="N599" s="268"/>
      <c r="O599" s="271"/>
      <c r="P599" s="268"/>
      <c r="Q599" s="268"/>
      <c r="R599" s="268"/>
      <c r="S599" s="268"/>
      <c r="T599" s="1012">
        <v>0.15</v>
      </c>
      <c r="U599" s="268"/>
      <c r="V599" s="268"/>
      <c r="W599" s="268"/>
      <c r="X599" s="268"/>
      <c r="Y599" s="271"/>
      <c r="Z599" s="268"/>
      <c r="AA599" s="268"/>
      <c r="AB599" s="268"/>
      <c r="AC599" s="268"/>
      <c r="AD599" s="302"/>
      <c r="AE599" s="268"/>
      <c r="AF599" s="268"/>
      <c r="AG599" s="268"/>
      <c r="AH599" s="268"/>
      <c r="AI599" s="302"/>
      <c r="AJ599" s="268"/>
      <c r="AK599" s="268"/>
      <c r="AL599" s="268"/>
      <c r="AM599" s="268"/>
      <c r="AN599" s="302"/>
      <c r="AO599" s="302"/>
      <c r="AP599" s="302"/>
      <c r="AQ599" s="302"/>
      <c r="AR599" s="302"/>
      <c r="AS599" s="1012">
        <v>0.02</v>
      </c>
      <c r="AT599" s="271"/>
      <c r="AU599" s="271"/>
      <c r="AV599" s="271"/>
      <c r="AW599" s="271"/>
      <c r="AX599" s="271"/>
      <c r="AY599" s="302"/>
      <c r="AZ599" s="302"/>
      <c r="BA599" s="302"/>
      <c r="BB599" s="116"/>
      <c r="BC599" s="116"/>
      <c r="BD599" s="116"/>
      <c r="BE599" s="116"/>
      <c r="BF599" s="116"/>
      <c r="BG599" s="116"/>
      <c r="BH599" s="268"/>
      <c r="BI599" s="268"/>
      <c r="BJ599" s="268"/>
      <c r="BK599" s="268"/>
      <c r="BL599" s="268"/>
      <c r="BM599" s="268"/>
      <c r="BN599" s="268"/>
      <c r="BO599" s="268"/>
      <c r="BP599" s="268"/>
      <c r="BQ599" s="268"/>
      <c r="BR599" s="268"/>
      <c r="BS599" s="268"/>
      <c r="BT599" s="268"/>
      <c r="BU599" s="268"/>
      <c r="BV599" s="268"/>
      <c r="BW599" s="268"/>
      <c r="BX599" s="268"/>
      <c r="BY599" s="268"/>
      <c r="BZ599" s="268"/>
      <c r="CA599" s="268"/>
      <c r="CB599" s="268"/>
      <c r="CC599" s="268"/>
      <c r="CD599" s="268"/>
      <c r="CE599" s="268"/>
      <c r="CF599" s="268"/>
      <c r="CG599" s="268"/>
      <c r="CH599" s="268"/>
      <c r="CI599" s="268"/>
      <c r="CJ599" s="268"/>
      <c r="CK599" s="268"/>
      <c r="CL599" s="268"/>
      <c r="CM599" s="268"/>
      <c r="CN599" s="268"/>
      <c r="CO599" s="268"/>
      <c r="CP599" s="268"/>
      <c r="CQ599" s="268"/>
      <c r="CR599" s="268"/>
      <c r="CS599" s="268"/>
      <c r="CT599" s="268"/>
      <c r="CU599" s="268"/>
      <c r="CV599" s="268"/>
      <c r="CW599" s="268"/>
      <c r="CX599" s="268"/>
      <c r="CY599" s="268"/>
      <c r="CZ599" s="268"/>
    </row>
    <row r="600" spans="1:104" hidden="1" outlineLevel="1">
      <c r="A600" s="268"/>
      <c r="B600" s="268"/>
      <c r="C600" s="268" t="s">
        <v>534</v>
      </c>
      <c r="D600" s="268"/>
      <c r="E600" s="268"/>
      <c r="F600" s="268"/>
      <c r="G600" s="268"/>
      <c r="H600" s="268"/>
      <c r="I600" s="268"/>
      <c r="J600" s="271"/>
      <c r="K600" s="268"/>
      <c r="L600" s="268"/>
      <c r="M600" s="268"/>
      <c r="N600" s="268"/>
      <c r="O600" s="271"/>
      <c r="P600" s="268"/>
      <c r="Q600" s="268"/>
      <c r="R600" s="268"/>
      <c r="S600" s="268"/>
      <c r="T600" s="1012">
        <v>0.26</v>
      </c>
      <c r="U600" s="268"/>
      <c r="V600" s="268"/>
      <c r="W600" s="268"/>
      <c r="X600" s="268"/>
      <c r="Y600" s="271"/>
      <c r="Z600" s="268"/>
      <c r="AA600" s="268"/>
      <c r="AB600" s="268"/>
      <c r="AC600" s="268"/>
      <c r="AD600" s="302"/>
      <c r="AE600" s="268"/>
      <c r="AF600" s="268"/>
      <c r="AG600" s="268"/>
      <c r="AH600" s="268"/>
      <c r="AI600" s="302"/>
      <c r="AJ600" s="268"/>
      <c r="AK600" s="268"/>
      <c r="AL600" s="268"/>
      <c r="AM600" s="268"/>
      <c r="AN600" s="302"/>
      <c r="AO600" s="302"/>
      <c r="AP600" s="302"/>
      <c r="AQ600" s="302"/>
      <c r="AR600" s="302"/>
      <c r="AS600" s="1012">
        <v>0.02</v>
      </c>
      <c r="AT600" s="271"/>
      <c r="AU600" s="271"/>
      <c r="AV600" s="271"/>
      <c r="AW600" s="271"/>
      <c r="AX600" s="271"/>
      <c r="AY600" s="302"/>
      <c r="AZ600" s="302"/>
      <c r="BA600" s="302"/>
      <c r="BB600" s="116"/>
      <c r="BC600" s="116"/>
      <c r="BD600" s="116"/>
      <c r="BE600" s="116"/>
      <c r="BF600" s="116"/>
      <c r="BG600" s="116"/>
      <c r="BH600" s="268"/>
      <c r="BI600" s="268"/>
      <c r="BJ600" s="268"/>
      <c r="BK600" s="268"/>
      <c r="BL600" s="268"/>
      <c r="BM600" s="268"/>
      <c r="BN600" s="268"/>
      <c r="BO600" s="268"/>
      <c r="BP600" s="268"/>
      <c r="BQ600" s="268"/>
      <c r="BR600" s="268"/>
      <c r="BS600" s="268"/>
      <c r="BT600" s="268"/>
      <c r="BU600" s="268"/>
      <c r="BV600" s="268"/>
      <c r="BW600" s="268"/>
      <c r="BX600" s="268"/>
      <c r="BY600" s="268"/>
      <c r="BZ600" s="268"/>
      <c r="CA600" s="268"/>
      <c r="CB600" s="268"/>
      <c r="CC600" s="268"/>
      <c r="CD600" s="268"/>
      <c r="CE600" s="268"/>
      <c r="CF600" s="268"/>
      <c r="CG600" s="268"/>
      <c r="CH600" s="268"/>
      <c r="CI600" s="268"/>
      <c r="CJ600" s="268"/>
      <c r="CK600" s="268"/>
      <c r="CL600" s="268"/>
      <c r="CM600" s="268"/>
      <c r="CN600" s="268"/>
      <c r="CO600" s="268"/>
      <c r="CP600" s="268"/>
      <c r="CQ600" s="268"/>
      <c r="CR600" s="268"/>
      <c r="CS600" s="268"/>
      <c r="CT600" s="268"/>
      <c r="CU600" s="268"/>
      <c r="CV600" s="268"/>
      <c r="CW600" s="268"/>
      <c r="CX600" s="268"/>
      <c r="CY600" s="268"/>
      <c r="CZ600" s="268"/>
    </row>
    <row r="601" spans="1:104" hidden="1" outlineLevel="1">
      <c r="A601" s="268"/>
      <c r="B601" s="268"/>
      <c r="C601" s="268"/>
      <c r="D601" s="268"/>
      <c r="E601" s="268"/>
      <c r="F601" s="268"/>
      <c r="G601" s="268"/>
      <c r="H601" s="268"/>
      <c r="I601" s="268"/>
      <c r="J601" s="271"/>
      <c r="K601" s="268"/>
      <c r="L601" s="268"/>
      <c r="M601" s="268"/>
      <c r="N601" s="268"/>
      <c r="O601" s="271"/>
      <c r="P601" s="268"/>
      <c r="Q601" s="268"/>
      <c r="R601" s="268"/>
      <c r="S601" s="268"/>
      <c r="T601" s="271"/>
      <c r="U601" s="268"/>
      <c r="V601" s="268"/>
      <c r="W601" s="268"/>
      <c r="X601" s="268"/>
      <c r="Y601" s="271"/>
      <c r="Z601" s="268"/>
      <c r="AA601" s="268"/>
      <c r="AB601" s="268"/>
      <c r="AC601" s="268"/>
      <c r="AD601" s="302"/>
      <c r="AE601" s="268"/>
      <c r="AF601" s="268"/>
      <c r="AG601" s="268"/>
      <c r="AH601" s="268"/>
      <c r="AI601" s="302"/>
      <c r="AJ601" s="268"/>
      <c r="AK601" s="268"/>
      <c r="AL601" s="268"/>
      <c r="AM601" s="268"/>
      <c r="AN601" s="302"/>
      <c r="AO601" s="302"/>
      <c r="AP601" s="302"/>
      <c r="AQ601" s="302"/>
      <c r="AR601" s="302"/>
      <c r="AS601" s="1012"/>
      <c r="AT601" s="271"/>
      <c r="AU601" s="271"/>
      <c r="AV601" s="271"/>
      <c r="AW601" s="271"/>
      <c r="AX601" s="271"/>
      <c r="AY601" s="302"/>
      <c r="AZ601" s="302"/>
      <c r="BA601" s="302"/>
      <c r="BB601" s="116"/>
      <c r="BC601" s="116"/>
      <c r="BD601" s="116"/>
      <c r="BE601" s="116"/>
      <c r="BF601" s="116"/>
      <c r="BG601" s="116"/>
      <c r="BH601" s="268"/>
      <c r="BI601" s="268"/>
      <c r="BJ601" s="268"/>
      <c r="BK601" s="268"/>
      <c r="BL601" s="268"/>
      <c r="BM601" s="268"/>
      <c r="BN601" s="268"/>
      <c r="BO601" s="268"/>
      <c r="BP601" s="268"/>
      <c r="BQ601" s="268"/>
      <c r="BR601" s="268"/>
      <c r="BS601" s="268"/>
      <c r="BT601" s="268"/>
      <c r="BU601" s="268"/>
      <c r="BV601" s="268"/>
      <c r="BW601" s="268"/>
      <c r="BX601" s="268"/>
      <c r="BY601" s="268"/>
      <c r="BZ601" s="268"/>
      <c r="CA601" s="268"/>
      <c r="CB601" s="268"/>
      <c r="CC601" s="268"/>
      <c r="CD601" s="268"/>
      <c r="CE601" s="268"/>
      <c r="CF601" s="268"/>
      <c r="CG601" s="268"/>
      <c r="CH601" s="268"/>
      <c r="CI601" s="268"/>
      <c r="CJ601" s="268"/>
      <c r="CK601" s="268"/>
      <c r="CL601" s="268"/>
      <c r="CM601" s="268"/>
      <c r="CN601" s="268"/>
      <c r="CO601" s="268"/>
      <c r="CP601" s="268"/>
      <c r="CQ601" s="268"/>
      <c r="CR601" s="268"/>
      <c r="CS601" s="268"/>
      <c r="CT601" s="268"/>
      <c r="CU601" s="268"/>
      <c r="CV601" s="268"/>
      <c r="CW601" s="268"/>
      <c r="CX601" s="268"/>
      <c r="CY601" s="268"/>
      <c r="CZ601" s="268"/>
    </row>
    <row r="602" spans="1:104" hidden="1" outlineLevel="1">
      <c r="A602" s="268"/>
      <c r="B602" s="271" t="s">
        <v>533</v>
      </c>
      <c r="C602" s="268"/>
      <c r="D602" s="268"/>
      <c r="E602" s="268"/>
      <c r="F602" s="268"/>
      <c r="G602" s="268"/>
      <c r="H602" s="268"/>
      <c r="I602" s="268"/>
      <c r="J602" s="271"/>
      <c r="K602" s="268"/>
      <c r="L602" s="268"/>
      <c r="M602" s="268"/>
      <c r="N602" s="268"/>
      <c r="O602" s="1017">
        <v>59.56</v>
      </c>
      <c r="P602" s="268"/>
      <c r="Q602" s="268"/>
      <c r="R602" s="268"/>
      <c r="S602" s="268"/>
      <c r="T602" s="1017">
        <v>60</v>
      </c>
      <c r="U602" s="268"/>
      <c r="V602" s="268"/>
      <c r="W602" s="268"/>
      <c r="X602" s="268"/>
      <c r="Y602" s="1017">
        <v>65.78</v>
      </c>
      <c r="Z602" s="268"/>
      <c r="AA602" s="268"/>
      <c r="AB602" s="268"/>
      <c r="AC602" s="268"/>
      <c r="AD602" s="1017">
        <v>71.11</v>
      </c>
      <c r="AE602" s="268"/>
      <c r="AF602" s="268"/>
      <c r="AG602" s="268"/>
      <c r="AH602" s="268"/>
      <c r="AI602" s="1017">
        <v>79.11</v>
      </c>
      <c r="AJ602" s="268"/>
      <c r="AK602" s="268"/>
      <c r="AL602" s="268"/>
      <c r="AM602" s="268"/>
      <c r="AN602" s="1018">
        <v>86.4</v>
      </c>
      <c r="AO602" s="1018"/>
      <c r="AP602" s="1018"/>
      <c r="AQ602" s="1018"/>
      <c r="AR602" s="1018"/>
      <c r="AS602" s="1018">
        <v>90.4</v>
      </c>
      <c r="AT602" s="1017"/>
      <c r="AU602" s="1017"/>
      <c r="AV602" s="1017"/>
      <c r="AW602" s="1017"/>
      <c r="AX602" s="1018">
        <v>96.8</v>
      </c>
      <c r="AY602" s="1018"/>
      <c r="AZ602" s="1018"/>
      <c r="BA602" s="1018"/>
      <c r="BB602" s="1019"/>
      <c r="BC602" s="1018">
        <v>101.6</v>
      </c>
      <c r="BD602" s="116"/>
      <c r="BE602" s="116"/>
      <c r="BF602" s="116"/>
      <c r="BG602" s="116"/>
      <c r="BH602" s="1017">
        <v>105.6</v>
      </c>
      <c r="BI602" s="1017"/>
      <c r="BJ602" s="1017"/>
      <c r="BK602" s="1017"/>
      <c r="BL602" s="1017"/>
      <c r="BM602" s="1017">
        <v>111.2</v>
      </c>
      <c r="BN602" s="1017"/>
      <c r="BO602" s="1017"/>
      <c r="BP602" s="1017"/>
      <c r="BQ602" s="1017"/>
      <c r="BR602" s="1017">
        <v>116</v>
      </c>
      <c r="BS602" s="1017"/>
      <c r="BT602" s="1017"/>
      <c r="BU602" s="1017"/>
      <c r="BV602" s="1017"/>
      <c r="BW602" s="1017">
        <v>120</v>
      </c>
      <c r="BX602" s="1017"/>
      <c r="BY602" s="1017"/>
      <c r="BZ602" s="1017"/>
      <c r="CA602" s="1017"/>
      <c r="CB602" s="1017"/>
      <c r="CC602" s="1017"/>
      <c r="CD602" s="1017"/>
      <c r="CE602" s="1017"/>
      <c r="CF602" s="1017"/>
      <c r="CG602" s="1017"/>
      <c r="CH602" s="1017"/>
      <c r="CI602" s="1017"/>
      <c r="CJ602" s="1017"/>
      <c r="CK602" s="1017"/>
      <c r="CL602" s="1017"/>
      <c r="CM602" s="1017"/>
      <c r="CN602" s="1017"/>
      <c r="CO602" s="1017"/>
      <c r="CP602" s="1017"/>
      <c r="CQ602" s="1017"/>
      <c r="CR602" s="1017"/>
      <c r="CS602" s="1017"/>
      <c r="CT602" s="1017"/>
      <c r="CU602" s="1017"/>
      <c r="CV602" s="1017"/>
      <c r="CW602" s="1017"/>
      <c r="CX602" s="1017"/>
      <c r="CY602" s="1017"/>
      <c r="CZ602" s="268"/>
    </row>
    <row r="603" spans="1:104" hidden="1" outlineLevel="1">
      <c r="A603" s="268"/>
      <c r="B603" s="268" t="s">
        <v>532</v>
      </c>
      <c r="C603" s="268"/>
      <c r="D603" s="268"/>
      <c r="E603" s="268"/>
      <c r="F603" s="268"/>
      <c r="G603" s="268"/>
      <c r="H603" s="268"/>
      <c r="I603" s="268"/>
      <c r="J603" s="271"/>
      <c r="K603" s="268"/>
      <c r="L603" s="268"/>
      <c r="M603" s="268"/>
      <c r="N603" s="268"/>
      <c r="O603" s="271"/>
      <c r="P603" s="268"/>
      <c r="Q603" s="268"/>
      <c r="R603" s="268"/>
      <c r="S603" s="268"/>
      <c r="T603" s="271"/>
      <c r="U603" s="268"/>
      <c r="V603" s="268"/>
      <c r="W603" s="268"/>
      <c r="X603" s="268"/>
      <c r="Y603" s="271"/>
      <c r="Z603" s="268"/>
      <c r="AA603" s="268"/>
      <c r="AB603" s="268"/>
      <c r="AC603" s="268"/>
      <c r="AD603" s="302"/>
      <c r="AE603" s="268"/>
      <c r="AF603" s="268"/>
      <c r="AG603" s="268"/>
      <c r="AH603" s="268"/>
      <c r="AI603" s="302"/>
      <c r="AJ603" s="268"/>
      <c r="AK603" s="268"/>
      <c r="AL603" s="268"/>
      <c r="AM603" s="268"/>
      <c r="AN603" s="302"/>
      <c r="AO603" s="302"/>
      <c r="AP603" s="302"/>
      <c r="AQ603" s="302"/>
      <c r="AR603" s="302"/>
      <c r="AS603" s="271"/>
      <c r="AT603" s="271"/>
      <c r="AU603" s="271"/>
      <c r="AV603" s="271"/>
      <c r="AW603" s="271"/>
      <c r="AX603" s="271"/>
      <c r="AY603" s="302"/>
      <c r="AZ603" s="302"/>
      <c r="BA603" s="302"/>
      <c r="BB603" s="116"/>
      <c r="BC603" s="116"/>
      <c r="BD603" s="116"/>
      <c r="BE603" s="116"/>
      <c r="BF603" s="116"/>
      <c r="BG603" s="116"/>
      <c r="BH603" s="268"/>
      <c r="BI603" s="268"/>
      <c r="BJ603" s="268"/>
      <c r="BK603" s="268"/>
      <c r="BL603" s="268"/>
      <c r="BM603" s="268"/>
      <c r="BN603" s="268"/>
      <c r="BO603" s="268"/>
      <c r="BP603" s="268"/>
      <c r="BQ603" s="268"/>
      <c r="BR603" s="268"/>
      <c r="BS603" s="268"/>
      <c r="BT603" s="268"/>
      <c r="BU603" s="268"/>
      <c r="BV603" s="268"/>
      <c r="BW603" s="268"/>
      <c r="BX603" s="268"/>
      <c r="BY603" s="268"/>
      <c r="BZ603" s="268"/>
      <c r="CA603" s="268"/>
      <c r="CB603" s="268"/>
      <c r="CC603" s="268"/>
      <c r="CD603" s="268"/>
      <c r="CE603" s="268"/>
      <c r="CF603" s="268"/>
      <c r="CG603" s="268"/>
      <c r="CH603" s="268"/>
      <c r="CI603" s="268"/>
      <c r="CJ603" s="268"/>
      <c r="CK603" s="268"/>
      <c r="CL603" s="268"/>
      <c r="CM603" s="268"/>
      <c r="CN603" s="268"/>
      <c r="CO603" s="268"/>
      <c r="CP603" s="268"/>
      <c r="CQ603" s="268"/>
      <c r="CR603" s="268"/>
      <c r="CS603" s="268"/>
      <c r="CT603" s="268"/>
      <c r="CU603" s="268"/>
      <c r="CV603" s="268"/>
      <c r="CW603" s="268"/>
      <c r="CX603" s="268"/>
      <c r="CY603" s="268"/>
      <c r="CZ603" s="268"/>
    </row>
    <row r="604" spans="1:104" hidden="1" outlineLevel="1">
      <c r="A604" s="268"/>
      <c r="B604" s="268"/>
      <c r="C604" s="268"/>
      <c r="D604" s="268"/>
      <c r="E604" s="268"/>
      <c r="F604" s="268"/>
      <c r="G604" s="268"/>
      <c r="H604" s="268"/>
      <c r="I604" s="268"/>
      <c r="J604" s="271"/>
      <c r="K604" s="268"/>
      <c r="L604" s="268"/>
      <c r="M604" s="268"/>
      <c r="N604" s="268"/>
      <c r="O604" s="271"/>
      <c r="P604" s="268"/>
      <c r="Q604" s="268"/>
      <c r="R604" s="268"/>
      <c r="S604" s="268"/>
      <c r="T604" s="271"/>
      <c r="U604" s="268"/>
      <c r="V604" s="268"/>
      <c r="W604" s="268"/>
      <c r="X604" s="268"/>
      <c r="Y604" s="271"/>
      <c r="Z604" s="268"/>
      <c r="AA604" s="268"/>
      <c r="AB604" s="268"/>
      <c r="AC604" s="268"/>
      <c r="AD604" s="302"/>
      <c r="AE604" s="268"/>
      <c r="AF604" s="268"/>
      <c r="AG604" s="268"/>
      <c r="AH604" s="268"/>
      <c r="AI604" s="302"/>
      <c r="AJ604" s="268"/>
      <c r="AK604" s="268"/>
      <c r="AL604" s="268"/>
      <c r="AM604" s="268"/>
      <c r="AN604" s="302"/>
      <c r="AO604" s="302"/>
      <c r="AP604" s="302"/>
      <c r="AQ604" s="302"/>
      <c r="AR604" s="302"/>
      <c r="AS604" s="1012"/>
      <c r="AT604" s="271"/>
      <c r="AU604" s="271"/>
      <c r="AV604" s="271"/>
      <c r="AW604" s="271"/>
      <c r="AX604" s="271"/>
      <c r="AY604" s="302"/>
      <c r="AZ604" s="302"/>
      <c r="BA604" s="302"/>
      <c r="BB604" s="116"/>
      <c r="BC604" s="116"/>
      <c r="BD604" s="116"/>
      <c r="BE604" s="116"/>
      <c r="BF604" s="116"/>
      <c r="BG604" s="116"/>
      <c r="BH604" s="268"/>
      <c r="BI604" s="268"/>
      <c r="BJ604" s="268"/>
      <c r="BK604" s="268"/>
      <c r="BL604" s="268"/>
      <c r="BM604" s="268"/>
      <c r="BN604" s="268"/>
      <c r="BO604" s="268"/>
      <c r="BP604" s="268"/>
      <c r="BQ604" s="268"/>
      <c r="BR604" s="268"/>
      <c r="BS604" s="268"/>
      <c r="BT604" s="268"/>
      <c r="BU604" s="268"/>
      <c r="BV604" s="268"/>
      <c r="BW604" s="268"/>
      <c r="BX604" s="268"/>
      <c r="BY604" s="268"/>
      <c r="BZ604" s="268"/>
      <c r="CA604" s="268"/>
      <c r="CB604" s="268"/>
      <c r="CC604" s="268"/>
      <c r="CD604" s="268"/>
      <c r="CE604" s="268"/>
      <c r="CF604" s="268"/>
      <c r="CG604" s="268"/>
      <c r="CH604" s="268"/>
      <c r="CI604" s="268"/>
      <c r="CJ604" s="268"/>
      <c r="CK604" s="268"/>
      <c r="CL604" s="268"/>
      <c r="CM604" s="268"/>
      <c r="CN604" s="268"/>
      <c r="CO604" s="268"/>
      <c r="CP604" s="268"/>
      <c r="CQ604" s="268"/>
      <c r="CR604" s="268"/>
      <c r="CS604" s="268"/>
      <c r="CT604" s="268"/>
      <c r="CU604" s="268"/>
      <c r="CV604" s="268"/>
      <c r="CW604" s="268"/>
      <c r="CX604" s="268"/>
      <c r="CY604" s="268"/>
      <c r="CZ604" s="268"/>
    </row>
    <row r="605" spans="1:104" hidden="1" outlineLevel="1">
      <c r="A605" s="268" t="s">
        <v>531</v>
      </c>
      <c r="B605" s="271" t="s">
        <v>530</v>
      </c>
      <c r="C605" s="268"/>
      <c r="D605" s="268"/>
      <c r="E605" s="268"/>
      <c r="F605" s="268"/>
      <c r="G605" s="268"/>
      <c r="H605" s="268"/>
      <c r="I605" s="268"/>
      <c r="J605" s="271"/>
      <c r="K605" s="268"/>
      <c r="L605" s="268"/>
      <c r="M605" s="268"/>
      <c r="N605" s="268"/>
      <c r="O605" s="271"/>
      <c r="P605" s="268"/>
      <c r="Q605" s="268"/>
      <c r="R605" s="268"/>
      <c r="S605" s="268"/>
      <c r="T605" s="271"/>
      <c r="U605" s="268"/>
      <c r="V605" s="268"/>
      <c r="W605" s="268"/>
      <c r="X605" s="268"/>
      <c r="Y605" s="271"/>
      <c r="Z605" s="268"/>
      <c r="AA605" s="268"/>
      <c r="AB605" s="268"/>
      <c r="AC605" s="268"/>
      <c r="AD605" s="302"/>
      <c r="AE605" s="268"/>
      <c r="AF605" s="268"/>
      <c r="AG605" s="268"/>
      <c r="AH605" s="268"/>
      <c r="AI605" s="1015">
        <v>38687</v>
      </c>
      <c r="AJ605" s="268"/>
      <c r="AK605" s="268"/>
      <c r="AL605" s="268"/>
      <c r="AM605" s="268"/>
      <c r="AN605" s="1015">
        <v>39052</v>
      </c>
      <c r="AO605" s="302"/>
      <c r="AP605" s="302"/>
      <c r="AQ605" s="302"/>
      <c r="AR605" s="302"/>
      <c r="AS605" s="1016" t="s">
        <v>529</v>
      </c>
      <c r="AT605" s="271"/>
      <c r="AU605" s="271"/>
      <c r="AV605" s="271"/>
      <c r="AW605" s="271"/>
      <c r="AX605" s="1015" t="s">
        <v>528</v>
      </c>
      <c r="AY605" s="302"/>
      <c r="AZ605" s="302"/>
      <c r="BA605" s="302"/>
      <c r="BB605" s="116"/>
      <c r="BC605" s="116"/>
      <c r="BD605" s="116"/>
      <c r="BE605" s="116"/>
      <c r="BF605" s="116"/>
      <c r="BG605" s="116"/>
      <c r="BH605" s="268"/>
      <c r="BI605" s="268"/>
      <c r="BJ605" s="268"/>
      <c r="BK605" s="268"/>
      <c r="BL605" s="268"/>
      <c r="BM605" s="268"/>
      <c r="BN605" s="268"/>
      <c r="BO605" s="268"/>
      <c r="BP605" s="268"/>
      <c r="BQ605" s="268"/>
      <c r="BR605" s="268"/>
      <c r="BS605" s="268"/>
      <c r="BT605" s="268"/>
      <c r="BU605" s="268"/>
      <c r="BV605" s="268"/>
      <c r="BW605" s="268"/>
      <c r="BX605" s="268"/>
      <c r="BY605" s="268"/>
      <c r="BZ605" s="268"/>
      <c r="CA605" s="268"/>
      <c r="CB605" s="268"/>
      <c r="CC605" s="268"/>
      <c r="CD605" s="268"/>
      <c r="CE605" s="268"/>
      <c r="CF605" s="268"/>
      <c r="CG605" s="268"/>
      <c r="CH605" s="268"/>
      <c r="CI605" s="268"/>
      <c r="CJ605" s="268"/>
      <c r="CK605" s="268"/>
      <c r="CL605" s="268"/>
      <c r="CM605" s="268"/>
      <c r="CN605" s="268"/>
      <c r="CO605" s="268"/>
      <c r="CP605" s="268"/>
      <c r="CQ605" s="268"/>
      <c r="CR605" s="268"/>
      <c r="CS605" s="268"/>
      <c r="CT605" s="268"/>
      <c r="CU605" s="268"/>
      <c r="CV605" s="268"/>
      <c r="CW605" s="268"/>
      <c r="CX605" s="268"/>
      <c r="CY605" s="268"/>
      <c r="CZ605" s="268"/>
    </row>
    <row r="606" spans="1:104" hidden="1" outlineLevel="1">
      <c r="A606" s="268"/>
      <c r="B606" s="268"/>
      <c r="C606" s="268" t="s">
        <v>527</v>
      </c>
      <c r="D606" s="268"/>
      <c r="E606" s="268"/>
      <c r="F606" s="268"/>
      <c r="G606" s="268"/>
      <c r="H606" s="268"/>
      <c r="I606" s="268"/>
      <c r="J606" s="271"/>
      <c r="K606" s="268"/>
      <c r="L606" s="268"/>
      <c r="M606" s="268"/>
      <c r="N606" s="268"/>
      <c r="O606" s="271"/>
      <c r="P606" s="268"/>
      <c r="Q606" s="268"/>
      <c r="R606" s="268"/>
      <c r="S606" s="268"/>
      <c r="T606" s="271"/>
      <c r="U606" s="268"/>
      <c r="V606" s="268"/>
      <c r="W606" s="268"/>
      <c r="X606" s="268"/>
      <c r="Y606" s="271"/>
      <c r="Z606" s="268"/>
      <c r="AA606" s="268"/>
      <c r="AB606" s="268"/>
      <c r="AC606" s="268"/>
      <c r="AD606" s="302"/>
      <c r="AE606" s="268"/>
      <c r="AF606" s="268"/>
      <c r="AG606" s="268"/>
      <c r="AH606" s="268"/>
      <c r="AI606" s="1014">
        <v>1</v>
      </c>
      <c r="AJ606" s="1013"/>
      <c r="AK606" s="1013"/>
      <c r="AL606" s="1013"/>
      <c r="AM606" s="1013"/>
      <c r="AN606" s="1014">
        <v>0.6</v>
      </c>
      <c r="AO606" s="1014"/>
      <c r="AP606" s="1014"/>
      <c r="AQ606" s="1014"/>
      <c r="AR606" s="1014"/>
      <c r="AS606" s="1014">
        <v>0.3</v>
      </c>
      <c r="AT606" s="1013"/>
      <c r="AU606" s="1013"/>
      <c r="AV606" s="1013"/>
      <c r="AW606" s="1013"/>
      <c r="AX606" s="1013">
        <v>0.2</v>
      </c>
      <c r="AY606" s="302"/>
      <c r="AZ606" s="302"/>
      <c r="BA606" s="302"/>
      <c r="BB606" s="116"/>
      <c r="BC606" s="116"/>
      <c r="BD606" s="116"/>
      <c r="BE606" s="116"/>
      <c r="BF606" s="116"/>
      <c r="BG606" s="116"/>
      <c r="BH606" s="268"/>
      <c r="BI606" s="268"/>
      <c r="BJ606" s="268"/>
      <c r="BK606" s="268"/>
      <c r="BL606" s="268"/>
      <c r="BM606" s="268"/>
      <c r="BN606" s="268"/>
      <c r="BO606" s="268"/>
      <c r="BP606" s="268"/>
      <c r="BQ606" s="268"/>
      <c r="BR606" s="268"/>
      <c r="BS606" s="268"/>
      <c r="BT606" s="268"/>
      <c r="BU606" s="268"/>
      <c r="BV606" s="268"/>
      <c r="BW606" s="268"/>
      <c r="BX606" s="268"/>
      <c r="BY606" s="268"/>
      <c r="BZ606" s="268"/>
      <c r="CA606" s="268"/>
      <c r="CB606" s="268"/>
      <c r="CC606" s="268"/>
      <c r="CD606" s="268"/>
      <c r="CE606" s="268"/>
      <c r="CF606" s="268"/>
      <c r="CG606" s="268"/>
      <c r="CH606" s="268"/>
      <c r="CI606" s="268"/>
      <c r="CJ606" s="268"/>
      <c r="CK606" s="268"/>
      <c r="CL606" s="268"/>
      <c r="CM606" s="268"/>
      <c r="CN606" s="268"/>
      <c r="CO606" s="268"/>
      <c r="CP606" s="268"/>
      <c r="CQ606" s="268"/>
      <c r="CR606" s="268"/>
      <c r="CS606" s="268"/>
      <c r="CT606" s="268"/>
      <c r="CU606" s="268"/>
      <c r="CV606" s="268"/>
      <c r="CW606" s="268"/>
      <c r="CX606" s="268"/>
      <c r="CY606" s="268"/>
      <c r="CZ606" s="268"/>
    </row>
    <row r="607" spans="1:104" hidden="1" outlineLevel="1">
      <c r="A607" s="268"/>
      <c r="B607" s="268"/>
      <c r="C607" s="268" t="s">
        <v>526</v>
      </c>
      <c r="D607" s="268"/>
      <c r="E607" s="268"/>
      <c r="F607" s="268"/>
      <c r="G607" s="268"/>
      <c r="H607" s="268"/>
      <c r="I607" s="268"/>
      <c r="J607" s="271"/>
      <c r="K607" s="268"/>
      <c r="L607" s="268"/>
      <c r="M607" s="268"/>
      <c r="N607" s="268"/>
      <c r="O607" s="271"/>
      <c r="P607" s="268"/>
      <c r="Q607" s="268"/>
      <c r="R607" s="268"/>
      <c r="S607" s="268"/>
      <c r="T607" s="271"/>
      <c r="U607" s="268"/>
      <c r="V607" s="268"/>
      <c r="W607" s="268"/>
      <c r="X607" s="268"/>
      <c r="Y607" s="271"/>
      <c r="Z607" s="268"/>
      <c r="AA607" s="268"/>
      <c r="AB607" s="268"/>
      <c r="AC607" s="268"/>
      <c r="AD607" s="302"/>
      <c r="AE607" s="268"/>
      <c r="AF607" s="268"/>
      <c r="AG607" s="268"/>
      <c r="AH607" s="268"/>
      <c r="AI607" s="1014">
        <v>1</v>
      </c>
      <c r="AJ607" s="1013"/>
      <c r="AK607" s="1013"/>
      <c r="AL607" s="1013"/>
      <c r="AM607" s="1013"/>
      <c r="AN607" s="1014">
        <v>0.65</v>
      </c>
      <c r="AO607" s="1014"/>
      <c r="AP607" s="1014"/>
      <c r="AQ607" s="1014"/>
      <c r="AR607" s="1014"/>
      <c r="AS607" s="1014">
        <v>0.35</v>
      </c>
      <c r="AT607" s="1013"/>
      <c r="AU607" s="1013"/>
      <c r="AV607" s="1013"/>
      <c r="AW607" s="1013"/>
      <c r="AX607" s="1013">
        <v>0.25</v>
      </c>
      <c r="AY607" s="302"/>
      <c r="AZ607" s="302"/>
      <c r="BA607" s="302"/>
      <c r="BB607" s="116"/>
      <c r="BC607" s="116"/>
      <c r="BD607" s="116"/>
      <c r="BE607" s="116"/>
      <c r="BF607" s="116"/>
      <c r="BG607" s="116"/>
      <c r="BH607" s="268"/>
      <c r="BI607" s="268"/>
      <c r="BJ607" s="268"/>
      <c r="BK607" s="268"/>
      <c r="BL607" s="268"/>
      <c r="BM607" s="268"/>
      <c r="BN607" s="268"/>
      <c r="BO607" s="268"/>
      <c r="BP607" s="268"/>
      <c r="BQ607" s="268"/>
      <c r="BR607" s="268"/>
      <c r="BS607" s="268"/>
      <c r="BT607" s="268"/>
      <c r="BU607" s="268"/>
      <c r="BV607" s="268"/>
      <c r="BW607" s="268"/>
      <c r="BX607" s="268"/>
      <c r="BY607" s="268"/>
      <c r="BZ607" s="268"/>
      <c r="CA607" s="268"/>
      <c r="CB607" s="268"/>
      <c r="CC607" s="268"/>
      <c r="CD607" s="268"/>
      <c r="CE607" s="268"/>
      <c r="CF607" s="268"/>
      <c r="CG607" s="268"/>
      <c r="CH607" s="268"/>
      <c r="CI607" s="268"/>
      <c r="CJ607" s="268"/>
      <c r="CK607" s="268"/>
      <c r="CL607" s="268"/>
      <c r="CM607" s="268"/>
      <c r="CN607" s="268"/>
      <c r="CO607" s="268"/>
      <c r="CP607" s="268"/>
      <c r="CQ607" s="268"/>
      <c r="CR607" s="268"/>
      <c r="CS607" s="268"/>
      <c r="CT607" s="268"/>
      <c r="CU607" s="268"/>
      <c r="CV607" s="268"/>
      <c r="CW607" s="268"/>
      <c r="CX607" s="268"/>
      <c r="CY607" s="268"/>
      <c r="CZ607" s="268"/>
    </row>
    <row r="608" spans="1:104" hidden="1" outlineLevel="1">
      <c r="A608" s="268"/>
      <c r="B608" s="268"/>
      <c r="C608" s="268"/>
      <c r="D608" s="268"/>
      <c r="E608" s="268"/>
      <c r="F608" s="268"/>
      <c r="G608" s="268"/>
      <c r="H608" s="268"/>
      <c r="I608" s="268"/>
      <c r="J608" s="271"/>
      <c r="K608" s="268"/>
      <c r="L608" s="268"/>
      <c r="M608" s="268"/>
      <c r="N608" s="268"/>
      <c r="O608" s="271"/>
      <c r="P608" s="268"/>
      <c r="Q608" s="268"/>
      <c r="R608" s="268"/>
      <c r="S608" s="268"/>
      <c r="T608" s="271"/>
      <c r="U608" s="268"/>
      <c r="V608" s="268"/>
      <c r="W608" s="268"/>
      <c r="X608" s="268"/>
      <c r="Y608" s="271"/>
      <c r="Z608" s="268"/>
      <c r="AA608" s="268"/>
      <c r="AB608" s="268"/>
      <c r="AC608" s="268"/>
      <c r="AD608" s="302"/>
      <c r="AE608" s="268"/>
      <c r="AF608" s="268"/>
      <c r="AG608" s="268"/>
      <c r="AH608" s="268"/>
      <c r="AI608" s="302"/>
      <c r="AJ608" s="268"/>
      <c r="AK608" s="268"/>
      <c r="AL608" s="268"/>
      <c r="AM608" s="268"/>
      <c r="AN608" s="302"/>
      <c r="AO608" s="302"/>
      <c r="AP608" s="302"/>
      <c r="AQ608" s="302"/>
      <c r="AR608" s="302"/>
      <c r="AS608" s="1012"/>
      <c r="AT608" s="271"/>
      <c r="AU608" s="271"/>
      <c r="AV608" s="271"/>
      <c r="AW608" s="271"/>
      <c r="AX608" s="271"/>
      <c r="AY608" s="302"/>
      <c r="AZ608" s="302"/>
      <c r="BA608" s="302"/>
      <c r="BB608" s="116"/>
      <c r="BC608" s="116"/>
      <c r="BD608" s="116"/>
      <c r="BE608" s="116"/>
      <c r="BF608" s="116"/>
      <c r="BG608" s="116"/>
      <c r="BH608" s="268"/>
      <c r="BI608" s="268"/>
      <c r="BJ608" s="268"/>
      <c r="BK608" s="268"/>
      <c r="BL608" s="268"/>
      <c r="BM608" s="268"/>
      <c r="BN608" s="268"/>
      <c r="BO608" s="268"/>
      <c r="BP608" s="268"/>
      <c r="BQ608" s="268"/>
      <c r="BR608" s="268"/>
      <c r="BS608" s="268"/>
      <c r="BT608" s="268"/>
      <c r="BU608" s="268"/>
      <c r="BV608" s="268"/>
      <c r="BW608" s="268"/>
      <c r="BX608" s="268"/>
      <c r="BY608" s="268"/>
      <c r="BZ608" s="268"/>
      <c r="CA608" s="268"/>
      <c r="CB608" s="268"/>
      <c r="CC608" s="268"/>
      <c r="CD608" s="268"/>
      <c r="CE608" s="268"/>
      <c r="CF608" s="268"/>
      <c r="CG608" s="268"/>
      <c r="CH608" s="268"/>
      <c r="CI608" s="268"/>
      <c r="CJ608" s="268"/>
      <c r="CK608" s="268"/>
      <c r="CL608" s="268"/>
      <c r="CM608" s="268"/>
      <c r="CN608" s="268"/>
      <c r="CO608" s="268"/>
      <c r="CP608" s="268"/>
      <c r="CQ608" s="268"/>
      <c r="CR608" s="268"/>
      <c r="CS608" s="268"/>
      <c r="CT608" s="268"/>
      <c r="CU608" s="268"/>
      <c r="CV608" s="268"/>
      <c r="CW608" s="268"/>
      <c r="CX608" s="268"/>
      <c r="CY608" s="268"/>
      <c r="CZ608" s="268"/>
    </row>
    <row r="609" spans="1:104" hidden="1" outlineLevel="1">
      <c r="A609" s="264"/>
      <c r="B609" s="264"/>
      <c r="C609" s="1011" t="s">
        <v>525</v>
      </c>
      <c r="D609" s="264"/>
      <c r="E609" s="264"/>
      <c r="F609" s="264"/>
      <c r="G609" s="264"/>
      <c r="H609" s="264"/>
      <c r="I609" s="264"/>
      <c r="J609" s="266"/>
      <c r="K609" s="264"/>
      <c r="L609" s="264"/>
      <c r="M609" s="264"/>
      <c r="N609" s="264"/>
      <c r="O609" s="266"/>
      <c r="P609" s="264"/>
      <c r="Q609" s="264"/>
      <c r="R609" s="264"/>
      <c r="S609" s="264"/>
      <c r="T609" s="266"/>
      <c r="U609" s="264"/>
      <c r="V609" s="264"/>
      <c r="W609" s="264"/>
      <c r="X609" s="264"/>
      <c r="Y609" s="266"/>
      <c r="Z609" s="264"/>
      <c r="AA609" s="264"/>
      <c r="AB609" s="264"/>
      <c r="AC609" s="264"/>
      <c r="AD609" s="1000"/>
      <c r="AE609" s="264"/>
      <c r="AF609" s="264"/>
      <c r="AG609" s="264"/>
      <c r="AH609" s="264"/>
      <c r="AI609" s="1000"/>
      <c r="AJ609" s="264"/>
      <c r="AK609" s="264"/>
      <c r="AL609" s="264"/>
      <c r="AM609" s="264"/>
      <c r="AN609" s="1000"/>
      <c r="AO609" s="1000"/>
      <c r="AP609" s="1000"/>
      <c r="AQ609" s="1000"/>
      <c r="AR609" s="1000"/>
      <c r="AS609" s="266"/>
      <c r="AT609" s="266"/>
      <c r="AU609" s="266"/>
      <c r="AV609" s="266"/>
      <c r="AW609" s="266"/>
      <c r="AX609" s="266"/>
      <c r="AY609" s="266"/>
      <c r="AZ609" s="266"/>
      <c r="BA609" s="266"/>
      <c r="BB609" s="266"/>
      <c r="BC609" s="266"/>
      <c r="BD609" s="266"/>
      <c r="BE609" s="266"/>
      <c r="BF609" s="266"/>
      <c r="BG609" s="266"/>
      <c r="BH609" s="266"/>
      <c r="BI609" s="1000"/>
      <c r="BJ609" s="1000"/>
      <c r="BK609" s="1000"/>
      <c r="BL609" s="1000"/>
      <c r="BM609" s="1000"/>
      <c r="BN609" s="265"/>
      <c r="BO609" s="265"/>
      <c r="BP609" s="265"/>
      <c r="BQ609" s="265"/>
      <c r="BR609" s="265"/>
      <c r="BS609" s="265"/>
      <c r="BT609" s="265"/>
      <c r="BU609" s="265"/>
      <c r="BV609" s="265"/>
      <c r="BW609" s="265"/>
      <c r="BX609" s="265"/>
      <c r="BY609" s="265"/>
      <c r="BZ609" s="265"/>
      <c r="CA609" s="265"/>
      <c r="CB609" s="265"/>
      <c r="CC609" s="265"/>
      <c r="CD609" s="265"/>
      <c r="CE609" s="265"/>
      <c r="CF609" s="265"/>
      <c r="CG609" s="265"/>
      <c r="CH609" s="265"/>
      <c r="CI609" s="265"/>
      <c r="CJ609" s="265"/>
      <c r="CK609" s="265"/>
      <c r="CL609" s="265"/>
      <c r="CM609" s="265"/>
      <c r="CN609" s="265"/>
      <c r="CO609" s="265"/>
      <c r="CP609" s="265"/>
      <c r="CQ609" s="265"/>
      <c r="CR609" s="265"/>
      <c r="CS609" s="265"/>
      <c r="CT609" s="265"/>
      <c r="CU609" s="265"/>
      <c r="CV609" s="265"/>
      <c r="CW609" s="265"/>
      <c r="CX609" s="265"/>
      <c r="CY609" s="265"/>
      <c r="CZ609" s="268"/>
    </row>
    <row r="610" spans="1:104" hidden="1" outlineLevel="1">
      <c r="A610" s="264"/>
      <c r="B610" s="264"/>
      <c r="C610" s="264" t="s">
        <v>524</v>
      </c>
      <c r="D610" s="264"/>
      <c r="E610" s="264"/>
      <c r="F610" s="264"/>
      <c r="G610" s="264"/>
      <c r="H610" s="264"/>
      <c r="I610" s="264"/>
      <c r="J610" s="266"/>
      <c r="K610" s="264"/>
      <c r="L610" s="264"/>
      <c r="M610" s="264"/>
      <c r="N610" s="264"/>
      <c r="O610" s="266"/>
      <c r="P610" s="264"/>
      <c r="Q610" s="264"/>
      <c r="R610" s="264"/>
      <c r="S610" s="264"/>
      <c r="T610" s="266"/>
      <c r="U610" s="264"/>
      <c r="V610" s="264"/>
      <c r="W610" s="264"/>
      <c r="X610" s="264"/>
      <c r="Y610" s="266"/>
      <c r="Z610" s="264"/>
      <c r="AA610" s="264"/>
      <c r="AB610" s="264"/>
      <c r="AC610" s="264"/>
      <c r="AD610" s="1000"/>
      <c r="AE610" s="264"/>
      <c r="AF610" s="264"/>
      <c r="AG610" s="264"/>
      <c r="AH610" s="264"/>
      <c r="AI610" s="1000"/>
      <c r="AJ610" s="264"/>
      <c r="AK610" s="264"/>
      <c r="AL610" s="264"/>
      <c r="AM610" s="264"/>
      <c r="AN610" s="1000"/>
      <c r="AO610" s="1000"/>
      <c r="AP610" s="1000"/>
      <c r="AQ610" s="1000"/>
      <c r="AR610" s="1000"/>
      <c r="AS610" s="266"/>
      <c r="AT610" s="266"/>
      <c r="AU610" s="266"/>
      <c r="AV610" s="266"/>
      <c r="AW610" s="266"/>
      <c r="AX610" s="266"/>
      <c r="AY610" s="266"/>
      <c r="AZ610" s="266"/>
      <c r="BA610" s="266"/>
      <c r="BB610" s="266"/>
      <c r="BC610" s="266"/>
      <c r="BD610" s="266"/>
      <c r="BE610" s="266"/>
      <c r="BF610" s="266"/>
      <c r="BG610" s="266"/>
      <c r="BH610" s="266"/>
      <c r="BI610" s="1000"/>
      <c r="BJ610" s="1000"/>
      <c r="BK610" s="1000"/>
      <c r="BL610" s="1000"/>
      <c r="BM610" s="1000"/>
      <c r="BN610" s="265"/>
      <c r="BO610" s="265"/>
      <c r="BP610" s="265"/>
      <c r="BQ610" s="265"/>
      <c r="BR610" s="265"/>
      <c r="BS610" s="265"/>
      <c r="BT610" s="265"/>
      <c r="BU610" s="265"/>
      <c r="BV610" s="265"/>
      <c r="BW610" s="265"/>
      <c r="BX610" s="265"/>
      <c r="BY610" s="265"/>
      <c r="BZ610" s="265"/>
      <c r="CA610" s="265"/>
      <c r="CB610" s="265"/>
      <c r="CC610" s="265"/>
      <c r="CD610" s="265"/>
      <c r="CE610" s="265"/>
      <c r="CF610" s="265"/>
      <c r="CG610" s="265"/>
      <c r="CH610" s="265"/>
      <c r="CI610" s="265"/>
      <c r="CJ610" s="265"/>
      <c r="CK610" s="265"/>
      <c r="CL610" s="265"/>
      <c r="CM610" s="265"/>
      <c r="CN610" s="265"/>
      <c r="CO610" s="265"/>
      <c r="CP610" s="265"/>
      <c r="CQ610" s="265"/>
      <c r="CR610" s="265"/>
      <c r="CS610" s="265"/>
      <c r="CT610" s="265"/>
      <c r="CU610" s="265"/>
      <c r="CV610" s="265"/>
      <c r="CW610" s="265"/>
      <c r="CX610" s="265"/>
      <c r="CY610" s="265"/>
      <c r="CZ610" s="268"/>
    </row>
    <row r="611" spans="1:104" hidden="1" outlineLevel="1">
      <c r="A611" s="264"/>
      <c r="B611" s="264"/>
      <c r="C611" s="463" t="s">
        <v>523</v>
      </c>
      <c r="D611" s="264"/>
      <c r="E611" s="264"/>
      <c r="F611" s="264"/>
      <c r="G611" s="264"/>
      <c r="H611" s="264"/>
      <c r="I611" s="264"/>
      <c r="J611" s="266"/>
      <c r="K611" s="264"/>
      <c r="L611" s="264"/>
      <c r="M611" s="264"/>
      <c r="N611" s="264"/>
      <c r="O611" s="266"/>
      <c r="P611" s="264"/>
      <c r="Q611" s="264"/>
      <c r="R611" s="264"/>
      <c r="S611" s="264"/>
      <c r="T611" s="266"/>
      <c r="U611" s="264"/>
      <c r="V611" s="264"/>
      <c r="W611" s="264"/>
      <c r="X611" s="264"/>
      <c r="Y611" s="266"/>
      <c r="Z611" s="264"/>
      <c r="AA611" s="264"/>
      <c r="AB611" s="264"/>
      <c r="AC611" s="264"/>
      <c r="AD611" s="1000"/>
      <c r="AE611" s="264"/>
      <c r="AF611" s="264"/>
      <c r="AG611" s="264"/>
      <c r="AH611" s="264"/>
      <c r="AI611" s="1000"/>
      <c r="AJ611" s="264"/>
      <c r="AK611" s="264"/>
      <c r="AL611" s="264"/>
      <c r="AM611" s="264"/>
      <c r="AN611" s="1000"/>
      <c r="AO611" s="1000"/>
      <c r="AP611" s="1000"/>
      <c r="AQ611" s="1000"/>
      <c r="AR611" s="1000"/>
      <c r="AS611" s="266"/>
      <c r="AT611" s="266"/>
      <c r="AU611" s="266"/>
      <c r="AV611" s="266"/>
      <c r="AW611" s="266"/>
      <c r="AX611" s="266"/>
      <c r="AY611" s="266"/>
      <c r="AZ611" s="266"/>
      <c r="BA611" s="266"/>
      <c r="BB611" s="266"/>
      <c r="BC611" s="266"/>
      <c r="BD611" s="266"/>
      <c r="BE611" s="266"/>
      <c r="BF611" s="266"/>
      <c r="BG611" s="266"/>
      <c r="BH611" s="266"/>
      <c r="BI611" s="1000"/>
      <c r="BJ611" s="1000"/>
      <c r="BK611" s="1000"/>
      <c r="BL611" s="1000"/>
      <c r="BM611" s="1000"/>
      <c r="BN611" s="265"/>
      <c r="BO611" s="265"/>
      <c r="BP611" s="265"/>
      <c r="BQ611" s="265"/>
      <c r="BR611" s="265"/>
      <c r="BS611" s="265"/>
      <c r="BT611" s="265"/>
      <c r="BU611" s="265"/>
      <c r="BV611" s="265"/>
      <c r="BW611" s="265"/>
      <c r="BX611" s="265"/>
      <c r="BY611" s="265"/>
      <c r="BZ611" s="265"/>
      <c r="CA611" s="265"/>
      <c r="CB611" s="265"/>
      <c r="CC611" s="265"/>
      <c r="CD611" s="265"/>
      <c r="CE611" s="265"/>
      <c r="CF611" s="265"/>
      <c r="CG611" s="265"/>
      <c r="CH611" s="265"/>
      <c r="CI611" s="265"/>
      <c r="CJ611" s="265"/>
      <c r="CK611" s="265"/>
      <c r="CL611" s="265"/>
      <c r="CM611" s="265"/>
      <c r="CN611" s="265"/>
      <c r="CO611" s="265"/>
      <c r="CP611" s="265"/>
      <c r="CQ611" s="265"/>
      <c r="CR611" s="265"/>
      <c r="CS611" s="265"/>
      <c r="CT611" s="265"/>
      <c r="CU611" s="265"/>
      <c r="CV611" s="265"/>
      <c r="CW611" s="265"/>
      <c r="CX611" s="265"/>
      <c r="CY611" s="265"/>
      <c r="CZ611" s="268"/>
    </row>
    <row r="612" spans="1:104" hidden="1" outlineLevel="1">
      <c r="A612" s="264"/>
      <c r="B612" s="264"/>
      <c r="C612" s="264" t="s">
        <v>522</v>
      </c>
      <c r="D612" s="264"/>
      <c r="E612" s="264"/>
      <c r="F612" s="264"/>
      <c r="G612" s="264"/>
      <c r="H612" s="264"/>
      <c r="I612" s="264"/>
      <c r="J612" s="266"/>
      <c r="K612" s="264"/>
      <c r="L612" s="264"/>
      <c r="M612" s="264"/>
      <c r="N612" s="264"/>
      <c r="O612" s="266"/>
      <c r="P612" s="264"/>
      <c r="Q612" s="264"/>
      <c r="R612" s="264"/>
      <c r="S612" s="264"/>
      <c r="T612" s="266"/>
      <c r="U612" s="264"/>
      <c r="V612" s="264"/>
      <c r="W612" s="264"/>
      <c r="X612" s="264"/>
      <c r="Y612" s="266">
        <v>2.2999999999999998</v>
      </c>
      <c r="Z612" s="264"/>
      <c r="AA612" s="264"/>
      <c r="AB612" s="264"/>
      <c r="AC612" s="264"/>
      <c r="AD612" s="266">
        <v>2.7</v>
      </c>
      <c r="AE612" s="264"/>
      <c r="AF612" s="264"/>
      <c r="AG612" s="264"/>
      <c r="AH612" s="264"/>
      <c r="AI612" s="266">
        <v>3.1</v>
      </c>
      <c r="AJ612" s="264"/>
      <c r="AK612" s="264"/>
      <c r="AL612" s="264"/>
      <c r="AM612" s="264"/>
      <c r="AN612" s="266">
        <v>3.7</v>
      </c>
      <c r="AO612" s="1000"/>
      <c r="AP612" s="1000"/>
      <c r="AQ612" s="1000"/>
      <c r="AR612" s="1000"/>
      <c r="AS612" s="266">
        <v>4.2</v>
      </c>
      <c r="AT612" s="266"/>
      <c r="AU612" s="266"/>
      <c r="AV612" s="266"/>
      <c r="AW612" s="266"/>
      <c r="AX612" s="266" t="s">
        <v>521</v>
      </c>
      <c r="AY612" s="266"/>
      <c r="AZ612" s="266"/>
      <c r="BA612" s="266"/>
      <c r="BB612" s="266"/>
      <c r="BC612" s="266"/>
      <c r="BD612" s="266"/>
      <c r="BE612" s="266"/>
      <c r="BF612" s="266"/>
      <c r="BG612" s="266"/>
      <c r="BH612" s="266"/>
      <c r="BI612" s="1000"/>
      <c r="BJ612" s="1000"/>
      <c r="BK612" s="1000"/>
      <c r="BL612" s="1000"/>
      <c r="BM612" s="1000"/>
      <c r="BN612" s="265"/>
      <c r="BO612" s="265"/>
      <c r="BP612" s="265"/>
      <c r="BQ612" s="265"/>
      <c r="BR612" s="265"/>
      <c r="BS612" s="265"/>
      <c r="BT612" s="265"/>
      <c r="BU612" s="265"/>
      <c r="BV612" s="265"/>
      <c r="BW612" s="265"/>
      <c r="BX612" s="265"/>
      <c r="BY612" s="265"/>
      <c r="BZ612" s="265"/>
      <c r="CA612" s="265"/>
      <c r="CB612" s="265"/>
      <c r="CC612" s="265"/>
      <c r="CD612" s="265"/>
      <c r="CE612" s="265"/>
      <c r="CF612" s="265"/>
      <c r="CG612" s="265"/>
      <c r="CH612" s="265"/>
      <c r="CI612" s="265"/>
      <c r="CJ612" s="265"/>
      <c r="CK612" s="265"/>
      <c r="CL612" s="265"/>
      <c r="CM612" s="265"/>
      <c r="CN612" s="265"/>
      <c r="CO612" s="265"/>
      <c r="CP612" s="265"/>
      <c r="CQ612" s="265"/>
      <c r="CR612" s="265"/>
      <c r="CS612" s="265"/>
      <c r="CT612" s="265"/>
      <c r="CU612" s="265"/>
      <c r="CV612" s="265"/>
      <c r="CW612" s="265"/>
      <c r="CX612" s="265"/>
      <c r="CY612" s="265"/>
      <c r="CZ612" s="268"/>
    </row>
    <row r="613" spans="1:104" hidden="1" outlineLevel="1">
      <c r="A613" s="264"/>
      <c r="B613" s="264"/>
      <c r="C613" s="264"/>
      <c r="D613" s="264"/>
      <c r="E613" s="264"/>
      <c r="F613" s="264"/>
      <c r="G613" s="264"/>
      <c r="H613" s="264"/>
      <c r="I613" s="264"/>
      <c r="J613" s="266"/>
      <c r="K613" s="264"/>
      <c r="L613" s="264"/>
      <c r="M613" s="264"/>
      <c r="N613" s="264"/>
      <c r="O613" s="266"/>
      <c r="P613" s="264"/>
      <c r="Q613" s="264"/>
      <c r="R613" s="264"/>
      <c r="S613" s="264"/>
      <c r="T613" s="266"/>
      <c r="U613" s="264"/>
      <c r="V613" s="264"/>
      <c r="W613" s="264"/>
      <c r="X613" s="264"/>
      <c r="Y613" s="266"/>
      <c r="Z613" s="264"/>
      <c r="AA613" s="264"/>
      <c r="AB613" s="264"/>
      <c r="AC613" s="264"/>
      <c r="AD613" s="266"/>
      <c r="AE613" s="264"/>
      <c r="AF613" s="264"/>
      <c r="AG613" s="264"/>
      <c r="AH613" s="264"/>
      <c r="AI613" s="266"/>
      <c r="AJ613" s="264"/>
      <c r="AK613" s="264"/>
      <c r="AL613" s="264"/>
      <c r="AM613" s="264"/>
      <c r="AN613" s="266"/>
      <c r="AO613" s="1000"/>
      <c r="AP613" s="1000"/>
      <c r="AQ613" s="1000"/>
      <c r="AR613" s="1000"/>
      <c r="AS613" s="266"/>
      <c r="AT613" s="266"/>
      <c r="AU613" s="266"/>
      <c r="AV613" s="266"/>
      <c r="AW613" s="266"/>
      <c r="AX613" s="266"/>
      <c r="AY613" s="266"/>
      <c r="AZ613" s="266"/>
      <c r="BA613" s="266"/>
      <c r="BB613" s="266"/>
      <c r="BC613" s="266"/>
      <c r="BD613" s="266"/>
      <c r="BE613" s="266"/>
      <c r="BF613" s="266"/>
      <c r="BG613" s="266"/>
      <c r="BH613" s="266"/>
      <c r="BI613" s="1000"/>
      <c r="BJ613" s="1000"/>
      <c r="BK613" s="1000"/>
      <c r="BL613" s="1000"/>
      <c r="BM613" s="1000"/>
      <c r="BN613" s="265"/>
      <c r="BO613" s="265"/>
      <c r="BP613" s="265"/>
      <c r="BQ613" s="265"/>
      <c r="BR613" s="265"/>
      <c r="BS613" s="265"/>
      <c r="BT613" s="265"/>
      <c r="BU613" s="265"/>
      <c r="BV613" s="265"/>
      <c r="BW613" s="265"/>
      <c r="BX613" s="265"/>
      <c r="BY613" s="265"/>
      <c r="BZ613" s="265"/>
      <c r="CA613" s="265"/>
      <c r="CB613" s="265"/>
      <c r="CC613" s="265"/>
      <c r="CD613" s="265"/>
      <c r="CE613" s="265"/>
      <c r="CF613" s="265"/>
      <c r="CG613" s="265"/>
      <c r="CH613" s="265"/>
      <c r="CI613" s="265"/>
      <c r="CJ613" s="265"/>
      <c r="CK613" s="265"/>
      <c r="CL613" s="265"/>
      <c r="CM613" s="265"/>
      <c r="CN613" s="265"/>
      <c r="CO613" s="265"/>
      <c r="CP613" s="265"/>
      <c r="CQ613" s="265"/>
      <c r="CR613" s="265"/>
      <c r="CS613" s="265"/>
      <c r="CT613" s="265"/>
      <c r="CU613" s="265"/>
      <c r="CV613" s="265"/>
      <c r="CW613" s="265"/>
      <c r="CX613" s="265"/>
      <c r="CY613" s="265"/>
      <c r="CZ613" s="268"/>
    </row>
    <row r="614" spans="1:104" hidden="1" outlineLevel="1">
      <c r="A614" s="264"/>
      <c r="B614" s="264"/>
      <c r="C614" s="1004" t="s">
        <v>520</v>
      </c>
      <c r="D614" s="264"/>
      <c r="E614" s="264"/>
      <c r="F614" s="264"/>
      <c r="G614" s="264"/>
      <c r="H614" s="264"/>
      <c r="I614" s="264"/>
      <c r="J614" s="266"/>
      <c r="K614" s="264"/>
      <c r="L614" s="264"/>
      <c r="M614" s="264"/>
      <c r="N614" s="264"/>
      <c r="O614" s="266"/>
      <c r="P614" s="264"/>
      <c r="Q614" s="264"/>
      <c r="R614" s="264"/>
      <c r="S614" s="264"/>
      <c r="T614" s="266"/>
      <c r="U614" s="264"/>
      <c r="V614" s="264"/>
      <c r="W614" s="264"/>
      <c r="X614" s="264"/>
      <c r="Y614" s="266"/>
      <c r="Z614" s="264"/>
      <c r="AA614" s="264"/>
      <c r="AB614" s="264"/>
      <c r="AC614" s="264"/>
      <c r="AD614" s="266"/>
      <c r="AE614" s="264"/>
      <c r="AF614" s="264"/>
      <c r="AG614" s="264"/>
      <c r="AH614" s="264"/>
      <c r="AI614" s="266"/>
      <c r="AJ614" s="264"/>
      <c r="AK614" s="264"/>
      <c r="AL614" s="264"/>
      <c r="AM614" s="264"/>
      <c r="AN614" s="266"/>
      <c r="AO614" s="1000"/>
      <c r="AP614" s="1000"/>
      <c r="AQ614" s="1000"/>
      <c r="AR614" s="1000"/>
      <c r="AS614" s="268"/>
      <c r="AT614" s="266"/>
      <c r="AU614" s="266"/>
      <c r="AV614" s="266"/>
      <c r="AW614" s="266"/>
      <c r="AX614" s="266"/>
      <c r="AY614" s="266"/>
      <c r="AZ614" s="266"/>
      <c r="BA614" s="266"/>
      <c r="BB614" s="266"/>
      <c r="BC614" s="266"/>
      <c r="BD614" s="266"/>
      <c r="BE614" s="266"/>
      <c r="BF614" s="266"/>
      <c r="BG614" s="266"/>
      <c r="BH614" s="266"/>
      <c r="BI614" s="1000"/>
      <c r="BJ614" s="1000"/>
      <c r="BK614" s="1000"/>
      <c r="BL614" s="1000"/>
      <c r="BM614" s="1000"/>
      <c r="BN614" s="265"/>
      <c r="BO614" s="265"/>
      <c r="BP614" s="265"/>
      <c r="BQ614" s="265"/>
      <c r="BR614" s="265"/>
      <c r="BS614" s="265"/>
      <c r="BT614" s="265"/>
      <c r="BU614" s="265"/>
      <c r="BV614" s="265"/>
      <c r="BW614" s="265"/>
      <c r="BX614" s="265"/>
      <c r="BY614" s="265"/>
      <c r="BZ614" s="265"/>
      <c r="CA614" s="265"/>
      <c r="CB614" s="265"/>
      <c r="CC614" s="265"/>
      <c r="CD614" s="265"/>
      <c r="CE614" s="265"/>
      <c r="CF614" s="265"/>
      <c r="CG614" s="265"/>
      <c r="CH614" s="265"/>
      <c r="CI614" s="265"/>
      <c r="CJ614" s="265"/>
      <c r="CK614" s="265"/>
      <c r="CL614" s="265"/>
      <c r="CM614" s="265"/>
      <c r="CN614" s="265"/>
      <c r="CO614" s="265"/>
      <c r="CP614" s="265"/>
      <c r="CQ614" s="265"/>
      <c r="CR614" s="265"/>
      <c r="CS614" s="265"/>
      <c r="CT614" s="265"/>
      <c r="CU614" s="265"/>
      <c r="CV614" s="265"/>
      <c r="CW614" s="265"/>
      <c r="CX614" s="265"/>
      <c r="CY614" s="265"/>
      <c r="CZ614" s="268"/>
    </row>
    <row r="615" spans="1:104" hidden="1" outlineLevel="1">
      <c r="A615" s="264"/>
      <c r="B615" s="264"/>
      <c r="C615" s="1010" t="s">
        <v>519</v>
      </c>
      <c r="D615" s="264"/>
      <c r="E615" s="264"/>
      <c r="F615" s="264"/>
      <c r="G615" s="264"/>
      <c r="H615" s="264"/>
      <c r="I615" s="264"/>
      <c r="J615" s="266"/>
      <c r="K615" s="264"/>
      <c r="L615" s="264"/>
      <c r="M615" s="264"/>
      <c r="N615" s="264"/>
      <c r="O615" s="266"/>
      <c r="P615" s="264"/>
      <c r="Q615" s="264"/>
      <c r="R615" s="264"/>
      <c r="S615" s="264"/>
      <c r="T615" s="266"/>
      <c r="U615" s="264"/>
      <c r="V615" s="264"/>
      <c r="W615" s="264"/>
      <c r="X615" s="264"/>
      <c r="Y615" s="266"/>
      <c r="Z615" s="264"/>
      <c r="AA615" s="264"/>
      <c r="AB615" s="264"/>
      <c r="AC615" s="264"/>
      <c r="AD615" s="266"/>
      <c r="AE615" s="264"/>
      <c r="AF615" s="264"/>
      <c r="AG615" s="264"/>
      <c r="AH615" s="264"/>
      <c r="AI615" s="266"/>
      <c r="AJ615" s="264"/>
      <c r="AK615" s="264"/>
      <c r="AL615" s="264"/>
      <c r="AM615" s="264"/>
      <c r="AN615" s="266"/>
      <c r="AO615" s="1000"/>
      <c r="AP615" s="1000"/>
      <c r="AQ615" s="1000"/>
      <c r="AR615" s="1000"/>
      <c r="AS615" s="1009">
        <v>0.108</v>
      </c>
      <c r="AT615" s="266"/>
      <c r="AU615" s="266"/>
      <c r="AV615" s="266"/>
      <c r="AW615" s="266"/>
      <c r="AX615" s="266"/>
      <c r="AY615" s="266"/>
      <c r="AZ615" s="266"/>
      <c r="BA615" s="266"/>
      <c r="BB615" s="266"/>
      <c r="BC615" s="266"/>
      <c r="BD615" s="266"/>
      <c r="BE615" s="266"/>
      <c r="BF615" s="266"/>
      <c r="BG615" s="266"/>
      <c r="BH615" s="266"/>
      <c r="BI615" s="1000"/>
      <c r="BJ615" s="1000"/>
      <c r="BK615" s="1000"/>
      <c r="BL615" s="1000"/>
      <c r="BM615" s="1000"/>
      <c r="BN615" s="265"/>
      <c r="BO615" s="265"/>
      <c r="BP615" s="265"/>
      <c r="BQ615" s="265"/>
      <c r="BR615" s="265"/>
      <c r="BS615" s="265"/>
      <c r="BT615" s="265"/>
      <c r="BU615" s="265"/>
      <c r="BV615" s="265"/>
      <c r="BW615" s="265"/>
      <c r="BX615" s="265"/>
      <c r="BY615" s="265"/>
      <c r="BZ615" s="265"/>
      <c r="CA615" s="265"/>
      <c r="CB615" s="265"/>
      <c r="CC615" s="265"/>
      <c r="CD615" s="265"/>
      <c r="CE615" s="265"/>
      <c r="CF615" s="265"/>
      <c r="CG615" s="265"/>
      <c r="CH615" s="265"/>
      <c r="CI615" s="265"/>
      <c r="CJ615" s="265"/>
      <c r="CK615" s="265"/>
      <c r="CL615" s="265"/>
      <c r="CM615" s="265"/>
      <c r="CN615" s="265"/>
      <c r="CO615" s="265"/>
      <c r="CP615" s="265"/>
      <c r="CQ615" s="265"/>
      <c r="CR615" s="265"/>
      <c r="CS615" s="265"/>
      <c r="CT615" s="265"/>
      <c r="CU615" s="265"/>
      <c r="CV615" s="265"/>
      <c r="CW615" s="265"/>
      <c r="CX615" s="265"/>
      <c r="CY615" s="265"/>
      <c r="CZ615" s="268"/>
    </row>
    <row r="616" spans="1:104" hidden="1" outlineLevel="1">
      <c r="A616" s="264"/>
      <c r="B616" s="264"/>
      <c r="C616" s="1004" t="s">
        <v>518</v>
      </c>
      <c r="D616" s="264"/>
      <c r="E616" s="264"/>
      <c r="F616" s="264"/>
      <c r="G616" s="264"/>
      <c r="H616" s="264"/>
      <c r="I616" s="264"/>
      <c r="J616" s="266"/>
      <c r="K616" s="264"/>
      <c r="L616" s="264"/>
      <c r="M616" s="264"/>
      <c r="N616" s="264"/>
      <c r="O616" s="266"/>
      <c r="P616" s="264"/>
      <c r="Q616" s="264"/>
      <c r="R616" s="264"/>
      <c r="S616" s="264"/>
      <c r="T616" s="266"/>
      <c r="U616" s="264"/>
      <c r="V616" s="264"/>
      <c r="W616" s="264"/>
      <c r="X616" s="264"/>
      <c r="Y616" s="266"/>
      <c r="Z616" s="264"/>
      <c r="AA616" s="264"/>
      <c r="AB616" s="264"/>
      <c r="AC616" s="264"/>
      <c r="AD616" s="266"/>
      <c r="AE616" s="264"/>
      <c r="AF616" s="264"/>
      <c r="AG616" s="264"/>
      <c r="AH616" s="264"/>
      <c r="AI616" s="266"/>
      <c r="AJ616" s="264"/>
      <c r="AK616" s="264"/>
      <c r="AL616" s="264"/>
      <c r="AM616" s="264"/>
      <c r="AN616" s="266"/>
      <c r="AO616" s="1000"/>
      <c r="AP616" s="1000"/>
      <c r="AQ616" s="1000"/>
      <c r="AR616" s="1000"/>
      <c r="AS616" s="268"/>
      <c r="AT616" s="266"/>
      <c r="AU616" s="266"/>
      <c r="AV616" s="266"/>
      <c r="AW616" s="266"/>
      <c r="AX616" s="266"/>
      <c r="AY616" s="266"/>
      <c r="AZ616" s="266"/>
      <c r="BA616" s="266"/>
      <c r="BB616" s="266"/>
      <c r="BC616" s="266"/>
      <c r="BD616" s="266"/>
      <c r="BE616" s="266"/>
      <c r="BF616" s="266"/>
      <c r="BG616" s="266"/>
      <c r="BH616" s="266"/>
      <c r="BI616" s="1000"/>
      <c r="BJ616" s="1000"/>
      <c r="BK616" s="1000"/>
      <c r="BL616" s="1000"/>
      <c r="BM616" s="1000"/>
      <c r="BN616" s="265"/>
      <c r="BO616" s="265"/>
      <c r="BP616" s="265"/>
      <c r="BQ616" s="265"/>
      <c r="BR616" s="265"/>
      <c r="BS616" s="265"/>
      <c r="BT616" s="265"/>
      <c r="BU616" s="265"/>
      <c r="BV616" s="265"/>
      <c r="BW616" s="265"/>
      <c r="BX616" s="265"/>
      <c r="BY616" s="265"/>
      <c r="BZ616" s="265"/>
      <c r="CA616" s="265"/>
      <c r="CB616" s="265"/>
      <c r="CC616" s="265"/>
      <c r="CD616" s="265"/>
      <c r="CE616" s="265"/>
      <c r="CF616" s="265"/>
      <c r="CG616" s="265"/>
      <c r="CH616" s="265"/>
      <c r="CI616" s="265"/>
      <c r="CJ616" s="265"/>
      <c r="CK616" s="265"/>
      <c r="CL616" s="265"/>
      <c r="CM616" s="265"/>
      <c r="CN616" s="265"/>
      <c r="CO616" s="265"/>
      <c r="CP616" s="265"/>
      <c r="CQ616" s="265"/>
      <c r="CR616" s="265"/>
      <c r="CS616" s="265"/>
      <c r="CT616" s="265"/>
      <c r="CU616" s="265"/>
      <c r="CV616" s="265"/>
      <c r="CW616" s="265"/>
      <c r="CX616" s="265"/>
      <c r="CY616" s="265"/>
      <c r="CZ616" s="268"/>
    </row>
    <row r="617" spans="1:104" hidden="1" outlineLevel="1">
      <c r="A617" s="264"/>
      <c r="B617" s="264"/>
      <c r="C617" s="1008" t="s">
        <v>513</v>
      </c>
      <c r="D617" s="264"/>
      <c r="E617" s="264"/>
      <c r="F617" s="264"/>
      <c r="G617" s="264"/>
      <c r="H617" s="264"/>
      <c r="I617" s="264"/>
      <c r="J617" s="266"/>
      <c r="K617" s="264"/>
      <c r="L617" s="264"/>
      <c r="M617" s="264"/>
      <c r="N617" s="264"/>
      <c r="O617" s="266"/>
      <c r="P617" s="264"/>
      <c r="Q617" s="264"/>
      <c r="R617" s="264"/>
      <c r="S617" s="264"/>
      <c r="T617" s="266"/>
      <c r="U617" s="264"/>
      <c r="V617" s="264"/>
      <c r="W617" s="264"/>
      <c r="X617" s="264"/>
      <c r="Y617" s="266"/>
      <c r="Z617" s="264"/>
      <c r="AA617" s="264"/>
      <c r="AB617" s="264"/>
      <c r="AC617" s="264"/>
      <c r="AD617" s="266"/>
      <c r="AE617" s="264"/>
      <c r="AF617" s="264"/>
      <c r="AG617" s="264"/>
      <c r="AH617" s="264"/>
      <c r="AI617" s="266"/>
      <c r="AJ617" s="264"/>
      <c r="AK617" s="264"/>
      <c r="AL617" s="264"/>
      <c r="AM617" s="264"/>
      <c r="AN617" s="266"/>
      <c r="AO617" s="1000"/>
      <c r="AP617" s="1000"/>
      <c r="AQ617" s="1000"/>
      <c r="AR617" s="1000"/>
      <c r="AS617" s="1007" t="s">
        <v>517</v>
      </c>
      <c r="AT617" s="266"/>
      <c r="AU617" s="266"/>
      <c r="AV617" s="266"/>
      <c r="AW617" s="266"/>
      <c r="AX617" s="266"/>
      <c r="AY617" s="266"/>
      <c r="AZ617" s="266"/>
      <c r="BA617" s="266"/>
      <c r="BB617" s="266"/>
      <c r="BC617" s="266"/>
      <c r="BD617" s="266"/>
      <c r="BE617" s="266"/>
      <c r="BF617" s="266"/>
      <c r="BG617" s="266"/>
      <c r="BH617" s="266"/>
      <c r="BI617" s="1000"/>
      <c r="BJ617" s="1000"/>
      <c r="BK617" s="1000"/>
      <c r="BL617" s="1000"/>
      <c r="BM617" s="1000"/>
      <c r="BN617" s="265"/>
      <c r="BO617" s="265"/>
      <c r="BP617" s="265"/>
      <c r="BQ617" s="265"/>
      <c r="BR617" s="265"/>
      <c r="BS617" s="265"/>
      <c r="BT617" s="265"/>
      <c r="BU617" s="265"/>
      <c r="BV617" s="265"/>
      <c r="BW617" s="265"/>
      <c r="BX617" s="265"/>
      <c r="BY617" s="265"/>
      <c r="BZ617" s="265"/>
      <c r="CA617" s="265"/>
      <c r="CB617" s="265"/>
      <c r="CC617" s="265"/>
      <c r="CD617" s="265"/>
      <c r="CE617" s="265"/>
      <c r="CF617" s="265"/>
      <c r="CG617" s="265"/>
      <c r="CH617" s="265"/>
      <c r="CI617" s="265"/>
      <c r="CJ617" s="265"/>
      <c r="CK617" s="265"/>
      <c r="CL617" s="265"/>
      <c r="CM617" s="265"/>
      <c r="CN617" s="265"/>
      <c r="CO617" s="265"/>
      <c r="CP617" s="265"/>
      <c r="CQ617" s="265"/>
      <c r="CR617" s="265"/>
      <c r="CS617" s="265"/>
      <c r="CT617" s="265"/>
      <c r="CU617" s="265"/>
      <c r="CV617" s="265"/>
      <c r="CW617" s="265"/>
      <c r="CX617" s="265"/>
      <c r="CY617" s="265"/>
      <c r="CZ617" s="268"/>
    </row>
    <row r="618" spans="1:104" hidden="1" outlineLevel="1">
      <c r="A618" s="264"/>
      <c r="B618" s="264"/>
      <c r="C618" s="1003" t="s">
        <v>167</v>
      </c>
      <c r="D618" s="264"/>
      <c r="E618" s="264"/>
      <c r="F618" s="264"/>
      <c r="G618" s="264"/>
      <c r="H618" s="264"/>
      <c r="I618" s="264"/>
      <c r="J618" s="266"/>
      <c r="K618" s="264"/>
      <c r="L618" s="264"/>
      <c r="M618" s="264"/>
      <c r="N618" s="264"/>
      <c r="O618" s="266"/>
      <c r="P618" s="264"/>
      <c r="Q618" s="264"/>
      <c r="R618" s="264"/>
      <c r="S618" s="264"/>
      <c r="T618" s="266"/>
      <c r="U618" s="264"/>
      <c r="V618" s="264"/>
      <c r="W618" s="264"/>
      <c r="X618" s="264"/>
      <c r="Y618" s="266"/>
      <c r="Z618" s="264"/>
      <c r="AA618" s="264"/>
      <c r="AB618" s="264"/>
      <c r="AC618" s="264"/>
      <c r="AD618" s="266"/>
      <c r="AE618" s="264"/>
      <c r="AF618" s="264"/>
      <c r="AG618" s="264"/>
      <c r="AH618" s="264"/>
      <c r="AI618" s="266"/>
      <c r="AJ618" s="264"/>
      <c r="AK618" s="264"/>
      <c r="AL618" s="264"/>
      <c r="AM618" s="264"/>
      <c r="AN618" s="266"/>
      <c r="AO618" s="1000"/>
      <c r="AP618" s="1000"/>
      <c r="AQ618" s="1000"/>
      <c r="AR618" s="1000"/>
      <c r="AS618" s="1006">
        <v>6.8</v>
      </c>
      <c r="AT618" s="266"/>
      <c r="AU618" s="266"/>
      <c r="AV618" s="266"/>
      <c r="AW618" s="266"/>
      <c r="AX618" s="266"/>
      <c r="AY618" s="266"/>
      <c r="AZ618" s="266"/>
      <c r="BA618" s="266"/>
      <c r="BB618" s="266"/>
      <c r="BC618" s="266"/>
      <c r="BD618" s="266"/>
      <c r="BE618" s="266"/>
      <c r="BF618" s="266"/>
      <c r="BG618" s="266"/>
      <c r="BH618" s="266"/>
      <c r="BI618" s="1000"/>
      <c r="BJ618" s="1000"/>
      <c r="BK618" s="1000"/>
      <c r="BL618" s="1000"/>
      <c r="BM618" s="1000"/>
      <c r="BN618" s="265"/>
      <c r="BO618" s="265"/>
      <c r="BP618" s="265"/>
      <c r="BQ618" s="265"/>
      <c r="BR618" s="265"/>
      <c r="BS618" s="265"/>
      <c r="BT618" s="265"/>
      <c r="BU618" s="265"/>
      <c r="BV618" s="265"/>
      <c r="BW618" s="265"/>
      <c r="BX618" s="265"/>
      <c r="BY618" s="265"/>
      <c r="BZ618" s="265"/>
      <c r="CA618" s="265"/>
      <c r="CB618" s="265"/>
      <c r="CC618" s="265"/>
      <c r="CD618" s="265"/>
      <c r="CE618" s="265"/>
      <c r="CF618" s="265"/>
      <c r="CG618" s="265"/>
      <c r="CH618" s="265"/>
      <c r="CI618" s="265"/>
      <c r="CJ618" s="265"/>
      <c r="CK618" s="265"/>
      <c r="CL618" s="265"/>
      <c r="CM618" s="265"/>
      <c r="CN618" s="265"/>
      <c r="CO618" s="265"/>
      <c r="CP618" s="265"/>
      <c r="CQ618" s="265"/>
      <c r="CR618" s="265"/>
      <c r="CS618" s="265"/>
      <c r="CT618" s="265"/>
      <c r="CU618" s="265"/>
      <c r="CV618" s="265"/>
      <c r="CW618" s="265"/>
      <c r="CX618" s="265"/>
      <c r="CY618" s="265"/>
      <c r="CZ618" s="268"/>
    </row>
    <row r="619" spans="1:104" hidden="1" outlineLevel="1">
      <c r="A619" s="264"/>
      <c r="B619" s="264"/>
      <c r="C619" s="1003" t="s">
        <v>309</v>
      </c>
      <c r="D619" s="264"/>
      <c r="E619" s="264"/>
      <c r="F619" s="264"/>
      <c r="G619" s="264"/>
      <c r="H619" s="264"/>
      <c r="I619" s="264"/>
      <c r="J619" s="266"/>
      <c r="K619" s="264"/>
      <c r="L619" s="264"/>
      <c r="M619" s="264"/>
      <c r="N619" s="264"/>
      <c r="O619" s="266"/>
      <c r="P619" s="264"/>
      <c r="Q619" s="264"/>
      <c r="R619" s="264"/>
      <c r="S619" s="264"/>
      <c r="T619" s="266"/>
      <c r="U619" s="264"/>
      <c r="V619" s="264"/>
      <c r="W619" s="264"/>
      <c r="X619" s="264"/>
      <c r="Y619" s="266"/>
      <c r="Z619" s="264"/>
      <c r="AA619" s="264"/>
      <c r="AB619" s="264"/>
      <c r="AC619" s="264"/>
      <c r="AD619" s="266"/>
      <c r="AE619" s="264"/>
      <c r="AF619" s="264"/>
      <c r="AG619" s="264"/>
      <c r="AH619" s="264"/>
      <c r="AI619" s="266"/>
      <c r="AJ619" s="264"/>
      <c r="AK619" s="264"/>
      <c r="AL619" s="264"/>
      <c r="AM619" s="264"/>
      <c r="AN619" s="266"/>
      <c r="AO619" s="1000"/>
      <c r="AP619" s="1000"/>
      <c r="AQ619" s="1000"/>
      <c r="AR619" s="1000"/>
      <c r="AS619" s="1006">
        <v>6.2</v>
      </c>
      <c r="AT619" s="266"/>
      <c r="AU619" s="266"/>
      <c r="AV619" s="266"/>
      <c r="AW619" s="266"/>
      <c r="AX619" s="266"/>
      <c r="AY619" s="266"/>
      <c r="AZ619" s="266"/>
      <c r="BA619" s="266"/>
      <c r="BB619" s="266"/>
      <c r="BC619" s="266"/>
      <c r="BD619" s="266"/>
      <c r="BE619" s="266"/>
      <c r="BF619" s="266"/>
      <c r="BG619" s="266"/>
      <c r="BH619" s="266"/>
      <c r="BI619" s="1000"/>
      <c r="BJ619" s="1000"/>
      <c r="BK619" s="1000"/>
      <c r="BL619" s="1000"/>
      <c r="BM619" s="1000"/>
      <c r="BN619" s="265"/>
      <c r="BO619" s="265"/>
      <c r="BP619" s="265"/>
      <c r="BQ619" s="265"/>
      <c r="BR619" s="265"/>
      <c r="BS619" s="265"/>
      <c r="BT619" s="265"/>
      <c r="BU619" s="265"/>
      <c r="BV619" s="265"/>
      <c r="BW619" s="265"/>
      <c r="BX619" s="265"/>
      <c r="BY619" s="265"/>
      <c r="BZ619" s="265"/>
      <c r="CA619" s="265"/>
      <c r="CB619" s="265"/>
      <c r="CC619" s="265"/>
      <c r="CD619" s="265"/>
      <c r="CE619" s="265"/>
      <c r="CF619" s="265"/>
      <c r="CG619" s="265"/>
      <c r="CH619" s="265"/>
      <c r="CI619" s="265"/>
      <c r="CJ619" s="265"/>
      <c r="CK619" s="265"/>
      <c r="CL619" s="265"/>
      <c r="CM619" s="265"/>
      <c r="CN619" s="265"/>
      <c r="CO619" s="265"/>
      <c r="CP619" s="265"/>
      <c r="CQ619" s="265"/>
      <c r="CR619" s="265"/>
      <c r="CS619" s="265"/>
      <c r="CT619" s="265"/>
      <c r="CU619" s="265"/>
      <c r="CV619" s="265"/>
      <c r="CW619" s="265"/>
      <c r="CX619" s="265"/>
      <c r="CY619" s="265"/>
      <c r="CZ619" s="268"/>
    </row>
    <row r="620" spans="1:104" hidden="1" outlineLevel="1">
      <c r="A620" s="264"/>
      <c r="B620" s="264"/>
      <c r="C620" s="1003" t="s">
        <v>165</v>
      </c>
      <c r="D620" s="264"/>
      <c r="E620" s="264"/>
      <c r="F620" s="264"/>
      <c r="G620" s="264"/>
      <c r="H620" s="264"/>
      <c r="I620" s="264"/>
      <c r="J620" s="266"/>
      <c r="K620" s="264"/>
      <c r="L620" s="264"/>
      <c r="M620" s="264"/>
      <c r="N620" s="264"/>
      <c r="O620" s="266"/>
      <c r="P620" s="264"/>
      <c r="Q620" s="264"/>
      <c r="R620" s="264"/>
      <c r="S620" s="264"/>
      <c r="T620" s="266"/>
      <c r="U620" s="264"/>
      <c r="V620" s="264"/>
      <c r="W620" s="264"/>
      <c r="X620" s="264"/>
      <c r="Y620" s="266"/>
      <c r="Z620" s="264"/>
      <c r="AA620" s="264"/>
      <c r="AB620" s="264"/>
      <c r="AC620" s="264"/>
      <c r="AD620" s="266"/>
      <c r="AE620" s="264"/>
      <c r="AF620" s="264"/>
      <c r="AG620" s="264"/>
      <c r="AH620" s="264"/>
      <c r="AI620" s="266"/>
      <c r="AJ620" s="264"/>
      <c r="AK620" s="264"/>
      <c r="AL620" s="264"/>
      <c r="AM620" s="264"/>
      <c r="AN620" s="266"/>
      <c r="AO620" s="1000"/>
      <c r="AP620" s="1000"/>
      <c r="AQ620" s="1000"/>
      <c r="AR620" s="1000"/>
      <c r="AS620" s="1006">
        <v>10.9</v>
      </c>
      <c r="AT620" s="266"/>
      <c r="AU620" s="266"/>
      <c r="AV620" s="266"/>
      <c r="AW620" s="266"/>
      <c r="AX620" s="266"/>
      <c r="AY620" s="266"/>
      <c r="AZ620" s="266"/>
      <c r="BA620" s="266"/>
      <c r="BB620" s="266"/>
      <c r="BC620" s="266"/>
      <c r="BD620" s="266"/>
      <c r="BE620" s="266"/>
      <c r="BF620" s="266"/>
      <c r="BG620" s="266"/>
      <c r="BH620" s="266"/>
      <c r="BI620" s="1000"/>
      <c r="BJ620" s="1000"/>
      <c r="BK620" s="1000"/>
      <c r="BL620" s="1000"/>
      <c r="BM620" s="1000"/>
      <c r="BN620" s="265"/>
      <c r="BO620" s="265"/>
      <c r="BP620" s="265"/>
      <c r="BQ620" s="265"/>
      <c r="BR620" s="265"/>
      <c r="BS620" s="265"/>
      <c r="BT620" s="265"/>
      <c r="BU620" s="265"/>
      <c r="BV620" s="265"/>
      <c r="BW620" s="265"/>
      <c r="BX620" s="265"/>
      <c r="BY620" s="265"/>
      <c r="BZ620" s="265"/>
      <c r="CA620" s="265"/>
      <c r="CB620" s="265"/>
      <c r="CC620" s="265"/>
      <c r="CD620" s="265"/>
      <c r="CE620" s="265"/>
      <c r="CF620" s="265"/>
      <c r="CG620" s="265"/>
      <c r="CH620" s="265"/>
      <c r="CI620" s="265"/>
      <c r="CJ620" s="265"/>
      <c r="CK620" s="265"/>
      <c r="CL620" s="265"/>
      <c r="CM620" s="265"/>
      <c r="CN620" s="265"/>
      <c r="CO620" s="265"/>
      <c r="CP620" s="265"/>
      <c r="CQ620" s="265"/>
      <c r="CR620" s="265"/>
      <c r="CS620" s="265"/>
      <c r="CT620" s="265"/>
      <c r="CU620" s="265"/>
      <c r="CV620" s="265"/>
      <c r="CW620" s="265"/>
      <c r="CX620" s="265"/>
      <c r="CY620" s="265"/>
      <c r="CZ620" s="268"/>
    </row>
    <row r="621" spans="1:104" hidden="1" outlineLevel="1">
      <c r="A621" s="264"/>
      <c r="B621" s="264"/>
      <c r="C621" s="1003" t="s">
        <v>306</v>
      </c>
      <c r="D621" s="264"/>
      <c r="E621" s="264"/>
      <c r="F621" s="264"/>
      <c r="G621" s="264"/>
      <c r="H621" s="264"/>
      <c r="I621" s="264"/>
      <c r="J621" s="266"/>
      <c r="K621" s="264"/>
      <c r="L621" s="264"/>
      <c r="M621" s="264"/>
      <c r="N621" s="264"/>
      <c r="O621" s="266"/>
      <c r="P621" s="264"/>
      <c r="Q621" s="264"/>
      <c r="R621" s="264"/>
      <c r="S621" s="264"/>
      <c r="T621" s="266"/>
      <c r="U621" s="264"/>
      <c r="V621" s="264"/>
      <c r="W621" s="264"/>
      <c r="X621" s="264"/>
      <c r="Y621" s="266"/>
      <c r="Z621" s="264"/>
      <c r="AA621" s="264"/>
      <c r="AB621" s="264"/>
      <c r="AC621" s="264"/>
      <c r="AD621" s="266"/>
      <c r="AE621" s="264"/>
      <c r="AF621" s="264"/>
      <c r="AG621" s="264"/>
      <c r="AH621" s="264"/>
      <c r="AI621" s="266"/>
      <c r="AJ621" s="264"/>
      <c r="AK621" s="264"/>
      <c r="AL621" s="264"/>
      <c r="AM621" s="264"/>
      <c r="AN621" s="266"/>
      <c r="AO621" s="1000"/>
      <c r="AP621" s="1000"/>
      <c r="AQ621" s="1000"/>
      <c r="AR621" s="1000"/>
      <c r="AS621" s="1006">
        <v>8.6</v>
      </c>
      <c r="AT621" s="266"/>
      <c r="AU621" s="266"/>
      <c r="AV621" s="266"/>
      <c r="AW621" s="266"/>
      <c r="AX621" s="266"/>
      <c r="AY621" s="266"/>
      <c r="AZ621" s="266"/>
      <c r="BA621" s="266"/>
      <c r="BB621" s="266"/>
      <c r="BC621" s="266"/>
      <c r="BD621" s="266"/>
      <c r="BE621" s="266"/>
      <c r="BF621" s="266"/>
      <c r="BG621" s="266"/>
      <c r="BH621" s="266"/>
      <c r="BI621" s="1000"/>
      <c r="BJ621" s="1000"/>
      <c r="BK621" s="1000"/>
      <c r="BL621" s="1000"/>
      <c r="BM621" s="1000"/>
      <c r="BN621" s="265"/>
      <c r="BO621" s="265"/>
      <c r="BP621" s="265"/>
      <c r="BQ621" s="265"/>
      <c r="BR621" s="265"/>
      <c r="BS621" s="265"/>
      <c r="BT621" s="265"/>
      <c r="BU621" s="265"/>
      <c r="BV621" s="265"/>
      <c r="BW621" s="265"/>
      <c r="BX621" s="265"/>
      <c r="BY621" s="265"/>
      <c r="BZ621" s="265"/>
      <c r="CA621" s="265"/>
      <c r="CB621" s="265"/>
      <c r="CC621" s="265"/>
      <c r="CD621" s="265"/>
      <c r="CE621" s="265"/>
      <c r="CF621" s="265"/>
      <c r="CG621" s="265"/>
      <c r="CH621" s="265"/>
      <c r="CI621" s="265"/>
      <c r="CJ621" s="265"/>
      <c r="CK621" s="265"/>
      <c r="CL621" s="265"/>
      <c r="CM621" s="265"/>
      <c r="CN621" s="265"/>
      <c r="CO621" s="265"/>
      <c r="CP621" s="265"/>
      <c r="CQ621" s="265"/>
      <c r="CR621" s="265"/>
      <c r="CS621" s="265"/>
      <c r="CT621" s="265"/>
      <c r="CU621" s="265"/>
      <c r="CV621" s="265"/>
      <c r="CW621" s="265"/>
      <c r="CX621" s="265"/>
      <c r="CY621" s="265"/>
      <c r="CZ621" s="268"/>
    </row>
    <row r="622" spans="1:104" hidden="1" outlineLevel="1">
      <c r="A622" s="264"/>
      <c r="B622" s="264"/>
      <c r="C622" s="1003" t="s">
        <v>163</v>
      </c>
      <c r="D622" s="264"/>
      <c r="E622" s="264"/>
      <c r="F622" s="264"/>
      <c r="G622" s="264"/>
      <c r="H622" s="264"/>
      <c r="I622" s="264"/>
      <c r="J622" s="266"/>
      <c r="K622" s="264"/>
      <c r="L622" s="264"/>
      <c r="M622" s="264"/>
      <c r="N622" s="264"/>
      <c r="O622" s="266"/>
      <c r="P622" s="264"/>
      <c r="Q622" s="264"/>
      <c r="R622" s="264"/>
      <c r="S622" s="264"/>
      <c r="T622" s="266"/>
      <c r="U622" s="264"/>
      <c r="V622" s="264"/>
      <c r="W622" s="264"/>
      <c r="X622" s="264"/>
      <c r="Y622" s="266"/>
      <c r="Z622" s="264"/>
      <c r="AA622" s="264"/>
      <c r="AB622" s="264"/>
      <c r="AC622" s="264"/>
      <c r="AD622" s="266"/>
      <c r="AE622" s="264"/>
      <c r="AF622" s="264"/>
      <c r="AG622" s="264"/>
      <c r="AH622" s="264"/>
      <c r="AI622" s="266"/>
      <c r="AJ622" s="264"/>
      <c r="AK622" s="264"/>
      <c r="AL622" s="264"/>
      <c r="AM622" s="264"/>
      <c r="AN622" s="266"/>
      <c r="AO622" s="1000"/>
      <c r="AP622" s="1000"/>
      <c r="AQ622" s="1000"/>
      <c r="AR622" s="1000"/>
      <c r="AS622" s="1006">
        <v>21</v>
      </c>
      <c r="AT622" s="266"/>
      <c r="AU622" s="266"/>
      <c r="AV622" s="266"/>
      <c r="AW622" s="266"/>
      <c r="AX622" s="266"/>
      <c r="AY622" s="266"/>
      <c r="AZ622" s="266"/>
      <c r="BA622" s="266"/>
      <c r="BB622" s="266"/>
      <c r="BC622" s="266"/>
      <c r="BD622" s="266"/>
      <c r="BE622" s="266"/>
      <c r="BF622" s="266"/>
      <c r="BG622" s="266"/>
      <c r="BH622" s="266"/>
      <c r="BI622" s="1000"/>
      <c r="BJ622" s="1000"/>
      <c r="BK622" s="1000"/>
      <c r="BL622" s="1000"/>
      <c r="BM622" s="1000"/>
      <c r="BN622" s="265"/>
      <c r="BO622" s="265"/>
      <c r="BP622" s="265"/>
      <c r="BQ622" s="265"/>
      <c r="BR622" s="265"/>
      <c r="BS622" s="265"/>
      <c r="BT622" s="265"/>
      <c r="BU622" s="265"/>
      <c r="BV622" s="265"/>
      <c r="BW622" s="265"/>
      <c r="BX622" s="265"/>
      <c r="BY622" s="265"/>
      <c r="BZ622" s="265"/>
      <c r="CA622" s="265"/>
      <c r="CB622" s="265"/>
      <c r="CC622" s="265"/>
      <c r="CD622" s="265"/>
      <c r="CE622" s="265"/>
      <c r="CF622" s="265"/>
      <c r="CG622" s="265"/>
      <c r="CH622" s="265"/>
      <c r="CI622" s="265"/>
      <c r="CJ622" s="265"/>
      <c r="CK622" s="265"/>
      <c r="CL622" s="265"/>
      <c r="CM622" s="265"/>
      <c r="CN622" s="265"/>
      <c r="CO622" s="265"/>
      <c r="CP622" s="265"/>
      <c r="CQ622" s="265"/>
      <c r="CR622" s="265"/>
      <c r="CS622" s="265"/>
      <c r="CT622" s="265"/>
      <c r="CU622" s="265"/>
      <c r="CV622" s="265"/>
      <c r="CW622" s="265"/>
      <c r="CX622" s="265"/>
      <c r="CY622" s="265"/>
      <c r="CZ622" s="268"/>
    </row>
    <row r="623" spans="1:104" hidden="1" outlineLevel="1">
      <c r="A623" s="264"/>
      <c r="B623" s="264"/>
      <c r="C623" s="1003" t="s">
        <v>308</v>
      </c>
      <c r="D623" s="264"/>
      <c r="E623" s="264"/>
      <c r="F623" s="264"/>
      <c r="G623" s="264"/>
      <c r="H623" s="264"/>
      <c r="I623" s="264"/>
      <c r="J623" s="266"/>
      <c r="K623" s="264"/>
      <c r="L623" s="264"/>
      <c r="M623" s="264"/>
      <c r="N623" s="264"/>
      <c r="O623" s="266"/>
      <c r="P623" s="264"/>
      <c r="Q623" s="264"/>
      <c r="R623" s="264"/>
      <c r="S623" s="264"/>
      <c r="T623" s="266"/>
      <c r="U623" s="264"/>
      <c r="V623" s="264"/>
      <c r="W623" s="264"/>
      <c r="X623" s="264"/>
      <c r="Y623" s="266"/>
      <c r="Z623" s="264"/>
      <c r="AA623" s="264"/>
      <c r="AB623" s="264"/>
      <c r="AC623" s="264"/>
      <c r="AD623" s="266"/>
      <c r="AE623" s="264"/>
      <c r="AF623" s="264"/>
      <c r="AG623" s="264"/>
      <c r="AH623" s="264"/>
      <c r="AI623" s="266"/>
      <c r="AJ623" s="264"/>
      <c r="AK623" s="264"/>
      <c r="AL623" s="264"/>
      <c r="AM623" s="264"/>
      <c r="AN623" s="266"/>
      <c r="AO623" s="1000"/>
      <c r="AP623" s="1000"/>
      <c r="AQ623" s="1000"/>
      <c r="AR623" s="1000"/>
      <c r="AS623" s="1006">
        <v>2.5</v>
      </c>
      <c r="AT623" s="266"/>
      <c r="AU623" s="266"/>
      <c r="AV623" s="266"/>
      <c r="AW623" s="266"/>
      <c r="AX623" s="266"/>
      <c r="AY623" s="266"/>
      <c r="AZ623" s="266"/>
      <c r="BA623" s="266"/>
      <c r="BB623" s="266"/>
      <c r="BC623" s="266"/>
      <c r="BD623" s="266"/>
      <c r="BE623" s="266"/>
      <c r="BF623" s="266"/>
      <c r="BG623" s="266"/>
      <c r="BH623" s="266"/>
      <c r="BI623" s="1000"/>
      <c r="BJ623" s="1000"/>
      <c r="BK623" s="1000"/>
      <c r="BL623" s="1000"/>
      <c r="BM623" s="1000"/>
      <c r="BN623" s="265"/>
      <c r="BO623" s="265"/>
      <c r="BP623" s="265"/>
      <c r="BQ623" s="265"/>
      <c r="BR623" s="265"/>
      <c r="BS623" s="265"/>
      <c r="BT623" s="265"/>
      <c r="BU623" s="265"/>
      <c r="BV623" s="265"/>
      <c r="BW623" s="265"/>
      <c r="BX623" s="265"/>
      <c r="BY623" s="265"/>
      <c r="BZ623" s="265"/>
      <c r="CA623" s="265"/>
      <c r="CB623" s="265"/>
      <c r="CC623" s="265"/>
      <c r="CD623" s="265"/>
      <c r="CE623" s="265"/>
      <c r="CF623" s="265"/>
      <c r="CG623" s="265"/>
      <c r="CH623" s="265"/>
      <c r="CI623" s="265"/>
      <c r="CJ623" s="265"/>
      <c r="CK623" s="265"/>
      <c r="CL623" s="265"/>
      <c r="CM623" s="265"/>
      <c r="CN623" s="265"/>
      <c r="CO623" s="265"/>
      <c r="CP623" s="265"/>
      <c r="CQ623" s="265"/>
      <c r="CR623" s="265"/>
      <c r="CS623" s="265"/>
      <c r="CT623" s="265"/>
      <c r="CU623" s="265"/>
      <c r="CV623" s="265"/>
      <c r="CW623" s="265"/>
      <c r="CX623" s="265"/>
      <c r="CY623" s="265"/>
      <c r="CZ623" s="268"/>
    </row>
    <row r="624" spans="1:104" hidden="1" outlineLevel="1">
      <c r="A624" s="264"/>
      <c r="B624" s="264"/>
      <c r="C624" s="1006"/>
      <c r="D624" s="264"/>
      <c r="E624" s="264"/>
      <c r="F624" s="264"/>
      <c r="G624" s="264"/>
      <c r="H624" s="264"/>
      <c r="I624" s="264"/>
      <c r="J624" s="266"/>
      <c r="K624" s="264"/>
      <c r="L624" s="264"/>
      <c r="M624" s="264"/>
      <c r="N624" s="264"/>
      <c r="O624" s="266"/>
      <c r="P624" s="264"/>
      <c r="Q624" s="264"/>
      <c r="R624" s="264"/>
      <c r="S624" s="264"/>
      <c r="T624" s="266"/>
      <c r="U624" s="264"/>
      <c r="V624" s="264"/>
      <c r="W624" s="264"/>
      <c r="X624" s="264"/>
      <c r="Y624" s="266"/>
      <c r="Z624" s="264"/>
      <c r="AA624" s="264"/>
      <c r="AB624" s="264"/>
      <c r="AC624" s="264"/>
      <c r="AD624" s="266"/>
      <c r="AE624" s="264"/>
      <c r="AF624" s="264"/>
      <c r="AG624" s="264"/>
      <c r="AH624" s="264"/>
      <c r="AI624" s="266"/>
      <c r="AJ624" s="264"/>
      <c r="AK624" s="264"/>
      <c r="AL624" s="264"/>
      <c r="AM624" s="264"/>
      <c r="AN624" s="266"/>
      <c r="AO624" s="1000"/>
      <c r="AP624" s="1000"/>
      <c r="AQ624" s="1000"/>
      <c r="AR624" s="1000"/>
      <c r="AS624" s="1006">
        <v>5</v>
      </c>
      <c r="AT624" s="266"/>
      <c r="AU624" s="266"/>
      <c r="AV624" s="266"/>
      <c r="AW624" s="266"/>
      <c r="AX624" s="266"/>
      <c r="AY624" s="266"/>
      <c r="AZ624" s="266"/>
      <c r="BA624" s="266"/>
      <c r="BB624" s="266"/>
      <c r="BC624" s="266"/>
      <c r="BD624" s="266"/>
      <c r="BE624" s="266"/>
      <c r="BF624" s="266"/>
      <c r="BG624" s="266"/>
      <c r="BH624" s="266"/>
      <c r="BI624" s="1000"/>
      <c r="BJ624" s="1000"/>
      <c r="BK624" s="1000"/>
      <c r="BL624" s="1000"/>
      <c r="BM624" s="1000"/>
      <c r="BN624" s="265"/>
      <c r="BO624" s="265"/>
      <c r="BP624" s="265"/>
      <c r="BQ624" s="265"/>
      <c r="BR624" s="265"/>
      <c r="BS624" s="265"/>
      <c r="BT624" s="265"/>
      <c r="BU624" s="265"/>
      <c r="BV624" s="265"/>
      <c r="BW624" s="265"/>
      <c r="BX624" s="265"/>
      <c r="BY624" s="265"/>
      <c r="BZ624" s="265"/>
      <c r="CA624" s="265"/>
      <c r="CB624" s="265"/>
      <c r="CC624" s="265"/>
      <c r="CD624" s="265"/>
      <c r="CE624" s="265"/>
      <c r="CF624" s="265"/>
      <c r="CG624" s="265"/>
      <c r="CH624" s="265"/>
      <c r="CI624" s="265"/>
      <c r="CJ624" s="265"/>
      <c r="CK624" s="265"/>
      <c r="CL624" s="265"/>
      <c r="CM624" s="265"/>
      <c r="CN624" s="265"/>
      <c r="CO624" s="265"/>
      <c r="CP624" s="265"/>
      <c r="CQ624" s="265"/>
      <c r="CR624" s="265"/>
      <c r="CS624" s="265"/>
      <c r="CT624" s="265"/>
      <c r="CU624" s="265"/>
      <c r="CV624" s="265"/>
      <c r="CW624" s="265"/>
      <c r="CX624" s="265"/>
      <c r="CY624" s="265"/>
      <c r="CZ624" s="268"/>
    </row>
    <row r="625" spans="1:104" hidden="1" outlineLevel="1">
      <c r="A625" s="264"/>
      <c r="B625" s="264"/>
      <c r="C625" s="1006" t="s">
        <v>516</v>
      </c>
      <c r="D625" s="264"/>
      <c r="E625" s="264"/>
      <c r="F625" s="264"/>
      <c r="G625" s="264"/>
      <c r="H625" s="264"/>
      <c r="I625" s="264"/>
      <c r="J625" s="266"/>
      <c r="K625" s="264"/>
      <c r="L625" s="264"/>
      <c r="M625" s="264"/>
      <c r="N625" s="264"/>
      <c r="O625" s="266"/>
      <c r="P625" s="264"/>
      <c r="Q625" s="264"/>
      <c r="R625" s="264"/>
      <c r="S625" s="264"/>
      <c r="T625" s="266"/>
      <c r="U625" s="264"/>
      <c r="V625" s="264"/>
      <c r="W625" s="264"/>
      <c r="X625" s="264"/>
      <c r="Y625" s="266"/>
      <c r="Z625" s="264"/>
      <c r="AA625" s="264"/>
      <c r="AB625" s="264"/>
      <c r="AC625" s="264"/>
      <c r="AD625" s="266"/>
      <c r="AE625" s="264"/>
      <c r="AF625" s="264"/>
      <c r="AG625" s="264"/>
      <c r="AH625" s="264"/>
      <c r="AI625" s="266"/>
      <c r="AJ625" s="264"/>
      <c r="AK625" s="264"/>
      <c r="AL625" s="264"/>
      <c r="AM625" s="264"/>
      <c r="AN625" s="266"/>
      <c r="AO625" s="1000"/>
      <c r="AP625" s="1000"/>
      <c r="AQ625" s="1000"/>
      <c r="AR625" s="1000"/>
      <c r="AS625" s="1006">
        <v>13</v>
      </c>
      <c r="AT625" s="266"/>
      <c r="AU625" s="266"/>
      <c r="AV625" s="266"/>
      <c r="AW625" s="266"/>
      <c r="AX625" s="266"/>
      <c r="AY625" s="266"/>
      <c r="AZ625" s="266"/>
      <c r="BA625" s="266"/>
      <c r="BB625" s="266"/>
      <c r="BC625" s="266"/>
      <c r="BD625" s="266"/>
      <c r="BE625" s="266"/>
      <c r="BF625" s="266"/>
      <c r="BG625" s="266"/>
      <c r="BH625" s="266"/>
      <c r="BI625" s="1000"/>
      <c r="BJ625" s="1000"/>
      <c r="BK625" s="1000"/>
      <c r="BL625" s="1000"/>
      <c r="BM625" s="1000"/>
      <c r="BN625" s="265"/>
      <c r="BO625" s="265"/>
      <c r="BP625" s="265"/>
      <c r="BQ625" s="265"/>
      <c r="BR625" s="265"/>
      <c r="BS625" s="265"/>
      <c r="BT625" s="265"/>
      <c r="BU625" s="265"/>
      <c r="BV625" s="265"/>
      <c r="BW625" s="265"/>
      <c r="BX625" s="265"/>
      <c r="BY625" s="265"/>
      <c r="BZ625" s="265"/>
      <c r="CA625" s="265"/>
      <c r="CB625" s="265"/>
      <c r="CC625" s="265"/>
      <c r="CD625" s="265"/>
      <c r="CE625" s="265"/>
      <c r="CF625" s="265"/>
      <c r="CG625" s="265"/>
      <c r="CH625" s="265"/>
      <c r="CI625" s="265"/>
      <c r="CJ625" s="265"/>
      <c r="CK625" s="265"/>
      <c r="CL625" s="265"/>
      <c r="CM625" s="265"/>
      <c r="CN625" s="265"/>
      <c r="CO625" s="265"/>
      <c r="CP625" s="265"/>
      <c r="CQ625" s="265"/>
      <c r="CR625" s="265"/>
      <c r="CS625" s="265"/>
      <c r="CT625" s="265"/>
      <c r="CU625" s="265"/>
      <c r="CV625" s="265"/>
      <c r="CW625" s="265"/>
      <c r="CX625" s="265"/>
      <c r="CY625" s="265"/>
      <c r="CZ625" s="268"/>
    </row>
    <row r="626" spans="1:104" hidden="1" outlineLevel="1">
      <c r="A626" s="264"/>
      <c r="B626" s="264"/>
      <c r="C626" s="1006" t="s">
        <v>515</v>
      </c>
      <c r="D626" s="264"/>
      <c r="E626" s="264"/>
      <c r="F626" s="264"/>
      <c r="G626" s="264"/>
      <c r="H626" s="264"/>
      <c r="I626" s="264"/>
      <c r="J626" s="266"/>
      <c r="K626" s="264"/>
      <c r="L626" s="264"/>
      <c r="M626" s="264"/>
      <c r="N626" s="264"/>
      <c r="O626" s="266"/>
      <c r="P626" s="264"/>
      <c r="Q626" s="264"/>
      <c r="R626" s="264"/>
      <c r="S626" s="264"/>
      <c r="T626" s="266"/>
      <c r="U626" s="264"/>
      <c r="V626" s="264"/>
      <c r="W626" s="264"/>
      <c r="X626" s="264"/>
      <c r="Y626" s="266"/>
      <c r="Z626" s="264"/>
      <c r="AA626" s="264"/>
      <c r="AB626" s="264"/>
      <c r="AC626" s="264"/>
      <c r="AD626" s="266"/>
      <c r="AE626" s="264"/>
      <c r="AF626" s="264"/>
      <c r="AG626" s="264"/>
      <c r="AH626" s="264"/>
      <c r="AI626" s="266"/>
      <c r="AJ626" s="264"/>
      <c r="AK626" s="264"/>
      <c r="AL626" s="264"/>
      <c r="AM626" s="264"/>
      <c r="AN626" s="266"/>
      <c r="AO626" s="1000"/>
      <c r="AP626" s="1000"/>
      <c r="AQ626" s="1000"/>
      <c r="AR626" s="1000"/>
      <c r="AS626" s="266"/>
      <c r="AT626" s="266"/>
      <c r="AU626" s="266"/>
      <c r="AV626" s="266"/>
      <c r="AW626" s="266"/>
      <c r="AX626" s="266"/>
      <c r="AY626" s="266"/>
      <c r="AZ626" s="266"/>
      <c r="BA626" s="266"/>
      <c r="BB626" s="266"/>
      <c r="BC626" s="266"/>
      <c r="BD626" s="266"/>
      <c r="BE626" s="266"/>
      <c r="BF626" s="266"/>
      <c r="BG626" s="266"/>
      <c r="BH626" s="266"/>
      <c r="BI626" s="1000"/>
      <c r="BJ626" s="1000"/>
      <c r="BK626" s="1000"/>
      <c r="BL626" s="1000"/>
      <c r="BM626" s="1000"/>
      <c r="BN626" s="265"/>
      <c r="BO626" s="265"/>
      <c r="BP626" s="265"/>
      <c r="BQ626" s="265"/>
      <c r="BR626" s="265"/>
      <c r="BS626" s="265"/>
      <c r="BT626" s="265"/>
      <c r="BU626" s="265"/>
      <c r="BV626" s="265"/>
      <c r="BW626" s="265"/>
      <c r="BX626" s="265"/>
      <c r="BY626" s="265"/>
      <c r="BZ626" s="265"/>
      <c r="CA626" s="265"/>
      <c r="CB626" s="265"/>
      <c r="CC626" s="265"/>
      <c r="CD626" s="265"/>
      <c r="CE626" s="265"/>
      <c r="CF626" s="265"/>
      <c r="CG626" s="265"/>
      <c r="CH626" s="265"/>
      <c r="CI626" s="265"/>
      <c r="CJ626" s="265"/>
      <c r="CK626" s="265"/>
      <c r="CL626" s="265"/>
      <c r="CM626" s="265"/>
      <c r="CN626" s="265"/>
      <c r="CO626" s="265"/>
      <c r="CP626" s="265"/>
      <c r="CQ626" s="265"/>
      <c r="CR626" s="265"/>
      <c r="CS626" s="265"/>
      <c r="CT626" s="265"/>
      <c r="CU626" s="265"/>
      <c r="CV626" s="265"/>
      <c r="CW626" s="265"/>
      <c r="CX626" s="265"/>
      <c r="CY626" s="265"/>
      <c r="CZ626" s="268"/>
    </row>
    <row r="627" spans="1:104" hidden="1" outlineLevel="1">
      <c r="A627" s="264"/>
      <c r="B627" s="264"/>
      <c r="C627" s="264"/>
      <c r="D627" s="264"/>
      <c r="E627" s="264"/>
      <c r="F627" s="264"/>
      <c r="G627" s="264"/>
      <c r="H627" s="264"/>
      <c r="I627" s="264"/>
      <c r="J627" s="266"/>
      <c r="K627" s="264"/>
      <c r="L627" s="264"/>
      <c r="M627" s="264"/>
      <c r="N627" s="264"/>
      <c r="O627" s="266"/>
      <c r="P627" s="264"/>
      <c r="Q627" s="264"/>
      <c r="R627" s="264"/>
      <c r="S627" s="264"/>
      <c r="T627" s="266"/>
      <c r="U627" s="264"/>
      <c r="V627" s="264"/>
      <c r="W627" s="264"/>
      <c r="X627" s="264"/>
      <c r="Y627" s="266"/>
      <c r="Z627" s="264"/>
      <c r="AA627" s="264"/>
      <c r="AB627" s="264"/>
      <c r="AC627" s="264"/>
      <c r="AD627" s="1000"/>
      <c r="AE627" s="264"/>
      <c r="AF627" s="264"/>
      <c r="AG627" s="264"/>
      <c r="AH627" s="264"/>
      <c r="AI627" s="1000"/>
      <c r="AJ627" s="264"/>
      <c r="AK627" s="264"/>
      <c r="AL627" s="264"/>
      <c r="AM627" s="264"/>
      <c r="AN627" s="1000"/>
      <c r="AO627" s="1000"/>
      <c r="AP627" s="1000"/>
      <c r="AQ627" s="1000"/>
      <c r="AR627" s="1000"/>
      <c r="AS627" s="1005"/>
      <c r="AT627" s="266"/>
      <c r="AU627" s="266"/>
      <c r="AV627" s="266"/>
      <c r="AW627" s="266"/>
      <c r="AX627" s="266"/>
      <c r="AY627" s="266"/>
      <c r="AZ627" s="266"/>
      <c r="BA627" s="266"/>
      <c r="BB627" s="266"/>
      <c r="BC627" s="266"/>
      <c r="BD627" s="266"/>
      <c r="BE627" s="266"/>
      <c r="BF627" s="266"/>
      <c r="BG627" s="266"/>
      <c r="BH627" s="266"/>
      <c r="BI627" s="1000"/>
      <c r="BJ627" s="1000"/>
      <c r="BK627" s="1000"/>
      <c r="BL627" s="1000"/>
      <c r="BM627" s="1000"/>
      <c r="BN627" s="265"/>
      <c r="BO627" s="265"/>
      <c r="BP627" s="265"/>
      <c r="BQ627" s="265"/>
      <c r="BR627" s="265"/>
      <c r="BS627" s="265"/>
      <c r="BT627" s="265"/>
      <c r="BU627" s="265"/>
      <c r="BV627" s="265"/>
      <c r="BW627" s="265"/>
      <c r="BX627" s="265"/>
      <c r="BY627" s="265"/>
      <c r="BZ627" s="265"/>
      <c r="CA627" s="265"/>
      <c r="CB627" s="265"/>
      <c r="CC627" s="265"/>
      <c r="CD627" s="265"/>
      <c r="CE627" s="265"/>
      <c r="CF627" s="265"/>
      <c r="CG627" s="265"/>
      <c r="CH627" s="265"/>
      <c r="CI627" s="265"/>
      <c r="CJ627" s="265"/>
      <c r="CK627" s="265"/>
      <c r="CL627" s="265"/>
      <c r="CM627" s="265"/>
      <c r="CN627" s="265"/>
      <c r="CO627" s="265"/>
      <c r="CP627" s="265"/>
      <c r="CQ627" s="265"/>
      <c r="CR627" s="265"/>
      <c r="CS627" s="265"/>
      <c r="CT627" s="265"/>
      <c r="CU627" s="265"/>
      <c r="CV627" s="265"/>
      <c r="CW627" s="265"/>
      <c r="CX627" s="265"/>
      <c r="CY627" s="265"/>
      <c r="CZ627" s="268"/>
    </row>
    <row r="628" spans="1:104" hidden="1" outlineLevel="1">
      <c r="A628" s="264"/>
      <c r="B628" s="264"/>
      <c r="C628" s="1004" t="s">
        <v>514</v>
      </c>
      <c r="D628" s="264"/>
      <c r="E628" s="264"/>
      <c r="F628" s="264"/>
      <c r="G628" s="264"/>
      <c r="H628" s="264"/>
      <c r="I628" s="264"/>
      <c r="J628" s="266"/>
      <c r="K628" s="264"/>
      <c r="L628" s="264"/>
      <c r="M628" s="264"/>
      <c r="N628" s="264"/>
      <c r="O628" s="266"/>
      <c r="P628" s="264"/>
      <c r="Q628" s="264"/>
      <c r="R628" s="264"/>
      <c r="S628" s="264"/>
      <c r="T628" s="266"/>
      <c r="U628" s="264"/>
      <c r="V628" s="264"/>
      <c r="W628" s="264"/>
      <c r="X628" s="264"/>
      <c r="Y628" s="266"/>
      <c r="Z628" s="264"/>
      <c r="AA628" s="264"/>
      <c r="AB628" s="264"/>
      <c r="AC628" s="264"/>
      <c r="AD628" s="1000"/>
      <c r="AE628" s="264"/>
      <c r="AF628" s="264"/>
      <c r="AG628" s="264"/>
      <c r="AH628" s="264"/>
      <c r="AI628" s="1000"/>
      <c r="AJ628" s="264"/>
      <c r="AK628" s="264"/>
      <c r="AL628" s="264"/>
      <c r="AM628" s="264"/>
      <c r="AN628" s="1000"/>
      <c r="AO628" s="1000"/>
      <c r="AP628" s="1000"/>
      <c r="AQ628" s="1000"/>
      <c r="AR628" s="1000"/>
      <c r="AS628" s="266"/>
      <c r="AT628" s="266"/>
      <c r="AU628" s="266"/>
      <c r="AV628" s="266"/>
      <c r="AW628" s="266"/>
      <c r="AX628" s="266"/>
      <c r="AY628" s="266"/>
      <c r="AZ628" s="266"/>
      <c r="BA628" s="266"/>
      <c r="BB628" s="266"/>
      <c r="BC628" s="266"/>
      <c r="BD628" s="266"/>
      <c r="BE628" s="266"/>
      <c r="BF628" s="266"/>
      <c r="BG628" s="266"/>
      <c r="BH628" s="266"/>
      <c r="BI628" s="1000"/>
      <c r="BJ628" s="1000"/>
      <c r="BK628" s="1000"/>
      <c r="BL628" s="1000"/>
      <c r="BM628" s="1000"/>
      <c r="BN628" s="265"/>
      <c r="BO628" s="265"/>
      <c r="BP628" s="265"/>
      <c r="BQ628" s="265"/>
      <c r="BR628" s="265"/>
      <c r="BS628" s="265"/>
      <c r="BT628" s="265"/>
      <c r="BU628" s="265"/>
      <c r="BV628" s="265"/>
      <c r="BW628" s="265"/>
      <c r="BX628" s="265"/>
      <c r="BY628" s="265"/>
      <c r="BZ628" s="265"/>
      <c r="CA628" s="265"/>
      <c r="CB628" s="265"/>
      <c r="CC628" s="265"/>
      <c r="CD628" s="265"/>
      <c r="CE628" s="265"/>
      <c r="CF628" s="265"/>
      <c r="CG628" s="265"/>
      <c r="CH628" s="265"/>
      <c r="CI628" s="265"/>
      <c r="CJ628" s="265"/>
      <c r="CK628" s="265"/>
      <c r="CL628" s="265"/>
      <c r="CM628" s="265"/>
      <c r="CN628" s="265"/>
      <c r="CO628" s="265"/>
      <c r="CP628" s="265"/>
      <c r="CQ628" s="265"/>
      <c r="CR628" s="265"/>
      <c r="CS628" s="265"/>
      <c r="CT628" s="265"/>
      <c r="CU628" s="265"/>
      <c r="CV628" s="265"/>
      <c r="CW628" s="265"/>
      <c r="CX628" s="265"/>
      <c r="CY628" s="265"/>
      <c r="CZ628" s="268"/>
    </row>
    <row r="629" spans="1:104" hidden="1" outlineLevel="1">
      <c r="A629" s="264"/>
      <c r="B629" s="264"/>
      <c r="C629" s="264" t="s">
        <v>513</v>
      </c>
      <c r="D629" s="264"/>
      <c r="E629" s="264"/>
      <c r="F629" s="264"/>
      <c r="G629" s="264"/>
      <c r="H629" s="264"/>
      <c r="I629" s="264"/>
      <c r="J629" s="266"/>
      <c r="K629" s="264"/>
      <c r="L629" s="264"/>
      <c r="M629" s="264"/>
      <c r="N629" s="264"/>
      <c r="O629" s="266"/>
      <c r="P629" s="264"/>
      <c r="Q629" s="264"/>
      <c r="R629" s="264"/>
      <c r="S629" s="264"/>
      <c r="T629" s="266">
        <v>-1</v>
      </c>
      <c r="U629" s="264"/>
      <c r="V629" s="264"/>
      <c r="W629" s="264"/>
      <c r="X629" s="264"/>
      <c r="Y629" s="266">
        <v>2</v>
      </c>
      <c r="Z629" s="264"/>
      <c r="AA629" s="264"/>
      <c r="AB629" s="264"/>
      <c r="AC629" s="264"/>
      <c r="AD629" s="1000">
        <v>8</v>
      </c>
      <c r="AE629" s="264"/>
      <c r="AF629" s="264"/>
      <c r="AG629" s="264"/>
      <c r="AH629" s="264"/>
      <c r="AI629" s="1000">
        <v>7</v>
      </c>
      <c r="AJ629" s="264"/>
      <c r="AK629" s="264"/>
      <c r="AL629" s="264"/>
      <c r="AM629" s="264"/>
      <c r="AN629" s="1000">
        <v>9</v>
      </c>
      <c r="AO629" s="1000"/>
      <c r="AP629" s="1000"/>
      <c r="AQ629" s="1000"/>
      <c r="AR629" s="1000"/>
      <c r="AS629" s="266">
        <v>9</v>
      </c>
      <c r="AT629" s="266"/>
      <c r="AU629" s="266"/>
      <c r="AV629" s="266"/>
      <c r="AW629" s="266"/>
      <c r="AX629" s="266"/>
      <c r="AY629" s="266"/>
      <c r="AZ629" s="266"/>
      <c r="BA629" s="266"/>
      <c r="BB629" s="266"/>
      <c r="BC629" s="266"/>
      <c r="BD629" s="266"/>
      <c r="BE629" s="266"/>
      <c r="BF629" s="266"/>
      <c r="BG629" s="266"/>
      <c r="BH629" s="266"/>
      <c r="BI629" s="1000"/>
      <c r="BJ629" s="1000"/>
      <c r="BK629" s="1000"/>
      <c r="BL629" s="1000"/>
      <c r="BM629" s="1000"/>
      <c r="BN629" s="265"/>
      <c r="BO629" s="265"/>
      <c r="BP629" s="265"/>
      <c r="BQ629" s="265"/>
      <c r="BR629" s="265"/>
      <c r="BS629" s="265"/>
      <c r="BT629" s="265"/>
      <c r="BU629" s="265"/>
      <c r="BV629" s="265"/>
      <c r="BW629" s="265"/>
      <c r="BX629" s="265"/>
      <c r="BY629" s="265"/>
      <c r="BZ629" s="265"/>
      <c r="CA629" s="265"/>
      <c r="CB629" s="265"/>
      <c r="CC629" s="265"/>
      <c r="CD629" s="265"/>
      <c r="CE629" s="265"/>
      <c r="CF629" s="265"/>
      <c r="CG629" s="265"/>
      <c r="CH629" s="265"/>
      <c r="CI629" s="265"/>
      <c r="CJ629" s="265"/>
      <c r="CK629" s="265"/>
      <c r="CL629" s="265"/>
      <c r="CM629" s="265"/>
      <c r="CN629" s="265"/>
      <c r="CO629" s="265"/>
      <c r="CP629" s="265"/>
      <c r="CQ629" s="265"/>
      <c r="CR629" s="265"/>
      <c r="CS629" s="265"/>
      <c r="CT629" s="265"/>
      <c r="CU629" s="265"/>
      <c r="CV629" s="265"/>
      <c r="CW629" s="265"/>
      <c r="CX629" s="265"/>
      <c r="CY629" s="265"/>
      <c r="CZ629" s="268"/>
    </row>
    <row r="630" spans="1:104" hidden="1" outlineLevel="1">
      <c r="A630" s="264"/>
      <c r="B630" s="264"/>
      <c r="C630" s="264" t="s">
        <v>512</v>
      </c>
      <c r="D630" s="264"/>
      <c r="E630" s="264"/>
      <c r="F630" s="264"/>
      <c r="G630" s="264"/>
      <c r="H630" s="264"/>
      <c r="I630" s="264"/>
      <c r="J630" s="266"/>
      <c r="K630" s="264"/>
      <c r="L630" s="264"/>
      <c r="M630" s="264"/>
      <c r="N630" s="264"/>
      <c r="O630" s="266"/>
      <c r="P630" s="264"/>
      <c r="Q630" s="264"/>
      <c r="R630" s="264"/>
      <c r="S630" s="264"/>
      <c r="T630" s="266">
        <v>5.5</v>
      </c>
      <c r="U630" s="264"/>
      <c r="V630" s="264"/>
      <c r="W630" s="264"/>
      <c r="X630" s="264"/>
      <c r="Y630" s="266">
        <v>5.7</v>
      </c>
      <c r="Z630" s="264"/>
      <c r="AA630" s="264"/>
      <c r="AB630" s="264"/>
      <c r="AC630" s="264"/>
      <c r="AD630" s="1000">
        <v>6.8</v>
      </c>
      <c r="AE630" s="264"/>
      <c r="AF630" s="264"/>
      <c r="AG630" s="264"/>
      <c r="AH630" s="264"/>
      <c r="AI630" s="1000">
        <v>6.7</v>
      </c>
      <c r="AJ630" s="264"/>
      <c r="AK630" s="264"/>
      <c r="AL630" s="264"/>
      <c r="AM630" s="264"/>
      <c r="AN630" s="1000">
        <v>6.8</v>
      </c>
      <c r="AO630" s="1000"/>
      <c r="AP630" s="1000"/>
      <c r="AQ630" s="1000"/>
      <c r="AR630" s="1000"/>
      <c r="AS630" s="266">
        <v>7.8</v>
      </c>
      <c r="AT630" s="266"/>
      <c r="AU630" s="266"/>
      <c r="AV630" s="266"/>
      <c r="AW630" s="266"/>
      <c r="AX630" s="266"/>
      <c r="AY630" s="266"/>
      <c r="AZ630" s="266"/>
      <c r="BA630" s="266"/>
      <c r="BB630" s="266"/>
      <c r="BC630" s="266"/>
      <c r="BD630" s="266"/>
      <c r="BE630" s="266"/>
      <c r="BF630" s="266"/>
      <c r="BG630" s="266"/>
      <c r="BH630" s="266"/>
      <c r="BI630" s="1000"/>
      <c r="BJ630" s="1000"/>
      <c r="BK630" s="1000"/>
      <c r="BL630" s="1000"/>
      <c r="BM630" s="1000"/>
      <c r="BN630" s="265"/>
      <c r="BO630" s="265"/>
      <c r="BP630" s="265"/>
      <c r="BQ630" s="265"/>
      <c r="BR630" s="265"/>
      <c r="BS630" s="265"/>
      <c r="BT630" s="265"/>
      <c r="BU630" s="265"/>
      <c r="BV630" s="265"/>
      <c r="BW630" s="265"/>
      <c r="BX630" s="265"/>
      <c r="BY630" s="265"/>
      <c r="BZ630" s="265"/>
      <c r="CA630" s="265"/>
      <c r="CB630" s="265"/>
      <c r="CC630" s="265"/>
      <c r="CD630" s="265"/>
      <c r="CE630" s="265"/>
      <c r="CF630" s="265"/>
      <c r="CG630" s="265"/>
      <c r="CH630" s="265"/>
      <c r="CI630" s="265"/>
      <c r="CJ630" s="265"/>
      <c r="CK630" s="265"/>
      <c r="CL630" s="265"/>
      <c r="CM630" s="265"/>
      <c r="CN630" s="265"/>
      <c r="CO630" s="265"/>
      <c r="CP630" s="265"/>
      <c r="CQ630" s="265"/>
      <c r="CR630" s="265"/>
      <c r="CS630" s="265"/>
      <c r="CT630" s="265"/>
      <c r="CU630" s="265"/>
      <c r="CV630" s="265"/>
      <c r="CW630" s="265"/>
      <c r="CX630" s="265"/>
      <c r="CY630" s="265"/>
      <c r="CZ630" s="268"/>
    </row>
    <row r="631" spans="1:104" hidden="1" outlineLevel="1">
      <c r="A631" s="264"/>
      <c r="B631" s="264"/>
      <c r="C631" s="264" t="s">
        <v>511</v>
      </c>
      <c r="D631" s="264"/>
      <c r="E631" s="264"/>
      <c r="F631" s="264"/>
      <c r="G631" s="264"/>
      <c r="H631" s="264"/>
      <c r="I631" s="264"/>
      <c r="J631" s="266"/>
      <c r="K631" s="264"/>
      <c r="L631" s="264"/>
      <c r="M631" s="264"/>
      <c r="N631" s="264"/>
      <c r="O631" s="266"/>
      <c r="P631" s="264"/>
      <c r="Q631" s="264"/>
      <c r="R631" s="264"/>
      <c r="S631" s="264"/>
      <c r="T631" s="266">
        <v>4.4000000000000004</v>
      </c>
      <c r="U631" s="264"/>
      <c r="V631" s="264"/>
      <c r="W631" s="264"/>
      <c r="X631" s="264"/>
      <c r="Y631" s="266">
        <v>4.5</v>
      </c>
      <c r="Z631" s="264"/>
      <c r="AA631" s="264"/>
      <c r="AB631" s="264"/>
      <c r="AC631" s="264"/>
      <c r="AD631" s="1000">
        <v>5.4</v>
      </c>
      <c r="AE631" s="264"/>
      <c r="AF631" s="264"/>
      <c r="AG631" s="264"/>
      <c r="AH631" s="264"/>
      <c r="AI631" s="1000">
        <v>5.3</v>
      </c>
      <c r="AJ631" s="264"/>
      <c r="AK631" s="264"/>
      <c r="AL631" s="264"/>
      <c r="AM631" s="264"/>
      <c r="AN631" s="1000">
        <v>5.2</v>
      </c>
      <c r="AO631" s="1000"/>
      <c r="AP631" s="1000"/>
      <c r="AQ631" s="1000"/>
      <c r="AR631" s="1000"/>
      <c r="AS631" s="266">
        <v>5</v>
      </c>
      <c r="AT631" s="266"/>
      <c r="AU631" s="266"/>
      <c r="AV631" s="266"/>
      <c r="AW631" s="266"/>
      <c r="AX631" s="266"/>
      <c r="AY631" s="266"/>
      <c r="AZ631" s="266"/>
      <c r="BA631" s="266"/>
      <c r="BB631" s="266"/>
      <c r="BC631" s="266"/>
      <c r="BD631" s="266"/>
      <c r="BE631" s="266"/>
      <c r="BF631" s="266"/>
      <c r="BG631" s="266"/>
      <c r="BH631" s="266"/>
      <c r="BI631" s="1000"/>
      <c r="BJ631" s="1000"/>
      <c r="BK631" s="1000"/>
      <c r="BL631" s="1000"/>
      <c r="BM631" s="1000"/>
      <c r="BN631" s="265"/>
      <c r="BO631" s="265"/>
      <c r="BP631" s="265"/>
      <c r="BQ631" s="265"/>
      <c r="BR631" s="265"/>
      <c r="BS631" s="265"/>
      <c r="BT631" s="265"/>
      <c r="BU631" s="265"/>
      <c r="BV631" s="265"/>
      <c r="BW631" s="265"/>
      <c r="BX631" s="265"/>
      <c r="BY631" s="265"/>
      <c r="BZ631" s="265"/>
      <c r="CA631" s="265"/>
      <c r="CB631" s="265"/>
      <c r="CC631" s="265"/>
      <c r="CD631" s="265"/>
      <c r="CE631" s="265"/>
      <c r="CF631" s="265"/>
      <c r="CG631" s="265"/>
      <c r="CH631" s="265"/>
      <c r="CI631" s="265"/>
      <c r="CJ631" s="265"/>
      <c r="CK631" s="265"/>
      <c r="CL631" s="265"/>
      <c r="CM631" s="265"/>
      <c r="CN631" s="265"/>
      <c r="CO631" s="265"/>
      <c r="CP631" s="265"/>
      <c r="CQ631" s="265"/>
      <c r="CR631" s="265"/>
      <c r="CS631" s="265"/>
      <c r="CT631" s="265"/>
      <c r="CU631" s="265"/>
      <c r="CV631" s="265"/>
      <c r="CW631" s="265"/>
      <c r="CX631" s="265"/>
      <c r="CY631" s="265"/>
      <c r="CZ631" s="268"/>
    </row>
    <row r="632" spans="1:104" hidden="1" outlineLevel="1">
      <c r="A632" s="264"/>
      <c r="B632" s="264"/>
      <c r="C632" s="264"/>
      <c r="D632" s="264"/>
      <c r="E632" s="264"/>
      <c r="F632" s="264"/>
      <c r="G632" s="264"/>
      <c r="H632" s="264"/>
      <c r="I632" s="264"/>
      <c r="J632" s="266"/>
      <c r="K632" s="264"/>
      <c r="L632" s="264"/>
      <c r="M632" s="264"/>
      <c r="N632" s="264"/>
      <c r="O632" s="266"/>
      <c r="P632" s="264"/>
      <c r="Q632" s="264"/>
      <c r="R632" s="264"/>
      <c r="S632" s="264"/>
      <c r="T632" s="266"/>
      <c r="U632" s="264"/>
      <c r="V632" s="264"/>
      <c r="W632" s="264"/>
      <c r="X632" s="264"/>
      <c r="Y632" s="266"/>
      <c r="Z632" s="264"/>
      <c r="AA632" s="264"/>
      <c r="AB632" s="264"/>
      <c r="AC632" s="264"/>
      <c r="AD632" s="1000"/>
      <c r="AE632" s="264"/>
      <c r="AF632" s="264"/>
      <c r="AG632" s="264"/>
      <c r="AH632" s="264"/>
      <c r="AI632" s="1000"/>
      <c r="AJ632" s="264"/>
      <c r="AK632" s="264"/>
      <c r="AL632" s="264"/>
      <c r="AM632" s="264"/>
      <c r="AN632" s="1000"/>
      <c r="AO632" s="1000"/>
      <c r="AP632" s="1000"/>
      <c r="AQ632" s="1000"/>
      <c r="AR632" s="1000"/>
      <c r="AS632" s="266"/>
      <c r="AT632" s="266"/>
      <c r="AU632" s="266"/>
      <c r="AV632" s="266"/>
      <c r="AW632" s="266"/>
      <c r="AX632" s="266"/>
      <c r="AY632" s="266"/>
      <c r="AZ632" s="266"/>
      <c r="BA632" s="266"/>
      <c r="BB632" s="266"/>
      <c r="BC632" s="266"/>
      <c r="BD632" s="266"/>
      <c r="BE632" s="266"/>
      <c r="BF632" s="266"/>
      <c r="BG632" s="266"/>
      <c r="BH632" s="266"/>
      <c r="BI632" s="1000"/>
      <c r="BJ632" s="1000"/>
      <c r="BK632" s="1000"/>
      <c r="BL632" s="1000"/>
      <c r="BM632" s="1000"/>
      <c r="BN632" s="265"/>
      <c r="BO632" s="265"/>
      <c r="BP632" s="265"/>
      <c r="BQ632" s="265"/>
      <c r="BR632" s="265"/>
      <c r="BS632" s="265"/>
      <c r="BT632" s="265"/>
      <c r="BU632" s="265"/>
      <c r="BV632" s="265"/>
      <c r="BW632" s="265"/>
      <c r="BX632" s="265"/>
      <c r="BY632" s="265"/>
      <c r="BZ632" s="265"/>
      <c r="CA632" s="265"/>
      <c r="CB632" s="265"/>
      <c r="CC632" s="265"/>
      <c r="CD632" s="265"/>
      <c r="CE632" s="265"/>
      <c r="CF632" s="265"/>
      <c r="CG632" s="265"/>
      <c r="CH632" s="265"/>
      <c r="CI632" s="265"/>
      <c r="CJ632" s="265"/>
      <c r="CK632" s="265"/>
      <c r="CL632" s="265"/>
      <c r="CM632" s="265"/>
      <c r="CN632" s="265"/>
      <c r="CO632" s="265"/>
      <c r="CP632" s="265"/>
      <c r="CQ632" s="265"/>
      <c r="CR632" s="265"/>
      <c r="CS632" s="265"/>
      <c r="CT632" s="265"/>
      <c r="CU632" s="265"/>
      <c r="CV632" s="265"/>
      <c r="CW632" s="265"/>
      <c r="CX632" s="265"/>
      <c r="CY632" s="265"/>
      <c r="CZ632" s="268"/>
    </row>
    <row r="633" spans="1:104" hidden="1" outlineLevel="1">
      <c r="A633" s="264"/>
      <c r="B633" s="264"/>
      <c r="C633" s="1001" t="s">
        <v>510</v>
      </c>
      <c r="D633" s="264"/>
      <c r="E633" s="264"/>
      <c r="F633" s="264"/>
      <c r="G633" s="264"/>
      <c r="H633" s="264"/>
      <c r="I633" s="264"/>
      <c r="J633" s="266"/>
      <c r="K633" s="264"/>
      <c r="L633" s="264"/>
      <c r="M633" s="264"/>
      <c r="N633" s="264"/>
      <c r="O633" s="266"/>
      <c r="P633" s="264"/>
      <c r="Q633" s="264"/>
      <c r="R633" s="264"/>
      <c r="S633" s="264"/>
      <c r="T633" s="266"/>
      <c r="U633" s="264"/>
      <c r="V633" s="264"/>
      <c r="W633" s="264"/>
      <c r="X633" s="264"/>
      <c r="Y633" s="266"/>
      <c r="Z633" s="264"/>
      <c r="AA633" s="264"/>
      <c r="AB633" s="264"/>
      <c r="AC633" s="264"/>
      <c r="AD633" s="1000"/>
      <c r="AE633" s="264"/>
      <c r="AF633" s="264"/>
      <c r="AG633" s="264"/>
      <c r="AH633" s="264"/>
      <c r="AI633" s="1000"/>
      <c r="AJ633" s="264"/>
      <c r="AK633" s="264"/>
      <c r="AL633" s="264"/>
      <c r="AM633" s="264"/>
      <c r="AN633" s="1000"/>
      <c r="AO633" s="1000"/>
      <c r="AP633" s="1000"/>
      <c r="AQ633" s="1000"/>
      <c r="AR633" s="1000"/>
      <c r="AS633" s="266"/>
      <c r="AT633" s="266"/>
      <c r="AU633" s="266"/>
      <c r="AV633" s="266"/>
      <c r="AW633" s="266"/>
      <c r="AX633" s="266"/>
      <c r="AY633" s="266"/>
      <c r="AZ633" s="266"/>
      <c r="BA633" s="266"/>
      <c r="BB633" s="266"/>
      <c r="BC633" s="266"/>
      <c r="BD633" s="266"/>
      <c r="BE633" s="266"/>
      <c r="BF633" s="266"/>
      <c r="BG633" s="266"/>
      <c r="BH633" s="266"/>
      <c r="BI633" s="1000"/>
      <c r="BJ633" s="1000"/>
      <c r="BK633" s="1000"/>
      <c r="BL633" s="1000"/>
      <c r="BM633" s="1000"/>
      <c r="BN633" s="265"/>
      <c r="BO633" s="265"/>
      <c r="BP633" s="265"/>
      <c r="BQ633" s="265"/>
      <c r="BR633" s="265"/>
      <c r="BS633" s="265"/>
      <c r="BT633" s="265"/>
      <c r="BU633" s="265"/>
      <c r="BV633" s="265"/>
      <c r="BW633" s="265"/>
      <c r="BX633" s="265"/>
      <c r="BY633" s="265"/>
      <c r="BZ633" s="265"/>
      <c r="CA633" s="265"/>
      <c r="CB633" s="265"/>
      <c r="CC633" s="265"/>
      <c r="CD633" s="265"/>
      <c r="CE633" s="265"/>
      <c r="CF633" s="265"/>
      <c r="CG633" s="265"/>
      <c r="CH633" s="265"/>
      <c r="CI633" s="265"/>
      <c r="CJ633" s="265"/>
      <c r="CK633" s="265"/>
      <c r="CL633" s="265"/>
      <c r="CM633" s="265"/>
      <c r="CN633" s="265"/>
      <c r="CO633" s="265"/>
      <c r="CP633" s="265"/>
      <c r="CQ633" s="265"/>
      <c r="CR633" s="265"/>
      <c r="CS633" s="265"/>
      <c r="CT633" s="265"/>
      <c r="CU633" s="265"/>
      <c r="CV633" s="265"/>
      <c r="CW633" s="265"/>
      <c r="CX633" s="265"/>
      <c r="CY633" s="265"/>
      <c r="CZ633" s="268"/>
    </row>
    <row r="634" spans="1:104" hidden="1" outlineLevel="1">
      <c r="A634" s="264"/>
      <c r="B634" s="264"/>
      <c r="C634" s="1000" t="s">
        <v>509</v>
      </c>
      <c r="D634" s="264"/>
      <c r="E634" s="264"/>
      <c r="F634" s="264"/>
      <c r="G634" s="264"/>
      <c r="H634" s="264"/>
      <c r="I634" s="264"/>
      <c r="J634" s="266"/>
      <c r="K634" s="264"/>
      <c r="L634" s="264"/>
      <c r="M634" s="264"/>
      <c r="N634" s="264"/>
      <c r="O634" s="266"/>
      <c r="P634" s="264"/>
      <c r="Q634" s="264"/>
      <c r="R634" s="264"/>
      <c r="S634" s="264"/>
      <c r="T634" s="266"/>
      <c r="U634" s="264"/>
      <c r="V634" s="264"/>
      <c r="W634" s="264"/>
      <c r="X634" s="264"/>
      <c r="Y634" s="266"/>
      <c r="Z634" s="264"/>
      <c r="AA634" s="264"/>
      <c r="AB634" s="264"/>
      <c r="AC634" s="264"/>
      <c r="AD634" s="1000"/>
      <c r="AE634" s="264"/>
      <c r="AF634" s="264"/>
      <c r="AG634" s="264"/>
      <c r="AH634" s="264"/>
      <c r="AI634" s="1000"/>
      <c r="AJ634" s="264"/>
      <c r="AK634" s="264"/>
      <c r="AL634" s="264"/>
      <c r="AM634" s="264"/>
      <c r="AN634" s="1000"/>
      <c r="AO634" s="1000"/>
      <c r="AP634" s="1000"/>
      <c r="AQ634" s="1000"/>
      <c r="AR634" s="1000"/>
      <c r="AS634" s="266"/>
      <c r="AT634" s="266"/>
      <c r="AU634" s="266"/>
      <c r="AV634" s="266"/>
      <c r="AW634" s="266"/>
      <c r="AX634" s="266"/>
      <c r="AY634" s="266"/>
      <c r="AZ634" s="266"/>
      <c r="BA634" s="266"/>
      <c r="BB634" s="266"/>
      <c r="BC634" s="266"/>
      <c r="BD634" s="266"/>
      <c r="BE634" s="266"/>
      <c r="BF634" s="266"/>
      <c r="BG634" s="266"/>
      <c r="BH634" s="266"/>
      <c r="BI634" s="1000"/>
      <c r="BJ634" s="1000"/>
      <c r="BK634" s="1000"/>
      <c r="BL634" s="1000"/>
      <c r="BM634" s="1000"/>
      <c r="BN634" s="265"/>
      <c r="BO634" s="265"/>
      <c r="BP634" s="265"/>
      <c r="BQ634" s="265"/>
      <c r="BR634" s="265"/>
      <c r="BS634" s="265"/>
      <c r="BT634" s="265"/>
      <c r="BU634" s="265"/>
      <c r="BV634" s="265"/>
      <c r="BW634" s="265"/>
      <c r="BX634" s="265"/>
      <c r="BY634" s="265"/>
      <c r="BZ634" s="265"/>
      <c r="CA634" s="265"/>
      <c r="CB634" s="265"/>
      <c r="CC634" s="265"/>
      <c r="CD634" s="265"/>
      <c r="CE634" s="265"/>
      <c r="CF634" s="265"/>
      <c r="CG634" s="265"/>
      <c r="CH634" s="265"/>
      <c r="CI634" s="265"/>
      <c r="CJ634" s="265"/>
      <c r="CK634" s="265"/>
      <c r="CL634" s="265"/>
      <c r="CM634" s="265"/>
      <c r="CN634" s="265"/>
      <c r="CO634" s="265"/>
      <c r="CP634" s="265"/>
      <c r="CQ634" s="265"/>
      <c r="CR634" s="265"/>
      <c r="CS634" s="265"/>
      <c r="CT634" s="265"/>
      <c r="CU634" s="265"/>
      <c r="CV634" s="265"/>
      <c r="CW634" s="265"/>
      <c r="CX634" s="265"/>
      <c r="CY634" s="265"/>
      <c r="CZ634" s="268"/>
    </row>
    <row r="635" spans="1:104" hidden="1" outlineLevel="1">
      <c r="A635" s="264"/>
      <c r="B635" s="264"/>
      <c r="C635" s="1000" t="s">
        <v>508</v>
      </c>
      <c r="D635" s="264"/>
      <c r="E635" s="264"/>
      <c r="F635" s="264"/>
      <c r="G635" s="264"/>
      <c r="H635" s="264"/>
      <c r="I635" s="264"/>
      <c r="J635" s="266"/>
      <c r="K635" s="264"/>
      <c r="L635" s="264"/>
      <c r="M635" s="264"/>
      <c r="N635" s="264"/>
      <c r="O635" s="266"/>
      <c r="P635" s="264"/>
      <c r="Q635" s="264"/>
      <c r="R635" s="264"/>
      <c r="S635" s="264"/>
      <c r="T635" s="266"/>
      <c r="U635" s="264"/>
      <c r="V635" s="264"/>
      <c r="W635" s="264"/>
      <c r="X635" s="264"/>
      <c r="Y635" s="266"/>
      <c r="Z635" s="264"/>
      <c r="AA635" s="264"/>
      <c r="AB635" s="264"/>
      <c r="AC635" s="264"/>
      <c r="AD635" s="1000"/>
      <c r="AE635" s="264"/>
      <c r="AF635" s="264"/>
      <c r="AG635" s="264"/>
      <c r="AH635" s="264"/>
      <c r="AI635" s="1000"/>
      <c r="AJ635" s="264"/>
      <c r="AK635" s="264"/>
      <c r="AL635" s="264"/>
      <c r="AM635" s="264"/>
      <c r="AN635" s="1000"/>
      <c r="AO635" s="1000"/>
      <c r="AP635" s="1000"/>
      <c r="AQ635" s="1000"/>
      <c r="AR635" s="1000"/>
      <c r="AS635" s="266"/>
      <c r="AT635" s="266"/>
      <c r="AU635" s="266"/>
      <c r="AV635" s="266"/>
      <c r="AW635" s="266"/>
      <c r="AX635" s="266"/>
      <c r="AY635" s="266"/>
      <c r="AZ635" s="266"/>
      <c r="BA635" s="266"/>
      <c r="BB635" s="266"/>
      <c r="BC635" s="266"/>
      <c r="BD635" s="266"/>
      <c r="BE635" s="266"/>
      <c r="BF635" s="266"/>
      <c r="BG635" s="266"/>
      <c r="BH635" s="266"/>
      <c r="BI635" s="1000"/>
      <c r="BJ635" s="1000"/>
      <c r="BK635" s="1000"/>
      <c r="BL635" s="1000"/>
      <c r="BM635" s="1000"/>
      <c r="BN635" s="265"/>
      <c r="BO635" s="265"/>
      <c r="BP635" s="265"/>
      <c r="BQ635" s="265"/>
      <c r="BR635" s="265"/>
      <c r="BS635" s="265"/>
      <c r="BT635" s="265"/>
      <c r="BU635" s="265"/>
      <c r="BV635" s="265"/>
      <c r="BW635" s="265"/>
      <c r="BX635" s="265"/>
      <c r="BY635" s="265"/>
      <c r="BZ635" s="265"/>
      <c r="CA635" s="265"/>
      <c r="CB635" s="265"/>
      <c r="CC635" s="265"/>
      <c r="CD635" s="265"/>
      <c r="CE635" s="265"/>
      <c r="CF635" s="265"/>
      <c r="CG635" s="265"/>
      <c r="CH635" s="265"/>
      <c r="CI635" s="265"/>
      <c r="CJ635" s="265"/>
      <c r="CK635" s="265"/>
      <c r="CL635" s="265"/>
      <c r="CM635" s="265"/>
      <c r="CN635" s="265"/>
      <c r="CO635" s="265"/>
      <c r="CP635" s="265"/>
      <c r="CQ635" s="265"/>
      <c r="CR635" s="265"/>
      <c r="CS635" s="265"/>
      <c r="CT635" s="265"/>
      <c r="CU635" s="265"/>
      <c r="CV635" s="265"/>
      <c r="CW635" s="265"/>
      <c r="CX635" s="265"/>
      <c r="CY635" s="265"/>
      <c r="CZ635" s="268"/>
    </row>
    <row r="636" spans="1:104" hidden="1" outlineLevel="1">
      <c r="A636" s="264"/>
      <c r="B636" s="264"/>
      <c r="C636" s="265" t="s">
        <v>507</v>
      </c>
      <c r="D636" s="264"/>
      <c r="E636" s="264"/>
      <c r="F636" s="264"/>
      <c r="G636" s="264"/>
      <c r="H636" s="264"/>
      <c r="I636" s="264"/>
      <c r="J636" s="266"/>
      <c r="K636" s="264"/>
      <c r="L636" s="264"/>
      <c r="M636" s="264"/>
      <c r="N636" s="264"/>
      <c r="O636" s="266"/>
      <c r="P636" s="264"/>
      <c r="Q636" s="264"/>
      <c r="R636" s="264"/>
      <c r="S636" s="264"/>
      <c r="T636" s="266"/>
      <c r="U636" s="264"/>
      <c r="V636" s="264"/>
      <c r="W636" s="264"/>
      <c r="X636" s="264"/>
      <c r="Y636" s="266"/>
      <c r="Z636" s="264"/>
      <c r="AA636" s="264"/>
      <c r="AB636" s="264"/>
      <c r="AC636" s="264"/>
      <c r="AD636" s="1000"/>
      <c r="AE636" s="264"/>
      <c r="AF636" s="264"/>
      <c r="AG636" s="264"/>
      <c r="AH636" s="264"/>
      <c r="AI636" s="1000"/>
      <c r="AJ636" s="264"/>
      <c r="AK636" s="264"/>
      <c r="AL636" s="264"/>
      <c r="AM636" s="264"/>
      <c r="AN636" s="1000"/>
      <c r="AO636" s="1000"/>
      <c r="AP636" s="1000"/>
      <c r="AQ636" s="1000"/>
      <c r="AR636" s="1000"/>
      <c r="AS636" s="266">
        <v>39</v>
      </c>
      <c r="AT636" s="266"/>
      <c r="AU636" s="266"/>
      <c r="AV636" s="266"/>
      <c r="AW636" s="266"/>
      <c r="AX636" s="266"/>
      <c r="AY636" s="266"/>
      <c r="AZ636" s="266"/>
      <c r="BA636" s="266"/>
      <c r="BB636" s="266"/>
      <c r="BC636" s="266"/>
      <c r="BD636" s="266"/>
      <c r="BE636" s="266"/>
      <c r="BF636" s="266"/>
      <c r="BG636" s="266"/>
      <c r="BH636" s="266"/>
      <c r="BI636" s="1000"/>
      <c r="BJ636" s="1000"/>
      <c r="BK636" s="1000"/>
      <c r="BL636" s="1000"/>
      <c r="BM636" s="1000"/>
      <c r="BN636" s="265"/>
      <c r="BO636" s="265"/>
      <c r="BP636" s="265"/>
      <c r="BQ636" s="265"/>
      <c r="BR636" s="265"/>
      <c r="BS636" s="265"/>
      <c r="BT636" s="265"/>
      <c r="BU636" s="265"/>
      <c r="BV636" s="265"/>
      <c r="BW636" s="265"/>
      <c r="BX636" s="265"/>
      <c r="BY636" s="265"/>
      <c r="BZ636" s="265"/>
      <c r="CA636" s="265"/>
      <c r="CB636" s="265"/>
      <c r="CC636" s="265"/>
      <c r="CD636" s="265"/>
      <c r="CE636" s="265"/>
      <c r="CF636" s="265"/>
      <c r="CG636" s="265"/>
      <c r="CH636" s="265"/>
      <c r="CI636" s="265"/>
      <c r="CJ636" s="265"/>
      <c r="CK636" s="265"/>
      <c r="CL636" s="265"/>
      <c r="CM636" s="265"/>
      <c r="CN636" s="265"/>
      <c r="CO636" s="265"/>
      <c r="CP636" s="265"/>
      <c r="CQ636" s="265"/>
      <c r="CR636" s="265"/>
      <c r="CS636" s="265"/>
      <c r="CT636" s="265"/>
      <c r="CU636" s="265"/>
      <c r="CV636" s="265"/>
      <c r="CW636" s="265"/>
      <c r="CX636" s="265"/>
      <c r="CY636" s="265"/>
      <c r="CZ636" s="268"/>
    </row>
    <row r="637" spans="1:104" hidden="1" outlineLevel="1">
      <c r="A637" s="264"/>
      <c r="B637" s="264"/>
      <c r="C637" s="265" t="s">
        <v>506</v>
      </c>
      <c r="D637" s="264"/>
      <c r="E637" s="264"/>
      <c r="F637" s="264"/>
      <c r="G637" s="264"/>
      <c r="H637" s="264"/>
      <c r="I637" s="264"/>
      <c r="J637" s="266"/>
      <c r="K637" s="264"/>
      <c r="L637" s="264"/>
      <c r="M637" s="264"/>
      <c r="N637" s="264"/>
      <c r="O637" s="266"/>
      <c r="P637" s="264"/>
      <c r="Q637" s="264"/>
      <c r="R637" s="264"/>
      <c r="S637" s="264"/>
      <c r="T637" s="266"/>
      <c r="U637" s="264"/>
      <c r="V637" s="264"/>
      <c r="W637" s="264"/>
      <c r="X637" s="264"/>
      <c r="Y637" s="266"/>
      <c r="Z637" s="264"/>
      <c r="AA637" s="264"/>
      <c r="AB637" s="264"/>
      <c r="AC637" s="264"/>
      <c r="AD637" s="1000"/>
      <c r="AE637" s="264"/>
      <c r="AF637" s="264"/>
      <c r="AG637" s="264"/>
      <c r="AH637" s="264"/>
      <c r="AI637" s="1000"/>
      <c r="AJ637" s="264"/>
      <c r="AK637" s="264"/>
      <c r="AL637" s="264"/>
      <c r="AM637" s="264"/>
      <c r="AN637" s="1000"/>
      <c r="AO637" s="1000"/>
      <c r="AP637" s="1000"/>
      <c r="AQ637" s="1000"/>
      <c r="AR637" s="1000"/>
      <c r="AS637" s="266">
        <v>53</v>
      </c>
      <c r="AT637" s="266"/>
      <c r="AU637" s="266"/>
      <c r="AV637" s="266"/>
      <c r="AW637" s="266"/>
      <c r="AX637" s="266"/>
      <c r="AY637" s="266"/>
      <c r="AZ637" s="266"/>
      <c r="BA637" s="266"/>
      <c r="BB637" s="266"/>
      <c r="BC637" s="266"/>
      <c r="BD637" s="266"/>
      <c r="BE637" s="266"/>
      <c r="BF637" s="266"/>
      <c r="BG637" s="266"/>
      <c r="BH637" s="266"/>
      <c r="BI637" s="1000"/>
      <c r="BJ637" s="1000"/>
      <c r="BK637" s="1000"/>
      <c r="BL637" s="1000"/>
      <c r="BM637" s="1000"/>
      <c r="BN637" s="265"/>
      <c r="BO637" s="265"/>
      <c r="BP637" s="265"/>
      <c r="BQ637" s="265"/>
      <c r="BR637" s="265"/>
      <c r="BS637" s="265"/>
      <c r="BT637" s="265"/>
      <c r="BU637" s="265"/>
      <c r="BV637" s="265"/>
      <c r="BW637" s="265"/>
      <c r="BX637" s="265"/>
      <c r="BY637" s="265"/>
      <c r="BZ637" s="265"/>
      <c r="CA637" s="265"/>
      <c r="CB637" s="265"/>
      <c r="CC637" s="265"/>
      <c r="CD637" s="265"/>
      <c r="CE637" s="265"/>
      <c r="CF637" s="265"/>
      <c r="CG637" s="265"/>
      <c r="CH637" s="265"/>
      <c r="CI637" s="265"/>
      <c r="CJ637" s="265"/>
      <c r="CK637" s="265"/>
      <c r="CL637" s="265"/>
      <c r="CM637" s="265"/>
      <c r="CN637" s="265"/>
      <c r="CO637" s="265"/>
      <c r="CP637" s="265"/>
      <c r="CQ637" s="265"/>
      <c r="CR637" s="265"/>
      <c r="CS637" s="265"/>
      <c r="CT637" s="265"/>
      <c r="CU637" s="265"/>
      <c r="CV637" s="265"/>
      <c r="CW637" s="265"/>
      <c r="CX637" s="265"/>
      <c r="CY637" s="265"/>
      <c r="CZ637" s="268"/>
    </row>
    <row r="638" spans="1:104" hidden="1" outlineLevel="1">
      <c r="A638" s="264"/>
      <c r="B638" s="264"/>
      <c r="C638" s="1003" t="s">
        <v>163</v>
      </c>
      <c r="D638" s="264"/>
      <c r="E638" s="264"/>
      <c r="F638" s="264"/>
      <c r="G638" s="264"/>
      <c r="H638" s="264"/>
      <c r="I638" s="264"/>
      <c r="J638" s="266"/>
      <c r="K638" s="264"/>
      <c r="L638" s="264"/>
      <c r="M638" s="264"/>
      <c r="N638" s="264"/>
      <c r="O638" s="266"/>
      <c r="P638" s="264"/>
      <c r="Q638" s="264"/>
      <c r="R638" s="264"/>
      <c r="S638" s="264"/>
      <c r="T638" s="266"/>
      <c r="U638" s="264"/>
      <c r="V638" s="264"/>
      <c r="W638" s="264"/>
      <c r="X638" s="264"/>
      <c r="Y638" s="266"/>
      <c r="Z638" s="264"/>
      <c r="AA638" s="264"/>
      <c r="AB638" s="264"/>
      <c r="AC638" s="264"/>
      <c r="AD638" s="1000"/>
      <c r="AE638" s="264"/>
      <c r="AF638" s="264"/>
      <c r="AG638" s="264"/>
      <c r="AH638" s="264"/>
      <c r="AI638" s="1000"/>
      <c r="AJ638" s="264"/>
      <c r="AK638" s="264"/>
      <c r="AL638" s="264"/>
      <c r="AM638" s="264"/>
      <c r="AN638" s="1000"/>
      <c r="AO638" s="1000"/>
      <c r="AP638" s="1000"/>
      <c r="AQ638" s="1000"/>
      <c r="AR638" s="1000"/>
      <c r="AS638" s="266">
        <v>26</v>
      </c>
      <c r="AT638" s="266"/>
      <c r="AU638" s="266"/>
      <c r="AV638" s="266"/>
      <c r="AW638" s="266"/>
      <c r="AX638" s="266"/>
      <c r="AY638" s="266"/>
      <c r="AZ638" s="266"/>
      <c r="BA638" s="266"/>
      <c r="BB638" s="266"/>
      <c r="BC638" s="266"/>
      <c r="BD638" s="266"/>
      <c r="BE638" s="266"/>
      <c r="BF638" s="266"/>
      <c r="BG638" s="266"/>
      <c r="BH638" s="266"/>
      <c r="BI638" s="1000"/>
      <c r="BJ638" s="1000"/>
      <c r="BK638" s="1000"/>
      <c r="BL638" s="1000"/>
      <c r="BM638" s="1000"/>
      <c r="BN638" s="265"/>
      <c r="BO638" s="265"/>
      <c r="BP638" s="265"/>
      <c r="BQ638" s="265"/>
      <c r="BR638" s="265"/>
      <c r="BS638" s="265"/>
      <c r="BT638" s="265"/>
      <c r="BU638" s="265"/>
      <c r="BV638" s="265"/>
      <c r="BW638" s="265"/>
      <c r="BX638" s="265"/>
      <c r="BY638" s="265"/>
      <c r="BZ638" s="265"/>
      <c r="CA638" s="265"/>
      <c r="CB638" s="265"/>
      <c r="CC638" s="265"/>
      <c r="CD638" s="265"/>
      <c r="CE638" s="265"/>
      <c r="CF638" s="265"/>
      <c r="CG638" s="265"/>
      <c r="CH638" s="265"/>
      <c r="CI638" s="265"/>
      <c r="CJ638" s="265"/>
      <c r="CK638" s="265"/>
      <c r="CL638" s="265"/>
      <c r="CM638" s="265"/>
      <c r="CN638" s="265"/>
      <c r="CO638" s="265"/>
      <c r="CP638" s="265"/>
      <c r="CQ638" s="265"/>
      <c r="CR638" s="265"/>
      <c r="CS638" s="265"/>
      <c r="CT638" s="265"/>
      <c r="CU638" s="265"/>
      <c r="CV638" s="265"/>
      <c r="CW638" s="265"/>
      <c r="CX638" s="265"/>
      <c r="CY638" s="265"/>
      <c r="CZ638" s="268"/>
    </row>
    <row r="639" spans="1:104" hidden="1" outlineLevel="1">
      <c r="A639" s="264"/>
      <c r="B639" s="264"/>
      <c r="C639" s="1003" t="s">
        <v>309</v>
      </c>
      <c r="D639" s="264"/>
      <c r="E639" s="264"/>
      <c r="F639" s="264"/>
      <c r="G639" s="264"/>
      <c r="H639" s="264"/>
      <c r="I639" s="264"/>
      <c r="J639" s="266"/>
      <c r="K639" s="264"/>
      <c r="L639" s="264"/>
      <c r="M639" s="264"/>
      <c r="N639" s="264"/>
      <c r="O639" s="266"/>
      <c r="P639" s="264"/>
      <c r="Q639" s="264"/>
      <c r="R639" s="264"/>
      <c r="S639" s="264"/>
      <c r="T639" s="266"/>
      <c r="U639" s="264"/>
      <c r="V639" s="264"/>
      <c r="W639" s="264"/>
      <c r="X639" s="264"/>
      <c r="Y639" s="266"/>
      <c r="Z639" s="264"/>
      <c r="AA639" s="264"/>
      <c r="AB639" s="264"/>
      <c r="AC639" s="264"/>
      <c r="AD639" s="1000"/>
      <c r="AE639" s="264"/>
      <c r="AF639" s="264"/>
      <c r="AG639" s="264"/>
      <c r="AH639" s="264"/>
      <c r="AI639" s="1000"/>
      <c r="AJ639" s="264"/>
      <c r="AK639" s="264"/>
      <c r="AL639" s="264"/>
      <c r="AM639" s="264"/>
      <c r="AN639" s="1000"/>
      <c r="AO639" s="1000"/>
      <c r="AP639" s="1000"/>
      <c r="AQ639" s="1000"/>
      <c r="AR639" s="1000"/>
      <c r="AS639" s="266">
        <v>19</v>
      </c>
      <c r="AT639" s="266"/>
      <c r="AU639" s="266"/>
      <c r="AV639" s="266"/>
      <c r="AW639" s="266"/>
      <c r="AX639" s="266"/>
      <c r="AY639" s="266"/>
      <c r="AZ639" s="266"/>
      <c r="BA639" s="266"/>
      <c r="BB639" s="266"/>
      <c r="BC639" s="266"/>
      <c r="BD639" s="266"/>
      <c r="BE639" s="266"/>
      <c r="BF639" s="266"/>
      <c r="BG639" s="266"/>
      <c r="BH639" s="266"/>
      <c r="BI639" s="1000"/>
      <c r="BJ639" s="1000"/>
      <c r="BK639" s="1000"/>
      <c r="BL639" s="1000"/>
      <c r="BM639" s="1000"/>
      <c r="BN639" s="265"/>
      <c r="BO639" s="265"/>
      <c r="BP639" s="265"/>
      <c r="BQ639" s="265"/>
      <c r="BR639" s="265"/>
      <c r="BS639" s="265"/>
      <c r="BT639" s="265"/>
      <c r="BU639" s="265"/>
      <c r="BV639" s="265"/>
      <c r="BW639" s="265"/>
      <c r="BX639" s="265"/>
      <c r="BY639" s="265"/>
      <c r="BZ639" s="265"/>
      <c r="CA639" s="265"/>
      <c r="CB639" s="265"/>
      <c r="CC639" s="265"/>
      <c r="CD639" s="265"/>
      <c r="CE639" s="265"/>
      <c r="CF639" s="265"/>
      <c r="CG639" s="265"/>
      <c r="CH639" s="265"/>
      <c r="CI639" s="265"/>
      <c r="CJ639" s="265"/>
      <c r="CK639" s="265"/>
      <c r="CL639" s="265"/>
      <c r="CM639" s="265"/>
      <c r="CN639" s="265"/>
      <c r="CO639" s="265"/>
      <c r="CP639" s="265"/>
      <c r="CQ639" s="265"/>
      <c r="CR639" s="265"/>
      <c r="CS639" s="265"/>
      <c r="CT639" s="265"/>
      <c r="CU639" s="265"/>
      <c r="CV639" s="265"/>
      <c r="CW639" s="265"/>
      <c r="CX639" s="265"/>
      <c r="CY639" s="265"/>
      <c r="CZ639" s="268"/>
    </row>
    <row r="640" spans="1:104" hidden="1" outlineLevel="1">
      <c r="A640" s="264"/>
      <c r="B640" s="264"/>
      <c r="C640" s="1003" t="s">
        <v>167</v>
      </c>
      <c r="D640" s="264"/>
      <c r="E640" s="264"/>
      <c r="F640" s="264"/>
      <c r="G640" s="264"/>
      <c r="H640" s="264"/>
      <c r="I640" s="264"/>
      <c r="J640" s="266"/>
      <c r="K640" s="264"/>
      <c r="L640" s="264"/>
      <c r="M640" s="264"/>
      <c r="N640" s="264"/>
      <c r="O640" s="266"/>
      <c r="P640" s="264"/>
      <c r="Q640" s="264"/>
      <c r="R640" s="264"/>
      <c r="S640" s="264"/>
      <c r="T640" s="266"/>
      <c r="U640" s="264"/>
      <c r="V640" s="264"/>
      <c r="W640" s="264"/>
      <c r="X640" s="264"/>
      <c r="Y640" s="266"/>
      <c r="Z640" s="264"/>
      <c r="AA640" s="264"/>
      <c r="AB640" s="264"/>
      <c r="AC640" s="264"/>
      <c r="AD640" s="1000"/>
      <c r="AE640" s="264"/>
      <c r="AF640" s="264"/>
      <c r="AG640" s="264"/>
      <c r="AH640" s="264"/>
      <c r="AI640" s="1000"/>
      <c r="AJ640" s="264"/>
      <c r="AK640" s="264"/>
      <c r="AL640" s="264"/>
      <c r="AM640" s="264"/>
      <c r="AN640" s="1000"/>
      <c r="AO640" s="1000"/>
      <c r="AP640" s="1000"/>
      <c r="AQ640" s="1000"/>
      <c r="AR640" s="1000"/>
      <c r="AS640" s="266">
        <v>28</v>
      </c>
      <c r="AT640" s="266"/>
      <c r="AU640" s="266"/>
      <c r="AV640" s="266"/>
      <c r="AW640" s="266"/>
      <c r="AX640" s="266"/>
      <c r="AY640" s="266"/>
      <c r="AZ640" s="266"/>
      <c r="BA640" s="266"/>
      <c r="BB640" s="266"/>
      <c r="BC640" s="266"/>
      <c r="BD640" s="266"/>
      <c r="BE640" s="266"/>
      <c r="BF640" s="266"/>
      <c r="BG640" s="266"/>
      <c r="BH640" s="266"/>
      <c r="BI640" s="1000"/>
      <c r="BJ640" s="1000"/>
      <c r="BK640" s="1000"/>
      <c r="BL640" s="1000"/>
      <c r="BM640" s="1000"/>
      <c r="BN640" s="265"/>
      <c r="BO640" s="265"/>
      <c r="BP640" s="265"/>
      <c r="BQ640" s="265"/>
      <c r="BR640" s="265"/>
      <c r="BS640" s="265"/>
      <c r="BT640" s="265"/>
      <c r="BU640" s="265"/>
      <c r="BV640" s="265"/>
      <c r="BW640" s="265"/>
      <c r="BX640" s="265"/>
      <c r="BY640" s="265"/>
      <c r="BZ640" s="265"/>
      <c r="CA640" s="265"/>
      <c r="CB640" s="265"/>
      <c r="CC640" s="265"/>
      <c r="CD640" s="265"/>
      <c r="CE640" s="265"/>
      <c r="CF640" s="265"/>
      <c r="CG640" s="265"/>
      <c r="CH640" s="265"/>
      <c r="CI640" s="265"/>
      <c r="CJ640" s="265"/>
      <c r="CK640" s="265"/>
      <c r="CL640" s="265"/>
      <c r="CM640" s="265"/>
      <c r="CN640" s="265"/>
      <c r="CO640" s="265"/>
      <c r="CP640" s="265"/>
      <c r="CQ640" s="265"/>
      <c r="CR640" s="265"/>
      <c r="CS640" s="265"/>
      <c r="CT640" s="265"/>
      <c r="CU640" s="265"/>
      <c r="CV640" s="265"/>
      <c r="CW640" s="265"/>
      <c r="CX640" s="265"/>
      <c r="CY640" s="265"/>
      <c r="CZ640" s="268"/>
    </row>
    <row r="641" spans="1:104" hidden="1" outlineLevel="1">
      <c r="A641" s="264"/>
      <c r="B641" s="264"/>
      <c r="C641" s="1003" t="s">
        <v>308</v>
      </c>
      <c r="D641" s="264"/>
      <c r="E641" s="264"/>
      <c r="F641" s="264"/>
      <c r="G641" s="264"/>
      <c r="H641" s="264"/>
      <c r="I641" s="264"/>
      <c r="J641" s="266"/>
      <c r="K641" s="264"/>
      <c r="L641" s="264"/>
      <c r="M641" s="264"/>
      <c r="N641" s="264"/>
      <c r="O641" s="266"/>
      <c r="P641" s="264"/>
      <c r="Q641" s="264"/>
      <c r="R641" s="264"/>
      <c r="S641" s="264"/>
      <c r="T641" s="266"/>
      <c r="U641" s="264"/>
      <c r="V641" s="264"/>
      <c r="W641" s="264"/>
      <c r="X641" s="264"/>
      <c r="Y641" s="266"/>
      <c r="Z641" s="264"/>
      <c r="AA641" s="264"/>
      <c r="AB641" s="264"/>
      <c r="AC641" s="264"/>
      <c r="AD641" s="1000"/>
      <c r="AE641" s="264"/>
      <c r="AF641" s="264"/>
      <c r="AG641" s="264"/>
      <c r="AH641" s="264"/>
      <c r="AI641" s="1000"/>
      <c r="AJ641" s="264"/>
      <c r="AK641" s="264"/>
      <c r="AL641" s="264"/>
      <c r="AM641" s="264"/>
      <c r="AN641" s="1000"/>
      <c r="AO641" s="1000"/>
      <c r="AP641" s="1000"/>
      <c r="AQ641" s="1000"/>
      <c r="AR641" s="1000"/>
      <c r="AS641" s="266">
        <v>6</v>
      </c>
      <c r="AT641" s="266"/>
      <c r="AU641" s="266"/>
      <c r="AV641" s="266"/>
      <c r="AW641" s="266"/>
      <c r="AX641" s="266"/>
      <c r="AY641" s="266"/>
      <c r="AZ641" s="266"/>
      <c r="BA641" s="266"/>
      <c r="BB641" s="266"/>
      <c r="BC641" s="266"/>
      <c r="BD641" s="266"/>
      <c r="BE641" s="266"/>
      <c r="BF641" s="266"/>
      <c r="BG641" s="266"/>
      <c r="BH641" s="266"/>
      <c r="BI641" s="1000"/>
      <c r="BJ641" s="1000"/>
      <c r="BK641" s="1000"/>
      <c r="BL641" s="1000"/>
      <c r="BM641" s="1000"/>
      <c r="BN641" s="265"/>
      <c r="BO641" s="265"/>
      <c r="BP641" s="265"/>
      <c r="BQ641" s="265"/>
      <c r="BR641" s="265"/>
      <c r="BS641" s="265"/>
      <c r="BT641" s="265"/>
      <c r="BU641" s="265"/>
      <c r="BV641" s="265"/>
      <c r="BW641" s="265"/>
      <c r="BX641" s="265"/>
      <c r="BY641" s="265"/>
      <c r="BZ641" s="265"/>
      <c r="CA641" s="265"/>
      <c r="CB641" s="265"/>
      <c r="CC641" s="265"/>
      <c r="CD641" s="265"/>
      <c r="CE641" s="265"/>
      <c r="CF641" s="265"/>
      <c r="CG641" s="265"/>
      <c r="CH641" s="265"/>
      <c r="CI641" s="265"/>
      <c r="CJ641" s="265"/>
      <c r="CK641" s="265"/>
      <c r="CL641" s="265"/>
      <c r="CM641" s="265"/>
      <c r="CN641" s="265"/>
      <c r="CO641" s="265"/>
      <c r="CP641" s="265"/>
      <c r="CQ641" s="265"/>
      <c r="CR641" s="265"/>
      <c r="CS641" s="265"/>
      <c r="CT641" s="265"/>
      <c r="CU641" s="265"/>
      <c r="CV641" s="265"/>
      <c r="CW641" s="265"/>
      <c r="CX641" s="265"/>
      <c r="CY641" s="265"/>
      <c r="CZ641" s="268"/>
    </row>
    <row r="642" spans="1:104" hidden="1" outlineLevel="1">
      <c r="A642" s="264"/>
      <c r="B642" s="264"/>
      <c r="C642" s="265" t="s">
        <v>505</v>
      </c>
      <c r="D642" s="264"/>
      <c r="E642" s="264"/>
      <c r="F642" s="264"/>
      <c r="G642" s="264"/>
      <c r="H642" s="264"/>
      <c r="I642" s="264"/>
      <c r="J642" s="266"/>
      <c r="K642" s="264"/>
      <c r="L642" s="264"/>
      <c r="M642" s="264"/>
      <c r="N642" s="264"/>
      <c r="O642" s="266"/>
      <c r="P642" s="264"/>
      <c r="Q642" s="264"/>
      <c r="R642" s="264"/>
      <c r="S642" s="264"/>
      <c r="T642" s="266"/>
      <c r="U642" s="264"/>
      <c r="V642" s="264"/>
      <c r="W642" s="264"/>
      <c r="X642" s="264"/>
      <c r="Y642" s="266"/>
      <c r="Z642" s="264"/>
      <c r="AA642" s="264"/>
      <c r="AB642" s="264"/>
      <c r="AC642" s="264"/>
      <c r="AD642" s="1000"/>
      <c r="AE642" s="264"/>
      <c r="AF642" s="264"/>
      <c r="AG642" s="264"/>
      <c r="AH642" s="264"/>
      <c r="AI642" s="1000"/>
      <c r="AJ642" s="264"/>
      <c r="AK642" s="264"/>
      <c r="AL642" s="264"/>
      <c r="AM642" s="264"/>
      <c r="AN642" s="1000"/>
      <c r="AO642" s="1000"/>
      <c r="AP642" s="1000"/>
      <c r="AQ642" s="1000"/>
      <c r="AR642" s="1000"/>
      <c r="AS642" s="266">
        <v>26</v>
      </c>
      <c r="AT642" s="266"/>
      <c r="AU642" s="266"/>
      <c r="AV642" s="266"/>
      <c r="AW642" s="266"/>
      <c r="AX642" s="266"/>
      <c r="AY642" s="266"/>
      <c r="AZ642" s="266"/>
      <c r="BA642" s="266"/>
      <c r="BB642" s="266"/>
      <c r="BC642" s="266"/>
      <c r="BD642" s="266"/>
      <c r="BE642" s="266"/>
      <c r="BF642" s="266"/>
      <c r="BG642" s="266"/>
      <c r="BH642" s="266"/>
      <c r="BI642" s="1000"/>
      <c r="BJ642" s="1000"/>
      <c r="BK642" s="1000"/>
      <c r="BL642" s="1000"/>
      <c r="BM642" s="1000"/>
      <c r="BN642" s="265"/>
      <c r="BO642" s="265"/>
      <c r="BP642" s="265"/>
      <c r="BQ642" s="265"/>
      <c r="BR642" s="265"/>
      <c r="BS642" s="265"/>
      <c r="BT642" s="265"/>
      <c r="BU642" s="265"/>
      <c r="BV642" s="265"/>
      <c r="BW642" s="265"/>
      <c r="BX642" s="265"/>
      <c r="BY642" s="265"/>
      <c r="BZ642" s="265"/>
      <c r="CA642" s="265"/>
      <c r="CB642" s="265"/>
      <c r="CC642" s="265"/>
      <c r="CD642" s="265"/>
      <c r="CE642" s="265"/>
      <c r="CF642" s="265"/>
      <c r="CG642" s="265"/>
      <c r="CH642" s="265"/>
      <c r="CI642" s="265"/>
      <c r="CJ642" s="265"/>
      <c r="CK642" s="265"/>
      <c r="CL642" s="265"/>
      <c r="CM642" s="265"/>
      <c r="CN642" s="265"/>
      <c r="CO642" s="265"/>
      <c r="CP642" s="265"/>
      <c r="CQ642" s="265"/>
      <c r="CR642" s="265"/>
      <c r="CS642" s="265"/>
      <c r="CT642" s="265"/>
      <c r="CU642" s="265"/>
      <c r="CV642" s="265"/>
      <c r="CW642" s="265"/>
      <c r="CX642" s="265"/>
      <c r="CY642" s="265"/>
      <c r="CZ642" s="268"/>
    </row>
    <row r="643" spans="1:104" hidden="1" outlineLevel="1">
      <c r="A643" s="264"/>
      <c r="B643" s="264"/>
      <c r="C643" s="264"/>
      <c r="D643" s="264"/>
      <c r="E643" s="264"/>
      <c r="F643" s="264"/>
      <c r="G643" s="264"/>
      <c r="H643" s="264"/>
      <c r="I643" s="264"/>
      <c r="J643" s="266"/>
      <c r="K643" s="264"/>
      <c r="L643" s="264"/>
      <c r="M643" s="264"/>
      <c r="N643" s="264"/>
      <c r="O643" s="266"/>
      <c r="P643" s="264"/>
      <c r="Q643" s="264"/>
      <c r="R643" s="264"/>
      <c r="S643" s="264"/>
      <c r="T643" s="266"/>
      <c r="U643" s="264"/>
      <c r="V643" s="264"/>
      <c r="W643" s="264"/>
      <c r="X643" s="264"/>
      <c r="Y643" s="266"/>
      <c r="Z643" s="264"/>
      <c r="AA643" s="264"/>
      <c r="AB643" s="264"/>
      <c r="AC643" s="264"/>
      <c r="AD643" s="1000"/>
      <c r="AE643" s="264"/>
      <c r="AF643" s="264"/>
      <c r="AG643" s="264"/>
      <c r="AH643" s="264"/>
      <c r="AI643" s="1000"/>
      <c r="AJ643" s="264"/>
      <c r="AK643" s="264"/>
      <c r="AL643" s="264"/>
      <c r="AM643" s="264"/>
      <c r="AN643" s="1000"/>
      <c r="AO643" s="1000"/>
      <c r="AP643" s="1000"/>
      <c r="AQ643" s="1000"/>
      <c r="AR643" s="1000"/>
      <c r="AS643" s="266"/>
      <c r="AT643" s="266"/>
      <c r="AU643" s="266"/>
      <c r="AV643" s="266"/>
      <c r="AW643" s="266"/>
      <c r="AX643" s="266"/>
      <c r="AY643" s="266"/>
      <c r="AZ643" s="266"/>
      <c r="BA643" s="266"/>
      <c r="BB643" s="266"/>
      <c r="BC643" s="266"/>
      <c r="BD643" s="266"/>
      <c r="BE643" s="266"/>
      <c r="BF643" s="266"/>
      <c r="BG643" s="266"/>
      <c r="BH643" s="266"/>
      <c r="BI643" s="1000"/>
      <c r="BJ643" s="1000"/>
      <c r="BK643" s="1000"/>
      <c r="BL643" s="1000"/>
      <c r="BM643" s="1000"/>
      <c r="BN643" s="265"/>
      <c r="BO643" s="265"/>
      <c r="BP643" s="265"/>
      <c r="BQ643" s="265"/>
      <c r="BR643" s="265"/>
      <c r="BS643" s="265"/>
      <c r="BT643" s="265"/>
      <c r="BU643" s="265"/>
      <c r="BV643" s="265"/>
      <c r="BW643" s="265"/>
      <c r="BX643" s="265"/>
      <c r="BY643" s="265"/>
      <c r="BZ643" s="265"/>
      <c r="CA643" s="265"/>
      <c r="CB643" s="265"/>
      <c r="CC643" s="265"/>
      <c r="CD643" s="265"/>
      <c r="CE643" s="265"/>
      <c r="CF643" s="265"/>
      <c r="CG643" s="265"/>
      <c r="CH643" s="265"/>
      <c r="CI643" s="265"/>
      <c r="CJ643" s="265"/>
      <c r="CK643" s="265"/>
      <c r="CL643" s="265"/>
      <c r="CM643" s="265"/>
      <c r="CN643" s="265"/>
      <c r="CO643" s="265"/>
      <c r="CP643" s="265"/>
      <c r="CQ643" s="265"/>
      <c r="CR643" s="265"/>
      <c r="CS643" s="265"/>
      <c r="CT643" s="265"/>
      <c r="CU643" s="265"/>
      <c r="CV643" s="265"/>
      <c r="CW643" s="265"/>
      <c r="CX643" s="265"/>
      <c r="CY643" s="265"/>
      <c r="CZ643" s="268"/>
    </row>
    <row r="644" spans="1:104" hidden="1" outlineLevel="1">
      <c r="A644" s="264"/>
      <c r="B644" s="264"/>
      <c r="C644" s="1001" t="s">
        <v>504</v>
      </c>
      <c r="D644" s="264"/>
      <c r="E644" s="264"/>
      <c r="F644" s="264"/>
      <c r="G644" s="264"/>
      <c r="H644" s="264"/>
      <c r="I644" s="264"/>
      <c r="J644" s="266"/>
      <c r="K644" s="264"/>
      <c r="L644" s="264"/>
      <c r="M644" s="264"/>
      <c r="N644" s="264"/>
      <c r="O644" s="266"/>
      <c r="P644" s="264"/>
      <c r="Q644" s="264"/>
      <c r="R644" s="264"/>
      <c r="S644" s="264"/>
      <c r="T644" s="266"/>
      <c r="U644" s="264"/>
      <c r="V644" s="264"/>
      <c r="W644" s="264"/>
      <c r="X644" s="264"/>
      <c r="Y644" s="266"/>
      <c r="Z644" s="264"/>
      <c r="AA644" s="264"/>
      <c r="AB644" s="264"/>
      <c r="AC644" s="264"/>
      <c r="AD644" s="1000"/>
      <c r="AE644" s="264"/>
      <c r="AF644" s="264"/>
      <c r="AG644" s="264"/>
      <c r="AH644" s="264"/>
      <c r="AI644" s="1000"/>
      <c r="AJ644" s="264"/>
      <c r="AK644" s="264"/>
      <c r="AL644" s="264"/>
      <c r="AM644" s="264"/>
      <c r="AN644" s="1000"/>
      <c r="AO644" s="1000"/>
      <c r="AP644" s="1000"/>
      <c r="AQ644" s="1000"/>
      <c r="AR644" s="1000"/>
      <c r="AS644" s="266"/>
      <c r="AT644" s="266"/>
      <c r="AU644" s="266"/>
      <c r="AV644" s="266"/>
      <c r="AW644" s="266"/>
      <c r="AX644" s="266"/>
      <c r="AY644" s="266"/>
      <c r="AZ644" s="266"/>
      <c r="BA644" s="266"/>
      <c r="BB644" s="266"/>
      <c r="BC644" s="266"/>
      <c r="BD644" s="266"/>
      <c r="BE644" s="266"/>
      <c r="BF644" s="266"/>
      <c r="BG644" s="266"/>
      <c r="BH644" s="266"/>
      <c r="BI644" s="1000"/>
      <c r="BJ644" s="1000"/>
      <c r="BK644" s="1000"/>
      <c r="BL644" s="1000"/>
      <c r="BM644" s="1000"/>
      <c r="BN644" s="265"/>
      <c r="BO644" s="265"/>
      <c r="BP644" s="265"/>
      <c r="BQ644" s="265"/>
      <c r="BR644" s="265"/>
      <c r="BS644" s="265"/>
      <c r="BT644" s="265"/>
      <c r="BU644" s="265"/>
      <c r="BV644" s="265"/>
      <c r="BW644" s="265"/>
      <c r="BX644" s="265"/>
      <c r="BY644" s="265"/>
      <c r="BZ644" s="265"/>
      <c r="CA644" s="265"/>
      <c r="CB644" s="265"/>
      <c r="CC644" s="265"/>
      <c r="CD644" s="265"/>
      <c r="CE644" s="265"/>
      <c r="CF644" s="265"/>
      <c r="CG644" s="265"/>
      <c r="CH644" s="265"/>
      <c r="CI644" s="265"/>
      <c r="CJ644" s="265"/>
      <c r="CK644" s="265"/>
      <c r="CL644" s="265"/>
      <c r="CM644" s="265"/>
      <c r="CN644" s="265"/>
      <c r="CO644" s="265"/>
      <c r="CP644" s="265"/>
      <c r="CQ644" s="265"/>
      <c r="CR644" s="265"/>
      <c r="CS644" s="265"/>
      <c r="CT644" s="265"/>
      <c r="CU644" s="265"/>
      <c r="CV644" s="265"/>
      <c r="CW644" s="265"/>
      <c r="CX644" s="265"/>
      <c r="CY644" s="265"/>
      <c r="CZ644" s="268"/>
    </row>
    <row r="645" spans="1:104" hidden="1" outlineLevel="1">
      <c r="A645" s="264"/>
      <c r="B645" s="268"/>
      <c r="C645" s="264" t="s">
        <v>503</v>
      </c>
      <c r="D645" s="264"/>
      <c r="E645" s="264"/>
      <c r="F645" s="264"/>
      <c r="G645" s="264"/>
      <c r="H645" s="264"/>
      <c r="I645" s="264"/>
      <c r="J645" s="266"/>
      <c r="K645" s="264"/>
      <c r="L645" s="264"/>
      <c r="M645" s="264"/>
      <c r="N645" s="264"/>
      <c r="O645" s="1002">
        <v>0.122</v>
      </c>
      <c r="P645" s="264"/>
      <c r="Q645" s="264"/>
      <c r="R645" s="264"/>
      <c r="S645" s="264"/>
      <c r="T645" s="1002">
        <v>0.13700000000000001</v>
      </c>
      <c r="U645" s="264"/>
      <c r="V645" s="264"/>
      <c r="W645" s="264"/>
      <c r="X645" s="264"/>
      <c r="Y645" s="1002">
        <v>0.14199999999999999</v>
      </c>
      <c r="Z645" s="264"/>
      <c r="AA645" s="264"/>
      <c r="AB645" s="264"/>
      <c r="AC645" s="264"/>
      <c r="AD645" s="1002">
        <v>0.13600000000000001</v>
      </c>
      <c r="AE645" s="264"/>
      <c r="AF645" s="264"/>
      <c r="AG645" s="264"/>
      <c r="AH645" s="264"/>
      <c r="AI645" s="1002">
        <v>0.13300000000000001</v>
      </c>
      <c r="AJ645" s="264"/>
      <c r="AK645" s="264"/>
      <c r="AL645" s="264"/>
      <c r="AM645" s="264"/>
      <c r="AN645" s="1002">
        <v>0.13700000000000001</v>
      </c>
      <c r="AO645" s="1000"/>
      <c r="AP645" s="1000"/>
      <c r="AQ645" s="1000"/>
      <c r="AR645" s="1000"/>
      <c r="AS645" s="1002">
        <v>0.13900000000000001</v>
      </c>
      <c r="AT645" s="266"/>
      <c r="AU645" s="266"/>
      <c r="AV645" s="266"/>
      <c r="AW645" s="266"/>
      <c r="AX645" s="266"/>
      <c r="AY645" s="266"/>
      <c r="AZ645" s="266"/>
      <c r="BA645" s="266"/>
      <c r="BB645" s="266"/>
      <c r="BC645" s="266"/>
      <c r="BD645" s="266"/>
      <c r="BE645" s="266"/>
      <c r="BF645" s="266"/>
      <c r="BG645" s="266"/>
      <c r="BH645" s="266"/>
      <c r="BI645" s="1000"/>
      <c r="BJ645" s="1000"/>
      <c r="BK645" s="1000"/>
      <c r="BL645" s="1000"/>
      <c r="BM645" s="1000"/>
      <c r="BN645" s="265"/>
      <c r="BO645" s="265"/>
      <c r="BP645" s="265"/>
      <c r="BQ645" s="265"/>
      <c r="BR645" s="265"/>
      <c r="BS645" s="265"/>
      <c r="BT645" s="265"/>
      <c r="BU645" s="265"/>
      <c r="BV645" s="265"/>
      <c r="BW645" s="265"/>
      <c r="BX645" s="265"/>
      <c r="BY645" s="265"/>
      <c r="BZ645" s="265"/>
      <c r="CA645" s="265"/>
      <c r="CB645" s="265"/>
      <c r="CC645" s="265"/>
      <c r="CD645" s="265"/>
      <c r="CE645" s="265"/>
      <c r="CF645" s="265"/>
      <c r="CG645" s="265"/>
      <c r="CH645" s="265"/>
      <c r="CI645" s="265"/>
      <c r="CJ645" s="265"/>
      <c r="CK645" s="265"/>
      <c r="CL645" s="265"/>
      <c r="CM645" s="265"/>
      <c r="CN645" s="265"/>
      <c r="CO645" s="265"/>
      <c r="CP645" s="265"/>
      <c r="CQ645" s="265"/>
      <c r="CR645" s="265"/>
      <c r="CS645" s="265"/>
      <c r="CT645" s="265"/>
      <c r="CU645" s="265"/>
      <c r="CV645" s="265"/>
      <c r="CW645" s="265"/>
      <c r="CX645" s="265"/>
      <c r="CY645" s="265"/>
      <c r="CZ645" s="268"/>
    </row>
    <row r="646" spans="1:104" hidden="1" outlineLevel="1">
      <c r="A646" s="264"/>
      <c r="B646" s="264"/>
      <c r="C646" s="264"/>
      <c r="D646" s="264"/>
      <c r="E646" s="264"/>
      <c r="F646" s="264"/>
      <c r="G646" s="264"/>
      <c r="H646" s="264"/>
      <c r="I646" s="264"/>
      <c r="J646" s="266"/>
      <c r="K646" s="264"/>
      <c r="L646" s="264"/>
      <c r="M646" s="264"/>
      <c r="N646" s="264"/>
      <c r="O646" s="266"/>
      <c r="P646" s="264"/>
      <c r="Q646" s="264"/>
      <c r="R646" s="264"/>
      <c r="S646" s="264"/>
      <c r="T646" s="266"/>
      <c r="U646" s="264"/>
      <c r="V646" s="264"/>
      <c r="W646" s="264"/>
      <c r="X646" s="264"/>
      <c r="Y646" s="266"/>
      <c r="Z646" s="264"/>
      <c r="AA646" s="264"/>
      <c r="AB646" s="264"/>
      <c r="AC646" s="264"/>
      <c r="AD646" s="1000"/>
      <c r="AE646" s="264"/>
      <c r="AF646" s="264"/>
      <c r="AG646" s="264"/>
      <c r="AH646" s="264"/>
      <c r="AI646" s="1000"/>
      <c r="AJ646" s="264"/>
      <c r="AK646" s="264"/>
      <c r="AL646" s="264"/>
      <c r="AM646" s="264"/>
      <c r="AN646" s="1000"/>
      <c r="AO646" s="1000"/>
      <c r="AP646" s="1000"/>
      <c r="AQ646" s="1000"/>
      <c r="AR646" s="1000"/>
      <c r="AS646" s="266"/>
      <c r="AT646" s="266"/>
      <c r="AU646" s="266"/>
      <c r="AV646" s="266"/>
      <c r="AW646" s="266"/>
      <c r="AX646" s="266"/>
      <c r="AY646" s="266"/>
      <c r="AZ646" s="266"/>
      <c r="BA646" s="266"/>
      <c r="BB646" s="266"/>
      <c r="BC646" s="266"/>
      <c r="BD646" s="266"/>
      <c r="BE646" s="266"/>
      <c r="BF646" s="266"/>
      <c r="BG646" s="266"/>
      <c r="BH646" s="266"/>
      <c r="BI646" s="1000"/>
      <c r="BJ646" s="1000"/>
      <c r="BK646" s="1000"/>
      <c r="BL646" s="1000"/>
      <c r="BM646" s="1000"/>
      <c r="BN646" s="265"/>
      <c r="BO646" s="265"/>
      <c r="BP646" s="265"/>
      <c r="BQ646" s="265"/>
      <c r="BR646" s="265"/>
      <c r="BS646" s="265"/>
      <c r="BT646" s="265"/>
      <c r="BU646" s="265"/>
      <c r="BV646" s="265"/>
      <c r="BW646" s="265"/>
      <c r="BX646" s="265"/>
      <c r="BY646" s="265"/>
      <c r="BZ646" s="265"/>
      <c r="CA646" s="265"/>
      <c r="CB646" s="265"/>
      <c r="CC646" s="265"/>
      <c r="CD646" s="265"/>
      <c r="CE646" s="265"/>
      <c r="CF646" s="265"/>
      <c r="CG646" s="265"/>
      <c r="CH646" s="265"/>
      <c r="CI646" s="265"/>
      <c r="CJ646" s="265"/>
      <c r="CK646" s="265"/>
      <c r="CL646" s="265"/>
      <c r="CM646" s="265"/>
      <c r="CN646" s="265"/>
      <c r="CO646" s="265"/>
      <c r="CP646" s="265"/>
      <c r="CQ646" s="265"/>
      <c r="CR646" s="265"/>
      <c r="CS646" s="265"/>
      <c r="CT646" s="265"/>
      <c r="CU646" s="265"/>
      <c r="CV646" s="265"/>
      <c r="CW646" s="265"/>
      <c r="CX646" s="265"/>
      <c r="CY646" s="265"/>
      <c r="CZ646" s="268"/>
    </row>
    <row r="647" spans="1:104" hidden="1" outlineLevel="1">
      <c r="A647" s="264"/>
      <c r="B647" s="264"/>
      <c r="C647" s="1001" t="s">
        <v>502</v>
      </c>
      <c r="D647" s="264"/>
      <c r="E647" s="264"/>
      <c r="F647" s="264"/>
      <c r="G647" s="264"/>
      <c r="H647" s="264"/>
      <c r="I647" s="264"/>
      <c r="J647" s="266"/>
      <c r="K647" s="264"/>
      <c r="L647" s="264"/>
      <c r="M647" s="264"/>
      <c r="N647" s="264"/>
      <c r="O647" s="266"/>
      <c r="P647" s="264"/>
      <c r="Q647" s="264"/>
      <c r="R647" s="264"/>
      <c r="S647" s="264"/>
      <c r="T647" s="266"/>
      <c r="U647" s="264"/>
      <c r="V647" s="264"/>
      <c r="W647" s="264"/>
      <c r="X647" s="264"/>
      <c r="Y647" s="266"/>
      <c r="Z647" s="264"/>
      <c r="AA647" s="264"/>
      <c r="AB647" s="264"/>
      <c r="AC647" s="264"/>
      <c r="AD647" s="1000"/>
      <c r="AE647" s="264"/>
      <c r="AF647" s="264"/>
      <c r="AG647" s="264"/>
      <c r="AH647" s="264"/>
      <c r="AI647" s="1000"/>
      <c r="AJ647" s="264"/>
      <c r="AK647" s="264"/>
      <c r="AL647" s="264"/>
      <c r="AM647" s="264"/>
      <c r="AN647" s="1000"/>
      <c r="AO647" s="1000"/>
      <c r="AP647" s="1000"/>
      <c r="AQ647" s="1000"/>
      <c r="AR647" s="1000"/>
      <c r="AS647" s="266"/>
      <c r="AT647" s="266"/>
      <c r="AU647" s="266"/>
      <c r="AV647" s="266"/>
      <c r="AW647" s="266"/>
      <c r="AX647" s="266"/>
      <c r="AY647" s="266"/>
      <c r="AZ647" s="266"/>
      <c r="BA647" s="266"/>
      <c r="BB647" s="266"/>
      <c r="BC647" s="266"/>
      <c r="BD647" s="266"/>
      <c r="BE647" s="266"/>
      <c r="BF647" s="266"/>
      <c r="BG647" s="266"/>
      <c r="BH647" s="266"/>
      <c r="BI647" s="1000"/>
      <c r="BJ647" s="1000"/>
      <c r="BK647" s="1000"/>
      <c r="BL647" s="1000"/>
      <c r="BM647" s="1000"/>
      <c r="BN647" s="265"/>
      <c r="BO647" s="265"/>
      <c r="BP647" s="265"/>
      <c r="BQ647" s="265"/>
      <c r="BR647" s="265"/>
      <c r="BS647" s="265"/>
      <c r="BT647" s="265"/>
      <c r="BU647" s="265"/>
      <c r="BV647" s="265"/>
      <c r="BW647" s="265"/>
      <c r="BX647" s="265"/>
      <c r="BY647" s="265"/>
      <c r="BZ647" s="265"/>
      <c r="CA647" s="265"/>
      <c r="CB647" s="265"/>
      <c r="CC647" s="265"/>
      <c r="CD647" s="265"/>
      <c r="CE647" s="265"/>
      <c r="CF647" s="265"/>
      <c r="CG647" s="265"/>
      <c r="CH647" s="265"/>
      <c r="CI647" s="265"/>
      <c r="CJ647" s="265"/>
      <c r="CK647" s="265"/>
      <c r="CL647" s="265"/>
      <c r="CM647" s="265"/>
      <c r="CN647" s="265"/>
      <c r="CO647" s="265"/>
      <c r="CP647" s="265"/>
      <c r="CQ647" s="265"/>
      <c r="CR647" s="265"/>
      <c r="CS647" s="265"/>
      <c r="CT647" s="265"/>
      <c r="CU647" s="265"/>
      <c r="CV647" s="265"/>
      <c r="CW647" s="265"/>
      <c r="CX647" s="265"/>
      <c r="CY647" s="265"/>
      <c r="CZ647" s="268"/>
    </row>
    <row r="648" spans="1:104" hidden="1" outlineLevel="1">
      <c r="A648" s="264"/>
      <c r="B648" s="264"/>
      <c r="C648" s="266" t="s">
        <v>501</v>
      </c>
      <c r="D648" s="264"/>
      <c r="E648" s="264"/>
      <c r="F648" s="264"/>
      <c r="G648" s="264"/>
      <c r="H648" s="264"/>
      <c r="I648" s="264"/>
      <c r="J648" s="266"/>
      <c r="K648" s="264"/>
      <c r="L648" s="264"/>
      <c r="M648" s="264"/>
      <c r="N648" s="264"/>
      <c r="O648" s="266"/>
      <c r="P648" s="264"/>
      <c r="Q648" s="264"/>
      <c r="R648" s="264"/>
      <c r="S648" s="264"/>
      <c r="T648" s="266"/>
      <c r="U648" s="264"/>
      <c r="V648" s="264"/>
      <c r="W648" s="264"/>
      <c r="X648" s="264"/>
      <c r="Y648" s="266"/>
      <c r="Z648" s="264"/>
      <c r="AA648" s="264"/>
      <c r="AB648" s="264"/>
      <c r="AC648" s="264"/>
      <c r="AD648" s="1000"/>
      <c r="AE648" s="264"/>
      <c r="AF648" s="264"/>
      <c r="AG648" s="264"/>
      <c r="AH648" s="264"/>
      <c r="AI648" s="1000"/>
      <c r="AJ648" s="264"/>
      <c r="AK648" s="264"/>
      <c r="AL648" s="264"/>
      <c r="AM648" s="264"/>
      <c r="AN648" s="1000"/>
      <c r="AO648" s="1000"/>
      <c r="AP648" s="1000"/>
      <c r="AQ648" s="1000"/>
      <c r="AR648" s="1000"/>
      <c r="AS648" s="266"/>
      <c r="AT648" s="266"/>
      <c r="AU648" s="266"/>
      <c r="AV648" s="266"/>
      <c r="AW648" s="266"/>
      <c r="AX648" s="266"/>
      <c r="AY648" s="266"/>
      <c r="AZ648" s="266"/>
      <c r="BA648" s="266"/>
      <c r="BB648" s="266"/>
      <c r="BC648" s="266"/>
      <c r="BD648" s="266"/>
      <c r="BE648" s="266"/>
      <c r="BF648" s="266"/>
      <c r="BG648" s="266"/>
      <c r="BH648" s="266"/>
      <c r="BI648" s="1000"/>
      <c r="BJ648" s="1000"/>
      <c r="BK648" s="1000"/>
      <c r="BL648" s="1000"/>
      <c r="BM648" s="1000"/>
      <c r="BN648" s="265"/>
      <c r="BO648" s="265"/>
      <c r="BP648" s="265"/>
      <c r="BQ648" s="265"/>
      <c r="BR648" s="265"/>
      <c r="BS648" s="265"/>
      <c r="BT648" s="265"/>
      <c r="BU648" s="265"/>
      <c r="BV648" s="265"/>
      <c r="BW648" s="265"/>
      <c r="BX648" s="265"/>
      <c r="BY648" s="265"/>
      <c r="BZ648" s="265"/>
      <c r="CA648" s="265"/>
      <c r="CB648" s="265"/>
      <c r="CC648" s="265"/>
      <c r="CD648" s="265"/>
      <c r="CE648" s="265"/>
      <c r="CF648" s="265"/>
      <c r="CG648" s="265"/>
      <c r="CH648" s="265"/>
      <c r="CI648" s="265"/>
      <c r="CJ648" s="265"/>
      <c r="CK648" s="265"/>
      <c r="CL648" s="265"/>
      <c r="CM648" s="265"/>
      <c r="CN648" s="265"/>
      <c r="CO648" s="265"/>
      <c r="CP648" s="265"/>
      <c r="CQ648" s="265"/>
      <c r="CR648" s="265"/>
      <c r="CS648" s="265"/>
      <c r="CT648" s="265"/>
      <c r="CU648" s="265"/>
      <c r="CV648" s="265"/>
      <c r="CW648" s="265"/>
      <c r="CX648" s="265"/>
      <c r="CY648" s="265"/>
      <c r="CZ648" s="268"/>
    </row>
    <row r="649" spans="1:104" hidden="1" outlineLevel="1">
      <c r="A649" s="264"/>
      <c r="B649" s="264"/>
      <c r="C649" s="268" t="s">
        <v>500</v>
      </c>
      <c r="D649" s="264"/>
      <c r="E649" s="264"/>
      <c r="F649" s="264"/>
      <c r="G649" s="264"/>
      <c r="H649" s="264"/>
      <c r="I649" s="264"/>
      <c r="J649" s="266"/>
      <c r="K649" s="264"/>
      <c r="L649" s="264"/>
      <c r="M649" s="264"/>
      <c r="N649" s="264"/>
      <c r="O649" s="266"/>
      <c r="P649" s="264"/>
      <c r="Q649" s="264"/>
      <c r="R649" s="264"/>
      <c r="S649" s="264"/>
      <c r="T649" s="266"/>
      <c r="U649" s="264"/>
      <c r="V649" s="264"/>
      <c r="W649" s="264"/>
      <c r="X649" s="264"/>
      <c r="Y649" s="266"/>
      <c r="Z649" s="264"/>
      <c r="AA649" s="264"/>
      <c r="AB649" s="264"/>
      <c r="AC649" s="264"/>
      <c r="AD649" s="1000"/>
      <c r="AE649" s="264"/>
      <c r="AF649" s="264"/>
      <c r="AG649" s="264"/>
      <c r="AH649" s="264"/>
      <c r="AI649" s="1000"/>
      <c r="AJ649" s="264"/>
      <c r="AK649" s="264"/>
      <c r="AL649" s="264"/>
      <c r="AM649" s="264"/>
      <c r="AN649" s="1000"/>
      <c r="AO649" s="1000"/>
      <c r="AP649" s="1000"/>
      <c r="AQ649" s="1000"/>
      <c r="AR649" s="1000"/>
      <c r="AS649" s="266"/>
      <c r="AT649" s="266"/>
      <c r="AU649" s="266"/>
      <c r="AV649" s="266"/>
      <c r="AW649" s="266"/>
      <c r="AX649" s="266"/>
      <c r="AY649" s="266"/>
      <c r="AZ649" s="266"/>
      <c r="BA649" s="266"/>
      <c r="BB649" s="266"/>
      <c r="BC649" s="266"/>
      <c r="BD649" s="266"/>
      <c r="BE649" s="266"/>
      <c r="BF649" s="266"/>
      <c r="BG649" s="266"/>
      <c r="BH649" s="266"/>
      <c r="BI649" s="1000"/>
      <c r="BJ649" s="1000"/>
      <c r="BK649" s="1000"/>
      <c r="BL649" s="1000"/>
      <c r="BM649" s="1000"/>
      <c r="BN649" s="265"/>
      <c r="BO649" s="265"/>
      <c r="BP649" s="265"/>
      <c r="BQ649" s="265"/>
      <c r="BR649" s="265"/>
      <c r="BS649" s="265"/>
      <c r="BT649" s="265"/>
      <c r="BU649" s="265"/>
      <c r="BV649" s="265"/>
      <c r="BW649" s="265"/>
      <c r="BX649" s="265"/>
      <c r="BY649" s="265"/>
      <c r="BZ649" s="265"/>
      <c r="CA649" s="265"/>
      <c r="CB649" s="265"/>
      <c r="CC649" s="265"/>
      <c r="CD649" s="265"/>
      <c r="CE649" s="265"/>
      <c r="CF649" s="265"/>
      <c r="CG649" s="265"/>
      <c r="CH649" s="265"/>
      <c r="CI649" s="265"/>
      <c r="CJ649" s="265"/>
      <c r="CK649" s="265"/>
      <c r="CL649" s="265"/>
      <c r="CM649" s="265"/>
      <c r="CN649" s="265"/>
      <c r="CO649" s="265"/>
      <c r="CP649" s="265"/>
      <c r="CQ649" s="265"/>
      <c r="CR649" s="265"/>
      <c r="CS649" s="265"/>
      <c r="CT649" s="265"/>
      <c r="CU649" s="265"/>
      <c r="CV649" s="265"/>
      <c r="CW649" s="265"/>
      <c r="CX649" s="265"/>
      <c r="CY649" s="265"/>
      <c r="CZ649" s="268"/>
    </row>
    <row r="650" spans="1:104" hidden="1" outlineLevel="1">
      <c r="A650" s="264"/>
      <c r="B650" s="264"/>
      <c r="C650" s="264" t="s">
        <v>497</v>
      </c>
      <c r="D650" s="264"/>
      <c r="E650" s="264"/>
      <c r="F650" s="264"/>
      <c r="G650" s="264"/>
      <c r="H650" s="264"/>
      <c r="I650" s="264"/>
      <c r="J650" s="266"/>
      <c r="K650" s="264"/>
      <c r="L650" s="264"/>
      <c r="M650" s="264"/>
      <c r="N650" s="264"/>
      <c r="O650" s="266"/>
      <c r="P650" s="264"/>
      <c r="Q650" s="264"/>
      <c r="R650" s="264"/>
      <c r="S650" s="264"/>
      <c r="T650" s="266"/>
      <c r="U650" s="264"/>
      <c r="V650" s="264"/>
      <c r="W650" s="264"/>
      <c r="X650" s="264"/>
      <c r="Y650" s="266"/>
      <c r="Z650" s="264"/>
      <c r="AA650" s="264"/>
      <c r="AB650" s="264"/>
      <c r="AC650" s="264"/>
      <c r="AD650" s="1000"/>
      <c r="AE650" s="264"/>
      <c r="AF650" s="264"/>
      <c r="AG650" s="264"/>
      <c r="AH650" s="264"/>
      <c r="AI650" s="1000"/>
      <c r="AJ650" s="264"/>
      <c r="AK650" s="264"/>
      <c r="AL650" s="264"/>
      <c r="AM650" s="264"/>
      <c r="AN650" s="1000"/>
      <c r="AO650" s="1000"/>
      <c r="AP650" s="1000"/>
      <c r="AQ650" s="1000"/>
      <c r="AR650" s="1000"/>
      <c r="AS650" s="266">
        <v>47</v>
      </c>
      <c r="AT650" s="266"/>
      <c r="AU650" s="266"/>
      <c r="AV650" s="266"/>
      <c r="AW650" s="266"/>
      <c r="AX650" s="266"/>
      <c r="AY650" s="266"/>
      <c r="AZ650" s="266"/>
      <c r="BA650" s="266"/>
      <c r="BB650" s="266"/>
      <c r="BC650" s="266"/>
      <c r="BD650" s="266"/>
      <c r="BE650" s="266"/>
      <c r="BF650" s="266"/>
      <c r="BG650" s="266"/>
      <c r="BH650" s="266"/>
      <c r="BI650" s="1000"/>
      <c r="BJ650" s="1000"/>
      <c r="BK650" s="1000"/>
      <c r="BL650" s="1000"/>
      <c r="BM650" s="1000"/>
      <c r="BN650" s="265"/>
      <c r="BO650" s="265"/>
      <c r="BP650" s="265"/>
      <c r="BQ650" s="265"/>
      <c r="BR650" s="265"/>
      <c r="BS650" s="265"/>
      <c r="BT650" s="265"/>
      <c r="BU650" s="265"/>
      <c r="BV650" s="265"/>
      <c r="BW650" s="265"/>
      <c r="BX650" s="265"/>
      <c r="BY650" s="265"/>
      <c r="BZ650" s="265"/>
      <c r="CA650" s="265"/>
      <c r="CB650" s="265"/>
      <c r="CC650" s="265"/>
      <c r="CD650" s="265"/>
      <c r="CE650" s="265"/>
      <c r="CF650" s="265"/>
      <c r="CG650" s="265"/>
      <c r="CH650" s="265"/>
      <c r="CI650" s="265"/>
      <c r="CJ650" s="265"/>
      <c r="CK650" s="265"/>
      <c r="CL650" s="265"/>
      <c r="CM650" s="265"/>
      <c r="CN650" s="265"/>
      <c r="CO650" s="265"/>
      <c r="CP650" s="265"/>
      <c r="CQ650" s="265"/>
      <c r="CR650" s="265"/>
      <c r="CS650" s="265"/>
      <c r="CT650" s="265"/>
      <c r="CU650" s="265"/>
      <c r="CV650" s="265"/>
      <c r="CW650" s="265"/>
      <c r="CX650" s="265"/>
      <c r="CY650" s="265"/>
      <c r="CZ650" s="274"/>
    </row>
    <row r="651" spans="1:104" hidden="1" outlineLevel="1">
      <c r="A651" s="264"/>
      <c r="B651" s="264"/>
      <c r="C651" s="264" t="s">
        <v>496</v>
      </c>
      <c r="D651" s="264"/>
      <c r="E651" s="264"/>
      <c r="F651" s="264"/>
      <c r="G651" s="264"/>
      <c r="H651" s="264"/>
      <c r="I651" s="264"/>
      <c r="J651" s="266"/>
      <c r="K651" s="264"/>
      <c r="L651" s="264"/>
      <c r="M651" s="264"/>
      <c r="N651" s="264"/>
      <c r="O651" s="266"/>
      <c r="P651" s="264"/>
      <c r="Q651" s="264"/>
      <c r="R651" s="264"/>
      <c r="S651" s="264"/>
      <c r="T651" s="266"/>
      <c r="U651" s="264"/>
      <c r="V651" s="264"/>
      <c r="W651" s="264"/>
      <c r="X651" s="264"/>
      <c r="Y651" s="266"/>
      <c r="Z651" s="264"/>
      <c r="AA651" s="264"/>
      <c r="AB651" s="264"/>
      <c r="AC651" s="264"/>
      <c r="AD651" s="1000"/>
      <c r="AE651" s="264"/>
      <c r="AF651" s="264"/>
      <c r="AG651" s="264"/>
      <c r="AH651" s="264"/>
      <c r="AI651" s="1000"/>
      <c r="AJ651" s="264"/>
      <c r="AK651" s="264"/>
      <c r="AL651" s="264"/>
      <c r="AM651" s="264"/>
      <c r="AN651" s="1000"/>
      <c r="AO651" s="1000"/>
      <c r="AP651" s="1000"/>
      <c r="AQ651" s="1000"/>
      <c r="AR651" s="1000"/>
      <c r="AS651" s="266">
        <v>9</v>
      </c>
      <c r="AT651" s="266"/>
      <c r="AU651" s="266"/>
      <c r="AV651" s="266"/>
      <c r="AW651" s="266"/>
      <c r="AX651" s="266"/>
      <c r="AY651" s="266"/>
      <c r="AZ651" s="266"/>
      <c r="BA651" s="266"/>
      <c r="BB651" s="266"/>
      <c r="BC651" s="266"/>
      <c r="BD651" s="266"/>
      <c r="BE651" s="266"/>
      <c r="BF651" s="266"/>
      <c r="BG651" s="266"/>
      <c r="BH651" s="266"/>
      <c r="BI651" s="1000"/>
      <c r="BJ651" s="1000"/>
      <c r="BK651" s="1000"/>
      <c r="BL651" s="1000"/>
      <c r="BM651" s="1000"/>
      <c r="BN651" s="265"/>
      <c r="BO651" s="265"/>
      <c r="BP651" s="265"/>
      <c r="BQ651" s="265"/>
      <c r="BR651" s="265"/>
      <c r="BS651" s="265"/>
      <c r="BT651" s="265"/>
      <c r="BU651" s="265"/>
      <c r="BV651" s="265"/>
      <c r="BW651" s="265"/>
      <c r="BX651" s="265"/>
      <c r="BY651" s="265"/>
      <c r="BZ651" s="265"/>
      <c r="CA651" s="265"/>
      <c r="CB651" s="265"/>
      <c r="CC651" s="265"/>
      <c r="CD651" s="265"/>
      <c r="CE651" s="265"/>
      <c r="CF651" s="265"/>
      <c r="CG651" s="265"/>
      <c r="CH651" s="265"/>
      <c r="CI651" s="265"/>
      <c r="CJ651" s="265"/>
      <c r="CK651" s="265"/>
      <c r="CL651" s="265"/>
      <c r="CM651" s="265"/>
      <c r="CN651" s="265"/>
      <c r="CO651" s="265"/>
      <c r="CP651" s="265"/>
      <c r="CQ651" s="265"/>
      <c r="CR651" s="265"/>
      <c r="CS651" s="265"/>
      <c r="CT651" s="265"/>
      <c r="CU651" s="265"/>
      <c r="CV651" s="265"/>
      <c r="CW651" s="265"/>
      <c r="CX651" s="265"/>
      <c r="CY651" s="265"/>
      <c r="CZ651" s="268"/>
    </row>
    <row r="652" spans="1:104" hidden="1" outlineLevel="1">
      <c r="A652" s="264"/>
      <c r="B652" s="264"/>
      <c r="C652" s="264" t="s">
        <v>495</v>
      </c>
      <c r="D652" s="264"/>
      <c r="E652" s="264"/>
      <c r="F652" s="264"/>
      <c r="G652" s="264"/>
      <c r="H652" s="264"/>
      <c r="I652" s="264"/>
      <c r="J652" s="266"/>
      <c r="K652" s="264"/>
      <c r="L652" s="264"/>
      <c r="M652" s="264"/>
      <c r="N652" s="264"/>
      <c r="O652" s="266"/>
      <c r="P652" s="264"/>
      <c r="Q652" s="264"/>
      <c r="R652" s="264"/>
      <c r="S652" s="264"/>
      <c r="T652" s="266"/>
      <c r="U652" s="264"/>
      <c r="V652" s="264"/>
      <c r="W652" s="264"/>
      <c r="X652" s="264"/>
      <c r="Y652" s="266"/>
      <c r="Z652" s="264"/>
      <c r="AA652" s="264"/>
      <c r="AB652" s="264"/>
      <c r="AC652" s="264"/>
      <c r="AD652" s="1000"/>
      <c r="AE652" s="264"/>
      <c r="AF652" s="264"/>
      <c r="AG652" s="264"/>
      <c r="AH652" s="264"/>
      <c r="AI652" s="1000"/>
      <c r="AJ652" s="264"/>
      <c r="AK652" s="264"/>
      <c r="AL652" s="264"/>
      <c r="AM652" s="264"/>
      <c r="AN652" s="1000"/>
      <c r="AO652" s="1000"/>
      <c r="AP652" s="1000"/>
      <c r="AQ652" s="1000"/>
      <c r="AR652" s="1000"/>
      <c r="AS652" s="266">
        <v>2682</v>
      </c>
      <c r="AT652" s="266"/>
      <c r="AU652" s="266"/>
      <c r="AV652" s="266"/>
      <c r="AW652" s="266"/>
      <c r="AX652" s="266"/>
      <c r="AY652" s="266"/>
      <c r="AZ652" s="266"/>
      <c r="BA652" s="266"/>
      <c r="BB652" s="266"/>
      <c r="BC652" s="266"/>
      <c r="BD652" s="266"/>
      <c r="BE652" s="266"/>
      <c r="BF652" s="266"/>
      <c r="BG652" s="266"/>
      <c r="BH652" s="266"/>
      <c r="BI652" s="1000"/>
      <c r="BJ652" s="1000"/>
      <c r="BK652" s="1000"/>
      <c r="BL652" s="1000"/>
      <c r="BM652" s="1000"/>
      <c r="BN652" s="265"/>
      <c r="BO652" s="265"/>
      <c r="BP652" s="265"/>
      <c r="BQ652" s="265"/>
      <c r="BR652" s="265"/>
      <c r="BS652" s="265"/>
      <c r="BT652" s="265"/>
      <c r="BU652" s="265"/>
      <c r="BV652" s="265"/>
      <c r="BW652" s="265"/>
      <c r="BX652" s="265"/>
      <c r="BY652" s="265"/>
      <c r="BZ652" s="265"/>
      <c r="CA652" s="265"/>
      <c r="CB652" s="265"/>
      <c r="CC652" s="265"/>
      <c r="CD652" s="265"/>
      <c r="CE652" s="265"/>
      <c r="CF652" s="265"/>
      <c r="CG652" s="265"/>
      <c r="CH652" s="265"/>
      <c r="CI652" s="265"/>
      <c r="CJ652" s="265"/>
      <c r="CK652" s="265"/>
      <c r="CL652" s="265"/>
      <c r="CM652" s="265"/>
      <c r="CN652" s="265"/>
      <c r="CO652" s="265"/>
      <c r="CP652" s="265"/>
      <c r="CQ652" s="265"/>
      <c r="CR652" s="265"/>
      <c r="CS652" s="265"/>
      <c r="CT652" s="265"/>
      <c r="CU652" s="265"/>
      <c r="CV652" s="265"/>
      <c r="CW652" s="265"/>
      <c r="CX652" s="265"/>
      <c r="CY652" s="265"/>
      <c r="CZ652" s="268"/>
    </row>
    <row r="653" spans="1:104" hidden="1" outlineLevel="1">
      <c r="A653" s="264"/>
      <c r="B653" s="264"/>
      <c r="C653" s="264" t="s">
        <v>494</v>
      </c>
      <c r="D653" s="264"/>
      <c r="E653" s="264"/>
      <c r="F653" s="264"/>
      <c r="G653" s="264"/>
      <c r="H653" s="264"/>
      <c r="I653" s="264"/>
      <c r="J653" s="266"/>
      <c r="K653" s="264"/>
      <c r="L653" s="264"/>
      <c r="M653" s="264"/>
      <c r="N653" s="264"/>
      <c r="O653" s="266"/>
      <c r="P653" s="264"/>
      <c r="Q653" s="264"/>
      <c r="R653" s="264"/>
      <c r="S653" s="264"/>
      <c r="T653" s="266"/>
      <c r="U653" s="264"/>
      <c r="V653" s="264"/>
      <c r="W653" s="264"/>
      <c r="X653" s="264"/>
      <c r="Y653" s="266"/>
      <c r="Z653" s="264"/>
      <c r="AA653" s="264"/>
      <c r="AB653" s="264"/>
      <c r="AC653" s="264"/>
      <c r="AD653" s="1000"/>
      <c r="AE653" s="264"/>
      <c r="AF653" s="264"/>
      <c r="AG653" s="264"/>
      <c r="AH653" s="264"/>
      <c r="AI653" s="1000"/>
      <c r="AJ653" s="264"/>
      <c r="AK653" s="264"/>
      <c r="AL653" s="264"/>
      <c r="AM653" s="264"/>
      <c r="AN653" s="1000"/>
      <c r="AO653" s="1000"/>
      <c r="AP653" s="1000"/>
      <c r="AQ653" s="1000"/>
      <c r="AR653" s="1000"/>
      <c r="AS653" s="266">
        <v>2.2999999999999998</v>
      </c>
      <c r="AT653" s="266"/>
      <c r="AU653" s="266"/>
      <c r="AV653" s="266"/>
      <c r="AW653" s="266"/>
      <c r="AX653" s="266"/>
      <c r="AY653" s="266"/>
      <c r="AZ653" s="266"/>
      <c r="BA653" s="266"/>
      <c r="BB653" s="266"/>
      <c r="BC653" s="266"/>
      <c r="BD653" s="266"/>
      <c r="BE653" s="266"/>
      <c r="BF653" s="266"/>
      <c r="BG653" s="266"/>
      <c r="BH653" s="266"/>
      <c r="BI653" s="1000"/>
      <c r="BJ653" s="1000"/>
      <c r="BK653" s="1000"/>
      <c r="BL653" s="1000"/>
      <c r="BM653" s="1000"/>
      <c r="BN653" s="265"/>
      <c r="BO653" s="265"/>
      <c r="BP653" s="265"/>
      <c r="BQ653" s="265"/>
      <c r="BR653" s="265"/>
      <c r="BS653" s="265"/>
      <c r="BT653" s="265"/>
      <c r="BU653" s="265"/>
      <c r="BV653" s="265"/>
      <c r="BW653" s="265"/>
      <c r="BX653" s="265"/>
      <c r="BY653" s="265"/>
      <c r="BZ653" s="265"/>
      <c r="CA653" s="265"/>
      <c r="CB653" s="265"/>
      <c r="CC653" s="265"/>
      <c r="CD653" s="265"/>
      <c r="CE653" s="265"/>
      <c r="CF653" s="265"/>
      <c r="CG653" s="265"/>
      <c r="CH653" s="265"/>
      <c r="CI653" s="265"/>
      <c r="CJ653" s="265"/>
      <c r="CK653" s="265"/>
      <c r="CL653" s="265"/>
      <c r="CM653" s="265"/>
      <c r="CN653" s="265"/>
      <c r="CO653" s="265"/>
      <c r="CP653" s="265"/>
      <c r="CQ653" s="265"/>
      <c r="CR653" s="265"/>
      <c r="CS653" s="265"/>
      <c r="CT653" s="265"/>
      <c r="CU653" s="265"/>
      <c r="CV653" s="265"/>
      <c r="CW653" s="265"/>
      <c r="CX653" s="265"/>
      <c r="CY653" s="265"/>
      <c r="CZ653" s="268"/>
    </row>
    <row r="654" spans="1:104" hidden="1" outlineLevel="1">
      <c r="A654" s="264"/>
      <c r="B654" s="264"/>
      <c r="C654" s="264"/>
      <c r="D654" s="264"/>
      <c r="E654" s="264"/>
      <c r="F654" s="264"/>
      <c r="G654" s="264"/>
      <c r="H654" s="264"/>
      <c r="I654" s="264"/>
      <c r="J654" s="266"/>
      <c r="K654" s="264"/>
      <c r="L654" s="264"/>
      <c r="M654" s="264"/>
      <c r="N654" s="264"/>
      <c r="O654" s="266"/>
      <c r="P654" s="264"/>
      <c r="Q654" s="264"/>
      <c r="R654" s="264"/>
      <c r="S654" s="264"/>
      <c r="T654" s="266"/>
      <c r="U654" s="264"/>
      <c r="V654" s="264"/>
      <c r="W654" s="264"/>
      <c r="X654" s="264"/>
      <c r="Y654" s="266"/>
      <c r="Z654" s="264"/>
      <c r="AA654" s="264"/>
      <c r="AB654" s="264"/>
      <c r="AC654" s="264"/>
      <c r="AD654" s="1000"/>
      <c r="AE654" s="264"/>
      <c r="AF654" s="264"/>
      <c r="AG654" s="264"/>
      <c r="AH654" s="264"/>
      <c r="AI654" s="1000"/>
      <c r="AJ654" s="264"/>
      <c r="AK654" s="264"/>
      <c r="AL654" s="264"/>
      <c r="AM654" s="264"/>
      <c r="AN654" s="1000"/>
      <c r="AO654" s="1000"/>
      <c r="AP654" s="1000"/>
      <c r="AQ654" s="1000"/>
      <c r="AR654" s="1000"/>
      <c r="AS654" s="266"/>
      <c r="AT654" s="266"/>
      <c r="AU654" s="266"/>
      <c r="AV654" s="266"/>
      <c r="AW654" s="266"/>
      <c r="AX654" s="266"/>
      <c r="AY654" s="266"/>
      <c r="AZ654" s="266"/>
      <c r="BA654" s="266"/>
      <c r="BB654" s="266"/>
      <c r="BC654" s="266"/>
      <c r="BD654" s="266"/>
      <c r="BE654" s="266"/>
      <c r="BF654" s="266"/>
      <c r="BG654" s="266"/>
      <c r="BH654" s="266"/>
      <c r="BI654" s="1000"/>
      <c r="BJ654" s="1000"/>
      <c r="BK654" s="1000"/>
      <c r="BL654" s="1000"/>
      <c r="BM654" s="1000"/>
      <c r="BN654" s="265"/>
      <c r="BO654" s="265"/>
      <c r="BP654" s="265"/>
      <c r="BQ654" s="265"/>
      <c r="BR654" s="265"/>
      <c r="BS654" s="265"/>
      <c r="BT654" s="265"/>
      <c r="BU654" s="265"/>
      <c r="BV654" s="265"/>
      <c r="BW654" s="265"/>
      <c r="BX654" s="265"/>
      <c r="BY654" s="265"/>
      <c r="BZ654" s="265"/>
      <c r="CA654" s="265"/>
      <c r="CB654" s="265"/>
      <c r="CC654" s="265"/>
      <c r="CD654" s="265"/>
      <c r="CE654" s="265"/>
      <c r="CF654" s="265"/>
      <c r="CG654" s="265"/>
      <c r="CH654" s="265"/>
      <c r="CI654" s="265"/>
      <c r="CJ654" s="265"/>
      <c r="CK654" s="265"/>
      <c r="CL654" s="265"/>
      <c r="CM654" s="265"/>
      <c r="CN654" s="265"/>
      <c r="CO654" s="265"/>
      <c r="CP654" s="265"/>
      <c r="CQ654" s="265"/>
      <c r="CR654" s="265"/>
      <c r="CS654" s="265"/>
      <c r="CT654" s="265"/>
      <c r="CU654" s="265"/>
      <c r="CV654" s="265"/>
      <c r="CW654" s="265"/>
      <c r="CX654" s="265"/>
      <c r="CY654" s="265"/>
      <c r="CZ654" s="268"/>
    </row>
    <row r="655" spans="1:104" hidden="1" outlineLevel="1">
      <c r="A655" s="264"/>
      <c r="B655" s="264"/>
      <c r="C655" s="264" t="s">
        <v>9</v>
      </c>
      <c r="D655" s="264"/>
      <c r="E655" s="264"/>
      <c r="F655" s="264"/>
      <c r="G655" s="264"/>
      <c r="H655" s="264"/>
      <c r="I655" s="264"/>
      <c r="J655" s="266"/>
      <c r="K655" s="264"/>
      <c r="L655" s="264"/>
      <c r="M655" s="264"/>
      <c r="N655" s="264"/>
      <c r="O655" s="266"/>
      <c r="P655" s="264"/>
      <c r="Q655" s="264"/>
      <c r="R655" s="264"/>
      <c r="S655" s="264"/>
      <c r="T655" s="266"/>
      <c r="U655" s="264"/>
      <c r="V655" s="264"/>
      <c r="W655" s="264"/>
      <c r="X655" s="264"/>
      <c r="Y655" s="266"/>
      <c r="Z655" s="264"/>
      <c r="AA655" s="264"/>
      <c r="AB655" s="264"/>
      <c r="AC655" s="264"/>
      <c r="AD655" s="1000"/>
      <c r="AE655" s="264"/>
      <c r="AF655" s="264"/>
      <c r="AG655" s="264"/>
      <c r="AH655" s="264"/>
      <c r="AI655" s="1000"/>
      <c r="AJ655" s="264"/>
      <c r="AK655" s="264"/>
      <c r="AL655" s="264"/>
      <c r="AM655" s="264"/>
      <c r="AN655" s="1000"/>
      <c r="AO655" s="1000"/>
      <c r="AP655" s="1000"/>
      <c r="AQ655" s="1000"/>
      <c r="AR655" s="1000"/>
      <c r="AS655" s="266"/>
      <c r="AT655" s="266"/>
      <c r="AU655" s="266"/>
      <c r="AV655" s="266"/>
      <c r="AW655" s="266"/>
      <c r="AX655" s="266"/>
      <c r="AY655" s="266"/>
      <c r="AZ655" s="266"/>
      <c r="BA655" s="266"/>
      <c r="BB655" s="266"/>
      <c r="BC655" s="266"/>
      <c r="BD655" s="266"/>
      <c r="BE655" s="266"/>
      <c r="BF655" s="266"/>
      <c r="BG655" s="266"/>
      <c r="BH655" s="266"/>
      <c r="BI655" s="1000"/>
      <c r="BJ655" s="1000"/>
      <c r="BK655" s="1000"/>
      <c r="BL655" s="1000"/>
      <c r="BM655" s="1000"/>
      <c r="BN655" s="265"/>
      <c r="BO655" s="265"/>
      <c r="BP655" s="265"/>
      <c r="BQ655" s="265"/>
      <c r="BR655" s="265"/>
      <c r="BS655" s="265"/>
      <c r="BT655" s="265"/>
      <c r="BU655" s="265"/>
      <c r="BV655" s="265"/>
      <c r="BW655" s="265"/>
      <c r="BX655" s="265"/>
      <c r="BY655" s="265"/>
      <c r="BZ655" s="265"/>
      <c r="CA655" s="265"/>
      <c r="CB655" s="265"/>
      <c r="CC655" s="265"/>
      <c r="CD655" s="265"/>
      <c r="CE655" s="265"/>
      <c r="CF655" s="265"/>
      <c r="CG655" s="265"/>
      <c r="CH655" s="265"/>
      <c r="CI655" s="265"/>
      <c r="CJ655" s="265"/>
      <c r="CK655" s="265"/>
      <c r="CL655" s="265"/>
      <c r="CM655" s="265"/>
      <c r="CN655" s="265"/>
      <c r="CO655" s="265"/>
      <c r="CP655" s="265"/>
      <c r="CQ655" s="265"/>
      <c r="CR655" s="265"/>
      <c r="CS655" s="265"/>
      <c r="CT655" s="265"/>
      <c r="CU655" s="265"/>
      <c r="CV655" s="265"/>
      <c r="CW655" s="265"/>
      <c r="CX655" s="265"/>
      <c r="CY655" s="265"/>
      <c r="CZ655" s="268"/>
    </row>
    <row r="656" spans="1:104" hidden="1" outlineLevel="1">
      <c r="A656" s="264"/>
      <c r="B656" s="264"/>
      <c r="C656" s="264" t="s">
        <v>497</v>
      </c>
      <c r="D656" s="264"/>
      <c r="E656" s="264"/>
      <c r="F656" s="264"/>
      <c r="G656" s="264"/>
      <c r="H656" s="264"/>
      <c r="I656" s="264"/>
      <c r="J656" s="266"/>
      <c r="K656" s="264"/>
      <c r="L656" s="264"/>
      <c r="M656" s="264"/>
      <c r="N656" s="264"/>
      <c r="O656" s="266"/>
      <c r="P656" s="264"/>
      <c r="Q656" s="264"/>
      <c r="R656" s="264"/>
      <c r="S656" s="264"/>
      <c r="T656" s="266"/>
      <c r="U656" s="264"/>
      <c r="V656" s="264"/>
      <c r="W656" s="264"/>
      <c r="X656" s="264"/>
      <c r="Y656" s="266"/>
      <c r="Z656" s="264"/>
      <c r="AA656" s="264"/>
      <c r="AB656" s="264"/>
      <c r="AC656" s="264"/>
      <c r="AD656" s="1000"/>
      <c r="AE656" s="264"/>
      <c r="AF656" s="264"/>
      <c r="AG656" s="264"/>
      <c r="AH656" s="264"/>
      <c r="AI656" s="1000"/>
      <c r="AJ656" s="264"/>
      <c r="AK656" s="264"/>
      <c r="AL656" s="264"/>
      <c r="AM656" s="264"/>
      <c r="AN656" s="1000"/>
      <c r="AO656" s="1000"/>
      <c r="AP656" s="1000"/>
      <c r="AQ656" s="1000"/>
      <c r="AR656" s="1000"/>
      <c r="AS656" s="266">
        <v>26</v>
      </c>
      <c r="AT656" s="266"/>
      <c r="AU656" s="266"/>
      <c r="AV656" s="266"/>
      <c r="AW656" s="266"/>
      <c r="AX656" s="266"/>
      <c r="AY656" s="266"/>
      <c r="AZ656" s="266"/>
      <c r="BA656" s="266"/>
      <c r="BB656" s="266"/>
      <c r="BC656" s="266"/>
      <c r="BD656" s="266"/>
      <c r="BE656" s="266"/>
      <c r="BF656" s="266"/>
      <c r="BG656" s="266"/>
      <c r="BH656" s="266"/>
      <c r="BI656" s="1000"/>
      <c r="BJ656" s="1000"/>
      <c r="BK656" s="1000"/>
      <c r="BL656" s="1000"/>
      <c r="BM656" s="1000"/>
      <c r="BN656" s="265"/>
      <c r="BO656" s="265"/>
      <c r="BP656" s="265"/>
      <c r="BQ656" s="265"/>
      <c r="BR656" s="265"/>
      <c r="BS656" s="265"/>
      <c r="BT656" s="265"/>
      <c r="BU656" s="265"/>
      <c r="BV656" s="265"/>
      <c r="BW656" s="265"/>
      <c r="BX656" s="265"/>
      <c r="BY656" s="265"/>
      <c r="BZ656" s="265"/>
      <c r="CA656" s="265"/>
      <c r="CB656" s="265"/>
      <c r="CC656" s="265"/>
      <c r="CD656" s="265"/>
      <c r="CE656" s="265"/>
      <c r="CF656" s="265"/>
      <c r="CG656" s="265"/>
      <c r="CH656" s="265"/>
      <c r="CI656" s="265"/>
      <c r="CJ656" s="265"/>
      <c r="CK656" s="265"/>
      <c r="CL656" s="265"/>
      <c r="CM656" s="265"/>
      <c r="CN656" s="265"/>
      <c r="CO656" s="265"/>
      <c r="CP656" s="265"/>
      <c r="CQ656" s="265"/>
      <c r="CR656" s="265"/>
      <c r="CS656" s="265"/>
      <c r="CT656" s="265"/>
      <c r="CU656" s="265"/>
      <c r="CV656" s="265"/>
      <c r="CW656" s="265"/>
      <c r="CX656" s="265"/>
      <c r="CY656" s="265"/>
      <c r="CZ656" s="268"/>
    </row>
    <row r="657" spans="1:104" hidden="1" outlineLevel="1">
      <c r="A657" s="264"/>
      <c r="B657" s="264"/>
      <c r="C657" s="264" t="s">
        <v>496</v>
      </c>
      <c r="D657" s="264"/>
      <c r="E657" s="264"/>
      <c r="F657" s="264"/>
      <c r="G657" s="264"/>
      <c r="H657" s="264"/>
      <c r="I657" s="264"/>
      <c r="J657" s="266"/>
      <c r="K657" s="264"/>
      <c r="L657" s="264"/>
      <c r="M657" s="264"/>
      <c r="N657" s="264"/>
      <c r="O657" s="266"/>
      <c r="P657" s="264"/>
      <c r="Q657" s="264"/>
      <c r="R657" s="264"/>
      <c r="S657" s="264"/>
      <c r="T657" s="266"/>
      <c r="U657" s="264"/>
      <c r="V657" s="264"/>
      <c r="W657" s="264"/>
      <c r="X657" s="264"/>
      <c r="Y657" s="266"/>
      <c r="Z657" s="264"/>
      <c r="AA657" s="264"/>
      <c r="AB657" s="264"/>
      <c r="AC657" s="264"/>
      <c r="AD657" s="1000"/>
      <c r="AE657" s="264"/>
      <c r="AF657" s="264"/>
      <c r="AG657" s="264"/>
      <c r="AH657" s="264"/>
      <c r="AI657" s="1000"/>
      <c r="AJ657" s="264"/>
      <c r="AK657" s="264"/>
      <c r="AL657" s="264"/>
      <c r="AM657" s="264"/>
      <c r="AN657" s="1000"/>
      <c r="AO657" s="1000"/>
      <c r="AP657" s="1000"/>
      <c r="AQ657" s="1000"/>
      <c r="AR657" s="1000"/>
      <c r="AS657" s="266">
        <v>11</v>
      </c>
      <c r="AT657" s="266"/>
      <c r="AU657" s="266"/>
      <c r="AV657" s="266"/>
      <c r="AW657" s="266"/>
      <c r="AX657" s="266"/>
      <c r="AY657" s="266"/>
      <c r="AZ657" s="266"/>
      <c r="BA657" s="266"/>
      <c r="BB657" s="266"/>
      <c r="BC657" s="266"/>
      <c r="BD657" s="266"/>
      <c r="BE657" s="266"/>
      <c r="BF657" s="266"/>
      <c r="BG657" s="266"/>
      <c r="BH657" s="266"/>
      <c r="BI657" s="1000"/>
      <c r="BJ657" s="1000"/>
      <c r="BK657" s="1000"/>
      <c r="BL657" s="1000"/>
      <c r="BM657" s="1000"/>
      <c r="BN657" s="265"/>
      <c r="BO657" s="265"/>
      <c r="BP657" s="265"/>
      <c r="BQ657" s="265"/>
      <c r="BR657" s="265"/>
      <c r="BS657" s="265"/>
      <c r="BT657" s="265"/>
      <c r="BU657" s="265"/>
      <c r="BV657" s="265"/>
      <c r="BW657" s="265"/>
      <c r="BX657" s="265"/>
      <c r="BY657" s="265"/>
      <c r="BZ657" s="265"/>
      <c r="CA657" s="265"/>
      <c r="CB657" s="265"/>
      <c r="CC657" s="265"/>
      <c r="CD657" s="265"/>
      <c r="CE657" s="265"/>
      <c r="CF657" s="265"/>
      <c r="CG657" s="265"/>
      <c r="CH657" s="265"/>
      <c r="CI657" s="265"/>
      <c r="CJ657" s="265"/>
      <c r="CK657" s="265"/>
      <c r="CL657" s="265"/>
      <c r="CM657" s="265"/>
      <c r="CN657" s="265"/>
      <c r="CO657" s="265"/>
      <c r="CP657" s="265"/>
      <c r="CQ657" s="265"/>
      <c r="CR657" s="265"/>
      <c r="CS657" s="265"/>
      <c r="CT657" s="265"/>
      <c r="CU657" s="265"/>
      <c r="CV657" s="265"/>
      <c r="CW657" s="265"/>
      <c r="CX657" s="265"/>
      <c r="CY657" s="265"/>
      <c r="CZ657" s="268"/>
    </row>
    <row r="658" spans="1:104" hidden="1" outlineLevel="1">
      <c r="A658" s="268"/>
      <c r="B658" s="268"/>
      <c r="C658" s="268"/>
      <c r="D658" s="268"/>
      <c r="E658" s="268"/>
      <c r="F658" s="268"/>
      <c r="G658" s="268"/>
      <c r="H658" s="268"/>
      <c r="I658" s="268"/>
      <c r="J658" s="271"/>
      <c r="K658" s="268"/>
      <c r="L658" s="268"/>
      <c r="M658" s="268"/>
      <c r="N658" s="268"/>
      <c r="O658" s="271"/>
      <c r="P658" s="268"/>
      <c r="Q658" s="268"/>
      <c r="R658" s="268"/>
      <c r="S658" s="268"/>
      <c r="T658" s="271"/>
      <c r="U658" s="268"/>
      <c r="V658" s="268"/>
      <c r="W658" s="268"/>
      <c r="X658" s="268"/>
      <c r="Y658" s="271"/>
      <c r="Z658" s="268"/>
      <c r="AA658" s="268"/>
      <c r="AB658" s="268"/>
      <c r="AC658" s="268"/>
      <c r="AD658" s="302"/>
      <c r="AE658" s="268"/>
      <c r="AF658" s="268"/>
      <c r="AG658" s="268"/>
      <c r="AH658" s="268"/>
      <c r="AI658" s="302"/>
      <c r="AJ658" s="268"/>
      <c r="AK658" s="268"/>
      <c r="AL658" s="268"/>
      <c r="AM658" s="268"/>
      <c r="AN658" s="302"/>
      <c r="AO658" s="302"/>
      <c r="AP658" s="302"/>
      <c r="AQ658" s="302"/>
      <c r="AR658" s="302"/>
      <c r="AS658" s="271"/>
      <c r="AT658" s="271"/>
      <c r="AU658" s="271"/>
      <c r="AV658" s="271"/>
      <c r="AW658" s="271"/>
      <c r="AX658" s="271"/>
      <c r="AY658" s="271"/>
      <c r="AZ658" s="271"/>
      <c r="BA658" s="271"/>
      <c r="BB658" s="271"/>
      <c r="BC658" s="271"/>
      <c r="BD658" s="271"/>
      <c r="BE658" s="271"/>
      <c r="BF658" s="271"/>
      <c r="BG658" s="271"/>
      <c r="BH658" s="271"/>
      <c r="BI658" s="302"/>
      <c r="BJ658" s="302"/>
      <c r="BK658" s="302"/>
      <c r="BL658" s="302"/>
      <c r="BM658" s="302"/>
      <c r="BN658" s="116"/>
      <c r="BO658" s="116"/>
      <c r="BP658" s="116"/>
      <c r="BQ658" s="116"/>
      <c r="BR658" s="116"/>
      <c r="BS658" s="116"/>
      <c r="BT658" s="116"/>
      <c r="BU658" s="116"/>
      <c r="BV658" s="116"/>
      <c r="BW658" s="116"/>
      <c r="BX658" s="116"/>
      <c r="BY658" s="116"/>
      <c r="BZ658" s="116"/>
      <c r="CA658" s="116"/>
      <c r="CB658" s="116"/>
      <c r="CC658" s="116"/>
      <c r="CD658" s="116"/>
      <c r="CE658" s="116"/>
      <c r="CF658" s="116"/>
      <c r="CG658" s="116"/>
      <c r="CH658" s="116"/>
      <c r="CI658" s="116"/>
      <c r="CJ658" s="116"/>
      <c r="CK658" s="116"/>
      <c r="CL658" s="116"/>
      <c r="CM658" s="116"/>
      <c r="CN658" s="116"/>
      <c r="CO658" s="116"/>
      <c r="CP658" s="116"/>
      <c r="CQ658" s="116"/>
      <c r="CR658" s="116"/>
      <c r="CS658" s="116"/>
      <c r="CT658" s="116"/>
      <c r="CU658" s="116"/>
      <c r="CV658" s="116"/>
      <c r="CW658" s="116"/>
      <c r="CX658" s="116"/>
      <c r="CY658" s="116"/>
      <c r="CZ658" s="268"/>
    </row>
    <row r="659" spans="1:104" hidden="1" outlineLevel="1">
      <c r="A659" s="268"/>
      <c r="B659" s="268"/>
      <c r="C659" s="268"/>
      <c r="D659" s="268"/>
      <c r="E659" s="268"/>
      <c r="F659" s="268"/>
      <c r="G659" s="268"/>
      <c r="H659" s="268"/>
      <c r="I659" s="268"/>
      <c r="J659" s="271"/>
      <c r="K659" s="268"/>
      <c r="L659" s="268"/>
      <c r="M659" s="268"/>
      <c r="N659" s="268"/>
      <c r="O659" s="271"/>
      <c r="P659" s="268"/>
      <c r="Q659" s="268"/>
      <c r="R659" s="268"/>
      <c r="S659" s="268"/>
      <c r="T659" s="271"/>
      <c r="U659" s="268"/>
      <c r="V659" s="268"/>
      <c r="W659" s="268"/>
      <c r="X659" s="268"/>
      <c r="Y659" s="271"/>
      <c r="Z659" s="268"/>
      <c r="AA659" s="268"/>
      <c r="AB659" s="268"/>
      <c r="AC659" s="268"/>
      <c r="AD659" s="302"/>
      <c r="AE659" s="268"/>
      <c r="AF659" s="268"/>
      <c r="AG659" s="268"/>
      <c r="AH659" s="268"/>
      <c r="AI659" s="302"/>
      <c r="AJ659" s="268"/>
      <c r="AK659" s="268"/>
      <c r="AL659" s="268"/>
      <c r="AM659" s="268"/>
      <c r="AN659" s="302"/>
      <c r="AO659" s="302"/>
      <c r="AP659" s="302"/>
      <c r="AQ659" s="302"/>
      <c r="AR659" s="302"/>
      <c r="AS659" s="271"/>
      <c r="AT659" s="271"/>
      <c r="AU659" s="271"/>
      <c r="AV659" s="271"/>
      <c r="AW659" s="271"/>
      <c r="AX659" s="271"/>
      <c r="AY659" s="271"/>
      <c r="AZ659" s="271"/>
      <c r="BA659" s="271"/>
      <c r="BB659" s="271"/>
      <c r="BC659" s="271"/>
      <c r="BD659" s="271"/>
      <c r="BE659" s="271"/>
      <c r="BF659" s="271"/>
      <c r="BG659" s="271"/>
      <c r="BH659" s="271"/>
      <c r="BI659" s="302"/>
      <c r="BJ659" s="302"/>
      <c r="BK659" s="302"/>
      <c r="BL659" s="302"/>
      <c r="BM659" s="302"/>
      <c r="BN659" s="116"/>
      <c r="BO659" s="116"/>
      <c r="BP659" s="116"/>
      <c r="BQ659" s="116"/>
      <c r="BR659" s="116"/>
      <c r="BS659" s="116"/>
      <c r="BT659" s="116"/>
      <c r="BU659" s="116"/>
      <c r="BV659" s="116"/>
      <c r="BW659" s="116"/>
      <c r="BX659" s="116"/>
      <c r="BY659" s="116"/>
      <c r="BZ659" s="116"/>
      <c r="CA659" s="116"/>
      <c r="CB659" s="116"/>
      <c r="CC659" s="116"/>
      <c r="CD659" s="116"/>
      <c r="CE659" s="116"/>
      <c r="CF659" s="116"/>
      <c r="CG659" s="116"/>
      <c r="CH659" s="116"/>
      <c r="CI659" s="116"/>
      <c r="CJ659" s="116"/>
      <c r="CK659" s="116"/>
      <c r="CL659" s="116"/>
      <c r="CM659" s="116"/>
      <c r="CN659" s="116"/>
      <c r="CO659" s="116"/>
      <c r="CP659" s="116"/>
      <c r="CQ659" s="116"/>
      <c r="CR659" s="116"/>
      <c r="CS659" s="116"/>
      <c r="CT659" s="116"/>
      <c r="CU659" s="116"/>
      <c r="CV659" s="116"/>
      <c r="CW659" s="116"/>
      <c r="CX659" s="116"/>
      <c r="CY659" s="116"/>
      <c r="CZ659" s="268"/>
    </row>
    <row r="660" spans="1:104" hidden="1" outlineLevel="1">
      <c r="A660" s="268"/>
      <c r="B660" s="268"/>
      <c r="C660" s="264"/>
      <c r="D660" s="264"/>
      <c r="E660" s="268"/>
      <c r="F660" s="268"/>
      <c r="G660" s="268"/>
      <c r="H660" s="268"/>
      <c r="I660" s="268"/>
      <c r="J660" s="271"/>
      <c r="K660" s="268"/>
      <c r="L660" s="268"/>
      <c r="M660" s="268"/>
      <c r="N660" s="268"/>
      <c r="O660" s="271"/>
      <c r="P660" s="268"/>
      <c r="Q660" s="268"/>
      <c r="R660" s="268"/>
      <c r="S660" s="268"/>
      <c r="T660" s="271"/>
      <c r="U660" s="268"/>
      <c r="V660" s="268"/>
      <c r="W660" s="268"/>
      <c r="X660" s="268"/>
      <c r="Y660" s="271"/>
      <c r="Z660" s="268"/>
      <c r="AA660" s="268"/>
      <c r="AB660" s="268"/>
      <c r="AC660" s="268"/>
      <c r="AD660" s="302"/>
      <c r="AE660" s="268"/>
      <c r="AF660" s="268"/>
      <c r="AG660" s="268"/>
      <c r="AH660" s="268"/>
      <c r="AI660" s="302"/>
      <c r="AJ660" s="268"/>
      <c r="AK660" s="268"/>
      <c r="AL660" s="268"/>
      <c r="AM660" s="268"/>
      <c r="AN660" s="302"/>
      <c r="AO660" s="302"/>
      <c r="AP660" s="302"/>
      <c r="AQ660" s="302"/>
      <c r="AR660" s="302"/>
      <c r="AS660" s="271"/>
      <c r="AT660" s="271"/>
      <c r="AU660" s="271"/>
      <c r="AV660" s="271"/>
      <c r="AW660" s="271"/>
      <c r="AX660" s="271"/>
      <c r="AY660" s="271"/>
      <c r="AZ660" s="271"/>
      <c r="BA660" s="271"/>
      <c r="BB660" s="271"/>
      <c r="BC660" s="271"/>
      <c r="BD660" s="271"/>
      <c r="BE660" s="271"/>
      <c r="BF660" s="271"/>
      <c r="BG660" s="271"/>
      <c r="BH660" s="271"/>
      <c r="BI660" s="302"/>
      <c r="BJ660" s="302"/>
      <c r="BK660" s="302"/>
      <c r="BL660" s="302"/>
      <c r="BM660" s="302"/>
      <c r="BN660" s="116"/>
      <c r="BO660" s="116"/>
      <c r="BP660" s="116"/>
      <c r="BQ660" s="116"/>
      <c r="BR660" s="116"/>
      <c r="BS660" s="116"/>
      <c r="BT660" s="116"/>
      <c r="BU660" s="116"/>
      <c r="BV660" s="116"/>
      <c r="BW660" s="116"/>
      <c r="BX660" s="116"/>
      <c r="BY660" s="116"/>
      <c r="BZ660" s="116"/>
      <c r="CA660" s="116"/>
      <c r="CB660" s="116"/>
      <c r="CC660" s="116"/>
      <c r="CD660" s="116"/>
      <c r="CE660" s="116"/>
      <c r="CF660" s="116"/>
      <c r="CG660" s="116"/>
      <c r="CH660" s="116"/>
      <c r="CI660" s="116"/>
      <c r="CJ660" s="116"/>
      <c r="CK660" s="116"/>
      <c r="CL660" s="116"/>
      <c r="CM660" s="116"/>
      <c r="CN660" s="116"/>
      <c r="CO660" s="116"/>
      <c r="CP660" s="116"/>
      <c r="CQ660" s="116"/>
      <c r="CR660" s="116"/>
      <c r="CS660" s="116"/>
      <c r="CT660" s="116"/>
      <c r="CU660" s="116"/>
      <c r="CV660" s="116"/>
      <c r="CW660" s="116"/>
      <c r="CX660" s="116"/>
      <c r="CY660" s="116"/>
      <c r="CZ660" s="268"/>
    </row>
    <row r="661" spans="1:104" hidden="1" outlineLevel="1">
      <c r="A661" s="268"/>
      <c r="B661" s="268"/>
      <c r="C661" s="264" t="s">
        <v>499</v>
      </c>
      <c r="D661" s="264"/>
      <c r="E661" s="268"/>
      <c r="F661" s="268"/>
      <c r="G661" s="268"/>
      <c r="H661" s="268"/>
      <c r="I661" s="268"/>
      <c r="J661" s="271"/>
      <c r="K661" s="268"/>
      <c r="L661" s="268"/>
      <c r="M661" s="268"/>
      <c r="N661" s="268"/>
      <c r="O661" s="271"/>
      <c r="P661" s="268"/>
      <c r="Q661" s="268"/>
      <c r="R661" s="268"/>
      <c r="S661" s="268"/>
      <c r="T661" s="271"/>
      <c r="U661" s="268"/>
      <c r="V661" s="268"/>
      <c r="W661" s="268"/>
      <c r="X661" s="268"/>
      <c r="Y661" s="271"/>
      <c r="Z661" s="268"/>
      <c r="AA661" s="268"/>
      <c r="AB661" s="268"/>
      <c r="AC661" s="268"/>
      <c r="AD661" s="302"/>
      <c r="AE661" s="268"/>
      <c r="AF661" s="268"/>
      <c r="AG661" s="268"/>
      <c r="AH661" s="268"/>
      <c r="AI661" s="302"/>
      <c r="AJ661" s="268"/>
      <c r="AK661" s="268"/>
      <c r="AL661" s="268"/>
      <c r="AM661" s="268"/>
      <c r="AN661" s="302"/>
      <c r="AO661" s="302"/>
      <c r="AP661" s="302"/>
      <c r="AQ661" s="302"/>
      <c r="AR661" s="302"/>
      <c r="AS661" s="271"/>
      <c r="AT661" s="271"/>
      <c r="AU661" s="271"/>
      <c r="AV661" s="271"/>
      <c r="AW661" s="271"/>
      <c r="AX661" s="271"/>
      <c r="AY661" s="271"/>
      <c r="AZ661" s="271"/>
      <c r="BA661" s="271"/>
      <c r="BB661" s="271"/>
      <c r="BC661" s="271"/>
      <c r="BD661" s="271"/>
      <c r="BE661" s="271"/>
      <c r="BF661" s="271"/>
      <c r="BG661" s="271"/>
      <c r="BH661" s="271"/>
      <c r="BI661" s="302"/>
      <c r="BJ661" s="302"/>
      <c r="BK661" s="302"/>
      <c r="BL661" s="302"/>
      <c r="BM661" s="302"/>
      <c r="BN661" s="116"/>
      <c r="BO661" s="116"/>
      <c r="BP661" s="116"/>
      <c r="BQ661" s="116"/>
      <c r="BR661" s="116"/>
      <c r="BS661" s="116"/>
      <c r="BT661" s="116"/>
      <c r="BU661" s="116"/>
      <c r="BV661" s="116"/>
      <c r="BW661" s="116"/>
      <c r="BX661" s="116"/>
      <c r="BY661" s="116"/>
      <c r="BZ661" s="116"/>
      <c r="CA661" s="116"/>
      <c r="CB661" s="116"/>
      <c r="CC661" s="116"/>
      <c r="CD661" s="116"/>
      <c r="CE661" s="116"/>
      <c r="CF661" s="116"/>
      <c r="CG661" s="116"/>
      <c r="CH661" s="116"/>
      <c r="CI661" s="116"/>
      <c r="CJ661" s="116"/>
      <c r="CK661" s="116"/>
      <c r="CL661" s="116"/>
      <c r="CM661" s="116"/>
      <c r="CN661" s="116"/>
      <c r="CO661" s="116"/>
      <c r="CP661" s="116"/>
      <c r="CQ661" s="116"/>
      <c r="CR661" s="116"/>
      <c r="CS661" s="116"/>
      <c r="CT661" s="116"/>
      <c r="CU661" s="116"/>
      <c r="CV661" s="116"/>
      <c r="CW661" s="116"/>
      <c r="CX661" s="116"/>
      <c r="CY661" s="116"/>
      <c r="CZ661" s="268"/>
    </row>
    <row r="662" spans="1:104" hidden="1" outlineLevel="1">
      <c r="A662" s="268"/>
      <c r="B662" s="268"/>
      <c r="C662" s="264" t="s">
        <v>497</v>
      </c>
      <c r="D662" s="264"/>
      <c r="E662" s="268"/>
      <c r="F662" s="268"/>
      <c r="G662" s="268"/>
      <c r="H662" s="268"/>
      <c r="I662" s="268"/>
      <c r="J662" s="271"/>
      <c r="K662" s="268"/>
      <c r="L662" s="268"/>
      <c r="M662" s="268"/>
      <c r="N662" s="268"/>
      <c r="O662" s="271"/>
      <c r="P662" s="268"/>
      <c r="Q662" s="268"/>
      <c r="R662" s="268"/>
      <c r="S662" s="268"/>
      <c r="T662" s="271"/>
      <c r="U662" s="268"/>
      <c r="V662" s="268"/>
      <c r="W662" s="268"/>
      <c r="X662" s="268"/>
      <c r="Y662" s="271"/>
      <c r="Z662" s="268"/>
      <c r="AA662" s="268"/>
      <c r="AB662" s="268"/>
      <c r="AC662" s="268"/>
      <c r="AD662" s="302"/>
      <c r="AE662" s="268"/>
      <c r="AF662" s="268"/>
      <c r="AG662" s="268"/>
      <c r="AH662" s="268"/>
      <c r="AI662" s="302"/>
      <c r="AJ662" s="268"/>
      <c r="AK662" s="268"/>
      <c r="AL662" s="268"/>
      <c r="AM662" s="268"/>
      <c r="AN662" s="302"/>
      <c r="AO662" s="302"/>
      <c r="AP662" s="302"/>
      <c r="AQ662" s="302"/>
      <c r="AR662" s="302"/>
      <c r="AS662" s="271">
        <v>6</v>
      </c>
      <c r="AT662" s="271"/>
      <c r="AU662" s="271"/>
      <c r="AV662" s="271"/>
      <c r="AW662" s="271"/>
      <c r="AX662" s="271"/>
      <c r="AY662" s="271"/>
      <c r="AZ662" s="271"/>
      <c r="BA662" s="271"/>
      <c r="BB662" s="271"/>
      <c r="BC662" s="271"/>
      <c r="BD662" s="271"/>
      <c r="BE662" s="271"/>
      <c r="BF662" s="271"/>
      <c r="BG662" s="271"/>
      <c r="BH662" s="271"/>
      <c r="BI662" s="302"/>
      <c r="BJ662" s="302"/>
      <c r="BK662" s="302"/>
      <c r="BL662" s="302"/>
      <c r="BM662" s="302"/>
      <c r="BN662" s="116"/>
      <c r="BO662" s="116"/>
      <c r="BP662" s="116"/>
      <c r="BQ662" s="116"/>
      <c r="BR662" s="116"/>
      <c r="BS662" s="116"/>
      <c r="BT662" s="116"/>
      <c r="BU662" s="116"/>
      <c r="BV662" s="116"/>
      <c r="BW662" s="116"/>
      <c r="BX662" s="116"/>
      <c r="BY662" s="116"/>
      <c r="BZ662" s="116"/>
      <c r="CA662" s="116"/>
      <c r="CB662" s="116"/>
      <c r="CC662" s="116"/>
      <c r="CD662" s="116"/>
      <c r="CE662" s="116"/>
      <c r="CF662" s="116"/>
      <c r="CG662" s="116"/>
      <c r="CH662" s="116"/>
      <c r="CI662" s="116"/>
      <c r="CJ662" s="116"/>
      <c r="CK662" s="116"/>
      <c r="CL662" s="116"/>
      <c r="CM662" s="116"/>
      <c r="CN662" s="116"/>
      <c r="CO662" s="116"/>
      <c r="CP662" s="116"/>
      <c r="CQ662" s="116"/>
      <c r="CR662" s="116"/>
      <c r="CS662" s="116"/>
      <c r="CT662" s="116"/>
      <c r="CU662" s="116"/>
      <c r="CV662" s="116"/>
      <c r="CW662" s="116"/>
      <c r="CX662" s="116"/>
      <c r="CY662" s="116"/>
      <c r="CZ662" s="268"/>
    </row>
    <row r="663" spans="1:104" hidden="1" outlineLevel="1">
      <c r="A663" s="268"/>
      <c r="B663" s="268"/>
      <c r="C663" s="268"/>
      <c r="D663" s="268"/>
      <c r="E663" s="268"/>
      <c r="F663" s="268"/>
      <c r="G663" s="268"/>
      <c r="H663" s="268"/>
      <c r="I663" s="268"/>
      <c r="J663" s="271"/>
      <c r="K663" s="268"/>
      <c r="L663" s="268"/>
      <c r="M663" s="268"/>
      <c r="N663" s="268"/>
      <c r="O663" s="271"/>
      <c r="P663" s="268"/>
      <c r="Q663" s="268"/>
      <c r="R663" s="268"/>
      <c r="S663" s="268"/>
      <c r="T663" s="271"/>
      <c r="U663" s="268"/>
      <c r="V663" s="268"/>
      <c r="W663" s="268"/>
      <c r="X663" s="268"/>
      <c r="Y663" s="271"/>
      <c r="Z663" s="268"/>
      <c r="AA663" s="268"/>
      <c r="AB663" s="268"/>
      <c r="AC663" s="268"/>
      <c r="AD663" s="302"/>
      <c r="AE663" s="268"/>
      <c r="AF663" s="268"/>
      <c r="AG663" s="268"/>
      <c r="AH663" s="268"/>
      <c r="AI663" s="302"/>
      <c r="AJ663" s="268"/>
      <c r="AK663" s="268"/>
      <c r="AL663" s="268"/>
      <c r="AM663" s="268"/>
      <c r="AN663" s="302"/>
      <c r="AO663" s="302"/>
      <c r="AP663" s="302"/>
      <c r="AQ663" s="302"/>
      <c r="AR663" s="302"/>
      <c r="AS663" s="271"/>
      <c r="AT663" s="271"/>
      <c r="AU663" s="271"/>
      <c r="AV663" s="271"/>
      <c r="AW663" s="271"/>
      <c r="AX663" s="271"/>
      <c r="AY663" s="271"/>
      <c r="AZ663" s="271"/>
      <c r="BA663" s="271"/>
      <c r="BB663" s="271"/>
      <c r="BC663" s="271"/>
      <c r="BD663" s="271"/>
      <c r="BE663" s="271"/>
      <c r="BF663" s="271"/>
      <c r="BG663" s="271"/>
      <c r="BH663" s="271"/>
      <c r="BI663" s="302"/>
      <c r="BJ663" s="302"/>
      <c r="BK663" s="302"/>
      <c r="BL663" s="302"/>
      <c r="BM663" s="302"/>
      <c r="BN663" s="116"/>
      <c r="BO663" s="116"/>
      <c r="BP663" s="116"/>
      <c r="BQ663" s="116"/>
      <c r="BR663" s="116"/>
      <c r="BS663" s="116"/>
      <c r="BT663" s="116"/>
      <c r="BU663" s="116"/>
      <c r="BV663" s="116"/>
      <c r="BW663" s="116"/>
      <c r="BX663" s="116"/>
      <c r="BY663" s="116"/>
      <c r="BZ663" s="116"/>
      <c r="CA663" s="116"/>
      <c r="CB663" s="116"/>
      <c r="CC663" s="116"/>
      <c r="CD663" s="116"/>
      <c r="CE663" s="116"/>
      <c r="CF663" s="116"/>
      <c r="CG663" s="116"/>
      <c r="CH663" s="116"/>
      <c r="CI663" s="116"/>
      <c r="CJ663" s="116"/>
      <c r="CK663" s="116"/>
      <c r="CL663" s="116"/>
      <c r="CM663" s="116"/>
      <c r="CN663" s="116"/>
      <c r="CO663" s="116"/>
      <c r="CP663" s="116"/>
      <c r="CQ663" s="116"/>
      <c r="CR663" s="116"/>
      <c r="CS663" s="116"/>
      <c r="CT663" s="116"/>
      <c r="CU663" s="116"/>
      <c r="CV663" s="116"/>
      <c r="CW663" s="116"/>
      <c r="CX663" s="116"/>
      <c r="CY663" s="116"/>
      <c r="CZ663" s="268"/>
    </row>
    <row r="664" spans="1:104" hidden="1" outlineLevel="1">
      <c r="A664" s="268"/>
      <c r="B664" s="268"/>
      <c r="C664" s="268"/>
      <c r="D664" s="268"/>
      <c r="E664" s="268"/>
      <c r="F664" s="268"/>
      <c r="G664" s="268"/>
      <c r="H664" s="268"/>
      <c r="I664" s="268"/>
      <c r="J664" s="271"/>
      <c r="K664" s="268"/>
      <c r="L664" s="268"/>
      <c r="M664" s="268"/>
      <c r="N664" s="268"/>
      <c r="O664" s="271"/>
      <c r="P664" s="268"/>
      <c r="Q664" s="268"/>
      <c r="R664" s="268"/>
      <c r="S664" s="268"/>
      <c r="T664" s="271"/>
      <c r="U664" s="268"/>
      <c r="V664" s="268"/>
      <c r="W664" s="268"/>
      <c r="X664" s="268"/>
      <c r="Y664" s="271"/>
      <c r="Z664" s="268"/>
      <c r="AA664" s="268"/>
      <c r="AB664" s="268"/>
      <c r="AC664" s="268"/>
      <c r="AD664" s="302"/>
      <c r="AE664" s="268"/>
      <c r="AF664" s="268"/>
      <c r="AG664" s="268"/>
      <c r="AH664" s="268"/>
      <c r="AI664" s="302"/>
      <c r="AJ664" s="268"/>
      <c r="AK664" s="268"/>
      <c r="AL664" s="268"/>
      <c r="AM664" s="268"/>
      <c r="AN664" s="302"/>
      <c r="AO664" s="302"/>
      <c r="AP664" s="302"/>
      <c r="AQ664" s="302"/>
      <c r="AR664" s="302"/>
      <c r="AS664" s="271"/>
      <c r="AT664" s="271"/>
      <c r="AU664" s="271"/>
      <c r="AV664" s="271"/>
      <c r="AW664" s="271"/>
      <c r="AX664" s="271"/>
      <c r="AY664" s="271"/>
      <c r="AZ664" s="271"/>
      <c r="BA664" s="271"/>
      <c r="BB664" s="271"/>
      <c r="BC664" s="271"/>
      <c r="BD664" s="271"/>
      <c r="BE664" s="271"/>
      <c r="BF664" s="271"/>
      <c r="BG664" s="271"/>
      <c r="BH664" s="271"/>
      <c r="BI664" s="302"/>
      <c r="BJ664" s="302"/>
      <c r="BK664" s="302"/>
      <c r="BL664" s="302"/>
      <c r="BM664" s="302"/>
      <c r="BN664" s="116"/>
      <c r="BO664" s="116"/>
      <c r="BP664" s="116"/>
      <c r="BQ664" s="116"/>
      <c r="BR664" s="116"/>
      <c r="BS664" s="116"/>
      <c r="BT664" s="116"/>
      <c r="BU664" s="116"/>
      <c r="BV664" s="116"/>
      <c r="BW664" s="116"/>
      <c r="BX664" s="116"/>
      <c r="BY664" s="116"/>
      <c r="BZ664" s="116"/>
      <c r="CA664" s="116"/>
      <c r="CB664" s="116"/>
      <c r="CC664" s="116"/>
      <c r="CD664" s="116"/>
      <c r="CE664" s="116"/>
      <c r="CF664" s="116"/>
      <c r="CG664" s="116"/>
      <c r="CH664" s="116"/>
      <c r="CI664" s="116"/>
      <c r="CJ664" s="116"/>
      <c r="CK664" s="116"/>
      <c r="CL664" s="116"/>
      <c r="CM664" s="116"/>
      <c r="CN664" s="116"/>
      <c r="CO664" s="116"/>
      <c r="CP664" s="116"/>
      <c r="CQ664" s="116"/>
      <c r="CR664" s="116"/>
      <c r="CS664" s="116"/>
      <c r="CT664" s="116"/>
      <c r="CU664" s="116"/>
      <c r="CV664" s="116"/>
      <c r="CW664" s="116"/>
      <c r="CX664" s="116"/>
      <c r="CY664" s="116"/>
      <c r="CZ664" s="268"/>
    </row>
    <row r="665" spans="1:104" hidden="1" outlineLevel="1">
      <c r="A665" s="268"/>
      <c r="B665" s="268"/>
      <c r="C665" s="268"/>
      <c r="D665" s="268"/>
      <c r="E665" s="268"/>
      <c r="F665" s="268"/>
      <c r="G665" s="268"/>
      <c r="H665" s="268"/>
      <c r="I665" s="268"/>
      <c r="J665" s="271"/>
      <c r="K665" s="268"/>
      <c r="L665" s="268"/>
      <c r="M665" s="268"/>
      <c r="N665" s="268"/>
      <c r="O665" s="271"/>
      <c r="P665" s="268"/>
      <c r="Q665" s="268"/>
      <c r="R665" s="268"/>
      <c r="S665" s="268"/>
      <c r="T665" s="271"/>
      <c r="U665" s="268"/>
      <c r="V665" s="268"/>
      <c r="W665" s="268"/>
      <c r="X665" s="268"/>
      <c r="Y665" s="271"/>
      <c r="Z665" s="268"/>
      <c r="AA665" s="268"/>
      <c r="AB665" s="268"/>
      <c r="AC665" s="268"/>
      <c r="AD665" s="302"/>
      <c r="AE665" s="268"/>
      <c r="AF665" s="268"/>
      <c r="AG665" s="268"/>
      <c r="AH665" s="268"/>
      <c r="AI665" s="302"/>
      <c r="AJ665" s="268"/>
      <c r="AK665" s="268"/>
      <c r="AL665" s="268"/>
      <c r="AM665" s="268"/>
      <c r="AN665" s="302"/>
      <c r="AO665" s="302"/>
      <c r="AP665" s="302"/>
      <c r="AQ665" s="302"/>
      <c r="AR665" s="302"/>
      <c r="AS665" s="271"/>
      <c r="AT665" s="271"/>
      <c r="AU665" s="271"/>
      <c r="AV665" s="271"/>
      <c r="AW665" s="271"/>
      <c r="AX665" s="271"/>
      <c r="AY665" s="271"/>
      <c r="AZ665" s="271"/>
      <c r="BA665" s="271"/>
      <c r="BB665" s="271"/>
      <c r="BC665" s="271"/>
      <c r="BD665" s="271"/>
      <c r="BE665" s="271"/>
      <c r="BF665" s="271"/>
      <c r="BG665" s="271"/>
      <c r="BH665" s="271"/>
      <c r="BI665" s="302"/>
      <c r="BJ665" s="302"/>
      <c r="BK665" s="302"/>
      <c r="BL665" s="302"/>
      <c r="BM665" s="302"/>
      <c r="BN665" s="116"/>
      <c r="BO665" s="116"/>
      <c r="BP665" s="116"/>
      <c r="BQ665" s="116"/>
      <c r="BR665" s="116"/>
      <c r="BS665" s="116"/>
      <c r="BT665" s="116"/>
      <c r="BU665" s="116"/>
      <c r="BV665" s="116"/>
      <c r="BW665" s="116"/>
      <c r="BX665" s="116"/>
      <c r="BY665" s="116"/>
      <c r="BZ665" s="116"/>
      <c r="CA665" s="116"/>
      <c r="CB665" s="116"/>
      <c r="CC665" s="116"/>
      <c r="CD665" s="116"/>
      <c r="CE665" s="116"/>
      <c r="CF665" s="116"/>
      <c r="CG665" s="116"/>
      <c r="CH665" s="116"/>
      <c r="CI665" s="116"/>
      <c r="CJ665" s="116"/>
      <c r="CK665" s="116"/>
      <c r="CL665" s="116"/>
      <c r="CM665" s="116"/>
      <c r="CN665" s="116"/>
      <c r="CO665" s="116"/>
      <c r="CP665" s="116"/>
      <c r="CQ665" s="116"/>
      <c r="CR665" s="116"/>
      <c r="CS665" s="116"/>
      <c r="CT665" s="116"/>
      <c r="CU665" s="116"/>
      <c r="CV665" s="116"/>
      <c r="CW665" s="116"/>
      <c r="CX665" s="116"/>
      <c r="CY665" s="116"/>
      <c r="CZ665" s="268"/>
    </row>
    <row r="666" spans="1:104" hidden="1" outlineLevel="1">
      <c r="A666" s="268"/>
      <c r="B666" s="268"/>
      <c r="C666" s="264"/>
      <c r="D666" s="268"/>
      <c r="E666" s="268"/>
      <c r="F666" s="268"/>
      <c r="G666" s="268"/>
      <c r="H666" s="268"/>
      <c r="I666" s="268"/>
      <c r="J666" s="271"/>
      <c r="K666" s="268"/>
      <c r="L666" s="268"/>
      <c r="M666" s="268"/>
      <c r="N666" s="268"/>
      <c r="O666" s="271"/>
      <c r="P666" s="268"/>
      <c r="Q666" s="268"/>
      <c r="R666" s="268"/>
      <c r="S666" s="268"/>
      <c r="T666" s="271"/>
      <c r="U666" s="268"/>
      <c r="V666" s="268"/>
      <c r="W666" s="268"/>
      <c r="X666" s="268"/>
      <c r="Y666" s="271"/>
      <c r="Z666" s="268"/>
      <c r="AA666" s="268"/>
      <c r="AB666" s="268"/>
      <c r="AC666" s="268"/>
      <c r="AD666" s="302"/>
      <c r="AE666" s="268"/>
      <c r="AF666" s="268"/>
      <c r="AG666" s="268"/>
      <c r="AH666" s="268"/>
      <c r="AI666" s="302"/>
      <c r="AJ666" s="268"/>
      <c r="AK666" s="268"/>
      <c r="AL666" s="268"/>
      <c r="AM666" s="268"/>
      <c r="AN666" s="302"/>
      <c r="AO666" s="302"/>
      <c r="AP666" s="302"/>
      <c r="AQ666" s="302"/>
      <c r="AR666" s="302"/>
      <c r="AS666" s="271"/>
      <c r="AT666" s="271"/>
      <c r="AU666" s="271"/>
      <c r="AV666" s="271"/>
      <c r="AW666" s="271"/>
      <c r="AX666" s="271"/>
      <c r="AY666" s="271"/>
      <c r="AZ666" s="271"/>
      <c r="BA666" s="271"/>
      <c r="BB666" s="271"/>
      <c r="BC666" s="271"/>
      <c r="BD666" s="271"/>
      <c r="BE666" s="271"/>
      <c r="BF666" s="271"/>
      <c r="BG666" s="271"/>
      <c r="BH666" s="271"/>
      <c r="BI666" s="302"/>
      <c r="BJ666" s="302"/>
      <c r="BK666" s="302"/>
      <c r="BL666" s="302"/>
      <c r="BM666" s="302"/>
      <c r="BN666" s="116"/>
      <c r="BO666" s="116"/>
      <c r="BP666" s="116"/>
      <c r="BQ666" s="116"/>
      <c r="BR666" s="116"/>
      <c r="BS666" s="116"/>
      <c r="BT666" s="116"/>
      <c r="BU666" s="116"/>
      <c r="BV666" s="116"/>
      <c r="BW666" s="116"/>
      <c r="BX666" s="116"/>
      <c r="BY666" s="116"/>
      <c r="BZ666" s="116"/>
      <c r="CA666" s="116"/>
      <c r="CB666" s="116"/>
      <c r="CC666" s="116"/>
      <c r="CD666" s="116"/>
      <c r="CE666" s="116"/>
      <c r="CF666" s="116"/>
      <c r="CG666" s="116"/>
      <c r="CH666" s="116"/>
      <c r="CI666" s="116"/>
      <c r="CJ666" s="116"/>
      <c r="CK666" s="116"/>
      <c r="CL666" s="116"/>
      <c r="CM666" s="116"/>
      <c r="CN666" s="116"/>
      <c r="CO666" s="116"/>
      <c r="CP666" s="116"/>
      <c r="CQ666" s="116"/>
      <c r="CR666" s="116"/>
      <c r="CS666" s="116"/>
      <c r="CT666" s="116"/>
      <c r="CU666" s="116"/>
      <c r="CV666" s="116"/>
      <c r="CW666" s="116"/>
      <c r="CX666" s="116"/>
      <c r="CY666" s="116"/>
      <c r="CZ666" s="268"/>
    </row>
    <row r="667" spans="1:104" hidden="1" outlineLevel="1">
      <c r="A667" s="268"/>
      <c r="B667" s="268"/>
      <c r="C667" s="264" t="s">
        <v>498</v>
      </c>
      <c r="D667" s="268"/>
      <c r="E667" s="268"/>
      <c r="F667" s="268"/>
      <c r="G667" s="268"/>
      <c r="H667" s="268"/>
      <c r="I667" s="268"/>
      <c r="J667" s="271"/>
      <c r="K667" s="268"/>
      <c r="L667" s="268"/>
      <c r="M667" s="268"/>
      <c r="N667" s="268"/>
      <c r="O667" s="271"/>
      <c r="P667" s="268"/>
      <c r="Q667" s="268"/>
      <c r="R667" s="268"/>
      <c r="S667" s="268"/>
      <c r="T667" s="271"/>
      <c r="U667" s="268"/>
      <c r="V667" s="268"/>
      <c r="W667" s="268"/>
      <c r="X667" s="268"/>
      <c r="Y667" s="271"/>
      <c r="Z667" s="268"/>
      <c r="AA667" s="268"/>
      <c r="AB667" s="268"/>
      <c r="AC667" s="268"/>
      <c r="AD667" s="302"/>
      <c r="AE667" s="268"/>
      <c r="AF667" s="268"/>
      <c r="AG667" s="268"/>
      <c r="AH667" s="268"/>
      <c r="AI667" s="302"/>
      <c r="AJ667" s="268"/>
      <c r="AK667" s="268"/>
      <c r="AL667" s="268"/>
      <c r="AM667" s="268"/>
      <c r="AN667" s="302"/>
      <c r="AO667" s="302"/>
      <c r="AP667" s="302"/>
      <c r="AQ667" s="302"/>
      <c r="AR667" s="302"/>
      <c r="AS667" s="271"/>
      <c r="AT667" s="271"/>
      <c r="AU667" s="271"/>
      <c r="AV667" s="271"/>
      <c r="AW667" s="271"/>
      <c r="AX667" s="271"/>
      <c r="AY667" s="271"/>
      <c r="AZ667" s="271"/>
      <c r="BA667" s="271"/>
      <c r="BB667" s="271"/>
      <c r="BC667" s="271"/>
      <c r="BD667" s="271"/>
      <c r="BE667" s="271"/>
      <c r="BF667" s="271"/>
      <c r="BG667" s="271"/>
      <c r="BH667" s="271"/>
      <c r="BI667" s="302"/>
      <c r="BJ667" s="302"/>
      <c r="BK667" s="302"/>
      <c r="BL667" s="302"/>
      <c r="BM667" s="302"/>
      <c r="BN667" s="116"/>
      <c r="BO667" s="116"/>
      <c r="BP667" s="116"/>
      <c r="BQ667" s="116"/>
      <c r="BR667" s="116"/>
      <c r="BS667" s="116"/>
      <c r="BT667" s="116"/>
      <c r="BU667" s="116"/>
      <c r="BV667" s="116"/>
      <c r="BW667" s="116"/>
      <c r="BX667" s="116"/>
      <c r="BY667" s="116"/>
      <c r="BZ667" s="116"/>
      <c r="CA667" s="116"/>
      <c r="CB667" s="116"/>
      <c r="CC667" s="116"/>
      <c r="CD667" s="116"/>
      <c r="CE667" s="116"/>
      <c r="CF667" s="116"/>
      <c r="CG667" s="116"/>
      <c r="CH667" s="116"/>
      <c r="CI667" s="116"/>
      <c r="CJ667" s="116"/>
      <c r="CK667" s="116"/>
      <c r="CL667" s="116"/>
      <c r="CM667" s="116"/>
      <c r="CN667" s="116"/>
      <c r="CO667" s="116"/>
      <c r="CP667" s="116"/>
      <c r="CQ667" s="116"/>
      <c r="CR667" s="116"/>
      <c r="CS667" s="116"/>
      <c r="CT667" s="116"/>
      <c r="CU667" s="116"/>
      <c r="CV667" s="116"/>
      <c r="CW667" s="116"/>
      <c r="CX667" s="116"/>
      <c r="CY667" s="116"/>
      <c r="CZ667" s="268"/>
    </row>
    <row r="668" spans="1:104" hidden="1" outlineLevel="1">
      <c r="A668" s="268"/>
      <c r="B668" s="268"/>
      <c r="C668" s="264" t="s">
        <v>497</v>
      </c>
      <c r="D668" s="268"/>
      <c r="E668" s="268"/>
      <c r="F668" s="268"/>
      <c r="G668" s="268"/>
      <c r="H668" s="268"/>
      <c r="I668" s="268"/>
      <c r="J668" s="271"/>
      <c r="K668" s="268"/>
      <c r="L668" s="268"/>
      <c r="M668" s="268"/>
      <c r="N668" s="268"/>
      <c r="O668" s="271"/>
      <c r="P668" s="268"/>
      <c r="Q668" s="268"/>
      <c r="R668" s="268"/>
      <c r="S668" s="268"/>
      <c r="T668" s="271"/>
      <c r="U668" s="268"/>
      <c r="V668" s="268"/>
      <c r="W668" s="268"/>
      <c r="X668" s="268"/>
      <c r="Y668" s="271"/>
      <c r="Z668" s="268"/>
      <c r="AA668" s="268"/>
      <c r="AB668" s="268"/>
      <c r="AC668" s="268"/>
      <c r="AD668" s="302"/>
      <c r="AE668" s="268"/>
      <c r="AF668" s="268"/>
      <c r="AG668" s="268"/>
      <c r="AH668" s="268"/>
      <c r="AI668" s="302"/>
      <c r="AJ668" s="268"/>
      <c r="AK668" s="268"/>
      <c r="AL668" s="268"/>
      <c r="AM668" s="268"/>
      <c r="AN668" s="302"/>
      <c r="AO668" s="302"/>
      <c r="AP668" s="302"/>
      <c r="AQ668" s="302"/>
      <c r="AR668" s="302"/>
      <c r="AS668" s="271">
        <v>40</v>
      </c>
      <c r="AT668" s="271"/>
      <c r="AU668" s="271"/>
      <c r="AV668" s="271"/>
      <c r="AW668" s="271"/>
      <c r="AX668" s="271"/>
      <c r="AY668" s="271"/>
      <c r="AZ668" s="271"/>
      <c r="BA668" s="271"/>
      <c r="BB668" s="271"/>
      <c r="BC668" s="271"/>
      <c r="BD668" s="271"/>
      <c r="BE668" s="271"/>
      <c r="BF668" s="271"/>
      <c r="BG668" s="271"/>
      <c r="BH668" s="271"/>
      <c r="BI668" s="302"/>
      <c r="BJ668" s="302"/>
      <c r="BK668" s="302"/>
      <c r="BL668" s="302"/>
      <c r="BM668" s="302"/>
      <c r="BN668" s="116"/>
      <c r="BO668" s="116"/>
      <c r="BP668" s="116"/>
      <c r="BQ668" s="116"/>
      <c r="BR668" s="116"/>
      <c r="BS668" s="116"/>
      <c r="BT668" s="116"/>
      <c r="BU668" s="116"/>
      <c r="BV668" s="116"/>
      <c r="BW668" s="116"/>
      <c r="BX668" s="116"/>
      <c r="BY668" s="116"/>
      <c r="BZ668" s="116"/>
      <c r="CA668" s="116"/>
      <c r="CB668" s="116"/>
      <c r="CC668" s="116"/>
      <c r="CD668" s="116"/>
      <c r="CE668" s="116"/>
      <c r="CF668" s="116"/>
      <c r="CG668" s="116"/>
      <c r="CH668" s="116"/>
      <c r="CI668" s="116"/>
      <c r="CJ668" s="116"/>
      <c r="CK668" s="116"/>
      <c r="CL668" s="116"/>
      <c r="CM668" s="116"/>
      <c r="CN668" s="116"/>
      <c r="CO668" s="116"/>
      <c r="CP668" s="116"/>
      <c r="CQ668" s="116"/>
      <c r="CR668" s="116"/>
      <c r="CS668" s="116"/>
      <c r="CT668" s="116"/>
      <c r="CU668" s="116"/>
      <c r="CV668" s="116"/>
      <c r="CW668" s="116"/>
      <c r="CX668" s="116"/>
      <c r="CY668" s="116"/>
      <c r="CZ668" s="268"/>
    </row>
    <row r="669" spans="1:104" hidden="1" outlineLevel="1">
      <c r="A669" s="268"/>
      <c r="B669" s="268"/>
      <c r="C669" s="264" t="s">
        <v>496</v>
      </c>
      <c r="D669" s="268"/>
      <c r="E669" s="268"/>
      <c r="F669" s="268"/>
      <c r="G669" s="268"/>
      <c r="H669" s="268"/>
      <c r="I669" s="268"/>
      <c r="J669" s="271"/>
      <c r="K669" s="268"/>
      <c r="L669" s="268"/>
      <c r="M669" s="268"/>
      <c r="N669" s="268"/>
      <c r="O669" s="271"/>
      <c r="P669" s="268"/>
      <c r="Q669" s="268"/>
      <c r="R669" s="268"/>
      <c r="S669" s="268"/>
      <c r="T669" s="271"/>
      <c r="U669" s="268"/>
      <c r="V669" s="268"/>
      <c r="W669" s="268"/>
      <c r="X669" s="268"/>
      <c r="Y669" s="271"/>
      <c r="Z669" s="268"/>
      <c r="AA669" s="268"/>
      <c r="AB669" s="268"/>
      <c r="AC669" s="268"/>
      <c r="AD669" s="302"/>
      <c r="AE669" s="268"/>
      <c r="AF669" s="268"/>
      <c r="AG669" s="268"/>
      <c r="AH669" s="268"/>
      <c r="AI669" s="302"/>
      <c r="AJ669" s="268"/>
      <c r="AK669" s="268"/>
      <c r="AL669" s="268"/>
      <c r="AM669" s="268"/>
      <c r="AN669" s="302"/>
      <c r="AO669" s="302"/>
      <c r="AP669" s="302"/>
      <c r="AQ669" s="302"/>
      <c r="AR669" s="302"/>
      <c r="AS669" s="271">
        <v>14</v>
      </c>
      <c r="AT669" s="271"/>
      <c r="AU669" s="271"/>
      <c r="AV669" s="271"/>
      <c r="AW669" s="271"/>
      <c r="AX669" s="271"/>
      <c r="AY669" s="271"/>
      <c r="AZ669" s="271"/>
      <c r="BA669" s="271"/>
      <c r="BB669" s="271"/>
      <c r="BC669" s="271"/>
      <c r="BD669" s="271"/>
      <c r="BE669" s="271"/>
      <c r="BF669" s="271"/>
      <c r="BG669" s="271"/>
      <c r="BH669" s="271"/>
      <c r="BI669" s="302"/>
      <c r="BJ669" s="302"/>
      <c r="BK669" s="302"/>
      <c r="BL669" s="302"/>
      <c r="BM669" s="302"/>
      <c r="BN669" s="116"/>
      <c r="BO669" s="116"/>
      <c r="BP669" s="116"/>
      <c r="BQ669" s="116"/>
      <c r="BR669" s="116"/>
      <c r="BS669" s="116"/>
      <c r="BT669" s="116"/>
      <c r="BU669" s="116"/>
      <c r="BV669" s="116"/>
      <c r="BW669" s="116"/>
      <c r="BX669" s="116"/>
      <c r="BY669" s="116"/>
      <c r="BZ669" s="116"/>
      <c r="CA669" s="116"/>
      <c r="CB669" s="116"/>
      <c r="CC669" s="116"/>
      <c r="CD669" s="116"/>
      <c r="CE669" s="116"/>
      <c r="CF669" s="116"/>
      <c r="CG669" s="116"/>
      <c r="CH669" s="116"/>
      <c r="CI669" s="116"/>
      <c r="CJ669" s="116"/>
      <c r="CK669" s="116"/>
      <c r="CL669" s="116"/>
      <c r="CM669" s="116"/>
      <c r="CN669" s="116"/>
      <c r="CO669" s="116"/>
      <c r="CP669" s="116"/>
      <c r="CQ669" s="116"/>
      <c r="CR669" s="116"/>
      <c r="CS669" s="116"/>
      <c r="CT669" s="116"/>
      <c r="CU669" s="116"/>
      <c r="CV669" s="116"/>
      <c r="CW669" s="116"/>
      <c r="CX669" s="116"/>
      <c r="CY669" s="116"/>
      <c r="CZ669" s="268"/>
    </row>
    <row r="670" spans="1:104" hidden="1" outlineLevel="1">
      <c r="A670" s="268"/>
      <c r="B670" s="268"/>
      <c r="C670" s="264" t="s">
        <v>495</v>
      </c>
      <c r="D670" s="268"/>
      <c r="E670" s="268"/>
      <c r="F670" s="268"/>
      <c r="G670" s="268"/>
      <c r="H670" s="268"/>
      <c r="I670" s="268"/>
      <c r="J670" s="271"/>
      <c r="K670" s="268"/>
      <c r="L670" s="268"/>
      <c r="M670" s="268"/>
      <c r="N670" s="268"/>
      <c r="O670" s="271"/>
      <c r="P670" s="268"/>
      <c r="Q670" s="268"/>
      <c r="R670" s="268"/>
      <c r="S670" s="268"/>
      <c r="T670" s="271"/>
      <c r="U670" s="268"/>
      <c r="V670" s="268"/>
      <c r="W670" s="268"/>
      <c r="X670" s="268"/>
      <c r="Y670" s="271"/>
      <c r="Z670" s="268"/>
      <c r="AA670" s="268"/>
      <c r="AB670" s="268"/>
      <c r="AC670" s="268"/>
      <c r="AD670" s="302"/>
      <c r="AE670" s="268"/>
      <c r="AF670" s="268"/>
      <c r="AG670" s="268"/>
      <c r="AH670" s="268"/>
      <c r="AI670" s="302"/>
      <c r="AJ670" s="268"/>
      <c r="AK670" s="268"/>
      <c r="AL670" s="268"/>
      <c r="AM670" s="268"/>
      <c r="AN670" s="302"/>
      <c r="AO670" s="302"/>
      <c r="AP670" s="302"/>
      <c r="AQ670" s="302"/>
      <c r="AR670" s="302"/>
      <c r="AS670" s="271">
        <v>832</v>
      </c>
      <c r="AT670" s="271"/>
      <c r="AU670" s="271"/>
      <c r="AV670" s="271"/>
      <c r="AW670" s="271"/>
      <c r="AX670" s="271"/>
      <c r="AY670" s="271"/>
      <c r="AZ670" s="271"/>
      <c r="BA670" s="271"/>
      <c r="BB670" s="271"/>
      <c r="BC670" s="271"/>
      <c r="BD670" s="271"/>
      <c r="BE670" s="271"/>
      <c r="BF670" s="271"/>
      <c r="BG670" s="271"/>
      <c r="BH670" s="271"/>
      <c r="BI670" s="302"/>
      <c r="BJ670" s="302"/>
      <c r="BK670" s="302"/>
      <c r="BL670" s="302"/>
      <c r="BM670" s="302"/>
      <c r="BN670" s="116"/>
      <c r="BO670" s="116"/>
      <c r="BP670" s="116"/>
      <c r="BQ670" s="116"/>
      <c r="BR670" s="116"/>
      <c r="BS670" s="116"/>
      <c r="BT670" s="116"/>
      <c r="BU670" s="116"/>
      <c r="BV670" s="116"/>
      <c r="BW670" s="116"/>
      <c r="BX670" s="116"/>
      <c r="BY670" s="116"/>
      <c r="BZ670" s="116"/>
      <c r="CA670" s="116"/>
      <c r="CB670" s="116"/>
      <c r="CC670" s="116"/>
      <c r="CD670" s="116"/>
      <c r="CE670" s="116"/>
      <c r="CF670" s="116"/>
      <c r="CG670" s="116"/>
      <c r="CH670" s="116"/>
      <c r="CI670" s="116"/>
      <c r="CJ670" s="116"/>
      <c r="CK670" s="116"/>
      <c r="CL670" s="116"/>
      <c r="CM670" s="116"/>
      <c r="CN670" s="116"/>
      <c r="CO670" s="116"/>
      <c r="CP670" s="116"/>
      <c r="CQ670" s="116"/>
      <c r="CR670" s="116"/>
      <c r="CS670" s="116"/>
      <c r="CT670" s="116"/>
      <c r="CU670" s="116"/>
      <c r="CV670" s="116"/>
      <c r="CW670" s="116"/>
      <c r="CX670" s="116"/>
      <c r="CY670" s="116"/>
      <c r="CZ670" s="268"/>
    </row>
    <row r="671" spans="1:104" hidden="1" outlineLevel="1">
      <c r="A671" s="268"/>
      <c r="B671" s="268"/>
      <c r="C671" s="264" t="s">
        <v>494</v>
      </c>
      <c r="D671" s="268"/>
      <c r="E671" s="268"/>
      <c r="F671" s="268"/>
      <c r="G671" s="268"/>
      <c r="H671" s="268"/>
      <c r="I671" s="268"/>
      <c r="J671" s="271"/>
      <c r="K671" s="268"/>
      <c r="L671" s="268"/>
      <c r="M671" s="268"/>
      <c r="N671" s="268"/>
      <c r="O671" s="271"/>
      <c r="P671" s="268"/>
      <c r="Q671" s="268"/>
      <c r="R671" s="268"/>
      <c r="S671" s="268"/>
      <c r="T671" s="271"/>
      <c r="U671" s="268"/>
      <c r="V671" s="268"/>
      <c r="W671" s="268"/>
      <c r="X671" s="268"/>
      <c r="Y671" s="271"/>
      <c r="Z671" s="268"/>
      <c r="AA671" s="268"/>
      <c r="AB671" s="268"/>
      <c r="AC671" s="268"/>
      <c r="AD671" s="302"/>
      <c r="AE671" s="268"/>
      <c r="AF671" s="268"/>
      <c r="AG671" s="268"/>
      <c r="AH671" s="268"/>
      <c r="AI671" s="302"/>
      <c r="AJ671" s="268"/>
      <c r="AK671" s="268"/>
      <c r="AL671" s="268"/>
      <c r="AM671" s="268"/>
      <c r="AN671" s="302"/>
      <c r="AO671" s="302"/>
      <c r="AP671" s="302"/>
      <c r="AQ671" s="302"/>
      <c r="AR671" s="302"/>
      <c r="AS671" s="271">
        <v>5.0999999999999996</v>
      </c>
      <c r="AT671" s="271"/>
      <c r="AU671" s="271"/>
      <c r="AV671" s="271"/>
      <c r="AW671" s="271"/>
      <c r="AX671" s="271"/>
      <c r="AY671" s="271"/>
      <c r="AZ671" s="271"/>
      <c r="BA671" s="271"/>
      <c r="BB671" s="271"/>
      <c r="BC671" s="271"/>
      <c r="BD671" s="271"/>
      <c r="BE671" s="271"/>
      <c r="BF671" s="271"/>
      <c r="BG671" s="271"/>
      <c r="BH671" s="271"/>
      <c r="BI671" s="302"/>
      <c r="BJ671" s="302"/>
      <c r="BK671" s="302"/>
      <c r="BL671" s="302"/>
      <c r="BM671" s="302"/>
      <c r="BN671" s="116"/>
      <c r="BO671" s="116"/>
      <c r="BP671" s="116"/>
      <c r="BQ671" s="116"/>
      <c r="BR671" s="116"/>
      <c r="BS671" s="116"/>
      <c r="BT671" s="116"/>
      <c r="BU671" s="116"/>
      <c r="BV671" s="116"/>
      <c r="BW671" s="116"/>
      <c r="BX671" s="116"/>
      <c r="BY671" s="116"/>
      <c r="BZ671" s="116"/>
      <c r="CA671" s="116"/>
      <c r="CB671" s="116"/>
      <c r="CC671" s="116"/>
      <c r="CD671" s="116"/>
      <c r="CE671" s="116"/>
      <c r="CF671" s="116"/>
      <c r="CG671" s="116"/>
      <c r="CH671" s="116"/>
      <c r="CI671" s="116"/>
      <c r="CJ671" s="116"/>
      <c r="CK671" s="116"/>
      <c r="CL671" s="116"/>
      <c r="CM671" s="116"/>
      <c r="CN671" s="116"/>
      <c r="CO671" s="116"/>
      <c r="CP671" s="116"/>
      <c r="CQ671" s="116"/>
      <c r="CR671" s="116"/>
      <c r="CS671" s="116"/>
      <c r="CT671" s="116"/>
      <c r="CU671" s="116"/>
      <c r="CV671" s="116"/>
      <c r="CW671" s="116"/>
      <c r="CX671" s="116"/>
      <c r="CY671" s="116"/>
      <c r="CZ671" s="268"/>
    </row>
    <row r="672" spans="1:104" hidden="1" outlineLevel="1">
      <c r="A672" s="268"/>
      <c r="B672" s="268"/>
      <c r="C672" s="268"/>
      <c r="D672" s="268"/>
      <c r="E672" s="268"/>
      <c r="F672" s="268"/>
      <c r="G672" s="268"/>
      <c r="H672" s="268"/>
      <c r="I672" s="268"/>
      <c r="J672" s="271"/>
      <c r="K672" s="268"/>
      <c r="L672" s="268"/>
      <c r="M672" s="268"/>
      <c r="N672" s="268"/>
      <c r="O672" s="271"/>
      <c r="P672" s="268"/>
      <c r="Q672" s="268"/>
      <c r="R672" s="268"/>
      <c r="S672" s="268"/>
      <c r="T672" s="271"/>
      <c r="U672" s="268"/>
      <c r="V672" s="268"/>
      <c r="W672" s="268"/>
      <c r="X672" s="268"/>
      <c r="Y672" s="271"/>
      <c r="Z672" s="268"/>
      <c r="AA672" s="268"/>
      <c r="AB672" s="268"/>
      <c r="AC672" s="268"/>
      <c r="AD672" s="302"/>
      <c r="AE672" s="268"/>
      <c r="AF672" s="268"/>
      <c r="AG672" s="268"/>
      <c r="AH672" s="268"/>
      <c r="AI672" s="302"/>
      <c r="AJ672" s="268"/>
      <c r="AK672" s="268"/>
      <c r="AL672" s="268"/>
      <c r="AM672" s="268"/>
      <c r="AN672" s="302"/>
      <c r="AO672" s="302"/>
      <c r="AP672" s="302"/>
      <c r="AQ672" s="302"/>
      <c r="AR672" s="302"/>
      <c r="AS672" s="271"/>
      <c r="AT672" s="271"/>
      <c r="AU672" s="271"/>
      <c r="AV672" s="271"/>
      <c r="AW672" s="271"/>
      <c r="AX672" s="271"/>
      <c r="AY672" s="271"/>
      <c r="AZ672" s="271"/>
      <c r="BA672" s="271"/>
      <c r="BB672" s="271"/>
      <c r="BC672" s="271"/>
      <c r="BD672" s="271"/>
      <c r="BE672" s="271"/>
      <c r="BF672" s="271"/>
      <c r="BG672" s="271"/>
      <c r="BH672" s="271"/>
      <c r="BI672" s="302"/>
      <c r="BJ672" s="302"/>
      <c r="BK672" s="302"/>
      <c r="BL672" s="302"/>
      <c r="BM672" s="302"/>
      <c r="BN672" s="116"/>
      <c r="BO672" s="116"/>
      <c r="BP672" s="116"/>
      <c r="BQ672" s="116"/>
      <c r="BR672" s="116"/>
      <c r="BS672" s="116"/>
      <c r="BT672" s="116"/>
      <c r="BU672" s="116"/>
      <c r="BV672" s="116"/>
      <c r="BW672" s="116"/>
      <c r="BX672" s="116"/>
      <c r="BY672" s="116"/>
      <c r="BZ672" s="116"/>
      <c r="CA672" s="116"/>
      <c r="CB672" s="116"/>
      <c r="CC672" s="116"/>
      <c r="CD672" s="116"/>
      <c r="CE672" s="116"/>
      <c r="CF672" s="116"/>
      <c r="CG672" s="116"/>
      <c r="CH672" s="116"/>
      <c r="CI672" s="116"/>
      <c r="CJ672" s="116"/>
      <c r="CK672" s="116"/>
      <c r="CL672" s="116"/>
      <c r="CM672" s="116"/>
      <c r="CN672" s="116"/>
      <c r="CO672" s="116"/>
      <c r="CP672" s="116"/>
      <c r="CQ672" s="116"/>
      <c r="CR672" s="116"/>
      <c r="CS672" s="116"/>
      <c r="CT672" s="116"/>
      <c r="CU672" s="116"/>
      <c r="CV672" s="116"/>
      <c r="CW672" s="116"/>
      <c r="CX672" s="116"/>
      <c r="CY672" s="116"/>
      <c r="CZ672" s="268"/>
    </row>
    <row r="673" spans="1:104" hidden="1" outlineLevel="1">
      <c r="A673" s="268"/>
      <c r="B673" s="268"/>
      <c r="C673" s="268"/>
      <c r="D673" s="268"/>
      <c r="E673" s="268"/>
      <c r="F673" s="268"/>
      <c r="G673" s="268"/>
      <c r="H673" s="268"/>
      <c r="I673" s="268"/>
      <c r="J673" s="271"/>
      <c r="K673" s="268"/>
      <c r="L673" s="268"/>
      <c r="M673" s="268"/>
      <c r="N673" s="268"/>
      <c r="O673" s="271"/>
      <c r="P673" s="268"/>
      <c r="Q673" s="268"/>
      <c r="R673" s="268"/>
      <c r="S673" s="268"/>
      <c r="T673" s="271"/>
      <c r="U673" s="268"/>
      <c r="V673" s="268"/>
      <c r="W673" s="268"/>
      <c r="X673" s="268"/>
      <c r="Y673" s="271"/>
      <c r="Z673" s="268"/>
      <c r="AA673" s="268"/>
      <c r="AB673" s="268"/>
      <c r="AC673" s="268"/>
      <c r="AD673" s="302"/>
      <c r="AE673" s="268"/>
      <c r="AF673" s="268"/>
      <c r="AG673" s="268"/>
      <c r="AH673" s="268"/>
      <c r="AI673" s="302"/>
      <c r="AJ673" s="268"/>
      <c r="AK673" s="268"/>
      <c r="AL673" s="268"/>
      <c r="AM673" s="268"/>
      <c r="AN673" s="302"/>
      <c r="AO673" s="302"/>
      <c r="AP673" s="302"/>
      <c r="AQ673" s="302"/>
      <c r="AR673" s="302"/>
      <c r="AS673" s="271"/>
      <c r="AT673" s="271"/>
      <c r="AU673" s="271"/>
      <c r="AV673" s="271"/>
      <c r="AW673" s="271"/>
      <c r="AX673" s="271"/>
      <c r="AY673" s="271"/>
      <c r="AZ673" s="271"/>
      <c r="BA673" s="271"/>
      <c r="BB673" s="271"/>
      <c r="BC673" s="271"/>
      <c r="BD673" s="271"/>
      <c r="BE673" s="271"/>
      <c r="BF673" s="271"/>
      <c r="BG673" s="271"/>
      <c r="BH673" s="271"/>
      <c r="BI673" s="302"/>
      <c r="BJ673" s="302"/>
      <c r="BK673" s="302"/>
      <c r="BL673" s="302"/>
      <c r="BM673" s="302"/>
      <c r="BN673" s="116"/>
      <c r="BO673" s="116"/>
      <c r="BP673" s="116"/>
      <c r="BQ673" s="116"/>
      <c r="BR673" s="116"/>
      <c r="BS673" s="116"/>
      <c r="BT673" s="116"/>
      <c r="BU673" s="116"/>
      <c r="BV673" s="116"/>
      <c r="BW673" s="116"/>
      <c r="BX673" s="116"/>
      <c r="BY673" s="116"/>
      <c r="BZ673" s="116"/>
      <c r="CA673" s="116"/>
      <c r="CB673" s="116"/>
      <c r="CC673" s="116"/>
      <c r="CD673" s="116"/>
      <c r="CE673" s="116"/>
      <c r="CF673" s="116"/>
      <c r="CG673" s="116"/>
      <c r="CH673" s="116"/>
      <c r="CI673" s="116"/>
      <c r="CJ673" s="116"/>
      <c r="CK673" s="116"/>
      <c r="CL673" s="116"/>
      <c r="CM673" s="116"/>
      <c r="CN673" s="116"/>
      <c r="CO673" s="116"/>
      <c r="CP673" s="116"/>
      <c r="CQ673" s="116"/>
      <c r="CR673" s="116"/>
      <c r="CS673" s="116"/>
      <c r="CT673" s="116"/>
      <c r="CU673" s="116"/>
      <c r="CV673" s="116"/>
      <c r="CW673" s="116"/>
      <c r="CX673" s="116"/>
      <c r="CY673" s="116"/>
      <c r="CZ673" s="268"/>
    </row>
    <row r="674" spans="1:104" hidden="1" outlineLevel="1">
      <c r="A674" s="268"/>
      <c r="B674" s="268"/>
      <c r="C674" s="268"/>
      <c r="D674" s="268"/>
      <c r="E674" s="268"/>
      <c r="F674" s="268"/>
      <c r="G674" s="268"/>
      <c r="H674" s="268"/>
      <c r="I674" s="268"/>
      <c r="J674" s="271"/>
      <c r="K674" s="268"/>
      <c r="L674" s="268"/>
      <c r="M674" s="268"/>
      <c r="N674" s="268"/>
      <c r="O674" s="271"/>
      <c r="P674" s="268"/>
      <c r="Q674" s="268"/>
      <c r="R674" s="268"/>
      <c r="S674" s="268"/>
      <c r="T674" s="271"/>
      <c r="U674" s="268"/>
      <c r="V674" s="268"/>
      <c r="W674" s="268"/>
      <c r="X674" s="268"/>
      <c r="Y674" s="271"/>
      <c r="Z674" s="268"/>
      <c r="AA674" s="268"/>
      <c r="AB674" s="268"/>
      <c r="AC674" s="268"/>
      <c r="AD674" s="302"/>
      <c r="AE674" s="268"/>
      <c r="AF674" s="268"/>
      <c r="AG674" s="268"/>
      <c r="AH674" s="268"/>
      <c r="AI674" s="302"/>
      <c r="AJ674" s="268"/>
      <c r="AK674" s="268"/>
      <c r="AL674" s="268"/>
      <c r="AM674" s="268"/>
      <c r="AN674" s="302"/>
      <c r="AO674" s="302"/>
      <c r="AP674" s="302"/>
      <c r="AQ674" s="302"/>
      <c r="AR674" s="302"/>
      <c r="AS674" s="271"/>
      <c r="AT674" s="271"/>
      <c r="AU674" s="271"/>
      <c r="AV674" s="271"/>
      <c r="AW674" s="271"/>
      <c r="AX674" s="271"/>
      <c r="AY674" s="271"/>
      <c r="AZ674" s="271"/>
      <c r="BA674" s="271"/>
      <c r="BB674" s="271"/>
      <c r="BC674" s="271"/>
      <c r="BD674" s="271"/>
      <c r="BE674" s="271"/>
      <c r="BF674" s="271"/>
      <c r="BG674" s="271"/>
      <c r="BH674" s="271"/>
      <c r="BI674" s="302"/>
      <c r="BJ674" s="302"/>
      <c r="BK674" s="302"/>
      <c r="BL674" s="302"/>
      <c r="BM674" s="302"/>
      <c r="BN674" s="116"/>
      <c r="BO674" s="116"/>
      <c r="BP674" s="116"/>
      <c r="BQ674" s="116"/>
      <c r="BR674" s="116"/>
      <c r="BS674" s="116"/>
      <c r="BT674" s="116"/>
      <c r="BU674" s="116"/>
      <c r="BV674" s="116"/>
      <c r="BW674" s="116"/>
      <c r="BX674" s="116"/>
      <c r="BY674" s="116"/>
      <c r="BZ674" s="116"/>
      <c r="CA674" s="116"/>
      <c r="CB674" s="116"/>
      <c r="CC674" s="116"/>
      <c r="CD674" s="116"/>
      <c r="CE674" s="116"/>
      <c r="CF674" s="116"/>
      <c r="CG674" s="116"/>
      <c r="CH674" s="116"/>
      <c r="CI674" s="116"/>
      <c r="CJ674" s="116"/>
      <c r="CK674" s="116"/>
      <c r="CL674" s="116"/>
      <c r="CM674" s="116"/>
      <c r="CN674" s="116"/>
      <c r="CO674" s="116"/>
      <c r="CP674" s="116"/>
      <c r="CQ674" s="116"/>
      <c r="CR674" s="116"/>
      <c r="CS674" s="116"/>
      <c r="CT674" s="116"/>
      <c r="CU674" s="116"/>
      <c r="CV674" s="116"/>
      <c r="CW674" s="116"/>
      <c r="CX674" s="116"/>
      <c r="CY674" s="116"/>
      <c r="CZ674" s="268"/>
    </row>
    <row r="675" spans="1:104" hidden="1" outlineLevel="1">
      <c r="A675" s="268"/>
      <c r="B675" s="268"/>
      <c r="C675" s="268"/>
      <c r="D675" s="268"/>
      <c r="E675" s="268"/>
      <c r="F675" s="268"/>
      <c r="G675" s="268"/>
      <c r="H675" s="268"/>
      <c r="I675" s="268"/>
      <c r="J675" s="271"/>
      <c r="K675" s="268"/>
      <c r="L675" s="268"/>
      <c r="M675" s="268"/>
      <c r="N675" s="268"/>
      <c r="O675" s="271"/>
      <c r="P675" s="268"/>
      <c r="Q675" s="268"/>
      <c r="R675" s="268"/>
      <c r="S675" s="268"/>
      <c r="T675" s="271"/>
      <c r="U675" s="268"/>
      <c r="V675" s="268"/>
      <c r="W675" s="268"/>
      <c r="X675" s="268"/>
      <c r="Y675" s="271"/>
      <c r="Z675" s="268"/>
      <c r="AA675" s="268"/>
      <c r="AB675" s="268"/>
      <c r="AC675" s="268"/>
      <c r="AD675" s="302"/>
      <c r="AE675" s="268"/>
      <c r="AF675" s="268"/>
      <c r="AG675" s="268"/>
      <c r="AH675" s="268"/>
      <c r="AI675" s="302"/>
      <c r="AJ675" s="268"/>
      <c r="AK675" s="268"/>
      <c r="AL675" s="268"/>
      <c r="AM675" s="268"/>
      <c r="AN675" s="302"/>
      <c r="AO675" s="302"/>
      <c r="AP675" s="302"/>
      <c r="AQ675" s="302"/>
      <c r="AR675" s="302"/>
      <c r="AS675" s="271"/>
      <c r="AT675" s="271"/>
      <c r="AU675" s="271"/>
      <c r="AV675" s="271"/>
      <c r="AW675" s="271"/>
      <c r="AX675" s="271"/>
      <c r="AY675" s="271"/>
      <c r="AZ675" s="271"/>
      <c r="BA675" s="271"/>
      <c r="BB675" s="271"/>
      <c r="BC675" s="271"/>
      <c r="BD675" s="271"/>
      <c r="BE675" s="271"/>
      <c r="BF675" s="271"/>
      <c r="BG675" s="271"/>
      <c r="BH675" s="271"/>
      <c r="BI675" s="302"/>
      <c r="BJ675" s="302"/>
      <c r="BK675" s="302"/>
      <c r="BL675" s="302"/>
      <c r="BM675" s="302"/>
      <c r="BN675" s="116"/>
      <c r="BO675" s="116"/>
      <c r="BP675" s="116"/>
      <c r="BQ675" s="116"/>
      <c r="BR675" s="116"/>
      <c r="BS675" s="116"/>
      <c r="BT675" s="116"/>
      <c r="BU675" s="116"/>
      <c r="BV675" s="116"/>
      <c r="BW675" s="116"/>
      <c r="BX675" s="116"/>
      <c r="BY675" s="116"/>
      <c r="BZ675" s="116"/>
      <c r="CA675" s="116"/>
      <c r="CB675" s="116"/>
      <c r="CC675" s="116"/>
      <c r="CD675" s="116"/>
      <c r="CE675" s="116"/>
      <c r="CF675" s="116"/>
      <c r="CG675" s="116"/>
      <c r="CH675" s="116"/>
      <c r="CI675" s="116"/>
      <c r="CJ675" s="116"/>
      <c r="CK675" s="116"/>
      <c r="CL675" s="116"/>
      <c r="CM675" s="116"/>
      <c r="CN675" s="116"/>
      <c r="CO675" s="116"/>
      <c r="CP675" s="116"/>
      <c r="CQ675" s="116"/>
      <c r="CR675" s="116"/>
      <c r="CS675" s="116"/>
      <c r="CT675" s="116"/>
      <c r="CU675" s="116"/>
      <c r="CV675" s="116"/>
      <c r="CW675" s="116"/>
      <c r="CX675" s="116"/>
      <c r="CY675" s="116"/>
      <c r="CZ675" s="268"/>
    </row>
    <row r="676" spans="1:104" hidden="1" outlineLevel="1">
      <c r="A676" s="268"/>
      <c r="B676" s="268"/>
      <c r="C676" s="264" t="s">
        <v>495</v>
      </c>
      <c r="D676" s="268"/>
      <c r="E676" s="268"/>
      <c r="F676" s="268"/>
      <c r="G676" s="268"/>
      <c r="H676" s="268"/>
      <c r="I676" s="268"/>
      <c r="J676" s="271"/>
      <c r="K676" s="268"/>
      <c r="L676" s="268"/>
      <c r="M676" s="268"/>
      <c r="N676" s="268"/>
      <c r="O676" s="271"/>
      <c r="P676" s="268"/>
      <c r="Q676" s="268"/>
      <c r="R676" s="268"/>
      <c r="S676" s="268"/>
      <c r="T676" s="271"/>
      <c r="U676" s="268"/>
      <c r="V676" s="268"/>
      <c r="W676" s="268"/>
      <c r="X676" s="268"/>
      <c r="Y676" s="271"/>
      <c r="Z676" s="268"/>
      <c r="AA676" s="268"/>
      <c r="AB676" s="268"/>
      <c r="AC676" s="268"/>
      <c r="AD676" s="302"/>
      <c r="AE676" s="268"/>
      <c r="AF676" s="268"/>
      <c r="AG676" s="268"/>
      <c r="AH676" s="268"/>
      <c r="AI676" s="302"/>
      <c r="AJ676" s="268"/>
      <c r="AK676" s="268"/>
      <c r="AL676" s="268"/>
      <c r="AM676" s="268"/>
      <c r="AN676" s="302"/>
      <c r="AO676" s="302"/>
      <c r="AP676" s="302"/>
      <c r="AQ676" s="302"/>
      <c r="AR676" s="302"/>
      <c r="AS676" s="271">
        <v>186</v>
      </c>
      <c r="AT676" s="271"/>
      <c r="AU676" s="271"/>
      <c r="AV676" s="271"/>
      <c r="AW676" s="271"/>
      <c r="AX676" s="271"/>
      <c r="AY676" s="271"/>
      <c r="AZ676" s="271"/>
      <c r="BA676" s="271"/>
      <c r="BB676" s="271"/>
      <c r="BC676" s="271"/>
      <c r="BD676" s="271"/>
      <c r="BE676" s="271"/>
      <c r="BF676" s="271"/>
      <c r="BG676" s="271"/>
      <c r="BH676" s="271"/>
      <c r="BI676" s="302"/>
      <c r="BJ676" s="302"/>
      <c r="BK676" s="302"/>
      <c r="BL676" s="302"/>
      <c r="BM676" s="302"/>
      <c r="BN676" s="116"/>
      <c r="BO676" s="116"/>
      <c r="BP676" s="116"/>
      <c r="BQ676" s="116"/>
      <c r="BR676" s="116"/>
      <c r="BS676" s="116"/>
      <c r="BT676" s="116"/>
      <c r="BU676" s="116"/>
      <c r="BV676" s="116"/>
      <c r="BW676" s="116"/>
      <c r="BX676" s="116"/>
      <c r="BY676" s="116"/>
      <c r="BZ676" s="116"/>
      <c r="CA676" s="116"/>
      <c r="CB676" s="116"/>
      <c r="CC676" s="116"/>
      <c r="CD676" s="116"/>
      <c r="CE676" s="116"/>
      <c r="CF676" s="116"/>
      <c r="CG676" s="116"/>
      <c r="CH676" s="116"/>
      <c r="CI676" s="116"/>
      <c r="CJ676" s="116"/>
      <c r="CK676" s="116"/>
      <c r="CL676" s="116"/>
      <c r="CM676" s="116"/>
      <c r="CN676" s="116"/>
      <c r="CO676" s="116"/>
      <c r="CP676" s="116"/>
      <c r="CQ676" s="116"/>
      <c r="CR676" s="116"/>
      <c r="CS676" s="116"/>
      <c r="CT676" s="116"/>
      <c r="CU676" s="116"/>
      <c r="CV676" s="116"/>
      <c r="CW676" s="116"/>
      <c r="CX676" s="116"/>
      <c r="CY676" s="116"/>
      <c r="CZ676" s="268"/>
    </row>
    <row r="677" spans="1:104" hidden="1" outlineLevel="1">
      <c r="A677" s="268"/>
      <c r="B677" s="268"/>
      <c r="C677" s="264" t="s">
        <v>494</v>
      </c>
      <c r="D677" s="268"/>
      <c r="E677" s="268"/>
      <c r="F677" s="268"/>
      <c r="G677" s="268"/>
      <c r="H677" s="268"/>
      <c r="I677" s="268"/>
      <c r="J677" s="271"/>
      <c r="K677" s="268"/>
      <c r="L677" s="268"/>
      <c r="M677" s="268"/>
      <c r="N677" s="268"/>
      <c r="O677" s="271"/>
      <c r="P677" s="268"/>
      <c r="Q677" s="268"/>
      <c r="R677" s="268"/>
      <c r="S677" s="268"/>
      <c r="T677" s="271"/>
      <c r="U677" s="268"/>
      <c r="V677" s="268"/>
      <c r="W677" s="268"/>
      <c r="X677" s="268"/>
      <c r="Y677" s="271"/>
      <c r="Z677" s="268"/>
      <c r="AA677" s="268"/>
      <c r="AB677" s="268"/>
      <c r="AC677" s="268"/>
      <c r="AD677" s="302"/>
      <c r="AE677" s="268"/>
      <c r="AF677" s="268"/>
      <c r="AG677" s="268"/>
      <c r="AH677" s="268"/>
      <c r="AI677" s="302"/>
      <c r="AJ677" s="268"/>
      <c r="AK677" s="268"/>
      <c r="AL677" s="268"/>
      <c r="AM677" s="268"/>
      <c r="AN677" s="302"/>
      <c r="AO677" s="302"/>
      <c r="AP677" s="302"/>
      <c r="AQ677" s="302"/>
      <c r="AR677" s="302"/>
      <c r="AS677" s="271">
        <v>0.5</v>
      </c>
      <c r="AT677" s="271"/>
      <c r="AU677" s="271"/>
      <c r="AV677" s="271"/>
      <c r="AW677" s="271"/>
      <c r="AX677" s="271"/>
      <c r="AY677" s="271"/>
      <c r="AZ677" s="271"/>
      <c r="BA677" s="271"/>
      <c r="BB677" s="271"/>
      <c r="BC677" s="271"/>
      <c r="BD677" s="271"/>
      <c r="BE677" s="271"/>
      <c r="BF677" s="271"/>
      <c r="BG677" s="271"/>
      <c r="BH677" s="271"/>
      <c r="BI677" s="302"/>
      <c r="BJ677" s="302"/>
      <c r="BK677" s="302"/>
      <c r="BL677" s="302"/>
      <c r="BM677" s="302"/>
      <c r="BN677" s="116"/>
      <c r="BO677" s="116"/>
      <c r="BP677" s="116"/>
      <c r="BQ677" s="116"/>
      <c r="BR677" s="116"/>
      <c r="BS677" s="116"/>
      <c r="BT677" s="116"/>
      <c r="BU677" s="116"/>
      <c r="BV677" s="116"/>
      <c r="BW677" s="116"/>
      <c r="BX677" s="116"/>
      <c r="BY677" s="116"/>
      <c r="BZ677" s="116"/>
      <c r="CA677" s="116"/>
      <c r="CB677" s="116"/>
      <c r="CC677" s="116"/>
      <c r="CD677" s="116"/>
      <c r="CE677" s="116"/>
      <c r="CF677" s="116"/>
      <c r="CG677" s="116"/>
      <c r="CH677" s="116"/>
      <c r="CI677" s="116"/>
      <c r="CJ677" s="116"/>
      <c r="CK677" s="116"/>
      <c r="CL677" s="116"/>
      <c r="CM677" s="116"/>
      <c r="CN677" s="116"/>
      <c r="CO677" s="116"/>
      <c r="CP677" s="116"/>
      <c r="CQ677" s="116"/>
      <c r="CR677" s="116"/>
      <c r="CS677" s="116"/>
      <c r="CT677" s="116"/>
      <c r="CU677" s="116"/>
      <c r="CV677" s="116"/>
      <c r="CW677" s="116"/>
      <c r="CX677" s="116"/>
      <c r="CY677" s="116"/>
      <c r="CZ677" s="268"/>
    </row>
    <row r="678" spans="1:104" hidden="1" outlineLevel="1">
      <c r="A678" s="268"/>
      <c r="B678" s="268"/>
      <c r="C678" s="268"/>
      <c r="D678" s="268"/>
      <c r="E678" s="268"/>
      <c r="F678" s="268"/>
      <c r="G678" s="268"/>
      <c r="H678" s="268"/>
      <c r="I678" s="268"/>
      <c r="J678" s="271"/>
      <c r="K678" s="268"/>
      <c r="L678" s="268"/>
      <c r="M678" s="268"/>
      <c r="N678" s="268"/>
      <c r="O678" s="271"/>
      <c r="P678" s="268"/>
      <c r="Q678" s="268"/>
      <c r="R678" s="268"/>
      <c r="S678" s="268"/>
      <c r="T678" s="271"/>
      <c r="U678" s="268"/>
      <c r="V678" s="268"/>
      <c r="W678" s="268"/>
      <c r="X678" s="268"/>
      <c r="Y678" s="271"/>
      <c r="Z678" s="268"/>
      <c r="AA678" s="268"/>
      <c r="AB678" s="268"/>
      <c r="AC678" s="268"/>
      <c r="AD678" s="302"/>
      <c r="AE678" s="268"/>
      <c r="AF678" s="268"/>
      <c r="AG678" s="268"/>
      <c r="AH678" s="268"/>
      <c r="AI678" s="302"/>
      <c r="AJ678" s="268"/>
      <c r="AK678" s="268"/>
      <c r="AL678" s="268"/>
      <c r="AM678" s="268"/>
      <c r="AN678" s="302"/>
      <c r="AO678" s="302"/>
      <c r="AP678" s="302"/>
      <c r="AQ678" s="302"/>
      <c r="AR678" s="302"/>
      <c r="AS678" s="271"/>
      <c r="AT678" s="271"/>
      <c r="AU678" s="271"/>
      <c r="AV678" s="271"/>
      <c r="AW678" s="271"/>
      <c r="AX678" s="271"/>
      <c r="AY678" s="271"/>
      <c r="AZ678" s="271"/>
      <c r="BA678" s="271"/>
      <c r="BB678" s="271"/>
      <c r="BC678" s="271"/>
      <c r="BD678" s="271"/>
      <c r="BE678" s="271"/>
      <c r="BF678" s="271"/>
      <c r="BG678" s="271"/>
      <c r="BH678" s="271"/>
      <c r="BI678" s="302"/>
      <c r="BJ678" s="302"/>
      <c r="BK678" s="302"/>
      <c r="BL678" s="302"/>
      <c r="BM678" s="302"/>
      <c r="BN678" s="116"/>
      <c r="BO678" s="116"/>
      <c r="BP678" s="116"/>
      <c r="BQ678" s="116"/>
      <c r="BR678" s="116"/>
      <c r="BS678" s="116"/>
      <c r="BT678" s="116"/>
      <c r="BU678" s="116"/>
      <c r="BV678" s="116"/>
      <c r="BW678" s="116"/>
      <c r="BX678" s="116"/>
      <c r="BY678" s="116"/>
      <c r="BZ678" s="116"/>
      <c r="CA678" s="116"/>
      <c r="CB678" s="116"/>
      <c r="CC678" s="116"/>
      <c r="CD678" s="116"/>
      <c r="CE678" s="116"/>
      <c r="CF678" s="116"/>
      <c r="CG678" s="116"/>
      <c r="CH678" s="116"/>
      <c r="CI678" s="116"/>
      <c r="CJ678" s="116"/>
      <c r="CK678" s="116"/>
      <c r="CL678" s="116"/>
      <c r="CM678" s="116"/>
      <c r="CN678" s="116"/>
      <c r="CO678" s="116"/>
      <c r="CP678" s="116"/>
      <c r="CQ678" s="116"/>
      <c r="CR678" s="116"/>
      <c r="CS678" s="116"/>
      <c r="CT678" s="116"/>
      <c r="CU678" s="116"/>
      <c r="CV678" s="116"/>
      <c r="CW678" s="116"/>
      <c r="CX678" s="116"/>
      <c r="CY678" s="116"/>
      <c r="CZ678" s="268"/>
    </row>
    <row r="679" spans="1:104" hidden="1" outlineLevel="1">
      <c r="A679" s="268"/>
      <c r="B679" s="268"/>
      <c r="C679" s="268"/>
      <c r="D679" s="268"/>
      <c r="E679" s="268"/>
      <c r="F679" s="268"/>
      <c r="G679" s="268"/>
      <c r="H679" s="268"/>
      <c r="I679" s="268"/>
      <c r="J679" s="271"/>
      <c r="K679" s="268"/>
      <c r="L679" s="268"/>
      <c r="M679" s="268"/>
      <c r="N679" s="268"/>
      <c r="O679" s="271"/>
      <c r="P679" s="268"/>
      <c r="Q679" s="268"/>
      <c r="R679" s="268"/>
      <c r="S679" s="268"/>
      <c r="T679" s="271"/>
      <c r="U679" s="268"/>
      <c r="V679" s="268"/>
      <c r="W679" s="268"/>
      <c r="X679" s="268"/>
      <c r="Y679" s="271"/>
      <c r="Z679" s="268"/>
      <c r="AA679" s="268"/>
      <c r="AB679" s="268"/>
      <c r="AC679" s="268"/>
      <c r="AD679" s="302"/>
      <c r="AE679" s="268"/>
      <c r="AF679" s="268"/>
      <c r="AG679" s="268"/>
      <c r="AH679" s="268"/>
      <c r="AI679" s="302"/>
      <c r="AJ679" s="268"/>
      <c r="AK679" s="268"/>
      <c r="AL679" s="268"/>
      <c r="AM679" s="268"/>
      <c r="AN679" s="302"/>
      <c r="AO679" s="302"/>
      <c r="AP679" s="302"/>
      <c r="AQ679" s="302"/>
      <c r="AR679" s="302"/>
      <c r="AS679" s="271"/>
      <c r="AT679" s="271"/>
      <c r="AU679" s="271"/>
      <c r="AV679" s="271"/>
      <c r="AW679" s="271"/>
      <c r="AX679" s="271"/>
      <c r="AY679" s="271"/>
      <c r="AZ679" s="271"/>
      <c r="BA679" s="271"/>
      <c r="BB679" s="271"/>
      <c r="BC679" s="271"/>
      <c r="BD679" s="271"/>
      <c r="BE679" s="271"/>
      <c r="BF679" s="271"/>
      <c r="BG679" s="271"/>
      <c r="BH679" s="271"/>
      <c r="BI679" s="302"/>
      <c r="BJ679" s="302"/>
      <c r="BK679" s="302"/>
      <c r="BL679" s="302"/>
      <c r="BM679" s="302"/>
      <c r="BN679" s="116"/>
      <c r="BO679" s="116"/>
      <c r="BP679" s="116"/>
      <c r="BQ679" s="116"/>
      <c r="BR679" s="116"/>
      <c r="BS679" s="116"/>
      <c r="BT679" s="116"/>
      <c r="BU679" s="116"/>
      <c r="BV679" s="116"/>
      <c r="BW679" s="116"/>
      <c r="BX679" s="116"/>
      <c r="BY679" s="116"/>
      <c r="BZ679" s="116"/>
      <c r="CA679" s="116"/>
      <c r="CB679" s="116"/>
      <c r="CC679" s="116"/>
      <c r="CD679" s="116"/>
      <c r="CE679" s="116"/>
      <c r="CF679" s="116"/>
      <c r="CG679" s="116"/>
      <c r="CH679" s="116"/>
      <c r="CI679" s="116"/>
      <c r="CJ679" s="116"/>
      <c r="CK679" s="116"/>
      <c r="CL679" s="116"/>
      <c r="CM679" s="116"/>
      <c r="CN679" s="116"/>
      <c r="CO679" s="116"/>
      <c r="CP679" s="116"/>
      <c r="CQ679" s="116"/>
      <c r="CR679" s="116"/>
      <c r="CS679" s="116"/>
      <c r="CT679" s="116"/>
      <c r="CU679" s="116"/>
      <c r="CV679" s="116"/>
      <c r="CW679" s="116"/>
      <c r="CX679" s="116"/>
      <c r="CY679" s="116"/>
      <c r="CZ679" s="268"/>
    </row>
    <row r="680" spans="1:104" hidden="1" outlineLevel="1">
      <c r="A680" s="268"/>
      <c r="B680" s="268"/>
      <c r="C680" s="268"/>
      <c r="D680" s="268"/>
      <c r="E680" s="268"/>
      <c r="F680" s="268"/>
      <c r="G680" s="268"/>
      <c r="H680" s="268"/>
      <c r="I680" s="268"/>
      <c r="J680" s="271"/>
      <c r="K680" s="268"/>
      <c r="L680" s="268"/>
      <c r="M680" s="268"/>
      <c r="N680" s="268"/>
      <c r="O680" s="271"/>
      <c r="P680" s="268"/>
      <c r="Q680" s="268"/>
      <c r="R680" s="268"/>
      <c r="S680" s="268"/>
      <c r="T680" s="271"/>
      <c r="U680" s="268"/>
      <c r="V680" s="268"/>
      <c r="W680" s="268"/>
      <c r="X680" s="268"/>
      <c r="Y680" s="271"/>
      <c r="Z680" s="268"/>
      <c r="AA680" s="268"/>
      <c r="AB680" s="268"/>
      <c r="AC680" s="268"/>
      <c r="AD680" s="302"/>
      <c r="AE680" s="268"/>
      <c r="AF680" s="268"/>
      <c r="AG680" s="268"/>
      <c r="AH680" s="268"/>
      <c r="AI680" s="302"/>
      <c r="AJ680" s="268"/>
      <c r="AK680" s="268"/>
      <c r="AL680" s="268"/>
      <c r="AM680" s="268"/>
      <c r="AN680" s="302"/>
      <c r="AO680" s="302"/>
      <c r="AP680" s="302"/>
      <c r="AQ680" s="302"/>
      <c r="AR680" s="302"/>
      <c r="AS680" s="271"/>
      <c r="AT680" s="271"/>
      <c r="AU680" s="271"/>
      <c r="AV680" s="271"/>
      <c r="AW680" s="271"/>
      <c r="AX680" s="271"/>
      <c r="AY680" s="271"/>
      <c r="AZ680" s="271"/>
      <c r="BA680" s="271"/>
      <c r="BB680" s="271"/>
      <c r="BC680" s="271"/>
      <c r="BD680" s="271"/>
      <c r="BE680" s="271"/>
      <c r="BF680" s="271"/>
      <c r="BG680" s="271"/>
      <c r="BH680" s="271"/>
      <c r="BI680" s="302"/>
      <c r="BJ680" s="302"/>
      <c r="BK680" s="302"/>
      <c r="BL680" s="302"/>
      <c r="BM680" s="302"/>
      <c r="BN680" s="116"/>
      <c r="BO680" s="116"/>
      <c r="BP680" s="116"/>
      <c r="BQ680" s="116"/>
      <c r="BR680" s="116"/>
      <c r="BS680" s="116"/>
      <c r="BT680" s="116"/>
      <c r="BU680" s="116"/>
      <c r="BV680" s="116"/>
      <c r="BW680" s="116"/>
      <c r="BX680" s="116"/>
      <c r="BY680" s="116"/>
      <c r="BZ680" s="116"/>
      <c r="CA680" s="116"/>
      <c r="CB680" s="116"/>
      <c r="CC680" s="116"/>
      <c r="CD680" s="116"/>
      <c r="CE680" s="116"/>
      <c r="CF680" s="116"/>
      <c r="CG680" s="116"/>
      <c r="CH680" s="116"/>
      <c r="CI680" s="116"/>
      <c r="CJ680" s="116"/>
      <c r="CK680" s="116"/>
      <c r="CL680" s="116"/>
      <c r="CM680" s="116"/>
      <c r="CN680" s="116"/>
      <c r="CO680" s="116"/>
      <c r="CP680" s="116"/>
      <c r="CQ680" s="116"/>
      <c r="CR680" s="116"/>
      <c r="CS680" s="116"/>
      <c r="CT680" s="116"/>
      <c r="CU680" s="116"/>
      <c r="CV680" s="116"/>
      <c r="CW680" s="116"/>
      <c r="CX680" s="116"/>
      <c r="CY680" s="116"/>
      <c r="CZ680" s="268"/>
    </row>
    <row r="681" spans="1:104" hidden="1" outlineLevel="1">
      <c r="A681" s="268"/>
      <c r="B681" s="268"/>
      <c r="C681" s="268"/>
      <c r="D681" s="268"/>
      <c r="E681" s="268"/>
      <c r="F681" s="268"/>
      <c r="G681" s="268"/>
      <c r="H681" s="268"/>
      <c r="I681" s="268"/>
      <c r="J681" s="271"/>
      <c r="K681" s="268"/>
      <c r="L681" s="268"/>
      <c r="M681" s="268"/>
      <c r="N681" s="268"/>
      <c r="O681" s="271"/>
      <c r="P681" s="268"/>
      <c r="Q681" s="268"/>
      <c r="R681" s="268"/>
      <c r="S681" s="268"/>
      <c r="T681" s="271"/>
      <c r="U681" s="268"/>
      <c r="V681" s="268"/>
      <c r="W681" s="268"/>
      <c r="X681" s="268"/>
      <c r="Y681" s="271"/>
      <c r="Z681" s="268"/>
      <c r="AA681" s="268"/>
      <c r="AB681" s="268"/>
      <c r="AC681" s="268"/>
      <c r="AD681" s="302"/>
      <c r="AE681" s="268"/>
      <c r="AF681" s="268"/>
      <c r="AG681" s="268"/>
      <c r="AH681" s="268"/>
      <c r="AI681" s="302"/>
      <c r="AJ681" s="268"/>
      <c r="AK681" s="268"/>
      <c r="AL681" s="268"/>
      <c r="AM681" s="268"/>
      <c r="AN681" s="302"/>
      <c r="AO681" s="302"/>
      <c r="AP681" s="302"/>
      <c r="AQ681" s="302"/>
      <c r="AR681" s="302"/>
      <c r="AS681" s="271"/>
      <c r="AT681" s="271"/>
      <c r="AU681" s="271"/>
      <c r="AV681" s="271"/>
      <c r="AW681" s="271"/>
      <c r="AX681" s="271"/>
      <c r="AY681" s="271"/>
      <c r="AZ681" s="271"/>
      <c r="BA681" s="271"/>
      <c r="BB681" s="271"/>
      <c r="BC681" s="271"/>
      <c r="BD681" s="271"/>
      <c r="BE681" s="271"/>
      <c r="BF681" s="271"/>
      <c r="BG681" s="271"/>
      <c r="BH681" s="271"/>
      <c r="BI681" s="302"/>
      <c r="BJ681" s="302"/>
      <c r="BK681" s="302"/>
      <c r="BL681" s="302"/>
      <c r="BM681" s="302"/>
      <c r="BN681" s="116"/>
      <c r="BO681" s="116"/>
      <c r="BP681" s="116"/>
      <c r="BQ681" s="116"/>
      <c r="BR681" s="116"/>
      <c r="BS681" s="116"/>
      <c r="BT681" s="116"/>
      <c r="BU681" s="116"/>
      <c r="BV681" s="116"/>
      <c r="BW681" s="116"/>
      <c r="BX681" s="116"/>
      <c r="BY681" s="116"/>
      <c r="BZ681" s="116"/>
      <c r="CA681" s="116"/>
      <c r="CB681" s="116"/>
      <c r="CC681" s="116"/>
      <c r="CD681" s="116"/>
      <c r="CE681" s="116"/>
      <c r="CF681" s="116"/>
      <c r="CG681" s="116"/>
      <c r="CH681" s="116"/>
      <c r="CI681" s="116"/>
      <c r="CJ681" s="116"/>
      <c r="CK681" s="116"/>
      <c r="CL681" s="116"/>
      <c r="CM681" s="116"/>
      <c r="CN681" s="116"/>
      <c r="CO681" s="116"/>
      <c r="CP681" s="116"/>
      <c r="CQ681" s="116"/>
      <c r="CR681" s="116"/>
      <c r="CS681" s="116"/>
      <c r="CT681" s="116"/>
      <c r="CU681" s="116"/>
      <c r="CV681" s="116"/>
      <c r="CW681" s="116"/>
      <c r="CX681" s="116"/>
      <c r="CY681" s="116"/>
      <c r="CZ681" s="268"/>
    </row>
    <row r="682" spans="1:104" hidden="1" outlineLevel="1">
      <c r="A682" s="268"/>
      <c r="B682" s="268"/>
      <c r="C682" s="268" t="s">
        <v>493</v>
      </c>
      <c r="D682" s="268"/>
      <c r="E682" s="268"/>
      <c r="F682" s="268"/>
      <c r="G682" s="268"/>
      <c r="H682" s="268"/>
      <c r="I682" s="268"/>
      <c r="J682" s="271"/>
      <c r="K682" s="268"/>
      <c r="L682" s="268"/>
      <c r="M682" s="268"/>
      <c r="N682" s="268"/>
      <c r="O682" s="271"/>
      <c r="P682" s="268"/>
      <c r="Q682" s="268"/>
      <c r="R682" s="268"/>
      <c r="S682" s="268"/>
      <c r="T682" s="271"/>
      <c r="U682" s="268"/>
      <c r="V682" s="268"/>
      <c r="W682" s="268"/>
      <c r="X682" s="268"/>
      <c r="Y682" s="271"/>
      <c r="Z682" s="268"/>
      <c r="AA682" s="268"/>
      <c r="AB682" s="268"/>
      <c r="AC682" s="268"/>
      <c r="AD682" s="302"/>
      <c r="AE682" s="268"/>
      <c r="AF682" s="268"/>
      <c r="AG682" s="268"/>
      <c r="AH682" s="268"/>
      <c r="AI682" s="302"/>
      <c r="AJ682" s="268"/>
      <c r="AK682" s="268"/>
      <c r="AL682" s="268"/>
      <c r="AM682" s="268"/>
      <c r="AN682" s="302"/>
      <c r="AO682" s="302"/>
      <c r="AP682" s="302"/>
      <c r="AQ682" s="302"/>
      <c r="AR682" s="302"/>
      <c r="AS682" s="271">
        <v>70</v>
      </c>
      <c r="AT682" s="271"/>
      <c r="AU682" s="271"/>
      <c r="AV682" s="271"/>
      <c r="AW682" s="271"/>
      <c r="AX682" s="271"/>
      <c r="AY682" s="271"/>
      <c r="AZ682" s="271"/>
      <c r="BA682" s="271"/>
      <c r="BB682" s="271"/>
      <c r="BC682" s="271"/>
      <c r="BD682" s="271"/>
      <c r="BE682" s="271"/>
      <c r="BF682" s="271"/>
      <c r="BG682" s="271"/>
      <c r="BH682" s="271"/>
      <c r="BI682" s="302"/>
      <c r="BJ682" s="302"/>
      <c r="BK682" s="302"/>
      <c r="BL682" s="302"/>
      <c r="BM682" s="302"/>
      <c r="BN682" s="116"/>
      <c r="BO682" s="116"/>
      <c r="BP682" s="116"/>
      <c r="BQ682" s="116"/>
      <c r="BR682" s="116"/>
      <c r="BS682" s="116"/>
      <c r="BT682" s="116"/>
      <c r="BU682" s="116"/>
      <c r="BV682" s="116"/>
      <c r="BW682" s="116"/>
      <c r="BX682" s="116"/>
      <c r="BY682" s="116"/>
      <c r="BZ682" s="116"/>
      <c r="CA682" s="116"/>
      <c r="CB682" s="116"/>
      <c r="CC682" s="116"/>
      <c r="CD682" s="116"/>
      <c r="CE682" s="116"/>
      <c r="CF682" s="116"/>
      <c r="CG682" s="116"/>
      <c r="CH682" s="116"/>
      <c r="CI682" s="116"/>
      <c r="CJ682" s="116"/>
      <c r="CK682" s="116"/>
      <c r="CL682" s="116"/>
      <c r="CM682" s="116"/>
      <c r="CN682" s="116"/>
      <c r="CO682" s="116"/>
      <c r="CP682" s="116"/>
      <c r="CQ682" s="116"/>
      <c r="CR682" s="116"/>
      <c r="CS682" s="116"/>
      <c r="CT682" s="116"/>
      <c r="CU682" s="116"/>
      <c r="CV682" s="116"/>
      <c r="CW682" s="116"/>
      <c r="CX682" s="116"/>
      <c r="CY682" s="116"/>
      <c r="CZ682" s="268"/>
    </row>
    <row r="683" spans="1:104" hidden="1" outlineLevel="1">
      <c r="A683" s="268"/>
      <c r="B683" s="268"/>
      <c r="C683" s="268" t="s">
        <v>492</v>
      </c>
      <c r="D683" s="268"/>
      <c r="E683" s="268"/>
      <c r="F683" s="268"/>
      <c r="G683" s="268"/>
      <c r="H683" s="268"/>
      <c r="I683" s="268"/>
      <c r="J683" s="271"/>
      <c r="K683" s="268"/>
      <c r="L683" s="268"/>
      <c r="M683" s="268"/>
      <c r="N683" s="268"/>
      <c r="O683" s="271"/>
      <c r="P683" s="268"/>
      <c r="Q683" s="268"/>
      <c r="R683" s="268"/>
      <c r="S683" s="268"/>
      <c r="T683" s="271"/>
      <c r="U683" s="268"/>
      <c r="V683" s="268"/>
      <c r="W683" s="268"/>
      <c r="X683" s="268"/>
      <c r="Y683" s="271"/>
      <c r="Z683" s="268"/>
      <c r="AA683" s="268"/>
      <c r="AB683" s="268"/>
      <c r="AC683" s="268"/>
      <c r="AD683" s="302"/>
      <c r="AE683" s="268"/>
      <c r="AF683" s="268"/>
      <c r="AG683" s="268"/>
      <c r="AH683" s="268"/>
      <c r="AI683" s="302"/>
      <c r="AJ683" s="268"/>
      <c r="AK683" s="268"/>
      <c r="AL683" s="268"/>
      <c r="AM683" s="268"/>
      <c r="AN683" s="302"/>
      <c r="AO683" s="302"/>
      <c r="AP683" s="302"/>
      <c r="AQ683" s="302"/>
      <c r="AR683" s="302"/>
      <c r="AS683" s="996" t="s">
        <v>491</v>
      </c>
      <c r="AT683" s="271"/>
      <c r="AU683" s="271"/>
      <c r="AV683" s="271"/>
      <c r="AW683" s="271"/>
      <c r="AX683" s="271"/>
      <c r="AY683" s="271"/>
      <c r="AZ683" s="271"/>
      <c r="BA683" s="271"/>
      <c r="BB683" s="271"/>
      <c r="BC683" s="271"/>
      <c r="BD683" s="271"/>
      <c r="BE683" s="271"/>
      <c r="BF683" s="271"/>
      <c r="BG683" s="271"/>
      <c r="BH683" s="271"/>
      <c r="BI683" s="302"/>
      <c r="BJ683" s="302"/>
      <c r="BK683" s="302"/>
      <c r="BL683" s="302"/>
      <c r="BM683" s="302"/>
      <c r="BN683" s="116"/>
      <c r="BO683" s="116"/>
      <c r="BP683" s="116"/>
      <c r="BQ683" s="116"/>
      <c r="BR683" s="116"/>
      <c r="BS683" s="116"/>
      <c r="BT683" s="116"/>
      <c r="BU683" s="116"/>
      <c r="BV683" s="116"/>
      <c r="BW683" s="116"/>
      <c r="BX683" s="116"/>
      <c r="BY683" s="116"/>
      <c r="BZ683" s="116"/>
      <c r="CA683" s="116"/>
      <c r="CB683" s="116"/>
      <c r="CC683" s="116"/>
      <c r="CD683" s="116"/>
      <c r="CE683" s="116"/>
      <c r="CF683" s="116"/>
      <c r="CG683" s="116"/>
      <c r="CH683" s="116"/>
      <c r="CI683" s="116"/>
      <c r="CJ683" s="116"/>
      <c r="CK683" s="116"/>
      <c r="CL683" s="116"/>
      <c r="CM683" s="116"/>
      <c r="CN683" s="116"/>
      <c r="CO683" s="116"/>
      <c r="CP683" s="116"/>
      <c r="CQ683" s="116"/>
      <c r="CR683" s="116"/>
      <c r="CS683" s="116"/>
      <c r="CT683" s="116"/>
      <c r="CU683" s="116"/>
      <c r="CV683" s="116"/>
      <c r="CW683" s="116"/>
      <c r="CX683" s="116"/>
      <c r="CY683" s="116"/>
      <c r="CZ683" s="268"/>
    </row>
    <row r="684" spans="1:104" hidden="1" outlineLevel="1">
      <c r="A684" s="268"/>
      <c r="B684" s="268"/>
      <c r="C684" s="268"/>
      <c r="D684" s="268"/>
      <c r="E684" s="268"/>
      <c r="F684" s="268"/>
      <c r="G684" s="268"/>
      <c r="H684" s="268"/>
      <c r="I684" s="268"/>
      <c r="J684" s="271"/>
      <c r="K684" s="268"/>
      <c r="L684" s="268"/>
      <c r="M684" s="268"/>
      <c r="N684" s="268"/>
      <c r="O684" s="271"/>
      <c r="P684" s="268"/>
      <c r="Q684" s="268"/>
      <c r="R684" s="268"/>
      <c r="S684" s="268"/>
      <c r="T684" s="271"/>
      <c r="U684" s="268"/>
      <c r="V684" s="268"/>
      <c r="W684" s="268"/>
      <c r="X684" s="268"/>
      <c r="Y684" s="271"/>
      <c r="Z684" s="268"/>
      <c r="AA684" s="268"/>
      <c r="AB684" s="268"/>
      <c r="AC684" s="268"/>
      <c r="AD684" s="302"/>
      <c r="AE684" s="268"/>
      <c r="AF684" s="268"/>
      <c r="AG684" s="268"/>
      <c r="AH684" s="268"/>
      <c r="AI684" s="302"/>
      <c r="AJ684" s="268"/>
      <c r="AK684" s="268"/>
      <c r="AL684" s="268"/>
      <c r="AM684" s="268"/>
      <c r="AN684" s="302"/>
      <c r="AO684" s="302"/>
      <c r="AP684" s="302"/>
      <c r="AQ684" s="302"/>
      <c r="AR684" s="302"/>
      <c r="AS684" s="271"/>
      <c r="AT684" s="271"/>
      <c r="AU684" s="271"/>
      <c r="AV684" s="271"/>
      <c r="AW684" s="271"/>
      <c r="AX684" s="271"/>
      <c r="AY684" s="271"/>
      <c r="AZ684" s="271"/>
      <c r="BA684" s="271"/>
      <c r="BB684" s="271"/>
      <c r="BC684" s="271"/>
      <c r="BD684" s="271"/>
      <c r="BE684" s="271"/>
      <c r="BF684" s="271"/>
      <c r="BG684" s="271"/>
      <c r="BH684" s="271"/>
      <c r="BI684" s="302"/>
      <c r="BJ684" s="302"/>
      <c r="BK684" s="302"/>
      <c r="BL684" s="302"/>
      <c r="BM684" s="302"/>
      <c r="BN684" s="116"/>
      <c r="BO684" s="116"/>
      <c r="BP684" s="116"/>
      <c r="BQ684" s="116"/>
      <c r="BR684" s="116"/>
      <c r="BS684" s="116"/>
      <c r="BT684" s="116"/>
      <c r="BU684" s="116"/>
      <c r="BV684" s="116"/>
      <c r="BW684" s="116"/>
      <c r="BX684" s="116"/>
      <c r="BY684" s="116"/>
      <c r="BZ684" s="116"/>
      <c r="CA684" s="116"/>
      <c r="CB684" s="116"/>
      <c r="CC684" s="116"/>
      <c r="CD684" s="116"/>
      <c r="CE684" s="116"/>
      <c r="CF684" s="116"/>
      <c r="CG684" s="116"/>
      <c r="CH684" s="116"/>
      <c r="CI684" s="116"/>
      <c r="CJ684" s="116"/>
      <c r="CK684" s="116"/>
      <c r="CL684" s="116"/>
      <c r="CM684" s="116"/>
      <c r="CN684" s="116"/>
      <c r="CO684" s="116"/>
      <c r="CP684" s="116"/>
      <c r="CQ684" s="116"/>
      <c r="CR684" s="116"/>
      <c r="CS684" s="116"/>
      <c r="CT684" s="116"/>
      <c r="CU684" s="116"/>
      <c r="CV684" s="116"/>
      <c r="CW684" s="116"/>
      <c r="CX684" s="116"/>
      <c r="CY684" s="116"/>
      <c r="CZ684" s="268"/>
    </row>
    <row r="685" spans="1:104" hidden="1" outlineLevel="1">
      <c r="A685" s="268"/>
      <c r="B685" s="268"/>
      <c r="C685" s="268"/>
      <c r="D685" s="268"/>
      <c r="E685" s="268"/>
      <c r="F685" s="268"/>
      <c r="G685" s="268"/>
      <c r="H685" s="268"/>
      <c r="I685" s="268"/>
      <c r="J685" s="271"/>
      <c r="K685" s="268"/>
      <c r="L685" s="268"/>
      <c r="M685" s="268"/>
      <c r="N685" s="268"/>
      <c r="O685" s="271"/>
      <c r="P685" s="268"/>
      <c r="Q685" s="268"/>
      <c r="R685" s="268"/>
      <c r="S685" s="268"/>
      <c r="T685" s="271"/>
      <c r="U685" s="268"/>
      <c r="V685" s="268"/>
      <c r="W685" s="268"/>
      <c r="X685" s="268"/>
      <c r="Y685" s="271"/>
      <c r="Z685" s="268"/>
      <c r="AA685" s="268"/>
      <c r="AB685" s="268"/>
      <c r="AC685" s="268"/>
      <c r="AD685" s="302"/>
      <c r="AE685" s="268"/>
      <c r="AF685" s="268"/>
      <c r="AG685" s="268"/>
      <c r="AH685" s="268"/>
      <c r="AI685" s="302"/>
      <c r="AJ685" s="268"/>
      <c r="AK685" s="268"/>
      <c r="AL685" s="268"/>
      <c r="AM685" s="268"/>
      <c r="AN685" s="302"/>
      <c r="AO685" s="302"/>
      <c r="AP685" s="302"/>
      <c r="AQ685" s="302"/>
      <c r="AR685" s="302"/>
      <c r="AS685" s="271"/>
      <c r="AT685" s="271"/>
      <c r="AU685" s="271"/>
      <c r="AV685" s="271"/>
      <c r="AW685" s="271"/>
      <c r="AX685" s="271"/>
      <c r="AY685" s="271"/>
      <c r="AZ685" s="271"/>
      <c r="BA685" s="271"/>
      <c r="BB685" s="271"/>
      <c r="BC685" s="271"/>
      <c r="BD685" s="271"/>
      <c r="BE685" s="271"/>
      <c r="BF685" s="271"/>
      <c r="BG685" s="271"/>
      <c r="BH685" s="271"/>
      <c r="BI685" s="302"/>
      <c r="BJ685" s="302"/>
      <c r="BK685" s="302"/>
      <c r="BL685" s="302"/>
      <c r="BM685" s="302"/>
      <c r="BN685" s="116"/>
      <c r="BO685" s="116"/>
      <c r="BP685" s="116"/>
      <c r="BQ685" s="116"/>
      <c r="BR685" s="116"/>
      <c r="BS685" s="116"/>
      <c r="BT685" s="116"/>
      <c r="BU685" s="116"/>
      <c r="BV685" s="116"/>
      <c r="BW685" s="116"/>
      <c r="BX685" s="116"/>
      <c r="BY685" s="116"/>
      <c r="BZ685" s="116"/>
      <c r="CA685" s="116"/>
      <c r="CB685" s="116"/>
      <c r="CC685" s="116"/>
      <c r="CD685" s="116"/>
      <c r="CE685" s="116"/>
      <c r="CF685" s="116"/>
      <c r="CG685" s="116"/>
      <c r="CH685" s="116"/>
      <c r="CI685" s="116"/>
      <c r="CJ685" s="116"/>
      <c r="CK685" s="116"/>
      <c r="CL685" s="116"/>
      <c r="CM685" s="116"/>
      <c r="CN685" s="116"/>
      <c r="CO685" s="116"/>
      <c r="CP685" s="116"/>
      <c r="CQ685" s="116"/>
      <c r="CR685" s="116"/>
      <c r="CS685" s="116"/>
      <c r="CT685" s="116"/>
      <c r="CU685" s="116"/>
      <c r="CV685" s="116"/>
      <c r="CW685" s="116"/>
      <c r="CX685" s="116"/>
      <c r="CY685" s="116"/>
      <c r="CZ685" s="268"/>
    </row>
    <row r="686" spans="1:104" hidden="1" outlineLevel="1">
      <c r="A686" s="268"/>
      <c r="B686" s="268"/>
      <c r="C686" s="268"/>
      <c r="D686" s="268"/>
      <c r="E686" s="268"/>
      <c r="F686" s="268"/>
      <c r="G686" s="268"/>
      <c r="H686" s="268"/>
      <c r="I686" s="268"/>
      <c r="J686" s="271"/>
      <c r="K686" s="268"/>
      <c r="L686" s="268"/>
      <c r="M686" s="268"/>
      <c r="N686" s="268"/>
      <c r="O686" s="271"/>
      <c r="P686" s="268"/>
      <c r="Q686" s="268"/>
      <c r="R686" s="268"/>
      <c r="S686" s="268"/>
      <c r="T686" s="271"/>
      <c r="U686" s="268"/>
      <c r="V686" s="268"/>
      <c r="W686" s="268"/>
      <c r="X686" s="268"/>
      <c r="Y686" s="271"/>
      <c r="Z686" s="268"/>
      <c r="AA686" s="268"/>
      <c r="AB686" s="268"/>
      <c r="AC686" s="268"/>
      <c r="AD686" s="302"/>
      <c r="AE686" s="268"/>
      <c r="AF686" s="268"/>
      <c r="AG686" s="268"/>
      <c r="AH686" s="268"/>
      <c r="AI686" s="302"/>
      <c r="AJ686" s="268"/>
      <c r="AK686" s="268"/>
      <c r="AL686" s="268"/>
      <c r="AM686" s="268"/>
      <c r="AN686" s="302"/>
      <c r="AO686" s="302"/>
      <c r="AP686" s="302"/>
      <c r="AQ686" s="302"/>
      <c r="AR686" s="302"/>
      <c r="AS686" s="271"/>
      <c r="AT686" s="271"/>
      <c r="AU686" s="271"/>
      <c r="AV686" s="271"/>
      <c r="AW686" s="271"/>
      <c r="AX686" s="271"/>
      <c r="AY686" s="271"/>
      <c r="AZ686" s="271"/>
      <c r="BA686" s="271"/>
      <c r="BB686" s="271"/>
      <c r="BC686" s="271"/>
      <c r="BD686" s="271"/>
      <c r="BE686" s="271"/>
      <c r="BF686" s="271"/>
      <c r="BG686" s="271"/>
      <c r="BH686" s="271"/>
      <c r="BI686" s="302"/>
      <c r="BJ686" s="302"/>
      <c r="BK686" s="302"/>
      <c r="BL686" s="302"/>
      <c r="BM686" s="302"/>
      <c r="BN686" s="116"/>
      <c r="BO686" s="116"/>
      <c r="BP686" s="116"/>
      <c r="BQ686" s="116"/>
      <c r="BR686" s="116"/>
      <c r="BS686" s="116"/>
      <c r="BT686" s="116"/>
      <c r="BU686" s="116"/>
      <c r="BV686" s="116"/>
      <c r="BW686" s="116"/>
      <c r="BX686" s="116"/>
      <c r="BY686" s="116"/>
      <c r="BZ686" s="116"/>
      <c r="CA686" s="116"/>
      <c r="CB686" s="116"/>
      <c r="CC686" s="116"/>
      <c r="CD686" s="116"/>
      <c r="CE686" s="116"/>
      <c r="CF686" s="116"/>
      <c r="CG686" s="116"/>
      <c r="CH686" s="116"/>
      <c r="CI686" s="116"/>
      <c r="CJ686" s="116"/>
      <c r="CK686" s="116"/>
      <c r="CL686" s="116"/>
      <c r="CM686" s="116"/>
      <c r="CN686" s="116"/>
      <c r="CO686" s="116"/>
      <c r="CP686" s="116"/>
      <c r="CQ686" s="116"/>
      <c r="CR686" s="116"/>
      <c r="CS686" s="116"/>
      <c r="CT686" s="116"/>
      <c r="CU686" s="116"/>
      <c r="CV686" s="116"/>
      <c r="CW686" s="116"/>
      <c r="CX686" s="116"/>
      <c r="CY686" s="116"/>
      <c r="CZ686" s="268"/>
    </row>
    <row r="687" spans="1:104" hidden="1" outlineLevel="1">
      <c r="A687" s="268"/>
      <c r="B687" s="268"/>
      <c r="C687" s="268"/>
      <c r="D687" s="268"/>
      <c r="E687" s="268"/>
      <c r="F687" s="268"/>
      <c r="G687" s="268"/>
      <c r="H687" s="268"/>
      <c r="I687" s="268"/>
      <c r="J687" s="271"/>
      <c r="K687" s="268"/>
      <c r="L687" s="268"/>
      <c r="M687" s="268"/>
      <c r="N687" s="268"/>
      <c r="O687" s="271"/>
      <c r="P687" s="268"/>
      <c r="Q687" s="268"/>
      <c r="R687" s="268"/>
      <c r="S687" s="268"/>
      <c r="T687" s="271"/>
      <c r="U687" s="268"/>
      <c r="V687" s="268"/>
      <c r="W687" s="268"/>
      <c r="X687" s="268"/>
      <c r="Y687" s="271"/>
      <c r="Z687" s="268"/>
      <c r="AA687" s="268"/>
      <c r="AB687" s="268"/>
      <c r="AC687" s="268"/>
      <c r="AD687" s="302"/>
      <c r="AE687" s="268"/>
      <c r="AF687" s="268"/>
      <c r="AG687" s="268"/>
      <c r="AH687" s="268"/>
      <c r="AI687" s="302"/>
      <c r="AJ687" s="268"/>
      <c r="AK687" s="268"/>
      <c r="AL687" s="268"/>
      <c r="AM687" s="268"/>
      <c r="AN687" s="302"/>
      <c r="AO687" s="302"/>
      <c r="AP687" s="302"/>
      <c r="AQ687" s="302"/>
      <c r="AR687" s="302"/>
      <c r="AS687" s="271"/>
      <c r="AT687" s="271"/>
      <c r="AU687" s="271"/>
      <c r="AV687" s="271"/>
      <c r="AW687" s="271"/>
      <c r="AX687" s="271"/>
      <c r="AY687" s="271"/>
      <c r="AZ687" s="271"/>
      <c r="BA687" s="271"/>
      <c r="BB687" s="271"/>
      <c r="BC687" s="271"/>
      <c r="BD687" s="271"/>
      <c r="BE687" s="271"/>
      <c r="BF687" s="271"/>
      <c r="BG687" s="271"/>
      <c r="BH687" s="271"/>
      <c r="BI687" s="302"/>
      <c r="BJ687" s="302"/>
      <c r="BK687" s="302"/>
      <c r="BL687" s="302"/>
      <c r="BM687" s="302"/>
      <c r="BN687" s="116"/>
      <c r="BO687" s="116"/>
      <c r="BP687" s="116"/>
      <c r="BQ687" s="116"/>
      <c r="BR687" s="116"/>
      <c r="BS687" s="116"/>
      <c r="BT687" s="116"/>
      <c r="BU687" s="116"/>
      <c r="BV687" s="116"/>
      <c r="BW687" s="116"/>
      <c r="BX687" s="116"/>
      <c r="BY687" s="116"/>
      <c r="BZ687" s="116"/>
      <c r="CA687" s="116"/>
      <c r="CB687" s="116"/>
      <c r="CC687" s="116"/>
      <c r="CD687" s="116"/>
      <c r="CE687" s="116"/>
      <c r="CF687" s="116"/>
      <c r="CG687" s="116"/>
      <c r="CH687" s="116"/>
      <c r="CI687" s="116"/>
      <c r="CJ687" s="116"/>
      <c r="CK687" s="116"/>
      <c r="CL687" s="116"/>
      <c r="CM687" s="116"/>
      <c r="CN687" s="116"/>
      <c r="CO687" s="116"/>
      <c r="CP687" s="116"/>
      <c r="CQ687" s="116"/>
      <c r="CR687" s="116"/>
      <c r="CS687" s="116"/>
      <c r="CT687" s="116"/>
      <c r="CU687" s="116"/>
      <c r="CV687" s="116"/>
      <c r="CW687" s="116"/>
      <c r="CX687" s="116"/>
      <c r="CY687" s="116"/>
      <c r="CZ687" s="268"/>
    </row>
    <row r="688" spans="1:104" hidden="1" outlineLevel="1">
      <c r="A688" s="268"/>
      <c r="B688" s="268"/>
      <c r="C688" s="268"/>
      <c r="D688" s="268"/>
      <c r="E688" s="268"/>
      <c r="F688" s="268"/>
      <c r="G688" s="268"/>
      <c r="H688" s="268"/>
      <c r="I688" s="268"/>
      <c r="J688" s="271"/>
      <c r="K688" s="268"/>
      <c r="L688" s="268"/>
      <c r="M688" s="268"/>
      <c r="N688" s="268"/>
      <c r="O688" s="271"/>
      <c r="P688" s="268"/>
      <c r="Q688" s="268"/>
      <c r="R688" s="268"/>
      <c r="S688" s="268"/>
      <c r="T688" s="271"/>
      <c r="U688" s="268"/>
      <c r="V688" s="268"/>
      <c r="W688" s="268"/>
      <c r="X688" s="268"/>
      <c r="Y688" s="271"/>
      <c r="Z688" s="268"/>
      <c r="AA688" s="268"/>
      <c r="AB688" s="268"/>
      <c r="AC688" s="268"/>
      <c r="AD688" s="302"/>
      <c r="AE688" s="268"/>
      <c r="AF688" s="268"/>
      <c r="AG688" s="268"/>
      <c r="AH688" s="268"/>
      <c r="AI688" s="302"/>
      <c r="AJ688" s="268"/>
      <c r="AK688" s="268"/>
      <c r="AL688" s="268"/>
      <c r="AM688" s="268"/>
      <c r="AN688" s="302"/>
      <c r="AO688" s="302"/>
      <c r="AP688" s="302"/>
      <c r="AQ688" s="302"/>
      <c r="AR688" s="302"/>
      <c r="AS688" s="271"/>
      <c r="AT688" s="271"/>
      <c r="AU688" s="271"/>
      <c r="AV688" s="271"/>
      <c r="AW688" s="271"/>
      <c r="AX688" s="271"/>
      <c r="AY688" s="271"/>
      <c r="AZ688" s="271"/>
      <c r="BA688" s="271"/>
      <c r="BB688" s="271"/>
      <c r="BC688" s="271"/>
      <c r="BD688" s="271"/>
      <c r="BE688" s="271"/>
      <c r="BF688" s="271"/>
      <c r="BG688" s="271"/>
      <c r="BH688" s="271"/>
      <c r="BI688" s="302"/>
      <c r="BJ688" s="302"/>
      <c r="BK688" s="302"/>
      <c r="BL688" s="302"/>
      <c r="BM688" s="302"/>
      <c r="BN688" s="116"/>
      <c r="BO688" s="116"/>
      <c r="BP688" s="116"/>
      <c r="BQ688" s="116"/>
      <c r="BR688" s="116"/>
      <c r="BS688" s="116"/>
      <c r="BT688" s="116"/>
      <c r="BU688" s="116"/>
      <c r="BV688" s="116"/>
      <c r="BW688" s="116"/>
      <c r="BX688" s="116"/>
      <c r="BY688" s="116"/>
      <c r="BZ688" s="116"/>
      <c r="CA688" s="116"/>
      <c r="CB688" s="116"/>
      <c r="CC688" s="116"/>
      <c r="CD688" s="116"/>
      <c r="CE688" s="116"/>
      <c r="CF688" s="116"/>
      <c r="CG688" s="116"/>
      <c r="CH688" s="116"/>
      <c r="CI688" s="116"/>
      <c r="CJ688" s="116"/>
      <c r="CK688" s="116"/>
      <c r="CL688" s="116"/>
      <c r="CM688" s="116"/>
      <c r="CN688" s="116"/>
      <c r="CO688" s="116"/>
      <c r="CP688" s="116"/>
      <c r="CQ688" s="116"/>
      <c r="CR688" s="116"/>
      <c r="CS688" s="116"/>
      <c r="CT688" s="116"/>
      <c r="CU688" s="116"/>
      <c r="CV688" s="116"/>
      <c r="CW688" s="116"/>
      <c r="CX688" s="116"/>
      <c r="CY688" s="116"/>
      <c r="CZ688" s="268"/>
    </row>
    <row r="689" spans="1:104" hidden="1" outlineLevel="1">
      <c r="A689" s="268"/>
      <c r="B689" s="268"/>
      <c r="C689" s="268"/>
      <c r="D689" s="268"/>
      <c r="E689" s="268"/>
      <c r="F689" s="268"/>
      <c r="G689" s="268"/>
      <c r="H689" s="268"/>
      <c r="I689" s="268"/>
      <c r="J689" s="271"/>
      <c r="K689" s="268"/>
      <c r="L689" s="268"/>
      <c r="M689" s="268"/>
      <c r="N689" s="268"/>
      <c r="O689" s="271"/>
      <c r="P689" s="268"/>
      <c r="Q689" s="268"/>
      <c r="R689" s="268"/>
      <c r="S689" s="268"/>
      <c r="T689" s="271"/>
      <c r="U689" s="268"/>
      <c r="V689" s="268"/>
      <c r="W689" s="268"/>
      <c r="X689" s="268"/>
      <c r="Y689" s="271"/>
      <c r="Z689" s="268"/>
      <c r="AA689" s="268"/>
      <c r="AB689" s="268"/>
      <c r="AC689" s="268"/>
      <c r="AD689" s="302"/>
      <c r="AE689" s="268"/>
      <c r="AF689" s="268"/>
      <c r="AG689" s="268"/>
      <c r="AH689" s="268"/>
      <c r="AI689" s="302"/>
      <c r="AJ689" s="268"/>
      <c r="AK689" s="268"/>
      <c r="AL689" s="268"/>
      <c r="AM689" s="268"/>
      <c r="AN689" s="302"/>
      <c r="AO689" s="302"/>
      <c r="AP689" s="302"/>
      <c r="AQ689" s="302"/>
      <c r="AR689" s="302"/>
      <c r="AS689" s="271"/>
      <c r="AT689" s="271"/>
      <c r="AU689" s="271"/>
      <c r="AV689" s="271"/>
      <c r="AW689" s="271"/>
      <c r="AX689" s="271"/>
      <c r="AY689" s="271"/>
      <c r="AZ689" s="271"/>
      <c r="BA689" s="271"/>
      <c r="BB689" s="271"/>
      <c r="BC689" s="271"/>
      <c r="BD689" s="271"/>
      <c r="BE689" s="271"/>
      <c r="BF689" s="271"/>
      <c r="BG689" s="271"/>
      <c r="BH689" s="271"/>
      <c r="BI689" s="302"/>
      <c r="BJ689" s="302"/>
      <c r="BK689" s="302"/>
      <c r="BL689" s="302"/>
      <c r="BM689" s="302"/>
      <c r="BN689" s="116"/>
      <c r="BO689" s="116"/>
      <c r="BP689" s="116"/>
      <c r="BQ689" s="116"/>
      <c r="BR689" s="116"/>
      <c r="BS689" s="116"/>
      <c r="BT689" s="116"/>
      <c r="BU689" s="116"/>
      <c r="BV689" s="116"/>
      <c r="BW689" s="116"/>
      <c r="BX689" s="116"/>
      <c r="BY689" s="116"/>
      <c r="BZ689" s="116"/>
      <c r="CA689" s="116"/>
      <c r="CB689" s="116"/>
      <c r="CC689" s="116"/>
      <c r="CD689" s="116"/>
      <c r="CE689" s="116"/>
      <c r="CF689" s="116"/>
      <c r="CG689" s="116"/>
      <c r="CH689" s="116"/>
      <c r="CI689" s="116"/>
      <c r="CJ689" s="116"/>
      <c r="CK689" s="116"/>
      <c r="CL689" s="116"/>
      <c r="CM689" s="116"/>
      <c r="CN689" s="116"/>
      <c r="CO689" s="116"/>
      <c r="CP689" s="116"/>
      <c r="CQ689" s="116"/>
      <c r="CR689" s="116"/>
      <c r="CS689" s="116"/>
      <c r="CT689" s="116"/>
      <c r="CU689" s="116"/>
      <c r="CV689" s="116"/>
      <c r="CW689" s="116"/>
      <c r="CX689" s="116"/>
      <c r="CY689" s="116"/>
      <c r="CZ689" s="268"/>
    </row>
    <row r="690" spans="1:104" hidden="1" outlineLevel="1">
      <c r="A690" s="268"/>
      <c r="B690" s="268"/>
      <c r="C690" s="268"/>
      <c r="D690" s="268"/>
      <c r="E690" s="268"/>
      <c r="F690" s="268"/>
      <c r="G690" s="268"/>
      <c r="H690" s="268"/>
      <c r="I690" s="268"/>
      <c r="J690" s="271"/>
      <c r="K690" s="268"/>
      <c r="L690" s="268"/>
      <c r="M690" s="268"/>
      <c r="N690" s="268"/>
      <c r="O690" s="271"/>
      <c r="P690" s="268"/>
      <c r="Q690" s="268"/>
      <c r="R690" s="268"/>
      <c r="S690" s="268"/>
      <c r="T690" s="271"/>
      <c r="U690" s="268"/>
      <c r="V690" s="268"/>
      <c r="W690" s="268"/>
      <c r="X690" s="268"/>
      <c r="Y690" s="271"/>
      <c r="Z690" s="268"/>
      <c r="AA690" s="268"/>
      <c r="AB690" s="268"/>
      <c r="AC690" s="268"/>
      <c r="AD690" s="302"/>
      <c r="AE690" s="268"/>
      <c r="AF690" s="268"/>
      <c r="AG690" s="268"/>
      <c r="AH690" s="268"/>
      <c r="AI690" s="302"/>
      <c r="AJ690" s="268"/>
      <c r="AK690" s="268"/>
      <c r="AL690" s="268"/>
      <c r="AM690" s="268"/>
      <c r="AN690" s="302"/>
      <c r="AO690" s="302"/>
      <c r="AP690" s="302"/>
      <c r="AQ690" s="302"/>
      <c r="AR690" s="302"/>
      <c r="AS690" s="271"/>
      <c r="AT690" s="271"/>
      <c r="AU690" s="271"/>
      <c r="AV690" s="271"/>
      <c r="AW690" s="271"/>
      <c r="AX690" s="271"/>
      <c r="AY690" s="271"/>
      <c r="AZ690" s="271"/>
      <c r="BA690" s="271"/>
      <c r="BB690" s="271"/>
      <c r="BC690" s="271"/>
      <c r="BD690" s="271"/>
      <c r="BE690" s="271"/>
      <c r="BF690" s="271"/>
      <c r="BG690" s="271"/>
      <c r="BH690" s="271"/>
      <c r="BI690" s="302"/>
      <c r="BJ690" s="302"/>
      <c r="BK690" s="302"/>
      <c r="BL690" s="302"/>
      <c r="BM690" s="302"/>
      <c r="BN690" s="116"/>
      <c r="BO690" s="116"/>
      <c r="BP690" s="116"/>
      <c r="BQ690" s="116"/>
      <c r="BR690" s="116"/>
      <c r="BS690" s="116"/>
      <c r="BT690" s="116"/>
      <c r="BU690" s="116"/>
      <c r="BV690" s="116"/>
      <c r="BW690" s="116"/>
      <c r="BX690" s="116"/>
      <c r="BY690" s="116"/>
      <c r="BZ690" s="116"/>
      <c r="CA690" s="116"/>
      <c r="CB690" s="116"/>
      <c r="CC690" s="116"/>
      <c r="CD690" s="116"/>
      <c r="CE690" s="116"/>
      <c r="CF690" s="116"/>
      <c r="CG690" s="116"/>
      <c r="CH690" s="116"/>
      <c r="CI690" s="116"/>
      <c r="CJ690" s="116"/>
      <c r="CK690" s="116"/>
      <c r="CL690" s="116"/>
      <c r="CM690" s="116"/>
      <c r="CN690" s="116"/>
      <c r="CO690" s="116"/>
      <c r="CP690" s="116"/>
      <c r="CQ690" s="116"/>
      <c r="CR690" s="116"/>
      <c r="CS690" s="116"/>
      <c r="CT690" s="116"/>
      <c r="CU690" s="116"/>
      <c r="CV690" s="116"/>
      <c r="CW690" s="116"/>
      <c r="CX690" s="116"/>
      <c r="CY690" s="116"/>
      <c r="CZ690" s="268"/>
    </row>
    <row r="691" spans="1:104" hidden="1" outlineLevel="1">
      <c r="A691" s="268"/>
      <c r="B691" s="268"/>
      <c r="C691" s="268"/>
      <c r="D691" s="268"/>
      <c r="E691" s="268"/>
      <c r="F691" s="268"/>
      <c r="G691" s="268"/>
      <c r="H691" s="268"/>
      <c r="I691" s="268"/>
      <c r="J691" s="271"/>
      <c r="K691" s="268"/>
      <c r="L691" s="268"/>
      <c r="M691" s="268"/>
      <c r="N691" s="268"/>
      <c r="O691" s="271"/>
      <c r="P691" s="268"/>
      <c r="Q691" s="268"/>
      <c r="R691" s="268"/>
      <c r="S691" s="268"/>
      <c r="T691" s="271"/>
      <c r="U691" s="268"/>
      <c r="V691" s="268"/>
      <c r="W691" s="268"/>
      <c r="X691" s="268"/>
      <c r="Y691" s="271"/>
      <c r="Z691" s="268"/>
      <c r="AA691" s="268"/>
      <c r="AB691" s="268"/>
      <c r="AC691" s="268"/>
      <c r="AD691" s="302"/>
      <c r="AE691" s="268"/>
      <c r="AF691" s="268"/>
      <c r="AG691" s="268"/>
      <c r="AH691" s="268"/>
      <c r="AI691" s="302"/>
      <c r="AJ691" s="268"/>
      <c r="AK691" s="268"/>
      <c r="AL691" s="268"/>
      <c r="AM691" s="268"/>
      <c r="AN691" s="302"/>
      <c r="AO691" s="302"/>
      <c r="AP691" s="302"/>
      <c r="AQ691" s="302"/>
      <c r="AR691" s="302"/>
      <c r="AS691" s="271"/>
      <c r="AT691" s="271"/>
      <c r="AU691" s="271"/>
      <c r="AV691" s="271"/>
      <c r="AW691" s="271"/>
      <c r="AX691" s="271"/>
      <c r="AY691" s="271"/>
      <c r="AZ691" s="271"/>
      <c r="BA691" s="271"/>
      <c r="BB691" s="271"/>
      <c r="BC691" s="271"/>
      <c r="BD691" s="271"/>
      <c r="BE691" s="271"/>
      <c r="BF691" s="271"/>
      <c r="BG691" s="271"/>
      <c r="BH691" s="271"/>
      <c r="BI691" s="302"/>
      <c r="BJ691" s="302"/>
      <c r="BK691" s="302"/>
      <c r="BL691" s="302"/>
      <c r="BM691" s="302"/>
      <c r="BN691" s="116"/>
      <c r="BO691" s="116"/>
      <c r="BP691" s="116"/>
      <c r="BQ691" s="116"/>
      <c r="BR691" s="116"/>
      <c r="BS691" s="116"/>
      <c r="BT691" s="116"/>
      <c r="BU691" s="116"/>
      <c r="BV691" s="116"/>
      <c r="BW691" s="116"/>
      <c r="BX691" s="116"/>
      <c r="BY691" s="116"/>
      <c r="BZ691" s="116"/>
      <c r="CA691" s="116"/>
      <c r="CB691" s="116"/>
      <c r="CC691" s="116"/>
      <c r="CD691" s="116"/>
      <c r="CE691" s="116"/>
      <c r="CF691" s="116"/>
      <c r="CG691" s="116"/>
      <c r="CH691" s="116"/>
      <c r="CI691" s="116"/>
      <c r="CJ691" s="116"/>
      <c r="CK691" s="116"/>
      <c r="CL691" s="116"/>
      <c r="CM691" s="116"/>
      <c r="CN691" s="116"/>
      <c r="CO691" s="116"/>
      <c r="CP691" s="116"/>
      <c r="CQ691" s="116"/>
      <c r="CR691" s="116"/>
      <c r="CS691" s="116"/>
      <c r="CT691" s="116"/>
      <c r="CU691" s="116"/>
      <c r="CV691" s="116"/>
      <c r="CW691" s="116"/>
      <c r="CX691" s="116"/>
      <c r="CY691" s="116"/>
      <c r="CZ691" s="268"/>
    </row>
    <row r="692" spans="1:104" hidden="1" outlineLevel="1">
      <c r="A692" s="268"/>
      <c r="B692" s="268"/>
      <c r="C692" s="268"/>
      <c r="D692" s="268"/>
      <c r="E692" s="268"/>
      <c r="F692" s="268"/>
      <c r="G692" s="268"/>
      <c r="H692" s="268"/>
      <c r="I692" s="268"/>
      <c r="J692" s="271"/>
      <c r="K692" s="268"/>
      <c r="L692" s="268"/>
      <c r="M692" s="268"/>
      <c r="N692" s="268"/>
      <c r="O692" s="271"/>
      <c r="P692" s="268"/>
      <c r="Q692" s="268"/>
      <c r="R692" s="268"/>
      <c r="S692" s="268"/>
      <c r="T692" s="271"/>
      <c r="U692" s="268"/>
      <c r="V692" s="268"/>
      <c r="W692" s="268"/>
      <c r="X692" s="268"/>
      <c r="Y692" s="271"/>
      <c r="Z692" s="268"/>
      <c r="AA692" s="268"/>
      <c r="AB692" s="268"/>
      <c r="AC692" s="268"/>
      <c r="AD692" s="302"/>
      <c r="AE692" s="268"/>
      <c r="AF692" s="268"/>
      <c r="AG692" s="268"/>
      <c r="AH692" s="268"/>
      <c r="AI692" s="302"/>
      <c r="AJ692" s="268"/>
      <c r="AK692" s="268"/>
      <c r="AL692" s="268"/>
      <c r="AM692" s="268"/>
      <c r="AN692" s="302"/>
      <c r="AO692" s="302"/>
      <c r="AP692" s="302"/>
      <c r="AQ692" s="302"/>
      <c r="AR692" s="302"/>
      <c r="AS692" s="271"/>
      <c r="AT692" s="271"/>
      <c r="AU692" s="271"/>
      <c r="AV692" s="271"/>
      <c r="AW692" s="271"/>
      <c r="AX692" s="271"/>
      <c r="AY692" s="271"/>
      <c r="AZ692" s="271"/>
      <c r="BA692" s="271"/>
      <c r="BB692" s="271"/>
      <c r="BC692" s="271"/>
      <c r="BD692" s="271"/>
      <c r="BE692" s="271"/>
      <c r="BF692" s="271"/>
      <c r="BG692" s="271"/>
      <c r="BH692" s="271"/>
      <c r="BI692" s="302"/>
      <c r="BJ692" s="302"/>
      <c r="BK692" s="302"/>
      <c r="BL692" s="302"/>
      <c r="BM692" s="302"/>
      <c r="BN692" s="116"/>
      <c r="BO692" s="116"/>
      <c r="BP692" s="116"/>
      <c r="BQ692" s="116"/>
      <c r="BR692" s="116"/>
      <c r="BS692" s="116"/>
      <c r="BT692" s="116"/>
      <c r="BU692" s="116"/>
      <c r="BV692" s="116"/>
      <c r="BW692" s="116"/>
      <c r="BX692" s="116"/>
      <c r="BY692" s="116"/>
      <c r="BZ692" s="116"/>
      <c r="CA692" s="116"/>
      <c r="CB692" s="116"/>
      <c r="CC692" s="116"/>
      <c r="CD692" s="116"/>
      <c r="CE692" s="116"/>
      <c r="CF692" s="116"/>
      <c r="CG692" s="116"/>
      <c r="CH692" s="116"/>
      <c r="CI692" s="116"/>
      <c r="CJ692" s="116"/>
      <c r="CK692" s="116"/>
      <c r="CL692" s="116"/>
      <c r="CM692" s="116"/>
      <c r="CN692" s="116"/>
      <c r="CO692" s="116"/>
      <c r="CP692" s="116"/>
      <c r="CQ692" s="116"/>
      <c r="CR692" s="116"/>
      <c r="CS692" s="116"/>
      <c r="CT692" s="116"/>
      <c r="CU692" s="116"/>
      <c r="CV692" s="116"/>
      <c r="CW692" s="116"/>
      <c r="CX692" s="116"/>
      <c r="CY692" s="116"/>
      <c r="CZ692" s="268"/>
    </row>
    <row r="693" spans="1:104" hidden="1" outlineLevel="1">
      <c r="A693" s="268"/>
      <c r="B693" s="268"/>
      <c r="C693" s="268"/>
      <c r="D693" s="268"/>
      <c r="E693" s="268"/>
      <c r="F693" s="268"/>
      <c r="G693" s="268"/>
      <c r="H693" s="268"/>
      <c r="I693" s="268"/>
      <c r="J693" s="271"/>
      <c r="K693" s="268"/>
      <c r="L693" s="268"/>
      <c r="M693" s="268"/>
      <c r="N693" s="268"/>
      <c r="O693" s="271"/>
      <c r="P693" s="268"/>
      <c r="Q693" s="268"/>
      <c r="R693" s="268"/>
      <c r="S693" s="268"/>
      <c r="T693" s="271"/>
      <c r="U693" s="268"/>
      <c r="V693" s="268"/>
      <c r="W693" s="268"/>
      <c r="X693" s="268"/>
      <c r="Y693" s="271"/>
      <c r="Z693" s="268"/>
      <c r="AA693" s="268"/>
      <c r="AB693" s="268"/>
      <c r="AC693" s="268"/>
      <c r="AD693" s="302"/>
      <c r="AE693" s="268"/>
      <c r="AF693" s="268"/>
      <c r="AG693" s="268"/>
      <c r="AH693" s="268"/>
      <c r="AI693" s="302"/>
      <c r="AJ693" s="268"/>
      <c r="AK693" s="268"/>
      <c r="AL693" s="268"/>
      <c r="AM693" s="268"/>
      <c r="AN693" s="302"/>
      <c r="AO693" s="302"/>
      <c r="AP693" s="302"/>
      <c r="AQ693" s="302"/>
      <c r="AR693" s="302"/>
      <c r="AS693" s="271"/>
      <c r="AT693" s="271"/>
      <c r="AU693" s="271"/>
      <c r="AV693" s="271"/>
      <c r="AW693" s="271"/>
      <c r="AX693" s="271"/>
      <c r="AY693" s="271"/>
      <c r="AZ693" s="271"/>
      <c r="BA693" s="271"/>
      <c r="BB693" s="271"/>
      <c r="BC693" s="271"/>
      <c r="BD693" s="271"/>
      <c r="BE693" s="271"/>
      <c r="BF693" s="271"/>
      <c r="BG693" s="271"/>
      <c r="BH693" s="271"/>
      <c r="BI693" s="302"/>
      <c r="BJ693" s="302"/>
      <c r="BK693" s="302"/>
      <c r="BL693" s="302"/>
      <c r="BM693" s="302"/>
      <c r="BN693" s="116"/>
      <c r="BO693" s="116"/>
      <c r="BP693" s="116"/>
      <c r="BQ693" s="116"/>
      <c r="BR693" s="116"/>
      <c r="BS693" s="116"/>
      <c r="BT693" s="116"/>
      <c r="BU693" s="116"/>
      <c r="BV693" s="116"/>
      <c r="BW693" s="116"/>
      <c r="BX693" s="116"/>
      <c r="BY693" s="116"/>
      <c r="BZ693" s="116"/>
      <c r="CA693" s="116"/>
      <c r="CB693" s="116"/>
      <c r="CC693" s="116"/>
      <c r="CD693" s="116"/>
      <c r="CE693" s="116"/>
      <c r="CF693" s="116"/>
      <c r="CG693" s="116"/>
      <c r="CH693" s="116"/>
      <c r="CI693" s="116"/>
      <c r="CJ693" s="116"/>
      <c r="CK693" s="116"/>
      <c r="CL693" s="116"/>
      <c r="CM693" s="116"/>
      <c r="CN693" s="116"/>
      <c r="CO693" s="116"/>
      <c r="CP693" s="116"/>
      <c r="CQ693" s="116"/>
      <c r="CR693" s="116"/>
      <c r="CS693" s="116"/>
      <c r="CT693" s="116"/>
      <c r="CU693" s="116"/>
      <c r="CV693" s="116"/>
      <c r="CW693" s="116"/>
      <c r="CX693" s="116"/>
      <c r="CY693" s="116"/>
      <c r="CZ693" s="268"/>
    </row>
    <row r="694" spans="1:104" hidden="1" outlineLevel="1">
      <c r="A694" s="268"/>
      <c r="B694" s="268"/>
      <c r="C694" s="268"/>
      <c r="D694" s="268"/>
      <c r="E694" s="268"/>
      <c r="F694" s="268"/>
      <c r="G694" s="268"/>
      <c r="H694" s="268"/>
      <c r="I694" s="268"/>
      <c r="J694" s="271"/>
      <c r="K694" s="268"/>
      <c r="L694" s="268"/>
      <c r="M694" s="268"/>
      <c r="N694" s="268"/>
      <c r="O694" s="271"/>
      <c r="P694" s="268"/>
      <c r="Q694" s="268"/>
      <c r="R694" s="268"/>
      <c r="S694" s="268"/>
      <c r="T694" s="271"/>
      <c r="U694" s="268"/>
      <c r="V694" s="268"/>
      <c r="W694" s="268"/>
      <c r="X694" s="268"/>
      <c r="Y694" s="271"/>
      <c r="Z694" s="268"/>
      <c r="AA694" s="268"/>
      <c r="AB694" s="268"/>
      <c r="AC694" s="268"/>
      <c r="AD694" s="302"/>
      <c r="AE694" s="268"/>
      <c r="AF694" s="268"/>
      <c r="AG694" s="268"/>
      <c r="AH694" s="268"/>
      <c r="AI694" s="302"/>
      <c r="AJ694" s="268"/>
      <c r="AK694" s="268"/>
      <c r="AL694" s="268"/>
      <c r="AM694" s="268"/>
      <c r="AN694" s="302"/>
      <c r="AO694" s="302"/>
      <c r="AP694" s="302"/>
      <c r="AQ694" s="302"/>
      <c r="AR694" s="302"/>
      <c r="AS694" s="271"/>
      <c r="AT694" s="271"/>
      <c r="AU694" s="271"/>
      <c r="AV694" s="271"/>
      <c r="AW694" s="271"/>
      <c r="AX694" s="271"/>
      <c r="AY694" s="271"/>
      <c r="AZ694" s="271"/>
      <c r="BA694" s="271"/>
      <c r="BB694" s="271"/>
      <c r="BC694" s="271"/>
      <c r="BD694" s="271"/>
      <c r="BE694" s="271"/>
      <c r="BF694" s="271"/>
      <c r="BG694" s="271"/>
      <c r="BH694" s="271"/>
      <c r="BI694" s="302"/>
      <c r="BJ694" s="302"/>
      <c r="BK694" s="302"/>
      <c r="BL694" s="302"/>
      <c r="BM694" s="302"/>
      <c r="BN694" s="116"/>
      <c r="BO694" s="116"/>
      <c r="BP694" s="116"/>
      <c r="BQ694" s="116"/>
      <c r="BR694" s="116"/>
      <c r="BS694" s="116"/>
      <c r="BT694" s="116"/>
      <c r="BU694" s="116"/>
      <c r="BV694" s="116"/>
      <c r="BW694" s="116"/>
      <c r="BX694" s="116"/>
      <c r="BY694" s="116"/>
      <c r="BZ694" s="116"/>
      <c r="CA694" s="116"/>
      <c r="CB694" s="116"/>
      <c r="CC694" s="116"/>
      <c r="CD694" s="116"/>
      <c r="CE694" s="116"/>
      <c r="CF694" s="116"/>
      <c r="CG694" s="116"/>
      <c r="CH694" s="116"/>
      <c r="CI694" s="116"/>
      <c r="CJ694" s="116"/>
      <c r="CK694" s="116"/>
      <c r="CL694" s="116"/>
      <c r="CM694" s="116"/>
      <c r="CN694" s="116"/>
      <c r="CO694" s="116"/>
      <c r="CP694" s="116"/>
      <c r="CQ694" s="116"/>
      <c r="CR694" s="116"/>
      <c r="CS694" s="116"/>
      <c r="CT694" s="116"/>
      <c r="CU694" s="116"/>
      <c r="CV694" s="116"/>
      <c r="CW694" s="116"/>
      <c r="CX694" s="116"/>
      <c r="CY694" s="116"/>
      <c r="CZ694" s="268"/>
    </row>
    <row r="695" spans="1:104" hidden="1" outlineLevel="1">
      <c r="A695" s="268"/>
      <c r="B695" s="268"/>
      <c r="C695" s="268"/>
      <c r="D695" s="268"/>
      <c r="E695" s="268"/>
      <c r="F695" s="268"/>
      <c r="G695" s="268"/>
      <c r="H695" s="268"/>
      <c r="I695" s="268"/>
      <c r="J695" s="271"/>
      <c r="K695" s="268"/>
      <c r="L695" s="268"/>
      <c r="M695" s="268"/>
      <c r="N695" s="268"/>
      <c r="O695" s="271"/>
      <c r="P695" s="268"/>
      <c r="Q695" s="268"/>
      <c r="R695" s="268"/>
      <c r="S695" s="268"/>
      <c r="T695" s="271"/>
      <c r="U695" s="268"/>
      <c r="V695" s="268"/>
      <c r="W695" s="268"/>
      <c r="X695" s="268"/>
      <c r="Y695" s="271"/>
      <c r="Z695" s="268"/>
      <c r="AA695" s="268"/>
      <c r="AB695" s="268"/>
      <c r="AC695" s="268"/>
      <c r="AD695" s="302"/>
      <c r="AE695" s="268"/>
      <c r="AF695" s="268"/>
      <c r="AG695" s="268"/>
      <c r="AH695" s="268"/>
      <c r="AI695" s="302"/>
      <c r="AJ695" s="268"/>
      <c r="AK695" s="268"/>
      <c r="AL695" s="268"/>
      <c r="AM695" s="268"/>
      <c r="AN695" s="302"/>
      <c r="AO695" s="302"/>
      <c r="AP695" s="302"/>
      <c r="AQ695" s="302"/>
      <c r="AR695" s="302"/>
      <c r="AS695" s="271"/>
      <c r="AT695" s="271"/>
      <c r="AU695" s="271"/>
      <c r="AV695" s="271"/>
      <c r="AW695" s="271"/>
      <c r="AX695" s="271"/>
      <c r="AY695" s="271"/>
      <c r="AZ695" s="271"/>
      <c r="BA695" s="271"/>
      <c r="BB695" s="271"/>
      <c r="BC695" s="271"/>
      <c r="BD695" s="271"/>
      <c r="BE695" s="271"/>
      <c r="BF695" s="271"/>
      <c r="BG695" s="271"/>
      <c r="BH695" s="271"/>
      <c r="BI695" s="302"/>
      <c r="BJ695" s="302"/>
      <c r="BK695" s="302"/>
      <c r="BL695" s="302"/>
      <c r="BM695" s="302"/>
      <c r="BN695" s="116"/>
      <c r="BO695" s="116"/>
      <c r="BP695" s="116"/>
      <c r="BQ695" s="116"/>
      <c r="BR695" s="116"/>
      <c r="BS695" s="116"/>
      <c r="BT695" s="116"/>
      <c r="BU695" s="116"/>
      <c r="BV695" s="116"/>
      <c r="BW695" s="116"/>
      <c r="BX695" s="116"/>
      <c r="BY695" s="116"/>
      <c r="BZ695" s="116"/>
      <c r="CA695" s="116"/>
      <c r="CB695" s="116"/>
      <c r="CC695" s="116"/>
      <c r="CD695" s="116"/>
      <c r="CE695" s="116"/>
      <c r="CF695" s="116"/>
      <c r="CG695" s="116"/>
      <c r="CH695" s="116"/>
      <c r="CI695" s="116"/>
      <c r="CJ695" s="116"/>
      <c r="CK695" s="116"/>
      <c r="CL695" s="116"/>
      <c r="CM695" s="116"/>
      <c r="CN695" s="116"/>
      <c r="CO695" s="116"/>
      <c r="CP695" s="116"/>
      <c r="CQ695" s="116"/>
      <c r="CR695" s="116"/>
      <c r="CS695" s="116"/>
      <c r="CT695" s="116"/>
      <c r="CU695" s="116"/>
      <c r="CV695" s="116"/>
      <c r="CW695" s="116"/>
      <c r="CX695" s="116"/>
      <c r="CY695" s="116"/>
      <c r="CZ695" s="268"/>
    </row>
    <row r="696" spans="1:104" hidden="1" outlineLevel="1">
      <c r="A696" s="268"/>
      <c r="B696" s="268"/>
      <c r="C696" s="268"/>
      <c r="D696" s="268"/>
      <c r="E696" s="268"/>
      <c r="F696" s="268"/>
      <c r="G696" s="268"/>
      <c r="H696" s="268"/>
      <c r="I696" s="268"/>
      <c r="J696" s="271"/>
      <c r="K696" s="268"/>
      <c r="L696" s="268"/>
      <c r="M696" s="268"/>
      <c r="N696" s="268"/>
      <c r="O696" s="271"/>
      <c r="P696" s="268"/>
      <c r="Q696" s="268"/>
      <c r="R696" s="268"/>
      <c r="S696" s="268"/>
      <c r="T696" s="271"/>
      <c r="U696" s="268"/>
      <c r="V696" s="268"/>
      <c r="W696" s="268"/>
      <c r="X696" s="268"/>
      <c r="Y696" s="271"/>
      <c r="Z696" s="268"/>
      <c r="AA696" s="268"/>
      <c r="AB696" s="268"/>
      <c r="AC696" s="268"/>
      <c r="AD696" s="302"/>
      <c r="AE696" s="268"/>
      <c r="AF696" s="268"/>
      <c r="AG696" s="268"/>
      <c r="AH696" s="268"/>
      <c r="AI696" s="302"/>
      <c r="AJ696" s="268"/>
      <c r="AK696" s="268"/>
      <c r="AL696" s="268"/>
      <c r="AM696" s="268"/>
      <c r="AN696" s="302"/>
      <c r="AO696" s="302"/>
      <c r="AP696" s="302"/>
      <c r="AQ696" s="302"/>
      <c r="AR696" s="302"/>
      <c r="AS696" s="271"/>
      <c r="AT696" s="271"/>
      <c r="AU696" s="271"/>
      <c r="AV696" s="271"/>
      <c r="AW696" s="271"/>
      <c r="AX696" s="271"/>
      <c r="AY696" s="271"/>
      <c r="AZ696" s="271"/>
      <c r="BA696" s="271"/>
      <c r="BB696" s="271"/>
      <c r="BC696" s="271"/>
      <c r="BD696" s="271"/>
      <c r="BE696" s="271"/>
      <c r="BF696" s="271"/>
      <c r="BG696" s="271"/>
      <c r="BH696" s="271"/>
      <c r="BI696" s="302"/>
      <c r="BJ696" s="302"/>
      <c r="BK696" s="302"/>
      <c r="BL696" s="302"/>
      <c r="BM696" s="302"/>
      <c r="BN696" s="116"/>
      <c r="BO696" s="116"/>
      <c r="BP696" s="116"/>
      <c r="BQ696" s="116"/>
      <c r="BR696" s="116"/>
      <c r="BS696" s="116"/>
      <c r="BT696" s="116"/>
      <c r="BU696" s="116"/>
      <c r="BV696" s="116"/>
      <c r="BW696" s="116"/>
      <c r="BX696" s="116"/>
      <c r="BY696" s="116"/>
      <c r="BZ696" s="116"/>
      <c r="CA696" s="116"/>
      <c r="CB696" s="116"/>
      <c r="CC696" s="116"/>
      <c r="CD696" s="116"/>
      <c r="CE696" s="116"/>
      <c r="CF696" s="116"/>
      <c r="CG696" s="116"/>
      <c r="CH696" s="116"/>
      <c r="CI696" s="116"/>
      <c r="CJ696" s="116"/>
      <c r="CK696" s="116"/>
      <c r="CL696" s="116"/>
      <c r="CM696" s="116"/>
      <c r="CN696" s="116"/>
      <c r="CO696" s="116"/>
      <c r="CP696" s="116"/>
      <c r="CQ696" s="116"/>
      <c r="CR696" s="116"/>
      <c r="CS696" s="116"/>
      <c r="CT696" s="116"/>
      <c r="CU696" s="116"/>
      <c r="CV696" s="116"/>
      <c r="CW696" s="116"/>
      <c r="CX696" s="116"/>
      <c r="CY696" s="116"/>
      <c r="CZ696" s="268"/>
    </row>
    <row r="697" spans="1:104" hidden="1" outlineLevel="1">
      <c r="A697" s="268"/>
      <c r="B697" s="268"/>
      <c r="C697" s="268"/>
      <c r="D697" s="268"/>
      <c r="E697" s="268"/>
      <c r="F697" s="268"/>
      <c r="G697" s="268"/>
      <c r="H697" s="268"/>
      <c r="I697" s="268"/>
      <c r="J697" s="271"/>
      <c r="K697" s="268"/>
      <c r="L697" s="268"/>
      <c r="M697" s="268"/>
      <c r="N697" s="268"/>
      <c r="O697" s="271"/>
      <c r="P697" s="268"/>
      <c r="Q697" s="268"/>
      <c r="R697" s="268"/>
      <c r="S697" s="268"/>
      <c r="T697" s="271"/>
      <c r="U697" s="268"/>
      <c r="V697" s="268"/>
      <c r="W697" s="268"/>
      <c r="X697" s="268"/>
      <c r="Y697" s="271"/>
      <c r="Z697" s="268"/>
      <c r="AA697" s="268"/>
      <c r="AB697" s="268"/>
      <c r="AC697" s="268"/>
      <c r="AD697" s="302"/>
      <c r="AE697" s="268"/>
      <c r="AF697" s="268"/>
      <c r="AG697" s="268"/>
      <c r="AH697" s="268"/>
      <c r="AI697" s="302"/>
      <c r="AJ697" s="268"/>
      <c r="AK697" s="268"/>
      <c r="AL697" s="268"/>
      <c r="AM697" s="268"/>
      <c r="AN697" s="302"/>
      <c r="AO697" s="302"/>
      <c r="AP697" s="302"/>
      <c r="AQ697" s="302"/>
      <c r="AR697" s="302"/>
      <c r="AS697" s="271"/>
      <c r="AT697" s="271"/>
      <c r="AU697" s="271"/>
      <c r="AV697" s="271"/>
      <c r="AW697" s="271"/>
      <c r="AX697" s="271"/>
      <c r="AY697" s="271"/>
      <c r="AZ697" s="271"/>
      <c r="BA697" s="271"/>
      <c r="BB697" s="271"/>
      <c r="BC697" s="271"/>
      <c r="BD697" s="271"/>
      <c r="BE697" s="271"/>
      <c r="BF697" s="271"/>
      <c r="BG697" s="271"/>
      <c r="BH697" s="271"/>
      <c r="BI697" s="302"/>
      <c r="BJ697" s="302"/>
      <c r="BK697" s="302"/>
      <c r="BL697" s="302"/>
      <c r="BM697" s="302"/>
      <c r="BN697" s="116"/>
      <c r="BO697" s="116"/>
      <c r="BP697" s="116"/>
      <c r="BQ697" s="116"/>
      <c r="BR697" s="116"/>
      <c r="BS697" s="116"/>
      <c r="BT697" s="116"/>
      <c r="BU697" s="116"/>
      <c r="BV697" s="116"/>
      <c r="BW697" s="116"/>
      <c r="BX697" s="116"/>
      <c r="BY697" s="116"/>
      <c r="BZ697" s="116"/>
      <c r="CA697" s="116"/>
      <c r="CB697" s="116"/>
      <c r="CC697" s="116"/>
      <c r="CD697" s="116"/>
      <c r="CE697" s="116"/>
      <c r="CF697" s="116"/>
      <c r="CG697" s="116"/>
      <c r="CH697" s="116"/>
      <c r="CI697" s="116"/>
      <c r="CJ697" s="116"/>
      <c r="CK697" s="116"/>
      <c r="CL697" s="116"/>
      <c r="CM697" s="116"/>
      <c r="CN697" s="116"/>
      <c r="CO697" s="116"/>
      <c r="CP697" s="116"/>
      <c r="CQ697" s="116"/>
      <c r="CR697" s="116"/>
      <c r="CS697" s="116"/>
      <c r="CT697" s="116"/>
      <c r="CU697" s="116"/>
      <c r="CV697" s="116"/>
      <c r="CW697" s="116"/>
      <c r="CX697" s="116"/>
      <c r="CY697" s="116"/>
      <c r="CZ697" s="268"/>
    </row>
    <row r="698" spans="1:104" hidden="1" outlineLevel="1">
      <c r="A698" s="268"/>
      <c r="B698" s="268"/>
      <c r="C698" s="268"/>
      <c r="D698" s="268"/>
      <c r="E698" s="268"/>
      <c r="F698" s="268"/>
      <c r="G698" s="268"/>
      <c r="H698" s="268"/>
      <c r="I698" s="268"/>
      <c r="J698" s="271"/>
      <c r="K698" s="268"/>
      <c r="L698" s="268"/>
      <c r="M698" s="268"/>
      <c r="N698" s="268"/>
      <c r="O698" s="271"/>
      <c r="P698" s="268"/>
      <c r="Q698" s="268"/>
      <c r="R698" s="268"/>
      <c r="S698" s="268"/>
      <c r="T698" s="271"/>
      <c r="U698" s="268"/>
      <c r="V698" s="268"/>
      <c r="W698" s="268"/>
      <c r="X698" s="268"/>
      <c r="Y698" s="271"/>
      <c r="Z698" s="268"/>
      <c r="AA698" s="268"/>
      <c r="AB698" s="268"/>
      <c r="AC698" s="268"/>
      <c r="AD698" s="302"/>
      <c r="AE698" s="268"/>
      <c r="AF698" s="268"/>
      <c r="AG698" s="268"/>
      <c r="AH698" s="268"/>
      <c r="AI698" s="302"/>
      <c r="AJ698" s="268"/>
      <c r="AK698" s="268"/>
      <c r="AL698" s="268"/>
      <c r="AM698" s="268"/>
      <c r="AN698" s="302"/>
      <c r="AO698" s="302"/>
      <c r="AP698" s="302"/>
      <c r="AQ698" s="302"/>
      <c r="AR698" s="302"/>
      <c r="AS698" s="271"/>
      <c r="AT698" s="271"/>
      <c r="AU698" s="271"/>
      <c r="AV698" s="271"/>
      <c r="AW698" s="271"/>
      <c r="AX698" s="271"/>
      <c r="AY698" s="271"/>
      <c r="AZ698" s="271"/>
      <c r="BA698" s="271"/>
      <c r="BB698" s="271"/>
      <c r="BC698" s="271"/>
      <c r="BD698" s="271"/>
      <c r="BE698" s="271"/>
      <c r="BF698" s="271"/>
      <c r="BG698" s="271"/>
      <c r="BH698" s="271"/>
      <c r="BI698" s="302"/>
      <c r="BJ698" s="302"/>
      <c r="BK698" s="302"/>
      <c r="BL698" s="302"/>
      <c r="BM698" s="302"/>
      <c r="BN698" s="116"/>
      <c r="BO698" s="116"/>
      <c r="BP698" s="116"/>
      <c r="BQ698" s="116"/>
      <c r="BR698" s="116"/>
      <c r="BS698" s="116"/>
      <c r="BT698" s="116"/>
      <c r="BU698" s="116"/>
      <c r="BV698" s="116"/>
      <c r="BW698" s="116"/>
      <c r="BX698" s="116"/>
      <c r="BY698" s="116"/>
      <c r="BZ698" s="116"/>
      <c r="CA698" s="116"/>
      <c r="CB698" s="116"/>
      <c r="CC698" s="116"/>
      <c r="CD698" s="116"/>
      <c r="CE698" s="116"/>
      <c r="CF698" s="116"/>
      <c r="CG698" s="116"/>
      <c r="CH698" s="116"/>
      <c r="CI698" s="116"/>
      <c r="CJ698" s="116"/>
      <c r="CK698" s="116"/>
      <c r="CL698" s="116"/>
      <c r="CM698" s="116"/>
      <c r="CN698" s="116"/>
      <c r="CO698" s="116"/>
      <c r="CP698" s="116"/>
      <c r="CQ698" s="116"/>
      <c r="CR698" s="116"/>
      <c r="CS698" s="116"/>
      <c r="CT698" s="116"/>
      <c r="CU698" s="116"/>
      <c r="CV698" s="116"/>
      <c r="CW698" s="116"/>
      <c r="CX698" s="116"/>
      <c r="CY698" s="116"/>
      <c r="CZ698" s="268"/>
    </row>
    <row r="699" spans="1:104" hidden="1" outlineLevel="1">
      <c r="A699" s="268"/>
      <c r="B699" s="268"/>
      <c r="C699" s="268"/>
      <c r="D699" s="268"/>
      <c r="E699" s="268"/>
      <c r="F699" s="268"/>
      <c r="G699" s="268"/>
      <c r="H699" s="268"/>
      <c r="I699" s="268"/>
      <c r="J699" s="271"/>
      <c r="K699" s="268"/>
      <c r="L699" s="268"/>
      <c r="M699" s="268"/>
      <c r="N699" s="268"/>
      <c r="O699" s="271"/>
      <c r="P699" s="268"/>
      <c r="Q699" s="268"/>
      <c r="R699" s="268"/>
      <c r="S699" s="268"/>
      <c r="T699" s="271"/>
      <c r="U699" s="268"/>
      <c r="V699" s="268"/>
      <c r="W699" s="268"/>
      <c r="X699" s="268"/>
      <c r="Y699" s="271"/>
      <c r="Z699" s="268"/>
      <c r="AA699" s="268"/>
      <c r="AB699" s="268"/>
      <c r="AC699" s="268"/>
      <c r="AD699" s="302"/>
      <c r="AE699" s="268"/>
      <c r="AF699" s="268"/>
      <c r="AG699" s="268"/>
      <c r="AH699" s="268"/>
      <c r="AI699" s="302"/>
      <c r="AJ699" s="268"/>
      <c r="AK699" s="268"/>
      <c r="AL699" s="268"/>
      <c r="AM699" s="268"/>
      <c r="AN699" s="302"/>
      <c r="AO699" s="302"/>
      <c r="AP699" s="302"/>
      <c r="AQ699" s="302"/>
      <c r="AR699" s="302"/>
      <c r="AS699" s="271"/>
      <c r="AT699" s="271"/>
      <c r="AU699" s="271"/>
      <c r="AV699" s="271"/>
      <c r="AW699" s="271"/>
      <c r="AX699" s="271"/>
      <c r="AY699" s="271"/>
      <c r="AZ699" s="271"/>
      <c r="BA699" s="271"/>
      <c r="BB699" s="271"/>
      <c r="BC699" s="271"/>
      <c r="BD699" s="271"/>
      <c r="BE699" s="271"/>
      <c r="BF699" s="271"/>
      <c r="BG699" s="271"/>
      <c r="BH699" s="271"/>
      <c r="BI699" s="302"/>
      <c r="BJ699" s="302"/>
      <c r="BK699" s="302"/>
      <c r="BL699" s="302"/>
      <c r="BM699" s="302"/>
      <c r="BN699" s="116"/>
      <c r="BO699" s="116"/>
      <c r="BP699" s="116"/>
      <c r="BQ699" s="116"/>
      <c r="BR699" s="116"/>
      <c r="BS699" s="116"/>
      <c r="BT699" s="116"/>
      <c r="BU699" s="116"/>
      <c r="BV699" s="116"/>
      <c r="BW699" s="116"/>
      <c r="BX699" s="116"/>
      <c r="BY699" s="116"/>
      <c r="BZ699" s="116"/>
      <c r="CA699" s="116"/>
      <c r="CB699" s="116"/>
      <c r="CC699" s="116"/>
      <c r="CD699" s="116"/>
      <c r="CE699" s="116"/>
      <c r="CF699" s="116"/>
      <c r="CG699" s="116"/>
      <c r="CH699" s="116"/>
      <c r="CI699" s="116"/>
      <c r="CJ699" s="116"/>
      <c r="CK699" s="116"/>
      <c r="CL699" s="116"/>
      <c r="CM699" s="116"/>
      <c r="CN699" s="116"/>
      <c r="CO699" s="116"/>
      <c r="CP699" s="116"/>
      <c r="CQ699" s="116"/>
      <c r="CR699" s="116"/>
      <c r="CS699" s="116"/>
      <c r="CT699" s="116"/>
      <c r="CU699" s="116"/>
      <c r="CV699" s="116"/>
      <c r="CW699" s="116"/>
      <c r="CX699" s="116"/>
      <c r="CY699" s="116"/>
      <c r="CZ699" s="268"/>
    </row>
    <row r="700" spans="1:104" hidden="1" outlineLevel="1">
      <c r="A700" s="268"/>
      <c r="B700" s="268"/>
      <c r="C700" s="268" t="s">
        <v>490</v>
      </c>
      <c r="D700" s="268"/>
      <c r="E700" s="268"/>
      <c r="F700" s="268"/>
      <c r="G700" s="268"/>
      <c r="H700" s="268"/>
      <c r="I700" s="268"/>
      <c r="J700" s="271"/>
      <c r="K700" s="268"/>
      <c r="L700" s="268"/>
      <c r="M700" s="268"/>
      <c r="N700" s="268"/>
      <c r="O700" s="371"/>
      <c r="P700" s="268"/>
      <c r="Q700" s="268"/>
      <c r="R700" s="268"/>
      <c r="S700" s="268"/>
      <c r="T700" s="998">
        <v>2.2000000000000002</v>
      </c>
      <c r="U700" s="999"/>
      <c r="V700" s="999"/>
      <c r="W700" s="999"/>
      <c r="X700" s="999"/>
      <c r="Y700" s="998">
        <v>2.36</v>
      </c>
      <c r="Z700" s="998"/>
      <c r="AA700" s="998"/>
      <c r="AB700" s="998"/>
      <c r="AC700" s="998"/>
      <c r="AD700" s="998">
        <v>2.7</v>
      </c>
      <c r="AE700" s="998"/>
      <c r="AF700" s="998"/>
      <c r="AG700" s="998"/>
      <c r="AH700" s="998"/>
      <c r="AI700" s="998">
        <v>3.16</v>
      </c>
      <c r="AJ700" s="998"/>
      <c r="AK700" s="998"/>
      <c r="AL700" s="998"/>
      <c r="AM700" s="998"/>
      <c r="AN700" s="998">
        <v>3.7</v>
      </c>
      <c r="AO700" s="998"/>
      <c r="AP700" s="998"/>
      <c r="AQ700" s="998"/>
      <c r="AR700" s="998"/>
      <c r="AS700" s="998">
        <v>4.2</v>
      </c>
      <c r="AT700" s="997"/>
      <c r="AU700" s="997"/>
      <c r="AV700" s="997"/>
      <c r="AW700" s="997"/>
      <c r="AX700" s="997"/>
      <c r="AY700" s="997"/>
      <c r="AZ700" s="997"/>
      <c r="BA700" s="997"/>
      <c r="BB700" s="997"/>
      <c r="BC700" s="997"/>
      <c r="BD700" s="997"/>
      <c r="BE700" s="997"/>
      <c r="BF700" s="997"/>
      <c r="BG700" s="997"/>
      <c r="BH700" s="997"/>
      <c r="BI700" s="302"/>
      <c r="BJ700" s="302"/>
      <c r="BK700" s="302"/>
      <c r="BL700" s="302"/>
      <c r="BM700" s="302"/>
      <c r="BN700" s="116"/>
      <c r="BO700" s="116"/>
      <c r="BP700" s="116"/>
      <c r="BQ700" s="116"/>
      <c r="BR700" s="116"/>
      <c r="BS700" s="116"/>
      <c r="BT700" s="116"/>
      <c r="BU700" s="116"/>
      <c r="BV700" s="116"/>
      <c r="BW700" s="116"/>
      <c r="BX700" s="116"/>
      <c r="BY700" s="116"/>
      <c r="BZ700" s="116"/>
      <c r="CA700" s="116"/>
      <c r="CB700" s="116"/>
      <c r="CC700" s="116"/>
      <c r="CD700" s="116"/>
      <c r="CE700" s="116"/>
      <c r="CF700" s="116"/>
      <c r="CG700" s="116"/>
      <c r="CH700" s="116"/>
      <c r="CI700" s="116"/>
      <c r="CJ700" s="116"/>
      <c r="CK700" s="116"/>
      <c r="CL700" s="116"/>
      <c r="CM700" s="116"/>
      <c r="CN700" s="116"/>
      <c r="CO700" s="116"/>
      <c r="CP700" s="116"/>
      <c r="CQ700" s="116"/>
      <c r="CR700" s="116"/>
      <c r="CS700" s="116"/>
      <c r="CT700" s="116"/>
      <c r="CU700" s="116"/>
      <c r="CV700" s="116"/>
      <c r="CW700" s="116"/>
      <c r="CX700" s="116"/>
      <c r="CY700" s="116"/>
      <c r="CZ700" s="268"/>
    </row>
    <row r="701" spans="1:104" hidden="1" outlineLevel="1">
      <c r="A701" s="268"/>
      <c r="B701" s="268"/>
      <c r="C701" s="268"/>
      <c r="D701" s="268"/>
      <c r="E701" s="268"/>
      <c r="F701" s="268"/>
      <c r="G701" s="268"/>
      <c r="H701" s="268"/>
      <c r="I701" s="268"/>
      <c r="J701" s="271"/>
      <c r="K701" s="268"/>
      <c r="L701" s="268"/>
      <c r="M701" s="268"/>
      <c r="N701" s="268"/>
      <c r="O701" s="271"/>
      <c r="P701" s="268"/>
      <c r="Q701" s="268"/>
      <c r="R701" s="268"/>
      <c r="S701" s="268"/>
      <c r="T701" s="271"/>
      <c r="U701" s="268"/>
      <c r="V701" s="268"/>
      <c r="W701" s="268"/>
      <c r="X701" s="268"/>
      <c r="Y701" s="271"/>
      <c r="Z701" s="268"/>
      <c r="AA701" s="268"/>
      <c r="AB701" s="268"/>
      <c r="AC701" s="268"/>
      <c r="AD701" s="302"/>
      <c r="AE701" s="268"/>
      <c r="AF701" s="268"/>
      <c r="AG701" s="268"/>
      <c r="AH701" s="268"/>
      <c r="AI701" s="302"/>
      <c r="AJ701" s="268"/>
      <c r="AK701" s="268"/>
      <c r="AL701" s="268"/>
      <c r="AM701" s="268"/>
      <c r="AN701" s="302"/>
      <c r="AO701" s="302"/>
      <c r="AP701" s="302"/>
      <c r="AQ701" s="302"/>
      <c r="AR701" s="302"/>
      <c r="AS701" s="271"/>
      <c r="AT701" s="271"/>
      <c r="AU701" s="271"/>
      <c r="AV701" s="271"/>
      <c r="AW701" s="271"/>
      <c r="AX701" s="271"/>
      <c r="AY701" s="271"/>
      <c r="AZ701" s="271"/>
      <c r="BA701" s="271"/>
      <c r="BB701" s="271"/>
      <c r="BC701" s="271"/>
      <c r="BD701" s="271"/>
      <c r="BE701" s="271"/>
      <c r="BF701" s="271"/>
      <c r="BG701" s="271"/>
      <c r="BH701" s="271"/>
      <c r="BI701" s="302"/>
      <c r="BJ701" s="302"/>
      <c r="BK701" s="302"/>
      <c r="BL701" s="302"/>
      <c r="BM701" s="302"/>
      <c r="BN701" s="116"/>
      <c r="BO701" s="116"/>
      <c r="BP701" s="116"/>
      <c r="BQ701" s="116"/>
      <c r="BR701" s="116"/>
      <c r="BS701" s="116"/>
      <c r="BT701" s="116"/>
      <c r="BU701" s="116"/>
      <c r="BV701" s="116"/>
      <c r="BW701" s="116"/>
      <c r="BX701" s="116"/>
      <c r="BY701" s="116"/>
      <c r="BZ701" s="116"/>
      <c r="CA701" s="116"/>
      <c r="CB701" s="116"/>
      <c r="CC701" s="116"/>
      <c r="CD701" s="116"/>
      <c r="CE701" s="116"/>
      <c r="CF701" s="116"/>
      <c r="CG701" s="116"/>
      <c r="CH701" s="116"/>
      <c r="CI701" s="116"/>
      <c r="CJ701" s="116"/>
      <c r="CK701" s="116"/>
      <c r="CL701" s="116"/>
      <c r="CM701" s="116"/>
      <c r="CN701" s="116"/>
      <c r="CO701" s="116"/>
      <c r="CP701" s="116"/>
      <c r="CQ701" s="116"/>
      <c r="CR701" s="116"/>
      <c r="CS701" s="116"/>
      <c r="CT701" s="116"/>
      <c r="CU701" s="116"/>
      <c r="CV701" s="116"/>
      <c r="CW701" s="116"/>
      <c r="CX701" s="116"/>
      <c r="CY701" s="116"/>
      <c r="CZ701" s="268"/>
    </row>
    <row r="702" spans="1:104" hidden="1" outlineLevel="1">
      <c r="A702" s="268"/>
      <c r="B702" s="268"/>
      <c r="C702" s="268"/>
      <c r="D702" s="268"/>
      <c r="E702" s="268"/>
      <c r="F702" s="268"/>
      <c r="G702" s="268"/>
      <c r="H702" s="268"/>
      <c r="I702" s="268"/>
      <c r="J702" s="271"/>
      <c r="K702" s="268"/>
      <c r="L702" s="268"/>
      <c r="M702" s="268"/>
      <c r="N702" s="268"/>
      <c r="O702" s="271"/>
      <c r="P702" s="268"/>
      <c r="Q702" s="268"/>
      <c r="R702" s="268"/>
      <c r="S702" s="268"/>
      <c r="T702" s="271"/>
      <c r="U702" s="268"/>
      <c r="V702" s="268"/>
      <c r="W702" s="268"/>
      <c r="X702" s="268"/>
      <c r="Y702" s="271"/>
      <c r="Z702" s="268"/>
      <c r="AA702" s="268"/>
      <c r="AB702" s="268"/>
      <c r="AC702" s="268"/>
      <c r="AD702" s="302"/>
      <c r="AE702" s="268"/>
      <c r="AF702" s="268"/>
      <c r="AG702" s="268"/>
      <c r="AH702" s="268"/>
      <c r="AI702" s="302"/>
      <c r="AJ702" s="268"/>
      <c r="AK702" s="268"/>
      <c r="AL702" s="268"/>
      <c r="AM702" s="268"/>
      <c r="AN702" s="302"/>
      <c r="AO702" s="302"/>
      <c r="AP702" s="302"/>
      <c r="AQ702" s="302"/>
      <c r="AR702" s="302"/>
      <c r="AS702" s="271"/>
      <c r="AT702" s="271"/>
      <c r="AU702" s="271"/>
      <c r="AV702" s="271"/>
      <c r="AW702" s="271"/>
      <c r="AX702" s="271"/>
      <c r="AY702" s="271"/>
      <c r="AZ702" s="271"/>
      <c r="BA702" s="271"/>
      <c r="BB702" s="271"/>
      <c r="BC702" s="271"/>
      <c r="BD702" s="271"/>
      <c r="BE702" s="271"/>
      <c r="BF702" s="271"/>
      <c r="BG702" s="271"/>
      <c r="BH702" s="271"/>
      <c r="BI702" s="302"/>
      <c r="BJ702" s="302"/>
      <c r="BK702" s="302"/>
      <c r="BL702" s="302"/>
      <c r="BM702" s="302"/>
      <c r="BN702" s="116"/>
      <c r="BO702" s="116"/>
      <c r="BP702" s="116"/>
      <c r="BQ702" s="116"/>
      <c r="BR702" s="116"/>
      <c r="BS702" s="116"/>
      <c r="BT702" s="116"/>
      <c r="BU702" s="116"/>
      <c r="BV702" s="116"/>
      <c r="BW702" s="116"/>
      <c r="BX702" s="116"/>
      <c r="BY702" s="116"/>
      <c r="BZ702" s="116"/>
      <c r="CA702" s="116"/>
      <c r="CB702" s="116"/>
      <c r="CC702" s="116"/>
      <c r="CD702" s="116"/>
      <c r="CE702" s="116"/>
      <c r="CF702" s="116"/>
      <c r="CG702" s="116"/>
      <c r="CH702" s="116"/>
      <c r="CI702" s="116"/>
      <c r="CJ702" s="116"/>
      <c r="CK702" s="116"/>
      <c r="CL702" s="116"/>
      <c r="CM702" s="116"/>
      <c r="CN702" s="116"/>
      <c r="CO702" s="116"/>
      <c r="CP702" s="116"/>
      <c r="CQ702" s="116"/>
      <c r="CR702" s="116"/>
      <c r="CS702" s="116"/>
      <c r="CT702" s="116"/>
      <c r="CU702" s="116"/>
      <c r="CV702" s="116"/>
      <c r="CW702" s="116"/>
      <c r="CX702" s="116"/>
      <c r="CY702" s="116"/>
      <c r="CZ702" s="268"/>
    </row>
    <row r="703" spans="1:104" hidden="1" outlineLevel="1">
      <c r="A703" s="268"/>
      <c r="B703" s="268"/>
      <c r="C703" s="268"/>
      <c r="D703" s="268"/>
      <c r="E703" s="268"/>
      <c r="F703" s="268"/>
      <c r="G703" s="268"/>
      <c r="H703" s="268"/>
      <c r="I703" s="268"/>
      <c r="J703" s="271"/>
      <c r="K703" s="268"/>
      <c r="L703" s="268"/>
      <c r="M703" s="268"/>
      <c r="N703" s="268"/>
      <c r="O703" s="271"/>
      <c r="P703" s="268"/>
      <c r="Q703" s="268"/>
      <c r="R703" s="268"/>
      <c r="S703" s="268"/>
      <c r="T703" s="271"/>
      <c r="U703" s="268"/>
      <c r="V703" s="268"/>
      <c r="W703" s="268"/>
      <c r="X703" s="268"/>
      <c r="Y703" s="271"/>
      <c r="Z703" s="268"/>
      <c r="AA703" s="268"/>
      <c r="AB703" s="268"/>
      <c r="AC703" s="268"/>
      <c r="AD703" s="302"/>
      <c r="AE703" s="268"/>
      <c r="AF703" s="268"/>
      <c r="AG703" s="268"/>
      <c r="AH703" s="268"/>
      <c r="AI703" s="302"/>
      <c r="AJ703" s="268"/>
      <c r="AK703" s="268"/>
      <c r="AL703" s="268"/>
      <c r="AM703" s="268"/>
      <c r="AN703" s="302"/>
      <c r="AO703" s="302"/>
      <c r="AP703" s="302"/>
      <c r="AQ703" s="302"/>
      <c r="AR703" s="302"/>
      <c r="AS703" s="271"/>
      <c r="AT703" s="271"/>
      <c r="AU703" s="271"/>
      <c r="AV703" s="271"/>
      <c r="AW703" s="271"/>
      <c r="AX703" s="271"/>
      <c r="AY703" s="271"/>
      <c r="AZ703" s="271"/>
      <c r="BA703" s="271"/>
      <c r="BB703" s="271"/>
      <c r="BC703" s="271"/>
      <c r="BD703" s="271"/>
      <c r="BE703" s="271"/>
      <c r="BF703" s="271"/>
      <c r="BG703" s="271"/>
      <c r="BH703" s="271"/>
      <c r="BI703" s="302"/>
      <c r="BJ703" s="302"/>
      <c r="BK703" s="302"/>
      <c r="BL703" s="302"/>
      <c r="BM703" s="302"/>
      <c r="BN703" s="116"/>
      <c r="BO703" s="116"/>
      <c r="BP703" s="116"/>
      <c r="BQ703" s="116"/>
      <c r="BR703" s="116"/>
      <c r="BS703" s="116"/>
      <c r="BT703" s="116"/>
      <c r="BU703" s="116"/>
      <c r="BV703" s="116"/>
      <c r="BW703" s="116"/>
      <c r="BX703" s="116"/>
      <c r="BY703" s="116"/>
      <c r="BZ703" s="116"/>
      <c r="CA703" s="116"/>
      <c r="CB703" s="116"/>
      <c r="CC703" s="116"/>
      <c r="CD703" s="116"/>
      <c r="CE703" s="116"/>
      <c r="CF703" s="116"/>
      <c r="CG703" s="116"/>
      <c r="CH703" s="116"/>
      <c r="CI703" s="116"/>
      <c r="CJ703" s="116"/>
      <c r="CK703" s="116"/>
      <c r="CL703" s="116"/>
      <c r="CM703" s="116"/>
      <c r="CN703" s="116"/>
      <c r="CO703" s="116"/>
      <c r="CP703" s="116"/>
      <c r="CQ703" s="116"/>
      <c r="CR703" s="116"/>
      <c r="CS703" s="116"/>
      <c r="CT703" s="116"/>
      <c r="CU703" s="116"/>
      <c r="CV703" s="116"/>
      <c r="CW703" s="116"/>
      <c r="CX703" s="116"/>
      <c r="CY703" s="116"/>
      <c r="CZ703" s="268"/>
    </row>
    <row r="704" spans="1:104" hidden="1" outlineLevel="1">
      <c r="A704" s="268"/>
      <c r="B704" s="268"/>
      <c r="C704" s="268"/>
      <c r="D704" s="268"/>
      <c r="E704" s="268"/>
      <c r="F704" s="268"/>
      <c r="G704" s="268"/>
      <c r="H704" s="268"/>
      <c r="I704" s="268"/>
      <c r="J704" s="271"/>
      <c r="K704" s="268"/>
      <c r="L704" s="268"/>
      <c r="M704" s="268"/>
      <c r="N704" s="268"/>
      <c r="O704" s="271"/>
      <c r="P704" s="268"/>
      <c r="Q704" s="268"/>
      <c r="R704" s="268"/>
      <c r="S704" s="268"/>
      <c r="T704" s="271"/>
      <c r="U704" s="268"/>
      <c r="V704" s="268"/>
      <c r="W704" s="268"/>
      <c r="X704" s="268"/>
      <c r="Y704" s="271"/>
      <c r="Z704" s="268"/>
      <c r="AA704" s="268"/>
      <c r="AB704" s="268"/>
      <c r="AC704" s="268"/>
      <c r="AD704" s="302"/>
      <c r="AE704" s="268"/>
      <c r="AF704" s="268"/>
      <c r="AG704" s="268"/>
      <c r="AH704" s="268"/>
      <c r="AI704" s="302"/>
      <c r="AJ704" s="268"/>
      <c r="AK704" s="268"/>
      <c r="AL704" s="268"/>
      <c r="AM704" s="268"/>
      <c r="AN704" s="302"/>
      <c r="AO704" s="302"/>
      <c r="AP704" s="302"/>
      <c r="AQ704" s="302"/>
      <c r="AR704" s="302"/>
      <c r="AS704" s="271"/>
      <c r="AT704" s="271"/>
      <c r="AU704" s="271"/>
      <c r="AV704" s="271"/>
      <c r="AW704" s="271"/>
      <c r="AX704" s="271"/>
      <c r="AY704" s="271"/>
      <c r="AZ704" s="271"/>
      <c r="BA704" s="271"/>
      <c r="BB704" s="271"/>
      <c r="BC704" s="271"/>
      <c r="BD704" s="271"/>
      <c r="BE704" s="271"/>
      <c r="BF704" s="271"/>
      <c r="BG704" s="271"/>
      <c r="BH704" s="271"/>
      <c r="BI704" s="302"/>
      <c r="BJ704" s="302"/>
      <c r="BK704" s="302"/>
      <c r="BL704" s="302"/>
      <c r="BM704" s="302"/>
      <c r="BN704" s="116"/>
      <c r="BO704" s="116"/>
      <c r="BP704" s="116"/>
      <c r="BQ704" s="116"/>
      <c r="BR704" s="116"/>
      <c r="BS704" s="116"/>
      <c r="BT704" s="116"/>
      <c r="BU704" s="116"/>
      <c r="BV704" s="116"/>
      <c r="BW704" s="116"/>
      <c r="BX704" s="116"/>
      <c r="BY704" s="116"/>
      <c r="BZ704" s="116"/>
      <c r="CA704" s="116"/>
      <c r="CB704" s="116"/>
      <c r="CC704" s="116"/>
      <c r="CD704" s="116"/>
      <c r="CE704" s="116"/>
      <c r="CF704" s="116"/>
      <c r="CG704" s="116"/>
      <c r="CH704" s="116"/>
      <c r="CI704" s="116"/>
      <c r="CJ704" s="116"/>
      <c r="CK704" s="116"/>
      <c r="CL704" s="116"/>
      <c r="CM704" s="116"/>
      <c r="CN704" s="116"/>
      <c r="CO704" s="116"/>
      <c r="CP704" s="116"/>
      <c r="CQ704" s="116"/>
      <c r="CR704" s="116"/>
      <c r="CS704" s="116"/>
      <c r="CT704" s="116"/>
      <c r="CU704" s="116"/>
      <c r="CV704" s="116"/>
      <c r="CW704" s="116"/>
      <c r="CX704" s="116"/>
      <c r="CY704" s="116"/>
      <c r="CZ704" s="268"/>
    </row>
    <row r="705" spans="1:104" hidden="1" outlineLevel="1">
      <c r="A705" s="268"/>
      <c r="B705" s="268"/>
      <c r="C705" s="268" t="s">
        <v>489</v>
      </c>
      <c r="D705" s="268"/>
      <c r="E705" s="268"/>
      <c r="F705" s="268"/>
      <c r="G705" s="268"/>
      <c r="H705" s="268"/>
      <c r="I705" s="268"/>
      <c r="J705" s="271"/>
      <c r="K705" s="268"/>
      <c r="L705" s="268"/>
      <c r="M705" s="268"/>
      <c r="N705" s="268"/>
      <c r="O705" s="271"/>
      <c r="P705" s="268"/>
      <c r="Q705" s="268"/>
      <c r="R705" s="268"/>
      <c r="S705" s="268"/>
      <c r="T705" s="271">
        <v>52</v>
      </c>
      <c r="U705" s="525"/>
      <c r="V705" s="525"/>
      <c r="W705" s="525"/>
      <c r="X705" s="525"/>
      <c r="Y705" s="996">
        <v>41</v>
      </c>
      <c r="Z705" s="525"/>
      <c r="AA705" s="525"/>
      <c r="AB705" s="525"/>
      <c r="AC705" s="525"/>
      <c r="AD705" s="626">
        <v>59</v>
      </c>
      <c r="AE705" s="525"/>
      <c r="AF705" s="525"/>
      <c r="AG705" s="525"/>
      <c r="AH705" s="525"/>
      <c r="AI705" s="626">
        <v>59</v>
      </c>
      <c r="AJ705" s="525"/>
      <c r="AK705" s="525"/>
      <c r="AL705" s="525"/>
      <c r="AM705" s="525"/>
      <c r="AN705" s="626">
        <v>78</v>
      </c>
      <c r="AO705" s="626"/>
      <c r="AP705" s="626"/>
      <c r="AQ705" s="626"/>
      <c r="AR705" s="626"/>
      <c r="AS705" s="996" t="s">
        <v>488</v>
      </c>
      <c r="AT705" s="271"/>
      <c r="AU705" s="271"/>
      <c r="AV705" s="271"/>
      <c r="AW705" s="271"/>
      <c r="AX705" s="271"/>
      <c r="AY705" s="271"/>
      <c r="AZ705" s="271"/>
      <c r="BA705" s="271"/>
      <c r="BB705" s="271"/>
      <c r="BC705" s="271"/>
      <c r="BD705" s="271"/>
      <c r="BE705" s="271"/>
      <c r="BF705" s="271"/>
      <c r="BG705" s="271"/>
      <c r="BH705" s="271"/>
      <c r="BI705" s="302"/>
      <c r="BJ705" s="302"/>
      <c r="BK705" s="302"/>
      <c r="BL705" s="302"/>
      <c r="BM705" s="302"/>
      <c r="BN705" s="116"/>
      <c r="BO705" s="116"/>
      <c r="BP705" s="116"/>
      <c r="BQ705" s="116"/>
      <c r="BR705" s="116"/>
      <c r="BS705" s="116"/>
      <c r="BT705" s="116"/>
      <c r="BU705" s="116"/>
      <c r="BV705" s="116"/>
      <c r="BW705" s="116"/>
      <c r="BX705" s="116"/>
      <c r="BY705" s="116"/>
      <c r="BZ705" s="116"/>
      <c r="CA705" s="116"/>
      <c r="CB705" s="116"/>
      <c r="CC705" s="116"/>
      <c r="CD705" s="116"/>
      <c r="CE705" s="116"/>
      <c r="CF705" s="116"/>
      <c r="CG705" s="116"/>
      <c r="CH705" s="116"/>
      <c r="CI705" s="116"/>
      <c r="CJ705" s="116"/>
      <c r="CK705" s="116"/>
      <c r="CL705" s="116"/>
      <c r="CM705" s="116"/>
      <c r="CN705" s="116"/>
      <c r="CO705" s="116"/>
      <c r="CP705" s="116"/>
      <c r="CQ705" s="116"/>
      <c r="CR705" s="116"/>
      <c r="CS705" s="116"/>
      <c r="CT705" s="116"/>
      <c r="CU705" s="116"/>
      <c r="CV705" s="116"/>
      <c r="CW705" s="116"/>
      <c r="CX705" s="116"/>
      <c r="CY705" s="116"/>
      <c r="CZ705" s="268"/>
    </row>
    <row r="706" spans="1:104" hidden="1" outlineLevel="1">
      <c r="A706" s="268"/>
      <c r="B706" s="268"/>
      <c r="C706" s="268"/>
      <c r="D706" s="268"/>
      <c r="E706" s="268"/>
      <c r="F706" s="268"/>
      <c r="G706" s="268"/>
      <c r="H706" s="268"/>
      <c r="I706" s="268"/>
      <c r="J706" s="271"/>
      <c r="K706" s="268"/>
      <c r="L706" s="268"/>
      <c r="M706" s="268"/>
      <c r="N706" s="268"/>
      <c r="O706" s="271"/>
      <c r="P706" s="268"/>
      <c r="Q706" s="268"/>
      <c r="R706" s="268"/>
      <c r="S706" s="268"/>
      <c r="T706" s="271"/>
      <c r="U706" s="268"/>
      <c r="V706" s="268"/>
      <c r="W706" s="268"/>
      <c r="X706" s="268"/>
      <c r="Y706" s="271"/>
      <c r="Z706" s="268"/>
      <c r="AA706" s="268"/>
      <c r="AB706" s="268"/>
      <c r="AC706" s="268"/>
      <c r="AD706" s="302"/>
      <c r="AE706" s="268"/>
      <c r="AF706" s="268"/>
      <c r="AG706" s="268"/>
      <c r="AH706" s="268"/>
      <c r="AI706" s="302"/>
      <c r="AJ706" s="268"/>
      <c r="AK706" s="268"/>
      <c r="AL706" s="268"/>
      <c r="AM706" s="268"/>
      <c r="AN706" s="302"/>
      <c r="AO706" s="302"/>
      <c r="AP706" s="302"/>
      <c r="AQ706" s="302"/>
      <c r="AR706" s="302"/>
      <c r="AS706" s="271"/>
      <c r="AT706" s="271"/>
      <c r="AU706" s="271"/>
      <c r="AV706" s="271"/>
      <c r="AW706" s="271"/>
      <c r="AX706" s="271"/>
      <c r="AY706" s="271"/>
      <c r="AZ706" s="271"/>
      <c r="BA706" s="271"/>
      <c r="BB706" s="271"/>
      <c r="BC706" s="271"/>
      <c r="BD706" s="271"/>
      <c r="BE706" s="271"/>
      <c r="BF706" s="271"/>
      <c r="BG706" s="271"/>
      <c r="BH706" s="271"/>
      <c r="BI706" s="302"/>
      <c r="BJ706" s="302"/>
      <c r="BK706" s="302"/>
      <c r="BL706" s="302"/>
      <c r="BM706" s="302"/>
      <c r="BN706" s="116"/>
      <c r="BO706" s="116"/>
      <c r="BP706" s="116"/>
      <c r="BQ706" s="116"/>
      <c r="BR706" s="116"/>
      <c r="BS706" s="116"/>
      <c r="BT706" s="116"/>
      <c r="BU706" s="116"/>
      <c r="BV706" s="116"/>
      <c r="BW706" s="116"/>
      <c r="BX706" s="116"/>
      <c r="BY706" s="116"/>
      <c r="BZ706" s="116"/>
      <c r="CA706" s="116"/>
      <c r="CB706" s="116"/>
      <c r="CC706" s="116"/>
      <c r="CD706" s="116"/>
      <c r="CE706" s="116"/>
      <c r="CF706" s="116"/>
      <c r="CG706" s="116"/>
      <c r="CH706" s="116"/>
      <c r="CI706" s="116"/>
      <c r="CJ706" s="116"/>
      <c r="CK706" s="116"/>
      <c r="CL706" s="116"/>
      <c r="CM706" s="116"/>
      <c r="CN706" s="116"/>
      <c r="CO706" s="116"/>
      <c r="CP706" s="116"/>
      <c r="CQ706" s="116"/>
      <c r="CR706" s="116"/>
      <c r="CS706" s="116"/>
      <c r="CT706" s="116"/>
      <c r="CU706" s="116"/>
      <c r="CV706" s="116"/>
      <c r="CW706" s="116"/>
      <c r="CX706" s="116"/>
      <c r="CY706" s="116"/>
      <c r="CZ706" s="268"/>
    </row>
    <row r="707" spans="1:104" hidden="1" outlineLevel="1">
      <c r="A707" s="268"/>
      <c r="B707" s="268"/>
      <c r="C707" s="268"/>
      <c r="D707" s="268"/>
      <c r="E707" s="268"/>
      <c r="F707" s="268"/>
      <c r="G707" s="268"/>
      <c r="H707" s="268"/>
      <c r="I707" s="268"/>
      <c r="J707" s="271"/>
      <c r="K707" s="268"/>
      <c r="L707" s="268"/>
      <c r="M707" s="268"/>
      <c r="N707" s="268"/>
      <c r="O707" s="271"/>
      <c r="P707" s="268"/>
      <c r="Q707" s="268"/>
      <c r="R707" s="268"/>
      <c r="S707" s="268"/>
      <c r="T707" s="271"/>
      <c r="U707" s="268"/>
      <c r="V707" s="268"/>
      <c r="W707" s="268"/>
      <c r="X707" s="268"/>
      <c r="Y707" s="271"/>
      <c r="Z707" s="268"/>
      <c r="AA707" s="268"/>
      <c r="AB707" s="268"/>
      <c r="AC707" s="268"/>
      <c r="AD707" s="302"/>
      <c r="AE707" s="268"/>
      <c r="AF707" s="268"/>
      <c r="AG707" s="268"/>
      <c r="AH707" s="268"/>
      <c r="AI707" s="302"/>
      <c r="AJ707" s="268"/>
      <c r="AK707" s="268"/>
      <c r="AL707" s="268"/>
      <c r="AM707" s="268"/>
      <c r="AN707" s="302"/>
      <c r="AO707" s="302"/>
      <c r="AP707" s="302"/>
      <c r="AQ707" s="302"/>
      <c r="AR707" s="302"/>
      <c r="AS707" s="271"/>
      <c r="AT707" s="271"/>
      <c r="AU707" s="271"/>
      <c r="AV707" s="271"/>
      <c r="AW707" s="271"/>
      <c r="AX707" s="271"/>
      <c r="AY707" s="271"/>
      <c r="AZ707" s="271"/>
      <c r="BA707" s="271"/>
      <c r="BB707" s="271"/>
      <c r="BC707" s="271"/>
      <c r="BD707" s="271"/>
      <c r="BE707" s="271"/>
      <c r="BF707" s="271"/>
      <c r="BG707" s="271"/>
      <c r="BH707" s="271"/>
      <c r="BI707" s="302"/>
      <c r="BJ707" s="302"/>
      <c r="BK707" s="302"/>
      <c r="BL707" s="302"/>
      <c r="BM707" s="302"/>
      <c r="BN707" s="116"/>
      <c r="BO707" s="116"/>
      <c r="BP707" s="116"/>
      <c r="BQ707" s="116"/>
      <c r="BR707" s="116"/>
      <c r="BS707" s="116"/>
      <c r="BT707" s="116"/>
      <c r="BU707" s="116"/>
      <c r="BV707" s="116"/>
      <c r="BW707" s="116"/>
      <c r="BX707" s="116"/>
      <c r="BY707" s="116"/>
      <c r="BZ707" s="116"/>
      <c r="CA707" s="116"/>
      <c r="CB707" s="116"/>
      <c r="CC707" s="116"/>
      <c r="CD707" s="116"/>
      <c r="CE707" s="116"/>
      <c r="CF707" s="116"/>
      <c r="CG707" s="116"/>
      <c r="CH707" s="116"/>
      <c r="CI707" s="116"/>
      <c r="CJ707" s="116"/>
      <c r="CK707" s="116"/>
      <c r="CL707" s="116"/>
      <c r="CM707" s="116"/>
      <c r="CN707" s="116"/>
      <c r="CO707" s="116"/>
      <c r="CP707" s="116"/>
      <c r="CQ707" s="116"/>
      <c r="CR707" s="116"/>
      <c r="CS707" s="116"/>
      <c r="CT707" s="116"/>
      <c r="CU707" s="116"/>
      <c r="CV707" s="116"/>
      <c r="CW707" s="116"/>
      <c r="CX707" s="116"/>
      <c r="CY707" s="116"/>
      <c r="CZ707" s="268"/>
    </row>
    <row r="708" spans="1:104" hidden="1" outlineLevel="1">
      <c r="A708" s="268"/>
      <c r="B708" s="268"/>
      <c r="C708" s="268"/>
      <c r="D708" s="268"/>
      <c r="E708" s="268"/>
      <c r="F708" s="268"/>
      <c r="G708" s="268"/>
      <c r="H708" s="268"/>
      <c r="I708" s="268"/>
      <c r="J708" s="271"/>
      <c r="K708" s="268"/>
      <c r="L708" s="268"/>
      <c r="M708" s="268"/>
      <c r="N708" s="268"/>
      <c r="O708" s="271"/>
      <c r="P708" s="268"/>
      <c r="Q708" s="268"/>
      <c r="R708" s="268"/>
      <c r="S708" s="268"/>
      <c r="T708" s="271"/>
      <c r="U708" s="268"/>
      <c r="V708" s="268"/>
      <c r="W708" s="268"/>
      <c r="X708" s="268"/>
      <c r="Y708" s="271"/>
      <c r="Z708" s="268"/>
      <c r="AA708" s="268"/>
      <c r="AB708" s="268"/>
      <c r="AC708" s="268"/>
      <c r="AD708" s="302"/>
      <c r="AE708" s="268"/>
      <c r="AF708" s="268"/>
      <c r="AG708" s="268"/>
      <c r="AH708" s="268"/>
      <c r="AI708" s="302"/>
      <c r="AJ708" s="268"/>
      <c r="AK708" s="268"/>
      <c r="AL708" s="268"/>
      <c r="AM708" s="268"/>
      <c r="AN708" s="302"/>
      <c r="AO708" s="302"/>
      <c r="AP708" s="302"/>
      <c r="AQ708" s="302"/>
      <c r="AR708" s="302"/>
      <c r="AS708" s="271"/>
      <c r="AT708" s="271"/>
      <c r="AU708" s="271"/>
      <c r="AV708" s="271"/>
      <c r="AW708" s="271"/>
      <c r="AX708" s="271"/>
      <c r="AY708" s="271"/>
      <c r="AZ708" s="271"/>
      <c r="BA708" s="271"/>
      <c r="BB708" s="271"/>
      <c r="BC708" s="271"/>
      <c r="BD708" s="271"/>
      <c r="BE708" s="271"/>
      <c r="BF708" s="271"/>
      <c r="BG708" s="271"/>
      <c r="BH708" s="271"/>
      <c r="BI708" s="302"/>
      <c r="BJ708" s="302"/>
      <c r="BK708" s="302"/>
      <c r="BL708" s="302"/>
      <c r="BM708" s="302"/>
      <c r="BN708" s="116"/>
      <c r="BO708" s="116"/>
      <c r="BP708" s="116"/>
      <c r="BQ708" s="116"/>
      <c r="BR708" s="116"/>
      <c r="BS708" s="116"/>
      <c r="BT708" s="116"/>
      <c r="BU708" s="116"/>
      <c r="BV708" s="116"/>
      <c r="BW708" s="116"/>
      <c r="BX708" s="116"/>
      <c r="BY708" s="116"/>
      <c r="BZ708" s="116"/>
      <c r="CA708" s="116"/>
      <c r="CB708" s="116"/>
      <c r="CC708" s="116"/>
      <c r="CD708" s="116"/>
      <c r="CE708" s="116"/>
      <c r="CF708" s="116"/>
      <c r="CG708" s="116"/>
      <c r="CH708" s="116"/>
      <c r="CI708" s="116"/>
      <c r="CJ708" s="116"/>
      <c r="CK708" s="116"/>
      <c r="CL708" s="116"/>
      <c r="CM708" s="116"/>
      <c r="CN708" s="116"/>
      <c r="CO708" s="116"/>
      <c r="CP708" s="116"/>
      <c r="CQ708" s="116"/>
      <c r="CR708" s="116"/>
      <c r="CS708" s="116"/>
      <c r="CT708" s="116"/>
      <c r="CU708" s="116"/>
      <c r="CV708" s="116"/>
      <c r="CW708" s="116"/>
      <c r="CX708" s="116"/>
      <c r="CY708" s="116"/>
      <c r="CZ708" s="268"/>
    </row>
    <row r="709" spans="1:104" hidden="1" outlineLevel="1">
      <c r="A709" s="268"/>
      <c r="B709" s="268"/>
      <c r="C709" s="268"/>
      <c r="D709" s="268"/>
      <c r="E709" s="268"/>
      <c r="F709" s="268"/>
      <c r="G709" s="268"/>
      <c r="H709" s="268"/>
      <c r="I709" s="268"/>
      <c r="J709" s="271"/>
      <c r="K709" s="268"/>
      <c r="L709" s="268"/>
      <c r="M709" s="268"/>
      <c r="N709" s="268"/>
      <c r="O709" s="271"/>
      <c r="P709" s="268"/>
      <c r="Q709" s="268"/>
      <c r="R709" s="268"/>
      <c r="S709" s="268"/>
      <c r="T709" s="271"/>
      <c r="U709" s="268"/>
      <c r="V709" s="268"/>
      <c r="W709" s="268"/>
      <c r="X709" s="268"/>
      <c r="Y709" s="271"/>
      <c r="Z709" s="268"/>
      <c r="AA709" s="268"/>
      <c r="AB709" s="268"/>
      <c r="AC709" s="268"/>
      <c r="AD709" s="302"/>
      <c r="AE709" s="268"/>
      <c r="AF709" s="268"/>
      <c r="AG709" s="268"/>
      <c r="AH709" s="268"/>
      <c r="AI709" s="302"/>
      <c r="AJ709" s="268"/>
      <c r="AK709" s="268"/>
      <c r="AL709" s="268"/>
      <c r="AM709" s="268"/>
      <c r="AN709" s="302"/>
      <c r="AO709" s="302"/>
      <c r="AP709" s="302"/>
      <c r="AQ709" s="302"/>
      <c r="AR709" s="302"/>
      <c r="AS709" s="271"/>
      <c r="AT709" s="271"/>
      <c r="AU709" s="271"/>
      <c r="AV709" s="271"/>
      <c r="AW709" s="271"/>
      <c r="AX709" s="271"/>
      <c r="AY709" s="271"/>
      <c r="AZ709" s="271"/>
      <c r="BA709" s="271"/>
      <c r="BB709" s="271"/>
      <c r="BC709" s="271"/>
      <c r="BD709" s="271"/>
      <c r="BE709" s="271"/>
      <c r="BF709" s="271"/>
      <c r="BG709" s="271"/>
      <c r="BH709" s="271"/>
      <c r="BI709" s="302"/>
      <c r="BJ709" s="302"/>
      <c r="BK709" s="302"/>
      <c r="BL709" s="302"/>
      <c r="BM709" s="302"/>
      <c r="BN709" s="116"/>
      <c r="BO709" s="116"/>
      <c r="BP709" s="116"/>
      <c r="BQ709" s="116"/>
      <c r="BR709" s="116"/>
      <c r="BS709" s="116"/>
      <c r="BT709" s="116"/>
      <c r="BU709" s="116"/>
      <c r="BV709" s="116"/>
      <c r="BW709" s="116"/>
      <c r="BX709" s="116"/>
      <c r="BY709" s="116"/>
      <c r="BZ709" s="116"/>
      <c r="CA709" s="116"/>
      <c r="CB709" s="116"/>
      <c r="CC709" s="116"/>
      <c r="CD709" s="116"/>
      <c r="CE709" s="116"/>
      <c r="CF709" s="116"/>
      <c r="CG709" s="116"/>
      <c r="CH709" s="116"/>
      <c r="CI709" s="116"/>
      <c r="CJ709" s="116"/>
      <c r="CK709" s="116"/>
      <c r="CL709" s="116"/>
      <c r="CM709" s="116"/>
      <c r="CN709" s="116"/>
      <c r="CO709" s="116"/>
      <c r="CP709" s="116"/>
      <c r="CQ709" s="116"/>
      <c r="CR709" s="116"/>
      <c r="CS709" s="116"/>
      <c r="CT709" s="116"/>
      <c r="CU709" s="116"/>
      <c r="CV709" s="116"/>
      <c r="CW709" s="116"/>
      <c r="CX709" s="116"/>
      <c r="CY709" s="116"/>
      <c r="CZ709" s="268"/>
    </row>
    <row r="710" spans="1:104" hidden="1" outlineLevel="1">
      <c r="A710" s="268"/>
      <c r="B710" s="268"/>
      <c r="C710" s="268"/>
      <c r="D710" s="268"/>
      <c r="E710" s="268"/>
      <c r="F710" s="268"/>
      <c r="G710" s="268"/>
      <c r="H710" s="268"/>
      <c r="I710" s="268"/>
      <c r="J710" s="271"/>
      <c r="K710" s="268"/>
      <c r="L710" s="268"/>
      <c r="M710" s="268"/>
      <c r="N710" s="268"/>
      <c r="O710" s="271"/>
      <c r="P710" s="268"/>
      <c r="Q710" s="268"/>
      <c r="R710" s="268"/>
      <c r="S710" s="268"/>
      <c r="T710" s="271"/>
      <c r="U710" s="268"/>
      <c r="V710" s="268"/>
      <c r="W710" s="268"/>
      <c r="X710" s="268"/>
      <c r="Y710" s="271"/>
      <c r="Z710" s="268"/>
      <c r="AA710" s="268"/>
      <c r="AB710" s="268"/>
      <c r="AC710" s="268"/>
      <c r="AD710" s="302"/>
      <c r="AE710" s="268"/>
      <c r="AF710" s="268"/>
      <c r="AG710" s="268"/>
      <c r="AH710" s="268"/>
      <c r="AI710" s="302"/>
      <c r="AJ710" s="268"/>
      <c r="AK710" s="268"/>
      <c r="AL710" s="268"/>
      <c r="AM710" s="268"/>
      <c r="AN710" s="302"/>
      <c r="AO710" s="302"/>
      <c r="AP710" s="302"/>
      <c r="AQ710" s="302"/>
      <c r="AR710" s="302"/>
      <c r="AS710" s="271"/>
      <c r="AT710" s="271"/>
      <c r="AU710" s="271"/>
      <c r="AV710" s="271"/>
      <c r="AW710" s="271"/>
      <c r="AX710" s="271"/>
      <c r="AY710" s="271"/>
      <c r="AZ710" s="271"/>
      <c r="BA710" s="271"/>
      <c r="BB710" s="271"/>
      <c r="BC710" s="271"/>
      <c r="BD710" s="271"/>
      <c r="BE710" s="271"/>
      <c r="BF710" s="271"/>
      <c r="BG710" s="271"/>
      <c r="BH710" s="271"/>
      <c r="BI710" s="302"/>
      <c r="BJ710" s="302"/>
      <c r="BK710" s="302"/>
      <c r="BL710" s="302"/>
      <c r="BM710" s="302"/>
      <c r="BN710" s="116"/>
      <c r="BO710" s="116"/>
      <c r="BP710" s="116"/>
      <c r="BQ710" s="116"/>
      <c r="BR710" s="116"/>
      <c r="BS710" s="116"/>
      <c r="BT710" s="116"/>
      <c r="BU710" s="116"/>
      <c r="BV710" s="116"/>
      <c r="BW710" s="116"/>
      <c r="BX710" s="116"/>
      <c r="BY710" s="116"/>
      <c r="BZ710" s="116"/>
      <c r="CA710" s="116"/>
      <c r="CB710" s="116"/>
      <c r="CC710" s="116"/>
      <c r="CD710" s="116"/>
      <c r="CE710" s="116"/>
      <c r="CF710" s="116"/>
      <c r="CG710" s="116"/>
      <c r="CH710" s="116"/>
      <c r="CI710" s="116"/>
      <c r="CJ710" s="116"/>
      <c r="CK710" s="116"/>
      <c r="CL710" s="116"/>
      <c r="CM710" s="116"/>
      <c r="CN710" s="116"/>
      <c r="CO710" s="116"/>
      <c r="CP710" s="116"/>
      <c r="CQ710" s="116"/>
      <c r="CR710" s="116"/>
      <c r="CS710" s="116"/>
      <c r="CT710" s="116"/>
      <c r="CU710" s="116"/>
      <c r="CV710" s="116"/>
      <c r="CW710" s="116"/>
      <c r="CX710" s="116"/>
      <c r="CY710" s="116"/>
      <c r="CZ710" s="268"/>
    </row>
    <row r="711" spans="1:104" hidden="1" outlineLevel="1">
      <c r="A711" s="268"/>
      <c r="B711" s="268"/>
      <c r="C711" s="268"/>
      <c r="D711" s="268"/>
      <c r="E711" s="268"/>
      <c r="F711" s="268"/>
      <c r="G711" s="268"/>
      <c r="H711" s="268"/>
      <c r="I711" s="268"/>
      <c r="J711" s="271"/>
      <c r="K711" s="268"/>
      <c r="L711" s="268"/>
      <c r="M711" s="268"/>
      <c r="N711" s="268"/>
      <c r="O711" s="271"/>
      <c r="P711" s="268"/>
      <c r="Q711" s="268"/>
      <c r="R711" s="268"/>
      <c r="S711" s="268"/>
      <c r="T711" s="271"/>
      <c r="U711" s="268"/>
      <c r="V711" s="268"/>
      <c r="W711" s="268"/>
      <c r="X711" s="268"/>
      <c r="Y711" s="271"/>
      <c r="Z711" s="268"/>
      <c r="AA711" s="268"/>
      <c r="AB711" s="268"/>
      <c r="AC711" s="268"/>
      <c r="AD711" s="302"/>
      <c r="AE711" s="268"/>
      <c r="AF711" s="268"/>
      <c r="AG711" s="268"/>
      <c r="AH711" s="268"/>
      <c r="AI711" s="302"/>
      <c r="AJ711" s="268"/>
      <c r="AK711" s="268"/>
      <c r="AL711" s="268"/>
      <c r="AM711" s="268"/>
      <c r="AN711" s="302"/>
      <c r="AO711" s="302"/>
      <c r="AP711" s="302"/>
      <c r="AQ711" s="302"/>
      <c r="AR711" s="302"/>
      <c r="AS711" s="271"/>
      <c r="AT711" s="271"/>
      <c r="AU711" s="271"/>
      <c r="AV711" s="271"/>
      <c r="AW711" s="271"/>
      <c r="AX711" s="271"/>
      <c r="AY711" s="271"/>
      <c r="AZ711" s="271"/>
      <c r="BA711" s="271"/>
      <c r="BB711" s="271"/>
      <c r="BC711" s="271"/>
      <c r="BD711" s="271"/>
      <c r="BE711" s="271"/>
      <c r="BF711" s="271"/>
      <c r="BG711" s="271"/>
      <c r="BH711" s="271"/>
      <c r="BI711" s="302"/>
      <c r="BJ711" s="302"/>
      <c r="BK711" s="302"/>
      <c r="BL711" s="302"/>
      <c r="BM711" s="302"/>
      <c r="BN711" s="116"/>
      <c r="BO711" s="116"/>
      <c r="BP711" s="116"/>
      <c r="BQ711" s="116"/>
      <c r="BR711" s="116"/>
      <c r="BS711" s="116"/>
      <c r="BT711" s="116"/>
      <c r="BU711" s="116"/>
      <c r="BV711" s="116"/>
      <c r="BW711" s="116"/>
      <c r="BX711" s="116"/>
      <c r="BY711" s="116"/>
      <c r="BZ711" s="116"/>
      <c r="CA711" s="116"/>
      <c r="CB711" s="116"/>
      <c r="CC711" s="116"/>
      <c r="CD711" s="116"/>
      <c r="CE711" s="116"/>
      <c r="CF711" s="116"/>
      <c r="CG711" s="116"/>
      <c r="CH711" s="116"/>
      <c r="CI711" s="116"/>
      <c r="CJ711" s="116"/>
      <c r="CK711" s="116"/>
      <c r="CL711" s="116"/>
      <c r="CM711" s="116"/>
      <c r="CN711" s="116"/>
      <c r="CO711" s="116"/>
      <c r="CP711" s="116"/>
      <c r="CQ711" s="116"/>
      <c r="CR711" s="116"/>
      <c r="CS711" s="116"/>
      <c r="CT711" s="116"/>
      <c r="CU711" s="116"/>
      <c r="CV711" s="116"/>
      <c r="CW711" s="116"/>
      <c r="CX711" s="116"/>
      <c r="CY711" s="116"/>
      <c r="CZ711" s="268"/>
    </row>
    <row r="712" spans="1:104" hidden="1" outlineLevel="1">
      <c r="A712" s="268"/>
      <c r="B712" s="268"/>
      <c r="C712" s="268"/>
      <c r="D712" s="268"/>
      <c r="E712" s="268"/>
      <c r="F712" s="268"/>
      <c r="G712" s="268"/>
      <c r="H712" s="268"/>
      <c r="I712" s="268"/>
      <c r="J712" s="271"/>
      <c r="K712" s="268"/>
      <c r="L712" s="268"/>
      <c r="M712" s="268"/>
      <c r="N712" s="268"/>
      <c r="O712" s="271"/>
      <c r="P712" s="268"/>
      <c r="Q712" s="268"/>
      <c r="R712" s="268"/>
      <c r="S712" s="268"/>
      <c r="T712" s="271"/>
      <c r="U712" s="268"/>
      <c r="V712" s="268"/>
      <c r="W712" s="268"/>
      <c r="X712" s="268"/>
      <c r="Y712" s="271"/>
      <c r="Z712" s="268"/>
      <c r="AA712" s="268"/>
      <c r="AB712" s="268"/>
      <c r="AC712" s="268"/>
      <c r="AD712" s="302"/>
      <c r="AE712" s="268"/>
      <c r="AF712" s="268"/>
      <c r="AG712" s="268"/>
      <c r="AH712" s="268"/>
      <c r="AI712" s="302"/>
      <c r="AJ712" s="268"/>
      <c r="AK712" s="268"/>
      <c r="AL712" s="268"/>
      <c r="AM712" s="268"/>
      <c r="AN712" s="302"/>
      <c r="AO712" s="302"/>
      <c r="AP712" s="302"/>
      <c r="AQ712" s="302"/>
      <c r="AR712" s="302"/>
      <c r="AS712" s="271"/>
      <c r="AT712" s="271"/>
      <c r="AU712" s="271"/>
      <c r="AV712" s="271"/>
      <c r="AW712" s="271"/>
      <c r="AX712" s="271"/>
      <c r="AY712" s="271"/>
      <c r="AZ712" s="271"/>
      <c r="BA712" s="271"/>
      <c r="BB712" s="271"/>
      <c r="BC712" s="271"/>
      <c r="BD712" s="271"/>
      <c r="BE712" s="271"/>
      <c r="BF712" s="271"/>
      <c r="BG712" s="271"/>
      <c r="BH712" s="271"/>
      <c r="BI712" s="302"/>
      <c r="BJ712" s="302"/>
      <c r="BK712" s="302"/>
      <c r="BL712" s="302"/>
      <c r="BM712" s="302"/>
      <c r="BN712" s="116"/>
      <c r="BO712" s="116"/>
      <c r="BP712" s="116"/>
      <c r="BQ712" s="116"/>
      <c r="BR712" s="116"/>
      <c r="BS712" s="116"/>
      <c r="BT712" s="116"/>
      <c r="BU712" s="116"/>
      <c r="BV712" s="116"/>
      <c r="BW712" s="116"/>
      <c r="BX712" s="116"/>
      <c r="BY712" s="116"/>
      <c r="BZ712" s="116"/>
      <c r="CA712" s="116"/>
      <c r="CB712" s="116"/>
      <c r="CC712" s="116"/>
      <c r="CD712" s="116"/>
      <c r="CE712" s="116"/>
      <c r="CF712" s="116"/>
      <c r="CG712" s="116"/>
      <c r="CH712" s="116"/>
      <c r="CI712" s="116"/>
      <c r="CJ712" s="116"/>
      <c r="CK712" s="116"/>
      <c r="CL712" s="116"/>
      <c r="CM712" s="116"/>
      <c r="CN712" s="116"/>
      <c r="CO712" s="116"/>
      <c r="CP712" s="116"/>
      <c r="CQ712" s="116"/>
      <c r="CR712" s="116"/>
      <c r="CS712" s="116"/>
      <c r="CT712" s="116"/>
      <c r="CU712" s="116"/>
      <c r="CV712" s="116"/>
      <c r="CW712" s="116"/>
      <c r="CX712" s="116"/>
      <c r="CY712" s="116"/>
      <c r="CZ712" s="268"/>
    </row>
    <row r="713" spans="1:104" hidden="1" outlineLevel="1">
      <c r="A713" s="268"/>
      <c r="B713" s="268"/>
      <c r="C713" s="268"/>
      <c r="D713" s="268"/>
      <c r="E713" s="268"/>
      <c r="F713" s="268"/>
      <c r="G713" s="268"/>
      <c r="H713" s="268"/>
      <c r="I713" s="268"/>
      <c r="J713" s="271"/>
      <c r="K713" s="268"/>
      <c r="L713" s="268"/>
      <c r="M713" s="268"/>
      <c r="N713" s="268"/>
      <c r="O713" s="271"/>
      <c r="P713" s="268"/>
      <c r="Q713" s="268"/>
      <c r="R713" s="268"/>
      <c r="S713" s="268"/>
      <c r="T713" s="271"/>
      <c r="U713" s="268"/>
      <c r="V713" s="268"/>
      <c r="W713" s="268"/>
      <c r="X713" s="268"/>
      <c r="Y713" s="271"/>
      <c r="Z713" s="268"/>
      <c r="AA713" s="268"/>
      <c r="AB713" s="268"/>
      <c r="AC713" s="268"/>
      <c r="AD713" s="302"/>
      <c r="AE713" s="268"/>
      <c r="AF713" s="268"/>
      <c r="AG713" s="268"/>
      <c r="AH713" s="268"/>
      <c r="AI713" s="302"/>
      <c r="AJ713" s="268"/>
      <c r="AK713" s="268"/>
      <c r="AL713" s="268"/>
      <c r="AM713" s="268"/>
      <c r="AN713" s="302"/>
      <c r="AO713" s="302"/>
      <c r="AP713" s="302"/>
      <c r="AQ713" s="302"/>
      <c r="AR713" s="302"/>
      <c r="AS713" s="271"/>
      <c r="AT713" s="271"/>
      <c r="AU713" s="271"/>
      <c r="AV713" s="271"/>
      <c r="AW713" s="271"/>
      <c r="AX713" s="271"/>
      <c r="AY713" s="271"/>
      <c r="AZ713" s="271"/>
      <c r="BA713" s="271"/>
      <c r="BB713" s="271"/>
      <c r="BC713" s="271"/>
      <c r="BD713" s="271"/>
      <c r="BE713" s="271"/>
      <c r="BF713" s="271"/>
      <c r="BG713" s="271"/>
      <c r="BH713" s="271"/>
      <c r="BI713" s="302"/>
      <c r="BJ713" s="302"/>
      <c r="BK713" s="302"/>
      <c r="BL713" s="302"/>
      <c r="BM713" s="302"/>
      <c r="BN713" s="116"/>
      <c r="BO713" s="116"/>
      <c r="BP713" s="116"/>
      <c r="BQ713" s="116"/>
      <c r="BR713" s="116"/>
      <c r="BS713" s="116"/>
      <c r="BT713" s="116"/>
      <c r="BU713" s="116"/>
      <c r="BV713" s="116"/>
      <c r="BW713" s="116"/>
      <c r="BX713" s="116"/>
      <c r="BY713" s="116"/>
      <c r="BZ713" s="116"/>
      <c r="CA713" s="116"/>
      <c r="CB713" s="116"/>
      <c r="CC713" s="116"/>
      <c r="CD713" s="116"/>
      <c r="CE713" s="116"/>
      <c r="CF713" s="116"/>
      <c r="CG713" s="116"/>
      <c r="CH713" s="116"/>
      <c r="CI713" s="116"/>
      <c r="CJ713" s="116"/>
      <c r="CK713" s="116"/>
      <c r="CL713" s="116"/>
      <c r="CM713" s="116"/>
      <c r="CN713" s="116"/>
      <c r="CO713" s="116"/>
      <c r="CP713" s="116"/>
      <c r="CQ713" s="116"/>
      <c r="CR713" s="116"/>
      <c r="CS713" s="116"/>
      <c r="CT713" s="116"/>
      <c r="CU713" s="116"/>
      <c r="CV713" s="116"/>
      <c r="CW713" s="116"/>
      <c r="CX713" s="116"/>
      <c r="CY713" s="116"/>
      <c r="CZ713" s="268"/>
    </row>
    <row r="714" spans="1:104" hidden="1" outlineLevel="1">
      <c r="A714" s="268"/>
      <c r="B714" s="268"/>
      <c r="C714" s="116" t="s">
        <v>487</v>
      </c>
      <c r="D714" s="268"/>
      <c r="E714" s="268"/>
      <c r="F714" s="268"/>
      <c r="G714" s="268"/>
      <c r="H714" s="268"/>
      <c r="I714" s="268"/>
      <c r="J714" s="271"/>
      <c r="K714" s="268"/>
      <c r="L714" s="268"/>
      <c r="M714" s="268"/>
      <c r="N714" s="268"/>
      <c r="O714" s="271"/>
      <c r="P714" s="268"/>
      <c r="Q714" s="268"/>
      <c r="R714" s="268"/>
      <c r="S714" s="268"/>
      <c r="T714" s="271"/>
      <c r="U714" s="268"/>
      <c r="V714" s="268"/>
      <c r="W714" s="268"/>
      <c r="X714" s="268"/>
      <c r="Y714" s="271"/>
      <c r="Z714" s="268"/>
      <c r="AA714" s="268"/>
      <c r="AB714" s="268"/>
      <c r="AC714" s="268"/>
      <c r="AD714" s="302"/>
      <c r="AE714" s="268"/>
      <c r="AF714" s="268"/>
      <c r="AG714" s="268"/>
      <c r="AH714" s="268"/>
      <c r="AI714" s="302">
        <v>984</v>
      </c>
      <c r="AJ714" s="268"/>
      <c r="AK714" s="268"/>
      <c r="AL714" s="268"/>
      <c r="AM714" s="268"/>
      <c r="AN714" s="465">
        <v>1033</v>
      </c>
      <c r="AO714" s="302"/>
      <c r="AP714" s="302"/>
      <c r="AQ714" s="302"/>
      <c r="AR714" s="302"/>
      <c r="AS714" s="271"/>
      <c r="AT714" s="271"/>
      <c r="AU714" s="271"/>
      <c r="AV714" s="271"/>
      <c r="AW714" s="271"/>
      <c r="AX714" s="271"/>
      <c r="AY714" s="271"/>
      <c r="AZ714" s="271"/>
      <c r="BA714" s="271"/>
      <c r="BB714" s="271"/>
      <c r="BC714" s="271"/>
      <c r="BD714" s="271"/>
      <c r="BE714" s="271"/>
      <c r="BF714" s="271"/>
      <c r="BG714" s="271"/>
      <c r="BH714" s="271"/>
      <c r="BI714" s="302"/>
      <c r="BJ714" s="302"/>
      <c r="BK714" s="302"/>
      <c r="BL714" s="302"/>
      <c r="BM714" s="302"/>
      <c r="BN714" s="116"/>
      <c r="BO714" s="116"/>
      <c r="BP714" s="116"/>
      <c r="BQ714" s="116"/>
      <c r="BR714" s="116"/>
      <c r="BS714" s="116"/>
      <c r="BT714" s="116"/>
      <c r="BU714" s="116"/>
      <c r="BV714" s="116"/>
      <c r="BW714" s="116"/>
      <c r="BX714" s="116"/>
      <c r="BY714" s="116"/>
      <c r="BZ714" s="116"/>
      <c r="CA714" s="116"/>
      <c r="CB714" s="116"/>
      <c r="CC714" s="116"/>
      <c r="CD714" s="116"/>
      <c r="CE714" s="116"/>
      <c r="CF714" s="116"/>
      <c r="CG714" s="116"/>
      <c r="CH714" s="116"/>
      <c r="CI714" s="116"/>
      <c r="CJ714" s="116"/>
      <c r="CK714" s="116"/>
      <c r="CL714" s="116"/>
      <c r="CM714" s="116"/>
      <c r="CN714" s="116"/>
      <c r="CO714" s="116"/>
      <c r="CP714" s="116"/>
      <c r="CQ714" s="116"/>
      <c r="CR714" s="116"/>
      <c r="CS714" s="116"/>
      <c r="CT714" s="116"/>
      <c r="CU714" s="116"/>
      <c r="CV714" s="116"/>
      <c r="CW714" s="116"/>
      <c r="CX714" s="116"/>
      <c r="CY714" s="116"/>
      <c r="CZ714" s="268"/>
    </row>
    <row r="715" spans="1:104" hidden="1" outlineLevel="1">
      <c r="A715" s="268"/>
      <c r="B715" s="268"/>
      <c r="C715" s="116" t="s">
        <v>486</v>
      </c>
      <c r="D715" s="268"/>
      <c r="E715" s="268"/>
      <c r="F715" s="268"/>
      <c r="G715" s="268"/>
      <c r="H715" s="268"/>
      <c r="I715" s="268"/>
      <c r="J715" s="271"/>
      <c r="K715" s="268"/>
      <c r="L715" s="268"/>
      <c r="M715" s="268"/>
      <c r="N715" s="268"/>
      <c r="O715" s="271"/>
      <c r="P715" s="268"/>
      <c r="Q715" s="268"/>
      <c r="R715" s="268"/>
      <c r="S715" s="268"/>
      <c r="T715" s="271"/>
      <c r="U715" s="268"/>
      <c r="V715" s="268"/>
      <c r="W715" s="268"/>
      <c r="X715" s="268"/>
      <c r="Y715" s="271"/>
      <c r="Z715" s="268"/>
      <c r="AA715" s="268"/>
      <c r="AB715" s="268"/>
      <c r="AC715" s="268"/>
      <c r="AD715" s="302"/>
      <c r="AE715" s="268"/>
      <c r="AF715" s="268"/>
      <c r="AG715" s="268"/>
      <c r="AH715" s="268"/>
      <c r="AI715" s="302">
        <v>-437</v>
      </c>
      <c r="AJ715" s="268"/>
      <c r="AK715" s="268"/>
      <c r="AL715" s="268"/>
      <c r="AM715" s="268"/>
      <c r="AN715" s="302">
        <v>191</v>
      </c>
      <c r="AO715" s="302"/>
      <c r="AP715" s="302"/>
      <c r="AQ715" s="302"/>
      <c r="AR715" s="302"/>
      <c r="AS715" s="271"/>
      <c r="AT715" s="271"/>
      <c r="AU715" s="271"/>
      <c r="AV715" s="271"/>
      <c r="AW715" s="271"/>
      <c r="AX715" s="271"/>
      <c r="AY715" s="271"/>
      <c r="AZ715" s="271"/>
      <c r="BA715" s="271"/>
      <c r="BB715" s="271"/>
      <c r="BC715" s="271"/>
      <c r="BD715" s="271"/>
      <c r="BE715" s="271"/>
      <c r="BF715" s="271"/>
      <c r="BG715" s="271"/>
      <c r="BH715" s="271"/>
      <c r="BI715" s="302"/>
      <c r="BJ715" s="302"/>
      <c r="BK715" s="302"/>
      <c r="BL715" s="302"/>
      <c r="BM715" s="302"/>
      <c r="BN715" s="116"/>
      <c r="BO715" s="116"/>
      <c r="BP715" s="116"/>
      <c r="BQ715" s="116"/>
      <c r="BR715" s="116"/>
      <c r="BS715" s="116"/>
      <c r="BT715" s="116"/>
      <c r="BU715" s="116"/>
      <c r="BV715" s="116"/>
      <c r="BW715" s="116"/>
      <c r="BX715" s="116"/>
      <c r="BY715" s="116"/>
      <c r="BZ715" s="116"/>
      <c r="CA715" s="116"/>
      <c r="CB715" s="116"/>
      <c r="CC715" s="116"/>
      <c r="CD715" s="116"/>
      <c r="CE715" s="116"/>
      <c r="CF715" s="116"/>
      <c r="CG715" s="116"/>
      <c r="CH715" s="116"/>
      <c r="CI715" s="116"/>
      <c r="CJ715" s="116"/>
      <c r="CK715" s="116"/>
      <c r="CL715" s="116"/>
      <c r="CM715" s="116"/>
      <c r="CN715" s="116"/>
      <c r="CO715" s="116"/>
      <c r="CP715" s="116"/>
      <c r="CQ715" s="116"/>
      <c r="CR715" s="116"/>
      <c r="CS715" s="116"/>
      <c r="CT715" s="116"/>
      <c r="CU715" s="116"/>
      <c r="CV715" s="116"/>
      <c r="CW715" s="116"/>
      <c r="CX715" s="116"/>
      <c r="CY715" s="116"/>
      <c r="CZ715" s="268"/>
    </row>
    <row r="716" spans="1:104" hidden="1" outlineLevel="1">
      <c r="A716" s="268"/>
      <c r="B716" s="268"/>
      <c r="C716" s="116" t="s">
        <v>485</v>
      </c>
      <c r="D716" s="268"/>
      <c r="E716" s="268"/>
      <c r="F716" s="268"/>
      <c r="G716" s="268"/>
      <c r="H716" s="268"/>
      <c r="I716" s="268"/>
      <c r="J716" s="271"/>
      <c r="K716" s="268"/>
      <c r="L716" s="268"/>
      <c r="M716" s="268"/>
      <c r="N716" s="268"/>
      <c r="O716" s="271"/>
      <c r="P716" s="268"/>
      <c r="Q716" s="268"/>
      <c r="R716" s="268"/>
      <c r="S716" s="268"/>
      <c r="T716" s="271"/>
      <c r="U716" s="268"/>
      <c r="V716" s="268"/>
      <c r="W716" s="268"/>
      <c r="X716" s="268"/>
      <c r="Y716" s="271"/>
      <c r="Z716" s="268"/>
      <c r="AA716" s="268"/>
      <c r="AB716" s="268"/>
      <c r="AC716" s="268"/>
      <c r="AD716" s="302"/>
      <c r="AE716" s="268"/>
      <c r="AF716" s="268"/>
      <c r="AG716" s="268"/>
      <c r="AH716" s="268"/>
      <c r="AI716" s="302">
        <v>-663</v>
      </c>
      <c r="AJ716" s="268"/>
      <c r="AK716" s="268"/>
      <c r="AL716" s="268"/>
      <c r="AM716" s="268"/>
      <c r="AN716" s="302">
        <v>-190</v>
      </c>
      <c r="AO716" s="302"/>
      <c r="AP716" s="302"/>
      <c r="AQ716" s="302"/>
      <c r="AR716" s="302"/>
      <c r="AS716" s="271"/>
      <c r="AT716" s="271"/>
      <c r="AU716" s="271"/>
      <c r="AV716" s="271"/>
      <c r="AW716" s="271"/>
      <c r="AX716" s="271"/>
      <c r="AY716" s="271"/>
      <c r="AZ716" s="271"/>
      <c r="BA716" s="271"/>
      <c r="BB716" s="271"/>
      <c r="BC716" s="271"/>
      <c r="BD716" s="271"/>
      <c r="BE716" s="271"/>
      <c r="BF716" s="271"/>
      <c r="BG716" s="271"/>
      <c r="BH716" s="271"/>
      <c r="BI716" s="302"/>
      <c r="BJ716" s="302"/>
      <c r="BK716" s="302"/>
      <c r="BL716" s="302"/>
      <c r="BM716" s="302"/>
      <c r="BN716" s="116"/>
      <c r="BO716" s="116"/>
      <c r="BP716" s="116"/>
      <c r="BQ716" s="116"/>
      <c r="BR716" s="116"/>
      <c r="BS716" s="116"/>
      <c r="BT716" s="116"/>
      <c r="BU716" s="116"/>
      <c r="BV716" s="116"/>
      <c r="BW716" s="116"/>
      <c r="BX716" s="116"/>
      <c r="BY716" s="116"/>
      <c r="BZ716" s="116"/>
      <c r="CA716" s="116"/>
      <c r="CB716" s="116"/>
      <c r="CC716" s="116"/>
      <c r="CD716" s="116"/>
      <c r="CE716" s="116"/>
      <c r="CF716" s="116"/>
      <c r="CG716" s="116"/>
      <c r="CH716" s="116"/>
      <c r="CI716" s="116"/>
      <c r="CJ716" s="116"/>
      <c r="CK716" s="116"/>
      <c r="CL716" s="116"/>
      <c r="CM716" s="116"/>
      <c r="CN716" s="116"/>
      <c r="CO716" s="116"/>
      <c r="CP716" s="116"/>
      <c r="CQ716" s="116"/>
      <c r="CR716" s="116"/>
      <c r="CS716" s="116"/>
      <c r="CT716" s="116"/>
      <c r="CU716" s="116"/>
      <c r="CV716" s="116"/>
      <c r="CW716" s="116"/>
      <c r="CX716" s="116"/>
      <c r="CY716" s="116"/>
      <c r="CZ716" s="268"/>
    </row>
    <row r="717" spans="1:104" hidden="1" outlineLevel="1">
      <c r="A717" s="268"/>
      <c r="B717" s="268"/>
      <c r="C717" s="116" t="s">
        <v>484</v>
      </c>
      <c r="D717" s="268"/>
      <c r="E717" s="268"/>
      <c r="F717" s="268"/>
      <c r="G717" s="268"/>
      <c r="H717" s="268"/>
      <c r="I717" s="268"/>
      <c r="J717" s="271"/>
      <c r="K717" s="268"/>
      <c r="L717" s="268"/>
      <c r="M717" s="268"/>
      <c r="N717" s="268"/>
      <c r="O717" s="271"/>
      <c r="P717" s="268"/>
      <c r="Q717" s="268"/>
      <c r="R717" s="268"/>
      <c r="S717" s="268"/>
      <c r="T717" s="271"/>
      <c r="U717" s="268"/>
      <c r="V717" s="268"/>
      <c r="W717" s="268"/>
      <c r="X717" s="268"/>
      <c r="Y717" s="271"/>
      <c r="Z717" s="268"/>
      <c r="AA717" s="268"/>
      <c r="AB717" s="268"/>
      <c r="AC717" s="268"/>
      <c r="AD717" s="302"/>
      <c r="AE717" s="268"/>
      <c r="AF717" s="268"/>
      <c r="AG717" s="268"/>
      <c r="AH717" s="268"/>
      <c r="AI717" s="465">
        <v>1286</v>
      </c>
      <c r="AJ717" s="268"/>
      <c r="AK717" s="268"/>
      <c r="AL717" s="268"/>
      <c r="AM717" s="268"/>
      <c r="AN717" s="302">
        <v>37</v>
      </c>
      <c r="AO717" s="302"/>
      <c r="AP717" s="302"/>
      <c r="AQ717" s="302"/>
      <c r="AR717" s="302"/>
      <c r="AS717" s="271"/>
      <c r="AT717" s="271"/>
      <c r="AU717" s="271"/>
      <c r="AV717" s="271"/>
      <c r="AW717" s="271"/>
      <c r="AX717" s="271"/>
      <c r="AY717" s="271"/>
      <c r="AZ717" s="271"/>
      <c r="BA717" s="271"/>
      <c r="BB717" s="271"/>
      <c r="BC717" s="271"/>
      <c r="BD717" s="271"/>
      <c r="BE717" s="271"/>
      <c r="BF717" s="271"/>
      <c r="BG717" s="271"/>
      <c r="BH717" s="271"/>
      <c r="BI717" s="302"/>
      <c r="BJ717" s="302"/>
      <c r="BK717" s="302"/>
      <c r="BL717" s="302"/>
      <c r="BM717" s="302"/>
      <c r="BN717" s="116"/>
      <c r="BO717" s="116"/>
      <c r="BP717" s="116"/>
      <c r="BQ717" s="116"/>
      <c r="BR717" s="116"/>
      <c r="BS717" s="116"/>
      <c r="BT717" s="116"/>
      <c r="BU717" s="116"/>
      <c r="BV717" s="116"/>
      <c r="BW717" s="116"/>
      <c r="BX717" s="116"/>
      <c r="BY717" s="116"/>
      <c r="BZ717" s="116"/>
      <c r="CA717" s="116"/>
      <c r="CB717" s="116"/>
      <c r="CC717" s="116"/>
      <c r="CD717" s="116"/>
      <c r="CE717" s="116"/>
      <c r="CF717" s="116"/>
      <c r="CG717" s="116"/>
      <c r="CH717" s="116"/>
      <c r="CI717" s="116"/>
      <c r="CJ717" s="116"/>
      <c r="CK717" s="116"/>
      <c r="CL717" s="116"/>
      <c r="CM717" s="116"/>
      <c r="CN717" s="116"/>
      <c r="CO717" s="116"/>
      <c r="CP717" s="116"/>
      <c r="CQ717" s="116"/>
      <c r="CR717" s="116"/>
      <c r="CS717" s="116"/>
      <c r="CT717" s="116"/>
      <c r="CU717" s="116"/>
      <c r="CV717" s="116"/>
      <c r="CW717" s="116"/>
      <c r="CX717" s="116"/>
      <c r="CY717" s="116"/>
      <c r="CZ717" s="268"/>
    </row>
    <row r="718" spans="1:104" hidden="1" outlineLevel="1">
      <c r="A718" s="268"/>
      <c r="B718" s="268"/>
      <c r="C718" s="116" t="s">
        <v>483</v>
      </c>
      <c r="D718" s="268"/>
      <c r="E718" s="268"/>
      <c r="F718" s="268"/>
      <c r="G718" s="268"/>
      <c r="H718" s="268"/>
      <c r="I718" s="268"/>
      <c r="J718" s="271"/>
      <c r="K718" s="268"/>
      <c r="L718" s="268"/>
      <c r="M718" s="268"/>
      <c r="N718" s="268"/>
      <c r="O718" s="271"/>
      <c r="P718" s="268"/>
      <c r="Q718" s="268"/>
      <c r="R718" s="268"/>
      <c r="S718" s="268"/>
      <c r="T718" s="271"/>
      <c r="U718" s="268"/>
      <c r="V718" s="268"/>
      <c r="W718" s="268"/>
      <c r="X718" s="268"/>
      <c r="Y718" s="271"/>
      <c r="Z718" s="268"/>
      <c r="AA718" s="268"/>
      <c r="AB718" s="268"/>
      <c r="AC718" s="268"/>
      <c r="AD718" s="302"/>
      <c r="AE718" s="268"/>
      <c r="AF718" s="268"/>
      <c r="AG718" s="268"/>
      <c r="AH718" s="268"/>
      <c r="AI718" s="465">
        <v>4334</v>
      </c>
      <c r="AJ718" s="268"/>
      <c r="AK718" s="268"/>
      <c r="AL718" s="268"/>
      <c r="AM718" s="268"/>
      <c r="AN718" s="465">
        <v>4803</v>
      </c>
      <c r="AO718" s="302"/>
      <c r="AP718" s="302"/>
      <c r="AQ718" s="302"/>
      <c r="AR718" s="302"/>
      <c r="AS718" s="271"/>
      <c r="AT718" s="271"/>
      <c r="AU718" s="271"/>
      <c r="AV718" s="271"/>
      <c r="AW718" s="271"/>
      <c r="AX718" s="271"/>
      <c r="AY718" s="271"/>
      <c r="AZ718" s="271"/>
      <c r="BA718" s="271"/>
      <c r="BB718" s="271"/>
      <c r="BC718" s="271"/>
      <c r="BD718" s="271"/>
      <c r="BE718" s="271"/>
      <c r="BF718" s="271"/>
      <c r="BG718" s="271"/>
      <c r="BH718" s="271"/>
      <c r="BI718" s="302"/>
      <c r="BJ718" s="302"/>
      <c r="BK718" s="302"/>
      <c r="BL718" s="302"/>
      <c r="BM718" s="302"/>
      <c r="BN718" s="116"/>
      <c r="BO718" s="116"/>
      <c r="BP718" s="116"/>
      <c r="BQ718" s="116"/>
      <c r="BR718" s="116"/>
      <c r="BS718" s="116"/>
      <c r="BT718" s="116"/>
      <c r="BU718" s="116"/>
      <c r="BV718" s="116"/>
      <c r="BW718" s="116"/>
      <c r="BX718" s="116"/>
      <c r="BY718" s="116"/>
      <c r="BZ718" s="116"/>
      <c r="CA718" s="116"/>
      <c r="CB718" s="116"/>
      <c r="CC718" s="116"/>
      <c r="CD718" s="116"/>
      <c r="CE718" s="116"/>
      <c r="CF718" s="116"/>
      <c r="CG718" s="116"/>
      <c r="CH718" s="116"/>
      <c r="CI718" s="116"/>
      <c r="CJ718" s="116"/>
      <c r="CK718" s="116"/>
      <c r="CL718" s="116"/>
      <c r="CM718" s="116"/>
      <c r="CN718" s="116"/>
      <c r="CO718" s="116"/>
      <c r="CP718" s="116"/>
      <c r="CQ718" s="116"/>
      <c r="CR718" s="116"/>
      <c r="CS718" s="116"/>
      <c r="CT718" s="116"/>
      <c r="CU718" s="116"/>
      <c r="CV718" s="116"/>
      <c r="CW718" s="116"/>
      <c r="CX718" s="116"/>
      <c r="CY718" s="116"/>
      <c r="CZ718" s="268"/>
    </row>
    <row r="719" spans="1:104" hidden="1" outlineLevel="1">
      <c r="A719" s="268"/>
      <c r="B719" s="268"/>
      <c r="C719" s="116" t="s">
        <v>482</v>
      </c>
      <c r="D719" s="268"/>
      <c r="E719" s="268"/>
      <c r="F719" s="268"/>
      <c r="G719" s="268"/>
      <c r="H719" s="268"/>
      <c r="I719" s="268"/>
      <c r="J719" s="271"/>
      <c r="K719" s="268"/>
      <c r="L719" s="268"/>
      <c r="M719" s="268"/>
      <c r="N719" s="268"/>
      <c r="O719" s="271"/>
      <c r="P719" s="268"/>
      <c r="Q719" s="268"/>
      <c r="R719" s="268"/>
      <c r="S719" s="268"/>
      <c r="T719" s="271"/>
      <c r="U719" s="268"/>
      <c r="V719" s="268"/>
      <c r="W719" s="268"/>
      <c r="X719" s="268"/>
      <c r="Y719" s="271"/>
      <c r="Z719" s="268"/>
      <c r="AA719" s="268"/>
      <c r="AB719" s="268"/>
      <c r="AC719" s="268"/>
      <c r="AD719" s="302"/>
      <c r="AE719" s="268"/>
      <c r="AF719" s="268"/>
      <c r="AG719" s="268"/>
      <c r="AH719" s="268"/>
      <c r="AI719" s="302">
        <v>-929</v>
      </c>
      <c r="AJ719" s="268"/>
      <c r="AK719" s="268"/>
      <c r="AL719" s="268"/>
      <c r="AM719" s="268"/>
      <c r="AN719" s="302">
        <v>-954</v>
      </c>
      <c r="AO719" s="302"/>
      <c r="AP719" s="302"/>
      <c r="AQ719" s="302"/>
      <c r="AR719" s="302"/>
      <c r="AS719" s="271"/>
      <c r="AT719" s="271"/>
      <c r="AU719" s="271"/>
      <c r="AV719" s="271"/>
      <c r="AW719" s="271"/>
      <c r="AX719" s="271"/>
      <c r="AY719" s="271"/>
      <c r="AZ719" s="271"/>
      <c r="BA719" s="271"/>
      <c r="BB719" s="271"/>
      <c r="BC719" s="271"/>
      <c r="BD719" s="271"/>
      <c r="BE719" s="271"/>
      <c r="BF719" s="271"/>
      <c r="BG719" s="271"/>
      <c r="BH719" s="271"/>
      <c r="BI719" s="302"/>
      <c r="BJ719" s="302"/>
      <c r="BK719" s="302"/>
      <c r="BL719" s="302"/>
      <c r="BM719" s="302"/>
      <c r="BN719" s="116"/>
      <c r="BO719" s="116"/>
      <c r="BP719" s="116"/>
      <c r="BQ719" s="116"/>
      <c r="BR719" s="116"/>
      <c r="BS719" s="116"/>
      <c r="BT719" s="116"/>
      <c r="BU719" s="116"/>
      <c r="BV719" s="116"/>
      <c r="BW719" s="116"/>
      <c r="BX719" s="116"/>
      <c r="BY719" s="116"/>
      <c r="BZ719" s="116"/>
      <c r="CA719" s="116"/>
      <c r="CB719" s="116"/>
      <c r="CC719" s="116"/>
      <c r="CD719" s="116"/>
      <c r="CE719" s="116"/>
      <c r="CF719" s="116"/>
      <c r="CG719" s="116"/>
      <c r="CH719" s="116"/>
      <c r="CI719" s="116"/>
      <c r="CJ719" s="116"/>
      <c r="CK719" s="116"/>
      <c r="CL719" s="116"/>
      <c r="CM719" s="116"/>
      <c r="CN719" s="116"/>
      <c r="CO719" s="116"/>
      <c r="CP719" s="116"/>
      <c r="CQ719" s="116"/>
      <c r="CR719" s="116"/>
      <c r="CS719" s="116"/>
      <c r="CT719" s="116"/>
      <c r="CU719" s="116"/>
      <c r="CV719" s="116"/>
      <c r="CW719" s="116"/>
      <c r="CX719" s="116"/>
      <c r="CY719" s="116"/>
      <c r="CZ719" s="268"/>
    </row>
    <row r="720" spans="1:104" hidden="1" outlineLevel="1">
      <c r="A720" s="268"/>
      <c r="B720" s="268"/>
      <c r="C720" s="116" t="s">
        <v>472</v>
      </c>
      <c r="D720" s="268"/>
      <c r="E720" s="268"/>
      <c r="F720" s="268"/>
      <c r="G720" s="268"/>
      <c r="H720" s="268"/>
      <c r="I720" s="268"/>
      <c r="J720" s="271"/>
      <c r="K720" s="268"/>
      <c r="L720" s="268"/>
      <c r="M720" s="268"/>
      <c r="N720" s="268"/>
      <c r="O720" s="271"/>
      <c r="P720" s="268"/>
      <c r="Q720" s="268"/>
      <c r="R720" s="268"/>
      <c r="S720" s="268"/>
      <c r="T720" s="271"/>
      <c r="U720" s="268"/>
      <c r="V720" s="268"/>
      <c r="W720" s="268"/>
      <c r="X720" s="268"/>
      <c r="Y720" s="271"/>
      <c r="Z720" s="268"/>
      <c r="AA720" s="268"/>
      <c r="AB720" s="268"/>
      <c r="AC720" s="268"/>
      <c r="AD720" s="302"/>
      <c r="AE720" s="268"/>
      <c r="AF720" s="268"/>
      <c r="AG720" s="268"/>
      <c r="AH720" s="268"/>
      <c r="AI720" s="465">
        <v>3405</v>
      </c>
      <c r="AJ720" s="268"/>
      <c r="AK720" s="268"/>
      <c r="AL720" s="268"/>
      <c r="AM720" s="268"/>
      <c r="AN720" s="465">
        <v>3849</v>
      </c>
      <c r="AO720" s="302"/>
      <c r="AP720" s="302"/>
      <c r="AQ720" s="302"/>
      <c r="AR720" s="302"/>
      <c r="AS720" s="271"/>
      <c r="AT720" s="271"/>
      <c r="AU720" s="271"/>
      <c r="AV720" s="271"/>
      <c r="AW720" s="271"/>
      <c r="AX720" s="271"/>
      <c r="AY720" s="271"/>
      <c r="AZ720" s="271"/>
      <c r="BA720" s="271"/>
      <c r="BB720" s="271"/>
      <c r="BC720" s="271"/>
      <c r="BD720" s="271"/>
      <c r="BE720" s="271"/>
      <c r="BF720" s="271"/>
      <c r="BG720" s="271"/>
      <c r="BH720" s="271"/>
      <c r="BI720" s="302"/>
      <c r="BJ720" s="302"/>
      <c r="BK720" s="302"/>
      <c r="BL720" s="302"/>
      <c r="BM720" s="302"/>
      <c r="BN720" s="116"/>
      <c r="BO720" s="116"/>
      <c r="BP720" s="116"/>
      <c r="BQ720" s="116"/>
      <c r="BR720" s="116"/>
      <c r="BS720" s="116"/>
      <c r="BT720" s="116"/>
      <c r="BU720" s="116"/>
      <c r="BV720" s="116"/>
      <c r="BW720" s="116"/>
      <c r="BX720" s="116"/>
      <c r="BY720" s="116"/>
      <c r="BZ720" s="116"/>
      <c r="CA720" s="116"/>
      <c r="CB720" s="116"/>
      <c r="CC720" s="116"/>
      <c r="CD720" s="116"/>
      <c r="CE720" s="116"/>
      <c r="CF720" s="116"/>
      <c r="CG720" s="116"/>
      <c r="CH720" s="116"/>
      <c r="CI720" s="116"/>
      <c r="CJ720" s="116"/>
      <c r="CK720" s="116"/>
      <c r="CL720" s="116"/>
      <c r="CM720" s="116"/>
      <c r="CN720" s="116"/>
      <c r="CO720" s="116"/>
      <c r="CP720" s="116"/>
      <c r="CQ720" s="116"/>
      <c r="CR720" s="116"/>
      <c r="CS720" s="116"/>
      <c r="CT720" s="116"/>
      <c r="CU720" s="116"/>
      <c r="CV720" s="116"/>
      <c r="CW720" s="116"/>
      <c r="CX720" s="116"/>
      <c r="CY720" s="116"/>
      <c r="CZ720" s="268"/>
    </row>
    <row r="721" hidden="1" outlineLevel="1"/>
    <row r="722" collapsed="1"/>
  </sheetData>
  <mergeCells count="1">
    <mergeCell ref="F2:K2"/>
  </mergeCells>
  <hyperlinks>
    <hyperlink ref="CY4" r:id="rId1"/>
  </hyperlinks>
  <pageMargins left="0.75" right="0.5" top="0.75" bottom="0.75" header="0.5" footer="0.5"/>
  <pageSetup scale="44" orientation="portrait" r:id="rId2"/>
  <headerFooter alignWithMargins="0">
    <oddFooter>Page &amp;P of &amp;N</oddFooter>
  </headerFooter>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DJ346"/>
  <sheetViews>
    <sheetView showGridLines="0" zoomScaleNormal="100" workbookViewId="0">
      <pane xSplit="4" ySplit="10" topLeftCell="CM13" activePane="bottomRight" state="frozen"/>
      <selection activeCell="BN5" sqref="BN5"/>
      <selection pane="topRight" activeCell="BN5" sqref="BN5"/>
      <selection pane="bottomLeft" activeCell="BN5" sqref="BN5"/>
      <selection pane="bottomRight" activeCell="CY41" sqref="CY41"/>
    </sheetView>
  </sheetViews>
  <sheetFormatPr defaultRowHeight="12.75" outlineLevelRow="1" outlineLevelCol="1"/>
  <cols>
    <col min="1" max="1" width="2" customWidth="1"/>
    <col min="2" max="2" width="1.42578125" customWidth="1"/>
    <col min="3" max="3" width="2.28515625" customWidth="1"/>
    <col min="4" max="4" width="21" customWidth="1"/>
    <col min="5" max="5" width="1.85546875" customWidth="1"/>
    <col min="6" max="8" width="7.28515625" customWidth="1"/>
    <col min="9" max="9" width="6.42578125" customWidth="1"/>
    <col min="10" max="11" width="8.28515625" customWidth="1" outlineLevel="1"/>
    <col min="12" max="12" width="8.140625" customWidth="1" outlineLevel="1"/>
    <col min="13" max="13" width="8.28515625" customWidth="1" outlineLevel="1"/>
    <col min="14" max="14" width="8.7109375" customWidth="1"/>
    <col min="15" max="18" width="8.7109375" customWidth="1" outlineLevel="1"/>
    <col min="19" max="19" width="8.7109375" customWidth="1"/>
    <col min="20" max="23" width="8.7109375" customWidth="1" outlineLevel="1"/>
    <col min="24" max="24" width="8.7109375" customWidth="1"/>
    <col min="25" max="28" width="8.7109375" customWidth="1" outlineLevel="1"/>
    <col min="29" max="29" width="8.7109375" customWidth="1"/>
    <col min="30" max="33" width="8.7109375" customWidth="1" outlineLevel="1"/>
    <col min="34" max="34" width="8.7109375" customWidth="1"/>
    <col min="35" max="38" width="8.7109375" customWidth="1" outlineLevel="1"/>
    <col min="39" max="39" width="8.7109375" customWidth="1"/>
    <col min="40" max="43" width="8.7109375" customWidth="1" outlineLevel="1"/>
    <col min="44" max="44" width="8.7109375" customWidth="1"/>
    <col min="45" max="48" width="8.7109375" customWidth="1" outlineLevel="1"/>
    <col min="49" max="49" width="8.7109375" customWidth="1"/>
    <col min="50" max="53" width="8.7109375" hidden="1" customWidth="1" outlineLevel="1"/>
    <col min="54" max="54" width="8.7109375" customWidth="1" collapsed="1"/>
    <col min="55" max="58" width="8.7109375" hidden="1" customWidth="1" outlineLevel="1"/>
    <col min="59" max="59" width="8.7109375" customWidth="1" collapsed="1"/>
    <col min="60" max="63" width="8.7109375" hidden="1" customWidth="1" outlineLevel="1"/>
    <col min="64" max="64" width="8.7109375" customWidth="1" collapsed="1"/>
    <col min="65" max="68" width="8.7109375" hidden="1" customWidth="1" outlineLevel="1"/>
    <col min="69" max="69" width="8.7109375" customWidth="1" collapsed="1"/>
    <col min="70" max="73" width="9.140625" customWidth="1" outlineLevel="1"/>
    <col min="75" max="78" width="9.140625" customWidth="1" outlineLevel="1"/>
    <col min="79" max="79" width="9.85546875" customWidth="1"/>
    <col min="80" max="80" width="10" customWidth="1" outlineLevel="1"/>
    <col min="81" max="83" width="9.140625" customWidth="1" outlineLevel="1"/>
    <col min="84" max="84" width="9.85546875" customWidth="1"/>
    <col min="85" max="88" width="9.140625" outlineLevel="1"/>
    <col min="90" max="91" width="8" customWidth="1" outlineLevel="1"/>
    <col min="92" max="92" width="8.5703125" customWidth="1" outlineLevel="1"/>
    <col min="93" max="93" width="8.28515625" customWidth="1" outlineLevel="1"/>
    <col min="94" max="94" width="7.7109375" bestFit="1" customWidth="1"/>
    <col min="95" max="95" width="10.42578125" bestFit="1" customWidth="1" outlineLevel="1"/>
    <col min="96" max="96" width="8" customWidth="1" outlineLevel="1"/>
    <col min="97" max="97" width="9.140625" outlineLevel="1"/>
    <col min="98" max="98" width="8.42578125" customWidth="1" outlineLevel="1"/>
    <col min="100" max="101" width="8" style="2029" customWidth="1" outlineLevel="1"/>
    <col min="102" max="102" width="7.28515625" style="2029" customWidth="1" outlineLevel="1"/>
    <col min="103" max="103" width="8.5703125" style="2029" customWidth="1" outlineLevel="1"/>
    <col min="106" max="107" width="9.140625" style="2029"/>
    <col min="109" max="109" width="22.28515625" bestFit="1" customWidth="1"/>
  </cols>
  <sheetData>
    <row r="1" spans="1:109" hidden="1" outlineLevel="1">
      <c r="A1" s="1156"/>
      <c r="B1" s="1518"/>
      <c r="C1" s="1518"/>
      <c r="D1" s="1518"/>
      <c r="E1" s="1518"/>
      <c r="F1" s="1518"/>
      <c r="G1" s="1518"/>
      <c r="H1" s="1518"/>
      <c r="I1" s="1518"/>
      <c r="J1" s="1518"/>
      <c r="K1" s="1518"/>
      <c r="L1" s="1518"/>
      <c r="M1" s="1518"/>
      <c r="N1" s="1520"/>
      <c r="O1" s="1518"/>
      <c r="P1" s="1518"/>
      <c r="Q1" s="1518"/>
      <c r="R1" s="1518"/>
      <c r="S1" s="1520"/>
      <c r="T1" s="1518"/>
      <c r="U1" s="1518"/>
      <c r="V1" s="1518"/>
      <c r="W1" s="1518"/>
      <c r="X1" s="1520"/>
      <c r="Y1" s="1518"/>
      <c r="Z1" s="1518"/>
      <c r="AA1" s="1518"/>
      <c r="AB1" s="1518"/>
      <c r="AC1" s="1520"/>
      <c r="AD1" s="1518"/>
      <c r="AE1" s="1518"/>
      <c r="AF1" s="1518"/>
      <c r="AG1" s="1518"/>
      <c r="AH1" s="1520"/>
      <c r="AI1" s="1518"/>
      <c r="AJ1" s="1518"/>
      <c r="AK1" s="1518"/>
      <c r="AL1" s="1518"/>
      <c r="AM1" s="1520"/>
      <c r="AN1" s="1518"/>
      <c r="AO1" s="1518"/>
      <c r="AP1" s="1518"/>
      <c r="AQ1" s="1518"/>
      <c r="AR1" s="1520"/>
      <c r="AS1" s="1520"/>
      <c r="AT1" s="1520"/>
      <c r="AU1" s="1520"/>
      <c r="AV1" s="1520"/>
      <c r="AW1" s="1520"/>
      <c r="AX1" s="1363"/>
      <c r="AY1" s="1363"/>
      <c r="AZ1" s="1363"/>
      <c r="BA1" s="1363"/>
      <c r="BB1" s="1186"/>
      <c r="BC1" s="1363"/>
      <c r="BD1" s="1363"/>
      <c r="BE1" s="1363"/>
      <c r="BF1" s="1363"/>
      <c r="BG1" s="1186"/>
      <c r="BH1" s="1363"/>
      <c r="BI1" s="1363"/>
      <c r="BJ1" s="1363"/>
      <c r="BK1" s="1363"/>
      <c r="BL1" s="1186"/>
      <c r="BM1" s="1363"/>
      <c r="BN1" s="1363"/>
      <c r="BO1" s="1363"/>
      <c r="BP1" s="1363"/>
      <c r="BQ1" s="1520"/>
      <c r="BR1" s="1184"/>
      <c r="BS1" s="1184"/>
      <c r="BT1" s="1184"/>
      <c r="BU1" s="1184"/>
      <c r="BV1" s="1184"/>
      <c r="BW1" s="1184"/>
      <c r="BX1" s="1184"/>
      <c r="BY1" s="1184"/>
      <c r="BZ1" s="1184"/>
      <c r="CA1" s="1184"/>
      <c r="CB1" s="1184"/>
      <c r="CC1" s="1184"/>
      <c r="CD1" s="1184"/>
      <c r="CE1" s="1184"/>
      <c r="CF1" s="1184"/>
      <c r="CG1" s="1185"/>
      <c r="CH1" s="1185"/>
      <c r="CI1" s="1185"/>
      <c r="CJ1" s="1185"/>
      <c r="CK1" s="1184"/>
      <c r="CL1" s="1185"/>
      <c r="CM1" s="1185"/>
      <c r="CN1" s="1185"/>
      <c r="CO1" s="1185"/>
      <c r="CP1" s="1184"/>
      <c r="CQ1" s="1185"/>
      <c r="CR1" s="1185"/>
      <c r="CS1" s="1185"/>
      <c r="CT1" s="1185"/>
      <c r="CU1" s="1156"/>
      <c r="CV1" s="1185"/>
      <c r="CW1" s="1185"/>
      <c r="CX1" s="1185"/>
      <c r="CY1" s="1185"/>
      <c r="CZ1" s="1156"/>
      <c r="DA1" s="1156"/>
      <c r="DB1" s="2108"/>
      <c r="DC1" s="2108"/>
    </row>
    <row r="2" spans="1:109" hidden="1" outlineLevel="1">
      <c r="A2" s="1156"/>
      <c r="B2" s="520" t="s">
        <v>0</v>
      </c>
      <c r="C2" s="518"/>
      <c r="D2" s="1529"/>
      <c r="E2" s="1529"/>
      <c r="F2" s="1156"/>
      <c r="G2" s="1509"/>
      <c r="H2" s="1529"/>
      <c r="I2" s="1529"/>
      <c r="J2" s="1529"/>
      <c r="K2" s="1529"/>
      <c r="L2" s="1529"/>
      <c r="M2" s="1529"/>
      <c r="N2" s="1532"/>
      <c r="O2" s="1529"/>
      <c r="P2" s="1529"/>
      <c r="Q2" s="1529"/>
      <c r="R2" s="1529"/>
      <c r="S2" s="1532"/>
      <c r="T2" s="1529"/>
      <c r="U2" s="1529"/>
      <c r="V2" s="1529"/>
      <c r="W2" s="1529"/>
      <c r="X2" s="1532"/>
      <c r="Y2" s="1529"/>
      <c r="Z2" s="1529"/>
      <c r="AA2" s="1529"/>
      <c r="AB2" s="1529"/>
      <c r="AC2" s="1532"/>
      <c r="AD2" s="1529"/>
      <c r="AE2" s="1529"/>
      <c r="AF2" s="1529"/>
      <c r="AG2" s="1529"/>
      <c r="AH2" s="1529"/>
      <c r="AI2" s="1529"/>
      <c r="AJ2" s="1529"/>
      <c r="AK2" s="1529"/>
      <c r="AL2" s="1529"/>
      <c r="AM2" s="1529"/>
      <c r="AN2" s="1529"/>
      <c r="AO2" s="1529"/>
      <c r="AP2" s="1529"/>
      <c r="AQ2" s="1529"/>
      <c r="AR2" s="1529"/>
      <c r="AS2" s="1529"/>
      <c r="AT2" s="1529"/>
      <c r="AU2" s="1529"/>
      <c r="AV2" s="1529"/>
      <c r="AW2" s="1531"/>
      <c r="AX2" s="1531"/>
      <c r="AY2" s="1531"/>
      <c r="AZ2" s="1531"/>
      <c r="BA2" s="1531"/>
      <c r="BB2" s="1531"/>
      <c r="BC2" s="1531"/>
      <c r="BD2" s="1531"/>
      <c r="BE2" s="1531"/>
      <c r="BF2" s="1531"/>
      <c r="BG2" s="1531"/>
      <c r="BH2" s="1531"/>
      <c r="BI2" s="1531"/>
      <c r="BJ2" s="1531"/>
      <c r="BK2" s="1531"/>
      <c r="BL2" s="1531"/>
      <c r="BM2" s="1531"/>
      <c r="BN2" s="1531"/>
      <c r="BO2" s="1531"/>
      <c r="BP2" s="1531"/>
      <c r="BQ2" s="1531"/>
      <c r="BR2" s="1531"/>
      <c r="BS2" s="1531"/>
      <c r="BT2" s="1531"/>
      <c r="BU2" s="1531"/>
      <c r="BV2" s="1531"/>
      <c r="BW2" s="1531"/>
      <c r="BX2" s="1531"/>
      <c r="BY2" s="1531"/>
      <c r="BZ2" s="1531"/>
      <c r="CA2" s="1529"/>
      <c r="CB2" s="1531"/>
      <c r="CC2" s="1531"/>
      <c r="CD2" s="1531"/>
      <c r="CE2" s="1531"/>
      <c r="CF2" s="1529"/>
      <c r="CG2" s="1530"/>
      <c r="CH2" s="1530"/>
      <c r="CI2" s="1530"/>
      <c r="CJ2" s="1530"/>
      <c r="CK2" s="1529"/>
      <c r="CL2" s="1530"/>
      <c r="CM2" s="1530"/>
      <c r="CN2" s="1530"/>
      <c r="CO2" s="1530"/>
      <c r="CP2" s="1529"/>
      <c r="CQ2" s="1530"/>
      <c r="CR2" s="1530"/>
      <c r="CS2" s="1530"/>
      <c r="CT2" s="1530"/>
      <c r="CU2" s="728" t="s">
        <v>1</v>
      </c>
      <c r="CV2" s="1530"/>
      <c r="CW2" s="1530"/>
      <c r="CX2" s="1530"/>
      <c r="CY2" s="1530"/>
      <c r="CZ2" s="524"/>
      <c r="DA2" s="524"/>
      <c r="DB2" s="524"/>
      <c r="DC2" s="524"/>
    </row>
    <row r="3" spans="1:109" hidden="1" outlineLevel="1">
      <c r="A3" s="1156"/>
      <c r="B3" s="514" t="str">
        <f>IS!B3</f>
        <v>Morgan Stanley Research</v>
      </c>
      <c r="C3" s="116"/>
      <c r="D3" s="1184"/>
      <c r="E3" s="1184"/>
      <c r="F3" s="1528"/>
      <c r="G3" s="1184"/>
      <c r="H3" s="1184"/>
      <c r="I3" s="1184"/>
      <c r="J3" s="1184"/>
      <c r="K3" s="1184"/>
      <c r="L3" s="1184"/>
      <c r="M3" s="1184"/>
      <c r="N3" s="1363"/>
      <c r="O3" s="1184"/>
      <c r="P3" s="1184"/>
      <c r="Q3" s="1184"/>
      <c r="R3" s="1184"/>
      <c r="S3" s="1363"/>
      <c r="T3" s="1184"/>
      <c r="U3" s="1184"/>
      <c r="V3" s="1184"/>
      <c r="W3" s="1184"/>
      <c r="X3" s="1363"/>
      <c r="Y3" s="1184"/>
      <c r="Z3" s="1184"/>
      <c r="AA3" s="1184"/>
      <c r="AB3" s="1184"/>
      <c r="AC3" s="1363"/>
      <c r="AD3" s="1184"/>
      <c r="AE3" s="1184"/>
      <c r="AF3" s="1184"/>
      <c r="AG3" s="1184"/>
      <c r="AH3" s="1184"/>
      <c r="AI3" s="1184"/>
      <c r="AJ3" s="1184"/>
      <c r="AK3" s="1184"/>
      <c r="AL3" s="1184"/>
      <c r="AM3" s="1184"/>
      <c r="AN3" s="1184"/>
      <c r="AO3" s="1184"/>
      <c r="AP3" s="1184"/>
      <c r="AQ3" s="1184"/>
      <c r="AR3" s="1184"/>
      <c r="AS3" s="1184"/>
      <c r="AT3" s="1184"/>
      <c r="AU3" s="1184"/>
      <c r="AV3" s="1184"/>
      <c r="AW3" s="1240"/>
      <c r="AX3" s="1240"/>
      <c r="AY3" s="1240"/>
      <c r="AZ3" s="1240"/>
      <c r="BA3" s="1240"/>
      <c r="BB3" s="1186"/>
      <c r="BC3" s="1240"/>
      <c r="BD3" s="1240"/>
      <c r="BE3" s="1240"/>
      <c r="BF3" s="1240"/>
      <c r="BG3" s="1186"/>
      <c r="BH3" s="1240"/>
      <c r="BI3" s="1240"/>
      <c r="BJ3" s="1240"/>
      <c r="BK3" s="1240"/>
      <c r="BL3" s="1186"/>
      <c r="BM3" s="1240"/>
      <c r="BN3" s="1240"/>
      <c r="BO3" s="1240"/>
      <c r="BP3" s="1240"/>
      <c r="BQ3" s="1240"/>
      <c r="BR3" s="1240"/>
      <c r="BS3" s="1240"/>
      <c r="BT3" s="1240"/>
      <c r="BU3" s="1240"/>
      <c r="BV3" s="1240"/>
      <c r="BW3" s="1240"/>
      <c r="BX3" s="1240"/>
      <c r="BY3" s="1240"/>
      <c r="BZ3" s="1240"/>
      <c r="CA3" s="1184"/>
      <c r="CB3" s="1240"/>
      <c r="CC3" s="1240"/>
      <c r="CD3" s="1240"/>
      <c r="CE3" s="1240"/>
      <c r="CF3" s="1184"/>
      <c r="CG3" s="1229"/>
      <c r="CH3" s="1229"/>
      <c r="CI3" s="1229"/>
      <c r="CJ3" s="1229"/>
      <c r="CK3" s="1184"/>
      <c r="CL3" s="1229"/>
      <c r="CM3" s="1229"/>
      <c r="CN3" s="1229"/>
      <c r="CO3" s="1229"/>
      <c r="CP3" s="1184"/>
      <c r="CQ3" s="1229"/>
      <c r="CR3" s="1229"/>
      <c r="CS3" s="1229"/>
      <c r="CT3" s="1229"/>
      <c r="CU3" s="140" t="s">
        <v>5</v>
      </c>
      <c r="CV3" s="1229"/>
      <c r="CW3" s="1229"/>
      <c r="CX3" s="1229"/>
      <c r="CY3" s="1229"/>
      <c r="CZ3" s="1527"/>
      <c r="DA3" s="1527"/>
      <c r="DB3" s="1527"/>
      <c r="DC3" s="1527"/>
    </row>
    <row r="4" spans="1:109" hidden="1" outlineLevel="1">
      <c r="A4" s="1156"/>
      <c r="B4" s="514" t="str">
        <f>IS!B4</f>
        <v>YE 31 December ($ million)</v>
      </c>
      <c r="C4" s="116"/>
      <c r="D4" s="1184"/>
      <c r="E4" s="1184"/>
      <c r="F4" s="1526"/>
      <c r="G4" s="1184"/>
      <c r="H4" s="1184"/>
      <c r="I4" s="1184"/>
      <c r="J4" s="1184"/>
      <c r="K4" s="1184"/>
      <c r="L4" s="1184"/>
      <c r="M4" s="1184"/>
      <c r="N4" s="1363"/>
      <c r="O4" s="1184"/>
      <c r="P4" s="1184"/>
      <c r="Q4" s="1184"/>
      <c r="R4" s="1184"/>
      <c r="S4" s="1363"/>
      <c r="T4" s="1184"/>
      <c r="U4" s="1184"/>
      <c r="V4" s="1184"/>
      <c r="W4" s="1184"/>
      <c r="X4" s="1525"/>
      <c r="Y4" s="1184"/>
      <c r="Z4" s="1184"/>
      <c r="AA4" s="1184"/>
      <c r="AB4" s="1184"/>
      <c r="AC4" s="1363"/>
      <c r="AD4" s="1184"/>
      <c r="AE4" s="1184"/>
      <c r="AF4" s="1184"/>
      <c r="AG4" s="1184"/>
      <c r="AH4" s="1184"/>
      <c r="AI4" s="1184"/>
      <c r="AJ4" s="1184"/>
      <c r="AK4" s="1184"/>
      <c r="AL4" s="1184"/>
      <c r="AM4" s="1184"/>
      <c r="AN4" s="1184"/>
      <c r="AO4" s="1184"/>
      <c r="AP4" s="1184"/>
      <c r="AQ4" s="1184"/>
      <c r="AR4" s="1184"/>
      <c r="AS4" s="1184"/>
      <c r="AT4" s="1184"/>
      <c r="AU4" s="1184"/>
      <c r="AV4" s="1184"/>
      <c r="AW4" s="1240"/>
      <c r="AX4" s="1240"/>
      <c r="AY4" s="1240"/>
      <c r="AZ4" s="1240"/>
      <c r="BA4" s="1240"/>
      <c r="BB4" s="1186"/>
      <c r="BC4" s="1240"/>
      <c r="BD4" s="1240"/>
      <c r="BE4" s="1240"/>
      <c r="BF4" s="1240"/>
      <c r="BG4" s="1186"/>
      <c r="BH4" s="1240"/>
      <c r="BI4" s="1240"/>
      <c r="BJ4" s="1240"/>
      <c r="BK4" s="1240"/>
      <c r="BL4" s="1186"/>
      <c r="BM4" s="1240"/>
      <c r="BN4" s="1240"/>
      <c r="BO4" s="1240"/>
      <c r="BP4" s="1240"/>
      <c r="BQ4" s="1240"/>
      <c r="BR4" s="1240"/>
      <c r="BS4" s="1240"/>
      <c r="BT4" s="1240"/>
      <c r="BU4" s="1240"/>
      <c r="BV4" s="1240"/>
      <c r="BW4" s="1240"/>
      <c r="BX4" s="1240"/>
      <c r="BY4" s="1240"/>
      <c r="BZ4" s="1240"/>
      <c r="CA4" s="1184"/>
      <c r="CB4" s="1240"/>
      <c r="CC4" s="1240"/>
      <c r="CD4" s="1240"/>
      <c r="CE4" s="1240"/>
      <c r="CF4" s="1184"/>
      <c r="CG4" s="1229"/>
      <c r="CH4" s="1229"/>
      <c r="CI4" s="1229"/>
      <c r="CJ4" s="1229"/>
      <c r="CK4" s="1184"/>
      <c r="CL4" s="1229"/>
      <c r="CM4" s="1229"/>
      <c r="CN4" s="1229"/>
      <c r="CO4" s="1229"/>
      <c r="CP4" s="1184"/>
      <c r="CQ4" s="1229"/>
      <c r="CR4" s="1229"/>
      <c r="CS4" s="1229"/>
      <c r="CT4" s="1229"/>
      <c r="CU4" s="727" t="s">
        <v>6</v>
      </c>
      <c r="CV4" s="1229"/>
      <c r="CW4" s="1229"/>
      <c r="CX4" s="1229"/>
      <c r="CY4" s="1229"/>
      <c r="CZ4" s="1524"/>
      <c r="DA4" s="1524"/>
      <c r="DB4" s="1524"/>
      <c r="DC4" s="1524"/>
    </row>
    <row r="5" spans="1:109" hidden="1" outlineLevel="1">
      <c r="A5" s="1156"/>
      <c r="B5" s="1523"/>
      <c r="C5" s="1521"/>
      <c r="D5" s="1521"/>
      <c r="E5" s="1521"/>
      <c r="F5" s="1522"/>
      <c r="G5" s="1521"/>
      <c r="H5" s="1521"/>
      <c r="I5" s="1521"/>
      <c r="J5" s="1518"/>
      <c r="K5" s="1518"/>
      <c r="L5" s="1518"/>
      <c r="M5" s="1518"/>
      <c r="N5" s="1520"/>
      <c r="O5" s="1518"/>
      <c r="P5" s="1518"/>
      <c r="Q5" s="1518"/>
      <c r="R5" s="1518"/>
      <c r="S5" s="1520"/>
      <c r="T5" s="1518"/>
      <c r="U5" s="1518"/>
      <c r="V5" s="1518"/>
      <c r="W5" s="1518"/>
      <c r="X5" s="1520"/>
      <c r="Y5" s="1518"/>
      <c r="Z5" s="1518"/>
      <c r="AA5" s="1518"/>
      <c r="AB5" s="1518"/>
      <c r="AC5" s="1520"/>
      <c r="AD5" s="1518"/>
      <c r="AE5" s="1518"/>
      <c r="AF5" s="1518"/>
      <c r="AG5" s="1518"/>
      <c r="AH5" s="1520"/>
      <c r="AI5" s="1518"/>
      <c r="AJ5" s="1518"/>
      <c r="AK5" s="1518"/>
      <c r="AL5" s="1518"/>
      <c r="AM5" s="1520"/>
      <c r="AN5" s="1518"/>
      <c r="AO5" s="1518"/>
      <c r="AP5" s="1518"/>
      <c r="AQ5" s="1518"/>
      <c r="AR5" s="1520"/>
      <c r="AS5" s="1520"/>
      <c r="AT5" s="1520"/>
      <c r="AU5" s="1520"/>
      <c r="AV5" s="1520"/>
      <c r="AW5" s="1520"/>
      <c r="AX5" s="1520"/>
      <c r="AY5" s="1520"/>
      <c r="AZ5" s="1520"/>
      <c r="BA5" s="1520"/>
      <c r="BB5" s="1520"/>
      <c r="BC5" s="1520"/>
      <c r="BD5" s="1520"/>
      <c r="BE5" s="1520"/>
      <c r="BF5" s="1520"/>
      <c r="BG5" s="1520"/>
      <c r="BH5" s="1520"/>
      <c r="BI5" s="1520"/>
      <c r="BJ5" s="1520"/>
      <c r="BK5" s="1520"/>
      <c r="BL5" s="1520"/>
      <c r="BM5" s="1520"/>
      <c r="BN5" s="1520"/>
      <c r="BO5" s="1520"/>
      <c r="BP5" s="1520"/>
      <c r="BQ5" s="1520"/>
      <c r="BR5" s="1520"/>
      <c r="BS5" s="1520"/>
      <c r="BT5" s="1520"/>
      <c r="BU5" s="1520"/>
      <c r="BV5" s="1520"/>
      <c r="BW5" s="1520"/>
      <c r="BX5" s="1520"/>
      <c r="BY5" s="1520"/>
      <c r="BZ5" s="1520"/>
      <c r="CA5" s="1520"/>
      <c r="CB5" s="1520"/>
      <c r="CC5" s="1520"/>
      <c r="CD5" s="1520"/>
      <c r="CE5" s="1520"/>
      <c r="CF5" s="1520"/>
      <c r="CG5" s="1519"/>
      <c r="CH5" s="1519"/>
      <c r="CI5" s="1519"/>
      <c r="CJ5" s="1519"/>
      <c r="CK5" s="1518"/>
      <c r="CL5" s="1519"/>
      <c r="CM5" s="1519"/>
      <c r="CN5" s="1519"/>
      <c r="CO5" s="1519"/>
      <c r="CP5" s="1518"/>
      <c r="CQ5" s="1519"/>
      <c r="CR5" s="1519"/>
      <c r="CS5" s="1519"/>
      <c r="CT5" s="1519"/>
      <c r="CU5" s="1517"/>
      <c r="CV5" s="1519"/>
      <c r="CW5" s="1519"/>
      <c r="CX5" s="1519"/>
      <c r="CY5" s="1519"/>
      <c r="CZ5" s="1184"/>
      <c r="DA5" s="1184"/>
      <c r="DB5" s="2110"/>
      <c r="DC5" s="2110"/>
    </row>
    <row r="6" spans="1:109" hidden="1" outlineLevel="1">
      <c r="A6" s="1156"/>
      <c r="B6" s="1513"/>
      <c r="C6" s="1516"/>
      <c r="D6" s="1516"/>
      <c r="E6" s="1515"/>
      <c r="F6" s="1515"/>
      <c r="G6" s="1515"/>
      <c r="H6" s="1515"/>
      <c r="I6" s="1515"/>
      <c r="J6" s="1515"/>
      <c r="K6" s="1515"/>
      <c r="L6" s="1515"/>
      <c r="M6" s="1515"/>
      <c r="N6" s="1513"/>
      <c r="O6" s="1515"/>
      <c r="P6" s="1515"/>
      <c r="Q6" s="1515"/>
      <c r="R6" s="1515"/>
      <c r="S6" s="1513"/>
      <c r="T6" s="1514"/>
      <c r="U6" s="1514"/>
      <c r="V6" s="1514"/>
      <c r="W6" s="1514"/>
      <c r="X6" s="1513"/>
      <c r="Y6" s="1514"/>
      <c r="Z6" s="1514"/>
      <c r="AA6" s="1514"/>
      <c r="AB6" s="1514"/>
      <c r="AC6" s="1513"/>
      <c r="AD6" s="1514"/>
      <c r="AE6" s="1514"/>
      <c r="AF6" s="1514"/>
      <c r="AG6" s="1514"/>
      <c r="AH6" s="1513"/>
      <c r="AI6" s="1514"/>
      <c r="AJ6" s="1514"/>
      <c r="AK6" s="1514"/>
      <c r="AL6" s="1514"/>
      <c r="AM6" s="1513"/>
      <c r="AN6" s="1514"/>
      <c r="AO6" s="1514"/>
      <c r="AP6" s="1514"/>
      <c r="AQ6" s="1514"/>
      <c r="AR6" s="1513"/>
      <c r="AS6" s="1513"/>
      <c r="AT6" s="1513"/>
      <c r="AU6" s="1513"/>
      <c r="AV6" s="1513"/>
      <c r="AW6" s="1513"/>
      <c r="AX6" s="1513"/>
      <c r="AY6" s="1513"/>
      <c r="AZ6" s="1513"/>
      <c r="BA6" s="1513"/>
      <c r="BB6" s="1513"/>
      <c r="BC6" s="1513"/>
      <c r="BD6" s="1513"/>
      <c r="BE6" s="1513"/>
      <c r="BF6" s="1513"/>
      <c r="BG6" s="1513"/>
      <c r="BH6" s="1513"/>
      <c r="BI6" s="1513"/>
      <c r="BJ6" s="1513"/>
      <c r="BK6" s="1513"/>
      <c r="BL6" s="1513"/>
      <c r="BM6" s="1513"/>
      <c r="BN6" s="1513"/>
      <c r="BO6" s="1513"/>
      <c r="BP6" s="1513"/>
      <c r="BQ6" s="1513"/>
      <c r="BR6" s="1513"/>
      <c r="BS6" s="1513"/>
      <c r="BT6" s="1513"/>
      <c r="BU6" s="1513"/>
      <c r="BV6" s="1513"/>
      <c r="BW6" s="1513"/>
      <c r="BX6" s="1513"/>
      <c r="BY6" s="1513"/>
      <c r="BZ6" s="1513"/>
      <c r="CA6" s="1513"/>
      <c r="CB6" s="1513"/>
      <c r="CC6" s="1513"/>
      <c r="CD6" s="1513"/>
      <c r="CE6" s="1513"/>
      <c r="CF6" s="1513"/>
      <c r="CG6" s="1512"/>
      <c r="CH6" s="1512"/>
      <c r="CI6" s="1512"/>
      <c r="CJ6" s="1512"/>
      <c r="CK6" s="1513"/>
      <c r="CL6" s="1512"/>
      <c r="CM6" s="1512"/>
      <c r="CN6" s="1512"/>
      <c r="CO6" s="1512"/>
      <c r="CP6" s="1184"/>
      <c r="CQ6" s="1512"/>
      <c r="CR6" s="1512"/>
      <c r="CS6" s="1512"/>
      <c r="CT6" s="1512"/>
      <c r="CU6" s="1156"/>
      <c r="CV6" s="1512"/>
      <c r="CW6" s="1512"/>
      <c r="CX6" s="1512"/>
      <c r="CY6" s="1512"/>
      <c r="CZ6" s="1156"/>
      <c r="DA6" s="1156"/>
      <c r="DB6" s="2108"/>
      <c r="DC6" s="2108"/>
    </row>
    <row r="7" spans="1:109" ht="13.5" hidden="1" outlineLevel="1" thickBot="1">
      <c r="A7" s="1156"/>
      <c r="B7" s="1510"/>
      <c r="C7" s="1510"/>
      <c r="D7" s="1510"/>
      <c r="E7" s="1510"/>
      <c r="F7" s="1510"/>
      <c r="G7" s="1510"/>
      <c r="H7" s="1510"/>
      <c r="I7" s="1510"/>
      <c r="J7" s="1510"/>
      <c r="K7" s="1510"/>
      <c r="L7" s="1510"/>
      <c r="M7" s="1510"/>
      <c r="N7" s="1510"/>
      <c r="O7" s="1510"/>
      <c r="P7" s="1510"/>
      <c r="Q7" s="1510"/>
      <c r="R7" s="1510"/>
      <c r="S7" s="1510"/>
      <c r="T7" s="1510"/>
      <c r="U7" s="1510"/>
      <c r="V7" s="1510"/>
      <c r="W7" s="1510"/>
      <c r="X7" s="1510"/>
      <c r="Y7" s="1510"/>
      <c r="Z7" s="1510"/>
      <c r="AA7" s="1510"/>
      <c r="AB7" s="1510"/>
      <c r="AC7" s="1510"/>
      <c r="AD7" s="1510"/>
      <c r="AE7" s="1510"/>
      <c r="AF7" s="1510"/>
      <c r="AG7" s="1510"/>
      <c r="AH7" s="1510"/>
      <c r="AI7" s="1510"/>
      <c r="AJ7" s="1510"/>
      <c r="AK7" s="1510"/>
      <c r="AL7" s="1510"/>
      <c r="AM7" s="1510"/>
      <c r="AN7" s="1510"/>
      <c r="AO7" s="1510"/>
      <c r="AP7" s="1510"/>
      <c r="AQ7" s="1510"/>
      <c r="AR7" s="1510"/>
      <c r="AS7" s="1510"/>
      <c r="AT7" s="1510"/>
      <c r="AU7" s="1510"/>
      <c r="AV7" s="1510"/>
      <c r="AW7" s="1510"/>
      <c r="AX7" s="1510"/>
      <c r="AY7" s="1510"/>
      <c r="AZ7" s="1510"/>
      <c r="BA7" s="1510"/>
      <c r="BB7" s="1510"/>
      <c r="BC7" s="1510"/>
      <c r="BD7" s="1510"/>
      <c r="BE7" s="1510"/>
      <c r="BF7" s="1510"/>
      <c r="BG7" s="1510"/>
      <c r="BH7" s="1510"/>
      <c r="BI7" s="1510"/>
      <c r="BJ7" s="1510"/>
      <c r="BK7" s="1510"/>
      <c r="BL7" s="1510"/>
      <c r="BM7" s="1510"/>
      <c r="BN7" s="1510"/>
      <c r="BO7" s="1510"/>
      <c r="BP7" s="1510"/>
      <c r="BQ7" s="1510"/>
      <c r="BR7" s="1510"/>
      <c r="BS7" s="1510"/>
      <c r="BT7" s="1510"/>
      <c r="BU7" s="1510"/>
      <c r="BV7" s="1510"/>
      <c r="BW7" s="1510"/>
      <c r="BX7" s="1510"/>
      <c r="BY7" s="1510"/>
      <c r="BZ7" s="1510"/>
      <c r="CA7" s="1510"/>
      <c r="CB7" s="1510"/>
      <c r="CC7" s="1510"/>
      <c r="CD7" s="1510"/>
      <c r="CE7" s="1510"/>
      <c r="CF7" s="1510"/>
      <c r="CG7" s="1511"/>
      <c r="CH7" s="1511"/>
      <c r="CI7" s="1511"/>
      <c r="CJ7" s="1511"/>
      <c r="CK7" s="1510"/>
      <c r="CL7" s="1511"/>
      <c r="CM7" s="1511"/>
      <c r="CN7" s="1511"/>
      <c r="CO7" s="1511"/>
      <c r="CP7" s="1510"/>
      <c r="CQ7" s="1511"/>
      <c r="CR7" s="1511"/>
      <c r="CS7" s="1511"/>
      <c r="CT7" s="1511"/>
      <c r="CU7" s="1510"/>
      <c r="CV7" s="1511"/>
      <c r="CW7" s="1511"/>
      <c r="CX7" s="1511"/>
      <c r="CY7" s="1511"/>
      <c r="CZ7" s="1490"/>
      <c r="DA7" s="1490"/>
      <c r="DB7" s="1490"/>
      <c r="DC7" s="1490"/>
    </row>
    <row r="8" spans="1:109" hidden="1" outlineLevel="1">
      <c r="A8" s="1156"/>
      <c r="B8" s="1490"/>
      <c r="C8" s="1490"/>
      <c r="D8" s="1490"/>
      <c r="E8" s="1490"/>
      <c r="F8" s="1509"/>
      <c r="G8" s="1490"/>
      <c r="H8" s="1490"/>
      <c r="I8" s="1490"/>
      <c r="J8" s="1490"/>
      <c r="K8" s="1490"/>
      <c r="L8" s="1490"/>
      <c r="M8" s="1490"/>
      <c r="N8" s="1490"/>
      <c r="O8" s="1490"/>
      <c r="P8" s="1490"/>
      <c r="Q8" s="1490"/>
      <c r="R8" s="1490"/>
      <c r="S8" s="1490"/>
      <c r="T8" s="1490"/>
      <c r="U8" s="1490"/>
      <c r="V8" s="1490"/>
      <c r="W8" s="1490"/>
      <c r="X8" s="1490"/>
      <c r="Y8" s="1490"/>
      <c r="Z8" s="1490"/>
      <c r="AA8" s="1490"/>
      <c r="AB8" s="1490"/>
      <c r="AC8" s="1490"/>
      <c r="AD8" s="1490"/>
      <c r="AE8" s="1490"/>
      <c r="AF8" s="1490"/>
      <c r="AG8" s="1490"/>
      <c r="AH8" s="1490"/>
      <c r="AI8" s="1490"/>
      <c r="AJ8" s="1490"/>
      <c r="AK8" s="1490"/>
      <c r="AL8" s="1490"/>
      <c r="AM8" s="1490"/>
      <c r="AN8" s="1490"/>
      <c r="AO8" s="1490"/>
      <c r="AP8" s="1490"/>
      <c r="AQ8" s="1490"/>
      <c r="AR8" s="1490"/>
      <c r="AS8" s="1490"/>
      <c r="AT8" s="1490"/>
      <c r="AU8" s="1490"/>
      <c r="AV8" s="1490"/>
      <c r="AW8" s="1490"/>
      <c r="AX8" s="1490"/>
      <c r="AY8" s="1490"/>
      <c r="AZ8" s="1490"/>
      <c r="BA8" s="1490"/>
      <c r="BB8" s="1490"/>
      <c r="BC8" s="1490"/>
      <c r="BD8" s="1490"/>
      <c r="BE8" s="1490"/>
      <c r="BF8" s="1490"/>
      <c r="BG8" s="1490"/>
      <c r="BH8" s="1490"/>
      <c r="BI8" s="1490"/>
      <c r="BJ8" s="1490"/>
      <c r="BK8" s="1490"/>
      <c r="BL8" s="1490"/>
      <c r="BM8" s="1490"/>
      <c r="BN8" s="1490"/>
      <c r="BO8" s="1490"/>
      <c r="BP8" s="1490"/>
      <c r="BQ8" s="1490"/>
      <c r="BR8" s="1490"/>
      <c r="BS8" s="1490"/>
      <c r="BT8" s="1490"/>
      <c r="BU8" s="1490"/>
      <c r="BV8" s="1490"/>
      <c r="BW8" s="1490"/>
      <c r="BX8" s="1490"/>
      <c r="BY8" s="1490"/>
      <c r="BZ8" s="1490"/>
      <c r="CA8" s="1490"/>
      <c r="CB8" s="1490"/>
      <c r="CC8" s="1490"/>
      <c r="CD8" s="1490"/>
      <c r="CE8" s="1490"/>
      <c r="CF8" s="1490"/>
      <c r="CG8" s="1488"/>
      <c r="CH8" s="1488"/>
      <c r="CI8" s="1488"/>
      <c r="CJ8" s="1488"/>
      <c r="CK8" s="1490"/>
      <c r="CL8" s="1488"/>
      <c r="CM8" s="1488"/>
      <c r="CN8" s="1488"/>
      <c r="CO8" s="1488"/>
      <c r="CP8" s="1184"/>
      <c r="CQ8" s="1488"/>
      <c r="CR8" s="1488"/>
      <c r="CS8" s="1488"/>
      <c r="CT8" s="1488"/>
      <c r="CU8" s="1156"/>
      <c r="CV8" s="1488"/>
      <c r="CW8" s="1488"/>
      <c r="CX8" s="1488"/>
      <c r="CY8" s="1488"/>
      <c r="CZ8" s="1156"/>
      <c r="DA8" s="1156"/>
      <c r="DB8" s="2108"/>
      <c r="DC8" s="2108"/>
    </row>
    <row r="9" spans="1:109" ht="12" customHeight="1" collapsed="1" thickBot="1">
      <c r="A9" s="1156"/>
      <c r="B9" s="1156"/>
      <c r="C9" s="1381"/>
      <c r="D9" s="1381"/>
      <c r="E9" s="1381"/>
      <c r="F9" s="1381"/>
      <c r="G9" s="1381"/>
      <c r="H9" s="1381"/>
      <c r="I9" s="1381"/>
      <c r="J9" s="1508"/>
      <c r="K9" s="1508"/>
      <c r="L9" s="1508"/>
      <c r="M9" s="1507"/>
      <c r="N9" s="1504"/>
      <c r="O9" s="1504"/>
      <c r="P9" s="1504"/>
      <c r="Q9" s="1504"/>
      <c r="R9" s="1504"/>
      <c r="S9" s="1504"/>
      <c r="T9" s="1504"/>
      <c r="U9" s="1504"/>
      <c r="V9" s="1504"/>
      <c r="W9" s="1507"/>
      <c r="X9" s="1504"/>
      <c r="Y9" s="1507"/>
      <c r="Z9" s="1504"/>
      <c r="AA9" s="1504"/>
      <c r="AB9" s="1504"/>
      <c r="AC9" s="1504"/>
      <c r="AD9" s="1504"/>
      <c r="AE9" s="1504"/>
      <c r="AF9" s="1504"/>
      <c r="AG9" s="1506"/>
      <c r="AH9" s="1504"/>
      <c r="AI9" s="1504"/>
      <c r="AJ9" s="1504"/>
      <c r="AK9" s="1504"/>
      <c r="AL9" s="1504"/>
      <c r="AM9" s="1504"/>
      <c r="AN9" s="1504"/>
      <c r="AO9" s="1504"/>
      <c r="AP9" s="1504"/>
      <c r="AQ9" s="1504"/>
      <c r="AR9" s="1504"/>
      <c r="AS9" s="1504"/>
      <c r="AT9" s="1504"/>
      <c r="AU9" s="1504"/>
      <c r="AV9" s="1504"/>
      <c r="AW9" s="1504"/>
      <c r="AX9" s="1504"/>
      <c r="AY9" s="1504"/>
      <c r="AZ9" s="1504"/>
      <c r="BA9" s="1504"/>
      <c r="BB9" s="1505"/>
      <c r="BC9" s="1504"/>
      <c r="BD9" s="1504"/>
      <c r="BE9" s="1504"/>
      <c r="BF9" s="1504"/>
      <c r="BG9" s="1505"/>
      <c r="BH9" s="1504"/>
      <c r="BI9" s="1504"/>
      <c r="BJ9" s="1504"/>
      <c r="BK9" s="1504"/>
      <c r="BL9" s="1505"/>
      <c r="BM9" s="1504"/>
      <c r="BN9" s="1504"/>
      <c r="BO9" s="1504"/>
      <c r="BP9" s="1504"/>
      <c r="BQ9" s="1504"/>
      <c r="BR9" s="1504"/>
      <c r="BS9" s="1504"/>
      <c r="BT9" s="1504"/>
      <c r="BU9" s="1504"/>
      <c r="BV9" s="1504"/>
      <c r="BW9" s="1504"/>
      <c r="BX9" s="1504"/>
      <c r="BY9" s="1504"/>
      <c r="BZ9" s="1504"/>
      <c r="CA9" s="1504"/>
      <c r="CB9" s="1504"/>
      <c r="CC9" s="1504"/>
      <c r="CD9" s="1504"/>
      <c r="CE9" s="1504"/>
      <c r="CF9" s="1504"/>
      <c r="CG9" s="1503"/>
      <c r="CH9" s="1503"/>
      <c r="CI9" s="1503"/>
      <c r="CJ9" s="1503"/>
      <c r="CK9" s="1504"/>
      <c r="CL9" s="1503"/>
      <c r="CM9" s="1503"/>
      <c r="CN9" s="1503"/>
      <c r="CO9" s="1503"/>
      <c r="CP9" s="1502"/>
      <c r="CQ9" s="1503"/>
      <c r="CR9" s="1503"/>
      <c r="CS9" s="1503"/>
      <c r="CT9" s="1503"/>
      <c r="CU9" s="1156"/>
      <c r="CV9" s="1503"/>
      <c r="CW9" s="1503"/>
      <c r="CX9" s="1503"/>
      <c r="CY9" s="1503"/>
      <c r="CZ9" s="1156"/>
      <c r="DA9" s="1156"/>
      <c r="DB9" s="2108"/>
      <c r="DC9" s="2108"/>
    </row>
    <row r="10" spans="1:109" s="1493" customFormat="1" ht="12" customHeight="1">
      <c r="A10" s="1240"/>
      <c r="B10" s="1240"/>
      <c r="C10" s="1501" t="s">
        <v>167</v>
      </c>
      <c r="D10" s="1500"/>
      <c r="E10" s="1500"/>
      <c r="F10" s="1499" t="s">
        <v>1019</v>
      </c>
      <c r="G10" s="1499" t="s">
        <v>1018</v>
      </c>
      <c r="H10" s="1499" t="s">
        <v>1017</v>
      </c>
      <c r="I10" s="1499" t="s">
        <v>1016</v>
      </c>
      <c r="J10" s="1499" t="s">
        <v>327</v>
      </c>
      <c r="K10" s="1499" t="s">
        <v>326</v>
      </c>
      <c r="L10" s="1499" t="s">
        <v>325</v>
      </c>
      <c r="M10" s="1499" t="s">
        <v>324</v>
      </c>
      <c r="N10" s="1494">
        <v>2000</v>
      </c>
      <c r="O10" s="1499" t="s">
        <v>323</v>
      </c>
      <c r="P10" s="1499" t="s">
        <v>322</v>
      </c>
      <c r="Q10" s="1499" t="s">
        <v>321</v>
      </c>
      <c r="R10" s="1499" t="s">
        <v>320</v>
      </c>
      <c r="S10" s="1494">
        <v>2001</v>
      </c>
      <c r="T10" s="1499" t="s">
        <v>319</v>
      </c>
      <c r="U10" s="1499" t="s">
        <v>318</v>
      </c>
      <c r="V10" s="1499" t="s">
        <v>317</v>
      </c>
      <c r="W10" s="1499" t="s">
        <v>316</v>
      </c>
      <c r="X10" s="1494">
        <v>2002</v>
      </c>
      <c r="Y10" s="1499" t="s">
        <v>315</v>
      </c>
      <c r="Z10" s="1499" t="s">
        <v>314</v>
      </c>
      <c r="AA10" s="1499" t="s">
        <v>313</v>
      </c>
      <c r="AB10" s="1499" t="s">
        <v>312</v>
      </c>
      <c r="AC10" s="1494">
        <v>2003</v>
      </c>
      <c r="AD10" s="1499" t="s">
        <v>121</v>
      </c>
      <c r="AE10" s="1499" t="s">
        <v>120</v>
      </c>
      <c r="AF10" s="1499" t="s">
        <v>119</v>
      </c>
      <c r="AG10" s="1499" t="s">
        <v>118</v>
      </c>
      <c r="AH10" s="1494">
        <v>2004</v>
      </c>
      <c r="AI10" s="1499" t="s">
        <v>117</v>
      </c>
      <c r="AJ10" s="1499" t="s">
        <v>116</v>
      </c>
      <c r="AK10" s="1499" t="s">
        <v>115</v>
      </c>
      <c r="AL10" s="1499" t="s">
        <v>114</v>
      </c>
      <c r="AM10" s="1494">
        <v>2005</v>
      </c>
      <c r="AN10" s="1499" t="s">
        <v>206</v>
      </c>
      <c r="AO10" s="1499" t="s">
        <v>205</v>
      </c>
      <c r="AP10" s="1499" t="s">
        <v>204</v>
      </c>
      <c r="AQ10" s="1499" t="s">
        <v>203</v>
      </c>
      <c r="AR10" s="1494">
        <v>2006</v>
      </c>
      <c r="AS10" s="1499" t="s">
        <v>202</v>
      </c>
      <c r="AT10" s="1499" t="s">
        <v>201</v>
      </c>
      <c r="AU10" s="1499" t="s">
        <v>200</v>
      </c>
      <c r="AV10" s="1499" t="s">
        <v>199</v>
      </c>
      <c r="AW10" s="1494">
        <v>2007</v>
      </c>
      <c r="AX10" s="1498" t="s">
        <v>198</v>
      </c>
      <c r="AY10" s="1497" t="s">
        <v>197</v>
      </c>
      <c r="AZ10" s="1497" t="s">
        <v>196</v>
      </c>
      <c r="BA10" s="1497" t="s">
        <v>195</v>
      </c>
      <c r="BB10" s="1494">
        <v>2008</v>
      </c>
      <c r="BC10" s="1497" t="s">
        <v>194</v>
      </c>
      <c r="BD10" s="1497" t="s">
        <v>193</v>
      </c>
      <c r="BE10" s="1497" t="s">
        <v>192</v>
      </c>
      <c r="BF10" s="1497" t="s">
        <v>191</v>
      </c>
      <c r="BG10" s="1494">
        <v>2009</v>
      </c>
      <c r="BH10" s="1497" t="s">
        <v>190</v>
      </c>
      <c r="BI10" s="1497" t="s">
        <v>189</v>
      </c>
      <c r="BJ10" s="1497" t="s">
        <v>188</v>
      </c>
      <c r="BK10" s="1497" t="s">
        <v>187</v>
      </c>
      <c r="BL10" s="1494">
        <v>2010</v>
      </c>
      <c r="BM10" s="1497" t="s">
        <v>186</v>
      </c>
      <c r="BN10" s="1497" t="s">
        <v>185</v>
      </c>
      <c r="BO10" s="1497" t="s">
        <v>184</v>
      </c>
      <c r="BP10" s="1497" t="s">
        <v>183</v>
      </c>
      <c r="BQ10" s="1494">
        <v>2011</v>
      </c>
      <c r="BR10" s="1497" t="s">
        <v>182</v>
      </c>
      <c r="BS10" s="1497" t="s">
        <v>181</v>
      </c>
      <c r="BT10" s="1497" t="s">
        <v>180</v>
      </c>
      <c r="BU10" s="1497" t="s">
        <v>179</v>
      </c>
      <c r="BV10" s="1494">
        <v>2012</v>
      </c>
      <c r="BW10" s="1496" t="s">
        <v>178</v>
      </c>
      <c r="BX10" s="1496" t="s">
        <v>177</v>
      </c>
      <c r="BY10" s="1496" t="s">
        <v>176</v>
      </c>
      <c r="BZ10" s="1496" t="s">
        <v>175</v>
      </c>
      <c r="CA10" s="1494">
        <v>2013</v>
      </c>
      <c r="CB10" s="1496" t="s">
        <v>174</v>
      </c>
      <c r="CC10" s="1496" t="s">
        <v>152</v>
      </c>
      <c r="CD10" s="1496" t="s">
        <v>140</v>
      </c>
      <c r="CE10" s="1496" t="s">
        <v>132</v>
      </c>
      <c r="CF10" s="1494">
        <v>2014</v>
      </c>
      <c r="CG10" s="1495" t="str">
        <f>IS!CC9</f>
        <v>1Q15</v>
      </c>
      <c r="CH10" s="1495" t="str">
        <f>IS!CD9</f>
        <v>2Q15</v>
      </c>
      <c r="CI10" s="1495" t="str">
        <f>IS!CE9</f>
        <v>3Q15</v>
      </c>
      <c r="CJ10" s="1495" t="str">
        <f>IS!CF9</f>
        <v>4Q15</v>
      </c>
      <c r="CK10" s="1494">
        <f>IS!CG9</f>
        <v>2015</v>
      </c>
      <c r="CL10" s="1495" t="str">
        <f>IS!CH9</f>
        <v>1Q16</v>
      </c>
      <c r="CM10" s="1495" t="str">
        <f>IS!CI9</f>
        <v>2Q16</v>
      </c>
      <c r="CN10" s="1495" t="str">
        <f>IS!CJ9</f>
        <v>3Q16</v>
      </c>
      <c r="CO10" s="1495" t="str">
        <f>IS!CK9</f>
        <v>4Q16</v>
      </c>
      <c r="CP10" s="1494">
        <f>IS!CL9</f>
        <v>2016</v>
      </c>
      <c r="CQ10" s="1495" t="str">
        <f>IS!CM9</f>
        <v>1Q17</v>
      </c>
      <c r="CR10" s="1495" t="str">
        <f>IS!CN9</f>
        <v>2Q17</v>
      </c>
      <c r="CS10" s="1495" t="str">
        <f>IS!CO9</f>
        <v>3Q17</v>
      </c>
      <c r="CT10" s="1495" t="str">
        <f>IS!CP9</f>
        <v>4Q17E</v>
      </c>
      <c r="CU10" s="1494" t="str">
        <f>IS!CQ9</f>
        <v>2017E</v>
      </c>
      <c r="CV10" s="1495" t="str">
        <f>IS!CR9</f>
        <v>1Q18E</v>
      </c>
      <c r="CW10" s="1495" t="str">
        <f>IS!CS9</f>
        <v>2Q18E</v>
      </c>
      <c r="CX10" s="1495" t="str">
        <f>IS!CT9</f>
        <v>3Q18E</v>
      </c>
      <c r="CY10" s="1495" t="str">
        <f>IS!CU9</f>
        <v>4Q18E</v>
      </c>
      <c r="CZ10" s="1494" t="str">
        <f>IS!CV9</f>
        <v>2018E</v>
      </c>
      <c r="DA10" s="1494" t="str">
        <f>IS!CW9</f>
        <v>2019E</v>
      </c>
      <c r="DB10" s="1494" t="str">
        <f>IS!CX9</f>
        <v>2020E</v>
      </c>
      <c r="DC10" s="1494" t="str">
        <f>IS!CY9</f>
        <v>2021E</v>
      </c>
    </row>
    <row r="11" spans="1:109" ht="12" customHeight="1">
      <c r="A11" s="1184"/>
      <c r="B11" s="1184"/>
      <c r="C11" s="1492"/>
      <c r="D11" s="1492"/>
      <c r="E11" s="1191"/>
      <c r="F11" s="1490"/>
      <c r="G11" s="1490"/>
      <c r="H11" s="1490"/>
      <c r="I11" s="1490"/>
      <c r="J11" s="1490"/>
      <c r="K11" s="1490"/>
      <c r="L11" s="1490"/>
      <c r="M11" s="1490"/>
      <c r="N11" s="1487"/>
      <c r="O11" s="1490"/>
      <c r="P11" s="1490"/>
      <c r="Q11" s="1490"/>
      <c r="R11" s="1490"/>
      <c r="S11" s="1487"/>
      <c r="T11" s="1490"/>
      <c r="U11" s="1490"/>
      <c r="V11" s="1490"/>
      <c r="W11" s="1490"/>
      <c r="X11" s="1487"/>
      <c r="Y11" s="1490"/>
      <c r="Z11" s="1490"/>
      <c r="AA11" s="1490"/>
      <c r="AB11" s="1490"/>
      <c r="AC11" s="1487"/>
      <c r="AD11" s="1490"/>
      <c r="AE11" s="1490"/>
      <c r="AF11" s="1490"/>
      <c r="AG11" s="1490"/>
      <c r="AH11" s="1487"/>
      <c r="AI11" s="1490"/>
      <c r="AJ11" s="1490"/>
      <c r="AK11" s="1490"/>
      <c r="AL11" s="1490"/>
      <c r="AM11" s="1487"/>
      <c r="AN11" s="1490"/>
      <c r="AO11" s="1490"/>
      <c r="AP11" s="1490"/>
      <c r="AQ11" s="1490"/>
      <c r="AR11" s="1487"/>
      <c r="AS11" s="1490"/>
      <c r="AT11" s="1490"/>
      <c r="AU11" s="1490"/>
      <c r="AV11" s="1490"/>
      <c r="AW11" s="1487"/>
      <c r="AX11" s="1491"/>
      <c r="AY11" s="1488"/>
      <c r="AZ11" s="1488"/>
      <c r="BA11" s="1488"/>
      <c r="BB11" s="1487"/>
      <c r="BC11" s="1488"/>
      <c r="BD11" s="1488"/>
      <c r="BE11" s="1488"/>
      <c r="BF11" s="1488"/>
      <c r="BG11" s="1487"/>
      <c r="BH11" s="1488"/>
      <c r="BI11" s="1488"/>
      <c r="BJ11" s="1488"/>
      <c r="BK11" s="1488"/>
      <c r="BL11" s="1487"/>
      <c r="BM11" s="1490"/>
      <c r="BN11" s="1490">
        <f>BN12/BM12-1</f>
        <v>0.1515151515151516</v>
      </c>
      <c r="BO11" s="1490"/>
      <c r="BP11" s="1490"/>
      <c r="BQ11" s="1487"/>
      <c r="BR11" s="1490"/>
      <c r="BS11" s="1490"/>
      <c r="BT11" s="1490"/>
      <c r="BU11" s="1490"/>
      <c r="BV11" s="1487"/>
      <c r="BW11" s="2311">
        <f>BW12/BU12-1</f>
        <v>-0.12199687987519503</v>
      </c>
      <c r="BX11" s="2311">
        <f t="shared" ref="BX11" si="0">BX12/BW12-1</f>
        <v>0.11513859275053306</v>
      </c>
      <c r="BY11" s="2311">
        <f>BY12/BX12-1</f>
        <v>1.5933715742511234E-2</v>
      </c>
      <c r="BZ11" s="2311">
        <f>BZ12/BY12-1</f>
        <v>4.8933500627352577E-2</v>
      </c>
      <c r="CA11" s="1487"/>
      <c r="CB11" s="2311">
        <f>CB12/BZ12-1</f>
        <v>-0.11632775119617222</v>
      </c>
      <c r="CC11" s="2311">
        <f t="shared" ref="CC11" si="1">CC12/CB12-1</f>
        <v>0.13874788494077839</v>
      </c>
      <c r="CD11" s="2311">
        <f>CD12/CC12-1</f>
        <v>-1.1589895988112886E-2</v>
      </c>
      <c r="CE11" s="2311">
        <f>CE12/CD12-1</f>
        <v>3.0066145520144527E-3</v>
      </c>
      <c r="CF11" s="1489"/>
      <c r="CG11" s="2311">
        <f>CG12/CE12-1</f>
        <v>-0.17715827338129497</v>
      </c>
      <c r="CH11" s="2311">
        <f t="shared" ref="CH11" si="2">CH12/CG12-1</f>
        <v>0.1285974499089253</v>
      </c>
      <c r="CI11" s="2311">
        <f>CI12/CH12-1</f>
        <v>-1.7753389283408638E-2</v>
      </c>
      <c r="CJ11" s="2311">
        <f>CJ12/CI12-1</f>
        <v>1.6759776536312776E-2</v>
      </c>
      <c r="CK11" s="1487"/>
      <c r="CL11" s="2311">
        <f>CL12/CJ12-1</f>
        <v>-0.12249515190691662</v>
      </c>
      <c r="CM11" s="2311">
        <f t="shared" ref="CM11" si="3">CM12/CL12-1</f>
        <v>0.14069981583793734</v>
      </c>
      <c r="CN11" s="2311">
        <f>CN12/CM12-1</f>
        <v>-2.5508556667742988E-2</v>
      </c>
      <c r="CO11" s="2311">
        <f>CO12/CN12-1</f>
        <v>1.491053677932408E-2</v>
      </c>
      <c r="CP11" s="1487"/>
      <c r="CQ11" s="2311">
        <f>CQ12/CO12-1</f>
        <v>-8.4557623245184454E-2</v>
      </c>
      <c r="CR11" s="2311">
        <f t="shared" ref="CR11" si="4">CR12/CQ12-1</f>
        <v>0.11661911554921534</v>
      </c>
      <c r="CS11" s="2311">
        <f>CS12/CR12-1</f>
        <v>7.9846694346854541E-3</v>
      </c>
      <c r="CT11" s="2311">
        <f>CT12/CS12-1</f>
        <v>-1.0056088905945337E-2</v>
      </c>
      <c r="CU11" s="1487"/>
      <c r="CV11" s="2311">
        <f>CV12/CT12-1</f>
        <v>-5.8335980636229579E-2</v>
      </c>
      <c r="CW11" s="2311">
        <f t="shared" ref="CW11" si="5">CW12/CV12-1</f>
        <v>0.14260322987652763</v>
      </c>
      <c r="CX11" s="2311">
        <f>CX12/CW12-1</f>
        <v>7.9846694346854541E-3</v>
      </c>
      <c r="CY11" s="2311">
        <f>CY12/CX12-1</f>
        <v>-6.1609825774482152E-2</v>
      </c>
      <c r="CZ11" s="1487"/>
      <c r="DA11" s="1487"/>
      <c r="DB11" s="1487"/>
      <c r="DC11" s="1487"/>
      <c r="DE11" s="1905" t="s">
        <v>1364</v>
      </c>
    </row>
    <row r="12" spans="1:109" ht="13.5" customHeight="1">
      <c r="A12" s="1467"/>
      <c r="B12" s="1467"/>
      <c r="C12" s="1466" t="s">
        <v>304</v>
      </c>
      <c r="D12" s="1466"/>
      <c r="E12" s="1467"/>
      <c r="F12" s="1486"/>
      <c r="G12" s="1467"/>
      <c r="H12" s="1467"/>
      <c r="I12" s="1467"/>
      <c r="J12" s="1467">
        <v>1543</v>
      </c>
      <c r="K12" s="1467">
        <v>1534</v>
      </c>
      <c r="L12" s="1467">
        <v>1504</v>
      </c>
      <c r="M12" s="1467">
        <f>N12-SUM(J12:L12)</f>
        <v>1572</v>
      </c>
      <c r="N12" s="1429">
        <v>6153</v>
      </c>
      <c r="O12" s="1469">
        <v>1548</v>
      </c>
      <c r="P12" s="1469">
        <v>1537</v>
      </c>
      <c r="Q12" s="1469">
        <v>1554</v>
      </c>
      <c r="R12" s="1469">
        <v>1699</v>
      </c>
      <c r="S12" s="1429">
        <v>6338</v>
      </c>
      <c r="T12" s="1469">
        <v>1536</v>
      </c>
      <c r="U12" s="1469">
        <v>1680</v>
      </c>
      <c r="V12" s="1469">
        <v>1745</v>
      </c>
      <c r="W12" s="1469">
        <v>1850</v>
      </c>
      <c r="X12" s="1429">
        <v>6811</v>
      </c>
      <c r="Y12" s="1469">
        <v>1820</v>
      </c>
      <c r="Z12" s="1469">
        <v>1956</v>
      </c>
      <c r="AA12" s="1469">
        <v>1941</v>
      </c>
      <c r="AB12" s="1469">
        <v>2210</v>
      </c>
      <c r="AC12" s="1429">
        <v>7927</v>
      </c>
      <c r="AD12" s="1469">
        <v>2102</v>
      </c>
      <c r="AE12" s="1469">
        <v>2193</v>
      </c>
      <c r="AF12" s="1469">
        <v>2228</v>
      </c>
      <c r="AG12" s="1469">
        <v>2414</v>
      </c>
      <c r="AH12" s="1429">
        <v>8999</v>
      </c>
      <c r="AI12" s="1469">
        <v>2322</v>
      </c>
      <c r="AJ12" s="1469">
        <v>2415</v>
      </c>
      <c r="AK12" s="1469">
        <v>2362</v>
      </c>
      <c r="AL12" s="1469">
        <v>2476</v>
      </c>
      <c r="AM12" s="1429">
        <v>9575</v>
      </c>
      <c r="AN12" s="1469">
        <v>2348</v>
      </c>
      <c r="AO12" s="1469">
        <v>2529</v>
      </c>
      <c r="AP12" s="1469">
        <v>2565</v>
      </c>
      <c r="AQ12" s="1469">
        <v>2848</v>
      </c>
      <c r="AR12" s="1429">
        <v>10290</v>
      </c>
      <c r="AS12" s="1469">
        <v>2728</v>
      </c>
      <c r="AT12" s="1469">
        <v>2858</v>
      </c>
      <c r="AU12" s="1469">
        <v>2936</v>
      </c>
      <c r="AV12" s="1469">
        <v>3363</v>
      </c>
      <c r="AW12" s="1429">
        <f>SUM(AS12:AV12)</f>
        <v>11885</v>
      </c>
      <c r="AX12" s="1470">
        <v>3057</v>
      </c>
      <c r="AY12" s="1469">
        <v>3404</v>
      </c>
      <c r="AZ12" s="1469">
        <v>3245</v>
      </c>
      <c r="BA12" s="1469">
        <v>3243</v>
      </c>
      <c r="BB12" s="1429">
        <f>SUM(AX12:BA12)</f>
        <v>12949</v>
      </c>
      <c r="BC12" s="1469">
        <v>2660</v>
      </c>
      <c r="BD12" s="1469">
        <v>2907</v>
      </c>
      <c r="BE12" s="1469">
        <v>2961</v>
      </c>
      <c r="BF12" s="1469">
        <v>3195</v>
      </c>
      <c r="BG12" s="1429">
        <f>SUM(BC12:BF12)</f>
        <v>11723</v>
      </c>
      <c r="BH12" s="1469">
        <v>2726</v>
      </c>
      <c r="BI12" s="1469">
        <v>2838</v>
      </c>
      <c r="BJ12" s="1469">
        <v>2908</v>
      </c>
      <c r="BK12" s="1469">
        <v>3107</v>
      </c>
      <c r="BL12" s="1429">
        <f>SUM(BH12:BK12)</f>
        <v>11579</v>
      </c>
      <c r="BM12" s="1469">
        <v>2772</v>
      </c>
      <c r="BN12" s="1469">
        <v>3192</v>
      </c>
      <c r="BO12" s="1469">
        <v>3262</v>
      </c>
      <c r="BP12" s="1469">
        <v>3211</v>
      </c>
      <c r="BQ12" s="1429">
        <f>SUM(BM12:BP12)</f>
        <v>12437</v>
      </c>
      <c r="BR12" s="1469">
        <v>2770</v>
      </c>
      <c r="BS12" s="1469">
        <v>3027</v>
      </c>
      <c r="BT12" s="1469">
        <v>3054</v>
      </c>
      <c r="BU12" s="1469">
        <v>3205</v>
      </c>
      <c r="BV12" s="1429">
        <f>SUM(BR12:BU12)</f>
        <v>12056</v>
      </c>
      <c r="BW12" s="1469">
        <v>2814</v>
      </c>
      <c r="BX12" s="1469">
        <v>3138</v>
      </c>
      <c r="BY12" s="1469">
        <v>3188</v>
      </c>
      <c r="BZ12" s="1469">
        <v>3344</v>
      </c>
      <c r="CA12" s="1429">
        <f>SUM(BW12:BZ12)</f>
        <v>12484</v>
      </c>
      <c r="CB12" s="1469">
        <v>2955</v>
      </c>
      <c r="CC12" s="1469">
        <v>3365</v>
      </c>
      <c r="CD12" s="1469">
        <v>3326</v>
      </c>
      <c r="CE12" s="1469">
        <v>3336</v>
      </c>
      <c r="CF12" s="1429">
        <f>SUM(CB12:CE12)</f>
        <v>12982</v>
      </c>
      <c r="CG12" s="1468">
        <v>2745</v>
      </c>
      <c r="CH12" s="1468">
        <v>3098</v>
      </c>
      <c r="CI12" s="1869">
        <v>3043</v>
      </c>
      <c r="CJ12" s="1933">
        <v>3094</v>
      </c>
      <c r="CK12" s="1429">
        <f>CK51</f>
        <v>11913.275066396131</v>
      </c>
      <c r="CL12" s="1869">
        <v>2715</v>
      </c>
      <c r="CM12" s="1869">
        <v>3097</v>
      </c>
      <c r="CN12" s="1869">
        <v>3018</v>
      </c>
      <c r="CO12" s="1869">
        <v>3063</v>
      </c>
      <c r="CP12" s="1429">
        <f>SUM(CL12:CO12)</f>
        <v>11893</v>
      </c>
      <c r="CQ12" s="1869">
        <v>2804</v>
      </c>
      <c r="CR12" s="1869">
        <v>3131</v>
      </c>
      <c r="CS12" s="1869">
        <v>3156</v>
      </c>
      <c r="CT12" s="1485">
        <f>CU12-SUM(CQ12:CS12)</f>
        <v>3124.2629834128365</v>
      </c>
      <c r="CU12" s="1429">
        <f>CU51</f>
        <v>12215.262983412837</v>
      </c>
      <c r="CV12" s="1468">
        <f>CQ12*(1+CV13)</f>
        <v>2942.0060385099764</v>
      </c>
      <c r="CW12" s="1468">
        <f>CR12*(1+CW13)</f>
        <v>3361.5456019177473</v>
      </c>
      <c r="CX12" s="1468">
        <f>CS12*(1+CX13)</f>
        <v>3388.3864323386811</v>
      </c>
      <c r="CY12" s="1485">
        <f>CZ12-SUM(CV12:CX12)</f>
        <v>3179.6285345856759</v>
      </c>
      <c r="CZ12" s="1429">
        <f>CZ51</f>
        <v>12871.566607352081</v>
      </c>
      <c r="DA12" s="1429">
        <f>DA51</f>
        <v>13144.879780553303</v>
      </c>
      <c r="DB12" s="1429">
        <f>DB51</f>
        <v>13406.89531142759</v>
      </c>
      <c r="DC12" s="1429">
        <f>DC51</f>
        <v>13651.751823350522</v>
      </c>
      <c r="DE12" t="s">
        <v>1370</v>
      </c>
    </row>
    <row r="13" spans="1:109" ht="13.5" customHeight="1">
      <c r="A13" s="1482"/>
      <c r="B13" s="1482"/>
      <c r="C13" s="1483"/>
      <c r="D13" s="1393" t="s">
        <v>282</v>
      </c>
      <c r="E13" s="1482"/>
      <c r="F13" s="1153" t="str">
        <f t="shared" ref="F13:M13" si="6">IF(ISERROR(F12/B12-1),"-",F12/B12-1)</f>
        <v>-</v>
      </c>
      <c r="G13" s="1153" t="str">
        <f t="shared" si="6"/>
        <v>-</v>
      </c>
      <c r="H13" s="1153" t="str">
        <f t="shared" si="6"/>
        <v>-</v>
      </c>
      <c r="I13" s="1153" t="str">
        <f t="shared" si="6"/>
        <v>-</v>
      </c>
      <c r="J13" s="1153" t="str">
        <f t="shared" si="6"/>
        <v>-</v>
      </c>
      <c r="K13" s="1153" t="str">
        <f t="shared" si="6"/>
        <v>-</v>
      </c>
      <c r="L13" s="1153" t="str">
        <f t="shared" si="6"/>
        <v>-</v>
      </c>
      <c r="M13" s="1153" t="str">
        <f t="shared" si="6"/>
        <v>-</v>
      </c>
      <c r="N13" s="1151"/>
      <c r="O13" s="1153">
        <v>3.240440699935121E-3</v>
      </c>
      <c r="P13" s="1153">
        <v>1.9556714471968828E-3</v>
      </c>
      <c r="Q13" s="1153">
        <v>3.3244680851063801E-2</v>
      </c>
      <c r="R13" s="1153">
        <v>8.0788804071246778E-2</v>
      </c>
      <c r="S13" s="1151">
        <v>3.0066634162197348E-2</v>
      </c>
      <c r="T13" s="1153">
        <v>-7.7519379844961378E-3</v>
      </c>
      <c r="U13" s="1153">
        <v>9.3038386467143797E-2</v>
      </c>
      <c r="V13" s="1153">
        <v>0.12290862290862292</v>
      </c>
      <c r="W13" s="1153">
        <v>8.8875809299588049E-2</v>
      </c>
      <c r="X13" s="1151">
        <v>7.4629220574313759E-2</v>
      </c>
      <c r="Y13" s="1153">
        <v>0.18489583333333326</v>
      </c>
      <c r="Z13" s="1153">
        <v>0.16428571428571437</v>
      </c>
      <c r="AA13" s="1153">
        <v>0.11232091690544421</v>
      </c>
      <c r="AB13" s="1153">
        <v>0.19459459459459461</v>
      </c>
      <c r="AC13" s="1151">
        <v>0.16385259139627073</v>
      </c>
      <c r="AD13" s="1153">
        <v>0.15494505494505484</v>
      </c>
      <c r="AE13" s="1153">
        <v>0.12116564417177922</v>
      </c>
      <c r="AF13" s="1153">
        <v>0.14786192684183419</v>
      </c>
      <c r="AG13" s="1153">
        <v>9.2307692307692202E-2</v>
      </c>
      <c r="AH13" s="1151">
        <v>0.13523401034439253</v>
      </c>
      <c r="AI13" s="1153">
        <v>0.1046622264509991</v>
      </c>
      <c r="AJ13" s="1153">
        <v>0.10123119015047877</v>
      </c>
      <c r="AK13" s="1153">
        <v>6.0143626570915654E-2</v>
      </c>
      <c r="AL13" s="1153">
        <v>2.5683512841756517E-2</v>
      </c>
      <c r="AM13" s="1151">
        <v>6.4007111901322356E-2</v>
      </c>
      <c r="AN13" s="1153">
        <f t="shared" ref="AN13:CI13" si="7">IF(ISERROR(AN12/AI12-1),"-",AN12/AI12-1)</f>
        <v>1.1197243755383335E-2</v>
      </c>
      <c r="AO13" s="1153">
        <f t="shared" si="7"/>
        <v>4.7204968944099424E-2</v>
      </c>
      <c r="AP13" s="1153">
        <f t="shared" si="7"/>
        <v>8.5944115156646905E-2</v>
      </c>
      <c r="AQ13" s="1153">
        <f t="shared" si="7"/>
        <v>0.15024232633279477</v>
      </c>
      <c r="AR13" s="1151">
        <f t="shared" si="7"/>
        <v>7.4673629242819839E-2</v>
      </c>
      <c r="AS13" s="1153">
        <f t="shared" si="7"/>
        <v>0.16183986371379899</v>
      </c>
      <c r="AT13" s="1153">
        <f t="shared" si="7"/>
        <v>0.13009094503756424</v>
      </c>
      <c r="AU13" s="1153">
        <f t="shared" si="7"/>
        <v>0.14463937621832357</v>
      </c>
      <c r="AV13" s="1153">
        <f t="shared" si="7"/>
        <v>0.18082865168539319</v>
      </c>
      <c r="AW13" s="1151">
        <f t="shared" si="7"/>
        <v>0.15500485908649164</v>
      </c>
      <c r="AX13" s="1431">
        <f t="shared" si="7"/>
        <v>0.12060117302052786</v>
      </c>
      <c r="AY13" s="1153">
        <f t="shared" si="7"/>
        <v>0.19104268719384176</v>
      </c>
      <c r="AZ13" s="1153">
        <f t="shared" si="7"/>
        <v>0.10524523160762933</v>
      </c>
      <c r="BA13" s="1153">
        <f t="shared" si="7"/>
        <v>-3.5682426404995526E-2</v>
      </c>
      <c r="BB13" s="1151">
        <f t="shared" si="7"/>
        <v>8.952461085401775E-2</v>
      </c>
      <c r="BC13" s="1153">
        <f t="shared" si="7"/>
        <v>-0.12986588158325152</v>
      </c>
      <c r="BD13" s="1153">
        <f t="shared" si="7"/>
        <v>-0.14600470035252644</v>
      </c>
      <c r="BE13" s="1153">
        <f t="shared" si="7"/>
        <v>-8.7519260400616306E-2</v>
      </c>
      <c r="BF13" s="1153">
        <f t="shared" si="7"/>
        <v>-1.4801110083256241E-2</v>
      </c>
      <c r="BG13" s="1151">
        <f t="shared" si="7"/>
        <v>-9.4679125801220176E-2</v>
      </c>
      <c r="BH13" s="1153">
        <f t="shared" si="7"/>
        <v>2.4812030075187952E-2</v>
      </c>
      <c r="BI13" s="1153">
        <f t="shared" si="7"/>
        <v>-2.3735810113519107E-2</v>
      </c>
      <c r="BJ13" s="1153">
        <f t="shared" si="7"/>
        <v>-1.7899358324890202E-2</v>
      </c>
      <c r="BK13" s="1153">
        <f t="shared" si="7"/>
        <v>-2.7543035993740195E-2</v>
      </c>
      <c r="BL13" s="1151">
        <f t="shared" si="7"/>
        <v>-1.2283545167619203E-2</v>
      </c>
      <c r="BM13" s="1153">
        <f t="shared" si="7"/>
        <v>1.687454145267786E-2</v>
      </c>
      <c r="BN13" s="1153">
        <f t="shared" si="7"/>
        <v>0.12473572938689226</v>
      </c>
      <c r="BO13" s="1153">
        <f t="shared" si="7"/>
        <v>0.12173314993122419</v>
      </c>
      <c r="BP13" s="1153">
        <f t="shared" si="7"/>
        <v>3.3472803347280422E-2</v>
      </c>
      <c r="BQ13" s="1151">
        <f t="shared" si="7"/>
        <v>7.4099663183349262E-2</v>
      </c>
      <c r="BR13" s="1153">
        <f t="shared" si="7"/>
        <v>-7.2150072150067857E-4</v>
      </c>
      <c r="BS13" s="1153">
        <f t="shared" si="7"/>
        <v>-5.1691729323308233E-2</v>
      </c>
      <c r="BT13" s="1153">
        <f t="shared" si="7"/>
        <v>-6.376456161863886E-2</v>
      </c>
      <c r="BU13" s="1153">
        <f t="shared" si="7"/>
        <v>-1.8685767673621845E-3</v>
      </c>
      <c r="BV13" s="1151">
        <f t="shared" si="7"/>
        <v>-3.063439736270801E-2</v>
      </c>
      <c r="BW13" s="1153">
        <f t="shared" si="7"/>
        <v>1.5884476534296033E-2</v>
      </c>
      <c r="BX13" s="1153">
        <f t="shared" si="7"/>
        <v>3.6669970267591667E-2</v>
      </c>
      <c r="BY13" s="1153">
        <f t="shared" si="7"/>
        <v>4.3876882776686221E-2</v>
      </c>
      <c r="BZ13" s="1153">
        <f t="shared" si="7"/>
        <v>4.3369734789391545E-2</v>
      </c>
      <c r="CA13" s="1151">
        <f t="shared" si="7"/>
        <v>3.5500995355010057E-2</v>
      </c>
      <c r="CB13" s="1153">
        <f t="shared" si="7"/>
        <v>5.0106609808102442E-2</v>
      </c>
      <c r="CC13" s="337">
        <f t="shared" si="7"/>
        <v>7.2339069471000661E-2</v>
      </c>
      <c r="CD13" s="337">
        <f t="shared" si="7"/>
        <v>4.3287327478042759E-2</v>
      </c>
      <c r="CE13" s="287">
        <f t="shared" si="7"/>
        <v>-2.3923444976076125E-3</v>
      </c>
      <c r="CF13" s="286">
        <f t="shared" si="7"/>
        <v>3.9891060557513569E-2</v>
      </c>
      <c r="CG13" s="287">
        <f t="shared" si="7"/>
        <v>-7.1065989847715727E-2</v>
      </c>
      <c r="CH13" s="287">
        <f t="shared" si="7"/>
        <v>-7.9346210995542399E-2</v>
      </c>
      <c r="CI13" s="287">
        <f t="shared" si="7"/>
        <v>-8.5087191822008412E-2</v>
      </c>
      <c r="CJ13" s="287">
        <f t="shared" ref="CJ13:CS13" si="8">IF(ISERROR(CJ12/CE12-1),"-",CJ12/CE12-1)</f>
        <v>-7.2541966426858506E-2</v>
      </c>
      <c r="CK13" s="1151">
        <f t="shared" si="8"/>
        <v>-8.2323596795861098E-2</v>
      </c>
      <c r="CL13" s="287">
        <f t="shared" si="8"/>
        <v>-1.0928961748633892E-2</v>
      </c>
      <c r="CM13" s="287">
        <f t="shared" si="8"/>
        <v>-3.2278889606196515E-4</v>
      </c>
      <c r="CN13" s="287">
        <f t="shared" si="8"/>
        <v>-8.215576733486718E-3</v>
      </c>
      <c r="CO13" s="287">
        <f t="shared" si="8"/>
        <v>-1.0019392372333513E-2</v>
      </c>
      <c r="CP13" s="1151">
        <f t="shared" si="8"/>
        <v>-1.7018885472829259E-3</v>
      </c>
      <c r="CQ13" s="287">
        <f t="shared" si="8"/>
        <v>3.2780847145488012E-2</v>
      </c>
      <c r="CR13" s="287">
        <f t="shared" si="8"/>
        <v>1.0978366160800723E-2</v>
      </c>
      <c r="CS13" s="287">
        <f t="shared" si="8"/>
        <v>4.5725646123260466E-2</v>
      </c>
      <c r="CT13" s="287">
        <f>IF(ISERROR(CT12/CO12-1),"-",CT12/CO12-1)</f>
        <v>2.0000974016596951E-2</v>
      </c>
      <c r="CU13" s="1151">
        <f>CU12/CP12-1</f>
        <v>2.7096862306637215E-2</v>
      </c>
      <c r="CV13" s="1152">
        <f>SUM(CV14:CV16)</f>
        <v>4.9217560096282531E-2</v>
      </c>
      <c r="CW13" s="1152">
        <f>SUM(CW14:CW16)</f>
        <v>7.3633216837351426E-2</v>
      </c>
      <c r="CX13" s="1152">
        <f>SUM(CX14:CX16)</f>
        <v>7.3633216837351426E-2</v>
      </c>
      <c r="CY13" s="287">
        <f>IF(ISERROR(CY12/CT12-1),"-",CY12/CT12-1)</f>
        <v>1.7721155826760704E-2</v>
      </c>
      <c r="CZ13" s="1151">
        <f>CZ12/CU12-1</f>
        <v>5.3728161631103832E-2</v>
      </c>
      <c r="DA13" s="1151">
        <f>DA12/CZ12-1</f>
        <v>2.1233870090460405E-2</v>
      </c>
      <c r="DB13" s="1151">
        <f>DB12/DA12-1</f>
        <v>1.9932896705675107E-2</v>
      </c>
      <c r="DC13" s="1151">
        <f>DC12/DB12-1</f>
        <v>1.8263476087131414E-2</v>
      </c>
    </row>
    <row r="14" spans="1:109" ht="13.5" customHeight="1">
      <c r="A14" s="1482"/>
      <c r="B14" s="1482"/>
      <c r="C14" s="1483"/>
      <c r="D14" s="1393" t="s">
        <v>829</v>
      </c>
      <c r="E14" s="1482"/>
      <c r="F14" s="1153"/>
      <c r="G14" s="1153"/>
      <c r="H14" s="1153"/>
      <c r="I14" s="1153"/>
      <c r="J14" s="1153"/>
      <c r="K14" s="1153"/>
      <c r="L14" s="1153"/>
      <c r="M14" s="1153"/>
      <c r="N14" s="1398"/>
      <c r="O14" s="1153"/>
      <c r="P14" s="1153"/>
      <c r="Q14" s="1153"/>
      <c r="R14" s="1153"/>
      <c r="S14" s="1398"/>
      <c r="T14" s="1153"/>
      <c r="U14" s="1153"/>
      <c r="V14" s="1153"/>
      <c r="W14" s="1153"/>
      <c r="X14" s="1398"/>
      <c r="Y14" s="1153"/>
      <c r="Z14" s="1153"/>
      <c r="AA14" s="1153"/>
      <c r="AB14" s="1153"/>
      <c r="AC14" s="1398">
        <v>0.02</v>
      </c>
      <c r="AD14" s="1153">
        <v>0.02</v>
      </c>
      <c r="AE14" s="1153">
        <v>0.03</v>
      </c>
      <c r="AF14" s="1153">
        <v>0.02</v>
      </c>
      <c r="AG14" s="1153"/>
      <c r="AH14" s="1398">
        <v>0.02</v>
      </c>
      <c r="AI14" s="1153">
        <v>0.01</v>
      </c>
      <c r="AJ14" s="1153">
        <v>0</v>
      </c>
      <c r="AK14" s="1153">
        <v>0</v>
      </c>
      <c r="AL14" s="1153">
        <v>0</v>
      </c>
      <c r="AM14" s="1398">
        <v>0</v>
      </c>
      <c r="AN14" s="1153">
        <v>0.01</v>
      </c>
      <c r="AO14" s="1153">
        <v>0.01</v>
      </c>
      <c r="AP14" s="1153">
        <f>AP13-AP15-AP16</f>
        <v>-4.0558848433530914E-3</v>
      </c>
      <c r="AQ14" s="1153">
        <v>0.01</v>
      </c>
      <c r="AR14" s="1398">
        <f>AR13-AR16-AR15</f>
        <v>4.6736292428198409E-3</v>
      </c>
      <c r="AS14" s="1153">
        <v>0</v>
      </c>
      <c r="AT14" s="1153">
        <v>0</v>
      </c>
      <c r="AU14" s="1153">
        <f>AU13-AU16-AU15</f>
        <v>4.6393762183235682E-3</v>
      </c>
      <c r="AV14" s="1153">
        <v>0</v>
      </c>
      <c r="AW14" s="1398">
        <f>AW13-AW16-AW15</f>
        <v>1.5004859086491643E-2</v>
      </c>
      <c r="AX14" s="1431">
        <f>AX13-AX16-AX15</f>
        <v>-2.9398826979472145E-2</v>
      </c>
      <c r="AY14" s="1153">
        <v>0</v>
      </c>
      <c r="AZ14" s="1153">
        <v>0</v>
      </c>
      <c r="BA14" s="1153">
        <v>0</v>
      </c>
      <c r="BB14" s="1398">
        <f>BB13-BB16-BB15</f>
        <v>-1.0475389145982256E-2</v>
      </c>
      <c r="BC14" s="1153">
        <v>0</v>
      </c>
      <c r="BD14" s="1153">
        <v>0</v>
      </c>
      <c r="BE14" s="1153">
        <v>0.01</v>
      </c>
      <c r="BF14" s="1153">
        <v>0</v>
      </c>
      <c r="BG14" s="1398">
        <v>0.01</v>
      </c>
      <c r="BH14" s="1153">
        <v>0.01</v>
      </c>
      <c r="BI14" s="1153">
        <v>0.01</v>
      </c>
      <c r="BJ14" s="1153">
        <v>0.01</v>
      </c>
      <c r="BK14" s="1153">
        <f t="shared" ref="BK14:BQ14" si="9">BK13-BK16-BK15</f>
        <v>1.2456964006259806E-2</v>
      </c>
      <c r="BL14" s="1398">
        <f t="shared" si="9"/>
        <v>7.7164548323807956E-3</v>
      </c>
      <c r="BM14" s="1153">
        <f t="shared" si="9"/>
        <v>6.8745414526778618E-3</v>
      </c>
      <c r="BN14" s="1153">
        <f t="shared" si="9"/>
        <v>1.4735729386892257E-2</v>
      </c>
      <c r="BO14" s="1153">
        <f t="shared" si="9"/>
        <v>1.1733149931224179E-2</v>
      </c>
      <c r="BP14" s="1153">
        <f t="shared" si="9"/>
        <v>3.4728033472804232E-3</v>
      </c>
      <c r="BQ14" s="1398">
        <f t="shared" si="9"/>
        <v>1.4099663183349258E-2</v>
      </c>
      <c r="BR14" s="1153">
        <f>BR13-BR15-BR16</f>
        <v>-7.2150072150067857E-4</v>
      </c>
      <c r="BS14" s="1153">
        <f>BS13-BS15-BS16</f>
        <v>8.3082706766917699E-3</v>
      </c>
      <c r="BT14" s="1153">
        <f>BT13-BT15-BT16</f>
        <v>6.2354383813611382E-3</v>
      </c>
      <c r="BU14" s="1153">
        <v>0</v>
      </c>
      <c r="BV14" s="1398">
        <v>0</v>
      </c>
      <c r="BW14" s="1153">
        <v>0</v>
      </c>
      <c r="BX14" s="1153">
        <v>0</v>
      </c>
      <c r="BY14" s="1153">
        <v>0</v>
      </c>
      <c r="BZ14" s="1432"/>
      <c r="CA14" s="1398">
        <f>SUMPRODUCT(BW14:BZ14,BR12:BU12)/BV12</f>
        <v>0</v>
      </c>
      <c r="CB14" s="1153">
        <v>0.01</v>
      </c>
      <c r="CC14" s="1153">
        <v>0.01</v>
      </c>
      <c r="CD14" s="1153">
        <v>0</v>
      </c>
      <c r="CE14" s="1153">
        <v>0</v>
      </c>
      <c r="CF14" s="1398">
        <f>SUMPRODUCT(CB14:CE14,BW12:BZ12)/CA12</f>
        <v>4.767702659404037E-3</v>
      </c>
      <c r="CG14" s="1430">
        <v>0</v>
      </c>
      <c r="CH14" s="1430">
        <v>0</v>
      </c>
      <c r="CI14" s="1430">
        <v>0</v>
      </c>
      <c r="CJ14" s="1430">
        <v>0</v>
      </c>
      <c r="CK14" s="1398">
        <f>SUMPRODUCT(CG14:CJ14,CB12:CE12)/CF12</f>
        <v>0</v>
      </c>
      <c r="CL14" s="1430">
        <v>0.01</v>
      </c>
      <c r="CM14" s="1887">
        <v>0</v>
      </c>
      <c r="CN14" s="2119">
        <f>CM14</f>
        <v>0</v>
      </c>
      <c r="CO14" s="2119">
        <f>75/4/CJ12</f>
        <v>6.0601163542340014E-3</v>
      </c>
      <c r="CP14" s="1398">
        <f>SUMPRODUCT(CL14:CO14,CG12:CJ12)/CK12</f>
        <v>3.8780268014054933E-3</v>
      </c>
      <c r="CQ14" s="1887">
        <v>0.01</v>
      </c>
      <c r="CR14" s="1887">
        <v>0.02</v>
      </c>
      <c r="CS14" s="1887">
        <v>0.02</v>
      </c>
      <c r="CT14" s="2119">
        <f>1%-CO14</f>
        <v>3.9398836457659988E-3</v>
      </c>
      <c r="CU14" s="1398">
        <f>SUMPRODUCT(CQ14:CT14,CL12:CO12)/CP12</f>
        <v>1.3580918490454995E-2</v>
      </c>
      <c r="CV14" s="2119">
        <f>CT14</f>
        <v>3.9398836457659988E-3</v>
      </c>
      <c r="CW14" s="2119">
        <f>CV14</f>
        <v>3.9398836457659988E-3</v>
      </c>
      <c r="CX14" s="2119">
        <f>CW14</f>
        <v>3.9398836457659988E-3</v>
      </c>
      <c r="CY14" s="2119">
        <v>0</v>
      </c>
      <c r="CZ14" s="1484">
        <v>0</v>
      </c>
      <c r="DA14" s="1484">
        <v>0</v>
      </c>
      <c r="DB14" s="2120">
        <v>0</v>
      </c>
      <c r="DC14" s="2120">
        <v>0</v>
      </c>
    </row>
    <row r="15" spans="1:109" ht="12" customHeight="1">
      <c r="A15" s="1482"/>
      <c r="B15" s="1482"/>
      <c r="C15" s="1483"/>
      <c r="D15" s="1393" t="s">
        <v>828</v>
      </c>
      <c r="E15" s="1482"/>
      <c r="F15" s="1153"/>
      <c r="G15" s="1153"/>
      <c r="H15" s="1153"/>
      <c r="I15" s="1153"/>
      <c r="J15" s="1153"/>
      <c r="K15" s="1153"/>
      <c r="L15" s="1153"/>
      <c r="M15" s="1153"/>
      <c r="N15" s="1398"/>
      <c r="O15" s="1153"/>
      <c r="P15" s="1153"/>
      <c r="Q15" s="1153"/>
      <c r="R15" s="1153"/>
      <c r="S15" s="1398"/>
      <c r="T15" s="1153"/>
      <c r="U15" s="1153"/>
      <c r="V15" s="1153"/>
      <c r="W15" s="1153"/>
      <c r="X15" s="1398"/>
      <c r="Y15" s="1153"/>
      <c r="Z15" s="1153"/>
      <c r="AA15" s="1153"/>
      <c r="AB15" s="1153"/>
      <c r="AC15" s="1398">
        <v>0.09</v>
      </c>
      <c r="AD15" s="1153">
        <v>0.1</v>
      </c>
      <c r="AE15" s="1153">
        <v>0.05</v>
      </c>
      <c r="AF15" s="1153">
        <v>0.05</v>
      </c>
      <c r="AG15" s="1153"/>
      <c r="AH15" s="1398">
        <v>0.06</v>
      </c>
      <c r="AI15" s="1153">
        <v>0.04</v>
      </c>
      <c r="AJ15" s="1153">
        <v>0.04</v>
      </c>
      <c r="AK15" s="1153">
        <v>0</v>
      </c>
      <c r="AL15" s="1153">
        <v>-0.02</v>
      </c>
      <c r="AM15" s="1398">
        <v>1.98622069118791E-2</v>
      </c>
      <c r="AN15" s="1153">
        <v>-0.04</v>
      </c>
      <c r="AO15" s="1153">
        <v>0</v>
      </c>
      <c r="AP15" s="1153">
        <v>0.03</v>
      </c>
      <c r="AQ15" s="1153">
        <v>0.05</v>
      </c>
      <c r="AR15" s="1398">
        <v>0.01</v>
      </c>
      <c r="AS15" s="1153">
        <v>0.05</v>
      </c>
      <c r="AT15" s="1153">
        <f>AT13/3</f>
        <v>4.3363648345854745E-2</v>
      </c>
      <c r="AU15" s="1153">
        <v>0.05</v>
      </c>
      <c r="AV15" s="1153">
        <f>AV13-AV14-AV16</f>
        <v>9.0828651685393197E-2</v>
      </c>
      <c r="AW15" s="1398">
        <v>0.06</v>
      </c>
      <c r="AX15" s="1431">
        <v>0.08</v>
      </c>
      <c r="AY15" s="1153">
        <f>AY13-AY14-AY16</f>
        <v>9.1042687193841759E-2</v>
      </c>
      <c r="AZ15" s="1153">
        <f>AZ13-AZ14-AZ16</f>
        <v>5.5245231607629328E-2</v>
      </c>
      <c r="BA15" s="1153">
        <f>BA13-BA14-BA16</f>
        <v>-7.5682426404995534E-2</v>
      </c>
      <c r="BB15" s="1398">
        <v>0.03</v>
      </c>
      <c r="BC15" s="1153">
        <f>BC13-BC14-BC16</f>
        <v>-9.986588158325152E-2</v>
      </c>
      <c r="BD15" s="1153">
        <v>-0.09</v>
      </c>
      <c r="BE15" s="1153">
        <v>-0.05</v>
      </c>
      <c r="BF15" s="1153">
        <v>0.06</v>
      </c>
      <c r="BG15" s="1398">
        <v>-0.04</v>
      </c>
      <c r="BH15" s="1153">
        <v>0.06</v>
      </c>
      <c r="BI15" s="1153">
        <v>0.01</v>
      </c>
      <c r="BJ15" s="1153">
        <v>-0.02</v>
      </c>
      <c r="BK15" s="1153">
        <v>-0.02</v>
      </c>
      <c r="BL15" s="1398">
        <v>0.01</v>
      </c>
      <c r="BM15" s="1153">
        <v>0.02</v>
      </c>
      <c r="BN15" s="1153">
        <v>0.08</v>
      </c>
      <c r="BO15" s="1153">
        <v>7.0000000000000007E-2</v>
      </c>
      <c r="BP15" s="1153">
        <v>0</v>
      </c>
      <c r="BQ15" s="1398">
        <v>0.04</v>
      </c>
      <c r="BR15" s="1153">
        <v>-0.01</v>
      </c>
      <c r="BS15" s="1153">
        <v>-0.05</v>
      </c>
      <c r="BT15" s="1153">
        <v>-0.06</v>
      </c>
      <c r="BU15" s="1153">
        <v>-0.01</v>
      </c>
      <c r="BV15" s="1398">
        <v>-0.03</v>
      </c>
      <c r="BW15" s="1153">
        <v>0</v>
      </c>
      <c r="BX15" s="1153">
        <v>0</v>
      </c>
      <c r="BY15" s="1153">
        <v>0</v>
      </c>
      <c r="BZ15" s="1153"/>
      <c r="CA15" s="1398">
        <f>SUMPRODUCT(BW15:BZ15,BR12:BU12)/BV12</f>
        <v>0</v>
      </c>
      <c r="CB15" s="1153">
        <v>-0.02</v>
      </c>
      <c r="CC15" s="1153">
        <f>CC13-CC16-CC14</f>
        <v>-7.6609305289993459E-3</v>
      </c>
      <c r="CD15" s="1153">
        <f>CD13-CD16-CD14</f>
        <v>-6.7126725219572442E-3</v>
      </c>
      <c r="CE15" s="1153">
        <f>CE13-CE16-CE14</f>
        <v>-5.2392344497607615E-2</v>
      </c>
      <c r="CF15" s="1398">
        <f>SUMPRODUCT(CB15:CE15,BW12:BZ12)/CA12</f>
        <v>-2.2181992950977211E-2</v>
      </c>
      <c r="CG15" s="1153">
        <f>CG13-CG16-CG14</f>
        <v>-9.1065989847715731E-2</v>
      </c>
      <c r="CH15" s="1153">
        <f>CH13-CH16-CH14</f>
        <v>-8.9346210995542394E-2</v>
      </c>
      <c r="CI15" s="1153">
        <f>CI13-CI16-CI14</f>
        <v>-0.10508719182200842</v>
      </c>
      <c r="CJ15" s="1153">
        <f>CJ13-CJ16-CJ14</f>
        <v>-8.2541966426858501E-2</v>
      </c>
      <c r="CK15" s="1398">
        <f>SUMPRODUCT(CG15:CJ15,CB12:CE12)/CF12</f>
        <v>-9.2022030503774471E-2</v>
      </c>
      <c r="CL15" s="1153">
        <f>CL13-CL16-CL14</f>
        <v>-5.0928961748633893E-2</v>
      </c>
      <c r="CM15" s="2215">
        <f>CM13-CM16-CM14</f>
        <v>-2.0322788896061966E-2</v>
      </c>
      <c r="CN15" s="2215">
        <f>CN13-CN16-CN14</f>
        <v>-8.215576733486718E-3</v>
      </c>
      <c r="CO15" s="2215">
        <f>CO13-CO16-CO14</f>
        <v>-1.6079508726567514E-2</v>
      </c>
      <c r="CP15" s="1484">
        <f>SUMPRODUCT(CL15:CO15,CG12:CJ12)/CK12</f>
        <v>-2.329418220039044E-2</v>
      </c>
      <c r="CQ15" s="2215">
        <f>CQ13-CQ16-CQ14</f>
        <v>-7.2191528545119867E-3</v>
      </c>
      <c r="CR15" s="2215">
        <f>CR13-CR16-CR14</f>
        <v>-1.9021633839199276E-2</v>
      </c>
      <c r="CS15" s="2215">
        <f>CS13-CS16-CS14</f>
        <v>5.7256461232604652E-3</v>
      </c>
      <c r="CT15" s="2217">
        <f>'FX Model'!BN36</f>
        <v>1.5988420590048655E-2</v>
      </c>
      <c r="CU15" s="2120">
        <f>SUMPRODUCT(CQ15:CT15,CL12:CO12)/CP12</f>
        <v>-1.0306455673657685E-3</v>
      </c>
      <c r="CV15" s="2217">
        <f>'FX Model'!BP36</f>
        <v>2.0277676450516532E-2</v>
      </c>
      <c r="CW15" s="2217">
        <f>'FX Model'!BQ36</f>
        <v>3.9693333191585425E-2</v>
      </c>
      <c r="CX15" s="2217">
        <f>'FX Model'!BR36</f>
        <v>3.9693333191585425E-2</v>
      </c>
      <c r="CY15" s="2217">
        <f>'FX Model'!BS36</f>
        <v>0</v>
      </c>
      <c r="CZ15" s="2120">
        <f>SUMPRODUCT(CV15:CY15,CQ12:CT12)/CU12</f>
        <v>2.5084240180405639E-2</v>
      </c>
      <c r="DA15" s="1484">
        <v>0</v>
      </c>
      <c r="DB15" s="2120">
        <v>0</v>
      </c>
      <c r="DC15" s="2120">
        <v>0</v>
      </c>
      <c r="DE15" s="1166"/>
    </row>
    <row r="16" spans="1:109" s="1178" customFormat="1" ht="12" customHeight="1">
      <c r="A16" s="1482"/>
      <c r="B16" s="1482"/>
      <c r="C16" s="1483"/>
      <c r="D16" s="1393" t="s">
        <v>827</v>
      </c>
      <c r="E16" s="1482"/>
      <c r="F16" s="1153"/>
      <c r="G16" s="1153"/>
      <c r="H16" s="1153"/>
      <c r="I16" s="1153"/>
      <c r="J16" s="1153"/>
      <c r="K16" s="1153"/>
      <c r="L16" s="1153"/>
      <c r="M16" s="1153"/>
      <c r="N16" s="1480"/>
      <c r="O16" s="1153"/>
      <c r="P16" s="1153"/>
      <c r="Q16" s="1153"/>
      <c r="R16" s="1153"/>
      <c r="S16" s="1480"/>
      <c r="T16" s="1153"/>
      <c r="U16" s="1153"/>
      <c r="V16" s="1153"/>
      <c r="W16" s="1153"/>
      <c r="X16" s="1480"/>
      <c r="Y16" s="1153"/>
      <c r="Z16" s="1153"/>
      <c r="AA16" s="1153"/>
      <c r="AB16" s="1153"/>
      <c r="AC16" s="1480">
        <v>5.3852591396270744E-2</v>
      </c>
      <c r="AD16" s="1153">
        <v>3.4945054945054843E-2</v>
      </c>
      <c r="AE16" s="1153">
        <v>4.1165644171779217E-2</v>
      </c>
      <c r="AF16" s="1153">
        <v>7.7861926841834198E-2</v>
      </c>
      <c r="AG16" s="1153">
        <f>(AH16*AC12-SUMPRODUCT(AD16:AF16,Y12:AA12))/AB12</f>
        <v>6.4520361990949987E-2</v>
      </c>
      <c r="AH16" s="1480">
        <v>5.5234010344392528E-2</v>
      </c>
      <c r="AI16" s="1153">
        <v>5.46622264509991E-2</v>
      </c>
      <c r="AJ16" s="1153">
        <v>6.1231190150478766E-2</v>
      </c>
      <c r="AK16" s="1153">
        <v>6.0143626570915654E-2</v>
      </c>
      <c r="AL16" s="1153">
        <v>4.5683512841756521E-2</v>
      </c>
      <c r="AM16" s="1480">
        <v>0.05</v>
      </c>
      <c r="AN16" s="1153">
        <f>AN13-AN14-AN15</f>
        <v>4.1197243755383334E-2</v>
      </c>
      <c r="AO16" s="1153">
        <f>AO13-AO14-AO15</f>
        <v>3.7204968944099422E-2</v>
      </c>
      <c r="AP16" s="1153">
        <v>0.06</v>
      </c>
      <c r="AQ16" s="1153">
        <f>AQ13-AQ14-AQ15</f>
        <v>9.0242326332794762E-2</v>
      </c>
      <c r="AR16" s="1480">
        <v>0.06</v>
      </c>
      <c r="AS16" s="1153">
        <f>AS13-AS14-AS15</f>
        <v>0.11183986371379899</v>
      </c>
      <c r="AT16" s="1153">
        <v>0.08</v>
      </c>
      <c r="AU16" s="1153">
        <v>0.09</v>
      </c>
      <c r="AV16" s="1153">
        <v>0.09</v>
      </c>
      <c r="AW16" s="1480">
        <v>0.08</v>
      </c>
      <c r="AX16" s="1431">
        <v>7.0000000000000007E-2</v>
      </c>
      <c r="AY16" s="1153">
        <v>0.1</v>
      </c>
      <c r="AZ16" s="1153">
        <v>0.05</v>
      </c>
      <c r="BA16" s="1153">
        <v>0.04</v>
      </c>
      <c r="BB16" s="1480">
        <v>7.0000000000000007E-2</v>
      </c>
      <c r="BC16" s="1153">
        <v>-0.03</v>
      </c>
      <c r="BD16" s="1153">
        <f t="shared" ref="BD16:BJ16" si="10">BD13-BD14-BD15</f>
        <v>-5.6004700352526443E-2</v>
      </c>
      <c r="BE16" s="1153">
        <f t="shared" si="10"/>
        <v>-4.7519260400616298E-2</v>
      </c>
      <c r="BF16" s="1153">
        <f t="shared" si="10"/>
        <v>-7.4801110083256239E-2</v>
      </c>
      <c r="BG16" s="1480">
        <f t="shared" si="10"/>
        <v>-6.4679125801220178E-2</v>
      </c>
      <c r="BH16" s="1153">
        <f t="shared" si="10"/>
        <v>-4.5187969924812048E-2</v>
      </c>
      <c r="BI16" s="1153">
        <f t="shared" si="10"/>
        <v>-4.3735810113519111E-2</v>
      </c>
      <c r="BJ16" s="1153">
        <f t="shared" si="10"/>
        <v>-7.8993583248902037E-3</v>
      </c>
      <c r="BK16" s="1153">
        <v>-0.02</v>
      </c>
      <c r="BL16" s="1480">
        <v>-0.03</v>
      </c>
      <c r="BM16" s="1153">
        <v>-0.01</v>
      </c>
      <c r="BN16" s="1153">
        <v>0.03</v>
      </c>
      <c r="BO16" s="1153">
        <v>0.04</v>
      </c>
      <c r="BP16" s="1153">
        <v>0.03</v>
      </c>
      <c r="BQ16" s="1480">
        <v>0.02</v>
      </c>
      <c r="BR16" s="1153">
        <v>0.01</v>
      </c>
      <c r="BS16" s="1153">
        <v>-0.01</v>
      </c>
      <c r="BT16" s="1153">
        <v>-0.01</v>
      </c>
      <c r="BU16" s="1153">
        <f t="shared" ref="BU16:BZ16" si="11">BU13-BU14-BU15</f>
        <v>8.1314232326378157E-3</v>
      </c>
      <c r="BV16" s="1480">
        <f t="shared" si="11"/>
        <v>-6.3439736270801128E-4</v>
      </c>
      <c r="BW16" s="1153">
        <f t="shared" si="11"/>
        <v>1.5884476534296033E-2</v>
      </c>
      <c r="BX16" s="1153">
        <f t="shared" si="11"/>
        <v>3.6669970267591667E-2</v>
      </c>
      <c r="BY16" s="1153">
        <f t="shared" si="11"/>
        <v>4.3876882776686221E-2</v>
      </c>
      <c r="BZ16" s="1153">
        <f t="shared" si="11"/>
        <v>4.3369734789391545E-2</v>
      </c>
      <c r="CA16" s="1480">
        <f>CA13-CA15-CA14</f>
        <v>3.5500995355010057E-2</v>
      </c>
      <c r="CB16" s="1153">
        <v>0.06</v>
      </c>
      <c r="CC16" s="1153">
        <v>7.0000000000000007E-2</v>
      </c>
      <c r="CD16" s="1153">
        <v>0.05</v>
      </c>
      <c r="CE16" s="1153">
        <v>0.05</v>
      </c>
      <c r="CF16" s="1398">
        <f>CF13-CF15-CF14</f>
        <v>5.7305350849086743E-2</v>
      </c>
      <c r="CG16" s="1430">
        <v>0.02</v>
      </c>
      <c r="CH16" s="1430">
        <v>0.01</v>
      </c>
      <c r="CI16" s="1887">
        <v>0.02</v>
      </c>
      <c r="CJ16" s="1887">
        <v>0.01</v>
      </c>
      <c r="CK16" s="1480">
        <f>CK13-CK15-CK14</f>
        <v>9.6984337079133731E-3</v>
      </c>
      <c r="CL16" s="1887">
        <v>0.03</v>
      </c>
      <c r="CM16" s="1887">
        <v>0.02</v>
      </c>
      <c r="CN16" s="1887">
        <v>0</v>
      </c>
      <c r="CO16" s="1430">
        <v>0</v>
      </c>
      <c r="CP16" s="1480">
        <f>CP13-CP15-CP14</f>
        <v>1.7714266851702021E-2</v>
      </c>
      <c r="CQ16" s="1887">
        <v>0.03</v>
      </c>
      <c r="CR16" s="1887">
        <v>0.01</v>
      </c>
      <c r="CS16" s="1887">
        <v>0.02</v>
      </c>
      <c r="CT16" s="1430">
        <f>CT13-CT15-CT14</f>
        <v>7.2669780782296488E-5</v>
      </c>
      <c r="CU16" s="1398">
        <f>CU13-CU15-CU14</f>
        <v>1.4546589383547989E-2</v>
      </c>
      <c r="CV16" s="2119">
        <v>2.5000000000000001E-2</v>
      </c>
      <c r="CW16" s="2119">
        <v>0.03</v>
      </c>
      <c r="CX16" s="2119">
        <v>0.03</v>
      </c>
      <c r="CY16" s="2217">
        <f>CY13-CY15-CY14</f>
        <v>1.7721155826760704E-2</v>
      </c>
      <c r="CZ16" s="1398">
        <f>CZ13-CZ15-CZ14</f>
        <v>2.8643921450698193E-2</v>
      </c>
      <c r="DA16" s="1398">
        <f>DA13-DA15-DA14</f>
        <v>2.1233870090460405E-2</v>
      </c>
      <c r="DB16" s="1398">
        <f>DB13-DB15-DB14</f>
        <v>1.9932896705675107E-2</v>
      </c>
      <c r="DC16" s="1398">
        <f>DC13-DC15-DC14</f>
        <v>1.8263476087131414E-2</v>
      </c>
      <c r="DE16" s="1855"/>
    </row>
    <row r="17" spans="1:109" s="1473" customFormat="1" ht="12" customHeight="1">
      <c r="A17" s="1476"/>
      <c r="B17" s="1476"/>
      <c r="C17" s="1478"/>
      <c r="D17" s="1479"/>
      <c r="E17" s="1476"/>
      <c r="F17" s="1270"/>
      <c r="G17" s="1476"/>
      <c r="H17" s="1476"/>
      <c r="I17" s="1476"/>
      <c r="J17" s="1476"/>
      <c r="K17" s="1476"/>
      <c r="L17" s="1476"/>
      <c r="M17" s="1476"/>
      <c r="N17" s="1474"/>
      <c r="O17" s="1476"/>
      <c r="P17" s="1476"/>
      <c r="Q17" s="1476"/>
      <c r="R17" s="1476"/>
      <c r="S17" s="1474"/>
      <c r="T17" s="1476"/>
      <c r="U17" s="1476"/>
      <c r="V17" s="1476"/>
      <c r="W17" s="1476"/>
      <c r="X17" s="1474"/>
      <c r="Y17" s="1476"/>
      <c r="Z17" s="1476"/>
      <c r="AA17" s="1476"/>
      <c r="AB17" s="1476"/>
      <c r="AC17" s="1474"/>
      <c r="AD17" s="1476"/>
      <c r="AE17" s="1476"/>
      <c r="AF17" s="1476"/>
      <c r="AG17" s="1476"/>
      <c r="AH17" s="1474"/>
      <c r="AI17" s="1478"/>
      <c r="AJ17" s="1478"/>
      <c r="AK17" s="1478"/>
      <c r="AL17" s="1476"/>
      <c r="AM17" s="1474"/>
      <c r="AN17" s="1476"/>
      <c r="AO17" s="1476"/>
      <c r="AP17" s="1476"/>
      <c r="AQ17" s="1476"/>
      <c r="AR17" s="1474"/>
      <c r="AS17" s="1476"/>
      <c r="AT17" s="1476"/>
      <c r="AU17" s="1476"/>
      <c r="AV17" s="1476"/>
      <c r="AW17" s="1474"/>
      <c r="AX17" s="1478"/>
      <c r="AY17" s="1476"/>
      <c r="AZ17" s="1476"/>
      <c r="BA17" s="1476"/>
      <c r="BB17" s="1474"/>
      <c r="BC17" s="1476"/>
      <c r="BD17" s="1476"/>
      <c r="BE17" s="1476"/>
      <c r="BF17" s="1476"/>
      <c r="BG17" s="1474"/>
      <c r="BH17" s="1476"/>
      <c r="BI17" s="1476"/>
      <c r="BJ17" s="1476"/>
      <c r="BK17" s="1476"/>
      <c r="BL17" s="1474"/>
      <c r="BM17" s="1476"/>
      <c r="BN17" s="1476"/>
      <c r="BO17" s="1476"/>
      <c r="BP17" s="1476"/>
      <c r="BQ17" s="1474"/>
      <c r="BR17" s="1476"/>
      <c r="BS17" s="1476"/>
      <c r="BT17" s="1476"/>
      <c r="BU17" s="1477"/>
      <c r="BV17" s="1474"/>
      <c r="BW17" s="1476"/>
      <c r="BX17" s="1476"/>
      <c r="BY17" s="1476"/>
      <c r="BZ17" s="1476"/>
      <c r="CA17" s="1474"/>
      <c r="CB17" s="1476"/>
      <c r="CC17" s="1476"/>
      <c r="CD17" s="1476"/>
      <c r="CE17" s="1476"/>
      <c r="CF17" s="1474"/>
      <c r="CG17" s="1475"/>
      <c r="CH17" s="1475"/>
      <c r="CI17" s="1475"/>
      <c r="CJ17" s="1475"/>
      <c r="CK17" s="1474"/>
      <c r="CL17" s="1475"/>
      <c r="CM17" s="1475"/>
      <c r="CN17" s="1475"/>
      <c r="CO17" s="1475"/>
      <c r="CP17" s="1474"/>
      <c r="CQ17" s="1475"/>
      <c r="CR17" s="1475"/>
      <c r="CS17" s="1475"/>
      <c r="CT17" s="1475"/>
      <c r="CU17" s="1474"/>
      <c r="CV17" s="1475"/>
      <c r="CW17" s="1475"/>
      <c r="CX17" s="1475"/>
      <c r="CY17" s="1475"/>
      <c r="CZ17" s="1474"/>
      <c r="DA17" s="1474"/>
      <c r="DB17" s="1474"/>
      <c r="DC17" s="1474"/>
    </row>
    <row r="18" spans="1:109" s="1178" customFormat="1" ht="12" customHeight="1">
      <c r="A18" s="1467"/>
      <c r="B18" s="1467"/>
      <c r="C18" s="1466" t="s">
        <v>1015</v>
      </c>
      <c r="D18" s="1440"/>
      <c r="E18" s="1467"/>
      <c r="F18" s="1472"/>
      <c r="G18" s="1471"/>
      <c r="H18" s="1471"/>
      <c r="I18" s="1471"/>
      <c r="J18" s="1471">
        <f>J12-J22</f>
        <v>1309.75</v>
      </c>
      <c r="K18" s="1471">
        <f>K12-K22</f>
        <v>1298.75</v>
      </c>
      <c r="L18" s="1471">
        <f>L12-L22</f>
        <v>1261.75</v>
      </c>
      <c r="M18" s="1471">
        <f>M12-M22</f>
        <v>1319.75</v>
      </c>
      <c r="N18" s="1429">
        <v>5190</v>
      </c>
      <c r="O18" s="1469">
        <v>1288.25</v>
      </c>
      <c r="P18" s="1469">
        <v>1274.25</v>
      </c>
      <c r="Q18" s="1469">
        <v>1350.25</v>
      </c>
      <c r="R18" s="1469">
        <v>1419.25</v>
      </c>
      <c r="S18" s="1429">
        <v>5332</v>
      </c>
      <c r="T18" s="1469">
        <v>1267.5</v>
      </c>
      <c r="U18" s="1469">
        <v>1382.5</v>
      </c>
      <c r="V18" s="1469">
        <v>1425.5</v>
      </c>
      <c r="W18" s="1469">
        <v>1540.5</v>
      </c>
      <c r="X18" s="1429">
        <v>5616</v>
      </c>
      <c r="Y18" s="1469">
        <v>1467.5</v>
      </c>
      <c r="Z18" s="1469">
        <v>1581.5</v>
      </c>
      <c r="AA18" s="1469">
        <v>1552.5</v>
      </c>
      <c r="AB18" s="1469">
        <v>1794.5</v>
      </c>
      <c r="AC18" s="1429">
        <v>6331</v>
      </c>
      <c r="AD18" s="1469">
        <v>1688.25</v>
      </c>
      <c r="AE18" s="1469">
        <v>1769.25</v>
      </c>
      <c r="AF18" s="1469">
        <v>1788.25</v>
      </c>
      <c r="AG18" s="1469">
        <v>1959.25</v>
      </c>
      <c r="AH18" s="1429">
        <v>7176</v>
      </c>
      <c r="AI18" s="1470">
        <v>1853.75</v>
      </c>
      <c r="AJ18" s="1470">
        <v>1933.75</v>
      </c>
      <c r="AK18" s="1470">
        <v>1871.75</v>
      </c>
      <c r="AL18" s="1470">
        <v>1986.75</v>
      </c>
      <c r="AM18" s="1429">
        <v>7646</v>
      </c>
      <c r="AN18" s="1469">
        <f t="shared" ref="AN18:AV18" si="12">AN12-AN22</f>
        <v>1861.25</v>
      </c>
      <c r="AO18" s="1469">
        <f t="shared" si="12"/>
        <v>2005.25</v>
      </c>
      <c r="AP18" s="1469">
        <f t="shared" si="12"/>
        <v>2024.25</v>
      </c>
      <c r="AQ18" s="1469">
        <f t="shared" si="12"/>
        <v>2282.25</v>
      </c>
      <c r="AR18" s="1429">
        <f t="shared" si="12"/>
        <v>8173</v>
      </c>
      <c r="AS18" s="1469">
        <f t="shared" si="12"/>
        <v>2193.5</v>
      </c>
      <c r="AT18" s="1469">
        <f t="shared" si="12"/>
        <v>2272.5</v>
      </c>
      <c r="AU18" s="1469">
        <f t="shared" si="12"/>
        <v>2316.5</v>
      </c>
      <c r="AV18" s="1469">
        <f t="shared" si="12"/>
        <v>2684.5</v>
      </c>
      <c r="AW18" s="1429">
        <f>SUM(AS18:AV18)</f>
        <v>9467</v>
      </c>
      <c r="AX18" s="1470">
        <f>AX12-AX22</f>
        <v>2424.25</v>
      </c>
      <c r="AY18" s="1469">
        <f>AY12-AY22</f>
        <v>2678.25</v>
      </c>
      <c r="AZ18" s="1469">
        <f>AZ12-AZ22</f>
        <v>2541.25</v>
      </c>
      <c r="BA18" s="1469">
        <f>BA12-BA22</f>
        <v>2604.25</v>
      </c>
      <c r="BB18" s="1429">
        <f>SUM(AX18:BA18)</f>
        <v>10248</v>
      </c>
      <c r="BC18" s="1469">
        <f>BC12-BC22</f>
        <v>2081</v>
      </c>
      <c r="BD18" s="1469">
        <f>BD12-BD22</f>
        <v>2220</v>
      </c>
      <c r="BE18" s="1469">
        <f>BE12-BE22</f>
        <v>2225</v>
      </c>
      <c r="BF18" s="1469">
        <f>BF12-BF22</f>
        <v>2440</v>
      </c>
      <c r="BG18" s="1429">
        <f>SUM(BC18:BF18)</f>
        <v>8966</v>
      </c>
      <c r="BH18" s="1469">
        <f>BH12-BH22</f>
        <v>2066.25</v>
      </c>
      <c r="BI18" s="1469">
        <f>BI12-BI22</f>
        <v>2127.25</v>
      </c>
      <c r="BJ18" s="1469">
        <f>BJ12-BJ22</f>
        <v>2165.25</v>
      </c>
      <c r="BK18" s="1469">
        <f>BK12-BK22</f>
        <v>2351.25</v>
      </c>
      <c r="BL18" s="1429">
        <f>SUM(BH18:BK18)</f>
        <v>8710</v>
      </c>
      <c r="BM18" s="1469">
        <f>BM12-BM22</f>
        <v>2084.25</v>
      </c>
      <c r="BN18" s="1469">
        <f>BN12-BN22</f>
        <v>2389.25</v>
      </c>
      <c r="BO18" s="1469">
        <f>BO12-BO22</f>
        <v>2434.25</v>
      </c>
      <c r="BP18" s="1469">
        <f>BP12-BP22</f>
        <v>2418.25</v>
      </c>
      <c r="BQ18" s="1429">
        <f>SUM(BM18:BP18)</f>
        <v>9326</v>
      </c>
      <c r="BR18" s="1469">
        <f>BR12-BR22</f>
        <v>2121</v>
      </c>
      <c r="BS18" s="1469">
        <f>BS12-BS22</f>
        <v>2286</v>
      </c>
      <c r="BT18" s="1469">
        <f>BT12-BT22</f>
        <v>2306</v>
      </c>
      <c r="BU18" s="1469">
        <f>BU12-BU22</f>
        <v>2447</v>
      </c>
      <c r="BV18" s="1429">
        <f>SUM(BR18:BU18)</f>
        <v>9160</v>
      </c>
      <c r="BW18" s="1469">
        <f>BW12-BW22</f>
        <v>2176.75</v>
      </c>
      <c r="BX18" s="1469">
        <f>BX12-BX22</f>
        <v>2396.75</v>
      </c>
      <c r="BY18" s="1469">
        <f>BY12-BY22</f>
        <v>2435.75</v>
      </c>
      <c r="BZ18" s="1469">
        <f>BZ12-BZ22</f>
        <v>2587.75</v>
      </c>
      <c r="CA18" s="1429">
        <f>SUM(BW18:BZ18)</f>
        <v>9597</v>
      </c>
      <c r="CB18" s="1469">
        <f>CB12-CB22</f>
        <v>2315.75</v>
      </c>
      <c r="CC18" s="1469">
        <f>CC12-CC22</f>
        <v>2598.75</v>
      </c>
      <c r="CD18" s="1469">
        <f>CD12-CD22</f>
        <v>2555.75</v>
      </c>
      <c r="CE18" s="1469">
        <f>CE12-CE22</f>
        <v>2575.75</v>
      </c>
      <c r="CF18" s="1429">
        <f>SUM(CB18:CE18)</f>
        <v>10046</v>
      </c>
      <c r="CG18" s="1468">
        <f t="shared" ref="CG18:CZ18" si="13">CG12-CG22</f>
        <v>2168</v>
      </c>
      <c r="CH18" s="1468">
        <f t="shared" si="13"/>
        <v>2419</v>
      </c>
      <c r="CI18" s="1468">
        <f t="shared" si="13"/>
        <v>2339</v>
      </c>
      <c r="CJ18" s="1468">
        <f t="shared" si="13"/>
        <v>2489</v>
      </c>
      <c r="CK18" s="1429">
        <f t="shared" si="13"/>
        <v>9348.2750663961306</v>
      </c>
      <c r="CL18" s="1468">
        <f t="shared" si="13"/>
        <v>2191.25</v>
      </c>
      <c r="CM18" s="1468">
        <f t="shared" si="13"/>
        <v>2457.25</v>
      </c>
      <c r="CN18" s="1468">
        <f t="shared" si="13"/>
        <v>2381.25</v>
      </c>
      <c r="CO18" s="1468">
        <f t="shared" si="13"/>
        <v>2486.25</v>
      </c>
      <c r="CP18" s="1429">
        <f t="shared" si="13"/>
        <v>9516</v>
      </c>
      <c r="CQ18" s="1468">
        <f>CQ12-CQ22</f>
        <v>2304.25</v>
      </c>
      <c r="CR18" s="1468">
        <f>CR12-CR22</f>
        <v>2532.25</v>
      </c>
      <c r="CS18" s="1468">
        <f>CS12-CS22</f>
        <v>2552.25</v>
      </c>
      <c r="CT18" s="1468">
        <f>CT12-CT22</f>
        <v>2563.6441334254705</v>
      </c>
      <c r="CU18" s="1429">
        <f t="shared" si="13"/>
        <v>9952.3941334254705</v>
      </c>
      <c r="CV18" s="1468">
        <f>CV12-CV22</f>
        <v>2429.0712715734471</v>
      </c>
      <c r="CW18" s="1468">
        <f>CW12-CW22</f>
        <v>2747.5487652825045</v>
      </c>
      <c r="CX18" s="1468">
        <f>CX12-CX22</f>
        <v>2760.7517697665621</v>
      </c>
      <c r="CY18" s="1468">
        <f>CY12-CY22</f>
        <v>2621.2899844967833</v>
      </c>
      <c r="CZ18" s="1429">
        <f t="shared" si="13"/>
        <v>10558.661791119297</v>
      </c>
      <c r="DA18" s="1429">
        <f>DA12-DA22</f>
        <v>10761.661326608955</v>
      </c>
      <c r="DB18" s="1429">
        <f>DB12-DB22</f>
        <v>10948.372180546616</v>
      </c>
      <c r="DC18" s="1429">
        <f>DC12-DC22</f>
        <v>11162.625722448976</v>
      </c>
      <c r="DE18" s="1856">
        <f>CU15*CP12*CU36</f>
        <v>-2.0990964307963638</v>
      </c>
    </row>
    <row r="19" spans="1:109" s="1178" customFormat="1" ht="12" customHeight="1">
      <c r="A19" s="1467"/>
      <c r="B19" s="1467"/>
      <c r="C19" s="1466"/>
      <c r="D19" s="1393" t="s">
        <v>282</v>
      </c>
      <c r="E19" s="1465"/>
      <c r="F19" s="1432" t="str">
        <f t="shared" ref="F19:M19" si="14">IF(ISERROR(F18/B18-1),"-",F18/B18-1)</f>
        <v>-</v>
      </c>
      <c r="G19" s="1432" t="str">
        <f t="shared" si="14"/>
        <v>-</v>
      </c>
      <c r="H19" s="1432" t="str">
        <f t="shared" si="14"/>
        <v>-</v>
      </c>
      <c r="I19" s="1432" t="str">
        <f t="shared" si="14"/>
        <v>-</v>
      </c>
      <c r="J19" s="1432" t="str">
        <f t="shared" si="14"/>
        <v>-</v>
      </c>
      <c r="K19" s="1432" t="str">
        <f t="shared" si="14"/>
        <v>-</v>
      </c>
      <c r="L19" s="1432" t="str">
        <f t="shared" si="14"/>
        <v>-</v>
      </c>
      <c r="M19" s="1432" t="str">
        <f t="shared" si="14"/>
        <v>-</v>
      </c>
      <c r="N19" s="1398"/>
      <c r="O19" s="1153">
        <v>-1.6415346440160294E-2</v>
      </c>
      <c r="P19" s="1153">
        <v>-1.8864292589027887E-2</v>
      </c>
      <c r="Q19" s="1153">
        <v>7.0140677630275317E-2</v>
      </c>
      <c r="R19" s="1153">
        <v>7.5393066868725045E-2</v>
      </c>
      <c r="S19" s="1398">
        <v>2.736030828516367E-2</v>
      </c>
      <c r="T19" s="1153">
        <v>-1.610712206481657E-2</v>
      </c>
      <c r="U19" s="1153">
        <v>8.4951932509319317E-2</v>
      </c>
      <c r="V19" s="1153">
        <v>5.5730420292538385E-2</v>
      </c>
      <c r="W19" s="1153">
        <v>8.5432446714814203E-2</v>
      </c>
      <c r="X19" s="1398">
        <v>5.3263315828957269E-2</v>
      </c>
      <c r="Y19" s="1153">
        <v>0.15779092702169617</v>
      </c>
      <c r="Z19" s="1153">
        <v>0.14394213381555154</v>
      </c>
      <c r="AA19" s="1153">
        <v>8.9091546825675216E-2</v>
      </c>
      <c r="AB19" s="1153">
        <v>0.16488153197013955</v>
      </c>
      <c r="AC19" s="1398">
        <v>0.12731481481481488</v>
      </c>
      <c r="AD19" s="1153">
        <v>0.1504258943781942</v>
      </c>
      <c r="AE19" s="1153">
        <v>0.1187164084729686</v>
      </c>
      <c r="AF19" s="1153">
        <v>0.1518518518518519</v>
      </c>
      <c r="AG19" s="1153">
        <v>9.1808303148509296E-2</v>
      </c>
      <c r="AH19" s="1398">
        <v>0.13347022587268986</v>
      </c>
      <c r="AI19" s="1431">
        <v>9.8030504960758158E-2</v>
      </c>
      <c r="AJ19" s="1431">
        <v>9.2977250247279875E-2</v>
      </c>
      <c r="AK19" s="1431">
        <v>4.6693694953166442E-2</v>
      </c>
      <c r="AL19" s="1431">
        <v>1.4035983156820198E-2</v>
      </c>
      <c r="AM19" s="1398">
        <v>6.5496098104793843E-2</v>
      </c>
      <c r="AN19" s="1153">
        <f t="shared" ref="AN19:BS19" si="15">IF(ISERROR(AN18/AI18-1),"-",AN18/AI18-1)</f>
        <v>4.0458530006743931E-3</v>
      </c>
      <c r="AO19" s="1153">
        <f t="shared" si="15"/>
        <v>3.6974789915966477E-2</v>
      </c>
      <c r="AP19" s="1153">
        <f t="shared" si="15"/>
        <v>8.1474555896887901E-2</v>
      </c>
      <c r="AQ19" s="1153">
        <f t="shared" si="15"/>
        <v>0.14873537183842966</v>
      </c>
      <c r="AR19" s="1398">
        <f t="shared" si="15"/>
        <v>6.8924928066963043E-2</v>
      </c>
      <c r="AS19" s="1153">
        <f t="shared" si="15"/>
        <v>0.17850906648757547</v>
      </c>
      <c r="AT19" s="1153">
        <f t="shared" si="15"/>
        <v>0.13327515272409918</v>
      </c>
      <c r="AU19" s="1153">
        <f t="shared" si="15"/>
        <v>0.14437445967642337</v>
      </c>
      <c r="AV19" s="1153">
        <f t="shared" si="15"/>
        <v>0.17625150618906771</v>
      </c>
      <c r="AW19" s="1398">
        <f t="shared" si="15"/>
        <v>0.15832619601125653</v>
      </c>
      <c r="AX19" s="1431">
        <f t="shared" si="15"/>
        <v>0.10519717346706181</v>
      </c>
      <c r="AY19" s="1153">
        <f t="shared" si="15"/>
        <v>0.17854785478547863</v>
      </c>
      <c r="AZ19" s="1153">
        <f t="shared" si="15"/>
        <v>9.7021368443772849E-2</v>
      </c>
      <c r="BA19" s="1153">
        <f t="shared" si="15"/>
        <v>-2.989383497858078E-2</v>
      </c>
      <c r="BB19" s="1398">
        <f t="shared" si="15"/>
        <v>8.2497095172705093E-2</v>
      </c>
      <c r="BC19" s="1153">
        <f t="shared" si="15"/>
        <v>-0.14159018253067956</v>
      </c>
      <c r="BD19" s="1153">
        <f t="shared" si="15"/>
        <v>-0.17110053206384768</v>
      </c>
      <c r="BE19" s="1153">
        <f t="shared" si="15"/>
        <v>-0.12444663059517957</v>
      </c>
      <c r="BF19" s="1153">
        <f t="shared" si="15"/>
        <v>-6.3069981760583649E-2</v>
      </c>
      <c r="BG19" s="1398">
        <f t="shared" si="15"/>
        <v>-0.12509758001561277</v>
      </c>
      <c r="BH19" s="1153">
        <f t="shared" si="15"/>
        <v>-7.0879384911100018E-3</v>
      </c>
      <c r="BI19" s="1153">
        <f t="shared" si="15"/>
        <v>-4.1779279279279269E-2</v>
      </c>
      <c r="BJ19" s="1153">
        <f t="shared" si="15"/>
        <v>-2.6853932584269713E-2</v>
      </c>
      <c r="BK19" s="1153">
        <f t="shared" si="15"/>
        <v>-3.6372950819672178E-2</v>
      </c>
      <c r="BL19" s="1398">
        <f t="shared" si="15"/>
        <v>-2.8552308721838005E-2</v>
      </c>
      <c r="BM19" s="1153">
        <f t="shared" si="15"/>
        <v>8.7114337568057199E-3</v>
      </c>
      <c r="BN19" s="1153">
        <f t="shared" si="15"/>
        <v>0.12316370901398521</v>
      </c>
      <c r="BO19" s="1153">
        <f t="shared" si="15"/>
        <v>0.12423507678097212</v>
      </c>
      <c r="BP19" s="1153">
        <f t="shared" si="15"/>
        <v>2.8495481127060129E-2</v>
      </c>
      <c r="BQ19" s="1398">
        <f t="shared" si="15"/>
        <v>7.0723306544202114E-2</v>
      </c>
      <c r="BR19" s="1153">
        <f t="shared" si="15"/>
        <v>1.7632241813602123E-2</v>
      </c>
      <c r="BS19" s="1153">
        <f t="shared" si="15"/>
        <v>-4.3214397823584827E-2</v>
      </c>
      <c r="BT19" s="1153">
        <f t="shared" ref="BT19:CP19" si="16">IF(ISERROR(BT18/BO18-1),"-",BT18/BO18-1)</f>
        <v>-5.2685632124884418E-2</v>
      </c>
      <c r="BU19" s="1153">
        <f t="shared" si="16"/>
        <v>1.1888762534890907E-2</v>
      </c>
      <c r="BV19" s="1398">
        <f t="shared" si="16"/>
        <v>-1.7799699764100341E-2</v>
      </c>
      <c r="BW19" s="1153">
        <f t="shared" si="16"/>
        <v>2.6284771334276202E-2</v>
      </c>
      <c r="BX19" s="1153">
        <f t="shared" si="16"/>
        <v>4.8447069116360542E-2</v>
      </c>
      <c r="BY19" s="1153">
        <f t="shared" si="16"/>
        <v>5.6266261925411953E-2</v>
      </c>
      <c r="BZ19" s="1153">
        <f t="shared" si="16"/>
        <v>5.7519411524315389E-2</v>
      </c>
      <c r="CA19" s="1398">
        <f t="shared" si="16"/>
        <v>4.7707423580785946E-2</v>
      </c>
      <c r="CB19" s="1153">
        <f t="shared" si="16"/>
        <v>6.3856667049500437E-2</v>
      </c>
      <c r="CC19" s="1153">
        <f t="shared" si="16"/>
        <v>8.4280796912485689E-2</v>
      </c>
      <c r="CD19" s="1153">
        <f t="shared" si="16"/>
        <v>4.9266139792671693E-2</v>
      </c>
      <c r="CE19" s="1153">
        <f t="shared" si="16"/>
        <v>-4.6372331175731363E-3</v>
      </c>
      <c r="CF19" s="1398">
        <f t="shared" si="16"/>
        <v>4.6785453787641984E-2</v>
      </c>
      <c r="CG19" s="1430">
        <f t="shared" si="16"/>
        <v>-6.3802223901543775E-2</v>
      </c>
      <c r="CH19" s="1430">
        <f t="shared" si="16"/>
        <v>-6.9167869167869211E-2</v>
      </c>
      <c r="CI19" s="1430">
        <f t="shared" si="16"/>
        <v>-8.480876455052333E-2</v>
      </c>
      <c r="CJ19" s="1430">
        <f t="shared" si="16"/>
        <v>-3.3679510822090641E-2</v>
      </c>
      <c r="CK19" s="1398">
        <f t="shared" si="16"/>
        <v>-6.9453009516610487E-2</v>
      </c>
      <c r="CL19" s="1430">
        <f t="shared" si="16"/>
        <v>1.072416974169732E-2</v>
      </c>
      <c r="CM19" s="1430">
        <f t="shared" si="16"/>
        <v>1.5812319140140474E-2</v>
      </c>
      <c r="CN19" s="1430">
        <f t="shared" si="16"/>
        <v>1.8063274903804993E-2</v>
      </c>
      <c r="CO19" s="1430">
        <f t="shared" si="16"/>
        <v>-1.1048613901165627E-3</v>
      </c>
      <c r="CP19" s="1398">
        <f t="shared" si="16"/>
        <v>1.7941805564406499E-2</v>
      </c>
      <c r="CQ19" s="1430">
        <f t="shared" ref="CQ19:CZ19" si="17">IF(ISERROR(CQ18/CL18-1),"-",CQ18/CL18-1)</f>
        <v>5.156873930405026E-2</v>
      </c>
      <c r="CR19" s="1430">
        <f t="shared" si="17"/>
        <v>3.0521924916064647E-2</v>
      </c>
      <c r="CS19" s="1430">
        <f t="shared" si="17"/>
        <v>7.1811023622047276E-2</v>
      </c>
      <c r="CT19" s="1430">
        <f t="shared" si="17"/>
        <v>3.1128862111803102E-2</v>
      </c>
      <c r="CU19" s="1398">
        <f t="shared" si="17"/>
        <v>4.5858988380146126E-2</v>
      </c>
      <c r="CV19" s="2217">
        <f t="shared" si="17"/>
        <v>5.4170021296928272E-2</v>
      </c>
      <c r="CW19" s="2217">
        <f t="shared" si="17"/>
        <v>8.5022713113833248E-2</v>
      </c>
      <c r="CX19" s="2217">
        <f t="shared" si="17"/>
        <v>8.1693317569423884E-2</v>
      </c>
      <c r="CY19" s="2217">
        <f t="shared" si="17"/>
        <v>2.2485902126473389E-2</v>
      </c>
      <c r="CZ19" s="1398">
        <f t="shared" si="17"/>
        <v>6.0916765309530385E-2</v>
      </c>
      <c r="DA19" s="1398">
        <f>IF(ISERROR(DA18/CZ18-1),"-",DA18/CZ18-1)</f>
        <v>1.922587724709568E-2</v>
      </c>
      <c r="DB19" s="1398">
        <f>IF(ISERROR(DB18/DA18-1),"-",DB18/DA18-1)</f>
        <v>1.7349631090508799E-2</v>
      </c>
      <c r="DC19" s="1398">
        <f>IF(ISERROR(DC18/DB18-1),"-",DC18/DB18-1)</f>
        <v>1.9569442686927729E-2</v>
      </c>
    </row>
    <row r="20" spans="1:109" s="1178" customFormat="1" ht="12" customHeight="1">
      <c r="A20" s="1467"/>
      <c r="B20" s="1467"/>
      <c r="C20" s="1466"/>
      <c r="D20" s="1393" t="s">
        <v>1014</v>
      </c>
      <c r="E20" s="1465"/>
      <c r="F20" s="1432"/>
      <c r="G20" s="1432"/>
      <c r="H20" s="1432"/>
      <c r="I20" s="1432"/>
      <c r="J20" s="1432"/>
      <c r="K20" s="1432"/>
      <c r="L20" s="1432"/>
      <c r="M20" s="1432"/>
      <c r="N20" s="1461"/>
      <c r="O20" s="1463">
        <v>-5.065775911433577</v>
      </c>
      <c r="P20" s="1463">
        <v>-9.6459416105228684</v>
      </c>
      <c r="Q20" s="1463">
        <v>2.1098315831186834</v>
      </c>
      <c r="R20" s="1463">
        <v>0.93321181982390422</v>
      </c>
      <c r="S20" s="1461">
        <v>0.90998906420871251</v>
      </c>
      <c r="T20" s="1463">
        <v>2.0778187463613338</v>
      </c>
      <c r="U20" s="1463">
        <v>0.91308475711065573</v>
      </c>
      <c r="V20" s="1463">
        <v>0.45342970227541696</v>
      </c>
      <c r="W20" s="1463">
        <v>0.96125646998986247</v>
      </c>
      <c r="X20" s="1461">
        <v>0.71370591062141808</v>
      </c>
      <c r="Y20" s="1463">
        <v>0.8534044503708641</v>
      </c>
      <c r="Z20" s="1463">
        <v>0.87616951018161759</v>
      </c>
      <c r="AA20" s="1463">
        <v>0.79318749597348537</v>
      </c>
      <c r="AB20" s="1463">
        <v>0.84730787262432816</v>
      </c>
      <c r="AC20" s="1461">
        <v>0.77700824704632987</v>
      </c>
      <c r="AD20" s="1463">
        <v>0.97083378641245965</v>
      </c>
      <c r="AE20" s="1463">
        <v>0.9797860547389301</v>
      </c>
      <c r="AF20" s="1463">
        <v>1.0269841269841267</v>
      </c>
      <c r="AG20" s="1463">
        <v>0.99458995077551848</v>
      </c>
      <c r="AH20" s="1461">
        <v>0.98695753777314643</v>
      </c>
      <c r="AI20" s="1464">
        <v>0.93663691557960704</v>
      </c>
      <c r="AJ20" s="1464">
        <v>0.91846445852380554</v>
      </c>
      <c r="AK20" s="1464">
        <v>0.77636979369891623</v>
      </c>
      <c r="AL20" s="1464">
        <v>0.54649779581554569</v>
      </c>
      <c r="AM20" s="1461">
        <v>1.0232628243837498</v>
      </c>
      <c r="AN20" s="1463">
        <f t="shared" ref="AN20:BS20" si="18">AN19/AN13</f>
        <v>0.36132579490638089</v>
      </c>
      <c r="AO20" s="1463">
        <f t="shared" si="18"/>
        <v>0.78328173374613119</v>
      </c>
      <c r="AP20" s="1463">
        <f t="shared" si="18"/>
        <v>0.94799458634704059</v>
      </c>
      <c r="AQ20" s="1463">
        <f t="shared" si="18"/>
        <v>0.98996984051600001</v>
      </c>
      <c r="AR20" s="1461">
        <f t="shared" si="18"/>
        <v>0.92301564509254708</v>
      </c>
      <c r="AS20" s="1463">
        <f t="shared" si="18"/>
        <v>1.1029981266127031</v>
      </c>
      <c r="AT20" s="1463">
        <f t="shared" si="18"/>
        <v>1.0244767818822094</v>
      </c>
      <c r="AU20" s="1463">
        <f t="shared" si="18"/>
        <v>0.99816843415101353</v>
      </c>
      <c r="AV20" s="1463">
        <f t="shared" si="18"/>
        <v>0.97468794102226219</v>
      </c>
      <c r="AW20" s="1461">
        <f t="shared" si="18"/>
        <v>1.0214273084362575</v>
      </c>
      <c r="AX20" s="1464">
        <f t="shared" si="18"/>
        <v>0.87227321950803838</v>
      </c>
      <c r="AY20" s="1463">
        <f t="shared" si="18"/>
        <v>0.93459664647783547</v>
      </c>
      <c r="AZ20" s="1463">
        <f t="shared" si="18"/>
        <v>0.92185999272141539</v>
      </c>
      <c r="BA20" s="1463">
        <f t="shared" si="18"/>
        <v>0.83777472527472663</v>
      </c>
      <c r="BB20" s="1461">
        <f t="shared" si="18"/>
        <v>0.92150185726278111</v>
      </c>
      <c r="BC20" s="1463">
        <f t="shared" si="18"/>
        <v>1.0902800705196161</v>
      </c>
      <c r="BD20" s="1463">
        <f t="shared" si="18"/>
        <v>1.1718837246385061</v>
      </c>
      <c r="BE20" s="1463">
        <f t="shared" si="18"/>
        <v>1.4219342122583023</v>
      </c>
      <c r="BF20" s="1463">
        <f t="shared" si="18"/>
        <v>4.2611656426994333</v>
      </c>
      <c r="BG20" s="1461">
        <f t="shared" si="18"/>
        <v>1.3212794156787682</v>
      </c>
      <c r="BH20" s="1463">
        <f t="shared" si="18"/>
        <v>-0.28566539979322148</v>
      </c>
      <c r="BI20" s="1463">
        <f t="shared" si="18"/>
        <v>1.760179200940069</v>
      </c>
      <c r="BJ20" s="1463">
        <f t="shared" si="18"/>
        <v>1.5002734789060903</v>
      </c>
      <c r="BK20" s="1463">
        <f t="shared" si="18"/>
        <v>1.3205861121460536</v>
      </c>
      <c r="BL20" s="1461">
        <f t="shared" si="18"/>
        <v>2.324435521847966</v>
      </c>
      <c r="BM20" s="1463">
        <f t="shared" si="18"/>
        <v>0.5162471395880972</v>
      </c>
      <c r="BN20" s="1463">
        <f t="shared" si="18"/>
        <v>0.98739719260364356</v>
      </c>
      <c r="BO20" s="1463">
        <f t="shared" si="18"/>
        <v>1.0205525516357825</v>
      </c>
      <c r="BP20" s="1463">
        <f t="shared" si="18"/>
        <v>0.85130249867091912</v>
      </c>
      <c r="BQ20" s="1461">
        <f t="shared" si="18"/>
        <v>0.95443492596190582</v>
      </c>
      <c r="BR20" s="1463">
        <f t="shared" si="18"/>
        <v>-24.438287153653995</v>
      </c>
      <c r="BS20" s="1463">
        <f t="shared" si="18"/>
        <v>0.83600216880535072</v>
      </c>
      <c r="BT20" s="1463">
        <f t="shared" ref="BT20:CU20" si="19">BT19/BT13</f>
        <v>0.82625255765083172</v>
      </c>
      <c r="BU20" s="1463">
        <f t="shared" si="19"/>
        <v>-6.3624694165891436</v>
      </c>
      <c r="BV20" s="1461">
        <f t="shared" si="19"/>
        <v>0.58103639361185355</v>
      </c>
      <c r="BW20" s="1463">
        <f t="shared" si="19"/>
        <v>1.6547458317260242</v>
      </c>
      <c r="BX20" s="1463">
        <f t="shared" si="19"/>
        <v>1.3211646686056162</v>
      </c>
      <c r="BY20" s="1463">
        <f t="shared" si="19"/>
        <v>1.2823668949269289</v>
      </c>
      <c r="BZ20" s="1463">
        <f t="shared" si="19"/>
        <v>1.326256934787273</v>
      </c>
      <c r="CA20" s="1461">
        <f t="shared" si="19"/>
        <v>1.3438334081540975</v>
      </c>
      <c r="CB20" s="1463">
        <f t="shared" si="19"/>
        <v>1.2744160360091765</v>
      </c>
      <c r="CC20" s="1463">
        <f t="shared" si="19"/>
        <v>1.1650799150281057</v>
      </c>
      <c r="CD20" s="1463">
        <f t="shared" si="19"/>
        <v>1.1381192294133116</v>
      </c>
      <c r="CE20" s="1463">
        <f t="shared" si="19"/>
        <v>1.9383634431456058</v>
      </c>
      <c r="CF20" s="1461">
        <f t="shared" si="19"/>
        <v>1.1728305322990427</v>
      </c>
      <c r="CG20" s="1462">
        <f t="shared" si="19"/>
        <v>0.89778843632886607</v>
      </c>
      <c r="CH20" s="1462">
        <f t="shared" si="19"/>
        <v>0.87172239606696533</v>
      </c>
      <c r="CI20" s="1462">
        <f t="shared" si="19"/>
        <v>0.9967277416785888</v>
      </c>
      <c r="CJ20" s="1462">
        <f t="shared" si="19"/>
        <v>0.46427623182848921</v>
      </c>
      <c r="CK20" s="1461">
        <f t="shared" si="19"/>
        <v>0.84365858902926738</v>
      </c>
      <c r="CL20" s="1462">
        <f t="shared" si="19"/>
        <v>-0.9812615313653037</v>
      </c>
      <c r="CM20" s="1462">
        <f t="shared" si="19"/>
        <v>-48.986564696156755</v>
      </c>
      <c r="CN20" s="1462">
        <f t="shared" si="19"/>
        <v>-2.1986618212911364</v>
      </c>
      <c r="CO20" s="1462">
        <f t="shared" si="19"/>
        <v>0.11027229487163411</v>
      </c>
      <c r="CP20" s="1461">
        <f t="shared" si="19"/>
        <v>-10.542291734115425</v>
      </c>
      <c r="CQ20" s="1462">
        <f>CQ19/CQ13</f>
        <v>1.5731362607920958</v>
      </c>
      <c r="CR20" s="1462">
        <f>CR19/CR13</f>
        <v>2.7801882783839016</v>
      </c>
      <c r="CS20" s="1462">
        <f>CS19/CS13</f>
        <v>1.5704758644299894</v>
      </c>
      <c r="CT20" s="1462">
        <f>CT19/CT13</f>
        <v>1.5563673092106489</v>
      </c>
      <c r="CU20" s="1461">
        <f t="shared" si="19"/>
        <v>1.6924095439977653</v>
      </c>
      <c r="CV20" s="1462">
        <f>CV19/CV13</f>
        <v>1.100623866582525</v>
      </c>
      <c r="CW20" s="1462">
        <f>CW19/CW13</f>
        <v>1.1546787817465602</v>
      </c>
      <c r="CX20" s="1462">
        <f>CX19/CX13</f>
        <v>1.1094628359083705</v>
      </c>
      <c r="CY20" s="1462">
        <f>CY19/CY13</f>
        <v>1.2688733368349172</v>
      </c>
      <c r="CZ20" s="1461">
        <f>IF(ISERROR(CZ19/CZ13),"-",CZ19/CZ13)</f>
        <v>1.1337958243906301</v>
      </c>
      <c r="DA20" s="1461">
        <f>IF(ISERROR(DA19/DA13),"-",DA19/DA13)</f>
        <v>0.9054344387146438</v>
      </c>
      <c r="DB20" s="1461">
        <f>IF(ISERROR(DB19/DB13),"-",DB19/DB13)</f>
        <v>0.87040189625671294</v>
      </c>
      <c r="DC20" s="1461">
        <f>IF(ISERROR(DC19/DC13),"-",DC19/DC13)</f>
        <v>1.0715070117849312</v>
      </c>
    </row>
    <row r="21" spans="1:109" s="1178" customFormat="1" ht="12" customHeight="1">
      <c r="A21" s="1452"/>
      <c r="B21" s="1452"/>
      <c r="C21" s="1396"/>
      <c r="D21" s="1396"/>
      <c r="E21" s="1458"/>
      <c r="F21" s="1460"/>
      <c r="G21" s="1458"/>
      <c r="H21" s="1458"/>
      <c r="I21" s="1458"/>
      <c r="J21" s="1458"/>
      <c r="K21" s="1458"/>
      <c r="L21" s="1458"/>
      <c r="M21" s="1458"/>
      <c r="N21" s="1454"/>
      <c r="O21" s="1458"/>
      <c r="P21" s="1458"/>
      <c r="Q21" s="1458"/>
      <c r="R21" s="1458"/>
      <c r="S21" s="1454"/>
      <c r="T21" s="1458"/>
      <c r="U21" s="1458"/>
      <c r="V21" s="1458"/>
      <c r="W21" s="1458"/>
      <c r="X21" s="1454"/>
      <c r="Y21" s="1458"/>
      <c r="Z21" s="1458"/>
      <c r="AA21" s="1458"/>
      <c r="AB21" s="1458"/>
      <c r="AC21" s="1454"/>
      <c r="AD21" s="1458"/>
      <c r="AE21" s="1458"/>
      <c r="AF21" s="1458"/>
      <c r="AG21" s="1458"/>
      <c r="AH21" s="1454"/>
      <c r="AI21" s="1459"/>
      <c r="AJ21" s="1459"/>
      <c r="AK21" s="1459"/>
      <c r="AL21" s="1458"/>
      <c r="AM21" s="1454"/>
      <c r="AN21" s="1458"/>
      <c r="AO21" s="1458"/>
      <c r="AP21" s="1458"/>
      <c r="AQ21" s="1458"/>
      <c r="AR21" s="1454"/>
      <c r="AS21" s="1456"/>
      <c r="AT21" s="1456"/>
      <c r="AU21" s="1456"/>
      <c r="AV21" s="1456"/>
      <c r="AW21" s="1454"/>
      <c r="AX21" s="1457"/>
      <c r="AY21" s="1456"/>
      <c r="AZ21" s="1456"/>
      <c r="BA21" s="1456"/>
      <c r="BB21" s="1454"/>
      <c r="BC21" s="1456"/>
      <c r="BD21" s="1456"/>
      <c r="BE21" s="1456"/>
      <c r="BF21" s="1456"/>
      <c r="BG21" s="1454"/>
      <c r="BH21" s="1456"/>
      <c r="BI21" s="1456"/>
      <c r="BJ21" s="1456"/>
      <c r="BK21" s="1456"/>
      <c r="BL21" s="1454"/>
      <c r="BM21" s="1456"/>
      <c r="BN21" s="1456"/>
      <c r="BO21" s="1456"/>
      <c r="BP21" s="1456"/>
      <c r="BQ21" s="1454"/>
      <c r="BR21" s="1456"/>
      <c r="BS21" s="1456"/>
      <c r="BT21" s="1456"/>
      <c r="BU21" s="1456"/>
      <c r="BV21" s="1454"/>
      <c r="BW21" s="1456"/>
      <c r="BX21" s="1456"/>
      <c r="BY21" s="1456"/>
      <c r="BZ21" s="1456"/>
      <c r="CA21" s="1454"/>
      <c r="CB21" s="1456"/>
      <c r="CC21" s="1456"/>
      <c r="CD21" s="1456"/>
      <c r="CE21" s="1456"/>
      <c r="CF21" s="1454"/>
      <c r="CG21" s="1455"/>
      <c r="CH21" s="1455"/>
      <c r="CI21" s="1455"/>
      <c r="CJ21" s="1455"/>
      <c r="CK21" s="1454"/>
      <c r="CL21" s="1455"/>
      <c r="CM21" s="1455"/>
      <c r="CN21" s="1455"/>
      <c r="CO21" s="1455"/>
      <c r="CP21" s="1454"/>
      <c r="CQ21" s="1455"/>
      <c r="CR21" s="1455"/>
      <c r="CS21" s="1455"/>
      <c r="CT21" s="1455"/>
      <c r="CU21" s="1454"/>
      <c r="CV21" s="1455"/>
      <c r="CW21" s="1455"/>
      <c r="CX21" s="1455"/>
      <c r="CY21" s="1455"/>
      <c r="CZ21" s="1454"/>
      <c r="DA21" s="1454"/>
      <c r="DB21" s="1454"/>
      <c r="DC21" s="1454"/>
    </row>
    <row r="22" spans="1:109" s="1178" customFormat="1" ht="12" customHeight="1" thickBot="1">
      <c r="A22" s="1186"/>
      <c r="B22" s="1186"/>
      <c r="C22" s="1409" t="s">
        <v>1013</v>
      </c>
      <c r="D22" s="1408"/>
      <c r="E22" s="1407"/>
      <c r="F22" s="1406"/>
      <c r="G22" s="1405"/>
      <c r="H22" s="1405"/>
      <c r="I22" s="1405"/>
      <c r="J22" s="1403">
        <f>J29+J26+J27-J33</f>
        <v>233.25</v>
      </c>
      <c r="K22" s="1403">
        <f>K29+K26+K27-K33</f>
        <v>235.25</v>
      </c>
      <c r="L22" s="1403">
        <f>L29+L26+L27-L33</f>
        <v>242.25</v>
      </c>
      <c r="M22" s="1403">
        <f>M29+M26+M27-M33</f>
        <v>252.25</v>
      </c>
      <c r="N22" s="1400">
        <f>SUM(J22:M22)</f>
        <v>963</v>
      </c>
      <c r="O22" s="1403">
        <f>O29+O26+O27-O33</f>
        <v>259.75</v>
      </c>
      <c r="P22" s="1403">
        <f>P29+P26+P27-P33</f>
        <v>262.75</v>
      </c>
      <c r="Q22" s="1403">
        <f>Q29+Q26+Q27-Q33</f>
        <v>275.75</v>
      </c>
      <c r="R22" s="1403">
        <f>R29+R26+R27-R33</f>
        <v>290.75</v>
      </c>
      <c r="S22" s="1400">
        <f>SUM(O22:R22)</f>
        <v>1089</v>
      </c>
      <c r="T22" s="1403">
        <f>T29+T26+T27-T33</f>
        <v>284.5</v>
      </c>
      <c r="U22" s="1403">
        <f>U29+U26+U27-U33</f>
        <v>301</v>
      </c>
      <c r="V22" s="1403">
        <f>V29+V26+V27-V33</f>
        <v>338</v>
      </c>
      <c r="W22" s="1403">
        <f>W29+W26+W27-W33</f>
        <v>344.5</v>
      </c>
      <c r="X22" s="1400">
        <f>SUM(T22:W22)</f>
        <v>1268</v>
      </c>
      <c r="Y22" s="1403">
        <f>Y29+Y26+Y27-Y33</f>
        <v>358.5</v>
      </c>
      <c r="Z22" s="1403">
        <f>Z29+Z26+Z27-Z33</f>
        <v>380.5</v>
      </c>
      <c r="AA22" s="1403">
        <f>AA29+AA26+AA27-AA33</f>
        <v>394.5</v>
      </c>
      <c r="AB22" s="1403">
        <f>AB29+AB26+AB27-AB33</f>
        <v>412.5</v>
      </c>
      <c r="AC22" s="1400">
        <f>SUM(Y22:AB22)</f>
        <v>1546</v>
      </c>
      <c r="AD22" s="1403">
        <f>AD29+AD26+AD27-AD33</f>
        <v>413.75</v>
      </c>
      <c r="AE22" s="1403">
        <f>AE29+AE26+AE27-AE33</f>
        <v>423.75</v>
      </c>
      <c r="AF22" s="1403">
        <f>AF29+AF26+AF27-AF33</f>
        <v>439.75</v>
      </c>
      <c r="AG22" s="1403">
        <f>AG29+AG26+AG27-AG33</f>
        <v>454.75</v>
      </c>
      <c r="AH22" s="1400">
        <f>SUM(AD22:AG22)</f>
        <v>1732</v>
      </c>
      <c r="AI22" s="1404">
        <f>AI29+AI26+AI27-AI33</f>
        <v>468.25</v>
      </c>
      <c r="AJ22" s="1404">
        <f>AJ29+AJ26+AJ27-AJ33</f>
        <v>481.25</v>
      </c>
      <c r="AK22" s="1404">
        <f>AK29+AK26+AK27-AK33</f>
        <v>490.25</v>
      </c>
      <c r="AL22" s="1404">
        <f>AL29+AL26+AL27-AL33</f>
        <v>489.25</v>
      </c>
      <c r="AM22" s="1400">
        <f>SUM(AI22:AL22)</f>
        <v>1929</v>
      </c>
      <c r="AN22" s="1404">
        <f>AN29+AN26+AN27-AN33</f>
        <v>486.75</v>
      </c>
      <c r="AO22" s="1404">
        <f>AO29+AO26+AO27-AO33</f>
        <v>523.75</v>
      </c>
      <c r="AP22" s="1404">
        <f>AP29+AP26+AP27-AP33</f>
        <v>540.75</v>
      </c>
      <c r="AQ22" s="1404">
        <f>AQ29+AQ26+AQ27-AQ33</f>
        <v>565.75</v>
      </c>
      <c r="AR22" s="1400">
        <f>SUM(AN22:AQ22)</f>
        <v>2117</v>
      </c>
      <c r="AS22" s="1403">
        <f>AS29+AS26+AS27-AS33</f>
        <v>534.5</v>
      </c>
      <c r="AT22" s="1403">
        <f>AT29+AT26+AT27-AT33</f>
        <v>585.5</v>
      </c>
      <c r="AU22" s="1403">
        <f>AU29+AU26+AU27-AU33</f>
        <v>619.5</v>
      </c>
      <c r="AV22" s="1403">
        <f>AV29+AV26+AV27-AV33</f>
        <v>678.5</v>
      </c>
      <c r="AW22" s="1400">
        <f>SUM(AS22:AV22)</f>
        <v>2418</v>
      </c>
      <c r="AX22" s="1404">
        <f>AX29+AX26+AX27-AX33</f>
        <v>632.75</v>
      </c>
      <c r="AY22" s="1403">
        <f>AY29+AY26+AY27-AY33</f>
        <v>725.75</v>
      </c>
      <c r="AZ22" s="1403">
        <f>AZ29+AZ26+AZ27-AZ33</f>
        <v>703.75</v>
      </c>
      <c r="BA22" s="1403">
        <f>BA29+BA26+BA27-BA33</f>
        <v>638.75</v>
      </c>
      <c r="BB22" s="1400">
        <f>SUM(AX22:BA22)</f>
        <v>2701</v>
      </c>
      <c r="BC22" s="1403">
        <f>BC29+BC26+BC27-BC33</f>
        <v>579</v>
      </c>
      <c r="BD22" s="1403">
        <f>BD29+BD26+BD27-BD33</f>
        <v>687</v>
      </c>
      <c r="BE22" s="1403">
        <f>BE29+BE26+BE27-BE33</f>
        <v>736</v>
      </c>
      <c r="BF22" s="1403">
        <f>BF29+BF26+BF27-BF33</f>
        <v>755</v>
      </c>
      <c r="BG22" s="1400">
        <f>SUM(BC22:BF22)</f>
        <v>2757</v>
      </c>
      <c r="BH22" s="1403">
        <f>BH29+BH26+BH27-BH33</f>
        <v>659.75</v>
      </c>
      <c r="BI22" s="1403">
        <f>BI29+BI26+BI27-BI33</f>
        <v>710.75</v>
      </c>
      <c r="BJ22" s="1403">
        <f>BJ29+BJ26+BJ27-BJ33</f>
        <v>742.75</v>
      </c>
      <c r="BK22" s="1403">
        <f>BK29+BK26+BK27-BK33</f>
        <v>755.75</v>
      </c>
      <c r="BL22" s="1400">
        <f>SUM(BH22:BK22)</f>
        <v>2869</v>
      </c>
      <c r="BM22" s="1403">
        <f>BM29+BM26+BM27-BM33</f>
        <v>687.75</v>
      </c>
      <c r="BN22" s="1403">
        <f>BN29+BN26+BN27-BN33</f>
        <v>802.75</v>
      </c>
      <c r="BO22" s="1403">
        <f>BO29+BO26+BO27-BO33</f>
        <v>827.75</v>
      </c>
      <c r="BP22" s="1403">
        <f>BP29+BP26+BP27-BP33</f>
        <v>792.75</v>
      </c>
      <c r="BQ22" s="1400">
        <f>SUM(BM22:BP22)</f>
        <v>3111</v>
      </c>
      <c r="BR22" s="1403">
        <f>BR29+BR26+BR27-BR33</f>
        <v>649</v>
      </c>
      <c r="BS22" s="1403">
        <f>BS29+BS26+BS27-BS33</f>
        <v>741</v>
      </c>
      <c r="BT22" s="1403">
        <f>BT29+BT26+BT27-BT33</f>
        <v>748</v>
      </c>
      <c r="BU22" s="1403">
        <f>BU29+BU26+BU27-BU33</f>
        <v>758</v>
      </c>
      <c r="BV22" s="1400">
        <f>SUM(BR22:BU22)</f>
        <v>2896</v>
      </c>
      <c r="BW22" s="1403">
        <f>BW29+BW26+BW27-BW33</f>
        <v>637.25</v>
      </c>
      <c r="BX22" s="1403">
        <f>BX29+BX26+BX27-BX33</f>
        <v>741.25</v>
      </c>
      <c r="BY22" s="1403">
        <f>BY29+BY26+BY27-BY33</f>
        <v>752.25</v>
      </c>
      <c r="BZ22" s="1403">
        <f>BZ29+BZ26+BZ27-BZ33</f>
        <v>756.25</v>
      </c>
      <c r="CA22" s="1400">
        <f>SUM(BW22:BZ22)</f>
        <v>2887</v>
      </c>
      <c r="CB22" s="1403">
        <f>CB29+CB26+CB27-CB33</f>
        <v>639.25</v>
      </c>
      <c r="CC22" s="1403">
        <f>CC29+CC26+CC27-CC33</f>
        <v>766.25</v>
      </c>
      <c r="CD22" s="1403">
        <f>CD29+CD26+CD27-CD33</f>
        <v>770.25</v>
      </c>
      <c r="CE22" s="1403">
        <f>CE29+CE26+CE27-CE33</f>
        <v>760.25</v>
      </c>
      <c r="CF22" s="1400">
        <f>SUM(CB22:CE22)</f>
        <v>2936</v>
      </c>
      <c r="CG22" s="1402">
        <f t="shared" ref="CG22:CZ22" si="20">CG29+CG26+CG27-CG33</f>
        <v>577</v>
      </c>
      <c r="CH22" s="1402">
        <f t="shared" si="20"/>
        <v>679</v>
      </c>
      <c r="CI22" s="1402">
        <f t="shared" si="20"/>
        <v>704</v>
      </c>
      <c r="CJ22" s="1402">
        <f t="shared" si="20"/>
        <v>605</v>
      </c>
      <c r="CK22" s="1400">
        <f t="shared" si="20"/>
        <v>2565</v>
      </c>
      <c r="CL22" s="1402">
        <f t="shared" si="20"/>
        <v>523.75</v>
      </c>
      <c r="CM22" s="1402">
        <f t="shared" si="20"/>
        <v>639.75</v>
      </c>
      <c r="CN22" s="1402">
        <f t="shared" si="20"/>
        <v>636.75</v>
      </c>
      <c r="CO22" s="1402">
        <f t="shared" si="20"/>
        <v>576.75</v>
      </c>
      <c r="CP22" s="1400">
        <f t="shared" si="20"/>
        <v>2377</v>
      </c>
      <c r="CQ22" s="1402">
        <f>CQ29+CQ26+CQ27-CQ33</f>
        <v>499.75</v>
      </c>
      <c r="CR22" s="1402">
        <f>CR29+CR26+CR27-CR33</f>
        <v>598.75</v>
      </c>
      <c r="CS22" s="1402">
        <f>CS29+CS26+CS27-CS33</f>
        <v>603.75</v>
      </c>
      <c r="CT22" s="1402">
        <f>CT29+CT26+CT27-CT33</f>
        <v>560.61884998736605</v>
      </c>
      <c r="CU22" s="1400">
        <f t="shared" si="20"/>
        <v>2262.868849987366</v>
      </c>
      <c r="CV22" s="1402">
        <f>CV29+CV26+CV27-CV33</f>
        <v>512.93476693652951</v>
      </c>
      <c r="CW22" s="1402">
        <f>CW29+CW26+CW27-CW33</f>
        <v>613.99683663524263</v>
      </c>
      <c r="CX22" s="1402">
        <f>CX29+CX26+CX27-CX33</f>
        <v>627.63466257211905</v>
      </c>
      <c r="CY22" s="1402">
        <f>CY29+CY26+CY27-CY33</f>
        <v>558.3385500888927</v>
      </c>
      <c r="CZ22" s="1400">
        <f t="shared" si="20"/>
        <v>2312.904816232784</v>
      </c>
      <c r="DA22" s="1400">
        <f>DA29+DA26+DA27-DA33</f>
        <v>2383.2184539443474</v>
      </c>
      <c r="DB22" s="1400">
        <f>DB29+DB26+DB27-DB33</f>
        <v>2458.5231308809743</v>
      </c>
      <c r="DC22" s="1400">
        <f>DC29+DC26+DC27-DC33</f>
        <v>2489.1261009015448</v>
      </c>
    </row>
    <row r="23" spans="1:109" s="1178" customFormat="1" ht="12" customHeight="1" thickTop="1">
      <c r="A23" s="1156"/>
      <c r="B23" s="1156"/>
      <c r="C23" s="1387"/>
      <c r="D23" s="1393" t="s">
        <v>293</v>
      </c>
      <c r="E23" s="1418"/>
      <c r="F23" s="1153" t="str">
        <f>IF(ISERROR(F22/F$12),"-",F22/F$12)</f>
        <v>-</v>
      </c>
      <c r="G23" s="1153" t="str">
        <f>IF(ISERROR(G22/G$12),"-",G22/G$12)</f>
        <v>-</v>
      </c>
      <c r="H23" s="1153" t="str">
        <f>IF(ISERROR(H22/H$12),"-",H22/H$12)</f>
        <v>-</v>
      </c>
      <c r="I23" s="1153"/>
      <c r="J23" s="1153">
        <f>IF(ISERROR(J22/J$12),"-",J22/J$12)</f>
        <v>0.15116655865197667</v>
      </c>
      <c r="K23" s="1153">
        <f>IF(ISERROR(K22/K$12),"-",K22/K$12)</f>
        <v>0.15335723598435463</v>
      </c>
      <c r="L23" s="1153">
        <f>IF(ISERROR(L22/L$12),"-",L22/L$12)</f>
        <v>0.16107047872340424</v>
      </c>
      <c r="M23" s="1153">
        <f>IF(ISERROR(M22/M$12),"-",M22/M$12)</f>
        <v>0.16046437659033078</v>
      </c>
      <c r="N23" s="1398">
        <v>0.15650901999024866</v>
      </c>
      <c r="O23" s="1153">
        <v>0.16779715762273903</v>
      </c>
      <c r="P23" s="1153">
        <v>0.17094990240728691</v>
      </c>
      <c r="Q23" s="1153">
        <v>0.13111325611325611</v>
      </c>
      <c r="R23" s="1153" t="s">
        <v>284</v>
      </c>
      <c r="S23" s="1398">
        <v>0.15872514988955508</v>
      </c>
      <c r="T23" s="1153">
        <v>0.1748046875</v>
      </c>
      <c r="U23" s="1153">
        <v>0.17708333333333334</v>
      </c>
      <c r="V23" s="1153">
        <v>0.18309455587392551</v>
      </c>
      <c r="W23" s="1153">
        <v>0.16729729729729731</v>
      </c>
      <c r="X23" s="1398">
        <v>0.17545147555425047</v>
      </c>
      <c r="Y23" s="1153">
        <v>0.19368131868131869</v>
      </c>
      <c r="Z23" s="1153">
        <v>0.19146216768916155</v>
      </c>
      <c r="AA23" s="1153">
        <v>0.20015455950540958</v>
      </c>
      <c r="AB23" s="1153">
        <v>0.18800904977375565</v>
      </c>
      <c r="AC23" s="1398">
        <v>0.20133720196795762</v>
      </c>
      <c r="AD23" s="1153">
        <v>0.19683634633682207</v>
      </c>
      <c r="AE23" s="1153">
        <v>0.19322845417236661</v>
      </c>
      <c r="AF23" s="1153">
        <v>0.19737432675044883</v>
      </c>
      <c r="AG23" s="1153">
        <v>0.18838028169014084</v>
      </c>
      <c r="AH23" s="1398">
        <v>0.20257806422935881</v>
      </c>
      <c r="AI23" s="1431">
        <v>0.20165805340223944</v>
      </c>
      <c r="AJ23" s="1431">
        <v>0.19927536231884058</v>
      </c>
      <c r="AK23" s="1431">
        <v>0.2075571549534293</v>
      </c>
      <c r="AL23" s="1431">
        <v>0.19759693053311794</v>
      </c>
      <c r="AM23" s="1398">
        <v>0.20146214099216711</v>
      </c>
      <c r="AN23" s="1431">
        <f t="shared" ref="AN23:BS23" si="21">IF(ISERROR(AN22/AN$12),"-",AN22/AN$12)</f>
        <v>0.20730408858603067</v>
      </c>
      <c r="AO23" s="1431">
        <f t="shared" si="21"/>
        <v>0.20709766706207988</v>
      </c>
      <c r="AP23" s="1431">
        <f t="shared" si="21"/>
        <v>0.21081871345029241</v>
      </c>
      <c r="AQ23" s="1431">
        <f t="shared" si="21"/>
        <v>0.19864817415730338</v>
      </c>
      <c r="AR23" s="1398">
        <f t="shared" si="21"/>
        <v>0.20573372206025267</v>
      </c>
      <c r="AS23" s="1153">
        <f t="shared" si="21"/>
        <v>0.19593108504398826</v>
      </c>
      <c r="AT23" s="1153">
        <f t="shared" si="21"/>
        <v>0.20486354093771869</v>
      </c>
      <c r="AU23" s="1153">
        <f t="shared" si="21"/>
        <v>0.21100136239782016</v>
      </c>
      <c r="AV23" s="1153">
        <f t="shared" si="21"/>
        <v>0.20175438596491227</v>
      </c>
      <c r="AW23" s="1398">
        <f t="shared" si="21"/>
        <v>0.20344972654606647</v>
      </c>
      <c r="AX23" s="1431">
        <f t="shared" si="21"/>
        <v>0.20698397121360812</v>
      </c>
      <c r="AY23" s="1153">
        <f t="shared" si="21"/>
        <v>0.21320505287896593</v>
      </c>
      <c r="AZ23" s="1153">
        <f t="shared" si="21"/>
        <v>0.21687211093990755</v>
      </c>
      <c r="BA23" s="1153">
        <f t="shared" si="21"/>
        <v>0.19696268886833179</v>
      </c>
      <c r="BB23" s="1398">
        <f t="shared" si="21"/>
        <v>0.20858753571704378</v>
      </c>
      <c r="BC23" s="1153">
        <f t="shared" si="21"/>
        <v>0.21766917293233082</v>
      </c>
      <c r="BD23" s="1153">
        <f t="shared" si="21"/>
        <v>0.23632610939112486</v>
      </c>
      <c r="BE23" s="1153">
        <f t="shared" si="21"/>
        <v>0.248564674096589</v>
      </c>
      <c r="BF23" s="1153">
        <f t="shared" si="21"/>
        <v>0.23630672926447574</v>
      </c>
      <c r="BG23" s="1398">
        <f t="shared" si="21"/>
        <v>0.23517870852170947</v>
      </c>
      <c r="BH23" s="1153">
        <f t="shared" si="21"/>
        <v>0.24202127659574468</v>
      </c>
      <c r="BI23" s="1153">
        <f t="shared" si="21"/>
        <v>0.25044045102184637</v>
      </c>
      <c r="BJ23" s="1153">
        <f t="shared" si="21"/>
        <v>0.25541609353507566</v>
      </c>
      <c r="BK23" s="1153">
        <f t="shared" si="21"/>
        <v>0.24324106855487609</v>
      </c>
      <c r="BL23" s="1398">
        <f t="shared" si="21"/>
        <v>0.2477761464720615</v>
      </c>
      <c r="BM23" s="1153">
        <f t="shared" si="21"/>
        <v>0.24810606060606061</v>
      </c>
      <c r="BN23" s="1153">
        <f t="shared" si="21"/>
        <v>0.25148809523809523</v>
      </c>
      <c r="BO23" s="1153">
        <f t="shared" si="21"/>
        <v>0.25375536480686695</v>
      </c>
      <c r="BP23" s="1153">
        <f t="shared" si="21"/>
        <v>0.24688570538772969</v>
      </c>
      <c r="BQ23" s="1398">
        <f t="shared" si="21"/>
        <v>0.25014070917423814</v>
      </c>
      <c r="BR23" s="1153">
        <f t="shared" si="21"/>
        <v>0.23429602888086642</v>
      </c>
      <c r="BS23" s="1153">
        <f t="shared" si="21"/>
        <v>0.24479682854311199</v>
      </c>
      <c r="BT23" s="1153">
        <f t="shared" ref="BT23:CZ23" si="22">IF(ISERROR(BT22/BT$12),"-",BT22/BT$12)</f>
        <v>0.24492468893254749</v>
      </c>
      <c r="BU23" s="1153">
        <f t="shared" si="22"/>
        <v>0.23650546021840874</v>
      </c>
      <c r="BV23" s="1398">
        <f t="shared" si="22"/>
        <v>0.24021234240212341</v>
      </c>
      <c r="BW23" s="1153">
        <f t="shared" si="22"/>
        <v>0.22645700071073205</v>
      </c>
      <c r="BX23" s="1153">
        <f t="shared" si="22"/>
        <v>0.23621733588272786</v>
      </c>
      <c r="BY23" s="1153">
        <f t="shared" si="22"/>
        <v>0.23596298619824341</v>
      </c>
      <c r="BZ23" s="1153">
        <f t="shared" si="22"/>
        <v>0.22615131578947367</v>
      </c>
      <c r="CA23" s="1398">
        <f t="shared" si="22"/>
        <v>0.231256007689843</v>
      </c>
      <c r="CB23" s="1153">
        <f t="shared" si="22"/>
        <v>0.21632825719120136</v>
      </c>
      <c r="CC23" s="1153">
        <f t="shared" si="22"/>
        <v>0.22771173848439821</v>
      </c>
      <c r="CD23" s="1153">
        <f t="shared" si="22"/>
        <v>0.23158448586891162</v>
      </c>
      <c r="CE23" s="1153">
        <f t="shared" si="22"/>
        <v>0.22789268585131894</v>
      </c>
      <c r="CF23" s="1398">
        <f t="shared" si="22"/>
        <v>0.22615929748883068</v>
      </c>
      <c r="CG23" s="1430">
        <f t="shared" si="22"/>
        <v>0.21020036429872496</v>
      </c>
      <c r="CH23" s="1430">
        <f t="shared" si="22"/>
        <v>0.21917366042608133</v>
      </c>
      <c r="CI23" s="1430">
        <f t="shared" si="22"/>
        <v>0.23135064081498521</v>
      </c>
      <c r="CJ23" s="1430">
        <f t="shared" si="22"/>
        <v>0.19553975436328377</v>
      </c>
      <c r="CK23" s="1398">
        <f t="shared" si="22"/>
        <v>0.21530603345465563</v>
      </c>
      <c r="CL23" s="1430">
        <f t="shared" si="22"/>
        <v>0.19290976058931861</v>
      </c>
      <c r="CM23" s="1430">
        <f t="shared" si="22"/>
        <v>0.20657087504036165</v>
      </c>
      <c r="CN23" s="1430">
        <f t="shared" si="22"/>
        <v>0.21098409542743538</v>
      </c>
      <c r="CO23" s="1430">
        <f t="shared" si="22"/>
        <v>0.18829578844270323</v>
      </c>
      <c r="CP23" s="1398">
        <f t="shared" si="22"/>
        <v>0.19986546708147651</v>
      </c>
      <c r="CQ23" s="1430">
        <f>IF(ISERROR(CQ22/CQ$12),"-",CQ22/CQ$12)</f>
        <v>0.17822753209700429</v>
      </c>
      <c r="CR23" s="1430">
        <f>IF(ISERROR(CR22/CR$12),"-",CR22/CR$12)</f>
        <v>0.19123283296071542</v>
      </c>
      <c r="CS23" s="1430">
        <f>IF(ISERROR(CS22/CS$12),"-",CS22/CS$12)</f>
        <v>0.1913022813688213</v>
      </c>
      <c r="CT23" s="1430">
        <f>IF(ISERROR(CT22/CT$12),"-",CT22/CT$12)</f>
        <v>0.17944035216106086</v>
      </c>
      <c r="CU23" s="1398">
        <f t="shared" si="22"/>
        <v>0.18524929451458608</v>
      </c>
      <c r="CV23" s="2217">
        <f>IF(ISERROR(CV22/CV$12),"-",CV22/CV$12)</f>
        <v>0.17434864518371726</v>
      </c>
      <c r="CW23" s="2217">
        <f>IF(ISERROR(CW22/CW$12),"-",CW22/CW$12)</f>
        <v>0.18265313321495924</v>
      </c>
      <c r="CX23" s="2217">
        <f>IF(ISERROR(CX22/CX$12),"-",CX22/CX$12)</f>
        <v>0.18523113437770511</v>
      </c>
      <c r="CY23" s="2217">
        <f>IF(ISERROR(CY22/CY$12),"-",CY22/CY$12)</f>
        <v>0.17559867261716075</v>
      </c>
      <c r="CZ23" s="1398">
        <f t="shared" si="22"/>
        <v>0.17969101095368462</v>
      </c>
      <c r="DA23" s="1398">
        <f>IF(ISERROR(DA22/DA$12),"-",DA22/DA$12)</f>
        <v>0.18130393687358862</v>
      </c>
      <c r="DB23" s="1398">
        <f>IF(ISERROR(DB22/DB$12),"-",DB22/DB$12)</f>
        <v>0.18337751386671985</v>
      </c>
      <c r="DC23" s="1398">
        <f>IF(ISERROR(DC22/DC$12),"-",DC22/DC$12)</f>
        <v>0.18233016048856385</v>
      </c>
    </row>
    <row r="24" spans="1:109" s="1178" customFormat="1" ht="12" customHeight="1">
      <c r="A24" s="1156"/>
      <c r="B24" s="1156"/>
      <c r="C24" s="1393"/>
      <c r="D24" s="1393" t="s">
        <v>282</v>
      </c>
      <c r="E24" s="1418"/>
      <c r="F24" s="1153" t="str">
        <f t="shared" ref="F24:M24" si="23">IF(ISERROR(F22/B22-1),"-",F22/B22-1)</f>
        <v>-</v>
      </c>
      <c r="G24" s="1153" t="str">
        <f t="shared" si="23"/>
        <v>-</v>
      </c>
      <c r="H24" s="1153" t="str">
        <f t="shared" si="23"/>
        <v>-</v>
      </c>
      <c r="I24" s="1153" t="str">
        <f t="shared" si="23"/>
        <v>-</v>
      </c>
      <c r="J24" s="1153" t="str">
        <f t="shared" si="23"/>
        <v>-</v>
      </c>
      <c r="K24" s="1153" t="str">
        <f t="shared" si="23"/>
        <v>-</v>
      </c>
      <c r="L24" s="1153" t="str">
        <f t="shared" si="23"/>
        <v>-</v>
      </c>
      <c r="M24" s="1153" t="str">
        <f t="shared" si="23"/>
        <v>-</v>
      </c>
      <c r="N24" s="1398"/>
      <c r="O24" s="1153">
        <v>0.11361200428724549</v>
      </c>
      <c r="P24" s="1153">
        <v>0.1168969181721573</v>
      </c>
      <c r="Q24" s="1153">
        <v>-0.1589267285861713</v>
      </c>
      <c r="R24" s="1153">
        <v>0.10901883052527261</v>
      </c>
      <c r="S24" s="1398">
        <v>4.4652128764278265E-2</v>
      </c>
      <c r="T24" s="1153">
        <v>3.3686236766121258E-2</v>
      </c>
      <c r="U24" s="1153">
        <v>0.13225499524262596</v>
      </c>
      <c r="V24" s="1153">
        <v>0.5680981595092025</v>
      </c>
      <c r="W24" s="1153">
        <v>0.10634495084897222</v>
      </c>
      <c r="X24" s="1398">
        <v>0.187872763419483</v>
      </c>
      <c r="Y24" s="1153">
        <v>0.31284916201117308</v>
      </c>
      <c r="Z24" s="1153">
        <v>0.25882352941176467</v>
      </c>
      <c r="AA24" s="1153">
        <v>0.215962441314554</v>
      </c>
      <c r="AB24" s="1153">
        <v>0.34248788368336025</v>
      </c>
      <c r="AC24" s="1398">
        <v>0.33556485355648547</v>
      </c>
      <c r="AD24" s="1153">
        <v>0.17375886524822692</v>
      </c>
      <c r="AE24" s="1153">
        <v>0.13150867823765022</v>
      </c>
      <c r="AF24" s="1153">
        <v>0.13191763191763184</v>
      </c>
      <c r="AG24" s="1153">
        <v>9.4464500601684653E-2</v>
      </c>
      <c r="AH24" s="1398">
        <v>0.14223057644110271</v>
      </c>
      <c r="AI24" s="1431">
        <v>0.13172205438066475</v>
      </c>
      <c r="AJ24" s="1431">
        <v>0.13569321533923295</v>
      </c>
      <c r="AK24" s="1431">
        <v>0.11483797612279711</v>
      </c>
      <c r="AL24" s="1431">
        <v>7.5865860362836823E-2</v>
      </c>
      <c r="AM24" s="1398">
        <v>5.8145913329676446E-2</v>
      </c>
      <c r="AN24" s="1153">
        <f t="shared" ref="AN24:BS24" si="24">IF(ISERROR(AN22/AI22-1),"-",AN22/AI22-1)</f>
        <v>3.950880939668977E-2</v>
      </c>
      <c r="AO24" s="1153">
        <f t="shared" si="24"/>
        <v>8.8311688311688341E-2</v>
      </c>
      <c r="AP24" s="1153">
        <f t="shared" si="24"/>
        <v>0.10300866904640493</v>
      </c>
      <c r="AQ24" s="1153">
        <f t="shared" si="24"/>
        <v>0.15636177823198771</v>
      </c>
      <c r="AR24" s="1398">
        <f t="shared" si="24"/>
        <v>9.7459823742871876E-2</v>
      </c>
      <c r="AS24" s="1153">
        <f t="shared" si="24"/>
        <v>9.8099640472521843E-2</v>
      </c>
      <c r="AT24" s="1153">
        <f t="shared" si="24"/>
        <v>0.11789976133651558</v>
      </c>
      <c r="AU24" s="1153">
        <f t="shared" si="24"/>
        <v>0.14563106796116498</v>
      </c>
      <c r="AV24" s="1153">
        <f t="shared" si="24"/>
        <v>0.19929297392841372</v>
      </c>
      <c r="AW24" s="1398">
        <f t="shared" si="24"/>
        <v>0.14218233349078879</v>
      </c>
      <c r="AX24" s="1431">
        <f t="shared" si="24"/>
        <v>0.18381665107577172</v>
      </c>
      <c r="AY24" s="1153">
        <f t="shared" si="24"/>
        <v>0.23953885567890687</v>
      </c>
      <c r="AZ24" s="1153">
        <f t="shared" si="24"/>
        <v>0.1359967715899919</v>
      </c>
      <c r="BA24" s="1153">
        <f t="shared" si="24"/>
        <v>-5.858511422254975E-2</v>
      </c>
      <c r="BB24" s="1398">
        <f t="shared" si="24"/>
        <v>0.11703887510339128</v>
      </c>
      <c r="BC24" s="1153">
        <f t="shared" si="24"/>
        <v>-8.4946661398656698E-2</v>
      </c>
      <c r="BD24" s="1153">
        <f t="shared" si="24"/>
        <v>-5.339304168101966E-2</v>
      </c>
      <c r="BE24" s="1153">
        <f t="shared" si="24"/>
        <v>4.5825932504440559E-2</v>
      </c>
      <c r="BF24" s="1153">
        <f t="shared" si="24"/>
        <v>0.18199608610567508</v>
      </c>
      <c r="BG24" s="1398">
        <f t="shared" si="24"/>
        <v>2.0733061828952293E-2</v>
      </c>
      <c r="BH24" s="1153">
        <f t="shared" si="24"/>
        <v>0.13946459412780654</v>
      </c>
      <c r="BI24" s="1153">
        <f t="shared" si="24"/>
        <v>3.4570596797671049E-2</v>
      </c>
      <c r="BJ24" s="1153">
        <f t="shared" si="24"/>
        <v>9.1711956521738358E-3</v>
      </c>
      <c r="BK24" s="1153">
        <f t="shared" si="24"/>
        <v>9.9337748344363597E-4</v>
      </c>
      <c r="BL24" s="1398">
        <f t="shared" si="24"/>
        <v>4.0623866521581453E-2</v>
      </c>
      <c r="BM24" s="1153">
        <f t="shared" si="24"/>
        <v>4.244031830238737E-2</v>
      </c>
      <c r="BN24" s="1153">
        <f t="shared" si="24"/>
        <v>0.12944073162152647</v>
      </c>
      <c r="BO24" s="1153">
        <f t="shared" si="24"/>
        <v>0.11443958263211029</v>
      </c>
      <c r="BP24" s="1153">
        <f t="shared" si="24"/>
        <v>4.8957988752894366E-2</v>
      </c>
      <c r="BQ24" s="1398">
        <f t="shared" si="24"/>
        <v>8.434994771697446E-2</v>
      </c>
      <c r="BR24" s="1153">
        <f t="shared" si="24"/>
        <v>-5.6343147946201433E-2</v>
      </c>
      <c r="BS24" s="1153">
        <f t="shared" si="24"/>
        <v>-7.6923076923076872E-2</v>
      </c>
      <c r="BT24" s="1153">
        <f t="shared" ref="BT24:CP24" si="25">IF(ISERROR(BT22/BO22-1),"-",BT22/BO22-1)</f>
        <v>-9.6345514950166078E-2</v>
      </c>
      <c r="BU24" s="1153">
        <f t="shared" si="25"/>
        <v>-4.3834752444024017E-2</v>
      </c>
      <c r="BV24" s="1398">
        <f t="shared" si="25"/>
        <v>-6.9109611057537768E-2</v>
      </c>
      <c r="BW24" s="1153">
        <f t="shared" si="25"/>
        <v>-1.8104776579352833E-2</v>
      </c>
      <c r="BX24" s="1153">
        <f t="shared" si="25"/>
        <v>3.3738191632926018E-4</v>
      </c>
      <c r="BY24" s="1153">
        <f t="shared" si="25"/>
        <v>5.6818181818181213E-3</v>
      </c>
      <c r="BZ24" s="1153">
        <f t="shared" si="25"/>
        <v>-2.308707124010545E-3</v>
      </c>
      <c r="CA24" s="1398">
        <f t="shared" si="25"/>
        <v>-3.1077348066298471E-3</v>
      </c>
      <c r="CB24" s="1153">
        <f t="shared" si="25"/>
        <v>3.1384856806591088E-3</v>
      </c>
      <c r="CC24" s="1153">
        <f t="shared" si="25"/>
        <v>3.3726812816188945E-2</v>
      </c>
      <c r="CD24" s="1153">
        <f t="shared" si="25"/>
        <v>2.3928215353938187E-2</v>
      </c>
      <c r="CE24" s="1153">
        <f t="shared" si="25"/>
        <v>5.2892561983470809E-3</v>
      </c>
      <c r="CF24" s="1398">
        <f t="shared" si="25"/>
        <v>1.6972635954277893E-2</v>
      </c>
      <c r="CG24" s="1430">
        <f t="shared" si="25"/>
        <v>-9.737974188502152E-2</v>
      </c>
      <c r="CH24" s="1430">
        <f t="shared" si="25"/>
        <v>-0.11386623164763454</v>
      </c>
      <c r="CI24" s="1430">
        <f t="shared" si="25"/>
        <v>-8.6011035378123935E-2</v>
      </c>
      <c r="CJ24" s="1430">
        <f t="shared" si="25"/>
        <v>-0.20420914172969418</v>
      </c>
      <c r="CK24" s="1398">
        <f t="shared" si="25"/>
        <v>-0.12636239782016345</v>
      </c>
      <c r="CL24" s="1430">
        <f t="shared" si="25"/>
        <v>-9.2287694974003465E-2</v>
      </c>
      <c r="CM24" s="1430">
        <f t="shared" si="25"/>
        <v>-5.7805596465390297E-2</v>
      </c>
      <c r="CN24" s="1430">
        <f t="shared" si="25"/>
        <v>-9.5525568181818232E-2</v>
      </c>
      <c r="CO24" s="1430">
        <f t="shared" si="25"/>
        <v>-4.6694214876033091E-2</v>
      </c>
      <c r="CP24" s="1398">
        <f t="shared" si="25"/>
        <v>-7.3294346978557523E-2</v>
      </c>
      <c r="CQ24" s="1430">
        <f t="shared" ref="CQ24:CZ24" si="26">IF(ISERROR(CQ22/CL22-1),"-",CQ22/CL22-1)</f>
        <v>-4.5823389021479755E-2</v>
      </c>
      <c r="CR24" s="1430">
        <f t="shared" si="26"/>
        <v>-6.4087534193044138E-2</v>
      </c>
      <c r="CS24" s="1430">
        <f t="shared" si="26"/>
        <v>-5.1825677267373416E-2</v>
      </c>
      <c r="CT24" s="1430">
        <f t="shared" si="26"/>
        <v>-2.7969050737119971E-2</v>
      </c>
      <c r="CU24" s="1398">
        <f t="shared" si="26"/>
        <v>-4.8014787552643656E-2</v>
      </c>
      <c r="CV24" s="2217">
        <f t="shared" si="26"/>
        <v>2.6382725235676974E-2</v>
      </c>
      <c r="CW24" s="2217">
        <f t="shared" si="26"/>
        <v>2.5464445319820728E-2</v>
      </c>
      <c r="CX24" s="2217">
        <f t="shared" si="26"/>
        <v>3.9560517717795562E-2</v>
      </c>
      <c r="CY24" s="2217">
        <f t="shared" si="26"/>
        <v>-4.0674691878889169E-3</v>
      </c>
      <c r="CZ24" s="1398">
        <f t="shared" si="26"/>
        <v>2.2111739372653982E-2</v>
      </c>
      <c r="DA24" s="1398">
        <f>IF(ISERROR(DA22/CZ22-1),"-",DA22/CZ22-1)</f>
        <v>3.0400575595708634E-2</v>
      </c>
      <c r="DB24" s="1398">
        <f>IF(ISERROR(DB22/DA22-1),"-",DB22/DA22-1)</f>
        <v>3.1597890999876199E-2</v>
      </c>
      <c r="DC24" s="1398">
        <f>IF(ISERROR(DC22/DB22-1),"-",DC22/DB22-1)</f>
        <v>1.244770473630008E-2</v>
      </c>
    </row>
    <row r="25" spans="1:109" s="1178" customFormat="1" ht="12" customHeight="1">
      <c r="A25" s="1156"/>
      <c r="B25" s="1156"/>
      <c r="C25" s="1393"/>
      <c r="D25" s="1393"/>
      <c r="E25" s="1418"/>
      <c r="F25" s="1197"/>
      <c r="G25" s="1156"/>
      <c r="H25" s="1156"/>
      <c r="I25" s="1156"/>
      <c r="J25" s="451"/>
      <c r="K25" s="451"/>
      <c r="L25" s="451"/>
      <c r="M25" s="451"/>
      <c r="N25" s="1415"/>
      <c r="O25" s="451"/>
      <c r="P25" s="451"/>
      <c r="Q25" s="451"/>
      <c r="R25" s="451"/>
      <c r="S25" s="1415"/>
      <c r="T25" s="451"/>
      <c r="U25" s="451"/>
      <c r="V25" s="451"/>
      <c r="W25" s="451"/>
      <c r="X25" s="1415"/>
      <c r="Y25" s="451"/>
      <c r="Z25" s="451"/>
      <c r="AA25" s="451"/>
      <c r="AB25" s="451"/>
      <c r="AC25" s="1415"/>
      <c r="AD25" s="451"/>
      <c r="AE25" s="451"/>
      <c r="AF25" s="451"/>
      <c r="AG25" s="451"/>
      <c r="AH25" s="1415"/>
      <c r="AI25" s="1390"/>
      <c r="AJ25" s="1390"/>
      <c r="AK25" s="1390"/>
      <c r="AL25" s="1417"/>
      <c r="AM25" s="1415"/>
      <c r="AN25" s="1417"/>
      <c r="AO25" s="1417"/>
      <c r="AP25" s="1417"/>
      <c r="AQ25" s="1417"/>
      <c r="AR25" s="1415"/>
      <c r="AS25" s="1416"/>
      <c r="AT25" s="1416"/>
      <c r="AU25" s="1416"/>
      <c r="AV25" s="1416"/>
      <c r="AW25" s="1415"/>
      <c r="AX25" s="1453"/>
      <c r="AY25" s="1416"/>
      <c r="AZ25" s="1413"/>
      <c r="BA25" s="1413"/>
      <c r="BB25" s="1415"/>
      <c r="BC25" s="1413"/>
      <c r="BD25" s="1413"/>
      <c r="BE25" s="1413"/>
      <c r="BF25" s="1416"/>
      <c r="BG25" s="1415"/>
      <c r="BH25" s="1413"/>
      <c r="BI25" s="1416"/>
      <c r="BJ25" s="1416"/>
      <c r="BK25" s="1416"/>
      <c r="BL25" s="1415"/>
      <c r="BM25" s="1413"/>
      <c r="BN25" s="1413"/>
      <c r="BO25" s="1413"/>
      <c r="BP25" s="1413"/>
      <c r="BQ25" s="1415"/>
      <c r="BR25" s="1413"/>
      <c r="BS25" s="1413"/>
      <c r="BT25" s="1413"/>
      <c r="BU25" s="1413"/>
      <c r="BV25" s="1415"/>
      <c r="BW25" s="1416"/>
      <c r="BX25" s="1413"/>
      <c r="BY25" s="1413"/>
      <c r="BZ25" s="1413"/>
      <c r="CA25" s="1415"/>
      <c r="CB25" s="1413"/>
      <c r="CC25" s="1413"/>
      <c r="CD25" s="1413"/>
      <c r="CE25" s="1413"/>
      <c r="CF25" s="1415"/>
      <c r="CG25" s="1411"/>
      <c r="CH25" s="1411"/>
      <c r="CI25" s="1411"/>
      <c r="CJ25" s="1411"/>
      <c r="CK25" s="1415"/>
      <c r="CL25" s="1411"/>
      <c r="CM25" s="1411"/>
      <c r="CN25" s="1411"/>
      <c r="CO25" s="1411"/>
      <c r="CP25" s="1415"/>
      <c r="CQ25" s="1411"/>
      <c r="CR25" s="1411"/>
      <c r="CS25" s="1411"/>
      <c r="CT25" s="1411"/>
      <c r="CU25" s="1415"/>
      <c r="CV25" s="1411"/>
      <c r="CW25" s="1411"/>
      <c r="CX25" s="1411"/>
      <c r="CY25" s="1411"/>
      <c r="CZ25" s="1415"/>
      <c r="DA25" s="1415"/>
      <c r="DB25" s="1415"/>
      <c r="DC25" s="1415"/>
    </row>
    <row r="26" spans="1:109" s="1178" customFormat="1" ht="11.25">
      <c r="A26" s="1452"/>
      <c r="B26" s="1452"/>
      <c r="C26" s="1395" t="s">
        <v>224</v>
      </c>
      <c r="D26" s="1451"/>
      <c r="E26" s="1441"/>
      <c r="F26" s="1450"/>
      <c r="G26" s="452"/>
      <c r="H26" s="452"/>
      <c r="I26" s="452"/>
      <c r="J26" s="452">
        <f>$N$26/4</f>
        <v>41.25</v>
      </c>
      <c r="K26" s="452">
        <f>$N$26/4</f>
        <v>41.25</v>
      </c>
      <c r="L26" s="452">
        <f>$N$26/4</f>
        <v>41.25</v>
      </c>
      <c r="M26" s="452">
        <f>$N$26/4</f>
        <v>41.25</v>
      </c>
      <c r="N26" s="1444">
        <v>165</v>
      </c>
      <c r="O26" s="1448">
        <v>39.75</v>
      </c>
      <c r="P26" s="1448">
        <v>39.75</v>
      </c>
      <c r="Q26" s="1448">
        <v>39.75</v>
      </c>
      <c r="R26" s="1448">
        <v>39.75</v>
      </c>
      <c r="S26" s="1444">
        <v>159</v>
      </c>
      <c r="T26" s="1448">
        <v>34.5</v>
      </c>
      <c r="U26" s="1448">
        <v>34.5</v>
      </c>
      <c r="V26" s="1448">
        <v>34.5</v>
      </c>
      <c r="W26" s="1448">
        <v>34.5</v>
      </c>
      <c r="X26" s="1444">
        <v>138</v>
      </c>
      <c r="Y26" s="1448">
        <v>38.5</v>
      </c>
      <c r="Z26" s="1448">
        <v>38.5</v>
      </c>
      <c r="AA26" s="1448">
        <v>38.5</v>
      </c>
      <c r="AB26" s="1448">
        <v>38.5</v>
      </c>
      <c r="AC26" s="1444">
        <v>154</v>
      </c>
      <c r="AD26" s="1448">
        <v>43.75</v>
      </c>
      <c r="AE26" s="1448">
        <v>43.75</v>
      </c>
      <c r="AF26" s="1448">
        <v>43.75</v>
      </c>
      <c r="AG26" s="1448">
        <v>43.75</v>
      </c>
      <c r="AH26" s="1444">
        <v>175</v>
      </c>
      <c r="AI26" s="1449">
        <v>41.25</v>
      </c>
      <c r="AJ26" s="1449">
        <v>41.25</v>
      </c>
      <c r="AK26" s="1449">
        <v>41.25</v>
      </c>
      <c r="AL26" s="1448">
        <v>41.25</v>
      </c>
      <c r="AM26" s="1444">
        <v>165</v>
      </c>
      <c r="AN26" s="1448">
        <f>$AR26/4</f>
        <v>45.75</v>
      </c>
      <c r="AO26" s="1448">
        <f>$AR26/4</f>
        <v>45.75</v>
      </c>
      <c r="AP26" s="1448">
        <f>$AR26/4</f>
        <v>45.75</v>
      </c>
      <c r="AQ26" s="1448">
        <f>AR26-AP26-AO26-AN26</f>
        <v>45.75</v>
      </c>
      <c r="AR26" s="1444">
        <v>183</v>
      </c>
      <c r="AS26" s="1448">
        <f>AW26/4</f>
        <v>46.5</v>
      </c>
      <c r="AT26" s="1448">
        <f>AS26</f>
        <v>46.5</v>
      </c>
      <c r="AU26" s="1448">
        <f>AT26</f>
        <v>46.5</v>
      </c>
      <c r="AV26" s="1448">
        <f>AW26-AU26-AT26-AS26</f>
        <v>46.5</v>
      </c>
      <c r="AW26" s="1444">
        <v>186</v>
      </c>
      <c r="AX26" s="1449">
        <f>$BB26/4</f>
        <v>50.75</v>
      </c>
      <c r="AY26" s="1448">
        <f>$BB26/4</f>
        <v>50.75</v>
      </c>
      <c r="AZ26" s="1448">
        <f>$BB26/4</f>
        <v>50.75</v>
      </c>
      <c r="BA26" s="1448">
        <f>BB26-AX26-AY26-AZ26</f>
        <v>50.75</v>
      </c>
      <c r="BB26" s="1444">
        <v>203</v>
      </c>
      <c r="BC26" s="1448">
        <f>BG26/4</f>
        <v>51</v>
      </c>
      <c r="BD26" s="1448">
        <f>BC26</f>
        <v>51</v>
      </c>
      <c r="BE26" s="1448">
        <f>BD26</f>
        <v>51</v>
      </c>
      <c r="BF26" s="1448">
        <f>BE26</f>
        <v>51</v>
      </c>
      <c r="BG26" s="1444">
        <v>204</v>
      </c>
      <c r="BH26" s="1448">
        <f>BL26/4</f>
        <v>52.75</v>
      </c>
      <c r="BI26" s="1448">
        <f>BH26</f>
        <v>52.75</v>
      </c>
      <c r="BJ26" s="1448">
        <f>BI26</f>
        <v>52.75</v>
      </c>
      <c r="BK26" s="1448">
        <f>BJ26</f>
        <v>52.75</v>
      </c>
      <c r="BL26" s="1444">
        <v>211</v>
      </c>
      <c r="BM26" s="1448">
        <f>$BQ$26/4</f>
        <v>55.75</v>
      </c>
      <c r="BN26" s="1448">
        <f>$BQ$26/4</f>
        <v>55.75</v>
      </c>
      <c r="BO26" s="1448">
        <f>$BQ$26/4</f>
        <v>55.75</v>
      </c>
      <c r="BP26" s="1448">
        <f>BQ26-BM26-BN26-BO26</f>
        <v>55.75</v>
      </c>
      <c r="BQ26" s="1444">
        <v>223</v>
      </c>
      <c r="BR26" s="1448">
        <f>$BV$26/4</f>
        <v>55</v>
      </c>
      <c r="BS26" s="1448">
        <f>$BV$26/4</f>
        <v>55</v>
      </c>
      <c r="BT26" s="1448">
        <f>$BV$26/4</f>
        <v>55</v>
      </c>
      <c r="BU26" s="1448">
        <f>$BV$26/4</f>
        <v>55</v>
      </c>
      <c r="BV26" s="1446">
        <v>220</v>
      </c>
      <c r="BW26" s="1448">
        <f>$CA$26/4</f>
        <v>52.25</v>
      </c>
      <c r="BX26" s="1448">
        <f>$CA$26/4</f>
        <v>52.25</v>
      </c>
      <c r="BY26" s="1448">
        <f>$CA$26/4</f>
        <v>52.25</v>
      </c>
      <c r="BZ26" s="1448">
        <f>$CA$26/4</f>
        <v>52.25</v>
      </c>
      <c r="CA26" s="1446">
        <v>209</v>
      </c>
      <c r="CB26" s="1448">
        <f>$CF$26/4</f>
        <v>52.25</v>
      </c>
      <c r="CC26" s="1448">
        <f>$CF$26/4</f>
        <v>52.25</v>
      </c>
      <c r="CD26" s="1448">
        <f>$CF$26/4</f>
        <v>52.25</v>
      </c>
      <c r="CE26" s="1448">
        <f>$CF$26/4</f>
        <v>52.25</v>
      </c>
      <c r="CF26" s="1446">
        <v>209</v>
      </c>
      <c r="CG26" s="1445">
        <f>$CK$26/4</f>
        <v>44</v>
      </c>
      <c r="CH26" s="1445">
        <f>$CK$26/4</f>
        <v>44</v>
      </c>
      <c r="CI26" s="1445">
        <f>$CK$26/4</f>
        <v>44</v>
      </c>
      <c r="CJ26" s="1445">
        <f>$CK$26/4</f>
        <v>44</v>
      </c>
      <c r="CK26" s="2028">
        <v>176</v>
      </c>
      <c r="CL26" s="1445">
        <f>$CP$26/4</f>
        <v>42.75</v>
      </c>
      <c r="CM26" s="1445">
        <f>$CP$26/4</f>
        <v>42.75</v>
      </c>
      <c r="CN26" s="1445">
        <f>$CP$26/4</f>
        <v>42.75</v>
      </c>
      <c r="CO26" s="1445">
        <f>$CP$26/4</f>
        <v>42.75</v>
      </c>
      <c r="CP26" s="2028">
        <v>171</v>
      </c>
      <c r="CQ26" s="1961">
        <f>CO26</f>
        <v>42.75</v>
      </c>
      <c r="CR26" s="1961">
        <f t="shared" ref="CR26:CT26" si="27">CQ26</f>
        <v>42.75</v>
      </c>
      <c r="CS26" s="1961">
        <f t="shared" si="27"/>
        <v>42.75</v>
      </c>
      <c r="CT26" s="1961">
        <f t="shared" si="27"/>
        <v>42.75</v>
      </c>
      <c r="CU26" s="1444">
        <f>SUM(CQ26:CT26)</f>
        <v>171</v>
      </c>
      <c r="CV26" s="1961">
        <f>CZ26/4</f>
        <v>42.268360088058301</v>
      </c>
      <c r="CW26" s="1961">
        <f t="shared" ref="CW26:CY27" si="28">CV26</f>
        <v>42.268360088058301</v>
      </c>
      <c r="CX26" s="1961">
        <f t="shared" si="28"/>
        <v>42.268360088058301</v>
      </c>
      <c r="CY26" s="1961">
        <f t="shared" si="28"/>
        <v>42.268360088058301</v>
      </c>
      <c r="CZ26" s="1444">
        <f>CK26+CZ40/10-CU26/10</f>
        <v>169.07344035223321</v>
      </c>
      <c r="DA26" s="2285">
        <f>$CK$26+DA40/10-CZ26/10</f>
        <v>169.48211782782224</v>
      </c>
      <c r="DB26" s="2285">
        <f t="shared" ref="DB26:DC26" si="29">$CK$26+DB40/10-DA26/10</f>
        <v>169.64834215040702</v>
      </c>
      <c r="DC26" s="2285">
        <f t="shared" si="29"/>
        <v>169.82524962751333</v>
      </c>
    </row>
    <row r="27" spans="1:109" s="1178" customFormat="1" ht="11.25">
      <c r="A27" s="1452"/>
      <c r="B27" s="1452"/>
      <c r="C27" s="1395" t="s">
        <v>250</v>
      </c>
      <c r="D27" s="1451"/>
      <c r="E27" s="1441"/>
      <c r="F27" s="1450"/>
      <c r="G27" s="452"/>
      <c r="H27" s="452"/>
      <c r="I27" s="452"/>
      <c r="J27" s="452"/>
      <c r="K27" s="452"/>
      <c r="L27" s="452"/>
      <c r="M27" s="452"/>
      <c r="N27" s="1446"/>
      <c r="O27" s="1448"/>
      <c r="P27" s="1448"/>
      <c r="Q27" s="1448">
        <v>72</v>
      </c>
      <c r="R27" s="1448">
        <f>83-Q27</f>
        <v>11</v>
      </c>
      <c r="S27" s="1446">
        <f>SUM(O27:R27)</f>
        <v>83</v>
      </c>
      <c r="T27" s="1448">
        <v>16</v>
      </c>
      <c r="U27" s="1448">
        <f>29-'Divisional Summary'!Q108-'Divisional Summary'!Q110</f>
        <v>3.5</v>
      </c>
      <c r="V27" s="1448">
        <f>X27-T27-U27-W27</f>
        <v>18.5</v>
      </c>
      <c r="W27" s="1448">
        <v>35</v>
      </c>
      <c r="X27" s="1446">
        <v>73</v>
      </c>
      <c r="Y27" s="1448">
        <f>(AC27-AB27)/3</f>
        <v>6</v>
      </c>
      <c r="Z27" s="1448">
        <f>Y27</f>
        <v>6</v>
      </c>
      <c r="AA27" s="1448">
        <f>Z27</f>
        <v>6</v>
      </c>
      <c r="AB27" s="1448">
        <v>47</v>
      </c>
      <c r="AC27" s="1446">
        <v>65</v>
      </c>
      <c r="AD27" s="1448">
        <v>68</v>
      </c>
      <c r="AE27" s="1448">
        <v>38</v>
      </c>
      <c r="AF27" s="1448">
        <v>11</v>
      </c>
      <c r="AG27" s="1448">
        <v>27</v>
      </c>
      <c r="AH27" s="1446">
        <v>144</v>
      </c>
      <c r="AI27" s="1449">
        <v>5</v>
      </c>
      <c r="AJ27" s="1449">
        <v>18</v>
      </c>
      <c r="AK27" s="1449">
        <v>7</v>
      </c>
      <c r="AL27" s="1448">
        <v>22</v>
      </c>
      <c r="AM27" s="1446">
        <v>52</v>
      </c>
      <c r="AN27" s="1449">
        <v>2</v>
      </c>
      <c r="AO27" s="1449">
        <v>6</v>
      </c>
      <c r="AP27" s="1449">
        <v>32</v>
      </c>
      <c r="AQ27" s="1448">
        <v>6</v>
      </c>
      <c r="AR27" s="1446">
        <v>46</v>
      </c>
      <c r="AS27" s="1448">
        <v>-2</v>
      </c>
      <c r="AT27" s="1448">
        <v>7</v>
      </c>
      <c r="AU27" s="1448">
        <v>6</v>
      </c>
      <c r="AV27" s="1448">
        <v>10</v>
      </c>
      <c r="AW27" s="1446">
        <f>SUM(AS27:AV27)</f>
        <v>21</v>
      </c>
      <c r="AX27" s="1449">
        <v>2</v>
      </c>
      <c r="AY27" s="1448">
        <v>4</v>
      </c>
      <c r="AZ27" s="1448">
        <v>5</v>
      </c>
      <c r="BA27" s="1448">
        <v>10</v>
      </c>
      <c r="BB27" s="1446">
        <f>SUM(AX27:BA27)</f>
        <v>21</v>
      </c>
      <c r="BC27" s="1448">
        <v>22</v>
      </c>
      <c r="BD27" s="1448">
        <v>57</v>
      </c>
      <c r="BE27" s="1448">
        <v>52</v>
      </c>
      <c r="BF27" s="1448">
        <v>27</v>
      </c>
      <c r="BG27" s="1446">
        <f>SUM(BC27:BF27)</f>
        <v>158</v>
      </c>
      <c r="BH27" s="1448">
        <v>11</v>
      </c>
      <c r="BI27" s="1448">
        <v>17</v>
      </c>
      <c r="BJ27" s="1448">
        <v>12</v>
      </c>
      <c r="BK27" s="1448">
        <v>43</v>
      </c>
      <c r="BL27" s="1446">
        <f>SUM(BH27:BK27)</f>
        <v>83</v>
      </c>
      <c r="BM27" s="1448">
        <v>2</v>
      </c>
      <c r="BN27" s="1448">
        <v>4</v>
      </c>
      <c r="BO27" s="1448">
        <v>41</v>
      </c>
      <c r="BP27" s="1448">
        <v>26</v>
      </c>
      <c r="BQ27" s="1446">
        <f>SUM(BM27:BP27)</f>
        <v>73</v>
      </c>
      <c r="BR27" s="1448">
        <v>28</v>
      </c>
      <c r="BS27" s="1448">
        <v>35</v>
      </c>
      <c r="BT27" s="1448">
        <v>42</v>
      </c>
      <c r="BU27" s="1448">
        <v>59</v>
      </c>
      <c r="BV27" s="1446">
        <f>SUM(BR27:BU27)</f>
        <v>164</v>
      </c>
      <c r="BW27" s="1448">
        <v>10</v>
      </c>
      <c r="BX27" s="1448">
        <v>39</v>
      </c>
      <c r="BY27" s="1448">
        <v>19</v>
      </c>
      <c r="BZ27" s="1448">
        <v>20</v>
      </c>
      <c r="CA27" s="1446">
        <f>SUM(BW27:BZ27)</f>
        <v>88</v>
      </c>
      <c r="CB27" s="1448">
        <v>17</v>
      </c>
      <c r="CC27" s="1448">
        <v>21</v>
      </c>
      <c r="CD27" s="1448">
        <v>15</v>
      </c>
      <c r="CE27" s="1447">
        <v>34</v>
      </c>
      <c r="CF27" s="1446">
        <f>SUM(CB27:CE27)</f>
        <v>87</v>
      </c>
      <c r="CG27" s="1445">
        <v>6</v>
      </c>
      <c r="CH27" s="1445">
        <v>8</v>
      </c>
      <c r="CI27" s="1875">
        <v>18</v>
      </c>
      <c r="CJ27" s="1875">
        <v>19</v>
      </c>
      <c r="CK27" s="1446">
        <f>SUM(CG27:CJ27)</f>
        <v>51</v>
      </c>
      <c r="CL27" s="1875">
        <v>15</v>
      </c>
      <c r="CM27" s="1875">
        <v>16</v>
      </c>
      <c r="CN27" s="1876">
        <v>10</v>
      </c>
      <c r="CO27" s="1876">
        <v>18</v>
      </c>
      <c r="CP27" s="1446">
        <f>SUM(CL27:CO27)</f>
        <v>59</v>
      </c>
      <c r="CQ27" s="1875">
        <v>5</v>
      </c>
      <c r="CR27" s="1445">
        <v>12</v>
      </c>
      <c r="CS27" s="1445">
        <v>6</v>
      </c>
      <c r="CT27" s="1445">
        <f>CU27-SUM(CQ27:CS27)</f>
        <v>22</v>
      </c>
      <c r="CU27" s="1444">
        <v>45</v>
      </c>
      <c r="CV27" s="1445">
        <f>CZ27/4</f>
        <v>11.25</v>
      </c>
      <c r="CW27" s="1445">
        <f t="shared" si="28"/>
        <v>11.25</v>
      </c>
      <c r="CX27" s="1445">
        <f t="shared" si="28"/>
        <v>11.25</v>
      </c>
      <c r="CY27" s="1445">
        <f t="shared" si="28"/>
        <v>11.25</v>
      </c>
      <c r="CZ27" s="1444">
        <f>CU27</f>
        <v>45</v>
      </c>
      <c r="DA27" s="1444">
        <f t="shared" ref="DA27:DC27" si="30">CZ27</f>
        <v>45</v>
      </c>
      <c r="DB27" s="1444">
        <f t="shared" si="30"/>
        <v>45</v>
      </c>
      <c r="DC27" s="1444">
        <f t="shared" si="30"/>
        <v>45</v>
      </c>
    </row>
    <row r="28" spans="1:109" s="1178" customFormat="1" ht="12" customHeight="1">
      <c r="A28" s="1156"/>
      <c r="B28" s="1156"/>
      <c r="C28" s="1393"/>
      <c r="D28" s="1393"/>
      <c r="E28" s="1441"/>
      <c r="F28" s="1443"/>
      <c r="G28" s="1441"/>
      <c r="H28" s="1441"/>
      <c r="I28" s="1441"/>
      <c r="J28" s="1441"/>
      <c r="K28" s="1441"/>
      <c r="L28" s="1441"/>
      <c r="M28" s="1441"/>
      <c r="N28" s="1436"/>
      <c r="O28" s="1441"/>
      <c r="P28" s="1441"/>
      <c r="Q28" s="1441"/>
      <c r="R28" s="1441"/>
      <c r="S28" s="1436"/>
      <c r="T28" s="1441"/>
      <c r="U28" s="1441"/>
      <c r="V28" s="1441"/>
      <c r="W28" s="1441"/>
      <c r="X28" s="1436"/>
      <c r="Y28" s="1441"/>
      <c r="Z28" s="1441"/>
      <c r="AA28" s="1441"/>
      <c r="AB28" s="1441"/>
      <c r="AC28" s="1436"/>
      <c r="AD28" s="1441"/>
      <c r="AE28" s="1441"/>
      <c r="AF28" s="1441"/>
      <c r="AG28" s="1441"/>
      <c r="AH28" s="1436"/>
      <c r="AI28" s="1442"/>
      <c r="AJ28" s="1442"/>
      <c r="AK28" s="1442"/>
      <c r="AL28" s="1441"/>
      <c r="AM28" s="1436"/>
      <c r="AN28" s="1442"/>
      <c r="AO28" s="1442"/>
      <c r="AP28" s="1442"/>
      <c r="AQ28" s="1441"/>
      <c r="AR28" s="1436"/>
      <c r="AS28" s="1439"/>
      <c r="AT28" s="1439"/>
      <c r="AU28" s="1439"/>
      <c r="AV28" s="1439"/>
      <c r="AW28" s="1436"/>
      <c r="AX28" s="1440"/>
      <c r="AY28" s="1439"/>
      <c r="AZ28" s="1439"/>
      <c r="BA28" s="1439"/>
      <c r="BB28" s="1436"/>
      <c r="BC28" s="1439"/>
      <c r="BD28" s="1439"/>
      <c r="BE28" s="1439"/>
      <c r="BF28" s="1439"/>
      <c r="BG28" s="1436"/>
      <c r="BH28" s="1439"/>
      <c r="BI28" s="1439"/>
      <c r="BJ28" s="1439"/>
      <c r="BK28" s="1439"/>
      <c r="BL28" s="1436"/>
      <c r="BM28" s="1439"/>
      <c r="BN28" s="1439"/>
      <c r="BO28" s="1439"/>
      <c r="BP28" s="1439"/>
      <c r="BQ28" s="1436"/>
      <c r="BR28" s="1439"/>
      <c r="BS28" s="1439"/>
      <c r="BT28" s="1439"/>
      <c r="BU28" s="1439"/>
      <c r="BV28" s="1436"/>
      <c r="BW28" s="1439"/>
      <c r="BX28" s="1439"/>
      <c r="BY28" s="1439"/>
      <c r="BZ28" s="1439"/>
      <c r="CA28" s="1414"/>
      <c r="CB28" s="1439"/>
      <c r="CC28" s="1439"/>
      <c r="CD28" s="1439"/>
      <c r="CE28" s="1439"/>
      <c r="CF28" s="1438"/>
      <c r="CG28" s="1437"/>
      <c r="CH28" s="1437"/>
      <c r="CI28" s="1437"/>
      <c r="CJ28" s="1437"/>
      <c r="CK28" s="1436"/>
      <c r="CL28" s="1437"/>
      <c r="CM28" s="1437"/>
      <c r="CN28" s="1437"/>
      <c r="CO28" s="1437"/>
      <c r="CP28" s="1436"/>
      <c r="CQ28" s="1437"/>
      <c r="CR28" s="1437"/>
      <c r="CS28" s="1437"/>
      <c r="CT28" s="1437"/>
      <c r="CU28" s="1436"/>
      <c r="CV28" s="1437"/>
      <c r="CW28" s="1437"/>
      <c r="CX28" s="1437"/>
      <c r="CY28" s="1437"/>
      <c r="CZ28" s="1436"/>
      <c r="DA28" s="1436"/>
      <c r="DB28" s="1436"/>
      <c r="DC28" s="1436"/>
    </row>
    <row r="29" spans="1:109" s="1178" customFormat="1" ht="12" customHeight="1" thickBot="1">
      <c r="A29" s="1186"/>
      <c r="B29" s="1186"/>
      <c r="C29" s="1409" t="s">
        <v>248</v>
      </c>
      <c r="D29" s="1408"/>
      <c r="E29" s="1407"/>
      <c r="F29" s="1406">
        <f>F22-F26</f>
        <v>0</v>
      </c>
      <c r="G29" s="1405">
        <f>G22-G26</f>
        <v>0</v>
      </c>
      <c r="H29" s="1405">
        <f>H22-H26</f>
        <v>0</v>
      </c>
      <c r="I29" s="1405">
        <f>I22-I26</f>
        <v>0</v>
      </c>
      <c r="J29" s="1405">
        <v>192</v>
      </c>
      <c r="K29" s="1405">
        <v>194</v>
      </c>
      <c r="L29" s="1405">
        <v>201</v>
      </c>
      <c r="M29" s="1405">
        <f>N29-SUM(J29:L29)</f>
        <v>211</v>
      </c>
      <c r="N29" s="1400">
        <v>798</v>
      </c>
      <c r="O29" s="1403">
        <v>220</v>
      </c>
      <c r="P29" s="1403">
        <v>223</v>
      </c>
      <c r="Q29" s="1403">
        <v>164</v>
      </c>
      <c r="R29" s="1403">
        <v>240</v>
      </c>
      <c r="S29" s="1400">
        <v>847</v>
      </c>
      <c r="T29" s="1403">
        <v>234</v>
      </c>
      <c r="U29" s="1403">
        <v>263</v>
      </c>
      <c r="V29" s="1403">
        <v>285</v>
      </c>
      <c r="W29" s="1403">
        <v>275</v>
      </c>
      <c r="X29" s="1400">
        <v>1057</v>
      </c>
      <c r="Y29" s="1403">
        <v>314</v>
      </c>
      <c r="Z29" s="1403">
        <v>336</v>
      </c>
      <c r="AA29" s="1403">
        <v>350</v>
      </c>
      <c r="AB29" s="1403">
        <v>377</v>
      </c>
      <c r="AC29" s="1400">
        <v>1377</v>
      </c>
      <c r="AD29" s="1403">
        <v>302</v>
      </c>
      <c r="AE29" s="1403">
        <v>342</v>
      </c>
      <c r="AF29" s="1403">
        <v>385</v>
      </c>
      <c r="AG29" s="1404">
        <v>384</v>
      </c>
      <c r="AH29" s="1400">
        <f>SUM(AD29:AG29)</f>
        <v>1413</v>
      </c>
      <c r="AI29" s="1404">
        <v>422</v>
      </c>
      <c r="AJ29" s="1404">
        <v>422</v>
      </c>
      <c r="AK29" s="1404">
        <v>442</v>
      </c>
      <c r="AL29" s="1403">
        <v>426</v>
      </c>
      <c r="AM29" s="1400">
        <v>1712</v>
      </c>
      <c r="AN29" s="1404">
        <v>439</v>
      </c>
      <c r="AO29" s="1404">
        <v>472</v>
      </c>
      <c r="AP29" s="1404">
        <v>463</v>
      </c>
      <c r="AQ29" s="1403">
        <v>514</v>
      </c>
      <c r="AR29" s="1400">
        <v>1888</v>
      </c>
      <c r="AS29" s="1403">
        <v>574</v>
      </c>
      <c r="AT29" s="1403">
        <v>532</v>
      </c>
      <c r="AU29" s="1403">
        <v>567</v>
      </c>
      <c r="AV29" s="1403">
        <v>648</v>
      </c>
      <c r="AW29" s="1400">
        <f>SUM(AS29:AV29)</f>
        <v>2321</v>
      </c>
      <c r="AX29" s="1404">
        <v>580</v>
      </c>
      <c r="AY29" s="1403">
        <v>671</v>
      </c>
      <c r="AZ29" s="1403">
        <v>648</v>
      </c>
      <c r="BA29" s="1403">
        <v>578</v>
      </c>
      <c r="BB29" s="1400">
        <f>BB22-BB26-BB27</f>
        <v>2477</v>
      </c>
      <c r="BC29" s="1403">
        <v>506</v>
      </c>
      <c r="BD29" s="1403">
        <v>631</v>
      </c>
      <c r="BE29" s="1403">
        <v>633</v>
      </c>
      <c r="BF29" s="1403">
        <v>677</v>
      </c>
      <c r="BG29" s="1400">
        <f>SUM(BC29:BF29)</f>
        <v>2447</v>
      </c>
      <c r="BH29" s="1403">
        <v>596</v>
      </c>
      <c r="BI29" s="1403">
        <v>641</v>
      </c>
      <c r="BJ29" s="1403">
        <v>678</v>
      </c>
      <c r="BK29" s="1403">
        <v>660</v>
      </c>
      <c r="BL29" s="1400">
        <f>BL22-BL26-BL27</f>
        <v>2575</v>
      </c>
      <c r="BM29" s="1403">
        <v>630</v>
      </c>
      <c r="BN29" s="1403">
        <v>743</v>
      </c>
      <c r="BO29" s="1403">
        <v>731</v>
      </c>
      <c r="BP29" s="1403">
        <v>711</v>
      </c>
      <c r="BQ29" s="1400">
        <f>BQ22-BQ26-BQ27</f>
        <v>2815</v>
      </c>
      <c r="BR29" s="1403">
        <v>566</v>
      </c>
      <c r="BS29" s="1403">
        <v>651</v>
      </c>
      <c r="BT29" s="1403">
        <v>651</v>
      </c>
      <c r="BU29" s="1403">
        <v>644</v>
      </c>
      <c r="BV29" s="1400">
        <f>SUM(BR29:BU29)</f>
        <v>2512</v>
      </c>
      <c r="BW29" s="1403">
        <v>575</v>
      </c>
      <c r="BX29" s="1403">
        <v>650</v>
      </c>
      <c r="BY29" s="1403">
        <v>681</v>
      </c>
      <c r="BZ29" s="1403">
        <v>684</v>
      </c>
      <c r="CA29" s="1400">
        <f>CA35-CA27+CA33</f>
        <v>2590</v>
      </c>
      <c r="CB29" s="1403">
        <v>570</v>
      </c>
      <c r="CC29" s="1403">
        <v>693</v>
      </c>
      <c r="CD29" s="1403">
        <v>703</v>
      </c>
      <c r="CE29" s="1435">
        <v>674</v>
      </c>
      <c r="CF29" s="1400">
        <f>CF35-CF27+CF33</f>
        <v>2640</v>
      </c>
      <c r="CG29" s="1402">
        <v>527</v>
      </c>
      <c r="CH29" s="1402">
        <v>627</v>
      </c>
      <c r="CI29" s="1868">
        <v>642</v>
      </c>
      <c r="CJ29" s="1868">
        <v>542</v>
      </c>
      <c r="CK29" s="1400">
        <f>SUM(CG29:CJ29)</f>
        <v>2338</v>
      </c>
      <c r="CL29" s="1868">
        <v>466</v>
      </c>
      <c r="CM29" s="1868">
        <v>581</v>
      </c>
      <c r="CN29" s="1402">
        <f>CN35-CN27+CN33</f>
        <v>584</v>
      </c>
      <c r="CO29" s="1402">
        <f>CO35-CO27+CO33</f>
        <v>516</v>
      </c>
      <c r="CP29" s="1400">
        <f>SUM(CL29:CO29)</f>
        <v>2147</v>
      </c>
      <c r="CQ29" s="1402">
        <f t="shared" ref="CQ29:DC29" si="31">CQ35-CQ27+CQ33</f>
        <v>452</v>
      </c>
      <c r="CR29" s="1402">
        <f t="shared" ref="CR29" si="32">CR35-CR27+CR33</f>
        <v>544</v>
      </c>
      <c r="CS29" s="1402">
        <f t="shared" si="31"/>
        <v>555</v>
      </c>
      <c r="CT29" s="1402">
        <f t="shared" si="31"/>
        <v>495.86884998736605</v>
      </c>
      <c r="CU29" s="1400">
        <f t="shared" si="31"/>
        <v>2046.868849987366</v>
      </c>
      <c r="CV29" s="1402">
        <f t="shared" si="31"/>
        <v>459.41640684847118</v>
      </c>
      <c r="CW29" s="1402">
        <f t="shared" si="31"/>
        <v>560.4784765471843</v>
      </c>
      <c r="CX29" s="1402">
        <f t="shared" si="31"/>
        <v>574.11630248406072</v>
      </c>
      <c r="CY29" s="1402">
        <f t="shared" si="31"/>
        <v>504.82019000083437</v>
      </c>
      <c r="CZ29" s="1400">
        <f t="shared" si="31"/>
        <v>2098.8313758805507</v>
      </c>
      <c r="DA29" s="1400">
        <f t="shared" si="31"/>
        <v>2168.7363361165253</v>
      </c>
      <c r="DB29" s="1400">
        <f t="shared" si="31"/>
        <v>2243.8747887305672</v>
      </c>
      <c r="DC29" s="1400">
        <f t="shared" si="31"/>
        <v>2274.3008512740316</v>
      </c>
    </row>
    <row r="30" spans="1:109" s="1178" customFormat="1" ht="12" customHeight="1" thickTop="1">
      <c r="A30" s="1156"/>
      <c r="B30" s="1156"/>
      <c r="C30" s="1387"/>
      <c r="D30" s="1393" t="s">
        <v>293</v>
      </c>
      <c r="E30" s="1418"/>
      <c r="F30" s="1434" t="str">
        <f t="shared" ref="F30:M30" si="33">IF(ISERROR(F29/F$12),"-",F29/F$12)</f>
        <v>-</v>
      </c>
      <c r="G30" s="1433" t="str">
        <f t="shared" si="33"/>
        <v>-</v>
      </c>
      <c r="H30" s="1433" t="str">
        <f t="shared" si="33"/>
        <v>-</v>
      </c>
      <c r="I30" s="1153" t="str">
        <f t="shared" si="33"/>
        <v>-</v>
      </c>
      <c r="J30" s="1153">
        <f t="shared" si="33"/>
        <v>0.12443292287751134</v>
      </c>
      <c r="K30" s="1153">
        <f t="shared" si="33"/>
        <v>0.12646675358539766</v>
      </c>
      <c r="L30" s="1153">
        <f t="shared" si="33"/>
        <v>0.13364361702127658</v>
      </c>
      <c r="M30" s="1153">
        <f t="shared" si="33"/>
        <v>0.13422391857506361</v>
      </c>
      <c r="N30" s="1398">
        <v>0.12969283276450511</v>
      </c>
      <c r="O30" s="1153">
        <v>0.1421188630490956</v>
      </c>
      <c r="P30" s="1153">
        <v>0.14508783344176968</v>
      </c>
      <c r="Q30" s="1153">
        <v>0.10553410553410554</v>
      </c>
      <c r="R30" s="1153">
        <v>0.14125956444967627</v>
      </c>
      <c r="S30" s="1398">
        <v>0.13363837172609655</v>
      </c>
      <c r="T30" s="1153">
        <v>0.15234375</v>
      </c>
      <c r="U30" s="1153">
        <v>0.15654761904761905</v>
      </c>
      <c r="V30" s="1153">
        <v>0.16332378223495703</v>
      </c>
      <c r="W30" s="1153">
        <v>0.14864864864864866</v>
      </c>
      <c r="X30" s="1398">
        <v>0.15519013360739981</v>
      </c>
      <c r="Y30" s="1153">
        <v>0.17252747252747253</v>
      </c>
      <c r="Z30" s="1153">
        <v>0.17177914110429449</v>
      </c>
      <c r="AA30" s="1153">
        <v>0.18031942297784648</v>
      </c>
      <c r="AB30" s="1153">
        <v>0.17058823529411765</v>
      </c>
      <c r="AC30" s="1398">
        <v>0.1737101047054371</v>
      </c>
      <c r="AD30" s="1153">
        <v>0.14367269267364416</v>
      </c>
      <c r="AE30" s="1153">
        <v>0.15595075239398085</v>
      </c>
      <c r="AF30" s="1153">
        <v>0.17280071813285458</v>
      </c>
      <c r="AG30" s="1153">
        <v>0.15907207953603977</v>
      </c>
      <c r="AH30" s="1398">
        <v>0.16712968107567508</v>
      </c>
      <c r="AI30" s="1431">
        <v>0.18173987941429801</v>
      </c>
      <c r="AJ30" s="1431">
        <v>0.17474120082815736</v>
      </c>
      <c r="AK30" s="1431">
        <v>0.18712955122777308</v>
      </c>
      <c r="AL30" s="1153">
        <v>0.17205169628432956</v>
      </c>
      <c r="AM30" s="1398">
        <v>0.17879895561357703</v>
      </c>
      <c r="AN30" s="1153">
        <f t="shared" ref="AN30:BS30" si="34">IF(ISERROR(AN29/AN$12),"-",AN29/AN$12)</f>
        <v>0.18696763202725725</v>
      </c>
      <c r="AO30" s="1153">
        <f t="shared" si="34"/>
        <v>0.18663503361012257</v>
      </c>
      <c r="AP30" s="1153">
        <f t="shared" si="34"/>
        <v>0.18050682261208578</v>
      </c>
      <c r="AQ30" s="1153">
        <f t="shared" si="34"/>
        <v>0.18047752808988765</v>
      </c>
      <c r="AR30" s="1398">
        <f t="shared" si="34"/>
        <v>0.18347910592808553</v>
      </c>
      <c r="AS30" s="1153">
        <f t="shared" si="34"/>
        <v>0.21041055718475074</v>
      </c>
      <c r="AT30" s="1153">
        <f t="shared" si="34"/>
        <v>0.1861441567529741</v>
      </c>
      <c r="AU30" s="1153">
        <f t="shared" si="34"/>
        <v>0.19311989100817439</v>
      </c>
      <c r="AV30" s="1153">
        <f t="shared" si="34"/>
        <v>0.19268510258697591</v>
      </c>
      <c r="AW30" s="1398">
        <f t="shared" si="34"/>
        <v>0.19528817837610432</v>
      </c>
      <c r="AX30" s="1431">
        <f t="shared" si="34"/>
        <v>0.18972849198560682</v>
      </c>
      <c r="AY30" s="1153">
        <f t="shared" si="34"/>
        <v>0.19712103407755582</v>
      </c>
      <c r="AZ30" s="1153">
        <f t="shared" si="34"/>
        <v>0.19969183359013867</v>
      </c>
      <c r="BA30" s="1153">
        <f t="shared" si="34"/>
        <v>0.17823003391921061</v>
      </c>
      <c r="BB30" s="1398">
        <f t="shared" si="34"/>
        <v>0.19128890261796277</v>
      </c>
      <c r="BC30" s="1153">
        <f t="shared" si="34"/>
        <v>0.19022556390977444</v>
      </c>
      <c r="BD30" s="1153">
        <f t="shared" si="34"/>
        <v>0.21706226350189198</v>
      </c>
      <c r="BE30" s="1153">
        <f t="shared" si="34"/>
        <v>0.21377912867274571</v>
      </c>
      <c r="BF30" s="1153">
        <f t="shared" si="34"/>
        <v>0.21189358372456965</v>
      </c>
      <c r="BG30" s="1398">
        <f t="shared" si="34"/>
        <v>0.2087349654525292</v>
      </c>
      <c r="BH30" s="1153">
        <f t="shared" si="34"/>
        <v>0.2186353631694791</v>
      </c>
      <c r="BI30" s="1153">
        <f t="shared" si="34"/>
        <v>0.22586328400281888</v>
      </c>
      <c r="BJ30" s="1153">
        <f t="shared" si="34"/>
        <v>0.23314993122420907</v>
      </c>
      <c r="BK30" s="1153">
        <f t="shared" si="34"/>
        <v>0.21242355970389443</v>
      </c>
      <c r="BL30" s="1398">
        <f t="shared" si="34"/>
        <v>0.22238535279385094</v>
      </c>
      <c r="BM30" s="1153">
        <f t="shared" si="34"/>
        <v>0.22727272727272727</v>
      </c>
      <c r="BN30" s="1153">
        <f t="shared" si="34"/>
        <v>0.23276942355889724</v>
      </c>
      <c r="BO30" s="1153">
        <f t="shared" si="34"/>
        <v>0.22409564684242797</v>
      </c>
      <c r="BP30" s="1153">
        <f t="shared" si="34"/>
        <v>0.2214263469324198</v>
      </c>
      <c r="BQ30" s="1398">
        <f t="shared" si="34"/>
        <v>0.2263407574173836</v>
      </c>
      <c r="BR30" s="1153">
        <f t="shared" si="34"/>
        <v>0.20433212996389891</v>
      </c>
      <c r="BS30" s="1153">
        <f t="shared" si="34"/>
        <v>0.21506442021803765</v>
      </c>
      <c r="BT30" s="1153">
        <f t="shared" ref="BT30:CZ30" si="35">IF(ISERROR(BT29/BT$12),"-",BT29/BT$12)</f>
        <v>0.2131630648330059</v>
      </c>
      <c r="BU30" s="1153">
        <f t="shared" si="35"/>
        <v>0.20093603744149766</v>
      </c>
      <c r="BV30" s="1398">
        <f t="shared" si="35"/>
        <v>0.20836098208360981</v>
      </c>
      <c r="BW30" s="1153">
        <f t="shared" si="35"/>
        <v>0.20433546552949539</v>
      </c>
      <c r="BX30" s="1153">
        <f t="shared" si="35"/>
        <v>0.20713830465264499</v>
      </c>
      <c r="BY30" s="1153">
        <f t="shared" si="35"/>
        <v>0.21361355081555836</v>
      </c>
      <c r="BZ30" s="1153">
        <f t="shared" si="35"/>
        <v>0.20454545454545456</v>
      </c>
      <c r="CA30" s="1398">
        <f t="shared" si="35"/>
        <v>0.20746555591156682</v>
      </c>
      <c r="CB30" s="1153">
        <f t="shared" si="35"/>
        <v>0.19289340101522842</v>
      </c>
      <c r="CC30" s="1153">
        <f t="shared" si="35"/>
        <v>0.20594353640416047</v>
      </c>
      <c r="CD30" s="1153">
        <f t="shared" si="35"/>
        <v>0.21136500300661457</v>
      </c>
      <c r="CE30" s="1153">
        <f t="shared" si="35"/>
        <v>0.20203836930455635</v>
      </c>
      <c r="CF30" s="1398">
        <f t="shared" si="35"/>
        <v>0.20335849637960252</v>
      </c>
      <c r="CG30" s="1430">
        <f t="shared" si="35"/>
        <v>0.19198542805100183</v>
      </c>
      <c r="CH30" s="1430">
        <f t="shared" si="35"/>
        <v>0.20238863783085861</v>
      </c>
      <c r="CI30" s="1430">
        <f t="shared" si="35"/>
        <v>0.21097601051593823</v>
      </c>
      <c r="CJ30" s="1430">
        <f t="shared" si="35"/>
        <v>0.17517776341305752</v>
      </c>
      <c r="CK30" s="1398">
        <f t="shared" si="35"/>
        <v>0.19625165934385375</v>
      </c>
      <c r="CL30" s="1430">
        <f t="shared" si="35"/>
        <v>0.1716390423572744</v>
      </c>
      <c r="CM30" s="1430">
        <f t="shared" si="35"/>
        <v>0.18760090410074265</v>
      </c>
      <c r="CN30" s="1430">
        <f t="shared" si="35"/>
        <v>0.19350563286944997</v>
      </c>
      <c r="CO30" s="1430">
        <f t="shared" si="35"/>
        <v>0.16846229187071499</v>
      </c>
      <c r="CP30" s="1398">
        <f t="shared" si="35"/>
        <v>0.18052636004372319</v>
      </c>
      <c r="CQ30" s="1430">
        <f>IF(ISERROR(CQ29/CQ$12),"-",CQ29/CQ$12)</f>
        <v>0.16119828815977175</v>
      </c>
      <c r="CR30" s="2217">
        <f>IF(ISERROR(CR29/CR$12),"-",CR29/CR$12)</f>
        <v>0.1737464068987544</v>
      </c>
      <c r="CS30" s="1430">
        <f>IF(ISERROR(CS29/CS$12),"-",CS29/CS$12)</f>
        <v>0.1758555133079848</v>
      </c>
      <c r="CT30" s="1430">
        <f>IF(ISERROR(CT29/CT$12),"-",CT29/CT$12)</f>
        <v>0.1587154642935007</v>
      </c>
      <c r="CU30" s="1398">
        <f t="shared" si="35"/>
        <v>0.16756649879473073</v>
      </c>
      <c r="CV30" s="2217">
        <f>IF(ISERROR(CV29/CV$12),"-",CV29/CV$12)</f>
        <v>0.15615753361306817</v>
      </c>
      <c r="CW30" s="2217">
        <f>IF(ISERROR(CW29/CW$12),"-",CW29/CW$12)</f>
        <v>0.1667323734140134</v>
      </c>
      <c r="CX30" s="2217">
        <f>IF(ISERROR(CX29/CX$12),"-",CX29/CX$12)</f>
        <v>0.16943648959419391</v>
      </c>
      <c r="CY30" s="2217">
        <f>IF(ISERROR(CY29/CY$12),"-",CY29/CY$12)</f>
        <v>0.15876703347883855</v>
      </c>
      <c r="CZ30" s="1398">
        <f t="shared" si="35"/>
        <v>0.16305951248247622</v>
      </c>
      <c r="DA30" s="1398">
        <f>IF(ISERROR(DA29/DA$12),"-",DA29/DA$12)</f>
        <v>0.16498715639263439</v>
      </c>
      <c r="DB30" s="1398">
        <f>IF(ISERROR(DB29/DB$12),"-",DB29/DB$12)</f>
        <v>0.16736721937538837</v>
      </c>
      <c r="DC30" s="1398">
        <f>IF(ISERROR(DC29/DC$12),"-",DC29/DC$12)</f>
        <v>0.16659406651269276</v>
      </c>
    </row>
    <row r="31" spans="1:109" s="1178" customFormat="1" ht="12" customHeight="1">
      <c r="A31" s="1156"/>
      <c r="B31" s="1156"/>
      <c r="C31" s="1393"/>
      <c r="D31" s="1393" t="s">
        <v>282</v>
      </c>
      <c r="E31" s="1418"/>
      <c r="F31" s="1432" t="str">
        <f t="shared" ref="F31:M31" si="36">IF(ISERROR(F29/B29-1),"-",F29/B29-1)</f>
        <v>-</v>
      </c>
      <c r="G31" s="1153" t="str">
        <f t="shared" si="36"/>
        <v>-</v>
      </c>
      <c r="H31" s="1153" t="str">
        <f t="shared" si="36"/>
        <v>-</v>
      </c>
      <c r="I31" s="1153" t="str">
        <f t="shared" si="36"/>
        <v>-</v>
      </c>
      <c r="J31" s="1153" t="str">
        <f t="shared" si="36"/>
        <v>-</v>
      </c>
      <c r="K31" s="1153" t="str">
        <f t="shared" si="36"/>
        <v>-</v>
      </c>
      <c r="L31" s="1153" t="str">
        <f t="shared" si="36"/>
        <v>-</v>
      </c>
      <c r="M31" s="1153" t="str">
        <f t="shared" si="36"/>
        <v>-</v>
      </c>
      <c r="N31" s="1398"/>
      <c r="O31" s="1153">
        <v>0.14583333333333326</v>
      </c>
      <c r="P31" s="1153">
        <v>0.14948453608247414</v>
      </c>
      <c r="Q31" s="1153">
        <v>-0.1840796019900498</v>
      </c>
      <c r="R31" s="1153">
        <v>0.13744075829383884</v>
      </c>
      <c r="S31" s="1398">
        <v>6.1403508771929793E-2</v>
      </c>
      <c r="T31" s="1153">
        <v>6.3636363636363713E-2</v>
      </c>
      <c r="U31" s="1153">
        <v>0.17937219730941711</v>
      </c>
      <c r="V31" s="1153">
        <v>0.73780487804878048</v>
      </c>
      <c r="W31" s="1153">
        <v>0.14583333333333326</v>
      </c>
      <c r="X31" s="1398">
        <v>0.24793388429752072</v>
      </c>
      <c r="Y31" s="1153">
        <v>0.34188034188034178</v>
      </c>
      <c r="Z31" s="1153">
        <v>0.27756653992395441</v>
      </c>
      <c r="AA31" s="1153">
        <v>0.22807017543859653</v>
      </c>
      <c r="AB31" s="1153">
        <v>0.37090909090909085</v>
      </c>
      <c r="AC31" s="1398">
        <v>0.3027436140018922</v>
      </c>
      <c r="AD31" s="1153">
        <v>-3.8216560509554132E-2</v>
      </c>
      <c r="AE31" s="1153">
        <v>1.7857142857142794E-2</v>
      </c>
      <c r="AF31" s="1153">
        <v>0.1</v>
      </c>
      <c r="AG31" s="1153">
        <v>1.8567639257294433E-2</v>
      </c>
      <c r="AH31" s="1398">
        <v>9.2229484386347149E-2</v>
      </c>
      <c r="AI31" s="1431">
        <v>0.39735099337748347</v>
      </c>
      <c r="AJ31" s="1431">
        <v>0.23391812865497075</v>
      </c>
      <c r="AK31" s="1431">
        <v>0.14805194805194799</v>
      </c>
      <c r="AL31" s="1153">
        <v>0.109375</v>
      </c>
      <c r="AM31" s="1398">
        <v>0.13829787234042556</v>
      </c>
      <c r="AN31" s="1153">
        <f t="shared" ref="AN31:BS31" si="37">IF(ISERROR(AN29/AI29-1),"-",AN29/AI29-1)</f>
        <v>4.0284360189573487E-2</v>
      </c>
      <c r="AO31" s="1153">
        <f t="shared" si="37"/>
        <v>0.11848341232227488</v>
      </c>
      <c r="AP31" s="1153">
        <f t="shared" si="37"/>
        <v>4.7511312217194623E-2</v>
      </c>
      <c r="AQ31" s="1153">
        <f t="shared" si="37"/>
        <v>0.20657276995305174</v>
      </c>
      <c r="AR31" s="1398">
        <f t="shared" si="37"/>
        <v>0.10280373831775691</v>
      </c>
      <c r="AS31" s="1153">
        <f t="shared" si="37"/>
        <v>0.30751708428246016</v>
      </c>
      <c r="AT31" s="1153">
        <f t="shared" si="37"/>
        <v>0.12711864406779672</v>
      </c>
      <c r="AU31" s="1153">
        <f t="shared" si="37"/>
        <v>0.22462203023758098</v>
      </c>
      <c r="AV31" s="1153">
        <f t="shared" si="37"/>
        <v>0.26070038910505833</v>
      </c>
      <c r="AW31" s="1398">
        <f t="shared" si="37"/>
        <v>0.22934322033898313</v>
      </c>
      <c r="AX31" s="1431">
        <f t="shared" si="37"/>
        <v>1.0452961672473782E-2</v>
      </c>
      <c r="AY31" s="1153">
        <f t="shared" si="37"/>
        <v>0.26127819548872178</v>
      </c>
      <c r="AZ31" s="1153">
        <f t="shared" si="37"/>
        <v>0.14285714285714279</v>
      </c>
      <c r="BA31" s="1153">
        <f t="shared" si="37"/>
        <v>-0.10802469135802473</v>
      </c>
      <c r="BB31" s="1398">
        <f t="shared" si="37"/>
        <v>6.721240844463594E-2</v>
      </c>
      <c r="BC31" s="1153">
        <f t="shared" si="37"/>
        <v>-0.12758620689655176</v>
      </c>
      <c r="BD31" s="1153">
        <f t="shared" si="37"/>
        <v>-5.9612518628912037E-2</v>
      </c>
      <c r="BE31" s="1153">
        <f t="shared" si="37"/>
        <v>-2.314814814814814E-2</v>
      </c>
      <c r="BF31" s="1153">
        <f t="shared" si="37"/>
        <v>0.17128027681660907</v>
      </c>
      <c r="BG31" s="1398">
        <f t="shared" si="37"/>
        <v>-1.2111425111021368E-2</v>
      </c>
      <c r="BH31" s="1153">
        <f t="shared" si="37"/>
        <v>0.17786561264822143</v>
      </c>
      <c r="BI31" s="1153">
        <f t="shared" si="37"/>
        <v>1.5847860538827252E-2</v>
      </c>
      <c r="BJ31" s="1153">
        <f t="shared" si="37"/>
        <v>7.1090047393364886E-2</v>
      </c>
      <c r="BK31" s="1153">
        <f t="shared" si="37"/>
        <v>-2.5110782865583436E-2</v>
      </c>
      <c r="BL31" s="1398">
        <f t="shared" si="37"/>
        <v>5.2308949734368504E-2</v>
      </c>
      <c r="BM31" s="1153">
        <f t="shared" si="37"/>
        <v>5.7046979865771785E-2</v>
      </c>
      <c r="BN31" s="1153">
        <f t="shared" si="37"/>
        <v>0.1591263650546022</v>
      </c>
      <c r="BO31" s="1153">
        <f t="shared" si="37"/>
        <v>7.8171091445427665E-2</v>
      </c>
      <c r="BP31" s="1153">
        <f t="shared" si="37"/>
        <v>7.7272727272727382E-2</v>
      </c>
      <c r="BQ31" s="1398">
        <f t="shared" si="37"/>
        <v>9.3203883495145634E-2</v>
      </c>
      <c r="BR31" s="1153">
        <f t="shared" si="37"/>
        <v>-0.10158730158730156</v>
      </c>
      <c r="BS31" s="1153">
        <f t="shared" si="37"/>
        <v>-0.12382234185733509</v>
      </c>
      <c r="BT31" s="1153">
        <f t="shared" ref="BT31:CP31" si="38">IF(ISERROR(BT29/BO29-1),"-",BT29/BO29-1)</f>
        <v>-0.1094391244870041</v>
      </c>
      <c r="BU31" s="1153">
        <f t="shared" si="38"/>
        <v>-9.4233473980309457E-2</v>
      </c>
      <c r="BV31" s="1398">
        <f t="shared" si="38"/>
        <v>-0.10763765541740677</v>
      </c>
      <c r="BW31" s="1153">
        <f t="shared" si="38"/>
        <v>1.5901060070671269E-2</v>
      </c>
      <c r="BX31" s="1153">
        <f t="shared" si="38"/>
        <v>-1.536098310291889E-3</v>
      </c>
      <c r="BY31" s="1153">
        <f t="shared" si="38"/>
        <v>4.6082949308755783E-2</v>
      </c>
      <c r="BZ31" s="1153">
        <f t="shared" si="38"/>
        <v>6.211180124223592E-2</v>
      </c>
      <c r="CA31" s="1398">
        <f t="shared" si="38"/>
        <v>3.1050955414012815E-2</v>
      </c>
      <c r="CB31" s="1153">
        <f t="shared" si="38"/>
        <v>-8.6956521739129933E-3</v>
      </c>
      <c r="CC31" s="1153">
        <f t="shared" si="38"/>
        <v>6.615384615384623E-2</v>
      </c>
      <c r="CD31" s="1153">
        <f t="shared" si="38"/>
        <v>3.2305433186490484E-2</v>
      </c>
      <c r="CE31" s="1153">
        <f t="shared" si="38"/>
        <v>-1.4619883040935644E-2</v>
      </c>
      <c r="CF31" s="1398">
        <f t="shared" si="38"/>
        <v>1.9305019305019266E-2</v>
      </c>
      <c r="CG31" s="1430">
        <f t="shared" si="38"/>
        <v>-7.5438596491228083E-2</v>
      </c>
      <c r="CH31" s="1430">
        <f t="shared" si="38"/>
        <v>-9.5238095238095233E-2</v>
      </c>
      <c r="CI31" s="1430">
        <f t="shared" si="38"/>
        <v>-8.6770981507823586E-2</v>
      </c>
      <c r="CJ31" s="1430">
        <f t="shared" si="38"/>
        <v>-0.19584569732937684</v>
      </c>
      <c r="CK31" s="1398">
        <f t="shared" si="38"/>
        <v>-0.11439393939393938</v>
      </c>
      <c r="CL31" s="1430">
        <f t="shared" si="38"/>
        <v>-0.11574952561669827</v>
      </c>
      <c r="CM31" s="1430">
        <f t="shared" si="38"/>
        <v>-7.3365231259968078E-2</v>
      </c>
      <c r="CN31" s="1430">
        <f t="shared" si="38"/>
        <v>-9.0342679127725867E-2</v>
      </c>
      <c r="CO31" s="1430">
        <f t="shared" si="38"/>
        <v>-4.7970479704797064E-2</v>
      </c>
      <c r="CP31" s="1398">
        <f t="shared" si="38"/>
        <v>-8.1693755346449959E-2</v>
      </c>
      <c r="CQ31" s="1430">
        <f t="shared" ref="CQ31:CZ31" si="39">IF(ISERROR(CQ29/CL29-1),"-",CQ29/CL29-1)</f>
        <v>-3.0042918454935674E-2</v>
      </c>
      <c r="CR31" s="2217">
        <f t="shared" si="39"/>
        <v>-6.3683304647160099E-2</v>
      </c>
      <c r="CS31" s="1430">
        <f t="shared" si="39"/>
        <v>-4.9657534246575374E-2</v>
      </c>
      <c r="CT31" s="1430">
        <f t="shared" si="39"/>
        <v>-3.9013856613631659E-2</v>
      </c>
      <c r="CU31" s="1398">
        <f t="shared" si="39"/>
        <v>-4.6637703778590556E-2</v>
      </c>
      <c r="CV31" s="2217">
        <f t="shared" si="39"/>
        <v>1.6407979753254809E-2</v>
      </c>
      <c r="CW31" s="2217">
        <f t="shared" si="39"/>
        <v>3.0291317182324029E-2</v>
      </c>
      <c r="CX31" s="2217">
        <f t="shared" si="39"/>
        <v>3.4443788259568953E-2</v>
      </c>
      <c r="CY31" s="2217">
        <f t="shared" si="39"/>
        <v>1.8051829659589291E-2</v>
      </c>
      <c r="CZ31" s="1398">
        <f t="shared" si="39"/>
        <v>2.53863484675656E-2</v>
      </c>
      <c r="DA31" s="1398">
        <f>IF(ISERROR(DA29/CZ29-1),"-",DA29/CZ29-1)</f>
        <v>3.3306611021405308E-2</v>
      </c>
      <c r="DB31" s="1398">
        <f>IF(ISERROR(DB29/DA29-1),"-",DB29/DA29-1)</f>
        <v>3.4646190669996191E-2</v>
      </c>
      <c r="DC31" s="1398">
        <f>IF(ISERROR(DC29/DB29-1),"-",DC29/DB29-1)</f>
        <v>1.3559608003206547E-2</v>
      </c>
    </row>
    <row r="32" spans="1:109" s="1178" customFormat="1" ht="12" customHeight="1">
      <c r="A32" s="1156"/>
      <c r="B32" s="1156"/>
      <c r="C32" s="1393"/>
      <c r="D32" s="1393"/>
      <c r="E32" s="1156"/>
      <c r="F32" s="1156"/>
      <c r="G32" s="1156"/>
      <c r="H32" s="1156"/>
      <c r="I32" s="1156"/>
      <c r="J32" s="1156"/>
      <c r="K32" s="1156"/>
      <c r="L32" s="1156"/>
      <c r="M32" s="1156"/>
      <c r="N32" s="1235"/>
      <c r="O32" s="1156"/>
      <c r="P32" s="1156"/>
      <c r="Q32" s="1156"/>
      <c r="R32" s="1156"/>
      <c r="S32" s="1235"/>
      <c r="T32" s="1194"/>
      <c r="U32" s="1194"/>
      <c r="V32" s="1194"/>
      <c r="W32" s="1194"/>
      <c r="X32" s="1235"/>
      <c r="Y32" s="1194"/>
      <c r="Z32" s="1194"/>
      <c r="AA32" s="1194"/>
      <c r="AB32" s="1194"/>
      <c r="AC32" s="1235"/>
      <c r="AD32" s="1156"/>
      <c r="AE32" s="1156"/>
      <c r="AF32" s="1156"/>
      <c r="AG32" s="1156"/>
      <c r="AH32" s="1235"/>
      <c r="AI32" s="1156"/>
      <c r="AJ32" s="1156"/>
      <c r="AK32" s="1156"/>
      <c r="AL32" s="1156"/>
      <c r="AM32" s="1235"/>
      <c r="AN32" s="1156"/>
      <c r="AO32" s="1156"/>
      <c r="AP32" s="1156"/>
      <c r="AQ32" s="1156"/>
      <c r="AR32" s="1235"/>
      <c r="AS32" s="1156"/>
      <c r="AT32" s="1156"/>
      <c r="AU32" s="1156"/>
      <c r="AV32" s="1156"/>
      <c r="AW32" s="1235"/>
      <c r="AX32" s="1156"/>
      <c r="AY32" s="1156"/>
      <c r="AZ32" s="1156"/>
      <c r="BA32" s="1156"/>
      <c r="BB32" s="1235"/>
      <c r="BC32" s="1156"/>
      <c r="BD32" s="1156"/>
      <c r="BE32" s="1156"/>
      <c r="BF32" s="1156"/>
      <c r="BG32" s="1235"/>
      <c r="BH32" s="1156"/>
      <c r="BI32" s="1156"/>
      <c r="BJ32" s="1156"/>
      <c r="BK32" s="1156"/>
      <c r="BL32" s="1235"/>
      <c r="BM32" s="1186"/>
      <c r="BN32" s="1186"/>
      <c r="BO32" s="1186"/>
      <c r="BP32" s="1186"/>
      <c r="BQ32" s="1235"/>
      <c r="BR32" s="1186"/>
      <c r="BS32" s="1186"/>
      <c r="BT32" s="1186"/>
      <c r="BU32" s="1186"/>
      <c r="BV32" s="1235"/>
      <c r="BW32" s="1186"/>
      <c r="BX32" s="1186"/>
      <c r="BY32" s="1186"/>
      <c r="BZ32" s="1186"/>
      <c r="CA32" s="1429"/>
      <c r="CB32" s="1186"/>
      <c r="CC32" s="1186"/>
      <c r="CD32" s="1186"/>
      <c r="CE32" s="1186"/>
      <c r="CF32" s="1235"/>
      <c r="CG32" s="1428"/>
      <c r="CH32" s="1428"/>
      <c r="CI32" s="1428"/>
      <c r="CJ32" s="1428"/>
      <c r="CK32" s="1235"/>
      <c r="CL32" s="1428"/>
      <c r="CM32" s="1428"/>
      <c r="CN32" s="1428"/>
      <c r="CO32" s="1428"/>
      <c r="CP32" s="1235"/>
      <c r="CQ32" s="1428"/>
      <c r="CR32" s="1428"/>
      <c r="CS32" s="1428"/>
      <c r="CT32" s="1428"/>
      <c r="CU32" s="1235"/>
      <c r="CV32" s="1428"/>
      <c r="CW32" s="1428"/>
      <c r="CX32" s="1428"/>
      <c r="CY32" s="1428"/>
      <c r="CZ32" s="1235"/>
      <c r="DA32" s="1235"/>
      <c r="DB32" s="1235"/>
      <c r="DC32" s="1235"/>
    </row>
    <row r="33" spans="1:114" s="1178" customFormat="1" ht="12" customHeight="1">
      <c r="A33" s="1393"/>
      <c r="B33" s="1393"/>
      <c r="C33" s="1427" t="s">
        <v>1012</v>
      </c>
      <c r="D33" s="1394"/>
      <c r="E33" s="1393"/>
      <c r="F33" s="1390"/>
      <c r="G33" s="1390"/>
      <c r="H33" s="1390"/>
      <c r="I33" s="1390"/>
      <c r="J33" s="1390"/>
      <c r="K33" s="1390"/>
      <c r="L33" s="1390"/>
      <c r="M33" s="1390"/>
      <c r="N33" s="1423"/>
      <c r="O33" s="1426"/>
      <c r="P33" s="1426"/>
      <c r="Q33" s="1426"/>
      <c r="R33" s="1426"/>
      <c r="S33" s="1423"/>
      <c r="T33" s="1426"/>
      <c r="U33" s="1426"/>
      <c r="V33" s="1426"/>
      <c r="W33" s="1426"/>
      <c r="X33" s="1423"/>
      <c r="Y33" s="1426"/>
      <c r="Z33" s="1426"/>
      <c r="AA33" s="1426"/>
      <c r="AB33" s="1426">
        <v>50</v>
      </c>
      <c r="AC33" s="1423">
        <v>50</v>
      </c>
      <c r="AD33" s="1426"/>
      <c r="AE33" s="1426"/>
      <c r="AF33" s="1426"/>
      <c r="AG33" s="1426"/>
      <c r="AH33" s="1423"/>
      <c r="AI33" s="1426"/>
      <c r="AJ33" s="1426"/>
      <c r="AK33" s="1426"/>
      <c r="AL33" s="1426"/>
      <c r="AM33" s="1423"/>
      <c r="AN33" s="1426"/>
      <c r="AO33" s="1426"/>
      <c r="AP33" s="1426"/>
      <c r="AQ33" s="1426"/>
      <c r="AR33" s="1423"/>
      <c r="AS33" s="1424">
        <v>84</v>
      </c>
      <c r="AT33" s="1424">
        <v>0</v>
      </c>
      <c r="AU33" s="1424">
        <v>0</v>
      </c>
      <c r="AV33" s="1424">
        <v>26</v>
      </c>
      <c r="AW33" s="1423">
        <f>SUM(AS33:AV33)</f>
        <v>110</v>
      </c>
      <c r="AX33" s="1424">
        <v>0</v>
      </c>
      <c r="AY33" s="1424">
        <v>0</v>
      </c>
      <c r="AZ33" s="1424">
        <v>0</v>
      </c>
      <c r="BA33" s="1424">
        <v>0</v>
      </c>
      <c r="BB33" s="1423">
        <f>SUM(AX33:BA33)</f>
        <v>0</v>
      </c>
      <c r="BC33" s="1424">
        <v>0</v>
      </c>
      <c r="BD33" s="1425">
        <v>52</v>
      </c>
      <c r="BE33" s="1424">
        <v>0</v>
      </c>
      <c r="BF33" s="1424">
        <v>0</v>
      </c>
      <c r="BG33" s="1423">
        <f>SUM(BC33:BF33)</f>
        <v>52</v>
      </c>
      <c r="BH33" s="1424">
        <v>0</v>
      </c>
      <c r="BI33" s="1424">
        <v>0</v>
      </c>
      <c r="BJ33" s="1425">
        <v>0</v>
      </c>
      <c r="BK33" s="1425">
        <v>0</v>
      </c>
      <c r="BL33" s="1423">
        <f>SUM(BH33:BK33)</f>
        <v>0</v>
      </c>
      <c r="BM33" s="1424">
        <v>0</v>
      </c>
      <c r="BN33" s="1424">
        <v>0</v>
      </c>
      <c r="BO33" s="1424">
        <v>0</v>
      </c>
      <c r="BP33" s="1424">
        <v>0</v>
      </c>
      <c r="BQ33" s="1423">
        <f>SUM(BM33:BP33)</f>
        <v>0</v>
      </c>
      <c r="BR33" s="1424">
        <v>0</v>
      </c>
      <c r="BS33" s="1424">
        <v>0</v>
      </c>
      <c r="BT33" s="1424">
        <v>0</v>
      </c>
      <c r="BU33" s="1424">
        <v>0</v>
      </c>
      <c r="BV33" s="1423">
        <f>SUM(BR33:BU33)</f>
        <v>0</v>
      </c>
      <c r="BW33" s="1422">
        <v>0</v>
      </c>
      <c r="BX33" s="1422">
        <v>0</v>
      </c>
      <c r="BY33" s="1422">
        <v>0</v>
      </c>
      <c r="BZ33" s="1422">
        <v>0</v>
      </c>
      <c r="CA33" s="1421">
        <f>SUM(BW33:BZ33)</f>
        <v>0</v>
      </c>
      <c r="CB33" s="1422"/>
      <c r="CC33" s="1422">
        <v>0</v>
      </c>
      <c r="CD33" s="1422">
        <v>0</v>
      </c>
      <c r="CE33" s="1422">
        <v>0</v>
      </c>
      <c r="CF33" s="1421">
        <f>SUM(CB33:CE33)</f>
        <v>0</v>
      </c>
      <c r="CG33" s="1420">
        <v>0</v>
      </c>
      <c r="CH33" s="1420">
        <v>0</v>
      </c>
      <c r="CI33" s="1420">
        <v>0</v>
      </c>
      <c r="CJ33" s="1420">
        <v>0</v>
      </c>
      <c r="CK33" s="1419">
        <v>0</v>
      </c>
      <c r="CL33" s="1420">
        <v>0</v>
      </c>
      <c r="CM33" s="1420">
        <v>0</v>
      </c>
      <c r="CN33" s="1420">
        <v>0</v>
      </c>
      <c r="CO33" s="1420">
        <v>0</v>
      </c>
      <c r="CP33" s="1419">
        <v>0</v>
      </c>
      <c r="CQ33" s="1420">
        <v>0</v>
      </c>
      <c r="CR33" s="1420">
        <v>0</v>
      </c>
      <c r="CS33" s="1420">
        <v>0</v>
      </c>
      <c r="CT33" s="1420">
        <v>0</v>
      </c>
      <c r="CU33" s="1419">
        <v>0</v>
      </c>
      <c r="CV33" s="1420">
        <v>0</v>
      </c>
      <c r="CW33" s="1420">
        <v>0</v>
      </c>
      <c r="CX33" s="1420">
        <v>0</v>
      </c>
      <c r="CY33" s="1420">
        <v>0</v>
      </c>
      <c r="CZ33" s="1419">
        <v>0</v>
      </c>
      <c r="DA33" s="1419">
        <v>0</v>
      </c>
      <c r="DB33" s="1419">
        <v>0</v>
      </c>
      <c r="DC33" s="1419">
        <v>0</v>
      </c>
    </row>
    <row r="34" spans="1:114" s="1178" customFormat="1" ht="12" customHeight="1">
      <c r="A34" s="1156"/>
      <c r="B34" s="1156"/>
      <c r="C34" s="1393"/>
      <c r="D34" s="1393"/>
      <c r="E34" s="1418"/>
      <c r="F34" s="1197"/>
      <c r="G34" s="1156"/>
      <c r="H34" s="1156"/>
      <c r="I34" s="1156"/>
      <c r="J34" s="451"/>
      <c r="K34" s="451"/>
      <c r="L34" s="451"/>
      <c r="M34" s="451"/>
      <c r="N34" s="1415"/>
      <c r="O34" s="451"/>
      <c r="P34" s="451"/>
      <c r="Q34" s="451"/>
      <c r="R34" s="451"/>
      <c r="S34" s="1415"/>
      <c r="T34" s="451"/>
      <c r="U34" s="451"/>
      <c r="V34" s="451"/>
      <c r="W34" s="451"/>
      <c r="X34" s="1415"/>
      <c r="Y34" s="451"/>
      <c r="Z34" s="451"/>
      <c r="AA34" s="451"/>
      <c r="AB34" s="451"/>
      <c r="AC34" s="1415"/>
      <c r="AD34" s="451"/>
      <c r="AE34" s="451"/>
      <c r="AF34" s="451"/>
      <c r="AG34" s="451"/>
      <c r="AH34" s="1415"/>
      <c r="AI34" s="1390"/>
      <c r="AJ34" s="1390"/>
      <c r="AK34" s="1390"/>
      <c r="AL34" s="1417"/>
      <c r="AM34" s="1415"/>
      <c r="AN34" s="1417"/>
      <c r="AO34" s="1417"/>
      <c r="AP34" s="1417"/>
      <c r="AQ34" s="1417"/>
      <c r="AR34" s="1415"/>
      <c r="AS34" s="1413"/>
      <c r="AT34" s="1413"/>
      <c r="AU34" s="1413"/>
      <c r="AV34" s="1413"/>
      <c r="AW34" s="1415"/>
      <c r="AX34" s="1413"/>
      <c r="AY34" s="1413"/>
      <c r="AZ34" s="1413"/>
      <c r="BA34" s="1413"/>
      <c r="BB34" s="1415"/>
      <c r="BC34" s="1413"/>
      <c r="BD34" s="1413"/>
      <c r="BE34" s="1413"/>
      <c r="BF34" s="1413"/>
      <c r="BG34" s="1415"/>
      <c r="BH34" s="1413"/>
      <c r="BI34" s="1413"/>
      <c r="BJ34" s="1416"/>
      <c r="BK34" s="1413"/>
      <c r="BL34" s="1415"/>
      <c r="BM34" s="1413"/>
      <c r="BN34" s="1413"/>
      <c r="BO34" s="1413"/>
      <c r="BP34" s="1413"/>
      <c r="BQ34" s="1415"/>
      <c r="BR34" s="1413"/>
      <c r="BS34" s="1413"/>
      <c r="BT34" s="1413"/>
      <c r="BU34" s="1413"/>
      <c r="BV34" s="1415"/>
      <c r="BW34" s="1413"/>
      <c r="BX34" s="1413"/>
      <c r="BY34" s="1413"/>
      <c r="BZ34" s="1413"/>
      <c r="CA34" s="1414"/>
      <c r="CB34" s="1413"/>
      <c r="CC34" s="1413"/>
      <c r="CD34" s="1413"/>
      <c r="CE34" s="1413"/>
      <c r="CF34" s="1410"/>
      <c r="CG34" s="1412"/>
      <c r="CH34" s="1412"/>
      <c r="CI34" s="1412"/>
      <c r="CJ34" s="1412">
        <f>CJ35+1%*CJ12</f>
        <v>591.94000000000005</v>
      </c>
      <c r="CK34" s="1410">
        <f>CK35-CF35</f>
        <v>-338</v>
      </c>
      <c r="CL34" s="1411"/>
      <c r="CM34" s="1411"/>
      <c r="CN34" s="1411"/>
      <c r="CO34" s="1411"/>
      <c r="CP34" s="1410">
        <f>CP35-CK35</f>
        <v>-152.20179582814535</v>
      </c>
      <c r="CQ34" s="2100"/>
      <c r="CR34" s="1411"/>
      <c r="CS34" s="1411"/>
      <c r="CT34" s="1411"/>
      <c r="CU34" s="1410">
        <f>CU35-CP35</f>
        <v>-144.9293541844886</v>
      </c>
      <c r="CV34" s="2100"/>
      <c r="CW34" s="1411"/>
      <c r="CX34" s="1411"/>
      <c r="CY34" s="1411"/>
      <c r="CZ34" s="1410">
        <f>CZ35-CU35</f>
        <v>51.962525893184647</v>
      </c>
      <c r="DA34" s="1410">
        <f>DA35-CZ35</f>
        <v>69.904960235974613</v>
      </c>
      <c r="DB34" s="1410">
        <f>DB35-DA35</f>
        <v>75.138452614041853</v>
      </c>
      <c r="DC34" s="1410">
        <f>DC35-DB35</f>
        <v>30.426062543464468</v>
      </c>
      <c r="DE34" s="1905" t="s">
        <v>1343</v>
      </c>
      <c r="DF34" s="1906" t="s">
        <v>154</v>
      </c>
      <c r="DG34" s="1906" t="s">
        <v>153</v>
      </c>
      <c r="DH34" s="1906" t="s">
        <v>1345</v>
      </c>
      <c r="DI34" s="1234">
        <v>2017</v>
      </c>
    </row>
    <row r="35" spans="1:114" s="1178" customFormat="1" ht="12" customHeight="1" thickBot="1">
      <c r="A35" s="1186"/>
      <c r="B35" s="1186"/>
      <c r="C35" s="1409" t="s">
        <v>1011</v>
      </c>
      <c r="D35" s="1408"/>
      <c r="E35" s="1407"/>
      <c r="F35" s="1406"/>
      <c r="G35" s="1405"/>
      <c r="H35" s="1405"/>
      <c r="I35" s="1405"/>
      <c r="J35" s="1405"/>
      <c r="K35" s="1405"/>
      <c r="L35" s="1405"/>
      <c r="M35" s="1405"/>
      <c r="N35" s="1400">
        <v>798</v>
      </c>
      <c r="O35" s="1403">
        <f>O29+O27</f>
        <v>220</v>
      </c>
      <c r="P35" s="1403">
        <f>P29+P27</f>
        <v>223</v>
      </c>
      <c r="Q35" s="1403">
        <f>Q29+Q27</f>
        <v>236</v>
      </c>
      <c r="R35" s="1403">
        <f>R29+R27</f>
        <v>251</v>
      </c>
      <c r="S35" s="1400">
        <f>SUM(O35:R35)</f>
        <v>930</v>
      </c>
      <c r="T35" s="1403">
        <f>T29+T27</f>
        <v>250</v>
      </c>
      <c r="U35" s="1403">
        <f>U29+U27</f>
        <v>266.5</v>
      </c>
      <c r="V35" s="1403">
        <f>V29+V27</f>
        <v>303.5</v>
      </c>
      <c r="W35" s="1403">
        <f>W29+W27</f>
        <v>310</v>
      </c>
      <c r="X35" s="1400">
        <f>X29+X27</f>
        <v>1130</v>
      </c>
      <c r="Y35" s="1403">
        <f>Y29+Y27-Y33</f>
        <v>320</v>
      </c>
      <c r="Z35" s="1403">
        <f>Z29+Z27-Z33</f>
        <v>342</v>
      </c>
      <c r="AA35" s="1403">
        <f>AA29+AA27-AA33</f>
        <v>356</v>
      </c>
      <c r="AB35" s="1403">
        <f>AB29+AB27-AB33</f>
        <v>374</v>
      </c>
      <c r="AC35" s="1400">
        <f>SUM(Y35:AB35)</f>
        <v>1392</v>
      </c>
      <c r="AD35" s="1403">
        <v>370</v>
      </c>
      <c r="AE35" s="1403">
        <v>380</v>
      </c>
      <c r="AF35" s="1403">
        <v>396</v>
      </c>
      <c r="AG35" s="1403">
        <v>411</v>
      </c>
      <c r="AH35" s="1400">
        <f>SUM(AD35:AG35)</f>
        <v>1557</v>
      </c>
      <c r="AI35" s="1404">
        <v>427</v>
      </c>
      <c r="AJ35" s="1404">
        <v>440</v>
      </c>
      <c r="AK35" s="1404">
        <v>449</v>
      </c>
      <c r="AL35" s="1404">
        <v>448</v>
      </c>
      <c r="AM35" s="1400">
        <v>1764</v>
      </c>
      <c r="AN35" s="1404">
        <f t="shared" ref="AN35:BZ35" si="40">AN29+AN27-AN33</f>
        <v>441</v>
      </c>
      <c r="AO35" s="1404">
        <f t="shared" si="40"/>
        <v>478</v>
      </c>
      <c r="AP35" s="1404">
        <f t="shared" si="40"/>
        <v>495</v>
      </c>
      <c r="AQ35" s="1404">
        <f t="shared" si="40"/>
        <v>520</v>
      </c>
      <c r="AR35" s="1400">
        <f t="shared" si="40"/>
        <v>1934</v>
      </c>
      <c r="AS35" s="1403">
        <f t="shared" si="40"/>
        <v>488</v>
      </c>
      <c r="AT35" s="1403">
        <f t="shared" si="40"/>
        <v>539</v>
      </c>
      <c r="AU35" s="1403">
        <f t="shared" si="40"/>
        <v>573</v>
      </c>
      <c r="AV35" s="1403">
        <f t="shared" si="40"/>
        <v>632</v>
      </c>
      <c r="AW35" s="1400">
        <f t="shared" si="40"/>
        <v>2232</v>
      </c>
      <c r="AX35" s="1403">
        <f t="shared" si="40"/>
        <v>582</v>
      </c>
      <c r="AY35" s="1403">
        <f t="shared" si="40"/>
        <v>675</v>
      </c>
      <c r="AZ35" s="1403">
        <f t="shared" si="40"/>
        <v>653</v>
      </c>
      <c r="BA35" s="1403">
        <f t="shared" si="40"/>
        <v>588</v>
      </c>
      <c r="BB35" s="1400">
        <f t="shared" si="40"/>
        <v>2498</v>
      </c>
      <c r="BC35" s="1403">
        <f t="shared" si="40"/>
        <v>528</v>
      </c>
      <c r="BD35" s="1403">
        <f t="shared" si="40"/>
        <v>636</v>
      </c>
      <c r="BE35" s="1403">
        <f t="shared" si="40"/>
        <v>685</v>
      </c>
      <c r="BF35" s="1403">
        <f t="shared" si="40"/>
        <v>704</v>
      </c>
      <c r="BG35" s="1400">
        <f t="shared" si="40"/>
        <v>2553</v>
      </c>
      <c r="BH35" s="1403">
        <f t="shared" si="40"/>
        <v>607</v>
      </c>
      <c r="BI35" s="1403">
        <f t="shared" si="40"/>
        <v>658</v>
      </c>
      <c r="BJ35" s="1403">
        <f t="shared" si="40"/>
        <v>690</v>
      </c>
      <c r="BK35" s="1403">
        <f t="shared" si="40"/>
        <v>703</v>
      </c>
      <c r="BL35" s="1400">
        <f t="shared" si="40"/>
        <v>2658</v>
      </c>
      <c r="BM35" s="1403">
        <f t="shared" si="40"/>
        <v>632</v>
      </c>
      <c r="BN35" s="1403">
        <f t="shared" si="40"/>
        <v>747</v>
      </c>
      <c r="BO35" s="1403">
        <f t="shared" si="40"/>
        <v>772</v>
      </c>
      <c r="BP35" s="1403">
        <f t="shared" si="40"/>
        <v>737</v>
      </c>
      <c r="BQ35" s="1400">
        <f t="shared" si="40"/>
        <v>2888</v>
      </c>
      <c r="BR35" s="1403">
        <f t="shared" si="40"/>
        <v>594</v>
      </c>
      <c r="BS35" s="1403">
        <f t="shared" si="40"/>
        <v>686</v>
      </c>
      <c r="BT35" s="1403">
        <f t="shared" si="40"/>
        <v>693</v>
      </c>
      <c r="BU35" s="1403">
        <f t="shared" si="40"/>
        <v>703</v>
      </c>
      <c r="BV35" s="1400">
        <f t="shared" si="40"/>
        <v>2676</v>
      </c>
      <c r="BW35" s="1403">
        <f t="shared" si="40"/>
        <v>585</v>
      </c>
      <c r="BX35" s="1403">
        <f t="shared" si="40"/>
        <v>689</v>
      </c>
      <c r="BY35" s="1403">
        <f t="shared" si="40"/>
        <v>700</v>
      </c>
      <c r="BZ35" s="1403">
        <f t="shared" si="40"/>
        <v>704</v>
      </c>
      <c r="CA35" s="1400">
        <f>SUM(BW35:BZ35)</f>
        <v>2678</v>
      </c>
      <c r="CB35" s="1403">
        <f>CB29+CB27-CB33</f>
        <v>587</v>
      </c>
      <c r="CC35" s="1403">
        <f>CC29+CC27-CC33</f>
        <v>714</v>
      </c>
      <c r="CD35" s="1403">
        <f>CD29+CD27-CD33</f>
        <v>718</v>
      </c>
      <c r="CE35" s="1403">
        <f>CE29+CE27-CE33</f>
        <v>708</v>
      </c>
      <c r="CF35" s="1400">
        <f>SUM(CB35:CE35)</f>
        <v>2727</v>
      </c>
      <c r="CG35" s="1403">
        <f>CG29+CG27-CG33</f>
        <v>533</v>
      </c>
      <c r="CH35" s="1403">
        <f>CH29+CH27-CH33</f>
        <v>635</v>
      </c>
      <c r="CI35" s="1403">
        <f>CI29+CI27-CI33</f>
        <v>660</v>
      </c>
      <c r="CJ35" s="1401">
        <f>CJ29+CJ27-CJ33</f>
        <v>561</v>
      </c>
      <c r="CK35" s="1400">
        <f>SUM(CG35:CJ35)</f>
        <v>2389</v>
      </c>
      <c r="CL35" s="1403">
        <f>CL29+CL27-CL33</f>
        <v>481</v>
      </c>
      <c r="CM35" s="1403">
        <f>CM29+CM27-CM33</f>
        <v>597</v>
      </c>
      <c r="CN35" s="1868">
        <v>594</v>
      </c>
      <c r="CO35" s="1949">
        <v>534</v>
      </c>
      <c r="CP35" s="1400">
        <f>CP82</f>
        <v>2236.7982041718546</v>
      </c>
      <c r="CQ35" s="1868">
        <v>457</v>
      </c>
      <c r="CR35" s="1868">
        <v>556</v>
      </c>
      <c r="CS35" s="1868">
        <v>561</v>
      </c>
      <c r="CT35" s="1949">
        <f>CU35-SUM(CQ35:CS35)</f>
        <v>517.86884998736605</v>
      </c>
      <c r="CU35" s="1400">
        <f>CU82</f>
        <v>2091.868849987366</v>
      </c>
      <c r="CV35" s="1402">
        <f>CV36*CV12</f>
        <v>470.66640684847118</v>
      </c>
      <c r="CW35" s="1402">
        <f>CW36*CW12</f>
        <v>571.7284765471843</v>
      </c>
      <c r="CX35" s="1402">
        <f>CX36*CX12</f>
        <v>585.36630248406072</v>
      </c>
      <c r="CY35" s="1949">
        <f>CZ35-SUM(CV35:CX35)</f>
        <v>516.07019000083437</v>
      </c>
      <c r="CZ35" s="1400">
        <f>CZ82</f>
        <v>2143.8313758805507</v>
      </c>
      <c r="DA35" s="1400">
        <f>DA82</f>
        <v>2213.7363361165253</v>
      </c>
      <c r="DB35" s="1400">
        <f>DB82</f>
        <v>2288.8747887305672</v>
      </c>
      <c r="DC35" s="1400">
        <f>DC82</f>
        <v>2319.3008512740316</v>
      </c>
      <c r="DD35" s="1108"/>
      <c r="DE35" s="1178" t="s">
        <v>1324</v>
      </c>
      <c r="DF35" s="1178">
        <v>25</v>
      </c>
      <c r="DG35" s="1178">
        <v>75</v>
      </c>
      <c r="DH35" s="2366">
        <f>CP77-CK77+CP80-CK80</f>
        <v>-194.43949455141274</v>
      </c>
      <c r="DI35" s="2366">
        <f>CU77-CP77+CU80-CP80</f>
        <v>-181.3882952959425</v>
      </c>
    </row>
    <row r="36" spans="1:114" s="1178" customFormat="1" ht="12" thickTop="1">
      <c r="A36" s="1396"/>
      <c r="B36" s="1396"/>
      <c r="C36" s="1395"/>
      <c r="D36" s="1394" t="s">
        <v>293</v>
      </c>
      <c r="E36" s="1393"/>
      <c r="F36" s="1392"/>
      <c r="G36" s="1391"/>
      <c r="H36" s="1391"/>
      <c r="I36" s="1391"/>
      <c r="J36" s="1391"/>
      <c r="K36" s="1391"/>
      <c r="L36" s="1391"/>
      <c r="M36" s="1391"/>
      <c r="N36" s="1388">
        <v>0.12969283276450511</v>
      </c>
      <c r="O36" s="1390">
        <v>0.1421188630490956</v>
      </c>
      <c r="P36" s="1390">
        <v>0.14508783344176968</v>
      </c>
      <c r="Q36" s="1390">
        <v>0.10553410553410554</v>
      </c>
      <c r="R36" s="1390">
        <v>0.14125956444967627</v>
      </c>
      <c r="S36" s="1388">
        <v>0.13363837172609655</v>
      </c>
      <c r="T36" s="1390">
        <v>0.15234375</v>
      </c>
      <c r="U36" s="1390">
        <v>0.15654761904761905</v>
      </c>
      <c r="V36" s="1390">
        <v>0.16332378223495703</v>
      </c>
      <c r="W36" s="1390">
        <v>0.14864864864864866</v>
      </c>
      <c r="X36" s="1388">
        <v>0.15519013360739981</v>
      </c>
      <c r="Y36" s="1390">
        <v>0.17252747252747253</v>
      </c>
      <c r="Z36" s="1390">
        <v>0.17177914110429449</v>
      </c>
      <c r="AA36" s="1390">
        <v>0.18031942297784648</v>
      </c>
      <c r="AB36" s="1390">
        <v>0.17058823529411765</v>
      </c>
      <c r="AC36" s="1388">
        <v>0.18190992809385645</v>
      </c>
      <c r="AD36" s="1390">
        <v>0.17602283539486205</v>
      </c>
      <c r="AE36" s="1390">
        <v>0.17327861377108983</v>
      </c>
      <c r="AF36" s="1390">
        <v>0.17773788150807898</v>
      </c>
      <c r="AG36" s="1390">
        <v>0.17025683512841758</v>
      </c>
      <c r="AH36" s="1388">
        <v>0.18313145905100567</v>
      </c>
      <c r="AI36" s="1390">
        <v>0.1838931955211025</v>
      </c>
      <c r="AJ36" s="1390">
        <v>0.18219461697722567</v>
      </c>
      <c r="AK36" s="1390">
        <v>0.19009314140558847</v>
      </c>
      <c r="AL36" s="1390">
        <v>0.18093699515347333</v>
      </c>
      <c r="AM36" s="1388">
        <v>0.18422976501305482</v>
      </c>
      <c r="AN36" s="1390">
        <f>AN35/(AN12-AN33)</f>
        <v>0.18781942078364566</v>
      </c>
      <c r="AO36" s="1390">
        <f>AO35/(AO12-AO33)</f>
        <v>0.18900751285092923</v>
      </c>
      <c r="AP36" s="1390">
        <f>AP35/(AP12-AP33)</f>
        <v>0.19298245614035087</v>
      </c>
      <c r="AQ36" s="1390">
        <f>AQ35/(AQ12-AQ33)</f>
        <v>0.18258426966292135</v>
      </c>
      <c r="AR36" s="1388">
        <f t="shared" ref="AR36:CI36" si="41">(AR35)/(AR12)</f>
        <v>0.18794946550048591</v>
      </c>
      <c r="AS36" s="1390">
        <f t="shared" si="41"/>
        <v>0.17888563049853373</v>
      </c>
      <c r="AT36" s="1390">
        <f t="shared" si="41"/>
        <v>0.18859342197340798</v>
      </c>
      <c r="AU36" s="1390">
        <f t="shared" si="41"/>
        <v>0.19516348773841963</v>
      </c>
      <c r="AV36" s="1390">
        <f t="shared" si="41"/>
        <v>0.18792744573297651</v>
      </c>
      <c r="AW36" s="1388">
        <f t="shared" si="41"/>
        <v>0.18779974758098444</v>
      </c>
      <c r="AX36" s="1390">
        <f t="shared" si="41"/>
        <v>0.19038272816486751</v>
      </c>
      <c r="AY36" s="1390">
        <f t="shared" si="41"/>
        <v>0.19829612220916568</v>
      </c>
      <c r="AZ36" s="1390">
        <f t="shared" si="41"/>
        <v>0.20123266563944531</v>
      </c>
      <c r="BA36" s="1390">
        <f t="shared" si="41"/>
        <v>0.18131359851988899</v>
      </c>
      <c r="BB36" s="1388">
        <f t="shared" si="41"/>
        <v>0.19291064947100162</v>
      </c>
      <c r="BC36" s="1390">
        <f t="shared" si="41"/>
        <v>0.19849624060150375</v>
      </c>
      <c r="BD36" s="1390">
        <f t="shared" si="41"/>
        <v>0.21878224974200206</v>
      </c>
      <c r="BE36" s="1390">
        <f t="shared" si="41"/>
        <v>0.23134076325565686</v>
      </c>
      <c r="BF36" s="1390">
        <f t="shared" si="41"/>
        <v>0.22034428794992175</v>
      </c>
      <c r="BG36" s="1388">
        <f t="shared" si="41"/>
        <v>0.21777701953424891</v>
      </c>
      <c r="BH36" s="1390">
        <f t="shared" si="41"/>
        <v>0.22267057960381512</v>
      </c>
      <c r="BI36" s="1390">
        <f t="shared" si="41"/>
        <v>0.23185341789992953</v>
      </c>
      <c r="BJ36" s="451">
        <f t="shared" si="41"/>
        <v>0.23727647867950483</v>
      </c>
      <c r="BK36" s="1390">
        <f t="shared" si="41"/>
        <v>0.22626327647248148</v>
      </c>
      <c r="BL36" s="1388">
        <f t="shared" si="41"/>
        <v>0.22955350202953623</v>
      </c>
      <c r="BM36" s="1390">
        <f t="shared" si="41"/>
        <v>0.227994227994228</v>
      </c>
      <c r="BN36" s="1390">
        <f t="shared" si="41"/>
        <v>0.23402255639097744</v>
      </c>
      <c r="BO36" s="1390">
        <f t="shared" si="41"/>
        <v>0.23666462293071736</v>
      </c>
      <c r="BP36" s="1390">
        <f t="shared" si="41"/>
        <v>0.22952351292432263</v>
      </c>
      <c r="BQ36" s="1388">
        <f t="shared" si="41"/>
        <v>0.23221034011417543</v>
      </c>
      <c r="BR36" s="1390">
        <f t="shared" si="41"/>
        <v>0.21444043321299638</v>
      </c>
      <c r="BS36" s="1390">
        <f t="shared" si="41"/>
        <v>0.22662702345556657</v>
      </c>
      <c r="BT36" s="1390">
        <f t="shared" si="41"/>
        <v>0.2269155206286837</v>
      </c>
      <c r="BU36" s="1390">
        <f t="shared" si="41"/>
        <v>0.21934477379095163</v>
      </c>
      <c r="BV36" s="1388">
        <f t="shared" si="41"/>
        <v>0.22196416721964168</v>
      </c>
      <c r="BW36" s="1390">
        <f t="shared" si="41"/>
        <v>0.20788912579957355</v>
      </c>
      <c r="BX36" s="1390">
        <f t="shared" si="41"/>
        <v>0.21956660293180369</v>
      </c>
      <c r="BY36" s="1390">
        <f t="shared" si="41"/>
        <v>0.21957340025094102</v>
      </c>
      <c r="BZ36" s="1390">
        <f t="shared" si="41"/>
        <v>0.21052631578947367</v>
      </c>
      <c r="CA36" s="1388">
        <f t="shared" si="41"/>
        <v>0.21451457866068568</v>
      </c>
      <c r="CB36" s="1390">
        <f t="shared" si="41"/>
        <v>0.19864636209813874</v>
      </c>
      <c r="CC36" s="1390">
        <f t="shared" si="41"/>
        <v>0.21218424962852897</v>
      </c>
      <c r="CD36" s="1390">
        <f t="shared" si="41"/>
        <v>0.21587492483463619</v>
      </c>
      <c r="CE36" s="1390">
        <f t="shared" si="41"/>
        <v>0.21223021582733814</v>
      </c>
      <c r="CF36" s="1388">
        <f t="shared" si="41"/>
        <v>0.21006008319211217</v>
      </c>
      <c r="CG36" s="1390">
        <f t="shared" si="41"/>
        <v>0.19417122040072859</v>
      </c>
      <c r="CH36" s="1390">
        <f t="shared" si="41"/>
        <v>0.20497094899935442</v>
      </c>
      <c r="CI36" s="1390">
        <f t="shared" si="41"/>
        <v>0.21689122576404862</v>
      </c>
      <c r="CJ36" s="1390">
        <f>(CJ35)/(CJ12)</f>
        <v>0.18131868131868131</v>
      </c>
      <c r="CK36" s="1397">
        <f>(CK35)/(CK12)</f>
        <v>0.20053259802072992</v>
      </c>
      <c r="CL36" s="1390">
        <f>(CL35)/(CL12)</f>
        <v>0.17716390423572745</v>
      </c>
      <c r="CM36" s="1390">
        <f>(CM35)/(CM12)</f>
        <v>0.19276719405876655</v>
      </c>
      <c r="CN36" s="1390">
        <f>(CN35)/(CN12)</f>
        <v>0.19681908548707752</v>
      </c>
      <c r="CO36" s="451">
        <f>CO35/CO12</f>
        <v>0.1743388834476004</v>
      </c>
      <c r="CP36" s="1397">
        <f>(CP35)/(CP12)</f>
        <v>0.18807686909710372</v>
      </c>
      <c r="CQ36" s="451">
        <f>CQ35/CQ12</f>
        <v>0.16298145506419401</v>
      </c>
      <c r="CR36" s="451">
        <f>CR35/CR12</f>
        <v>0.17757904822740339</v>
      </c>
      <c r="CS36" s="451">
        <f>CS35/CS12</f>
        <v>0.17775665399239543</v>
      </c>
      <c r="CT36" s="451">
        <f>CT35/CT12</f>
        <v>0.16575712503614662</v>
      </c>
      <c r="CU36" s="1397">
        <f>(CU35)/(CU12)</f>
        <v>0.17125041456970061</v>
      </c>
      <c r="CV36" s="1901">
        <f>CQ36-0.003</f>
        <v>0.15998145506419401</v>
      </c>
      <c r="CW36" s="1901">
        <f>CR36-0.75%</f>
        <v>0.17007904822740338</v>
      </c>
      <c r="CX36" s="1901">
        <f>CS36-0.5%</f>
        <v>0.17275665399239543</v>
      </c>
      <c r="CY36" s="451">
        <f>CY35/CY12</f>
        <v>0.16230518262979463</v>
      </c>
      <c r="CZ36" s="1397">
        <f>(CZ35)/(CZ12)</f>
        <v>0.16655559041709969</v>
      </c>
      <c r="DA36" s="1397">
        <f>(DA35)/(DA12)</f>
        <v>0.16841054258948446</v>
      </c>
      <c r="DB36" s="1397">
        <f>(DB35)/(DB12)</f>
        <v>0.17072370116738411</v>
      </c>
      <c r="DC36" s="1397">
        <f>(DC35)/(DC12)</f>
        <v>0.16989034676905007</v>
      </c>
      <c r="DE36" s="1178" t="s">
        <v>1344</v>
      </c>
      <c r="DF36" s="1178">
        <v>-250</v>
      </c>
      <c r="DG36" s="1178">
        <f>DF36</f>
        <v>-250</v>
      </c>
      <c r="DH36" s="2366"/>
      <c r="DI36" s="2366"/>
    </row>
    <row r="37" spans="1:114" s="1178" customFormat="1" ht="11.25">
      <c r="A37" s="1396"/>
      <c r="B37" s="1396"/>
      <c r="C37" s="1395"/>
      <c r="D37" s="1394" t="s">
        <v>1010</v>
      </c>
      <c r="E37" s="1393"/>
      <c r="F37" s="1392"/>
      <c r="G37" s="1391"/>
      <c r="H37" s="1391"/>
      <c r="I37" s="1391"/>
      <c r="J37" s="1391"/>
      <c r="K37" s="1391"/>
      <c r="L37" s="1391"/>
      <c r="M37" s="1391"/>
      <c r="N37" s="1388"/>
      <c r="O37" s="1153">
        <f t="shared" ref="O37:AT37" si="42">(O35-J35)/(O12-J12)</f>
        <v>44</v>
      </c>
      <c r="P37" s="1390">
        <f t="shared" si="42"/>
        <v>74.333333333333329</v>
      </c>
      <c r="Q37" s="1390">
        <f t="shared" si="42"/>
        <v>4.72</v>
      </c>
      <c r="R37" s="1390">
        <f t="shared" si="42"/>
        <v>1.9763779527559056</v>
      </c>
      <c r="S37" s="1388">
        <f t="shared" si="42"/>
        <v>0.71351351351351355</v>
      </c>
      <c r="T37" s="1390">
        <f t="shared" si="42"/>
        <v>-2.5</v>
      </c>
      <c r="U37" s="1390">
        <f t="shared" si="42"/>
        <v>0.30419580419580422</v>
      </c>
      <c r="V37" s="1390">
        <f t="shared" si="42"/>
        <v>0.35340314136125656</v>
      </c>
      <c r="W37" s="1390">
        <f t="shared" si="42"/>
        <v>0.39072847682119205</v>
      </c>
      <c r="X37" s="1388">
        <f t="shared" si="42"/>
        <v>0.42283298097251587</v>
      </c>
      <c r="Y37" s="1390">
        <f t="shared" si="42"/>
        <v>0.24647887323943662</v>
      </c>
      <c r="Z37" s="1390">
        <f t="shared" si="42"/>
        <v>0.27355072463768115</v>
      </c>
      <c r="AA37" s="1390">
        <f t="shared" si="42"/>
        <v>0.26785714285714285</v>
      </c>
      <c r="AB37" s="1390">
        <f t="shared" si="42"/>
        <v>0.17777777777777778</v>
      </c>
      <c r="AC37" s="1388">
        <f t="shared" si="42"/>
        <v>0.23476702508960573</v>
      </c>
      <c r="AD37" s="1390">
        <f t="shared" si="42"/>
        <v>0.1773049645390071</v>
      </c>
      <c r="AE37" s="1390">
        <f t="shared" si="42"/>
        <v>0.16033755274261605</v>
      </c>
      <c r="AF37" s="1390">
        <f t="shared" si="42"/>
        <v>0.13937282229965156</v>
      </c>
      <c r="AG37" s="1390">
        <f t="shared" si="42"/>
        <v>0.18137254901960784</v>
      </c>
      <c r="AH37" s="1388">
        <f t="shared" si="42"/>
        <v>0.15391791044776118</v>
      </c>
      <c r="AI37" s="1390">
        <f t="shared" si="42"/>
        <v>0.25909090909090909</v>
      </c>
      <c r="AJ37" s="1390">
        <f t="shared" si="42"/>
        <v>0.27027027027027029</v>
      </c>
      <c r="AK37" s="1390">
        <f t="shared" si="42"/>
        <v>0.39552238805970147</v>
      </c>
      <c r="AL37" s="1390">
        <f t="shared" si="42"/>
        <v>0.59677419354838712</v>
      </c>
      <c r="AM37" s="1388">
        <f t="shared" si="42"/>
        <v>0.359375</v>
      </c>
      <c r="AN37" s="1390">
        <f t="shared" si="42"/>
        <v>0.53846153846153844</v>
      </c>
      <c r="AO37" s="1390">
        <f t="shared" si="42"/>
        <v>0.33333333333333331</v>
      </c>
      <c r="AP37" s="1390">
        <f t="shared" si="42"/>
        <v>0.22660098522167488</v>
      </c>
      <c r="AQ37" s="1390">
        <f t="shared" si="42"/>
        <v>0.19354838709677419</v>
      </c>
      <c r="AR37" s="1388">
        <f t="shared" si="42"/>
        <v>0.23776223776223776</v>
      </c>
      <c r="AS37" s="1390">
        <f t="shared" si="42"/>
        <v>0.12368421052631579</v>
      </c>
      <c r="AT37" s="1390">
        <f t="shared" si="42"/>
        <v>0.18541033434650456</v>
      </c>
      <c r="AU37" s="1390">
        <f t="shared" ref="AU37:BZ37" si="43">(AU35-AP35)/(AU12-AP12)</f>
        <v>0.21024258760107817</v>
      </c>
      <c r="AV37" s="1390">
        <f t="shared" si="43"/>
        <v>0.2174757281553398</v>
      </c>
      <c r="AW37" s="1388">
        <f t="shared" si="43"/>
        <v>0.18683385579937303</v>
      </c>
      <c r="AX37" s="1390">
        <f t="shared" si="43"/>
        <v>0.2857142857142857</v>
      </c>
      <c r="AY37" s="1390">
        <f t="shared" si="43"/>
        <v>0.24908424908424909</v>
      </c>
      <c r="AZ37" s="1390">
        <f t="shared" si="43"/>
        <v>0.25889967637540451</v>
      </c>
      <c r="BA37" s="1390">
        <f t="shared" si="43"/>
        <v>0.36666666666666664</v>
      </c>
      <c r="BB37" s="1388">
        <f t="shared" si="43"/>
        <v>0.25</v>
      </c>
      <c r="BC37" s="1390">
        <f t="shared" si="43"/>
        <v>0.13602015113350127</v>
      </c>
      <c r="BD37" s="1390">
        <f t="shared" si="43"/>
        <v>7.847082494969819E-2</v>
      </c>
      <c r="BE37" s="1390">
        <f t="shared" si="43"/>
        <v>-0.11267605633802817</v>
      </c>
      <c r="BF37" s="1390">
        <f t="shared" si="43"/>
        <v>-2.4166666666666665</v>
      </c>
      <c r="BG37" s="1388">
        <f t="shared" si="43"/>
        <v>-4.4861337683523655E-2</v>
      </c>
      <c r="BH37" s="1390">
        <f t="shared" si="43"/>
        <v>1.196969696969697</v>
      </c>
      <c r="BI37" s="1390">
        <f t="shared" si="43"/>
        <v>-0.3188405797101449</v>
      </c>
      <c r="BJ37" s="451">
        <f t="shared" si="43"/>
        <v>-9.4339622641509441E-2</v>
      </c>
      <c r="BK37" s="1390">
        <f t="shared" si="43"/>
        <v>1.1363636363636364E-2</v>
      </c>
      <c r="BL37" s="1388">
        <f t="shared" si="43"/>
        <v>-0.72916666666666663</v>
      </c>
      <c r="BM37" s="1390">
        <f t="shared" si="43"/>
        <v>0.54347826086956519</v>
      </c>
      <c r="BN37" s="1390">
        <f t="shared" si="43"/>
        <v>0.25141242937853109</v>
      </c>
      <c r="BO37" s="1390">
        <f t="shared" si="43"/>
        <v>0.23163841807909605</v>
      </c>
      <c r="BP37" s="1390">
        <f t="shared" si="43"/>
        <v>0.32692307692307693</v>
      </c>
      <c r="BQ37" s="1388">
        <f t="shared" si="43"/>
        <v>0.26806526806526809</v>
      </c>
      <c r="BR37" s="1390">
        <f t="shared" si="43"/>
        <v>19</v>
      </c>
      <c r="BS37" s="1390">
        <f t="shared" si="43"/>
        <v>0.36969696969696969</v>
      </c>
      <c r="BT37" s="1390">
        <f t="shared" si="43"/>
        <v>0.37980769230769229</v>
      </c>
      <c r="BU37" s="1390">
        <f t="shared" si="43"/>
        <v>5.666666666666667</v>
      </c>
      <c r="BV37" s="1388">
        <f t="shared" si="43"/>
        <v>0.55643044619422577</v>
      </c>
      <c r="BW37" s="1390">
        <f t="shared" si="43"/>
        <v>-0.20454545454545456</v>
      </c>
      <c r="BX37" s="1390">
        <f t="shared" si="43"/>
        <v>2.7027027027027029E-2</v>
      </c>
      <c r="BY37" s="1390">
        <f t="shared" si="43"/>
        <v>5.2238805970149252E-2</v>
      </c>
      <c r="BZ37" s="1390">
        <f t="shared" si="43"/>
        <v>7.1942446043165471E-3</v>
      </c>
      <c r="CA37" s="1397">
        <f>(CA35-BV35)/(CA12-BV12)</f>
        <v>4.6728971962616819E-3</v>
      </c>
      <c r="CB37" s="1390">
        <f>(CB35-BW35)/(CB12-BW12)</f>
        <v>1.4184397163120567E-2</v>
      </c>
      <c r="CC37" s="451">
        <f>(CC35-BX35)/(CC12-BX12)</f>
        <v>0.11013215859030837</v>
      </c>
      <c r="CD37" s="1390">
        <f>(CD35-BY35)/(CD12-BY12)</f>
        <v>0.13043478260869565</v>
      </c>
      <c r="CE37" s="1390">
        <v>0.1</v>
      </c>
      <c r="CF37" s="1397">
        <f t="shared" ref="CF37:CR37" si="44">(CF35-CA35)/(CF12-CA12)</f>
        <v>9.8393574297188757E-2</v>
      </c>
      <c r="CG37" s="1390">
        <f t="shared" si="44"/>
        <v>0.25714285714285712</v>
      </c>
      <c r="CH37" s="1390">
        <f t="shared" si="44"/>
        <v>0.29588014981273408</v>
      </c>
      <c r="CI37" s="1390">
        <f t="shared" si="44"/>
        <v>0.20494699646643111</v>
      </c>
      <c r="CJ37" s="1390">
        <f t="shared" si="44"/>
        <v>0.6074380165289256</v>
      </c>
      <c r="CK37" s="1397">
        <f t="shared" si="44"/>
        <v>0.3162647275948014</v>
      </c>
      <c r="CL37" s="1390">
        <f t="shared" si="44"/>
        <v>1.7333333333333334</v>
      </c>
      <c r="CM37" s="1390">
        <f t="shared" si="44"/>
        <v>38</v>
      </c>
      <c r="CN37" s="1390">
        <f t="shared" si="44"/>
        <v>2.64</v>
      </c>
      <c r="CO37" s="1399">
        <f t="shared" si="44"/>
        <v>0.87096774193548387</v>
      </c>
      <c r="CP37" s="1397">
        <f t="shared" si="44"/>
        <v>7.5068457411903999</v>
      </c>
      <c r="CQ37" s="1399">
        <f t="shared" si="44"/>
        <v>-0.2696629213483146</v>
      </c>
      <c r="CR37" s="1399">
        <f t="shared" si="44"/>
        <v>-1.2058823529411764</v>
      </c>
      <c r="CS37" s="1399">
        <f t="shared" ref="CS37:CY37" si="45">(CS35-CN35)/(CS12-CN12)</f>
        <v>-0.2391304347826087</v>
      </c>
      <c r="CT37" s="1399">
        <f t="shared" si="45"/>
        <v>-0.26330989961638013</v>
      </c>
      <c r="CU37" s="1397">
        <f t="shared" si="45"/>
        <v>-0.44972386418587257</v>
      </c>
      <c r="CV37" s="1399">
        <f t="shared" si="45"/>
        <v>9.9027600502301527E-2</v>
      </c>
      <c r="CW37" s="1399">
        <f t="shared" si="45"/>
        <v>6.8222843621175713E-2</v>
      </c>
      <c r="CX37" s="1399">
        <f t="shared" si="45"/>
        <v>0.10485251758824354</v>
      </c>
      <c r="CY37" s="1399">
        <f t="shared" si="45"/>
        <v>-3.2486987818772822E-2</v>
      </c>
      <c r="CZ37" s="1398">
        <f>IF(ISERROR((CZ35-CU35)/(CZ12-CU12)),"-",(CZ35-CU35)/(CZ12-CU12))</f>
        <v>7.9174522275676132E-2</v>
      </c>
      <c r="DA37" s="1398">
        <f>IF(ISERROR((DA35-CZ35)/(DA12-CZ12)),"-",(DA35-CZ35)/(DA12-CZ12))</f>
        <v>0.25576871914808214</v>
      </c>
      <c r="DB37" s="1398">
        <f>IF(ISERROR((DB35-DA35)/(DB12-DA12)),"-",(DB35-DA35)/(DB12-DA12))</f>
        <v>0.28677098782397259</v>
      </c>
      <c r="DC37" s="1398">
        <f>IF(ISERROR((DC35-DB35)/(DC12-DB12)),"-",(DC35-DB35)/(DC12-DB12))</f>
        <v>0.12426078565164343</v>
      </c>
      <c r="DE37" s="1178" t="s">
        <v>595</v>
      </c>
      <c r="DF37" s="1178">
        <v>125</v>
      </c>
      <c r="DG37" s="1178">
        <f>DF37</f>
        <v>125</v>
      </c>
      <c r="DH37" s="1896">
        <f>CP95</f>
        <v>125</v>
      </c>
      <c r="DI37" s="1896">
        <f>CU95</f>
        <v>75</v>
      </c>
    </row>
    <row r="38" spans="1:114" s="1178" customFormat="1" ht="11.25">
      <c r="A38" s="1396"/>
      <c r="B38" s="1396"/>
      <c r="C38" s="1395"/>
      <c r="D38" s="1394" t="s">
        <v>282</v>
      </c>
      <c r="E38" s="1393"/>
      <c r="F38" s="1392"/>
      <c r="G38" s="1391"/>
      <c r="H38" s="1391"/>
      <c r="I38" s="1391"/>
      <c r="J38" s="1391"/>
      <c r="K38" s="1391"/>
      <c r="L38" s="1391"/>
      <c r="M38" s="1391"/>
      <c r="N38" s="1388"/>
      <c r="O38" s="1153"/>
      <c r="P38" s="1390"/>
      <c r="Q38" s="1390"/>
      <c r="R38" s="1390"/>
      <c r="S38" s="1388">
        <f t="shared" ref="S38:AX38" si="46">IF(ISERROR(S35/N35-1),"-",S35/N35-1)</f>
        <v>0.16541353383458657</v>
      </c>
      <c r="T38" s="1390">
        <f t="shared" si="46"/>
        <v>0.13636363636363646</v>
      </c>
      <c r="U38" s="1390">
        <f t="shared" si="46"/>
        <v>0.19506726457399104</v>
      </c>
      <c r="V38" s="1390">
        <f t="shared" si="46"/>
        <v>0.28601694915254239</v>
      </c>
      <c r="W38" s="1390">
        <f t="shared" si="46"/>
        <v>0.23505976095617531</v>
      </c>
      <c r="X38" s="1388">
        <f t="shared" si="46"/>
        <v>0.21505376344086025</v>
      </c>
      <c r="Y38" s="1390">
        <f t="shared" si="46"/>
        <v>0.28000000000000003</v>
      </c>
      <c r="Z38" s="1390">
        <f t="shared" si="46"/>
        <v>0.28330206378986866</v>
      </c>
      <c r="AA38" s="1390">
        <f t="shared" si="46"/>
        <v>0.17298187808896204</v>
      </c>
      <c r="AB38" s="1390">
        <f t="shared" si="46"/>
        <v>0.20645161290322589</v>
      </c>
      <c r="AC38" s="1388">
        <f t="shared" si="46"/>
        <v>0.23185840707964611</v>
      </c>
      <c r="AD38" s="1390">
        <f t="shared" si="46"/>
        <v>0.15625</v>
      </c>
      <c r="AE38" s="1390">
        <f t="shared" si="46"/>
        <v>0.11111111111111116</v>
      </c>
      <c r="AF38" s="1390">
        <f t="shared" si="46"/>
        <v>0.11235955056179781</v>
      </c>
      <c r="AG38" s="1390">
        <f t="shared" si="46"/>
        <v>9.8930481283422411E-2</v>
      </c>
      <c r="AH38" s="1388">
        <f t="shared" si="46"/>
        <v>0.11853448275862077</v>
      </c>
      <c r="AI38" s="1390">
        <f t="shared" si="46"/>
        <v>0.15405405405405403</v>
      </c>
      <c r="AJ38" s="1390">
        <f t="shared" si="46"/>
        <v>0.15789473684210531</v>
      </c>
      <c r="AK38" s="1390">
        <f t="shared" si="46"/>
        <v>0.13383838383838387</v>
      </c>
      <c r="AL38" s="1390">
        <f t="shared" si="46"/>
        <v>9.002433090024331E-2</v>
      </c>
      <c r="AM38" s="1388">
        <f t="shared" si="46"/>
        <v>0.13294797687861282</v>
      </c>
      <c r="AN38" s="1390">
        <f t="shared" si="46"/>
        <v>3.2786885245901676E-2</v>
      </c>
      <c r="AO38" s="1390">
        <f t="shared" si="46"/>
        <v>8.636363636363642E-2</v>
      </c>
      <c r="AP38" s="1390">
        <f t="shared" si="46"/>
        <v>0.10244988864142535</v>
      </c>
      <c r="AQ38" s="1390">
        <f t="shared" si="46"/>
        <v>0.16071428571428581</v>
      </c>
      <c r="AR38" s="1388">
        <f t="shared" si="46"/>
        <v>9.637188208616787E-2</v>
      </c>
      <c r="AS38" s="1390">
        <f t="shared" si="46"/>
        <v>0.10657596371882083</v>
      </c>
      <c r="AT38" s="1390">
        <f t="shared" si="46"/>
        <v>0.12761506276150625</v>
      </c>
      <c r="AU38" s="1390">
        <f t="shared" si="46"/>
        <v>0.15757575757575748</v>
      </c>
      <c r="AV38" s="1390">
        <f t="shared" si="46"/>
        <v>0.21538461538461529</v>
      </c>
      <c r="AW38" s="1388">
        <f t="shared" si="46"/>
        <v>0.15408479834539812</v>
      </c>
      <c r="AX38" s="1390">
        <f t="shared" si="46"/>
        <v>0.19262295081967218</v>
      </c>
      <c r="AY38" s="1390">
        <f t="shared" ref="AY38:CD38" si="47">IF(ISERROR(AY35/AT35-1),"-",AY35/AT35-1)</f>
        <v>0.25231910946196656</v>
      </c>
      <c r="AZ38" s="1390">
        <f t="shared" si="47"/>
        <v>0.13961605584642234</v>
      </c>
      <c r="BA38" s="1390">
        <f t="shared" si="47"/>
        <v>-6.9620253164557E-2</v>
      </c>
      <c r="BB38" s="1388">
        <f t="shared" si="47"/>
        <v>0.11917562724014341</v>
      </c>
      <c r="BC38" s="1390">
        <f t="shared" si="47"/>
        <v>-9.2783505154639179E-2</v>
      </c>
      <c r="BD38" s="1390">
        <f t="shared" si="47"/>
        <v>-5.7777777777777817E-2</v>
      </c>
      <c r="BE38" s="1390">
        <f t="shared" si="47"/>
        <v>4.9004594180704464E-2</v>
      </c>
      <c r="BF38" s="1390">
        <f t="shared" si="47"/>
        <v>0.19727891156462585</v>
      </c>
      <c r="BG38" s="1388">
        <f t="shared" si="47"/>
        <v>2.2017614091273119E-2</v>
      </c>
      <c r="BH38" s="1390">
        <f t="shared" si="47"/>
        <v>0.14962121212121215</v>
      </c>
      <c r="BI38" s="1390">
        <f t="shared" si="47"/>
        <v>3.4591194968553562E-2</v>
      </c>
      <c r="BJ38" s="451">
        <f t="shared" si="47"/>
        <v>7.2992700729928028E-3</v>
      </c>
      <c r="BK38" s="1390">
        <f t="shared" si="47"/>
        <v>-1.4204545454545858E-3</v>
      </c>
      <c r="BL38" s="1388">
        <f t="shared" si="47"/>
        <v>4.1128084606345539E-2</v>
      </c>
      <c r="BM38" s="1390">
        <f t="shared" si="47"/>
        <v>4.1186161449752845E-2</v>
      </c>
      <c r="BN38" s="1390">
        <f t="shared" si="47"/>
        <v>0.13525835866261393</v>
      </c>
      <c r="BO38" s="1390">
        <f t="shared" si="47"/>
        <v>0.11884057971014483</v>
      </c>
      <c r="BP38" s="1390">
        <f t="shared" si="47"/>
        <v>4.8364153627311612E-2</v>
      </c>
      <c r="BQ38" s="1388">
        <f t="shared" si="47"/>
        <v>8.6531226486079804E-2</v>
      </c>
      <c r="BR38" s="1390">
        <f t="shared" si="47"/>
        <v>-6.0126582278481E-2</v>
      </c>
      <c r="BS38" s="1390">
        <f t="shared" si="47"/>
        <v>-8.1659973226238303E-2</v>
      </c>
      <c r="BT38" s="1390">
        <f t="shared" si="47"/>
        <v>-0.10233160621761661</v>
      </c>
      <c r="BU38" s="1390">
        <f t="shared" si="47"/>
        <v>-4.6132971506105847E-2</v>
      </c>
      <c r="BV38" s="1388">
        <f t="shared" si="47"/>
        <v>-7.3407202216066447E-2</v>
      </c>
      <c r="BW38" s="1390">
        <f t="shared" si="47"/>
        <v>-1.5151515151515138E-2</v>
      </c>
      <c r="BX38" s="1390">
        <f t="shared" si="47"/>
        <v>4.3731778425655232E-3</v>
      </c>
      <c r="BY38" s="1390">
        <f t="shared" si="47"/>
        <v>1.0101010101010166E-2</v>
      </c>
      <c r="BZ38" s="1390">
        <f t="shared" si="47"/>
        <v>1.4224751066855834E-3</v>
      </c>
      <c r="CA38" s="1388">
        <f t="shared" si="47"/>
        <v>7.473841554559435E-4</v>
      </c>
      <c r="CB38" s="1390">
        <f t="shared" si="47"/>
        <v>3.4188034188034067E-3</v>
      </c>
      <c r="CC38" s="1390">
        <f t="shared" si="47"/>
        <v>3.6284470246734424E-2</v>
      </c>
      <c r="CD38" s="1390">
        <f t="shared" si="47"/>
        <v>2.5714285714285801E-2</v>
      </c>
      <c r="CE38" s="1390">
        <f t="shared" ref="CE38:CR38" si="48">IF(ISERROR(CE35/BZ35-1),"-",CE35/BZ35-1)</f>
        <v>5.6818181818181213E-3</v>
      </c>
      <c r="CF38" s="1388">
        <f t="shared" si="48"/>
        <v>1.8297236743838763E-2</v>
      </c>
      <c r="CG38" s="1390">
        <f t="shared" si="48"/>
        <v>-9.1993185689948853E-2</v>
      </c>
      <c r="CH38" s="1390">
        <f t="shared" si="48"/>
        <v>-0.11064425770308128</v>
      </c>
      <c r="CI38" s="1390">
        <f t="shared" si="48"/>
        <v>-8.0779944289693595E-2</v>
      </c>
      <c r="CJ38" s="1390">
        <f t="shared" si="48"/>
        <v>-0.2076271186440678</v>
      </c>
      <c r="CK38" s="1397">
        <f t="shared" si="48"/>
        <v>-0.1239457279061239</v>
      </c>
      <c r="CL38" s="1390">
        <f t="shared" si="48"/>
        <v>-9.7560975609756073E-2</v>
      </c>
      <c r="CM38" s="1390">
        <f t="shared" si="48"/>
        <v>-5.9842519685039397E-2</v>
      </c>
      <c r="CN38" s="1390">
        <f t="shared" si="48"/>
        <v>-9.9999999999999978E-2</v>
      </c>
      <c r="CO38" s="1389">
        <f t="shared" si="48"/>
        <v>-4.8128342245989275E-2</v>
      </c>
      <c r="CP38" s="1397">
        <f t="shared" si="48"/>
        <v>-6.3709416420320353E-2</v>
      </c>
      <c r="CQ38" s="1389">
        <f t="shared" si="48"/>
        <v>-4.9896049896049899E-2</v>
      </c>
      <c r="CR38" s="1389">
        <f t="shared" si="48"/>
        <v>-6.8676716917922986E-2</v>
      </c>
      <c r="CS38" s="1389">
        <f t="shared" ref="CS38:CZ38" si="49">IF(ISERROR(CS35/CN35-1),"-",CS35/CN35-1)</f>
        <v>-5.555555555555558E-2</v>
      </c>
      <c r="CT38" s="1389">
        <f t="shared" si="49"/>
        <v>-3.0208146091074806E-2</v>
      </c>
      <c r="CU38" s="1397">
        <f t="shared" si="49"/>
        <v>-6.4793218232284344E-2</v>
      </c>
      <c r="CV38" s="1389">
        <f t="shared" si="49"/>
        <v>2.9904610171709312E-2</v>
      </c>
      <c r="CW38" s="1389">
        <f t="shared" si="49"/>
        <v>2.8288626883425039E-2</v>
      </c>
      <c r="CX38" s="1389">
        <f t="shared" si="49"/>
        <v>4.3433694267487999E-2</v>
      </c>
      <c r="CY38" s="1389">
        <f t="shared" si="49"/>
        <v>-3.4731959386542499E-3</v>
      </c>
      <c r="CZ38" s="1388">
        <f t="shared" si="49"/>
        <v>2.4840240770112487E-2</v>
      </c>
      <c r="DA38" s="1388">
        <f>IF(ISERROR(DA35/CZ35-1),"-",DA35/CZ35-1)</f>
        <v>3.2607490039771481E-2</v>
      </c>
      <c r="DB38" s="1388">
        <f>IF(ISERROR(DB35/DA35-1),"-",DB35/DA35-1)</f>
        <v>3.3941915931078981E-2</v>
      </c>
      <c r="DC38" s="1388">
        <f>IF(ISERROR(DC35/DB35-1),"-",DC35/DB35-1)</f>
        <v>1.3293021834688945E-2</v>
      </c>
      <c r="DE38" s="1178" t="s">
        <v>134</v>
      </c>
      <c r="DF38" s="1178">
        <v>25</v>
      </c>
      <c r="DG38" s="1178">
        <f>DF38</f>
        <v>25</v>
      </c>
      <c r="DH38" s="1896">
        <f>CP93</f>
        <v>25</v>
      </c>
      <c r="DI38" s="1896">
        <f>CU93</f>
        <v>0</v>
      </c>
    </row>
    <row r="39" spans="1:114" s="1178" customFormat="1" ht="11.25">
      <c r="A39" s="1396"/>
      <c r="B39" s="1396"/>
      <c r="C39" s="1395"/>
      <c r="D39" s="1394"/>
      <c r="E39" s="1393"/>
      <c r="F39" s="1392"/>
      <c r="G39" s="1391"/>
      <c r="H39" s="1391"/>
      <c r="I39" s="1391"/>
      <c r="J39" s="1391"/>
      <c r="K39" s="1391"/>
      <c r="L39" s="1391"/>
      <c r="M39" s="1391"/>
      <c r="N39" s="1388"/>
      <c r="O39" s="1153"/>
      <c r="P39" s="1390"/>
      <c r="Q39" s="1390"/>
      <c r="R39" s="1390"/>
      <c r="S39" s="1388"/>
      <c r="T39" s="1390"/>
      <c r="U39" s="1390"/>
      <c r="V39" s="1390"/>
      <c r="W39" s="1390"/>
      <c r="X39" s="1388"/>
      <c r="Y39" s="1390"/>
      <c r="Z39" s="1390"/>
      <c r="AA39" s="1390"/>
      <c r="AB39" s="1390"/>
      <c r="AC39" s="1388"/>
      <c r="AD39" s="1390"/>
      <c r="AE39" s="1390"/>
      <c r="AF39" s="1390"/>
      <c r="AG39" s="1390"/>
      <c r="AH39" s="1388"/>
      <c r="AI39" s="1390"/>
      <c r="AJ39" s="1390"/>
      <c r="AK39" s="1390"/>
      <c r="AL39" s="1390"/>
      <c r="AM39" s="1388"/>
      <c r="AN39" s="1390"/>
      <c r="AO39" s="1390"/>
      <c r="AP39" s="1390"/>
      <c r="AQ39" s="1390"/>
      <c r="AR39" s="1388"/>
      <c r="AS39" s="1390"/>
      <c r="AT39" s="1390"/>
      <c r="AU39" s="1390"/>
      <c r="AV39" s="1390"/>
      <c r="AW39" s="1388"/>
      <c r="AX39" s="1390"/>
      <c r="AY39" s="1390"/>
      <c r="AZ39" s="1390"/>
      <c r="BA39" s="1390"/>
      <c r="BB39" s="1388"/>
      <c r="BC39" s="1390"/>
      <c r="BD39" s="1390"/>
      <c r="BE39" s="1390"/>
      <c r="BF39" s="1390"/>
      <c r="BG39" s="1388"/>
      <c r="BH39" s="1390"/>
      <c r="BI39" s="1390"/>
      <c r="BJ39" s="451"/>
      <c r="BK39" s="1390"/>
      <c r="BL39" s="1388"/>
      <c r="BM39" s="1390"/>
      <c r="BN39" s="1390"/>
      <c r="BO39" s="1390"/>
      <c r="BP39" s="1390"/>
      <c r="BQ39" s="1388"/>
      <c r="BR39" s="1390"/>
      <c r="BS39" s="1390"/>
      <c r="BT39" s="1390"/>
      <c r="BU39" s="1390"/>
      <c r="BV39" s="1388"/>
      <c r="BW39" s="1390"/>
      <c r="BX39" s="1390"/>
      <c r="BY39" s="1390"/>
      <c r="BZ39" s="1390"/>
      <c r="CA39" s="1388"/>
      <c r="CB39" s="1390"/>
      <c r="CC39" s="1390"/>
      <c r="CD39" s="1390"/>
      <c r="CE39" s="1390"/>
      <c r="CF39" s="1388"/>
      <c r="CG39" s="1389"/>
      <c r="CH39" s="1389"/>
      <c r="CI39" s="1389"/>
      <c r="CJ39" s="1389"/>
      <c r="CK39" s="1388"/>
      <c r="CL39" s="1389"/>
      <c r="CM39" s="1389"/>
      <c r="CN39" s="1389"/>
      <c r="CO39" s="1389"/>
      <c r="CP39" s="1388"/>
      <c r="CQ39" s="1389"/>
      <c r="CR39" s="1389"/>
      <c r="CS39" s="1389"/>
      <c r="CT39" s="1389"/>
      <c r="CU39" s="1388"/>
      <c r="CV39" s="1389"/>
      <c r="CW39" s="1389"/>
      <c r="CX39" s="1389"/>
      <c r="CY39" s="1389"/>
      <c r="CZ39" s="1388"/>
      <c r="DA39" s="1388"/>
      <c r="DB39" s="1388"/>
      <c r="DC39" s="1388"/>
      <c r="DE39" s="1178" t="s">
        <v>266</v>
      </c>
      <c r="DF39" s="1178">
        <v>-50</v>
      </c>
      <c r="DG39" s="1178">
        <f>DF39</f>
        <v>-50</v>
      </c>
      <c r="DH39" s="1178">
        <f>CP94</f>
        <v>-50</v>
      </c>
      <c r="DI39" s="1896">
        <f>CU94</f>
        <v>-75</v>
      </c>
    </row>
    <row r="40" spans="1:114" s="1178" customFormat="1" ht="12" customHeight="1">
      <c r="A40" s="1363"/>
      <c r="B40" s="1363"/>
      <c r="C40" s="1387" t="s">
        <v>222</v>
      </c>
      <c r="D40" s="1386"/>
      <c r="E40" s="1363"/>
      <c r="F40" s="1363"/>
      <c r="G40" s="1363"/>
      <c r="H40" s="1363"/>
      <c r="I40" s="1363"/>
      <c r="J40" s="1363"/>
      <c r="K40" s="1363"/>
      <c r="L40" s="1363"/>
      <c r="M40" s="1363"/>
      <c r="N40" s="1286"/>
      <c r="O40" s="1363"/>
      <c r="P40" s="1363"/>
      <c r="Q40" s="1363"/>
      <c r="R40" s="1363"/>
      <c r="S40" s="1286"/>
      <c r="T40" s="1363"/>
      <c r="U40" s="1363"/>
      <c r="V40" s="1363"/>
      <c r="W40" s="1363"/>
      <c r="X40" s="1286">
        <v>81</v>
      </c>
      <c r="Y40" s="1363"/>
      <c r="Z40" s="1363"/>
      <c r="AA40" s="1363"/>
      <c r="AB40" s="1363"/>
      <c r="AC40" s="1286">
        <v>77</v>
      </c>
      <c r="AD40" s="1363"/>
      <c r="AE40" s="1363"/>
      <c r="AF40" s="1363"/>
      <c r="AG40" s="1363"/>
      <c r="AH40" s="1286">
        <v>79</v>
      </c>
      <c r="AI40" s="1384">
        <v>19.75</v>
      </c>
      <c r="AJ40" s="1384">
        <v>19.75</v>
      </c>
      <c r="AK40" s="1384">
        <v>19.75</v>
      </c>
      <c r="AL40" s="1384">
        <v>19.75</v>
      </c>
      <c r="AM40" s="1286">
        <v>79</v>
      </c>
      <c r="AN40" s="1384">
        <f>AI40/AM40*AR40</f>
        <v>23.25</v>
      </c>
      <c r="AO40" s="1384">
        <f>$AR40/4</f>
        <v>23.25</v>
      </c>
      <c r="AP40" s="1384">
        <f>$AR40/4</f>
        <v>23.25</v>
      </c>
      <c r="AQ40" s="1384">
        <f>AR40-AP40-AO40-AN40</f>
        <v>23.25</v>
      </c>
      <c r="AR40" s="1286">
        <v>93</v>
      </c>
      <c r="AS40" s="1384">
        <v>25</v>
      </c>
      <c r="AT40" s="1384">
        <f>$AW40/4</f>
        <v>34</v>
      </c>
      <c r="AU40" s="1384">
        <f>$AW40/4</f>
        <v>34</v>
      </c>
      <c r="AV40" s="1384">
        <f>AW40-AU40-AT40-AS40</f>
        <v>43</v>
      </c>
      <c r="AW40" s="1286">
        <v>136</v>
      </c>
      <c r="AX40" s="1385">
        <f>$BB40/4</f>
        <v>37.5</v>
      </c>
      <c r="AY40" s="1384">
        <f>$BB40/4</f>
        <v>37.5</v>
      </c>
      <c r="AZ40" s="1384">
        <f>$BB40/4</f>
        <v>37.5</v>
      </c>
      <c r="BA40" s="1384">
        <f>BB40-AZ40-AY40-AX40</f>
        <v>37.5</v>
      </c>
      <c r="BB40" s="1286">
        <v>150</v>
      </c>
      <c r="BC40" s="1384">
        <f>$BG40/4</f>
        <v>16.75</v>
      </c>
      <c r="BD40" s="1384">
        <f>$BG40/4</f>
        <v>16.75</v>
      </c>
      <c r="BE40" s="1384">
        <f>$BG40/4</f>
        <v>16.75</v>
      </c>
      <c r="BF40" s="1384">
        <f>BG40-BE40-BD40-BC40</f>
        <v>16.75</v>
      </c>
      <c r="BG40" s="1286">
        <v>67</v>
      </c>
      <c r="BH40" s="1384">
        <f>$BL40/4</f>
        <v>13.75</v>
      </c>
      <c r="BI40" s="1384">
        <f>$BL40/4</f>
        <v>13.75</v>
      </c>
      <c r="BJ40" s="1384">
        <f>$BL40/4</f>
        <v>13.75</v>
      </c>
      <c r="BK40" s="1384">
        <f>BL40-BJ40-BI40-BH40</f>
        <v>13.75</v>
      </c>
      <c r="BL40" s="1286">
        <v>55</v>
      </c>
      <c r="BM40" s="1384">
        <f>$BQ$40/4</f>
        <v>18.75</v>
      </c>
      <c r="BN40" s="1384">
        <f>$BQ$40/4</f>
        <v>18.75</v>
      </c>
      <c r="BO40" s="1384">
        <f>$BQ$40/4</f>
        <v>18.75</v>
      </c>
      <c r="BP40" s="1384">
        <f>$BQ$40/4</f>
        <v>18.75</v>
      </c>
      <c r="BQ40" s="1286">
        <v>75</v>
      </c>
      <c r="BR40" s="1384">
        <f>$BV$40/4</f>
        <v>35.25</v>
      </c>
      <c r="BS40" s="1384">
        <f>$BV$40/4</f>
        <v>35.25</v>
      </c>
      <c r="BT40" s="1384">
        <f>$BV$40/4</f>
        <v>35.25</v>
      </c>
      <c r="BU40" s="1384">
        <f>$BV$40/4</f>
        <v>35.25</v>
      </c>
      <c r="BV40" s="1286">
        <v>141</v>
      </c>
      <c r="BW40" s="1384">
        <f>$CA$40/4</f>
        <v>30.5</v>
      </c>
      <c r="BX40" s="1384">
        <f>$CA$40/4</f>
        <v>30.5</v>
      </c>
      <c r="BY40" s="1384">
        <f>$CA$40/4</f>
        <v>30.5</v>
      </c>
      <c r="BZ40" s="1384">
        <f>$CA$40/4</f>
        <v>30.5</v>
      </c>
      <c r="CA40" s="1286">
        <v>122</v>
      </c>
      <c r="CB40" s="1384">
        <f>$CF$40/4</f>
        <v>21.75</v>
      </c>
      <c r="CC40" s="1384">
        <f>$CF$40/4</f>
        <v>21.75</v>
      </c>
      <c r="CD40" s="1384">
        <f>$CF$40/4</f>
        <v>21.75</v>
      </c>
      <c r="CE40" s="1384">
        <f>$CF$40/4</f>
        <v>21.75</v>
      </c>
      <c r="CF40" s="1286">
        <v>87</v>
      </c>
      <c r="CG40" s="1383">
        <f>CK$40/4</f>
        <v>20.75</v>
      </c>
      <c r="CH40" s="1383">
        <f>+CG40</f>
        <v>20.75</v>
      </c>
      <c r="CI40" s="1383">
        <f>+CH40</f>
        <v>20.75</v>
      </c>
      <c r="CJ40" s="1383">
        <f>+CK40-SUM(CG40:CI40)</f>
        <v>20.75</v>
      </c>
      <c r="CK40" s="1286">
        <v>83</v>
      </c>
      <c r="CL40" s="1383">
        <f>CP$40/4</f>
        <v>23.5</v>
      </c>
      <c r="CM40" s="1383">
        <f>+CL40</f>
        <v>23.5</v>
      </c>
      <c r="CN40" s="1383">
        <f>+CM40</f>
        <v>23.5</v>
      </c>
      <c r="CO40" s="1383">
        <f>+CP40-SUM(CL40:CN40)</f>
        <v>23.5</v>
      </c>
      <c r="CP40" s="1286">
        <v>94</v>
      </c>
      <c r="CQ40" s="1383">
        <f>CU$40/4</f>
        <v>24.136776264205977</v>
      </c>
      <c r="CR40" s="1383">
        <f>+CQ40</f>
        <v>24.136776264205977</v>
      </c>
      <c r="CS40" s="1383">
        <f>+CR40</f>
        <v>24.136776264205977</v>
      </c>
      <c r="CT40" s="1383">
        <f>+CU40-SUM(CQ40:CS40)</f>
        <v>24.136776264205977</v>
      </c>
      <c r="CU40" s="1286">
        <f>CU41*CU12</f>
        <v>96.547105056823909</v>
      </c>
      <c r="CV40" s="1383">
        <f>CZ$40/4</f>
        <v>25.433600880583025</v>
      </c>
      <c r="CW40" s="1383">
        <f>+CV40</f>
        <v>25.433600880583025</v>
      </c>
      <c r="CX40" s="1383">
        <f>+CW40</f>
        <v>25.433600880583025</v>
      </c>
      <c r="CY40" s="1383">
        <f>+CZ40-SUM(CV40:CX40)</f>
        <v>25.433600880583029</v>
      </c>
      <c r="CZ40" s="1286">
        <f>CZ41*CZ12</f>
        <v>101.7344035223321</v>
      </c>
      <c r="DA40" s="1286">
        <f>DA41*DA12</f>
        <v>103.89461863045578</v>
      </c>
      <c r="DB40" s="1286">
        <f>DB41*DB12</f>
        <v>105.96553933189217</v>
      </c>
      <c r="DC40" s="1286">
        <f>DC41*DC12</f>
        <v>107.90083842554016</v>
      </c>
      <c r="DE40" s="1178" t="s">
        <v>1418</v>
      </c>
      <c r="DF40" s="1178">
        <v>-125</v>
      </c>
      <c r="DG40" s="1178">
        <f>DF40</f>
        <v>-125</v>
      </c>
      <c r="DH40" s="1896">
        <f>CP102</f>
        <v>-55.649801276732759</v>
      </c>
      <c r="DI40" s="1896">
        <f>$CU$102+CU103</f>
        <v>36.458941111454067</v>
      </c>
      <c r="DJ40" s="2327">
        <f>$CZ$102+CZ103</f>
        <v>52.472940658992023</v>
      </c>
    </row>
    <row r="41" spans="1:114" s="1178" customFormat="1" ht="12" customHeight="1" thickBot="1">
      <c r="A41" s="1156"/>
      <c r="B41" s="1156"/>
      <c r="C41" s="1382"/>
      <c r="D41" s="1382" t="s">
        <v>293</v>
      </c>
      <c r="E41" s="1381"/>
      <c r="F41" s="1381"/>
      <c r="G41" s="1381"/>
      <c r="H41" s="1381"/>
      <c r="I41" s="1381"/>
      <c r="J41" s="1381"/>
      <c r="K41" s="1381"/>
      <c r="L41" s="1381"/>
      <c r="M41" s="1381"/>
      <c r="N41" s="1376"/>
      <c r="O41" s="1381"/>
      <c r="P41" s="1381"/>
      <c r="Q41" s="1381"/>
      <c r="R41" s="1381"/>
      <c r="S41" s="1376"/>
      <c r="T41" s="1381"/>
      <c r="U41" s="1381"/>
      <c r="V41" s="1381"/>
      <c r="W41" s="1381"/>
      <c r="X41" s="1376">
        <v>1.1892526794890617E-2</v>
      </c>
      <c r="Y41" s="1379">
        <v>0</v>
      </c>
      <c r="Z41" s="1379">
        <v>0</v>
      </c>
      <c r="AA41" s="1379">
        <v>0</v>
      </c>
      <c r="AB41" s="1379">
        <v>0</v>
      </c>
      <c r="AC41" s="1376">
        <v>9.7136369370505859E-3</v>
      </c>
      <c r="AD41" s="1379"/>
      <c r="AE41" s="1379"/>
      <c r="AF41" s="1379"/>
      <c r="AG41" s="1379"/>
      <c r="AH41" s="1376">
        <v>8.7787531947994216E-3</v>
      </c>
      <c r="AI41" s="1380">
        <v>8.5055986218776913E-3</v>
      </c>
      <c r="AJ41" s="1380">
        <v>8.1780538302277436E-3</v>
      </c>
      <c r="AK41" s="1380">
        <v>8.3615580016934803E-3</v>
      </c>
      <c r="AL41" s="1379">
        <v>7.9765751211631659E-3</v>
      </c>
      <c r="AM41" s="1376">
        <v>8.250652741514361E-3</v>
      </c>
      <c r="AN41" s="1379">
        <f t="shared" ref="AN41:BS41" si="50">AN40/AN12</f>
        <v>9.902044293015333E-3</v>
      </c>
      <c r="AO41" s="1379">
        <f t="shared" si="50"/>
        <v>9.1933570581257413E-3</v>
      </c>
      <c r="AP41" s="1379">
        <f t="shared" si="50"/>
        <v>9.0643274853801168E-3</v>
      </c>
      <c r="AQ41" s="1379">
        <f t="shared" si="50"/>
        <v>8.1636235955056188E-3</v>
      </c>
      <c r="AR41" s="1376">
        <f t="shared" si="50"/>
        <v>9.0379008746355686E-3</v>
      </c>
      <c r="AS41" s="1379">
        <f t="shared" si="50"/>
        <v>9.1642228739002938E-3</v>
      </c>
      <c r="AT41" s="1379">
        <f t="shared" si="50"/>
        <v>1.1896431070678797E-2</v>
      </c>
      <c r="AU41" s="1379">
        <f t="shared" si="50"/>
        <v>1.1580381471389645E-2</v>
      </c>
      <c r="AV41" s="1379">
        <f t="shared" si="50"/>
        <v>1.2786202795123401E-2</v>
      </c>
      <c r="AW41" s="1376">
        <f t="shared" si="50"/>
        <v>1.1442995372318047E-2</v>
      </c>
      <c r="AX41" s="1380">
        <f t="shared" si="50"/>
        <v>1.2266928361138371E-2</v>
      </c>
      <c r="AY41" s="1379">
        <f t="shared" si="50"/>
        <v>1.1016451233842537E-2</v>
      </c>
      <c r="AZ41" s="1379">
        <f t="shared" si="50"/>
        <v>1.1556240369799691E-2</v>
      </c>
      <c r="BA41" s="1379">
        <f t="shared" si="50"/>
        <v>1.156336725254394E-2</v>
      </c>
      <c r="BB41" s="1376">
        <f t="shared" si="50"/>
        <v>1.1583906093134606E-2</v>
      </c>
      <c r="BC41" s="1379">
        <f t="shared" si="50"/>
        <v>6.2969924812030075E-3</v>
      </c>
      <c r="BD41" s="1379">
        <f t="shared" si="50"/>
        <v>5.761953904368765E-3</v>
      </c>
      <c r="BE41" s="1379">
        <f t="shared" si="50"/>
        <v>5.656872678149274E-3</v>
      </c>
      <c r="BF41" s="1379">
        <f t="shared" si="50"/>
        <v>5.2425665101721438E-3</v>
      </c>
      <c r="BG41" s="1376">
        <f t="shared" si="50"/>
        <v>5.715260598822827E-3</v>
      </c>
      <c r="BH41" s="1379">
        <f t="shared" si="50"/>
        <v>5.044020542920029E-3</v>
      </c>
      <c r="BI41" s="1379">
        <f t="shared" si="50"/>
        <v>4.8449612403100775E-3</v>
      </c>
      <c r="BJ41" s="1379">
        <f t="shared" si="50"/>
        <v>4.7283356258596976E-3</v>
      </c>
      <c r="BK41" s="1379">
        <f t="shared" si="50"/>
        <v>4.4254908271644669E-3</v>
      </c>
      <c r="BL41" s="1376">
        <f t="shared" si="50"/>
        <v>4.7499784091890491E-3</v>
      </c>
      <c r="BM41" s="1379">
        <f t="shared" si="50"/>
        <v>6.764069264069264E-3</v>
      </c>
      <c r="BN41" s="1379">
        <f t="shared" si="50"/>
        <v>5.8740601503759395E-3</v>
      </c>
      <c r="BO41" s="1379">
        <f t="shared" si="50"/>
        <v>5.7480073574494176E-3</v>
      </c>
      <c r="BP41" s="1379">
        <f t="shared" si="50"/>
        <v>5.8393023980068516E-3</v>
      </c>
      <c r="BQ41" s="1378">
        <f t="shared" si="50"/>
        <v>6.030393181635443E-3</v>
      </c>
      <c r="BR41" s="1379">
        <f t="shared" si="50"/>
        <v>1.2725631768953069E-2</v>
      </c>
      <c r="BS41" s="1379">
        <f t="shared" si="50"/>
        <v>1.1645193260654113E-2</v>
      </c>
      <c r="BT41" s="1379">
        <f t="shared" ref="BT41:CK41" si="51">BT40/BT12</f>
        <v>1.1542239685658153E-2</v>
      </c>
      <c r="BU41" s="1379">
        <f t="shared" si="51"/>
        <v>1.0998439937597504E-2</v>
      </c>
      <c r="BV41" s="1378">
        <f t="shared" si="51"/>
        <v>1.1695421366954215E-2</v>
      </c>
      <c r="BW41" s="1379">
        <f t="shared" si="51"/>
        <v>1.0838663823738451E-2</v>
      </c>
      <c r="BX41" s="1379">
        <f t="shared" si="51"/>
        <v>9.7195666029318041E-3</v>
      </c>
      <c r="BY41" s="1379">
        <f t="shared" si="51"/>
        <v>9.5671267252195741E-3</v>
      </c>
      <c r="BZ41" s="1379">
        <f t="shared" si="51"/>
        <v>9.1208133971291874E-3</v>
      </c>
      <c r="CA41" s="1378">
        <f t="shared" si="51"/>
        <v>9.772508811278436E-3</v>
      </c>
      <c r="CB41" s="1379">
        <f t="shared" si="51"/>
        <v>7.3604060913705586E-3</v>
      </c>
      <c r="CC41" s="1379">
        <f t="shared" si="51"/>
        <v>6.4635958395245167E-3</v>
      </c>
      <c r="CD41" s="1379">
        <f t="shared" si="51"/>
        <v>6.5393866506313894E-3</v>
      </c>
      <c r="CE41" s="1379">
        <f t="shared" si="51"/>
        <v>6.5197841726618707E-3</v>
      </c>
      <c r="CF41" s="1378">
        <f t="shared" si="51"/>
        <v>6.7015868125096289E-3</v>
      </c>
      <c r="CG41" s="1377">
        <f t="shared" si="51"/>
        <v>7.5591985428051E-3</v>
      </c>
      <c r="CH41" s="1377">
        <f t="shared" si="51"/>
        <v>6.697869593285991E-3</v>
      </c>
      <c r="CI41" s="1377">
        <f t="shared" si="51"/>
        <v>6.8189286887939534E-3</v>
      </c>
      <c r="CJ41" s="1377">
        <f t="shared" si="51"/>
        <v>6.7065287653522944E-3</v>
      </c>
      <c r="CK41" s="1378">
        <f t="shared" si="51"/>
        <v>6.9670178466808641E-3</v>
      </c>
      <c r="CL41" s="1377">
        <f t="shared" ref="CL41:CT41" si="52">CL40/CL12</f>
        <v>8.6556169429097603E-3</v>
      </c>
      <c r="CM41" s="1377">
        <f t="shared" si="52"/>
        <v>7.5879883758475947E-3</v>
      </c>
      <c r="CN41" s="1377">
        <f t="shared" si="52"/>
        <v>7.7866136514247843E-3</v>
      </c>
      <c r="CO41" s="1377">
        <f t="shared" si="52"/>
        <v>7.6722167809337247E-3</v>
      </c>
      <c r="CP41" s="1378">
        <f t="shared" si="52"/>
        <v>7.9038089632556974E-3</v>
      </c>
      <c r="CQ41" s="1377">
        <f t="shared" si="52"/>
        <v>8.6079801227553418E-3</v>
      </c>
      <c r="CR41" s="1377">
        <f t="shared" si="52"/>
        <v>7.708967187545825E-3</v>
      </c>
      <c r="CS41" s="1377">
        <f t="shared" si="52"/>
        <v>7.6479012243998662E-3</v>
      </c>
      <c r="CT41" s="1377">
        <f t="shared" si="52"/>
        <v>7.7255904488039611E-3</v>
      </c>
      <c r="CU41" s="1376">
        <f>CP41</f>
        <v>7.9038089632556974E-3</v>
      </c>
      <c r="CV41" s="1377">
        <f>CV40/CV12</f>
        <v>8.6449859543674696E-3</v>
      </c>
      <c r="CW41" s="1377">
        <f>CW40/CW12</f>
        <v>7.5660436871876034E-3</v>
      </c>
      <c r="CX41" s="1377">
        <f>CX40/CX12</f>
        <v>7.5061098810470179E-3</v>
      </c>
      <c r="CY41" s="1377">
        <f>CY40/CY12</f>
        <v>7.9989220765680335E-3</v>
      </c>
      <c r="CZ41" s="1376">
        <f>CU41</f>
        <v>7.9038089632556974E-3</v>
      </c>
      <c r="DA41" s="1376">
        <f>CZ41</f>
        <v>7.9038089632556974E-3</v>
      </c>
      <c r="DB41" s="1376">
        <f>DA41</f>
        <v>7.9038089632556974E-3</v>
      </c>
      <c r="DC41" s="1376">
        <f>DB41</f>
        <v>7.9038089632556974E-3</v>
      </c>
      <c r="DF41" s="1234">
        <f>SUM(DF35:DF40)</f>
        <v>-250</v>
      </c>
      <c r="DG41" s="1234">
        <f>SUM(DG35:DG40)</f>
        <v>-200</v>
      </c>
      <c r="DH41" s="1897">
        <f>SUM(DH35:DH40)</f>
        <v>-150.08929582814551</v>
      </c>
      <c r="DI41" s="1897">
        <f>SUM(DI35:DI40)</f>
        <v>-144.92935418448843</v>
      </c>
    </row>
    <row r="42" spans="1:114" s="1178" customFormat="1" ht="11.25">
      <c r="A42" s="1373"/>
      <c r="B42" s="1373"/>
      <c r="C42" s="1375"/>
      <c r="D42" s="1373"/>
      <c r="E42" s="1373"/>
      <c r="F42" s="1373"/>
      <c r="G42" s="1373"/>
      <c r="H42" s="1373"/>
      <c r="I42" s="1373"/>
      <c r="J42" s="1374"/>
      <c r="K42" s="1374"/>
      <c r="L42" s="1374"/>
      <c r="M42" s="1374"/>
      <c r="N42" s="1372"/>
      <c r="O42" s="1374"/>
      <c r="P42" s="1374"/>
      <c r="Q42" s="1374"/>
      <c r="R42" s="1374"/>
      <c r="S42" s="1372"/>
      <c r="T42" s="1374"/>
      <c r="U42" s="1374"/>
      <c r="V42" s="1374"/>
      <c r="W42" s="1374"/>
      <c r="X42" s="1372"/>
      <c r="Y42" s="1374"/>
      <c r="Z42" s="1374"/>
      <c r="AA42" s="1374"/>
      <c r="AB42" s="1374"/>
      <c r="AC42" s="1372"/>
      <c r="AD42" s="1374"/>
      <c r="AE42" s="1374"/>
      <c r="AF42" s="1374"/>
      <c r="AG42" s="1374"/>
      <c r="AH42" s="1372"/>
      <c r="AI42" s="1374"/>
      <c r="AJ42" s="1374"/>
      <c r="AK42" s="1374"/>
      <c r="AL42" s="1374"/>
      <c r="AM42" s="1372"/>
      <c r="AN42" s="1374"/>
      <c r="AO42" s="1374"/>
      <c r="AP42" s="1374"/>
      <c r="AQ42" s="1374"/>
      <c r="AR42" s="1372"/>
      <c r="AS42" s="1374"/>
      <c r="AT42" s="1374"/>
      <c r="AU42" s="1374"/>
      <c r="AV42" s="1374"/>
      <c r="AW42" s="1372"/>
      <c r="AX42" s="1374"/>
      <c r="AY42" s="1374"/>
      <c r="AZ42" s="1374"/>
      <c r="BA42" s="1374"/>
      <c r="BB42" s="1372"/>
      <c r="BC42" s="1374"/>
      <c r="BD42" s="1374"/>
      <c r="BE42" s="1374"/>
      <c r="BF42" s="1374"/>
      <c r="BG42" s="1372"/>
      <c r="BH42" s="1374"/>
      <c r="BI42" s="1374"/>
      <c r="BJ42" s="1374"/>
      <c r="BK42" s="1374"/>
      <c r="BL42" s="1372"/>
      <c r="BM42" s="1374"/>
      <c r="BN42" s="1374"/>
      <c r="BO42" s="1374"/>
      <c r="BP42" s="1374"/>
      <c r="BQ42" s="1372"/>
      <c r="BR42" s="1374"/>
      <c r="BS42" s="1374"/>
      <c r="BT42" s="1374"/>
      <c r="BU42" s="1374"/>
      <c r="BV42" s="1372"/>
      <c r="BW42" s="1374"/>
      <c r="BX42" s="1374"/>
      <c r="BY42" s="1374"/>
      <c r="BZ42" s="1374"/>
      <c r="CA42" s="1372"/>
      <c r="CB42" s="1373"/>
      <c r="CC42" s="1373"/>
      <c r="CD42" s="1373"/>
      <c r="CE42" s="1373"/>
      <c r="CF42" s="1372"/>
      <c r="CG42" s="1371"/>
      <c r="CH42" s="1371"/>
      <c r="CI42" s="1371"/>
      <c r="CJ42" s="1371"/>
      <c r="CK42" s="1372"/>
      <c r="CL42" s="1371"/>
      <c r="CM42" s="2239">
        <f>CM36-CL36</f>
        <v>1.5603289823039102E-2</v>
      </c>
      <c r="CN42" s="1371"/>
      <c r="CO42" s="1371"/>
      <c r="CP42" s="1370"/>
      <c r="CQ42" s="1371"/>
      <c r="CR42" s="1371"/>
      <c r="CS42" s="1371"/>
      <c r="CT42" s="1371"/>
      <c r="CU42" s="1370"/>
      <c r="CV42" s="1371"/>
      <c r="CW42" s="1371"/>
      <c r="CX42" s="1371"/>
      <c r="CY42" s="1371"/>
      <c r="CZ42" s="1370"/>
      <c r="DA42" s="1370"/>
      <c r="DB42" s="1370"/>
      <c r="DC42" s="1370"/>
    </row>
    <row r="43" spans="1:114" s="1178" customFormat="1" ht="11.25">
      <c r="A43" s="1373"/>
      <c r="B43" s="1373"/>
      <c r="C43" s="1375" t="s">
        <v>1009</v>
      </c>
      <c r="D43" s="1373"/>
      <c r="E43" s="1373"/>
      <c r="F43" s="1373"/>
      <c r="G43" s="1373"/>
      <c r="H43" s="1373"/>
      <c r="I43" s="1373"/>
      <c r="J43" s="1374" t="str">
        <f t="shared" ref="J43:AQ43" si="53">J10</f>
        <v>1Q00</v>
      </c>
      <c r="K43" s="1374" t="str">
        <f t="shared" si="53"/>
        <v>2Q00</v>
      </c>
      <c r="L43" s="1374" t="str">
        <f t="shared" si="53"/>
        <v>3Q00</v>
      </c>
      <c r="M43" s="1374" t="str">
        <f t="shared" si="53"/>
        <v>4Q00</v>
      </c>
      <c r="N43" s="1372">
        <f t="shared" si="53"/>
        <v>2000</v>
      </c>
      <c r="O43" s="1374" t="str">
        <f t="shared" si="53"/>
        <v>1Q01</v>
      </c>
      <c r="P43" s="1374" t="str">
        <f t="shared" si="53"/>
        <v>2Q01</v>
      </c>
      <c r="Q43" s="1374" t="str">
        <f t="shared" si="53"/>
        <v>3Q01</v>
      </c>
      <c r="R43" s="1374" t="str">
        <f t="shared" si="53"/>
        <v>4Q01</v>
      </c>
      <c r="S43" s="1372">
        <f t="shared" si="53"/>
        <v>2001</v>
      </c>
      <c r="T43" s="1374" t="str">
        <f t="shared" si="53"/>
        <v>1Q02</v>
      </c>
      <c r="U43" s="1374" t="str">
        <f t="shared" si="53"/>
        <v>2Q02</v>
      </c>
      <c r="V43" s="1374" t="str">
        <f t="shared" si="53"/>
        <v>3Q02</v>
      </c>
      <c r="W43" s="1374" t="str">
        <f t="shared" si="53"/>
        <v>4Q02</v>
      </c>
      <c r="X43" s="1372">
        <f t="shared" si="53"/>
        <v>2002</v>
      </c>
      <c r="Y43" s="1374" t="str">
        <f t="shared" si="53"/>
        <v>1Q03</v>
      </c>
      <c r="Z43" s="1374" t="str">
        <f t="shared" si="53"/>
        <v>2Q03</v>
      </c>
      <c r="AA43" s="1374" t="str">
        <f t="shared" si="53"/>
        <v>3Q03</v>
      </c>
      <c r="AB43" s="1374" t="str">
        <f t="shared" si="53"/>
        <v>4Q03</v>
      </c>
      <c r="AC43" s="1372">
        <f t="shared" si="53"/>
        <v>2003</v>
      </c>
      <c r="AD43" s="1374" t="str">
        <f t="shared" si="53"/>
        <v>1Q04</v>
      </c>
      <c r="AE43" s="1374" t="str">
        <f t="shared" si="53"/>
        <v>2Q04</v>
      </c>
      <c r="AF43" s="1374" t="str">
        <f t="shared" si="53"/>
        <v>3Q04</v>
      </c>
      <c r="AG43" s="1374" t="str">
        <f t="shared" si="53"/>
        <v>4Q04</v>
      </c>
      <c r="AH43" s="1372">
        <f t="shared" si="53"/>
        <v>2004</v>
      </c>
      <c r="AI43" s="1374" t="str">
        <f t="shared" si="53"/>
        <v>1Q05</v>
      </c>
      <c r="AJ43" s="1374" t="str">
        <f t="shared" si="53"/>
        <v>2Q05</v>
      </c>
      <c r="AK43" s="1374" t="str">
        <f t="shared" si="53"/>
        <v>3Q05</v>
      </c>
      <c r="AL43" s="1374" t="str">
        <f t="shared" si="53"/>
        <v>4Q05</v>
      </c>
      <c r="AM43" s="1372">
        <f t="shared" si="53"/>
        <v>2005</v>
      </c>
      <c r="AN43" s="1374" t="str">
        <f t="shared" si="53"/>
        <v>1Q06</v>
      </c>
      <c r="AO43" s="1374" t="str">
        <f t="shared" si="53"/>
        <v>2Q06</v>
      </c>
      <c r="AP43" s="1374" t="str">
        <f t="shared" si="53"/>
        <v>3Q06</v>
      </c>
      <c r="AQ43" s="1374" t="str">
        <f t="shared" si="53"/>
        <v>4Q06</v>
      </c>
      <c r="AR43" s="1372">
        <v>2006</v>
      </c>
      <c r="AS43" s="1374" t="str">
        <f>AS10</f>
        <v>1Q07</v>
      </c>
      <c r="AT43" s="1374" t="str">
        <f>AT10</f>
        <v>2Q07</v>
      </c>
      <c r="AU43" s="1374" t="str">
        <f>AU10</f>
        <v>3Q07</v>
      </c>
      <c r="AV43" s="1374" t="str">
        <f>AV10</f>
        <v>4Q07</v>
      </c>
      <c r="AW43" s="1372">
        <v>2007</v>
      </c>
      <c r="AX43" s="1374" t="str">
        <f>AX10</f>
        <v>1Q08</v>
      </c>
      <c r="AY43" s="1374" t="str">
        <f>AY10</f>
        <v>2Q08</v>
      </c>
      <c r="AZ43" s="1374" t="str">
        <f>AZ10</f>
        <v>3Q08</v>
      </c>
      <c r="BA43" s="1374" t="str">
        <f>BA10</f>
        <v>4Q08</v>
      </c>
      <c r="BB43" s="1372">
        <v>2008</v>
      </c>
      <c r="BC43" s="1374" t="str">
        <f>BC10</f>
        <v>1Q09</v>
      </c>
      <c r="BD43" s="1374" t="str">
        <f>BD10</f>
        <v>2Q09</v>
      </c>
      <c r="BE43" s="1374" t="str">
        <f>BE10</f>
        <v>3Q09</v>
      </c>
      <c r="BF43" s="1374" t="str">
        <f>BF10</f>
        <v>4Q09</v>
      </c>
      <c r="BG43" s="1372">
        <v>2009</v>
      </c>
      <c r="BH43" s="1374" t="str">
        <f>BH10</f>
        <v>1Q10</v>
      </c>
      <c r="BI43" s="1374" t="str">
        <f>BI10</f>
        <v>2Q10</v>
      </c>
      <c r="BJ43" s="1374" t="str">
        <f>BJ10</f>
        <v>3Q10</v>
      </c>
      <c r="BK43" s="1374" t="str">
        <f>BK10</f>
        <v>4Q10</v>
      </c>
      <c r="BL43" s="1372">
        <v>2010</v>
      </c>
      <c r="BM43" s="1374" t="str">
        <f>BM10</f>
        <v>1Q11</v>
      </c>
      <c r="BN43" s="1374" t="str">
        <f>BN10</f>
        <v>2Q11</v>
      </c>
      <c r="BO43" s="1374" t="str">
        <f>BO10</f>
        <v>3Q11</v>
      </c>
      <c r="BP43" s="1374" t="str">
        <f>BP10</f>
        <v>4Q11</v>
      </c>
      <c r="BQ43" s="1372">
        <v>2011</v>
      </c>
      <c r="BR43" s="1374" t="str">
        <f>BR10</f>
        <v>1Q12</v>
      </c>
      <c r="BS43" s="1374" t="str">
        <f>BS10</f>
        <v>2Q12</v>
      </c>
      <c r="BT43" s="1374" t="str">
        <f>BT10</f>
        <v>3Q12</v>
      </c>
      <c r="BU43" s="1374" t="s">
        <v>179</v>
      </c>
      <c r="BV43" s="1372">
        <v>2012</v>
      </c>
      <c r="BW43" s="1374"/>
      <c r="BX43" s="1374"/>
      <c r="BY43" s="1374"/>
      <c r="BZ43" s="1374"/>
      <c r="CA43" s="1372">
        <v>2013</v>
      </c>
      <c r="CB43" s="1373"/>
      <c r="CC43" s="1373"/>
      <c r="CD43" s="1373"/>
      <c r="CE43" s="1373"/>
      <c r="CF43" s="1372">
        <v>2014</v>
      </c>
      <c r="CG43" s="1371"/>
      <c r="CH43" s="1371"/>
      <c r="CI43" s="1371"/>
      <c r="CJ43" s="1371"/>
      <c r="CK43" s="1372">
        <v>2015</v>
      </c>
      <c r="CL43" s="1371"/>
      <c r="CM43" s="1371"/>
      <c r="CN43" s="1371"/>
      <c r="CO43" s="1371"/>
      <c r="CP43" s="1370">
        <f>CP10</f>
        <v>2016</v>
      </c>
      <c r="CQ43" s="1371"/>
      <c r="CR43" s="1371"/>
      <c r="CS43" s="1371"/>
      <c r="CT43" s="1371"/>
      <c r="CU43" s="1370" t="str">
        <f>CU10</f>
        <v>2017E</v>
      </c>
      <c r="CV43" s="1371"/>
      <c r="CW43" s="1371"/>
      <c r="CX43" s="1371"/>
      <c r="CY43" s="1371"/>
      <c r="CZ43" s="1370" t="str">
        <f>CZ10</f>
        <v>2018E</v>
      </c>
      <c r="DA43" s="1370" t="str">
        <f>DA10</f>
        <v>2019E</v>
      </c>
      <c r="DB43" s="1370" t="str">
        <f>DB10</f>
        <v>2020E</v>
      </c>
      <c r="DC43" s="1370" t="str">
        <f>DC10</f>
        <v>2021E</v>
      </c>
    </row>
    <row r="44" spans="1:114" s="1178" customFormat="1" ht="11.25">
      <c r="A44" s="1191"/>
      <c r="B44" s="1191"/>
      <c r="C44" s="1191" t="s">
        <v>973</v>
      </c>
      <c r="D44" s="1191"/>
      <c r="E44" s="1191"/>
      <c r="F44" s="1191"/>
      <c r="G44" s="1191"/>
      <c r="H44" s="1191"/>
      <c r="I44" s="1191"/>
      <c r="J44" s="1191"/>
      <c r="K44" s="1191"/>
      <c r="L44" s="1191"/>
      <c r="M44" s="1191"/>
      <c r="N44" s="1213"/>
      <c r="O44" s="1191"/>
      <c r="P44" s="1191"/>
      <c r="Q44" s="1191"/>
      <c r="R44" s="1191"/>
      <c r="S44" s="1213"/>
      <c r="T44" s="1191"/>
      <c r="U44" s="1191"/>
      <c r="V44" s="1191"/>
      <c r="W44" s="1191"/>
      <c r="X44" s="1213"/>
      <c r="Y44" s="1191"/>
      <c r="Z44" s="1191"/>
      <c r="AA44" s="1191"/>
      <c r="AB44" s="1191"/>
      <c r="AC44" s="1213"/>
      <c r="AD44" s="1191"/>
      <c r="AE44" s="1191"/>
      <c r="AF44" s="1191"/>
      <c r="AG44" s="1191"/>
      <c r="AH44" s="1213"/>
      <c r="AI44" s="1191"/>
      <c r="AJ44" s="1191"/>
      <c r="AK44" s="1191"/>
      <c r="AL44" s="1191"/>
      <c r="AM44" s="1213"/>
      <c r="AN44" s="1191"/>
      <c r="AO44" s="1191"/>
      <c r="AP44" s="1191"/>
      <c r="AQ44" s="1191"/>
      <c r="AR44" s="1369"/>
      <c r="AS44" s="1191"/>
      <c r="AT44" s="1191"/>
      <c r="AU44" s="1191"/>
      <c r="AV44" s="1191"/>
      <c r="AW44" s="1322"/>
      <c r="AX44" s="1191"/>
      <c r="AY44" s="1191"/>
      <c r="AZ44" s="1191"/>
      <c r="BA44" s="1191"/>
      <c r="BB44" s="1322"/>
      <c r="BC44" s="1186"/>
      <c r="BD44" s="1231"/>
      <c r="BE44" s="1186"/>
      <c r="BF44" s="1191"/>
      <c r="BG44" s="1322"/>
      <c r="BH44" s="1186"/>
      <c r="BI44" s="1231"/>
      <c r="BJ44" s="1186"/>
      <c r="BK44" s="1191"/>
      <c r="BL44" s="1322"/>
      <c r="BM44" s="1186"/>
      <c r="BN44" s="1231"/>
      <c r="BO44" s="1186"/>
      <c r="BP44" s="1368"/>
      <c r="BQ44" s="1322"/>
      <c r="BR44" s="1184"/>
      <c r="BS44" s="1231"/>
      <c r="BT44" s="1184"/>
      <c r="BU44" s="1211"/>
      <c r="BV44" s="1359"/>
      <c r="BW44" s="1366"/>
      <c r="BX44" s="1366"/>
      <c r="BY44" s="1366"/>
      <c r="BZ44" s="1366"/>
      <c r="CA44" s="1359">
        <v>2325</v>
      </c>
      <c r="CB44" s="1367"/>
      <c r="CC44" s="1366"/>
      <c r="CD44" s="1366"/>
      <c r="CE44" s="1366"/>
      <c r="CF44" s="1359">
        <v>2639.9999999999995</v>
      </c>
      <c r="CG44" s="1365"/>
      <c r="CH44" s="1365"/>
      <c r="CI44" s="1365"/>
      <c r="CJ44" s="1365"/>
      <c r="CK44" s="1359">
        <f>CF44*(1+CK53)</f>
        <v>2528.5123079999989</v>
      </c>
      <c r="CL44" s="1936">
        <f>CK44/CK12</f>
        <v>0.21224325753479778</v>
      </c>
      <c r="CM44" s="1365"/>
      <c r="CN44" s="1365"/>
      <c r="CO44" s="1365"/>
      <c r="CP44" s="1359">
        <f>CK44*(1+CP53)</f>
        <v>2250.3759541199993</v>
      </c>
      <c r="CQ44" s="1936"/>
      <c r="CR44" s="1365"/>
      <c r="CS44" s="1365"/>
      <c r="CT44" s="1365"/>
      <c r="CU44" s="1359">
        <f>CP44*(1+CU53)</f>
        <v>2002.8345991667993</v>
      </c>
      <c r="CV44" s="1936"/>
      <c r="CW44" s="1365"/>
      <c r="CX44" s="1365"/>
      <c r="CY44" s="1365"/>
      <c r="CZ44" s="1359">
        <f>CU44*(1+CZ53)</f>
        <v>1902.6928692084593</v>
      </c>
      <c r="DA44" s="1359">
        <f t="shared" ref="DA44:DC45" si="54">CZ44*(1+DA53)</f>
        <v>1826.585154440121</v>
      </c>
      <c r="DB44" s="1359">
        <f t="shared" si="54"/>
        <v>1771.7875998069173</v>
      </c>
      <c r="DC44" s="1359">
        <f t="shared" si="54"/>
        <v>1736.351847810779</v>
      </c>
    </row>
    <row r="45" spans="1:114" s="1178" customFormat="1" ht="11.25">
      <c r="A45" s="1191"/>
      <c r="B45" s="1191"/>
      <c r="C45" s="1191" t="s">
        <v>972</v>
      </c>
      <c r="D45" s="1191"/>
      <c r="E45" s="1191"/>
      <c r="F45" s="1191"/>
      <c r="G45" s="1191"/>
      <c r="H45" s="1191"/>
      <c r="I45" s="1191"/>
      <c r="J45" s="1191"/>
      <c r="K45" s="1191"/>
      <c r="L45" s="1191"/>
      <c r="M45" s="1191"/>
      <c r="N45" s="1213"/>
      <c r="O45" s="1191"/>
      <c r="P45" s="1191"/>
      <c r="Q45" s="1191"/>
      <c r="R45" s="1191"/>
      <c r="S45" s="1213"/>
      <c r="T45" s="1191"/>
      <c r="U45" s="1191"/>
      <c r="V45" s="1191"/>
      <c r="W45" s="1191"/>
      <c r="X45" s="1213"/>
      <c r="Y45" s="1191"/>
      <c r="Z45" s="1191"/>
      <c r="AA45" s="1191"/>
      <c r="AB45" s="1191"/>
      <c r="AC45" s="1213"/>
      <c r="AD45" s="1191"/>
      <c r="AE45" s="1191"/>
      <c r="AF45" s="1191"/>
      <c r="AG45" s="1191"/>
      <c r="AH45" s="1213"/>
      <c r="AI45" s="1191"/>
      <c r="AJ45" s="1191"/>
      <c r="AK45" s="1191"/>
      <c r="AL45" s="1191"/>
      <c r="AM45" s="1213"/>
      <c r="AN45" s="1191"/>
      <c r="AO45" s="1191"/>
      <c r="AP45" s="1191"/>
      <c r="AQ45" s="1191"/>
      <c r="AR45" s="1369"/>
      <c r="AS45" s="1191"/>
      <c r="AT45" s="1191"/>
      <c r="AU45" s="1191"/>
      <c r="AV45" s="1191"/>
      <c r="AW45" s="1322"/>
      <c r="AX45" s="1191"/>
      <c r="AY45" s="1191"/>
      <c r="AZ45" s="1191"/>
      <c r="BA45" s="1191"/>
      <c r="BB45" s="1322"/>
      <c r="BC45" s="1186"/>
      <c r="BD45" s="1231"/>
      <c r="BE45" s="1186"/>
      <c r="BF45" s="1191"/>
      <c r="BG45" s="1322"/>
      <c r="BH45" s="1186"/>
      <c r="BI45" s="1231"/>
      <c r="BJ45" s="1186"/>
      <c r="BK45" s="1191"/>
      <c r="BL45" s="1322"/>
      <c r="BM45" s="1186"/>
      <c r="BN45" s="1231"/>
      <c r="BO45" s="1186"/>
      <c r="BP45" s="1368"/>
      <c r="BQ45" s="1322"/>
      <c r="BR45" s="1184"/>
      <c r="BS45" s="1231"/>
      <c r="BT45" s="1184"/>
      <c r="BU45" s="1211"/>
      <c r="BV45" s="1359"/>
      <c r="BW45" s="1366"/>
      <c r="BX45" s="1366"/>
      <c r="BY45" s="1366"/>
      <c r="BZ45" s="1366"/>
      <c r="CA45" s="1359">
        <v>2909.8576700000003</v>
      </c>
      <c r="CB45" s="1367"/>
      <c r="CC45" s="1366"/>
      <c r="CD45" s="1366"/>
      <c r="CE45" s="1366"/>
      <c r="CF45" s="1359">
        <v>3201.900000000001</v>
      </c>
      <c r="CG45" s="1365"/>
      <c r="CH45" s="1365"/>
      <c r="CI45" s="1365"/>
      <c r="CJ45" s="1365"/>
      <c r="CK45" s="1359">
        <f>CF45*(1+CK54)</f>
        <v>3474.0615000000012</v>
      </c>
      <c r="CL45" s="1365">
        <f>CL44*0.05</f>
        <v>1.061216287673989E-2</v>
      </c>
      <c r="CM45" s="1365"/>
      <c r="CN45" s="1365"/>
      <c r="CO45" s="1365"/>
      <c r="CP45" s="1359">
        <f>CK45*(1+CP54)</f>
        <v>3814.5195270000017</v>
      </c>
      <c r="CQ45" s="1365"/>
      <c r="CR45" s="1365"/>
      <c r="CS45" s="1365"/>
      <c r="CT45" s="1365"/>
      <c r="CU45" s="1359">
        <f>CP45*(1+CU54)</f>
        <v>4081.5358938900022</v>
      </c>
      <c r="CV45" s="1365"/>
      <c r="CW45" s="1365"/>
      <c r="CX45" s="1365"/>
      <c r="CY45" s="1365"/>
      <c r="CZ45" s="1359">
        <f>CU45*(1+CZ54)</f>
        <v>4367.243406462303</v>
      </c>
      <c r="DA45" s="1359">
        <f t="shared" si="54"/>
        <v>4541.9331427207953</v>
      </c>
      <c r="DB45" s="1359">
        <f t="shared" si="54"/>
        <v>4678.1911370024191</v>
      </c>
      <c r="DC45" s="1359">
        <f t="shared" si="54"/>
        <v>4771.7549597424677</v>
      </c>
    </row>
    <row r="46" spans="1:114" s="1234" customFormat="1" ht="10.5" customHeight="1">
      <c r="A46" s="1182"/>
      <c r="B46" s="1182"/>
      <c r="C46" s="1182" t="s">
        <v>1008</v>
      </c>
      <c r="D46" s="1182"/>
      <c r="E46" s="1182"/>
      <c r="F46" s="1182"/>
      <c r="G46" s="1182"/>
      <c r="H46" s="1182"/>
      <c r="I46" s="1182"/>
      <c r="J46" s="1182"/>
      <c r="K46" s="1182"/>
      <c r="L46" s="1182"/>
      <c r="M46" s="1182"/>
      <c r="N46" s="1214"/>
      <c r="O46" s="1182"/>
      <c r="P46" s="1182"/>
      <c r="Q46" s="1182"/>
      <c r="R46" s="1182"/>
      <c r="S46" s="1214"/>
      <c r="T46" s="1182"/>
      <c r="U46" s="1182"/>
      <c r="V46" s="1182"/>
      <c r="W46" s="1182"/>
      <c r="X46" s="1214"/>
      <c r="Y46" s="1182"/>
      <c r="Z46" s="1182"/>
      <c r="AA46" s="1182"/>
      <c r="AB46" s="1182"/>
      <c r="AC46" s="1214"/>
      <c r="AD46" s="1182"/>
      <c r="AE46" s="1182"/>
      <c r="AF46" s="1182"/>
      <c r="AG46" s="1182"/>
      <c r="AH46" s="1214"/>
      <c r="AI46" s="1182"/>
      <c r="AJ46" s="1182"/>
      <c r="AK46" s="1182"/>
      <c r="AL46" s="1182"/>
      <c r="AM46" s="1214"/>
      <c r="AN46" s="1182"/>
      <c r="AO46" s="1182"/>
      <c r="AP46" s="1182"/>
      <c r="AQ46" s="1182"/>
      <c r="AR46" s="1364">
        <f>AR51*AR61</f>
        <v>4630.5</v>
      </c>
      <c r="AS46" s="1182"/>
      <c r="AT46" s="1182"/>
      <c r="AU46" s="1182"/>
      <c r="AV46" s="1182"/>
      <c r="AW46" s="1316">
        <f>AW51*AW61</f>
        <v>5704.8</v>
      </c>
      <c r="AX46" s="1182"/>
      <c r="AY46" s="1182"/>
      <c r="AZ46" s="1182"/>
      <c r="BA46" s="1182"/>
      <c r="BB46" s="1316">
        <f>BG46/(1+BG63)</f>
        <v>5749.2128642798252</v>
      </c>
      <c r="BC46" s="1186"/>
      <c r="BD46" s="1356">
        <f>BI46/(1+BI63)</f>
        <v>1313.5802469135804</v>
      </c>
      <c r="BE46" s="1186"/>
      <c r="BF46" s="1182"/>
      <c r="BG46" s="1316">
        <f>BL46/(1+BL63)</f>
        <v>5131.1724813697438</v>
      </c>
      <c r="BH46" s="1186"/>
      <c r="BI46" s="1356">
        <f>BN46/(1+BN63)</f>
        <v>1182.2222222222224</v>
      </c>
      <c r="BJ46" s="1186"/>
      <c r="BK46" s="1182"/>
      <c r="BL46" s="1316">
        <f>BQ46/(1+BQ63)</f>
        <v>4771.9904076738612</v>
      </c>
      <c r="BM46" s="1186"/>
      <c r="BN46" s="1356">
        <f>BN61*BN12</f>
        <v>1276.8000000000002</v>
      </c>
      <c r="BO46" s="1186"/>
      <c r="BP46" s="1290"/>
      <c r="BQ46" s="1316">
        <f>BQ51*BQ61</f>
        <v>4974.8</v>
      </c>
      <c r="BR46" s="1363"/>
      <c r="BS46" s="1356">
        <f>BN46*(1+BS63)</f>
        <v>1248.0720000000001</v>
      </c>
      <c r="BT46" s="1363"/>
      <c r="BU46" s="1207"/>
      <c r="BV46" s="1280">
        <f>BQ46*(1+BV63)</f>
        <v>4875.3040000000001</v>
      </c>
      <c r="BW46" s="1361"/>
      <c r="BX46" s="1361"/>
      <c r="BY46" s="1361"/>
      <c r="BZ46" s="1361"/>
      <c r="CA46" s="1280">
        <f>BV46*(1+CA63)</f>
        <v>5234.8576700000003</v>
      </c>
      <c r="CB46" s="1362"/>
      <c r="CC46" s="1361"/>
      <c r="CD46" s="1361"/>
      <c r="CE46" s="1361"/>
      <c r="CF46" s="1280">
        <f>CF51*CF61</f>
        <v>5841.9000000000005</v>
      </c>
      <c r="CG46" s="1360"/>
      <c r="CH46" s="1360"/>
      <c r="CI46" s="1360"/>
      <c r="CJ46" s="1360"/>
      <c r="CK46" s="1280">
        <f>SUM(CK44:CK45)</f>
        <v>6002.5738080000001</v>
      </c>
      <c r="CL46" s="1360"/>
      <c r="CM46" s="1360"/>
      <c r="CN46" s="1360"/>
      <c r="CO46" s="1360"/>
      <c r="CP46" s="1280">
        <f>SUM(CP44:CP45)</f>
        <v>6064.895481120001</v>
      </c>
      <c r="CQ46" s="1360"/>
      <c r="CR46" s="1360"/>
      <c r="CS46" s="1360"/>
      <c r="CT46" s="1360"/>
      <c r="CU46" s="1280">
        <f>SUM(CU44:CU45)</f>
        <v>6084.3704930568019</v>
      </c>
      <c r="CV46" s="1360"/>
      <c r="CW46" s="1360"/>
      <c r="CX46" s="1360"/>
      <c r="CY46" s="1360"/>
      <c r="CZ46" s="1280">
        <f>SUM(CZ44:CZ45)</f>
        <v>6269.9362756707624</v>
      </c>
      <c r="DA46" s="1280">
        <f>SUM(DA44:DA45)</f>
        <v>6368.5182971609165</v>
      </c>
      <c r="DB46" s="1280">
        <f>SUM(DB44:DB45)</f>
        <v>6449.9787368093366</v>
      </c>
      <c r="DC46" s="1280">
        <f>SUM(DC44:DC45)</f>
        <v>6508.1068075532467</v>
      </c>
    </row>
    <row r="47" spans="1:114" s="1178" customFormat="1" ht="14.25" customHeight="1">
      <c r="A47" s="1191"/>
      <c r="B47" s="1191"/>
      <c r="C47" s="1191" t="s">
        <v>971</v>
      </c>
      <c r="D47" s="1191"/>
      <c r="E47" s="1191"/>
      <c r="F47" s="1191"/>
      <c r="G47" s="1191"/>
      <c r="H47" s="1191"/>
      <c r="I47" s="1191"/>
      <c r="J47" s="1191"/>
      <c r="K47" s="1191"/>
      <c r="L47" s="1191"/>
      <c r="M47" s="1191"/>
      <c r="N47" s="1213"/>
      <c r="O47" s="1191"/>
      <c r="P47" s="1191"/>
      <c r="Q47" s="1191"/>
      <c r="R47" s="1191"/>
      <c r="S47" s="1213"/>
      <c r="T47" s="1191"/>
      <c r="U47" s="1191"/>
      <c r="V47" s="1191"/>
      <c r="W47" s="1191"/>
      <c r="X47" s="1213"/>
      <c r="Y47" s="1191"/>
      <c r="Z47" s="1191"/>
      <c r="AA47" s="1191"/>
      <c r="AB47" s="1191"/>
      <c r="AC47" s="1213"/>
      <c r="AD47" s="1191"/>
      <c r="AE47" s="1191"/>
      <c r="AF47" s="1191"/>
      <c r="AG47" s="1191"/>
      <c r="AH47" s="1213"/>
      <c r="AI47" s="1191"/>
      <c r="AJ47" s="1191"/>
      <c r="AK47" s="1191"/>
      <c r="AL47" s="1191"/>
      <c r="AM47" s="1213"/>
      <c r="AN47" s="1191"/>
      <c r="AO47" s="1191"/>
      <c r="AP47" s="1191"/>
      <c r="AQ47" s="1191"/>
      <c r="AR47" s="1369"/>
      <c r="AS47" s="1191"/>
      <c r="AT47" s="1191"/>
      <c r="AU47" s="1191"/>
      <c r="AV47" s="1191"/>
      <c r="AW47" s="1322"/>
      <c r="AX47" s="1191"/>
      <c r="AY47" s="1191"/>
      <c r="AZ47" s="1191"/>
      <c r="BA47" s="1191"/>
      <c r="BB47" s="1322"/>
      <c r="BC47" s="1156"/>
      <c r="BD47" s="1231"/>
      <c r="BE47" s="1156"/>
      <c r="BF47" s="1191"/>
      <c r="BG47" s="1322"/>
      <c r="BH47" s="1156"/>
      <c r="BI47" s="1231"/>
      <c r="BJ47" s="1156"/>
      <c r="BK47" s="1191"/>
      <c r="BL47" s="1322"/>
      <c r="BM47" s="1156"/>
      <c r="BN47" s="1231"/>
      <c r="BO47" s="1156"/>
      <c r="BP47" s="1368"/>
      <c r="BQ47" s="1322"/>
      <c r="BR47" s="1184"/>
      <c r="BS47" s="1231"/>
      <c r="BT47" s="1184"/>
      <c r="BU47" s="1211"/>
      <c r="BV47" s="1359"/>
      <c r="BW47" s="1366"/>
      <c r="BX47" s="1366"/>
      <c r="BY47" s="1366"/>
      <c r="BZ47" s="1366"/>
      <c r="CA47" s="1359">
        <v>175</v>
      </c>
      <c r="CB47" s="1367"/>
      <c r="CC47" s="1366"/>
      <c r="CD47" s="1366"/>
      <c r="CE47" s="1366"/>
      <c r="CF47" s="1359">
        <v>210</v>
      </c>
      <c r="CG47" s="1365"/>
      <c r="CH47" s="1365"/>
      <c r="CI47" s="1365"/>
      <c r="CJ47" s="1365"/>
      <c r="CK47" s="1359">
        <f>CF47*(1+CK56)</f>
        <v>244.53225839613191</v>
      </c>
      <c r="CL47" s="1365"/>
      <c r="CM47" s="1365"/>
      <c r="CN47" s="1365"/>
      <c r="CO47" s="1365"/>
      <c r="CP47" s="1359">
        <f>CK47*(1+CP56)</f>
        <v>256.75887131593851</v>
      </c>
      <c r="CQ47" s="1365"/>
      <c r="CR47" s="1365"/>
      <c r="CS47" s="1365"/>
      <c r="CT47" s="1365"/>
      <c r="CU47" s="1359">
        <f>CP47*(1+CU56)</f>
        <v>269.59681488173544</v>
      </c>
      <c r="CV47" s="1365"/>
      <c r="CW47" s="1365"/>
      <c r="CX47" s="1365"/>
      <c r="CY47" s="1365"/>
      <c r="CZ47" s="1359">
        <f>CU47*(1+CZ56)</f>
        <v>291.1645600722743</v>
      </c>
      <c r="DA47" s="1359">
        <f t="shared" ref="DA47:DC48" si="55">CZ47*(1+DA56)</f>
        <v>320.28101607950174</v>
      </c>
      <c r="DB47" s="1359">
        <f t="shared" si="55"/>
        <v>352.30911768745193</v>
      </c>
      <c r="DC47" s="1359">
        <f t="shared" si="55"/>
        <v>387.54002945619715</v>
      </c>
    </row>
    <row r="48" spans="1:114" s="1178" customFormat="1" ht="11.25">
      <c r="A48" s="1191"/>
      <c r="B48" s="1191"/>
      <c r="C48" s="1191" t="s">
        <v>970</v>
      </c>
      <c r="D48" s="1191"/>
      <c r="E48" s="1191"/>
      <c r="F48" s="1191"/>
      <c r="G48" s="1191"/>
      <c r="H48" s="1191"/>
      <c r="I48" s="1191"/>
      <c r="J48" s="1191"/>
      <c r="K48" s="1191"/>
      <c r="L48" s="1191"/>
      <c r="M48" s="1191"/>
      <c r="N48" s="1213"/>
      <c r="O48" s="1191"/>
      <c r="P48" s="1191"/>
      <c r="Q48" s="1191"/>
      <c r="R48" s="1191"/>
      <c r="S48" s="1213"/>
      <c r="T48" s="1191"/>
      <c r="U48" s="1191"/>
      <c r="V48" s="1191"/>
      <c r="W48" s="1191"/>
      <c r="X48" s="1213"/>
      <c r="Y48" s="1191"/>
      <c r="Z48" s="1191"/>
      <c r="AA48" s="1191"/>
      <c r="AB48" s="1191"/>
      <c r="AC48" s="1213"/>
      <c r="AD48" s="1191"/>
      <c r="AE48" s="1191"/>
      <c r="AF48" s="1191"/>
      <c r="AG48" s="1191"/>
      <c r="AH48" s="1213"/>
      <c r="AI48" s="1191"/>
      <c r="AJ48" s="1191"/>
      <c r="AK48" s="1191"/>
      <c r="AL48" s="1191"/>
      <c r="AM48" s="1213"/>
      <c r="AN48" s="1191"/>
      <c r="AO48" s="1191"/>
      <c r="AP48" s="1191"/>
      <c r="AQ48" s="1191"/>
      <c r="AR48" s="1369"/>
      <c r="AS48" s="1191"/>
      <c r="AT48" s="1191"/>
      <c r="AU48" s="1191"/>
      <c r="AV48" s="1191"/>
      <c r="AW48" s="1322"/>
      <c r="AX48" s="1191"/>
      <c r="AY48" s="1191"/>
      <c r="AZ48" s="1191"/>
      <c r="BA48" s="1191"/>
      <c r="BB48" s="1322"/>
      <c r="BC48" s="1156"/>
      <c r="BD48" s="1231"/>
      <c r="BE48" s="1156"/>
      <c r="BF48" s="1191"/>
      <c r="BG48" s="1322"/>
      <c r="BH48" s="1156"/>
      <c r="BI48" s="1231"/>
      <c r="BJ48" s="1156"/>
      <c r="BK48" s="1191"/>
      <c r="BL48" s="1322"/>
      <c r="BM48" s="1156"/>
      <c r="BN48" s="1231"/>
      <c r="BO48" s="1156"/>
      <c r="BP48" s="1368"/>
      <c r="BQ48" s="1322"/>
      <c r="BR48" s="1184"/>
      <c r="BS48" s="1231"/>
      <c r="BT48" s="1184"/>
      <c r="BU48" s="1211"/>
      <c r="BV48" s="1359"/>
      <c r="BW48" s="1366"/>
      <c r="BX48" s="1366"/>
      <c r="BY48" s="1366"/>
      <c r="BZ48" s="1366"/>
      <c r="CA48" s="1359">
        <v>7140.3340500000004</v>
      </c>
      <c r="CB48" s="1367"/>
      <c r="CC48" s="1366"/>
      <c r="CD48" s="1366"/>
      <c r="CE48" s="1366"/>
      <c r="CF48" s="1359">
        <v>6930.0999999999995</v>
      </c>
      <c r="CG48" s="1365"/>
      <c r="CH48" s="1365"/>
      <c r="CI48" s="1365"/>
      <c r="CJ48" s="1365"/>
      <c r="CK48" s="1359">
        <f>CF48*(1+CK57)</f>
        <v>6860.7989999999991</v>
      </c>
      <c r="CL48" s="1365"/>
      <c r="CM48" s="1365"/>
      <c r="CN48" s="1365"/>
      <c r="CO48" s="1365"/>
      <c r="CP48" s="1359">
        <f>CK48*(1+CP57)</f>
        <v>6998.014979999999</v>
      </c>
      <c r="CQ48" s="1365"/>
      <c r="CR48" s="1365"/>
      <c r="CS48" s="1365"/>
      <c r="CT48" s="1365"/>
      <c r="CU48" s="1359">
        <f>CP48*(1+CU57)</f>
        <v>7137.9752795999993</v>
      </c>
      <c r="CV48" s="1365"/>
      <c r="CW48" s="1365"/>
      <c r="CX48" s="1365"/>
      <c r="CY48" s="1365"/>
      <c r="CZ48" s="1359">
        <f>CU48*(1+CZ57)</f>
        <v>7280.7347851919994</v>
      </c>
      <c r="DA48" s="1359">
        <f t="shared" si="55"/>
        <v>7426.3494808958394</v>
      </c>
      <c r="DB48" s="1359">
        <f t="shared" si="55"/>
        <v>7574.8764705137564</v>
      </c>
      <c r="DC48" s="1359">
        <f t="shared" si="55"/>
        <v>7726.3739999240315</v>
      </c>
    </row>
    <row r="49" spans="1:110" s="1234" customFormat="1" ht="11.25">
      <c r="A49" s="1182"/>
      <c r="B49" s="1182"/>
      <c r="C49" s="1182" t="s">
        <v>1007</v>
      </c>
      <c r="D49" s="1182"/>
      <c r="E49" s="1182"/>
      <c r="F49" s="1182"/>
      <c r="G49" s="1182"/>
      <c r="H49" s="1182"/>
      <c r="I49" s="1182"/>
      <c r="J49" s="1182"/>
      <c r="K49" s="1182"/>
      <c r="L49" s="1182"/>
      <c r="M49" s="1182"/>
      <c r="N49" s="1214"/>
      <c r="O49" s="1182"/>
      <c r="P49" s="1182"/>
      <c r="Q49" s="1182"/>
      <c r="R49" s="1182"/>
      <c r="S49" s="1214"/>
      <c r="T49" s="1182"/>
      <c r="U49" s="1182"/>
      <c r="V49" s="1182"/>
      <c r="W49" s="1182"/>
      <c r="X49" s="1214"/>
      <c r="Y49" s="1182"/>
      <c r="Z49" s="1182"/>
      <c r="AA49" s="1182"/>
      <c r="AB49" s="1182"/>
      <c r="AC49" s="1214"/>
      <c r="AD49" s="1182"/>
      <c r="AE49" s="1182"/>
      <c r="AF49" s="1182"/>
      <c r="AG49" s="1182"/>
      <c r="AH49" s="1214"/>
      <c r="AI49" s="1182"/>
      <c r="AJ49" s="1182"/>
      <c r="AK49" s="1182"/>
      <c r="AL49" s="1182"/>
      <c r="AM49" s="1214"/>
      <c r="AN49" s="1182"/>
      <c r="AO49" s="1182"/>
      <c r="AP49" s="1182"/>
      <c r="AQ49" s="1182"/>
      <c r="AR49" s="1364">
        <f>AR51-AR46</f>
        <v>5659.5</v>
      </c>
      <c r="AS49" s="1182"/>
      <c r="AT49" s="1182"/>
      <c r="AU49" s="1182"/>
      <c r="AV49" s="1182"/>
      <c r="AW49" s="1316">
        <f>AW51-AW46</f>
        <v>6180.2</v>
      </c>
      <c r="AX49" s="1182"/>
      <c r="AY49" s="1182"/>
      <c r="AZ49" s="1182"/>
      <c r="BA49" s="1182"/>
      <c r="BB49" s="1316">
        <f>BB51-BB46</f>
        <v>7199.7871357201748</v>
      </c>
      <c r="BC49" s="1186"/>
      <c r="BD49" s="1356">
        <f>BD51-BD46</f>
        <v>1593.4197530864196</v>
      </c>
      <c r="BE49" s="1186"/>
      <c r="BF49" s="1182"/>
      <c r="BG49" s="1316">
        <f>BG51-BG46</f>
        <v>6591.8275186302562</v>
      </c>
      <c r="BH49" s="1186"/>
      <c r="BI49" s="1356">
        <f>BI51-BI46</f>
        <v>1655.7777777777776</v>
      </c>
      <c r="BJ49" s="1186"/>
      <c r="BK49" s="1182"/>
      <c r="BL49" s="1316">
        <f>BL51-BL46</f>
        <v>6807.0095923261388</v>
      </c>
      <c r="BM49" s="1186"/>
      <c r="BN49" s="1356">
        <f>BN51-BN46</f>
        <v>1915.1999999999998</v>
      </c>
      <c r="BO49" s="1186"/>
      <c r="BP49" s="1290"/>
      <c r="BQ49" s="1316">
        <f>BQ51-BQ46</f>
        <v>7462.2</v>
      </c>
      <c r="BR49" s="1363"/>
      <c r="BS49" s="1356">
        <f>BS51-BS46</f>
        <v>1778.9279999999999</v>
      </c>
      <c r="BT49" s="1363"/>
      <c r="BU49" s="1207"/>
      <c r="BV49" s="1280">
        <f>BV51-BV46</f>
        <v>7180.6959999999999</v>
      </c>
      <c r="BW49" s="1361"/>
      <c r="BX49" s="1361"/>
      <c r="BY49" s="1361"/>
      <c r="BZ49" s="1361"/>
      <c r="CA49" s="1280">
        <f>BV49*(1+CA69)</f>
        <v>7315.3340500000004</v>
      </c>
      <c r="CB49" s="1362"/>
      <c r="CC49" s="1361"/>
      <c r="CD49" s="1361"/>
      <c r="CE49" s="1361"/>
      <c r="CF49" s="1280">
        <f>CF51-CF46</f>
        <v>7140.0999999999995</v>
      </c>
      <c r="CG49" s="1360"/>
      <c r="CH49" s="1360"/>
      <c r="CI49" s="1360"/>
      <c r="CJ49" s="1360"/>
      <c r="CK49" s="1280">
        <f>SUM(CK47:CK48)</f>
        <v>7105.3312583961306</v>
      </c>
      <c r="CL49" s="1360"/>
      <c r="CM49" s="1360"/>
      <c r="CN49" s="1360"/>
      <c r="CO49" s="1360"/>
      <c r="CP49" s="1280">
        <f>SUM(CP47:CP48)</f>
        <v>7254.7738513159375</v>
      </c>
      <c r="CQ49" s="1360"/>
      <c r="CR49" s="1360"/>
      <c r="CS49" s="1360"/>
      <c r="CT49" s="1360"/>
      <c r="CU49" s="1280">
        <f>SUM(CU47:CU48)</f>
        <v>7407.5720944817349</v>
      </c>
      <c r="CV49" s="1360"/>
      <c r="CW49" s="1360"/>
      <c r="CX49" s="1360"/>
      <c r="CY49" s="1360"/>
      <c r="CZ49" s="1280">
        <f>SUM(CZ47:CZ48)</f>
        <v>7571.8993452642735</v>
      </c>
      <c r="DA49" s="1280">
        <f>SUM(DA47:DA48)</f>
        <v>7746.630496975341</v>
      </c>
      <c r="DB49" s="1280">
        <f>SUM(DB47:DB48)</f>
        <v>7927.1855882012087</v>
      </c>
      <c r="DC49" s="1280">
        <f>SUM(DC47:DC48)</f>
        <v>8113.9140293802284</v>
      </c>
    </row>
    <row r="50" spans="1:110" s="1234" customFormat="1" ht="11.25">
      <c r="A50" s="1182"/>
      <c r="B50" s="1182"/>
      <c r="C50" s="1191" t="s">
        <v>1389</v>
      </c>
      <c r="D50" s="1182"/>
      <c r="E50" s="1182"/>
      <c r="F50" s="1182"/>
      <c r="G50" s="1182"/>
      <c r="H50" s="1182"/>
      <c r="I50" s="1182"/>
      <c r="J50" s="1182"/>
      <c r="K50" s="1182"/>
      <c r="L50" s="1182"/>
      <c r="M50" s="1182"/>
      <c r="N50" s="1214"/>
      <c r="O50" s="1182"/>
      <c r="P50" s="1182"/>
      <c r="Q50" s="1182"/>
      <c r="R50" s="1182"/>
      <c r="S50" s="1214"/>
      <c r="T50" s="1182"/>
      <c r="U50" s="1182"/>
      <c r="V50" s="1182"/>
      <c r="W50" s="1182"/>
      <c r="X50" s="1214"/>
      <c r="Y50" s="1182"/>
      <c r="Z50" s="1182"/>
      <c r="AA50" s="1182"/>
      <c r="AB50" s="1182"/>
      <c r="AC50" s="1214"/>
      <c r="AD50" s="1182"/>
      <c r="AE50" s="1182"/>
      <c r="AF50" s="1182"/>
      <c r="AG50" s="1182"/>
      <c r="AH50" s="1214"/>
      <c r="AI50" s="1182"/>
      <c r="AJ50" s="1182"/>
      <c r="AK50" s="1182"/>
      <c r="AL50" s="1182"/>
      <c r="AM50" s="1214"/>
      <c r="AN50" s="1182"/>
      <c r="AO50" s="1182"/>
      <c r="AP50" s="1182"/>
      <c r="AQ50" s="1182"/>
      <c r="AR50" s="1364"/>
      <c r="AS50" s="1182"/>
      <c r="AT50" s="1182"/>
      <c r="AU50" s="1182"/>
      <c r="AV50" s="1182"/>
      <c r="AW50" s="1316"/>
      <c r="AX50" s="1182"/>
      <c r="AY50" s="1182"/>
      <c r="AZ50" s="1182"/>
      <c r="BA50" s="1182"/>
      <c r="BB50" s="1316"/>
      <c r="BC50" s="1186"/>
      <c r="BD50" s="1356"/>
      <c r="BE50" s="1186"/>
      <c r="BF50" s="1182"/>
      <c r="BG50" s="1316"/>
      <c r="BH50" s="1186"/>
      <c r="BI50" s="1356"/>
      <c r="BJ50" s="1186"/>
      <c r="BK50" s="1182"/>
      <c r="BL50" s="1316"/>
      <c r="BM50" s="1186"/>
      <c r="BN50" s="1356"/>
      <c r="BO50" s="1186"/>
      <c r="BP50" s="1290"/>
      <c r="BQ50" s="1316"/>
      <c r="BR50" s="1363"/>
      <c r="BS50" s="1356"/>
      <c r="BT50" s="1363"/>
      <c r="BU50" s="1207"/>
      <c r="BV50" s="1280"/>
      <c r="BW50" s="1361"/>
      <c r="BX50" s="1361"/>
      <c r="BY50" s="1361"/>
      <c r="BZ50" s="1361"/>
      <c r="CA50" s="1280"/>
      <c r="CB50" s="1362"/>
      <c r="CC50" s="1361"/>
      <c r="CD50" s="1361"/>
      <c r="CE50" s="1361"/>
      <c r="CF50" s="1280"/>
      <c r="CG50" s="1360"/>
      <c r="CH50" s="1360"/>
      <c r="CI50" s="1360"/>
      <c r="CJ50" s="1360"/>
      <c r="CK50" s="1359">
        <f>CK15*CF12</f>
        <v>-1194.6300000000001</v>
      </c>
      <c r="CL50" s="1360"/>
      <c r="CM50" s="1360"/>
      <c r="CN50" s="1360"/>
      <c r="CO50" s="1360"/>
      <c r="CP50" s="1359">
        <f>CP15*CK12+CK50+CP14*CK12</f>
        <v>-1425.94</v>
      </c>
      <c r="CQ50" s="1360"/>
      <c r="CR50" s="1360"/>
      <c r="CS50" s="1360"/>
      <c r="CT50" s="1360"/>
      <c r="CU50" s="1359">
        <f>CU15*CP12+CP50+CU14*CP12</f>
        <v>-1276.6796041256998</v>
      </c>
      <c r="CV50" s="1360"/>
      <c r="CW50" s="1360"/>
      <c r="CX50" s="1360"/>
      <c r="CY50" s="1360"/>
      <c r="CZ50" s="1359">
        <f>CZ15*CU12+CU50+CZ14*CU12</f>
        <v>-970.2690135829539</v>
      </c>
      <c r="DA50" s="1359">
        <f>CZ50</f>
        <v>-970.2690135829539</v>
      </c>
      <c r="DB50" s="1359">
        <f>DA50</f>
        <v>-970.2690135829539</v>
      </c>
      <c r="DC50" s="1359">
        <f>DB50</f>
        <v>-970.2690135829539</v>
      </c>
    </row>
    <row r="51" spans="1:110" s="1178" customFormat="1" ht="15.75" customHeight="1">
      <c r="A51" s="1182"/>
      <c r="B51" s="1182"/>
      <c r="C51" s="1182" t="s">
        <v>1006</v>
      </c>
      <c r="D51" s="1182"/>
      <c r="E51" s="1182"/>
      <c r="F51" s="1182"/>
      <c r="G51" s="1182"/>
      <c r="H51" s="1182"/>
      <c r="I51" s="1182"/>
      <c r="J51" s="1182"/>
      <c r="K51" s="1182"/>
      <c r="L51" s="1182"/>
      <c r="M51" s="1182"/>
      <c r="N51" s="1214"/>
      <c r="O51" s="1182"/>
      <c r="P51" s="1182"/>
      <c r="Q51" s="1182"/>
      <c r="R51" s="1182"/>
      <c r="S51" s="1214"/>
      <c r="T51" s="1182"/>
      <c r="U51" s="1182"/>
      <c r="V51" s="1182"/>
      <c r="W51" s="1182"/>
      <c r="X51" s="1214"/>
      <c r="Y51" s="1182"/>
      <c r="Z51" s="1182"/>
      <c r="AA51" s="1182"/>
      <c r="AB51" s="1182"/>
      <c r="AC51" s="1214"/>
      <c r="AD51" s="1182"/>
      <c r="AE51" s="1182"/>
      <c r="AF51" s="1182"/>
      <c r="AG51" s="1182"/>
      <c r="AH51" s="1214"/>
      <c r="AI51" s="1182"/>
      <c r="AJ51" s="1182"/>
      <c r="AK51" s="1182"/>
      <c r="AL51" s="1182"/>
      <c r="AM51" s="1214"/>
      <c r="AN51" s="1182"/>
      <c r="AO51" s="1182"/>
      <c r="AP51" s="1182"/>
      <c r="AQ51" s="1182"/>
      <c r="AR51" s="1316">
        <f>AR12</f>
        <v>10290</v>
      </c>
      <c r="AS51" s="1182"/>
      <c r="AT51" s="1182"/>
      <c r="AU51" s="1182"/>
      <c r="AV51" s="1182"/>
      <c r="AW51" s="1316">
        <f>AW12</f>
        <v>11885</v>
      </c>
      <c r="AX51" s="1182"/>
      <c r="AY51" s="1182"/>
      <c r="AZ51" s="1182"/>
      <c r="BA51" s="1182"/>
      <c r="BB51" s="1316">
        <f>BB12</f>
        <v>12949</v>
      </c>
      <c r="BC51" s="1182"/>
      <c r="BD51" s="1356">
        <f>BD12</f>
        <v>2907</v>
      </c>
      <c r="BE51" s="1182"/>
      <c r="BF51" s="1182"/>
      <c r="BG51" s="1316">
        <f>BG12</f>
        <v>11723</v>
      </c>
      <c r="BH51" s="1182"/>
      <c r="BI51" s="1356">
        <f>BI12</f>
        <v>2838</v>
      </c>
      <c r="BJ51" s="1182"/>
      <c r="BK51" s="1182"/>
      <c r="BL51" s="1316">
        <f>BL12</f>
        <v>11579</v>
      </c>
      <c r="BM51" s="1182"/>
      <c r="BN51" s="1356">
        <f>BN12</f>
        <v>3192</v>
      </c>
      <c r="BO51" s="1182"/>
      <c r="BP51" s="1182"/>
      <c r="BQ51" s="1316">
        <f>BQ12</f>
        <v>12437</v>
      </c>
      <c r="BR51" s="1357"/>
      <c r="BS51" s="1356">
        <f>BS12</f>
        <v>3027</v>
      </c>
      <c r="BT51" s="1357"/>
      <c r="BU51" s="1357"/>
      <c r="BV51" s="1316">
        <f>BV12</f>
        <v>12056</v>
      </c>
      <c r="BW51" s="1356"/>
      <c r="BX51" s="1356"/>
      <c r="BY51" s="1356"/>
      <c r="BZ51" s="1356"/>
      <c r="CA51" s="1316">
        <f>CA12</f>
        <v>12484</v>
      </c>
      <c r="CB51" s="1356"/>
      <c r="CC51" s="1356"/>
      <c r="CD51" s="1356"/>
      <c r="CE51" s="1356"/>
      <c r="CF51" s="1316">
        <f>CF12</f>
        <v>12982</v>
      </c>
      <c r="CG51" s="1317"/>
      <c r="CH51" s="1317"/>
      <c r="CI51" s="1317"/>
      <c r="CJ51" s="1317"/>
      <c r="CK51" s="1316">
        <f>SUM(CK49,CK46)+CK50</f>
        <v>11913.275066396131</v>
      </c>
      <c r="CL51" s="1317"/>
      <c r="CM51" s="1317"/>
      <c r="CN51" s="1317"/>
      <c r="CO51" s="1317"/>
      <c r="CP51" s="1316">
        <f>SUM(CP49,CP46)+CP50</f>
        <v>11893.729332435938</v>
      </c>
      <c r="CQ51" s="1317"/>
      <c r="CR51" s="1317"/>
      <c r="CS51" s="1317"/>
      <c r="CT51" s="1317"/>
      <c r="CU51" s="1316">
        <f>SUM(CU49,CU46)+CU50</f>
        <v>12215.262983412837</v>
      </c>
      <c r="CV51" s="1317"/>
      <c r="CW51" s="1317"/>
      <c r="CX51" s="1317"/>
      <c r="CY51" s="1317"/>
      <c r="CZ51" s="1316">
        <f>SUM(CZ49,CZ46)+CZ50</f>
        <v>12871.566607352081</v>
      </c>
      <c r="DA51" s="1316">
        <f>SUM(DA49,DA46)+DA50</f>
        <v>13144.879780553303</v>
      </c>
      <c r="DB51" s="1316">
        <f>SUM(DB49,DB46)+DB50</f>
        <v>13406.89531142759</v>
      </c>
      <c r="DC51" s="1316">
        <f>SUM(DC49,DC46)+DC50</f>
        <v>13651.751823350522</v>
      </c>
      <c r="DE51" s="1905" t="s">
        <v>1364</v>
      </c>
    </row>
    <row r="52" spans="1:110" s="1178" customFormat="1" ht="11.25">
      <c r="A52" s="1182"/>
      <c r="B52" s="1182"/>
      <c r="C52" s="1182"/>
      <c r="D52" s="1182"/>
      <c r="E52" s="1182"/>
      <c r="F52" s="1182"/>
      <c r="G52" s="1182"/>
      <c r="H52" s="1182"/>
      <c r="I52" s="1182"/>
      <c r="J52" s="1182"/>
      <c r="K52" s="1182"/>
      <c r="L52" s="1182"/>
      <c r="M52" s="1182"/>
      <c r="N52" s="1214"/>
      <c r="O52" s="1182"/>
      <c r="P52" s="1182"/>
      <c r="Q52" s="1182"/>
      <c r="R52" s="1182"/>
      <c r="S52" s="1214"/>
      <c r="T52" s="1182"/>
      <c r="U52" s="1182"/>
      <c r="V52" s="1182"/>
      <c r="W52" s="1182"/>
      <c r="X52" s="1214"/>
      <c r="Y52" s="1182"/>
      <c r="Z52" s="1182"/>
      <c r="AA52" s="1182"/>
      <c r="AB52" s="1182"/>
      <c r="AC52" s="1214"/>
      <c r="AD52" s="1182"/>
      <c r="AE52" s="1182"/>
      <c r="AF52" s="1182"/>
      <c r="AG52" s="1182"/>
      <c r="AH52" s="1214"/>
      <c r="AI52" s="1182"/>
      <c r="AJ52" s="1182"/>
      <c r="AK52" s="1182"/>
      <c r="AL52" s="1182"/>
      <c r="AM52" s="1214"/>
      <c r="AN52" s="1182"/>
      <c r="AO52" s="1182"/>
      <c r="AP52" s="1182"/>
      <c r="AQ52" s="1182"/>
      <c r="AR52" s="1316"/>
      <c r="AS52" s="1182"/>
      <c r="AT52" s="1182"/>
      <c r="AU52" s="1182"/>
      <c r="AV52" s="1182"/>
      <c r="AW52" s="1316"/>
      <c r="AX52" s="1182"/>
      <c r="AY52" s="1182"/>
      <c r="AZ52" s="1182"/>
      <c r="BA52" s="1182"/>
      <c r="BB52" s="1316"/>
      <c r="BC52" s="1182"/>
      <c r="BD52" s="1356"/>
      <c r="BE52" s="1182"/>
      <c r="BF52" s="1182"/>
      <c r="BG52" s="1316"/>
      <c r="BH52" s="1182"/>
      <c r="BI52" s="1356"/>
      <c r="BJ52" s="1182"/>
      <c r="BK52" s="1182"/>
      <c r="BL52" s="1316"/>
      <c r="BM52" s="1182"/>
      <c r="BN52" s="1356"/>
      <c r="BO52" s="1182"/>
      <c r="BP52" s="1182"/>
      <c r="BQ52" s="1316"/>
      <c r="BR52" s="1357"/>
      <c r="BS52" s="1356"/>
      <c r="BT52" s="1357"/>
      <c r="BU52" s="1357"/>
      <c r="BV52" s="1316"/>
      <c r="BW52" s="1356"/>
      <c r="BX52" s="1356"/>
      <c r="BY52" s="1356"/>
      <c r="BZ52" s="1356"/>
      <c r="CA52" s="1316"/>
      <c r="CB52" s="1356"/>
      <c r="CC52" s="1356"/>
      <c r="CD52" s="1356"/>
      <c r="CE52" s="1356"/>
      <c r="CF52" s="1316"/>
      <c r="CG52" s="1317"/>
      <c r="CH52" s="1317"/>
      <c r="CI52" s="1317"/>
      <c r="CJ52" s="1317"/>
      <c r="CK52" s="1316"/>
      <c r="CL52" s="1317"/>
      <c r="CM52" s="1317"/>
      <c r="CN52" s="1317"/>
      <c r="CO52" s="1317"/>
      <c r="CP52" s="1316"/>
      <c r="CQ52" s="1317"/>
      <c r="CR52" s="1317"/>
      <c r="CS52" s="1317"/>
      <c r="CT52" s="1317"/>
      <c r="CU52" s="1316"/>
      <c r="CV52" s="1317"/>
      <c r="CW52" s="1317"/>
      <c r="CX52" s="1317"/>
      <c r="CY52" s="1317"/>
      <c r="CZ52" s="1316"/>
      <c r="DA52" s="1316"/>
      <c r="DB52" s="1316"/>
      <c r="DC52" s="1316"/>
      <c r="DE52" s="1234" t="s">
        <v>1365</v>
      </c>
      <c r="DF52" s="1178" t="s">
        <v>1366</v>
      </c>
    </row>
    <row r="53" spans="1:110" s="1178" customFormat="1" ht="11.25">
      <c r="A53" s="1182"/>
      <c r="B53" s="1182"/>
      <c r="C53" s="1191" t="s">
        <v>973</v>
      </c>
      <c r="D53" s="1182"/>
      <c r="E53" s="1182"/>
      <c r="F53" s="1182"/>
      <c r="G53" s="1182"/>
      <c r="H53" s="1182"/>
      <c r="I53" s="1182"/>
      <c r="J53" s="1182"/>
      <c r="K53" s="1182"/>
      <c r="L53" s="1182"/>
      <c r="M53" s="1182"/>
      <c r="N53" s="1214"/>
      <c r="O53" s="1182"/>
      <c r="P53" s="1182"/>
      <c r="Q53" s="1182"/>
      <c r="R53" s="1182"/>
      <c r="S53" s="1214"/>
      <c r="T53" s="1182"/>
      <c r="U53" s="1182"/>
      <c r="V53" s="1182"/>
      <c r="W53" s="1182"/>
      <c r="X53" s="1214"/>
      <c r="Y53" s="1182"/>
      <c r="Z53" s="1182"/>
      <c r="AA53" s="1182"/>
      <c r="AB53" s="1182"/>
      <c r="AC53" s="1214"/>
      <c r="AD53" s="1182"/>
      <c r="AE53" s="1182"/>
      <c r="AF53" s="1182"/>
      <c r="AG53" s="1182"/>
      <c r="AH53" s="1214"/>
      <c r="AI53" s="1182"/>
      <c r="AJ53" s="1182"/>
      <c r="AK53" s="1182"/>
      <c r="AL53" s="1182"/>
      <c r="AM53" s="1214"/>
      <c r="AN53" s="1182"/>
      <c r="AO53" s="1182"/>
      <c r="AP53" s="1182"/>
      <c r="AQ53" s="1182"/>
      <c r="AR53" s="1316"/>
      <c r="AS53" s="1182"/>
      <c r="AT53" s="1182"/>
      <c r="AU53" s="1182"/>
      <c r="AV53" s="1182"/>
      <c r="AW53" s="1316"/>
      <c r="AX53" s="1182"/>
      <c r="AY53" s="1182"/>
      <c r="AZ53" s="1182"/>
      <c r="BA53" s="1182"/>
      <c r="BB53" s="1316"/>
      <c r="BC53" s="1182"/>
      <c r="BD53" s="1356"/>
      <c r="BE53" s="1182"/>
      <c r="BF53" s="1182"/>
      <c r="BG53" s="1316"/>
      <c r="BH53" s="1182"/>
      <c r="BI53" s="1356"/>
      <c r="BJ53" s="1182"/>
      <c r="BK53" s="1182"/>
      <c r="BL53" s="1316"/>
      <c r="BM53" s="1182"/>
      <c r="BN53" s="1356"/>
      <c r="BO53" s="1182"/>
      <c r="BP53" s="1182"/>
      <c r="BQ53" s="1316"/>
      <c r="BR53" s="1357"/>
      <c r="BS53" s="1356"/>
      <c r="BT53" s="1357"/>
      <c r="BU53" s="1357"/>
      <c r="BV53" s="1316"/>
      <c r="BW53" s="1356"/>
      <c r="BX53" s="1356"/>
      <c r="BY53" s="1356"/>
      <c r="BZ53" s="1356"/>
      <c r="CA53" s="1316"/>
      <c r="CB53" s="1356"/>
      <c r="CC53" s="1356"/>
      <c r="CD53" s="1356"/>
      <c r="CE53" s="1356"/>
      <c r="CF53" s="1355">
        <f t="shared" ref="CF53:CF58" si="56">CF44/CA44-1</f>
        <v>0.13548387096774173</v>
      </c>
      <c r="CG53" s="1317"/>
      <c r="CH53" s="1317"/>
      <c r="CI53" s="1317"/>
      <c r="CJ53" s="1317"/>
      <c r="CK53" s="1355">
        <v>-4.2230186363636624E-2</v>
      </c>
      <c r="CL53" s="1317"/>
      <c r="CM53" s="1317"/>
      <c r="CN53" s="1317"/>
      <c r="CO53" s="1317"/>
      <c r="CP53" s="1942">
        <v>-0.11</v>
      </c>
      <c r="CQ53" s="1317"/>
      <c r="CR53" s="1317"/>
      <c r="CS53" s="1317"/>
      <c r="CT53" s="1317"/>
      <c r="CU53" s="1942">
        <v>-0.11</v>
      </c>
      <c r="CV53" s="1317"/>
      <c r="CW53" s="1317"/>
      <c r="CX53" s="1317"/>
      <c r="CY53" s="1317"/>
      <c r="CZ53" s="1942">
        <v>-0.05</v>
      </c>
      <c r="DA53" s="1942">
        <f>CZ53+0.01</f>
        <v>-0.04</v>
      </c>
      <c r="DB53" s="1942">
        <f t="shared" ref="DB53:DC53" si="57">DA53+0.01</f>
        <v>-0.03</v>
      </c>
      <c r="DC53" s="1942">
        <f t="shared" si="57"/>
        <v>-1.9999999999999997E-2</v>
      </c>
      <c r="DE53" s="1234" t="s">
        <v>1367</v>
      </c>
      <c r="DF53" s="1178" t="s">
        <v>1368</v>
      </c>
    </row>
    <row r="54" spans="1:110" s="1178" customFormat="1" ht="11.25">
      <c r="A54" s="1182"/>
      <c r="B54" s="1182"/>
      <c r="C54" s="1191" t="s">
        <v>972</v>
      </c>
      <c r="D54" s="1182"/>
      <c r="E54" s="1182"/>
      <c r="F54" s="1182"/>
      <c r="G54" s="1182"/>
      <c r="H54" s="1182"/>
      <c r="I54" s="1182"/>
      <c r="J54" s="1182"/>
      <c r="K54" s="1182"/>
      <c r="L54" s="1182"/>
      <c r="M54" s="1182"/>
      <c r="N54" s="1214"/>
      <c r="O54" s="1182"/>
      <c r="P54" s="1182"/>
      <c r="Q54" s="1182"/>
      <c r="R54" s="1182"/>
      <c r="S54" s="1214"/>
      <c r="T54" s="1182"/>
      <c r="U54" s="1182"/>
      <c r="V54" s="1182"/>
      <c r="W54" s="1182"/>
      <c r="X54" s="1214"/>
      <c r="Y54" s="1182"/>
      <c r="Z54" s="1182"/>
      <c r="AA54" s="1182"/>
      <c r="AB54" s="1182"/>
      <c r="AC54" s="1214"/>
      <c r="AD54" s="1182"/>
      <c r="AE54" s="1182"/>
      <c r="AF54" s="1182"/>
      <c r="AG54" s="1182"/>
      <c r="AH54" s="1214"/>
      <c r="AI54" s="1182"/>
      <c r="AJ54" s="1182"/>
      <c r="AK54" s="1182"/>
      <c r="AL54" s="1182"/>
      <c r="AM54" s="1214"/>
      <c r="AN54" s="1182"/>
      <c r="AO54" s="1182"/>
      <c r="AP54" s="1182"/>
      <c r="AQ54" s="1182"/>
      <c r="AR54" s="1316"/>
      <c r="AS54" s="1182"/>
      <c r="AT54" s="1182"/>
      <c r="AU54" s="1182"/>
      <c r="AV54" s="1182"/>
      <c r="AW54" s="1316"/>
      <c r="AX54" s="1182"/>
      <c r="AY54" s="1182"/>
      <c r="AZ54" s="1182"/>
      <c r="BA54" s="1182"/>
      <c r="BB54" s="1316"/>
      <c r="BC54" s="1182"/>
      <c r="BD54" s="1356"/>
      <c r="BE54" s="1182"/>
      <c r="BF54" s="1182"/>
      <c r="BG54" s="1316"/>
      <c r="BH54" s="1182"/>
      <c r="BI54" s="1356"/>
      <c r="BJ54" s="1182"/>
      <c r="BK54" s="1182"/>
      <c r="BL54" s="1316"/>
      <c r="BM54" s="1182"/>
      <c r="BN54" s="1356"/>
      <c r="BO54" s="1182"/>
      <c r="BP54" s="1182"/>
      <c r="BQ54" s="1316"/>
      <c r="BR54" s="1357"/>
      <c r="BS54" s="1356"/>
      <c r="BT54" s="1357"/>
      <c r="BU54" s="1357"/>
      <c r="BV54" s="1316"/>
      <c r="BW54" s="1356"/>
      <c r="BX54" s="1356"/>
      <c r="BY54" s="1356"/>
      <c r="BZ54" s="1356"/>
      <c r="CA54" s="1316"/>
      <c r="CB54" s="1356"/>
      <c r="CC54" s="1356"/>
      <c r="CD54" s="1356"/>
      <c r="CE54" s="1356"/>
      <c r="CF54" s="1355">
        <f t="shared" si="56"/>
        <v>0.10036309782808051</v>
      </c>
      <c r="CG54" s="1317"/>
      <c r="CH54" s="1317"/>
      <c r="CI54" s="1317"/>
      <c r="CJ54" s="1317"/>
      <c r="CK54" s="1355">
        <v>8.5000000000000006E-2</v>
      </c>
      <c r="CL54" s="1317"/>
      <c r="CM54" s="1317"/>
      <c r="CN54" s="1317"/>
      <c r="CO54" s="1317"/>
      <c r="CP54" s="1942">
        <v>9.8000000000000004E-2</v>
      </c>
      <c r="CQ54" s="1317"/>
      <c r="CR54" s="1317"/>
      <c r="CS54" s="1317"/>
      <c r="CT54" s="1317"/>
      <c r="CU54" s="1942">
        <v>7.0000000000000007E-2</v>
      </c>
      <c r="CV54" s="1317"/>
      <c r="CW54" s="1317"/>
      <c r="CX54" s="1317"/>
      <c r="CY54" s="1317"/>
      <c r="CZ54" s="1942">
        <v>7.0000000000000007E-2</v>
      </c>
      <c r="DA54" s="1942">
        <v>0.04</v>
      </c>
      <c r="DB54" s="1942">
        <v>0.03</v>
      </c>
      <c r="DC54" s="1942">
        <v>0.02</v>
      </c>
      <c r="DE54" s="1234" t="s">
        <v>1144</v>
      </c>
      <c r="DF54" s="1178" t="s">
        <v>1369</v>
      </c>
    </row>
    <row r="55" spans="1:110" s="1234" customFormat="1" ht="11.25">
      <c r="A55" s="1182"/>
      <c r="B55" s="1182"/>
      <c r="C55" s="1182" t="s">
        <v>1008</v>
      </c>
      <c r="D55" s="1182"/>
      <c r="E55" s="1182"/>
      <c r="F55" s="1182"/>
      <c r="G55" s="1182"/>
      <c r="H55" s="1182"/>
      <c r="I55" s="1182"/>
      <c r="J55" s="1182"/>
      <c r="K55" s="1182"/>
      <c r="L55" s="1182"/>
      <c r="M55" s="1182"/>
      <c r="N55" s="1214"/>
      <c r="O55" s="1182"/>
      <c r="P55" s="1182"/>
      <c r="Q55" s="1182"/>
      <c r="R55" s="1182"/>
      <c r="S55" s="1214"/>
      <c r="T55" s="1182"/>
      <c r="U55" s="1182"/>
      <c r="V55" s="1182"/>
      <c r="W55" s="1182"/>
      <c r="X55" s="1214"/>
      <c r="Y55" s="1182"/>
      <c r="Z55" s="1182"/>
      <c r="AA55" s="1182"/>
      <c r="AB55" s="1182"/>
      <c r="AC55" s="1214"/>
      <c r="AD55" s="1182"/>
      <c r="AE55" s="1182"/>
      <c r="AF55" s="1182"/>
      <c r="AG55" s="1182"/>
      <c r="AH55" s="1214"/>
      <c r="AI55" s="1182"/>
      <c r="AJ55" s="1182"/>
      <c r="AK55" s="1182"/>
      <c r="AL55" s="1182"/>
      <c r="AM55" s="1214"/>
      <c r="AN55" s="1182"/>
      <c r="AO55" s="1182"/>
      <c r="AP55" s="1182"/>
      <c r="AQ55" s="1182"/>
      <c r="AR55" s="1316"/>
      <c r="AS55" s="1182"/>
      <c r="AT55" s="1182"/>
      <c r="AU55" s="1182"/>
      <c r="AV55" s="1182"/>
      <c r="AW55" s="1316"/>
      <c r="AX55" s="1182"/>
      <c r="AY55" s="1182"/>
      <c r="AZ55" s="1182"/>
      <c r="BA55" s="1182"/>
      <c r="BB55" s="1316"/>
      <c r="BC55" s="1182"/>
      <c r="BD55" s="1356"/>
      <c r="BE55" s="1182"/>
      <c r="BF55" s="1182"/>
      <c r="BG55" s="1316"/>
      <c r="BH55" s="1182"/>
      <c r="BI55" s="1356"/>
      <c r="BJ55" s="1182"/>
      <c r="BK55" s="1182"/>
      <c r="BL55" s="1316"/>
      <c r="BM55" s="1182"/>
      <c r="BN55" s="1356"/>
      <c r="BO55" s="1182"/>
      <c r="BP55" s="1182"/>
      <c r="BQ55" s="1316"/>
      <c r="BR55" s="1357"/>
      <c r="BS55" s="1356"/>
      <c r="BT55" s="1357"/>
      <c r="BU55" s="1357"/>
      <c r="BV55" s="1316"/>
      <c r="BW55" s="1356"/>
      <c r="BX55" s="1356"/>
      <c r="BY55" s="1356"/>
      <c r="BZ55" s="1356"/>
      <c r="CA55" s="1316"/>
      <c r="CB55" s="1356"/>
      <c r="CC55" s="1356"/>
      <c r="CD55" s="1356"/>
      <c r="CE55" s="1356"/>
      <c r="CF55" s="1358">
        <f t="shared" si="56"/>
        <v>0.11596157302974008</v>
      </c>
      <c r="CG55" s="1317"/>
      <c r="CH55" s="1317"/>
      <c r="CI55" s="1317"/>
      <c r="CJ55" s="1317"/>
      <c r="CK55" s="1358">
        <f>CK46/CF46-1</f>
        <v>2.7503690237764999E-2</v>
      </c>
      <c r="CL55" s="1317"/>
      <c r="CM55" s="1317"/>
      <c r="CN55" s="1317"/>
      <c r="CO55" s="1317"/>
      <c r="CP55" s="1358">
        <f>CP46/CK46-1</f>
        <v>1.0382491763273549E-2</v>
      </c>
      <c r="CQ55" s="1317"/>
      <c r="CR55" s="1317"/>
      <c r="CS55" s="1317"/>
      <c r="CT55" s="1317"/>
      <c r="CU55" s="1358">
        <f>CU46/CP46-1</f>
        <v>3.2111042964262371E-3</v>
      </c>
      <c r="CV55" s="1317"/>
      <c r="CW55" s="1317"/>
      <c r="CX55" s="1317"/>
      <c r="CY55" s="1317"/>
      <c r="CZ55" s="1358">
        <f>CZ46/CU46-1</f>
        <v>3.0498764469671924E-2</v>
      </c>
      <c r="DA55" s="1358">
        <f>DA46/CZ46-1</f>
        <v>1.5722970243362999E-2</v>
      </c>
      <c r="DB55" s="1358">
        <f>DB46/DA46-1</f>
        <v>1.2791113387353503E-2</v>
      </c>
      <c r="DC55" s="1358">
        <f>DC46/DB46-1</f>
        <v>9.0121337008723934E-3</v>
      </c>
    </row>
    <row r="56" spans="1:110" s="1178" customFormat="1" ht="15" customHeight="1">
      <c r="A56" s="1182"/>
      <c r="B56" s="1182"/>
      <c r="C56" s="1191" t="s">
        <v>971</v>
      </c>
      <c r="D56" s="1182"/>
      <c r="E56" s="1182"/>
      <c r="F56" s="1182"/>
      <c r="G56" s="1182"/>
      <c r="H56" s="1182"/>
      <c r="I56" s="1182"/>
      <c r="J56" s="1182"/>
      <c r="K56" s="1182"/>
      <c r="L56" s="1182"/>
      <c r="M56" s="1182"/>
      <c r="N56" s="1214"/>
      <c r="O56" s="1182"/>
      <c r="P56" s="1182"/>
      <c r="Q56" s="1182"/>
      <c r="R56" s="1182"/>
      <c r="S56" s="1214"/>
      <c r="T56" s="1182"/>
      <c r="U56" s="1182"/>
      <c r="V56" s="1182"/>
      <c r="W56" s="1182"/>
      <c r="X56" s="1214"/>
      <c r="Y56" s="1182"/>
      <c r="Z56" s="1182"/>
      <c r="AA56" s="1182"/>
      <c r="AB56" s="1182"/>
      <c r="AC56" s="1214"/>
      <c r="AD56" s="1182"/>
      <c r="AE56" s="1182"/>
      <c r="AF56" s="1182"/>
      <c r="AG56" s="1182"/>
      <c r="AH56" s="1214"/>
      <c r="AI56" s="1182"/>
      <c r="AJ56" s="1182"/>
      <c r="AK56" s="1182"/>
      <c r="AL56" s="1182"/>
      <c r="AM56" s="1214"/>
      <c r="AN56" s="1182"/>
      <c r="AO56" s="1182"/>
      <c r="AP56" s="1182"/>
      <c r="AQ56" s="1182"/>
      <c r="AR56" s="1316"/>
      <c r="AS56" s="1182"/>
      <c r="AT56" s="1182"/>
      <c r="AU56" s="1182"/>
      <c r="AV56" s="1182"/>
      <c r="AW56" s="1316"/>
      <c r="AX56" s="1182"/>
      <c r="AY56" s="1182"/>
      <c r="AZ56" s="1182"/>
      <c r="BA56" s="1182"/>
      <c r="BB56" s="1316"/>
      <c r="BC56" s="1182"/>
      <c r="BD56" s="1356"/>
      <c r="BE56" s="1182"/>
      <c r="BF56" s="1182"/>
      <c r="BG56" s="1316"/>
      <c r="BH56" s="1182"/>
      <c r="BI56" s="1356"/>
      <c r="BJ56" s="1182"/>
      <c r="BK56" s="1182"/>
      <c r="BL56" s="1316"/>
      <c r="BM56" s="1182"/>
      <c r="BN56" s="1356"/>
      <c r="BO56" s="1182"/>
      <c r="BP56" s="1182"/>
      <c r="BQ56" s="1316"/>
      <c r="BR56" s="1357"/>
      <c r="BS56" s="1356"/>
      <c r="BT56" s="1357"/>
      <c r="BU56" s="1357"/>
      <c r="BV56" s="1316"/>
      <c r="BW56" s="1356"/>
      <c r="BX56" s="1356"/>
      <c r="BY56" s="1356"/>
      <c r="BZ56" s="1356"/>
      <c r="CA56" s="1316"/>
      <c r="CB56" s="1356"/>
      <c r="CC56" s="1356"/>
      <c r="CD56" s="1356"/>
      <c r="CE56" s="1356"/>
      <c r="CF56" s="1355">
        <f t="shared" si="56"/>
        <v>0.19999999999999996</v>
      </c>
      <c r="CG56" s="1317"/>
      <c r="CH56" s="1317"/>
      <c r="CI56" s="1317"/>
      <c r="CJ56" s="1317"/>
      <c r="CK56" s="1355">
        <v>0.16443932569586628</v>
      </c>
      <c r="CL56" s="1317"/>
      <c r="CM56" s="1317"/>
      <c r="CN56" s="1317"/>
      <c r="CO56" s="1317"/>
      <c r="CP56" s="1942">
        <v>0.05</v>
      </c>
      <c r="CQ56" s="1317"/>
      <c r="CR56" s="1317"/>
      <c r="CS56" s="1317"/>
      <c r="CT56" s="1317"/>
      <c r="CU56" s="1942">
        <v>0.05</v>
      </c>
      <c r="CV56" s="1317"/>
      <c r="CW56" s="1317"/>
      <c r="CX56" s="1317"/>
      <c r="CY56" s="1317"/>
      <c r="CZ56" s="1942">
        <v>0.08</v>
      </c>
      <c r="DA56" s="1942">
        <v>0.1</v>
      </c>
      <c r="DB56" s="1942">
        <v>0.1</v>
      </c>
      <c r="DC56" s="1942">
        <v>0.1</v>
      </c>
    </row>
    <row r="57" spans="1:110" s="1178" customFormat="1" ht="11.25">
      <c r="A57" s="1182"/>
      <c r="B57" s="1182"/>
      <c r="C57" s="1191" t="s">
        <v>970</v>
      </c>
      <c r="D57" s="1182"/>
      <c r="E57" s="1182"/>
      <c r="F57" s="1182"/>
      <c r="G57" s="1182"/>
      <c r="H57" s="1182"/>
      <c r="I57" s="1182"/>
      <c r="J57" s="1182"/>
      <c r="K57" s="1182"/>
      <c r="L57" s="1182"/>
      <c r="M57" s="1182"/>
      <c r="N57" s="1214"/>
      <c r="O57" s="1182"/>
      <c r="P57" s="1182"/>
      <c r="Q57" s="1182"/>
      <c r="R57" s="1182"/>
      <c r="S57" s="1214"/>
      <c r="T57" s="1182"/>
      <c r="U57" s="1182"/>
      <c r="V57" s="1182"/>
      <c r="W57" s="1182"/>
      <c r="X57" s="1214"/>
      <c r="Y57" s="1182"/>
      <c r="Z57" s="1182"/>
      <c r="AA57" s="1182"/>
      <c r="AB57" s="1182"/>
      <c r="AC57" s="1214"/>
      <c r="AD57" s="1182"/>
      <c r="AE57" s="1182"/>
      <c r="AF57" s="1182"/>
      <c r="AG57" s="1182"/>
      <c r="AH57" s="1214"/>
      <c r="AI57" s="1182"/>
      <c r="AJ57" s="1182"/>
      <c r="AK57" s="1182"/>
      <c r="AL57" s="1182"/>
      <c r="AM57" s="1214"/>
      <c r="AN57" s="1182"/>
      <c r="AO57" s="1182"/>
      <c r="AP57" s="1182"/>
      <c r="AQ57" s="1182"/>
      <c r="AR57" s="1316"/>
      <c r="AS57" s="1182"/>
      <c r="AT57" s="1182"/>
      <c r="AU57" s="1182"/>
      <c r="AV57" s="1182"/>
      <c r="AW57" s="1316"/>
      <c r="AX57" s="1182"/>
      <c r="AY57" s="1182"/>
      <c r="AZ57" s="1182"/>
      <c r="BA57" s="1182"/>
      <c r="BB57" s="1316"/>
      <c r="BC57" s="1182"/>
      <c r="BD57" s="1356"/>
      <c r="BE57" s="1182"/>
      <c r="BF57" s="1182"/>
      <c r="BG57" s="1316"/>
      <c r="BH57" s="1182"/>
      <c r="BI57" s="1356"/>
      <c r="BJ57" s="1182"/>
      <c r="BK57" s="1182"/>
      <c r="BL57" s="1316"/>
      <c r="BM57" s="1182"/>
      <c r="BN57" s="1356"/>
      <c r="BO57" s="1182"/>
      <c r="BP57" s="1182"/>
      <c r="BQ57" s="1316"/>
      <c r="BR57" s="1357"/>
      <c r="BS57" s="1356"/>
      <c r="BT57" s="1357"/>
      <c r="BU57" s="1357"/>
      <c r="BV57" s="1316"/>
      <c r="BW57" s="1356"/>
      <c r="BX57" s="1356"/>
      <c r="BY57" s="1356"/>
      <c r="BZ57" s="1356"/>
      <c r="CA57" s="1316"/>
      <c r="CB57" s="1356"/>
      <c r="CC57" s="1356"/>
      <c r="CD57" s="1356"/>
      <c r="CE57" s="1356"/>
      <c r="CF57" s="1355">
        <f t="shared" si="56"/>
        <v>-2.9443167298314421E-2</v>
      </c>
      <c r="CG57" s="1317"/>
      <c r="CH57" s="1317"/>
      <c r="CI57" s="1317"/>
      <c r="CJ57" s="1317"/>
      <c r="CK57" s="1355">
        <v>-0.01</v>
      </c>
      <c r="CL57" s="1317"/>
      <c r="CM57" s="1317"/>
      <c r="CN57" s="1317"/>
      <c r="CO57" s="1317"/>
      <c r="CP57" s="2101">
        <v>0.02</v>
      </c>
      <c r="CQ57" s="1317"/>
      <c r="CR57" s="1317"/>
      <c r="CS57" s="1317"/>
      <c r="CT57" s="1317"/>
      <c r="CU57" s="1942">
        <v>0.02</v>
      </c>
      <c r="CV57" s="1317"/>
      <c r="CW57" s="1317"/>
      <c r="CX57" s="1317"/>
      <c r="CY57" s="1317"/>
      <c r="CZ57" s="1942">
        <v>0.02</v>
      </c>
      <c r="DA57" s="1942">
        <v>0.02</v>
      </c>
      <c r="DB57" s="1942">
        <v>0.02</v>
      </c>
      <c r="DC57" s="1942">
        <v>0.02</v>
      </c>
    </row>
    <row r="58" spans="1:110" s="1234" customFormat="1" ht="11.25">
      <c r="A58" s="1182"/>
      <c r="B58" s="1182"/>
      <c r="C58" s="1182" t="s">
        <v>1007</v>
      </c>
      <c r="D58" s="1182"/>
      <c r="E58" s="1182"/>
      <c r="F58" s="1182"/>
      <c r="G58" s="1182"/>
      <c r="H58" s="1182"/>
      <c r="I58" s="1182"/>
      <c r="J58" s="1182"/>
      <c r="K58" s="1182"/>
      <c r="L58" s="1182"/>
      <c r="M58" s="1182"/>
      <c r="N58" s="1214"/>
      <c r="O58" s="1182"/>
      <c r="P58" s="1182"/>
      <c r="Q58" s="1182"/>
      <c r="R58" s="1182"/>
      <c r="S58" s="1214"/>
      <c r="T58" s="1182"/>
      <c r="U58" s="1182"/>
      <c r="V58" s="1182"/>
      <c r="W58" s="1182"/>
      <c r="X58" s="1214"/>
      <c r="Y58" s="1182"/>
      <c r="Z58" s="1182"/>
      <c r="AA58" s="1182"/>
      <c r="AB58" s="1182"/>
      <c r="AC58" s="1214"/>
      <c r="AD58" s="1182"/>
      <c r="AE58" s="1182"/>
      <c r="AF58" s="1182"/>
      <c r="AG58" s="1182"/>
      <c r="AH58" s="1214"/>
      <c r="AI58" s="1182"/>
      <c r="AJ58" s="1182"/>
      <c r="AK58" s="1182"/>
      <c r="AL58" s="1182"/>
      <c r="AM58" s="1214"/>
      <c r="AN58" s="1182"/>
      <c r="AO58" s="1182"/>
      <c r="AP58" s="1182"/>
      <c r="AQ58" s="1182"/>
      <c r="AR58" s="1316"/>
      <c r="AS58" s="1182"/>
      <c r="AT58" s="1182"/>
      <c r="AU58" s="1182"/>
      <c r="AV58" s="1182"/>
      <c r="AW58" s="1316"/>
      <c r="AX58" s="1182"/>
      <c r="AY58" s="1182"/>
      <c r="AZ58" s="1182"/>
      <c r="BA58" s="1182"/>
      <c r="BB58" s="1316"/>
      <c r="BC58" s="1182"/>
      <c r="BD58" s="1356"/>
      <c r="BE58" s="1182"/>
      <c r="BF58" s="1182"/>
      <c r="BG58" s="1316"/>
      <c r="BH58" s="1182"/>
      <c r="BI58" s="1356"/>
      <c r="BJ58" s="1182"/>
      <c r="BK58" s="1182"/>
      <c r="BL58" s="1316"/>
      <c r="BM58" s="1182"/>
      <c r="BN58" s="1356"/>
      <c r="BO58" s="1182"/>
      <c r="BP58" s="1182"/>
      <c r="BQ58" s="1316"/>
      <c r="BR58" s="1357"/>
      <c r="BS58" s="1356"/>
      <c r="BT58" s="1357"/>
      <c r="BU58" s="1357"/>
      <c r="BV58" s="1316"/>
      <c r="BW58" s="1356"/>
      <c r="BX58" s="1356"/>
      <c r="BY58" s="1356"/>
      <c r="BZ58" s="1356"/>
      <c r="CA58" s="1316"/>
      <c r="CB58" s="1356"/>
      <c r="CC58" s="1356"/>
      <c r="CD58" s="1356"/>
      <c r="CE58" s="1356"/>
      <c r="CF58" s="1358">
        <f t="shared" si="56"/>
        <v>-2.3954346965194384E-2</v>
      </c>
      <c r="CG58" s="1317"/>
      <c r="CH58" s="1317"/>
      <c r="CI58" s="1317"/>
      <c r="CJ58" s="1317"/>
      <c r="CK58" s="1358">
        <f>CK49/CF49-1</f>
        <v>-4.8695034528744019E-3</v>
      </c>
      <c r="CL58" s="1317"/>
      <c r="CM58" s="1317"/>
      <c r="CN58" s="1317"/>
      <c r="CO58" s="1317"/>
      <c r="CP58" s="2254">
        <f>CP49/CK49-1</f>
        <v>2.1032459639825474E-2</v>
      </c>
      <c r="CQ58" s="1317"/>
      <c r="CR58" s="1317"/>
      <c r="CS58" s="1317"/>
      <c r="CT58" s="1317"/>
      <c r="CU58" s="1358">
        <f>CU49/CP49-1</f>
        <v>2.1061751378794735E-2</v>
      </c>
      <c r="CV58" s="1317"/>
      <c r="CW58" s="1317"/>
      <c r="CX58" s="1317"/>
      <c r="CY58" s="1317"/>
      <c r="CZ58" s="1358">
        <f>CZ49/CU49-1</f>
        <v>2.2183685651193885E-2</v>
      </c>
      <c r="DA58" s="1358">
        <f>DA49/CZ49-1</f>
        <v>2.3076264454089834E-2</v>
      </c>
      <c r="DB58" s="1358">
        <f>DB49/DA49-1</f>
        <v>2.3307564662644609E-2</v>
      </c>
      <c r="DC58" s="1358">
        <f>DC49/DB49-1</f>
        <v>2.355545219692412E-2</v>
      </c>
    </row>
    <row r="59" spans="1:110" s="1234" customFormat="1" ht="12" customHeight="1">
      <c r="A59" s="1182"/>
      <c r="B59" s="1182"/>
      <c r="C59" s="1182" t="s">
        <v>1006</v>
      </c>
      <c r="D59" s="1182"/>
      <c r="E59" s="1182"/>
      <c r="F59" s="1182"/>
      <c r="G59" s="1182"/>
      <c r="H59" s="1182"/>
      <c r="I59" s="1182"/>
      <c r="J59" s="1182"/>
      <c r="K59" s="1182"/>
      <c r="L59" s="1182"/>
      <c r="M59" s="1182"/>
      <c r="N59" s="1214"/>
      <c r="O59" s="1182"/>
      <c r="P59" s="1182"/>
      <c r="Q59" s="1182"/>
      <c r="R59" s="1182"/>
      <c r="S59" s="1214"/>
      <c r="T59" s="1182"/>
      <c r="U59" s="1182"/>
      <c r="V59" s="1182"/>
      <c r="W59" s="1182"/>
      <c r="X59" s="1214"/>
      <c r="Y59" s="1182"/>
      <c r="Z59" s="1182"/>
      <c r="AA59" s="1182"/>
      <c r="AB59" s="1182"/>
      <c r="AC59" s="1214"/>
      <c r="AD59" s="1182"/>
      <c r="AE59" s="1182"/>
      <c r="AF59" s="1182"/>
      <c r="AG59" s="1182"/>
      <c r="AH59" s="1214"/>
      <c r="AI59" s="1182"/>
      <c r="AJ59" s="1182"/>
      <c r="AK59" s="1182"/>
      <c r="AL59" s="1182"/>
      <c r="AM59" s="1214"/>
      <c r="AN59" s="1182"/>
      <c r="AO59" s="1182"/>
      <c r="AP59" s="1182"/>
      <c r="AQ59" s="1182"/>
      <c r="AR59" s="1316"/>
      <c r="AS59" s="1182"/>
      <c r="AT59" s="1182"/>
      <c r="AU59" s="1182"/>
      <c r="AV59" s="1182"/>
      <c r="AW59" s="1316"/>
      <c r="AX59" s="1182"/>
      <c r="AY59" s="1182"/>
      <c r="AZ59" s="1182"/>
      <c r="BA59" s="1182"/>
      <c r="BB59" s="1316"/>
      <c r="BC59" s="1182"/>
      <c r="BD59" s="1356"/>
      <c r="BE59" s="1182"/>
      <c r="BF59" s="1182"/>
      <c r="BG59" s="1316"/>
      <c r="BH59" s="1182"/>
      <c r="BI59" s="1356"/>
      <c r="BJ59" s="1182"/>
      <c r="BK59" s="1182"/>
      <c r="BL59" s="1316"/>
      <c r="BM59" s="1182"/>
      <c r="BN59" s="1356"/>
      <c r="BO59" s="1182"/>
      <c r="BP59" s="1182"/>
      <c r="BQ59" s="1316"/>
      <c r="BR59" s="1357"/>
      <c r="BS59" s="1356"/>
      <c r="BT59" s="1357"/>
      <c r="BU59" s="1357"/>
      <c r="BV59" s="1316"/>
      <c r="BW59" s="1356"/>
      <c r="BX59" s="1356"/>
      <c r="BY59" s="1356"/>
      <c r="BZ59" s="1356"/>
      <c r="CA59" s="1316"/>
      <c r="CB59" s="1356"/>
      <c r="CC59" s="1356"/>
      <c r="CD59" s="1356"/>
      <c r="CE59" s="1356"/>
      <c r="CF59" s="1358">
        <f>CF51/CA51-1</f>
        <v>3.9891060557513569E-2</v>
      </c>
      <c r="CG59" s="1317"/>
      <c r="CH59" s="1317"/>
      <c r="CI59" s="1317"/>
      <c r="CJ59" s="1317"/>
      <c r="CK59" s="1358">
        <f>CK51/CF51-1</f>
        <v>-8.2323596795861098E-2</v>
      </c>
      <c r="CL59" s="1317"/>
      <c r="CM59" s="1317"/>
      <c r="CN59" s="1317"/>
      <c r="CO59" s="1317"/>
      <c r="CP59" s="1358">
        <f>CP51/CK51-1</f>
        <v>-1.6406684015317641E-3</v>
      </c>
      <c r="CQ59" s="1317"/>
      <c r="CR59" s="1317"/>
      <c r="CS59" s="1317"/>
      <c r="CT59" s="1317"/>
      <c r="CU59" s="1358">
        <f>CU51/CP51-1</f>
        <v>2.7033879953870299E-2</v>
      </c>
      <c r="CV59" s="1317"/>
      <c r="CW59" s="1317"/>
      <c r="CX59" s="1317"/>
      <c r="CY59" s="1317"/>
      <c r="CZ59" s="1358">
        <f>CZ51/CU51-1</f>
        <v>5.3728161631103832E-2</v>
      </c>
      <c r="DA59" s="1358">
        <f>DA51/CZ51-1</f>
        <v>2.1233870090460405E-2</v>
      </c>
      <c r="DB59" s="1358">
        <f>DB51/DA51-1</f>
        <v>1.9932896705675107E-2</v>
      </c>
      <c r="DC59" s="1358">
        <f>DC51/DB51-1</f>
        <v>1.8263476087131414E-2</v>
      </c>
    </row>
    <row r="60" spans="1:110" s="1178" customFormat="1">
      <c r="A60" s="1182"/>
      <c r="B60" s="1182"/>
      <c r="C60" s="1191"/>
      <c r="D60" s="1182"/>
      <c r="E60" s="1182"/>
      <c r="F60" s="1182"/>
      <c r="G60" s="1182"/>
      <c r="H60" s="1182"/>
      <c r="I60" s="1182"/>
      <c r="J60" s="1182"/>
      <c r="K60" s="1182"/>
      <c r="L60" s="1182"/>
      <c r="M60" s="1182"/>
      <c r="N60" s="1214"/>
      <c r="O60" s="1182"/>
      <c r="P60" s="1182"/>
      <c r="Q60" s="1182"/>
      <c r="R60" s="1182"/>
      <c r="S60" s="1214"/>
      <c r="T60" s="1182"/>
      <c r="U60" s="1182"/>
      <c r="V60" s="1182"/>
      <c r="W60" s="1182"/>
      <c r="X60" s="1214"/>
      <c r="Y60" s="1182"/>
      <c r="Z60" s="1182"/>
      <c r="AA60" s="1182"/>
      <c r="AB60" s="1182"/>
      <c r="AC60" s="1214"/>
      <c r="AD60" s="1182"/>
      <c r="AE60" s="1182"/>
      <c r="AF60" s="1182"/>
      <c r="AG60" s="1182"/>
      <c r="AH60" s="1214"/>
      <c r="AI60" s="1182"/>
      <c r="AJ60" s="1182"/>
      <c r="AK60" s="1182"/>
      <c r="AL60" s="1182"/>
      <c r="AM60" s="1214"/>
      <c r="AN60" s="1182"/>
      <c r="AO60" s="1182"/>
      <c r="AP60" s="1182"/>
      <c r="AQ60" s="1182"/>
      <c r="AR60" s="1316"/>
      <c r="AS60" s="1182"/>
      <c r="AT60" s="1182"/>
      <c r="AU60" s="1182"/>
      <c r="AV60" s="1182"/>
      <c r="AW60" s="1316"/>
      <c r="AX60" s="1182"/>
      <c r="AY60" s="1182"/>
      <c r="AZ60" s="1182"/>
      <c r="BA60" s="1182"/>
      <c r="BB60" s="1316"/>
      <c r="BC60" s="1182"/>
      <c r="BD60" s="1356"/>
      <c r="BE60" s="1182"/>
      <c r="BF60" s="1182"/>
      <c r="BG60" s="1316"/>
      <c r="BH60" s="1182"/>
      <c r="BI60" s="1356"/>
      <c r="BJ60" s="1182"/>
      <c r="BK60" s="1182"/>
      <c r="BL60" s="1316"/>
      <c r="BM60" s="1182"/>
      <c r="BN60" s="1356"/>
      <c r="BO60" s="1182"/>
      <c r="BP60" s="1182"/>
      <c r="BQ60" s="1316"/>
      <c r="BR60" s="1357"/>
      <c r="BS60" s="1356"/>
      <c r="BT60" s="1357"/>
      <c r="BU60" s="1357"/>
      <c r="BV60" s="1316"/>
      <c r="BW60" s="1356"/>
      <c r="BX60" s="1356"/>
      <c r="BY60" s="1356"/>
      <c r="BZ60" s="1356"/>
      <c r="CA60" s="1316"/>
      <c r="CB60" s="1356"/>
      <c r="CC60" s="1356"/>
      <c r="CD60" s="1356"/>
      <c r="CE60" s="1356"/>
      <c r="CF60" s="1316"/>
      <c r="CG60" s="1317"/>
      <c r="CH60" s="1317"/>
      <c r="CI60" s="1317"/>
      <c r="CJ60" s="1317"/>
      <c r="CK60" s="1355"/>
      <c r="CL60" s="1317"/>
      <c r="CM60" s="1317"/>
      <c r="CN60" s="1317"/>
      <c r="CO60" s="1317"/>
      <c r="CP60" s="1354"/>
      <c r="CQ60" s="1317"/>
      <c r="CR60" s="1317"/>
      <c r="CS60" s="1317"/>
      <c r="CT60" s="1317"/>
      <c r="CU60" s="1316"/>
      <c r="CV60" s="1317"/>
      <c r="CW60" s="1317"/>
      <c r="CX60" s="1317"/>
      <c r="CY60" s="1317"/>
      <c r="CZ60" s="1316"/>
      <c r="DA60" s="1316"/>
      <c r="DB60" s="1316"/>
      <c r="DC60" s="1316"/>
    </row>
    <row r="61" spans="1:110" s="1178" customFormat="1" ht="11.25">
      <c r="A61" s="1191"/>
      <c r="B61" s="1191"/>
      <c r="C61" s="1191" t="s">
        <v>1005</v>
      </c>
      <c r="D61" s="1191"/>
      <c r="E61" s="1191"/>
      <c r="F61" s="1191"/>
      <c r="G61" s="1191"/>
      <c r="H61" s="1191"/>
      <c r="I61" s="1191"/>
      <c r="J61" s="1191"/>
      <c r="K61" s="1191"/>
      <c r="L61" s="1191"/>
      <c r="M61" s="1191"/>
      <c r="N61" s="1213"/>
      <c r="O61" s="1191"/>
      <c r="P61" s="1191"/>
      <c r="Q61" s="1191"/>
      <c r="R61" s="1191"/>
      <c r="S61" s="1213"/>
      <c r="T61" s="1191"/>
      <c r="U61" s="1191"/>
      <c r="V61" s="1191"/>
      <c r="W61" s="1191"/>
      <c r="X61" s="1213"/>
      <c r="Y61" s="1191"/>
      <c r="Z61" s="1191"/>
      <c r="AA61" s="1191"/>
      <c r="AB61" s="1191"/>
      <c r="AC61" s="1213"/>
      <c r="AD61" s="1191"/>
      <c r="AE61" s="1191"/>
      <c r="AF61" s="1191"/>
      <c r="AG61" s="1191"/>
      <c r="AH61" s="1213"/>
      <c r="AI61" s="1191"/>
      <c r="AJ61" s="1191"/>
      <c r="AK61" s="1191"/>
      <c r="AL61" s="1191"/>
      <c r="AM61" s="1213"/>
      <c r="AN61" s="1191"/>
      <c r="AO61" s="1191"/>
      <c r="AP61" s="1191"/>
      <c r="AQ61" s="1191"/>
      <c r="AR61" s="1353">
        <v>0.45</v>
      </c>
      <c r="AS61" s="1191"/>
      <c r="AT61" s="1191"/>
      <c r="AU61" s="1191"/>
      <c r="AV61" s="1191"/>
      <c r="AW61" s="1307">
        <v>0.48</v>
      </c>
      <c r="AX61" s="1211"/>
      <c r="AY61" s="1211"/>
      <c r="AZ61" s="1211"/>
      <c r="BA61" s="1211"/>
      <c r="BB61" s="1305">
        <f>BB46/BB51</f>
        <v>0.44398894619505946</v>
      </c>
      <c r="BC61" s="1211"/>
      <c r="BD61" s="1211">
        <f>BD46/BD51</f>
        <v>0.45186798999435168</v>
      </c>
      <c r="BE61" s="1211"/>
      <c r="BF61" s="1211"/>
      <c r="BG61" s="1305">
        <f>BG46/BG51</f>
        <v>0.43770131206770824</v>
      </c>
      <c r="BH61" s="1211"/>
      <c r="BI61" s="1211">
        <f>BI46/BI51</f>
        <v>0.41656878866181196</v>
      </c>
      <c r="BJ61" s="1211"/>
      <c r="BK61" s="1211"/>
      <c r="BL61" s="1305">
        <f>BL46/BL51</f>
        <v>0.41212457100560163</v>
      </c>
      <c r="BM61" s="1211"/>
      <c r="BN61" s="1339">
        <f>1-60%</f>
        <v>0.4</v>
      </c>
      <c r="BO61" s="1211"/>
      <c r="BP61" s="1211"/>
      <c r="BQ61" s="1307">
        <v>0.4</v>
      </c>
      <c r="BR61" s="1156"/>
      <c r="BS61" s="1211">
        <f>BS46/BS51</f>
        <v>0.4123131813676908</v>
      </c>
      <c r="BT61" s="1335"/>
      <c r="BU61" s="1335"/>
      <c r="BV61" s="1305">
        <f>BV46/BV51</f>
        <v>0.40438818845388191</v>
      </c>
      <c r="BW61" s="1211"/>
      <c r="BX61" s="1211"/>
      <c r="BY61" s="1211"/>
      <c r="BZ61" s="1211"/>
      <c r="CA61" s="1305">
        <f>CA46/CA51</f>
        <v>0.41932535004806154</v>
      </c>
      <c r="CB61" s="1211" t="s">
        <v>1004</v>
      </c>
      <c r="CC61" s="1211"/>
      <c r="CD61" s="1211"/>
      <c r="CE61" s="1211"/>
      <c r="CF61" s="1305">
        <v>0.45</v>
      </c>
      <c r="CG61" s="1352"/>
      <c r="CH61" s="1352"/>
      <c r="CI61" s="1352"/>
      <c r="CJ61" s="1352"/>
      <c r="CK61" s="1305">
        <f>CK46/CK51</f>
        <v>0.50385588971512185</v>
      </c>
      <c r="CL61" s="1352"/>
      <c r="CM61" s="1352"/>
      <c r="CN61" s="1352"/>
      <c r="CO61" s="1352"/>
      <c r="CP61" s="1305">
        <f>CP46/CP51</f>
        <v>0.50992378518150272</v>
      </c>
      <c r="CQ61" s="1352"/>
      <c r="CR61" s="1352"/>
      <c r="CS61" s="1352"/>
      <c r="CT61" s="1352"/>
      <c r="CU61" s="1305">
        <f>CU46/CU51</f>
        <v>0.49809574311406946</v>
      </c>
      <c r="CV61" s="2158"/>
      <c r="CW61" s="2158"/>
      <c r="CX61" s="2158"/>
      <c r="CY61" s="2158"/>
      <c r="CZ61" s="1305">
        <f>CZ46/CZ51</f>
        <v>0.48711524144150814</v>
      </c>
      <c r="DA61" s="1305">
        <f>DA46/DA51</f>
        <v>0.48448661406417581</v>
      </c>
      <c r="DB61" s="2159">
        <f>DB46/DB51</f>
        <v>0.48109413753022967</v>
      </c>
      <c r="DC61" s="2159">
        <f>DC46/DC51</f>
        <v>0.47672319946671687</v>
      </c>
    </row>
    <row r="62" spans="1:110" s="1178" customFormat="1" ht="11.25">
      <c r="A62" s="1191"/>
      <c r="B62" s="1191"/>
      <c r="C62" s="1191"/>
      <c r="D62" s="1191"/>
      <c r="E62" s="1191"/>
      <c r="F62" s="1191"/>
      <c r="G62" s="1191"/>
      <c r="H62" s="1191"/>
      <c r="I62" s="1191"/>
      <c r="J62" s="1191"/>
      <c r="K62" s="1191"/>
      <c r="L62" s="1191"/>
      <c r="M62" s="1191"/>
      <c r="N62" s="1213"/>
      <c r="O62" s="1191"/>
      <c r="P62" s="1191"/>
      <c r="Q62" s="1191"/>
      <c r="R62" s="1191"/>
      <c r="S62" s="1213"/>
      <c r="T62" s="1191"/>
      <c r="U62" s="1191"/>
      <c r="V62" s="1191"/>
      <c r="W62" s="1191"/>
      <c r="X62" s="1213"/>
      <c r="Y62" s="1191"/>
      <c r="Z62" s="1191"/>
      <c r="AA62" s="1191"/>
      <c r="AB62" s="1191"/>
      <c r="AC62" s="1213"/>
      <c r="AD62" s="1191"/>
      <c r="AE62" s="1191"/>
      <c r="AF62" s="1191"/>
      <c r="AG62" s="1191"/>
      <c r="AH62" s="1213"/>
      <c r="AI62" s="1191"/>
      <c r="AJ62" s="1191"/>
      <c r="AK62" s="1191"/>
      <c r="AL62" s="1191"/>
      <c r="AM62" s="1213"/>
      <c r="AN62" s="1191"/>
      <c r="AO62" s="1191"/>
      <c r="AP62" s="1191"/>
      <c r="AQ62" s="1191"/>
      <c r="AR62" s="1256"/>
      <c r="AS62" s="1191"/>
      <c r="AT62" s="1191"/>
      <c r="AU62" s="1191"/>
      <c r="AV62" s="1191"/>
      <c r="AW62" s="1256"/>
      <c r="AX62" s="1211"/>
      <c r="AY62" s="1211"/>
      <c r="AZ62" s="1211"/>
      <c r="BA62" s="1211"/>
      <c r="BB62" s="1256"/>
      <c r="BC62" s="1211"/>
      <c r="BD62" s="1211"/>
      <c r="BE62" s="1211"/>
      <c r="BF62" s="1211"/>
      <c r="BG62" s="1256"/>
      <c r="BH62" s="1211"/>
      <c r="BI62" s="1211"/>
      <c r="BJ62" s="1211"/>
      <c r="BK62" s="1211"/>
      <c r="BL62" s="1256"/>
      <c r="BM62" s="1211"/>
      <c r="BN62" s="1211"/>
      <c r="BO62" s="1211"/>
      <c r="BP62" s="1211"/>
      <c r="BQ62" s="1256"/>
      <c r="BR62" s="1156"/>
      <c r="BS62" s="1156"/>
      <c r="BT62" s="1335"/>
      <c r="BU62" s="1335"/>
      <c r="BV62" s="1256"/>
      <c r="BW62" s="1335"/>
      <c r="BX62" s="1335"/>
      <c r="BY62" s="1335"/>
      <c r="BZ62" s="1335"/>
      <c r="CA62" s="1346"/>
      <c r="CB62" s="1335"/>
      <c r="CC62" s="1335"/>
      <c r="CD62" s="1335"/>
      <c r="CE62" s="1335"/>
      <c r="CF62" s="1346"/>
      <c r="CG62" s="1351"/>
      <c r="CH62" s="1351"/>
      <c r="CI62" s="1351"/>
      <c r="CJ62" s="1351"/>
      <c r="CK62" s="1350"/>
      <c r="CL62" s="1351"/>
      <c r="CM62" s="1351"/>
      <c r="CN62" s="1351"/>
      <c r="CO62" s="1351"/>
      <c r="CP62" s="1350"/>
      <c r="CQ62" s="1351"/>
      <c r="CR62" s="1351"/>
      <c r="CS62" s="1351"/>
      <c r="CT62" s="1351"/>
      <c r="CU62" s="1350"/>
      <c r="CV62" s="1351"/>
      <c r="CW62" s="1351"/>
      <c r="CX62" s="1351"/>
      <c r="CY62" s="1351"/>
      <c r="CZ62" s="1350"/>
      <c r="DA62" s="1350"/>
      <c r="DB62" s="1350"/>
      <c r="DC62" s="1350"/>
    </row>
    <row r="63" spans="1:110" s="1178" customFormat="1" ht="11.25">
      <c r="A63" s="1182"/>
      <c r="B63" s="1182"/>
      <c r="C63" s="1182" t="s">
        <v>1003</v>
      </c>
      <c r="D63" s="1182"/>
      <c r="E63" s="1182"/>
      <c r="F63" s="1182"/>
      <c r="G63" s="1182"/>
      <c r="H63" s="1182"/>
      <c r="I63" s="1182"/>
      <c r="J63" s="1333" t="s">
        <v>946</v>
      </c>
      <c r="K63" s="1333" t="s">
        <v>946</v>
      </c>
      <c r="L63" s="1333" t="s">
        <v>946</v>
      </c>
      <c r="M63" s="1333" t="s">
        <v>946</v>
      </c>
      <c r="N63" s="1344"/>
      <c r="O63" s="1333"/>
      <c r="P63" s="1333"/>
      <c r="Q63" s="1333"/>
      <c r="R63" s="1333"/>
      <c r="S63" s="1344"/>
      <c r="T63" s="1333"/>
      <c r="U63" s="1345"/>
      <c r="V63" s="1345"/>
      <c r="W63" s="1333"/>
      <c r="X63" s="1344"/>
      <c r="Y63" s="1333"/>
      <c r="Z63" s="1333"/>
      <c r="AA63" s="1333"/>
      <c r="AB63" s="1333"/>
      <c r="AC63" s="1344"/>
      <c r="AD63" s="1333"/>
      <c r="AE63" s="1333"/>
      <c r="AF63" s="1345"/>
      <c r="AG63" s="1333"/>
      <c r="AH63" s="1344"/>
      <c r="AI63" s="1333"/>
      <c r="AJ63" s="1333"/>
      <c r="AK63" s="1333"/>
      <c r="AL63" s="1333"/>
      <c r="AM63" s="1344"/>
      <c r="AN63" s="1333"/>
      <c r="AO63" s="1345"/>
      <c r="AP63" s="1333"/>
      <c r="AQ63" s="1333"/>
      <c r="AR63" s="1344"/>
      <c r="AS63" s="1333" t="s">
        <v>946</v>
      </c>
      <c r="AT63" s="1333" t="s">
        <v>946</v>
      </c>
      <c r="AU63" s="1333" t="s">
        <v>946</v>
      </c>
      <c r="AV63" s="1333" t="s">
        <v>946</v>
      </c>
      <c r="AW63" s="1341">
        <f>AW46/AR46-1</f>
        <v>0.23200518302559114</v>
      </c>
      <c r="AX63" s="1333" t="s">
        <v>946</v>
      </c>
      <c r="AY63" s="1333" t="s">
        <v>946</v>
      </c>
      <c r="AZ63" s="1333" t="s">
        <v>946</v>
      </c>
      <c r="BA63" s="1333">
        <v>2.5000000000000001E-2</v>
      </c>
      <c r="BB63" s="1341">
        <f>BB46/AW46-1</f>
        <v>7.7851746388699627E-3</v>
      </c>
      <c r="BC63" s="1333">
        <v>-0.1</v>
      </c>
      <c r="BD63" s="1349">
        <v>-0.09</v>
      </c>
      <c r="BE63" s="1349">
        <v>-0.1</v>
      </c>
      <c r="BF63" s="1333">
        <v>-0.14000000000000001</v>
      </c>
      <c r="BG63" s="1348">
        <f>AVERAGE(BC63:BF63)</f>
        <v>-0.10750000000000001</v>
      </c>
      <c r="BH63" s="1349">
        <v>-7.0000000000000007E-2</v>
      </c>
      <c r="BI63" s="1349">
        <v>-0.1</v>
      </c>
      <c r="BJ63" s="1349">
        <v>-0.03</v>
      </c>
      <c r="BK63" s="1333">
        <v>-0.08</v>
      </c>
      <c r="BL63" s="1348">
        <f>AVERAGE(BH63:BK63)</f>
        <v>-7.0000000000000007E-2</v>
      </c>
      <c r="BM63" s="1349">
        <v>-0.06</v>
      </c>
      <c r="BN63" s="1349">
        <v>0.08</v>
      </c>
      <c r="BO63" s="1349">
        <v>0.09</v>
      </c>
      <c r="BP63" s="1333">
        <v>0.06</v>
      </c>
      <c r="BQ63" s="1348">
        <f>AVERAGE(BM63:BP63)</f>
        <v>4.2499999999999996E-2</v>
      </c>
      <c r="BR63" s="1343">
        <v>0</v>
      </c>
      <c r="BS63" s="1343">
        <f>-9%*1/4</f>
        <v>-2.2499999999999999E-2</v>
      </c>
      <c r="BT63" s="1343">
        <f>-9%*1/4</f>
        <v>-2.2499999999999999E-2</v>
      </c>
      <c r="BU63" s="1265" t="s">
        <v>946</v>
      </c>
      <c r="BV63" s="1341">
        <v>-0.02</v>
      </c>
      <c r="BW63" s="1266">
        <v>0.05</v>
      </c>
      <c r="BX63" s="1266">
        <v>7.0000000000000007E-2</v>
      </c>
      <c r="BY63" s="1265">
        <v>7.4999999999999997E-2</v>
      </c>
      <c r="BZ63" s="1264">
        <v>0.1</v>
      </c>
      <c r="CA63" s="1342">
        <f>AVERAGE(BW63:BZ63)</f>
        <v>7.375000000000001E-2</v>
      </c>
      <c r="CB63" s="1266">
        <v>0.16</v>
      </c>
      <c r="CC63" s="1243" t="s">
        <v>1002</v>
      </c>
      <c r="CD63" s="1243" t="s">
        <v>958</v>
      </c>
      <c r="CE63" s="1243" t="s">
        <v>1001</v>
      </c>
      <c r="CF63" s="1341">
        <f>CF46/CA46-1</f>
        <v>0.11596157302974008</v>
      </c>
      <c r="CG63" s="1238" t="s">
        <v>958</v>
      </c>
      <c r="CH63" s="1297">
        <v>0.04</v>
      </c>
      <c r="CI63" s="1297">
        <v>0.04</v>
      </c>
      <c r="CJ63" s="1297">
        <v>0.01</v>
      </c>
      <c r="CK63" s="1341">
        <f>CK55</f>
        <v>2.7503690237764999E-2</v>
      </c>
      <c r="CL63" s="2118">
        <v>0.06</v>
      </c>
      <c r="CM63" s="2118">
        <v>0.02</v>
      </c>
      <c r="CN63" s="2118">
        <v>-0.02</v>
      </c>
      <c r="CO63" s="2270">
        <v>-2.5000000000000001E-2</v>
      </c>
      <c r="CP63" s="1341">
        <f>CP55</f>
        <v>1.0382491763273549E-2</v>
      </c>
      <c r="CQ63" s="2118">
        <v>0.02</v>
      </c>
      <c r="CR63" s="2118">
        <v>0.01</v>
      </c>
      <c r="CS63" s="2118">
        <v>0.02</v>
      </c>
      <c r="CT63" s="1238"/>
      <c r="CU63" s="1341">
        <f>CU55</f>
        <v>3.2111042964262371E-3</v>
      </c>
      <c r="CV63" s="1238"/>
      <c r="CW63" s="1238"/>
      <c r="CX63" s="1238"/>
      <c r="CY63" s="1238"/>
      <c r="CZ63" s="1341">
        <f>CZ55</f>
        <v>3.0498764469671924E-2</v>
      </c>
      <c r="DA63" s="1341">
        <f>DA55</f>
        <v>1.5722970243362999E-2</v>
      </c>
      <c r="DB63" s="1341">
        <f>DB55</f>
        <v>1.2791113387353503E-2</v>
      </c>
      <c r="DC63" s="1341">
        <f>DC55</f>
        <v>9.0121337008723934E-3</v>
      </c>
    </row>
    <row r="64" spans="1:110" s="1178" customFormat="1" ht="11.25">
      <c r="A64" s="1191"/>
      <c r="B64" s="1191"/>
      <c r="C64" s="1191"/>
      <c r="D64" s="1191" t="s">
        <v>798</v>
      </c>
      <c r="E64" s="1191"/>
      <c r="F64" s="1191"/>
      <c r="G64" s="1191"/>
      <c r="H64" s="1191"/>
      <c r="I64" s="1191"/>
      <c r="J64" s="1337"/>
      <c r="K64" s="1337"/>
      <c r="L64" s="1337"/>
      <c r="M64" s="1337"/>
      <c r="N64" s="1338"/>
      <c r="O64" s="1337"/>
      <c r="P64" s="1337"/>
      <c r="Q64" s="1337"/>
      <c r="R64" s="1337"/>
      <c r="S64" s="1338"/>
      <c r="T64" s="1337"/>
      <c r="U64" s="1339"/>
      <c r="V64" s="1339"/>
      <c r="W64" s="1337"/>
      <c r="X64" s="1338"/>
      <c r="Y64" s="1337"/>
      <c r="Z64" s="1337"/>
      <c r="AA64" s="1337"/>
      <c r="AB64" s="1337"/>
      <c r="AC64" s="1338"/>
      <c r="AD64" s="1337"/>
      <c r="AE64" s="1337"/>
      <c r="AF64" s="1339"/>
      <c r="AG64" s="1337"/>
      <c r="AH64" s="1338"/>
      <c r="AI64" s="1337"/>
      <c r="AJ64" s="1337"/>
      <c r="AK64" s="1337"/>
      <c r="AL64" s="1337"/>
      <c r="AM64" s="1338"/>
      <c r="AN64" s="1337"/>
      <c r="AO64" s="1339"/>
      <c r="AP64" s="1337"/>
      <c r="AQ64" s="1337"/>
      <c r="AR64" s="1338"/>
      <c r="AS64" s="1337"/>
      <c r="AT64" s="1337"/>
      <c r="AU64" s="1337"/>
      <c r="AV64" s="1337"/>
      <c r="AW64" s="1334"/>
      <c r="AX64" s="1337"/>
      <c r="AY64" s="1337"/>
      <c r="AZ64" s="1337"/>
      <c r="BA64" s="1337"/>
      <c r="BB64" s="1334"/>
      <c r="BC64" s="1337"/>
      <c r="BD64" s="1347"/>
      <c r="BE64" s="1347"/>
      <c r="BF64" s="1337"/>
      <c r="BG64" s="1346"/>
      <c r="BH64" s="1347"/>
      <c r="BI64" s="1347"/>
      <c r="BJ64" s="1347"/>
      <c r="BK64" s="1337"/>
      <c r="BL64" s="1346"/>
      <c r="BM64" s="1347"/>
      <c r="BN64" s="1347"/>
      <c r="BO64" s="1347"/>
      <c r="BP64" s="1337"/>
      <c r="BQ64" s="1346"/>
      <c r="BR64" s="1335"/>
      <c r="BS64" s="1335"/>
      <c r="BT64" s="1335"/>
      <c r="BU64" s="1336"/>
      <c r="BV64" s="1334"/>
      <c r="BW64" s="1254"/>
      <c r="BX64" s="1254"/>
      <c r="BY64" s="1336">
        <v>0.2</v>
      </c>
      <c r="BZ64" s="1264"/>
      <c r="CA64" s="1332"/>
      <c r="CB64" s="1254">
        <v>0.25</v>
      </c>
      <c r="CC64" s="1254">
        <v>0.4</v>
      </c>
      <c r="CD64" s="1240" t="s">
        <v>1000</v>
      </c>
      <c r="CE64" s="1254">
        <v>0.13</v>
      </c>
      <c r="CF64" s="1340">
        <f>CF63+CF14+CF15</f>
        <v>9.8547282738166916E-2</v>
      </c>
      <c r="CG64" s="1229" t="s">
        <v>999</v>
      </c>
      <c r="CH64" s="1263" t="s">
        <v>998</v>
      </c>
      <c r="CI64" s="1229" t="s">
        <v>1336</v>
      </c>
      <c r="CJ64" s="1263">
        <v>0.26</v>
      </c>
      <c r="CK64" s="1338"/>
      <c r="CL64" s="2117">
        <v>0.21</v>
      </c>
      <c r="CM64" s="2117">
        <v>0.04</v>
      </c>
      <c r="CN64" s="2117">
        <v>0.21</v>
      </c>
      <c r="CO64" s="2117">
        <v>0.12</v>
      </c>
      <c r="CP64" s="1338"/>
      <c r="CQ64" s="1229" t="s">
        <v>1455</v>
      </c>
      <c r="CR64" s="2117" t="s">
        <v>1232</v>
      </c>
      <c r="CS64" s="1229" t="s">
        <v>958</v>
      </c>
      <c r="CT64" s="1229"/>
      <c r="CU64" s="1338"/>
      <c r="CV64" s="1229"/>
      <c r="CW64" s="1229"/>
      <c r="CX64" s="1229"/>
      <c r="CY64" s="1229"/>
      <c r="CZ64" s="1338"/>
      <c r="DA64" s="1338"/>
      <c r="DB64" s="1338"/>
      <c r="DC64" s="1338"/>
    </row>
    <row r="65" spans="1:107" s="1178" customFormat="1" ht="11.25">
      <c r="A65" s="1191"/>
      <c r="B65" s="1191"/>
      <c r="C65" s="1191"/>
      <c r="D65" s="1191" t="s">
        <v>564</v>
      </c>
      <c r="E65" s="1191"/>
      <c r="F65" s="1191"/>
      <c r="G65" s="1191"/>
      <c r="H65" s="1191"/>
      <c r="I65" s="1191"/>
      <c r="J65" s="1337"/>
      <c r="K65" s="1337"/>
      <c r="L65" s="1337"/>
      <c r="M65" s="1337"/>
      <c r="N65" s="1338"/>
      <c r="O65" s="1337"/>
      <c r="P65" s="1337"/>
      <c r="Q65" s="1337"/>
      <c r="R65" s="1337"/>
      <c r="S65" s="1338"/>
      <c r="T65" s="1337"/>
      <c r="U65" s="1339"/>
      <c r="V65" s="1339"/>
      <c r="W65" s="1337"/>
      <c r="X65" s="1338"/>
      <c r="Y65" s="1337"/>
      <c r="Z65" s="1337"/>
      <c r="AA65" s="1337"/>
      <c r="AB65" s="1337"/>
      <c r="AC65" s="1338"/>
      <c r="AD65" s="1337"/>
      <c r="AE65" s="1337"/>
      <c r="AF65" s="1339"/>
      <c r="AG65" s="1337"/>
      <c r="AH65" s="1338"/>
      <c r="AI65" s="1337"/>
      <c r="AJ65" s="1337"/>
      <c r="AK65" s="1337"/>
      <c r="AL65" s="1337"/>
      <c r="AM65" s="1338"/>
      <c r="AN65" s="1337"/>
      <c r="AO65" s="1339"/>
      <c r="AP65" s="1337"/>
      <c r="AQ65" s="1337"/>
      <c r="AR65" s="1338"/>
      <c r="AS65" s="1337"/>
      <c r="AT65" s="1337"/>
      <c r="AU65" s="1337"/>
      <c r="AV65" s="1337"/>
      <c r="AW65" s="1334"/>
      <c r="AX65" s="1337"/>
      <c r="AY65" s="1337"/>
      <c r="AZ65" s="1337"/>
      <c r="BA65" s="1337"/>
      <c r="BB65" s="1334"/>
      <c r="BC65" s="1337"/>
      <c r="BD65" s="1347"/>
      <c r="BE65" s="1347"/>
      <c r="BF65" s="1337"/>
      <c r="BG65" s="1346"/>
      <c r="BH65" s="1347"/>
      <c r="BI65" s="1347"/>
      <c r="BJ65" s="1347"/>
      <c r="BK65" s="1337"/>
      <c r="BL65" s="1346"/>
      <c r="BM65" s="1347"/>
      <c r="BN65" s="1347"/>
      <c r="BO65" s="1347"/>
      <c r="BP65" s="1337"/>
      <c r="BQ65" s="1346"/>
      <c r="BR65" s="1335"/>
      <c r="BS65" s="1335"/>
      <c r="BT65" s="1335"/>
      <c r="BU65" s="1336"/>
      <c r="BV65" s="1334"/>
      <c r="BW65" s="1254"/>
      <c r="BX65" s="1254"/>
      <c r="BY65" s="1336" t="s">
        <v>997</v>
      </c>
      <c r="BZ65" s="1264"/>
      <c r="CA65" s="1332"/>
      <c r="CB65" s="1254" t="s">
        <v>996</v>
      </c>
      <c r="CC65" s="1240" t="s">
        <v>995</v>
      </c>
      <c r="CD65" s="1254">
        <v>0.1</v>
      </c>
      <c r="CE65" s="1240" t="s">
        <v>994</v>
      </c>
      <c r="CF65" s="1338"/>
      <c r="CG65" s="1229" t="s">
        <v>949</v>
      </c>
      <c r="CH65" s="1263">
        <v>0</v>
      </c>
      <c r="CI65" s="1263">
        <v>-0.01</v>
      </c>
      <c r="CJ65" s="1263">
        <v>0.01</v>
      </c>
      <c r="CK65" s="1338"/>
      <c r="CL65" s="2117">
        <v>0.06</v>
      </c>
      <c r="CM65" s="2117" t="s">
        <v>1041</v>
      </c>
      <c r="CN65" s="1229" t="s">
        <v>1311</v>
      </c>
      <c r="CO65" s="1229" t="s">
        <v>1311</v>
      </c>
      <c r="CP65" s="1338"/>
      <c r="CQ65" s="2117" t="s">
        <v>1314</v>
      </c>
      <c r="CR65" s="1229" t="s">
        <v>948</v>
      </c>
      <c r="CS65" s="1229" t="s">
        <v>1001</v>
      </c>
      <c r="CT65" s="1229"/>
      <c r="CU65" s="1338"/>
      <c r="CV65" s="1229"/>
      <c r="CW65" s="1229"/>
      <c r="CX65" s="1229"/>
      <c r="CY65" s="1229"/>
      <c r="CZ65" s="1338"/>
      <c r="DA65" s="1338"/>
      <c r="DB65" s="1338"/>
      <c r="DC65" s="1338"/>
    </row>
    <row r="66" spans="1:107" s="1178" customFormat="1" ht="11.25">
      <c r="A66" s="1191"/>
      <c r="B66" s="1191"/>
      <c r="C66" s="1191"/>
      <c r="D66" s="1191" t="s">
        <v>978</v>
      </c>
      <c r="E66" s="1191"/>
      <c r="F66" s="1191"/>
      <c r="G66" s="1191"/>
      <c r="H66" s="1191"/>
      <c r="I66" s="1191"/>
      <c r="J66" s="1337"/>
      <c r="K66" s="1337"/>
      <c r="L66" s="1337"/>
      <c r="M66" s="1337"/>
      <c r="N66" s="1338"/>
      <c r="O66" s="1337"/>
      <c r="P66" s="1337"/>
      <c r="Q66" s="1337"/>
      <c r="R66" s="1337"/>
      <c r="S66" s="1338"/>
      <c r="T66" s="1337"/>
      <c r="U66" s="1339"/>
      <c r="V66" s="1339"/>
      <c r="W66" s="1337"/>
      <c r="X66" s="1338"/>
      <c r="Y66" s="1337"/>
      <c r="Z66" s="1337"/>
      <c r="AA66" s="1337"/>
      <c r="AB66" s="1337"/>
      <c r="AC66" s="1338"/>
      <c r="AD66" s="1337"/>
      <c r="AE66" s="1337"/>
      <c r="AF66" s="1339"/>
      <c r="AG66" s="1337"/>
      <c r="AH66" s="1338"/>
      <c r="AI66" s="1337"/>
      <c r="AJ66" s="1337"/>
      <c r="AK66" s="1337"/>
      <c r="AL66" s="1337"/>
      <c r="AM66" s="1338"/>
      <c r="AN66" s="1337"/>
      <c r="AO66" s="1339"/>
      <c r="AP66" s="1337"/>
      <c r="AQ66" s="1337"/>
      <c r="AR66" s="1338"/>
      <c r="AS66" s="1337"/>
      <c r="AT66" s="1337"/>
      <c r="AU66" s="1337"/>
      <c r="AV66" s="1337"/>
      <c r="AW66" s="1334"/>
      <c r="AX66" s="1337"/>
      <c r="AY66" s="1337"/>
      <c r="AZ66" s="1337"/>
      <c r="BA66" s="1337"/>
      <c r="BB66" s="1334"/>
      <c r="BC66" s="1337"/>
      <c r="BD66" s="1347"/>
      <c r="BE66" s="1347"/>
      <c r="BF66" s="1337"/>
      <c r="BG66" s="1346"/>
      <c r="BH66" s="1347"/>
      <c r="BI66" s="1347"/>
      <c r="BJ66" s="1347"/>
      <c r="BK66" s="1337"/>
      <c r="BL66" s="1346"/>
      <c r="BM66" s="1347"/>
      <c r="BN66" s="1347"/>
      <c r="BO66" s="1347"/>
      <c r="BP66" s="1337"/>
      <c r="BQ66" s="1346"/>
      <c r="BR66" s="1335"/>
      <c r="BS66" s="1335"/>
      <c r="BT66" s="1335"/>
      <c r="BU66" s="1336"/>
      <c r="BV66" s="1334"/>
      <c r="BW66" s="1254"/>
      <c r="BX66" s="1254"/>
      <c r="BY66" s="1336" t="s">
        <v>993</v>
      </c>
      <c r="BZ66" s="1264"/>
      <c r="CA66" s="1332"/>
      <c r="CB66" s="1254" t="s">
        <v>992</v>
      </c>
      <c r="CC66" s="1240" t="s">
        <v>991</v>
      </c>
      <c r="CD66" s="1254">
        <v>0.1</v>
      </c>
      <c r="CE66" s="1240" t="s">
        <v>988</v>
      </c>
      <c r="CF66" s="1338"/>
      <c r="CG66" s="1229" t="s">
        <v>990</v>
      </c>
      <c r="CH66" s="1263"/>
      <c r="CI66" s="1229"/>
      <c r="CJ66" s="1229" t="s">
        <v>994</v>
      </c>
      <c r="CK66" s="1338"/>
      <c r="CL66" s="2117" t="s">
        <v>988</v>
      </c>
      <c r="CM66" s="2224" t="s">
        <v>1411</v>
      </c>
      <c r="CN66" s="1229"/>
      <c r="CO66" s="2269">
        <v>-7.4999999999999997E-2</v>
      </c>
      <c r="CP66" s="1338"/>
      <c r="CQ66" s="1229"/>
      <c r="CR66" s="1229" t="s">
        <v>983</v>
      </c>
      <c r="CS66" s="1229" t="s">
        <v>951</v>
      </c>
      <c r="CT66" s="1229"/>
      <c r="CU66" s="1338"/>
      <c r="CV66" s="1229"/>
      <c r="CW66" s="1229"/>
      <c r="CX66" s="1229"/>
      <c r="CY66" s="1229"/>
      <c r="CZ66" s="1338"/>
      <c r="DA66" s="1338"/>
      <c r="DB66" s="1338"/>
      <c r="DC66" s="1338"/>
    </row>
    <row r="67" spans="1:107" s="1178" customFormat="1" ht="11.25">
      <c r="A67" s="1191"/>
      <c r="B67" s="1191"/>
      <c r="C67" s="1191"/>
      <c r="D67" s="1191" t="s">
        <v>499</v>
      </c>
      <c r="E67" s="1191"/>
      <c r="F67" s="1191"/>
      <c r="G67" s="1191"/>
      <c r="H67" s="1191"/>
      <c r="I67" s="1191"/>
      <c r="J67" s="1337"/>
      <c r="K67" s="1337"/>
      <c r="L67" s="1337"/>
      <c r="M67" s="1337"/>
      <c r="N67" s="1338"/>
      <c r="O67" s="1337"/>
      <c r="P67" s="1337"/>
      <c r="Q67" s="1337"/>
      <c r="R67" s="1337"/>
      <c r="S67" s="1338"/>
      <c r="T67" s="1337"/>
      <c r="U67" s="1339"/>
      <c r="V67" s="1339"/>
      <c r="W67" s="1337"/>
      <c r="X67" s="1338"/>
      <c r="Y67" s="1337"/>
      <c r="Z67" s="1337"/>
      <c r="AA67" s="1337"/>
      <c r="AB67" s="1337"/>
      <c r="AC67" s="1338"/>
      <c r="AD67" s="1337"/>
      <c r="AE67" s="1337"/>
      <c r="AF67" s="1339"/>
      <c r="AG67" s="1337"/>
      <c r="AH67" s="1338"/>
      <c r="AI67" s="1337"/>
      <c r="AJ67" s="1337"/>
      <c r="AK67" s="1337"/>
      <c r="AL67" s="1337"/>
      <c r="AM67" s="1338"/>
      <c r="AN67" s="1337"/>
      <c r="AO67" s="1339"/>
      <c r="AP67" s="1337"/>
      <c r="AQ67" s="1337"/>
      <c r="AR67" s="1338"/>
      <c r="AS67" s="1337"/>
      <c r="AT67" s="1337"/>
      <c r="AU67" s="1337"/>
      <c r="AV67" s="1337"/>
      <c r="AW67" s="1334"/>
      <c r="AX67" s="1337"/>
      <c r="AY67" s="1337"/>
      <c r="AZ67" s="1337"/>
      <c r="BA67" s="1337"/>
      <c r="BB67" s="1334"/>
      <c r="BC67" s="1337"/>
      <c r="BD67" s="1347"/>
      <c r="BE67" s="1347"/>
      <c r="BF67" s="1337"/>
      <c r="BG67" s="1346"/>
      <c r="BH67" s="1347"/>
      <c r="BI67" s="1347"/>
      <c r="BJ67" s="1347"/>
      <c r="BK67" s="1337"/>
      <c r="BL67" s="1346"/>
      <c r="BM67" s="1347"/>
      <c r="BN67" s="1347"/>
      <c r="BO67" s="1347"/>
      <c r="BP67" s="1337"/>
      <c r="BQ67" s="1346"/>
      <c r="BR67" s="1335"/>
      <c r="BS67" s="1335"/>
      <c r="BT67" s="1335"/>
      <c r="BU67" s="1336"/>
      <c r="BV67" s="1334"/>
      <c r="BW67" s="1254"/>
      <c r="BX67" s="1254"/>
      <c r="BY67" s="1336" t="s">
        <v>989</v>
      </c>
      <c r="BZ67" s="1264"/>
      <c r="CA67" s="1332"/>
      <c r="CB67" s="1254">
        <v>0.16</v>
      </c>
      <c r="CC67" s="1254">
        <v>0.15</v>
      </c>
      <c r="CD67" s="1254">
        <v>0.12</v>
      </c>
      <c r="CE67" s="1240" t="s">
        <v>988</v>
      </c>
      <c r="CF67" s="1338">
        <f>CF53</f>
        <v>0.13548387096774173</v>
      </c>
      <c r="CG67" s="1229" t="s">
        <v>958</v>
      </c>
      <c r="CH67" s="1263">
        <v>-0.04</v>
      </c>
      <c r="CI67" s="1263">
        <v>-0.09</v>
      </c>
      <c r="CJ67" s="1263">
        <v>-7.0000000000000007E-2</v>
      </c>
      <c r="CK67" s="1341">
        <f>CK53</f>
        <v>-4.2230186363636624E-2</v>
      </c>
      <c r="CL67" s="2117">
        <v>-0.06</v>
      </c>
      <c r="CM67" s="2117">
        <v>-0.09</v>
      </c>
      <c r="CN67" s="2117">
        <v>-0.13</v>
      </c>
      <c r="CO67" s="2269"/>
      <c r="CP67" s="1341">
        <f>CP53</f>
        <v>-0.11</v>
      </c>
      <c r="CQ67" s="1229" t="s">
        <v>1229</v>
      </c>
      <c r="CR67" s="2117">
        <v>-0.12</v>
      </c>
      <c r="CS67" s="2117">
        <v>-0.1</v>
      </c>
      <c r="CT67" s="1229"/>
      <c r="CU67" s="1341">
        <f>CU53</f>
        <v>-0.11</v>
      </c>
      <c r="CV67" s="1229"/>
      <c r="CW67" s="1229"/>
      <c r="CX67" s="1229"/>
      <c r="CY67" s="1229"/>
      <c r="CZ67" s="1341">
        <f>CZ53</f>
        <v>-0.05</v>
      </c>
      <c r="DA67" s="1341">
        <f>DA53</f>
        <v>-0.04</v>
      </c>
      <c r="DB67" s="1341">
        <f>DB53</f>
        <v>-0.03</v>
      </c>
      <c r="DC67" s="1341">
        <f>DC53</f>
        <v>-1.9999999999999997E-2</v>
      </c>
    </row>
    <row r="68" spans="1:107" s="1178" customFormat="1" ht="11.25">
      <c r="A68" s="1191"/>
      <c r="B68" s="1191"/>
      <c r="C68" s="1191"/>
      <c r="D68" s="1191"/>
      <c r="E68" s="1191"/>
      <c r="F68" s="1191"/>
      <c r="G68" s="1191"/>
      <c r="H68" s="1191"/>
      <c r="I68" s="1191"/>
      <c r="J68" s="1337"/>
      <c r="K68" s="1337"/>
      <c r="L68" s="1337"/>
      <c r="M68" s="1337"/>
      <c r="N68" s="1338"/>
      <c r="O68" s="1337"/>
      <c r="P68" s="1337"/>
      <c r="Q68" s="1337"/>
      <c r="R68" s="1337"/>
      <c r="S68" s="1338"/>
      <c r="T68" s="1337"/>
      <c r="U68" s="1339"/>
      <c r="V68" s="1339"/>
      <c r="W68" s="1337"/>
      <c r="X68" s="1338"/>
      <c r="Y68" s="1337"/>
      <c r="Z68" s="1337"/>
      <c r="AA68" s="1337"/>
      <c r="AB68" s="1337"/>
      <c r="AC68" s="1338"/>
      <c r="AD68" s="1337"/>
      <c r="AE68" s="1337"/>
      <c r="AF68" s="1339"/>
      <c r="AG68" s="1337"/>
      <c r="AH68" s="1338"/>
      <c r="AI68" s="1337"/>
      <c r="AJ68" s="1337"/>
      <c r="AK68" s="1337"/>
      <c r="AL68" s="1337"/>
      <c r="AM68" s="1338"/>
      <c r="AN68" s="1337"/>
      <c r="AO68" s="1339"/>
      <c r="AP68" s="1337"/>
      <c r="AQ68" s="1337"/>
      <c r="AR68" s="1338"/>
      <c r="AS68" s="1337"/>
      <c r="AT68" s="1337"/>
      <c r="AU68" s="1337"/>
      <c r="AV68" s="1337"/>
      <c r="AW68" s="1334"/>
      <c r="AX68" s="1337"/>
      <c r="AY68" s="1337"/>
      <c r="AZ68" s="1337"/>
      <c r="BA68" s="1337"/>
      <c r="BB68" s="1334"/>
      <c r="BC68" s="1337"/>
      <c r="BD68" s="1347"/>
      <c r="BE68" s="1347"/>
      <c r="BF68" s="1337"/>
      <c r="BG68" s="1346"/>
      <c r="BH68" s="1347"/>
      <c r="BI68" s="1347"/>
      <c r="BJ68" s="1347"/>
      <c r="BK68" s="1337"/>
      <c r="BL68" s="1346"/>
      <c r="BM68" s="1347"/>
      <c r="BN68" s="1347"/>
      <c r="BO68" s="1347"/>
      <c r="BP68" s="1337"/>
      <c r="BQ68" s="1346"/>
      <c r="BR68" s="1335"/>
      <c r="BS68" s="1335"/>
      <c r="BT68" s="1335"/>
      <c r="BU68" s="1336"/>
      <c r="BV68" s="1334"/>
      <c r="BW68" s="1254"/>
      <c r="BX68" s="1254"/>
      <c r="BY68" s="1336"/>
      <c r="BZ68" s="1264"/>
      <c r="CA68" s="1332"/>
      <c r="CB68" s="1254"/>
      <c r="CC68" s="1254"/>
      <c r="CD68" s="1254"/>
      <c r="CE68" s="1240"/>
      <c r="CF68" s="1338"/>
      <c r="CG68" s="1229"/>
      <c r="CH68" s="1263"/>
      <c r="CI68" s="1229"/>
      <c r="CJ68" s="1229"/>
      <c r="CK68" s="1334"/>
      <c r="CL68" s="1229"/>
      <c r="CM68" s="1229"/>
      <c r="CN68" s="1229"/>
      <c r="CO68" s="1229"/>
      <c r="CP68" s="1338"/>
      <c r="CQ68" s="1229"/>
      <c r="CR68" s="1229"/>
      <c r="CS68" s="1229"/>
      <c r="CT68" s="1229"/>
      <c r="CU68" s="1338"/>
      <c r="CV68" s="1229"/>
      <c r="CW68" s="1229"/>
      <c r="CX68" s="1229"/>
      <c r="CY68" s="1229"/>
      <c r="CZ68" s="1338"/>
      <c r="DA68" s="1338"/>
      <c r="DB68" s="1338"/>
      <c r="DC68" s="1338"/>
    </row>
    <row r="69" spans="1:107" s="1178" customFormat="1" ht="11.25">
      <c r="A69" s="1182"/>
      <c r="B69" s="1182"/>
      <c r="C69" s="1182" t="s">
        <v>987</v>
      </c>
      <c r="D69" s="1182"/>
      <c r="E69" s="1182"/>
      <c r="F69" s="1182"/>
      <c r="G69" s="1182"/>
      <c r="H69" s="1182"/>
      <c r="I69" s="1182"/>
      <c r="J69" s="1333" t="s">
        <v>946</v>
      </c>
      <c r="K69" s="1333" t="s">
        <v>946</v>
      </c>
      <c r="L69" s="1333" t="s">
        <v>946</v>
      </c>
      <c r="M69" s="1333" t="s">
        <v>946</v>
      </c>
      <c r="N69" s="1344"/>
      <c r="O69" s="1333"/>
      <c r="P69" s="1333"/>
      <c r="Q69" s="1333"/>
      <c r="R69" s="1333"/>
      <c r="S69" s="1344"/>
      <c r="T69" s="1333"/>
      <c r="U69" s="1345"/>
      <c r="V69" s="1333"/>
      <c r="W69" s="1333"/>
      <c r="X69" s="1344"/>
      <c r="Y69" s="1333"/>
      <c r="Z69" s="1333"/>
      <c r="AA69" s="1333"/>
      <c r="AB69" s="1333"/>
      <c r="AC69" s="1344"/>
      <c r="AD69" s="1333"/>
      <c r="AE69" s="1333"/>
      <c r="AF69" s="1333"/>
      <c r="AG69" s="1333"/>
      <c r="AH69" s="1344"/>
      <c r="AI69" s="1333"/>
      <c r="AJ69" s="1333"/>
      <c r="AK69" s="1333"/>
      <c r="AL69" s="1333"/>
      <c r="AM69" s="1344"/>
      <c r="AN69" s="1333"/>
      <c r="AO69" s="1333"/>
      <c r="AP69" s="1333"/>
      <c r="AQ69" s="1333"/>
      <c r="AR69" s="1341"/>
      <c r="AS69" s="1333" t="s">
        <v>946</v>
      </c>
      <c r="AT69" s="1333" t="s">
        <v>946</v>
      </c>
      <c r="AU69" s="1333" t="s">
        <v>946</v>
      </c>
      <c r="AV69" s="1333" t="s">
        <v>946</v>
      </c>
      <c r="AW69" s="1341">
        <f>AW49/AR49-1</f>
        <v>9.2004594045410393E-2</v>
      </c>
      <c r="AX69" s="1333" t="s">
        <v>946</v>
      </c>
      <c r="AY69" s="1333" t="s">
        <v>946</v>
      </c>
      <c r="AZ69" s="1333" t="s">
        <v>946</v>
      </c>
      <c r="BA69" s="1333">
        <v>6.5000000000000002E-2</v>
      </c>
      <c r="BB69" s="1341">
        <f>BB49/AW49-1</f>
        <v>0.16497639812953868</v>
      </c>
      <c r="BC69" s="1333" t="s">
        <v>946</v>
      </c>
      <c r="BD69" s="1333" t="s">
        <v>946</v>
      </c>
      <c r="BE69" s="1333" t="s">
        <v>946</v>
      </c>
      <c r="BF69" s="1333">
        <v>0</v>
      </c>
      <c r="BG69" s="1341">
        <f>BG49/BB49-1</f>
        <v>-8.4441332171288686E-2</v>
      </c>
      <c r="BH69" s="1333" t="s">
        <v>946</v>
      </c>
      <c r="BI69" s="1333">
        <f>1/4*9%</f>
        <v>2.2499999999999999E-2</v>
      </c>
      <c r="BJ69" s="1333" t="s">
        <v>946</v>
      </c>
      <c r="BK69" s="1333" t="s">
        <v>946</v>
      </c>
      <c r="BL69" s="1341">
        <f>BL49/BG49-1</f>
        <v>3.2643765797530477E-2</v>
      </c>
      <c r="BM69" s="1333" t="s">
        <v>946</v>
      </c>
      <c r="BN69" s="1333" t="s">
        <v>946</v>
      </c>
      <c r="BO69" s="1333" t="s">
        <v>946</v>
      </c>
      <c r="BP69" s="1333" t="s">
        <v>946</v>
      </c>
      <c r="BQ69" s="1341">
        <f>BQ49/BL49-1</f>
        <v>9.6252311501439314E-2</v>
      </c>
      <c r="BR69" s="1265" t="s">
        <v>946</v>
      </c>
      <c r="BS69" s="1265" t="s">
        <v>946</v>
      </c>
      <c r="BT69" s="1265" t="s">
        <v>946</v>
      </c>
      <c r="BU69" s="1343">
        <f>9%*1/4</f>
        <v>2.2499999999999999E-2</v>
      </c>
      <c r="BV69" s="1341">
        <f>BV49/BQ49-1</f>
        <v>-3.7723995604513449E-2</v>
      </c>
      <c r="BW69" s="1266">
        <v>0.01</v>
      </c>
      <c r="BX69" s="1266">
        <v>2.5000000000000001E-2</v>
      </c>
      <c r="BY69" s="1266">
        <v>0.03</v>
      </c>
      <c r="BZ69" s="1333">
        <v>0.01</v>
      </c>
      <c r="CA69" s="1342">
        <f>AVERAGE(BW69:BZ69)</f>
        <v>1.8749999999999999E-2</v>
      </c>
      <c r="CB69" s="1243" t="s">
        <v>986</v>
      </c>
      <c r="CC69" s="1234" t="s">
        <v>986</v>
      </c>
      <c r="CD69" s="1238" t="s">
        <v>983</v>
      </c>
      <c r="CE69" s="1243" t="s">
        <v>985</v>
      </c>
      <c r="CF69" s="1299">
        <f>CF49/CA49-1</f>
        <v>-2.3954346965194384E-2</v>
      </c>
      <c r="CG69" s="1238"/>
      <c r="CH69" s="1297">
        <v>0</v>
      </c>
      <c r="CI69" s="1297">
        <v>0</v>
      </c>
      <c r="CJ69" s="1948">
        <v>0</v>
      </c>
      <c r="CK69" s="1341">
        <f>CK58</f>
        <v>-4.8695034528744019E-3</v>
      </c>
      <c r="CL69" s="2118">
        <v>1.4999999999999999E-2</v>
      </c>
      <c r="CM69" s="2118">
        <v>0.03</v>
      </c>
      <c r="CN69" s="2118">
        <v>0.03</v>
      </c>
      <c r="CO69" s="2270">
        <v>0.03</v>
      </c>
      <c r="CP69" s="1341">
        <f>CP58</f>
        <v>2.1032459639825474E-2</v>
      </c>
      <c r="CQ69" s="2118">
        <v>0.06</v>
      </c>
      <c r="CR69" s="2118">
        <v>0.05</v>
      </c>
      <c r="CS69" s="2118">
        <v>0.05</v>
      </c>
      <c r="CT69" s="1238"/>
      <c r="CU69" s="1341">
        <f>CU58</f>
        <v>2.1061751378794735E-2</v>
      </c>
      <c r="CV69" s="1238"/>
      <c r="CW69" s="1238"/>
      <c r="CX69" s="1238"/>
      <c r="CY69" s="1238"/>
      <c r="CZ69" s="1341">
        <f>CZ58</f>
        <v>2.2183685651193885E-2</v>
      </c>
      <c r="DA69" s="1341">
        <f>DA58</f>
        <v>2.3076264454089834E-2</v>
      </c>
      <c r="DB69" s="1341">
        <f>DB58</f>
        <v>2.3307564662644609E-2</v>
      </c>
      <c r="DC69" s="1341">
        <f>DC58</f>
        <v>2.355545219692412E-2</v>
      </c>
    </row>
    <row r="70" spans="1:107" s="1178" customFormat="1" ht="11.25">
      <c r="A70" s="1191"/>
      <c r="B70" s="1191"/>
      <c r="C70" s="1191"/>
      <c r="D70" s="1191" t="s">
        <v>798</v>
      </c>
      <c r="E70" s="1191"/>
      <c r="F70" s="1191"/>
      <c r="G70" s="1191"/>
      <c r="H70" s="1191"/>
      <c r="I70" s="1191"/>
      <c r="J70" s="1337"/>
      <c r="K70" s="1337"/>
      <c r="L70" s="1337"/>
      <c r="M70" s="1337"/>
      <c r="N70" s="1338"/>
      <c r="O70" s="1337"/>
      <c r="P70" s="1337"/>
      <c r="Q70" s="1337"/>
      <c r="R70" s="1337"/>
      <c r="S70" s="1338"/>
      <c r="T70" s="1337"/>
      <c r="U70" s="1339"/>
      <c r="V70" s="1337"/>
      <c r="W70" s="1337"/>
      <c r="X70" s="1338"/>
      <c r="Y70" s="1337"/>
      <c r="Z70" s="1337"/>
      <c r="AA70" s="1337"/>
      <c r="AB70" s="1337"/>
      <c r="AC70" s="1338"/>
      <c r="AD70" s="1337"/>
      <c r="AE70" s="1337"/>
      <c r="AF70" s="1337"/>
      <c r="AG70" s="1337"/>
      <c r="AH70" s="1338"/>
      <c r="AI70" s="1337"/>
      <c r="AJ70" s="1337"/>
      <c r="AK70" s="1337"/>
      <c r="AL70" s="1337"/>
      <c r="AM70" s="1338"/>
      <c r="AN70" s="1337"/>
      <c r="AO70" s="1337"/>
      <c r="AP70" s="1337"/>
      <c r="AQ70" s="1337"/>
      <c r="AR70" s="1334"/>
      <c r="AS70" s="1337"/>
      <c r="AT70" s="1337"/>
      <c r="AU70" s="1337"/>
      <c r="AV70" s="1337"/>
      <c r="AW70" s="1334"/>
      <c r="AX70" s="1337"/>
      <c r="AY70" s="1337"/>
      <c r="AZ70" s="1337"/>
      <c r="BA70" s="1337"/>
      <c r="BB70" s="1334"/>
      <c r="BC70" s="1337"/>
      <c r="BD70" s="1337"/>
      <c r="BE70" s="1337"/>
      <c r="BF70" s="1337"/>
      <c r="BG70" s="1334"/>
      <c r="BH70" s="1337"/>
      <c r="BI70" s="1337"/>
      <c r="BJ70" s="1337"/>
      <c r="BK70" s="1337"/>
      <c r="BL70" s="1334"/>
      <c r="BM70" s="1337"/>
      <c r="BN70" s="1337"/>
      <c r="BO70" s="1337"/>
      <c r="BP70" s="1337"/>
      <c r="BQ70" s="1334"/>
      <c r="BR70" s="1336"/>
      <c r="BS70" s="1336"/>
      <c r="BT70" s="1336"/>
      <c r="BU70" s="1335"/>
      <c r="BV70" s="1334"/>
      <c r="BW70" s="1254"/>
      <c r="BX70" s="1254"/>
      <c r="BY70" s="1254"/>
      <c r="BZ70" s="1333"/>
      <c r="CA70" s="1332"/>
      <c r="CB70" s="1240" t="s">
        <v>983</v>
      </c>
      <c r="CC70" s="1178" t="s">
        <v>984</v>
      </c>
      <c r="CD70" s="1240" t="s">
        <v>948</v>
      </c>
      <c r="CE70" s="1240" t="s">
        <v>948</v>
      </c>
      <c r="CF70" s="1340"/>
      <c r="CG70" s="1229" t="s">
        <v>983</v>
      </c>
      <c r="CH70" s="1263">
        <v>0</v>
      </c>
      <c r="CI70" s="1229" t="s">
        <v>997</v>
      </c>
      <c r="CJ70" s="1229" t="s">
        <v>994</v>
      </c>
      <c r="CK70" s="1338"/>
      <c r="CL70" s="1229" t="s">
        <v>994</v>
      </c>
      <c r="CM70" s="1229" t="s">
        <v>994</v>
      </c>
      <c r="CN70" s="1229" t="s">
        <v>948</v>
      </c>
      <c r="CO70" s="2117">
        <v>0.01</v>
      </c>
      <c r="CP70" s="1338"/>
      <c r="CQ70" s="1229" t="s">
        <v>1187</v>
      </c>
      <c r="CR70" s="2117">
        <v>0.06</v>
      </c>
      <c r="CS70" s="1229" t="s">
        <v>948</v>
      </c>
      <c r="CT70" s="1229"/>
      <c r="CU70" s="1338"/>
      <c r="CV70" s="1229"/>
      <c r="CW70" s="1229"/>
      <c r="CX70" s="1229"/>
      <c r="CY70" s="1229"/>
      <c r="CZ70" s="1338"/>
      <c r="DA70" s="1338"/>
      <c r="DB70" s="1338"/>
      <c r="DC70" s="1338"/>
    </row>
    <row r="71" spans="1:107" s="1178" customFormat="1" ht="11.25">
      <c r="A71" s="1191"/>
      <c r="B71" s="1191"/>
      <c r="C71" s="1191"/>
      <c r="D71" s="1191" t="s">
        <v>564</v>
      </c>
      <c r="E71" s="1191"/>
      <c r="F71" s="1191"/>
      <c r="G71" s="1191"/>
      <c r="H71" s="1191"/>
      <c r="I71" s="1191"/>
      <c r="J71" s="1337"/>
      <c r="K71" s="1337"/>
      <c r="L71" s="1337"/>
      <c r="M71" s="1337"/>
      <c r="N71" s="1338"/>
      <c r="O71" s="1337"/>
      <c r="P71" s="1337"/>
      <c r="Q71" s="1337"/>
      <c r="R71" s="1337"/>
      <c r="S71" s="1338"/>
      <c r="T71" s="1337"/>
      <c r="U71" s="1339"/>
      <c r="V71" s="1337"/>
      <c r="W71" s="1337"/>
      <c r="X71" s="1338"/>
      <c r="Y71" s="1337"/>
      <c r="Z71" s="1337"/>
      <c r="AA71" s="1337"/>
      <c r="AB71" s="1337"/>
      <c r="AC71" s="1338"/>
      <c r="AD71" s="1337"/>
      <c r="AE71" s="1337"/>
      <c r="AF71" s="1337"/>
      <c r="AG71" s="1337"/>
      <c r="AH71" s="1338"/>
      <c r="AI71" s="1337"/>
      <c r="AJ71" s="1337"/>
      <c r="AK71" s="1337"/>
      <c r="AL71" s="1337"/>
      <c r="AM71" s="1338"/>
      <c r="AN71" s="1337"/>
      <c r="AO71" s="1337"/>
      <c r="AP71" s="1337"/>
      <c r="AQ71" s="1337"/>
      <c r="AR71" s="1334"/>
      <c r="AS71" s="1337"/>
      <c r="AT71" s="1337"/>
      <c r="AU71" s="1337"/>
      <c r="AV71" s="1337"/>
      <c r="AW71" s="1334"/>
      <c r="AX71" s="1337"/>
      <c r="AY71" s="1337"/>
      <c r="AZ71" s="1337"/>
      <c r="BA71" s="1337"/>
      <c r="BB71" s="1334"/>
      <c r="BC71" s="1337"/>
      <c r="BD71" s="1337"/>
      <c r="BE71" s="1337"/>
      <c r="BF71" s="1337"/>
      <c r="BG71" s="1334"/>
      <c r="BH71" s="1337"/>
      <c r="BI71" s="1337"/>
      <c r="BJ71" s="1337"/>
      <c r="BK71" s="1337"/>
      <c r="BL71" s="1334"/>
      <c r="BM71" s="1337"/>
      <c r="BN71" s="1337"/>
      <c r="BO71" s="1337"/>
      <c r="BP71" s="1337"/>
      <c r="BQ71" s="1334"/>
      <c r="BR71" s="1336"/>
      <c r="BS71" s="1336"/>
      <c r="BT71" s="1336"/>
      <c r="BU71" s="1335"/>
      <c r="BV71" s="1334"/>
      <c r="BW71" s="1254"/>
      <c r="BX71" s="1254"/>
      <c r="BY71" s="1254"/>
      <c r="BZ71" s="1333"/>
      <c r="CA71" s="1332"/>
      <c r="CB71" s="1240" t="s">
        <v>950</v>
      </c>
      <c r="CC71" s="1178" t="s">
        <v>949</v>
      </c>
      <c r="CD71" s="1240" t="s">
        <v>956</v>
      </c>
      <c r="CE71" s="1240" t="s">
        <v>956</v>
      </c>
      <c r="CF71" s="1338"/>
      <c r="CG71" s="1229" t="s">
        <v>949</v>
      </c>
      <c r="CH71" s="1263">
        <v>-0.04</v>
      </c>
      <c r="CI71" s="1229" t="s">
        <v>956</v>
      </c>
      <c r="CJ71" s="1263">
        <v>-0.05</v>
      </c>
      <c r="CK71" s="1338"/>
      <c r="CL71" s="1263">
        <v>-0.01</v>
      </c>
      <c r="CM71" s="1229" t="s">
        <v>1311</v>
      </c>
      <c r="CN71" s="1229" t="s">
        <v>1311</v>
      </c>
      <c r="CO71" s="1229" t="s">
        <v>1311</v>
      </c>
      <c r="CP71" s="1338"/>
      <c r="CQ71" s="1229" t="s">
        <v>1000</v>
      </c>
      <c r="CR71" s="2117">
        <v>0</v>
      </c>
      <c r="CS71" s="2117">
        <v>0</v>
      </c>
      <c r="CT71" s="1229"/>
      <c r="CU71" s="1338"/>
      <c r="CV71" s="1229"/>
      <c r="CW71" s="1229"/>
      <c r="CX71" s="1229"/>
      <c r="CY71" s="1229"/>
      <c r="CZ71" s="1338"/>
      <c r="DA71" s="1338"/>
      <c r="DB71" s="1338"/>
      <c r="DC71" s="1338"/>
    </row>
    <row r="72" spans="1:107" s="1178" customFormat="1" ht="11.25">
      <c r="A72" s="1191"/>
      <c r="B72" s="1191"/>
      <c r="C72" s="1191"/>
      <c r="D72" s="1191" t="s">
        <v>499</v>
      </c>
      <c r="E72" s="1191"/>
      <c r="F72" s="1191"/>
      <c r="G72" s="1191"/>
      <c r="H72" s="1191"/>
      <c r="I72" s="1191"/>
      <c r="J72" s="1337"/>
      <c r="K72" s="1337"/>
      <c r="L72" s="1337"/>
      <c r="M72" s="1337"/>
      <c r="N72" s="1338"/>
      <c r="O72" s="1337"/>
      <c r="P72" s="1337"/>
      <c r="Q72" s="1337"/>
      <c r="R72" s="1337"/>
      <c r="S72" s="1338"/>
      <c r="T72" s="1337"/>
      <c r="U72" s="1339"/>
      <c r="V72" s="1337"/>
      <c r="W72" s="1337"/>
      <c r="X72" s="1338"/>
      <c r="Y72" s="1337"/>
      <c r="Z72" s="1337"/>
      <c r="AA72" s="1337"/>
      <c r="AB72" s="1337"/>
      <c r="AC72" s="1338"/>
      <c r="AD72" s="1337"/>
      <c r="AE72" s="1337"/>
      <c r="AF72" s="1337"/>
      <c r="AG72" s="1337"/>
      <c r="AH72" s="1338"/>
      <c r="AI72" s="1337"/>
      <c r="AJ72" s="1337"/>
      <c r="AK72" s="1337"/>
      <c r="AL72" s="1337"/>
      <c r="AM72" s="1338"/>
      <c r="AN72" s="1337"/>
      <c r="AO72" s="1337"/>
      <c r="AP72" s="1337"/>
      <c r="AQ72" s="1337"/>
      <c r="AR72" s="1334"/>
      <c r="AS72" s="1337"/>
      <c r="AT72" s="1337"/>
      <c r="AU72" s="1337"/>
      <c r="AV72" s="1337"/>
      <c r="AW72" s="1334"/>
      <c r="AX72" s="1337"/>
      <c r="AY72" s="1337"/>
      <c r="AZ72" s="1337"/>
      <c r="BA72" s="1337"/>
      <c r="BB72" s="1334"/>
      <c r="BC72" s="1337"/>
      <c r="BD72" s="1337"/>
      <c r="BE72" s="1337"/>
      <c r="BF72" s="1337"/>
      <c r="BG72" s="1334"/>
      <c r="BH72" s="1337"/>
      <c r="BI72" s="1337"/>
      <c r="BJ72" s="1337"/>
      <c r="BK72" s="1337"/>
      <c r="BL72" s="1334"/>
      <c r="BM72" s="1337"/>
      <c r="BN72" s="1337"/>
      <c r="BO72" s="1337"/>
      <c r="BP72" s="1337"/>
      <c r="BQ72" s="1334"/>
      <c r="BR72" s="1336"/>
      <c r="BS72" s="1336"/>
      <c r="BT72" s="1336"/>
      <c r="BU72" s="1335"/>
      <c r="BV72" s="1334"/>
      <c r="BW72" s="1254"/>
      <c r="BX72" s="1254"/>
      <c r="BY72" s="1254"/>
      <c r="BZ72" s="1333"/>
      <c r="CA72" s="1332"/>
      <c r="CB72" s="1240" t="s">
        <v>982</v>
      </c>
      <c r="CC72" s="1178" t="s">
        <v>981</v>
      </c>
      <c r="CD72" s="1229" t="s">
        <v>980</v>
      </c>
      <c r="CE72" s="1240" t="s">
        <v>979</v>
      </c>
      <c r="CF72" s="1338"/>
      <c r="CG72" s="1229" t="s">
        <v>958</v>
      </c>
      <c r="CH72" s="1263" t="s">
        <v>948</v>
      </c>
      <c r="CI72" s="1229" t="s">
        <v>1041</v>
      </c>
      <c r="CJ72" s="1229" t="s">
        <v>994</v>
      </c>
      <c r="CK72" s="1338"/>
      <c r="CL72" s="1229" t="s">
        <v>994</v>
      </c>
      <c r="CM72" s="1229"/>
      <c r="CN72" s="1229"/>
      <c r="CO72" s="1229"/>
      <c r="CP72" s="1338"/>
      <c r="CQ72" s="1229" t="s">
        <v>1456</v>
      </c>
      <c r="CR72" s="1229" t="s">
        <v>958</v>
      </c>
      <c r="CS72" s="1229" t="s">
        <v>1469</v>
      </c>
      <c r="CT72" s="1229"/>
      <c r="CU72" s="1338"/>
      <c r="CV72" s="1229"/>
      <c r="CW72" s="1229"/>
      <c r="CX72" s="1229"/>
      <c r="CY72" s="1229"/>
      <c r="CZ72" s="1338"/>
      <c r="DA72" s="1338"/>
      <c r="DB72" s="1338"/>
      <c r="DC72" s="1338"/>
    </row>
    <row r="73" spans="1:107" s="1178" customFormat="1" ht="11.25">
      <c r="A73" s="1191"/>
      <c r="B73" s="1191"/>
      <c r="C73" s="1191"/>
      <c r="D73" s="1191" t="s">
        <v>978</v>
      </c>
      <c r="E73" s="1191"/>
      <c r="F73" s="1191"/>
      <c r="G73" s="1191"/>
      <c r="H73" s="1191"/>
      <c r="I73" s="1191"/>
      <c r="J73" s="1337"/>
      <c r="K73" s="1337"/>
      <c r="L73" s="1337"/>
      <c r="M73" s="1337"/>
      <c r="N73" s="1338"/>
      <c r="O73" s="1337"/>
      <c r="P73" s="1337"/>
      <c r="Q73" s="1337"/>
      <c r="R73" s="1337"/>
      <c r="S73" s="1338"/>
      <c r="T73" s="1337"/>
      <c r="U73" s="1339"/>
      <c r="V73" s="1337"/>
      <c r="W73" s="1337"/>
      <c r="X73" s="1338"/>
      <c r="Y73" s="1337"/>
      <c r="Z73" s="1337"/>
      <c r="AA73" s="1337"/>
      <c r="AB73" s="1337"/>
      <c r="AC73" s="1338"/>
      <c r="AD73" s="1337"/>
      <c r="AE73" s="1337"/>
      <c r="AF73" s="1337"/>
      <c r="AG73" s="1337"/>
      <c r="AH73" s="1338"/>
      <c r="AI73" s="1337"/>
      <c r="AJ73" s="1337"/>
      <c r="AK73" s="1337"/>
      <c r="AL73" s="1337"/>
      <c r="AM73" s="1338"/>
      <c r="AN73" s="1337"/>
      <c r="AO73" s="1337"/>
      <c r="AP73" s="1337"/>
      <c r="AQ73" s="1337"/>
      <c r="AR73" s="1334"/>
      <c r="AS73" s="1337"/>
      <c r="AT73" s="1337"/>
      <c r="AU73" s="1337"/>
      <c r="AV73" s="1337"/>
      <c r="AW73" s="1334"/>
      <c r="AX73" s="1337"/>
      <c r="AY73" s="1337"/>
      <c r="AZ73" s="1337"/>
      <c r="BA73" s="1337"/>
      <c r="BB73" s="1334"/>
      <c r="BC73" s="1337"/>
      <c r="BD73" s="1337"/>
      <c r="BE73" s="1337"/>
      <c r="BF73" s="1337"/>
      <c r="BG73" s="1334"/>
      <c r="BH73" s="1337"/>
      <c r="BI73" s="1337"/>
      <c r="BJ73" s="1337"/>
      <c r="BK73" s="1337"/>
      <c r="BL73" s="1334"/>
      <c r="BM73" s="1337"/>
      <c r="BN73" s="1337"/>
      <c r="BO73" s="1337"/>
      <c r="BP73" s="1337"/>
      <c r="BQ73" s="1334"/>
      <c r="BR73" s="1336"/>
      <c r="BS73" s="1336"/>
      <c r="BT73" s="1336"/>
      <c r="BU73" s="1335"/>
      <c r="BV73" s="1334"/>
      <c r="BW73" s="1254"/>
      <c r="BX73" s="1254"/>
      <c r="BY73" s="1254"/>
      <c r="BZ73" s="1333"/>
      <c r="CA73" s="1332"/>
      <c r="CB73" s="1240" t="s">
        <v>948</v>
      </c>
      <c r="CC73" s="1178" t="s">
        <v>948</v>
      </c>
      <c r="CD73" s="1229" t="s">
        <v>948</v>
      </c>
      <c r="CE73" s="1240" t="s">
        <v>958</v>
      </c>
      <c r="CF73" s="1338"/>
      <c r="CG73" s="1229"/>
      <c r="CH73" s="1229"/>
      <c r="CI73" s="1229"/>
      <c r="CJ73" s="1229"/>
      <c r="CK73" s="1338"/>
      <c r="CL73" s="1229"/>
      <c r="CM73" s="1229" t="s">
        <v>1041</v>
      </c>
      <c r="CN73" s="1229" t="s">
        <v>948</v>
      </c>
      <c r="CO73" s="2269">
        <v>0.125</v>
      </c>
      <c r="CP73" s="1338"/>
      <c r="CQ73" s="1229"/>
      <c r="CR73" s="1229"/>
      <c r="CS73" s="1229"/>
      <c r="CT73" s="1229"/>
      <c r="CU73" s="1338"/>
      <c r="CV73" s="1229"/>
      <c r="CW73" s="1229"/>
      <c r="CX73" s="1229"/>
      <c r="CY73" s="1229"/>
      <c r="CZ73" s="1338"/>
      <c r="DA73" s="1338"/>
      <c r="DB73" s="1338"/>
      <c r="DC73" s="1338"/>
    </row>
    <row r="74" spans="1:107" s="1178" customFormat="1" ht="11.25">
      <c r="A74" s="1191"/>
      <c r="B74" s="1191"/>
      <c r="C74" s="1191"/>
      <c r="D74" s="1191"/>
      <c r="E74" s="1191"/>
      <c r="F74" s="1191"/>
      <c r="G74" s="1191"/>
      <c r="H74" s="1191"/>
      <c r="I74" s="1191"/>
      <c r="J74" s="1337"/>
      <c r="K74" s="1337"/>
      <c r="L74" s="1337"/>
      <c r="M74" s="1337"/>
      <c r="N74" s="1338"/>
      <c r="O74" s="1337"/>
      <c r="P74" s="1337"/>
      <c r="Q74" s="1337"/>
      <c r="R74" s="1337"/>
      <c r="S74" s="1338"/>
      <c r="T74" s="1337"/>
      <c r="U74" s="1339"/>
      <c r="V74" s="1337"/>
      <c r="W74" s="1337"/>
      <c r="X74" s="1338"/>
      <c r="Y74" s="1337"/>
      <c r="Z74" s="1337"/>
      <c r="AA74" s="1337"/>
      <c r="AB74" s="1337"/>
      <c r="AC74" s="1338"/>
      <c r="AD74" s="1337"/>
      <c r="AE74" s="1337"/>
      <c r="AF74" s="1337"/>
      <c r="AG74" s="1337"/>
      <c r="AH74" s="1338"/>
      <c r="AI74" s="1337"/>
      <c r="AJ74" s="1337"/>
      <c r="AK74" s="1337"/>
      <c r="AL74" s="1337"/>
      <c r="AM74" s="1338"/>
      <c r="AN74" s="1337"/>
      <c r="AO74" s="1337"/>
      <c r="AP74" s="1337"/>
      <c r="AQ74" s="1337"/>
      <c r="AR74" s="1334"/>
      <c r="AS74" s="1337"/>
      <c r="AT74" s="1337"/>
      <c r="AU74" s="1337"/>
      <c r="AV74" s="1337"/>
      <c r="AW74" s="1334"/>
      <c r="AX74" s="1337"/>
      <c r="AY74" s="1337"/>
      <c r="AZ74" s="1337"/>
      <c r="BA74" s="1337"/>
      <c r="BB74" s="1334"/>
      <c r="BC74" s="1337"/>
      <c r="BD74" s="1337"/>
      <c r="BE74" s="1337"/>
      <c r="BF74" s="1337"/>
      <c r="BG74" s="1334"/>
      <c r="BH74" s="1337"/>
      <c r="BI74" s="1337"/>
      <c r="BJ74" s="1337"/>
      <c r="BK74" s="1337"/>
      <c r="BL74" s="1334"/>
      <c r="BM74" s="1337"/>
      <c r="BN74" s="1337"/>
      <c r="BO74" s="1337"/>
      <c r="BP74" s="1337"/>
      <c r="BQ74" s="1334"/>
      <c r="BR74" s="1336"/>
      <c r="BS74" s="1336"/>
      <c r="BT74" s="1336"/>
      <c r="BU74" s="1335"/>
      <c r="BV74" s="1334"/>
      <c r="BW74" s="1254"/>
      <c r="BX74" s="1254"/>
      <c r="BY74" s="1254"/>
      <c r="BZ74" s="1333"/>
      <c r="CA74" s="1332"/>
      <c r="CB74" s="1240"/>
      <c r="CD74" s="1229"/>
      <c r="CE74" s="1240"/>
      <c r="CF74" s="1338"/>
      <c r="CG74" s="1229"/>
      <c r="CH74" s="1229"/>
      <c r="CI74" s="1229"/>
      <c r="CJ74" s="1229"/>
      <c r="CK74" s="1338"/>
      <c r="CL74" s="1229"/>
      <c r="CM74" s="1229"/>
      <c r="CN74" s="1229"/>
      <c r="CO74" s="1229"/>
      <c r="CP74" s="1338"/>
      <c r="CQ74" s="1229"/>
      <c r="CR74" s="1229"/>
      <c r="CS74" s="1229"/>
      <c r="CT74" s="1229"/>
      <c r="CU74" s="1338"/>
      <c r="CV74" s="1229"/>
      <c r="CW74" s="1229"/>
      <c r="CX74" s="1229"/>
      <c r="CY74" s="1229"/>
      <c r="CZ74" s="1338"/>
      <c r="DA74" s="1338"/>
      <c r="DB74" s="1338"/>
      <c r="DC74" s="1338"/>
    </row>
    <row r="75" spans="1:107" s="1178" customFormat="1" ht="11.25">
      <c r="A75" s="1191"/>
      <c r="B75" s="1191"/>
      <c r="C75" s="1191" t="s">
        <v>973</v>
      </c>
      <c r="D75" s="1191"/>
      <c r="E75" s="1191"/>
      <c r="F75" s="1191"/>
      <c r="G75" s="1191"/>
      <c r="H75" s="1191"/>
      <c r="I75" s="1191"/>
      <c r="J75" s="1337"/>
      <c r="K75" s="1337"/>
      <c r="L75" s="1337"/>
      <c r="M75" s="1337"/>
      <c r="N75" s="1338"/>
      <c r="O75" s="1337"/>
      <c r="P75" s="1337"/>
      <c r="Q75" s="1337"/>
      <c r="R75" s="1337"/>
      <c r="S75" s="1338"/>
      <c r="T75" s="1337"/>
      <c r="U75" s="1339"/>
      <c r="V75" s="1337"/>
      <c r="W75" s="1337"/>
      <c r="X75" s="1338"/>
      <c r="Y75" s="1337"/>
      <c r="Z75" s="1337"/>
      <c r="AA75" s="1337"/>
      <c r="AB75" s="1337"/>
      <c r="AC75" s="1338"/>
      <c r="AD75" s="1337"/>
      <c r="AE75" s="1337"/>
      <c r="AF75" s="1337"/>
      <c r="AG75" s="1337"/>
      <c r="AH75" s="1338"/>
      <c r="AI75" s="1337"/>
      <c r="AJ75" s="1337"/>
      <c r="AK75" s="1337"/>
      <c r="AL75" s="1337"/>
      <c r="AM75" s="1338"/>
      <c r="AN75" s="1337"/>
      <c r="AO75" s="1337"/>
      <c r="AP75" s="1337"/>
      <c r="AQ75" s="1337"/>
      <c r="AR75" s="1334"/>
      <c r="AS75" s="1337"/>
      <c r="AT75" s="1337"/>
      <c r="AU75" s="1337"/>
      <c r="AV75" s="1337"/>
      <c r="AW75" s="1334"/>
      <c r="AX75" s="1337"/>
      <c r="AY75" s="1337"/>
      <c r="AZ75" s="1337"/>
      <c r="BA75" s="1337"/>
      <c r="BB75" s="1334"/>
      <c r="BC75" s="1337"/>
      <c r="BD75" s="1337"/>
      <c r="BE75" s="1337"/>
      <c r="BF75" s="1337"/>
      <c r="BG75" s="1334"/>
      <c r="BH75" s="1337"/>
      <c r="BI75" s="1337"/>
      <c r="BJ75" s="1337"/>
      <c r="BK75" s="1337"/>
      <c r="BL75" s="1334"/>
      <c r="BM75" s="1337"/>
      <c r="BN75" s="1337"/>
      <c r="BO75" s="1337"/>
      <c r="BP75" s="1337"/>
      <c r="BQ75" s="1334"/>
      <c r="BR75" s="1336"/>
      <c r="BS75" s="1336"/>
      <c r="BT75" s="1336"/>
      <c r="BU75" s="1335"/>
      <c r="BV75" s="1334"/>
      <c r="BW75" s="1254"/>
      <c r="BX75" s="1254"/>
      <c r="BY75" s="1254"/>
      <c r="BZ75" s="1333"/>
      <c r="CA75" s="1332"/>
      <c r="CB75" s="1240"/>
      <c r="CD75" s="1229"/>
      <c r="CE75" s="1240"/>
      <c r="CF75" s="1330">
        <f>CF85*CF44</f>
        <v>501.59999999999991</v>
      </c>
      <c r="CG75" s="1229"/>
      <c r="CH75" s="1229"/>
      <c r="CI75" s="1229"/>
      <c r="CJ75" s="1229"/>
      <c r="CK75" s="1330">
        <f>CK85*CK44</f>
        <v>455.13221543999981</v>
      </c>
      <c r="CL75" s="1229"/>
      <c r="CM75" s="1229"/>
      <c r="CN75" s="1229"/>
      <c r="CO75" s="1229"/>
      <c r="CP75" s="1330">
        <f>CP85*CP44</f>
        <v>382.5639122003999</v>
      </c>
      <c r="CQ75" s="1229"/>
      <c r="CR75" s="1229"/>
      <c r="CS75" s="1229"/>
      <c r="CT75" s="1229"/>
      <c r="CU75" s="1330">
        <f>CU85*CU44</f>
        <v>220.31180590834794</v>
      </c>
      <c r="CV75" s="1229"/>
      <c r="CW75" s="1229"/>
      <c r="CX75" s="1229"/>
      <c r="CY75" s="1229"/>
      <c r="CZ75" s="1330">
        <f t="shared" ref="CZ75:DC76" si="58">CZ85*CZ44</f>
        <v>199.78275126688823</v>
      </c>
      <c r="DA75" s="1330">
        <f t="shared" si="58"/>
        <v>173.5255896718115</v>
      </c>
      <c r="DB75" s="1330">
        <f t="shared" si="58"/>
        <v>150.601945983588</v>
      </c>
      <c r="DC75" s="1330">
        <f t="shared" si="58"/>
        <v>130.22638858580845</v>
      </c>
    </row>
    <row r="76" spans="1:107" s="1178" customFormat="1" ht="11.25">
      <c r="A76" s="1306"/>
      <c r="B76" s="1306"/>
      <c r="C76" s="1191" t="s">
        <v>972</v>
      </c>
      <c r="D76" s="1306"/>
      <c r="E76" s="1306"/>
      <c r="F76" s="1306"/>
      <c r="G76" s="1306"/>
      <c r="H76" s="1306"/>
      <c r="I76" s="1306"/>
      <c r="J76" s="1306"/>
      <c r="K76" s="1306"/>
      <c r="L76" s="1306"/>
      <c r="M76" s="1306"/>
      <c r="N76" s="1294"/>
      <c r="O76" s="1306"/>
      <c r="P76" s="1306"/>
      <c r="Q76" s="1306"/>
      <c r="R76" s="1306"/>
      <c r="S76" s="1294"/>
      <c r="T76" s="1306"/>
      <c r="U76" s="1306"/>
      <c r="V76" s="1306"/>
      <c r="W76" s="1306"/>
      <c r="X76" s="1294"/>
      <c r="Y76" s="1306"/>
      <c r="Z76" s="1306"/>
      <c r="AA76" s="1306"/>
      <c r="AB76" s="1306"/>
      <c r="AC76" s="1294"/>
      <c r="AD76" s="1306"/>
      <c r="AE76" s="1306"/>
      <c r="AF76" s="1306"/>
      <c r="AG76" s="1306"/>
      <c r="AH76" s="1294"/>
      <c r="AI76" s="1306"/>
      <c r="AJ76" s="1306"/>
      <c r="AK76" s="1306"/>
      <c r="AL76" s="1306"/>
      <c r="AM76" s="1294"/>
      <c r="AN76" s="1306"/>
      <c r="AO76" s="1306"/>
      <c r="AP76" s="1306"/>
      <c r="AQ76" s="1306"/>
      <c r="AR76" s="1294"/>
      <c r="AS76" s="1292"/>
      <c r="AT76" s="1292"/>
      <c r="AU76" s="1292"/>
      <c r="AV76" s="1292"/>
      <c r="AW76" s="1293"/>
      <c r="AX76" s="1292"/>
      <c r="AY76" s="1292"/>
      <c r="AZ76" s="1292"/>
      <c r="BA76" s="1292"/>
      <c r="BB76" s="1294"/>
      <c r="BC76" s="1292"/>
      <c r="BD76" s="1292"/>
      <c r="BE76" s="1292"/>
      <c r="BF76" s="1292"/>
      <c r="BG76" s="1294"/>
      <c r="BH76" s="1292"/>
      <c r="BI76" s="1292"/>
      <c r="BJ76" s="1292"/>
      <c r="BK76" s="1292"/>
      <c r="BL76" s="1294"/>
      <c r="BM76" s="1292"/>
      <c r="BN76" s="1292"/>
      <c r="BO76" s="1292"/>
      <c r="BP76" s="1292"/>
      <c r="BQ76" s="1294"/>
      <c r="BR76" s="1310"/>
      <c r="BS76" s="1310"/>
      <c r="BT76" s="1310"/>
      <c r="BU76" s="1310"/>
      <c r="BV76" s="1312"/>
      <c r="BW76" s="1311"/>
      <c r="BX76" s="1311"/>
      <c r="BY76" s="1311"/>
      <c r="BZ76" s="1331"/>
      <c r="CA76" s="1312"/>
      <c r="CB76" s="1311"/>
      <c r="CC76" s="1311"/>
      <c r="CD76" s="1311"/>
      <c r="CE76" s="1311"/>
      <c r="CF76" s="1330">
        <f>CF86*CF45</f>
        <v>173.12490582848005</v>
      </c>
      <c r="CG76" s="1310"/>
      <c r="CH76" s="1310"/>
      <c r="CI76" s="1310"/>
      <c r="CJ76" s="1310"/>
      <c r="CK76" s="1330">
        <f>CK86*CK45</f>
        <v>208.44369000000006</v>
      </c>
      <c r="CL76" s="1310"/>
      <c r="CM76" s="1310"/>
      <c r="CN76" s="1310"/>
      <c r="CO76" s="1310"/>
      <c r="CP76" s="1330">
        <f>CP86*CP45</f>
        <v>209.7985739850001</v>
      </c>
      <c r="CQ76" s="1310"/>
      <c r="CR76" s="1310"/>
      <c r="CS76" s="1310"/>
      <c r="CT76" s="1310"/>
      <c r="CU76" s="1330">
        <f>CU86*CU45</f>
        <v>224.48447416395013</v>
      </c>
      <c r="CV76" s="1310"/>
      <c r="CW76" s="1310"/>
      <c r="CX76" s="1310"/>
      <c r="CY76" s="1310"/>
      <c r="CZ76" s="1330">
        <f t="shared" si="58"/>
        <v>240.19838735542666</v>
      </c>
      <c r="DA76" s="1330">
        <f t="shared" si="58"/>
        <v>295.22565427685169</v>
      </c>
      <c r="DB76" s="1330">
        <f t="shared" si="58"/>
        <v>350.86433527518142</v>
      </c>
      <c r="DC76" s="1330">
        <f t="shared" si="58"/>
        <v>357.88162198068505</v>
      </c>
    </row>
    <row r="77" spans="1:107" s="1234" customFormat="1" ht="11.25">
      <c r="A77" s="1292"/>
      <c r="B77" s="1292"/>
      <c r="C77" s="1295" t="str">
        <f>C46</f>
        <v>Total OE</v>
      </c>
      <c r="D77" s="1295"/>
      <c r="E77" s="1292"/>
      <c r="F77" s="1292"/>
      <c r="G77" s="1292"/>
      <c r="H77" s="1292"/>
      <c r="I77" s="1292"/>
      <c r="J77" s="1292"/>
      <c r="K77" s="1292"/>
      <c r="L77" s="1292"/>
      <c r="M77" s="1292"/>
      <c r="N77" s="1294"/>
      <c r="O77" s="1292"/>
      <c r="P77" s="1292"/>
      <c r="Q77" s="1292"/>
      <c r="R77" s="1292"/>
      <c r="S77" s="1294"/>
      <c r="T77" s="1292"/>
      <c r="U77" s="1292"/>
      <c r="V77" s="1292"/>
      <c r="W77" s="1292"/>
      <c r="X77" s="1294"/>
      <c r="Y77" s="1292"/>
      <c r="Z77" s="1292"/>
      <c r="AA77" s="1292"/>
      <c r="AB77" s="1292"/>
      <c r="AC77" s="1294"/>
      <c r="AD77" s="1292"/>
      <c r="AE77" s="1292"/>
      <c r="AF77" s="1292"/>
      <c r="AG77" s="1292"/>
      <c r="AH77" s="1294"/>
      <c r="AI77" s="1292"/>
      <c r="AJ77" s="1292"/>
      <c r="AK77" s="1292"/>
      <c r="AL77" s="1292"/>
      <c r="AM77" s="1294"/>
      <c r="AN77" s="1292"/>
      <c r="AO77" s="1292"/>
      <c r="AP77" s="1292"/>
      <c r="AQ77" s="1292"/>
      <c r="AR77" s="1294"/>
      <c r="AS77" s="1292"/>
      <c r="AT77" s="1292"/>
      <c r="AU77" s="1292"/>
      <c r="AV77" s="1292"/>
      <c r="AW77" s="1293"/>
      <c r="AX77" s="1292"/>
      <c r="AY77" s="1292"/>
      <c r="AZ77" s="1292"/>
      <c r="BA77" s="1292"/>
      <c r="BB77" s="1316">
        <f>BB87*BB46</f>
        <v>402.44490049958779</v>
      </c>
      <c r="BC77" s="1292"/>
      <c r="BD77" s="1292"/>
      <c r="BE77" s="1292"/>
      <c r="BF77" s="1292"/>
      <c r="BG77" s="1316">
        <f>BG82-BG80</f>
        <v>575.45174441092331</v>
      </c>
      <c r="BH77" s="1291"/>
      <c r="BI77" s="1291"/>
      <c r="BJ77" s="1291"/>
      <c r="BK77" s="1291"/>
      <c r="BL77" s="1316">
        <f>BL82-BL80</f>
        <v>615.89712230215855</v>
      </c>
      <c r="BM77" s="1291"/>
      <c r="BN77" s="1291"/>
      <c r="BO77" s="1291"/>
      <c r="BP77" s="1291"/>
      <c r="BQ77" s="1316">
        <f>BQ82-BQ80</f>
        <v>649.34000000000015</v>
      </c>
      <c r="BR77" s="1237"/>
      <c r="BS77" s="1237"/>
      <c r="BT77" s="1237"/>
      <c r="BU77" s="1237"/>
      <c r="BV77" s="1316">
        <f>BV87*BV46</f>
        <v>487.53040000000004</v>
      </c>
      <c r="BW77" s="1315"/>
      <c r="BX77" s="1315"/>
      <c r="BY77" s="1315"/>
      <c r="BZ77" s="1329"/>
      <c r="CA77" s="1313">
        <f>CA87*CA46</f>
        <v>497.31147865000003</v>
      </c>
      <c r="CB77" s="1328">
        <f>CA77/CA82</f>
        <v>0.1857025685772965</v>
      </c>
      <c r="CC77" s="1315" t="s">
        <v>977</v>
      </c>
      <c r="CD77" s="1315"/>
      <c r="CE77" s="1315"/>
      <c r="CF77" s="1313">
        <f>SUM(CF75:CF76)</f>
        <v>674.7249058284799</v>
      </c>
      <c r="CG77" s="1314"/>
      <c r="CH77" s="1314"/>
      <c r="CI77" s="1314"/>
      <c r="CJ77" s="1314"/>
      <c r="CK77" s="1313">
        <f>SUM(CK75:CK76)</f>
        <v>663.57590543999981</v>
      </c>
      <c r="CL77" s="1314"/>
      <c r="CM77" s="1314"/>
      <c r="CN77" s="1314"/>
      <c r="CO77" s="1314"/>
      <c r="CP77" s="1313">
        <f>SUM(CP75:CP76)</f>
        <v>592.36248618540003</v>
      </c>
      <c r="CQ77" s="1314"/>
      <c r="CR77" s="1314"/>
      <c r="CS77" s="1314"/>
      <c r="CT77" s="1314"/>
      <c r="CU77" s="1313">
        <f>SUM(CU75:CU76)</f>
        <v>444.79628007229803</v>
      </c>
      <c r="CV77" s="1314"/>
      <c r="CW77" s="1314"/>
      <c r="CX77" s="1314"/>
      <c r="CY77" s="1314"/>
      <c r="CZ77" s="1313">
        <f>SUM(CZ75:CZ76)</f>
        <v>439.98113862231492</v>
      </c>
      <c r="DA77" s="1313">
        <f>SUM(DA75:DA76)</f>
        <v>468.75124394866316</v>
      </c>
      <c r="DB77" s="1313">
        <f>SUM(DB75:DB76)</f>
        <v>501.46628125876941</v>
      </c>
      <c r="DC77" s="1313">
        <f>SUM(DC75:DC76)</f>
        <v>488.10801056649348</v>
      </c>
    </row>
    <row r="78" spans="1:107" s="1178" customFormat="1" ht="15" customHeight="1">
      <c r="A78" s="1306"/>
      <c r="B78" s="1306"/>
      <c r="C78" s="1191" t="s">
        <v>971</v>
      </c>
      <c r="D78" s="1309"/>
      <c r="E78" s="1306"/>
      <c r="F78" s="1306"/>
      <c r="G78" s="1306"/>
      <c r="H78" s="1306"/>
      <c r="I78" s="1306"/>
      <c r="J78" s="1306"/>
      <c r="K78" s="1306"/>
      <c r="L78" s="1306"/>
      <c r="M78" s="1306"/>
      <c r="N78" s="1325"/>
      <c r="O78" s="1306"/>
      <c r="P78" s="1306"/>
      <c r="Q78" s="1306"/>
      <c r="R78" s="1306"/>
      <c r="S78" s="1325"/>
      <c r="T78" s="1306"/>
      <c r="U78" s="1306"/>
      <c r="V78" s="1306"/>
      <c r="W78" s="1306"/>
      <c r="X78" s="1325"/>
      <c r="Y78" s="1306"/>
      <c r="Z78" s="1306"/>
      <c r="AA78" s="1306"/>
      <c r="AB78" s="1306"/>
      <c r="AC78" s="1325"/>
      <c r="AD78" s="1306"/>
      <c r="AE78" s="1306"/>
      <c r="AF78" s="1306"/>
      <c r="AG78" s="1306"/>
      <c r="AH78" s="1325"/>
      <c r="AI78" s="1306"/>
      <c r="AJ78" s="1306"/>
      <c r="AK78" s="1306"/>
      <c r="AL78" s="1306"/>
      <c r="AM78" s="1325"/>
      <c r="AN78" s="1306"/>
      <c r="AO78" s="1306"/>
      <c r="AP78" s="1306"/>
      <c r="AQ78" s="1306"/>
      <c r="AR78" s="1325"/>
      <c r="AS78" s="1306"/>
      <c r="AT78" s="1306"/>
      <c r="AU78" s="1306"/>
      <c r="AV78" s="1306"/>
      <c r="AW78" s="1324"/>
      <c r="AX78" s="1306"/>
      <c r="AY78" s="1306"/>
      <c r="AZ78" s="1306"/>
      <c r="BA78" s="1306"/>
      <c r="BB78" s="1322"/>
      <c r="BC78" s="1306"/>
      <c r="BD78" s="1306"/>
      <c r="BE78" s="1306"/>
      <c r="BF78" s="1306"/>
      <c r="BG78" s="1322"/>
      <c r="BH78" s="1206"/>
      <c r="BI78" s="1206"/>
      <c r="BJ78" s="1206"/>
      <c r="BK78" s="1206"/>
      <c r="BL78" s="1322"/>
      <c r="BM78" s="1206"/>
      <c r="BN78" s="1206"/>
      <c r="BO78" s="1206"/>
      <c r="BP78" s="1206"/>
      <c r="BQ78" s="1322"/>
      <c r="BR78" s="1189"/>
      <c r="BS78" s="1189"/>
      <c r="BT78" s="1189"/>
      <c r="BU78" s="1189"/>
      <c r="BV78" s="1322"/>
      <c r="BW78" s="1321"/>
      <c r="BX78" s="1321"/>
      <c r="BY78" s="1321"/>
      <c r="BZ78" s="1327"/>
      <c r="CA78" s="1319"/>
      <c r="CB78" s="1326"/>
      <c r="CC78" s="1321"/>
      <c r="CD78" s="1321"/>
      <c r="CE78" s="1321"/>
      <c r="CF78" s="1319">
        <f>CF88*CF47</f>
        <v>50.4</v>
      </c>
      <c r="CG78" s="1320"/>
      <c r="CH78" s="1320"/>
      <c r="CI78" s="1320"/>
      <c r="CJ78" s="1320"/>
      <c r="CK78" s="1319">
        <f>CK88*CK47</f>
        <v>53.797096847149021</v>
      </c>
      <c r="CL78" s="1320"/>
      <c r="CM78" s="1320"/>
      <c r="CN78" s="1320"/>
      <c r="CO78" s="1320"/>
      <c r="CP78" s="1319">
        <f>CP88*CP47</f>
        <v>51.351774263187707</v>
      </c>
      <c r="CQ78" s="1320"/>
      <c r="CR78" s="1320"/>
      <c r="CS78" s="1320"/>
      <c r="CT78" s="1320"/>
      <c r="CU78" s="1319">
        <f>CU88*CU47</f>
        <v>53.919362976347088</v>
      </c>
      <c r="CV78" s="1320"/>
      <c r="CW78" s="1320"/>
      <c r="CX78" s="1320"/>
      <c r="CY78" s="1320"/>
      <c r="CZ78" s="1319">
        <f t="shared" ref="CZ78:DC79" si="59">CZ88*CZ47</f>
        <v>58.232912014454861</v>
      </c>
      <c r="DA78" s="1319">
        <f t="shared" si="59"/>
        <v>64.056203215900354</v>
      </c>
      <c r="DB78" s="1319">
        <f t="shared" si="59"/>
        <v>70.461823537490389</v>
      </c>
      <c r="DC78" s="1319">
        <f t="shared" si="59"/>
        <v>77.508005891239435</v>
      </c>
    </row>
    <row r="79" spans="1:107" s="1178" customFormat="1" ht="11.25">
      <c r="A79" s="1306"/>
      <c r="B79" s="1306"/>
      <c r="C79" s="1191" t="s">
        <v>970</v>
      </c>
      <c r="D79" s="1309"/>
      <c r="E79" s="1306"/>
      <c r="F79" s="1306"/>
      <c r="G79" s="1306"/>
      <c r="H79" s="1306"/>
      <c r="I79" s="1306"/>
      <c r="J79" s="1306"/>
      <c r="K79" s="1306"/>
      <c r="L79" s="1306"/>
      <c r="M79" s="1306"/>
      <c r="N79" s="1325"/>
      <c r="O79" s="1306"/>
      <c r="P79" s="1306"/>
      <c r="Q79" s="1306"/>
      <c r="R79" s="1306"/>
      <c r="S79" s="1325"/>
      <c r="T79" s="1306"/>
      <c r="U79" s="1306"/>
      <c r="V79" s="1306"/>
      <c r="W79" s="1306"/>
      <c r="X79" s="1325"/>
      <c r="Y79" s="1306"/>
      <c r="Z79" s="1306"/>
      <c r="AA79" s="1306"/>
      <c r="AB79" s="1306"/>
      <c r="AC79" s="1325"/>
      <c r="AD79" s="1306"/>
      <c r="AE79" s="1306"/>
      <c r="AF79" s="1306"/>
      <c r="AG79" s="1306"/>
      <c r="AH79" s="1325"/>
      <c r="AI79" s="1306"/>
      <c r="AJ79" s="1306"/>
      <c r="AK79" s="1306"/>
      <c r="AL79" s="1306"/>
      <c r="AM79" s="1325"/>
      <c r="AN79" s="1306"/>
      <c r="AO79" s="1306"/>
      <c r="AP79" s="1306"/>
      <c r="AQ79" s="1306"/>
      <c r="AR79" s="1325"/>
      <c r="AS79" s="1306"/>
      <c r="AT79" s="1306"/>
      <c r="AU79" s="1306"/>
      <c r="AV79" s="1306"/>
      <c r="AW79" s="1324"/>
      <c r="AX79" s="1306"/>
      <c r="AY79" s="1306"/>
      <c r="AZ79" s="1306"/>
      <c r="BA79" s="1306"/>
      <c r="BB79" s="1322"/>
      <c r="BC79" s="1306"/>
      <c r="BD79" s="1306"/>
      <c r="BE79" s="1306"/>
      <c r="BF79" s="1306"/>
      <c r="BG79" s="1322"/>
      <c r="BH79" s="1206"/>
      <c r="BI79" s="1206"/>
      <c r="BJ79" s="1206"/>
      <c r="BK79" s="1206"/>
      <c r="BL79" s="1322"/>
      <c r="BM79" s="1206"/>
      <c r="BN79" s="1206"/>
      <c r="BO79" s="1206"/>
      <c r="BP79" s="1206"/>
      <c r="BQ79" s="1322"/>
      <c r="BR79" s="1189"/>
      <c r="BS79" s="1189"/>
      <c r="BT79" s="1189"/>
      <c r="BU79" s="1189"/>
      <c r="BV79" s="1322"/>
      <c r="BW79" s="1321"/>
      <c r="BX79" s="1321"/>
      <c r="BY79" s="1321"/>
      <c r="BZ79" s="1327"/>
      <c r="CA79" s="1319"/>
      <c r="CB79" s="1326"/>
      <c r="CC79" s="1321"/>
      <c r="CD79" s="1321"/>
      <c r="CE79" s="1321"/>
      <c r="CF79" s="1319">
        <f>CF89*CF48</f>
        <v>2033.9909999999998</v>
      </c>
      <c r="CG79" s="1320"/>
      <c r="CH79" s="1320"/>
      <c r="CI79" s="1320"/>
      <c r="CJ79" s="1320"/>
      <c r="CK79" s="1319">
        <f>CK80-CK78</f>
        <v>1870.2844977128514</v>
      </c>
      <c r="CL79" s="1320"/>
      <c r="CM79" s="1320"/>
      <c r="CN79" s="1320"/>
      <c r="CO79" s="1320"/>
      <c r="CP79" s="1319">
        <f>CP89*CP48</f>
        <v>1749.5037449999998</v>
      </c>
      <c r="CQ79" s="1320"/>
      <c r="CR79" s="1320"/>
      <c r="CS79" s="1320"/>
      <c r="CT79" s="1320"/>
      <c r="CU79" s="1319">
        <f>CU89*CU48</f>
        <v>1713.1140671039998</v>
      </c>
      <c r="CV79" s="1320"/>
      <c r="CW79" s="1320"/>
      <c r="CX79" s="1320"/>
      <c r="CY79" s="1320"/>
      <c r="CZ79" s="1319">
        <f t="shared" si="59"/>
        <v>1765.5781854090599</v>
      </c>
      <c r="DA79" s="1319">
        <f t="shared" si="59"/>
        <v>1800.8897491172411</v>
      </c>
      <c r="DB79" s="1319">
        <f t="shared" si="59"/>
        <v>1836.9075440995859</v>
      </c>
      <c r="DC79" s="1319">
        <f t="shared" si="59"/>
        <v>1873.6456949815777</v>
      </c>
    </row>
    <row r="80" spans="1:107" s="1234" customFormat="1" ht="12" customHeight="1">
      <c r="A80" s="1292"/>
      <c r="B80" s="1292"/>
      <c r="C80" s="1295" t="str">
        <f>C49</f>
        <v>Total AM</v>
      </c>
      <c r="D80" s="1295"/>
      <c r="E80" s="1292"/>
      <c r="F80" s="1292"/>
      <c r="G80" s="1292"/>
      <c r="H80" s="1292"/>
      <c r="I80" s="1292"/>
      <c r="J80" s="1292"/>
      <c r="K80" s="1292"/>
      <c r="L80" s="1292"/>
      <c r="M80" s="1292"/>
      <c r="N80" s="1294"/>
      <c r="O80" s="1292"/>
      <c r="P80" s="1292"/>
      <c r="Q80" s="1292"/>
      <c r="R80" s="1292"/>
      <c r="S80" s="1294"/>
      <c r="T80" s="1292"/>
      <c r="U80" s="1292"/>
      <c r="V80" s="1292"/>
      <c r="W80" s="1292"/>
      <c r="X80" s="1294"/>
      <c r="Y80" s="1292"/>
      <c r="Z80" s="1292"/>
      <c r="AA80" s="1292"/>
      <c r="AB80" s="1292"/>
      <c r="AC80" s="1294"/>
      <c r="AD80" s="1292"/>
      <c r="AE80" s="1292"/>
      <c r="AF80" s="1292"/>
      <c r="AG80" s="1292"/>
      <c r="AH80" s="1294"/>
      <c r="AI80" s="1292"/>
      <c r="AJ80" s="1292"/>
      <c r="AK80" s="1292"/>
      <c r="AL80" s="1292"/>
      <c r="AM80" s="1294"/>
      <c r="AN80" s="1292"/>
      <c r="AO80" s="1292"/>
      <c r="AP80" s="1292"/>
      <c r="AQ80" s="1292"/>
      <c r="AR80" s="1294"/>
      <c r="AS80" s="1292"/>
      <c r="AT80" s="1292"/>
      <c r="AU80" s="1292"/>
      <c r="AV80" s="1292"/>
      <c r="AW80" s="1293"/>
      <c r="AX80" s="1292"/>
      <c r="AY80" s="1292"/>
      <c r="AZ80" s="1292"/>
      <c r="BA80" s="1292"/>
      <c r="BB80" s="1287">
        <f>BB82-BB77</f>
        <v>2095.5550995004123</v>
      </c>
      <c r="BC80" s="1291"/>
      <c r="BD80" s="1291"/>
      <c r="BE80" s="1291"/>
      <c r="BF80" s="1291"/>
      <c r="BG80" s="1316">
        <f>BG49*BG90</f>
        <v>1977.5482555890767</v>
      </c>
      <c r="BH80" s="1291"/>
      <c r="BI80" s="1291"/>
      <c r="BJ80" s="1291"/>
      <c r="BK80" s="1291"/>
      <c r="BL80" s="1316">
        <f>BL49*BL90</f>
        <v>2042.1028776978414</v>
      </c>
      <c r="BM80" s="1291"/>
      <c r="BN80" s="1291"/>
      <c r="BO80" s="1291"/>
      <c r="BP80" s="1291"/>
      <c r="BQ80" s="1316">
        <f>BQ49*BQ90</f>
        <v>2238.66</v>
      </c>
      <c r="BR80" s="1237"/>
      <c r="BS80" s="1237"/>
      <c r="BT80" s="1237"/>
      <c r="BU80" s="1237"/>
      <c r="BV80" s="1316">
        <f>BV90*BV49</f>
        <v>2154.2087999999999</v>
      </c>
      <c r="BW80" s="1315"/>
      <c r="BX80" s="1315"/>
      <c r="BY80" s="1315"/>
      <c r="BZ80" s="1315"/>
      <c r="CA80" s="1313">
        <f>CA82-CA77</f>
        <v>2180.68852135</v>
      </c>
      <c r="CB80" s="1315"/>
      <c r="CC80" s="1315" t="s">
        <v>976</v>
      </c>
      <c r="CD80" s="1315"/>
      <c r="CE80" s="1315"/>
      <c r="CF80" s="1313">
        <f>SUM(CF78:CF79)</f>
        <v>2084.3909999999996</v>
      </c>
      <c r="CG80" s="1314"/>
      <c r="CH80" s="1314"/>
      <c r="CI80" s="1314"/>
      <c r="CJ80" s="1314"/>
      <c r="CK80" s="1313">
        <f>CK82-CK81-CK77</f>
        <v>1924.0815945600004</v>
      </c>
      <c r="CL80" s="1314"/>
      <c r="CM80" s="1314"/>
      <c r="CN80" s="1314"/>
      <c r="CO80" s="1314"/>
      <c r="CP80" s="1313">
        <f>SUM(CP78:CP79)</f>
        <v>1800.8555192631875</v>
      </c>
      <c r="CQ80" s="1314"/>
      <c r="CR80" s="1314"/>
      <c r="CS80" s="1314"/>
      <c r="CT80" s="1314"/>
      <c r="CU80" s="1313">
        <f>SUM(CU78:CU79)</f>
        <v>1767.033430080347</v>
      </c>
      <c r="CV80" s="1314"/>
      <c r="CW80" s="1314"/>
      <c r="CX80" s="1314"/>
      <c r="CY80" s="1314"/>
      <c r="CZ80" s="1313">
        <f>SUM(CZ78:CZ79)</f>
        <v>1823.8110974235146</v>
      </c>
      <c r="DA80" s="1313">
        <f>SUM(DA78:DA79)</f>
        <v>1864.9459523331413</v>
      </c>
      <c r="DB80" s="1313">
        <f>SUM(DB78:DB79)</f>
        <v>1907.3693676370763</v>
      </c>
      <c r="DC80" s="1313">
        <f>SUM(DC78:DC79)</f>
        <v>1951.1537008728171</v>
      </c>
    </row>
    <row r="81" spans="1:108" s="1178" customFormat="1" ht="18" customHeight="1">
      <c r="A81" s="1306"/>
      <c r="B81" s="1306"/>
      <c r="C81" s="1309" t="s">
        <v>975</v>
      </c>
      <c r="D81" s="1309"/>
      <c r="E81" s="1306"/>
      <c r="F81" s="1306"/>
      <c r="G81" s="1306"/>
      <c r="H81" s="1306"/>
      <c r="I81" s="1306"/>
      <c r="J81" s="1306"/>
      <c r="K81" s="1306"/>
      <c r="L81" s="1306"/>
      <c r="M81" s="1306"/>
      <c r="N81" s="1325"/>
      <c r="O81" s="1306"/>
      <c r="P81" s="1306"/>
      <c r="Q81" s="1306"/>
      <c r="R81" s="1306"/>
      <c r="S81" s="1325"/>
      <c r="T81" s="1306"/>
      <c r="U81" s="1306"/>
      <c r="V81" s="1306"/>
      <c r="W81" s="1306"/>
      <c r="X81" s="1325"/>
      <c r="Y81" s="1306"/>
      <c r="Z81" s="1306"/>
      <c r="AA81" s="1306"/>
      <c r="AB81" s="1306"/>
      <c r="AC81" s="1325"/>
      <c r="AD81" s="1306"/>
      <c r="AE81" s="1306"/>
      <c r="AF81" s="1306"/>
      <c r="AG81" s="1306"/>
      <c r="AH81" s="1325"/>
      <c r="AI81" s="1306"/>
      <c r="AJ81" s="1306"/>
      <c r="AK81" s="1306"/>
      <c r="AL81" s="1306"/>
      <c r="AM81" s="1325"/>
      <c r="AN81" s="1306"/>
      <c r="AO81" s="1306"/>
      <c r="AP81" s="1306"/>
      <c r="AQ81" s="1306"/>
      <c r="AR81" s="1325"/>
      <c r="AS81" s="1306"/>
      <c r="AT81" s="1306"/>
      <c r="AU81" s="1306"/>
      <c r="AV81" s="1306"/>
      <c r="AW81" s="1324"/>
      <c r="AX81" s="1306"/>
      <c r="AY81" s="1306"/>
      <c r="AZ81" s="1306"/>
      <c r="BA81" s="1306"/>
      <c r="BB81" s="1323"/>
      <c r="BC81" s="1206"/>
      <c r="BD81" s="1206"/>
      <c r="BE81" s="1206"/>
      <c r="BF81" s="1206"/>
      <c r="BG81" s="1322"/>
      <c r="BH81" s="1206"/>
      <c r="BI81" s="1206"/>
      <c r="BJ81" s="1206"/>
      <c r="BK81" s="1206"/>
      <c r="BL81" s="1322"/>
      <c r="BM81" s="1206"/>
      <c r="BN81" s="1206"/>
      <c r="BO81" s="1206"/>
      <c r="BP81" s="1206"/>
      <c r="BQ81" s="1322"/>
      <c r="BR81" s="1189"/>
      <c r="BS81" s="1189"/>
      <c r="BT81" s="1189"/>
      <c r="BU81" s="1189"/>
      <c r="BV81" s="1322"/>
      <c r="BW81" s="1321"/>
      <c r="BX81" s="1321"/>
      <c r="BY81" s="1321"/>
      <c r="BZ81" s="1321"/>
      <c r="CA81" s="1319"/>
      <c r="CB81" s="1321"/>
      <c r="CC81" s="1321"/>
      <c r="CD81" s="1321"/>
      <c r="CE81" s="1321"/>
      <c r="CF81" s="1319"/>
      <c r="CG81" s="1320"/>
      <c r="CH81" s="1320"/>
      <c r="CI81" s="1320"/>
      <c r="CJ81" s="1320"/>
      <c r="CK81" s="1319">
        <f>CK102+CK96</f>
        <v>-198.65750000000003</v>
      </c>
      <c r="CL81" s="1320"/>
      <c r="CM81" s="1320"/>
      <c r="CN81" s="1320"/>
      <c r="CO81" s="1320"/>
      <c r="CP81" s="1319">
        <f>CK81+CP96+CP102+CP103</f>
        <v>-156.41980127673281</v>
      </c>
      <c r="CQ81" s="1320"/>
      <c r="CR81" s="1320"/>
      <c r="CS81" s="1320"/>
      <c r="CT81" s="1320"/>
      <c r="CU81" s="1319">
        <f>CP81+CU96+CU102+CU103</f>
        <v>-119.96086016527875</v>
      </c>
      <c r="CV81" s="1320"/>
      <c r="CW81" s="1320"/>
      <c r="CX81" s="1320"/>
      <c r="CY81" s="1320"/>
      <c r="CZ81" s="1319">
        <f>CU81</f>
        <v>-119.96086016527875</v>
      </c>
      <c r="DA81" s="1319">
        <f>CZ81</f>
        <v>-119.96086016527875</v>
      </c>
      <c r="DB81" s="1319">
        <f>DA81</f>
        <v>-119.96086016527875</v>
      </c>
      <c r="DC81" s="1319">
        <f>DB81</f>
        <v>-119.96086016527875</v>
      </c>
    </row>
    <row r="82" spans="1:108" s="1178" customFormat="1" ht="11.25">
      <c r="A82" s="1292"/>
      <c r="B82" s="1292"/>
      <c r="C82" s="1295" t="s">
        <v>148</v>
      </c>
      <c r="D82" s="1295"/>
      <c r="E82" s="1292"/>
      <c r="F82" s="1292"/>
      <c r="G82" s="1292"/>
      <c r="H82" s="1292"/>
      <c r="I82" s="1292"/>
      <c r="J82" s="1292"/>
      <c r="K82" s="1292"/>
      <c r="L82" s="1292"/>
      <c r="M82" s="1292"/>
      <c r="N82" s="1294"/>
      <c r="O82" s="1292"/>
      <c r="P82" s="1292"/>
      <c r="Q82" s="1292"/>
      <c r="R82" s="1292"/>
      <c r="S82" s="1294"/>
      <c r="T82" s="1292"/>
      <c r="U82" s="1292"/>
      <c r="V82" s="1292"/>
      <c r="W82" s="1292"/>
      <c r="X82" s="1294"/>
      <c r="Y82" s="1292"/>
      <c r="Z82" s="1292"/>
      <c r="AA82" s="1292"/>
      <c r="AB82" s="1292"/>
      <c r="AC82" s="1294"/>
      <c r="AD82" s="1292"/>
      <c r="AE82" s="1292"/>
      <c r="AF82" s="1292"/>
      <c r="AG82" s="1292"/>
      <c r="AH82" s="1294"/>
      <c r="AI82" s="1292"/>
      <c r="AJ82" s="1292"/>
      <c r="AK82" s="1292"/>
      <c r="AL82" s="1292"/>
      <c r="AM82" s="1294"/>
      <c r="AN82" s="1292"/>
      <c r="AO82" s="1292"/>
      <c r="AP82" s="1292"/>
      <c r="AQ82" s="1292"/>
      <c r="AR82" s="1294"/>
      <c r="AS82" s="1292"/>
      <c r="AT82" s="1292"/>
      <c r="AU82" s="1292"/>
      <c r="AV82" s="1292"/>
      <c r="AW82" s="1293"/>
      <c r="AX82" s="1292"/>
      <c r="AY82" s="1292"/>
      <c r="AZ82" s="1292"/>
      <c r="BA82" s="1292"/>
      <c r="BB82" s="1287">
        <f>BB35</f>
        <v>2498</v>
      </c>
      <c r="BC82" s="1291"/>
      <c r="BD82" s="1291"/>
      <c r="BE82" s="1291"/>
      <c r="BF82" s="1291"/>
      <c r="BG82" s="1316">
        <f t="shared" ref="BG82:BL82" si="60">BG35</f>
        <v>2553</v>
      </c>
      <c r="BH82" s="1317">
        <f t="shared" si="60"/>
        <v>607</v>
      </c>
      <c r="BI82" s="1317">
        <f t="shared" si="60"/>
        <v>658</v>
      </c>
      <c r="BJ82" s="1317">
        <f t="shared" si="60"/>
        <v>690</v>
      </c>
      <c r="BK82" s="1317">
        <f t="shared" si="60"/>
        <v>703</v>
      </c>
      <c r="BL82" s="1316">
        <f t="shared" si="60"/>
        <v>2658</v>
      </c>
      <c r="BM82" s="1291"/>
      <c r="BN82" s="1291"/>
      <c r="BO82" s="1291"/>
      <c r="BP82" s="1291"/>
      <c r="BQ82" s="1316">
        <f>BQ35</f>
        <v>2888</v>
      </c>
      <c r="BR82" s="1237"/>
      <c r="BS82" s="1237"/>
      <c r="BT82" s="1237"/>
      <c r="BU82" s="1237"/>
      <c r="BV82" s="1316">
        <f>BV35</f>
        <v>2676</v>
      </c>
      <c r="BW82" s="1315"/>
      <c r="BX82" s="1315"/>
      <c r="BY82" s="1315"/>
      <c r="BZ82" s="1315"/>
      <c r="CA82" s="1313">
        <f>CA35</f>
        <v>2678</v>
      </c>
      <c r="CB82" s="1315"/>
      <c r="CC82" s="1315"/>
      <c r="CD82" s="1315"/>
      <c r="CE82" s="1315"/>
      <c r="CF82" s="1313">
        <f>CF80+CF77+CF96+CF81</f>
        <v>2759.1159058284793</v>
      </c>
      <c r="CG82" s="1317">
        <f>CG35</f>
        <v>533</v>
      </c>
      <c r="CH82" s="1317">
        <f>CH35</f>
        <v>635</v>
      </c>
      <c r="CI82" s="1317">
        <f>CI35</f>
        <v>660</v>
      </c>
      <c r="CJ82" s="1317">
        <f>CJ35</f>
        <v>561</v>
      </c>
      <c r="CK82" s="1313">
        <f>CK35</f>
        <v>2389</v>
      </c>
      <c r="CL82" s="1314"/>
      <c r="CM82" s="1314"/>
      <c r="CN82" s="1314"/>
      <c r="CO82" s="1314"/>
      <c r="CP82" s="1313">
        <f>CP80+CP77+CP81</f>
        <v>2236.7982041718546</v>
      </c>
      <c r="CQ82" s="1314"/>
      <c r="CR82" s="1314"/>
      <c r="CS82" s="1314"/>
      <c r="CT82" s="1314"/>
      <c r="CU82" s="1313">
        <f>CU80+CU77+CU81</f>
        <v>2091.868849987366</v>
      </c>
      <c r="CV82" s="1314"/>
      <c r="CW82" s="1314"/>
      <c r="CX82" s="1314"/>
      <c r="CY82" s="1314"/>
      <c r="CZ82" s="1313">
        <f>CZ80+CZ77+CZ81</f>
        <v>2143.8313758805507</v>
      </c>
      <c r="DA82" s="1313">
        <f>DA80+DA77+DA81</f>
        <v>2213.7363361165253</v>
      </c>
      <c r="DB82" s="1313">
        <f>DB80+DB77+DB81</f>
        <v>2288.8747887305672</v>
      </c>
      <c r="DC82" s="1313">
        <f>DC80+DC77+DC81</f>
        <v>2319.3008512740316</v>
      </c>
    </row>
    <row r="83" spans="1:108" s="1178" customFormat="1">
      <c r="A83" s="1292"/>
      <c r="B83" s="1292"/>
      <c r="C83" t="s">
        <v>974</v>
      </c>
      <c r="D83" s="1295"/>
      <c r="E83" s="1292"/>
      <c r="F83" s="1292"/>
      <c r="G83" s="1292"/>
      <c r="H83" s="1292"/>
      <c r="I83" s="1292"/>
      <c r="J83" s="1292"/>
      <c r="K83" s="1292"/>
      <c r="L83" s="1292"/>
      <c r="M83" s="1292"/>
      <c r="N83" s="1294"/>
      <c r="O83" s="1292"/>
      <c r="P83" s="1292"/>
      <c r="Q83" s="1292"/>
      <c r="R83" s="1292"/>
      <c r="S83" s="1294"/>
      <c r="T83" s="1292"/>
      <c r="U83" s="1292"/>
      <c r="V83" s="1292"/>
      <c r="W83" s="1292"/>
      <c r="X83" s="1294"/>
      <c r="Y83" s="1292"/>
      <c r="Z83" s="1292"/>
      <c r="AA83" s="1292"/>
      <c r="AB83" s="1292"/>
      <c r="AC83" s="1294"/>
      <c r="AD83" s="1292"/>
      <c r="AE83" s="1292"/>
      <c r="AF83" s="1292"/>
      <c r="AG83" s="1292"/>
      <c r="AH83" s="1294"/>
      <c r="AI83" s="1292"/>
      <c r="AJ83" s="1292"/>
      <c r="AK83" s="1292"/>
      <c r="AL83" s="1292"/>
      <c r="AM83" s="1294"/>
      <c r="AN83" s="1292"/>
      <c r="AO83" s="1292"/>
      <c r="AP83" s="1292"/>
      <c r="AQ83" s="1292"/>
      <c r="AR83" s="1294"/>
      <c r="AS83" s="1292"/>
      <c r="AT83" s="1292"/>
      <c r="AU83" s="1292"/>
      <c r="AV83" s="1292"/>
      <c r="AW83" s="1293"/>
      <c r="AX83" s="1292"/>
      <c r="AY83" s="1292"/>
      <c r="AZ83" s="1292"/>
      <c r="BA83" s="1292"/>
      <c r="BB83" s="1287"/>
      <c r="BC83" s="1291"/>
      <c r="BD83" s="1291"/>
      <c r="BE83" s="1291"/>
      <c r="BF83" s="1291"/>
      <c r="BG83" s="1316"/>
      <c r="BH83" s="1317"/>
      <c r="BI83" s="1317"/>
      <c r="BJ83" s="1317"/>
      <c r="BK83" s="1317"/>
      <c r="BL83" s="1316"/>
      <c r="BM83" s="1291"/>
      <c r="BN83" s="1291"/>
      <c r="BO83" s="1291"/>
      <c r="BP83" s="1291"/>
      <c r="BQ83" s="1316"/>
      <c r="BR83" s="1237"/>
      <c r="BS83" s="1237"/>
      <c r="BT83" s="1237"/>
      <c r="BU83" s="1237"/>
      <c r="BV83" s="1316"/>
      <c r="BW83" s="1315"/>
      <c r="BX83" s="1315"/>
      <c r="BY83" s="1315"/>
      <c r="BZ83" s="1315"/>
      <c r="CA83" s="1313"/>
      <c r="CB83" s="1315"/>
      <c r="CC83" s="1315"/>
      <c r="CD83" s="1315"/>
      <c r="CE83" s="1315"/>
      <c r="CF83" s="1313"/>
      <c r="CG83" s="1317"/>
      <c r="CH83" s="1317"/>
      <c r="CI83" s="1314"/>
      <c r="CJ83" s="1314"/>
      <c r="CK83" s="1313"/>
      <c r="CL83" s="1314"/>
      <c r="CM83" s="1314"/>
      <c r="CN83" s="1314"/>
      <c r="CO83" s="1314"/>
      <c r="CP83" s="1318">
        <f>(CP82-CK82)/(CP51-CK51)</f>
        <v>7.786957304244698</v>
      </c>
      <c r="CQ83" s="1314"/>
      <c r="CR83" s="1314"/>
      <c r="CS83" s="1314"/>
      <c r="CT83" s="1314"/>
      <c r="CU83" s="1318">
        <f>(CU82-CP82)/(CU51-CP51)</f>
        <v>-0.45074396954768953</v>
      </c>
      <c r="CV83" s="1314"/>
      <c r="CW83" s="1314"/>
      <c r="CX83" s="1314"/>
      <c r="CY83" s="1314"/>
      <c r="CZ83" s="1318">
        <f>(CZ82-CU82)/(CZ51-CU51)</f>
        <v>7.9174522275676132E-2</v>
      </c>
      <c r="DA83" s="1318">
        <f>(DA82-CZ82)/(DA51-CZ51)</f>
        <v>0.25576871914808214</v>
      </c>
      <c r="DB83" s="1318">
        <f>(DB82-DA82)/(DB51-DA51)</f>
        <v>0.28677098782397259</v>
      </c>
      <c r="DC83" s="1318">
        <f>(DC82-DB82)/(DC51-DB51)</f>
        <v>0.12426078565164343</v>
      </c>
    </row>
    <row r="84" spans="1:108" s="1178" customFormat="1" ht="11.25">
      <c r="A84" s="1292"/>
      <c r="B84" s="1292"/>
      <c r="C84" s="1295"/>
      <c r="D84" s="1295"/>
      <c r="E84" s="1292"/>
      <c r="F84" s="1292"/>
      <c r="G84" s="1292"/>
      <c r="H84" s="1292"/>
      <c r="I84" s="1292"/>
      <c r="J84" s="1292"/>
      <c r="K84" s="1292"/>
      <c r="L84" s="1292"/>
      <c r="M84" s="1292"/>
      <c r="N84" s="1294"/>
      <c r="O84" s="1292"/>
      <c r="P84" s="1292"/>
      <c r="Q84" s="1292"/>
      <c r="R84" s="1292"/>
      <c r="S84" s="1294"/>
      <c r="T84" s="1292"/>
      <c r="U84" s="1292"/>
      <c r="V84" s="1292"/>
      <c r="W84" s="1292"/>
      <c r="X84" s="1294"/>
      <c r="Y84" s="1292"/>
      <c r="Z84" s="1292"/>
      <c r="AA84" s="1292"/>
      <c r="AB84" s="1292"/>
      <c r="AC84" s="1294"/>
      <c r="AD84" s="1292"/>
      <c r="AE84" s="1292"/>
      <c r="AF84" s="1292"/>
      <c r="AG84" s="1292"/>
      <c r="AH84" s="1294"/>
      <c r="AI84" s="1292"/>
      <c r="AJ84" s="1292"/>
      <c r="AK84" s="1292"/>
      <c r="AL84" s="1292"/>
      <c r="AM84" s="1294"/>
      <c r="AN84" s="1292"/>
      <c r="AO84" s="1292"/>
      <c r="AP84" s="1292"/>
      <c r="AQ84" s="1292"/>
      <c r="AR84" s="1294"/>
      <c r="AS84" s="1292"/>
      <c r="AT84" s="1292"/>
      <c r="AU84" s="1292"/>
      <c r="AV84" s="1292"/>
      <c r="AW84" s="1293"/>
      <c r="AX84" s="1292"/>
      <c r="AY84" s="1292"/>
      <c r="AZ84" s="1292"/>
      <c r="BA84" s="1292"/>
      <c r="BB84" s="1287"/>
      <c r="BC84" s="1291"/>
      <c r="BD84" s="1291"/>
      <c r="BE84" s="1291"/>
      <c r="BF84" s="1291"/>
      <c r="BG84" s="1316"/>
      <c r="BH84" s="1317"/>
      <c r="BI84" s="1317"/>
      <c r="BJ84" s="1317"/>
      <c r="BK84" s="1317"/>
      <c r="BL84" s="1316"/>
      <c r="BM84" s="1291"/>
      <c r="BN84" s="1291"/>
      <c r="BO84" s="1291"/>
      <c r="BP84" s="1291"/>
      <c r="BQ84" s="1316"/>
      <c r="BR84" s="1237"/>
      <c r="BS84" s="1237"/>
      <c r="BT84" s="1237"/>
      <c r="BU84" s="1237"/>
      <c r="BV84" s="1316"/>
      <c r="BW84" s="1315"/>
      <c r="BX84" s="1315"/>
      <c r="BY84" s="1315"/>
      <c r="BZ84" s="1315"/>
      <c r="CA84" s="1313"/>
      <c r="CB84" s="1315"/>
      <c r="CC84" s="1315"/>
      <c r="CD84" s="1315"/>
      <c r="CE84" s="1315"/>
      <c r="CF84" s="1313"/>
      <c r="CG84" s="1314"/>
      <c r="CH84" s="1314"/>
      <c r="CI84" s="1314"/>
      <c r="CJ84" s="1314"/>
      <c r="CK84" s="1313"/>
      <c r="CL84" s="1314"/>
      <c r="CM84" s="1314"/>
      <c r="CN84" s="1314"/>
      <c r="CO84" s="1314"/>
      <c r="CP84" s="1313"/>
      <c r="CQ84" s="1314"/>
      <c r="CR84" s="1314"/>
      <c r="CS84" s="1314"/>
      <c r="CT84" s="1314"/>
      <c r="CU84" s="1313"/>
      <c r="CV84" s="1314"/>
      <c r="CW84" s="1314"/>
      <c r="CX84" s="1314"/>
      <c r="CY84" s="1314"/>
      <c r="CZ84" s="1313"/>
      <c r="DA84" s="1313"/>
      <c r="DB84" s="1313"/>
      <c r="DC84" s="1313"/>
    </row>
    <row r="85" spans="1:108" s="1178" customFormat="1" ht="11.25">
      <c r="A85" s="1306"/>
      <c r="B85" s="1306"/>
      <c r="C85" s="1191" t="s">
        <v>973</v>
      </c>
      <c r="D85" s="1309"/>
      <c r="E85" s="1306"/>
      <c r="F85" s="1306"/>
      <c r="G85" s="1306"/>
      <c r="H85" s="1306"/>
      <c r="I85" s="1306"/>
      <c r="J85" s="1306"/>
      <c r="K85" s="1306"/>
      <c r="L85" s="1306"/>
      <c r="M85" s="1306"/>
      <c r="N85" s="1294"/>
      <c r="O85" s="1306"/>
      <c r="P85" s="1306"/>
      <c r="Q85" s="1306"/>
      <c r="R85" s="1306"/>
      <c r="S85" s="1294"/>
      <c r="T85" s="1306"/>
      <c r="U85" s="1306"/>
      <c r="V85" s="1306"/>
      <c r="W85" s="1306"/>
      <c r="X85" s="1294"/>
      <c r="Y85" s="1306"/>
      <c r="Z85" s="1306"/>
      <c r="AA85" s="1306"/>
      <c r="AB85" s="1306"/>
      <c r="AC85" s="1294"/>
      <c r="AD85" s="1306"/>
      <c r="AE85" s="1306"/>
      <c r="AF85" s="1306"/>
      <c r="AG85" s="1306"/>
      <c r="AH85" s="1294"/>
      <c r="AI85" s="1306"/>
      <c r="AJ85" s="1306"/>
      <c r="AK85" s="1306"/>
      <c r="AL85" s="1306"/>
      <c r="AM85" s="1294"/>
      <c r="AN85" s="1306"/>
      <c r="AO85" s="1306"/>
      <c r="AP85" s="1306"/>
      <c r="AQ85" s="1306"/>
      <c r="AR85" s="1294"/>
      <c r="AS85" s="1292"/>
      <c r="AT85" s="1292"/>
      <c r="AU85" s="1292"/>
      <c r="AV85" s="1292"/>
      <c r="AW85" s="1293"/>
      <c r="AX85" s="1292"/>
      <c r="AY85" s="1292"/>
      <c r="AZ85" s="1292"/>
      <c r="BA85" s="1292"/>
      <c r="BB85" s="1293"/>
      <c r="BC85" s="1292"/>
      <c r="BD85" s="1292"/>
      <c r="BE85" s="1292"/>
      <c r="BF85" s="1292"/>
      <c r="BG85" s="1294"/>
      <c r="BH85" s="1292"/>
      <c r="BI85" s="1292"/>
      <c r="BJ85" s="1292"/>
      <c r="BK85" s="1292"/>
      <c r="BL85" s="1294"/>
      <c r="BM85" s="1292"/>
      <c r="BN85" s="1292"/>
      <c r="BO85" s="1292"/>
      <c r="BP85" s="1292"/>
      <c r="BQ85" s="1294"/>
      <c r="BR85" s="1310"/>
      <c r="BS85" s="1310"/>
      <c r="BT85" s="1310"/>
      <c r="BU85" s="1310"/>
      <c r="BV85" s="1312"/>
      <c r="BW85" s="1311"/>
      <c r="BX85" s="1311"/>
      <c r="BY85" s="1311"/>
      <c r="BZ85" s="1311"/>
      <c r="CA85" s="1282"/>
      <c r="CB85" s="1311"/>
      <c r="CC85" s="1311"/>
      <c r="CD85" s="1311"/>
      <c r="CE85" s="1311"/>
      <c r="CF85" s="1282">
        <v>0.19</v>
      </c>
      <c r="CG85" s="1310"/>
      <c r="CH85" s="1310"/>
      <c r="CI85" s="1310"/>
      <c r="CJ85" s="1310"/>
      <c r="CK85" s="1282">
        <v>0.18</v>
      </c>
      <c r="CL85" s="1310"/>
      <c r="CM85" s="1310"/>
      <c r="CN85" s="1310"/>
      <c r="CO85" s="1310"/>
      <c r="CP85" s="1282">
        <v>0.17</v>
      </c>
      <c r="CQ85" s="1310"/>
      <c r="CR85" s="1310"/>
      <c r="CS85" s="1310"/>
      <c r="CT85" s="1310"/>
      <c r="CU85" s="1282">
        <v>0.11</v>
      </c>
      <c r="CV85" s="1310"/>
      <c r="CW85" s="1310"/>
      <c r="CX85" s="1310"/>
      <c r="CY85" s="1310"/>
      <c r="CZ85" s="1282">
        <f>CU85-0.005</f>
        <v>0.105</v>
      </c>
      <c r="DA85" s="2079">
        <f>CZ85-0.01</f>
        <v>9.5000000000000001E-2</v>
      </c>
      <c r="DB85" s="2079">
        <f t="shared" ref="DB85:DC85" si="61">DA85-0.01</f>
        <v>8.5000000000000006E-2</v>
      </c>
      <c r="DC85" s="2079">
        <f t="shared" si="61"/>
        <v>7.5000000000000011E-2</v>
      </c>
    </row>
    <row r="86" spans="1:108" s="1178" customFormat="1" ht="11.25">
      <c r="A86" s="1306"/>
      <c r="B86" s="1306"/>
      <c r="C86" s="1191" t="s">
        <v>972</v>
      </c>
      <c r="D86" s="1309"/>
      <c r="E86" s="1306"/>
      <c r="F86" s="1306"/>
      <c r="G86" s="1306"/>
      <c r="H86" s="1306"/>
      <c r="I86" s="1306"/>
      <c r="J86" s="1306"/>
      <c r="K86" s="1306"/>
      <c r="L86" s="1306"/>
      <c r="M86" s="1306"/>
      <c r="N86" s="1294"/>
      <c r="O86" s="1306"/>
      <c r="P86" s="1306"/>
      <c r="Q86" s="1306"/>
      <c r="R86" s="1306"/>
      <c r="S86" s="1294"/>
      <c r="T86" s="1306"/>
      <c r="U86" s="1306"/>
      <c r="V86" s="1306"/>
      <c r="W86" s="1306"/>
      <c r="X86" s="1294"/>
      <c r="Y86" s="1306"/>
      <c r="Z86" s="1306"/>
      <c r="AA86" s="1306"/>
      <c r="AB86" s="1306"/>
      <c r="AC86" s="1294"/>
      <c r="AD86" s="1306"/>
      <c r="AE86" s="1306"/>
      <c r="AF86" s="1306"/>
      <c r="AG86" s="1306"/>
      <c r="AH86" s="1294"/>
      <c r="AI86" s="1306"/>
      <c r="AJ86" s="1306"/>
      <c r="AK86" s="1306"/>
      <c r="AL86" s="1306"/>
      <c r="AM86" s="1294"/>
      <c r="AN86" s="1306"/>
      <c r="AO86" s="1306"/>
      <c r="AP86" s="1306"/>
      <c r="AQ86" s="1306"/>
      <c r="AR86" s="1294"/>
      <c r="AS86" s="1292"/>
      <c r="AT86" s="1292"/>
      <c r="AU86" s="1292"/>
      <c r="AV86" s="1292"/>
      <c r="AW86" s="1293"/>
      <c r="AX86" s="1292"/>
      <c r="AY86" s="1292"/>
      <c r="AZ86" s="1292"/>
      <c r="BA86" s="1292"/>
      <c r="BB86" s="1293"/>
      <c r="BC86" s="1292"/>
      <c r="BD86" s="1292"/>
      <c r="BE86" s="1292"/>
      <c r="BF86" s="1292"/>
      <c r="BG86" s="1294"/>
      <c r="BH86" s="1292"/>
      <c r="BI86" s="1292"/>
      <c r="BJ86" s="1292"/>
      <c r="BK86" s="1292"/>
      <c r="BL86" s="1294"/>
      <c r="BM86" s="1292"/>
      <c r="BN86" s="1292"/>
      <c r="BO86" s="1292"/>
      <c r="BP86" s="1292"/>
      <c r="BQ86" s="1294"/>
      <c r="BR86" s="1310"/>
      <c r="BS86" s="1310"/>
      <c r="BT86" s="1310"/>
      <c r="BU86" s="1310"/>
      <c r="BV86" s="1312"/>
      <c r="BW86" s="1311"/>
      <c r="BX86" s="1311"/>
      <c r="BY86" s="1311"/>
      <c r="BZ86" s="1311"/>
      <c r="CA86" s="1282"/>
      <c r="CB86" s="1311"/>
      <c r="CC86" s="1311"/>
      <c r="CD86" s="1311"/>
      <c r="CE86" s="1311"/>
      <c r="CF86" s="1282">
        <v>5.4069429347724789E-2</v>
      </c>
      <c r="CG86" s="1310"/>
      <c r="CH86" s="1310"/>
      <c r="CI86" s="1310"/>
      <c r="CJ86" s="1310"/>
      <c r="CK86" s="1282">
        <v>0.06</v>
      </c>
      <c r="CL86" s="1310"/>
      <c r="CM86" s="1310"/>
      <c r="CN86" s="1310"/>
      <c r="CO86" s="1310"/>
      <c r="CP86" s="1282">
        <v>5.5E-2</v>
      </c>
      <c r="CQ86" s="1310"/>
      <c r="CR86" s="1310"/>
      <c r="CS86" s="1310"/>
      <c r="CT86" s="1310"/>
      <c r="CU86" s="1282">
        <f>CP86</f>
        <v>5.5E-2</v>
      </c>
      <c r="CV86" s="1310"/>
      <c r="CW86" s="1310"/>
      <c r="CX86" s="1310"/>
      <c r="CY86" s="1310"/>
      <c r="CZ86" s="1282">
        <f>CU86</f>
        <v>5.5E-2</v>
      </c>
      <c r="DA86" s="2079">
        <f>CZ86+0.01</f>
        <v>6.5000000000000002E-2</v>
      </c>
      <c r="DB86" s="2079">
        <f>DA86+0.01</f>
        <v>7.4999999999999997E-2</v>
      </c>
      <c r="DC86" s="2079">
        <f>DB86</f>
        <v>7.4999999999999997E-2</v>
      </c>
    </row>
    <row r="87" spans="1:108" s="1296" customFormat="1">
      <c r="A87" s="1268"/>
      <c r="B87" s="1268"/>
      <c r="C87" s="1268" t="str">
        <f>C77</f>
        <v>Total OE</v>
      </c>
      <c r="D87" s="1268"/>
      <c r="E87" s="1268"/>
      <c r="F87" s="1268"/>
      <c r="G87" s="1268"/>
      <c r="H87" s="1268"/>
      <c r="I87" s="1268"/>
      <c r="J87" s="1298"/>
      <c r="K87" s="1298"/>
      <c r="L87" s="1298"/>
      <c r="M87" s="1298"/>
      <c r="N87" s="1300"/>
      <c r="O87" s="1298"/>
      <c r="P87" s="1298"/>
      <c r="Q87" s="1298"/>
      <c r="R87" s="1298"/>
      <c r="S87" s="1300"/>
      <c r="T87" s="1298"/>
      <c r="U87" s="1301"/>
      <c r="V87" s="1298"/>
      <c r="W87" s="1298"/>
      <c r="X87" s="1300"/>
      <c r="Y87" s="1298"/>
      <c r="Z87" s="1298"/>
      <c r="AA87" s="1298"/>
      <c r="AB87" s="1298"/>
      <c r="AC87" s="1300"/>
      <c r="AD87" s="1298"/>
      <c r="AE87" s="1298"/>
      <c r="AF87" s="1298"/>
      <c r="AG87" s="1298"/>
      <c r="AH87" s="1300"/>
      <c r="AI87" s="1298"/>
      <c r="AJ87" s="1298"/>
      <c r="AK87" s="1298"/>
      <c r="AL87" s="1298"/>
      <c r="AM87" s="1300"/>
      <c r="AN87" s="1298"/>
      <c r="AO87" s="1298"/>
      <c r="AP87" s="1298"/>
      <c r="AQ87" s="1298"/>
      <c r="AR87" s="1299"/>
      <c r="AS87" s="1298"/>
      <c r="AT87" s="1298"/>
      <c r="AU87" s="1298"/>
      <c r="AV87" s="1298"/>
      <c r="AW87" s="1299"/>
      <c r="AX87" s="1298"/>
      <c r="AY87" s="1298"/>
      <c r="AZ87" s="1298"/>
      <c r="BA87" s="1298"/>
      <c r="BB87" s="1299">
        <v>7.0000000000000007E-2</v>
      </c>
      <c r="BC87" s="1298"/>
      <c r="BD87" s="1298"/>
      <c r="BE87" s="1298"/>
      <c r="BF87" s="1298"/>
      <c r="BG87" s="1299">
        <f>BG77/BG46</f>
        <v>0.11214819741497152</v>
      </c>
      <c r="BH87" s="1298"/>
      <c r="BI87" s="1298"/>
      <c r="BJ87" s="1298"/>
      <c r="BK87" s="1298"/>
      <c r="BL87" s="1299">
        <f>BL77/BL46</f>
        <v>0.12906503779046399</v>
      </c>
      <c r="BM87" s="1298"/>
      <c r="BN87" s="1298"/>
      <c r="BO87" s="1298"/>
      <c r="BP87" s="1298"/>
      <c r="BQ87" s="1299">
        <f>BL87+0.005</f>
        <v>0.134065037790464</v>
      </c>
      <c r="BR87"/>
      <c r="BS87"/>
      <c r="BT87"/>
      <c r="BU87"/>
      <c r="BV87" s="1299">
        <v>0.1</v>
      </c>
      <c r="BW87" s="1266"/>
      <c r="BX87" s="1266"/>
      <c r="BY87" s="1266"/>
      <c r="BZ87" s="1298"/>
      <c r="CA87" s="1288">
        <v>9.5000000000000001E-2</v>
      </c>
      <c r="CB87" s="1266"/>
      <c r="CD87" s="1297"/>
      <c r="CE87" s="1266"/>
      <c r="CF87" s="1288">
        <f>CF77/CF46</f>
        <v>0.11549751036965368</v>
      </c>
      <c r="CG87" s="1297"/>
      <c r="CH87" s="1297"/>
      <c r="CI87" s="1297"/>
      <c r="CJ87" s="1297"/>
      <c r="CK87" s="1288">
        <f>CK77/CK46</f>
        <v>0.11054856244426538</v>
      </c>
      <c r="CL87" s="1297"/>
      <c r="CM87" s="1297"/>
      <c r="CN87" s="1297"/>
      <c r="CO87" s="1297"/>
      <c r="CP87" s="1288">
        <f>CP77/CP46</f>
        <v>9.767068336617217E-2</v>
      </c>
      <c r="CQ87" s="1297"/>
      <c r="CR87" s="1297"/>
      <c r="CS87" s="1297"/>
      <c r="CT87" s="1297"/>
      <c r="CU87" s="1288">
        <f>CP87-0.0025</f>
        <v>9.5170683366172168E-2</v>
      </c>
      <c r="CV87" s="2118"/>
      <c r="CW87" s="2118"/>
      <c r="CX87" s="2118"/>
      <c r="CY87" s="2118"/>
      <c r="CZ87" s="1288">
        <v>0.09</v>
      </c>
      <c r="DA87" s="1288">
        <v>0.09</v>
      </c>
      <c r="DB87" s="1288">
        <v>0.09</v>
      </c>
      <c r="DC87" s="1288">
        <v>0.09</v>
      </c>
    </row>
    <row r="88" spans="1:108" s="1178" customFormat="1" ht="18" customHeight="1">
      <c r="A88" s="1306"/>
      <c r="B88" s="1306"/>
      <c r="C88" s="1191" t="s">
        <v>971</v>
      </c>
      <c r="D88" s="1309"/>
      <c r="E88" s="1306"/>
      <c r="F88" s="1306"/>
      <c r="G88" s="1306"/>
      <c r="H88" s="1306"/>
      <c r="I88" s="1306"/>
      <c r="J88" s="1306"/>
      <c r="K88" s="1306"/>
      <c r="L88" s="1306"/>
      <c r="M88" s="1306"/>
      <c r="N88" s="1294"/>
      <c r="O88" s="1306"/>
      <c r="P88" s="1306"/>
      <c r="Q88" s="1306"/>
      <c r="R88" s="1306"/>
      <c r="S88" s="1294"/>
      <c r="T88" s="1306"/>
      <c r="U88" s="1306"/>
      <c r="V88" s="1306"/>
      <c r="W88" s="1306"/>
      <c r="X88" s="1294"/>
      <c r="Y88" s="1306"/>
      <c r="Z88" s="1306"/>
      <c r="AA88" s="1306"/>
      <c r="AB88" s="1306"/>
      <c r="AC88" s="1294"/>
      <c r="AD88" s="1306"/>
      <c r="AE88" s="1306"/>
      <c r="AF88" s="1306"/>
      <c r="AG88" s="1306"/>
      <c r="AH88" s="1294"/>
      <c r="AI88" s="1306"/>
      <c r="AJ88" s="1306"/>
      <c r="AK88" s="1306"/>
      <c r="AL88" s="1306"/>
      <c r="AM88" s="1294"/>
      <c r="AN88" s="1306"/>
      <c r="AO88" s="1306"/>
      <c r="AP88" s="1306"/>
      <c r="AQ88" s="1306"/>
      <c r="AR88" s="1294"/>
      <c r="AS88" s="1292"/>
      <c r="AT88" s="1292"/>
      <c r="AU88" s="1292"/>
      <c r="AV88" s="1292"/>
      <c r="AW88" s="1308"/>
      <c r="AX88" s="1292"/>
      <c r="AY88" s="1292"/>
      <c r="AZ88" s="1292"/>
      <c r="BA88" s="1292"/>
      <c r="BB88" s="1307"/>
      <c r="BC88" s="1306"/>
      <c r="BD88" s="1306"/>
      <c r="BE88" s="1306"/>
      <c r="BF88" s="1306"/>
      <c r="BG88" s="1305"/>
      <c r="BH88" s="1206"/>
      <c r="BI88" s="1206"/>
      <c r="BJ88" s="1206"/>
      <c r="BK88" s="1206"/>
      <c r="BL88" s="1305"/>
      <c r="BM88" s="1206"/>
      <c r="BN88" s="1206"/>
      <c r="BO88" s="1206"/>
      <c r="BP88" s="1206"/>
      <c r="BQ88" s="1256"/>
      <c r="BR88" s="1189"/>
      <c r="BS88" s="1189"/>
      <c r="BT88" s="1189"/>
      <c r="BU88" s="1189"/>
      <c r="BV88" s="1304"/>
      <c r="BW88" s="1303"/>
      <c r="BX88" s="1303"/>
      <c r="BY88" s="1303"/>
      <c r="BZ88" s="1303"/>
      <c r="CA88" s="1282"/>
      <c r="CB88" s="1303"/>
      <c r="CC88" s="1303"/>
      <c r="CD88" s="1303"/>
      <c r="CE88" s="1303"/>
      <c r="CF88" s="1282">
        <v>0.24</v>
      </c>
      <c r="CG88" s="1302"/>
      <c r="CH88" s="1302"/>
      <c r="CI88" s="1302"/>
      <c r="CJ88" s="1302"/>
      <c r="CK88" s="1282">
        <v>0.22</v>
      </c>
      <c r="CL88" s="1302"/>
      <c r="CM88" s="1302"/>
      <c r="CN88" s="1302"/>
      <c r="CO88" s="1302"/>
      <c r="CP88" s="1282">
        <v>0.2</v>
      </c>
      <c r="CQ88" s="1302"/>
      <c r="CR88" s="1302"/>
      <c r="CS88" s="1302"/>
      <c r="CT88" s="1302"/>
      <c r="CU88" s="1282">
        <f>CP88</f>
        <v>0.2</v>
      </c>
      <c r="CV88" s="1302"/>
      <c r="CW88" s="1302"/>
      <c r="CX88" s="1302"/>
      <c r="CY88" s="1302"/>
      <c r="CZ88" s="1282">
        <f>CU88</f>
        <v>0.2</v>
      </c>
      <c r="DA88" s="1282">
        <f>CZ88</f>
        <v>0.2</v>
      </c>
      <c r="DB88" s="2079">
        <f t="shared" ref="DB88:DC90" si="62">DA88</f>
        <v>0.2</v>
      </c>
      <c r="DC88" s="2079">
        <f t="shared" si="62"/>
        <v>0.2</v>
      </c>
    </row>
    <row r="89" spans="1:108" s="1178" customFormat="1" ht="11.25">
      <c r="A89" s="1306"/>
      <c r="B89" s="1306"/>
      <c r="C89" s="1191" t="s">
        <v>970</v>
      </c>
      <c r="D89" s="1309"/>
      <c r="E89" s="1306"/>
      <c r="F89" s="1306"/>
      <c r="G89" s="1306"/>
      <c r="H89" s="1306"/>
      <c r="I89" s="1306"/>
      <c r="J89" s="1306"/>
      <c r="K89" s="1306"/>
      <c r="L89" s="1306"/>
      <c r="M89" s="1306"/>
      <c r="N89" s="1294"/>
      <c r="O89" s="1306"/>
      <c r="P89" s="1306"/>
      <c r="Q89" s="1306"/>
      <c r="R89" s="1306"/>
      <c r="S89" s="1294"/>
      <c r="T89" s="1306"/>
      <c r="U89" s="1306"/>
      <c r="V89" s="1306"/>
      <c r="W89" s="1306"/>
      <c r="X89" s="1294"/>
      <c r="Y89" s="1306"/>
      <c r="Z89" s="1306"/>
      <c r="AA89" s="1306"/>
      <c r="AB89" s="1306"/>
      <c r="AC89" s="1294"/>
      <c r="AD89" s="1306"/>
      <c r="AE89" s="1306"/>
      <c r="AF89" s="1306"/>
      <c r="AG89" s="1306"/>
      <c r="AH89" s="1294"/>
      <c r="AI89" s="1306"/>
      <c r="AJ89" s="1306"/>
      <c r="AK89" s="1306"/>
      <c r="AL89" s="1306"/>
      <c r="AM89" s="1294"/>
      <c r="AN89" s="1306"/>
      <c r="AO89" s="1306"/>
      <c r="AP89" s="1306"/>
      <c r="AQ89" s="1306"/>
      <c r="AR89" s="1294"/>
      <c r="AS89" s="1292"/>
      <c r="AT89" s="1292"/>
      <c r="AU89" s="1292"/>
      <c r="AV89" s="1292"/>
      <c r="AW89" s="1308"/>
      <c r="AX89" s="1292"/>
      <c r="AY89" s="1292"/>
      <c r="AZ89" s="1292"/>
      <c r="BA89" s="1292"/>
      <c r="BB89" s="1307"/>
      <c r="BC89" s="1306"/>
      <c r="BD89" s="1306"/>
      <c r="BE89" s="1306"/>
      <c r="BF89" s="1306"/>
      <c r="BG89" s="1305"/>
      <c r="BH89" s="1206"/>
      <c r="BI89" s="1206"/>
      <c r="BJ89" s="1206"/>
      <c r="BK89" s="1206"/>
      <c r="BL89" s="1305"/>
      <c r="BM89" s="1206"/>
      <c r="BN89" s="1206"/>
      <c r="BO89" s="1206"/>
      <c r="BP89" s="1206"/>
      <c r="BQ89" s="1256"/>
      <c r="BR89" s="1189"/>
      <c r="BS89" s="1189"/>
      <c r="BT89" s="1189"/>
      <c r="BU89" s="1189"/>
      <c r="BV89" s="1304"/>
      <c r="BW89" s="1303"/>
      <c r="BX89" s="1303"/>
      <c r="BY89" s="1303"/>
      <c r="BZ89" s="1303"/>
      <c r="CA89" s="1282"/>
      <c r="CB89" s="1303"/>
      <c r="CC89" s="1303"/>
      <c r="CD89" s="1303"/>
      <c r="CE89" s="1303"/>
      <c r="CF89" s="1282">
        <v>0.29350095958211281</v>
      </c>
      <c r="CG89" s="1302"/>
      <c r="CH89" s="1302"/>
      <c r="CI89" s="1302"/>
      <c r="CJ89" s="1302"/>
      <c r="CK89" s="1282">
        <f>CK79/CK48</f>
        <v>0.27260447328552428</v>
      </c>
      <c r="CL89" s="1302"/>
      <c r="CM89" s="1302"/>
      <c r="CN89" s="1302"/>
      <c r="CO89" s="1302"/>
      <c r="CP89" s="1282">
        <v>0.25</v>
      </c>
      <c r="CQ89" s="1302"/>
      <c r="CR89" s="1302"/>
      <c r="CS89" s="1302"/>
      <c r="CT89" s="1302"/>
      <c r="CU89" s="1282">
        <v>0.24</v>
      </c>
      <c r="CV89" s="1302"/>
      <c r="CW89" s="1302"/>
      <c r="CX89" s="1302"/>
      <c r="CY89" s="1302"/>
      <c r="CZ89" s="1282">
        <v>0.24249999999999999</v>
      </c>
      <c r="DA89" s="1282">
        <f>CZ89</f>
        <v>0.24249999999999999</v>
      </c>
      <c r="DB89" s="2079">
        <f t="shared" si="62"/>
        <v>0.24249999999999999</v>
      </c>
      <c r="DC89" s="2079">
        <f t="shared" si="62"/>
        <v>0.24249999999999999</v>
      </c>
    </row>
    <row r="90" spans="1:108" s="1296" customFormat="1">
      <c r="A90" s="1268"/>
      <c r="B90" s="1268"/>
      <c r="C90" s="1268" t="str">
        <f>C80</f>
        <v>Total AM</v>
      </c>
      <c r="D90" s="1268"/>
      <c r="E90" s="1268"/>
      <c r="F90" s="1268"/>
      <c r="G90" s="1268"/>
      <c r="H90" s="1268"/>
      <c r="I90" s="1268"/>
      <c r="J90" s="1298"/>
      <c r="K90" s="1298"/>
      <c r="L90" s="1298"/>
      <c r="M90" s="1298"/>
      <c r="N90" s="1300"/>
      <c r="O90" s="1298"/>
      <c r="P90" s="1298"/>
      <c r="Q90" s="1298"/>
      <c r="R90" s="1298"/>
      <c r="S90" s="1300"/>
      <c r="T90" s="1298"/>
      <c r="U90" s="1301"/>
      <c r="V90" s="1298"/>
      <c r="W90" s="1298"/>
      <c r="X90" s="1300"/>
      <c r="Y90" s="1298"/>
      <c r="Z90" s="1298"/>
      <c r="AA90" s="1298"/>
      <c r="AB90" s="1298"/>
      <c r="AC90" s="1300"/>
      <c r="AD90" s="1298"/>
      <c r="AE90" s="1298"/>
      <c r="AF90" s="1298"/>
      <c r="AG90" s="1298"/>
      <c r="AH90" s="1300"/>
      <c r="AI90" s="1298"/>
      <c r="AJ90" s="1298"/>
      <c r="AK90" s="1298"/>
      <c r="AL90" s="1298"/>
      <c r="AM90" s="1300"/>
      <c r="AN90" s="1298"/>
      <c r="AO90" s="1298"/>
      <c r="AP90" s="1298"/>
      <c r="AQ90" s="1298"/>
      <c r="AR90" s="1299"/>
      <c r="AS90" s="1298"/>
      <c r="AT90" s="1298"/>
      <c r="AU90" s="1298"/>
      <c r="AV90" s="1298"/>
      <c r="AW90" s="1299"/>
      <c r="AX90" s="1298"/>
      <c r="AY90" s="1298"/>
      <c r="AZ90" s="1298"/>
      <c r="BA90" s="1298"/>
      <c r="BB90" s="1299">
        <f>BB80/BB49</f>
        <v>0.29105792435220373</v>
      </c>
      <c r="BC90" s="1298"/>
      <c r="BD90" s="1298"/>
      <c r="BE90" s="1298"/>
      <c r="BF90" s="1298"/>
      <c r="BG90" s="1299">
        <v>0.3</v>
      </c>
      <c r="BH90" s="1298"/>
      <c r="BI90" s="1298"/>
      <c r="BJ90" s="1298"/>
      <c r="BK90" s="1298"/>
      <c r="BL90" s="1299">
        <v>0.3</v>
      </c>
      <c r="BM90" s="1298"/>
      <c r="BN90" s="1298"/>
      <c r="BO90" s="1298"/>
      <c r="BP90" s="1298"/>
      <c r="BQ90" s="1299">
        <v>0.3</v>
      </c>
      <c r="BR90"/>
      <c r="BS90"/>
      <c r="BT90"/>
      <c r="BU90"/>
      <c r="BV90" s="1299">
        <v>0.3</v>
      </c>
      <c r="BW90" s="1266"/>
      <c r="BX90" s="1266"/>
      <c r="BY90" s="1266"/>
      <c r="BZ90" s="1298"/>
      <c r="CA90" s="1288">
        <f>CA80/CA49</f>
        <v>0.29809828320143494</v>
      </c>
      <c r="CB90" s="1266"/>
      <c r="CD90" s="1297"/>
      <c r="CE90" s="1266"/>
      <c r="CF90" s="1288">
        <f>CF80/CF49</f>
        <v>0.29192742398565841</v>
      </c>
      <c r="CG90" s="1297"/>
      <c r="CH90" s="1297"/>
      <c r="CI90" s="1297"/>
      <c r="CJ90" s="1297"/>
      <c r="CK90" s="1288">
        <f>CK80/CK49</f>
        <v>0.27079407343413836</v>
      </c>
      <c r="CL90" s="1297"/>
      <c r="CM90" s="1297"/>
      <c r="CN90" s="1297"/>
      <c r="CO90" s="1297"/>
      <c r="CP90" s="1288">
        <f>CP80/CP49</f>
        <v>0.24823041436867557</v>
      </c>
      <c r="CQ90" s="1297"/>
      <c r="CR90" s="1297"/>
      <c r="CS90" s="1297"/>
      <c r="CT90" s="1297"/>
      <c r="CU90" s="1288">
        <f>CP90</f>
        <v>0.24823041436867557</v>
      </c>
      <c r="CV90" s="2118"/>
      <c r="CW90" s="2118"/>
      <c r="CX90" s="2118"/>
      <c r="CY90" s="2118"/>
      <c r="CZ90" s="1288">
        <f>CU90</f>
        <v>0.24823041436867557</v>
      </c>
      <c r="DA90" s="1288">
        <f>CZ90</f>
        <v>0.24823041436867557</v>
      </c>
      <c r="DB90" s="1288">
        <f t="shared" si="62"/>
        <v>0.24823041436867557</v>
      </c>
      <c r="DC90" s="1288">
        <f t="shared" si="62"/>
        <v>0.24823041436867557</v>
      </c>
    </row>
    <row r="91" spans="1:108" s="1178" customFormat="1" ht="17.25" customHeight="1">
      <c r="A91" s="1292"/>
      <c r="B91" s="1292"/>
      <c r="C91" s="1295" t="s">
        <v>277</v>
      </c>
      <c r="D91" s="1295"/>
      <c r="E91" s="1292"/>
      <c r="F91" s="1292"/>
      <c r="G91" s="1292"/>
      <c r="H91" s="1292"/>
      <c r="I91" s="1292"/>
      <c r="J91" s="1292"/>
      <c r="K91" s="1292"/>
      <c r="L91" s="1292"/>
      <c r="M91" s="1292"/>
      <c r="N91" s="1294"/>
      <c r="O91" s="1292"/>
      <c r="P91" s="1292"/>
      <c r="Q91" s="1292"/>
      <c r="R91" s="1292"/>
      <c r="S91" s="1294"/>
      <c r="T91" s="1292"/>
      <c r="U91" s="1292"/>
      <c r="V91" s="1292"/>
      <c r="W91" s="1292"/>
      <c r="X91" s="1294"/>
      <c r="Y91" s="1292"/>
      <c r="Z91" s="1292"/>
      <c r="AA91" s="1292"/>
      <c r="AB91" s="1292"/>
      <c r="AC91" s="1294"/>
      <c r="AD91" s="1292"/>
      <c r="AE91" s="1292"/>
      <c r="AF91" s="1292"/>
      <c r="AG91" s="1292"/>
      <c r="AH91" s="1294"/>
      <c r="AI91" s="1292"/>
      <c r="AJ91" s="1292"/>
      <c r="AK91" s="1292"/>
      <c r="AL91" s="1292"/>
      <c r="AM91" s="1294"/>
      <c r="AN91" s="1292"/>
      <c r="AO91" s="1292"/>
      <c r="AP91" s="1292"/>
      <c r="AQ91" s="1292"/>
      <c r="AR91" s="1294"/>
      <c r="AS91" s="1292"/>
      <c r="AT91" s="1292"/>
      <c r="AU91" s="1292"/>
      <c r="AV91" s="1292"/>
      <c r="AW91" s="1293"/>
      <c r="AX91" s="1292"/>
      <c r="AY91" s="1292"/>
      <c r="AZ91" s="1292"/>
      <c r="BA91" s="1292"/>
      <c r="BB91" s="1288">
        <f>BB82/BB51</f>
        <v>0.19291064947100162</v>
      </c>
      <c r="BC91" s="1291"/>
      <c r="BD91" s="1291"/>
      <c r="BE91" s="1291"/>
      <c r="BF91" s="1291"/>
      <c r="BG91" s="1288">
        <f>BG82/BG51</f>
        <v>0.21777701953424891</v>
      </c>
      <c r="BH91" s="1291"/>
      <c r="BI91" s="1291"/>
      <c r="BJ91" s="1291"/>
      <c r="BK91" s="1291"/>
      <c r="BL91" s="1288">
        <f>BL82/BL51</f>
        <v>0.22955350202953623</v>
      </c>
      <c r="BM91" s="1291"/>
      <c r="BN91" s="1291"/>
      <c r="BO91" s="1291"/>
      <c r="BP91" s="1291"/>
      <c r="BQ91" s="1288">
        <f>BQ82/BQ51</f>
        <v>0.23221034011417543</v>
      </c>
      <c r="BR91" s="1237"/>
      <c r="BS91" s="1237"/>
      <c r="BT91" s="1237"/>
      <c r="BU91" s="1237"/>
      <c r="BV91" s="1288">
        <f>BV82/BV51</f>
        <v>0.22196416721964168</v>
      </c>
      <c r="BW91" s="1290"/>
      <c r="BX91" s="1290"/>
      <c r="BY91" s="1290"/>
      <c r="BZ91" s="1290"/>
      <c r="CA91" s="1288">
        <f>CA82/CA51</f>
        <v>0.21451457866068568</v>
      </c>
      <c r="CB91" s="1290"/>
      <c r="CC91" s="1290"/>
      <c r="CD91" s="1290"/>
      <c r="CE91" s="1290"/>
      <c r="CF91" s="1288">
        <f>CF82/CF51</f>
        <v>0.21253396285845627</v>
      </c>
      <c r="CG91" s="1289"/>
      <c r="CH91" s="1289"/>
      <c r="CI91" s="1289"/>
      <c r="CJ91" s="1289"/>
      <c r="CK91" s="1288">
        <f>CK82/CK51</f>
        <v>0.20053259802072992</v>
      </c>
      <c r="CL91" s="1289"/>
      <c r="CM91" s="1289"/>
      <c r="CN91" s="1289"/>
      <c r="CO91" s="1289"/>
      <c r="CP91" s="1288">
        <f>CP82/CP51</f>
        <v>0.18806533608191159</v>
      </c>
      <c r="CQ91" s="1289"/>
      <c r="CR91" s="1289"/>
      <c r="CS91" s="1289"/>
      <c r="CT91" s="1289"/>
      <c r="CU91" s="1288">
        <f>CU82/CU51</f>
        <v>0.17125041456970061</v>
      </c>
      <c r="CV91" s="1289"/>
      <c r="CW91" s="1289"/>
      <c r="CX91" s="1289"/>
      <c r="CY91" s="1289"/>
      <c r="CZ91" s="1288">
        <f>CZ82/CZ51</f>
        <v>0.16655559041709969</v>
      </c>
      <c r="DA91" s="1288">
        <f>DA82/DA51</f>
        <v>0.16841054258948446</v>
      </c>
      <c r="DB91" s="1288">
        <f>DB82/DB51</f>
        <v>0.17072370116738411</v>
      </c>
      <c r="DC91" s="1288">
        <f>DC82/DC51</f>
        <v>0.16989034676905007</v>
      </c>
    </row>
    <row r="92" spans="1:108" s="1178" customFormat="1" ht="11.25">
      <c r="A92" s="1292"/>
      <c r="B92" s="1292"/>
      <c r="C92" s="1295"/>
      <c r="D92" s="1295"/>
      <c r="E92" s="1292"/>
      <c r="F92" s="1292"/>
      <c r="G92" s="1292"/>
      <c r="H92" s="1292"/>
      <c r="I92" s="1292"/>
      <c r="J92" s="1292"/>
      <c r="K92" s="1292"/>
      <c r="L92" s="1292"/>
      <c r="M92" s="1292"/>
      <c r="N92" s="1294"/>
      <c r="O92" s="1292"/>
      <c r="P92" s="1292"/>
      <c r="Q92" s="1292"/>
      <c r="R92" s="1292"/>
      <c r="S92" s="1294"/>
      <c r="T92" s="1292"/>
      <c r="U92" s="1292"/>
      <c r="V92" s="1292"/>
      <c r="W92" s="1292"/>
      <c r="X92" s="1294"/>
      <c r="Y92" s="1292"/>
      <c r="Z92" s="1292"/>
      <c r="AA92" s="1292"/>
      <c r="AB92" s="1292"/>
      <c r="AC92" s="1294"/>
      <c r="AD92" s="1292"/>
      <c r="AE92" s="1292"/>
      <c r="AF92" s="1292"/>
      <c r="AG92" s="1292"/>
      <c r="AH92" s="1294"/>
      <c r="AI92" s="1292"/>
      <c r="AJ92" s="1292"/>
      <c r="AK92" s="1292"/>
      <c r="AL92" s="1292"/>
      <c r="AM92" s="1294"/>
      <c r="AN92" s="1292"/>
      <c r="AO92" s="1292"/>
      <c r="AP92" s="1292"/>
      <c r="AQ92" s="1292"/>
      <c r="AR92" s="1294"/>
      <c r="AS92" s="1292"/>
      <c r="AT92" s="1292"/>
      <c r="AU92" s="1292"/>
      <c r="AV92" s="1292"/>
      <c r="AW92" s="1293"/>
      <c r="AX92" s="1292"/>
      <c r="AY92" s="1292"/>
      <c r="AZ92" s="1292"/>
      <c r="BA92" s="1292"/>
      <c r="BB92" s="1288"/>
      <c r="BC92" s="1291"/>
      <c r="BD92" s="1291"/>
      <c r="BE92" s="1291"/>
      <c r="BF92" s="1291"/>
      <c r="BG92" s="1288"/>
      <c r="BH92" s="1291"/>
      <c r="BI92" s="1291"/>
      <c r="BJ92" s="1291"/>
      <c r="BK92" s="1291"/>
      <c r="BL92" s="1288"/>
      <c r="BM92" s="1291"/>
      <c r="BN92" s="1291"/>
      <c r="BO92" s="1291"/>
      <c r="BP92" s="1291"/>
      <c r="BQ92" s="1288"/>
      <c r="BR92" s="1237"/>
      <c r="BS92" s="1237"/>
      <c r="BT92" s="1237"/>
      <c r="BU92" s="1237"/>
      <c r="BV92" s="1288"/>
      <c r="BW92" s="1290"/>
      <c r="BX92" s="1290"/>
      <c r="BY92" s="1290"/>
      <c r="BZ92" s="1290"/>
      <c r="CA92" s="1288"/>
      <c r="CB92" s="1290"/>
      <c r="CC92" s="1290"/>
      <c r="CD92" s="1290"/>
      <c r="CE92" s="1290"/>
      <c r="CF92" s="1288"/>
      <c r="CG92" s="1289"/>
      <c r="CH92" s="1289"/>
      <c r="CI92" s="1289"/>
      <c r="CJ92" s="1289"/>
      <c r="CK92" s="1288"/>
      <c r="CL92" s="1289"/>
      <c r="CM92" s="1289"/>
      <c r="CN92" s="1289"/>
      <c r="CO92" s="1289"/>
      <c r="CP92" s="1288"/>
      <c r="CQ92" s="1289"/>
      <c r="CR92" s="1289"/>
      <c r="CS92" s="1289"/>
      <c r="CT92" s="1289"/>
      <c r="CU92" s="1288"/>
      <c r="CV92" s="1289"/>
      <c r="CW92" s="1289"/>
      <c r="CX92" s="1289"/>
      <c r="CY92" s="1289"/>
      <c r="CZ92" s="1288"/>
      <c r="DA92" s="1288"/>
      <c r="DB92" s="1288"/>
      <c r="DC92" s="1288"/>
    </row>
    <row r="93" spans="1:108" s="1178" customFormat="1" ht="11.25">
      <c r="A93" s="1191"/>
      <c r="B93" s="1191"/>
      <c r="C93" s="1191" t="s">
        <v>969</v>
      </c>
      <c r="D93" s="1191"/>
      <c r="E93" s="1191"/>
      <c r="F93" s="1191"/>
      <c r="G93" s="1191"/>
      <c r="H93" s="1191"/>
      <c r="I93" s="1191"/>
      <c r="J93" s="1191"/>
      <c r="K93" s="1191"/>
      <c r="L93" s="1191"/>
      <c r="M93" s="1191"/>
      <c r="N93" s="1214"/>
      <c r="O93" s="1191"/>
      <c r="P93" s="1191"/>
      <c r="Q93" s="1191"/>
      <c r="R93" s="1191"/>
      <c r="S93" s="1214"/>
      <c r="T93" s="1191"/>
      <c r="U93" s="1191"/>
      <c r="V93" s="1191"/>
      <c r="W93" s="1191"/>
      <c r="X93" s="1214"/>
      <c r="Y93" s="1191"/>
      <c r="Z93" s="1191"/>
      <c r="AA93" s="1191"/>
      <c r="AB93" s="1191"/>
      <c r="AC93" s="1214"/>
      <c r="AD93" s="1191"/>
      <c r="AE93" s="1191"/>
      <c r="AF93" s="1191"/>
      <c r="AG93" s="1191"/>
      <c r="AH93" s="1214"/>
      <c r="AI93" s="1191"/>
      <c r="AJ93" s="1191"/>
      <c r="AK93" s="1191"/>
      <c r="AL93" s="1191"/>
      <c r="AM93" s="1214"/>
      <c r="AN93" s="1191"/>
      <c r="AO93" s="1191"/>
      <c r="AP93" s="1191"/>
      <c r="AQ93" s="1191"/>
      <c r="AR93" s="1214"/>
      <c r="AS93" s="1182"/>
      <c r="AT93" s="1182"/>
      <c r="AU93" s="1182"/>
      <c r="AV93" s="1182"/>
      <c r="AW93" s="1287"/>
      <c r="AX93" s="1182"/>
      <c r="AY93" s="1182"/>
      <c r="AZ93" s="1182"/>
      <c r="BA93" s="1182"/>
      <c r="BB93" s="1214"/>
      <c r="BC93" s="1182"/>
      <c r="BD93" s="1182"/>
      <c r="BE93" s="1182"/>
      <c r="BF93" s="1182"/>
      <c r="BG93" s="1214"/>
      <c r="BH93" s="1182"/>
      <c r="BI93" s="1182"/>
      <c r="BJ93" s="1182"/>
      <c r="BK93" s="1182"/>
      <c r="BL93" s="1214"/>
      <c r="BM93" s="1182"/>
      <c r="BN93" s="1182"/>
      <c r="BO93" s="1182"/>
      <c r="BP93" s="1182"/>
      <c r="BQ93" s="1214"/>
      <c r="BR93" s="1190"/>
      <c r="BS93" s="1190"/>
      <c r="BT93" s="1190"/>
      <c r="BU93" s="1190"/>
      <c r="BV93" s="1223"/>
      <c r="BW93" s="1190"/>
      <c r="BX93" s="1190"/>
      <c r="BY93" s="1190"/>
      <c r="BZ93" s="1190"/>
      <c r="CA93" s="1223"/>
      <c r="CB93" s="1190"/>
      <c r="CC93" s="1190"/>
      <c r="CD93" s="1190"/>
      <c r="CE93" s="1190"/>
      <c r="CF93" s="1223"/>
      <c r="CG93" s="1229"/>
      <c r="CH93" s="1229"/>
      <c r="CI93" s="1189"/>
      <c r="CJ93" s="1189"/>
      <c r="CK93" s="1286">
        <f>'Divisional Summary'!CH208</f>
        <v>-20</v>
      </c>
      <c r="CL93" s="1189"/>
      <c r="CM93" s="1189"/>
      <c r="CN93" s="1189"/>
      <c r="CO93" s="1189"/>
      <c r="CP93" s="1286">
        <f>'Divisional Summary'!CL$208</f>
        <v>25</v>
      </c>
      <c r="CQ93" s="1189"/>
      <c r="CR93" s="1189"/>
      <c r="CS93" s="1189"/>
      <c r="CT93" s="1189"/>
      <c r="CU93" s="1286">
        <f>'Divisional Summary'!CQ$208</f>
        <v>0</v>
      </c>
      <c r="CV93" s="1189"/>
      <c r="CW93" s="1189"/>
      <c r="CX93" s="1189"/>
      <c r="CY93" s="1189"/>
      <c r="CZ93" s="1221"/>
      <c r="DA93" s="1221"/>
      <c r="DB93" s="2111"/>
      <c r="DC93" s="2111"/>
    </row>
    <row r="94" spans="1:108" s="1178" customFormat="1" ht="11.25">
      <c r="A94" s="1191"/>
      <c r="B94" s="1191"/>
      <c r="C94" s="1191" t="s">
        <v>968</v>
      </c>
      <c r="D94" s="1191"/>
      <c r="E94" s="1191"/>
      <c r="F94" s="1191"/>
      <c r="G94" s="1191"/>
      <c r="H94" s="1191"/>
      <c r="I94" s="1191"/>
      <c r="J94" s="1191"/>
      <c r="K94" s="1191"/>
      <c r="L94" s="1191"/>
      <c r="M94" s="1191"/>
      <c r="N94" s="1214"/>
      <c r="O94" s="1191"/>
      <c r="P94" s="1191"/>
      <c r="Q94" s="1191"/>
      <c r="R94" s="1191"/>
      <c r="S94" s="1214"/>
      <c r="T94" s="1191"/>
      <c r="U94" s="1191"/>
      <c r="V94" s="1191"/>
      <c r="W94" s="1191"/>
      <c r="X94" s="1214"/>
      <c r="Y94" s="1191"/>
      <c r="Z94" s="1191"/>
      <c r="AA94" s="1191"/>
      <c r="AB94" s="1191"/>
      <c r="AC94" s="1214"/>
      <c r="AD94" s="1191"/>
      <c r="AE94" s="1191"/>
      <c r="AF94" s="1191"/>
      <c r="AG94" s="1191"/>
      <c r="AH94" s="1214"/>
      <c r="AI94" s="1191"/>
      <c r="AJ94" s="1191"/>
      <c r="AK94" s="1191"/>
      <c r="AL94" s="1191"/>
      <c r="AM94" s="1214"/>
      <c r="AN94" s="1191"/>
      <c r="AO94" s="1191"/>
      <c r="AP94" s="1191"/>
      <c r="AQ94" s="1191"/>
      <c r="AR94" s="1214"/>
      <c r="AS94" s="1182"/>
      <c r="AT94" s="1182"/>
      <c r="AU94" s="1182"/>
      <c r="AV94" s="1182"/>
      <c r="AW94" s="1287"/>
      <c r="AX94" s="1182"/>
      <c r="AY94" s="1182"/>
      <c r="AZ94" s="1182"/>
      <c r="BA94" s="1182"/>
      <c r="BB94" s="1214"/>
      <c r="BC94" s="1182"/>
      <c r="BD94" s="1182"/>
      <c r="BE94" s="1182"/>
      <c r="BF94" s="1182"/>
      <c r="BG94" s="1214"/>
      <c r="BH94" s="1182"/>
      <c r="BI94" s="1182"/>
      <c r="BJ94" s="1182"/>
      <c r="BK94" s="1182"/>
      <c r="BL94" s="1214"/>
      <c r="BM94" s="1182"/>
      <c r="BN94" s="1182"/>
      <c r="BO94" s="1182"/>
      <c r="BP94" s="1182"/>
      <c r="BQ94" s="1214"/>
      <c r="BR94" s="1190"/>
      <c r="BS94" s="1190"/>
      <c r="BT94" s="1190"/>
      <c r="BU94" s="1190"/>
      <c r="BV94" s="1223"/>
      <c r="BW94" s="1190"/>
      <c r="BX94" s="1190"/>
      <c r="BY94" s="1190"/>
      <c r="BZ94" s="1190"/>
      <c r="CA94" s="1223"/>
      <c r="CB94" s="1190"/>
      <c r="CC94" s="1190"/>
      <c r="CD94" s="1190"/>
      <c r="CE94" s="1190"/>
      <c r="CF94" s="1223"/>
      <c r="CG94" s="1229"/>
      <c r="CH94" s="1229"/>
      <c r="CI94" s="1189"/>
      <c r="CJ94" s="1189"/>
      <c r="CK94" s="1286">
        <v>-5</v>
      </c>
      <c r="CL94" s="1189"/>
      <c r="CM94" s="1189"/>
      <c r="CN94" s="1189"/>
      <c r="CO94" s="1189"/>
      <c r="CP94" s="1236">
        <v>-50</v>
      </c>
      <c r="CQ94" s="1189"/>
      <c r="CR94" s="1189"/>
      <c r="CS94" s="1189"/>
      <c r="CT94" s="1189"/>
      <c r="CU94" s="1221">
        <v>-75</v>
      </c>
      <c r="CV94" s="1189"/>
      <c r="CW94" s="1189"/>
      <c r="CX94" s="1189"/>
      <c r="CY94" s="1189"/>
      <c r="CZ94" s="1221"/>
      <c r="DA94" s="1221"/>
      <c r="DB94" s="2111"/>
      <c r="DC94" s="2111"/>
      <c r="DD94" s="2135"/>
    </row>
    <row r="95" spans="1:108" s="1178" customFormat="1" ht="11.25">
      <c r="A95" s="1191"/>
      <c r="B95" s="1191"/>
      <c r="C95" s="1191" t="s">
        <v>595</v>
      </c>
      <c r="D95" s="1191"/>
      <c r="E95" s="1191"/>
      <c r="F95" s="1191"/>
      <c r="G95" s="1191"/>
      <c r="H95" s="1191"/>
      <c r="I95" s="1191"/>
      <c r="J95" s="1191"/>
      <c r="K95" s="1191"/>
      <c r="L95" s="1191"/>
      <c r="M95" s="1191"/>
      <c r="N95" s="1214"/>
      <c r="O95" s="1191"/>
      <c r="P95" s="1191"/>
      <c r="Q95" s="1191"/>
      <c r="R95" s="1191"/>
      <c r="S95" s="1214"/>
      <c r="T95" s="1191"/>
      <c r="U95" s="1191"/>
      <c r="V95" s="1191"/>
      <c r="W95" s="1191"/>
      <c r="X95" s="1214"/>
      <c r="Y95" s="1191"/>
      <c r="Z95" s="1191"/>
      <c r="AA95" s="1191"/>
      <c r="AB95" s="1191"/>
      <c r="AC95" s="1214"/>
      <c r="AD95" s="1191"/>
      <c r="AE95" s="1191"/>
      <c r="AF95" s="1191"/>
      <c r="AG95" s="1191"/>
      <c r="AH95" s="1214"/>
      <c r="AI95" s="1191"/>
      <c r="AJ95" s="1191"/>
      <c r="AK95" s="1191"/>
      <c r="AL95" s="1191"/>
      <c r="AM95" s="1214"/>
      <c r="AN95" s="1191"/>
      <c r="AO95" s="1191"/>
      <c r="AP95" s="1191"/>
      <c r="AQ95" s="1191"/>
      <c r="AR95" s="1214"/>
      <c r="AS95" s="1182"/>
      <c r="AT95" s="1182"/>
      <c r="AU95" s="1182"/>
      <c r="AV95" s="1182"/>
      <c r="AW95" s="1287"/>
      <c r="AX95" s="1182"/>
      <c r="AY95" s="1182"/>
      <c r="AZ95" s="1182"/>
      <c r="BA95" s="1182"/>
      <c r="BB95" s="1214"/>
      <c r="BC95" s="1182"/>
      <c r="BD95" s="1182"/>
      <c r="BE95" s="1182"/>
      <c r="BF95" s="1182"/>
      <c r="BG95" s="1214"/>
      <c r="BH95" s="1182"/>
      <c r="BI95" s="1182"/>
      <c r="BJ95" s="1182"/>
      <c r="BK95" s="1182"/>
      <c r="BL95" s="1214"/>
      <c r="BM95" s="1182"/>
      <c r="BN95" s="1182"/>
      <c r="BO95" s="1182"/>
      <c r="BP95" s="1182"/>
      <c r="BQ95" s="1214"/>
      <c r="BR95" s="1190"/>
      <c r="BS95" s="1190"/>
      <c r="BT95" s="1190"/>
      <c r="BU95" s="1190"/>
      <c r="BV95" s="1223"/>
      <c r="BW95" s="1190"/>
      <c r="BX95" s="1190"/>
      <c r="BY95" s="1190"/>
      <c r="BZ95" s="1190"/>
      <c r="CA95" s="1223"/>
      <c r="CB95" s="1190"/>
      <c r="CC95" s="1190"/>
      <c r="CD95" s="1190"/>
      <c r="CE95" s="1190"/>
      <c r="CF95" s="1223"/>
      <c r="CG95" s="1229"/>
      <c r="CH95" s="1229"/>
      <c r="CI95" s="1189"/>
      <c r="CJ95" s="1189"/>
      <c r="CK95" s="1286">
        <v>125</v>
      </c>
      <c r="CL95" s="1189"/>
      <c r="CM95" s="1189"/>
      <c r="CN95" s="1189"/>
      <c r="CO95" s="1189"/>
      <c r="CP95" s="1286">
        <v>125</v>
      </c>
      <c r="CQ95" s="1189"/>
      <c r="CR95" s="1189"/>
      <c r="CS95" s="1189"/>
      <c r="CT95" s="1189"/>
      <c r="CU95" s="1446">
        <v>75</v>
      </c>
      <c r="CV95" s="1189"/>
      <c r="CW95" s="1189"/>
      <c r="CX95" s="1189"/>
      <c r="CY95" s="1189"/>
      <c r="CZ95" s="1221">
        <f>9/15*CU27</f>
        <v>27</v>
      </c>
      <c r="DA95" s="1221">
        <f>9/15*CZ27</f>
        <v>27</v>
      </c>
      <c r="DB95" s="2111">
        <f>9/15*DA27</f>
        <v>27</v>
      </c>
      <c r="DC95" s="2111">
        <f>9/15*DB27</f>
        <v>27</v>
      </c>
    </row>
    <row r="96" spans="1:108" s="1178" customFormat="1" ht="11.25">
      <c r="A96" s="1191"/>
      <c r="B96" s="1191"/>
      <c r="C96" s="1191"/>
      <c r="D96" s="1191"/>
      <c r="E96" s="1191"/>
      <c r="F96" s="1191"/>
      <c r="G96" s="1191"/>
      <c r="H96" s="1191"/>
      <c r="I96" s="1191"/>
      <c r="J96" s="1191"/>
      <c r="K96" s="1191"/>
      <c r="L96" s="1191"/>
      <c r="M96" s="1191"/>
      <c r="N96" s="1214"/>
      <c r="O96" s="1191"/>
      <c r="P96" s="1191"/>
      <c r="Q96" s="1191"/>
      <c r="R96" s="1191"/>
      <c r="S96" s="1214"/>
      <c r="T96" s="1191"/>
      <c r="U96" s="1191"/>
      <c r="V96" s="1191"/>
      <c r="W96" s="1191"/>
      <c r="X96" s="1214"/>
      <c r="Y96" s="1191"/>
      <c r="Z96" s="1191"/>
      <c r="AA96" s="1191"/>
      <c r="AB96" s="1191"/>
      <c r="AC96" s="1214"/>
      <c r="AD96" s="1191"/>
      <c r="AE96" s="1191"/>
      <c r="AF96" s="1191"/>
      <c r="AG96" s="1191"/>
      <c r="AH96" s="1214"/>
      <c r="AI96" s="1191"/>
      <c r="AJ96" s="1191"/>
      <c r="AK96" s="1191"/>
      <c r="AL96" s="1191"/>
      <c r="AM96" s="1214"/>
      <c r="AN96" s="1191"/>
      <c r="AO96" s="1191"/>
      <c r="AP96" s="1191"/>
      <c r="AQ96" s="1191"/>
      <c r="AR96" s="1214"/>
      <c r="AS96" s="1182"/>
      <c r="AT96" s="1182"/>
      <c r="AU96" s="1182"/>
      <c r="AV96" s="1182"/>
      <c r="AW96" s="1287"/>
      <c r="AX96" s="1182"/>
      <c r="AY96" s="1182"/>
      <c r="AZ96" s="1182"/>
      <c r="BA96" s="1182"/>
      <c r="BB96" s="1214"/>
      <c r="BC96" s="1182"/>
      <c r="BD96" s="1182"/>
      <c r="BE96" s="1182"/>
      <c r="BF96" s="1182"/>
      <c r="BG96" s="1214"/>
      <c r="BH96" s="1182"/>
      <c r="BI96" s="1182"/>
      <c r="BJ96" s="1182"/>
      <c r="BK96" s="1182"/>
      <c r="BL96" s="1214"/>
      <c r="BM96" s="1182"/>
      <c r="BN96" s="1182"/>
      <c r="BO96" s="1182"/>
      <c r="BP96" s="1182"/>
      <c r="BQ96" s="1214"/>
      <c r="BR96" s="1190"/>
      <c r="BS96" s="1190"/>
      <c r="BT96" s="1190"/>
      <c r="BU96" s="1190"/>
      <c r="BV96" s="1223"/>
      <c r="BW96" s="1190"/>
      <c r="BX96" s="1190"/>
      <c r="BY96" s="1190"/>
      <c r="BZ96" s="1190"/>
      <c r="CA96" s="1223"/>
      <c r="CB96" s="1190"/>
      <c r="CC96" s="1190"/>
      <c r="CD96" s="1190"/>
      <c r="CE96" s="1190"/>
      <c r="CF96" s="1223"/>
      <c r="CG96" s="1229"/>
      <c r="CH96" s="1229"/>
      <c r="CI96" s="1189"/>
      <c r="CJ96" s="1189"/>
      <c r="CK96" s="1286">
        <f>SUM(CK93:CK95)</f>
        <v>100</v>
      </c>
      <c r="CL96" s="1189"/>
      <c r="CM96" s="1189"/>
      <c r="CN96" s="1189"/>
      <c r="CO96" s="1189"/>
      <c r="CP96" s="1286">
        <f>SUM(CP93:CP95)</f>
        <v>100</v>
      </c>
      <c r="CQ96" s="1189"/>
      <c r="CR96" s="1189"/>
      <c r="CS96" s="1189"/>
      <c r="CT96" s="1189"/>
      <c r="CU96" s="1286">
        <f>SUM(CU93:CU95)</f>
        <v>0</v>
      </c>
      <c r="CV96" s="1189"/>
      <c r="CW96" s="1189"/>
      <c r="CX96" s="1189"/>
      <c r="CY96" s="1189"/>
      <c r="CZ96" s="1286">
        <f>SUM(CZ93:CZ95)</f>
        <v>27</v>
      </c>
      <c r="DA96" s="1286">
        <f>SUM(DA93:DA95)</f>
        <v>27</v>
      </c>
      <c r="DB96" s="1286">
        <f>SUM(DB93:DB95)</f>
        <v>27</v>
      </c>
      <c r="DC96" s="1286">
        <f>SUM(DC93:DC95)</f>
        <v>27</v>
      </c>
    </row>
    <row r="97" spans="1:107" s="1178" customFormat="1" ht="11.25">
      <c r="A97" s="1191"/>
      <c r="B97" s="1191"/>
      <c r="C97" s="1191"/>
      <c r="D97" s="1191"/>
      <c r="E97" s="1191"/>
      <c r="F97" s="1191"/>
      <c r="G97" s="1191"/>
      <c r="H97" s="1191"/>
      <c r="I97" s="1191"/>
      <c r="J97" s="1191"/>
      <c r="K97" s="1191"/>
      <c r="L97" s="1191"/>
      <c r="M97" s="1191"/>
      <c r="N97" s="1214"/>
      <c r="O97" s="1191"/>
      <c r="P97" s="1191"/>
      <c r="Q97" s="1191"/>
      <c r="R97" s="1191"/>
      <c r="S97" s="1214"/>
      <c r="T97" s="1191"/>
      <c r="U97" s="1191"/>
      <c r="V97" s="1191"/>
      <c r="W97" s="1191"/>
      <c r="X97" s="1214"/>
      <c r="Y97" s="1191"/>
      <c r="Z97" s="1191"/>
      <c r="AA97" s="1191"/>
      <c r="AB97" s="1191"/>
      <c r="AC97" s="1214"/>
      <c r="AD97" s="1191"/>
      <c r="AE97" s="1191"/>
      <c r="AF97" s="1191"/>
      <c r="AG97" s="1191"/>
      <c r="AH97" s="1214"/>
      <c r="AI97" s="1191"/>
      <c r="AJ97" s="1191"/>
      <c r="AK97" s="1191"/>
      <c r="AL97" s="1191"/>
      <c r="AM97" s="1214"/>
      <c r="AN97" s="1191"/>
      <c r="AO97" s="1191"/>
      <c r="AP97" s="1191"/>
      <c r="AQ97" s="1191"/>
      <c r="AR97" s="1214"/>
      <c r="AS97" s="1182"/>
      <c r="AT97" s="1182"/>
      <c r="AU97" s="1182"/>
      <c r="AV97" s="1182"/>
      <c r="AW97" s="1287"/>
      <c r="AX97" s="1182"/>
      <c r="AY97" s="1182"/>
      <c r="AZ97" s="1182"/>
      <c r="BA97" s="1182"/>
      <c r="BB97" s="1214"/>
      <c r="BC97" s="1182"/>
      <c r="BD97" s="1182"/>
      <c r="BE97" s="1182"/>
      <c r="BF97" s="1182"/>
      <c r="BG97" s="1214"/>
      <c r="BH97" s="1182"/>
      <c r="BI97" s="1182"/>
      <c r="BJ97" s="1182"/>
      <c r="BK97" s="1182"/>
      <c r="BL97" s="1214"/>
      <c r="BM97" s="1182"/>
      <c r="BN97" s="1182"/>
      <c r="BO97" s="1182"/>
      <c r="BP97" s="1182"/>
      <c r="BQ97" s="1214"/>
      <c r="BR97" s="1190"/>
      <c r="BS97" s="1190"/>
      <c r="BT97" s="1190"/>
      <c r="BU97" s="1190"/>
      <c r="BV97" s="1223"/>
      <c r="BW97" s="1190"/>
      <c r="BX97" s="1190"/>
      <c r="BY97" s="1190"/>
      <c r="BZ97" s="1190"/>
      <c r="CA97" s="1223"/>
      <c r="CB97" s="1190"/>
      <c r="CC97" s="1190"/>
      <c r="CD97" s="1190"/>
      <c r="CE97" s="1190"/>
      <c r="CF97" s="1223"/>
      <c r="CG97" s="1229"/>
      <c r="CH97" s="1229"/>
      <c r="CI97" s="1189"/>
      <c r="CJ97" s="1189"/>
      <c r="CK97" s="1280"/>
      <c r="CL97" s="1189"/>
      <c r="CM97" s="1189"/>
      <c r="CN97" s="1189"/>
      <c r="CO97" s="1189"/>
      <c r="CP97" s="1286"/>
      <c r="CQ97" s="1189"/>
      <c r="CR97" s="1189"/>
      <c r="CS97" s="1189"/>
      <c r="CT97" s="1189"/>
      <c r="CU97" s="1221"/>
      <c r="CV97" s="1189"/>
      <c r="CW97" s="1189"/>
      <c r="CX97" s="1189"/>
      <c r="CY97" s="1189"/>
      <c r="CZ97" s="1221"/>
      <c r="DA97" s="1221"/>
      <c r="DB97" s="2111"/>
      <c r="DC97" s="2111"/>
    </row>
    <row r="98" spans="1:107" s="1178" customFormat="1" ht="11.25">
      <c r="A98" s="1191"/>
      <c r="B98" s="1191"/>
      <c r="C98" s="1182" t="s">
        <v>967</v>
      </c>
      <c r="D98" s="1191"/>
      <c r="E98" s="1191"/>
      <c r="F98" s="1191"/>
      <c r="G98" s="1191"/>
      <c r="H98" s="1191"/>
      <c r="I98" s="1191"/>
      <c r="J98" s="1191"/>
      <c r="K98" s="1191"/>
      <c r="L98" s="1191"/>
      <c r="M98" s="1191"/>
      <c r="N98" s="1214"/>
      <c r="O98" s="1191"/>
      <c r="P98" s="1191"/>
      <c r="Q98" s="1191"/>
      <c r="R98" s="1191"/>
      <c r="S98" s="1214"/>
      <c r="T98" s="1191"/>
      <c r="U98" s="1191"/>
      <c r="V98" s="1191"/>
      <c r="W98" s="1191"/>
      <c r="X98" s="1214"/>
      <c r="Y98" s="1191"/>
      <c r="Z98" s="1191"/>
      <c r="AA98" s="1191"/>
      <c r="AB98" s="1191"/>
      <c r="AC98" s="1214"/>
      <c r="AD98" s="1191"/>
      <c r="AE98" s="1191"/>
      <c r="AF98" s="1191"/>
      <c r="AG98" s="1191"/>
      <c r="AH98" s="1214"/>
      <c r="AI98" s="1191"/>
      <c r="AJ98" s="1191"/>
      <c r="AK98" s="1191"/>
      <c r="AL98" s="1191"/>
      <c r="AM98" s="1214"/>
      <c r="AN98" s="1191"/>
      <c r="AO98" s="1191"/>
      <c r="AP98" s="1191"/>
      <c r="AQ98" s="1191"/>
      <c r="AR98" s="1214"/>
      <c r="AS98" s="1182"/>
      <c r="AT98" s="1182"/>
      <c r="AU98" s="1182"/>
      <c r="AV98" s="1182"/>
      <c r="AW98" s="1214"/>
      <c r="AX98" s="1182"/>
      <c r="AY98" s="1182"/>
      <c r="AZ98" s="1182"/>
      <c r="BA98" s="1182"/>
      <c r="BB98" s="1214"/>
      <c r="BC98" s="1182"/>
      <c r="BD98" s="1182"/>
      <c r="BE98" s="1182"/>
      <c r="BF98" s="1182"/>
      <c r="BG98" s="1214"/>
      <c r="BH98" s="1182"/>
      <c r="BI98" s="1182"/>
      <c r="BJ98" s="1182"/>
      <c r="BK98" s="1182"/>
      <c r="BL98" s="1214"/>
      <c r="BM98" s="1182"/>
      <c r="BN98" s="1182"/>
      <c r="BO98" s="1182"/>
      <c r="BP98" s="1182"/>
      <c r="BQ98" s="1214"/>
      <c r="BR98" s="1190"/>
      <c r="BS98" s="1190"/>
      <c r="BT98" s="1190"/>
      <c r="BU98" s="1190"/>
      <c r="BV98" s="1223"/>
      <c r="BW98" s="1190"/>
      <c r="BX98" s="1190"/>
      <c r="BY98" s="1190"/>
      <c r="BZ98" s="1190"/>
      <c r="CA98" s="1223"/>
      <c r="CB98" s="1190"/>
      <c r="CC98" s="1190"/>
      <c r="CD98" s="1190"/>
      <c r="CE98" s="1190"/>
      <c r="CF98" s="1223"/>
      <c r="CG98" s="1281">
        <f>CG35-CB35</f>
        <v>-54</v>
      </c>
      <c r="CH98" s="1281">
        <f>CH35-CC35</f>
        <v>-79</v>
      </c>
      <c r="CI98" s="1281">
        <f>CI35-CD35</f>
        <v>-58</v>
      </c>
      <c r="CJ98" s="1281">
        <f>CJ35-CE35</f>
        <v>-147</v>
      </c>
      <c r="CK98" s="1179"/>
      <c r="CL98" s="1189"/>
      <c r="CM98" s="1189"/>
      <c r="CN98" s="1189"/>
      <c r="CO98" s="1189"/>
      <c r="CP98" s="1280"/>
      <c r="CQ98" s="1189"/>
      <c r="CR98" s="1189"/>
      <c r="CS98" s="1189"/>
      <c r="CT98" s="1189"/>
      <c r="CU98" s="1221"/>
      <c r="CV98" s="1189"/>
      <c r="CW98" s="1189"/>
      <c r="CX98" s="1189"/>
      <c r="CY98" s="1189"/>
      <c r="CZ98" s="1221"/>
      <c r="DA98" s="1221"/>
      <c r="DB98" s="2111"/>
      <c r="DC98" s="2111"/>
    </row>
    <row r="99" spans="1:107" s="1178" customFormat="1" ht="11.25">
      <c r="A99" s="1191"/>
      <c r="B99" s="1191"/>
      <c r="C99" s="1191" t="s">
        <v>966</v>
      </c>
      <c r="D99" s="1191"/>
      <c r="E99" s="1191"/>
      <c r="F99" s="1191"/>
      <c r="G99" s="1191"/>
      <c r="H99" s="1191"/>
      <c r="I99" s="1191"/>
      <c r="J99" s="1191"/>
      <c r="K99" s="1191"/>
      <c r="L99" s="1191"/>
      <c r="M99" s="1191"/>
      <c r="N99" s="1214"/>
      <c r="O99" s="1191"/>
      <c r="P99" s="1191"/>
      <c r="Q99" s="1191"/>
      <c r="R99" s="1191"/>
      <c r="S99" s="1214"/>
      <c r="T99" s="1191"/>
      <c r="U99" s="1191"/>
      <c r="V99" s="1191"/>
      <c r="W99" s="1191"/>
      <c r="X99" s="1214"/>
      <c r="Y99" s="1191"/>
      <c r="Z99" s="1191"/>
      <c r="AA99" s="1191"/>
      <c r="AB99" s="1191"/>
      <c r="AC99" s="1214"/>
      <c r="AD99" s="1191"/>
      <c r="AE99" s="1191"/>
      <c r="AF99" s="1191"/>
      <c r="AG99" s="1191"/>
      <c r="AH99" s="1214"/>
      <c r="AI99" s="1191"/>
      <c r="AJ99" s="1191"/>
      <c r="AK99" s="1191"/>
      <c r="AL99" s="1191"/>
      <c r="AM99" s="1214"/>
      <c r="AN99" s="1191"/>
      <c r="AO99" s="1191"/>
      <c r="AP99" s="1191"/>
      <c r="AQ99" s="1191"/>
      <c r="AR99" s="1214"/>
      <c r="AS99" s="1182"/>
      <c r="AT99" s="1182"/>
      <c r="AU99" s="1182"/>
      <c r="AV99" s="1182"/>
      <c r="AW99" s="1214"/>
      <c r="AX99" s="1182"/>
      <c r="AY99" s="1182"/>
      <c r="AZ99" s="1182"/>
      <c r="BA99" s="1182"/>
      <c r="BB99" s="1214"/>
      <c r="BC99" s="1182"/>
      <c r="BD99" s="1182"/>
      <c r="BE99" s="1182"/>
      <c r="BF99" s="1182"/>
      <c r="BG99" s="1214"/>
      <c r="BH99" s="1182"/>
      <c r="BI99" s="1182"/>
      <c r="BJ99" s="1182"/>
      <c r="BK99" s="1182"/>
      <c r="BL99" s="1214"/>
      <c r="BM99" s="1182"/>
      <c r="BN99" s="1182"/>
      <c r="BO99" s="1182"/>
      <c r="BP99" s="1182"/>
      <c r="BQ99" s="1214"/>
      <c r="BR99" s="1190"/>
      <c r="BS99" s="1190"/>
      <c r="BT99" s="1190"/>
      <c r="BU99" s="1190"/>
      <c r="BV99" s="1223"/>
      <c r="BW99" s="1190"/>
      <c r="BX99" s="1190"/>
      <c r="BY99" s="1190"/>
      <c r="BZ99" s="1190"/>
      <c r="CA99" s="1223"/>
      <c r="CB99" s="1190"/>
      <c r="CC99" s="1190"/>
      <c r="CD99" s="1190"/>
      <c r="CE99" s="1190"/>
      <c r="CF99" s="1223"/>
      <c r="CG99" s="1285">
        <f>(CG98-CG102-$CK$96/4)/(CB12*CG16)</f>
        <v>-0.1983925549915399</v>
      </c>
      <c r="CH99" s="1285">
        <f>(CH98-CH102-$CK$96/4)/(CC12*CH16)</f>
        <v>-0.85698365527488751</v>
      </c>
      <c r="CI99" s="1285">
        <f>(CI98-CI102-$CK$96/4)/(CD12*CI16)</f>
        <v>6.5844858689115993E-2</v>
      </c>
      <c r="CJ99" s="1285">
        <f>(CJ98-CJ102-$CK$96/4)/(CE12*CJ16)</f>
        <v>-3.0923261390887293</v>
      </c>
      <c r="CK99" s="1282"/>
      <c r="CL99" s="1283"/>
      <c r="CM99" s="1283"/>
      <c r="CN99" s="1283"/>
      <c r="CO99" s="1283"/>
      <c r="CP99" s="1282"/>
      <c r="CQ99" s="1283"/>
      <c r="CR99" s="1283"/>
      <c r="CS99" s="1283"/>
      <c r="CT99" s="1283"/>
      <c r="CU99" s="1221"/>
      <c r="CV99" s="1283"/>
      <c r="CW99" s="1283"/>
      <c r="CX99" s="1283"/>
      <c r="CY99" s="1283"/>
      <c r="CZ99" s="1221"/>
      <c r="DA99" s="1221"/>
      <c r="DB99" s="2111"/>
      <c r="DC99" s="2111"/>
    </row>
    <row r="100" spans="1:107" s="1178" customFormat="1" ht="11.25">
      <c r="A100" s="1191"/>
      <c r="B100" s="1191"/>
      <c r="C100" s="1191" t="s">
        <v>965</v>
      </c>
      <c r="D100" s="1191"/>
      <c r="E100" s="1191"/>
      <c r="F100" s="1191"/>
      <c r="G100" s="1191"/>
      <c r="H100" s="1191"/>
      <c r="I100" s="1191"/>
      <c r="J100" s="1191"/>
      <c r="K100" s="1191"/>
      <c r="L100" s="1191"/>
      <c r="M100" s="1191"/>
      <c r="N100" s="1214"/>
      <c r="O100" s="1191"/>
      <c r="P100" s="1191"/>
      <c r="Q100" s="1191"/>
      <c r="R100" s="1191"/>
      <c r="S100" s="1214"/>
      <c r="T100" s="1191"/>
      <c r="U100" s="1191"/>
      <c r="V100" s="1191"/>
      <c r="W100" s="1191"/>
      <c r="X100" s="1214"/>
      <c r="Y100" s="1191"/>
      <c r="Z100" s="1191"/>
      <c r="AA100" s="1191"/>
      <c r="AB100" s="1191"/>
      <c r="AC100" s="1214"/>
      <c r="AD100" s="1191"/>
      <c r="AE100" s="1191"/>
      <c r="AF100" s="1191"/>
      <c r="AG100" s="1191"/>
      <c r="AH100" s="1214"/>
      <c r="AI100" s="1191"/>
      <c r="AJ100" s="1191"/>
      <c r="AK100" s="1191"/>
      <c r="AL100" s="1191"/>
      <c r="AM100" s="1214"/>
      <c r="AN100" s="1191"/>
      <c r="AO100" s="1191"/>
      <c r="AP100" s="1191"/>
      <c r="AQ100" s="1191"/>
      <c r="AR100" s="1214"/>
      <c r="AS100" s="1182"/>
      <c r="AT100" s="1182"/>
      <c r="AU100" s="1182"/>
      <c r="AV100" s="1182"/>
      <c r="AW100" s="1214"/>
      <c r="AX100" s="1182"/>
      <c r="AY100" s="1182"/>
      <c r="AZ100" s="1182"/>
      <c r="BA100" s="1182"/>
      <c r="BB100" s="1214"/>
      <c r="BC100" s="1182"/>
      <c r="BD100" s="1182"/>
      <c r="BE100" s="1182"/>
      <c r="BF100" s="1182"/>
      <c r="BG100" s="1214"/>
      <c r="BH100" s="1182"/>
      <c r="BI100" s="1182"/>
      <c r="BJ100" s="1182"/>
      <c r="BK100" s="1182"/>
      <c r="BL100" s="1214"/>
      <c r="BM100" s="1182"/>
      <c r="BN100" s="1182"/>
      <c r="BO100" s="1182"/>
      <c r="BP100" s="1182"/>
      <c r="BQ100" s="1214"/>
      <c r="BR100" s="1190"/>
      <c r="BS100" s="1190"/>
      <c r="BT100" s="1190"/>
      <c r="BU100" s="1190"/>
      <c r="BV100" s="1223"/>
      <c r="BW100" s="1190"/>
      <c r="BX100" s="1190"/>
      <c r="BY100" s="1190"/>
      <c r="BZ100" s="1190"/>
      <c r="CA100" s="1223"/>
      <c r="CB100" s="1190"/>
      <c r="CC100" s="1190"/>
      <c r="CD100" s="1190"/>
      <c r="CE100" s="1190"/>
      <c r="CF100" s="1223"/>
      <c r="CG100" s="1284">
        <v>0.25</v>
      </c>
      <c r="CH100" s="1284">
        <v>0.25</v>
      </c>
      <c r="CI100" s="1284">
        <v>0.25</v>
      </c>
      <c r="CJ100" s="1284">
        <v>0.25</v>
      </c>
      <c r="CK100" s="1282"/>
      <c r="CL100" s="1283"/>
      <c r="CM100" s="1283"/>
      <c r="CN100" s="1283"/>
      <c r="CO100" s="1283"/>
      <c r="CP100" s="1282">
        <f>CK36</f>
        <v>0.20053259802072992</v>
      </c>
      <c r="CQ100" s="1283"/>
      <c r="CR100" s="1283"/>
      <c r="CS100" s="1283"/>
      <c r="CT100" s="1283"/>
      <c r="CU100" s="2241">
        <f>CP36</f>
        <v>0.18807686909710372</v>
      </c>
      <c r="CV100" s="1283"/>
      <c r="CW100" s="1283"/>
      <c r="CX100" s="1283"/>
      <c r="CY100" s="1283"/>
      <c r="CZ100" s="2330">
        <f>CU36</f>
        <v>0.17125041456970061</v>
      </c>
      <c r="DA100" s="1221"/>
      <c r="DB100" s="2111"/>
      <c r="DC100" s="2111"/>
    </row>
    <row r="101" spans="1:107" s="1178" customFormat="1" ht="11.25">
      <c r="A101" s="1191"/>
      <c r="B101" s="1191"/>
      <c r="C101" s="1191" t="s">
        <v>964</v>
      </c>
      <c r="D101" s="1191"/>
      <c r="E101" s="1191"/>
      <c r="F101" s="1191"/>
      <c r="G101" s="1191"/>
      <c r="H101" s="1191"/>
      <c r="I101" s="1191"/>
      <c r="J101" s="1191"/>
      <c r="K101" s="1191"/>
      <c r="L101" s="1191"/>
      <c r="M101" s="1191"/>
      <c r="N101" s="1214"/>
      <c r="O101" s="1191"/>
      <c r="P101" s="1191"/>
      <c r="Q101" s="1191"/>
      <c r="R101" s="1191"/>
      <c r="S101" s="1214"/>
      <c r="T101" s="1191"/>
      <c r="U101" s="1191"/>
      <c r="V101" s="1191"/>
      <c r="W101" s="1191"/>
      <c r="X101" s="1214"/>
      <c r="Y101" s="1191"/>
      <c r="Z101" s="1191"/>
      <c r="AA101" s="1191"/>
      <c r="AB101" s="1191"/>
      <c r="AC101" s="1214"/>
      <c r="AD101" s="1191"/>
      <c r="AE101" s="1191"/>
      <c r="AF101" s="1191"/>
      <c r="AG101" s="1191"/>
      <c r="AH101" s="1214"/>
      <c r="AI101" s="1191"/>
      <c r="AJ101" s="1191"/>
      <c r="AK101" s="1191"/>
      <c r="AL101" s="1191"/>
      <c r="AM101" s="1214"/>
      <c r="AN101" s="1191"/>
      <c r="AO101" s="1191"/>
      <c r="AP101" s="1191"/>
      <c r="AQ101" s="1191"/>
      <c r="AR101" s="1214"/>
      <c r="AS101" s="1182"/>
      <c r="AT101" s="1182"/>
      <c r="AU101" s="1182"/>
      <c r="AV101" s="1182"/>
      <c r="AW101" s="1214"/>
      <c r="AX101" s="1182"/>
      <c r="AY101" s="1182"/>
      <c r="AZ101" s="1182"/>
      <c r="BA101" s="1182"/>
      <c r="BB101" s="1214"/>
      <c r="BC101" s="1182"/>
      <c r="BD101" s="1182"/>
      <c r="BE101" s="1182"/>
      <c r="BF101" s="1182"/>
      <c r="BG101" s="1214"/>
      <c r="BH101" s="1182"/>
      <c r="BI101" s="1182"/>
      <c r="BJ101" s="1182"/>
      <c r="BK101" s="1182"/>
      <c r="BL101" s="1214"/>
      <c r="BM101" s="1182"/>
      <c r="BN101" s="1182"/>
      <c r="BO101" s="1182"/>
      <c r="BP101" s="1182"/>
      <c r="BQ101" s="1214"/>
      <c r="BR101" s="1190"/>
      <c r="BS101" s="1190"/>
      <c r="BT101" s="1190"/>
      <c r="BU101" s="1190"/>
      <c r="BV101" s="1223"/>
      <c r="BW101" s="1190"/>
      <c r="BX101" s="1190"/>
      <c r="BY101" s="1190"/>
      <c r="BZ101" s="1190"/>
      <c r="CA101" s="1223"/>
      <c r="CB101" s="1190"/>
      <c r="CC101" s="1190"/>
      <c r="CD101" s="1190"/>
      <c r="CE101" s="1190"/>
      <c r="CF101" s="1223"/>
      <c r="CG101" s="1281">
        <f>CG99*CG16*CB12</f>
        <v>-11.725000000000007</v>
      </c>
      <c r="CH101" s="1281">
        <f>CH99*CH16*CC12</f>
        <v>-28.837499999999967</v>
      </c>
      <c r="CI101" s="1281">
        <f>CI99*CI16*CD12</f>
        <v>4.3799999999999963</v>
      </c>
      <c r="CJ101" s="1281">
        <f>CJ99*CJ16*CE12</f>
        <v>-103.16000000000001</v>
      </c>
      <c r="CK101" s="1280">
        <f>SUM(CG101:CJ101)</f>
        <v>-139.34249999999997</v>
      </c>
      <c r="CL101" s="1189"/>
      <c r="CM101" s="1189"/>
      <c r="CN101" s="1189"/>
      <c r="CO101" s="1189"/>
      <c r="CP101" s="1280"/>
      <c r="CQ101" s="1189"/>
      <c r="CR101" s="1189"/>
      <c r="CS101" s="1189"/>
      <c r="CT101" s="1189"/>
      <c r="CU101" s="1221"/>
      <c r="CV101" s="1189"/>
      <c r="CW101" s="1189"/>
      <c r="CX101" s="1189"/>
      <c r="CY101" s="1189"/>
      <c r="CZ101" s="1221"/>
      <c r="DA101" s="1221"/>
      <c r="DB101" s="2111"/>
      <c r="DC101" s="2111"/>
    </row>
    <row r="102" spans="1:107" s="1178" customFormat="1" ht="11.25">
      <c r="A102" s="1191"/>
      <c r="B102" s="1191"/>
      <c r="C102" s="1191" t="s">
        <v>150</v>
      </c>
      <c r="D102" s="1191"/>
      <c r="E102" s="1191"/>
      <c r="F102" s="1191"/>
      <c r="G102" s="1191"/>
      <c r="H102" s="1191"/>
      <c r="I102" s="1191"/>
      <c r="J102" s="1191"/>
      <c r="K102" s="1191"/>
      <c r="L102" s="1191"/>
      <c r="M102" s="1191"/>
      <c r="N102" s="1214"/>
      <c r="O102" s="1191"/>
      <c r="P102" s="1191"/>
      <c r="Q102" s="1191"/>
      <c r="R102" s="1191"/>
      <c r="S102" s="1214"/>
      <c r="T102" s="1191"/>
      <c r="U102" s="1191"/>
      <c r="V102" s="1191"/>
      <c r="W102" s="1191"/>
      <c r="X102" s="1214"/>
      <c r="Y102" s="1191"/>
      <c r="Z102" s="1191"/>
      <c r="AA102" s="1191"/>
      <c r="AB102" s="1191"/>
      <c r="AC102" s="1214"/>
      <c r="AD102" s="1191"/>
      <c r="AE102" s="1191"/>
      <c r="AF102" s="1191"/>
      <c r="AG102" s="1191"/>
      <c r="AH102" s="1214"/>
      <c r="AI102" s="1191"/>
      <c r="AJ102" s="1191"/>
      <c r="AK102" s="1191"/>
      <c r="AL102" s="1191"/>
      <c r="AM102" s="1214"/>
      <c r="AN102" s="1191"/>
      <c r="AO102" s="1191"/>
      <c r="AP102" s="1191"/>
      <c r="AQ102" s="1191"/>
      <c r="AR102" s="1214"/>
      <c r="AS102" s="1182"/>
      <c r="AT102" s="1182"/>
      <c r="AU102" s="1182"/>
      <c r="AV102" s="1182"/>
      <c r="AW102" s="1214"/>
      <c r="AX102" s="1182"/>
      <c r="AY102" s="1182"/>
      <c r="AZ102" s="1182"/>
      <c r="BA102" s="1182"/>
      <c r="BB102" s="1214"/>
      <c r="BC102" s="1182"/>
      <c r="BD102" s="1182"/>
      <c r="BE102" s="1182"/>
      <c r="BF102" s="1182"/>
      <c r="BG102" s="1214"/>
      <c r="BH102" s="1182"/>
      <c r="BI102" s="1182"/>
      <c r="BJ102" s="1182"/>
      <c r="BK102" s="1182"/>
      <c r="BL102" s="1214"/>
      <c r="BM102" s="1182"/>
      <c r="BN102" s="1182"/>
      <c r="BO102" s="1182"/>
      <c r="BP102" s="1182"/>
      <c r="BQ102" s="1214"/>
      <c r="BR102" s="1190"/>
      <c r="BS102" s="1190"/>
      <c r="BT102" s="1190"/>
      <c r="BU102" s="1190"/>
      <c r="BV102" s="1223"/>
      <c r="BW102" s="1190"/>
      <c r="BX102" s="1190"/>
      <c r="BY102" s="1190"/>
      <c r="BZ102" s="1190"/>
      <c r="CA102" s="1223"/>
      <c r="CB102" s="1190"/>
      <c r="CC102" s="1190"/>
      <c r="CD102" s="1190"/>
      <c r="CE102" s="1190"/>
      <c r="CF102" s="1223"/>
      <c r="CG102" s="1281">
        <f>CG100*CG15*CB12</f>
        <v>-67.274999999999991</v>
      </c>
      <c r="CH102" s="1281">
        <f>CH100*CH15*CC12</f>
        <v>-75.162500000000037</v>
      </c>
      <c r="CI102" s="1281">
        <f>CI100*CI15*CD12</f>
        <v>-87.38</v>
      </c>
      <c r="CJ102" s="1281">
        <f>CJ100*CJ15*CE12</f>
        <v>-68.839999999999989</v>
      </c>
      <c r="CK102" s="1280">
        <f>SUM(CG102:CJ102)</f>
        <v>-298.65750000000003</v>
      </c>
      <c r="CL102" s="1189"/>
      <c r="CM102" s="1189"/>
      <c r="CN102" s="1189"/>
      <c r="CO102" s="1189"/>
      <c r="CP102" s="1280">
        <f>CP100*CP15*CK12</f>
        <v>-55.649801276732759</v>
      </c>
      <c r="CQ102" s="1189"/>
      <c r="CR102" s="1189"/>
      <c r="CS102" s="1189"/>
      <c r="CT102" s="1189"/>
      <c r="CU102" s="1280">
        <f>CU100*CU15*CP12</f>
        <v>-2.3053461542214331</v>
      </c>
      <c r="CV102" s="1189"/>
      <c r="CW102" s="1189"/>
      <c r="CX102" s="1189"/>
      <c r="CY102" s="1189"/>
      <c r="CZ102" s="2324">
        <f>CZ100*CZ15*CU12</f>
        <v>52.472940658992023</v>
      </c>
      <c r="DA102" s="1221"/>
      <c r="DB102" s="2111"/>
      <c r="DC102" s="2111"/>
    </row>
    <row r="103" spans="1:107" s="1178" customFormat="1" ht="12" thickBot="1">
      <c r="A103" s="1191"/>
      <c r="B103" s="1277"/>
      <c r="C103" s="1277" t="s">
        <v>149</v>
      </c>
      <c r="D103" s="1277"/>
      <c r="E103" s="1277"/>
      <c r="F103" s="1277"/>
      <c r="G103" s="1277"/>
      <c r="H103" s="1277"/>
      <c r="I103" s="1277"/>
      <c r="J103" s="1277"/>
      <c r="K103" s="1277"/>
      <c r="L103" s="1277"/>
      <c r="M103" s="1277"/>
      <c r="N103" s="1278"/>
      <c r="O103" s="1277"/>
      <c r="P103" s="1277"/>
      <c r="Q103" s="1277"/>
      <c r="R103" s="1277"/>
      <c r="S103" s="1278"/>
      <c r="T103" s="1277"/>
      <c r="U103" s="1277"/>
      <c r="V103" s="1277"/>
      <c r="W103" s="1277"/>
      <c r="X103" s="1278"/>
      <c r="Y103" s="1277"/>
      <c r="Z103" s="1277"/>
      <c r="AA103" s="1277"/>
      <c r="AB103" s="1277"/>
      <c r="AC103" s="1278"/>
      <c r="AD103" s="1277"/>
      <c r="AE103" s="1277"/>
      <c r="AF103" s="1277"/>
      <c r="AG103" s="1277"/>
      <c r="AH103" s="1278"/>
      <c r="AI103" s="1277"/>
      <c r="AJ103" s="1277"/>
      <c r="AK103" s="1277"/>
      <c r="AL103" s="1277"/>
      <c r="AM103" s="1278"/>
      <c r="AN103" s="1277"/>
      <c r="AO103" s="1277"/>
      <c r="AP103" s="1277"/>
      <c r="AQ103" s="1277"/>
      <c r="AR103" s="1278"/>
      <c r="AS103" s="1279"/>
      <c r="AT103" s="1279"/>
      <c r="AU103" s="1279"/>
      <c r="AV103" s="1279"/>
      <c r="AW103" s="1278"/>
      <c r="AX103" s="1279"/>
      <c r="AY103" s="1279"/>
      <c r="AZ103" s="1279"/>
      <c r="BA103" s="1279"/>
      <c r="BB103" s="1278"/>
      <c r="BC103" s="1279"/>
      <c r="BD103" s="1279"/>
      <c r="BE103" s="1279"/>
      <c r="BF103" s="1279"/>
      <c r="BG103" s="1278"/>
      <c r="BH103" s="1279"/>
      <c r="BI103" s="1279"/>
      <c r="BJ103" s="1279"/>
      <c r="BK103" s="1279"/>
      <c r="BL103" s="1278"/>
      <c r="BM103" s="1279"/>
      <c r="BN103" s="1279"/>
      <c r="BO103" s="1279"/>
      <c r="BP103" s="1279"/>
      <c r="BQ103" s="1278"/>
      <c r="BR103" s="1277"/>
      <c r="BS103" s="1277"/>
      <c r="BT103" s="1277"/>
      <c r="BU103" s="1277"/>
      <c r="BV103" s="1276"/>
      <c r="BW103" s="1277"/>
      <c r="BX103" s="1277"/>
      <c r="BY103" s="1277"/>
      <c r="BZ103" s="1277"/>
      <c r="CA103" s="1276"/>
      <c r="CB103" s="1277"/>
      <c r="CC103" s="1277"/>
      <c r="CD103" s="1277"/>
      <c r="CE103" s="1277"/>
      <c r="CF103" s="1276"/>
      <c r="CG103" s="1275"/>
      <c r="CH103" s="1275"/>
      <c r="CI103" s="1275"/>
      <c r="CJ103" s="1275"/>
      <c r="CK103" s="1273"/>
      <c r="CL103" s="1274"/>
      <c r="CM103" s="1274"/>
      <c r="CN103" s="1274"/>
      <c r="CO103" s="1274"/>
      <c r="CP103" s="1273">
        <f>CP14*CK12*CP89/4-CO26+CN26-5</f>
        <v>-2.1124999999999972</v>
      </c>
      <c r="CQ103" s="1274"/>
      <c r="CR103" s="1274"/>
      <c r="CS103" s="1274"/>
      <c r="CT103" s="1274"/>
      <c r="CU103" s="1273">
        <f>CU14*CP12*CU89-(CU26-CP26)</f>
        <v>38.764287265675499</v>
      </c>
      <c r="CV103" s="1274"/>
      <c r="CW103" s="1274"/>
      <c r="CX103" s="1274"/>
      <c r="CY103" s="1274"/>
      <c r="CZ103" s="1272"/>
      <c r="DA103" s="1272"/>
      <c r="DB103" s="1272"/>
      <c r="DC103" s="1272"/>
    </row>
    <row r="104" spans="1:107" s="1178" customFormat="1" ht="11.25">
      <c r="A104" s="1182"/>
      <c r="B104" s="1182" t="s">
        <v>963</v>
      </c>
      <c r="C104" s="1234"/>
      <c r="D104" s="1182"/>
      <c r="E104" s="1270"/>
      <c r="F104" s="1270"/>
      <c r="G104" s="1270"/>
      <c r="H104" s="1270"/>
      <c r="I104" s="1270"/>
      <c r="J104" s="1270" t="s">
        <v>946</v>
      </c>
      <c r="K104" s="1270" t="s">
        <v>946</v>
      </c>
      <c r="L104" s="1270" t="s">
        <v>946</v>
      </c>
      <c r="M104" s="1270" t="s">
        <v>946</v>
      </c>
      <c r="N104" s="1269" t="s">
        <v>946</v>
      </c>
      <c r="O104" s="1270" t="s">
        <v>946</v>
      </c>
      <c r="P104" s="1270" t="s">
        <v>946</v>
      </c>
      <c r="Q104" s="1270" t="s">
        <v>946</v>
      </c>
      <c r="R104" s="1270" t="s">
        <v>946</v>
      </c>
      <c r="S104" s="1269" t="s">
        <v>946</v>
      </c>
      <c r="T104" s="1268">
        <f>9%*1/4</f>
        <v>2.2499999999999999E-2</v>
      </c>
      <c r="U104" s="1270">
        <v>0.2</v>
      </c>
      <c r="V104" s="1270" t="s">
        <v>946</v>
      </c>
      <c r="W104" s="1270" t="s">
        <v>946</v>
      </c>
      <c r="X104" s="1269" t="s">
        <v>946</v>
      </c>
      <c r="Y104" s="1270">
        <v>0.2</v>
      </c>
      <c r="Z104" s="1270" t="s">
        <v>946</v>
      </c>
      <c r="AA104" s="1270" t="s">
        <v>946</v>
      </c>
      <c r="AB104" s="1270" t="s">
        <v>946</v>
      </c>
      <c r="AC104" s="1267">
        <f>9%*3/4</f>
        <v>6.7500000000000004E-2</v>
      </c>
      <c r="AD104" s="1270" t="s">
        <v>946</v>
      </c>
      <c r="AE104" s="1270" t="s">
        <v>946</v>
      </c>
      <c r="AF104" s="1270">
        <v>0.1</v>
      </c>
      <c r="AG104" s="1270" t="s">
        <v>946</v>
      </c>
      <c r="AH104" s="1269">
        <v>0.16</v>
      </c>
      <c r="AI104" s="1268">
        <v>4.4999999999999998E-2</v>
      </c>
      <c r="AJ104" s="1268">
        <f>9%*3/4</f>
        <v>6.7500000000000004E-2</v>
      </c>
      <c r="AK104" s="1268">
        <v>4.4999999999999998E-2</v>
      </c>
      <c r="AL104" s="1270" t="s">
        <v>946</v>
      </c>
      <c r="AM104" s="1269" t="s">
        <v>946</v>
      </c>
      <c r="AN104" s="1270" t="s">
        <v>946</v>
      </c>
      <c r="AO104" s="1270" t="s">
        <v>946</v>
      </c>
      <c r="AP104" s="1268">
        <v>0.25</v>
      </c>
      <c r="AQ104" s="1270" t="s">
        <v>946</v>
      </c>
      <c r="AR104" s="1269" t="s">
        <v>946</v>
      </c>
      <c r="AS104" s="1268">
        <v>0.27</v>
      </c>
      <c r="AT104" s="1268">
        <v>0.26</v>
      </c>
      <c r="AU104" s="1268">
        <v>0.2</v>
      </c>
      <c r="AV104" s="1268">
        <v>0.2</v>
      </c>
      <c r="AW104" s="1267">
        <f>AVERAGE(AS104:AV104)</f>
        <v>0.23249999999999998</v>
      </c>
      <c r="AX104" s="1268">
        <v>0.2</v>
      </c>
      <c r="AY104" s="1268">
        <v>0.23</v>
      </c>
      <c r="AZ104" s="1268">
        <v>0</v>
      </c>
      <c r="BA104" s="1271">
        <v>-0.14000000000000001</v>
      </c>
      <c r="BB104" s="1267">
        <v>0.08</v>
      </c>
      <c r="BC104" s="1268">
        <v>-0.43</v>
      </c>
      <c r="BD104" s="1270" t="s">
        <v>946</v>
      </c>
      <c r="BE104" s="1270" t="s">
        <v>946</v>
      </c>
      <c r="BF104" s="1270" t="s">
        <v>946</v>
      </c>
      <c r="BG104" s="1267">
        <v>-0.31</v>
      </c>
      <c r="BH104" s="1268">
        <v>0.09</v>
      </c>
      <c r="BI104" s="1270" t="s">
        <v>946</v>
      </c>
      <c r="BJ104" s="1270" t="s">
        <v>946</v>
      </c>
      <c r="BK104" s="1268">
        <v>0.11</v>
      </c>
      <c r="BL104" s="1267">
        <v>7.0000000000000007E-2</v>
      </c>
      <c r="BM104" s="1268">
        <v>0.17</v>
      </c>
      <c r="BN104" s="1268">
        <v>0.23</v>
      </c>
      <c r="BO104" s="1268">
        <v>0.19</v>
      </c>
      <c r="BP104" s="1270">
        <f>BQ104*4-BM104-BN104-BO104</f>
        <v>9.9999999999999256E-3</v>
      </c>
      <c r="BQ104" s="1269">
        <v>0.15</v>
      </c>
      <c r="BR104" s="1268">
        <v>-0.09</v>
      </c>
      <c r="BS104" s="1268">
        <v>-7.0000000000000007E-2</v>
      </c>
      <c r="BT104" s="1268">
        <v>7.0000000000000007E-2</v>
      </c>
      <c r="BU104" s="1268">
        <v>0.13</v>
      </c>
      <c r="BV104" s="1267">
        <f>AVERAGE(BR104:BU104)</f>
        <v>1.0000000000000002E-2</v>
      </c>
      <c r="BW104" s="1266">
        <v>0.24</v>
      </c>
      <c r="BX104" s="1266">
        <v>0.22</v>
      </c>
      <c r="BY104" s="1265">
        <v>0.04</v>
      </c>
      <c r="BZ104" s="1264">
        <f>+BZ105</f>
        <v>0.08</v>
      </c>
      <c r="CA104" s="1262">
        <v>0.1</v>
      </c>
      <c r="CB104" s="1264">
        <v>0.11</v>
      </c>
      <c r="CC104" s="1243"/>
      <c r="CD104" s="1243"/>
      <c r="CE104" s="1243"/>
      <c r="CF104" s="1239"/>
      <c r="CG104" s="1237"/>
      <c r="CH104" s="1237"/>
      <c r="CI104" s="1237"/>
      <c r="CJ104" s="1237"/>
      <c r="CK104" s="1222"/>
      <c r="CL104" s="1237"/>
      <c r="CM104" s="1237"/>
      <c r="CN104" s="1237"/>
      <c r="CO104" s="1237"/>
      <c r="CP104" s="1222"/>
      <c r="CQ104" s="1237"/>
      <c r="CR104" s="1237"/>
      <c r="CS104" s="1237"/>
      <c r="CT104" s="1237"/>
      <c r="CU104" s="1221"/>
      <c r="CV104" s="1237"/>
      <c r="CW104" s="1237"/>
      <c r="CX104" s="1237"/>
      <c r="CY104" s="1237"/>
      <c r="CZ104" s="1221"/>
      <c r="DA104" s="1221"/>
      <c r="DB104" s="2111"/>
      <c r="DC104" s="2111"/>
    </row>
    <row r="105" spans="1:107" s="1178" customFormat="1" ht="11.25">
      <c r="A105" s="1191"/>
      <c r="B105" s="1191" t="s">
        <v>962</v>
      </c>
      <c r="D105" s="1191"/>
      <c r="E105" s="1201"/>
      <c r="F105" s="1201"/>
      <c r="G105" s="1201"/>
      <c r="H105" s="1201"/>
      <c r="I105" s="1201"/>
      <c r="J105" s="1201" t="s">
        <v>946</v>
      </c>
      <c r="K105" s="1201" t="s">
        <v>946</v>
      </c>
      <c r="L105" s="1201" t="s">
        <v>946</v>
      </c>
      <c r="M105" s="1201" t="s">
        <v>946</v>
      </c>
      <c r="N105" s="1255" t="s">
        <v>946</v>
      </c>
      <c r="O105" s="1201" t="s">
        <v>946</v>
      </c>
      <c r="P105" s="1201" t="s">
        <v>946</v>
      </c>
      <c r="Q105" s="1201" t="s">
        <v>946</v>
      </c>
      <c r="R105" s="1201" t="s">
        <v>946</v>
      </c>
      <c r="S105" s="1255" t="s">
        <v>946</v>
      </c>
      <c r="T105" s="1201" t="s">
        <v>946</v>
      </c>
      <c r="U105" s="1201" t="s">
        <v>946</v>
      </c>
      <c r="V105" s="1201" t="s">
        <v>946</v>
      </c>
      <c r="W105" s="1201" t="s">
        <v>946</v>
      </c>
      <c r="X105" s="1255" t="s">
        <v>946</v>
      </c>
      <c r="Y105" s="1201" t="s">
        <v>946</v>
      </c>
      <c r="Z105" s="1201">
        <v>0.05</v>
      </c>
      <c r="AA105" s="1201" t="s">
        <v>946</v>
      </c>
      <c r="AB105" s="1201" t="s">
        <v>946</v>
      </c>
      <c r="AC105" s="1255" t="s">
        <v>946</v>
      </c>
      <c r="AD105" s="1201" t="s">
        <v>946</v>
      </c>
      <c r="AE105" s="1201" t="s">
        <v>946</v>
      </c>
      <c r="AF105" s="1201" t="s">
        <v>946</v>
      </c>
      <c r="AG105" s="1201" t="s">
        <v>946</v>
      </c>
      <c r="AH105" s="1255" t="s">
        <v>946</v>
      </c>
      <c r="AI105" s="1201" t="s">
        <v>946</v>
      </c>
      <c r="AJ105" s="1201" t="s">
        <v>946</v>
      </c>
      <c r="AK105" s="1201" t="s">
        <v>946</v>
      </c>
      <c r="AL105" s="1201" t="s">
        <v>946</v>
      </c>
      <c r="AM105" s="1255" t="s">
        <v>946</v>
      </c>
      <c r="AN105" s="1201" t="s">
        <v>946</v>
      </c>
      <c r="AO105" s="1201" t="s">
        <v>946</v>
      </c>
      <c r="AP105" s="1201" t="s">
        <v>946</v>
      </c>
      <c r="AQ105" s="1201" t="s">
        <v>946</v>
      </c>
      <c r="AR105" s="1255" t="s">
        <v>946</v>
      </c>
      <c r="AS105" s="1201" t="s">
        <v>946</v>
      </c>
      <c r="AT105" s="1201" t="s">
        <v>946</v>
      </c>
      <c r="AU105" s="1201" t="s">
        <v>946</v>
      </c>
      <c r="AV105" s="1201" t="s">
        <v>946</v>
      </c>
      <c r="AW105" s="1255" t="s">
        <v>946</v>
      </c>
      <c r="AX105" s="1201" t="s">
        <v>946</v>
      </c>
      <c r="AY105" s="1199">
        <v>0.14000000000000001</v>
      </c>
      <c r="AZ105" s="1201" t="s">
        <v>946</v>
      </c>
      <c r="BA105" s="1199">
        <v>-0.08</v>
      </c>
      <c r="BB105" s="1256">
        <v>0.12</v>
      </c>
      <c r="BC105" s="1199">
        <v>-0.37</v>
      </c>
      <c r="BD105" s="1199">
        <v>-0.38</v>
      </c>
      <c r="BE105" s="1199">
        <v>-0.16</v>
      </c>
      <c r="BF105" s="1199">
        <v>-0.15</v>
      </c>
      <c r="BG105" s="1255">
        <f>AVERAGE(BC105:BF105)</f>
        <v>-0.26500000000000001</v>
      </c>
      <c r="BH105" s="1199">
        <v>0.03</v>
      </c>
      <c r="BI105" s="1199">
        <v>0.11</v>
      </c>
      <c r="BJ105" s="1199">
        <v>0</v>
      </c>
      <c r="BK105" s="1201" t="s">
        <v>946</v>
      </c>
      <c r="BL105" s="1255" t="s">
        <v>946</v>
      </c>
      <c r="BM105" s="1199">
        <v>0.14000000000000001</v>
      </c>
      <c r="BN105" s="1199">
        <v>0.15</v>
      </c>
      <c r="BO105" s="1199">
        <v>0.12</v>
      </c>
      <c r="BP105" s="1199">
        <v>0.02</v>
      </c>
      <c r="BQ105" s="1255">
        <f>AVERAGE(BM105:BP105)</f>
        <v>0.10750000000000001</v>
      </c>
      <c r="BR105" s="1199">
        <v>-0.1</v>
      </c>
      <c r="BS105" s="1199">
        <v>-0.04</v>
      </c>
      <c r="BT105" s="1199">
        <v>0.11</v>
      </c>
      <c r="BU105" s="1199">
        <v>0.17</v>
      </c>
      <c r="BV105" s="1255">
        <f>AVERAGE(BR105:BU105)</f>
        <v>3.5000000000000003E-2</v>
      </c>
      <c r="BW105" s="1254">
        <v>0.22</v>
      </c>
      <c r="BX105" s="1254">
        <v>0.22</v>
      </c>
      <c r="BY105" s="1254">
        <f>+BY104</f>
        <v>0.04</v>
      </c>
      <c r="BZ105" s="1261">
        <v>0.08</v>
      </c>
      <c r="CA105" s="1262"/>
      <c r="CB105" s="1261">
        <v>0.09</v>
      </c>
      <c r="CC105" s="1254">
        <v>0.03</v>
      </c>
      <c r="CD105" s="1254">
        <v>0.04</v>
      </c>
      <c r="CE105" s="1254">
        <v>0.12</v>
      </c>
      <c r="CF105" s="1223"/>
      <c r="CG105" s="1263">
        <v>0.08</v>
      </c>
      <c r="CH105" s="1263">
        <v>0.05</v>
      </c>
      <c r="CI105" s="1258">
        <v>0.02</v>
      </c>
      <c r="CJ105" s="1258">
        <v>0.02</v>
      </c>
      <c r="CK105" s="1222"/>
      <c r="CL105" s="2116">
        <v>0.01</v>
      </c>
      <c r="CM105" s="2116">
        <v>-0.04</v>
      </c>
      <c r="CN105" s="2116">
        <v>0.02</v>
      </c>
      <c r="CO105" s="2116">
        <v>0.03</v>
      </c>
      <c r="CP105" s="1222"/>
      <c r="CQ105" s="2116">
        <v>0.04</v>
      </c>
      <c r="CR105" s="1189">
        <v>0</v>
      </c>
      <c r="CS105" s="2116">
        <v>-0.04</v>
      </c>
      <c r="CT105" s="1189"/>
      <c r="CU105" s="1221"/>
      <c r="CV105" s="1189"/>
      <c r="CW105" s="1189"/>
      <c r="CX105" s="1189"/>
      <c r="CY105" s="1189"/>
      <c r="CZ105" s="1221"/>
      <c r="DA105" s="1221"/>
      <c r="DB105" s="2111"/>
      <c r="DC105" s="2111"/>
    </row>
    <row r="106" spans="1:107" s="1178" customFormat="1" ht="11.25">
      <c r="A106" s="1191"/>
      <c r="B106" s="1191"/>
      <c r="D106" s="1191"/>
      <c r="E106" s="1201"/>
      <c r="F106" s="1201"/>
      <c r="G106" s="1201"/>
      <c r="H106" s="1201"/>
      <c r="I106" s="1201"/>
      <c r="J106" s="1201"/>
      <c r="K106" s="1201"/>
      <c r="L106" s="1201"/>
      <c r="M106" s="1201"/>
      <c r="N106" s="1255"/>
      <c r="O106" s="1201"/>
      <c r="P106" s="1201"/>
      <c r="Q106" s="1201"/>
      <c r="R106" s="1201"/>
      <c r="S106" s="1255"/>
      <c r="T106" s="1201"/>
      <c r="U106" s="1201"/>
      <c r="V106" s="1201"/>
      <c r="W106" s="1201"/>
      <c r="X106" s="1255"/>
      <c r="Y106" s="1201"/>
      <c r="Z106" s="1201"/>
      <c r="AA106" s="1201"/>
      <c r="AB106" s="1201"/>
      <c r="AC106" s="1255"/>
      <c r="AD106" s="1201"/>
      <c r="AE106" s="1201"/>
      <c r="AF106" s="1201"/>
      <c r="AG106" s="1201"/>
      <c r="AH106" s="1255"/>
      <c r="AI106" s="1201"/>
      <c r="AJ106" s="1201"/>
      <c r="AK106" s="1201"/>
      <c r="AL106" s="1201"/>
      <c r="AM106" s="1255"/>
      <c r="AN106" s="1201"/>
      <c r="AO106" s="1201"/>
      <c r="AP106" s="1201"/>
      <c r="AQ106" s="1201"/>
      <c r="AR106" s="1255"/>
      <c r="AS106" s="1201"/>
      <c r="AT106" s="1201"/>
      <c r="AU106" s="1201"/>
      <c r="AV106" s="1201"/>
      <c r="AW106" s="1255"/>
      <c r="AX106" s="1201"/>
      <c r="AY106" s="1199"/>
      <c r="AZ106" s="1201"/>
      <c r="BA106" s="1199"/>
      <c r="BB106" s="1256"/>
      <c r="BC106" s="1199"/>
      <c r="BD106" s="1199"/>
      <c r="BE106" s="1199"/>
      <c r="BF106" s="1199"/>
      <c r="BG106" s="1255"/>
      <c r="BH106" s="1199"/>
      <c r="BI106" s="1199"/>
      <c r="BJ106" s="1199"/>
      <c r="BK106" s="1201"/>
      <c r="BL106" s="1255"/>
      <c r="BM106" s="1199"/>
      <c r="BN106" s="1199"/>
      <c r="BO106" s="1199"/>
      <c r="BP106" s="1199"/>
      <c r="BQ106" s="1255"/>
      <c r="BR106" s="1199"/>
      <c r="BS106" s="1199"/>
      <c r="BT106" s="1199"/>
      <c r="BU106" s="1199"/>
      <c r="BV106" s="1255"/>
      <c r="BW106" s="1254"/>
      <c r="BX106" s="1254"/>
      <c r="BY106" s="1254"/>
      <c r="BZ106" s="1261"/>
      <c r="CA106" s="1262"/>
      <c r="CB106" s="1261"/>
      <c r="CC106" s="1240"/>
      <c r="CD106" s="1240"/>
      <c r="CE106" s="1240"/>
      <c r="CF106" s="1223"/>
      <c r="CG106" s="1229"/>
      <c r="CH106" s="1229"/>
      <c r="CI106" s="1189"/>
      <c r="CJ106" s="1189"/>
      <c r="CK106" s="1222"/>
      <c r="CL106" s="1189"/>
      <c r="CM106" s="1189"/>
      <c r="CN106" s="1189"/>
      <c r="CO106" s="1189"/>
      <c r="CP106" s="1222"/>
      <c r="CQ106" s="1189"/>
      <c r="CR106" s="1189"/>
      <c r="CS106" s="1189"/>
      <c r="CT106" s="1189"/>
      <c r="CU106" s="1221"/>
      <c r="CV106" s="1189"/>
      <c r="CW106" s="1189"/>
      <c r="CX106" s="1189"/>
      <c r="CY106" s="1189"/>
      <c r="CZ106" s="1221"/>
      <c r="DA106" s="1221"/>
      <c r="DB106" s="2111"/>
      <c r="DC106" s="2111"/>
    </row>
    <row r="107" spans="1:107" s="1178" customFormat="1" ht="11.25">
      <c r="A107" s="1191"/>
      <c r="B107" s="1191"/>
      <c r="C107" s="1191" t="s">
        <v>10</v>
      </c>
      <c r="D107" s="1191"/>
      <c r="E107" s="1201"/>
      <c r="F107" s="1201"/>
      <c r="G107" s="1201"/>
      <c r="H107" s="1201"/>
      <c r="I107" s="1201"/>
      <c r="J107" s="1201"/>
      <c r="K107" s="1201"/>
      <c r="L107" s="1201"/>
      <c r="M107" s="1201"/>
      <c r="N107" s="1255"/>
      <c r="O107" s="1201"/>
      <c r="P107" s="1201"/>
      <c r="Q107" s="1201"/>
      <c r="R107" s="1201"/>
      <c r="S107" s="1255"/>
      <c r="T107" s="1201"/>
      <c r="U107" s="1201"/>
      <c r="V107" s="1201"/>
      <c r="W107" s="1201"/>
      <c r="X107" s="1255"/>
      <c r="Y107" s="1201"/>
      <c r="Z107" s="1201"/>
      <c r="AA107" s="1201"/>
      <c r="AB107" s="1201"/>
      <c r="AC107" s="1255"/>
      <c r="AD107" s="1201"/>
      <c r="AE107" s="1201"/>
      <c r="AF107" s="1201"/>
      <c r="AG107" s="1201"/>
      <c r="AH107" s="1255"/>
      <c r="AI107" s="1201"/>
      <c r="AJ107" s="1201"/>
      <c r="AK107" s="1201"/>
      <c r="AL107" s="1201"/>
      <c r="AM107" s="1255"/>
      <c r="AN107" s="1201"/>
      <c r="AO107" s="1201"/>
      <c r="AP107" s="1201"/>
      <c r="AQ107" s="1201"/>
      <c r="AR107" s="1255"/>
      <c r="AS107" s="1201"/>
      <c r="AT107" s="1201"/>
      <c r="AU107" s="1201"/>
      <c r="AV107" s="1201"/>
      <c r="AW107" s="1255"/>
      <c r="AX107" s="1201"/>
      <c r="AY107" s="1199"/>
      <c r="AZ107" s="1201"/>
      <c r="BA107" s="1199"/>
      <c r="BB107" s="1256"/>
      <c r="BC107" s="1199"/>
      <c r="BD107" s="1199"/>
      <c r="BE107" s="1199"/>
      <c r="BF107" s="1199"/>
      <c r="BG107" s="1255"/>
      <c r="BH107" s="1199"/>
      <c r="BI107" s="1199"/>
      <c r="BJ107" s="1199"/>
      <c r="BK107" s="1201"/>
      <c r="BL107" s="1255"/>
      <c r="BM107" s="1199"/>
      <c r="BN107" s="1199"/>
      <c r="BO107" s="1199"/>
      <c r="BP107" s="1199"/>
      <c r="BQ107" s="1255"/>
      <c r="BR107" s="1199"/>
      <c r="BS107" s="1199"/>
      <c r="BT107" s="1199"/>
      <c r="BU107" s="1199"/>
      <c r="BV107" s="1255"/>
      <c r="BW107" s="1254"/>
      <c r="BX107" s="1254"/>
      <c r="BY107" s="1254">
        <v>0.13</v>
      </c>
      <c r="BZ107" s="1259" t="s">
        <v>961</v>
      </c>
      <c r="CA107" s="1257">
        <v>0.16</v>
      </c>
      <c r="CB107" s="1254">
        <v>0.37</v>
      </c>
      <c r="CC107" s="1254">
        <v>0.44</v>
      </c>
      <c r="CD107" s="1260" t="s">
        <v>960</v>
      </c>
      <c r="CE107" s="1240" t="s">
        <v>959</v>
      </c>
      <c r="CF107" s="1223"/>
      <c r="CG107" s="1229" t="s">
        <v>958</v>
      </c>
      <c r="CH107" s="1263">
        <v>0.1</v>
      </c>
      <c r="CI107" s="1258">
        <v>0.47</v>
      </c>
      <c r="CJ107" s="1229" t="s">
        <v>1354</v>
      </c>
      <c r="CK107" s="1222"/>
      <c r="CL107" s="2117">
        <v>0.33</v>
      </c>
      <c r="CM107" s="1229" t="s">
        <v>1000</v>
      </c>
      <c r="CN107" s="1229" t="s">
        <v>986</v>
      </c>
      <c r="CO107" s="2116">
        <v>0.13</v>
      </c>
      <c r="CP107" s="1222"/>
      <c r="CQ107" s="2116">
        <v>0.3</v>
      </c>
      <c r="CR107" s="2116">
        <v>0.06</v>
      </c>
      <c r="CS107" s="2116">
        <v>-0.24</v>
      </c>
      <c r="CT107" s="1189"/>
      <c r="CU107" s="1221"/>
      <c r="CV107" s="1189"/>
      <c r="CW107" s="1189"/>
      <c r="CX107" s="1189"/>
      <c r="CY107" s="1189"/>
      <c r="CZ107" s="1221"/>
      <c r="DA107" s="1221"/>
      <c r="DB107" s="2111"/>
      <c r="DC107" s="2111"/>
    </row>
    <row r="108" spans="1:107" s="1178" customFormat="1" ht="11.25">
      <c r="A108" s="1191"/>
      <c r="B108" s="1191"/>
      <c r="C108" s="1191" t="s">
        <v>9</v>
      </c>
      <c r="D108" s="1191"/>
      <c r="E108" s="1201"/>
      <c r="F108" s="1201"/>
      <c r="G108" s="1201"/>
      <c r="H108" s="1201"/>
      <c r="I108" s="1201"/>
      <c r="J108" s="1201"/>
      <c r="K108" s="1201"/>
      <c r="L108" s="1201"/>
      <c r="M108" s="1201"/>
      <c r="N108" s="1255"/>
      <c r="O108" s="1201"/>
      <c r="P108" s="1201"/>
      <c r="Q108" s="1201"/>
      <c r="R108" s="1201"/>
      <c r="S108" s="1255"/>
      <c r="T108" s="1201"/>
      <c r="U108" s="1201"/>
      <c r="V108" s="1201"/>
      <c r="W108" s="1201"/>
      <c r="X108" s="1255"/>
      <c r="Y108" s="1201"/>
      <c r="Z108" s="1201"/>
      <c r="AA108" s="1201"/>
      <c r="AB108" s="1201"/>
      <c r="AC108" s="1255"/>
      <c r="AD108" s="1201"/>
      <c r="AE108" s="1201"/>
      <c r="AF108" s="1201"/>
      <c r="AG108" s="1201"/>
      <c r="AH108" s="1255"/>
      <c r="AI108" s="1201"/>
      <c r="AJ108" s="1201"/>
      <c r="AK108" s="1201"/>
      <c r="AL108" s="1201"/>
      <c r="AM108" s="1255"/>
      <c r="AN108" s="1201"/>
      <c r="AO108" s="1201"/>
      <c r="AP108" s="1201"/>
      <c r="AQ108" s="1201"/>
      <c r="AR108" s="1255"/>
      <c r="AS108" s="1201"/>
      <c r="AT108" s="1201"/>
      <c r="AU108" s="1201"/>
      <c r="AV108" s="1201"/>
      <c r="AW108" s="1255"/>
      <c r="AX108" s="1201"/>
      <c r="AY108" s="1199"/>
      <c r="AZ108" s="1201"/>
      <c r="BA108" s="1199"/>
      <c r="BB108" s="1256"/>
      <c r="BC108" s="1199"/>
      <c r="BD108" s="1199"/>
      <c r="BE108" s="1199"/>
      <c r="BF108" s="1199"/>
      <c r="BG108" s="1255"/>
      <c r="BH108" s="1199"/>
      <c r="BI108" s="1199"/>
      <c r="BJ108" s="1199"/>
      <c r="BK108" s="1201"/>
      <c r="BL108" s="1255"/>
      <c r="BM108" s="1199"/>
      <c r="BN108" s="1199"/>
      <c r="BO108" s="1199"/>
      <c r="BP108" s="1199"/>
      <c r="BQ108" s="1255"/>
      <c r="BR108" s="1199"/>
      <c r="BS108" s="1199"/>
      <c r="BT108" s="1199"/>
      <c r="BU108" s="1199"/>
      <c r="BV108" s="1255"/>
      <c r="BW108" s="1254">
        <v>0.21</v>
      </c>
      <c r="BX108" s="1254">
        <v>-0.1</v>
      </c>
      <c r="BY108" s="1254">
        <v>-0.06</v>
      </c>
      <c r="BZ108" s="1240" t="s">
        <v>957</v>
      </c>
      <c r="CA108" s="1257">
        <v>0.04</v>
      </c>
      <c r="CB108" s="1254">
        <v>-0.05</v>
      </c>
      <c r="CC108" s="1254">
        <v>0.1</v>
      </c>
      <c r="CD108" s="1240" t="s">
        <v>948</v>
      </c>
      <c r="CE108" s="1240" t="s">
        <v>956</v>
      </c>
      <c r="CF108" s="1223"/>
      <c r="CG108" s="1229" t="s">
        <v>955</v>
      </c>
      <c r="CH108" s="1263">
        <v>0.32</v>
      </c>
      <c r="CI108" s="1258">
        <v>-0.09</v>
      </c>
      <c r="CJ108" s="1258">
        <v>0.2</v>
      </c>
      <c r="CK108" s="1222"/>
      <c r="CL108" s="2117">
        <v>-0.13</v>
      </c>
      <c r="CM108" s="1229" t="s">
        <v>1000</v>
      </c>
      <c r="CN108" s="2117">
        <v>0.2</v>
      </c>
      <c r="CO108" s="2116">
        <v>7.0000000000000007E-2</v>
      </c>
      <c r="CP108" s="1222"/>
      <c r="CQ108" s="1229" t="s">
        <v>1187</v>
      </c>
      <c r="CR108" s="2116">
        <v>-0.14000000000000001</v>
      </c>
      <c r="CS108" s="2116">
        <v>0.25</v>
      </c>
      <c r="CT108" s="1189"/>
      <c r="CU108" s="1221"/>
      <c r="CV108" s="1189"/>
      <c r="CW108" s="1189"/>
      <c r="CX108" s="1189"/>
      <c r="CY108" s="1189"/>
      <c r="CZ108" s="1221"/>
      <c r="DA108" s="1221"/>
      <c r="DB108" s="2111"/>
      <c r="DC108" s="2111"/>
    </row>
    <row r="109" spans="1:107" s="1178" customFormat="1" ht="11.25">
      <c r="A109" s="1191"/>
      <c r="B109" s="1191"/>
      <c r="C109" s="1191" t="s">
        <v>499</v>
      </c>
      <c r="D109" s="1191"/>
      <c r="E109" s="1201"/>
      <c r="F109" s="1201"/>
      <c r="G109" s="1201"/>
      <c r="H109" s="1201"/>
      <c r="I109" s="1201"/>
      <c r="J109" s="1201"/>
      <c r="K109" s="1201"/>
      <c r="L109" s="1201"/>
      <c r="M109" s="1201"/>
      <c r="N109" s="1255"/>
      <c r="O109" s="1201"/>
      <c r="P109" s="1201"/>
      <c r="Q109" s="1201"/>
      <c r="R109" s="1201"/>
      <c r="S109" s="1255"/>
      <c r="T109" s="1201"/>
      <c r="U109" s="1201"/>
      <c r="V109" s="1201"/>
      <c r="W109" s="1201"/>
      <c r="X109" s="1255"/>
      <c r="Y109" s="1201"/>
      <c r="Z109" s="1201"/>
      <c r="AA109" s="1201"/>
      <c r="AB109" s="1201"/>
      <c r="AC109" s="1255"/>
      <c r="AD109" s="1201"/>
      <c r="AE109" s="1201"/>
      <c r="AF109" s="1201"/>
      <c r="AG109" s="1201"/>
      <c r="AH109" s="1255"/>
      <c r="AI109" s="1201"/>
      <c r="AJ109" s="1201"/>
      <c r="AK109" s="1201"/>
      <c r="AL109" s="1201"/>
      <c r="AM109" s="1255"/>
      <c r="AN109" s="1201"/>
      <c r="AO109" s="1201"/>
      <c r="AP109" s="1201"/>
      <c r="AQ109" s="1201"/>
      <c r="AR109" s="1255"/>
      <c r="AS109" s="1201"/>
      <c r="AT109" s="1201"/>
      <c r="AU109" s="1201"/>
      <c r="AV109" s="1201"/>
      <c r="AW109" s="1255"/>
      <c r="AX109" s="1201"/>
      <c r="AY109" s="1199"/>
      <c r="AZ109" s="1201"/>
      <c r="BA109" s="1199"/>
      <c r="BB109" s="1256"/>
      <c r="BC109" s="1199"/>
      <c r="BD109" s="1199"/>
      <c r="BE109" s="1199"/>
      <c r="BF109" s="1199"/>
      <c r="BG109" s="1255"/>
      <c r="BH109" s="1199"/>
      <c r="BI109" s="1199"/>
      <c r="BJ109" s="1199"/>
      <c r="BK109" s="1201"/>
      <c r="BL109" s="1255"/>
      <c r="BM109" s="1199"/>
      <c r="BN109" s="1199"/>
      <c r="BO109" s="1199"/>
      <c r="BP109" s="1199"/>
      <c r="BQ109" s="1255"/>
      <c r="BR109" s="1199"/>
      <c r="BS109" s="1199"/>
      <c r="BT109" s="1199"/>
      <c r="BU109" s="1199"/>
      <c r="BV109" s="1255"/>
      <c r="BW109" s="1254">
        <v>0.27</v>
      </c>
      <c r="BX109" s="1254">
        <v>0.35</v>
      </c>
      <c r="BY109" s="1254">
        <v>0.15</v>
      </c>
      <c r="BZ109" s="1259" t="s">
        <v>954</v>
      </c>
      <c r="CA109" s="1257">
        <v>0.25</v>
      </c>
      <c r="CB109" s="1254">
        <v>0.27</v>
      </c>
      <c r="CC109" s="1254">
        <v>0</v>
      </c>
      <c r="CD109" s="1254">
        <v>0</v>
      </c>
      <c r="CE109" s="1254">
        <v>0.02</v>
      </c>
      <c r="CF109" s="1223"/>
      <c r="CG109" s="1229" t="s">
        <v>953</v>
      </c>
      <c r="CH109" s="1263">
        <v>-0.1</v>
      </c>
      <c r="CI109" s="1258">
        <v>-0.19</v>
      </c>
      <c r="CJ109" s="1258">
        <v>-0.14000000000000001</v>
      </c>
      <c r="CK109" s="1222"/>
      <c r="CL109" s="2117">
        <v>-7.0000000000000007E-2</v>
      </c>
      <c r="CM109" s="2116">
        <v>-0.14000000000000001</v>
      </c>
      <c r="CN109" s="2117">
        <v>-0.1</v>
      </c>
      <c r="CO109" s="1189" t="s">
        <v>1430</v>
      </c>
      <c r="CP109" s="1222"/>
      <c r="CQ109" s="2116">
        <v>-0.1</v>
      </c>
      <c r="CR109" s="2116">
        <v>0.03</v>
      </c>
      <c r="CS109" s="1189">
        <v>0</v>
      </c>
      <c r="CT109" s="1189"/>
      <c r="CU109" s="1221"/>
      <c r="CV109" s="1189"/>
      <c r="CW109" s="1189"/>
      <c r="CX109" s="1189"/>
      <c r="CY109" s="1189"/>
      <c r="CZ109" s="1221"/>
      <c r="DA109" s="1221"/>
      <c r="DB109" s="2111"/>
      <c r="DC109" s="2111"/>
    </row>
    <row r="110" spans="1:107" s="1178" customFormat="1" ht="11.25">
      <c r="A110" s="1191"/>
      <c r="B110" s="1191"/>
      <c r="C110" s="1191" t="s">
        <v>952</v>
      </c>
      <c r="D110" s="1191"/>
      <c r="E110" s="1201"/>
      <c r="F110" s="1201"/>
      <c r="G110" s="1201"/>
      <c r="H110" s="1201"/>
      <c r="I110" s="1201"/>
      <c r="J110" s="1201"/>
      <c r="K110" s="1201"/>
      <c r="L110" s="1201"/>
      <c r="M110" s="1201"/>
      <c r="N110" s="1255"/>
      <c r="O110" s="1201"/>
      <c r="P110" s="1201"/>
      <c r="Q110" s="1201"/>
      <c r="R110" s="1201"/>
      <c r="S110" s="1255"/>
      <c r="T110" s="1201"/>
      <c r="U110" s="1201"/>
      <c r="V110" s="1201"/>
      <c r="W110" s="1201"/>
      <c r="X110" s="1255"/>
      <c r="Y110" s="1201"/>
      <c r="Z110" s="1201"/>
      <c r="AA110" s="1201"/>
      <c r="AB110" s="1201"/>
      <c r="AC110" s="1255"/>
      <c r="AD110" s="1201"/>
      <c r="AE110" s="1201"/>
      <c r="AF110" s="1201"/>
      <c r="AG110" s="1201"/>
      <c r="AH110" s="1255"/>
      <c r="AI110" s="1201"/>
      <c r="AJ110" s="1201"/>
      <c r="AK110" s="1201"/>
      <c r="AL110" s="1201"/>
      <c r="AM110" s="1255"/>
      <c r="AN110" s="1201"/>
      <c r="AO110" s="1201"/>
      <c r="AP110" s="1201"/>
      <c r="AQ110" s="1201"/>
      <c r="AR110" s="1255"/>
      <c r="AS110" s="1201"/>
      <c r="AT110" s="1201"/>
      <c r="AU110" s="1201"/>
      <c r="AV110" s="1201"/>
      <c r="AW110" s="1255"/>
      <c r="AX110" s="1201"/>
      <c r="AY110" s="1199"/>
      <c r="AZ110" s="1201"/>
      <c r="BA110" s="1199"/>
      <c r="BB110" s="1256"/>
      <c r="BC110" s="1199"/>
      <c r="BD110" s="1199"/>
      <c r="BE110" s="1199"/>
      <c r="BF110" s="1199"/>
      <c r="BG110" s="1255"/>
      <c r="BH110" s="1199"/>
      <c r="BI110" s="1199"/>
      <c r="BJ110" s="1199"/>
      <c r="BK110" s="1201"/>
      <c r="BL110" s="1255"/>
      <c r="BM110" s="1199"/>
      <c r="BN110" s="1199"/>
      <c r="BO110" s="1199"/>
      <c r="BP110" s="1199"/>
      <c r="BQ110" s="1255"/>
      <c r="BR110" s="1199"/>
      <c r="BS110" s="1199"/>
      <c r="BT110" s="1199"/>
      <c r="BU110" s="1199"/>
      <c r="BV110" s="1255"/>
      <c r="BW110" s="1254"/>
      <c r="BX110" s="1254"/>
      <c r="BY110" s="1254"/>
      <c r="BZ110" s="1240" t="s">
        <v>951</v>
      </c>
      <c r="CA110" s="1257">
        <v>-0.06</v>
      </c>
      <c r="CB110" s="1254">
        <v>0.15</v>
      </c>
      <c r="CC110" s="1240" t="s">
        <v>950</v>
      </c>
      <c r="CD110" s="1240" t="s">
        <v>950</v>
      </c>
      <c r="CE110" s="1240" t="s">
        <v>942</v>
      </c>
      <c r="CF110" s="1223"/>
      <c r="CG110" s="1229" t="s">
        <v>949</v>
      </c>
      <c r="CH110" s="1263" t="s">
        <v>948</v>
      </c>
      <c r="CI110" s="1189"/>
      <c r="CJ110" s="1258">
        <v>0.15</v>
      </c>
      <c r="CK110" s="1222"/>
      <c r="CL110" s="2117">
        <v>0.11</v>
      </c>
      <c r="CM110" s="1189"/>
      <c r="CN110" s="1229" t="s">
        <v>998</v>
      </c>
      <c r="CO110" s="1189"/>
      <c r="CP110" s="1222"/>
      <c r="CQ110" s="1189"/>
      <c r="CR110" s="1189"/>
      <c r="CS110" s="1189"/>
      <c r="CT110" s="1189"/>
      <c r="CU110" s="1221"/>
      <c r="CV110" s="1189"/>
      <c r="CW110" s="1189"/>
      <c r="CX110" s="1189"/>
      <c r="CY110" s="1189"/>
      <c r="CZ110" s="1221"/>
      <c r="DA110" s="1221"/>
      <c r="DB110" s="2111"/>
      <c r="DC110" s="2111"/>
    </row>
    <row r="111" spans="1:107" s="1178" customFormat="1" ht="11.25">
      <c r="A111" s="1191"/>
      <c r="B111" s="1191"/>
      <c r="C111" s="1191"/>
      <c r="D111" s="1191"/>
      <c r="E111" s="1201"/>
      <c r="F111" s="1201"/>
      <c r="G111" s="1201"/>
      <c r="H111" s="1201"/>
      <c r="I111" s="1201"/>
      <c r="J111" s="1201"/>
      <c r="K111" s="1201"/>
      <c r="L111" s="1201"/>
      <c r="M111" s="1201"/>
      <c r="N111" s="1255"/>
      <c r="O111" s="1201"/>
      <c r="P111" s="1201"/>
      <c r="Q111" s="1201"/>
      <c r="R111" s="1201"/>
      <c r="S111" s="1255"/>
      <c r="T111" s="1201"/>
      <c r="U111" s="1201"/>
      <c r="V111" s="1201"/>
      <c r="W111" s="1201"/>
      <c r="X111" s="1255"/>
      <c r="Y111" s="1201"/>
      <c r="Z111" s="1201"/>
      <c r="AA111" s="1201"/>
      <c r="AB111" s="1201"/>
      <c r="AC111" s="1255"/>
      <c r="AD111" s="1201"/>
      <c r="AE111" s="1201"/>
      <c r="AF111" s="1201"/>
      <c r="AG111" s="1201"/>
      <c r="AH111" s="1255"/>
      <c r="AI111" s="1201"/>
      <c r="AJ111" s="1201"/>
      <c r="AK111" s="1201"/>
      <c r="AL111" s="1201"/>
      <c r="AM111" s="1255"/>
      <c r="AN111" s="1201"/>
      <c r="AO111" s="1201"/>
      <c r="AP111" s="1201"/>
      <c r="AQ111" s="1201"/>
      <c r="AR111" s="1255"/>
      <c r="AS111" s="1201"/>
      <c r="AT111" s="1201"/>
      <c r="AU111" s="1201"/>
      <c r="AV111" s="1201"/>
      <c r="AW111" s="1255"/>
      <c r="AX111" s="1201"/>
      <c r="AY111" s="1199"/>
      <c r="AZ111" s="1201"/>
      <c r="BA111" s="1199"/>
      <c r="BB111" s="1256"/>
      <c r="BC111" s="1199"/>
      <c r="BD111" s="1199"/>
      <c r="BE111" s="1199"/>
      <c r="BF111" s="1199"/>
      <c r="BG111" s="1255"/>
      <c r="BH111" s="1199"/>
      <c r="BI111" s="1199"/>
      <c r="BJ111" s="1199"/>
      <c r="BK111" s="1201"/>
      <c r="BL111" s="1255"/>
      <c r="BM111" s="1199"/>
      <c r="BN111" s="1199"/>
      <c r="BO111" s="1199"/>
      <c r="BP111" s="1199"/>
      <c r="BQ111" s="1255"/>
      <c r="BR111" s="1199"/>
      <c r="BS111" s="1199"/>
      <c r="BT111" s="1199"/>
      <c r="BU111" s="1199"/>
      <c r="BV111" s="1255"/>
      <c r="BW111" s="1254"/>
      <c r="BX111" s="1254"/>
      <c r="BY111" s="1254"/>
      <c r="BZ111" s="1240"/>
      <c r="CA111" s="1253"/>
      <c r="CB111" s="1240"/>
      <c r="CC111" s="1240"/>
      <c r="CD111" s="1240"/>
      <c r="CE111" s="1240"/>
      <c r="CF111" s="1223"/>
      <c r="CG111" s="1229"/>
      <c r="CH111" s="1229"/>
      <c r="CI111" s="1189"/>
      <c r="CJ111" s="1189"/>
      <c r="CK111" s="1222"/>
      <c r="CL111" s="1189"/>
      <c r="CM111" s="1189"/>
      <c r="CN111" s="1189"/>
      <c r="CO111" s="2116">
        <v>-0.4</v>
      </c>
      <c r="CP111" s="1222"/>
      <c r="CQ111" s="1189"/>
      <c r="CR111" s="1189"/>
      <c r="CS111" s="1189"/>
      <c r="CT111" s="1189"/>
      <c r="CU111" s="1221"/>
      <c r="CV111" s="1189"/>
      <c r="CW111" s="1189"/>
      <c r="CX111" s="1189"/>
      <c r="CY111" s="1189"/>
      <c r="CZ111" s="1221"/>
      <c r="DA111" s="1221"/>
      <c r="DB111" s="2111"/>
      <c r="DC111" s="2111"/>
    </row>
    <row r="112" spans="1:107" s="1234" customFormat="1" ht="11.25">
      <c r="A112" s="1182"/>
      <c r="B112" s="1182"/>
      <c r="C112" s="1182" t="s">
        <v>947</v>
      </c>
      <c r="D112" s="1182"/>
      <c r="E112" s="1182"/>
      <c r="F112" s="1182"/>
      <c r="G112" s="1182"/>
      <c r="H112" s="1182"/>
      <c r="I112" s="1182"/>
      <c r="J112" s="1249" t="s">
        <v>946</v>
      </c>
      <c r="K112" s="1249" t="s">
        <v>946</v>
      </c>
      <c r="L112" s="1249" t="s">
        <v>946</v>
      </c>
      <c r="M112" s="1250">
        <v>3770</v>
      </c>
      <c r="N112" s="1248">
        <f>M112</f>
        <v>3770</v>
      </c>
      <c r="O112" s="1249" t="s">
        <v>946</v>
      </c>
      <c r="P112" s="1249" t="s">
        <v>946</v>
      </c>
      <c r="Q112" s="1249" t="s">
        <v>946</v>
      </c>
      <c r="R112" s="1250">
        <v>3777</v>
      </c>
      <c r="S112" s="1248">
        <f>R112</f>
        <v>3777</v>
      </c>
      <c r="T112" s="1249" t="s">
        <v>946</v>
      </c>
      <c r="U112" s="1249" t="s">
        <v>946</v>
      </c>
      <c r="V112" s="1249" t="s">
        <v>946</v>
      </c>
      <c r="W112" s="1250">
        <v>4177</v>
      </c>
      <c r="X112" s="1248">
        <f>W112</f>
        <v>4177</v>
      </c>
      <c r="Y112" s="1249" t="s">
        <v>946</v>
      </c>
      <c r="Z112" s="1249" t="s">
        <v>946</v>
      </c>
      <c r="AA112" s="1249" t="s">
        <v>946</v>
      </c>
      <c r="AB112" s="1250">
        <v>5040</v>
      </c>
      <c r="AC112" s="1248">
        <f>AB112</f>
        <v>5040</v>
      </c>
      <c r="AD112" s="1249" t="s">
        <v>946</v>
      </c>
      <c r="AE112" s="1249" t="s">
        <v>946</v>
      </c>
      <c r="AF112" s="1249" t="s">
        <v>946</v>
      </c>
      <c r="AG112" s="1250">
        <v>5611</v>
      </c>
      <c r="AH112" s="1248">
        <f>AG112</f>
        <v>5611</v>
      </c>
      <c r="AI112" s="1249" t="s">
        <v>946</v>
      </c>
      <c r="AJ112" s="1249" t="s">
        <v>946</v>
      </c>
      <c r="AK112" s="1249" t="s">
        <v>946</v>
      </c>
      <c r="AL112" s="1250">
        <v>10243</v>
      </c>
      <c r="AM112" s="1248">
        <f>AL112</f>
        <v>10243</v>
      </c>
      <c r="AN112" s="1249" t="s">
        <v>946</v>
      </c>
      <c r="AO112" s="1249" t="s">
        <v>946</v>
      </c>
      <c r="AP112" s="1249" t="s">
        <v>946</v>
      </c>
      <c r="AQ112" s="1250">
        <v>12549</v>
      </c>
      <c r="AR112" s="1248">
        <f>AQ112</f>
        <v>12549</v>
      </c>
      <c r="AS112" s="1249" t="s">
        <v>946</v>
      </c>
      <c r="AT112" s="1249" t="s">
        <v>946</v>
      </c>
      <c r="AU112" s="1249" t="s">
        <v>946</v>
      </c>
      <c r="AV112" s="1250">
        <v>14146</v>
      </c>
      <c r="AW112" s="1248">
        <f>AV112</f>
        <v>14146</v>
      </c>
      <c r="AX112" s="1249" t="s">
        <v>946</v>
      </c>
      <c r="AY112" s="1249" t="s">
        <v>946</v>
      </c>
      <c r="AZ112" s="1252">
        <f>AW112*1.11</f>
        <v>15702.060000000001</v>
      </c>
      <c r="BA112" s="1250">
        <v>15025</v>
      </c>
      <c r="BB112" s="1248">
        <f>BA112</f>
        <v>15025</v>
      </c>
      <c r="BC112" s="1249" t="s">
        <v>946</v>
      </c>
      <c r="BD112" s="1251" t="s">
        <v>946</v>
      </c>
      <c r="BE112" s="1249" t="s">
        <v>946</v>
      </c>
      <c r="BF112" s="1250">
        <v>14450</v>
      </c>
      <c r="BG112" s="1248">
        <f>BF112</f>
        <v>14450</v>
      </c>
      <c r="BH112" s="1247" t="s">
        <v>946</v>
      </c>
      <c r="BI112" s="1247" t="s">
        <v>946</v>
      </c>
      <c r="BJ112" s="1247" t="s">
        <v>946</v>
      </c>
      <c r="BK112" s="1250">
        <v>13923</v>
      </c>
      <c r="BL112" s="1248">
        <f>BK112</f>
        <v>13923</v>
      </c>
      <c r="BM112" s="1247" t="s">
        <v>946</v>
      </c>
      <c r="BN112" s="1247" t="s">
        <v>946</v>
      </c>
      <c r="BO112" s="1249" t="s">
        <v>946</v>
      </c>
      <c r="BP112" s="1247">
        <v>14300</v>
      </c>
      <c r="BQ112" s="1248">
        <f>BP112</f>
        <v>14300</v>
      </c>
      <c r="BR112" s="1247" t="s">
        <v>946</v>
      </c>
      <c r="BS112" s="1247" t="s">
        <v>946</v>
      </c>
      <c r="BT112" s="1247" t="s">
        <v>946</v>
      </c>
      <c r="BU112" s="1247">
        <v>14800</v>
      </c>
      <c r="BV112" s="1248">
        <f>BU112</f>
        <v>14800</v>
      </c>
      <c r="BW112" s="1247" t="s">
        <v>946</v>
      </c>
      <c r="BX112" s="1247" t="s">
        <v>946</v>
      </c>
      <c r="BY112" s="1246" t="s">
        <v>945</v>
      </c>
      <c r="BZ112" s="1245" t="s">
        <v>944</v>
      </c>
      <c r="CA112" s="1244" t="s">
        <v>944</v>
      </c>
      <c r="CB112" s="1243" t="s">
        <v>943</v>
      </c>
      <c r="CC112" s="1242">
        <v>0.2</v>
      </c>
      <c r="CD112" s="1241">
        <v>0.14000000000000001</v>
      </c>
      <c r="CE112" s="1240" t="s">
        <v>942</v>
      </c>
      <c r="CF112" s="1239"/>
      <c r="CG112" s="1238"/>
      <c r="CH112" s="1238"/>
      <c r="CI112" s="1237"/>
      <c r="CJ112" s="1237"/>
      <c r="CK112" s="1236"/>
      <c r="CL112" s="1237"/>
      <c r="CM112" s="1237"/>
      <c r="CN112" s="1237"/>
      <c r="CO112" s="1237"/>
      <c r="CP112" s="1236"/>
      <c r="CQ112" s="1237"/>
      <c r="CR112" s="1237"/>
      <c r="CS112" s="1237"/>
      <c r="CT112" s="1237"/>
      <c r="CU112" s="1235"/>
      <c r="CV112" s="1237"/>
      <c r="CW112" s="1237"/>
      <c r="CX112" s="1237"/>
      <c r="CY112" s="1237"/>
      <c r="CZ112" s="1235"/>
      <c r="DA112" s="1235"/>
      <c r="DB112" s="1235"/>
      <c r="DC112" s="1235"/>
    </row>
    <row r="113" spans="1:107" s="1178" customFormat="1" ht="11.25">
      <c r="A113" s="1191"/>
      <c r="B113" s="1191"/>
      <c r="C113" s="1191"/>
      <c r="D113" s="1191"/>
      <c r="E113" s="1191"/>
      <c r="F113" s="1191"/>
      <c r="G113" s="1191"/>
      <c r="H113" s="1191"/>
      <c r="I113" s="1191"/>
      <c r="J113" s="1191"/>
      <c r="K113" s="1191"/>
      <c r="L113" s="1191"/>
      <c r="M113" s="1191"/>
      <c r="N113" s="1232"/>
      <c r="O113" s="1191"/>
      <c r="P113" s="1191"/>
      <c r="Q113" s="1191"/>
      <c r="R113" s="1191"/>
      <c r="S113" s="1232"/>
      <c r="T113" s="1191"/>
      <c r="U113" s="1191"/>
      <c r="V113" s="1191"/>
      <c r="W113" s="1191"/>
      <c r="X113" s="1232"/>
      <c r="Y113" s="1191"/>
      <c r="Z113" s="1191"/>
      <c r="AA113" s="1191"/>
      <c r="AB113" s="1191"/>
      <c r="AC113" s="1232"/>
      <c r="AD113" s="1191"/>
      <c r="AE113" s="1191"/>
      <c r="AF113" s="1191"/>
      <c r="AG113" s="1191"/>
      <c r="AH113" s="1232"/>
      <c r="AI113" s="1191"/>
      <c r="AJ113" s="1191"/>
      <c r="AK113" s="1191"/>
      <c r="AL113" s="1191"/>
      <c r="AM113" s="1232"/>
      <c r="AN113" s="1191"/>
      <c r="AO113" s="1191"/>
      <c r="AP113" s="1199"/>
      <c r="AQ113" s="1191"/>
      <c r="AR113" s="1232"/>
      <c r="AS113" s="1199"/>
      <c r="AT113" s="1233"/>
      <c r="AU113" s="1233"/>
      <c r="AV113" s="1199"/>
      <c r="AW113" s="1232"/>
      <c r="AX113" s="1199"/>
      <c r="AY113" s="1199"/>
      <c r="AZ113" s="1231"/>
      <c r="BA113" s="1182"/>
      <c r="BB113" s="1214"/>
      <c r="BC113" s="1182"/>
      <c r="BD113" s="1182"/>
      <c r="BE113" s="1182"/>
      <c r="BF113" s="1182"/>
      <c r="BG113" s="1214"/>
      <c r="BH113" s="1182"/>
      <c r="BI113" s="1182"/>
      <c r="BJ113" s="1182"/>
      <c r="BK113" s="1182"/>
      <c r="BL113" s="1214"/>
      <c r="BM113" s="1182"/>
      <c r="BN113" s="1182"/>
      <c r="BO113" s="1182"/>
      <c r="BP113" s="1182"/>
      <c r="BQ113" s="1214"/>
      <c r="BR113" s="1190"/>
      <c r="BS113" s="1190"/>
      <c r="BT113" s="1190"/>
      <c r="BU113" s="1190"/>
      <c r="BV113" s="1223"/>
      <c r="BW113" s="1190"/>
      <c r="BX113" s="1190"/>
      <c r="BY113" s="1230"/>
      <c r="BZ113" s="1190"/>
      <c r="CA113" s="1223"/>
      <c r="CB113" s="1190"/>
      <c r="CC113" s="1190"/>
      <c r="CD113" s="1190"/>
      <c r="CE113" s="1190"/>
      <c r="CF113" s="1223"/>
      <c r="CG113" s="1229"/>
      <c r="CH113" s="1229"/>
      <c r="CI113" s="1189"/>
      <c r="CJ113" s="1189"/>
      <c r="CK113" s="1222"/>
      <c r="CL113" s="1189"/>
      <c r="CM113" s="1189"/>
      <c r="CN113" s="1189"/>
      <c r="CO113" s="1189"/>
      <c r="CP113" s="1222"/>
      <c r="CQ113" s="1189"/>
      <c r="CR113" s="1189"/>
      <c r="CS113" s="1189"/>
      <c r="CT113" s="1189"/>
      <c r="CU113" s="1221"/>
      <c r="CV113" s="1189"/>
      <c r="CW113" s="1189"/>
      <c r="CX113" s="1189"/>
      <c r="CY113" s="1189"/>
      <c r="CZ113" s="1221"/>
      <c r="DA113" s="1221"/>
      <c r="DB113" s="2111"/>
      <c r="DC113" s="2111"/>
    </row>
    <row r="114" spans="1:107" s="1178" customFormat="1" ht="11.25">
      <c r="A114" s="264"/>
      <c r="B114" s="264" t="s">
        <v>941</v>
      </c>
      <c r="C114" s="268"/>
      <c r="D114" s="264"/>
      <c r="E114" s="264"/>
      <c r="F114" s="264"/>
      <c r="G114" s="264"/>
      <c r="H114" s="264"/>
      <c r="I114" s="264"/>
      <c r="J114" s="268"/>
      <c r="K114" s="268"/>
      <c r="L114" s="268"/>
      <c r="M114" s="268"/>
      <c r="N114" s="1227">
        <v>6118</v>
      </c>
      <c r="O114" s="264"/>
      <c r="P114" s="264"/>
      <c r="Q114" s="264"/>
      <c r="R114" s="264"/>
      <c r="S114" s="1227">
        <v>6298</v>
      </c>
      <c r="T114" s="264"/>
      <c r="U114" s="264"/>
      <c r="V114" s="264"/>
      <c r="W114" s="264"/>
      <c r="X114" s="1227">
        <v>6770</v>
      </c>
      <c r="Y114" s="264"/>
      <c r="Z114" s="264"/>
      <c r="AA114" s="264"/>
      <c r="AB114" s="264"/>
      <c r="AC114" s="1227">
        <v>7882</v>
      </c>
      <c r="AD114" s="264"/>
      <c r="AE114" s="264"/>
      <c r="AF114" s="264"/>
      <c r="AG114" s="264"/>
      <c r="AH114" s="1228">
        <v>8937</v>
      </c>
      <c r="AI114" s="264"/>
      <c r="AJ114" s="264"/>
      <c r="AK114" s="264"/>
      <c r="AL114" s="264"/>
      <c r="AM114" s="1228">
        <v>9575</v>
      </c>
      <c r="AN114" s="264"/>
      <c r="AO114" s="264"/>
      <c r="AP114" s="264"/>
      <c r="AQ114" s="264"/>
      <c r="AR114" s="1228">
        <v>10290</v>
      </c>
      <c r="AS114" s="265"/>
      <c r="AT114" s="265"/>
      <c r="AU114" s="265"/>
      <c r="AV114" s="265"/>
      <c r="AW114" s="1227">
        <v>11885</v>
      </c>
      <c r="AX114" s="268"/>
      <c r="AY114" s="268"/>
      <c r="AZ114" s="268"/>
      <c r="BA114" s="268"/>
      <c r="BB114" s="292"/>
      <c r="BC114" s="266"/>
      <c r="BD114" s="266"/>
      <c r="BE114" s="266"/>
      <c r="BF114" s="266"/>
      <c r="BG114" s="1043"/>
      <c r="BH114" s="266"/>
      <c r="BI114" s="1000"/>
      <c r="BJ114" s="265"/>
      <c r="BK114" s="265"/>
      <c r="BL114" s="982"/>
      <c r="BM114" s="116"/>
      <c r="BN114" s="116"/>
      <c r="BO114" s="116"/>
      <c r="BP114" s="116"/>
      <c r="BQ114" s="982"/>
      <c r="BR114" s="116"/>
      <c r="BS114" s="116"/>
      <c r="BT114" s="116"/>
      <c r="BU114" s="116"/>
      <c r="BV114" s="982"/>
      <c r="BW114" s="116"/>
      <c r="BX114" s="116"/>
      <c r="BY114" s="116"/>
      <c r="BZ114" s="116"/>
      <c r="CA114" s="982"/>
      <c r="CB114" s="116"/>
      <c r="CC114" s="116"/>
      <c r="CD114" s="116"/>
      <c r="CE114" s="116"/>
      <c r="CF114" s="982"/>
      <c r="CG114" s="123"/>
      <c r="CH114" s="123"/>
      <c r="CI114" s="138"/>
      <c r="CJ114" s="138"/>
      <c r="CK114" s="292"/>
      <c r="CL114" s="138"/>
      <c r="CM114" s="138"/>
      <c r="CN114" s="138"/>
      <c r="CO114" s="138"/>
      <c r="CP114" s="292"/>
      <c r="CQ114" s="138"/>
      <c r="CR114" s="138"/>
      <c r="CS114" s="138"/>
      <c r="CT114" s="138"/>
      <c r="CU114" s="292"/>
      <c r="CV114" s="138"/>
      <c r="CW114" s="138"/>
      <c r="CX114" s="138"/>
      <c r="CY114" s="138"/>
      <c r="CZ114" s="292"/>
      <c r="DA114" s="292"/>
      <c r="DB114" s="292"/>
      <c r="DC114" s="292"/>
    </row>
    <row r="115" spans="1:107" s="1178" customFormat="1" ht="11.25">
      <c r="A115" s="264"/>
      <c r="B115" s="264" t="s">
        <v>940</v>
      </c>
      <c r="C115" s="268"/>
      <c r="D115" s="264"/>
      <c r="E115" s="264"/>
      <c r="F115" s="264"/>
      <c r="G115" s="264"/>
      <c r="H115" s="264"/>
      <c r="I115" s="264"/>
      <c r="J115" s="268"/>
      <c r="K115" s="268"/>
      <c r="L115" s="268"/>
      <c r="M115" s="268"/>
      <c r="N115" s="1227">
        <v>6118</v>
      </c>
      <c r="O115" s="264"/>
      <c r="P115" s="264"/>
      <c r="Q115" s="264"/>
      <c r="R115" s="264"/>
      <c r="S115" s="1227">
        <v>6298</v>
      </c>
      <c r="T115" s="264"/>
      <c r="U115" s="264"/>
      <c r="V115" s="264"/>
      <c r="W115" s="264"/>
      <c r="X115" s="1227">
        <v>6770</v>
      </c>
      <c r="Y115" s="264"/>
      <c r="Z115" s="264"/>
      <c r="AA115" s="264"/>
      <c r="AB115" s="264"/>
      <c r="AC115" s="1227">
        <v>7832</v>
      </c>
      <c r="AD115" s="264"/>
      <c r="AE115" s="264"/>
      <c r="AF115" s="264"/>
      <c r="AG115" s="264"/>
      <c r="AH115" s="1228">
        <v>8937</v>
      </c>
      <c r="AI115" s="264"/>
      <c r="AJ115" s="264"/>
      <c r="AK115" s="264"/>
      <c r="AL115" s="264"/>
      <c r="AM115" s="1228">
        <v>9575</v>
      </c>
      <c r="AN115" s="264"/>
      <c r="AO115" s="264"/>
      <c r="AP115" s="264"/>
      <c r="AQ115" s="264"/>
      <c r="AR115" s="1228">
        <v>10290</v>
      </c>
      <c r="AS115" s="265"/>
      <c r="AT115" s="265"/>
      <c r="AU115" s="265"/>
      <c r="AV115" s="265"/>
      <c r="AW115" s="1227">
        <v>11775</v>
      </c>
      <c r="AX115" s="268"/>
      <c r="AY115" s="268"/>
      <c r="AZ115" s="268"/>
      <c r="BA115" s="268"/>
      <c r="BB115" s="292"/>
      <c r="BC115" s="266"/>
      <c r="BD115" s="266"/>
      <c r="BE115" s="266"/>
      <c r="BF115" s="266"/>
      <c r="BG115" s="1043"/>
      <c r="BH115" s="266"/>
      <c r="BI115" s="1000"/>
      <c r="BJ115" s="265"/>
      <c r="BK115" s="265"/>
      <c r="BL115" s="982"/>
      <c r="BM115" s="116"/>
      <c r="BN115" s="116"/>
      <c r="BO115" s="116"/>
      <c r="BP115" s="116"/>
      <c r="BQ115" s="982"/>
      <c r="BR115" s="116"/>
      <c r="BS115" s="116"/>
      <c r="BT115" s="116"/>
      <c r="BU115" s="116"/>
      <c r="BV115" s="982"/>
      <c r="BW115" s="116"/>
      <c r="BX115" s="116"/>
      <c r="BY115" s="116"/>
      <c r="BZ115" s="116"/>
      <c r="CA115" s="982"/>
      <c r="CB115" s="116"/>
      <c r="CC115" s="116"/>
      <c r="CD115" s="116"/>
      <c r="CE115" s="116"/>
      <c r="CF115" s="982"/>
      <c r="CG115" s="123"/>
      <c r="CH115" s="123"/>
      <c r="CI115" s="138"/>
      <c r="CJ115" s="138"/>
      <c r="CK115" s="292"/>
      <c r="CL115" s="138"/>
      <c r="CM115" s="138"/>
      <c r="CN115" s="138"/>
      <c r="CO115" s="138"/>
      <c r="CP115" s="292"/>
      <c r="CQ115" s="138"/>
      <c r="CR115" s="138"/>
      <c r="CS115" s="138"/>
      <c r="CT115" s="138"/>
      <c r="CU115" s="292"/>
      <c r="CV115" s="138"/>
      <c r="CW115" s="138"/>
      <c r="CX115" s="138"/>
      <c r="CY115" s="138"/>
      <c r="CZ115" s="292"/>
      <c r="DA115" s="292"/>
      <c r="DB115" s="292"/>
      <c r="DC115" s="292"/>
    </row>
    <row r="116" spans="1:107" s="1178" customFormat="1" ht="11.25">
      <c r="A116" s="264"/>
      <c r="B116" s="264" t="s">
        <v>939</v>
      </c>
      <c r="C116" s="268"/>
      <c r="D116" s="264"/>
      <c r="E116" s="264"/>
      <c r="F116" s="264"/>
      <c r="G116" s="264"/>
      <c r="H116" s="264"/>
      <c r="I116" s="264"/>
      <c r="J116" s="268"/>
      <c r="K116" s="268"/>
      <c r="L116" s="268"/>
      <c r="M116" s="268"/>
      <c r="N116" s="1227">
        <v>744</v>
      </c>
      <c r="O116" s="264"/>
      <c r="P116" s="264"/>
      <c r="Q116" s="264"/>
      <c r="R116" s="264"/>
      <c r="S116" s="1227">
        <v>783</v>
      </c>
      <c r="T116" s="264"/>
      <c r="U116" s="264"/>
      <c r="V116" s="264"/>
      <c r="W116" s="264"/>
      <c r="X116" s="1227">
        <v>987</v>
      </c>
      <c r="Y116" s="264"/>
      <c r="Z116" s="264"/>
      <c r="AA116" s="264"/>
      <c r="AB116" s="264"/>
      <c r="AC116" s="1227">
        <v>1301</v>
      </c>
      <c r="AD116" s="264"/>
      <c r="AE116" s="264"/>
      <c r="AF116" s="264"/>
      <c r="AG116" s="264"/>
      <c r="AH116" s="1228">
        <v>1413</v>
      </c>
      <c r="AI116" s="264"/>
      <c r="AJ116" s="264"/>
      <c r="AK116" s="264"/>
      <c r="AL116" s="264"/>
      <c r="AM116" s="1228">
        <v>1712</v>
      </c>
      <c r="AN116" s="264"/>
      <c r="AO116" s="264"/>
      <c r="AP116" s="264"/>
      <c r="AQ116" s="264"/>
      <c r="AR116" s="1228">
        <v>1888</v>
      </c>
      <c r="AS116" s="265"/>
      <c r="AT116" s="265"/>
      <c r="AU116" s="265"/>
      <c r="AV116" s="265"/>
      <c r="AW116" s="1227">
        <v>2321</v>
      </c>
      <c r="AX116" s="268"/>
      <c r="AY116" s="268"/>
      <c r="AZ116" s="268"/>
      <c r="BA116" s="268"/>
      <c r="BB116" s="292"/>
      <c r="BC116" s="266"/>
      <c r="BD116" s="266"/>
      <c r="BE116" s="266"/>
      <c r="BF116" s="266"/>
      <c r="BG116" s="1043"/>
      <c r="BH116" s="266"/>
      <c r="BI116" s="1000"/>
      <c r="BJ116" s="265"/>
      <c r="BK116" s="265"/>
      <c r="BL116" s="982"/>
      <c r="BM116" s="116"/>
      <c r="BN116" s="116"/>
      <c r="BO116" s="116"/>
      <c r="BP116" s="116"/>
      <c r="BQ116" s="982"/>
      <c r="BR116" s="116"/>
      <c r="BS116" s="116"/>
      <c r="BT116" s="116"/>
      <c r="BU116" s="116"/>
      <c r="BV116" s="982"/>
      <c r="BW116" s="116"/>
      <c r="BX116" s="116"/>
      <c r="BY116" s="116"/>
      <c r="BZ116" s="116"/>
      <c r="CA116" s="982"/>
      <c r="CB116" s="116"/>
      <c r="CC116" s="116"/>
      <c r="CD116" s="116"/>
      <c r="CE116" s="116"/>
      <c r="CF116" s="982"/>
      <c r="CG116" s="123"/>
      <c r="CH116" s="123"/>
      <c r="CI116" s="138"/>
      <c r="CJ116" s="138"/>
      <c r="CK116" s="292"/>
      <c r="CL116" s="138"/>
      <c r="CM116" s="138"/>
      <c r="CN116" s="138"/>
      <c r="CO116" s="138"/>
      <c r="CP116" s="292"/>
      <c r="CQ116" s="138"/>
      <c r="CR116" s="138"/>
      <c r="CS116" s="138"/>
      <c r="CT116" s="138"/>
      <c r="CU116" s="292"/>
      <c r="CV116" s="138"/>
      <c r="CW116" s="138"/>
      <c r="CX116" s="138"/>
      <c r="CY116" s="138"/>
      <c r="CZ116" s="292"/>
      <c r="DA116" s="292"/>
      <c r="DB116" s="292"/>
      <c r="DC116" s="292"/>
    </row>
    <row r="117" spans="1:107" s="1178" customFormat="1" ht="11.25">
      <c r="A117" s="264"/>
      <c r="B117" s="264" t="s">
        <v>938</v>
      </c>
      <c r="C117" s="268"/>
      <c r="D117" s="264"/>
      <c r="E117" s="264"/>
      <c r="F117" s="264"/>
      <c r="G117" s="264"/>
      <c r="H117" s="264"/>
      <c r="I117" s="264"/>
      <c r="J117" s="268"/>
      <c r="K117" s="268"/>
      <c r="L117" s="268"/>
      <c r="M117" s="268"/>
      <c r="N117" s="1227">
        <v>744</v>
      </c>
      <c r="O117" s="264"/>
      <c r="P117" s="264"/>
      <c r="Q117" s="264"/>
      <c r="R117" s="264"/>
      <c r="S117" s="1227">
        <v>866</v>
      </c>
      <c r="T117" s="264"/>
      <c r="U117" s="264"/>
      <c r="V117" s="264"/>
      <c r="W117" s="264"/>
      <c r="X117" s="1227">
        <v>1038</v>
      </c>
      <c r="Y117" s="264"/>
      <c r="Z117" s="264"/>
      <c r="AA117" s="264"/>
      <c r="AB117" s="264"/>
      <c r="AC117" s="1227">
        <v>1298</v>
      </c>
      <c r="AD117" s="264"/>
      <c r="AE117" s="264"/>
      <c r="AF117" s="264"/>
      <c r="AG117" s="264"/>
      <c r="AH117" s="1228">
        <v>1557</v>
      </c>
      <c r="AI117" s="264"/>
      <c r="AJ117" s="264"/>
      <c r="AK117" s="264"/>
      <c r="AL117" s="264"/>
      <c r="AM117" s="1228">
        <v>1764</v>
      </c>
      <c r="AN117" s="264"/>
      <c r="AO117" s="264"/>
      <c r="AP117" s="264"/>
      <c r="AQ117" s="264"/>
      <c r="AR117" s="1228">
        <v>1934</v>
      </c>
      <c r="AS117" s="265"/>
      <c r="AT117" s="265"/>
      <c r="AU117" s="265"/>
      <c r="AV117" s="265"/>
      <c r="AW117" s="1227">
        <v>2232</v>
      </c>
      <c r="AX117" s="268"/>
      <c r="AY117" s="268"/>
      <c r="AZ117" s="268"/>
      <c r="BA117" s="268"/>
      <c r="BB117" s="292"/>
      <c r="BC117" s="266"/>
      <c r="BD117" s="266"/>
      <c r="BE117" s="266"/>
      <c r="BF117" s="266"/>
      <c r="BG117" s="1043"/>
      <c r="BH117" s="266"/>
      <c r="BI117" s="1000"/>
      <c r="BJ117" s="265"/>
      <c r="BK117" s="265"/>
      <c r="BL117" s="982"/>
      <c r="BM117" s="116"/>
      <c r="BN117" s="116"/>
      <c r="BO117" s="116"/>
      <c r="BP117" s="116"/>
      <c r="BQ117" s="982"/>
      <c r="BR117" s="116"/>
      <c r="BS117" s="116"/>
      <c r="BT117" s="116"/>
      <c r="BU117" s="116"/>
      <c r="BV117" s="982"/>
      <c r="BW117" s="116"/>
      <c r="BX117" s="116"/>
      <c r="BY117" s="116"/>
      <c r="BZ117" s="116"/>
      <c r="CA117" s="982"/>
      <c r="CB117" s="116"/>
      <c r="CC117" s="116"/>
      <c r="CD117" s="116"/>
      <c r="CE117" s="116"/>
      <c r="CF117" s="982"/>
      <c r="CG117" s="123"/>
      <c r="CH117" s="123"/>
      <c r="CI117" s="138"/>
      <c r="CJ117" s="138"/>
      <c r="CK117" s="292"/>
      <c r="CL117" s="138"/>
      <c r="CM117" s="138"/>
      <c r="CN117" s="138"/>
      <c r="CO117" s="138"/>
      <c r="CP117" s="292"/>
      <c r="CQ117" s="138"/>
      <c r="CR117" s="138"/>
      <c r="CS117" s="138"/>
      <c r="CT117" s="138"/>
      <c r="CU117" s="292"/>
      <c r="CV117" s="138"/>
      <c r="CW117" s="138"/>
      <c r="CX117" s="138"/>
      <c r="CY117" s="138"/>
      <c r="CZ117" s="292"/>
      <c r="DA117" s="292"/>
      <c r="DB117" s="292"/>
      <c r="DC117" s="292"/>
    </row>
    <row r="118" spans="1:107" s="1178" customFormat="1" ht="11.25">
      <c r="A118" s="264"/>
      <c r="B118" s="264" t="s">
        <v>622</v>
      </c>
      <c r="C118" s="268"/>
      <c r="D118" s="264"/>
      <c r="E118" s="264"/>
      <c r="F118" s="264"/>
      <c r="G118" s="264"/>
      <c r="H118" s="264"/>
      <c r="I118" s="264"/>
      <c r="J118" s="268"/>
      <c r="K118" s="268"/>
      <c r="L118" s="268"/>
      <c r="M118" s="268"/>
      <c r="N118" s="1225">
        <v>0.122</v>
      </c>
      <c r="O118" s="264"/>
      <c r="P118" s="264"/>
      <c r="Q118" s="264"/>
      <c r="R118" s="264"/>
      <c r="S118" s="1225">
        <v>0.124</v>
      </c>
      <c r="T118" s="264"/>
      <c r="U118" s="264"/>
      <c r="V118" s="264"/>
      <c r="W118" s="264"/>
      <c r="X118" s="1225">
        <v>0.14599999999999999</v>
      </c>
      <c r="Y118" s="264"/>
      <c r="Z118" s="264"/>
      <c r="AA118" s="264"/>
      <c r="AB118" s="264"/>
      <c r="AC118" s="1225">
        <v>0.16500000000000001</v>
      </c>
      <c r="AD118" s="264"/>
      <c r="AE118" s="264"/>
      <c r="AF118" s="264"/>
      <c r="AG118" s="264"/>
      <c r="AH118" s="1226">
        <v>0.158</v>
      </c>
      <c r="AI118" s="264"/>
      <c r="AJ118" s="264"/>
      <c r="AK118" s="264"/>
      <c r="AL118" s="264"/>
      <c r="AM118" s="1226">
        <v>0.17899999999999999</v>
      </c>
      <c r="AN118" s="264"/>
      <c r="AO118" s="264"/>
      <c r="AP118" s="264"/>
      <c r="AQ118" s="264"/>
      <c r="AR118" s="1226">
        <v>0.183</v>
      </c>
      <c r="AS118" s="265"/>
      <c r="AT118" s="265"/>
      <c r="AU118" s="265"/>
      <c r="AV118" s="265"/>
      <c r="AW118" s="1225">
        <v>0.19500000000000001</v>
      </c>
      <c r="AX118" s="268"/>
      <c r="AY118" s="268"/>
      <c r="AZ118" s="268"/>
      <c r="BA118" s="268"/>
      <c r="BB118" s="292"/>
      <c r="BC118" s="266"/>
      <c r="BD118" s="266"/>
      <c r="BE118" s="266"/>
      <c r="BF118" s="266"/>
      <c r="BG118" s="1043"/>
      <c r="BH118" s="266"/>
      <c r="BI118" s="1000"/>
      <c r="BJ118" s="265"/>
      <c r="BK118" s="265"/>
      <c r="BL118" s="982"/>
      <c r="BM118" s="116"/>
      <c r="BN118" s="116"/>
      <c r="BO118" s="116"/>
      <c r="BP118" s="116"/>
      <c r="BQ118" s="982"/>
      <c r="BR118" s="116"/>
      <c r="BS118" s="116"/>
      <c r="BT118" s="116"/>
      <c r="BU118" s="116"/>
      <c r="BV118" s="982"/>
      <c r="BW118" s="116"/>
      <c r="BX118" s="116"/>
      <c r="BY118" s="116"/>
      <c r="BZ118" s="116"/>
      <c r="CA118" s="982"/>
      <c r="CB118" s="116"/>
      <c r="CC118" s="116"/>
      <c r="CD118" s="116"/>
      <c r="CE118" s="116"/>
      <c r="CF118" s="982"/>
      <c r="CG118" s="123"/>
      <c r="CH118" s="123"/>
      <c r="CI118" s="138"/>
      <c r="CJ118" s="138"/>
      <c r="CK118" s="292"/>
      <c r="CL118" s="138"/>
      <c r="CM118" s="138"/>
      <c r="CN118" s="138"/>
      <c r="CO118" s="138"/>
      <c r="CP118" s="292"/>
      <c r="CQ118" s="138"/>
      <c r="CR118" s="138"/>
      <c r="CS118" s="138"/>
      <c r="CT118" s="138"/>
      <c r="CU118" s="292"/>
      <c r="CV118" s="138"/>
      <c r="CW118" s="138"/>
      <c r="CX118" s="138"/>
      <c r="CY118" s="138"/>
      <c r="CZ118" s="292"/>
      <c r="DA118" s="292"/>
      <c r="DB118" s="292"/>
      <c r="DC118" s="292"/>
    </row>
    <row r="119" spans="1:107" s="1178" customFormat="1" ht="11.25">
      <c r="A119" s="264"/>
      <c r="B119" s="264" t="s">
        <v>621</v>
      </c>
      <c r="C119" s="268"/>
      <c r="D119" s="264"/>
      <c r="E119" s="264"/>
      <c r="F119" s="264"/>
      <c r="G119" s="264"/>
      <c r="H119" s="264"/>
      <c r="I119" s="264"/>
      <c r="J119" s="268"/>
      <c r="K119" s="268"/>
      <c r="L119" s="268"/>
      <c r="M119" s="268"/>
      <c r="N119" s="1225">
        <v>0.122</v>
      </c>
      <c r="O119" s="264"/>
      <c r="P119" s="264"/>
      <c r="Q119" s="264"/>
      <c r="R119" s="264"/>
      <c r="S119" s="1225">
        <v>0.13800000000000001</v>
      </c>
      <c r="T119" s="264"/>
      <c r="U119" s="264"/>
      <c r="V119" s="264"/>
      <c r="W119" s="264"/>
      <c r="X119" s="1225">
        <v>0.153</v>
      </c>
      <c r="Y119" s="264"/>
      <c r="Z119" s="264"/>
      <c r="AA119" s="264"/>
      <c r="AB119" s="264"/>
      <c r="AC119" s="1225">
        <v>0.16600000000000001</v>
      </c>
      <c r="AD119" s="264"/>
      <c r="AE119" s="264"/>
      <c r="AF119" s="264"/>
      <c r="AG119" s="264"/>
      <c r="AH119" s="1226">
        <v>0.17399999999999999</v>
      </c>
      <c r="AI119" s="264"/>
      <c r="AJ119" s="264"/>
      <c r="AK119" s="264"/>
      <c r="AL119" s="264"/>
      <c r="AM119" s="1226">
        <v>0.184</v>
      </c>
      <c r="AN119" s="264"/>
      <c r="AO119" s="264"/>
      <c r="AP119" s="264"/>
      <c r="AQ119" s="264"/>
      <c r="AR119" s="1226">
        <v>0.188</v>
      </c>
      <c r="AS119" s="265"/>
      <c r="AT119" s="265"/>
      <c r="AU119" s="265"/>
      <c r="AV119" s="265"/>
      <c r="AW119" s="1225">
        <v>0.19</v>
      </c>
      <c r="AX119" s="268"/>
      <c r="AY119" s="268"/>
      <c r="AZ119" s="268"/>
      <c r="BA119" s="268"/>
      <c r="BB119" s="292"/>
      <c r="BC119" s="266"/>
      <c r="BD119" s="266"/>
      <c r="BE119" s="266"/>
      <c r="BF119" s="266"/>
      <c r="BG119" s="1043"/>
      <c r="BH119" s="266"/>
      <c r="BI119" s="1000"/>
      <c r="BJ119" s="265"/>
      <c r="BK119" s="265"/>
      <c r="BL119" s="982"/>
      <c r="BM119" s="116"/>
      <c r="BN119" s="116"/>
      <c r="BO119" s="116"/>
      <c r="BP119" s="116"/>
      <c r="BQ119" s="982"/>
      <c r="BR119" s="116"/>
      <c r="BS119" s="116"/>
      <c r="BT119" s="116"/>
      <c r="BU119" s="116"/>
      <c r="BV119" s="982"/>
      <c r="BW119" s="116"/>
      <c r="BX119" s="116"/>
      <c r="BY119" s="116"/>
      <c r="BZ119" s="116"/>
      <c r="CA119" s="982"/>
      <c r="CB119" s="116"/>
      <c r="CC119" s="116"/>
      <c r="CD119" s="116"/>
      <c r="CE119" s="116"/>
      <c r="CF119" s="982"/>
      <c r="CG119" s="138"/>
      <c r="CH119" s="138"/>
      <c r="CI119" s="138"/>
      <c r="CJ119" s="138"/>
      <c r="CK119" s="292"/>
      <c r="CL119" s="138"/>
      <c r="CM119" s="138"/>
      <c r="CN119" s="138"/>
      <c r="CO119" s="138"/>
      <c r="CP119" s="292"/>
      <c r="CQ119" s="138"/>
      <c r="CR119" s="138"/>
      <c r="CS119" s="138"/>
      <c r="CT119" s="138"/>
      <c r="CU119" s="292"/>
      <c r="CV119" s="138"/>
      <c r="CW119" s="138"/>
      <c r="CX119" s="138"/>
      <c r="CY119" s="138"/>
      <c r="CZ119" s="292"/>
      <c r="DA119" s="292"/>
      <c r="DB119" s="292"/>
      <c r="DC119" s="292"/>
    </row>
    <row r="120" spans="1:107" s="1178" customFormat="1" ht="11.25">
      <c r="A120" s="264"/>
      <c r="B120" s="264"/>
      <c r="C120" s="268"/>
      <c r="D120" s="264"/>
      <c r="E120" s="264"/>
      <c r="F120" s="264"/>
      <c r="G120" s="264"/>
      <c r="H120" s="264"/>
      <c r="I120" s="264"/>
      <c r="J120" s="268"/>
      <c r="K120" s="268"/>
      <c r="L120" s="268"/>
      <c r="M120" s="268"/>
      <c r="N120" s="1225"/>
      <c r="O120" s="264"/>
      <c r="P120" s="264"/>
      <c r="Q120" s="264"/>
      <c r="R120" s="264"/>
      <c r="S120" s="1225"/>
      <c r="T120" s="264"/>
      <c r="U120" s="264"/>
      <c r="V120" s="264"/>
      <c r="W120" s="264"/>
      <c r="X120" s="1225"/>
      <c r="Y120" s="264"/>
      <c r="Z120" s="264"/>
      <c r="AA120" s="264"/>
      <c r="AB120" s="264"/>
      <c r="AC120" s="1225"/>
      <c r="AD120" s="264"/>
      <c r="AE120" s="264"/>
      <c r="AF120" s="264"/>
      <c r="AG120" s="264"/>
      <c r="AH120" s="1226"/>
      <c r="AI120" s="264"/>
      <c r="AJ120" s="264"/>
      <c r="AK120" s="264"/>
      <c r="AL120" s="264"/>
      <c r="AM120" s="1226"/>
      <c r="AN120" s="264"/>
      <c r="AO120" s="264"/>
      <c r="AP120" s="264"/>
      <c r="AQ120" s="264"/>
      <c r="AR120" s="1226"/>
      <c r="AS120" s="265"/>
      <c r="AT120" s="265"/>
      <c r="AU120" s="265"/>
      <c r="AV120" s="265"/>
      <c r="AW120" s="1225"/>
      <c r="AX120" s="268"/>
      <c r="AY120" s="268"/>
      <c r="AZ120" s="268"/>
      <c r="BA120" s="268"/>
      <c r="BB120" s="292"/>
      <c r="BC120" s="266"/>
      <c r="BD120" s="266"/>
      <c r="BE120" s="266"/>
      <c r="BF120" s="266"/>
      <c r="BG120" s="1043"/>
      <c r="BH120" s="266"/>
      <c r="BI120" s="1000"/>
      <c r="BJ120" s="265"/>
      <c r="BK120" s="265"/>
      <c r="BL120" s="982"/>
      <c r="BM120" s="116"/>
      <c r="BN120" s="116"/>
      <c r="BO120" s="116"/>
      <c r="BP120" s="116"/>
      <c r="BQ120" s="982"/>
      <c r="BR120" s="116"/>
      <c r="BS120" s="116"/>
      <c r="BT120" s="116"/>
      <c r="BU120" s="116"/>
      <c r="BV120" s="982"/>
      <c r="BW120" s="116"/>
      <c r="BX120" s="116"/>
      <c r="BY120" s="116"/>
      <c r="BZ120" s="116"/>
      <c r="CA120" s="982"/>
      <c r="CB120" s="116"/>
      <c r="CC120" s="116"/>
      <c r="CD120" s="116"/>
      <c r="CE120" s="116"/>
      <c r="CF120" s="982"/>
      <c r="CG120" s="138"/>
      <c r="CH120" s="138"/>
      <c r="CI120" s="138"/>
      <c r="CJ120" s="138"/>
      <c r="CK120" s="292"/>
      <c r="CL120" s="138"/>
      <c r="CM120" s="138"/>
      <c r="CN120" s="138"/>
      <c r="CO120" s="138"/>
      <c r="CP120" s="292"/>
      <c r="CQ120" s="138"/>
      <c r="CR120" s="138"/>
      <c r="CS120" s="138"/>
      <c r="CT120" s="138"/>
      <c r="CU120" s="292"/>
      <c r="CV120" s="138"/>
      <c r="CW120" s="138"/>
      <c r="CX120" s="138"/>
      <c r="CY120" s="138"/>
      <c r="CZ120" s="292"/>
      <c r="DA120" s="292"/>
      <c r="DB120" s="292"/>
      <c r="DC120" s="292"/>
    </row>
    <row r="121" spans="1:107" s="1178" customFormat="1" ht="11.25">
      <c r="A121" s="264"/>
      <c r="B121" s="1182" t="s">
        <v>937</v>
      </c>
      <c r="C121" s="268"/>
      <c r="D121" s="264"/>
      <c r="E121" s="264"/>
      <c r="F121" s="264"/>
      <c r="G121" s="264"/>
      <c r="H121" s="264"/>
      <c r="I121" s="264"/>
      <c r="J121" s="268"/>
      <c r="K121" s="268"/>
      <c r="L121" s="268"/>
      <c r="M121" s="268"/>
      <c r="N121" s="1225"/>
      <c r="O121" s="264"/>
      <c r="P121" s="264"/>
      <c r="Q121" s="264"/>
      <c r="R121" s="264"/>
      <c r="S121" s="1225"/>
      <c r="T121" s="264"/>
      <c r="U121" s="264"/>
      <c r="V121" s="264"/>
      <c r="W121" s="264"/>
      <c r="X121" s="1225"/>
      <c r="Y121" s="264"/>
      <c r="Z121" s="264"/>
      <c r="AA121" s="264"/>
      <c r="AB121" s="264"/>
      <c r="AC121" s="1225"/>
      <c r="AD121" s="264"/>
      <c r="AE121" s="264"/>
      <c r="AF121" s="264"/>
      <c r="AG121" s="264"/>
      <c r="AH121" s="1226"/>
      <c r="AI121" s="264"/>
      <c r="AJ121" s="264"/>
      <c r="AK121" s="264"/>
      <c r="AL121" s="264"/>
      <c r="AM121" s="1226"/>
      <c r="AN121" s="264"/>
      <c r="AO121" s="264"/>
      <c r="AP121" s="264"/>
      <c r="AQ121" s="264"/>
      <c r="AR121" s="1226"/>
      <c r="AS121" s="265"/>
      <c r="AT121" s="265"/>
      <c r="AU121" s="265"/>
      <c r="AV121" s="265"/>
      <c r="AW121" s="1225"/>
      <c r="AX121" s="268"/>
      <c r="AY121" s="268"/>
      <c r="AZ121" s="268"/>
      <c r="BA121" s="268"/>
      <c r="BB121" s="292"/>
      <c r="BC121" s="266"/>
      <c r="BD121" s="266"/>
      <c r="BE121" s="266"/>
      <c r="BF121" s="266"/>
      <c r="BG121" s="1043"/>
      <c r="BH121" s="266"/>
      <c r="BI121" s="1000"/>
      <c r="BJ121" s="265"/>
      <c r="BK121" s="265"/>
      <c r="BL121" s="982"/>
      <c r="BM121" s="116"/>
      <c r="BN121" s="116"/>
      <c r="BO121" s="116"/>
      <c r="BP121" s="116"/>
      <c r="BQ121" s="982"/>
      <c r="BR121" s="116"/>
      <c r="BS121" s="116"/>
      <c r="BT121" s="116"/>
      <c r="BU121" s="116"/>
      <c r="BV121" s="982"/>
      <c r="BW121" s="116"/>
      <c r="BX121" s="116"/>
      <c r="BY121" s="116"/>
      <c r="BZ121" s="116"/>
      <c r="CA121" s="982"/>
      <c r="CB121" s="116"/>
      <c r="CC121" s="116"/>
      <c r="CD121" s="116"/>
      <c r="CE121" s="116"/>
      <c r="CF121" s="982"/>
      <c r="CG121" s="138"/>
      <c r="CH121" s="138"/>
      <c r="CI121" s="138"/>
      <c r="CJ121" s="138"/>
      <c r="CK121" s="292"/>
      <c r="CL121" s="138"/>
      <c r="CM121" s="138"/>
      <c r="CN121" s="138"/>
      <c r="CO121" s="138"/>
      <c r="CP121" s="292"/>
      <c r="CQ121" s="138"/>
      <c r="CR121" s="138"/>
      <c r="CS121" s="138"/>
      <c r="CT121" s="138"/>
      <c r="CU121" s="292"/>
      <c r="CV121" s="138"/>
      <c r="CW121" s="138"/>
      <c r="CX121" s="138"/>
      <c r="CY121" s="138"/>
      <c r="CZ121" s="292"/>
      <c r="DA121" s="292"/>
      <c r="DB121" s="292"/>
      <c r="DC121" s="292"/>
    </row>
    <row r="122" spans="1:107" s="1178" customFormat="1" ht="11.25">
      <c r="A122" s="264"/>
      <c r="B122" s="1182"/>
      <c r="C122" s="268" t="s">
        <v>500</v>
      </c>
      <c r="D122" s="264"/>
      <c r="E122" s="264"/>
      <c r="F122" s="264"/>
      <c r="G122" s="264"/>
      <c r="H122" s="264"/>
      <c r="I122" s="264"/>
      <c r="J122" s="268"/>
      <c r="K122" s="268"/>
      <c r="L122" s="268"/>
      <c r="M122" s="268"/>
      <c r="N122" s="1225"/>
      <c r="O122" s="264"/>
      <c r="P122" s="264"/>
      <c r="Q122" s="264"/>
      <c r="R122" s="264"/>
      <c r="S122" s="1225"/>
      <c r="T122" s="264"/>
      <c r="U122" s="264"/>
      <c r="V122" s="264"/>
      <c r="W122" s="264"/>
      <c r="X122" s="1225"/>
      <c r="Y122" s="264"/>
      <c r="Z122" s="264"/>
      <c r="AA122" s="264"/>
      <c r="AB122" s="264"/>
      <c r="AC122" s="1225"/>
      <c r="AD122" s="264"/>
      <c r="AE122" s="264"/>
      <c r="AF122" s="264"/>
      <c r="AG122" s="264"/>
      <c r="AH122" s="1226"/>
      <c r="AI122" s="264"/>
      <c r="AJ122" s="264"/>
      <c r="AK122" s="264"/>
      <c r="AL122" s="264"/>
      <c r="AM122" s="1226"/>
      <c r="AN122" s="264"/>
      <c r="AO122" s="264"/>
      <c r="AP122" s="264"/>
      <c r="AQ122" s="264"/>
      <c r="AR122" s="1226"/>
      <c r="AS122" s="265"/>
      <c r="AT122" s="265"/>
      <c r="AU122" s="265"/>
      <c r="AV122" s="265"/>
      <c r="AW122" s="1225"/>
      <c r="AX122" s="268"/>
      <c r="AY122" s="268"/>
      <c r="AZ122" s="268"/>
      <c r="BA122" s="268"/>
      <c r="BB122" s="292"/>
      <c r="BC122" s="266"/>
      <c r="BD122" s="266"/>
      <c r="BE122" s="266"/>
      <c r="BF122" s="266"/>
      <c r="BG122" s="1043"/>
      <c r="BH122" s="266"/>
      <c r="BI122" s="1000"/>
      <c r="BJ122" s="265"/>
      <c r="BK122" s="265"/>
      <c r="BL122" s="982"/>
      <c r="BM122" s="116"/>
      <c r="BN122" s="116"/>
      <c r="BO122" s="116"/>
      <c r="BP122" s="116"/>
      <c r="BQ122" s="982"/>
      <c r="BR122" s="116"/>
      <c r="BS122" s="116"/>
      <c r="BT122" s="116"/>
      <c r="BU122" s="116"/>
      <c r="BV122" s="982"/>
      <c r="BW122" s="116"/>
      <c r="BX122" s="116"/>
      <c r="BY122" s="116"/>
      <c r="BZ122" s="116"/>
      <c r="CA122" s="982"/>
      <c r="CB122" s="116"/>
      <c r="CC122" s="116"/>
      <c r="CD122" s="116"/>
      <c r="CE122" s="116"/>
      <c r="CF122" s="1224">
        <v>0.25</v>
      </c>
      <c r="CG122" s="138"/>
      <c r="CH122" s="138"/>
      <c r="CI122" s="138"/>
      <c r="CJ122" s="138"/>
      <c r="CK122" s="292"/>
      <c r="CL122" s="138"/>
      <c r="CM122" s="138"/>
      <c r="CN122" s="138"/>
      <c r="CO122" s="138"/>
      <c r="CP122" s="292"/>
      <c r="CQ122" s="138"/>
      <c r="CR122" s="138"/>
      <c r="CS122" s="138"/>
      <c r="CT122" s="138"/>
      <c r="CU122" s="292"/>
      <c r="CV122" s="138"/>
      <c r="CW122" s="138"/>
      <c r="CX122" s="138"/>
      <c r="CY122" s="138"/>
      <c r="CZ122" s="292"/>
      <c r="DA122" s="292"/>
      <c r="DB122" s="292"/>
      <c r="DC122" s="292"/>
    </row>
    <row r="123" spans="1:107" s="1178" customFormat="1" ht="11.25">
      <c r="A123" s="264"/>
      <c r="B123" s="264"/>
      <c r="C123" s="268" t="s">
        <v>564</v>
      </c>
      <c r="D123" s="264"/>
      <c r="E123" s="264"/>
      <c r="F123" s="264"/>
      <c r="G123" s="264"/>
      <c r="H123" s="264"/>
      <c r="I123" s="264"/>
      <c r="J123" s="268"/>
      <c r="K123" s="268"/>
      <c r="L123" s="268"/>
      <c r="M123" s="268"/>
      <c r="N123" s="1225"/>
      <c r="O123" s="264"/>
      <c r="P123" s="264"/>
      <c r="Q123" s="264"/>
      <c r="R123" s="264"/>
      <c r="S123" s="1225"/>
      <c r="T123" s="264"/>
      <c r="U123" s="264"/>
      <c r="V123" s="264"/>
      <c r="W123" s="264"/>
      <c r="X123" s="1225"/>
      <c r="Y123" s="264"/>
      <c r="Z123" s="264"/>
      <c r="AA123" s="264"/>
      <c r="AB123" s="264"/>
      <c r="AC123" s="1225"/>
      <c r="AD123" s="264"/>
      <c r="AE123" s="264"/>
      <c r="AF123" s="264"/>
      <c r="AG123" s="264"/>
      <c r="AH123" s="1226"/>
      <c r="AI123" s="264"/>
      <c r="AJ123" s="264"/>
      <c r="AK123" s="264"/>
      <c r="AL123" s="264"/>
      <c r="AM123" s="1226"/>
      <c r="AN123" s="264"/>
      <c r="AO123" s="264"/>
      <c r="AP123" s="264"/>
      <c r="AQ123" s="264"/>
      <c r="AR123" s="1226"/>
      <c r="AS123" s="265"/>
      <c r="AT123" s="265"/>
      <c r="AU123" s="265"/>
      <c r="AV123" s="265"/>
      <c r="AW123" s="1225"/>
      <c r="AX123" s="268"/>
      <c r="AY123" s="268"/>
      <c r="AZ123" s="268"/>
      <c r="BA123" s="268"/>
      <c r="BB123" s="292"/>
      <c r="BC123" s="266"/>
      <c r="BD123" s="266"/>
      <c r="BE123" s="266"/>
      <c r="BF123" s="266"/>
      <c r="BG123" s="1043"/>
      <c r="BH123" s="266"/>
      <c r="BI123" s="1000"/>
      <c r="BJ123" s="265"/>
      <c r="BK123" s="265"/>
      <c r="BL123" s="982"/>
      <c r="BM123" s="116"/>
      <c r="BN123" s="116"/>
      <c r="BO123" s="116"/>
      <c r="BP123" s="116"/>
      <c r="BQ123" s="982"/>
      <c r="BR123" s="116"/>
      <c r="BS123" s="116"/>
      <c r="BT123" s="116"/>
      <c r="BU123" s="116"/>
      <c r="BV123" s="982"/>
      <c r="BW123" s="116"/>
      <c r="BX123" s="116"/>
      <c r="BY123" s="116"/>
      <c r="BZ123" s="116"/>
      <c r="CA123" s="982"/>
      <c r="CB123" s="116"/>
      <c r="CC123" s="116"/>
      <c r="CD123" s="116"/>
      <c r="CE123" s="116"/>
      <c r="CF123" s="1224">
        <f>1-CF122-CF124</f>
        <v>0.41666666666666669</v>
      </c>
      <c r="CG123" s="138"/>
      <c r="CH123" s="138"/>
      <c r="CI123" s="138"/>
      <c r="CJ123" s="138"/>
      <c r="CK123" s="292"/>
      <c r="CL123" s="138"/>
      <c r="CM123" s="138"/>
      <c r="CN123" s="138"/>
      <c r="CO123" s="138"/>
      <c r="CP123" s="292"/>
      <c r="CQ123" s="138"/>
      <c r="CR123" s="138"/>
      <c r="CS123" s="138"/>
      <c r="CT123" s="138"/>
      <c r="CU123" s="292"/>
      <c r="CV123" s="138"/>
      <c r="CW123" s="138"/>
      <c r="CX123" s="138"/>
      <c r="CY123" s="138"/>
      <c r="CZ123" s="292"/>
      <c r="DA123" s="292"/>
      <c r="DB123" s="292"/>
      <c r="DC123" s="292"/>
    </row>
    <row r="124" spans="1:107" s="1178" customFormat="1" ht="11.25">
      <c r="A124" s="264"/>
      <c r="B124" s="264"/>
      <c r="C124" s="268" t="s">
        <v>832</v>
      </c>
      <c r="D124" s="264"/>
      <c r="E124" s="264"/>
      <c r="F124" s="264"/>
      <c r="G124" s="264"/>
      <c r="H124" s="264"/>
      <c r="I124" s="264"/>
      <c r="J124" s="268"/>
      <c r="K124" s="268"/>
      <c r="L124" s="268"/>
      <c r="M124" s="268"/>
      <c r="N124" s="1225"/>
      <c r="O124" s="264"/>
      <c r="P124" s="264"/>
      <c r="Q124" s="264"/>
      <c r="R124" s="264"/>
      <c r="S124" s="1225"/>
      <c r="T124" s="264"/>
      <c r="U124" s="264"/>
      <c r="V124" s="264"/>
      <c r="W124" s="264"/>
      <c r="X124" s="1225"/>
      <c r="Y124" s="264"/>
      <c r="Z124" s="264"/>
      <c r="AA124" s="264"/>
      <c r="AB124" s="264"/>
      <c r="AC124" s="1225"/>
      <c r="AD124" s="264"/>
      <c r="AE124" s="264"/>
      <c r="AF124" s="264"/>
      <c r="AG124" s="264"/>
      <c r="AH124" s="1226"/>
      <c r="AI124" s="264"/>
      <c r="AJ124" s="264"/>
      <c r="AK124" s="264"/>
      <c r="AL124" s="264"/>
      <c r="AM124" s="1226"/>
      <c r="AN124" s="264"/>
      <c r="AO124" s="264"/>
      <c r="AP124" s="264"/>
      <c r="AQ124" s="264"/>
      <c r="AR124" s="1226"/>
      <c r="AS124" s="265"/>
      <c r="AT124" s="265"/>
      <c r="AU124" s="265"/>
      <c r="AV124" s="265"/>
      <c r="AW124" s="1225"/>
      <c r="AX124" s="268"/>
      <c r="AY124" s="268"/>
      <c r="AZ124" s="268"/>
      <c r="BA124" s="268"/>
      <c r="BB124" s="292"/>
      <c r="BC124" s="266"/>
      <c r="BD124" s="266"/>
      <c r="BE124" s="266"/>
      <c r="BF124" s="266"/>
      <c r="BG124" s="1043"/>
      <c r="BH124" s="266"/>
      <c r="BI124" s="1000"/>
      <c r="BJ124" s="265"/>
      <c r="BK124" s="265"/>
      <c r="BL124" s="982"/>
      <c r="BM124" s="116"/>
      <c r="BN124" s="116"/>
      <c r="BO124" s="116"/>
      <c r="BP124" s="116"/>
      <c r="BQ124" s="982"/>
      <c r="BR124" s="116"/>
      <c r="BS124" s="116"/>
      <c r="BT124" s="116"/>
      <c r="BU124" s="116"/>
      <c r="BV124" s="982"/>
      <c r="BW124" s="116"/>
      <c r="BX124" s="116"/>
      <c r="BY124" s="116"/>
      <c r="BZ124" s="116"/>
      <c r="CA124" s="982"/>
      <c r="CB124" s="116"/>
      <c r="CC124" s="116"/>
      <c r="CD124" s="116"/>
      <c r="CE124" s="116"/>
      <c r="CF124" s="1224">
        <f>1/3</f>
        <v>0.33333333333333331</v>
      </c>
      <c r="CG124" s="138"/>
      <c r="CH124" s="138"/>
      <c r="CI124" s="138"/>
      <c r="CJ124" s="138"/>
      <c r="CK124" s="292"/>
      <c r="CL124" s="138"/>
      <c r="CM124" s="138"/>
      <c r="CN124" s="138"/>
      <c r="CO124" s="138"/>
      <c r="CP124" s="292"/>
      <c r="CQ124" s="138"/>
      <c r="CR124" s="138"/>
      <c r="CS124" s="138"/>
      <c r="CT124" s="138"/>
      <c r="CU124" s="292"/>
      <c r="CV124" s="138"/>
      <c r="CW124" s="138"/>
      <c r="CX124" s="138"/>
      <c r="CY124" s="138"/>
      <c r="CZ124" s="292"/>
      <c r="DA124" s="292"/>
      <c r="DB124" s="292"/>
      <c r="DC124" s="292"/>
    </row>
    <row r="125" spans="1:107" s="1178" customFormat="1" ht="11.25">
      <c r="A125" s="1191"/>
      <c r="B125" s="1191"/>
      <c r="C125" s="1191" t="s">
        <v>8</v>
      </c>
      <c r="D125" s="1191"/>
      <c r="E125" s="1191"/>
      <c r="F125" s="1191"/>
      <c r="G125" s="1191"/>
      <c r="H125" s="1191"/>
      <c r="I125" s="1191"/>
      <c r="J125" s="1191"/>
      <c r="K125" s="1191"/>
      <c r="L125" s="1191"/>
      <c r="M125" s="1191"/>
      <c r="N125" s="1213"/>
      <c r="O125" s="1191"/>
      <c r="P125" s="1191"/>
      <c r="Q125" s="1191"/>
      <c r="R125" s="1191"/>
      <c r="S125" s="1213"/>
      <c r="T125" s="1191"/>
      <c r="U125" s="1191"/>
      <c r="V125" s="1191"/>
      <c r="W125" s="1191"/>
      <c r="X125" s="1213"/>
      <c r="Y125" s="1191"/>
      <c r="Z125" s="1191"/>
      <c r="AA125" s="1191"/>
      <c r="AB125" s="1191"/>
      <c r="AC125" s="1213"/>
      <c r="AD125" s="1191"/>
      <c r="AE125" s="1191"/>
      <c r="AF125" s="1191"/>
      <c r="AG125" s="1191"/>
      <c r="AH125" s="1213"/>
      <c r="AI125" s="1191"/>
      <c r="AJ125" s="1191"/>
      <c r="AK125" s="1191"/>
      <c r="AL125" s="1191"/>
      <c r="AM125" s="1213"/>
      <c r="AN125" s="1191"/>
      <c r="AO125" s="1191"/>
      <c r="AP125" s="1191"/>
      <c r="AQ125" s="1191"/>
      <c r="AR125" s="1213"/>
      <c r="AS125" s="1191"/>
      <c r="AT125" s="1191"/>
      <c r="AU125" s="1191"/>
      <c r="AV125" s="1191"/>
      <c r="AW125" s="1213"/>
      <c r="AX125" s="1191"/>
      <c r="AY125" s="1182"/>
      <c r="AZ125" s="1182"/>
      <c r="BA125" s="1182"/>
      <c r="BB125" s="1214"/>
      <c r="BC125" s="1182"/>
      <c r="BD125" s="1182"/>
      <c r="BE125" s="1182"/>
      <c r="BF125" s="1182"/>
      <c r="BG125" s="1214"/>
      <c r="BH125" s="1182"/>
      <c r="BI125" s="1182"/>
      <c r="BJ125" s="1182"/>
      <c r="BK125" s="1182"/>
      <c r="BL125" s="1214"/>
      <c r="BM125" s="1182"/>
      <c r="BN125" s="1182"/>
      <c r="BO125" s="1182"/>
      <c r="BP125" s="1182"/>
      <c r="BQ125" s="1214"/>
      <c r="BR125" s="1190"/>
      <c r="BS125" s="1190"/>
      <c r="BT125" s="1190"/>
      <c r="BU125" s="1190"/>
      <c r="BV125" s="1223"/>
      <c r="BW125" s="1190"/>
      <c r="BX125" s="1190"/>
      <c r="BY125" s="1190"/>
      <c r="BZ125" s="1190"/>
      <c r="CA125" s="1223"/>
      <c r="CB125" s="1190"/>
      <c r="CC125" s="1190"/>
      <c r="CD125" s="1190"/>
      <c r="CE125" s="1190"/>
      <c r="CF125" s="1223"/>
      <c r="CG125" s="1189"/>
      <c r="CH125" s="1189"/>
      <c r="CI125" s="1189"/>
      <c r="CJ125" s="1189"/>
      <c r="CK125" s="1222"/>
      <c r="CL125" s="1189"/>
      <c r="CM125" s="1189"/>
      <c r="CN125" s="1189"/>
      <c r="CO125" s="1189"/>
      <c r="CP125" s="1222"/>
      <c r="CQ125" s="1189"/>
      <c r="CR125" s="1189"/>
      <c r="CS125" s="1189"/>
      <c r="CT125" s="1189"/>
      <c r="CU125" s="1221"/>
      <c r="CV125" s="1189"/>
      <c r="CW125" s="1189"/>
      <c r="CX125" s="1189"/>
      <c r="CY125" s="1189"/>
      <c r="CZ125" s="1221"/>
      <c r="DA125" s="1221"/>
      <c r="DB125" s="2111"/>
      <c r="DC125" s="2111"/>
    </row>
    <row r="126" spans="1:107" s="1178" customFormat="1" ht="11.25">
      <c r="A126" s="1191"/>
      <c r="B126" s="1191"/>
      <c r="C126" s="1191"/>
      <c r="D126" s="1191"/>
      <c r="E126" s="1191"/>
      <c r="F126" s="1191"/>
      <c r="G126" s="1191"/>
      <c r="H126" s="1191"/>
      <c r="I126" s="1191"/>
      <c r="J126" s="1191"/>
      <c r="K126" s="1191"/>
      <c r="L126" s="1191"/>
      <c r="M126" s="1191"/>
      <c r="N126" s="1213"/>
      <c r="O126" s="1191"/>
      <c r="P126" s="1191"/>
      <c r="Q126" s="1191"/>
      <c r="R126" s="1191"/>
      <c r="S126" s="1213"/>
      <c r="T126" s="1191"/>
      <c r="U126" s="1191"/>
      <c r="V126" s="1191"/>
      <c r="W126" s="1191"/>
      <c r="X126" s="1213"/>
      <c r="Y126" s="1191"/>
      <c r="Z126" s="1191"/>
      <c r="AA126" s="1191"/>
      <c r="AB126" s="1191"/>
      <c r="AC126" s="1213"/>
      <c r="AD126" s="1191"/>
      <c r="AE126" s="1191"/>
      <c r="AF126" s="1191"/>
      <c r="AG126" s="1191"/>
      <c r="AH126" s="1213"/>
      <c r="AI126" s="1191"/>
      <c r="AJ126" s="1191"/>
      <c r="AK126" s="1191"/>
      <c r="AL126" s="1191"/>
      <c r="AM126" s="1213"/>
      <c r="AN126" s="1191"/>
      <c r="AO126" s="1191"/>
      <c r="AP126" s="1191"/>
      <c r="AQ126" s="1191"/>
      <c r="AR126" s="1213"/>
      <c r="AS126" s="1191"/>
      <c r="AT126" s="1191"/>
      <c r="AU126" s="1191"/>
      <c r="AV126" s="1191"/>
      <c r="AW126" s="1213"/>
      <c r="AX126" s="1191"/>
      <c r="AY126" s="1182"/>
      <c r="AZ126" s="1182"/>
      <c r="BA126" s="1182"/>
      <c r="BB126" s="1214"/>
      <c r="BC126" s="1182"/>
      <c r="BD126" s="1182"/>
      <c r="BE126" s="1182"/>
      <c r="BF126" s="1182"/>
      <c r="BG126" s="1214"/>
      <c r="BH126" s="1182"/>
      <c r="BI126" s="1182"/>
      <c r="BJ126" s="1182"/>
      <c r="BK126" s="1182"/>
      <c r="BL126" s="1214"/>
      <c r="BM126" s="1182"/>
      <c r="BN126" s="1182"/>
      <c r="BO126" s="1182"/>
      <c r="BP126" s="1182"/>
      <c r="BQ126" s="1214"/>
      <c r="BR126" s="1190"/>
      <c r="BS126" s="1190"/>
      <c r="BT126" s="1190"/>
      <c r="BU126" s="1190"/>
      <c r="BV126" s="1223"/>
      <c r="BW126" s="1190"/>
      <c r="BX126" s="1190"/>
      <c r="BY126" s="1190"/>
      <c r="BZ126" s="1190"/>
      <c r="CA126" s="1223"/>
      <c r="CB126" s="1190"/>
      <c r="CC126" s="1190"/>
      <c r="CD126" s="1190"/>
      <c r="CE126" s="1190"/>
      <c r="CF126" s="1223"/>
      <c r="CG126" s="1189"/>
      <c r="CH126" s="1189"/>
      <c r="CI126" s="1189"/>
      <c r="CJ126" s="1189"/>
      <c r="CK126" s="1222"/>
      <c r="CL126" s="1189"/>
      <c r="CM126" s="1189"/>
      <c r="CN126" s="1189"/>
      <c r="CO126" s="1189"/>
      <c r="CP126" s="1222"/>
      <c r="CQ126" s="1189"/>
      <c r="CR126" s="1189"/>
      <c r="CS126" s="1189"/>
      <c r="CT126" s="1189"/>
      <c r="CU126" s="1221"/>
      <c r="CV126" s="1189"/>
      <c r="CW126" s="1189"/>
      <c r="CX126" s="1189"/>
      <c r="CY126" s="1189"/>
      <c r="CZ126" s="1221"/>
      <c r="DA126" s="1221"/>
      <c r="DB126" s="2111"/>
      <c r="DC126" s="2111"/>
    </row>
    <row r="127" spans="1:107" s="1178" customFormat="1" ht="11.25">
      <c r="A127" s="1191"/>
      <c r="B127" s="1191"/>
      <c r="C127" s="1191"/>
      <c r="D127" s="1191"/>
      <c r="E127" s="1191"/>
      <c r="F127" s="1191"/>
      <c r="G127" s="1191"/>
      <c r="H127" s="1191"/>
      <c r="I127" s="1191"/>
      <c r="J127" s="1191"/>
      <c r="K127" s="1191"/>
      <c r="L127" s="1191"/>
      <c r="M127" s="1191"/>
      <c r="N127" s="1213"/>
      <c r="O127" s="1191"/>
      <c r="P127" s="1191"/>
      <c r="Q127" s="1191"/>
      <c r="R127" s="1191"/>
      <c r="S127" s="1213"/>
      <c r="T127" s="1191"/>
      <c r="U127" s="1191"/>
      <c r="V127" s="1191"/>
      <c r="W127" s="1191"/>
      <c r="X127" s="1213"/>
      <c r="Y127" s="1191"/>
      <c r="Z127" s="1191"/>
      <c r="AA127" s="1191"/>
      <c r="AB127" s="1191"/>
      <c r="AC127" s="1213"/>
      <c r="AD127" s="1191"/>
      <c r="AE127" s="1191"/>
      <c r="AF127" s="1191"/>
      <c r="AG127" s="1191"/>
      <c r="AH127" s="1213"/>
      <c r="AI127" s="1191"/>
      <c r="AJ127" s="1191"/>
      <c r="AK127" s="1191"/>
      <c r="AL127" s="1191"/>
      <c r="AM127" s="1213"/>
      <c r="AN127" s="1191"/>
      <c r="AO127" s="1191"/>
      <c r="AP127" s="1191"/>
      <c r="AQ127" s="1191"/>
      <c r="AR127" s="1213"/>
      <c r="AS127" s="1191"/>
      <c r="AT127" s="1191"/>
      <c r="AU127" s="1191"/>
      <c r="AV127" s="1191"/>
      <c r="AW127" s="1213"/>
      <c r="AX127" s="1191"/>
      <c r="AY127" s="1182"/>
      <c r="AZ127" s="1182"/>
      <c r="BA127" s="1182"/>
      <c r="BB127" s="1214"/>
      <c r="BC127" s="1182"/>
      <c r="BD127" s="1182"/>
      <c r="BE127" s="1182"/>
      <c r="BF127" s="1182"/>
      <c r="BG127" s="1214"/>
      <c r="BH127" s="1182"/>
      <c r="BI127" s="1182"/>
      <c r="BJ127" s="1182"/>
      <c r="BK127" s="1182"/>
      <c r="BL127" s="1214"/>
      <c r="BM127" s="1182"/>
      <c r="BN127" s="1182"/>
      <c r="BO127" s="1182"/>
      <c r="BP127" s="1182"/>
      <c r="BQ127" s="1214"/>
      <c r="BR127" s="1190"/>
      <c r="BS127" s="1190"/>
      <c r="BT127" s="1190"/>
      <c r="BU127" s="1190"/>
      <c r="BV127" s="1223"/>
      <c r="BW127" s="1190"/>
      <c r="BX127" s="1190"/>
      <c r="BY127" s="1190"/>
      <c r="BZ127" s="1190"/>
      <c r="CA127" s="1223"/>
      <c r="CB127" s="1190"/>
      <c r="CC127" s="1190"/>
      <c r="CD127" s="1190"/>
      <c r="CE127" s="1190"/>
      <c r="CF127" s="1223"/>
      <c r="CG127" s="1189"/>
      <c r="CH127" s="1189"/>
      <c r="CI127" s="1189"/>
      <c r="CJ127" s="1189"/>
      <c r="CK127" s="1222"/>
      <c r="CL127" s="1189"/>
      <c r="CM127" s="1189"/>
      <c r="CN127" s="1189"/>
      <c r="CO127" s="1189"/>
      <c r="CP127" s="1222"/>
      <c r="CQ127" s="1189"/>
      <c r="CR127" s="1189"/>
      <c r="CS127" s="1189"/>
      <c r="CT127" s="1189"/>
      <c r="CU127" s="1221"/>
      <c r="CV127" s="1189"/>
      <c r="CW127" s="1189"/>
      <c r="CX127" s="1189"/>
      <c r="CY127" s="1189"/>
      <c r="CZ127" s="1221"/>
      <c r="DA127" s="1221"/>
      <c r="DB127" s="2111"/>
      <c r="DC127" s="2111"/>
    </row>
    <row r="128" spans="1:107" s="1178" customFormat="1" ht="11.25">
      <c r="A128" s="1220"/>
      <c r="B128" s="1039" t="s">
        <v>711</v>
      </c>
      <c r="C128" s="1220"/>
      <c r="D128" s="1220"/>
      <c r="E128" s="1220"/>
      <c r="F128" s="1220"/>
      <c r="G128" s="1220"/>
      <c r="H128" s="1220"/>
      <c r="I128" s="1220"/>
      <c r="J128" s="1220"/>
      <c r="K128" s="1220"/>
      <c r="L128" s="1220"/>
      <c r="M128" s="1220"/>
      <c r="N128" s="1220"/>
      <c r="O128" s="1220"/>
      <c r="P128" s="1220"/>
      <c r="Q128" s="1220"/>
      <c r="R128" s="1220"/>
      <c r="S128" s="1220"/>
      <c r="T128" s="1220"/>
      <c r="U128" s="1220"/>
      <c r="V128" s="1220"/>
      <c r="W128" s="1220"/>
      <c r="X128" s="1220"/>
      <c r="Y128" s="1220"/>
      <c r="Z128" s="1220"/>
      <c r="AA128" s="1220"/>
      <c r="AB128" s="1220"/>
      <c r="AC128" s="1220"/>
      <c r="AD128" s="1220"/>
      <c r="AE128" s="1220"/>
      <c r="AF128" s="1220"/>
      <c r="AG128" s="1220"/>
      <c r="AH128" s="1220"/>
      <c r="AI128" s="1220"/>
      <c r="AJ128" s="1220"/>
      <c r="AK128" s="1220"/>
      <c r="AL128" s="1220"/>
      <c r="AM128" s="1220"/>
      <c r="AN128" s="1220"/>
      <c r="AO128" s="1220"/>
      <c r="AP128" s="1220"/>
      <c r="AQ128" s="1220"/>
      <c r="AR128" s="1220"/>
      <c r="AS128" s="1220"/>
      <c r="AT128" s="1220"/>
      <c r="AU128" s="1220"/>
      <c r="AV128" s="1220"/>
      <c r="AW128" s="1220"/>
      <c r="AX128" s="1220"/>
      <c r="AY128" s="1219"/>
      <c r="AZ128" s="1219"/>
      <c r="BA128" s="1219"/>
      <c r="BB128" s="1219"/>
      <c r="BC128" s="1219"/>
      <c r="BD128" s="1219"/>
      <c r="BE128" s="1219"/>
      <c r="BF128" s="1219"/>
      <c r="BG128" s="1219"/>
      <c r="BH128" s="1219"/>
      <c r="BI128" s="1219"/>
      <c r="BJ128" s="1219"/>
      <c r="BK128" s="1219"/>
      <c r="BL128" s="1219"/>
      <c r="BM128" s="1219"/>
      <c r="BN128" s="1219"/>
      <c r="BO128" s="1219"/>
      <c r="BP128" s="1219"/>
      <c r="BQ128" s="1219"/>
      <c r="BR128" s="1218"/>
      <c r="BS128" s="1218"/>
      <c r="BT128" s="1218"/>
      <c r="BU128" s="1218"/>
      <c r="BV128" s="1218"/>
      <c r="BW128" s="1218"/>
      <c r="BX128" s="1218"/>
      <c r="BY128" s="1218"/>
      <c r="BZ128" s="1218"/>
      <c r="CA128" s="1218"/>
      <c r="CB128" s="1218"/>
      <c r="CC128" s="1218"/>
      <c r="CD128" s="1218"/>
      <c r="CE128" s="1218"/>
      <c r="CF128" s="1218"/>
      <c r="CG128" s="1218"/>
      <c r="CH128" s="1218"/>
      <c r="CI128" s="1218"/>
      <c r="CJ128" s="1218"/>
      <c r="CK128" s="1217"/>
      <c r="CL128" s="1218"/>
      <c r="CM128" s="1218"/>
      <c r="CN128" s="1218"/>
      <c r="CO128" s="1218"/>
      <c r="CP128" s="1217"/>
      <c r="CQ128" s="1218"/>
      <c r="CR128" s="1218"/>
      <c r="CS128" s="1218"/>
      <c r="CT128" s="1218"/>
      <c r="CU128" s="1216"/>
      <c r="CV128" s="1218"/>
      <c r="CW128" s="1218"/>
      <c r="CX128" s="1218"/>
      <c r="CY128" s="1218"/>
      <c r="CZ128" s="1216"/>
      <c r="DA128" s="1216"/>
      <c r="DB128" s="1216"/>
      <c r="DC128" s="1216"/>
    </row>
    <row r="129" spans="1:107" s="1178" customFormat="1" ht="12.75" hidden="1" customHeight="1" outlineLevel="1">
      <c r="A129" s="1191"/>
      <c r="B129" s="264" t="s">
        <v>936</v>
      </c>
      <c r="C129" s="1191"/>
      <c r="D129" s="1191"/>
      <c r="E129" s="1191"/>
      <c r="F129" s="1191"/>
      <c r="G129" s="1191"/>
      <c r="H129" s="1191"/>
      <c r="I129" s="1191"/>
      <c r="J129" s="1191"/>
      <c r="K129" s="1191"/>
      <c r="L129" s="1191"/>
      <c r="M129" s="1191"/>
      <c r="N129" s="1191"/>
      <c r="O129" s="1191"/>
      <c r="P129" s="1191"/>
      <c r="Q129" s="1191"/>
      <c r="R129" s="1191"/>
      <c r="S129" s="1191"/>
      <c r="T129" s="1191"/>
      <c r="U129" s="1191"/>
      <c r="V129" s="1191"/>
      <c r="W129" s="1191"/>
      <c r="X129" s="1191"/>
      <c r="Y129" s="1191"/>
      <c r="Z129" s="1191"/>
      <c r="AA129" s="1191"/>
      <c r="AB129" s="1191"/>
      <c r="AC129" s="1191"/>
      <c r="AD129" s="1191"/>
      <c r="AE129" s="1191"/>
      <c r="AF129" s="1191"/>
      <c r="AG129" s="1191"/>
      <c r="AH129" s="1191"/>
      <c r="AI129" s="1191"/>
      <c r="AJ129" s="1191"/>
      <c r="AK129" s="1191"/>
      <c r="AL129" s="1191"/>
      <c r="AM129" s="1191"/>
      <c r="AN129" s="1191"/>
      <c r="AO129" s="1191"/>
      <c r="AP129" s="1191"/>
      <c r="AQ129" s="1191"/>
      <c r="AR129" s="1191"/>
      <c r="AS129" s="1191"/>
      <c r="AT129" s="1191"/>
      <c r="AU129" s="1191"/>
      <c r="AV129" s="1191"/>
      <c r="AW129" s="1191"/>
      <c r="AX129" s="1191"/>
      <c r="AY129" s="1182"/>
      <c r="AZ129" s="1182"/>
      <c r="BA129" s="1182"/>
      <c r="BB129" s="1182"/>
      <c r="BC129" s="1182"/>
      <c r="BD129" s="1182"/>
      <c r="BE129" s="1182"/>
      <c r="BF129" s="1182"/>
      <c r="BG129" s="1182"/>
      <c r="BH129" s="1182"/>
      <c r="BI129" s="1182"/>
      <c r="BJ129" s="1182"/>
      <c r="BK129" s="1182"/>
      <c r="BL129" s="1182"/>
      <c r="BM129" s="1182"/>
      <c r="BN129" s="1182"/>
      <c r="BO129" s="1182"/>
      <c r="BP129" s="1182"/>
      <c r="BQ129" s="1182"/>
      <c r="BR129" s="1190"/>
      <c r="BS129" s="1190"/>
      <c r="BT129" s="1190"/>
      <c r="BU129" s="1190"/>
      <c r="BV129" s="1190"/>
      <c r="BW129" s="1190"/>
      <c r="BX129" s="1190"/>
      <c r="BY129" s="1190"/>
      <c r="BZ129" s="1190"/>
      <c r="CA129" s="1190"/>
      <c r="CB129" s="1190"/>
      <c r="CC129" s="1190"/>
      <c r="CD129" s="1190"/>
      <c r="CE129" s="1190"/>
      <c r="CF129" s="1190"/>
      <c r="CG129" s="1190"/>
      <c r="CH129" s="1190"/>
      <c r="CI129" s="1190"/>
      <c r="CJ129" s="1190"/>
      <c r="CK129" s="1184"/>
      <c r="CL129" s="1190"/>
      <c r="CM129" s="1190"/>
      <c r="CN129" s="1190"/>
      <c r="CO129" s="1190"/>
      <c r="CP129" s="1184"/>
      <c r="CQ129" s="1190"/>
      <c r="CR129" s="1190"/>
      <c r="CS129" s="1190"/>
      <c r="CT129" s="1190"/>
      <c r="CU129" s="1156"/>
      <c r="CV129" s="1190"/>
      <c r="CW129" s="1190"/>
      <c r="CX129" s="1190"/>
      <c r="CY129" s="1190"/>
      <c r="CZ129" s="1156"/>
      <c r="DA129" s="1156"/>
      <c r="DB129" s="2108"/>
      <c r="DC129" s="2108"/>
    </row>
    <row r="130" spans="1:107" s="1178" customFormat="1" ht="12.75" hidden="1" customHeight="1" outlineLevel="1">
      <c r="A130" s="1191"/>
      <c r="B130" s="1001"/>
      <c r="C130" s="1191"/>
      <c r="D130" s="1191"/>
      <c r="E130" s="1191"/>
      <c r="F130" s="1191"/>
      <c r="G130" s="1191"/>
      <c r="H130" s="1191"/>
      <c r="I130" s="1191"/>
      <c r="J130" s="1191"/>
      <c r="K130" s="1191"/>
      <c r="L130" s="1191"/>
      <c r="M130" s="1191"/>
      <c r="N130" s="1191"/>
      <c r="O130" s="1191"/>
      <c r="P130" s="1191"/>
      <c r="Q130" s="1191"/>
      <c r="R130" s="1191"/>
      <c r="S130" s="1191"/>
      <c r="T130" s="1191"/>
      <c r="U130" s="1191"/>
      <c r="V130" s="1191"/>
      <c r="W130" s="1191"/>
      <c r="X130" s="1191"/>
      <c r="Y130" s="1191"/>
      <c r="Z130" s="1191"/>
      <c r="AA130" s="1191"/>
      <c r="AB130" s="1191"/>
      <c r="AC130" s="1191"/>
      <c r="AD130" s="1191"/>
      <c r="AE130" s="1191"/>
      <c r="AF130" s="1191"/>
      <c r="AG130" s="1191"/>
      <c r="AH130" s="1191"/>
      <c r="AI130" s="1191"/>
      <c r="AJ130" s="1191"/>
      <c r="AK130" s="1191"/>
      <c r="AL130" s="1191"/>
      <c r="AM130" s="1191"/>
      <c r="AN130" s="1191"/>
      <c r="AO130" s="1191"/>
      <c r="AP130" s="1191"/>
      <c r="AQ130" s="1191"/>
      <c r="AR130" s="1191"/>
      <c r="AS130" s="1191"/>
      <c r="AT130" s="1191"/>
      <c r="AU130" s="1191"/>
      <c r="AV130" s="1191"/>
      <c r="AW130" s="1191"/>
      <c r="AX130" s="1191"/>
      <c r="AY130" s="1182"/>
      <c r="AZ130" s="1182"/>
      <c r="BA130" s="1182"/>
      <c r="BB130" s="1182"/>
      <c r="BC130" s="1182"/>
      <c r="BD130" s="1182"/>
      <c r="BE130" s="1182"/>
      <c r="BF130" s="1182"/>
      <c r="BG130" s="1182"/>
      <c r="BH130" s="1182"/>
      <c r="BI130" s="1182"/>
      <c r="BJ130" s="1182"/>
      <c r="BK130" s="1182"/>
      <c r="BL130" s="1182"/>
      <c r="BM130" s="1182"/>
      <c r="BN130" s="1182"/>
      <c r="BO130" s="1182"/>
      <c r="BP130" s="1182"/>
      <c r="BQ130" s="1182"/>
      <c r="BR130" s="1190"/>
      <c r="BS130" s="1190"/>
      <c r="BT130" s="1190"/>
      <c r="BU130" s="1190"/>
      <c r="BV130" s="1190"/>
      <c r="BW130" s="1190"/>
      <c r="BX130" s="1190"/>
      <c r="BY130" s="1190"/>
      <c r="BZ130" s="1190"/>
      <c r="CA130" s="1190"/>
      <c r="CB130" s="1190"/>
      <c r="CC130" s="1190"/>
      <c r="CD130" s="1190"/>
      <c r="CE130" s="1190"/>
      <c r="CF130" s="1190"/>
      <c r="CG130" s="1189"/>
      <c r="CH130" s="1189"/>
      <c r="CI130" s="1189"/>
      <c r="CJ130" s="1189"/>
      <c r="CK130" s="1184"/>
      <c r="CL130" s="1189"/>
      <c r="CM130" s="1189"/>
      <c r="CN130" s="1189"/>
      <c r="CO130" s="1189"/>
      <c r="CP130" s="1184"/>
      <c r="CQ130" s="1189"/>
      <c r="CR130" s="1189"/>
      <c r="CS130" s="1189"/>
      <c r="CT130" s="1189"/>
      <c r="CU130" s="1156"/>
      <c r="CV130" s="1189"/>
      <c r="CW130" s="1189"/>
      <c r="CX130" s="1189"/>
      <c r="CY130" s="1189"/>
      <c r="CZ130" s="1156"/>
      <c r="DA130" s="1156"/>
      <c r="DB130" s="2108"/>
      <c r="DC130" s="2108"/>
    </row>
    <row r="131" spans="1:107" s="1178" customFormat="1" ht="12.75" hidden="1" customHeight="1" outlineLevel="1">
      <c r="A131" s="1191"/>
      <c r="B131" s="1182" t="s">
        <v>935</v>
      </c>
      <c r="C131" s="1191"/>
      <c r="D131" s="1191"/>
      <c r="E131" s="1191"/>
      <c r="F131" s="1191"/>
      <c r="G131" s="1191"/>
      <c r="H131" s="1191"/>
      <c r="I131" s="1191"/>
      <c r="J131" s="1191"/>
      <c r="K131" s="1191"/>
      <c r="L131" s="1191"/>
      <c r="M131" s="1191"/>
      <c r="N131" s="1191"/>
      <c r="O131" s="1191"/>
      <c r="P131" s="1191"/>
      <c r="Q131" s="1191"/>
      <c r="R131" s="1191"/>
      <c r="S131" s="1191"/>
      <c r="T131" s="1191"/>
      <c r="U131" s="1191"/>
      <c r="V131" s="1191"/>
      <c r="W131" s="1191"/>
      <c r="X131" s="1191"/>
      <c r="Y131" s="1191"/>
      <c r="Z131" s="1191"/>
      <c r="AA131" s="1191"/>
      <c r="AB131" s="1191"/>
      <c r="AC131" s="1191"/>
      <c r="AD131" s="1191"/>
      <c r="AE131" s="1191"/>
      <c r="AF131" s="1191"/>
      <c r="AG131" s="1191"/>
      <c r="AH131" s="1191"/>
      <c r="AI131" s="1191"/>
      <c r="AJ131" s="1191"/>
      <c r="AK131" s="1191"/>
      <c r="AL131" s="1191"/>
      <c r="AM131" s="1191"/>
      <c r="AN131" s="1191"/>
      <c r="AO131" s="1191"/>
      <c r="AP131" s="1191"/>
      <c r="AQ131" s="1191"/>
      <c r="AR131" s="1191"/>
      <c r="AS131" s="1191"/>
      <c r="AT131" s="1191"/>
      <c r="AU131" s="1191"/>
      <c r="AV131" s="1191"/>
      <c r="AW131" s="1191"/>
      <c r="AX131" s="1191"/>
      <c r="AY131" s="1182"/>
      <c r="AZ131" s="1182"/>
      <c r="BA131" s="1182"/>
      <c r="BB131" s="1182"/>
      <c r="BC131" s="1182"/>
      <c r="BD131" s="1182"/>
      <c r="BE131" s="1182"/>
      <c r="BF131" s="1182"/>
      <c r="BG131" s="1182"/>
      <c r="BH131" s="1182"/>
      <c r="BI131" s="1182"/>
      <c r="BJ131" s="1182"/>
      <c r="BK131" s="1182"/>
      <c r="BL131" s="1182"/>
      <c r="BM131" s="1182"/>
      <c r="BN131" s="1182"/>
      <c r="BO131" s="1182"/>
      <c r="BP131" s="1182"/>
      <c r="BQ131" s="1182"/>
      <c r="BR131" s="1190"/>
      <c r="BS131" s="1190"/>
      <c r="BT131" s="1190" t="s">
        <v>934</v>
      </c>
      <c r="BU131" s="1190"/>
      <c r="BV131" s="1190"/>
      <c r="BW131" s="1190"/>
      <c r="BX131" s="1190"/>
      <c r="BY131" s="1190"/>
      <c r="BZ131" s="1190"/>
      <c r="CA131" s="1190"/>
      <c r="CB131" s="1190"/>
      <c r="CC131" s="1190"/>
      <c r="CD131" s="1190"/>
      <c r="CE131" s="1190"/>
      <c r="CF131" s="1190"/>
      <c r="CG131" s="1189"/>
      <c r="CH131" s="1189"/>
      <c r="CI131" s="1189"/>
      <c r="CJ131" s="1189"/>
      <c r="CK131" s="1184"/>
      <c r="CL131" s="1189"/>
      <c r="CM131" s="1189"/>
      <c r="CN131" s="1189"/>
      <c r="CO131" s="1189"/>
      <c r="CP131" s="1184"/>
      <c r="CQ131" s="1189"/>
      <c r="CR131" s="1189"/>
      <c r="CS131" s="1189"/>
      <c r="CT131" s="1189"/>
      <c r="CU131" s="1156"/>
      <c r="CV131" s="1189"/>
      <c r="CW131" s="1189"/>
      <c r="CX131" s="1189"/>
      <c r="CY131" s="1189"/>
      <c r="CZ131" s="1156"/>
      <c r="DA131" s="1156"/>
      <c r="DB131" s="2108"/>
      <c r="DC131" s="2108"/>
    </row>
    <row r="132" spans="1:107" s="1178" customFormat="1" ht="12.75" hidden="1" customHeight="1" outlineLevel="1">
      <c r="A132" s="1191"/>
      <c r="B132" s="1001"/>
      <c r="C132" s="1191"/>
      <c r="D132" s="1191"/>
      <c r="E132" s="1191"/>
      <c r="F132" s="1191"/>
      <c r="G132" s="1191"/>
      <c r="H132" s="1191"/>
      <c r="I132" s="1191"/>
      <c r="J132" s="1191"/>
      <c r="K132" s="1191"/>
      <c r="L132" s="1191"/>
      <c r="M132" s="1191"/>
      <c r="N132" s="1191"/>
      <c r="O132" s="1191"/>
      <c r="P132" s="1191"/>
      <c r="Q132" s="1191"/>
      <c r="R132" s="1191"/>
      <c r="S132" s="1191"/>
      <c r="T132" s="1191"/>
      <c r="U132" s="1191"/>
      <c r="V132" s="1191"/>
      <c r="W132" s="1191"/>
      <c r="X132" s="1191"/>
      <c r="Y132" s="1191"/>
      <c r="Z132" s="1191"/>
      <c r="AA132" s="1191"/>
      <c r="AB132" s="1191"/>
      <c r="AC132" s="1191"/>
      <c r="AD132" s="1191"/>
      <c r="AE132" s="1191"/>
      <c r="AF132" s="1191"/>
      <c r="AG132" s="1191"/>
      <c r="AH132" s="1191"/>
      <c r="AI132" s="1191"/>
      <c r="AJ132" s="1191"/>
      <c r="AK132" s="1191"/>
      <c r="AL132" s="1191"/>
      <c r="AM132" s="1191"/>
      <c r="AN132" s="1191"/>
      <c r="AO132" s="1191"/>
      <c r="AP132" s="1191"/>
      <c r="AQ132" s="1191"/>
      <c r="AR132" s="1191"/>
      <c r="AS132" s="1191"/>
      <c r="AT132" s="1191"/>
      <c r="AU132" s="1191"/>
      <c r="AV132" s="1191"/>
      <c r="AW132" s="1191"/>
      <c r="AX132" s="1191"/>
      <c r="AY132" s="1182"/>
      <c r="AZ132" s="1182"/>
      <c r="BA132" s="1182"/>
      <c r="BB132" s="1182"/>
      <c r="BC132" s="1182"/>
      <c r="BD132" s="1182"/>
      <c r="BE132" s="1182"/>
      <c r="BF132" s="1182"/>
      <c r="BG132" s="1182"/>
      <c r="BH132" s="1182"/>
      <c r="BI132" s="1182"/>
      <c r="BJ132" s="1182"/>
      <c r="BK132" s="1182"/>
      <c r="BL132" s="1182"/>
      <c r="BM132" s="1182"/>
      <c r="BN132" s="1182"/>
      <c r="BO132" s="1182"/>
      <c r="BP132" s="1182"/>
      <c r="BQ132" s="1182"/>
      <c r="BR132" s="1190"/>
      <c r="BS132" s="1190"/>
      <c r="BT132" s="1190"/>
      <c r="BU132" s="1190"/>
      <c r="BV132" s="1190"/>
      <c r="BW132" s="1190"/>
      <c r="BX132" s="1190"/>
      <c r="BY132" s="1190"/>
      <c r="BZ132" s="1190"/>
      <c r="CA132" s="1190"/>
      <c r="CB132" s="1190"/>
      <c r="CC132" s="1190"/>
      <c r="CD132" s="1190"/>
      <c r="CE132" s="1190"/>
      <c r="CF132" s="1190"/>
      <c r="CG132" s="1189"/>
      <c r="CH132" s="1189"/>
      <c r="CI132" s="1189"/>
      <c r="CJ132" s="1189"/>
      <c r="CK132" s="1184"/>
      <c r="CL132" s="1189"/>
      <c r="CM132" s="1189"/>
      <c r="CN132" s="1189"/>
      <c r="CO132" s="1189"/>
      <c r="CP132" s="1184"/>
      <c r="CQ132" s="1189"/>
      <c r="CR132" s="1189"/>
      <c r="CS132" s="1189"/>
      <c r="CT132" s="1189"/>
      <c r="CU132" s="1156"/>
      <c r="CV132" s="1189"/>
      <c r="CW132" s="1189"/>
      <c r="CX132" s="1189"/>
      <c r="CY132" s="1189"/>
      <c r="CZ132" s="1156"/>
      <c r="DA132" s="1156"/>
      <c r="DB132" s="2108"/>
      <c r="DC132" s="2108"/>
    </row>
    <row r="133" spans="1:107" s="1178" customFormat="1" ht="12.75" hidden="1" customHeight="1" outlineLevel="1">
      <c r="A133" s="1191"/>
      <c r="B133" s="266" t="s">
        <v>898</v>
      </c>
      <c r="C133" s="1191"/>
      <c r="D133" s="1191"/>
      <c r="E133" s="1191"/>
      <c r="F133" s="1191"/>
      <c r="G133" s="1191"/>
      <c r="H133" s="1191"/>
      <c r="I133" s="1191"/>
      <c r="J133" s="1191"/>
      <c r="K133" s="1191"/>
      <c r="L133" s="1191"/>
      <c r="M133" s="1191"/>
      <c r="N133" s="1191"/>
      <c r="O133" s="1191"/>
      <c r="P133" s="1191"/>
      <c r="Q133" s="1191"/>
      <c r="R133" s="1191"/>
      <c r="S133" s="1191"/>
      <c r="T133" s="1191"/>
      <c r="U133" s="1191"/>
      <c r="V133" s="1191"/>
      <c r="W133" s="1191"/>
      <c r="X133" s="1191"/>
      <c r="Y133" s="1191"/>
      <c r="Z133" s="1191"/>
      <c r="AA133" s="1191"/>
      <c r="AB133" s="1191"/>
      <c r="AC133" s="1191"/>
      <c r="AD133" s="1191"/>
      <c r="AE133" s="1191"/>
      <c r="AF133" s="1191"/>
      <c r="AG133" s="1191"/>
      <c r="AH133" s="1191"/>
      <c r="AI133" s="1191"/>
      <c r="AJ133" s="1191"/>
      <c r="AK133" s="1191"/>
      <c r="AL133" s="1191"/>
      <c r="AM133" s="1191"/>
      <c r="AN133" s="1191"/>
      <c r="AO133" s="1191"/>
      <c r="AP133" s="1191"/>
      <c r="AQ133" s="1191"/>
      <c r="AR133" s="1191"/>
      <c r="AS133" s="1191"/>
      <c r="AT133" s="1191"/>
      <c r="AU133" s="1191"/>
      <c r="AV133" s="1191"/>
      <c r="AW133" s="1191"/>
      <c r="AX133" s="1191"/>
      <c r="AY133" s="1182"/>
      <c r="AZ133" s="1182"/>
      <c r="BA133" s="1182"/>
      <c r="BB133" s="1182"/>
      <c r="BC133" s="1182"/>
      <c r="BD133" s="1182"/>
      <c r="BE133" s="1182"/>
      <c r="BF133" s="1182"/>
      <c r="BG133" s="1182"/>
      <c r="BH133" s="1182"/>
      <c r="BI133" s="1182"/>
      <c r="BJ133" s="1182"/>
      <c r="BK133" s="1182"/>
      <c r="BL133" s="1182"/>
      <c r="BM133" s="1182"/>
      <c r="BN133" s="1182"/>
      <c r="BO133" s="1182"/>
      <c r="BP133" s="1182"/>
      <c r="BQ133" s="1182"/>
      <c r="BR133" s="1190"/>
      <c r="BS133" s="1190"/>
      <c r="BT133" s="1190"/>
      <c r="BU133" s="1190"/>
      <c r="BV133" s="1190"/>
      <c r="BW133" s="1190"/>
      <c r="BX133" s="1190"/>
      <c r="BY133" s="1190"/>
      <c r="BZ133" s="1190"/>
      <c r="CA133" s="1190"/>
      <c r="CB133" s="1190"/>
      <c r="CC133" s="1190"/>
      <c r="CD133" s="1190"/>
      <c r="CE133" s="1190"/>
      <c r="CF133" s="1190"/>
      <c r="CG133" s="1189"/>
      <c r="CH133" s="1189"/>
      <c r="CI133" s="1189"/>
      <c r="CJ133" s="1189"/>
      <c r="CK133" s="1184"/>
      <c r="CL133" s="1189"/>
      <c r="CM133" s="1189"/>
      <c r="CN133" s="1189"/>
      <c r="CO133" s="1189"/>
      <c r="CP133" s="1184"/>
      <c r="CQ133" s="1189"/>
      <c r="CR133" s="1189"/>
      <c r="CS133" s="1189"/>
      <c r="CT133" s="1189"/>
      <c r="CU133" s="1156"/>
      <c r="CV133" s="1189"/>
      <c r="CW133" s="1189"/>
      <c r="CX133" s="1189"/>
      <c r="CY133" s="1189"/>
      <c r="CZ133" s="1156"/>
      <c r="DA133" s="1156"/>
      <c r="DB133" s="2108"/>
      <c r="DC133" s="2108"/>
    </row>
    <row r="134" spans="1:107" s="1178" customFormat="1" ht="12.75" hidden="1" customHeight="1" outlineLevel="1">
      <c r="A134" s="1191"/>
      <c r="B134" s="264" t="s">
        <v>499</v>
      </c>
      <c r="C134" s="1191"/>
      <c r="D134" s="1191"/>
      <c r="E134" s="1191"/>
      <c r="F134" s="1191"/>
      <c r="G134" s="1191"/>
      <c r="H134" s="1191"/>
      <c r="I134" s="1191"/>
      <c r="J134" s="1191"/>
      <c r="K134" s="1191"/>
      <c r="L134" s="1191"/>
      <c r="M134" s="1191"/>
      <c r="N134" s="1191"/>
      <c r="O134" s="1191"/>
      <c r="P134" s="1191"/>
      <c r="Q134" s="1191"/>
      <c r="R134" s="1191"/>
      <c r="S134" s="1191"/>
      <c r="T134" s="1191"/>
      <c r="U134" s="1191"/>
      <c r="V134" s="1191"/>
      <c r="W134" s="1191"/>
      <c r="X134" s="1191"/>
      <c r="Y134" s="1191"/>
      <c r="Z134" s="1191"/>
      <c r="AA134" s="1191"/>
      <c r="AB134" s="1191"/>
      <c r="AC134" s="1191"/>
      <c r="AD134" s="1191"/>
      <c r="AE134" s="1191"/>
      <c r="AF134" s="1191"/>
      <c r="AG134" s="1191"/>
      <c r="AH134" s="1191"/>
      <c r="AI134" s="1191"/>
      <c r="AJ134" s="1191"/>
      <c r="AK134" s="1191"/>
      <c r="AL134" s="1191"/>
      <c r="AM134" s="1191"/>
      <c r="AN134" s="1191"/>
      <c r="AO134" s="1191"/>
      <c r="AP134" s="1191"/>
      <c r="AQ134" s="1191"/>
      <c r="AR134" s="1191"/>
      <c r="AS134" s="1191"/>
      <c r="AT134" s="1191"/>
      <c r="AU134" s="1191"/>
      <c r="AV134" s="1191"/>
      <c r="AW134" s="1191"/>
      <c r="AX134" s="1191"/>
      <c r="AY134" s="1182"/>
      <c r="AZ134" s="1182"/>
      <c r="BA134" s="1182"/>
      <c r="BB134" s="1182"/>
      <c r="BC134" s="1182"/>
      <c r="BD134" s="1182"/>
      <c r="BE134" s="1182"/>
      <c r="BF134" s="1182"/>
      <c r="BG134" s="1182"/>
      <c r="BH134" s="1182"/>
      <c r="BI134" s="1182"/>
      <c r="BJ134" s="1182"/>
      <c r="BK134" s="1182"/>
      <c r="BL134" s="1182"/>
      <c r="BM134" s="1182"/>
      <c r="BN134" s="1182"/>
      <c r="BO134" s="1182"/>
      <c r="BP134" s="1182"/>
      <c r="BQ134" s="1182"/>
      <c r="BR134" s="1190"/>
      <c r="BS134" s="1190"/>
      <c r="BT134" s="1190" t="s">
        <v>933</v>
      </c>
      <c r="BU134" s="1190"/>
      <c r="BV134" s="1190"/>
      <c r="BW134" s="1190"/>
      <c r="BX134" s="1190"/>
      <c r="BY134" s="1190"/>
      <c r="BZ134" s="1190"/>
      <c r="CA134" s="1190"/>
      <c r="CB134" s="1190"/>
      <c r="CC134" s="1190"/>
      <c r="CD134" s="1190"/>
      <c r="CE134" s="1190"/>
      <c r="CF134" s="1190"/>
      <c r="CG134" s="1189"/>
      <c r="CH134" s="1189"/>
      <c r="CI134" s="1189"/>
      <c r="CJ134" s="1189"/>
      <c r="CK134" s="1184"/>
      <c r="CL134" s="1189"/>
      <c r="CM134" s="1189"/>
      <c r="CN134" s="1189"/>
      <c r="CO134" s="1189"/>
      <c r="CP134" s="1184"/>
      <c r="CQ134" s="1189"/>
      <c r="CR134" s="1189"/>
      <c r="CS134" s="1189"/>
      <c r="CT134" s="1189"/>
      <c r="CU134" s="1156"/>
      <c r="CV134" s="1189"/>
      <c r="CW134" s="1189"/>
      <c r="CX134" s="1189"/>
      <c r="CY134" s="1189"/>
      <c r="CZ134" s="1156"/>
      <c r="DA134" s="1156"/>
      <c r="DB134" s="2108"/>
      <c r="DC134" s="2108"/>
    </row>
    <row r="135" spans="1:107" s="1178" customFormat="1" ht="12.75" hidden="1" customHeight="1" outlineLevel="1">
      <c r="A135" s="1191"/>
      <c r="B135" s="264" t="s">
        <v>96</v>
      </c>
      <c r="C135" s="1191"/>
      <c r="D135" s="1191"/>
      <c r="E135" s="1191"/>
      <c r="F135" s="1191"/>
      <c r="G135" s="1191"/>
      <c r="H135" s="1191"/>
      <c r="I135" s="1191"/>
      <c r="J135" s="1191"/>
      <c r="K135" s="1191"/>
      <c r="L135" s="1191"/>
      <c r="M135" s="1191"/>
      <c r="N135" s="1191"/>
      <c r="O135" s="1191"/>
      <c r="P135" s="1191"/>
      <c r="Q135" s="1191"/>
      <c r="R135" s="1191"/>
      <c r="S135" s="1191"/>
      <c r="T135" s="1191"/>
      <c r="U135" s="1191"/>
      <c r="V135" s="1191"/>
      <c r="W135" s="1191"/>
      <c r="X135" s="1191"/>
      <c r="Y135" s="1191"/>
      <c r="Z135" s="1191"/>
      <c r="AA135" s="1191"/>
      <c r="AB135" s="1191"/>
      <c r="AC135" s="1191"/>
      <c r="AD135" s="1191"/>
      <c r="AE135" s="1191"/>
      <c r="AF135" s="1191"/>
      <c r="AG135" s="1191"/>
      <c r="AH135" s="1191"/>
      <c r="AI135" s="1191"/>
      <c r="AJ135" s="1191"/>
      <c r="AK135" s="1191"/>
      <c r="AL135" s="1191"/>
      <c r="AM135" s="1191"/>
      <c r="AN135" s="1191"/>
      <c r="AO135" s="1191"/>
      <c r="AP135" s="1191"/>
      <c r="AQ135" s="1191"/>
      <c r="AR135" s="1191"/>
      <c r="AS135" s="1191"/>
      <c r="AT135" s="1191"/>
      <c r="AU135" s="1191"/>
      <c r="AV135" s="1191"/>
      <c r="AW135" s="1191"/>
      <c r="AX135" s="1191"/>
      <c r="AY135" s="1182"/>
      <c r="AZ135" s="1182"/>
      <c r="BA135" s="1182"/>
      <c r="BB135" s="1182"/>
      <c r="BC135" s="1182"/>
      <c r="BD135" s="1182"/>
      <c r="BE135" s="1182"/>
      <c r="BF135" s="1182"/>
      <c r="BG135" s="1182"/>
      <c r="BH135" s="1182"/>
      <c r="BI135" s="1182"/>
      <c r="BJ135" s="1182"/>
      <c r="BK135" s="1182"/>
      <c r="BL135" s="1182"/>
      <c r="BM135" s="1182"/>
      <c r="BN135" s="1182"/>
      <c r="BO135" s="1182"/>
      <c r="BP135" s="1182"/>
      <c r="BQ135" s="1182"/>
      <c r="BR135" s="1190"/>
      <c r="BS135" s="1190"/>
      <c r="BT135" s="1190" t="s">
        <v>932</v>
      </c>
      <c r="BU135" s="1190"/>
      <c r="BV135" s="1190"/>
      <c r="BW135" s="1190"/>
      <c r="BX135" s="1190"/>
      <c r="BY135" s="1190"/>
      <c r="BZ135" s="1190"/>
      <c r="CA135" s="1190"/>
      <c r="CB135" s="1190"/>
      <c r="CC135" s="1190"/>
      <c r="CD135" s="1190"/>
      <c r="CE135" s="1190"/>
      <c r="CF135" s="1190"/>
      <c r="CG135" s="1189"/>
      <c r="CH135" s="1189"/>
      <c r="CI135" s="1189"/>
      <c r="CJ135" s="1189"/>
      <c r="CK135" s="1184"/>
      <c r="CL135" s="1189"/>
      <c r="CM135" s="1189"/>
      <c r="CN135" s="1189"/>
      <c r="CO135" s="1189"/>
      <c r="CP135" s="1184"/>
      <c r="CQ135" s="1189"/>
      <c r="CR135" s="1189"/>
      <c r="CS135" s="1189"/>
      <c r="CT135" s="1189"/>
      <c r="CU135" s="1156"/>
      <c r="CV135" s="1189"/>
      <c r="CW135" s="1189"/>
      <c r="CX135" s="1189"/>
      <c r="CY135" s="1189"/>
      <c r="CZ135" s="1156"/>
      <c r="DA135" s="1156"/>
      <c r="DB135" s="2108"/>
      <c r="DC135" s="2108"/>
    </row>
    <row r="136" spans="1:107" s="1178" customFormat="1" ht="12.75" hidden="1" customHeight="1" outlineLevel="1">
      <c r="A136" s="1191"/>
      <c r="B136" s="264" t="s">
        <v>96</v>
      </c>
      <c r="C136" s="1191"/>
      <c r="D136" s="1191"/>
      <c r="E136" s="1191"/>
      <c r="F136" s="1191"/>
      <c r="G136" s="1191"/>
      <c r="H136" s="1191"/>
      <c r="I136" s="1191"/>
      <c r="J136" s="1191"/>
      <c r="K136" s="1191"/>
      <c r="L136" s="1191"/>
      <c r="M136" s="1191"/>
      <c r="N136" s="1191"/>
      <c r="O136" s="1191"/>
      <c r="P136" s="1191"/>
      <c r="Q136" s="1191"/>
      <c r="R136" s="1191"/>
      <c r="S136" s="1191"/>
      <c r="T136" s="1191"/>
      <c r="U136" s="1191"/>
      <c r="V136" s="1191"/>
      <c r="W136" s="1191"/>
      <c r="X136" s="1191"/>
      <c r="Y136" s="1191"/>
      <c r="Z136" s="1191"/>
      <c r="AA136" s="1191"/>
      <c r="AB136" s="1191"/>
      <c r="AC136" s="1191"/>
      <c r="AD136" s="1191"/>
      <c r="AE136" s="1191"/>
      <c r="AF136" s="1191"/>
      <c r="AG136" s="1191"/>
      <c r="AH136" s="1191"/>
      <c r="AI136" s="1191"/>
      <c r="AJ136" s="1191"/>
      <c r="AK136" s="1191"/>
      <c r="AL136" s="1191"/>
      <c r="AM136" s="1191"/>
      <c r="AN136" s="1191"/>
      <c r="AO136" s="1191"/>
      <c r="AP136" s="1191"/>
      <c r="AQ136" s="1191"/>
      <c r="AR136" s="1191"/>
      <c r="AS136" s="1191"/>
      <c r="AT136" s="1191"/>
      <c r="AU136" s="1191"/>
      <c r="AV136" s="1191"/>
      <c r="AW136" s="1191"/>
      <c r="AX136" s="1191"/>
      <c r="AY136" s="1182"/>
      <c r="AZ136" s="1182"/>
      <c r="BA136" s="1182"/>
      <c r="BB136" s="1182"/>
      <c r="BC136" s="1182"/>
      <c r="BD136" s="1182"/>
      <c r="BE136" s="1182"/>
      <c r="BF136" s="1182"/>
      <c r="BG136" s="1182"/>
      <c r="BH136" s="1182"/>
      <c r="BI136" s="1182"/>
      <c r="BJ136" s="1182"/>
      <c r="BK136" s="1182"/>
      <c r="BL136" s="1182"/>
      <c r="BM136" s="1182"/>
      <c r="BN136" s="1182"/>
      <c r="BO136" s="1182"/>
      <c r="BP136" s="1182"/>
      <c r="BQ136" s="1182"/>
      <c r="BR136" s="1190"/>
      <c r="BS136" s="1190"/>
      <c r="BT136" s="1190" t="s">
        <v>931</v>
      </c>
      <c r="BU136" s="1190"/>
      <c r="BV136" s="1190"/>
      <c r="BW136" s="1190"/>
      <c r="BX136" s="1190"/>
      <c r="BY136" s="1190"/>
      <c r="BZ136" s="1190"/>
      <c r="CA136" s="1190"/>
      <c r="CB136" s="1190"/>
      <c r="CC136" s="1190"/>
      <c r="CD136" s="1190"/>
      <c r="CE136" s="1190"/>
      <c r="CF136" s="1190"/>
      <c r="CG136" s="1189"/>
      <c r="CH136" s="1189"/>
      <c r="CI136" s="1189"/>
      <c r="CJ136" s="1189"/>
      <c r="CK136" s="1184"/>
      <c r="CL136" s="1189"/>
      <c r="CM136" s="1189"/>
      <c r="CN136" s="1189"/>
      <c r="CO136" s="1189"/>
      <c r="CP136" s="1184"/>
      <c r="CQ136" s="1189"/>
      <c r="CR136" s="1189"/>
      <c r="CS136" s="1189"/>
      <c r="CT136" s="1189"/>
      <c r="CU136" s="1156"/>
      <c r="CV136" s="1189"/>
      <c r="CW136" s="1189"/>
      <c r="CX136" s="1189"/>
      <c r="CY136" s="1189"/>
      <c r="CZ136" s="1156"/>
      <c r="DA136" s="1156"/>
      <c r="DB136" s="2108"/>
      <c r="DC136" s="2108"/>
    </row>
    <row r="137" spans="1:107" s="1178" customFormat="1" ht="12.75" hidden="1" customHeight="1" outlineLevel="1">
      <c r="A137" s="1191"/>
      <c r="B137" s="264"/>
      <c r="C137" s="1191"/>
      <c r="D137" s="1191"/>
      <c r="E137" s="1191"/>
      <c r="F137" s="1191"/>
      <c r="G137" s="1191"/>
      <c r="H137" s="1191"/>
      <c r="I137" s="1191"/>
      <c r="J137" s="1191"/>
      <c r="K137" s="1191"/>
      <c r="L137" s="1191"/>
      <c r="M137" s="1191"/>
      <c r="N137" s="1191"/>
      <c r="O137" s="1191"/>
      <c r="P137" s="1191"/>
      <c r="Q137" s="1191"/>
      <c r="R137" s="1191"/>
      <c r="S137" s="1191"/>
      <c r="T137" s="1191"/>
      <c r="U137" s="1191"/>
      <c r="V137" s="1191"/>
      <c r="W137" s="1191"/>
      <c r="X137" s="1191"/>
      <c r="Y137" s="1191"/>
      <c r="Z137" s="1191"/>
      <c r="AA137" s="1191"/>
      <c r="AB137" s="1191"/>
      <c r="AC137" s="1191"/>
      <c r="AD137" s="1191"/>
      <c r="AE137" s="1191"/>
      <c r="AF137" s="1191"/>
      <c r="AG137" s="1191"/>
      <c r="AH137" s="1191"/>
      <c r="AI137" s="1191"/>
      <c r="AJ137" s="1191"/>
      <c r="AK137" s="1191"/>
      <c r="AL137" s="1191"/>
      <c r="AM137" s="1191"/>
      <c r="AN137" s="1191"/>
      <c r="AO137" s="1191"/>
      <c r="AP137" s="1191"/>
      <c r="AQ137" s="1191"/>
      <c r="AR137" s="1191"/>
      <c r="AS137" s="1191"/>
      <c r="AT137" s="1191"/>
      <c r="AU137" s="1191"/>
      <c r="AV137" s="1191"/>
      <c r="AW137" s="1191"/>
      <c r="AX137" s="1191"/>
      <c r="AY137" s="1182"/>
      <c r="AZ137" s="1182"/>
      <c r="BA137" s="1182"/>
      <c r="BB137" s="1182"/>
      <c r="BC137" s="1182"/>
      <c r="BD137" s="1182"/>
      <c r="BE137" s="1182"/>
      <c r="BF137" s="1182"/>
      <c r="BG137" s="1182"/>
      <c r="BH137" s="1182"/>
      <c r="BI137" s="1182"/>
      <c r="BJ137" s="1182"/>
      <c r="BK137" s="1182"/>
      <c r="BL137" s="1182"/>
      <c r="BM137" s="1182"/>
      <c r="BN137" s="1182"/>
      <c r="BO137" s="1182"/>
      <c r="BP137" s="1182"/>
      <c r="BQ137" s="1182"/>
      <c r="BR137" s="1190"/>
      <c r="BS137" s="1190"/>
      <c r="BT137" s="1190"/>
      <c r="BU137" s="1190"/>
      <c r="BV137" s="1190"/>
      <c r="BW137" s="1190"/>
      <c r="BX137" s="1190"/>
      <c r="BY137" s="1190"/>
      <c r="BZ137" s="1190"/>
      <c r="CA137" s="1190"/>
      <c r="CB137" s="1190"/>
      <c r="CC137" s="1190"/>
      <c r="CD137" s="1190"/>
      <c r="CE137" s="1190"/>
      <c r="CF137" s="1190"/>
      <c r="CG137" s="1189"/>
      <c r="CH137" s="1189"/>
      <c r="CI137" s="1189"/>
      <c r="CJ137" s="1189"/>
      <c r="CK137" s="1184"/>
      <c r="CL137" s="1189"/>
      <c r="CM137" s="1189"/>
      <c r="CN137" s="1189"/>
      <c r="CO137" s="1189"/>
      <c r="CP137" s="1184"/>
      <c r="CQ137" s="1189"/>
      <c r="CR137" s="1189"/>
      <c r="CS137" s="1189"/>
      <c r="CT137" s="1189"/>
      <c r="CU137" s="1156"/>
      <c r="CV137" s="1189"/>
      <c r="CW137" s="1189"/>
      <c r="CX137" s="1189"/>
      <c r="CY137" s="1189"/>
      <c r="CZ137" s="1156"/>
      <c r="DA137" s="1156"/>
      <c r="DB137" s="2108"/>
      <c r="DC137" s="2108"/>
    </row>
    <row r="138" spans="1:107" s="1178" customFormat="1" ht="12.75" hidden="1" customHeight="1" outlineLevel="1">
      <c r="A138" s="1191"/>
      <c r="B138" s="266" t="s">
        <v>930</v>
      </c>
      <c r="C138" s="1191"/>
      <c r="D138" s="1191"/>
      <c r="E138" s="1191"/>
      <c r="F138" s="1191"/>
      <c r="G138" s="1191"/>
      <c r="H138" s="1191"/>
      <c r="I138" s="1191"/>
      <c r="J138" s="1191"/>
      <c r="K138" s="1191"/>
      <c r="L138" s="1191"/>
      <c r="M138" s="1191"/>
      <c r="N138" s="1191"/>
      <c r="O138" s="1191"/>
      <c r="P138" s="1191"/>
      <c r="Q138" s="1191"/>
      <c r="R138" s="1191"/>
      <c r="S138" s="1191"/>
      <c r="T138" s="1191"/>
      <c r="U138" s="1191"/>
      <c r="V138" s="1191"/>
      <c r="W138" s="1191"/>
      <c r="X138" s="1191"/>
      <c r="Y138" s="1191"/>
      <c r="Z138" s="1191"/>
      <c r="AA138" s="1191"/>
      <c r="AB138" s="1191"/>
      <c r="AC138" s="1191"/>
      <c r="AD138" s="1191"/>
      <c r="AE138" s="1191"/>
      <c r="AF138" s="1191"/>
      <c r="AG138" s="1191"/>
      <c r="AH138" s="1191"/>
      <c r="AI138" s="1191"/>
      <c r="AJ138" s="1191"/>
      <c r="AK138" s="1191"/>
      <c r="AL138" s="1191"/>
      <c r="AM138" s="1191"/>
      <c r="AN138" s="1191"/>
      <c r="AO138" s="1191"/>
      <c r="AP138" s="1191"/>
      <c r="AQ138" s="1191"/>
      <c r="AR138" s="1191"/>
      <c r="AS138" s="1191"/>
      <c r="AT138" s="1191"/>
      <c r="AU138" s="1191"/>
      <c r="AV138" s="1191"/>
      <c r="AW138" s="1191"/>
      <c r="AX138" s="1191"/>
      <c r="AY138" s="1182"/>
      <c r="AZ138" s="1182"/>
      <c r="BA138" s="1182"/>
      <c r="BB138" s="1182"/>
      <c r="BC138" s="1182"/>
      <c r="BD138" s="1182"/>
      <c r="BE138" s="1182"/>
      <c r="BF138" s="1182"/>
      <c r="BG138" s="1182"/>
      <c r="BH138" s="1182"/>
      <c r="BI138" s="1182"/>
      <c r="BJ138" s="1182"/>
      <c r="BK138" s="1182"/>
      <c r="BL138" s="1182"/>
      <c r="BM138" s="1182"/>
      <c r="BN138" s="1182"/>
      <c r="BO138" s="1182"/>
      <c r="BP138" s="1182"/>
      <c r="BQ138" s="1182"/>
      <c r="BR138" s="1190"/>
      <c r="BS138" s="1190"/>
      <c r="BT138" s="1190" t="s">
        <v>929</v>
      </c>
      <c r="BU138" s="1190"/>
      <c r="BV138" s="1190"/>
      <c r="BW138" s="1190"/>
      <c r="BX138" s="1190"/>
      <c r="BY138" s="1190"/>
      <c r="BZ138" s="1190"/>
      <c r="CA138" s="1190"/>
      <c r="CB138" s="1190"/>
      <c r="CC138" s="1190"/>
      <c r="CD138" s="1190"/>
      <c r="CE138" s="1190"/>
      <c r="CF138" s="1190"/>
      <c r="CG138" s="1189"/>
      <c r="CH138" s="1189"/>
      <c r="CI138" s="1189"/>
      <c r="CJ138" s="1189"/>
      <c r="CK138" s="1184"/>
      <c r="CL138" s="1189"/>
      <c r="CM138" s="1189"/>
      <c r="CN138" s="1189"/>
      <c r="CO138" s="1189"/>
      <c r="CP138" s="1184"/>
      <c r="CQ138" s="1189"/>
      <c r="CR138" s="1189"/>
      <c r="CS138" s="1189"/>
      <c r="CT138" s="1189"/>
      <c r="CU138" s="1156"/>
      <c r="CV138" s="1189"/>
      <c r="CW138" s="1189"/>
      <c r="CX138" s="1189"/>
      <c r="CY138" s="1189"/>
      <c r="CZ138" s="1156"/>
      <c r="DA138" s="1156"/>
      <c r="DB138" s="2108"/>
      <c r="DC138" s="2108"/>
    </row>
    <row r="139" spans="1:107" s="1178" customFormat="1" ht="12.75" hidden="1" customHeight="1" outlineLevel="1">
      <c r="A139" s="1191"/>
      <c r="B139" s="264"/>
      <c r="C139" s="1191"/>
      <c r="D139" s="1191"/>
      <c r="E139" s="1191"/>
      <c r="F139" s="1191"/>
      <c r="G139" s="1191"/>
      <c r="H139" s="1191"/>
      <c r="I139" s="1191"/>
      <c r="J139" s="1191"/>
      <c r="K139" s="1191"/>
      <c r="L139" s="1191"/>
      <c r="M139" s="1191"/>
      <c r="N139" s="1191"/>
      <c r="O139" s="1191"/>
      <c r="P139" s="1191"/>
      <c r="Q139" s="1191"/>
      <c r="R139" s="1191"/>
      <c r="S139" s="1191"/>
      <c r="T139" s="1191"/>
      <c r="U139" s="1191"/>
      <c r="V139" s="1191"/>
      <c r="W139" s="1191"/>
      <c r="X139" s="1191"/>
      <c r="Y139" s="1191"/>
      <c r="Z139" s="1191"/>
      <c r="AA139" s="1191"/>
      <c r="AB139" s="1191"/>
      <c r="AC139" s="1191"/>
      <c r="AD139" s="1191"/>
      <c r="AE139" s="1191"/>
      <c r="AF139" s="1191"/>
      <c r="AG139" s="1191"/>
      <c r="AH139" s="1191"/>
      <c r="AI139" s="1191"/>
      <c r="AJ139" s="1191"/>
      <c r="AK139" s="1191"/>
      <c r="AL139" s="1191"/>
      <c r="AM139" s="1191"/>
      <c r="AN139" s="1191"/>
      <c r="AO139" s="1191"/>
      <c r="AP139" s="1191"/>
      <c r="AQ139" s="1191"/>
      <c r="AR139" s="1191"/>
      <c r="AS139" s="1191"/>
      <c r="AT139" s="1191"/>
      <c r="AU139" s="1191"/>
      <c r="AV139" s="1191"/>
      <c r="AW139" s="1191"/>
      <c r="AX139" s="1191"/>
      <c r="AY139" s="1182"/>
      <c r="AZ139" s="1182"/>
      <c r="BA139" s="1182"/>
      <c r="BB139" s="1182"/>
      <c r="BC139" s="1182"/>
      <c r="BD139" s="1182"/>
      <c r="BE139" s="1182"/>
      <c r="BF139" s="1182"/>
      <c r="BG139" s="1182"/>
      <c r="BH139" s="1182"/>
      <c r="BI139" s="1182"/>
      <c r="BJ139" s="1182"/>
      <c r="BK139" s="1182"/>
      <c r="BL139" s="1182"/>
      <c r="BM139" s="1182"/>
      <c r="BN139" s="1182"/>
      <c r="BO139" s="1182"/>
      <c r="BP139" s="1182"/>
      <c r="BQ139" s="1182"/>
      <c r="BR139" s="1190"/>
      <c r="BS139" s="1190"/>
      <c r="BT139" s="1190"/>
      <c r="BU139" s="1190"/>
      <c r="BV139" s="1190"/>
      <c r="BW139" s="1190"/>
      <c r="BX139" s="1190"/>
      <c r="BY139" s="1190"/>
      <c r="BZ139" s="1190"/>
      <c r="CA139" s="1190"/>
      <c r="CB139" s="1190"/>
      <c r="CC139" s="1190"/>
      <c r="CD139" s="1190"/>
      <c r="CE139" s="1190"/>
      <c r="CF139" s="1190"/>
      <c r="CG139" s="1189"/>
      <c r="CH139" s="1189"/>
      <c r="CI139" s="1189"/>
      <c r="CJ139" s="1189"/>
      <c r="CK139" s="1184"/>
      <c r="CL139" s="1189"/>
      <c r="CM139" s="1189"/>
      <c r="CN139" s="1189"/>
      <c r="CO139" s="1189"/>
      <c r="CP139" s="1184"/>
      <c r="CQ139" s="1189"/>
      <c r="CR139" s="1189"/>
      <c r="CS139" s="1189"/>
      <c r="CT139" s="1189"/>
      <c r="CU139" s="1156"/>
      <c r="CV139" s="1189"/>
      <c r="CW139" s="1189"/>
      <c r="CX139" s="1189"/>
      <c r="CY139" s="1189"/>
      <c r="CZ139" s="1156"/>
      <c r="DA139" s="1156"/>
      <c r="DB139" s="2108"/>
      <c r="DC139" s="2108"/>
    </row>
    <row r="140" spans="1:107" s="1178" customFormat="1" ht="12.75" hidden="1" customHeight="1" outlineLevel="1">
      <c r="A140" s="1191"/>
      <c r="B140" s="266" t="s">
        <v>928</v>
      </c>
      <c r="C140" s="1191"/>
      <c r="D140" s="1191"/>
      <c r="E140" s="1191"/>
      <c r="F140" s="1191"/>
      <c r="G140" s="1191"/>
      <c r="H140" s="1191"/>
      <c r="I140" s="1191"/>
      <c r="J140" s="1191"/>
      <c r="K140" s="1191"/>
      <c r="L140" s="1191"/>
      <c r="M140" s="1191"/>
      <c r="N140" s="1191"/>
      <c r="O140" s="1191"/>
      <c r="P140" s="1191"/>
      <c r="Q140" s="1191"/>
      <c r="R140" s="1191"/>
      <c r="S140" s="1191"/>
      <c r="T140" s="1191"/>
      <c r="U140" s="1191"/>
      <c r="V140" s="1191"/>
      <c r="W140" s="1191"/>
      <c r="X140" s="1191"/>
      <c r="Y140" s="1191"/>
      <c r="Z140" s="1191"/>
      <c r="AA140" s="1191"/>
      <c r="AB140" s="1191"/>
      <c r="AC140" s="1191"/>
      <c r="AD140" s="1191"/>
      <c r="AE140" s="1191"/>
      <c r="AF140" s="1191"/>
      <c r="AG140" s="1191"/>
      <c r="AH140" s="1191"/>
      <c r="AI140" s="1191"/>
      <c r="AJ140" s="1191"/>
      <c r="AK140" s="1191"/>
      <c r="AL140" s="1191"/>
      <c r="AM140" s="1191"/>
      <c r="AN140" s="1191"/>
      <c r="AO140" s="1191"/>
      <c r="AP140" s="1191"/>
      <c r="AQ140" s="1191"/>
      <c r="AR140" s="1191"/>
      <c r="AS140" s="1191"/>
      <c r="AT140" s="1191"/>
      <c r="AU140" s="1191"/>
      <c r="AV140" s="1191"/>
      <c r="AW140" s="1191"/>
      <c r="AX140" s="1191"/>
      <c r="AY140" s="1182"/>
      <c r="AZ140" s="1182"/>
      <c r="BA140" s="1182"/>
      <c r="BB140" s="1182"/>
      <c r="BC140" s="1182"/>
      <c r="BD140" s="1182"/>
      <c r="BE140" s="1182"/>
      <c r="BF140" s="1182"/>
      <c r="BG140" s="1182"/>
      <c r="BH140" s="1182"/>
      <c r="BI140" s="1182"/>
      <c r="BJ140" s="1182"/>
      <c r="BK140" s="1182"/>
      <c r="BL140" s="1182"/>
      <c r="BM140" s="1182"/>
      <c r="BN140" s="1182"/>
      <c r="BO140" s="1182"/>
      <c r="BP140" s="1182"/>
      <c r="BQ140" s="1182"/>
      <c r="BR140" s="1190"/>
      <c r="BS140" s="1190"/>
      <c r="BT140" s="1190"/>
      <c r="BU140" s="1190"/>
      <c r="BV140" s="1190"/>
      <c r="BW140" s="1190"/>
      <c r="BX140" s="1190"/>
      <c r="BY140" s="1190"/>
      <c r="BZ140" s="1190"/>
      <c r="CA140" s="1190"/>
      <c r="CB140" s="1190"/>
      <c r="CC140" s="1190"/>
      <c r="CD140" s="1190"/>
      <c r="CE140" s="1190"/>
      <c r="CF140" s="1190"/>
      <c r="CG140" s="1189"/>
      <c r="CH140" s="1189"/>
      <c r="CI140" s="1189"/>
      <c r="CJ140" s="1189"/>
      <c r="CK140" s="1184"/>
      <c r="CL140" s="1189"/>
      <c r="CM140" s="1189"/>
      <c r="CN140" s="1189"/>
      <c r="CO140" s="1189"/>
      <c r="CP140" s="1184"/>
      <c r="CQ140" s="1189"/>
      <c r="CR140" s="1189"/>
      <c r="CS140" s="1189"/>
      <c r="CT140" s="1189"/>
      <c r="CU140" s="1156"/>
      <c r="CV140" s="1189"/>
      <c r="CW140" s="1189"/>
      <c r="CX140" s="1189"/>
      <c r="CY140" s="1189"/>
      <c r="CZ140" s="1156"/>
      <c r="DA140" s="1156"/>
      <c r="DB140" s="2108"/>
      <c r="DC140" s="2108"/>
    </row>
    <row r="141" spans="1:107" s="1178" customFormat="1" ht="12.75" hidden="1" customHeight="1" outlineLevel="1">
      <c r="A141" s="1191"/>
      <c r="B141" s="264" t="s">
        <v>905</v>
      </c>
      <c r="C141" s="1191"/>
      <c r="D141" s="1191"/>
      <c r="E141" s="1191"/>
      <c r="F141" s="1191"/>
      <c r="G141" s="1191"/>
      <c r="H141" s="1191"/>
      <c r="I141" s="1191"/>
      <c r="J141" s="1191"/>
      <c r="K141" s="1191"/>
      <c r="L141" s="1191"/>
      <c r="M141" s="1191"/>
      <c r="N141" s="1191"/>
      <c r="O141" s="1191"/>
      <c r="P141" s="1191"/>
      <c r="Q141" s="1191"/>
      <c r="R141" s="1191"/>
      <c r="S141" s="1191"/>
      <c r="T141" s="1191"/>
      <c r="U141" s="1191"/>
      <c r="V141" s="1191"/>
      <c r="W141" s="1191"/>
      <c r="X141" s="1191"/>
      <c r="Y141" s="1191"/>
      <c r="Z141" s="1191"/>
      <c r="AA141" s="1191"/>
      <c r="AB141" s="1191"/>
      <c r="AC141" s="1191"/>
      <c r="AD141" s="1191"/>
      <c r="AE141" s="1191"/>
      <c r="AF141" s="1191"/>
      <c r="AG141" s="1191"/>
      <c r="AH141" s="1191"/>
      <c r="AI141" s="1191"/>
      <c r="AJ141" s="1191"/>
      <c r="AK141" s="1191"/>
      <c r="AL141" s="1191"/>
      <c r="AM141" s="1191"/>
      <c r="AN141" s="1191"/>
      <c r="AO141" s="1191"/>
      <c r="AP141" s="1191"/>
      <c r="AQ141" s="1191"/>
      <c r="AR141" s="1191"/>
      <c r="AS141" s="1191"/>
      <c r="AT141" s="1191"/>
      <c r="AU141" s="1191"/>
      <c r="AV141" s="1191"/>
      <c r="AW141" s="1191"/>
      <c r="AX141" s="1191"/>
      <c r="AY141" s="1182"/>
      <c r="AZ141" s="1182"/>
      <c r="BA141" s="1182"/>
      <c r="BB141" s="1182"/>
      <c r="BC141" s="1182"/>
      <c r="BD141" s="1182"/>
      <c r="BE141" s="1182"/>
      <c r="BF141" s="1182"/>
      <c r="BG141" s="1182"/>
      <c r="BH141" s="1182"/>
      <c r="BI141" s="1182"/>
      <c r="BJ141" s="1182"/>
      <c r="BK141" s="1182"/>
      <c r="BL141" s="1182"/>
      <c r="BM141" s="1182"/>
      <c r="BN141" s="1182"/>
      <c r="BO141" s="1182"/>
      <c r="BP141" s="1182"/>
      <c r="BQ141" s="1182"/>
      <c r="BR141" s="1190"/>
      <c r="BS141" s="1190"/>
      <c r="BT141" s="1190">
        <v>20.2</v>
      </c>
      <c r="BU141" s="1190"/>
      <c r="BV141" s="1190"/>
      <c r="BW141" s="1190"/>
      <c r="BX141" s="1190"/>
      <c r="BY141" s="1190"/>
      <c r="BZ141" s="1190"/>
      <c r="CA141" s="1190"/>
      <c r="CB141" s="1190"/>
      <c r="CC141" s="1190"/>
      <c r="CD141" s="1190"/>
      <c r="CE141" s="1190"/>
      <c r="CF141" s="1190"/>
      <c r="CG141" s="1189"/>
      <c r="CH141" s="1189"/>
      <c r="CI141" s="1189"/>
      <c r="CJ141" s="1189"/>
      <c r="CK141" s="1184"/>
      <c r="CL141" s="1189"/>
      <c r="CM141" s="1189"/>
      <c r="CN141" s="1189"/>
      <c r="CO141" s="1189"/>
      <c r="CP141" s="1184"/>
      <c r="CQ141" s="1189"/>
      <c r="CR141" s="1189"/>
      <c r="CS141" s="1189"/>
      <c r="CT141" s="1189"/>
      <c r="CU141" s="1156"/>
      <c r="CV141" s="1189"/>
      <c r="CW141" s="1189"/>
      <c r="CX141" s="1189"/>
      <c r="CY141" s="1189"/>
      <c r="CZ141" s="1156"/>
      <c r="DA141" s="1156"/>
      <c r="DB141" s="2108"/>
      <c r="DC141" s="2108"/>
    </row>
    <row r="142" spans="1:107" s="1178" customFormat="1" ht="12.75" hidden="1" customHeight="1" outlineLevel="1">
      <c r="A142" s="1191"/>
      <c r="B142" s="264" t="s">
        <v>927</v>
      </c>
      <c r="C142" s="1191"/>
      <c r="D142" s="1191"/>
      <c r="E142" s="1191"/>
      <c r="F142" s="1191"/>
      <c r="G142" s="1191"/>
      <c r="H142" s="1191"/>
      <c r="I142" s="1191"/>
      <c r="J142" s="1191"/>
      <c r="K142" s="1191"/>
      <c r="L142" s="1191"/>
      <c r="M142" s="1191"/>
      <c r="N142" s="1191"/>
      <c r="O142" s="1191"/>
      <c r="P142" s="1191"/>
      <c r="Q142" s="1191"/>
      <c r="R142" s="1191"/>
      <c r="S142" s="1191"/>
      <c r="T142" s="1191"/>
      <c r="U142" s="1191"/>
      <c r="V142" s="1191"/>
      <c r="W142" s="1191"/>
      <c r="X142" s="1191"/>
      <c r="Y142" s="1191"/>
      <c r="Z142" s="1191"/>
      <c r="AA142" s="1191"/>
      <c r="AB142" s="1191"/>
      <c r="AC142" s="1191"/>
      <c r="AD142" s="1191"/>
      <c r="AE142" s="1191"/>
      <c r="AF142" s="1191"/>
      <c r="AG142" s="1191"/>
      <c r="AH142" s="1191"/>
      <c r="AI142" s="1191"/>
      <c r="AJ142" s="1191"/>
      <c r="AK142" s="1191"/>
      <c r="AL142" s="1191"/>
      <c r="AM142" s="1191"/>
      <c r="AN142" s="1191"/>
      <c r="AO142" s="1191"/>
      <c r="AP142" s="1191"/>
      <c r="AQ142" s="1191"/>
      <c r="AR142" s="1191"/>
      <c r="AS142" s="1191"/>
      <c r="AT142" s="1191"/>
      <c r="AU142" s="1191"/>
      <c r="AV142" s="1191"/>
      <c r="AW142" s="1191"/>
      <c r="AX142" s="1191"/>
      <c r="AY142" s="1182"/>
      <c r="AZ142" s="1182"/>
      <c r="BA142" s="1182"/>
      <c r="BB142" s="1182"/>
      <c r="BC142" s="1182"/>
      <c r="BD142" s="1182"/>
      <c r="BE142" s="1182"/>
      <c r="BF142" s="1182"/>
      <c r="BG142" s="1182"/>
      <c r="BH142" s="1182"/>
      <c r="BI142" s="1182"/>
      <c r="BJ142" s="1182"/>
      <c r="BK142" s="1182"/>
      <c r="BL142" s="1182"/>
      <c r="BM142" s="1182"/>
      <c r="BN142" s="1182"/>
      <c r="BO142" s="1182"/>
      <c r="BP142" s="1182"/>
      <c r="BQ142" s="1182"/>
      <c r="BR142" s="1190"/>
      <c r="BS142" s="1190"/>
      <c r="BT142" s="1190">
        <v>16.600000000000001</v>
      </c>
      <c r="BU142" s="1190"/>
      <c r="BV142" s="1190"/>
      <c r="BW142" s="1190"/>
      <c r="BX142" s="1190"/>
      <c r="BY142" s="1190"/>
      <c r="BZ142" s="1190"/>
      <c r="CA142" s="1190"/>
      <c r="CB142" s="1190"/>
      <c r="CC142" s="1190"/>
      <c r="CD142" s="1190"/>
      <c r="CE142" s="1190"/>
      <c r="CF142" s="1190"/>
      <c r="CG142" s="1189"/>
      <c r="CH142" s="1189"/>
      <c r="CI142" s="1189"/>
      <c r="CJ142" s="1189"/>
      <c r="CK142" s="1184"/>
      <c r="CL142" s="1189"/>
      <c r="CM142" s="1189"/>
      <c r="CN142" s="1189"/>
      <c r="CO142" s="1189"/>
      <c r="CP142" s="1184"/>
      <c r="CQ142" s="1189"/>
      <c r="CR142" s="1189"/>
      <c r="CS142" s="1189"/>
      <c r="CT142" s="1189"/>
      <c r="CU142" s="1156"/>
      <c r="CV142" s="1189"/>
      <c r="CW142" s="1189"/>
      <c r="CX142" s="1189"/>
      <c r="CY142" s="1189"/>
      <c r="CZ142" s="1156"/>
      <c r="DA142" s="1156"/>
      <c r="DB142" s="2108"/>
      <c r="DC142" s="2108"/>
    </row>
    <row r="143" spans="1:107" s="1178" customFormat="1" ht="12.75" hidden="1" customHeight="1" outlineLevel="1">
      <c r="A143" s="1191"/>
      <c r="B143" s="264" t="s">
        <v>926</v>
      </c>
      <c r="C143" s="1191"/>
      <c r="D143" s="1191"/>
      <c r="E143" s="1191"/>
      <c r="F143" s="1191"/>
      <c r="G143" s="1191"/>
      <c r="H143" s="1191"/>
      <c r="I143" s="1191"/>
      <c r="J143" s="1191"/>
      <c r="K143" s="1191"/>
      <c r="L143" s="1191"/>
      <c r="M143" s="1191"/>
      <c r="N143" s="1191"/>
      <c r="O143" s="1191"/>
      <c r="P143" s="1191"/>
      <c r="Q143" s="1191"/>
      <c r="R143" s="1191"/>
      <c r="S143" s="1191"/>
      <c r="T143" s="1191"/>
      <c r="U143" s="1191"/>
      <c r="V143" s="1191"/>
      <c r="W143" s="1191"/>
      <c r="X143" s="1191"/>
      <c r="Y143" s="1191"/>
      <c r="Z143" s="1191"/>
      <c r="AA143" s="1191"/>
      <c r="AB143" s="1191"/>
      <c r="AC143" s="1191"/>
      <c r="AD143" s="1191"/>
      <c r="AE143" s="1191"/>
      <c r="AF143" s="1191"/>
      <c r="AG143" s="1191"/>
      <c r="AH143" s="1191"/>
      <c r="AI143" s="1191"/>
      <c r="AJ143" s="1191"/>
      <c r="AK143" s="1191"/>
      <c r="AL143" s="1191"/>
      <c r="AM143" s="1191"/>
      <c r="AN143" s="1191"/>
      <c r="AO143" s="1191"/>
      <c r="AP143" s="1191"/>
      <c r="AQ143" s="1191"/>
      <c r="AR143" s="1191"/>
      <c r="AS143" s="1191"/>
      <c r="AT143" s="1191"/>
      <c r="AU143" s="1191"/>
      <c r="AV143" s="1191"/>
      <c r="AW143" s="1191"/>
      <c r="AX143" s="1191"/>
      <c r="AY143" s="1182"/>
      <c r="AZ143" s="1182"/>
      <c r="BA143" s="1182"/>
      <c r="BB143" s="1182"/>
      <c r="BC143" s="1182"/>
      <c r="BD143" s="1182"/>
      <c r="BE143" s="1182"/>
      <c r="BF143" s="1182"/>
      <c r="BG143" s="1182"/>
      <c r="BH143" s="1182"/>
      <c r="BI143" s="1182"/>
      <c r="BJ143" s="1182"/>
      <c r="BK143" s="1182"/>
      <c r="BL143" s="1182"/>
      <c r="BM143" s="1182"/>
      <c r="BN143" s="1182"/>
      <c r="BO143" s="1182"/>
      <c r="BP143" s="1182"/>
      <c r="BQ143" s="1182"/>
      <c r="BR143" s="1190"/>
      <c r="BS143" s="1190"/>
      <c r="BT143" s="1190">
        <v>9.1999999999999993</v>
      </c>
      <c r="BU143" s="1190"/>
      <c r="BV143" s="1190"/>
      <c r="BW143" s="1190"/>
      <c r="BX143" s="1190"/>
      <c r="BY143" s="1190"/>
      <c r="BZ143" s="1190"/>
      <c r="CA143" s="1190"/>
      <c r="CB143" s="1190"/>
      <c r="CC143" s="1190"/>
      <c r="CD143" s="1190"/>
      <c r="CE143" s="1190"/>
      <c r="CF143" s="1190"/>
      <c r="CG143" s="1189"/>
      <c r="CH143" s="1189"/>
      <c r="CI143" s="1189"/>
      <c r="CJ143" s="1189"/>
      <c r="CK143" s="1184"/>
      <c r="CL143" s="1189"/>
      <c r="CM143" s="1189"/>
      <c r="CN143" s="1189"/>
      <c r="CO143" s="1189"/>
      <c r="CP143" s="1184"/>
      <c r="CQ143" s="1189"/>
      <c r="CR143" s="1189"/>
      <c r="CS143" s="1189"/>
      <c r="CT143" s="1189"/>
      <c r="CU143" s="1156"/>
      <c r="CV143" s="1189"/>
      <c r="CW143" s="1189"/>
      <c r="CX143" s="1189"/>
      <c r="CY143" s="1189"/>
      <c r="CZ143" s="1156"/>
      <c r="DA143" s="1156"/>
      <c r="DB143" s="2108"/>
      <c r="DC143" s="2108"/>
    </row>
    <row r="144" spans="1:107" s="1178" customFormat="1" ht="12.75" hidden="1" customHeight="1" outlineLevel="1">
      <c r="A144" s="1191"/>
      <c r="B144" s="264" t="s">
        <v>498</v>
      </c>
      <c r="C144" s="1191"/>
      <c r="D144" s="1191"/>
      <c r="E144" s="1191"/>
      <c r="F144" s="1191"/>
      <c r="G144" s="1191"/>
      <c r="H144" s="1191"/>
      <c r="I144" s="1191"/>
      <c r="J144" s="1191"/>
      <c r="K144" s="1191"/>
      <c r="L144" s="1191"/>
      <c r="M144" s="1191"/>
      <c r="N144" s="1191"/>
      <c r="O144" s="1191"/>
      <c r="P144" s="1191"/>
      <c r="Q144" s="1191"/>
      <c r="R144" s="1191"/>
      <c r="S144" s="1191"/>
      <c r="T144" s="1191"/>
      <c r="U144" s="1191"/>
      <c r="V144" s="1191"/>
      <c r="W144" s="1191"/>
      <c r="X144" s="1191"/>
      <c r="Y144" s="1191"/>
      <c r="Z144" s="1191"/>
      <c r="AA144" s="1191"/>
      <c r="AB144" s="1191"/>
      <c r="AC144" s="1191"/>
      <c r="AD144" s="1191"/>
      <c r="AE144" s="1191"/>
      <c r="AF144" s="1191"/>
      <c r="AG144" s="1191"/>
      <c r="AH144" s="1191"/>
      <c r="AI144" s="1191"/>
      <c r="AJ144" s="1191"/>
      <c r="AK144" s="1191"/>
      <c r="AL144" s="1191"/>
      <c r="AM144" s="1191"/>
      <c r="AN144" s="1191"/>
      <c r="AO144" s="1191"/>
      <c r="AP144" s="1191"/>
      <c r="AQ144" s="1191"/>
      <c r="AR144" s="1191"/>
      <c r="AS144" s="1191"/>
      <c r="AT144" s="1191"/>
      <c r="AU144" s="1191"/>
      <c r="AV144" s="1191"/>
      <c r="AW144" s="1191"/>
      <c r="AX144" s="1191"/>
      <c r="AY144" s="1182"/>
      <c r="AZ144" s="1182"/>
      <c r="BA144" s="1182"/>
      <c r="BB144" s="1182"/>
      <c r="BC144" s="1182"/>
      <c r="BD144" s="1182"/>
      <c r="BE144" s="1182"/>
      <c r="BF144" s="1182"/>
      <c r="BG144" s="1182"/>
      <c r="BH144" s="1182"/>
      <c r="BI144" s="1182"/>
      <c r="BJ144" s="1182"/>
      <c r="BK144" s="1182"/>
      <c r="BL144" s="1182"/>
      <c r="BM144" s="1182"/>
      <c r="BN144" s="1182"/>
      <c r="BO144" s="1182"/>
      <c r="BP144" s="1182"/>
      <c r="BQ144" s="1182"/>
      <c r="BR144" s="1190"/>
      <c r="BS144" s="1190"/>
      <c r="BT144" s="1190">
        <v>6.3</v>
      </c>
      <c r="BU144" s="1190"/>
      <c r="BV144" s="1190"/>
      <c r="BW144" s="1190"/>
      <c r="BX144" s="1190"/>
      <c r="BY144" s="1190"/>
      <c r="BZ144" s="1190"/>
      <c r="CA144" s="1190"/>
      <c r="CB144" s="1190"/>
      <c r="CC144" s="1190"/>
      <c r="CD144" s="1190"/>
      <c r="CE144" s="1190"/>
      <c r="CF144" s="1190"/>
      <c r="CG144" s="1189"/>
      <c r="CH144" s="1189"/>
      <c r="CI144" s="1189"/>
      <c r="CJ144" s="1189"/>
      <c r="CK144" s="1184"/>
      <c r="CL144" s="1189"/>
      <c r="CM144" s="1189"/>
      <c r="CN144" s="1189"/>
      <c r="CO144" s="1189"/>
      <c r="CP144" s="1184"/>
      <c r="CQ144" s="1189"/>
      <c r="CR144" s="1189"/>
      <c r="CS144" s="1189"/>
      <c r="CT144" s="1189"/>
      <c r="CU144" s="1156"/>
      <c r="CV144" s="1189"/>
      <c r="CW144" s="1189"/>
      <c r="CX144" s="1189"/>
      <c r="CY144" s="1189"/>
      <c r="CZ144" s="1156"/>
      <c r="DA144" s="1156"/>
      <c r="DB144" s="2108"/>
      <c r="DC144" s="2108"/>
    </row>
    <row r="145" spans="1:107" s="1178" customFormat="1" ht="12.75" hidden="1" customHeight="1" outlineLevel="1">
      <c r="A145" s="1191"/>
      <c r="B145" s="264" t="s">
        <v>543</v>
      </c>
      <c r="C145" s="1191"/>
      <c r="D145" s="1191"/>
      <c r="E145" s="1191"/>
      <c r="F145" s="1191"/>
      <c r="G145" s="1191"/>
      <c r="H145" s="1191"/>
      <c r="I145" s="1191"/>
      <c r="J145" s="1191"/>
      <c r="K145" s="1191"/>
      <c r="L145" s="1191"/>
      <c r="M145" s="1191"/>
      <c r="N145" s="1191"/>
      <c r="O145" s="1191"/>
      <c r="P145" s="1191"/>
      <c r="Q145" s="1191"/>
      <c r="R145" s="1191"/>
      <c r="S145" s="1191"/>
      <c r="T145" s="1191"/>
      <c r="U145" s="1191"/>
      <c r="V145" s="1191"/>
      <c r="W145" s="1191"/>
      <c r="X145" s="1191"/>
      <c r="Y145" s="1191"/>
      <c r="Z145" s="1191"/>
      <c r="AA145" s="1191"/>
      <c r="AB145" s="1191"/>
      <c r="AC145" s="1191"/>
      <c r="AD145" s="1191"/>
      <c r="AE145" s="1191"/>
      <c r="AF145" s="1191"/>
      <c r="AG145" s="1191"/>
      <c r="AH145" s="1191"/>
      <c r="AI145" s="1191"/>
      <c r="AJ145" s="1191"/>
      <c r="AK145" s="1191"/>
      <c r="AL145" s="1191"/>
      <c r="AM145" s="1191"/>
      <c r="AN145" s="1191"/>
      <c r="AO145" s="1191"/>
      <c r="AP145" s="1191"/>
      <c r="AQ145" s="1191"/>
      <c r="AR145" s="1191"/>
      <c r="AS145" s="1191"/>
      <c r="AT145" s="1191"/>
      <c r="AU145" s="1191"/>
      <c r="AV145" s="1191"/>
      <c r="AW145" s="1191"/>
      <c r="AX145" s="1191"/>
      <c r="AY145" s="1182"/>
      <c r="AZ145" s="1182"/>
      <c r="BA145" s="1182"/>
      <c r="BB145" s="1182"/>
      <c r="BC145" s="1182"/>
      <c r="BD145" s="1182"/>
      <c r="BE145" s="1182"/>
      <c r="BF145" s="1182"/>
      <c r="BG145" s="1182"/>
      <c r="BH145" s="1182"/>
      <c r="BI145" s="1182"/>
      <c r="BJ145" s="1182"/>
      <c r="BK145" s="1182"/>
      <c r="BL145" s="1182"/>
      <c r="BM145" s="1182"/>
      <c r="BN145" s="1182"/>
      <c r="BO145" s="1182"/>
      <c r="BP145" s="1182"/>
      <c r="BQ145" s="1182"/>
      <c r="BR145" s="1190"/>
      <c r="BS145" s="1190"/>
      <c r="BT145" s="1190">
        <v>3.6</v>
      </c>
      <c r="BU145" s="1190"/>
      <c r="BV145" s="1190"/>
      <c r="BW145" s="1190"/>
      <c r="BX145" s="1190"/>
      <c r="BY145" s="1190"/>
      <c r="BZ145" s="1190"/>
      <c r="CA145" s="1190"/>
      <c r="CB145" s="1190"/>
      <c r="CC145" s="1190"/>
      <c r="CD145" s="1190"/>
      <c r="CE145" s="1190"/>
      <c r="CF145" s="1190"/>
      <c r="CG145" s="1189"/>
      <c r="CH145" s="1189"/>
      <c r="CI145" s="1189"/>
      <c r="CJ145" s="1189"/>
      <c r="CK145" s="1184"/>
      <c r="CL145" s="1189"/>
      <c r="CM145" s="1189"/>
      <c r="CN145" s="1189"/>
      <c r="CO145" s="1189"/>
      <c r="CP145" s="1184"/>
      <c r="CQ145" s="1189"/>
      <c r="CR145" s="1189"/>
      <c r="CS145" s="1189"/>
      <c r="CT145" s="1189"/>
      <c r="CU145" s="1156"/>
      <c r="CV145" s="1189"/>
      <c r="CW145" s="1189"/>
      <c r="CX145" s="1189"/>
      <c r="CY145" s="1189"/>
      <c r="CZ145" s="1156"/>
      <c r="DA145" s="1156"/>
      <c r="DB145" s="2108"/>
      <c r="DC145" s="2108"/>
    </row>
    <row r="146" spans="1:107" s="1178" customFormat="1" ht="12.75" hidden="1" customHeight="1" outlineLevel="1">
      <c r="A146" s="1191"/>
      <c r="B146" s="264" t="s">
        <v>10</v>
      </c>
      <c r="C146" s="1191"/>
      <c r="D146" s="1191"/>
      <c r="E146" s="1191"/>
      <c r="F146" s="1191"/>
      <c r="G146" s="1191"/>
      <c r="H146" s="1191"/>
      <c r="I146" s="1191"/>
      <c r="J146" s="1191"/>
      <c r="K146" s="1191"/>
      <c r="L146" s="1191"/>
      <c r="M146" s="1191"/>
      <c r="N146" s="1191"/>
      <c r="O146" s="1191"/>
      <c r="P146" s="1191"/>
      <c r="Q146" s="1191"/>
      <c r="R146" s="1191"/>
      <c r="S146" s="1191"/>
      <c r="T146" s="1191"/>
      <c r="U146" s="1191"/>
      <c r="V146" s="1191"/>
      <c r="W146" s="1191"/>
      <c r="X146" s="1191"/>
      <c r="Y146" s="1191"/>
      <c r="Z146" s="1191"/>
      <c r="AA146" s="1191"/>
      <c r="AB146" s="1191"/>
      <c r="AC146" s="1191"/>
      <c r="AD146" s="1191"/>
      <c r="AE146" s="1191"/>
      <c r="AF146" s="1191"/>
      <c r="AG146" s="1191"/>
      <c r="AH146" s="1191"/>
      <c r="AI146" s="1191"/>
      <c r="AJ146" s="1191"/>
      <c r="AK146" s="1191"/>
      <c r="AL146" s="1191"/>
      <c r="AM146" s="1191"/>
      <c r="AN146" s="1191"/>
      <c r="AO146" s="1191"/>
      <c r="AP146" s="1191"/>
      <c r="AQ146" s="1191"/>
      <c r="AR146" s="1191"/>
      <c r="AS146" s="1191"/>
      <c r="AT146" s="1191"/>
      <c r="AU146" s="1191"/>
      <c r="AV146" s="1191"/>
      <c r="AW146" s="1191"/>
      <c r="AX146" s="1191"/>
      <c r="AY146" s="1182"/>
      <c r="AZ146" s="1182"/>
      <c r="BA146" s="1182"/>
      <c r="BB146" s="1182"/>
      <c r="BC146" s="1182"/>
      <c r="BD146" s="1182"/>
      <c r="BE146" s="1182"/>
      <c r="BF146" s="1182"/>
      <c r="BG146" s="1182"/>
      <c r="BH146" s="1182"/>
      <c r="BI146" s="1182"/>
      <c r="BJ146" s="1182"/>
      <c r="BK146" s="1182"/>
      <c r="BL146" s="1182"/>
      <c r="BM146" s="1182"/>
      <c r="BN146" s="1182"/>
      <c r="BO146" s="1182"/>
      <c r="BP146" s="1182"/>
      <c r="BQ146" s="1182"/>
      <c r="BR146" s="1190"/>
      <c r="BS146" s="1190"/>
      <c r="BT146" s="1190">
        <v>2.8</v>
      </c>
      <c r="BU146" s="1190"/>
      <c r="BV146" s="1190"/>
      <c r="BW146" s="1190"/>
      <c r="BX146" s="1190"/>
      <c r="BY146" s="1190"/>
      <c r="BZ146" s="1190"/>
      <c r="CA146" s="1190"/>
      <c r="CB146" s="1190"/>
      <c r="CC146" s="1190"/>
      <c r="CD146" s="1190"/>
      <c r="CE146" s="1190"/>
      <c r="CF146" s="1190"/>
      <c r="CG146" s="1189"/>
      <c r="CH146" s="1189"/>
      <c r="CI146" s="1189"/>
      <c r="CJ146" s="1189"/>
      <c r="CK146" s="1184"/>
      <c r="CL146" s="1189"/>
      <c r="CM146" s="1189"/>
      <c r="CN146" s="1189"/>
      <c r="CO146" s="1189"/>
      <c r="CP146" s="1184"/>
      <c r="CQ146" s="1189"/>
      <c r="CR146" s="1189"/>
      <c r="CS146" s="1189"/>
      <c r="CT146" s="1189"/>
      <c r="CU146" s="1156"/>
      <c r="CV146" s="1189"/>
      <c r="CW146" s="1189"/>
      <c r="CX146" s="1189"/>
      <c r="CY146" s="1189"/>
      <c r="CZ146" s="1156"/>
      <c r="DA146" s="1156"/>
      <c r="DB146" s="2108"/>
      <c r="DC146" s="2108"/>
    </row>
    <row r="147" spans="1:107" s="1178" customFormat="1" ht="12.75" hidden="1" customHeight="1" outlineLevel="1">
      <c r="A147" s="1191"/>
      <c r="B147" s="264" t="s">
        <v>925</v>
      </c>
      <c r="C147" s="1191"/>
      <c r="D147" s="1191"/>
      <c r="E147" s="1191"/>
      <c r="F147" s="1191"/>
      <c r="G147" s="1191"/>
      <c r="H147" s="1191"/>
      <c r="I147" s="1191"/>
      <c r="J147" s="1191"/>
      <c r="K147" s="1191"/>
      <c r="L147" s="1191"/>
      <c r="M147" s="1191"/>
      <c r="N147" s="1191"/>
      <c r="O147" s="1191"/>
      <c r="P147" s="1191"/>
      <c r="Q147" s="1191"/>
      <c r="R147" s="1191"/>
      <c r="S147" s="1191"/>
      <c r="T147" s="1191"/>
      <c r="U147" s="1191"/>
      <c r="V147" s="1191"/>
      <c r="W147" s="1191"/>
      <c r="X147" s="1191"/>
      <c r="Y147" s="1191"/>
      <c r="Z147" s="1191"/>
      <c r="AA147" s="1191"/>
      <c r="AB147" s="1191"/>
      <c r="AC147" s="1191"/>
      <c r="AD147" s="1191"/>
      <c r="AE147" s="1191"/>
      <c r="AF147" s="1191"/>
      <c r="AG147" s="1191"/>
      <c r="AH147" s="1191"/>
      <c r="AI147" s="1191"/>
      <c r="AJ147" s="1191"/>
      <c r="AK147" s="1191"/>
      <c r="AL147" s="1191"/>
      <c r="AM147" s="1191"/>
      <c r="AN147" s="1191"/>
      <c r="AO147" s="1191"/>
      <c r="AP147" s="1191"/>
      <c r="AQ147" s="1191"/>
      <c r="AR147" s="1191"/>
      <c r="AS147" s="1191"/>
      <c r="AT147" s="1191"/>
      <c r="AU147" s="1191"/>
      <c r="AV147" s="1191"/>
      <c r="AW147" s="1191"/>
      <c r="AX147" s="1191"/>
      <c r="AY147" s="1182"/>
      <c r="AZ147" s="1182"/>
      <c r="BA147" s="1182"/>
      <c r="BB147" s="1182"/>
      <c r="BC147" s="1182"/>
      <c r="BD147" s="1182"/>
      <c r="BE147" s="1182"/>
      <c r="BF147" s="1182"/>
      <c r="BG147" s="1182"/>
      <c r="BH147" s="1182"/>
      <c r="BI147" s="1182"/>
      <c r="BJ147" s="1182"/>
      <c r="BK147" s="1182"/>
      <c r="BL147" s="1182"/>
      <c r="BM147" s="1182"/>
      <c r="BN147" s="1182"/>
      <c r="BO147" s="1182"/>
      <c r="BP147" s="1182"/>
      <c r="BQ147" s="1182"/>
      <c r="BR147" s="1190"/>
      <c r="BS147" s="1190"/>
      <c r="BT147" s="1190">
        <v>1.6</v>
      </c>
      <c r="BU147" s="1190"/>
      <c r="BV147" s="1190"/>
      <c r="BW147" s="1190"/>
      <c r="BX147" s="1190"/>
      <c r="BY147" s="1190"/>
      <c r="BZ147" s="1190"/>
      <c r="CA147" s="1190"/>
      <c r="CB147" s="1190"/>
      <c r="CC147" s="1190"/>
      <c r="CD147" s="1190"/>
      <c r="CE147" s="1190"/>
      <c r="CF147" s="1190"/>
      <c r="CG147" s="1189"/>
      <c r="CH147" s="1189"/>
      <c r="CI147" s="1189"/>
      <c r="CJ147" s="1189"/>
      <c r="CK147" s="1184"/>
      <c r="CL147" s="1189"/>
      <c r="CM147" s="1189"/>
      <c r="CN147" s="1189"/>
      <c r="CO147" s="1189"/>
      <c r="CP147" s="1184"/>
      <c r="CQ147" s="1189"/>
      <c r="CR147" s="1189"/>
      <c r="CS147" s="1189"/>
      <c r="CT147" s="1189"/>
      <c r="CU147" s="1156"/>
      <c r="CV147" s="1189"/>
      <c r="CW147" s="1189"/>
      <c r="CX147" s="1189"/>
      <c r="CY147" s="1189"/>
      <c r="CZ147" s="1156"/>
      <c r="DA147" s="1156"/>
      <c r="DB147" s="2108"/>
      <c r="DC147" s="2108"/>
    </row>
    <row r="148" spans="1:107" s="1178" customFormat="1" ht="12.75" hidden="1" customHeight="1" outlineLevel="1">
      <c r="A148" s="1191"/>
      <c r="B148" s="264" t="s">
        <v>924</v>
      </c>
      <c r="C148" s="1191"/>
      <c r="D148" s="1191"/>
      <c r="E148" s="1191"/>
      <c r="F148" s="1191"/>
      <c r="G148" s="1191"/>
      <c r="H148" s="1191"/>
      <c r="I148" s="1191"/>
      <c r="J148" s="1191"/>
      <c r="K148" s="1191"/>
      <c r="L148" s="1191"/>
      <c r="M148" s="1191"/>
      <c r="N148" s="1191"/>
      <c r="O148" s="1191"/>
      <c r="P148" s="1191"/>
      <c r="Q148" s="1191"/>
      <c r="R148" s="1191"/>
      <c r="S148" s="1191"/>
      <c r="T148" s="1191"/>
      <c r="U148" s="1191"/>
      <c r="V148" s="1191"/>
      <c r="W148" s="1191"/>
      <c r="X148" s="1191"/>
      <c r="Y148" s="1191"/>
      <c r="Z148" s="1191"/>
      <c r="AA148" s="1191"/>
      <c r="AB148" s="1191"/>
      <c r="AC148" s="1191"/>
      <c r="AD148" s="1191"/>
      <c r="AE148" s="1191"/>
      <c r="AF148" s="1191"/>
      <c r="AG148" s="1191"/>
      <c r="AH148" s="1191"/>
      <c r="AI148" s="1191"/>
      <c r="AJ148" s="1191"/>
      <c r="AK148" s="1191"/>
      <c r="AL148" s="1191"/>
      <c r="AM148" s="1191"/>
      <c r="AN148" s="1191"/>
      <c r="AO148" s="1191"/>
      <c r="AP148" s="1191"/>
      <c r="AQ148" s="1191"/>
      <c r="AR148" s="1191"/>
      <c r="AS148" s="1191"/>
      <c r="AT148" s="1191"/>
      <c r="AU148" s="1191"/>
      <c r="AV148" s="1191"/>
      <c r="AW148" s="1191"/>
      <c r="AX148" s="1191"/>
      <c r="AY148" s="1182"/>
      <c r="AZ148" s="1182"/>
      <c r="BA148" s="1182"/>
      <c r="BB148" s="1182"/>
      <c r="BC148" s="1182"/>
      <c r="BD148" s="1182"/>
      <c r="BE148" s="1182"/>
      <c r="BF148" s="1182"/>
      <c r="BG148" s="1182"/>
      <c r="BH148" s="1182"/>
      <c r="BI148" s="1182"/>
      <c r="BJ148" s="1182"/>
      <c r="BK148" s="1182"/>
      <c r="BL148" s="1182"/>
      <c r="BM148" s="1182"/>
      <c r="BN148" s="1182"/>
      <c r="BO148" s="1182"/>
      <c r="BP148" s="1182"/>
      <c r="BQ148" s="1182"/>
      <c r="BR148" s="1190"/>
      <c r="BS148" s="1190"/>
      <c r="BT148" s="1190">
        <v>1.4</v>
      </c>
      <c r="BU148" s="1190"/>
      <c r="BV148" s="1190"/>
      <c r="BW148" s="1190"/>
      <c r="BX148" s="1190"/>
      <c r="BY148" s="1190"/>
      <c r="BZ148" s="1190"/>
      <c r="CA148" s="1190"/>
      <c r="CB148" s="1190"/>
      <c r="CC148" s="1190"/>
      <c r="CD148" s="1190"/>
      <c r="CE148" s="1190"/>
      <c r="CF148" s="1190"/>
      <c r="CG148" s="1189"/>
      <c r="CH148" s="1189"/>
      <c r="CI148" s="1189"/>
      <c r="CJ148" s="1189"/>
      <c r="CK148" s="1184"/>
      <c r="CL148" s="1189"/>
      <c r="CM148" s="1189"/>
      <c r="CN148" s="1189"/>
      <c r="CO148" s="1189"/>
      <c r="CP148" s="1184"/>
      <c r="CQ148" s="1189"/>
      <c r="CR148" s="1189"/>
      <c r="CS148" s="1189"/>
      <c r="CT148" s="1189"/>
      <c r="CU148" s="1156"/>
      <c r="CV148" s="1189"/>
      <c r="CW148" s="1189"/>
      <c r="CX148" s="1189"/>
      <c r="CY148" s="1189"/>
      <c r="CZ148" s="1156"/>
      <c r="DA148" s="1156"/>
      <c r="DB148" s="2108"/>
      <c r="DC148" s="2108"/>
    </row>
    <row r="149" spans="1:107" s="1178" customFormat="1" ht="12.75" hidden="1" customHeight="1" outlineLevel="1">
      <c r="A149" s="1191"/>
      <c r="B149" s="264" t="s">
        <v>542</v>
      </c>
      <c r="C149" s="1191"/>
      <c r="D149" s="1191"/>
      <c r="E149" s="1191"/>
      <c r="F149" s="1191"/>
      <c r="G149" s="1191"/>
      <c r="H149" s="1191"/>
      <c r="I149" s="1191"/>
      <c r="J149" s="1191"/>
      <c r="K149" s="1191"/>
      <c r="L149" s="1191"/>
      <c r="M149" s="1191"/>
      <c r="N149" s="1191"/>
      <c r="O149" s="1191"/>
      <c r="P149" s="1191"/>
      <c r="Q149" s="1191"/>
      <c r="R149" s="1191"/>
      <c r="S149" s="1191"/>
      <c r="T149" s="1191"/>
      <c r="U149" s="1191"/>
      <c r="V149" s="1191"/>
      <c r="W149" s="1191"/>
      <c r="X149" s="1191"/>
      <c r="Y149" s="1191"/>
      <c r="Z149" s="1191"/>
      <c r="AA149" s="1191"/>
      <c r="AB149" s="1191"/>
      <c r="AC149" s="1191"/>
      <c r="AD149" s="1191"/>
      <c r="AE149" s="1191"/>
      <c r="AF149" s="1191"/>
      <c r="AG149" s="1191"/>
      <c r="AH149" s="1191"/>
      <c r="AI149" s="1191"/>
      <c r="AJ149" s="1191"/>
      <c r="AK149" s="1191"/>
      <c r="AL149" s="1191"/>
      <c r="AM149" s="1191"/>
      <c r="AN149" s="1191"/>
      <c r="AO149" s="1191"/>
      <c r="AP149" s="1191"/>
      <c r="AQ149" s="1191"/>
      <c r="AR149" s="1191"/>
      <c r="AS149" s="1191"/>
      <c r="AT149" s="1191"/>
      <c r="AU149" s="1191"/>
      <c r="AV149" s="1191"/>
      <c r="AW149" s="1191"/>
      <c r="AX149" s="1191"/>
      <c r="AY149" s="1182"/>
      <c r="AZ149" s="1182"/>
      <c r="BA149" s="1182"/>
      <c r="BB149" s="1182"/>
      <c r="BC149" s="1182"/>
      <c r="BD149" s="1182"/>
      <c r="BE149" s="1182"/>
      <c r="BF149" s="1182"/>
      <c r="BG149" s="1182"/>
      <c r="BH149" s="1182"/>
      <c r="BI149" s="1182"/>
      <c r="BJ149" s="1182"/>
      <c r="BK149" s="1182"/>
      <c r="BL149" s="1182"/>
      <c r="BM149" s="1182"/>
      <c r="BN149" s="1182"/>
      <c r="BO149" s="1182"/>
      <c r="BP149" s="1182"/>
      <c r="BQ149" s="1182"/>
      <c r="BR149" s="1190"/>
      <c r="BS149" s="1190"/>
      <c r="BT149" s="1190">
        <v>0.2</v>
      </c>
      <c r="BU149" s="1190"/>
      <c r="BV149" s="1190"/>
      <c r="BW149" s="1190"/>
      <c r="BX149" s="1190"/>
      <c r="BY149" s="1190"/>
      <c r="BZ149" s="1190"/>
      <c r="CA149" s="1190"/>
      <c r="CB149" s="1190"/>
      <c r="CC149" s="1190"/>
      <c r="CD149" s="1190"/>
      <c r="CE149" s="1190"/>
      <c r="CF149" s="1190"/>
      <c r="CG149" s="1189"/>
      <c r="CH149" s="1189"/>
      <c r="CI149" s="1189"/>
      <c r="CJ149" s="1189"/>
      <c r="CK149" s="1184"/>
      <c r="CL149" s="1189"/>
      <c r="CM149" s="1189"/>
      <c r="CN149" s="1189"/>
      <c r="CO149" s="1189"/>
      <c r="CP149" s="1184"/>
      <c r="CQ149" s="1189"/>
      <c r="CR149" s="1189"/>
      <c r="CS149" s="1189"/>
      <c r="CT149" s="1189"/>
      <c r="CU149" s="1156"/>
      <c r="CV149" s="1189"/>
      <c r="CW149" s="1189"/>
      <c r="CX149" s="1189"/>
      <c r="CY149" s="1189"/>
      <c r="CZ149" s="1156"/>
      <c r="DA149" s="1156"/>
      <c r="DB149" s="2108"/>
      <c r="DC149" s="2108"/>
    </row>
    <row r="150" spans="1:107" s="1178" customFormat="1" ht="12.75" hidden="1" customHeight="1" outlineLevel="1">
      <c r="A150" s="1191"/>
      <c r="B150" s="1001"/>
      <c r="C150" s="1191"/>
      <c r="D150" s="1191"/>
      <c r="E150" s="1191"/>
      <c r="F150" s="1191"/>
      <c r="G150" s="1191"/>
      <c r="H150" s="1191"/>
      <c r="I150" s="1191"/>
      <c r="J150" s="1191"/>
      <c r="K150" s="1191"/>
      <c r="L150" s="1191"/>
      <c r="M150" s="1191"/>
      <c r="N150" s="1191"/>
      <c r="O150" s="1191"/>
      <c r="P150" s="1191"/>
      <c r="Q150" s="1191"/>
      <c r="R150" s="1191"/>
      <c r="S150" s="1191"/>
      <c r="T150" s="1191"/>
      <c r="U150" s="1191"/>
      <c r="V150" s="1191"/>
      <c r="W150" s="1191"/>
      <c r="X150" s="1191"/>
      <c r="Y150" s="1191"/>
      <c r="Z150" s="1191"/>
      <c r="AA150" s="1191"/>
      <c r="AB150" s="1191"/>
      <c r="AC150" s="1191"/>
      <c r="AD150" s="1191"/>
      <c r="AE150" s="1191"/>
      <c r="AF150" s="1191"/>
      <c r="AG150" s="1191"/>
      <c r="AH150" s="1191"/>
      <c r="AI150" s="1191"/>
      <c r="AJ150" s="1191"/>
      <c r="AK150" s="1191"/>
      <c r="AL150" s="1191"/>
      <c r="AM150" s="1191"/>
      <c r="AN150" s="1191"/>
      <c r="AO150" s="1191"/>
      <c r="AP150" s="1191"/>
      <c r="AQ150" s="1191"/>
      <c r="AR150" s="1191"/>
      <c r="AS150" s="1191"/>
      <c r="AT150" s="1191"/>
      <c r="AU150" s="1191"/>
      <c r="AV150" s="1191"/>
      <c r="AW150" s="1191"/>
      <c r="AX150" s="1191"/>
      <c r="AY150" s="1182"/>
      <c r="AZ150" s="1182"/>
      <c r="BA150" s="1182"/>
      <c r="BB150" s="1182"/>
      <c r="BC150" s="1182"/>
      <c r="BD150" s="1182"/>
      <c r="BE150" s="1182"/>
      <c r="BF150" s="1182"/>
      <c r="BG150" s="1182"/>
      <c r="BH150" s="1182"/>
      <c r="BI150" s="1182"/>
      <c r="BJ150" s="1182"/>
      <c r="BK150" s="1182"/>
      <c r="BL150" s="1182"/>
      <c r="BM150" s="1182"/>
      <c r="BN150" s="1182"/>
      <c r="BO150" s="1182"/>
      <c r="BP150" s="1182"/>
      <c r="BQ150" s="1182"/>
      <c r="BR150" s="1190"/>
      <c r="BS150" s="1190"/>
      <c r="BT150" s="1190"/>
      <c r="BU150" s="1190"/>
      <c r="BV150" s="1190"/>
      <c r="BW150" s="1190"/>
      <c r="BX150" s="1190"/>
      <c r="BY150" s="1190"/>
      <c r="BZ150" s="1190"/>
      <c r="CA150" s="1190"/>
      <c r="CB150" s="1190"/>
      <c r="CC150" s="1190"/>
      <c r="CD150" s="1190"/>
      <c r="CE150" s="1190"/>
      <c r="CF150" s="1190"/>
      <c r="CG150" s="1189"/>
      <c r="CH150" s="1189"/>
      <c r="CI150" s="1189"/>
      <c r="CJ150" s="1189"/>
      <c r="CK150" s="1184"/>
      <c r="CL150" s="1189"/>
      <c r="CM150" s="1189"/>
      <c r="CN150" s="1189"/>
      <c r="CO150" s="1189"/>
      <c r="CP150" s="1184"/>
      <c r="CQ150" s="1189"/>
      <c r="CR150" s="1189"/>
      <c r="CS150" s="1189"/>
      <c r="CT150" s="1189"/>
      <c r="CU150" s="1156"/>
      <c r="CV150" s="1189"/>
      <c r="CW150" s="1189"/>
      <c r="CX150" s="1189"/>
      <c r="CY150" s="1189"/>
      <c r="CZ150" s="1156"/>
      <c r="DA150" s="1156"/>
      <c r="DB150" s="2108"/>
      <c r="DC150" s="2108"/>
    </row>
    <row r="151" spans="1:107" s="1178" customFormat="1" ht="12.75" hidden="1" customHeight="1" outlineLevel="1">
      <c r="A151" s="1191"/>
      <c r="B151" s="1001" t="s">
        <v>710</v>
      </c>
      <c r="C151" s="1191"/>
      <c r="D151" s="1191"/>
      <c r="E151" s="1191"/>
      <c r="F151" s="1191"/>
      <c r="G151" s="1191"/>
      <c r="H151" s="1191"/>
      <c r="I151" s="1191"/>
      <c r="J151" s="1191"/>
      <c r="K151" s="1191"/>
      <c r="L151" s="1191"/>
      <c r="M151" s="1191"/>
      <c r="N151" s="1191"/>
      <c r="O151" s="1191"/>
      <c r="P151" s="1191"/>
      <c r="Q151" s="1191"/>
      <c r="R151" s="1191"/>
      <c r="S151" s="1191"/>
      <c r="T151" s="1191"/>
      <c r="U151" s="1191"/>
      <c r="V151" s="1191"/>
      <c r="W151" s="1191"/>
      <c r="X151" s="1191"/>
      <c r="Y151" s="1191"/>
      <c r="Z151" s="1191"/>
      <c r="AA151" s="1191"/>
      <c r="AB151" s="1191"/>
      <c r="AC151" s="1191"/>
      <c r="AD151" s="1191"/>
      <c r="AE151" s="1191"/>
      <c r="AF151" s="1191"/>
      <c r="AG151" s="1191"/>
      <c r="AH151" s="1191"/>
      <c r="AI151" s="1191"/>
      <c r="AJ151" s="1191"/>
      <c r="AK151" s="1191"/>
      <c r="AL151" s="1191"/>
      <c r="AM151" s="1191"/>
      <c r="AN151" s="1191"/>
      <c r="AO151" s="1191"/>
      <c r="AP151" s="1191"/>
      <c r="AQ151" s="1191"/>
      <c r="AR151" s="1191"/>
      <c r="AS151" s="1191"/>
      <c r="AT151" s="1191"/>
      <c r="AU151" s="1191"/>
      <c r="AV151" s="1191"/>
      <c r="AW151" s="1191"/>
      <c r="AX151" s="1191"/>
      <c r="AY151" s="1182"/>
      <c r="AZ151" s="1182"/>
      <c r="BA151" s="1182"/>
      <c r="BB151" s="1182"/>
      <c r="BC151" s="1182"/>
      <c r="BD151" s="1182"/>
      <c r="BE151" s="1182"/>
      <c r="BF151" s="1182"/>
      <c r="BG151" s="1182"/>
      <c r="BH151" s="1182"/>
      <c r="BI151" s="1182"/>
      <c r="BJ151" s="1182"/>
      <c r="BK151" s="1182"/>
      <c r="BL151" s="1182"/>
      <c r="BM151" s="1182"/>
      <c r="BN151" s="1182"/>
      <c r="BO151" s="1182"/>
      <c r="BP151" s="1182"/>
      <c r="BQ151" s="1182"/>
      <c r="BR151" s="1190"/>
      <c r="BS151" s="1190"/>
      <c r="BT151" s="1190"/>
      <c r="BU151" s="1190"/>
      <c r="BV151" s="1190"/>
      <c r="BW151" s="1190"/>
      <c r="BX151" s="1190"/>
      <c r="BY151" s="1190"/>
      <c r="BZ151" s="1190"/>
      <c r="CA151" s="1190"/>
      <c r="CB151" s="1190"/>
      <c r="CC151" s="1190"/>
      <c r="CD151" s="1190"/>
      <c r="CE151" s="1190"/>
      <c r="CF151" s="1190"/>
      <c r="CG151" s="1189"/>
      <c r="CH151" s="1189"/>
      <c r="CI151" s="1189"/>
      <c r="CJ151" s="1189"/>
      <c r="CK151" s="1184"/>
      <c r="CL151" s="1189"/>
      <c r="CM151" s="1189"/>
      <c r="CN151" s="1189"/>
      <c r="CO151" s="1189"/>
      <c r="CP151" s="1184"/>
      <c r="CQ151" s="1189"/>
      <c r="CR151" s="1189"/>
      <c r="CS151" s="1189"/>
      <c r="CT151" s="1189"/>
      <c r="CU151" s="1156"/>
      <c r="CV151" s="1189"/>
      <c r="CW151" s="1189"/>
      <c r="CX151" s="1189"/>
      <c r="CY151" s="1189"/>
      <c r="CZ151" s="1156"/>
      <c r="DA151" s="1156"/>
      <c r="DB151" s="2108"/>
      <c r="DC151" s="2108"/>
    </row>
    <row r="152" spans="1:107" s="1178" customFormat="1" ht="11.25" hidden="1" outlineLevel="1">
      <c r="A152" s="1213"/>
      <c r="B152" s="1214" t="s">
        <v>709</v>
      </c>
      <c r="C152" s="1213"/>
      <c r="D152" s="1213"/>
      <c r="E152" s="1191"/>
      <c r="F152" s="1191"/>
      <c r="G152" s="1191"/>
      <c r="H152" s="1191"/>
      <c r="I152" s="1191"/>
      <c r="J152" s="1191"/>
      <c r="K152" s="1191"/>
      <c r="L152" s="1191"/>
      <c r="M152" s="1191"/>
      <c r="N152" s="1191"/>
      <c r="O152" s="1191"/>
      <c r="P152" s="1191"/>
      <c r="Q152" s="1191"/>
      <c r="R152" s="1191"/>
      <c r="S152" s="1191"/>
      <c r="T152" s="1191"/>
      <c r="U152" s="1191"/>
      <c r="V152" s="1191"/>
      <c r="W152" s="1191"/>
      <c r="X152" s="1191"/>
      <c r="Y152" s="1191"/>
      <c r="Z152" s="1191"/>
      <c r="AA152" s="1191"/>
      <c r="AB152" s="1191"/>
      <c r="AC152" s="1191"/>
      <c r="AD152" s="1191"/>
      <c r="AE152" s="1191"/>
      <c r="AF152" s="1191"/>
      <c r="AG152" s="1191"/>
      <c r="AH152" s="1191"/>
      <c r="AI152" s="1191"/>
      <c r="AJ152" s="1191"/>
      <c r="AK152" s="1191"/>
      <c r="AL152" s="1191"/>
      <c r="AM152" s="1191"/>
      <c r="AN152" s="1191"/>
      <c r="AO152" s="1191"/>
      <c r="AP152" s="1191"/>
      <c r="AQ152" s="1191"/>
      <c r="AR152" s="1191"/>
      <c r="AS152" s="1191"/>
      <c r="AT152" s="1191"/>
      <c r="AU152" s="1191"/>
      <c r="AV152" s="1191"/>
      <c r="AW152" s="1191"/>
      <c r="AX152" s="1191"/>
      <c r="AY152" s="1182"/>
      <c r="AZ152" s="1182"/>
      <c r="BA152" s="1182"/>
      <c r="BB152" s="1182"/>
      <c r="BC152" s="1182"/>
      <c r="BD152" s="1182"/>
      <c r="BE152" s="1182"/>
      <c r="BF152" s="1182"/>
      <c r="BG152" s="1182"/>
      <c r="BH152" s="1182"/>
      <c r="BI152" s="1182"/>
      <c r="BJ152" s="1182"/>
      <c r="BK152" s="1182"/>
      <c r="BL152" s="1182"/>
      <c r="BM152" s="1182"/>
      <c r="BN152" s="1182"/>
      <c r="BO152" s="1182"/>
      <c r="BP152" s="1182"/>
      <c r="BQ152" s="1182"/>
      <c r="BR152" s="1190"/>
      <c r="BS152" s="1190"/>
      <c r="BT152" s="1190"/>
      <c r="BU152" s="1190"/>
      <c r="BV152" s="1190"/>
      <c r="BW152" s="1190"/>
      <c r="BX152" s="1190"/>
      <c r="BY152" s="1190"/>
      <c r="BZ152" s="1190"/>
      <c r="CA152" s="1190"/>
      <c r="CB152" s="1190"/>
      <c r="CC152" s="1190"/>
      <c r="CD152" s="1190"/>
      <c r="CE152" s="1190"/>
      <c r="CF152" s="1190"/>
      <c r="CG152" s="1189"/>
      <c r="CH152" s="1189"/>
      <c r="CI152" s="1189"/>
      <c r="CJ152" s="1189"/>
      <c r="CK152" s="1184"/>
      <c r="CL152" s="1189"/>
      <c r="CM152" s="1189"/>
      <c r="CN152" s="1189"/>
      <c r="CO152" s="1189"/>
      <c r="CP152" s="1184"/>
      <c r="CQ152" s="1189"/>
      <c r="CR152" s="1189"/>
      <c r="CS152" s="1189"/>
      <c r="CT152" s="1189"/>
      <c r="CU152" s="1156"/>
      <c r="CV152" s="1189"/>
      <c r="CW152" s="1189"/>
      <c r="CX152" s="1189"/>
      <c r="CY152" s="1189"/>
      <c r="CZ152" s="1156"/>
      <c r="DA152" s="1156"/>
      <c r="DB152" s="2108"/>
      <c r="DC152" s="2108"/>
    </row>
    <row r="153" spans="1:107" s="1178" customFormat="1" ht="11.25" hidden="1" outlineLevel="1">
      <c r="A153" s="1191"/>
      <c r="B153" s="1182" t="s">
        <v>923</v>
      </c>
      <c r="C153" s="1191"/>
      <c r="D153" s="1191"/>
      <c r="E153" s="1191"/>
      <c r="F153" s="1191"/>
      <c r="G153" s="1191"/>
      <c r="H153" s="1191"/>
      <c r="I153" s="1191"/>
      <c r="J153" s="1191"/>
      <c r="K153" s="1191"/>
      <c r="L153" s="1191"/>
      <c r="M153" s="1191"/>
      <c r="N153" s="1191"/>
      <c r="O153" s="1191"/>
      <c r="P153" s="1191"/>
      <c r="Q153" s="1191"/>
      <c r="R153" s="1191"/>
      <c r="S153" s="1191"/>
      <c r="T153" s="1191"/>
      <c r="U153" s="1191"/>
      <c r="V153" s="1191"/>
      <c r="W153" s="1191"/>
      <c r="X153" s="1191"/>
      <c r="Y153" s="1191"/>
      <c r="Z153" s="1191"/>
      <c r="AA153" s="1191"/>
      <c r="AB153" s="1191"/>
      <c r="AC153" s="1191"/>
      <c r="AD153" s="1191"/>
      <c r="AE153" s="1191"/>
      <c r="AF153" s="1191"/>
      <c r="AG153" s="1191"/>
      <c r="AH153" s="1191"/>
      <c r="AI153" s="1191"/>
      <c r="AJ153" s="1191"/>
      <c r="AK153" s="1191"/>
      <c r="AL153" s="1191"/>
      <c r="AM153" s="1191"/>
      <c r="AN153" s="1191"/>
      <c r="AO153" s="1191"/>
      <c r="AP153" s="1191"/>
      <c r="AQ153" s="1191"/>
      <c r="AR153" s="1191"/>
      <c r="AS153" s="1191"/>
      <c r="AT153" s="1191"/>
      <c r="AU153" s="1191"/>
      <c r="AV153" s="1191"/>
      <c r="AW153" s="1191"/>
      <c r="AX153" s="1191"/>
      <c r="AY153" s="1182"/>
      <c r="AZ153" s="1182"/>
      <c r="BA153" s="1182"/>
      <c r="BB153" s="1182"/>
      <c r="BC153" s="1182"/>
      <c r="BD153" s="1182"/>
      <c r="BE153" s="1182"/>
      <c r="BF153" s="1182"/>
      <c r="BG153" s="1182"/>
      <c r="BH153" s="1182"/>
      <c r="BI153" s="1182"/>
      <c r="BJ153" s="1182"/>
      <c r="BK153" s="1182"/>
      <c r="BL153" s="1182"/>
      <c r="BM153" s="1182"/>
      <c r="BN153" s="1182"/>
      <c r="BO153" s="1182"/>
      <c r="BP153" s="1182"/>
      <c r="BQ153" s="1182"/>
      <c r="BR153" s="1190"/>
      <c r="BS153" s="1190"/>
      <c r="BT153" s="1190"/>
      <c r="BU153" s="1190"/>
      <c r="BV153" s="1190"/>
      <c r="BW153" s="1190"/>
      <c r="BX153" s="1190"/>
      <c r="BY153" s="1190"/>
      <c r="BZ153" s="1190"/>
      <c r="CA153" s="1190"/>
      <c r="CB153" s="1190"/>
      <c r="CC153" s="1190"/>
      <c r="CD153" s="1190"/>
      <c r="CE153" s="1190"/>
      <c r="CF153" s="1190"/>
      <c r="CG153" s="1189"/>
      <c r="CH153" s="1189"/>
      <c r="CI153" s="1189"/>
      <c r="CJ153" s="1189"/>
      <c r="CK153" s="1184"/>
      <c r="CL153" s="1189"/>
      <c r="CM153" s="1189"/>
      <c r="CN153" s="1189"/>
      <c r="CO153" s="1189"/>
      <c r="CP153" s="1184"/>
      <c r="CQ153" s="1189"/>
      <c r="CR153" s="1189"/>
      <c r="CS153" s="1189"/>
      <c r="CT153" s="1189"/>
      <c r="CU153" s="1156"/>
      <c r="CV153" s="1189"/>
      <c r="CW153" s="1189"/>
      <c r="CX153" s="1189"/>
      <c r="CY153" s="1189"/>
      <c r="CZ153" s="1156"/>
      <c r="DA153" s="1156"/>
      <c r="DB153" s="2108"/>
      <c r="DC153" s="2108"/>
    </row>
    <row r="154" spans="1:107" s="1178" customFormat="1" ht="11.25" hidden="1" outlineLevel="1">
      <c r="A154" s="1191"/>
      <c r="B154" s="1191" t="s">
        <v>848</v>
      </c>
      <c r="C154" s="1191"/>
      <c r="D154" s="1191"/>
      <c r="E154" s="1191"/>
      <c r="F154" s="1191"/>
      <c r="G154" s="1191"/>
      <c r="H154" s="1191"/>
      <c r="I154" s="1191"/>
      <c r="J154" s="1191"/>
      <c r="K154" s="1191"/>
      <c r="L154" s="1191"/>
      <c r="M154" s="1191"/>
      <c r="N154" s="1191"/>
      <c r="O154" s="1191"/>
      <c r="P154" s="1191"/>
      <c r="Q154" s="1191"/>
      <c r="R154" s="1191"/>
      <c r="S154" s="1191"/>
      <c r="T154" s="1191"/>
      <c r="U154" s="1191"/>
      <c r="V154" s="1191"/>
      <c r="W154" s="1191"/>
      <c r="X154" s="1191"/>
      <c r="Y154" s="1191"/>
      <c r="Z154" s="1191"/>
      <c r="AA154" s="1191"/>
      <c r="AB154" s="1191"/>
      <c r="AC154" s="1191"/>
      <c r="AD154" s="1191"/>
      <c r="AE154" s="1191"/>
      <c r="AF154" s="1191"/>
      <c r="AG154" s="1191"/>
      <c r="AH154" s="1191"/>
      <c r="AI154" s="1191"/>
      <c r="AJ154" s="1191"/>
      <c r="AK154" s="1191"/>
      <c r="AL154" s="1191"/>
      <c r="AM154" s="1191"/>
      <c r="AN154" s="1191"/>
      <c r="AO154" s="1191"/>
      <c r="AP154" s="1191"/>
      <c r="AQ154" s="1191"/>
      <c r="AR154" s="1191"/>
      <c r="AS154" s="1191"/>
      <c r="AT154" s="1191"/>
      <c r="AU154" s="1191"/>
      <c r="AV154" s="1191"/>
      <c r="AW154" s="1191"/>
      <c r="AX154" s="1191"/>
      <c r="AY154" s="1182"/>
      <c r="AZ154" s="1182"/>
      <c r="BA154" s="1182"/>
      <c r="BB154" s="1023">
        <v>5</v>
      </c>
      <c r="BC154" s="1182"/>
      <c r="BD154" s="1182"/>
      <c r="BE154" s="1182"/>
      <c r="BF154" s="1182"/>
      <c r="BG154" s="1182"/>
      <c r="BH154" s="1182"/>
      <c r="BI154" s="1182"/>
      <c r="BJ154" s="1182"/>
      <c r="BK154" s="1182"/>
      <c r="BL154" s="1182"/>
      <c r="BM154" s="1182"/>
      <c r="BN154" s="1182"/>
      <c r="BO154" s="1182"/>
      <c r="BP154" s="1182"/>
      <c r="BQ154" s="1182"/>
      <c r="BR154" s="1190"/>
      <c r="BS154" s="1190"/>
      <c r="BT154" s="1190"/>
      <c r="BU154" s="1190"/>
      <c r="BV154" s="1190"/>
      <c r="BW154" s="1190"/>
      <c r="BX154" s="1190"/>
      <c r="BY154" s="1190"/>
      <c r="BZ154" s="1190"/>
      <c r="CA154" s="1190"/>
      <c r="CB154" s="1190"/>
      <c r="CC154" s="1190"/>
      <c r="CD154" s="1190"/>
      <c r="CE154" s="1190"/>
      <c r="CF154" s="1190"/>
      <c r="CG154" s="1189"/>
      <c r="CH154" s="1189"/>
      <c r="CI154" s="1189"/>
      <c r="CJ154" s="1189"/>
      <c r="CK154" s="1184"/>
      <c r="CL154" s="1189"/>
      <c r="CM154" s="1189"/>
      <c r="CN154" s="1189"/>
      <c r="CO154" s="1189"/>
      <c r="CP154" s="1184"/>
      <c r="CQ154" s="1189"/>
      <c r="CR154" s="1189"/>
      <c r="CS154" s="1189"/>
      <c r="CT154" s="1189"/>
      <c r="CU154" s="1156"/>
      <c r="CV154" s="1189"/>
      <c r="CW154" s="1189"/>
      <c r="CX154" s="1189"/>
      <c r="CY154" s="1189"/>
      <c r="CZ154" s="1156"/>
      <c r="DA154" s="1156"/>
      <c r="DB154" s="2108"/>
      <c r="DC154" s="2108"/>
    </row>
    <row r="155" spans="1:107" s="1178" customFormat="1" ht="11.25" hidden="1" outlineLevel="1">
      <c r="A155" s="1191"/>
      <c r="B155" s="1191" t="s">
        <v>847</v>
      </c>
      <c r="C155" s="1191"/>
      <c r="D155" s="1191"/>
      <c r="E155" s="1191"/>
      <c r="F155" s="1191"/>
      <c r="G155" s="1191"/>
      <c r="H155" s="1191"/>
      <c r="I155" s="1191"/>
      <c r="J155" s="1191"/>
      <c r="K155" s="1191"/>
      <c r="L155" s="1191"/>
      <c r="M155" s="1191"/>
      <c r="N155" s="1191"/>
      <c r="O155" s="1191"/>
      <c r="P155" s="1191"/>
      <c r="Q155" s="1191"/>
      <c r="R155" s="1191"/>
      <c r="S155" s="1191"/>
      <c r="T155" s="1191"/>
      <c r="U155" s="1191"/>
      <c r="V155" s="1191"/>
      <c r="W155" s="1191"/>
      <c r="X155" s="1191"/>
      <c r="Y155" s="1191"/>
      <c r="Z155" s="1191"/>
      <c r="AA155" s="1191"/>
      <c r="AB155" s="1191"/>
      <c r="AC155" s="1191"/>
      <c r="AD155" s="1191"/>
      <c r="AE155" s="1191"/>
      <c r="AF155" s="1191"/>
      <c r="AG155" s="1191"/>
      <c r="AH155" s="1191"/>
      <c r="AI155" s="1191"/>
      <c r="AJ155" s="1191"/>
      <c r="AK155" s="1191"/>
      <c r="AL155" s="1191"/>
      <c r="AM155" s="1191"/>
      <c r="AN155" s="1191"/>
      <c r="AO155" s="1191"/>
      <c r="AP155" s="1191"/>
      <c r="AQ155" s="1191"/>
      <c r="AR155" s="1191"/>
      <c r="AS155" s="1191"/>
      <c r="AT155" s="1191"/>
      <c r="AU155" s="1191"/>
      <c r="AV155" s="1191"/>
      <c r="AW155" s="1191"/>
      <c r="AX155" s="1191"/>
      <c r="AY155" s="1182"/>
      <c r="AZ155" s="1182"/>
      <c r="BA155" s="1182"/>
      <c r="BB155" s="1023">
        <v>34</v>
      </c>
      <c r="BC155" s="1182"/>
      <c r="BD155" s="1182"/>
      <c r="BE155" s="1182"/>
      <c r="BF155" s="1182"/>
      <c r="BG155" s="1182"/>
      <c r="BH155" s="1182"/>
      <c r="BI155" s="1182"/>
      <c r="BJ155" s="1182"/>
      <c r="BK155" s="1182"/>
      <c r="BL155" s="1182"/>
      <c r="BM155" s="1182"/>
      <c r="BN155" s="1182"/>
      <c r="BO155" s="1182"/>
      <c r="BP155" s="1182"/>
      <c r="BQ155" s="1182"/>
      <c r="BR155" s="1190"/>
      <c r="BS155" s="1190"/>
      <c r="BT155" s="1190"/>
      <c r="BU155" s="1190"/>
      <c r="BV155" s="1190"/>
      <c r="BW155" s="1190"/>
      <c r="BX155" s="1190"/>
      <c r="BY155" s="1190"/>
      <c r="BZ155" s="1190"/>
      <c r="CA155" s="1190"/>
      <c r="CB155" s="1190"/>
      <c r="CC155" s="1190"/>
      <c r="CD155" s="1190"/>
      <c r="CE155" s="1190"/>
      <c r="CF155" s="1190"/>
      <c r="CG155" s="1189"/>
      <c r="CH155" s="1189"/>
      <c r="CI155" s="1189"/>
      <c r="CJ155" s="1189"/>
      <c r="CK155" s="1184"/>
      <c r="CL155" s="1189"/>
      <c r="CM155" s="1189"/>
      <c r="CN155" s="1189"/>
      <c r="CO155" s="1189"/>
      <c r="CP155" s="1184"/>
      <c r="CQ155" s="1189"/>
      <c r="CR155" s="1189"/>
      <c r="CS155" s="1189"/>
      <c r="CT155" s="1189"/>
      <c r="CU155" s="1156"/>
      <c r="CV155" s="1189"/>
      <c r="CW155" s="1189"/>
      <c r="CX155" s="1189"/>
      <c r="CY155" s="1189"/>
      <c r="CZ155" s="1156"/>
      <c r="DA155" s="1156"/>
      <c r="DB155" s="2108"/>
      <c r="DC155" s="2108"/>
    </row>
    <row r="156" spans="1:107" s="1178" customFormat="1" ht="11.25" hidden="1" outlineLevel="1">
      <c r="A156" s="1191"/>
      <c r="B156" s="1191" t="s">
        <v>922</v>
      </c>
      <c r="C156" s="1191"/>
      <c r="D156" s="1191"/>
      <c r="E156" s="1191"/>
      <c r="F156" s="1191"/>
      <c r="G156" s="1191"/>
      <c r="H156" s="1191"/>
      <c r="I156" s="1191"/>
      <c r="J156" s="1191"/>
      <c r="K156" s="1191"/>
      <c r="L156" s="1191"/>
      <c r="M156" s="1191"/>
      <c r="N156" s="1191"/>
      <c r="O156" s="1191"/>
      <c r="P156" s="1191"/>
      <c r="Q156" s="1191"/>
      <c r="R156" s="1191"/>
      <c r="S156" s="1191"/>
      <c r="T156" s="1191"/>
      <c r="U156" s="1191"/>
      <c r="V156" s="1191"/>
      <c r="W156" s="1191"/>
      <c r="X156" s="1191"/>
      <c r="Y156" s="1191"/>
      <c r="Z156" s="1191"/>
      <c r="AA156" s="1191"/>
      <c r="AB156" s="1191"/>
      <c r="AC156" s="1191"/>
      <c r="AD156" s="1191"/>
      <c r="AE156" s="1191"/>
      <c r="AF156" s="1191"/>
      <c r="AG156" s="1191"/>
      <c r="AH156" s="1191"/>
      <c r="AI156" s="1191"/>
      <c r="AJ156" s="1191"/>
      <c r="AK156" s="1191"/>
      <c r="AL156" s="1191"/>
      <c r="AM156" s="1191"/>
      <c r="AN156" s="1191"/>
      <c r="AO156" s="1191"/>
      <c r="AP156" s="1191"/>
      <c r="AQ156" s="1191"/>
      <c r="AR156" s="1191"/>
      <c r="AS156" s="1191"/>
      <c r="AT156" s="1191"/>
      <c r="AU156" s="1191"/>
      <c r="AV156" s="1191"/>
      <c r="AW156" s="1191"/>
      <c r="AX156" s="1191"/>
      <c r="AY156" s="1182"/>
      <c r="AZ156" s="1182"/>
      <c r="BA156" s="1182"/>
      <c r="BB156" s="1023">
        <v>61</v>
      </c>
      <c r="BC156" s="1182"/>
      <c r="BD156" s="1182"/>
      <c r="BE156" s="1182"/>
      <c r="BF156" s="1182"/>
      <c r="BG156" s="1182"/>
      <c r="BH156" s="1182"/>
      <c r="BI156" s="1182"/>
      <c r="BJ156" s="1182"/>
      <c r="BK156" s="1182"/>
      <c r="BL156" s="1182"/>
      <c r="BM156" s="1182"/>
      <c r="BN156" s="1182"/>
      <c r="BO156" s="1182"/>
      <c r="BP156" s="1182"/>
      <c r="BQ156" s="1182"/>
      <c r="BR156" s="1190"/>
      <c r="BS156" s="1190"/>
      <c r="BT156" s="1190"/>
      <c r="BU156" s="1190"/>
      <c r="BV156" s="1190"/>
      <c r="BW156" s="1190"/>
      <c r="BX156" s="1190"/>
      <c r="BY156" s="1190"/>
      <c r="BZ156" s="1190"/>
      <c r="CA156" s="1190"/>
      <c r="CB156" s="1190"/>
      <c r="CC156" s="1190"/>
      <c r="CD156" s="1190"/>
      <c r="CE156" s="1190"/>
      <c r="CF156" s="1190"/>
      <c r="CG156" s="1189"/>
      <c r="CH156" s="1189"/>
      <c r="CI156" s="1189"/>
      <c r="CJ156" s="1189"/>
      <c r="CK156" s="1184"/>
      <c r="CL156" s="1189"/>
      <c r="CM156" s="1189"/>
      <c r="CN156" s="1189"/>
      <c r="CO156" s="1189"/>
      <c r="CP156" s="1184"/>
      <c r="CQ156" s="1189"/>
      <c r="CR156" s="1189"/>
      <c r="CS156" s="1189"/>
      <c r="CT156" s="1189"/>
      <c r="CU156" s="1156"/>
      <c r="CV156" s="1189"/>
      <c r="CW156" s="1189"/>
      <c r="CX156" s="1189"/>
      <c r="CY156" s="1189"/>
      <c r="CZ156" s="1156"/>
      <c r="DA156" s="1156"/>
      <c r="DB156" s="2108"/>
      <c r="DC156" s="2108"/>
    </row>
    <row r="157" spans="1:107" s="1178" customFormat="1" ht="11.25" hidden="1" outlineLevel="1">
      <c r="A157" s="1191"/>
      <c r="B157" s="1191"/>
      <c r="C157" s="1191"/>
      <c r="D157" s="1191"/>
      <c r="E157" s="1191"/>
      <c r="F157" s="1191"/>
      <c r="G157" s="1191"/>
      <c r="H157" s="1191"/>
      <c r="I157" s="1191"/>
      <c r="J157" s="1191"/>
      <c r="K157" s="1191"/>
      <c r="L157" s="1191"/>
      <c r="M157" s="1191"/>
      <c r="N157" s="1191"/>
      <c r="O157" s="1191"/>
      <c r="P157" s="1191"/>
      <c r="Q157" s="1191"/>
      <c r="R157" s="1191"/>
      <c r="S157" s="1191"/>
      <c r="T157" s="1191"/>
      <c r="U157" s="1191"/>
      <c r="V157" s="1191"/>
      <c r="W157" s="1191"/>
      <c r="X157" s="1191"/>
      <c r="Y157" s="1191"/>
      <c r="Z157" s="1191"/>
      <c r="AA157" s="1191"/>
      <c r="AB157" s="1191"/>
      <c r="AC157" s="1191"/>
      <c r="AD157" s="1191"/>
      <c r="AE157" s="1191"/>
      <c r="AF157" s="1191"/>
      <c r="AG157" s="1191"/>
      <c r="AH157" s="1191"/>
      <c r="AI157" s="1191"/>
      <c r="AJ157" s="1191"/>
      <c r="AK157" s="1191"/>
      <c r="AL157" s="1191"/>
      <c r="AM157" s="1191"/>
      <c r="AN157" s="1191"/>
      <c r="AO157" s="1191"/>
      <c r="AP157" s="1191"/>
      <c r="AQ157" s="1191"/>
      <c r="AR157" s="1191"/>
      <c r="AS157" s="1191"/>
      <c r="AT157" s="1191"/>
      <c r="AU157" s="1191"/>
      <c r="AV157" s="1191"/>
      <c r="AW157" s="1191"/>
      <c r="AX157" s="1191"/>
      <c r="AY157" s="1182"/>
      <c r="AZ157" s="1182"/>
      <c r="BA157" s="1182"/>
      <c r="BB157" s="1023"/>
      <c r="BC157" s="1182"/>
      <c r="BD157" s="1182"/>
      <c r="BE157" s="1182"/>
      <c r="BF157" s="1182"/>
      <c r="BG157" s="1182"/>
      <c r="BH157" s="1182"/>
      <c r="BI157" s="1182"/>
      <c r="BJ157" s="1182"/>
      <c r="BK157" s="1182"/>
      <c r="BL157" s="1182"/>
      <c r="BM157" s="1182"/>
      <c r="BN157" s="1182"/>
      <c r="BO157" s="1182"/>
      <c r="BP157" s="1182"/>
      <c r="BQ157" s="1182"/>
      <c r="BR157" s="1190"/>
      <c r="BS157" s="1190"/>
      <c r="BT157" s="1190"/>
      <c r="BU157" s="1190"/>
      <c r="BV157" s="1190"/>
      <c r="BW157" s="1190"/>
      <c r="BX157" s="1190"/>
      <c r="BY157" s="1190"/>
      <c r="BZ157" s="1190"/>
      <c r="CA157" s="1190"/>
      <c r="CB157" s="1190"/>
      <c r="CC157" s="1190"/>
      <c r="CD157" s="1190"/>
      <c r="CE157" s="1190"/>
      <c r="CF157" s="1190"/>
      <c r="CG157" s="1189"/>
      <c r="CH157" s="1189"/>
      <c r="CI157" s="1189"/>
      <c r="CJ157" s="1189"/>
      <c r="CK157" s="1184"/>
      <c r="CL157" s="1189"/>
      <c r="CM157" s="1189"/>
      <c r="CN157" s="1189"/>
      <c r="CO157" s="1189"/>
      <c r="CP157" s="1184"/>
      <c r="CQ157" s="1189"/>
      <c r="CR157" s="1189"/>
      <c r="CS157" s="1189"/>
      <c r="CT157" s="1189"/>
      <c r="CU157" s="1156"/>
      <c r="CV157" s="1189"/>
      <c r="CW157" s="1189"/>
      <c r="CX157" s="1189"/>
      <c r="CY157" s="1189"/>
      <c r="CZ157" s="1156"/>
      <c r="DA157" s="1156"/>
      <c r="DB157" s="2108"/>
      <c r="DC157" s="2108"/>
    </row>
    <row r="158" spans="1:107" s="1178" customFormat="1" ht="11.25" hidden="1" outlineLevel="1">
      <c r="A158" s="1213"/>
      <c r="B158" s="1214" t="s">
        <v>684</v>
      </c>
      <c r="C158" s="1213"/>
      <c r="D158" s="1213"/>
      <c r="E158" s="1191"/>
      <c r="F158" s="1191"/>
      <c r="G158" s="1191"/>
      <c r="H158" s="1191"/>
      <c r="I158" s="1191"/>
      <c r="J158" s="1191"/>
      <c r="K158" s="1191"/>
      <c r="L158" s="1191"/>
      <c r="M158" s="1191"/>
      <c r="N158" s="1191"/>
      <c r="O158" s="1191"/>
      <c r="P158" s="1191"/>
      <c r="Q158" s="1191"/>
      <c r="R158" s="1191"/>
      <c r="S158" s="1191"/>
      <c r="T158" s="1191"/>
      <c r="U158" s="1191"/>
      <c r="V158" s="1191"/>
      <c r="W158" s="1191"/>
      <c r="X158" s="1191"/>
      <c r="Y158" s="1191"/>
      <c r="Z158" s="1191"/>
      <c r="AA158" s="1191"/>
      <c r="AB158" s="1191"/>
      <c r="AC158" s="1191"/>
      <c r="AD158" s="1191"/>
      <c r="AE158" s="1191"/>
      <c r="AF158" s="1191"/>
      <c r="AG158" s="1191"/>
      <c r="AH158" s="1191"/>
      <c r="AI158" s="1191"/>
      <c r="AJ158" s="1191"/>
      <c r="AK158" s="1191"/>
      <c r="AL158" s="1191"/>
      <c r="AM158" s="1191"/>
      <c r="AN158" s="1191"/>
      <c r="AO158" s="1191"/>
      <c r="AP158" s="1191"/>
      <c r="AQ158" s="1191"/>
      <c r="AR158" s="1191"/>
      <c r="AS158" s="1191"/>
      <c r="AT158" s="1191"/>
      <c r="AU158" s="1191"/>
      <c r="AV158" s="1191"/>
      <c r="AW158" s="1191"/>
      <c r="AX158" s="1191"/>
      <c r="AY158" s="1182"/>
      <c r="AZ158" s="1182"/>
      <c r="BA158" s="1182"/>
      <c r="BB158" s="1182"/>
      <c r="BC158" s="1182"/>
      <c r="BD158" s="1182"/>
      <c r="BE158" s="1182"/>
      <c r="BF158" s="1182"/>
      <c r="BG158" s="1182"/>
      <c r="BH158" s="1182"/>
      <c r="BI158" s="1182"/>
      <c r="BJ158" s="1182"/>
      <c r="BK158" s="1182"/>
      <c r="BL158" s="1182"/>
      <c r="BM158" s="1182"/>
      <c r="BN158" s="1182"/>
      <c r="BO158" s="1182"/>
      <c r="BP158" s="1182"/>
      <c r="BQ158" s="1182"/>
      <c r="BR158" s="1190"/>
      <c r="BS158" s="1190"/>
      <c r="BT158" s="1190"/>
      <c r="BU158" s="1190"/>
      <c r="BV158" s="1190"/>
      <c r="BW158" s="1190"/>
      <c r="BX158" s="1190"/>
      <c r="BY158" s="1190"/>
      <c r="BZ158" s="1190"/>
      <c r="CA158" s="1190"/>
      <c r="CB158" s="1190"/>
      <c r="CC158" s="1190"/>
      <c r="CD158" s="1190"/>
      <c r="CE158" s="1190"/>
      <c r="CF158" s="1190"/>
      <c r="CG158" s="1189"/>
      <c r="CH158" s="1189"/>
      <c r="CI158" s="1189"/>
      <c r="CJ158" s="1189"/>
      <c r="CK158" s="1184"/>
      <c r="CL158" s="1189"/>
      <c r="CM158" s="1189"/>
      <c r="CN158" s="1189"/>
      <c r="CO158" s="1189"/>
      <c r="CP158" s="1184"/>
      <c r="CQ158" s="1189"/>
      <c r="CR158" s="1189"/>
      <c r="CS158" s="1189"/>
      <c r="CT158" s="1189"/>
      <c r="CU158" s="1156"/>
      <c r="CV158" s="1189"/>
      <c r="CW158" s="1189"/>
      <c r="CX158" s="1189"/>
      <c r="CY158" s="1189"/>
      <c r="CZ158" s="1156"/>
      <c r="DA158" s="1156"/>
      <c r="DB158" s="2108"/>
      <c r="DC158" s="2108"/>
    </row>
    <row r="159" spans="1:107" s="1178" customFormat="1" ht="11.25" hidden="1" outlineLevel="1">
      <c r="A159" s="1191"/>
      <c r="B159" s="1191"/>
      <c r="C159" s="1191"/>
      <c r="D159" s="1191"/>
      <c r="E159" s="1191"/>
      <c r="F159" s="1191"/>
      <c r="G159" s="1191"/>
      <c r="H159" s="1191"/>
      <c r="I159" s="1191"/>
      <c r="J159" s="1191"/>
      <c r="K159" s="1191"/>
      <c r="L159" s="1191"/>
      <c r="M159" s="1191"/>
      <c r="N159" s="1191"/>
      <c r="O159" s="1191"/>
      <c r="P159" s="1191"/>
      <c r="Q159" s="1191"/>
      <c r="R159" s="1191"/>
      <c r="S159" s="1191"/>
      <c r="T159" s="1191"/>
      <c r="U159" s="1191"/>
      <c r="V159" s="1191"/>
      <c r="W159" s="1191"/>
      <c r="X159" s="1191"/>
      <c r="Y159" s="1191"/>
      <c r="Z159" s="1191"/>
      <c r="AA159" s="1191"/>
      <c r="AB159" s="1191"/>
      <c r="AC159" s="1191"/>
      <c r="AD159" s="1191"/>
      <c r="AE159" s="1191"/>
      <c r="AF159" s="1191"/>
      <c r="AG159" s="1191"/>
      <c r="AH159" s="1191"/>
      <c r="AI159" s="1191"/>
      <c r="AJ159" s="1191"/>
      <c r="AK159" s="1191"/>
      <c r="AL159" s="1191"/>
      <c r="AM159" s="1191"/>
      <c r="AN159" s="1191"/>
      <c r="AO159" s="1191"/>
      <c r="AP159" s="1191"/>
      <c r="AQ159" s="1191"/>
      <c r="AR159" s="1191"/>
      <c r="AS159" s="1191"/>
      <c r="AT159" s="1191"/>
      <c r="AU159" s="1191"/>
      <c r="AV159" s="1191"/>
      <c r="AW159" s="1191"/>
      <c r="AX159" s="1191"/>
      <c r="AY159" s="1182"/>
      <c r="AZ159" s="1182"/>
      <c r="BA159" s="1182"/>
      <c r="BB159" s="1182"/>
      <c r="BC159" s="1182"/>
      <c r="BD159" s="1182"/>
      <c r="BE159" s="1182"/>
      <c r="BF159" s="1182"/>
      <c r="BG159" s="1182"/>
      <c r="BH159" s="1182"/>
      <c r="BI159" s="1182"/>
      <c r="BJ159" s="1182"/>
      <c r="BK159" s="1182"/>
      <c r="BL159" s="1182"/>
      <c r="BM159" s="1182"/>
      <c r="BN159" s="1182"/>
      <c r="BO159" s="1182"/>
      <c r="BP159" s="1182"/>
      <c r="BQ159" s="1182"/>
      <c r="BR159" s="1190"/>
      <c r="BS159" s="1190"/>
      <c r="BT159" s="1190"/>
      <c r="BU159" s="1190"/>
      <c r="BV159" s="1190"/>
      <c r="BW159" s="1190"/>
      <c r="BX159" s="1190"/>
      <c r="BY159" s="1190"/>
      <c r="BZ159" s="1190"/>
      <c r="CA159" s="1190"/>
      <c r="CB159" s="1190"/>
      <c r="CC159" s="1190"/>
      <c r="CD159" s="1190"/>
      <c r="CE159" s="1190"/>
      <c r="CF159" s="1190"/>
      <c r="CG159" s="1189"/>
      <c r="CH159" s="1189"/>
      <c r="CI159" s="1189"/>
      <c r="CJ159" s="1189"/>
      <c r="CK159" s="1184"/>
      <c r="CL159" s="1189"/>
      <c r="CM159" s="1189"/>
      <c r="CN159" s="1189"/>
      <c r="CO159" s="1189"/>
      <c r="CP159" s="1184"/>
      <c r="CQ159" s="1189"/>
      <c r="CR159" s="1189"/>
      <c r="CS159" s="1189"/>
      <c r="CT159" s="1189"/>
      <c r="CU159" s="1156"/>
      <c r="CV159" s="1189"/>
      <c r="CW159" s="1189"/>
      <c r="CX159" s="1189"/>
      <c r="CY159" s="1189"/>
      <c r="CZ159" s="1156"/>
      <c r="DA159" s="1156"/>
      <c r="DB159" s="2108"/>
      <c r="DC159" s="2108"/>
    </row>
    <row r="160" spans="1:107" s="1178" customFormat="1" ht="11.25" hidden="1" outlineLevel="1">
      <c r="A160" s="1191"/>
      <c r="B160" s="1182" t="s">
        <v>921</v>
      </c>
      <c r="C160" s="1191"/>
      <c r="D160" s="1191"/>
      <c r="E160" s="1191"/>
      <c r="F160" s="1191"/>
      <c r="G160" s="1191"/>
      <c r="H160" s="1191"/>
      <c r="I160" s="1191"/>
      <c r="J160" s="1191"/>
      <c r="K160" s="1191"/>
      <c r="L160" s="1191"/>
      <c r="M160" s="1191"/>
      <c r="N160" s="1191"/>
      <c r="O160" s="1191"/>
      <c r="P160" s="1191"/>
      <c r="Q160" s="1191"/>
      <c r="R160" s="1191"/>
      <c r="S160" s="1191"/>
      <c r="T160" s="1191"/>
      <c r="U160" s="1191"/>
      <c r="V160" s="1191"/>
      <c r="W160" s="1191"/>
      <c r="X160" s="1191">
        <v>14.3</v>
      </c>
      <c r="Y160" s="1191"/>
      <c r="Z160" s="1191"/>
      <c r="AA160" s="1191"/>
      <c r="AB160" s="1191"/>
      <c r="AC160" s="1191">
        <v>36.5</v>
      </c>
      <c r="AD160" s="1191"/>
      <c r="AE160" s="1191"/>
      <c r="AF160" s="1191"/>
      <c r="AG160" s="1191"/>
      <c r="AH160" s="1191">
        <v>61.3</v>
      </c>
      <c r="AI160" s="1191"/>
      <c r="AJ160" s="1191"/>
      <c r="AK160" s="1191"/>
      <c r="AL160" s="1191"/>
      <c r="AM160" s="1191">
        <v>72.599999999999994</v>
      </c>
      <c r="AN160" s="1191"/>
      <c r="AO160" s="1191"/>
      <c r="AP160" s="1191"/>
      <c r="AQ160" s="1191"/>
      <c r="AR160" s="1191">
        <v>72.599999999999994</v>
      </c>
      <c r="AS160" s="1191"/>
      <c r="AT160" s="1191"/>
      <c r="AU160" s="1191"/>
      <c r="AV160" s="1191"/>
      <c r="AW160" s="1191">
        <v>65.7</v>
      </c>
      <c r="AX160" s="1191"/>
      <c r="AY160" s="1182"/>
      <c r="AZ160" s="1182"/>
      <c r="BA160" s="1182"/>
      <c r="BB160" s="1191">
        <v>69.599999999999994</v>
      </c>
      <c r="BC160" s="1182"/>
      <c r="BD160" s="1182"/>
      <c r="BE160" s="1182"/>
      <c r="BF160" s="1182"/>
      <c r="BG160" s="1191">
        <v>86.5</v>
      </c>
      <c r="BH160" s="1182"/>
      <c r="BI160" s="1182"/>
      <c r="BJ160" s="1182"/>
      <c r="BK160" s="1182"/>
      <c r="BL160" s="1182"/>
      <c r="BM160" s="1182"/>
      <c r="BN160" s="1182"/>
      <c r="BO160" s="1182"/>
      <c r="BP160" s="1182"/>
      <c r="BQ160" s="1182"/>
      <c r="BR160" s="1190"/>
      <c r="BS160" s="1190"/>
      <c r="BT160" s="1190"/>
      <c r="BU160" s="1190"/>
      <c r="BV160" s="1190"/>
      <c r="BW160" s="1190"/>
      <c r="BX160" s="1190"/>
      <c r="BY160" s="1190"/>
      <c r="BZ160" s="1190"/>
      <c r="CA160" s="1190"/>
      <c r="CB160" s="1190"/>
      <c r="CC160" s="1190"/>
      <c r="CD160" s="1190"/>
      <c r="CE160" s="1190"/>
      <c r="CF160" s="1190"/>
      <c r="CG160" s="1189"/>
      <c r="CH160" s="1189"/>
      <c r="CI160" s="1189"/>
      <c r="CJ160" s="1189"/>
      <c r="CK160" s="1184"/>
      <c r="CL160" s="1189"/>
      <c r="CM160" s="1189"/>
      <c r="CN160" s="1189"/>
      <c r="CO160" s="1189"/>
      <c r="CP160" s="1184"/>
      <c r="CQ160" s="1189"/>
      <c r="CR160" s="1189"/>
      <c r="CS160" s="1189"/>
      <c r="CT160" s="1189"/>
      <c r="CU160" s="1156"/>
      <c r="CV160" s="1189"/>
      <c r="CW160" s="1189"/>
      <c r="CX160" s="1189"/>
      <c r="CY160" s="1189"/>
      <c r="CZ160" s="1156"/>
      <c r="DA160" s="1156"/>
      <c r="DB160" s="2108"/>
      <c r="DC160" s="2108"/>
    </row>
    <row r="161" spans="1:107" s="1178" customFormat="1" ht="11.25" hidden="1" outlineLevel="1">
      <c r="A161" s="1191"/>
      <c r="B161" s="1182"/>
      <c r="C161" s="1191"/>
      <c r="D161" s="1191"/>
      <c r="E161" s="1191"/>
      <c r="F161" s="1191"/>
      <c r="G161" s="1191"/>
      <c r="H161" s="1191"/>
      <c r="I161" s="1191"/>
      <c r="J161" s="1191"/>
      <c r="K161" s="1191"/>
      <c r="L161" s="1191"/>
      <c r="M161" s="1191"/>
      <c r="N161" s="1191"/>
      <c r="O161" s="1191"/>
      <c r="P161" s="1191"/>
      <c r="Q161" s="1191"/>
      <c r="R161" s="1191"/>
      <c r="S161" s="1191"/>
      <c r="T161" s="1191"/>
      <c r="U161" s="1191"/>
      <c r="V161" s="1191"/>
      <c r="W161" s="1191"/>
      <c r="X161" s="1191"/>
      <c r="Y161" s="1191"/>
      <c r="Z161" s="1191"/>
      <c r="AA161" s="1191"/>
      <c r="AB161" s="1191"/>
      <c r="AC161" s="1191"/>
      <c r="AD161" s="1191"/>
      <c r="AE161" s="1191"/>
      <c r="AF161" s="1191"/>
      <c r="AG161" s="1191"/>
      <c r="AH161" s="1191"/>
      <c r="AI161" s="1191"/>
      <c r="AJ161" s="1191"/>
      <c r="AK161" s="1191"/>
      <c r="AL161" s="1191"/>
      <c r="AM161" s="1191"/>
      <c r="AN161" s="1191"/>
      <c r="AO161" s="1191"/>
      <c r="AP161" s="1191"/>
      <c r="AQ161" s="1191"/>
      <c r="AR161" s="1191"/>
      <c r="AS161" s="1191"/>
      <c r="AT161" s="1191"/>
      <c r="AU161" s="1191"/>
      <c r="AV161" s="1191"/>
      <c r="AW161" s="1191"/>
      <c r="AX161" s="1191"/>
      <c r="AY161" s="1191"/>
      <c r="AZ161" s="1191"/>
      <c r="BA161" s="1191"/>
      <c r="BB161" s="1191"/>
      <c r="BC161" s="1191"/>
      <c r="BD161" s="1191"/>
      <c r="BE161" s="1191"/>
      <c r="BF161" s="1191"/>
      <c r="BG161" s="1191"/>
      <c r="BH161" s="1182"/>
      <c r="BI161" s="1182"/>
      <c r="BJ161" s="1182"/>
      <c r="BK161" s="1182"/>
      <c r="BL161" s="1182"/>
      <c r="BM161" s="1182"/>
      <c r="BN161" s="1182"/>
      <c r="BO161" s="1182"/>
      <c r="BP161" s="1182"/>
      <c r="BQ161" s="1182"/>
      <c r="BR161" s="1190"/>
      <c r="BS161" s="1190"/>
      <c r="BT161" s="1190"/>
      <c r="BU161" s="1190"/>
      <c r="BV161" s="1190"/>
      <c r="BW161" s="1190"/>
      <c r="BX161" s="1190"/>
      <c r="BY161" s="1190"/>
      <c r="BZ161" s="1190"/>
      <c r="CA161" s="1190"/>
      <c r="CB161" s="1190"/>
      <c r="CC161" s="1190"/>
      <c r="CD161" s="1190"/>
      <c r="CE161" s="1190"/>
      <c r="CF161" s="1190"/>
      <c r="CG161" s="1189"/>
      <c r="CH161" s="1189"/>
      <c r="CI161" s="1189"/>
      <c r="CJ161" s="1189"/>
      <c r="CK161" s="1184"/>
      <c r="CL161" s="1189"/>
      <c r="CM161" s="1189"/>
      <c r="CN161" s="1189"/>
      <c r="CO161" s="1189"/>
      <c r="CP161" s="1184"/>
      <c r="CQ161" s="1189"/>
      <c r="CR161" s="1189"/>
      <c r="CS161" s="1189"/>
      <c r="CT161" s="1189"/>
      <c r="CU161" s="1156"/>
      <c r="CV161" s="1189"/>
      <c r="CW161" s="1189"/>
      <c r="CX161" s="1189"/>
      <c r="CY161" s="1189"/>
      <c r="CZ161" s="1156"/>
      <c r="DA161" s="1156"/>
      <c r="DB161" s="2108"/>
      <c r="DC161" s="2108"/>
    </row>
    <row r="162" spans="1:107" s="1178" customFormat="1" ht="11.25" hidden="1" outlineLevel="1">
      <c r="A162" s="1191"/>
      <c r="B162" s="1182" t="s">
        <v>902</v>
      </c>
      <c r="C162" s="1191"/>
      <c r="D162" s="1191"/>
      <c r="E162" s="1191"/>
      <c r="F162" s="1191"/>
      <c r="G162" s="1191"/>
      <c r="H162" s="1191"/>
      <c r="I162" s="1191"/>
      <c r="J162" s="1191"/>
      <c r="K162" s="1191"/>
      <c r="L162" s="1191"/>
      <c r="M162" s="1191"/>
      <c r="N162" s="1191">
        <v>22.62</v>
      </c>
      <c r="O162" s="1191"/>
      <c r="P162" s="1191"/>
      <c r="Q162" s="1191"/>
      <c r="R162" s="1191"/>
      <c r="S162" s="1191">
        <v>20.95</v>
      </c>
      <c r="T162" s="1191"/>
      <c r="U162" s="1191"/>
      <c r="V162" s="1191"/>
      <c r="W162" s="1191"/>
      <c r="X162" s="1191">
        <v>21.11</v>
      </c>
      <c r="Y162" s="1191"/>
      <c r="Z162" s="1191"/>
      <c r="AA162" s="1191"/>
      <c r="AB162" s="1191"/>
      <c r="AC162" s="1191">
        <v>20.440000000000001</v>
      </c>
      <c r="AD162" s="1191"/>
      <c r="AE162" s="1191"/>
      <c r="AF162" s="1191"/>
      <c r="AG162" s="1191"/>
      <c r="AH162" s="1191">
        <v>19.510000000000002</v>
      </c>
      <c r="AI162" s="1191"/>
      <c r="AJ162" s="1191"/>
      <c r="AK162" s="1191"/>
      <c r="AL162" s="1191"/>
      <c r="AM162" s="1191">
        <v>18.93</v>
      </c>
      <c r="AN162" s="1191"/>
      <c r="AO162" s="1191"/>
      <c r="AP162" s="1191"/>
      <c r="AQ162" s="1191"/>
      <c r="AR162" s="1191">
        <v>18.48</v>
      </c>
      <c r="AS162" s="1191"/>
      <c r="AT162" s="1191"/>
      <c r="AU162" s="1191"/>
      <c r="AV162" s="1191"/>
      <c r="AW162" s="1191">
        <v>18</v>
      </c>
      <c r="AX162" s="1191"/>
      <c r="AY162" s="1182"/>
      <c r="AZ162" s="1182"/>
      <c r="BA162" s="1182"/>
      <c r="BB162" s="1191">
        <v>17.84</v>
      </c>
      <c r="BC162" s="1182"/>
      <c r="BD162" s="1182"/>
      <c r="BE162" s="1182"/>
      <c r="BF162" s="1182"/>
      <c r="BG162" s="1182"/>
      <c r="BH162" s="1182"/>
      <c r="BI162" s="1182"/>
      <c r="BJ162" s="1182"/>
      <c r="BK162" s="1182"/>
      <c r="BL162" s="1182"/>
      <c r="BM162" s="1182"/>
      <c r="BN162" s="1182"/>
      <c r="BO162" s="1182"/>
      <c r="BP162" s="1182"/>
      <c r="BQ162" s="1182"/>
      <c r="BR162" s="1190"/>
      <c r="BS162" s="1190"/>
      <c r="BT162" s="1190"/>
      <c r="BU162" s="1190"/>
      <c r="BV162" s="1190"/>
      <c r="BW162" s="1190"/>
      <c r="BX162" s="1190"/>
      <c r="BY162" s="1190"/>
      <c r="BZ162" s="1190"/>
      <c r="CA162" s="1190"/>
      <c r="CB162" s="1190"/>
      <c r="CC162" s="1190"/>
      <c r="CD162" s="1190"/>
      <c r="CE162" s="1190"/>
      <c r="CF162" s="1190"/>
      <c r="CG162" s="1189"/>
      <c r="CH162" s="1189"/>
      <c r="CI162" s="1189"/>
      <c r="CJ162" s="1189"/>
      <c r="CK162" s="1184"/>
      <c r="CL162" s="1189"/>
      <c r="CM162" s="1189"/>
      <c r="CN162" s="1189"/>
      <c r="CO162" s="1189"/>
      <c r="CP162" s="1184"/>
      <c r="CQ162" s="1189"/>
      <c r="CR162" s="1189"/>
      <c r="CS162" s="1189"/>
      <c r="CT162" s="1189"/>
      <c r="CU162" s="1156"/>
      <c r="CV162" s="1189"/>
      <c r="CW162" s="1189"/>
      <c r="CX162" s="1189"/>
      <c r="CY162" s="1189"/>
      <c r="CZ162" s="1156"/>
      <c r="DA162" s="1156"/>
      <c r="DB162" s="2108"/>
      <c r="DC162" s="2108"/>
    </row>
    <row r="163" spans="1:107" s="1178" customFormat="1" ht="11.25" hidden="1" outlineLevel="1">
      <c r="A163" s="1191"/>
      <c r="B163" s="1191"/>
      <c r="C163" s="1191"/>
      <c r="D163" s="1191"/>
      <c r="E163" s="1191"/>
      <c r="F163" s="1191"/>
      <c r="G163" s="1191"/>
      <c r="H163" s="1191"/>
      <c r="I163" s="1191"/>
      <c r="J163" s="1191"/>
      <c r="K163" s="1191"/>
      <c r="L163" s="1191"/>
      <c r="M163" s="1191"/>
      <c r="N163" s="1191"/>
      <c r="O163" s="1191"/>
      <c r="P163" s="1191"/>
      <c r="Q163" s="1191"/>
      <c r="R163" s="1191"/>
      <c r="S163" s="1191"/>
      <c r="T163" s="1191"/>
      <c r="U163" s="1191"/>
      <c r="V163" s="1191"/>
      <c r="W163" s="1191"/>
      <c r="X163" s="1191"/>
      <c r="Y163" s="1191"/>
      <c r="Z163" s="1191"/>
      <c r="AA163" s="1191"/>
      <c r="AB163" s="1191"/>
      <c r="AC163" s="1191"/>
      <c r="AD163" s="1191"/>
      <c r="AE163" s="1191"/>
      <c r="AF163" s="1191"/>
      <c r="AG163" s="1191"/>
      <c r="AH163" s="1191"/>
      <c r="AI163" s="1191"/>
      <c r="AJ163" s="1191"/>
      <c r="AK163" s="1191"/>
      <c r="AL163" s="1191"/>
      <c r="AM163" s="1191"/>
      <c r="AN163" s="1191"/>
      <c r="AO163" s="1191"/>
      <c r="AP163" s="1191"/>
      <c r="AQ163" s="1191"/>
      <c r="AR163" s="1191"/>
      <c r="AS163" s="1191"/>
      <c r="AT163" s="1191"/>
      <c r="AU163" s="1191"/>
      <c r="AV163" s="1191"/>
      <c r="AW163" s="1191"/>
      <c r="AX163" s="1191"/>
      <c r="AY163" s="1182"/>
      <c r="AZ163" s="1182"/>
      <c r="BA163" s="1182"/>
      <c r="BB163" s="1182"/>
      <c r="BC163" s="1182"/>
      <c r="BD163" s="1182"/>
      <c r="BE163" s="1182"/>
      <c r="BF163" s="1182"/>
      <c r="BG163" s="1182"/>
      <c r="BH163" s="1182"/>
      <c r="BI163" s="1182"/>
      <c r="BJ163" s="1182"/>
      <c r="BK163" s="1182"/>
      <c r="BL163" s="1182"/>
      <c r="BM163" s="1182"/>
      <c r="BN163" s="1182"/>
      <c r="BO163" s="1182"/>
      <c r="BP163" s="1182"/>
      <c r="BQ163" s="1182"/>
      <c r="BR163" s="1190"/>
      <c r="BS163" s="1190"/>
      <c r="BT163" s="1190"/>
      <c r="BU163" s="1190"/>
      <c r="BV163" s="1190"/>
      <c r="BW163" s="1190"/>
      <c r="BX163" s="1190"/>
      <c r="BY163" s="1190"/>
      <c r="BZ163" s="1190"/>
      <c r="CA163" s="1190"/>
      <c r="CB163" s="1190"/>
      <c r="CC163" s="1190"/>
      <c r="CD163" s="1190"/>
      <c r="CE163" s="1190"/>
      <c r="CF163" s="1190"/>
      <c r="CG163" s="1189"/>
      <c r="CH163" s="1189"/>
      <c r="CI163" s="1189"/>
      <c r="CJ163" s="1189"/>
      <c r="CK163" s="1184"/>
      <c r="CL163" s="1189"/>
      <c r="CM163" s="1189"/>
      <c r="CN163" s="1189"/>
      <c r="CO163" s="1189"/>
      <c r="CP163" s="1184"/>
      <c r="CQ163" s="1189"/>
      <c r="CR163" s="1189"/>
      <c r="CS163" s="1189"/>
      <c r="CT163" s="1189"/>
      <c r="CU163" s="1156"/>
      <c r="CV163" s="1189"/>
      <c r="CW163" s="1189"/>
      <c r="CX163" s="1189"/>
      <c r="CY163" s="1189"/>
      <c r="CZ163" s="1156"/>
      <c r="DA163" s="1156"/>
      <c r="DB163" s="2108"/>
      <c r="DC163" s="2108"/>
    </row>
    <row r="164" spans="1:107" s="1178" customFormat="1" ht="11.25" hidden="1" outlineLevel="1">
      <c r="A164" s="1191"/>
      <c r="B164" s="1191" t="s">
        <v>920</v>
      </c>
      <c r="C164" s="1191"/>
      <c r="D164" s="1191"/>
      <c r="E164" s="1191"/>
      <c r="F164" s="1191"/>
      <c r="G164" s="1191"/>
      <c r="H164" s="1191"/>
      <c r="I164" s="1191"/>
      <c r="J164" s="1191"/>
      <c r="K164" s="1191"/>
      <c r="L164" s="1191"/>
      <c r="M164" s="1191"/>
      <c r="N164" s="1191"/>
      <c r="O164" s="1191"/>
      <c r="P164" s="1191"/>
      <c r="Q164" s="1191"/>
      <c r="R164" s="1191"/>
      <c r="S164" s="1191"/>
      <c r="T164" s="1191"/>
      <c r="U164" s="1191"/>
      <c r="V164" s="1191"/>
      <c r="W164" s="1191"/>
      <c r="X164" s="1212">
        <v>1</v>
      </c>
      <c r="Y164" s="1212"/>
      <c r="Z164" s="1212"/>
      <c r="AA164" s="1212"/>
      <c r="AB164" s="1212"/>
      <c r="AC164" s="1212">
        <v>1.1100000000000001</v>
      </c>
      <c r="AD164" s="1212"/>
      <c r="AE164" s="1212"/>
      <c r="AF164" s="1212"/>
      <c r="AG164" s="1212"/>
      <c r="AH164" s="1212">
        <v>1.196</v>
      </c>
      <c r="AI164" s="1212"/>
      <c r="AJ164" s="1212"/>
      <c r="AK164" s="1212"/>
      <c r="AL164" s="1212"/>
      <c r="AM164" s="1212">
        <v>1.196</v>
      </c>
      <c r="AN164" s="1212"/>
      <c r="AO164" s="1212"/>
      <c r="AP164" s="1212"/>
      <c r="AQ164" s="1212"/>
      <c r="AR164" s="1212">
        <v>1.304</v>
      </c>
      <c r="AS164" s="1212"/>
      <c r="AT164" s="1212"/>
      <c r="AU164" s="1212"/>
      <c r="AV164" s="1212"/>
      <c r="AW164" s="1212">
        <v>1.5</v>
      </c>
      <c r="AX164" s="1212"/>
      <c r="AY164" s="1215"/>
      <c r="AZ164" s="1215"/>
      <c r="BA164" s="1215"/>
      <c r="BB164" s="1212">
        <v>1.593</v>
      </c>
      <c r="BC164" s="1182"/>
      <c r="BD164" s="1182"/>
      <c r="BE164" s="1182"/>
      <c r="BF164" s="1182"/>
      <c r="BG164" s="1182"/>
      <c r="BH164" s="1182"/>
      <c r="BI164" s="1182"/>
      <c r="BJ164" s="1182"/>
      <c r="BK164" s="1182"/>
      <c r="BL164" s="1182"/>
      <c r="BM164" s="1182"/>
      <c r="BN164" s="1182"/>
      <c r="BO164" s="1182"/>
      <c r="BP164" s="1182"/>
      <c r="BQ164" s="1182"/>
      <c r="BR164" s="1190"/>
      <c r="BS164" s="1190"/>
      <c r="BT164" s="1190"/>
      <c r="BU164" s="1190"/>
      <c r="BV164" s="1190"/>
      <c r="BW164" s="1190"/>
      <c r="BX164" s="1190"/>
      <c r="BY164" s="1190"/>
      <c r="BZ164" s="1190"/>
      <c r="CA164" s="1190"/>
      <c r="CB164" s="1190"/>
      <c r="CC164" s="1190"/>
      <c r="CD164" s="1190"/>
      <c r="CE164" s="1190"/>
      <c r="CF164" s="1190"/>
      <c r="CG164" s="1189"/>
      <c r="CH164" s="1189"/>
      <c r="CI164" s="1189"/>
      <c r="CJ164" s="1189"/>
      <c r="CK164" s="1184"/>
      <c r="CL164" s="1189"/>
      <c r="CM164" s="1189"/>
      <c r="CN164" s="1189"/>
      <c r="CO164" s="1189"/>
      <c r="CP164" s="1184"/>
      <c r="CQ164" s="1189"/>
      <c r="CR164" s="1189"/>
      <c r="CS164" s="1189"/>
      <c r="CT164" s="1189"/>
      <c r="CU164" s="1156"/>
      <c r="CV164" s="1189"/>
      <c r="CW164" s="1189"/>
      <c r="CX164" s="1189"/>
      <c r="CY164" s="1189"/>
      <c r="CZ164" s="1156"/>
      <c r="DA164" s="1156"/>
      <c r="DB164" s="2108"/>
      <c r="DC164" s="2108"/>
    </row>
    <row r="165" spans="1:107" s="1178" customFormat="1" ht="11.25" hidden="1" outlineLevel="1">
      <c r="A165" s="1191"/>
      <c r="B165" s="1191" t="s">
        <v>919</v>
      </c>
      <c r="C165" s="1191"/>
      <c r="D165" s="1191"/>
      <c r="E165" s="1191"/>
      <c r="F165" s="1191"/>
      <c r="G165" s="1191"/>
      <c r="H165" s="1191"/>
      <c r="I165" s="1191"/>
      <c r="J165" s="1191"/>
      <c r="K165" s="1191"/>
      <c r="L165" s="1191"/>
      <c r="M165" s="1191"/>
      <c r="N165" s="1191"/>
      <c r="O165" s="1191"/>
      <c r="P165" s="1191"/>
      <c r="Q165" s="1191"/>
      <c r="R165" s="1191"/>
      <c r="S165" s="1191"/>
      <c r="T165" s="1191"/>
      <c r="U165" s="1191"/>
      <c r="V165" s="1191"/>
      <c r="W165" s="1191"/>
      <c r="X165" s="1212">
        <v>0.99199999999999999</v>
      </c>
      <c r="Y165" s="1212"/>
      <c r="Z165" s="1212"/>
      <c r="AA165" s="1212"/>
      <c r="AB165" s="1212"/>
      <c r="AC165" s="1212">
        <v>0.91100000000000003</v>
      </c>
      <c r="AD165" s="1212"/>
      <c r="AE165" s="1212"/>
      <c r="AF165" s="1212"/>
      <c r="AG165" s="1212"/>
      <c r="AH165" s="1212">
        <v>0.875</v>
      </c>
      <c r="AI165" s="1212"/>
      <c r="AJ165" s="1212"/>
      <c r="AK165" s="1212"/>
      <c r="AL165" s="1212"/>
      <c r="AM165" s="1212">
        <v>0.85199999999999998</v>
      </c>
      <c r="AN165" s="1212"/>
      <c r="AO165" s="1212"/>
      <c r="AP165" s="1212"/>
      <c r="AQ165" s="1212"/>
      <c r="AR165" s="1212">
        <v>0.83</v>
      </c>
      <c r="AS165" s="1212"/>
      <c r="AT165" s="1212"/>
      <c r="AU165" s="1212"/>
      <c r="AV165" s="1212"/>
      <c r="AW165" s="1212">
        <v>0.83</v>
      </c>
      <c r="AX165" s="1212"/>
      <c r="AY165" s="1215"/>
      <c r="AZ165" s="1215"/>
      <c r="BA165" s="1215"/>
      <c r="BB165" s="1212">
        <v>0.82499999999999996</v>
      </c>
      <c r="BC165" s="1182"/>
      <c r="BD165" s="1182"/>
      <c r="BE165" s="1182"/>
      <c r="BF165" s="1182"/>
      <c r="BG165" s="1182"/>
      <c r="BH165" s="1182"/>
      <c r="BI165" s="1182"/>
      <c r="BJ165" s="1182"/>
      <c r="BK165" s="1182"/>
      <c r="BL165" s="1182"/>
      <c r="BM165" s="1182"/>
      <c r="BN165" s="1182"/>
      <c r="BO165" s="1182"/>
      <c r="BP165" s="1182"/>
      <c r="BQ165" s="1182"/>
      <c r="BR165" s="1190"/>
      <c r="BS165" s="1190"/>
      <c r="BT165" s="1190"/>
      <c r="BU165" s="1190"/>
      <c r="BV165" s="1190"/>
      <c r="BW165" s="1190"/>
      <c r="BX165" s="1190"/>
      <c r="BY165" s="1190"/>
      <c r="BZ165" s="1190"/>
      <c r="CA165" s="1190"/>
      <c r="CB165" s="1190"/>
      <c r="CC165" s="1190"/>
      <c r="CD165" s="1190"/>
      <c r="CE165" s="1190"/>
      <c r="CF165" s="1190"/>
      <c r="CG165" s="1189"/>
      <c r="CH165" s="1189"/>
      <c r="CI165" s="1189"/>
      <c r="CJ165" s="1189"/>
      <c r="CK165" s="1184"/>
      <c r="CL165" s="1189"/>
      <c r="CM165" s="1189"/>
      <c r="CN165" s="1189"/>
      <c r="CO165" s="1189"/>
      <c r="CP165" s="1184"/>
      <c r="CQ165" s="1189"/>
      <c r="CR165" s="1189"/>
      <c r="CS165" s="1189"/>
      <c r="CT165" s="1189"/>
      <c r="CU165" s="1156"/>
      <c r="CV165" s="1189"/>
      <c r="CW165" s="1189"/>
      <c r="CX165" s="1189"/>
      <c r="CY165" s="1189"/>
      <c r="CZ165" s="1156"/>
      <c r="DA165" s="1156"/>
      <c r="DB165" s="2108"/>
      <c r="DC165" s="2108"/>
    </row>
    <row r="166" spans="1:107" s="1178" customFormat="1" ht="11.25" hidden="1" outlineLevel="1">
      <c r="A166" s="1191"/>
      <c r="B166" s="1191"/>
      <c r="C166" s="1191"/>
      <c r="D166" s="1191"/>
      <c r="E166" s="1191"/>
      <c r="F166" s="1191"/>
      <c r="G166" s="1191"/>
      <c r="H166" s="1191"/>
      <c r="I166" s="1191"/>
      <c r="J166" s="1191"/>
      <c r="K166" s="1191"/>
      <c r="L166" s="1191"/>
      <c r="M166" s="1191"/>
      <c r="N166" s="1191"/>
      <c r="O166" s="1191"/>
      <c r="P166" s="1191"/>
      <c r="Q166" s="1191"/>
      <c r="R166" s="1191"/>
      <c r="S166" s="1191"/>
      <c r="T166" s="1191"/>
      <c r="U166" s="1191"/>
      <c r="V166" s="1191"/>
      <c r="W166" s="1191"/>
      <c r="X166" s="1191"/>
      <c r="Y166" s="1191"/>
      <c r="Z166" s="1191"/>
      <c r="AA166" s="1191"/>
      <c r="AB166" s="1191"/>
      <c r="AC166" s="1191"/>
      <c r="AD166" s="1191"/>
      <c r="AE166" s="1191"/>
      <c r="AF166" s="1191"/>
      <c r="AG166" s="1191"/>
      <c r="AH166" s="1191"/>
      <c r="AI166" s="1191"/>
      <c r="AJ166" s="1191"/>
      <c r="AK166" s="1191"/>
      <c r="AL166" s="1191"/>
      <c r="AM166" s="1191"/>
      <c r="AN166" s="1191"/>
      <c r="AO166" s="1191"/>
      <c r="AP166" s="1191"/>
      <c r="AQ166" s="1191"/>
      <c r="AR166" s="1191"/>
      <c r="AS166" s="1191"/>
      <c r="AT166" s="1191"/>
      <c r="AU166" s="1191"/>
      <c r="AV166" s="1191"/>
      <c r="AW166" s="1191"/>
      <c r="AX166" s="1191"/>
      <c r="AY166" s="1182"/>
      <c r="AZ166" s="1182"/>
      <c r="BA166" s="1182"/>
      <c r="BB166" s="1182"/>
      <c r="BC166" s="1182"/>
      <c r="BD166" s="1182"/>
      <c r="BE166" s="1182"/>
      <c r="BF166" s="1182"/>
      <c r="BG166" s="1182"/>
      <c r="BH166" s="1182"/>
      <c r="BI166" s="1182"/>
      <c r="BJ166" s="1182"/>
      <c r="BK166" s="1182"/>
      <c r="BL166" s="1182"/>
      <c r="BM166" s="1182"/>
      <c r="BN166" s="1182"/>
      <c r="BO166" s="1182"/>
      <c r="BP166" s="1182"/>
      <c r="BQ166" s="1182"/>
      <c r="BR166" s="1190"/>
      <c r="BS166" s="1190"/>
      <c r="BT166" s="1190"/>
      <c r="BU166" s="1190"/>
      <c r="BV166" s="1190"/>
      <c r="BW166" s="1190"/>
      <c r="BX166" s="1190"/>
      <c r="BY166" s="1190"/>
      <c r="BZ166" s="1190"/>
      <c r="CA166" s="1190"/>
      <c r="CB166" s="1190"/>
      <c r="CC166" s="1190"/>
      <c r="CD166" s="1190"/>
      <c r="CE166" s="1190"/>
      <c r="CF166" s="1190"/>
      <c r="CG166" s="1189"/>
      <c r="CH166" s="1189"/>
      <c r="CI166" s="1189"/>
      <c r="CJ166" s="1189"/>
      <c r="CK166" s="1184"/>
      <c r="CL166" s="1189"/>
      <c r="CM166" s="1189"/>
      <c r="CN166" s="1189"/>
      <c r="CO166" s="1189"/>
      <c r="CP166" s="1184"/>
      <c r="CQ166" s="1189"/>
      <c r="CR166" s="1189"/>
      <c r="CS166" s="1189"/>
      <c r="CT166" s="1189"/>
      <c r="CU166" s="1156"/>
      <c r="CV166" s="1189"/>
      <c r="CW166" s="1189"/>
      <c r="CX166" s="1189"/>
      <c r="CY166" s="1189"/>
      <c r="CZ166" s="1156"/>
      <c r="DA166" s="1156"/>
      <c r="DB166" s="2108"/>
      <c r="DC166" s="2108"/>
    </row>
    <row r="167" spans="1:107" s="1178" customFormat="1" ht="11.25" hidden="1" outlineLevel="1">
      <c r="A167" s="1213"/>
      <c r="B167" s="1214" t="s">
        <v>918</v>
      </c>
      <c r="C167" s="1213"/>
      <c r="D167" s="1213"/>
      <c r="E167" s="1191"/>
      <c r="F167" s="1191"/>
      <c r="G167" s="1191"/>
      <c r="H167" s="1191"/>
      <c r="I167" s="1191"/>
      <c r="J167" s="1191"/>
      <c r="K167" s="1191"/>
      <c r="L167" s="1191"/>
      <c r="M167" s="1191"/>
      <c r="N167" s="1191"/>
      <c r="O167" s="1191"/>
      <c r="P167" s="1191"/>
      <c r="Q167" s="1191"/>
      <c r="R167" s="1191"/>
      <c r="S167" s="1191"/>
      <c r="T167" s="1191"/>
      <c r="U167" s="1191"/>
      <c r="V167" s="1191"/>
      <c r="W167" s="1191"/>
      <c r="X167" s="1191"/>
      <c r="Y167" s="1191"/>
      <c r="Z167" s="1191"/>
      <c r="AA167" s="1191"/>
      <c r="AB167" s="1191"/>
      <c r="AC167" s="1191"/>
      <c r="AD167" s="1191"/>
      <c r="AE167" s="1191"/>
      <c r="AF167" s="1191"/>
      <c r="AG167" s="1191"/>
      <c r="AH167" s="1191"/>
      <c r="AI167" s="1191"/>
      <c r="AJ167" s="1191"/>
      <c r="AK167" s="1191"/>
      <c r="AL167" s="1191"/>
      <c r="AM167" s="1191"/>
      <c r="AN167" s="1191"/>
      <c r="AO167" s="1191"/>
      <c r="AP167" s="1191"/>
      <c r="AQ167" s="1191"/>
      <c r="AR167" s="1191"/>
      <c r="AS167" s="1191"/>
      <c r="AT167" s="1191"/>
      <c r="AU167" s="1191"/>
      <c r="AV167" s="1191"/>
      <c r="AW167" s="1191"/>
      <c r="AX167" s="1191"/>
      <c r="AY167" s="1182"/>
      <c r="AZ167" s="1182"/>
      <c r="BA167" s="1182"/>
      <c r="BB167" s="1182"/>
      <c r="BC167" s="1182"/>
      <c r="BD167" s="1182"/>
      <c r="BE167" s="1182"/>
      <c r="BF167" s="1182"/>
      <c r="BG167" s="1182"/>
      <c r="BH167" s="1182"/>
      <c r="BI167" s="1182"/>
      <c r="BJ167" s="1182"/>
      <c r="BK167" s="1182"/>
      <c r="BL167" s="1182"/>
      <c r="BM167" s="1182"/>
      <c r="BN167" s="1182"/>
      <c r="BO167" s="1182"/>
      <c r="BP167" s="1182"/>
      <c r="BQ167" s="1182"/>
      <c r="BR167" s="1190"/>
      <c r="BS167" s="1190"/>
      <c r="BT167" s="1190"/>
      <c r="BU167" s="1190"/>
      <c r="BV167" s="1190"/>
      <c r="BW167" s="1190"/>
      <c r="BX167" s="1190"/>
      <c r="BY167" s="1190"/>
      <c r="BZ167" s="1190"/>
      <c r="CA167" s="1190"/>
      <c r="CB167" s="1190"/>
      <c r="CC167" s="1190"/>
      <c r="CD167" s="1190"/>
      <c r="CE167" s="1190"/>
      <c r="CF167" s="1190"/>
      <c r="CG167" s="1189"/>
      <c r="CH167" s="1189"/>
      <c r="CI167" s="1189"/>
      <c r="CJ167" s="1189"/>
      <c r="CK167" s="1184"/>
      <c r="CL167" s="1189"/>
      <c r="CM167" s="1189"/>
      <c r="CN167" s="1189"/>
      <c r="CO167" s="1189"/>
      <c r="CP167" s="1184"/>
      <c r="CQ167" s="1189"/>
      <c r="CR167" s="1189"/>
      <c r="CS167" s="1189"/>
      <c r="CT167" s="1189"/>
      <c r="CU167" s="1156"/>
      <c r="CV167" s="1189"/>
      <c r="CW167" s="1189"/>
      <c r="CX167" s="1189"/>
      <c r="CY167" s="1189"/>
      <c r="CZ167" s="1156"/>
      <c r="DA167" s="1156"/>
      <c r="DB167" s="2108"/>
      <c r="DC167" s="2108"/>
    </row>
    <row r="168" spans="1:107" s="1178" customFormat="1" ht="11.25" hidden="1" outlineLevel="1">
      <c r="A168" s="1191"/>
      <c r="B168" s="1191"/>
      <c r="C168" s="1191"/>
      <c r="D168" s="1191"/>
      <c r="E168" s="1191"/>
      <c r="F168" s="1191"/>
      <c r="G168" s="1191"/>
      <c r="H168" s="1191"/>
      <c r="I168" s="1191"/>
      <c r="J168" s="1191"/>
      <c r="K168" s="1191"/>
      <c r="L168" s="1191"/>
      <c r="M168" s="1191"/>
      <c r="N168" s="1191"/>
      <c r="O168" s="1191"/>
      <c r="P168" s="1191"/>
      <c r="Q168" s="1191"/>
      <c r="R168" s="1191"/>
      <c r="S168" s="1191"/>
      <c r="T168" s="1191"/>
      <c r="U168" s="1191"/>
      <c r="V168" s="1191"/>
      <c r="W168" s="1191"/>
      <c r="X168" s="1191"/>
      <c r="Y168" s="1191"/>
      <c r="Z168" s="1191"/>
      <c r="AA168" s="1191"/>
      <c r="AB168" s="1191"/>
      <c r="AC168" s="1191"/>
      <c r="AD168" s="1191"/>
      <c r="AE168" s="1191"/>
      <c r="AF168" s="1191"/>
      <c r="AG168" s="1191"/>
      <c r="AH168" s="1191"/>
      <c r="AI168" s="1191"/>
      <c r="AJ168" s="1191"/>
      <c r="AK168" s="1191"/>
      <c r="AL168" s="1191"/>
      <c r="AM168" s="1191"/>
      <c r="AN168" s="1191"/>
      <c r="AO168" s="1191"/>
      <c r="AP168" s="1191"/>
      <c r="AQ168" s="1191"/>
      <c r="AR168" s="1191"/>
      <c r="AS168" s="1191"/>
      <c r="AT168" s="1191"/>
      <c r="AU168" s="1191"/>
      <c r="AV168" s="1191"/>
      <c r="AW168" s="1191"/>
      <c r="AX168" s="1191"/>
      <c r="AY168" s="1182"/>
      <c r="AZ168" s="1182"/>
      <c r="BA168" s="1182"/>
      <c r="BB168" s="1182"/>
      <c r="BC168" s="1182"/>
      <c r="BD168" s="1182"/>
      <c r="BE168" s="1182"/>
      <c r="BF168" s="1182"/>
      <c r="BG168" s="1182"/>
      <c r="BH168" s="1182"/>
      <c r="BI168" s="1182"/>
      <c r="BJ168" s="1182"/>
      <c r="BK168" s="1182"/>
      <c r="BL168" s="1182"/>
      <c r="BM168" s="1182"/>
      <c r="BN168" s="1182"/>
      <c r="BO168" s="1182"/>
      <c r="BP168" s="1182"/>
      <c r="BQ168" s="1182"/>
      <c r="BR168" s="1190"/>
      <c r="BS168" s="1190"/>
      <c r="BT168" s="1190"/>
      <c r="BU168" s="1190"/>
      <c r="BV168" s="1190"/>
      <c r="BW168" s="1190"/>
      <c r="BX168" s="1190"/>
      <c r="BY168" s="1190"/>
      <c r="BZ168" s="1190"/>
      <c r="CA168" s="1190"/>
      <c r="CB168" s="1190"/>
      <c r="CC168" s="1190"/>
      <c r="CD168" s="1190"/>
      <c r="CE168" s="1190"/>
      <c r="CF168" s="1190"/>
      <c r="CG168" s="1189"/>
      <c r="CH168" s="1189"/>
      <c r="CI168" s="1189"/>
      <c r="CJ168" s="1189"/>
      <c r="CK168" s="1184"/>
      <c r="CL168" s="1189"/>
      <c r="CM168" s="1189"/>
      <c r="CN168" s="1189"/>
      <c r="CO168" s="1189"/>
      <c r="CP168" s="1184"/>
      <c r="CQ168" s="1189"/>
      <c r="CR168" s="1189"/>
      <c r="CS168" s="1189"/>
      <c r="CT168" s="1189"/>
      <c r="CU168" s="1156"/>
      <c r="CV168" s="1189"/>
      <c r="CW168" s="1189"/>
      <c r="CX168" s="1189"/>
      <c r="CY168" s="1189"/>
      <c r="CZ168" s="1156"/>
      <c r="DA168" s="1156"/>
      <c r="DB168" s="2108"/>
      <c r="DC168" s="2108"/>
    </row>
    <row r="169" spans="1:107" s="1178" customFormat="1" ht="11.25" hidden="1" outlineLevel="1">
      <c r="A169" s="1191"/>
      <c r="B169" s="1182" t="s">
        <v>861</v>
      </c>
      <c r="C169" s="1191"/>
      <c r="D169" s="1191"/>
      <c r="E169" s="1191"/>
      <c r="F169" s="1191"/>
      <c r="G169" s="1191"/>
      <c r="H169" s="1191"/>
      <c r="I169" s="1191"/>
      <c r="J169" s="1191"/>
      <c r="K169" s="1191"/>
      <c r="L169" s="1191"/>
      <c r="M169" s="1191"/>
      <c r="N169" s="1191"/>
      <c r="O169" s="1191"/>
      <c r="P169" s="1191"/>
      <c r="Q169" s="1191"/>
      <c r="R169" s="1191"/>
      <c r="S169" s="1191"/>
      <c r="T169" s="1191"/>
      <c r="U169" s="1191"/>
      <c r="V169" s="1191"/>
      <c r="W169" s="1191"/>
      <c r="X169" s="1191"/>
      <c r="Y169" s="1191"/>
      <c r="Z169" s="1191"/>
      <c r="AA169" s="1191"/>
      <c r="AB169" s="1191"/>
      <c r="AC169" s="1191"/>
      <c r="AD169" s="1191"/>
      <c r="AE169" s="1191"/>
      <c r="AF169" s="1191"/>
      <c r="AG169" s="1191"/>
      <c r="AH169" s="1191"/>
      <c r="AI169" s="1191"/>
      <c r="AJ169" s="1191"/>
      <c r="AK169" s="1191"/>
      <c r="AL169" s="1191"/>
      <c r="AM169" s="1191"/>
      <c r="AN169" s="1191"/>
      <c r="AO169" s="1191"/>
      <c r="AP169" s="1191"/>
      <c r="AQ169" s="1191"/>
      <c r="AR169" s="1191"/>
      <c r="AS169" s="1191"/>
      <c r="AT169" s="1191"/>
      <c r="AU169" s="1191"/>
      <c r="AV169" s="1191"/>
      <c r="AW169" s="1191"/>
      <c r="AX169" s="1191"/>
      <c r="AY169" s="1182"/>
      <c r="AZ169" s="1182"/>
      <c r="BA169" s="1182"/>
      <c r="BB169" s="1182"/>
      <c r="BC169" s="1182"/>
      <c r="BD169" s="1182"/>
      <c r="BE169" s="1182"/>
      <c r="BF169" s="1182"/>
      <c r="BG169" s="1182"/>
      <c r="BH169" s="1182"/>
      <c r="BI169" s="1182"/>
      <c r="BJ169" s="1182"/>
      <c r="BK169" s="1182"/>
      <c r="BL169" s="1182"/>
      <c r="BM169" s="1182"/>
      <c r="BN169" s="1182"/>
      <c r="BO169" s="1182"/>
      <c r="BP169" s="1182"/>
      <c r="BQ169" s="1182"/>
      <c r="BR169" s="1190"/>
      <c r="BS169" s="1190"/>
      <c r="BT169" s="1190"/>
      <c r="BU169" s="1190"/>
      <c r="BV169" s="1190"/>
      <c r="BW169" s="1190"/>
      <c r="BX169" s="1190"/>
      <c r="BY169" s="1190"/>
      <c r="BZ169" s="1190"/>
      <c r="CA169" s="1190"/>
      <c r="CB169" s="1190"/>
      <c r="CC169" s="1190"/>
      <c r="CD169" s="1190"/>
      <c r="CE169" s="1190"/>
      <c r="CF169" s="1190"/>
      <c r="CG169" s="1189"/>
      <c r="CH169" s="1189"/>
      <c r="CI169" s="1189"/>
      <c r="CJ169" s="1189"/>
      <c r="CK169" s="1184"/>
      <c r="CL169" s="1189"/>
      <c r="CM169" s="1189"/>
      <c r="CN169" s="1189"/>
      <c r="CO169" s="1189"/>
      <c r="CP169" s="1184"/>
      <c r="CQ169" s="1189"/>
      <c r="CR169" s="1189"/>
      <c r="CS169" s="1189"/>
      <c r="CT169" s="1189"/>
      <c r="CU169" s="1156"/>
      <c r="CV169" s="1189"/>
      <c r="CW169" s="1189"/>
      <c r="CX169" s="1189"/>
      <c r="CY169" s="1189"/>
      <c r="CZ169" s="1156"/>
      <c r="DA169" s="1156"/>
      <c r="DB169" s="2108"/>
      <c r="DC169" s="2108"/>
    </row>
    <row r="170" spans="1:107" s="1178" customFormat="1" ht="11.25" hidden="1" outlineLevel="1">
      <c r="A170" s="1191"/>
      <c r="B170" s="1191" t="s">
        <v>917</v>
      </c>
      <c r="C170" s="1191"/>
      <c r="D170" s="1191"/>
      <c r="E170" s="1191"/>
      <c r="F170" s="1191"/>
      <c r="G170" s="1191"/>
      <c r="H170" s="1191"/>
      <c r="I170" s="1191"/>
      <c r="J170" s="1191"/>
      <c r="K170" s="1191"/>
      <c r="L170" s="1191"/>
      <c r="M170" s="1191"/>
      <c r="N170" s="1191"/>
      <c r="O170" s="1191"/>
      <c r="P170" s="1191"/>
      <c r="Q170" s="1191"/>
      <c r="R170" s="1191"/>
      <c r="S170" s="1191"/>
      <c r="T170" s="1191"/>
      <c r="U170" s="1191"/>
      <c r="V170" s="1191"/>
      <c r="W170" s="1191"/>
      <c r="X170" s="1191"/>
      <c r="Y170" s="1191"/>
      <c r="Z170" s="1191"/>
      <c r="AA170" s="1191"/>
      <c r="AB170" s="1191"/>
      <c r="AC170" s="1191"/>
      <c r="AD170" s="1191"/>
      <c r="AE170" s="1191"/>
      <c r="AF170" s="1191"/>
      <c r="AG170" s="1191"/>
      <c r="AH170" s="1191"/>
      <c r="AI170" s="1191"/>
      <c r="AJ170" s="1191"/>
      <c r="AK170" s="1191"/>
      <c r="AL170" s="1191"/>
      <c r="AM170" s="1191">
        <v>103.9</v>
      </c>
      <c r="AN170" s="1191"/>
      <c r="AO170" s="1191"/>
      <c r="AP170" s="1191"/>
      <c r="AQ170" s="1191"/>
      <c r="AR170" s="1191">
        <v>117.9</v>
      </c>
      <c r="AS170" s="1191"/>
      <c r="AT170" s="1191"/>
      <c r="AU170" s="1191"/>
      <c r="AV170" s="1191"/>
      <c r="AW170" s="1191">
        <v>135.30000000000001</v>
      </c>
      <c r="AX170" s="1191"/>
      <c r="AY170" s="1182"/>
      <c r="AZ170" s="1182"/>
      <c r="BA170" s="1182"/>
      <c r="BB170" s="1191">
        <v>134</v>
      </c>
      <c r="BC170" s="1182"/>
      <c r="BD170" s="1182"/>
      <c r="BE170" s="1182"/>
      <c r="BF170" s="1182"/>
      <c r="BG170" s="1182"/>
      <c r="BH170" s="1182"/>
      <c r="BI170" s="1182"/>
      <c r="BJ170" s="1182"/>
      <c r="BK170" s="1182"/>
      <c r="BL170" s="1182"/>
      <c r="BM170" s="1182"/>
      <c r="BN170" s="1182"/>
      <c r="BO170" s="1182"/>
      <c r="BP170" s="1182"/>
      <c r="BQ170" s="1182"/>
      <c r="BR170" s="1190"/>
      <c r="BS170" s="1190"/>
      <c r="BT170" s="1190"/>
      <c r="BU170" s="1190"/>
      <c r="BV170" s="1190"/>
      <c r="BW170" s="1190"/>
      <c r="BX170" s="1190"/>
      <c r="BY170" s="1190"/>
      <c r="BZ170" s="1190"/>
      <c r="CA170" s="1190"/>
      <c r="CB170" s="1190"/>
      <c r="CC170" s="1190"/>
      <c r="CD170" s="1190"/>
      <c r="CE170" s="1190"/>
      <c r="CF170" s="1190"/>
      <c r="CG170" s="1189"/>
      <c r="CH170" s="1189"/>
      <c r="CI170" s="1189"/>
      <c r="CJ170" s="1189"/>
      <c r="CK170" s="1184"/>
      <c r="CL170" s="1189"/>
      <c r="CM170" s="1189"/>
      <c r="CN170" s="1189"/>
      <c r="CO170" s="1189"/>
      <c r="CP170" s="1184"/>
      <c r="CQ170" s="1189"/>
      <c r="CR170" s="1189"/>
      <c r="CS170" s="1189"/>
      <c r="CT170" s="1189"/>
      <c r="CU170" s="1156"/>
      <c r="CV170" s="1189"/>
      <c r="CW170" s="1189"/>
      <c r="CX170" s="1189"/>
      <c r="CY170" s="1189"/>
      <c r="CZ170" s="1156"/>
      <c r="DA170" s="1156"/>
      <c r="DB170" s="2108"/>
      <c r="DC170" s="2108"/>
    </row>
    <row r="171" spans="1:107" s="1178" customFormat="1" ht="11.25" hidden="1" outlineLevel="1">
      <c r="A171" s="1191"/>
      <c r="B171" s="1191" t="s">
        <v>916</v>
      </c>
      <c r="C171" s="1191"/>
      <c r="D171" s="1191"/>
      <c r="E171" s="1191"/>
      <c r="F171" s="1191"/>
      <c r="G171" s="1191"/>
      <c r="H171" s="1191"/>
      <c r="I171" s="1191"/>
      <c r="J171" s="1191"/>
      <c r="K171" s="1191"/>
      <c r="L171" s="1191"/>
      <c r="M171" s="1191"/>
      <c r="N171" s="1191"/>
      <c r="O171" s="1191"/>
      <c r="P171" s="1191"/>
      <c r="Q171" s="1191"/>
      <c r="R171" s="1191"/>
      <c r="S171" s="1191"/>
      <c r="T171" s="1191"/>
      <c r="U171" s="1191"/>
      <c r="V171" s="1191"/>
      <c r="W171" s="1191"/>
      <c r="X171" s="1191"/>
      <c r="Y171" s="1191"/>
      <c r="Z171" s="1191"/>
      <c r="AA171" s="1191"/>
      <c r="AB171" s="1191"/>
      <c r="AC171" s="1191"/>
      <c r="AD171" s="1191"/>
      <c r="AE171" s="1191"/>
      <c r="AF171" s="1191"/>
      <c r="AG171" s="1191"/>
      <c r="AH171" s="1191"/>
      <c r="AI171" s="1191"/>
      <c r="AJ171" s="1191"/>
      <c r="AK171" s="1191"/>
      <c r="AL171" s="1191"/>
      <c r="AM171" s="1191"/>
      <c r="AN171" s="1191"/>
      <c r="AO171" s="1191"/>
      <c r="AP171" s="1191"/>
      <c r="AQ171" s="1191"/>
      <c r="AR171" s="1191"/>
      <c r="AS171" s="1191"/>
      <c r="AT171" s="1191"/>
      <c r="AU171" s="1191"/>
      <c r="AV171" s="1191"/>
      <c r="AW171" s="1191"/>
      <c r="AX171" s="1191"/>
      <c r="AY171" s="1182"/>
      <c r="AZ171" s="1182"/>
      <c r="BA171" s="1182"/>
      <c r="BB171" s="1199">
        <v>0.11</v>
      </c>
      <c r="BC171" s="1182"/>
      <c r="BD171" s="1182"/>
      <c r="BE171" s="1182"/>
      <c r="BF171" s="1182"/>
      <c r="BG171" s="1182"/>
      <c r="BH171" s="1182"/>
      <c r="BI171" s="1182"/>
      <c r="BJ171" s="1182"/>
      <c r="BK171" s="1182"/>
      <c r="BL171" s="1182"/>
      <c r="BM171" s="1182"/>
      <c r="BN171" s="1182"/>
      <c r="BO171" s="1182"/>
      <c r="BP171" s="1182"/>
      <c r="BQ171" s="1182"/>
      <c r="BR171" s="1190"/>
      <c r="BS171" s="1190"/>
      <c r="BT171" s="1190"/>
      <c r="BU171" s="1190"/>
      <c r="BV171" s="1190"/>
      <c r="BW171" s="1190"/>
      <c r="BX171" s="1190"/>
      <c r="BY171" s="1190"/>
      <c r="BZ171" s="1190"/>
      <c r="CA171" s="1190"/>
      <c r="CB171" s="1190"/>
      <c r="CC171" s="1190"/>
      <c r="CD171" s="1190"/>
      <c r="CE171" s="1190"/>
      <c r="CF171" s="1190"/>
      <c r="CG171" s="1189"/>
      <c r="CH171" s="1189"/>
      <c r="CI171" s="1189"/>
      <c r="CJ171" s="1189"/>
      <c r="CK171" s="1184"/>
      <c r="CL171" s="1189"/>
      <c r="CM171" s="1189"/>
      <c r="CN171" s="1189"/>
      <c r="CO171" s="1189"/>
      <c r="CP171" s="1184"/>
      <c r="CQ171" s="1189"/>
      <c r="CR171" s="1189"/>
      <c r="CS171" s="1189"/>
      <c r="CT171" s="1189"/>
      <c r="CU171" s="1156"/>
      <c r="CV171" s="1189"/>
      <c r="CW171" s="1189"/>
      <c r="CX171" s="1189"/>
      <c r="CY171" s="1189"/>
      <c r="CZ171" s="1156"/>
      <c r="DA171" s="1156"/>
      <c r="DB171" s="2108"/>
      <c r="DC171" s="2108"/>
    </row>
    <row r="172" spans="1:107" s="1178" customFormat="1" ht="11.25" hidden="1" outlineLevel="1">
      <c r="A172" s="1191"/>
      <c r="B172" s="1191"/>
      <c r="C172" s="1191"/>
      <c r="D172" s="1191"/>
      <c r="E172" s="1191"/>
      <c r="F172" s="1191"/>
      <c r="G172" s="1191"/>
      <c r="H172" s="1191"/>
      <c r="I172" s="1191"/>
      <c r="J172" s="1191"/>
      <c r="K172" s="1191"/>
      <c r="L172" s="1191"/>
      <c r="M172" s="1191"/>
      <c r="N172" s="1191"/>
      <c r="O172" s="1191"/>
      <c r="P172" s="1191"/>
      <c r="Q172" s="1191"/>
      <c r="R172" s="1191"/>
      <c r="S172" s="1191"/>
      <c r="T172" s="1191"/>
      <c r="U172" s="1191"/>
      <c r="V172" s="1191"/>
      <c r="W172" s="1191"/>
      <c r="X172" s="1191"/>
      <c r="Y172" s="1191"/>
      <c r="Z172" s="1191"/>
      <c r="AA172" s="1191"/>
      <c r="AB172" s="1191"/>
      <c r="AC172" s="1191"/>
      <c r="AD172" s="1191"/>
      <c r="AE172" s="1191"/>
      <c r="AF172" s="1191"/>
      <c r="AG172" s="1191"/>
      <c r="AH172" s="1191"/>
      <c r="AI172" s="1191"/>
      <c r="AJ172" s="1191"/>
      <c r="AK172" s="1191"/>
      <c r="AL172" s="1191"/>
      <c r="AM172" s="1191"/>
      <c r="AN172" s="1191"/>
      <c r="AO172" s="1191"/>
      <c r="AP172" s="1191"/>
      <c r="AQ172" s="1191"/>
      <c r="AR172" s="1191"/>
      <c r="AS172" s="1191"/>
      <c r="AT172" s="1191"/>
      <c r="AU172" s="1191"/>
      <c r="AV172" s="1191"/>
      <c r="AW172" s="1191"/>
      <c r="AX172" s="1191"/>
      <c r="AY172" s="1182"/>
      <c r="AZ172" s="1182"/>
      <c r="BA172" s="1182"/>
      <c r="BB172" s="1182"/>
      <c r="BC172" s="1182"/>
      <c r="BD172" s="1182"/>
      <c r="BE172" s="1182"/>
      <c r="BF172" s="1182"/>
      <c r="BG172" s="1182"/>
      <c r="BH172" s="1182"/>
      <c r="BI172" s="1182"/>
      <c r="BJ172" s="1182"/>
      <c r="BK172" s="1182"/>
      <c r="BL172" s="1182"/>
      <c r="BM172" s="1182"/>
      <c r="BN172" s="1182"/>
      <c r="BO172" s="1182"/>
      <c r="BP172" s="1182"/>
      <c r="BQ172" s="1182"/>
      <c r="BR172" s="1190"/>
      <c r="BS172" s="1190"/>
      <c r="BT172" s="1190"/>
      <c r="BU172" s="1190"/>
      <c r="BV172" s="1190"/>
      <c r="BW172" s="1190"/>
      <c r="BX172" s="1190"/>
      <c r="BY172" s="1190"/>
      <c r="BZ172" s="1190"/>
      <c r="CA172" s="1190"/>
      <c r="CB172" s="1190"/>
      <c r="CC172" s="1190"/>
      <c r="CD172" s="1190"/>
      <c r="CE172" s="1190"/>
      <c r="CF172" s="1190"/>
      <c r="CG172" s="1189"/>
      <c r="CH172" s="1189"/>
      <c r="CI172" s="1189"/>
      <c r="CJ172" s="1189"/>
      <c r="CK172" s="1184"/>
      <c r="CL172" s="1189"/>
      <c r="CM172" s="1189"/>
      <c r="CN172" s="1189"/>
      <c r="CO172" s="1189"/>
      <c r="CP172" s="1184"/>
      <c r="CQ172" s="1189"/>
      <c r="CR172" s="1189"/>
      <c r="CS172" s="1189"/>
      <c r="CT172" s="1189"/>
      <c r="CU172" s="1156"/>
      <c r="CV172" s="1189"/>
      <c r="CW172" s="1189"/>
      <c r="CX172" s="1189"/>
      <c r="CY172" s="1189"/>
      <c r="CZ172" s="1156"/>
      <c r="DA172" s="1156"/>
      <c r="DB172" s="2108"/>
      <c r="DC172" s="2108"/>
    </row>
    <row r="173" spans="1:107" s="1178" customFormat="1" ht="11.25" hidden="1" outlineLevel="1">
      <c r="A173" s="1191"/>
      <c r="B173" s="1182" t="s">
        <v>915</v>
      </c>
      <c r="C173" s="1191"/>
      <c r="D173" s="1191"/>
      <c r="E173" s="1191"/>
      <c r="F173" s="1191"/>
      <c r="G173" s="1191"/>
      <c r="H173" s="1191"/>
      <c r="I173" s="1191"/>
      <c r="J173" s="1191"/>
      <c r="K173" s="1191"/>
      <c r="L173" s="1191"/>
      <c r="M173" s="1191"/>
      <c r="N173" s="1191"/>
      <c r="O173" s="1191"/>
      <c r="P173" s="1191"/>
      <c r="Q173" s="1191"/>
      <c r="R173" s="1191"/>
      <c r="S173" s="1191"/>
      <c r="T173" s="1191"/>
      <c r="U173" s="1191"/>
      <c r="V173" s="1191"/>
      <c r="W173" s="1191"/>
      <c r="X173" s="1191"/>
      <c r="Y173" s="1191"/>
      <c r="Z173" s="1191"/>
      <c r="AA173" s="1191"/>
      <c r="AB173" s="1191"/>
      <c r="AC173" s="1191"/>
      <c r="AD173" s="1191"/>
      <c r="AE173" s="1191"/>
      <c r="AF173" s="1191"/>
      <c r="AG173" s="1191"/>
      <c r="AH173" s="1191"/>
      <c r="AI173" s="1191"/>
      <c r="AJ173" s="1191"/>
      <c r="AK173" s="1191"/>
      <c r="AL173" s="1191"/>
      <c r="AM173" s="1191"/>
      <c r="AN173" s="1191"/>
      <c r="AO173" s="1191"/>
      <c r="AP173" s="1191"/>
      <c r="AQ173" s="1191"/>
      <c r="AR173" s="1191"/>
      <c r="AS173" s="1191"/>
      <c r="AT173" s="1191"/>
      <c r="AU173" s="1191"/>
      <c r="AV173" s="1191"/>
      <c r="AW173" s="1191"/>
      <c r="AX173" s="1186"/>
      <c r="AY173" s="1186"/>
      <c r="AZ173" s="1186"/>
      <c r="BA173" s="1186"/>
      <c r="BB173" s="1182"/>
      <c r="BC173" s="1182"/>
      <c r="BD173" s="1182"/>
      <c r="BE173" s="1182"/>
      <c r="BF173" s="1182"/>
      <c r="BG173" s="1182"/>
      <c r="BH173" s="1182"/>
      <c r="BI173" s="1182"/>
      <c r="BJ173" s="1182"/>
      <c r="BK173" s="1182"/>
      <c r="BL173" s="1182"/>
      <c r="BM173" s="1182"/>
      <c r="BN173" s="1182"/>
      <c r="BO173" s="1182"/>
      <c r="BP173" s="1182"/>
      <c r="BQ173" s="1182"/>
      <c r="BR173" s="1190"/>
      <c r="BS173" s="1190"/>
      <c r="BT173" s="1190"/>
      <c r="BU173" s="1190"/>
      <c r="BV173" s="1190"/>
      <c r="BW173" s="1190"/>
      <c r="BX173" s="1190"/>
      <c r="BY173" s="1190"/>
      <c r="BZ173" s="1190"/>
      <c r="CA173" s="1190"/>
      <c r="CB173" s="1190"/>
      <c r="CC173" s="1190"/>
      <c r="CD173" s="1190"/>
      <c r="CE173" s="1190"/>
      <c r="CF173" s="1190"/>
      <c r="CG173" s="1189"/>
      <c r="CH173" s="1189"/>
      <c r="CI173" s="1189"/>
      <c r="CJ173" s="1189"/>
      <c r="CK173" s="1184"/>
      <c r="CL173" s="1189"/>
      <c r="CM173" s="1189"/>
      <c r="CN173" s="1189"/>
      <c r="CO173" s="1189"/>
      <c r="CP173" s="1184"/>
      <c r="CQ173" s="1189"/>
      <c r="CR173" s="1189"/>
      <c r="CS173" s="1189"/>
      <c r="CT173" s="1189"/>
      <c r="CU173" s="1156"/>
      <c r="CV173" s="1189"/>
      <c r="CW173" s="1189"/>
      <c r="CX173" s="1189"/>
      <c r="CY173" s="1189"/>
      <c r="CZ173" s="1156"/>
      <c r="DA173" s="1156"/>
      <c r="DB173" s="2108"/>
      <c r="DC173" s="2108"/>
    </row>
    <row r="174" spans="1:107" s="1178" customFormat="1" ht="11.25" hidden="1" outlineLevel="1">
      <c r="A174" s="1191"/>
      <c r="B174" s="1181" t="s">
        <v>913</v>
      </c>
      <c r="C174" s="1191"/>
      <c r="D174" s="1191"/>
      <c r="E174" s="1191"/>
      <c r="F174" s="1191"/>
      <c r="G174" s="1191"/>
      <c r="H174" s="1191"/>
      <c r="I174" s="1191"/>
      <c r="J174" s="1191"/>
      <c r="K174" s="1191"/>
      <c r="L174" s="1191"/>
      <c r="M174" s="1191"/>
      <c r="N174" s="1191"/>
      <c r="O174" s="1191"/>
      <c r="P174" s="1191"/>
      <c r="Q174" s="1191"/>
      <c r="R174" s="1191"/>
      <c r="S174" s="1191"/>
      <c r="T174" s="1191"/>
      <c r="U174" s="1191"/>
      <c r="V174" s="1191"/>
      <c r="W174" s="1191"/>
      <c r="X174" s="1191"/>
      <c r="Y174" s="1191"/>
      <c r="Z174" s="1191"/>
      <c r="AA174" s="1191"/>
      <c r="AB174" s="1191"/>
      <c r="AC174" s="1191"/>
      <c r="AD174" s="1191"/>
      <c r="AE174" s="1191"/>
      <c r="AF174" s="1191"/>
      <c r="AG174" s="1191"/>
      <c r="AH174" s="1191"/>
      <c r="AI174" s="1191"/>
      <c r="AJ174" s="1191"/>
      <c r="AK174" s="1191"/>
      <c r="AL174" s="1191"/>
      <c r="AM174" s="1191"/>
      <c r="AN174" s="1191"/>
      <c r="AO174" s="1191"/>
      <c r="AP174" s="1191"/>
      <c r="AQ174" s="1191"/>
      <c r="AR174" s="1191"/>
      <c r="AS174" s="1191"/>
      <c r="AT174" s="1191"/>
      <c r="AU174" s="1191"/>
      <c r="AV174" s="1191"/>
      <c r="AW174" s="1191"/>
      <c r="AX174" s="1212">
        <v>12.51</v>
      </c>
      <c r="AY174" s="1212">
        <v>14</v>
      </c>
      <c r="AZ174" s="1212">
        <v>-3.18</v>
      </c>
      <c r="BA174" s="1212">
        <v>-7.9</v>
      </c>
      <c r="BB174" s="1182"/>
      <c r="BC174" s="1191">
        <v>-38</v>
      </c>
      <c r="BD174" s="1191">
        <v>-38.5</v>
      </c>
      <c r="BE174" s="1191">
        <v>-15</v>
      </c>
      <c r="BF174" s="1191">
        <v>-15</v>
      </c>
      <c r="BG174" s="1182"/>
      <c r="BH174" s="1182"/>
      <c r="BI174" s="1182"/>
      <c r="BJ174" s="1182"/>
      <c r="BK174" s="1182"/>
      <c r="BL174" s="1182"/>
      <c r="BM174" s="1182"/>
      <c r="BN174" s="1182"/>
      <c r="BO174" s="1182"/>
      <c r="BP174" s="1182"/>
      <c r="BQ174" s="1182"/>
      <c r="BR174" s="1190"/>
      <c r="BS174" s="1190"/>
      <c r="BT174" s="1190"/>
      <c r="BU174" s="1190"/>
      <c r="BV174" s="1190"/>
      <c r="BW174" s="1190"/>
      <c r="BX174" s="1190"/>
      <c r="BY174" s="1190"/>
      <c r="BZ174" s="1190"/>
      <c r="CA174" s="1190"/>
      <c r="CB174" s="1190"/>
      <c r="CC174" s="1190"/>
      <c r="CD174" s="1190"/>
      <c r="CE174" s="1190"/>
      <c r="CF174" s="1190"/>
      <c r="CG174" s="1189"/>
      <c r="CH174" s="1189"/>
      <c r="CI174" s="1189"/>
      <c r="CJ174" s="1189"/>
      <c r="CK174" s="1184"/>
      <c r="CL174" s="1189"/>
      <c r="CM174" s="1189"/>
      <c r="CN174" s="1189"/>
      <c r="CO174" s="1189"/>
      <c r="CP174" s="1184"/>
      <c r="CQ174" s="1189"/>
      <c r="CR174" s="1189"/>
      <c r="CS174" s="1189"/>
      <c r="CT174" s="1189"/>
      <c r="CU174" s="1156"/>
      <c r="CV174" s="1189"/>
      <c r="CW174" s="1189"/>
      <c r="CX174" s="1189"/>
      <c r="CY174" s="1189"/>
      <c r="CZ174" s="1156"/>
      <c r="DA174" s="1156"/>
      <c r="DB174" s="2108"/>
      <c r="DC174" s="2108"/>
    </row>
    <row r="175" spans="1:107" s="1178" customFormat="1" ht="11.25" hidden="1" outlineLevel="1">
      <c r="A175" s="1191"/>
      <c r="B175" s="1191"/>
      <c r="C175" s="1191"/>
      <c r="D175" s="1191"/>
      <c r="E175" s="1191"/>
      <c r="F175" s="1191"/>
      <c r="G175" s="1191"/>
      <c r="H175" s="1191"/>
      <c r="I175" s="1191"/>
      <c r="J175" s="1191"/>
      <c r="K175" s="1191"/>
      <c r="L175" s="1191"/>
      <c r="M175" s="1191"/>
      <c r="N175" s="1191"/>
      <c r="O175" s="1191"/>
      <c r="P175" s="1191"/>
      <c r="Q175" s="1191"/>
      <c r="R175" s="1191"/>
      <c r="S175" s="1191"/>
      <c r="T175" s="1191"/>
      <c r="U175" s="1191"/>
      <c r="V175" s="1191"/>
      <c r="W175" s="1191"/>
      <c r="X175" s="1191"/>
      <c r="Y175" s="1191"/>
      <c r="Z175" s="1191"/>
      <c r="AA175" s="1191"/>
      <c r="AB175" s="1191"/>
      <c r="AC175" s="1191"/>
      <c r="AD175" s="1191"/>
      <c r="AE175" s="1191"/>
      <c r="AF175" s="1191"/>
      <c r="AG175" s="1191"/>
      <c r="AH175" s="1191"/>
      <c r="AI175" s="1191"/>
      <c r="AJ175" s="1191"/>
      <c r="AK175" s="1191"/>
      <c r="AL175" s="1191"/>
      <c r="AM175" s="1191"/>
      <c r="AN175" s="1191"/>
      <c r="AO175" s="1191"/>
      <c r="AP175" s="1191"/>
      <c r="AQ175" s="1191"/>
      <c r="AR175" s="1191"/>
      <c r="AS175" s="1191"/>
      <c r="AT175" s="1191"/>
      <c r="AU175" s="1191"/>
      <c r="AV175" s="1191"/>
      <c r="AW175" s="1191"/>
      <c r="AX175" s="1191"/>
      <c r="AY175" s="1182"/>
      <c r="AZ175" s="1182"/>
      <c r="BA175" s="1182"/>
      <c r="BB175" s="1182"/>
      <c r="BC175" s="1182"/>
      <c r="BD175" s="1182"/>
      <c r="BE175" s="1182"/>
      <c r="BF175" s="1182"/>
      <c r="BG175" s="1182"/>
      <c r="BH175" s="1182"/>
      <c r="BI175" s="1182"/>
      <c r="BJ175" s="1182"/>
      <c r="BK175" s="1182"/>
      <c r="BL175" s="1182"/>
      <c r="BM175" s="1182"/>
      <c r="BN175" s="1182"/>
      <c r="BO175" s="1182"/>
      <c r="BP175" s="1182"/>
      <c r="BQ175" s="1182"/>
      <c r="BR175" s="1190"/>
      <c r="BS175" s="1190"/>
      <c r="BT175" s="1190"/>
      <c r="BU175" s="1190"/>
      <c r="BV175" s="1190"/>
      <c r="BW175" s="1190"/>
      <c r="BX175" s="1190"/>
      <c r="BY175" s="1190"/>
      <c r="BZ175" s="1190"/>
      <c r="CA175" s="1190"/>
      <c r="CB175" s="1190"/>
      <c r="CC175" s="1190"/>
      <c r="CD175" s="1190"/>
      <c r="CE175" s="1190"/>
      <c r="CF175" s="1190"/>
      <c r="CG175" s="1189"/>
      <c r="CH175" s="1189"/>
      <c r="CI175" s="1189"/>
      <c r="CJ175" s="1189"/>
      <c r="CK175" s="1184"/>
      <c r="CL175" s="1189"/>
      <c r="CM175" s="1189"/>
      <c r="CN175" s="1189"/>
      <c r="CO175" s="1189"/>
      <c r="CP175" s="1184"/>
      <c r="CQ175" s="1189"/>
      <c r="CR175" s="1189"/>
      <c r="CS175" s="1189"/>
      <c r="CT175" s="1189"/>
      <c r="CU175" s="1156"/>
      <c r="CV175" s="1189"/>
      <c r="CW175" s="1189"/>
      <c r="CX175" s="1189"/>
      <c r="CY175" s="1189"/>
      <c r="CZ175" s="1156"/>
      <c r="DA175" s="1156"/>
      <c r="DB175" s="2108"/>
      <c r="DC175" s="2108"/>
    </row>
    <row r="176" spans="1:107" s="1178" customFormat="1" ht="11.25" hidden="1" outlineLevel="1">
      <c r="A176" s="1191"/>
      <c r="B176" s="1182" t="s">
        <v>914</v>
      </c>
      <c r="C176" s="1191"/>
      <c r="D176" s="1191"/>
      <c r="E176" s="1191"/>
      <c r="F176" s="1191"/>
      <c r="G176" s="1191"/>
      <c r="H176" s="1191"/>
      <c r="I176" s="1191"/>
      <c r="J176" s="1191"/>
      <c r="K176" s="1191"/>
      <c r="L176" s="1191"/>
      <c r="M176" s="1191"/>
      <c r="N176" s="1191"/>
      <c r="O176" s="1191"/>
      <c r="P176" s="1191"/>
      <c r="Q176" s="1191"/>
      <c r="R176" s="1191"/>
      <c r="S176" s="1191"/>
      <c r="T176" s="1191"/>
      <c r="U176" s="1191"/>
      <c r="V176" s="1191"/>
      <c r="W176" s="1191"/>
      <c r="X176" s="1191"/>
      <c r="Y176" s="1191"/>
      <c r="Z176" s="1191"/>
      <c r="AA176" s="1191"/>
      <c r="AB176" s="1191"/>
      <c r="AC176" s="1191"/>
      <c r="AD176" s="1191"/>
      <c r="AE176" s="1191"/>
      <c r="AF176" s="1191"/>
      <c r="AG176" s="1191"/>
      <c r="AH176" s="1191"/>
      <c r="AI176" s="1191"/>
      <c r="AJ176" s="1191"/>
      <c r="AK176" s="1191"/>
      <c r="AL176" s="1191"/>
      <c r="AM176" s="1211"/>
      <c r="AN176" s="1211"/>
      <c r="AO176" s="1211"/>
      <c r="AP176" s="1211"/>
      <c r="AQ176" s="1211"/>
      <c r="AR176" s="1211"/>
      <c r="AS176" s="1211"/>
      <c r="AT176" s="1211"/>
      <c r="AU176" s="1211"/>
      <c r="AV176" s="1211"/>
      <c r="AW176" s="1211"/>
      <c r="AX176" s="1211">
        <v>0.12</v>
      </c>
      <c r="AY176" s="1207">
        <v>0.24</v>
      </c>
      <c r="AZ176" s="1207">
        <v>0.2</v>
      </c>
      <c r="BA176" s="1207">
        <v>-0.05</v>
      </c>
      <c r="BB176" s="1207"/>
      <c r="BC176" s="1207">
        <v>-0.4</v>
      </c>
      <c r="BD176" s="1207">
        <v>-0.2</v>
      </c>
      <c r="BE176" s="1207">
        <v>-0.03</v>
      </c>
      <c r="BF176" s="1207">
        <v>0.15</v>
      </c>
      <c r="BG176" s="1182"/>
      <c r="BH176" s="1182"/>
      <c r="BI176" s="1182"/>
      <c r="BJ176" s="1182"/>
      <c r="BK176" s="1182"/>
      <c r="BL176" s="1182"/>
      <c r="BM176" s="1182"/>
      <c r="BN176" s="1182"/>
      <c r="BO176" s="1182"/>
      <c r="BP176" s="1182"/>
      <c r="BQ176" s="1182"/>
      <c r="BR176" s="1190"/>
      <c r="BS176" s="1190"/>
      <c r="BT176" s="1190"/>
      <c r="BU176" s="1190"/>
      <c r="BV176" s="1190"/>
      <c r="BW176" s="1190"/>
      <c r="BX176" s="1190"/>
      <c r="BY176" s="1190"/>
      <c r="BZ176" s="1190"/>
      <c r="CA176" s="1190"/>
      <c r="CB176" s="1190"/>
      <c r="CC176" s="1190"/>
      <c r="CD176" s="1190"/>
      <c r="CE176" s="1190"/>
      <c r="CF176" s="1190"/>
      <c r="CG176" s="1189"/>
      <c r="CH176" s="1189"/>
      <c r="CI176" s="1189"/>
      <c r="CJ176" s="1189"/>
      <c r="CK176" s="1184"/>
      <c r="CL176" s="1189"/>
      <c r="CM176" s="1189"/>
      <c r="CN176" s="1189"/>
      <c r="CO176" s="1189"/>
      <c r="CP176" s="1184"/>
      <c r="CQ176" s="1189"/>
      <c r="CR176" s="1189"/>
      <c r="CS176" s="1189"/>
      <c r="CT176" s="1189"/>
      <c r="CU176" s="1156"/>
      <c r="CV176" s="1189"/>
      <c r="CW176" s="1189"/>
      <c r="CX176" s="1189"/>
      <c r="CY176" s="1189"/>
      <c r="CZ176" s="1156"/>
      <c r="DA176" s="1156"/>
      <c r="DB176" s="2108"/>
      <c r="DC176" s="2108"/>
    </row>
    <row r="177" spans="1:107" s="1178" customFormat="1" ht="11.25" hidden="1" outlineLevel="1">
      <c r="A177" s="1191"/>
      <c r="B177" s="1181" t="s">
        <v>913</v>
      </c>
      <c r="C177" s="1191"/>
      <c r="D177" s="1191"/>
      <c r="E177" s="1191"/>
      <c r="F177" s="1191"/>
      <c r="G177" s="1191"/>
      <c r="H177" s="1191"/>
      <c r="I177" s="1191"/>
      <c r="J177" s="1191"/>
      <c r="K177" s="1191"/>
      <c r="L177" s="1191"/>
      <c r="M177" s="1191"/>
      <c r="N177" s="1191"/>
      <c r="O177" s="1191"/>
      <c r="P177" s="1191"/>
      <c r="Q177" s="1191"/>
      <c r="R177" s="1191"/>
      <c r="S177" s="1191"/>
      <c r="T177" s="1191"/>
      <c r="U177" s="1191"/>
      <c r="V177" s="1191"/>
      <c r="W177" s="1191"/>
      <c r="X177" s="1191"/>
      <c r="Y177" s="1191"/>
      <c r="Z177" s="1191"/>
      <c r="AA177" s="1191"/>
      <c r="AB177" s="1191"/>
      <c r="AC177" s="1191"/>
      <c r="AD177" s="1191"/>
      <c r="AE177" s="1191"/>
      <c r="AF177" s="1191"/>
      <c r="AG177" s="1191"/>
      <c r="AH177" s="1191"/>
      <c r="AI177" s="1191"/>
      <c r="AJ177" s="1191"/>
      <c r="AK177" s="1191"/>
      <c r="AL177" s="1191"/>
      <c r="AM177" s="1191"/>
      <c r="AN177" s="1191"/>
      <c r="AO177" s="1191"/>
      <c r="AP177" s="1191"/>
      <c r="AQ177" s="1191"/>
      <c r="AR177" s="1191"/>
      <c r="AS177" s="1191"/>
      <c r="AT177" s="1191"/>
      <c r="AU177" s="1191"/>
      <c r="AV177" s="1191"/>
      <c r="AW177" s="1191"/>
      <c r="AX177" s="1191"/>
      <c r="AY177" s="1182"/>
      <c r="AZ177" s="1182"/>
      <c r="BA177" s="1182"/>
      <c r="BB177" s="1182"/>
      <c r="BC177" s="1182"/>
      <c r="BD177" s="1182"/>
      <c r="BE177" s="1182"/>
      <c r="BF177" s="1182"/>
      <c r="BG177" s="1182"/>
      <c r="BH177" s="1182"/>
      <c r="BI177" s="1182"/>
      <c r="BJ177" s="1182"/>
      <c r="BK177" s="1182"/>
      <c r="BL177" s="1182"/>
      <c r="BM177" s="1182"/>
      <c r="BN177" s="1182"/>
      <c r="BO177" s="1182"/>
      <c r="BP177" s="1182"/>
      <c r="BQ177" s="1182"/>
      <c r="BR177" s="1190"/>
      <c r="BS177" s="1190"/>
      <c r="BT177" s="1190"/>
      <c r="BU177" s="1210"/>
      <c r="BV177" s="1190"/>
      <c r="BW177" s="1190"/>
      <c r="BX177" s="1190"/>
      <c r="BY177" s="1190"/>
      <c r="BZ177" s="1190"/>
      <c r="CA177" s="1190"/>
      <c r="CB177" s="1190"/>
      <c r="CC177" s="1190"/>
      <c r="CD177" s="1190"/>
      <c r="CE177" s="1190"/>
      <c r="CF177" s="1190"/>
      <c r="CG177" s="1189"/>
      <c r="CH177" s="1189"/>
      <c r="CI177" s="1189"/>
      <c r="CJ177" s="1189"/>
      <c r="CK177" s="1184"/>
      <c r="CL177" s="1189"/>
      <c r="CM177" s="1189"/>
      <c r="CN177" s="1189"/>
      <c r="CO177" s="1189"/>
      <c r="CP177" s="1184"/>
      <c r="CQ177" s="1189"/>
      <c r="CR177" s="1189"/>
      <c r="CS177" s="1189"/>
      <c r="CT177" s="1189"/>
      <c r="CU177" s="1156"/>
      <c r="CV177" s="1189"/>
      <c r="CW177" s="1189"/>
      <c r="CX177" s="1189"/>
      <c r="CY177" s="1189"/>
      <c r="CZ177" s="1156"/>
      <c r="DA177" s="1156"/>
      <c r="DB177" s="2108"/>
      <c r="DC177" s="2108"/>
    </row>
    <row r="178" spans="1:107" s="1178" customFormat="1" ht="11.25" hidden="1" outlineLevel="1">
      <c r="A178" s="1191"/>
      <c r="B178" s="1191"/>
      <c r="C178" s="1191"/>
      <c r="D178" s="1191"/>
      <c r="E178" s="1191"/>
      <c r="F178" s="1191"/>
      <c r="G178" s="1191"/>
      <c r="H178" s="1191"/>
      <c r="I178" s="1191"/>
      <c r="J178" s="1191"/>
      <c r="K178" s="1191"/>
      <c r="L178" s="1191"/>
      <c r="M178" s="1191"/>
      <c r="N178" s="1191"/>
      <c r="O178" s="1191"/>
      <c r="P178" s="1191"/>
      <c r="Q178" s="1191"/>
      <c r="R178" s="1191"/>
      <c r="S178" s="1191"/>
      <c r="T178" s="1191"/>
      <c r="U178" s="1191"/>
      <c r="V178" s="1191"/>
      <c r="W178" s="1191"/>
      <c r="X178" s="1191"/>
      <c r="Y178" s="1191"/>
      <c r="Z178" s="1191"/>
      <c r="AA178" s="1191"/>
      <c r="AB178" s="1191"/>
      <c r="AC178" s="1191"/>
      <c r="AD178" s="1191"/>
      <c r="AE178" s="1191"/>
      <c r="AF178" s="1191"/>
      <c r="AG178" s="1191"/>
      <c r="AH178" s="1191"/>
      <c r="AI178" s="1191"/>
      <c r="AJ178" s="1191"/>
      <c r="AK178" s="1191"/>
      <c r="AL178" s="1191"/>
      <c r="AM178" s="1191"/>
      <c r="AN178" s="1191"/>
      <c r="AO178" s="1191"/>
      <c r="AP178" s="1191"/>
      <c r="AQ178" s="1191"/>
      <c r="AR178" s="1191"/>
      <c r="AS178" s="1191"/>
      <c r="AT178" s="1191"/>
      <c r="AU178" s="1191"/>
      <c r="AV178" s="1191"/>
      <c r="AW178" s="1191"/>
      <c r="AX178" s="1191"/>
      <c r="AY178" s="1182"/>
      <c r="AZ178" s="1182"/>
      <c r="BA178" s="1182"/>
      <c r="BB178" s="1182"/>
      <c r="BC178" s="1182"/>
      <c r="BD178" s="1182"/>
      <c r="BE178" s="1182"/>
      <c r="BF178" s="1182"/>
      <c r="BG178" s="1182"/>
      <c r="BH178" s="1182"/>
      <c r="BI178" s="1182"/>
      <c r="BJ178" s="1182"/>
      <c r="BK178" s="1182"/>
      <c r="BL178" s="1182"/>
      <c r="BM178" s="1182"/>
      <c r="BN178" s="1182"/>
      <c r="BO178" s="1182"/>
      <c r="BP178" s="1182"/>
      <c r="BQ178" s="1182"/>
      <c r="BR178" s="1190"/>
      <c r="BS178" s="1190"/>
      <c r="BT178" s="1190"/>
      <c r="BU178" s="1190"/>
      <c r="BV178" s="1190"/>
      <c r="BW178" s="1190"/>
      <c r="BX178" s="1190"/>
      <c r="BY178" s="1190"/>
      <c r="BZ178" s="1190"/>
      <c r="CA178" s="1190"/>
      <c r="CB178" s="1190"/>
      <c r="CC178" s="1190"/>
      <c r="CD178" s="1190"/>
      <c r="CE178" s="1190"/>
      <c r="CF178" s="1190"/>
      <c r="CG178" s="1189"/>
      <c r="CH178" s="1189"/>
      <c r="CI178" s="1189"/>
      <c r="CJ178" s="1189"/>
      <c r="CK178" s="1184"/>
      <c r="CL178" s="1189"/>
      <c r="CM178" s="1189"/>
      <c r="CN178" s="1189"/>
      <c r="CO178" s="1189"/>
      <c r="CP178" s="1184"/>
      <c r="CQ178" s="1189"/>
      <c r="CR178" s="1189"/>
      <c r="CS178" s="1189"/>
      <c r="CT178" s="1189"/>
      <c r="CU178" s="1156"/>
      <c r="CV178" s="1189"/>
      <c r="CW178" s="1189"/>
      <c r="CX178" s="1189"/>
      <c r="CY178" s="1189"/>
      <c r="CZ178" s="1156"/>
      <c r="DA178" s="1156"/>
      <c r="DB178" s="2108"/>
      <c r="DC178" s="2108"/>
    </row>
    <row r="179" spans="1:107" s="1178" customFormat="1" ht="11.25" hidden="1" outlineLevel="1">
      <c r="A179" s="1191"/>
      <c r="B179" s="1191"/>
      <c r="C179" s="1182" t="s">
        <v>912</v>
      </c>
      <c r="D179" s="1191"/>
      <c r="E179" s="1191"/>
      <c r="F179" s="1191"/>
      <c r="G179" s="1191"/>
      <c r="H179" s="1191"/>
      <c r="I179" s="1191"/>
      <c r="J179" s="1191"/>
      <c r="K179" s="1191"/>
      <c r="L179" s="1191"/>
      <c r="M179" s="1191"/>
      <c r="N179" s="1191"/>
      <c r="O179" s="1191"/>
      <c r="P179" s="1191"/>
      <c r="Q179" s="1191"/>
      <c r="R179" s="1191"/>
      <c r="S179" s="1191"/>
      <c r="T179" s="1191"/>
      <c r="U179" s="1191"/>
      <c r="V179" s="1191"/>
      <c r="W179" s="1191"/>
      <c r="X179" s="1191"/>
      <c r="Y179" s="1191"/>
      <c r="Z179" s="1191"/>
      <c r="AA179" s="1191"/>
      <c r="AB179" s="1191"/>
      <c r="AC179" s="1191"/>
      <c r="AD179" s="1191"/>
      <c r="AE179" s="1191"/>
      <c r="AF179" s="1191"/>
      <c r="AG179" s="1191"/>
      <c r="AH179" s="1191"/>
      <c r="AI179" s="1191"/>
      <c r="AJ179" s="1191"/>
      <c r="AK179" s="1191"/>
      <c r="AL179" s="1191"/>
      <c r="AM179" s="1191"/>
      <c r="AN179" s="1191"/>
      <c r="AO179" s="1191"/>
      <c r="AP179" s="1191"/>
      <c r="AQ179" s="1191"/>
      <c r="AR179" s="1191"/>
      <c r="AS179" s="1191"/>
      <c r="AT179" s="1191"/>
      <c r="AU179" s="1191"/>
      <c r="AV179" s="1191"/>
      <c r="AW179" s="1191"/>
      <c r="AX179" s="1191"/>
      <c r="AY179" s="1182"/>
      <c r="AZ179" s="1182"/>
      <c r="BA179" s="1182"/>
      <c r="BB179" s="1182"/>
      <c r="BC179" s="1182"/>
      <c r="BD179" s="1182"/>
      <c r="BE179" s="1182"/>
      <c r="BF179" s="1182"/>
      <c r="BG179" s="1182"/>
      <c r="BH179" s="1182"/>
      <c r="BI179" s="1182"/>
      <c r="BJ179" s="1182"/>
      <c r="BK179" s="1182"/>
      <c r="BL179" s="1182"/>
      <c r="BM179" s="1182"/>
      <c r="BN179" s="1182"/>
      <c r="BO179" s="1182"/>
      <c r="BP179" s="1182"/>
      <c r="BQ179" s="1182"/>
      <c r="BR179" s="1190"/>
      <c r="BS179" s="1190"/>
      <c r="BT179" s="1190"/>
      <c r="BU179" s="1190"/>
      <c r="BV179" s="1190"/>
      <c r="BW179" s="1190"/>
      <c r="BX179" s="1190"/>
      <c r="BY179" s="1190"/>
      <c r="BZ179" s="1190"/>
      <c r="CA179" s="1190"/>
      <c r="CB179" s="1190"/>
      <c r="CC179" s="1190"/>
      <c r="CD179" s="1190"/>
      <c r="CE179" s="1190"/>
      <c r="CF179" s="1190"/>
      <c r="CG179" s="1189"/>
      <c r="CH179" s="1189"/>
      <c r="CI179" s="1189"/>
      <c r="CJ179" s="1189"/>
      <c r="CK179" s="1184"/>
      <c r="CL179" s="1189"/>
      <c r="CM179" s="1189"/>
      <c r="CN179" s="1189"/>
      <c r="CO179" s="1189"/>
      <c r="CP179" s="1184"/>
      <c r="CQ179" s="1189"/>
      <c r="CR179" s="1189"/>
      <c r="CS179" s="1189"/>
      <c r="CT179" s="1189"/>
      <c r="CU179" s="1156"/>
      <c r="CV179" s="1189"/>
      <c r="CW179" s="1189"/>
      <c r="CX179" s="1189"/>
      <c r="CY179" s="1189"/>
      <c r="CZ179" s="1156"/>
      <c r="DA179" s="1156"/>
      <c r="DB179" s="2108"/>
      <c r="DC179" s="2108"/>
    </row>
    <row r="180" spans="1:107" s="1178" customFormat="1" ht="11.25" hidden="1" outlineLevel="1">
      <c r="A180" s="1191"/>
      <c r="B180" s="1191"/>
      <c r="C180" s="1191" t="s">
        <v>911</v>
      </c>
      <c r="D180" s="1191"/>
      <c r="E180" s="1191"/>
      <c r="F180" s="1191"/>
      <c r="G180" s="1191"/>
      <c r="H180" s="1191"/>
      <c r="I180" s="1191"/>
      <c r="J180" s="1191"/>
      <c r="K180" s="1191"/>
      <c r="L180" s="1191"/>
      <c r="M180" s="1191"/>
      <c r="N180" s="1191"/>
      <c r="O180" s="1191"/>
      <c r="P180" s="1191"/>
      <c r="Q180" s="1191"/>
      <c r="R180" s="1191"/>
      <c r="S180" s="1191"/>
      <c r="T180" s="1191"/>
      <c r="U180" s="1191"/>
      <c r="V180" s="1191"/>
      <c r="W180" s="1191"/>
      <c r="X180" s="1191"/>
      <c r="Y180" s="1191"/>
      <c r="Z180" s="1191"/>
      <c r="AA180" s="1191"/>
      <c r="AB180" s="1191"/>
      <c r="AC180" s="1191"/>
      <c r="AD180" s="1191"/>
      <c r="AE180" s="1191"/>
      <c r="AF180" s="1191"/>
      <c r="AG180" s="1191"/>
      <c r="AH180" s="1191"/>
      <c r="AI180" s="1191"/>
      <c r="AJ180" s="1191"/>
      <c r="AK180" s="1191"/>
      <c r="AL180" s="1191"/>
      <c r="AM180" s="1191">
        <v>850</v>
      </c>
      <c r="AN180" s="1191"/>
      <c r="AO180" s="1191"/>
      <c r="AP180" s="1191"/>
      <c r="AQ180" s="1191"/>
      <c r="AR180" s="1191">
        <v>1200</v>
      </c>
      <c r="AS180" s="1191"/>
      <c r="AT180" s="1191"/>
      <c r="AU180" s="1191"/>
      <c r="AV180" s="1191"/>
      <c r="AW180" s="1191">
        <v>1550</v>
      </c>
      <c r="AX180" s="1191"/>
      <c r="AY180" s="1182"/>
      <c r="AZ180" s="1182"/>
      <c r="BA180" s="1182"/>
      <c r="BB180" s="1191">
        <v>1500</v>
      </c>
      <c r="BC180" s="1191"/>
      <c r="BD180" s="1191"/>
      <c r="BE180" s="1191"/>
      <c r="BF180" s="1191"/>
      <c r="BG180" s="1191">
        <v>750</v>
      </c>
      <c r="BH180" s="1182"/>
      <c r="BI180" s="1182"/>
      <c r="BJ180" s="1182"/>
      <c r="BK180" s="1182"/>
      <c r="BL180" s="1182"/>
      <c r="BM180" s="1182"/>
      <c r="BN180" s="1182"/>
      <c r="BO180" s="1182"/>
      <c r="BP180" s="1182"/>
      <c r="BQ180" s="1182"/>
      <c r="BR180" s="1190"/>
      <c r="BS180" s="1190"/>
      <c r="BT180" s="1190"/>
      <c r="BU180" s="1190"/>
      <c r="BV180" s="1190"/>
      <c r="BW180" s="1190"/>
      <c r="BX180" s="1190"/>
      <c r="BY180" s="1190"/>
      <c r="BZ180" s="1190"/>
      <c r="CA180" s="1190"/>
      <c r="CB180" s="1190"/>
      <c r="CC180" s="1190"/>
      <c r="CD180" s="1190"/>
      <c r="CE180" s="1190"/>
      <c r="CF180" s="1190"/>
      <c r="CG180" s="1189"/>
      <c r="CH180" s="1189"/>
      <c r="CI180" s="1189"/>
      <c r="CJ180" s="1189"/>
      <c r="CK180" s="1184"/>
      <c r="CL180" s="1189"/>
      <c r="CM180" s="1189"/>
      <c r="CN180" s="1189"/>
      <c r="CO180" s="1189"/>
      <c r="CP180" s="1184"/>
      <c r="CQ180" s="1189"/>
      <c r="CR180" s="1189"/>
      <c r="CS180" s="1189"/>
      <c r="CT180" s="1189"/>
      <c r="CU180" s="1156"/>
      <c r="CV180" s="1189"/>
      <c r="CW180" s="1189"/>
      <c r="CX180" s="1189"/>
      <c r="CY180" s="1189"/>
      <c r="CZ180" s="1156"/>
      <c r="DA180" s="1156"/>
      <c r="DB180" s="2108"/>
      <c r="DC180" s="2108"/>
    </row>
    <row r="181" spans="1:107" s="1178" customFormat="1" ht="11.25" hidden="1" outlineLevel="1">
      <c r="A181" s="1191"/>
      <c r="B181" s="1191"/>
      <c r="C181" s="1191" t="s">
        <v>9</v>
      </c>
      <c r="D181" s="1191"/>
      <c r="E181" s="1191"/>
      <c r="F181" s="1191"/>
      <c r="G181" s="1191"/>
      <c r="H181" s="1191"/>
      <c r="I181" s="1191"/>
      <c r="J181" s="1191"/>
      <c r="K181" s="1191"/>
      <c r="L181" s="1191"/>
      <c r="M181" s="1191"/>
      <c r="N181" s="1191"/>
      <c r="O181" s="1191"/>
      <c r="P181" s="1191"/>
      <c r="Q181" s="1191"/>
      <c r="R181" s="1191"/>
      <c r="S181" s="1191"/>
      <c r="T181" s="1191"/>
      <c r="U181" s="1191"/>
      <c r="V181" s="1191"/>
      <c r="W181" s="1191"/>
      <c r="X181" s="1191"/>
      <c r="Y181" s="1191"/>
      <c r="Z181" s="1191"/>
      <c r="AA181" s="1191"/>
      <c r="AB181" s="1191"/>
      <c r="AC181" s="1191"/>
      <c r="AD181" s="1191"/>
      <c r="AE181" s="1191"/>
      <c r="AF181" s="1191"/>
      <c r="AG181" s="1191"/>
      <c r="AH181" s="1191"/>
      <c r="AI181" s="1191"/>
      <c r="AJ181" s="1191"/>
      <c r="AK181" s="1191"/>
      <c r="AL181" s="1191"/>
      <c r="AM181" s="1191">
        <v>1500</v>
      </c>
      <c r="AN181" s="1191"/>
      <c r="AO181" s="1191"/>
      <c r="AP181" s="1191"/>
      <c r="AQ181" s="1191"/>
      <c r="AR181" s="1191">
        <v>1600</v>
      </c>
      <c r="AS181" s="1191"/>
      <c r="AT181" s="1191"/>
      <c r="AU181" s="1191"/>
      <c r="AV181" s="1191"/>
      <c r="AW181" s="1191">
        <v>1800</v>
      </c>
      <c r="AX181" s="1191"/>
      <c r="AY181" s="1182"/>
      <c r="AZ181" s="1182"/>
      <c r="BA181" s="1182"/>
      <c r="BB181" s="1191">
        <v>1900</v>
      </c>
      <c r="BC181" s="1191"/>
      <c r="BD181" s="1191"/>
      <c r="BE181" s="1191"/>
      <c r="BF181" s="1191"/>
      <c r="BG181" s="1191">
        <v>1300</v>
      </c>
      <c r="BH181" s="1182"/>
      <c r="BI181" s="1182"/>
      <c r="BJ181" s="1182"/>
      <c r="BK181" s="1182"/>
      <c r="BL181" s="1182"/>
      <c r="BM181" s="1182"/>
      <c r="BN181" s="1182"/>
      <c r="BO181" s="1182"/>
      <c r="BP181" s="1182"/>
      <c r="BQ181" s="1182"/>
      <c r="BR181" s="1190"/>
      <c r="BS181" s="1190"/>
      <c r="BT181" s="1190"/>
      <c r="BU181" s="1190"/>
      <c r="BV181" s="1190"/>
      <c r="BW181" s="1190"/>
      <c r="BX181" s="1190"/>
      <c r="BY181" s="1190"/>
      <c r="BZ181" s="1190"/>
      <c r="CA181" s="1190"/>
      <c r="CB181" s="1190"/>
      <c r="CC181" s="1190"/>
      <c r="CD181" s="1190"/>
      <c r="CE181" s="1190"/>
      <c r="CF181" s="1190"/>
      <c r="CG181" s="1189"/>
      <c r="CH181" s="1189"/>
      <c r="CI181" s="1189"/>
      <c r="CJ181" s="1189"/>
      <c r="CK181" s="1184"/>
      <c r="CL181" s="1189"/>
      <c r="CM181" s="1189"/>
      <c r="CN181" s="1189"/>
      <c r="CO181" s="1189"/>
      <c r="CP181" s="1184"/>
      <c r="CQ181" s="1189"/>
      <c r="CR181" s="1189"/>
      <c r="CS181" s="1189"/>
      <c r="CT181" s="1189"/>
      <c r="CU181" s="1156"/>
      <c r="CV181" s="1189"/>
      <c r="CW181" s="1189"/>
      <c r="CX181" s="1189"/>
      <c r="CY181" s="1189"/>
      <c r="CZ181" s="1156"/>
      <c r="DA181" s="1156"/>
      <c r="DB181" s="2108"/>
      <c r="DC181" s="2108"/>
    </row>
    <row r="182" spans="1:107" s="1178" customFormat="1" ht="11.25" hidden="1" outlineLevel="1">
      <c r="A182" s="1191"/>
      <c r="B182" s="1191"/>
      <c r="C182" s="1191" t="s">
        <v>563</v>
      </c>
      <c r="D182" s="1191"/>
      <c r="E182" s="1191"/>
      <c r="F182" s="1191"/>
      <c r="G182" s="1191"/>
      <c r="H182" s="1191"/>
      <c r="I182" s="1191"/>
      <c r="J182" s="1191"/>
      <c r="K182" s="1191"/>
      <c r="L182" s="1191"/>
      <c r="M182" s="1191"/>
      <c r="N182" s="1191"/>
      <c r="O182" s="1191"/>
      <c r="P182" s="1191"/>
      <c r="Q182" s="1191"/>
      <c r="R182" s="1191"/>
      <c r="S182" s="1191"/>
      <c r="T182" s="1191"/>
      <c r="U182" s="1191"/>
      <c r="V182" s="1191"/>
      <c r="W182" s="1191"/>
      <c r="X182" s="1191"/>
      <c r="Y182" s="1191"/>
      <c r="Z182" s="1191"/>
      <c r="AA182" s="1191"/>
      <c r="AB182" s="1191"/>
      <c r="AC182" s="1191"/>
      <c r="AD182" s="1191"/>
      <c r="AE182" s="1191"/>
      <c r="AF182" s="1191"/>
      <c r="AG182" s="1191"/>
      <c r="AH182" s="1191"/>
      <c r="AI182" s="1191"/>
      <c r="AJ182" s="1191"/>
      <c r="AK182" s="1191"/>
      <c r="AL182" s="1191"/>
      <c r="AM182" s="1191">
        <v>1800</v>
      </c>
      <c r="AN182" s="1191"/>
      <c r="AO182" s="1191"/>
      <c r="AP182" s="1191"/>
      <c r="AQ182" s="1191"/>
      <c r="AR182" s="1191">
        <v>2000</v>
      </c>
      <c r="AS182" s="1191"/>
      <c r="AT182" s="1191"/>
      <c r="AU182" s="1191"/>
      <c r="AV182" s="1191"/>
      <c r="AW182" s="1191">
        <v>2450</v>
      </c>
      <c r="AX182" s="1191"/>
      <c r="AY182" s="1182"/>
      <c r="AZ182" s="1182"/>
      <c r="BA182" s="1182"/>
      <c r="BB182" s="1191">
        <v>2800</v>
      </c>
      <c r="BC182" s="1191"/>
      <c r="BD182" s="1191"/>
      <c r="BE182" s="1191"/>
      <c r="BF182" s="1191"/>
      <c r="BG182" s="1191">
        <v>2300</v>
      </c>
      <c r="BH182" s="1182"/>
      <c r="BI182" s="1182"/>
      <c r="BJ182" s="1182"/>
      <c r="BK182" s="1182"/>
      <c r="BL182" s="1182"/>
      <c r="BM182" s="1182"/>
      <c r="BN182" s="1182"/>
      <c r="BO182" s="1182"/>
      <c r="BP182" s="1182"/>
      <c r="BQ182" s="1182"/>
      <c r="BR182" s="1190"/>
      <c r="BS182" s="1190"/>
      <c r="BT182" s="1190"/>
      <c r="BU182" s="1190"/>
      <c r="BV182" s="1190"/>
      <c r="BW182" s="1190"/>
      <c r="BX182" s="1190"/>
      <c r="BY182" s="1190"/>
      <c r="BZ182" s="1190"/>
      <c r="CA182" s="1190"/>
      <c r="CB182" s="1190"/>
      <c r="CC182" s="1190"/>
      <c r="CD182" s="1190"/>
      <c r="CE182" s="1190"/>
      <c r="CF182" s="1190"/>
      <c r="CG182" s="1189"/>
      <c r="CH182" s="1189"/>
      <c r="CI182" s="1189"/>
      <c r="CJ182" s="1189"/>
      <c r="CK182" s="1184"/>
      <c r="CL182" s="1189"/>
      <c r="CM182" s="1189"/>
      <c r="CN182" s="1189"/>
      <c r="CO182" s="1189"/>
      <c r="CP182" s="1184"/>
      <c r="CQ182" s="1189"/>
      <c r="CR182" s="1189"/>
      <c r="CS182" s="1189"/>
      <c r="CT182" s="1189"/>
      <c r="CU182" s="1156"/>
      <c r="CV182" s="1189"/>
      <c r="CW182" s="1189"/>
      <c r="CX182" s="1189"/>
      <c r="CY182" s="1189"/>
      <c r="CZ182" s="1156"/>
      <c r="DA182" s="1156"/>
      <c r="DB182" s="2108"/>
      <c r="DC182" s="2108"/>
    </row>
    <row r="183" spans="1:107" s="1178" customFormat="1" ht="11.25" hidden="1" outlineLevel="1">
      <c r="A183" s="1191"/>
      <c r="B183" s="1191"/>
      <c r="C183" s="1191"/>
      <c r="D183" s="1191"/>
      <c r="E183" s="1191"/>
      <c r="F183" s="1191"/>
      <c r="G183" s="1191"/>
      <c r="H183" s="1191"/>
      <c r="I183" s="1191"/>
      <c r="J183" s="1191"/>
      <c r="K183" s="1191"/>
      <c r="L183" s="1191"/>
      <c r="M183" s="1191"/>
      <c r="N183" s="1191"/>
      <c r="O183" s="1191"/>
      <c r="P183" s="1191"/>
      <c r="Q183" s="1191"/>
      <c r="R183" s="1191"/>
      <c r="S183" s="1191"/>
      <c r="T183" s="1191"/>
      <c r="U183" s="1191"/>
      <c r="V183" s="1191"/>
      <c r="W183" s="1191"/>
      <c r="X183" s="1191"/>
      <c r="Y183" s="1191"/>
      <c r="Z183" s="1191"/>
      <c r="AA183" s="1191"/>
      <c r="AB183" s="1191"/>
      <c r="AC183" s="1191"/>
      <c r="AD183" s="1191"/>
      <c r="AE183" s="1191"/>
      <c r="AF183" s="1191"/>
      <c r="AG183" s="1191"/>
      <c r="AH183" s="1191"/>
      <c r="AI183" s="1191"/>
      <c r="AJ183" s="1191"/>
      <c r="AK183" s="1191"/>
      <c r="AL183" s="1191"/>
      <c r="AM183" s="1191"/>
      <c r="AN183" s="1191"/>
      <c r="AO183" s="1191"/>
      <c r="AP183" s="1191"/>
      <c r="AQ183" s="1191"/>
      <c r="AR183" s="1191"/>
      <c r="AS183" s="1191"/>
      <c r="AT183" s="1191"/>
      <c r="AU183" s="1191"/>
      <c r="AV183" s="1191"/>
      <c r="AW183" s="1191"/>
      <c r="AX183" s="1191"/>
      <c r="AY183" s="1182"/>
      <c r="AZ183" s="1182"/>
      <c r="BA183" s="1182"/>
      <c r="BB183" s="1182"/>
      <c r="BC183" s="1182"/>
      <c r="BD183" s="1182"/>
      <c r="BE183" s="1182"/>
      <c r="BF183" s="1182"/>
      <c r="BG183" s="1182"/>
      <c r="BH183" s="1182"/>
      <c r="BI183" s="1182"/>
      <c r="BJ183" s="1182"/>
      <c r="BK183" s="1182"/>
      <c r="BL183" s="1182"/>
      <c r="BM183" s="1182"/>
      <c r="BN183" s="1182"/>
      <c r="BO183" s="1182"/>
      <c r="BP183" s="1182"/>
      <c r="BQ183" s="1182"/>
      <c r="BR183" s="1190"/>
      <c r="BS183" s="1190"/>
      <c r="BT183" s="1190"/>
      <c r="BU183" s="1190"/>
      <c r="BV183" s="1190"/>
      <c r="BW183" s="1190"/>
      <c r="BX183" s="1190"/>
      <c r="BY183" s="1190"/>
      <c r="BZ183" s="1190"/>
      <c r="CA183" s="1190"/>
      <c r="CB183" s="1190"/>
      <c r="CC183" s="1190"/>
      <c r="CD183" s="1190"/>
      <c r="CE183" s="1190"/>
      <c r="CF183" s="1190"/>
      <c r="CG183" s="1189"/>
      <c r="CH183" s="1189"/>
      <c r="CI183" s="1189"/>
      <c r="CJ183" s="1189"/>
      <c r="CK183" s="1184"/>
      <c r="CL183" s="1189"/>
      <c r="CM183" s="1189"/>
      <c r="CN183" s="1189"/>
      <c r="CO183" s="1189"/>
      <c r="CP183" s="1184"/>
      <c r="CQ183" s="1189"/>
      <c r="CR183" s="1189"/>
      <c r="CS183" s="1189"/>
      <c r="CT183" s="1189"/>
      <c r="CU183" s="1156"/>
      <c r="CV183" s="1189"/>
      <c r="CW183" s="1189"/>
      <c r="CX183" s="1189"/>
      <c r="CY183" s="1189"/>
      <c r="CZ183" s="1156"/>
      <c r="DA183" s="1156"/>
      <c r="DB183" s="2108"/>
      <c r="DC183" s="2108"/>
    </row>
    <row r="184" spans="1:107" s="1178" customFormat="1" ht="11.25" hidden="1" outlineLevel="1">
      <c r="A184" s="1191"/>
      <c r="B184" s="1191" t="s">
        <v>910</v>
      </c>
      <c r="C184" s="1191"/>
      <c r="D184" s="1191"/>
      <c r="E184" s="1191"/>
      <c r="F184" s="1191"/>
      <c r="G184" s="1191"/>
      <c r="H184" s="1191"/>
      <c r="I184" s="1191"/>
      <c r="J184" s="1191"/>
      <c r="K184" s="1191"/>
      <c r="L184" s="1191"/>
      <c r="M184" s="1191"/>
      <c r="N184" s="1191"/>
      <c r="O184" s="1191"/>
      <c r="P184" s="1191"/>
      <c r="Q184" s="1191"/>
      <c r="R184" s="1191"/>
      <c r="S184" s="1191"/>
      <c r="T184" s="1191"/>
      <c r="U184" s="1191"/>
      <c r="V184" s="1191"/>
      <c r="W184" s="1191"/>
      <c r="X184" s="1191"/>
      <c r="Y184" s="1191"/>
      <c r="Z184" s="1191"/>
      <c r="AA184" s="1191"/>
      <c r="AB184" s="1191"/>
      <c r="AC184" s="1191"/>
      <c r="AD184" s="1191"/>
      <c r="AE184" s="1191"/>
      <c r="AF184" s="1191"/>
      <c r="AG184" s="1191"/>
      <c r="AH184" s="1191"/>
      <c r="AI184" s="1191"/>
      <c r="AJ184" s="1191"/>
      <c r="AK184" s="1191"/>
      <c r="AL184" s="1191"/>
      <c r="AM184" s="1191">
        <v>1500</v>
      </c>
      <c r="AN184" s="1191"/>
      <c r="AO184" s="1191"/>
      <c r="AP184" s="1191"/>
      <c r="AQ184" s="1191"/>
      <c r="AR184" s="1191">
        <v>1550</v>
      </c>
      <c r="AS184" s="1191"/>
      <c r="AT184" s="1191"/>
      <c r="AU184" s="1191"/>
      <c r="AV184" s="1191"/>
      <c r="AW184" s="1191">
        <v>1600</v>
      </c>
      <c r="AX184" s="1191"/>
      <c r="AY184" s="1182"/>
      <c r="AZ184" s="1182"/>
      <c r="BA184" s="1182"/>
      <c r="BB184" s="1191">
        <v>1650</v>
      </c>
      <c r="BC184" s="1191"/>
      <c r="BD184" s="1191"/>
      <c r="BE184" s="1191"/>
      <c r="BF184" s="1191"/>
      <c r="BG184" s="1191">
        <v>1725</v>
      </c>
      <c r="BH184" s="1182"/>
      <c r="BI184" s="1182"/>
      <c r="BJ184" s="1182"/>
      <c r="BK184" s="1182"/>
      <c r="BL184" s="1182"/>
      <c r="BM184" s="1182"/>
      <c r="BN184" s="1182"/>
      <c r="BO184" s="1182"/>
      <c r="BP184" s="1182"/>
      <c r="BQ184" s="1182"/>
      <c r="BR184" s="1190"/>
      <c r="BS184" s="1190"/>
      <c r="BT184" s="1190"/>
      <c r="BU184" s="1190"/>
      <c r="BV184" s="1190"/>
      <c r="BW184" s="1190"/>
      <c r="BX184" s="1190"/>
      <c r="BY184" s="1190"/>
      <c r="BZ184" s="1190"/>
      <c r="CA184" s="1190"/>
      <c r="CB184" s="1190"/>
      <c r="CC184" s="1190"/>
      <c r="CD184" s="1190"/>
      <c r="CE184" s="1190"/>
      <c r="CF184" s="1190"/>
      <c r="CG184" s="1189"/>
      <c r="CH184" s="1189"/>
      <c r="CI184" s="1189"/>
      <c r="CJ184" s="1189"/>
      <c r="CK184" s="1184"/>
      <c r="CL184" s="1189"/>
      <c r="CM184" s="1189"/>
      <c r="CN184" s="1189"/>
      <c r="CO184" s="1189"/>
      <c r="CP184" s="1184"/>
      <c r="CQ184" s="1189"/>
      <c r="CR184" s="1189"/>
      <c r="CS184" s="1189"/>
      <c r="CT184" s="1189"/>
      <c r="CU184" s="1156"/>
      <c r="CV184" s="1189"/>
      <c r="CW184" s="1189"/>
      <c r="CX184" s="1189"/>
      <c r="CY184" s="1189"/>
      <c r="CZ184" s="1156"/>
      <c r="DA184" s="1156"/>
      <c r="DB184" s="2108"/>
      <c r="DC184" s="2108"/>
    </row>
    <row r="185" spans="1:107" s="1178" customFormat="1" ht="11.25" hidden="1" outlineLevel="1">
      <c r="A185" s="1191"/>
      <c r="B185" s="1191" t="s">
        <v>909</v>
      </c>
      <c r="C185" s="1191"/>
      <c r="D185" s="1191"/>
      <c r="E185" s="1191"/>
      <c r="F185" s="1191"/>
      <c r="G185" s="1191"/>
      <c r="H185" s="1191"/>
      <c r="I185" s="1191"/>
      <c r="J185" s="1191"/>
      <c r="K185" s="1191"/>
      <c r="L185" s="1191"/>
      <c r="M185" s="1191"/>
      <c r="N185" s="1191"/>
      <c r="O185" s="1191"/>
      <c r="P185" s="1191"/>
      <c r="Q185" s="1191"/>
      <c r="R185" s="1191"/>
      <c r="S185" s="1191"/>
      <c r="T185" s="1191"/>
      <c r="U185" s="1191"/>
      <c r="V185" s="1191"/>
      <c r="W185" s="1191"/>
      <c r="X185" s="1191"/>
      <c r="Y185" s="1191"/>
      <c r="Z185" s="1191"/>
      <c r="AA185" s="1191"/>
      <c r="AB185" s="1191"/>
      <c r="AC185" s="1191"/>
      <c r="AD185" s="1191"/>
      <c r="AE185" s="1191"/>
      <c r="AF185" s="1191"/>
      <c r="AG185" s="1191"/>
      <c r="AH185" s="1191"/>
      <c r="AI185" s="1191"/>
      <c r="AJ185" s="1191"/>
      <c r="AK185" s="1191"/>
      <c r="AL185" s="1191"/>
      <c r="AM185" s="1191"/>
      <c r="AN185" s="1191"/>
      <c r="AO185" s="1191"/>
      <c r="AP185" s="1191"/>
      <c r="AQ185" s="1191"/>
      <c r="AR185" s="1191"/>
      <c r="AS185" s="1191"/>
      <c r="AT185" s="1191"/>
      <c r="AU185" s="1191"/>
      <c r="AV185" s="1191"/>
      <c r="AW185" s="1191"/>
      <c r="AX185" s="1191"/>
      <c r="AY185" s="1182"/>
      <c r="AZ185" s="1182"/>
      <c r="BA185" s="1182"/>
      <c r="BB185" s="1182"/>
      <c r="BC185" s="1182"/>
      <c r="BD185" s="1182"/>
      <c r="BE185" s="1182"/>
      <c r="BF185" s="1182"/>
      <c r="BG185" s="1182"/>
      <c r="BH185" s="1182"/>
      <c r="BI185" s="1182"/>
      <c r="BJ185" s="1182"/>
      <c r="BK185" s="1182"/>
      <c r="BL185" s="1182"/>
      <c r="BM185" s="1182"/>
      <c r="BN185" s="1182"/>
      <c r="BO185" s="1182"/>
      <c r="BP185" s="1182"/>
      <c r="BQ185" s="1182"/>
      <c r="BR185" s="1190"/>
      <c r="BS185" s="1190"/>
      <c r="BT185" s="1190"/>
      <c r="BU185" s="1190"/>
      <c r="BV185" s="1190"/>
      <c r="BW185" s="1190"/>
      <c r="BX185" s="1190"/>
      <c r="BY185" s="1190"/>
      <c r="BZ185" s="1190"/>
      <c r="CA185" s="1190"/>
      <c r="CB185" s="1190"/>
      <c r="CC185" s="1190"/>
      <c r="CD185" s="1190"/>
      <c r="CE185" s="1190"/>
      <c r="CF185" s="1190"/>
      <c r="CG185" s="1189"/>
      <c r="CH185" s="1189"/>
      <c r="CI185" s="1189"/>
      <c r="CJ185" s="1189"/>
      <c r="CK185" s="1184"/>
      <c r="CL185" s="1189"/>
      <c r="CM185" s="1189"/>
      <c r="CN185" s="1189"/>
      <c r="CO185" s="1189"/>
      <c r="CP185" s="1184"/>
      <c r="CQ185" s="1189"/>
      <c r="CR185" s="1189"/>
      <c r="CS185" s="1189"/>
      <c r="CT185" s="1189"/>
      <c r="CU185" s="1156"/>
      <c r="CV185" s="1189"/>
      <c r="CW185" s="1189"/>
      <c r="CX185" s="1189"/>
      <c r="CY185" s="1189"/>
      <c r="CZ185" s="1156"/>
      <c r="DA185" s="1156"/>
      <c r="DB185" s="2108"/>
      <c r="DC185" s="2108"/>
    </row>
    <row r="186" spans="1:107" s="1178" customFormat="1" ht="11.25" hidden="1" outlineLevel="1">
      <c r="A186" s="1191"/>
      <c r="B186" s="1191"/>
      <c r="C186" s="1191"/>
      <c r="D186" s="1191"/>
      <c r="E186" s="1191"/>
      <c r="F186" s="1191"/>
      <c r="G186" s="1191"/>
      <c r="H186" s="1191"/>
      <c r="I186" s="1191"/>
      <c r="J186" s="1191"/>
      <c r="K186" s="1191"/>
      <c r="L186" s="1191"/>
      <c r="M186" s="1191"/>
      <c r="N186" s="1191"/>
      <c r="O186" s="1191"/>
      <c r="P186" s="1191"/>
      <c r="Q186" s="1191"/>
      <c r="R186" s="1191"/>
      <c r="S186" s="1191"/>
      <c r="T186" s="1191"/>
      <c r="U186" s="1191"/>
      <c r="V186" s="1191"/>
      <c r="W186" s="1191"/>
      <c r="X186" s="1191"/>
      <c r="Y186" s="1191"/>
      <c r="Z186" s="1191"/>
      <c r="AA186" s="1191"/>
      <c r="AB186" s="1191"/>
      <c r="AC186" s="1191"/>
      <c r="AD186" s="1191"/>
      <c r="AE186" s="1191"/>
      <c r="AF186" s="1191"/>
      <c r="AG186" s="1191"/>
      <c r="AH186" s="1191"/>
      <c r="AI186" s="1191"/>
      <c r="AJ186" s="1191"/>
      <c r="AK186" s="1191"/>
      <c r="AL186" s="1191"/>
      <c r="AM186" s="1191"/>
      <c r="AN186" s="1191"/>
      <c r="AO186" s="1191"/>
      <c r="AP186" s="1191"/>
      <c r="AQ186" s="1191"/>
      <c r="AR186" s="1191"/>
      <c r="AS186" s="1191"/>
      <c r="AT186" s="1191"/>
      <c r="AU186" s="1191"/>
      <c r="AV186" s="1191"/>
      <c r="AW186" s="1191"/>
      <c r="AX186" s="1191"/>
      <c r="AY186" s="1182"/>
      <c r="AZ186" s="1182"/>
      <c r="BA186" s="1182"/>
      <c r="BB186" s="1182"/>
      <c r="BC186" s="1182"/>
      <c r="BD186" s="1182"/>
      <c r="BE186" s="1182"/>
      <c r="BF186" s="1182"/>
      <c r="BG186" s="1182"/>
      <c r="BH186" s="1182"/>
      <c r="BI186" s="1182"/>
      <c r="BJ186" s="1182"/>
      <c r="BK186" s="1182"/>
      <c r="BL186" s="1182"/>
      <c r="BM186" s="1182"/>
      <c r="BN186" s="1182"/>
      <c r="BO186" s="1182"/>
      <c r="BP186" s="1182"/>
      <c r="BQ186" s="1182"/>
      <c r="BR186" s="1190"/>
      <c r="BS186" s="1190"/>
      <c r="BT186" s="1190"/>
      <c r="BU186" s="1190"/>
      <c r="BV186" s="1190"/>
      <c r="BW186" s="1190"/>
      <c r="BX186" s="1190"/>
      <c r="BY186" s="1190"/>
      <c r="BZ186" s="1190"/>
      <c r="CA186" s="1190"/>
      <c r="CB186" s="1190"/>
      <c r="CC186" s="1190"/>
      <c r="CD186" s="1190"/>
      <c r="CE186" s="1190"/>
      <c r="CF186" s="1190"/>
      <c r="CG186" s="1189"/>
      <c r="CH186" s="1189"/>
      <c r="CI186" s="1189"/>
      <c r="CJ186" s="1189"/>
      <c r="CK186" s="1184"/>
      <c r="CL186" s="1189"/>
      <c r="CM186" s="1189"/>
      <c r="CN186" s="1189"/>
      <c r="CO186" s="1189"/>
      <c r="CP186" s="1184"/>
      <c r="CQ186" s="1189"/>
      <c r="CR186" s="1189"/>
      <c r="CS186" s="1189"/>
      <c r="CT186" s="1189"/>
      <c r="CU186" s="1156"/>
      <c r="CV186" s="1189"/>
      <c r="CW186" s="1189"/>
      <c r="CX186" s="1189"/>
      <c r="CY186" s="1189"/>
      <c r="CZ186" s="1156"/>
      <c r="DA186" s="1156"/>
      <c r="DB186" s="2108"/>
      <c r="DC186" s="2108"/>
    </row>
    <row r="187" spans="1:107" s="1178" customFormat="1" ht="11.25" hidden="1" outlineLevel="1">
      <c r="A187" s="1191"/>
      <c r="B187" s="1182" t="s">
        <v>908</v>
      </c>
      <c r="C187" s="1191"/>
      <c r="D187" s="1191"/>
      <c r="E187" s="1191"/>
      <c r="F187" s="1191"/>
      <c r="G187" s="1191"/>
      <c r="H187" s="1191"/>
      <c r="I187" s="1191"/>
      <c r="J187" s="1191"/>
      <c r="K187" s="1191"/>
      <c r="L187" s="1191"/>
      <c r="M187" s="1191"/>
      <c r="N187" s="1191"/>
      <c r="O187" s="1191"/>
      <c r="P187" s="1191"/>
      <c r="Q187" s="1191"/>
      <c r="R187" s="1191"/>
      <c r="S187" s="1191"/>
      <c r="T187" s="1191"/>
      <c r="U187" s="1191"/>
      <c r="V187" s="1191"/>
      <c r="W187" s="1191"/>
      <c r="X187" s="1191"/>
      <c r="Y187" s="1191"/>
      <c r="Z187" s="1191"/>
      <c r="AA187" s="1191"/>
      <c r="AB187" s="1191"/>
      <c r="AC187" s="1191"/>
      <c r="AD187" s="1191"/>
      <c r="AE187" s="1191"/>
      <c r="AF187" s="1191"/>
      <c r="AG187" s="1191"/>
      <c r="AH187" s="1191"/>
      <c r="AI187" s="1191"/>
      <c r="AJ187" s="1191"/>
      <c r="AK187" s="1191"/>
      <c r="AL187" s="1191"/>
      <c r="AM187" s="1191"/>
      <c r="AN187" s="1191"/>
      <c r="AO187" s="1191"/>
      <c r="AP187" s="1191"/>
      <c r="AQ187" s="1191"/>
      <c r="AR187" s="1191"/>
      <c r="AS187" s="1191"/>
      <c r="AT187" s="1191"/>
      <c r="AU187" s="1191"/>
      <c r="AV187" s="1191"/>
      <c r="AW187" s="1191"/>
      <c r="AX187" s="1191"/>
      <c r="AY187" s="1182"/>
      <c r="AZ187" s="1182"/>
      <c r="BA187" s="1182"/>
      <c r="BB187" s="1182"/>
      <c r="BC187" s="1182"/>
      <c r="BD187" s="1182"/>
      <c r="BE187" s="1182"/>
      <c r="BF187" s="1182"/>
      <c r="BG187" s="1182"/>
      <c r="BH187" s="1182"/>
      <c r="BI187" s="1182"/>
      <c r="BJ187" s="1182"/>
      <c r="BK187" s="1182"/>
      <c r="BL187" s="1182"/>
      <c r="BM187" s="1182"/>
      <c r="BN187" s="1182"/>
      <c r="BO187" s="1182"/>
      <c r="BP187" s="1182"/>
      <c r="BQ187" s="1182"/>
      <c r="BR187" s="1190"/>
      <c r="BS187" s="1190"/>
      <c r="BT187" s="1190"/>
      <c r="BU187" s="1190"/>
      <c r="BV187" s="1190"/>
      <c r="BW187" s="1190"/>
      <c r="BX187" s="1190"/>
      <c r="BY187" s="1190"/>
      <c r="BZ187" s="1190"/>
      <c r="CA187" s="1190"/>
      <c r="CB187" s="1190"/>
      <c r="CC187" s="1190"/>
      <c r="CD187" s="1190"/>
      <c r="CE187" s="1190"/>
      <c r="CF187" s="1190"/>
      <c r="CG187" s="1189"/>
      <c r="CH187" s="1189"/>
      <c r="CI187" s="1189"/>
      <c r="CJ187" s="1189"/>
      <c r="CK187" s="1184"/>
      <c r="CL187" s="1189"/>
      <c r="CM187" s="1189"/>
      <c r="CN187" s="1189"/>
      <c r="CO187" s="1189"/>
      <c r="CP187" s="1184"/>
      <c r="CQ187" s="1189"/>
      <c r="CR187" s="1189"/>
      <c r="CS187" s="1189"/>
      <c r="CT187" s="1189"/>
      <c r="CU187" s="1156"/>
      <c r="CV187" s="1189"/>
      <c r="CW187" s="1189"/>
      <c r="CX187" s="1189"/>
      <c r="CY187" s="1189"/>
      <c r="CZ187" s="1156"/>
      <c r="DA187" s="1156"/>
      <c r="DB187" s="2108"/>
      <c r="DC187" s="2108"/>
    </row>
    <row r="188" spans="1:107" s="1178" customFormat="1" ht="11.25" hidden="1" outlineLevel="1">
      <c r="A188" s="1191"/>
      <c r="B188" s="1191" t="s">
        <v>907</v>
      </c>
      <c r="C188" s="1191"/>
      <c r="D188" s="1191"/>
      <c r="E188" s="1191"/>
      <c r="F188" s="1191"/>
      <c r="G188" s="1191"/>
      <c r="H188" s="1191"/>
      <c r="I188" s="1191"/>
      <c r="J188" s="1191"/>
      <c r="K188" s="1191"/>
      <c r="L188" s="1191"/>
      <c r="M188" s="1191"/>
      <c r="N188" s="1191"/>
      <c r="O188" s="1191"/>
      <c r="P188" s="1191"/>
      <c r="Q188" s="1191"/>
      <c r="R188" s="1191"/>
      <c r="S188" s="1191"/>
      <c r="T188" s="1191"/>
      <c r="U188" s="1191"/>
      <c r="V188" s="1191"/>
      <c r="W188" s="1191"/>
      <c r="X188" s="1191"/>
      <c r="Y188" s="1191"/>
      <c r="Z188" s="1191"/>
      <c r="AA188" s="1191"/>
      <c r="AB188" s="1191"/>
      <c r="AC188" s="1191"/>
      <c r="AD188" s="1191"/>
      <c r="AE188" s="1191"/>
      <c r="AF188" s="1191"/>
      <c r="AG188" s="1191"/>
      <c r="AH188" s="1191"/>
      <c r="AI188" s="1191"/>
      <c r="AJ188" s="1191"/>
      <c r="AK188" s="1191"/>
      <c r="AL188" s="1191"/>
      <c r="AM188" s="1191"/>
      <c r="AN188" s="1191"/>
      <c r="AO188" s="1191"/>
      <c r="AP188" s="1191"/>
      <c r="AQ188" s="1191"/>
      <c r="AR188" s="1191"/>
      <c r="AS188" s="1191"/>
      <c r="AT188" s="1191"/>
      <c r="AU188" s="1191"/>
      <c r="AV188" s="1191"/>
      <c r="AW188" s="1191"/>
      <c r="AX188" s="1191"/>
      <c r="AY188" s="1182"/>
      <c r="AZ188" s="1182"/>
      <c r="BA188" s="1191">
        <v>-3.0999999999999943</v>
      </c>
      <c r="BB188" s="1182"/>
      <c r="BC188" s="1182"/>
      <c r="BD188" s="1182"/>
      <c r="BE188" s="1182"/>
      <c r="BF188" s="1182"/>
      <c r="BG188" s="1182"/>
      <c r="BH188" s="1182"/>
      <c r="BI188" s="1182"/>
      <c r="BJ188" s="1182"/>
      <c r="BK188" s="1182"/>
      <c r="BL188" s="1182"/>
      <c r="BM188" s="1182"/>
      <c r="BN188" s="1182"/>
      <c r="BO188" s="1182"/>
      <c r="BP188" s="1182"/>
      <c r="BQ188" s="1182"/>
      <c r="BR188" s="1190"/>
      <c r="BS188" s="1190"/>
      <c r="BT188" s="1190"/>
      <c r="BU188" s="1190"/>
      <c r="BV188" s="1190"/>
      <c r="BW188" s="1190"/>
      <c r="BX188" s="1190"/>
      <c r="BY188" s="1190"/>
      <c r="BZ188" s="1190"/>
      <c r="CA188" s="1190"/>
      <c r="CB188" s="1190"/>
      <c r="CC188" s="1190"/>
      <c r="CD188" s="1190"/>
      <c r="CE188" s="1190"/>
      <c r="CF188" s="1190"/>
      <c r="CG188" s="1189"/>
      <c r="CH188" s="1189"/>
      <c r="CI188" s="1189"/>
      <c r="CJ188" s="1189"/>
      <c r="CK188" s="1184"/>
      <c r="CL188" s="1189"/>
      <c r="CM188" s="1189"/>
      <c r="CN188" s="1189"/>
      <c r="CO188" s="1189"/>
      <c r="CP188" s="1184"/>
      <c r="CQ188" s="1189"/>
      <c r="CR188" s="1189"/>
      <c r="CS188" s="1189"/>
      <c r="CT188" s="1189"/>
      <c r="CU188" s="1156"/>
      <c r="CV188" s="1189"/>
      <c r="CW188" s="1189"/>
      <c r="CX188" s="1189"/>
      <c r="CY188" s="1189"/>
      <c r="CZ188" s="1156"/>
      <c r="DA188" s="1156"/>
      <c r="DB188" s="2108"/>
      <c r="DC188" s="2108"/>
    </row>
    <row r="189" spans="1:107" s="1178" customFormat="1" ht="11.25" hidden="1" outlineLevel="1">
      <c r="A189" s="1191"/>
      <c r="B189" s="1191" t="s">
        <v>499</v>
      </c>
      <c r="C189" s="1191"/>
      <c r="D189" s="1191"/>
      <c r="E189" s="1191"/>
      <c r="F189" s="1191"/>
      <c r="G189" s="1191"/>
      <c r="H189" s="1191"/>
      <c r="I189" s="1191"/>
      <c r="J189" s="1191"/>
      <c r="K189" s="1191"/>
      <c r="L189" s="1191"/>
      <c r="M189" s="1191"/>
      <c r="N189" s="1191"/>
      <c r="O189" s="1191"/>
      <c r="P189" s="1191"/>
      <c r="Q189" s="1191"/>
      <c r="R189" s="1191"/>
      <c r="S189" s="1191"/>
      <c r="T189" s="1191"/>
      <c r="U189" s="1191"/>
      <c r="V189" s="1191"/>
      <c r="W189" s="1191"/>
      <c r="X189" s="1191"/>
      <c r="Y189" s="1191"/>
      <c r="Z189" s="1191"/>
      <c r="AA189" s="1191"/>
      <c r="AB189" s="1191"/>
      <c r="AC189" s="1191"/>
      <c r="AD189" s="1191"/>
      <c r="AE189" s="1191"/>
      <c r="AF189" s="1191"/>
      <c r="AG189" s="1191"/>
      <c r="AH189" s="1191"/>
      <c r="AI189" s="1191"/>
      <c r="AJ189" s="1191"/>
      <c r="AK189" s="1191"/>
      <c r="AL189" s="1191"/>
      <c r="AM189" s="1191"/>
      <c r="AN189" s="1191"/>
      <c r="AO189" s="1191"/>
      <c r="AP189" s="1191"/>
      <c r="AQ189" s="1191"/>
      <c r="AR189" s="1191"/>
      <c r="AS189" s="1191"/>
      <c r="AT189" s="1191"/>
      <c r="AU189" s="1191"/>
      <c r="AV189" s="1191"/>
      <c r="AW189" s="1191"/>
      <c r="AX189" s="1191"/>
      <c r="AY189" s="1182"/>
      <c r="AZ189" s="1182"/>
      <c r="BA189" s="1191">
        <v>-5.3</v>
      </c>
      <c r="BB189" s="1182"/>
      <c r="BC189" s="1182"/>
      <c r="BD189" s="1182"/>
      <c r="BE189" s="1182"/>
      <c r="BF189" s="1182"/>
      <c r="BG189" s="1182"/>
      <c r="BH189" s="1182"/>
      <c r="BI189" s="1182"/>
      <c r="BJ189" s="1182"/>
      <c r="BK189" s="1182"/>
      <c r="BL189" s="1182"/>
      <c r="BM189" s="1182"/>
      <c r="BN189" s="1182"/>
      <c r="BO189" s="1182"/>
      <c r="BP189" s="1182"/>
      <c r="BQ189" s="1182"/>
      <c r="BR189" s="1190"/>
      <c r="BS189" s="1190"/>
      <c r="BT189" s="1190"/>
      <c r="BU189" s="1190"/>
      <c r="BV189" s="1190"/>
      <c r="BW189" s="1190"/>
      <c r="BX189" s="1190"/>
      <c r="BY189" s="1190"/>
      <c r="BZ189" s="1190"/>
      <c r="CA189" s="1190"/>
      <c r="CB189" s="1190"/>
      <c r="CC189" s="1190"/>
      <c r="CD189" s="1190"/>
      <c r="CE189" s="1190"/>
      <c r="CF189" s="1190"/>
      <c r="CG189" s="1189"/>
      <c r="CH189" s="1189"/>
      <c r="CI189" s="1189"/>
      <c r="CJ189" s="1189"/>
      <c r="CK189" s="1184"/>
      <c r="CL189" s="1189"/>
      <c r="CM189" s="1189"/>
      <c r="CN189" s="1189"/>
      <c r="CO189" s="1189"/>
      <c r="CP189" s="1184"/>
      <c r="CQ189" s="1189"/>
      <c r="CR189" s="1189"/>
      <c r="CS189" s="1189"/>
      <c r="CT189" s="1189"/>
      <c r="CU189" s="1156"/>
      <c r="CV189" s="1189"/>
      <c r="CW189" s="1189"/>
      <c r="CX189" s="1189"/>
      <c r="CY189" s="1189"/>
      <c r="CZ189" s="1156"/>
      <c r="DA189" s="1156"/>
      <c r="DB189" s="2108"/>
      <c r="DC189" s="2108"/>
    </row>
    <row r="190" spans="1:107" s="1178" customFormat="1" ht="11.25" hidden="1" outlineLevel="1">
      <c r="A190" s="1191"/>
      <c r="B190" s="1191" t="s">
        <v>906</v>
      </c>
      <c r="C190" s="1191"/>
      <c r="D190" s="1191"/>
      <c r="E190" s="1191"/>
      <c r="F190" s="1191"/>
      <c r="G190" s="1191"/>
      <c r="H190" s="1191"/>
      <c r="I190" s="1191"/>
      <c r="J190" s="1191"/>
      <c r="K190" s="1191"/>
      <c r="L190" s="1191"/>
      <c r="M190" s="1191"/>
      <c r="N190" s="1191"/>
      <c r="O190" s="1191"/>
      <c r="P190" s="1191"/>
      <c r="Q190" s="1191"/>
      <c r="R190" s="1191"/>
      <c r="S190" s="1191"/>
      <c r="T190" s="1191"/>
      <c r="U190" s="1191"/>
      <c r="V190" s="1191"/>
      <c r="W190" s="1191"/>
      <c r="X190" s="1191"/>
      <c r="Y190" s="1191"/>
      <c r="Z190" s="1191"/>
      <c r="AA190" s="1191"/>
      <c r="AB190" s="1191"/>
      <c r="AC190" s="1191"/>
      <c r="AD190" s="1191"/>
      <c r="AE190" s="1191"/>
      <c r="AF190" s="1191"/>
      <c r="AG190" s="1191"/>
      <c r="AH190" s="1191"/>
      <c r="AI190" s="1191"/>
      <c r="AJ190" s="1191"/>
      <c r="AK190" s="1191"/>
      <c r="AL190" s="1191"/>
      <c r="AM190" s="1191"/>
      <c r="AN190" s="1191"/>
      <c r="AO190" s="1191"/>
      <c r="AP190" s="1191"/>
      <c r="AQ190" s="1191"/>
      <c r="AR190" s="1191"/>
      <c r="AS190" s="1191"/>
      <c r="AT190" s="1191"/>
      <c r="AU190" s="1191"/>
      <c r="AV190" s="1191"/>
      <c r="AW190" s="1191"/>
      <c r="AX190" s="1191"/>
      <c r="AY190" s="1182"/>
      <c r="AZ190" s="1182"/>
      <c r="BA190" s="1191">
        <v>-14</v>
      </c>
      <c r="BB190" s="1182"/>
      <c r="BC190" s="1182"/>
      <c r="BD190" s="1182"/>
      <c r="BE190" s="1182"/>
      <c r="BF190" s="1182"/>
      <c r="BG190" s="1182"/>
      <c r="BH190" s="1182"/>
      <c r="BI190" s="1182"/>
      <c r="BJ190" s="1182"/>
      <c r="BK190" s="1182"/>
      <c r="BL190" s="1182"/>
      <c r="BM190" s="1182"/>
      <c r="BN190" s="1182"/>
      <c r="BO190" s="1182"/>
      <c r="BP190" s="1182"/>
      <c r="BQ190" s="1182"/>
      <c r="BR190" s="1190"/>
      <c r="BS190" s="1190"/>
      <c r="BT190" s="1190"/>
      <c r="BU190" s="1190"/>
      <c r="BV190" s="1190"/>
      <c r="BW190" s="1190"/>
      <c r="BX190" s="1190"/>
      <c r="BY190" s="1190"/>
      <c r="BZ190" s="1190"/>
      <c r="CA190" s="1190"/>
      <c r="CB190" s="1190"/>
      <c r="CC190" s="1190"/>
      <c r="CD190" s="1190"/>
      <c r="CE190" s="1190"/>
      <c r="CF190" s="1190"/>
      <c r="CG190" s="1189"/>
      <c r="CH190" s="1189"/>
      <c r="CI190" s="1189"/>
      <c r="CJ190" s="1189"/>
      <c r="CK190" s="1184"/>
      <c r="CL190" s="1189"/>
      <c r="CM190" s="1189"/>
      <c r="CN190" s="1189"/>
      <c r="CO190" s="1189"/>
      <c r="CP190" s="1184"/>
      <c r="CQ190" s="1189"/>
      <c r="CR190" s="1189"/>
      <c r="CS190" s="1189"/>
      <c r="CT190" s="1189"/>
      <c r="CU190" s="1156"/>
      <c r="CV190" s="1189"/>
      <c r="CW190" s="1189"/>
      <c r="CX190" s="1189"/>
      <c r="CY190" s="1189"/>
      <c r="CZ190" s="1156"/>
      <c r="DA190" s="1156"/>
      <c r="DB190" s="2108"/>
      <c r="DC190" s="2108"/>
    </row>
    <row r="191" spans="1:107" s="1178" customFormat="1" ht="11.25" hidden="1" outlineLevel="1">
      <c r="A191" s="1191"/>
      <c r="B191" s="1191" t="s">
        <v>905</v>
      </c>
      <c r="C191" s="1191"/>
      <c r="D191" s="1191"/>
      <c r="E191" s="1191"/>
      <c r="F191" s="1191"/>
      <c r="G191" s="1191"/>
      <c r="H191" s="1191"/>
      <c r="I191" s="1191"/>
      <c r="J191" s="1191"/>
      <c r="K191" s="1191"/>
      <c r="L191" s="1191"/>
      <c r="M191" s="1191"/>
      <c r="N191" s="1191"/>
      <c r="O191" s="1191"/>
      <c r="P191" s="1191"/>
      <c r="Q191" s="1191"/>
      <c r="R191" s="1191"/>
      <c r="S191" s="1191"/>
      <c r="T191" s="1191"/>
      <c r="U191" s="1191"/>
      <c r="V191" s="1191"/>
      <c r="W191" s="1191"/>
      <c r="X191" s="1191"/>
      <c r="Y191" s="1191"/>
      <c r="Z191" s="1191"/>
      <c r="AA191" s="1191"/>
      <c r="AB191" s="1191"/>
      <c r="AC191" s="1191"/>
      <c r="AD191" s="1191"/>
      <c r="AE191" s="1191"/>
      <c r="AF191" s="1191"/>
      <c r="AG191" s="1191"/>
      <c r="AH191" s="1191"/>
      <c r="AI191" s="1191"/>
      <c r="AJ191" s="1191"/>
      <c r="AK191" s="1191"/>
      <c r="AL191" s="1191"/>
      <c r="AM191" s="1191"/>
      <c r="AN191" s="1191"/>
      <c r="AO191" s="1191"/>
      <c r="AP191" s="1191"/>
      <c r="AQ191" s="1191"/>
      <c r="AR191" s="1191"/>
      <c r="AS191" s="1191"/>
      <c r="AT191" s="1191"/>
      <c r="AU191" s="1191"/>
      <c r="AV191" s="1191"/>
      <c r="AW191" s="1191"/>
      <c r="AX191" s="1191"/>
      <c r="AY191" s="1182"/>
      <c r="AZ191" s="1182"/>
      <c r="BA191" s="1191">
        <v>-21.5</v>
      </c>
      <c r="BB191" s="1182"/>
      <c r="BC191" s="1182"/>
      <c r="BD191" s="1182"/>
      <c r="BE191" s="1182"/>
      <c r="BF191" s="1182"/>
      <c r="BG191" s="1182"/>
      <c r="BH191" s="1182"/>
      <c r="BI191" s="1182"/>
      <c r="BJ191" s="1182"/>
      <c r="BK191" s="1182"/>
      <c r="BL191" s="1182"/>
      <c r="BM191" s="1182"/>
      <c r="BN191" s="1182"/>
      <c r="BO191" s="1182"/>
      <c r="BP191" s="1182"/>
      <c r="BQ191" s="1182"/>
      <c r="BR191" s="1190"/>
      <c r="BS191" s="1190"/>
      <c r="BT191" s="1190"/>
      <c r="BU191" s="1190"/>
      <c r="BV191" s="1190"/>
      <c r="BW191" s="1190"/>
      <c r="BX191" s="1190"/>
      <c r="BY191" s="1190"/>
      <c r="BZ191" s="1190"/>
      <c r="CA191" s="1190"/>
      <c r="CB191" s="1190"/>
      <c r="CC191" s="1190"/>
      <c r="CD191" s="1190"/>
      <c r="CE191" s="1190"/>
      <c r="CF191" s="1190"/>
      <c r="CG191" s="1189"/>
      <c r="CH191" s="1189"/>
      <c r="CI191" s="1189"/>
      <c r="CJ191" s="1189"/>
      <c r="CK191" s="1184"/>
      <c r="CL191" s="1189"/>
      <c r="CM191" s="1189"/>
      <c r="CN191" s="1189"/>
      <c r="CO191" s="1189"/>
      <c r="CP191" s="1184"/>
      <c r="CQ191" s="1189"/>
      <c r="CR191" s="1189"/>
      <c r="CS191" s="1189"/>
      <c r="CT191" s="1189"/>
      <c r="CU191" s="1156"/>
      <c r="CV191" s="1189"/>
      <c r="CW191" s="1189"/>
      <c r="CX191" s="1189"/>
      <c r="CY191" s="1189"/>
      <c r="CZ191" s="1156"/>
      <c r="DA191" s="1156"/>
      <c r="DB191" s="2108"/>
      <c r="DC191" s="2108"/>
    </row>
    <row r="192" spans="1:107" s="1178" customFormat="1" ht="11.25" hidden="1" outlineLevel="1">
      <c r="A192" s="1191"/>
      <c r="B192" s="1191" t="s">
        <v>904</v>
      </c>
      <c r="C192" s="1191"/>
      <c r="D192" s="1191"/>
      <c r="E192" s="1191"/>
      <c r="F192" s="1191"/>
      <c r="G192" s="1191"/>
      <c r="H192" s="1191"/>
      <c r="I192" s="1191"/>
      <c r="J192" s="1191"/>
      <c r="K192" s="1191"/>
      <c r="L192" s="1191"/>
      <c r="M192" s="1191"/>
      <c r="N192" s="1191"/>
      <c r="O192" s="1191"/>
      <c r="P192" s="1191"/>
      <c r="Q192" s="1191"/>
      <c r="R192" s="1191"/>
      <c r="S192" s="1191"/>
      <c r="T192" s="1191"/>
      <c r="U192" s="1191"/>
      <c r="V192" s="1191"/>
      <c r="W192" s="1191"/>
      <c r="X192" s="1191"/>
      <c r="Y192" s="1191"/>
      <c r="Z192" s="1191"/>
      <c r="AA192" s="1191"/>
      <c r="AB192" s="1191"/>
      <c r="AC192" s="1191"/>
      <c r="AD192" s="1191"/>
      <c r="AE192" s="1191"/>
      <c r="AF192" s="1191"/>
      <c r="AG192" s="1191"/>
      <c r="AH192" s="1191"/>
      <c r="AI192" s="1191"/>
      <c r="AJ192" s="1191"/>
      <c r="AK192" s="1191"/>
      <c r="AL192" s="1191"/>
      <c r="AM192" s="1191"/>
      <c r="AN192" s="1191"/>
      <c r="AO192" s="1191"/>
      <c r="AP192" s="1191"/>
      <c r="AQ192" s="1191"/>
      <c r="AR192" s="1191"/>
      <c r="AS192" s="1191"/>
      <c r="AT192" s="1191"/>
      <c r="AU192" s="1191"/>
      <c r="AV192" s="1191"/>
      <c r="AW192" s="1191"/>
      <c r="AX192" s="1191"/>
      <c r="AY192" s="1182"/>
      <c r="AZ192" s="1182"/>
      <c r="BA192" s="1191">
        <v>-35</v>
      </c>
      <c r="BB192" s="1182"/>
      <c r="BC192" s="1182"/>
      <c r="BD192" s="1182"/>
      <c r="BE192" s="1182"/>
      <c r="BF192" s="1182"/>
      <c r="BG192" s="1182"/>
      <c r="BH192" s="1182"/>
      <c r="BI192" s="1182"/>
      <c r="BJ192" s="1182"/>
      <c r="BK192" s="1182"/>
      <c r="BL192" s="1182"/>
      <c r="BM192" s="1182"/>
      <c r="BN192" s="1182"/>
      <c r="BO192" s="1182"/>
      <c r="BP192" s="1182"/>
      <c r="BQ192" s="1182"/>
      <c r="BR192" s="1190"/>
      <c r="BS192" s="1190"/>
      <c r="BT192" s="1190"/>
      <c r="BU192" s="1190"/>
      <c r="BV192" s="1190"/>
      <c r="BW192" s="1190"/>
      <c r="BX192" s="1190"/>
      <c r="BY192" s="1190"/>
      <c r="BZ192" s="1190"/>
      <c r="CA192" s="1190"/>
      <c r="CB192" s="1190"/>
      <c r="CC192" s="1190"/>
      <c r="CD192" s="1190"/>
      <c r="CE192" s="1190"/>
      <c r="CF192" s="1190"/>
      <c r="CG192" s="1189"/>
      <c r="CH192" s="1189"/>
      <c r="CI192" s="1189"/>
      <c r="CJ192" s="1189"/>
      <c r="CK192" s="1184"/>
      <c r="CL192" s="1189"/>
      <c r="CM192" s="1189"/>
      <c r="CN192" s="1189"/>
      <c r="CO192" s="1189"/>
      <c r="CP192" s="1184"/>
      <c r="CQ192" s="1189"/>
      <c r="CR192" s="1189"/>
      <c r="CS192" s="1189"/>
      <c r="CT192" s="1189"/>
      <c r="CU192" s="1156"/>
      <c r="CV192" s="1189"/>
      <c r="CW192" s="1189"/>
      <c r="CX192" s="1189"/>
      <c r="CY192" s="1189"/>
      <c r="CZ192" s="1156"/>
      <c r="DA192" s="1156"/>
      <c r="DB192" s="2108"/>
      <c r="DC192" s="2108"/>
    </row>
    <row r="193" spans="1:107" s="1178" customFormat="1" ht="11.25" hidden="1" outlineLevel="1">
      <c r="A193" s="1191"/>
      <c r="B193" s="1191" t="s">
        <v>543</v>
      </c>
      <c r="C193" s="1191"/>
      <c r="D193" s="1191"/>
      <c r="E193" s="1191"/>
      <c r="F193" s="1191"/>
      <c r="G193" s="1191"/>
      <c r="H193" s="1191"/>
      <c r="I193" s="1191"/>
      <c r="J193" s="1191"/>
      <c r="K193" s="1191"/>
      <c r="L193" s="1191"/>
      <c r="M193" s="1191"/>
      <c r="N193" s="1191"/>
      <c r="O193" s="1191"/>
      <c r="P193" s="1191"/>
      <c r="Q193" s="1191"/>
      <c r="R193" s="1191"/>
      <c r="S193" s="1191"/>
      <c r="T193" s="1191"/>
      <c r="U193" s="1191"/>
      <c r="V193" s="1191"/>
      <c r="W193" s="1191"/>
      <c r="X193" s="1191"/>
      <c r="Y193" s="1191"/>
      <c r="Z193" s="1191"/>
      <c r="AA193" s="1191"/>
      <c r="AB193" s="1191"/>
      <c r="AC193" s="1191"/>
      <c r="AD193" s="1191"/>
      <c r="AE193" s="1191"/>
      <c r="AF193" s="1191"/>
      <c r="AG193" s="1191"/>
      <c r="AH193" s="1191"/>
      <c r="AI193" s="1191"/>
      <c r="AJ193" s="1191"/>
      <c r="AK193" s="1191"/>
      <c r="AL193" s="1191"/>
      <c r="AM193" s="1191"/>
      <c r="AN193" s="1191"/>
      <c r="AO193" s="1191"/>
      <c r="AP193" s="1191"/>
      <c r="AQ193" s="1191"/>
      <c r="AR193" s="1191"/>
      <c r="AS193" s="1191"/>
      <c r="AT193" s="1191"/>
      <c r="AU193" s="1191"/>
      <c r="AV193" s="1191"/>
      <c r="AW193" s="1191"/>
      <c r="AX193" s="1191"/>
      <c r="AY193" s="1182"/>
      <c r="AZ193" s="1182"/>
      <c r="BA193" s="1191">
        <v>-68.900000000000006</v>
      </c>
      <c r="BB193" s="1182"/>
      <c r="BC193" s="1182"/>
      <c r="BD193" s="1182"/>
      <c r="BE193" s="1182"/>
      <c r="BF193" s="1182"/>
      <c r="BG193" s="1182"/>
      <c r="BH193" s="1182"/>
      <c r="BI193" s="1182"/>
      <c r="BJ193" s="1182"/>
      <c r="BK193" s="1182"/>
      <c r="BL193" s="1182"/>
      <c r="BM193" s="1182"/>
      <c r="BN193" s="1182"/>
      <c r="BO193" s="1182"/>
      <c r="BP193" s="1182"/>
      <c r="BQ193" s="1182"/>
      <c r="BR193" s="1190"/>
      <c r="BS193" s="1190"/>
      <c r="BT193" s="1190"/>
      <c r="BU193" s="1190"/>
      <c r="BV193" s="1190"/>
      <c r="BW193" s="1190"/>
      <c r="BX193" s="1190"/>
      <c r="BY193" s="1190"/>
      <c r="BZ193" s="1190"/>
      <c r="CA193" s="1190"/>
      <c r="CB193" s="1190"/>
      <c r="CC193" s="1190"/>
      <c r="CD193" s="1190"/>
      <c r="CE193" s="1190"/>
      <c r="CF193" s="1190"/>
      <c r="CG193" s="1189"/>
      <c r="CH193" s="1189"/>
      <c r="CI193" s="1189"/>
      <c r="CJ193" s="1189"/>
      <c r="CK193" s="1184"/>
      <c r="CL193" s="1189"/>
      <c r="CM193" s="1189"/>
      <c r="CN193" s="1189"/>
      <c r="CO193" s="1189"/>
      <c r="CP193" s="1184"/>
      <c r="CQ193" s="1189"/>
      <c r="CR193" s="1189"/>
      <c r="CS193" s="1189"/>
      <c r="CT193" s="1189"/>
      <c r="CU193" s="1156"/>
      <c r="CV193" s="1189"/>
      <c r="CW193" s="1189"/>
      <c r="CX193" s="1189"/>
      <c r="CY193" s="1189"/>
      <c r="CZ193" s="1156"/>
      <c r="DA193" s="1156"/>
      <c r="DB193" s="2108"/>
      <c r="DC193" s="2108"/>
    </row>
    <row r="194" spans="1:107" s="1178" customFormat="1" ht="11.25" hidden="1" outlineLevel="1">
      <c r="A194" s="1191"/>
      <c r="B194" s="1191"/>
      <c r="C194" s="1191"/>
      <c r="D194" s="1191"/>
      <c r="E194" s="1191"/>
      <c r="F194" s="1191"/>
      <c r="G194" s="1191"/>
      <c r="H194" s="1191"/>
      <c r="I194" s="1191"/>
      <c r="J194" s="1191"/>
      <c r="K194" s="1191"/>
      <c r="L194" s="1191"/>
      <c r="M194" s="1191"/>
      <c r="N194" s="1191"/>
      <c r="O194" s="1191"/>
      <c r="P194" s="1191"/>
      <c r="Q194" s="1191"/>
      <c r="R194" s="1191"/>
      <c r="S194" s="1191"/>
      <c r="T194" s="1191"/>
      <c r="U194" s="1191"/>
      <c r="V194" s="1191"/>
      <c r="W194" s="1191"/>
      <c r="X194" s="1191"/>
      <c r="Y194" s="1191"/>
      <c r="Z194" s="1191"/>
      <c r="AA194" s="1191"/>
      <c r="AB194" s="1191"/>
      <c r="AC194" s="1191"/>
      <c r="AD194" s="1191"/>
      <c r="AE194" s="1191"/>
      <c r="AF194" s="1191"/>
      <c r="AG194" s="1191"/>
      <c r="AH194" s="1191"/>
      <c r="AI194" s="1191"/>
      <c r="AJ194" s="1191"/>
      <c r="AK194" s="1191"/>
      <c r="AL194" s="1191"/>
      <c r="AM194" s="1191"/>
      <c r="AN194" s="1191"/>
      <c r="AO194" s="1191"/>
      <c r="AP194" s="1191"/>
      <c r="AQ194" s="1191"/>
      <c r="AR194" s="1191"/>
      <c r="AS194" s="1191"/>
      <c r="AT194" s="1191"/>
      <c r="AU194" s="1191"/>
      <c r="AV194" s="1191"/>
      <c r="AW194" s="1191"/>
      <c r="AX194" s="1191"/>
      <c r="AY194" s="1182"/>
      <c r="AZ194" s="1182"/>
      <c r="BA194" s="1182"/>
      <c r="BB194" s="1182"/>
      <c r="BC194" s="1182"/>
      <c r="BD194" s="1182"/>
      <c r="BE194" s="1182"/>
      <c r="BF194" s="1182"/>
      <c r="BG194" s="1182"/>
      <c r="BH194" s="1182"/>
      <c r="BI194" s="1182"/>
      <c r="BJ194" s="1182"/>
      <c r="BK194" s="1182"/>
      <c r="BL194" s="1182"/>
      <c r="BM194" s="1182"/>
      <c r="BN194" s="1182"/>
      <c r="BO194" s="1182"/>
      <c r="BP194" s="1182"/>
      <c r="BQ194" s="1182"/>
      <c r="BR194" s="1190"/>
      <c r="BS194" s="1190"/>
      <c r="BT194" s="1190"/>
      <c r="BU194" s="1190"/>
      <c r="BV194" s="1190"/>
      <c r="BW194" s="1190"/>
      <c r="BX194" s="1190"/>
      <c r="BY194" s="1190"/>
      <c r="BZ194" s="1190"/>
      <c r="CA194" s="1190"/>
      <c r="CB194" s="1190"/>
      <c r="CC194" s="1190"/>
      <c r="CD194" s="1190"/>
      <c r="CE194" s="1190"/>
      <c r="CF194" s="1190"/>
      <c r="CG194" s="1189"/>
      <c r="CH194" s="1189"/>
      <c r="CI194" s="1189"/>
      <c r="CJ194" s="1189"/>
      <c r="CK194" s="1184"/>
      <c r="CL194" s="1189"/>
      <c r="CM194" s="1189"/>
      <c r="CN194" s="1189"/>
      <c r="CO194" s="1189"/>
      <c r="CP194" s="1184"/>
      <c r="CQ194" s="1189"/>
      <c r="CR194" s="1189"/>
      <c r="CS194" s="1189"/>
      <c r="CT194" s="1189"/>
      <c r="CU194" s="1156"/>
      <c r="CV194" s="1189"/>
      <c r="CW194" s="1189"/>
      <c r="CX194" s="1189"/>
      <c r="CY194" s="1189"/>
      <c r="CZ194" s="1156"/>
      <c r="DA194" s="1156"/>
      <c r="DB194" s="2108"/>
      <c r="DC194" s="2108"/>
    </row>
    <row r="195" spans="1:107" s="1178" customFormat="1" ht="11.25" hidden="1" outlineLevel="1">
      <c r="A195" s="1191"/>
      <c r="B195" s="1182" t="s">
        <v>903</v>
      </c>
      <c r="C195" s="1191"/>
      <c r="D195" s="1191"/>
      <c r="E195" s="1191"/>
      <c r="F195" s="1191"/>
      <c r="G195" s="1191"/>
      <c r="H195" s="1191"/>
      <c r="I195" s="1191"/>
      <c r="J195" s="1191"/>
      <c r="K195" s="1191"/>
      <c r="L195" s="1191"/>
      <c r="M195" s="1191"/>
      <c r="N195" s="1191"/>
      <c r="O195" s="1191"/>
      <c r="P195" s="1191"/>
      <c r="Q195" s="1191"/>
      <c r="R195" s="1191"/>
      <c r="S195" s="1191"/>
      <c r="T195" s="1191"/>
      <c r="U195" s="1191"/>
      <c r="V195" s="1191"/>
      <c r="W195" s="1191"/>
      <c r="X195" s="1191"/>
      <c r="Y195" s="1191"/>
      <c r="Z195" s="1191"/>
      <c r="AA195" s="1191"/>
      <c r="AB195" s="1191"/>
      <c r="AC195" s="1191"/>
      <c r="AD195" s="1191"/>
      <c r="AE195" s="1191"/>
      <c r="AF195" s="1191"/>
      <c r="AG195" s="1191"/>
      <c r="AH195" s="1191"/>
      <c r="AI195" s="1191"/>
      <c r="AJ195" s="1191"/>
      <c r="AK195" s="1191"/>
      <c r="AL195" s="1191"/>
      <c r="AM195" s="1191"/>
      <c r="AN195" s="1191"/>
      <c r="AO195" s="1191"/>
      <c r="AP195" s="1191"/>
      <c r="AQ195" s="1191"/>
      <c r="AR195" s="1191"/>
      <c r="AS195" s="1191"/>
      <c r="AT195" s="1191"/>
      <c r="AU195" s="1191"/>
      <c r="AV195" s="1191"/>
      <c r="AW195" s="1191"/>
      <c r="AX195" s="1191"/>
      <c r="AY195" s="1182"/>
      <c r="AZ195" s="1182"/>
      <c r="BA195" s="1182"/>
      <c r="BB195" s="1182"/>
      <c r="BC195" s="1182"/>
      <c r="BD195" s="1182"/>
      <c r="BE195" s="1182"/>
      <c r="BF195" s="1182"/>
      <c r="BG195" s="1182"/>
      <c r="BH195" s="1182"/>
      <c r="BI195" s="1182"/>
      <c r="BJ195" s="1182"/>
      <c r="BK195" s="1182"/>
      <c r="BL195" s="1182"/>
      <c r="BM195" s="1182"/>
      <c r="BN195" s="1182"/>
      <c r="BO195" s="1182"/>
      <c r="BP195" s="1182"/>
      <c r="BQ195" s="1182"/>
      <c r="BR195" s="1190"/>
      <c r="BS195" s="1190"/>
      <c r="BT195" s="1190"/>
      <c r="BU195" s="1190"/>
      <c r="BV195" s="1190"/>
      <c r="BW195" s="1190"/>
      <c r="BX195" s="1190"/>
      <c r="BY195" s="1190"/>
      <c r="BZ195" s="1190"/>
      <c r="CA195" s="1190"/>
      <c r="CB195" s="1190"/>
      <c r="CC195" s="1190"/>
      <c r="CD195" s="1190"/>
      <c r="CE195" s="1190"/>
      <c r="CF195" s="1190"/>
      <c r="CG195" s="1189"/>
      <c r="CH195" s="1189"/>
      <c r="CI195" s="1189"/>
      <c r="CJ195" s="1189"/>
      <c r="CK195" s="1184"/>
      <c r="CL195" s="1189"/>
      <c r="CM195" s="1189"/>
      <c r="CN195" s="1189"/>
      <c r="CO195" s="1189"/>
      <c r="CP195" s="1184"/>
      <c r="CQ195" s="1189"/>
      <c r="CR195" s="1189"/>
      <c r="CS195" s="1189"/>
      <c r="CT195" s="1189"/>
      <c r="CU195" s="1156"/>
      <c r="CV195" s="1189"/>
      <c r="CW195" s="1189"/>
      <c r="CX195" s="1189"/>
      <c r="CY195" s="1189"/>
      <c r="CZ195" s="1156"/>
      <c r="DA195" s="1156"/>
      <c r="DB195" s="2108"/>
      <c r="DC195" s="2108"/>
    </row>
    <row r="196" spans="1:107" s="1178" customFormat="1" ht="11.25" hidden="1" outlineLevel="1">
      <c r="A196" s="1191"/>
      <c r="B196" s="1191" t="s">
        <v>902</v>
      </c>
      <c r="C196" s="1191"/>
      <c r="D196" s="1191"/>
      <c r="E196" s="1191"/>
      <c r="F196" s="1191"/>
      <c r="G196" s="1191"/>
      <c r="H196" s="1191"/>
      <c r="I196" s="1191"/>
      <c r="J196" s="1191"/>
      <c r="K196" s="1191"/>
      <c r="L196" s="1191"/>
      <c r="M196" s="1191"/>
      <c r="N196" s="1191">
        <v>22.73</v>
      </c>
      <c r="O196" s="1191"/>
      <c r="P196" s="1191"/>
      <c r="Q196" s="1191"/>
      <c r="R196" s="1191"/>
      <c r="S196" s="1191">
        <v>21</v>
      </c>
      <c r="T196" s="1191"/>
      <c r="U196" s="1191"/>
      <c r="V196" s="1191"/>
      <c r="W196" s="1191"/>
      <c r="X196" s="1191">
        <v>21.05</v>
      </c>
      <c r="Y196" s="1191"/>
      <c r="Z196" s="1191"/>
      <c r="AA196" s="1191"/>
      <c r="AB196" s="1191"/>
      <c r="AC196" s="1191">
        <v>20.5</v>
      </c>
      <c r="AD196" s="1191"/>
      <c r="AE196" s="1191"/>
      <c r="AF196" s="1191"/>
      <c r="AG196" s="1191"/>
      <c r="AH196" s="1191">
        <v>19.440000000000001</v>
      </c>
      <c r="AI196" s="1191"/>
      <c r="AJ196" s="1191"/>
      <c r="AK196" s="1191"/>
      <c r="AL196" s="1191"/>
      <c r="AM196" s="1191">
        <v>18.989999999999998</v>
      </c>
      <c r="AN196" s="1191"/>
      <c r="AO196" s="1191"/>
      <c r="AP196" s="1191"/>
      <c r="AQ196" s="1191"/>
      <c r="AR196" s="1191">
        <v>18.5</v>
      </c>
      <c r="AS196" s="1191"/>
      <c r="AT196" s="1191"/>
      <c r="AU196" s="1191"/>
      <c r="AV196" s="1191"/>
      <c r="AW196" s="1191">
        <v>17.940000000000001</v>
      </c>
      <c r="AX196" s="1191"/>
      <c r="AY196" s="1182"/>
      <c r="AZ196" s="1182"/>
      <c r="BA196" s="1182"/>
      <c r="BB196" s="1191">
        <v>17.79</v>
      </c>
      <c r="BC196" s="1182"/>
      <c r="BD196" s="1182"/>
      <c r="BE196" s="1182"/>
      <c r="BF196" s="1182"/>
      <c r="BG196" s="1182"/>
      <c r="BH196" s="1182"/>
      <c r="BI196" s="1182"/>
      <c r="BJ196" s="1182"/>
      <c r="BK196" s="1182"/>
      <c r="BL196" s="1182"/>
      <c r="BM196" s="1182"/>
      <c r="BN196" s="1182"/>
      <c r="BO196" s="1182"/>
      <c r="BP196" s="1182"/>
      <c r="BQ196" s="1182"/>
      <c r="BR196" s="1190"/>
      <c r="BS196" s="1190"/>
      <c r="BT196" s="1190"/>
      <c r="BU196" s="1190"/>
      <c r="BV196" s="1190"/>
      <c r="BW196" s="1190"/>
      <c r="BX196" s="1190"/>
      <c r="BY196" s="1190"/>
      <c r="BZ196" s="1190"/>
      <c r="CA196" s="1190"/>
      <c r="CB196" s="1190"/>
      <c r="CC196" s="1190"/>
      <c r="CD196" s="1190"/>
      <c r="CE196" s="1190"/>
      <c r="CF196" s="1190"/>
      <c r="CG196" s="1189"/>
      <c r="CH196" s="1189"/>
      <c r="CI196" s="1189"/>
      <c r="CJ196" s="1189"/>
      <c r="CK196" s="1184"/>
      <c r="CL196" s="1189"/>
      <c r="CM196" s="1189"/>
      <c r="CN196" s="1189"/>
      <c r="CO196" s="1189"/>
      <c r="CP196" s="1184"/>
      <c r="CQ196" s="1189"/>
      <c r="CR196" s="1189"/>
      <c r="CS196" s="1189"/>
      <c r="CT196" s="1189"/>
      <c r="CU196" s="1156"/>
      <c r="CV196" s="1189"/>
      <c r="CW196" s="1189"/>
      <c r="CX196" s="1189"/>
      <c r="CY196" s="1189"/>
      <c r="CZ196" s="1156"/>
      <c r="DA196" s="1156"/>
      <c r="DB196" s="2108"/>
      <c r="DC196" s="2108"/>
    </row>
    <row r="197" spans="1:107" s="1178" customFormat="1" ht="11.25" hidden="1" outlineLevel="1">
      <c r="A197" s="1191"/>
      <c r="B197" s="1191" t="s">
        <v>901</v>
      </c>
      <c r="C197" s="1191"/>
      <c r="D197" s="1191"/>
      <c r="E197" s="1191"/>
      <c r="F197" s="1191"/>
      <c r="G197" s="1191"/>
      <c r="H197" s="1191"/>
      <c r="I197" s="1191"/>
      <c r="J197" s="1191"/>
      <c r="K197" s="1191"/>
      <c r="L197" s="1191"/>
      <c r="M197" s="1191"/>
      <c r="N197" s="1191"/>
      <c r="O197" s="1191"/>
      <c r="P197" s="1191"/>
      <c r="Q197" s="1191"/>
      <c r="R197" s="1191"/>
      <c r="S197" s="1191"/>
      <c r="T197" s="1191">
        <v>420</v>
      </c>
      <c r="U197" s="1191">
        <v>480</v>
      </c>
      <c r="V197" s="1191">
        <v>485</v>
      </c>
      <c r="W197" s="1191">
        <v>446</v>
      </c>
      <c r="X197" s="1191">
        <f>W197</f>
        <v>446</v>
      </c>
      <c r="Y197" s="1191">
        <v>398</v>
      </c>
      <c r="Z197" s="1191">
        <v>389</v>
      </c>
      <c r="AA197" s="1191">
        <v>379</v>
      </c>
      <c r="AB197" s="1191">
        <v>389</v>
      </c>
      <c r="AC197" s="1191">
        <f>AB197</f>
        <v>389</v>
      </c>
      <c r="AD197" s="1191">
        <v>461</v>
      </c>
      <c r="AE197" s="1191">
        <v>595</v>
      </c>
      <c r="AF197" s="1191">
        <v>710</v>
      </c>
      <c r="AG197" s="1191">
        <v>787</v>
      </c>
      <c r="AH197" s="1191">
        <f>AG197</f>
        <v>787</v>
      </c>
      <c r="AI197" s="1191">
        <v>749</v>
      </c>
      <c r="AJ197" s="1191">
        <v>725</v>
      </c>
      <c r="AK197" s="1191">
        <v>658</v>
      </c>
      <c r="AL197" s="1191">
        <v>595</v>
      </c>
      <c r="AM197" s="1191">
        <f>AL197</f>
        <v>595</v>
      </c>
      <c r="AN197" s="1191">
        <v>581</v>
      </c>
      <c r="AO197" s="1191">
        <v>653</v>
      </c>
      <c r="AP197" s="1191">
        <v>638</v>
      </c>
      <c r="AQ197" s="1191">
        <v>672</v>
      </c>
      <c r="AR197" s="1191">
        <f>AQ197</f>
        <v>672</v>
      </c>
      <c r="AS197" s="1191">
        <v>710</v>
      </c>
      <c r="AT197" s="1191">
        <v>686</v>
      </c>
      <c r="AU197" s="1191">
        <v>638</v>
      </c>
      <c r="AV197" s="1191">
        <v>605</v>
      </c>
      <c r="AW197" s="1191">
        <f>AV197</f>
        <v>605</v>
      </c>
      <c r="AX197" s="1191">
        <v>638</v>
      </c>
      <c r="AY197" s="1191">
        <v>610</v>
      </c>
      <c r="AZ197" s="1191">
        <v>619</v>
      </c>
      <c r="BA197" s="1191">
        <v>701</v>
      </c>
      <c r="BB197" s="1191">
        <f>BA197</f>
        <v>701</v>
      </c>
      <c r="BC197" s="1191">
        <v>883</v>
      </c>
      <c r="BD197" s="1191">
        <v>1094</v>
      </c>
      <c r="BE197" s="1191">
        <v>1128</v>
      </c>
      <c r="BF197" s="1191">
        <v>624</v>
      </c>
      <c r="BG197" s="1191">
        <f>BF197</f>
        <v>624</v>
      </c>
      <c r="BH197" s="1182"/>
      <c r="BI197" s="1182"/>
      <c r="BJ197" s="1182"/>
      <c r="BK197" s="1182"/>
      <c r="BL197" s="1182"/>
      <c r="BM197" s="1182"/>
      <c r="BN197" s="1182"/>
      <c r="BO197" s="1182"/>
      <c r="BP197" s="1182"/>
      <c r="BQ197" s="1182"/>
      <c r="BR197" s="1190"/>
      <c r="BS197" s="1190"/>
      <c r="BT197" s="1190"/>
      <c r="BU197" s="1190"/>
      <c r="BV197" s="1190"/>
      <c r="BW197" s="1190"/>
      <c r="BX197" s="1190"/>
      <c r="BY197" s="1190"/>
      <c r="BZ197" s="1190"/>
      <c r="CA197" s="1190"/>
      <c r="CB197" s="1190"/>
      <c r="CC197" s="1190"/>
      <c r="CD197" s="1190"/>
      <c r="CE197" s="1190"/>
      <c r="CF197" s="1190"/>
      <c r="CG197" s="1189"/>
      <c r="CH197" s="1189"/>
      <c r="CI197" s="1189"/>
      <c r="CJ197" s="1189"/>
      <c r="CK197" s="1184"/>
      <c r="CL197" s="1189"/>
      <c r="CM197" s="1189"/>
      <c r="CN197" s="1189"/>
      <c r="CO197" s="1189"/>
      <c r="CP197" s="1184"/>
      <c r="CQ197" s="1189"/>
      <c r="CR197" s="1189"/>
      <c r="CS197" s="1189"/>
      <c r="CT197" s="1189"/>
      <c r="CU197" s="1156"/>
      <c r="CV197" s="1189"/>
      <c r="CW197" s="1189"/>
      <c r="CX197" s="1189"/>
      <c r="CY197" s="1189"/>
      <c r="CZ197" s="1156"/>
      <c r="DA197" s="1156"/>
      <c r="DB197" s="2108"/>
      <c r="DC197" s="2108"/>
    </row>
    <row r="198" spans="1:107" s="1178" customFormat="1" ht="11.25" hidden="1" outlineLevel="1">
      <c r="A198" s="1191"/>
      <c r="B198" s="1191" t="s">
        <v>900</v>
      </c>
      <c r="C198" s="1191"/>
      <c r="D198" s="1191"/>
      <c r="E198" s="1191"/>
      <c r="F198" s="1191"/>
      <c r="G198" s="1191"/>
      <c r="H198" s="1191"/>
      <c r="I198" s="1191"/>
      <c r="J198" s="1191"/>
      <c r="K198" s="1191"/>
      <c r="L198" s="1191"/>
      <c r="M198" s="1191"/>
      <c r="N198" s="1191"/>
      <c r="O198" s="1191"/>
      <c r="P198" s="1191"/>
      <c r="Q198" s="1191"/>
      <c r="R198" s="1191"/>
      <c r="S198" s="1191"/>
      <c r="T198" s="1156"/>
      <c r="U198" s="1156"/>
      <c r="V198" s="1156"/>
      <c r="W198" s="1156"/>
      <c r="X198" s="1156">
        <v>74.2</v>
      </c>
      <c r="Y198" s="1156"/>
      <c r="Z198" s="1156"/>
      <c r="AA198" s="1156"/>
      <c r="AB198" s="1156"/>
      <c r="AC198" s="1156">
        <v>80.8</v>
      </c>
      <c r="AD198" s="1156"/>
      <c r="AE198" s="1156"/>
      <c r="AF198" s="1156"/>
      <c r="AG198" s="1156"/>
      <c r="AH198" s="1156">
        <v>97</v>
      </c>
      <c r="AI198" s="1156"/>
      <c r="AJ198" s="1156"/>
      <c r="AK198" s="1156"/>
      <c r="AL198" s="1156"/>
      <c r="AM198" s="1156">
        <v>78</v>
      </c>
      <c r="AN198" s="1156"/>
      <c r="AO198" s="1156"/>
      <c r="AP198" s="1156"/>
      <c r="AQ198" s="1156"/>
      <c r="AR198" s="1156">
        <v>89.6</v>
      </c>
      <c r="AS198" s="1156"/>
      <c r="AT198" s="1156"/>
      <c r="AU198" s="1156"/>
      <c r="AV198" s="1156"/>
      <c r="AW198" s="1156">
        <v>104.8</v>
      </c>
      <c r="AX198" s="1156"/>
      <c r="AY198" s="1156"/>
      <c r="AZ198" s="1156"/>
      <c r="BA198" s="1156"/>
      <c r="BB198" s="1156">
        <v>94.9</v>
      </c>
      <c r="BC198" s="1156"/>
      <c r="BD198" s="1156"/>
      <c r="BE198" s="1156"/>
      <c r="BF198" s="1156"/>
      <c r="BG198" s="1156"/>
      <c r="BH198" s="1182"/>
      <c r="BI198" s="1182"/>
      <c r="BJ198" s="1182"/>
      <c r="BK198" s="1182"/>
      <c r="BL198" s="1182"/>
      <c r="BM198" s="1182"/>
      <c r="BN198" s="1182"/>
      <c r="BO198" s="1182"/>
      <c r="BP198" s="1182"/>
      <c r="BQ198" s="1182"/>
      <c r="BR198" s="1190"/>
      <c r="BS198" s="1190"/>
      <c r="BT198" s="1190"/>
      <c r="BU198" s="1190"/>
      <c r="BV198" s="1190"/>
      <c r="BW198" s="1190"/>
      <c r="BX198" s="1190"/>
      <c r="BY198" s="1190"/>
      <c r="BZ198" s="1190"/>
      <c r="CA198" s="1190"/>
      <c r="CB198" s="1190"/>
      <c r="CC198" s="1190"/>
      <c r="CD198" s="1190"/>
      <c r="CE198" s="1190"/>
      <c r="CF198" s="1190"/>
      <c r="CG198" s="1189"/>
      <c r="CH198" s="1189"/>
      <c r="CI198" s="1189"/>
      <c r="CJ198" s="1189"/>
      <c r="CK198" s="1184"/>
      <c r="CL198" s="1189"/>
      <c r="CM198" s="1189"/>
      <c r="CN198" s="1189"/>
      <c r="CO198" s="1189"/>
      <c r="CP198" s="1184"/>
      <c r="CQ198" s="1189"/>
      <c r="CR198" s="1189"/>
      <c r="CS198" s="1189"/>
      <c r="CT198" s="1189"/>
      <c r="CU198" s="1156"/>
      <c r="CV198" s="1189"/>
      <c r="CW198" s="1189"/>
      <c r="CX198" s="1189"/>
      <c r="CY198" s="1189"/>
      <c r="CZ198" s="1156"/>
      <c r="DA198" s="1156"/>
      <c r="DB198" s="2108"/>
      <c r="DC198" s="2108"/>
    </row>
    <row r="199" spans="1:107" s="1178" customFormat="1" ht="11.25" hidden="1" outlineLevel="1">
      <c r="A199" s="1191"/>
      <c r="B199" s="1191"/>
      <c r="C199" s="1191"/>
      <c r="D199" s="1191"/>
      <c r="E199" s="1191"/>
      <c r="F199" s="1191"/>
      <c r="G199" s="1191"/>
      <c r="H199" s="1191"/>
      <c r="I199" s="1191"/>
      <c r="J199" s="1191"/>
      <c r="K199" s="1191"/>
      <c r="L199" s="1191"/>
      <c r="M199" s="1191"/>
      <c r="N199" s="1191"/>
      <c r="O199" s="1191"/>
      <c r="P199" s="1191"/>
      <c r="Q199" s="1191"/>
      <c r="R199" s="1191"/>
      <c r="S199" s="1191"/>
      <c r="T199" s="1191"/>
      <c r="U199" s="1191"/>
      <c r="V199" s="1191"/>
      <c r="W199" s="1191"/>
      <c r="X199" s="1186"/>
      <c r="Y199" s="1156"/>
      <c r="Z199" s="1156"/>
      <c r="AA199" s="1156"/>
      <c r="AB199" s="1156"/>
      <c r="AC199" s="1186"/>
      <c r="AD199" s="1156"/>
      <c r="AE199" s="1156"/>
      <c r="AF199" s="1156"/>
      <c r="AG199" s="1156"/>
      <c r="AH199" s="1186"/>
      <c r="AI199" s="1156"/>
      <c r="AJ199" s="1156"/>
      <c r="AK199" s="1156"/>
      <c r="AL199" s="1156"/>
      <c r="AM199" s="1186"/>
      <c r="AN199" s="1156"/>
      <c r="AO199" s="1156"/>
      <c r="AP199" s="1156"/>
      <c r="AQ199" s="1156"/>
      <c r="AR199" s="1186"/>
      <c r="AS199" s="1186"/>
      <c r="AT199" s="1186"/>
      <c r="AU199" s="1186"/>
      <c r="AV199" s="1186"/>
      <c r="AW199" s="1186"/>
      <c r="AX199" s="1186"/>
      <c r="AY199" s="1186"/>
      <c r="AZ199" s="1186"/>
      <c r="BA199" s="1186"/>
      <c r="BB199" s="1186"/>
      <c r="BC199" s="1186"/>
      <c r="BD199" s="1186"/>
      <c r="BE199" s="1186"/>
      <c r="BF199" s="1186"/>
      <c r="BG199" s="1186"/>
      <c r="BH199" s="1182"/>
      <c r="BI199" s="1182"/>
      <c r="BJ199" s="1182"/>
      <c r="BK199" s="1182"/>
      <c r="BL199" s="1182"/>
      <c r="BM199" s="1182"/>
      <c r="BN199" s="1182"/>
      <c r="BO199" s="1182"/>
      <c r="BP199" s="1182"/>
      <c r="BQ199" s="1182"/>
      <c r="BR199" s="1190"/>
      <c r="BS199" s="1190"/>
      <c r="BT199" s="1190"/>
      <c r="BU199" s="1190"/>
      <c r="BV199" s="1190"/>
      <c r="BW199" s="1190"/>
      <c r="BX199" s="1190"/>
      <c r="BY199" s="1190"/>
      <c r="BZ199" s="1190"/>
      <c r="CA199" s="1190"/>
      <c r="CB199" s="1190"/>
      <c r="CC199" s="1190"/>
      <c r="CD199" s="1190"/>
      <c r="CE199" s="1190"/>
      <c r="CF199" s="1190"/>
      <c r="CG199" s="1189"/>
      <c r="CH199" s="1189"/>
      <c r="CI199" s="1189"/>
      <c r="CJ199" s="1189"/>
      <c r="CK199" s="1184"/>
      <c r="CL199" s="1189"/>
      <c r="CM199" s="1189"/>
      <c r="CN199" s="1189"/>
      <c r="CO199" s="1189"/>
      <c r="CP199" s="1184"/>
      <c r="CQ199" s="1189"/>
      <c r="CR199" s="1189"/>
      <c r="CS199" s="1189"/>
      <c r="CT199" s="1189"/>
      <c r="CU199" s="1156"/>
      <c r="CV199" s="1189"/>
      <c r="CW199" s="1189"/>
      <c r="CX199" s="1189"/>
      <c r="CY199" s="1189"/>
      <c r="CZ199" s="1156"/>
      <c r="DA199" s="1156"/>
      <c r="DB199" s="2108"/>
      <c r="DC199" s="2108"/>
    </row>
    <row r="200" spans="1:107" s="1178" customFormat="1" ht="11.25" hidden="1" outlineLevel="1">
      <c r="A200" s="1191"/>
      <c r="B200" s="1191" t="s">
        <v>899</v>
      </c>
      <c r="C200" s="1191"/>
      <c r="D200" s="1191"/>
      <c r="E200" s="1191"/>
      <c r="F200" s="1191"/>
      <c r="G200" s="1191"/>
      <c r="H200" s="1191"/>
      <c r="I200" s="1191"/>
      <c r="J200" s="1191"/>
      <c r="K200" s="1191"/>
      <c r="L200" s="1191"/>
      <c r="M200" s="1191"/>
      <c r="N200" s="1191"/>
      <c r="O200" s="1191"/>
      <c r="P200" s="1191"/>
      <c r="Q200" s="1191"/>
      <c r="R200" s="1191"/>
      <c r="S200" s="1191"/>
      <c r="T200" s="1191"/>
      <c r="U200" s="1191"/>
      <c r="V200" s="1191"/>
      <c r="W200" s="1191"/>
      <c r="X200" s="1191"/>
      <c r="Y200" s="1191"/>
      <c r="Z200" s="1191"/>
      <c r="AA200" s="1191"/>
      <c r="AB200" s="1191"/>
      <c r="AC200" s="1191"/>
      <c r="AD200" s="1191"/>
      <c r="AE200" s="1191"/>
      <c r="AF200" s="1191"/>
      <c r="AG200" s="1191"/>
      <c r="AH200" s="1191"/>
      <c r="AI200" s="1191"/>
      <c r="AJ200" s="1191"/>
      <c r="AK200" s="1191"/>
      <c r="AL200" s="1191"/>
      <c r="AM200" s="1209">
        <v>0.19</v>
      </c>
      <c r="AN200" s="1209"/>
      <c r="AO200" s="1209"/>
      <c r="AP200" s="1209"/>
      <c r="AQ200" s="1209"/>
      <c r="AR200" s="1209">
        <v>0.185</v>
      </c>
      <c r="AS200" s="1209"/>
      <c r="AT200" s="1209"/>
      <c r="AU200" s="1209"/>
      <c r="AV200" s="1209"/>
      <c r="AW200" s="1209">
        <v>0.18</v>
      </c>
      <c r="AX200" s="1209"/>
      <c r="AY200" s="1208"/>
      <c r="AZ200" s="1208"/>
      <c r="BA200" s="1208"/>
      <c r="BB200" s="1208">
        <v>0.1875</v>
      </c>
      <c r="BC200" s="1208"/>
      <c r="BD200" s="1208"/>
      <c r="BE200" s="1208"/>
      <c r="BF200" s="1208"/>
      <c r="BG200" s="1208">
        <v>0.1875</v>
      </c>
      <c r="BH200" s="1207"/>
      <c r="BI200" s="1207"/>
      <c r="BJ200" s="1207"/>
      <c r="BK200" s="1207"/>
      <c r="BL200" s="1207"/>
      <c r="BM200" s="1182"/>
      <c r="BN200" s="1182"/>
      <c r="BO200" s="1182"/>
      <c r="BP200" s="1182"/>
      <c r="BQ200" s="1182"/>
      <c r="BR200" s="1190"/>
      <c r="BS200" s="1190"/>
      <c r="BT200" s="1190"/>
      <c r="BU200" s="1190"/>
      <c r="BV200" s="1190"/>
      <c r="BW200" s="1190"/>
      <c r="BX200" s="1190"/>
      <c r="BY200" s="1190"/>
      <c r="BZ200" s="1190"/>
      <c r="CA200" s="1190"/>
      <c r="CB200" s="1190"/>
      <c r="CC200" s="1190"/>
      <c r="CD200" s="1190"/>
      <c r="CE200" s="1190"/>
      <c r="CF200" s="1190"/>
      <c r="CG200" s="1189"/>
      <c r="CH200" s="1189"/>
      <c r="CI200" s="1189"/>
      <c r="CJ200" s="1189"/>
      <c r="CK200" s="1184"/>
      <c r="CL200" s="1189"/>
      <c r="CM200" s="1189"/>
      <c r="CN200" s="1189"/>
      <c r="CO200" s="1189"/>
      <c r="CP200" s="1184"/>
      <c r="CQ200" s="1189"/>
      <c r="CR200" s="1189"/>
      <c r="CS200" s="1189"/>
      <c r="CT200" s="1189"/>
      <c r="CU200" s="1156"/>
      <c r="CV200" s="1189"/>
      <c r="CW200" s="1189"/>
      <c r="CX200" s="1189"/>
      <c r="CY200" s="1189"/>
      <c r="CZ200" s="1156"/>
      <c r="DA200" s="1156"/>
      <c r="DB200" s="2108"/>
      <c r="DC200" s="2108"/>
    </row>
    <row r="201" spans="1:107" s="1178" customFormat="1" ht="11.25" hidden="1" outlineLevel="1">
      <c r="A201" s="1191"/>
      <c r="B201" s="1191"/>
      <c r="C201" s="1191"/>
      <c r="D201" s="1191"/>
      <c r="E201" s="1191"/>
      <c r="F201" s="1191"/>
      <c r="G201" s="1191"/>
      <c r="H201" s="1191"/>
      <c r="I201" s="1191"/>
      <c r="J201" s="1191"/>
      <c r="K201" s="1191"/>
      <c r="L201" s="1191"/>
      <c r="M201" s="1191"/>
      <c r="N201" s="1191"/>
      <c r="O201" s="1191"/>
      <c r="P201" s="1191"/>
      <c r="Q201" s="1191"/>
      <c r="R201" s="1191"/>
      <c r="S201" s="1191"/>
      <c r="T201" s="1191"/>
      <c r="U201" s="1191"/>
      <c r="V201" s="1191"/>
      <c r="W201" s="1191"/>
      <c r="X201" s="1191"/>
      <c r="Y201" s="1191"/>
      <c r="Z201" s="1191"/>
      <c r="AA201" s="1191"/>
      <c r="AB201" s="1191"/>
      <c r="AC201" s="1191"/>
      <c r="AD201" s="1191"/>
      <c r="AE201" s="1191"/>
      <c r="AF201" s="1191"/>
      <c r="AG201" s="1191"/>
      <c r="AH201" s="1191"/>
      <c r="AI201" s="1191"/>
      <c r="AJ201" s="1191"/>
      <c r="AK201" s="1191"/>
      <c r="AL201" s="1191"/>
      <c r="AM201" s="1191"/>
      <c r="AN201" s="1191"/>
      <c r="AO201" s="1191"/>
      <c r="AP201" s="1191"/>
      <c r="AQ201" s="1191"/>
      <c r="AR201" s="1191"/>
      <c r="AS201" s="1191"/>
      <c r="AT201" s="1191"/>
      <c r="AU201" s="1191"/>
      <c r="AV201" s="1191"/>
      <c r="AW201" s="1191"/>
      <c r="AX201" s="1191"/>
      <c r="AY201" s="1182"/>
      <c r="AZ201" s="1182"/>
      <c r="BA201" s="1182"/>
      <c r="BB201" s="1182"/>
      <c r="BC201" s="1182"/>
      <c r="BD201" s="1182"/>
      <c r="BE201" s="1182"/>
      <c r="BF201" s="1182"/>
      <c r="BG201" s="1182"/>
      <c r="BH201" s="1182"/>
      <c r="BI201" s="1182"/>
      <c r="BJ201" s="1182"/>
      <c r="BK201" s="1182"/>
      <c r="BL201" s="1182"/>
      <c r="BM201" s="1182"/>
      <c r="BN201" s="1182"/>
      <c r="BO201" s="1182"/>
      <c r="BP201" s="1182"/>
      <c r="BQ201" s="1182"/>
      <c r="BR201" s="1190"/>
      <c r="BS201" s="1190"/>
      <c r="BT201" s="1190"/>
      <c r="BU201" s="1190"/>
      <c r="BV201" s="1190"/>
      <c r="BW201" s="1190"/>
      <c r="BX201" s="1190"/>
      <c r="BY201" s="1190"/>
      <c r="BZ201" s="1190"/>
      <c r="CA201" s="1190"/>
      <c r="CB201" s="1190"/>
      <c r="CC201" s="1190"/>
      <c r="CD201" s="1190"/>
      <c r="CE201" s="1190"/>
      <c r="CF201" s="1190"/>
      <c r="CG201" s="1189"/>
      <c r="CH201" s="1189"/>
      <c r="CI201" s="1189"/>
      <c r="CJ201" s="1189"/>
      <c r="CK201" s="1184"/>
      <c r="CL201" s="1189"/>
      <c r="CM201" s="1189"/>
      <c r="CN201" s="1189"/>
      <c r="CO201" s="1189"/>
      <c r="CP201" s="1184"/>
      <c r="CQ201" s="1189"/>
      <c r="CR201" s="1189"/>
      <c r="CS201" s="1189"/>
      <c r="CT201" s="1189"/>
      <c r="CU201" s="1156"/>
      <c r="CV201" s="1189"/>
      <c r="CW201" s="1189"/>
      <c r="CX201" s="1189"/>
      <c r="CY201" s="1189"/>
      <c r="CZ201" s="1156"/>
      <c r="DA201" s="1156"/>
      <c r="DB201" s="2108"/>
      <c r="DC201" s="2108"/>
    </row>
    <row r="202" spans="1:107" s="1178" customFormat="1" ht="11.25" hidden="1" outlineLevel="1">
      <c r="A202" s="1191"/>
      <c r="B202" s="1182" t="s">
        <v>571</v>
      </c>
      <c r="C202" s="1191"/>
      <c r="D202" s="1191"/>
      <c r="E202" s="1191"/>
      <c r="F202" s="1191"/>
      <c r="G202" s="1191"/>
      <c r="H202" s="1191"/>
      <c r="I202" s="1191"/>
      <c r="J202" s="1191"/>
      <c r="K202" s="1191"/>
      <c r="L202" s="1191"/>
      <c r="M202" s="1191"/>
      <c r="N202" s="1191"/>
      <c r="O202" s="1191"/>
      <c r="P202" s="1191"/>
      <c r="Q202" s="1191"/>
      <c r="R202" s="1191"/>
      <c r="S202" s="1191"/>
      <c r="T202" s="1191"/>
      <c r="U202" s="1191"/>
      <c r="V202" s="1191"/>
      <c r="W202" s="1191"/>
      <c r="X202" s="1191"/>
      <c r="Y202" s="1191"/>
      <c r="Z202" s="1191"/>
      <c r="AA202" s="1191"/>
      <c r="AB202" s="1191"/>
      <c r="AC202" s="1191"/>
      <c r="AD202" s="1191"/>
      <c r="AE202" s="1191"/>
      <c r="AF202" s="1191"/>
      <c r="AG202" s="1191"/>
      <c r="AH202" s="1191"/>
      <c r="AI202" s="1191"/>
      <c r="AJ202" s="1191"/>
      <c r="AK202" s="1191"/>
      <c r="AL202" s="1191"/>
      <c r="AM202" s="1191"/>
      <c r="AN202" s="1191"/>
      <c r="AO202" s="1191"/>
      <c r="AP202" s="1191"/>
      <c r="AQ202" s="1191"/>
      <c r="AR202" s="1191"/>
      <c r="AS202" s="1191"/>
      <c r="AT202" s="1191"/>
      <c r="AU202" s="1191"/>
      <c r="AV202" s="1191"/>
      <c r="AW202" s="1191"/>
      <c r="AX202" s="1191"/>
      <c r="AY202" s="1182"/>
      <c r="AZ202" s="1182"/>
      <c r="BA202" s="1182"/>
      <c r="BB202" s="1182"/>
      <c r="BC202" s="1182"/>
      <c r="BD202" s="1182"/>
      <c r="BE202" s="1182"/>
      <c r="BF202" s="1182"/>
      <c r="BG202" s="1182"/>
      <c r="BH202" s="1182"/>
      <c r="BI202" s="1182"/>
      <c r="BJ202" s="1182"/>
      <c r="BK202" s="1182"/>
      <c r="BL202" s="1182"/>
      <c r="BM202" s="1182"/>
      <c r="BN202" s="1182"/>
      <c r="BO202" s="1182"/>
      <c r="BP202" s="1182"/>
      <c r="BQ202" s="1182"/>
      <c r="BR202" s="1190"/>
      <c r="BS202" s="1190"/>
      <c r="BT202" s="1190"/>
      <c r="BU202" s="1190"/>
      <c r="BV202" s="1190"/>
      <c r="BW202" s="1190"/>
      <c r="BX202" s="1190"/>
      <c r="BY202" s="1190"/>
      <c r="BZ202" s="1190"/>
      <c r="CA202" s="1190"/>
      <c r="CB202" s="1190"/>
      <c r="CC202" s="1190"/>
      <c r="CD202" s="1190"/>
      <c r="CE202" s="1190"/>
      <c r="CF202" s="1190"/>
      <c r="CG202" s="1189"/>
      <c r="CH202" s="1189"/>
      <c r="CI202" s="1189"/>
      <c r="CJ202" s="1189"/>
      <c r="CK202" s="1184"/>
      <c r="CL202" s="1189"/>
      <c r="CM202" s="1189"/>
      <c r="CN202" s="1189"/>
      <c r="CO202" s="1189"/>
      <c r="CP202" s="1184"/>
      <c r="CQ202" s="1189"/>
      <c r="CR202" s="1189"/>
      <c r="CS202" s="1189"/>
      <c r="CT202" s="1189"/>
      <c r="CU202" s="1156"/>
      <c r="CV202" s="1189"/>
      <c r="CW202" s="1189"/>
      <c r="CX202" s="1189"/>
      <c r="CY202" s="1189"/>
      <c r="CZ202" s="1156"/>
      <c r="DA202" s="1156"/>
      <c r="DB202" s="2108"/>
      <c r="DC202" s="2108"/>
    </row>
    <row r="203" spans="1:107" s="1178" customFormat="1" ht="11.25" hidden="1" outlineLevel="1">
      <c r="A203" s="1191"/>
      <c r="B203" s="1191" t="s">
        <v>898</v>
      </c>
      <c r="C203" s="1191"/>
      <c r="D203" s="1191"/>
      <c r="E203" s="1191"/>
      <c r="F203" s="1191"/>
      <c r="G203" s="1191"/>
      <c r="H203" s="1191"/>
      <c r="I203" s="1191"/>
      <c r="J203" s="1191"/>
      <c r="K203" s="1191"/>
      <c r="L203" s="1191"/>
      <c r="M203" s="1191"/>
      <c r="N203" s="1191"/>
      <c r="O203" s="1191"/>
      <c r="P203" s="1191"/>
      <c r="Q203" s="1191"/>
      <c r="R203" s="1191"/>
      <c r="S203" s="1191"/>
      <c r="T203" s="1191"/>
      <c r="U203" s="1191"/>
      <c r="V203" s="1191"/>
      <c r="W203" s="1191"/>
      <c r="X203" s="1191"/>
      <c r="Y203" s="1191"/>
      <c r="Z203" s="1191"/>
      <c r="AA203" s="1191"/>
      <c r="AB203" s="1191"/>
      <c r="AC203" s="1191"/>
      <c r="AD203" s="1191"/>
      <c r="AE203" s="1191"/>
      <c r="AF203" s="1191"/>
      <c r="AG203" s="1191"/>
      <c r="AH203" s="1191"/>
      <c r="AI203" s="1191"/>
      <c r="AJ203" s="1191"/>
      <c r="AK203" s="1191"/>
      <c r="AL203" s="1191"/>
      <c r="AM203" s="1191"/>
      <c r="AN203" s="1191"/>
      <c r="AO203" s="1191"/>
      <c r="AP203" s="1191"/>
      <c r="AQ203" s="1191"/>
      <c r="AR203" s="1191"/>
      <c r="AS203" s="1191"/>
      <c r="AT203" s="1191"/>
      <c r="AU203" s="1191"/>
      <c r="AV203" s="1191"/>
      <c r="AW203" s="1191"/>
      <c r="AX203" s="1191"/>
      <c r="AY203" s="1182"/>
      <c r="AZ203" s="1182"/>
      <c r="BA203" s="1182"/>
      <c r="BB203" s="1199">
        <v>0.46</v>
      </c>
      <c r="BC203" s="1182"/>
      <c r="BD203" s="1182"/>
      <c r="BE203" s="1182"/>
      <c r="BF203" s="1182"/>
      <c r="BG203" s="1182"/>
      <c r="BH203" s="1182"/>
      <c r="BI203" s="1182"/>
      <c r="BJ203" s="1182"/>
      <c r="BK203" s="1182"/>
      <c r="BL203" s="1182"/>
      <c r="BM203" s="1182"/>
      <c r="BN203" s="1182"/>
      <c r="BO203" s="1182"/>
      <c r="BP203" s="1182"/>
      <c r="BQ203" s="1182"/>
      <c r="BR203" s="1190"/>
      <c r="BS203" s="1190"/>
      <c r="BT203" s="1190"/>
      <c r="BU203" s="1190"/>
      <c r="BV203" s="1190"/>
      <c r="BW203" s="1190"/>
      <c r="BX203" s="1190"/>
      <c r="BY203" s="1190"/>
      <c r="BZ203" s="1190"/>
      <c r="CA203" s="1190"/>
      <c r="CB203" s="1190"/>
      <c r="CC203" s="1190"/>
      <c r="CD203" s="1190"/>
      <c r="CE203" s="1190"/>
      <c r="CF203" s="1190"/>
      <c r="CG203" s="1189"/>
      <c r="CH203" s="1189"/>
      <c r="CI203" s="1189"/>
      <c r="CJ203" s="1189"/>
      <c r="CK203" s="1184"/>
      <c r="CL203" s="1189"/>
      <c r="CM203" s="1189"/>
      <c r="CN203" s="1189"/>
      <c r="CO203" s="1189"/>
      <c r="CP203" s="1184"/>
      <c r="CQ203" s="1189"/>
      <c r="CR203" s="1189"/>
      <c r="CS203" s="1189"/>
      <c r="CT203" s="1189"/>
      <c r="CU203" s="1156"/>
      <c r="CV203" s="1189"/>
      <c r="CW203" s="1189"/>
      <c r="CX203" s="1189"/>
      <c r="CY203" s="1189"/>
      <c r="CZ203" s="1156"/>
      <c r="DA203" s="1156"/>
      <c r="DB203" s="2108"/>
      <c r="DC203" s="2108"/>
    </row>
    <row r="204" spans="1:107" s="1178" customFormat="1" ht="11.25" hidden="1" outlineLevel="1">
      <c r="A204" s="1191"/>
      <c r="B204" s="1191" t="s">
        <v>864</v>
      </c>
      <c r="C204" s="1191"/>
      <c r="D204" s="1191"/>
      <c r="E204" s="1191"/>
      <c r="F204" s="1191"/>
      <c r="G204" s="1191"/>
      <c r="H204" s="1191"/>
      <c r="I204" s="1191"/>
      <c r="J204" s="1191"/>
      <c r="K204" s="1191"/>
      <c r="L204" s="1191"/>
      <c r="M204" s="1191"/>
      <c r="N204" s="1191"/>
      <c r="O204" s="1191"/>
      <c r="P204" s="1191"/>
      <c r="Q204" s="1191"/>
      <c r="R204" s="1191"/>
      <c r="S204" s="1191"/>
      <c r="T204" s="1191"/>
      <c r="U204" s="1191"/>
      <c r="V204" s="1191"/>
      <c r="W204" s="1191"/>
      <c r="X204" s="1191"/>
      <c r="Y204" s="1191"/>
      <c r="Z204" s="1191"/>
      <c r="AA204" s="1191"/>
      <c r="AB204" s="1191"/>
      <c r="AC204" s="1191"/>
      <c r="AD204" s="1191"/>
      <c r="AE204" s="1191"/>
      <c r="AF204" s="1191"/>
      <c r="AG204" s="1191"/>
      <c r="AH204" s="1191"/>
      <c r="AI204" s="1191"/>
      <c r="AJ204" s="1191"/>
      <c r="AK204" s="1191"/>
      <c r="AL204" s="1191"/>
      <c r="AM204" s="1191"/>
      <c r="AN204" s="1191"/>
      <c r="AO204" s="1191"/>
      <c r="AP204" s="1191"/>
      <c r="AQ204" s="1191"/>
      <c r="AR204" s="1191"/>
      <c r="AS204" s="1191"/>
      <c r="AT204" s="1191"/>
      <c r="AU204" s="1191"/>
      <c r="AV204" s="1191"/>
      <c r="AW204" s="1191"/>
      <c r="AX204" s="1191"/>
      <c r="AY204" s="1182"/>
      <c r="AZ204" s="1182"/>
      <c r="BA204" s="1182"/>
      <c r="BB204" s="1199">
        <v>0.54</v>
      </c>
      <c r="BC204" s="1182"/>
      <c r="BD204" s="1182"/>
      <c r="BE204" s="1182"/>
      <c r="BF204" s="1182"/>
      <c r="BG204" s="1182"/>
      <c r="BH204" s="1182"/>
      <c r="BI204" s="1182"/>
      <c r="BJ204" s="1182"/>
      <c r="BK204" s="1182"/>
      <c r="BL204" s="1182"/>
      <c r="BM204" s="1182"/>
      <c r="BN204" s="1182"/>
      <c r="BO204" s="1182"/>
      <c r="BP204" s="1182"/>
      <c r="BQ204" s="1182"/>
      <c r="BR204" s="1190"/>
      <c r="BS204" s="1190"/>
      <c r="BT204" s="1190"/>
      <c r="BU204" s="1190"/>
      <c r="BV204" s="1190"/>
      <c r="BW204" s="1190"/>
      <c r="BX204" s="1190"/>
      <c r="BY204" s="1190"/>
      <c r="BZ204" s="1190"/>
      <c r="CA204" s="1190"/>
      <c r="CB204" s="1190"/>
      <c r="CC204" s="1190"/>
      <c r="CD204" s="1190"/>
      <c r="CE204" s="1190"/>
      <c r="CF204" s="1190"/>
      <c r="CG204" s="1189"/>
      <c r="CH204" s="1189"/>
      <c r="CI204" s="1189"/>
      <c r="CJ204" s="1189"/>
      <c r="CK204" s="1184"/>
      <c r="CL204" s="1189"/>
      <c r="CM204" s="1189"/>
      <c r="CN204" s="1189"/>
      <c r="CO204" s="1189"/>
      <c r="CP204" s="1184"/>
      <c r="CQ204" s="1189"/>
      <c r="CR204" s="1189"/>
      <c r="CS204" s="1189"/>
      <c r="CT204" s="1189"/>
      <c r="CU204" s="1156"/>
      <c r="CV204" s="1189"/>
      <c r="CW204" s="1189"/>
      <c r="CX204" s="1189"/>
      <c r="CY204" s="1189"/>
      <c r="CZ204" s="1156"/>
      <c r="DA204" s="1156"/>
      <c r="DB204" s="2108"/>
      <c r="DC204" s="2108"/>
    </row>
    <row r="205" spans="1:107" s="1178" customFormat="1" ht="11.25" hidden="1" outlineLevel="1">
      <c r="A205" s="1191"/>
      <c r="B205" s="1191"/>
      <c r="C205" s="1191"/>
      <c r="D205" s="1191"/>
      <c r="E205" s="1191"/>
      <c r="F205" s="1191"/>
      <c r="G205" s="1191"/>
      <c r="H205" s="1191"/>
      <c r="I205" s="1191"/>
      <c r="J205" s="1191"/>
      <c r="K205" s="1191"/>
      <c r="L205" s="1191"/>
      <c r="M205" s="1191"/>
      <c r="N205" s="1191"/>
      <c r="O205" s="1191"/>
      <c r="P205" s="1191"/>
      <c r="Q205" s="1191"/>
      <c r="R205" s="1191"/>
      <c r="S205" s="1191"/>
      <c r="T205" s="1191"/>
      <c r="U205" s="1191"/>
      <c r="V205" s="1191"/>
      <c r="W205" s="1191"/>
      <c r="X205" s="1191"/>
      <c r="Y205" s="1191"/>
      <c r="Z205" s="1191"/>
      <c r="AA205" s="1191"/>
      <c r="AB205" s="1191"/>
      <c r="AC205" s="1191"/>
      <c r="AD205" s="1191"/>
      <c r="AE205" s="1191"/>
      <c r="AF205" s="1191"/>
      <c r="AG205" s="1191"/>
      <c r="AH205" s="1191"/>
      <c r="AI205" s="1191"/>
      <c r="AJ205" s="1191"/>
      <c r="AK205" s="1191"/>
      <c r="AL205" s="1191"/>
      <c r="AM205" s="1191"/>
      <c r="AN205" s="1191"/>
      <c r="AO205" s="1191"/>
      <c r="AP205" s="1191"/>
      <c r="AQ205" s="1191"/>
      <c r="AR205" s="1191"/>
      <c r="AS205" s="1191"/>
      <c r="AT205" s="1191"/>
      <c r="AU205" s="1191"/>
      <c r="AV205" s="1191"/>
      <c r="AW205" s="1191"/>
      <c r="AX205" s="1191"/>
      <c r="AY205" s="1182"/>
      <c r="AZ205" s="1182"/>
      <c r="BA205" s="1182"/>
      <c r="BB205" s="1182"/>
      <c r="BC205" s="1182"/>
      <c r="BD205" s="1182"/>
      <c r="BE205" s="1182"/>
      <c r="BF205" s="1182"/>
      <c r="BG205" s="1182"/>
      <c r="BH205" s="1182"/>
      <c r="BI205" s="1182"/>
      <c r="BJ205" s="1182"/>
      <c r="BK205" s="1182"/>
      <c r="BL205" s="1182"/>
      <c r="BM205" s="1182"/>
      <c r="BN205" s="1182"/>
      <c r="BO205" s="1182"/>
      <c r="BP205" s="1182"/>
      <c r="BQ205" s="1182"/>
      <c r="BR205" s="1190"/>
      <c r="BS205" s="1190"/>
      <c r="BT205" s="1190"/>
      <c r="BU205" s="1190"/>
      <c r="BV205" s="1190"/>
      <c r="BW205" s="1190"/>
      <c r="BX205" s="1190"/>
      <c r="BY205" s="1190"/>
      <c r="BZ205" s="1190"/>
      <c r="CA205" s="1190"/>
      <c r="CB205" s="1190"/>
      <c r="CC205" s="1190"/>
      <c r="CD205" s="1190"/>
      <c r="CE205" s="1190"/>
      <c r="CF205" s="1190"/>
      <c r="CG205" s="1189"/>
      <c r="CH205" s="1189"/>
      <c r="CI205" s="1189"/>
      <c r="CJ205" s="1189"/>
      <c r="CK205" s="1184"/>
      <c r="CL205" s="1189"/>
      <c r="CM205" s="1189"/>
      <c r="CN205" s="1189"/>
      <c r="CO205" s="1189"/>
      <c r="CP205" s="1184"/>
      <c r="CQ205" s="1189"/>
      <c r="CR205" s="1189"/>
      <c r="CS205" s="1189"/>
      <c r="CT205" s="1189"/>
      <c r="CU205" s="1156"/>
      <c r="CV205" s="1189"/>
      <c r="CW205" s="1189"/>
      <c r="CX205" s="1189"/>
      <c r="CY205" s="1189"/>
      <c r="CZ205" s="1156"/>
      <c r="DA205" s="1156"/>
      <c r="DB205" s="2108"/>
      <c r="DC205" s="2108"/>
    </row>
    <row r="206" spans="1:107" s="1178" customFormat="1" ht="11.25" hidden="1" outlineLevel="1">
      <c r="A206" s="1182"/>
      <c r="B206" s="1182" t="s">
        <v>897</v>
      </c>
      <c r="C206" s="1191"/>
      <c r="D206" s="1191"/>
      <c r="E206" s="1191"/>
      <c r="F206" s="1191"/>
      <c r="G206" s="1191"/>
      <c r="H206" s="1191"/>
      <c r="I206" s="1191"/>
      <c r="J206" s="1191"/>
      <c r="K206" s="1191"/>
      <c r="L206" s="1191"/>
      <c r="M206" s="1191"/>
      <c r="N206" s="1191"/>
      <c r="O206" s="1191"/>
      <c r="P206" s="1191"/>
      <c r="Q206" s="1191"/>
      <c r="R206" s="1191"/>
      <c r="S206" s="1191"/>
      <c r="T206" s="1191"/>
      <c r="U206" s="1191"/>
      <c r="V206" s="1191"/>
      <c r="W206" s="1191"/>
      <c r="X206" s="1191"/>
      <c r="Y206" s="1191"/>
      <c r="Z206" s="1191"/>
      <c r="AA206" s="1191"/>
      <c r="AB206" s="1191"/>
      <c r="AC206" s="1191"/>
      <c r="AD206" s="1191"/>
      <c r="AE206" s="1191"/>
      <c r="AF206" s="1191"/>
      <c r="AG206" s="1191"/>
      <c r="AH206" s="1191"/>
      <c r="AI206" s="1191"/>
      <c r="AJ206" s="1191"/>
      <c r="AK206" s="1191"/>
      <c r="AL206" s="1191"/>
      <c r="AM206" s="1191"/>
      <c r="AN206" s="1191"/>
      <c r="AO206" s="1191"/>
      <c r="AP206" s="1191"/>
      <c r="AQ206" s="1191"/>
      <c r="AR206" s="1191"/>
      <c r="AS206" s="1191"/>
      <c r="AT206" s="1191"/>
      <c r="AU206" s="1191"/>
      <c r="AV206" s="1191"/>
      <c r="AW206" s="1191"/>
      <c r="AX206" s="1191"/>
      <c r="AY206" s="1182"/>
      <c r="AZ206" s="1182"/>
      <c r="BA206" s="1182"/>
      <c r="BB206" s="1199"/>
      <c r="BC206" s="1182"/>
      <c r="BD206" s="1182"/>
      <c r="BE206" s="1182"/>
      <c r="BF206" s="1182"/>
      <c r="BG206" s="1182"/>
      <c r="BH206" s="1182"/>
      <c r="BI206" s="1182"/>
      <c r="BJ206" s="1182"/>
      <c r="BK206" s="1182"/>
      <c r="BL206" s="1182"/>
      <c r="BM206" s="1182"/>
      <c r="BN206" s="1182"/>
      <c r="BO206" s="1182"/>
      <c r="BP206" s="1182"/>
      <c r="BQ206" s="1182"/>
      <c r="BR206" s="1190"/>
      <c r="BS206" s="1190"/>
      <c r="BT206" s="1190"/>
      <c r="BU206" s="1190"/>
      <c r="BV206" s="1190"/>
      <c r="BW206" s="1190"/>
      <c r="BX206" s="1190"/>
      <c r="BY206" s="1190"/>
      <c r="BZ206" s="1190"/>
      <c r="CA206" s="1190"/>
      <c r="CB206" s="1190"/>
      <c r="CC206" s="1190"/>
      <c r="CD206" s="1190"/>
      <c r="CE206" s="1190"/>
      <c r="CF206" s="1190"/>
      <c r="CG206" s="1189"/>
      <c r="CH206" s="1189"/>
      <c r="CI206" s="1189"/>
      <c r="CJ206" s="1189"/>
      <c r="CK206" s="1184"/>
      <c r="CL206" s="1189"/>
      <c r="CM206" s="1189"/>
      <c r="CN206" s="1189"/>
      <c r="CO206" s="1189"/>
      <c r="CP206" s="1184"/>
      <c r="CQ206" s="1189"/>
      <c r="CR206" s="1189"/>
      <c r="CS206" s="1189"/>
      <c r="CT206" s="1189"/>
      <c r="CU206" s="1156"/>
      <c r="CV206" s="1189"/>
      <c r="CW206" s="1189"/>
      <c r="CX206" s="1189"/>
      <c r="CY206" s="1189"/>
      <c r="CZ206" s="1156"/>
      <c r="DA206" s="1156"/>
      <c r="DB206" s="2108"/>
      <c r="DC206" s="2108"/>
    </row>
    <row r="207" spans="1:107" s="1178" customFormat="1" ht="11.25" hidden="1" outlineLevel="1">
      <c r="A207" s="1191"/>
      <c r="B207" s="1191" t="s">
        <v>896</v>
      </c>
      <c r="C207" s="1191"/>
      <c r="D207" s="1191"/>
      <c r="E207" s="1191"/>
      <c r="F207" s="1191"/>
      <c r="G207" s="1191"/>
      <c r="H207" s="1191"/>
      <c r="I207" s="1191"/>
      <c r="J207" s="1191"/>
      <c r="K207" s="1191"/>
      <c r="L207" s="1191"/>
      <c r="M207" s="1191"/>
      <c r="N207" s="1191"/>
      <c r="O207" s="1191"/>
      <c r="P207" s="1191"/>
      <c r="Q207" s="1191"/>
      <c r="R207" s="1191"/>
      <c r="S207" s="1191"/>
      <c r="T207" s="1191"/>
      <c r="U207" s="1191"/>
      <c r="V207" s="1191"/>
      <c r="W207" s="1191"/>
      <c r="X207" s="1191"/>
      <c r="Y207" s="1191"/>
      <c r="Z207" s="1191"/>
      <c r="AA207" s="1191"/>
      <c r="AB207" s="1191"/>
      <c r="AC207" s="1191"/>
      <c r="AD207" s="1191"/>
      <c r="AE207" s="1191"/>
      <c r="AF207" s="1191"/>
      <c r="AG207" s="1191"/>
      <c r="AH207" s="1191"/>
      <c r="AI207" s="1191"/>
      <c r="AJ207" s="1191"/>
      <c r="AK207" s="1191"/>
      <c r="AL207" s="1191"/>
      <c r="AM207" s="1191"/>
      <c r="AN207" s="1191"/>
      <c r="AO207" s="1191"/>
      <c r="AP207" s="1191"/>
      <c r="AQ207" s="1191"/>
      <c r="AR207" s="1191"/>
      <c r="AS207" s="1191"/>
      <c r="AT207" s="1191"/>
      <c r="AU207" s="1191"/>
      <c r="AV207" s="1191"/>
      <c r="AW207" s="1191"/>
      <c r="AX207" s="1191"/>
      <c r="AY207" s="1182"/>
      <c r="AZ207" s="1182"/>
      <c r="BA207" s="1182"/>
      <c r="BB207" s="1199">
        <v>0.45</v>
      </c>
      <c r="BC207" s="1182"/>
      <c r="BD207" s="1182"/>
      <c r="BE207" s="1182"/>
      <c r="BF207" s="1182"/>
      <c r="BG207" s="1182"/>
      <c r="BH207" s="1182"/>
      <c r="BI207" s="1182"/>
      <c r="BJ207" s="1182"/>
      <c r="BK207" s="1182"/>
      <c r="BL207" s="1182"/>
      <c r="BM207" s="1182"/>
      <c r="BN207" s="1182"/>
      <c r="BO207" s="1182"/>
      <c r="BP207" s="1182"/>
      <c r="BQ207" s="1182"/>
      <c r="BR207" s="1190"/>
      <c r="BS207" s="1190"/>
      <c r="BT207" s="1190"/>
      <c r="BU207" s="1190"/>
      <c r="BV207" s="1190"/>
      <c r="BW207" s="1190"/>
      <c r="BX207" s="1190"/>
      <c r="BY207" s="1190"/>
      <c r="BZ207" s="1190"/>
      <c r="CA207" s="1190"/>
      <c r="CB207" s="1190"/>
      <c r="CC207" s="1190"/>
      <c r="CD207" s="1190"/>
      <c r="CE207" s="1190"/>
      <c r="CF207" s="1190"/>
      <c r="CG207" s="1189"/>
      <c r="CH207" s="1189"/>
      <c r="CI207" s="1189"/>
      <c r="CJ207" s="1189"/>
      <c r="CK207" s="1184"/>
      <c r="CL207" s="1189"/>
      <c r="CM207" s="1189"/>
      <c r="CN207" s="1189"/>
      <c r="CO207" s="1189"/>
      <c r="CP207" s="1184"/>
      <c r="CQ207" s="1189"/>
      <c r="CR207" s="1189"/>
      <c r="CS207" s="1189"/>
      <c r="CT207" s="1189"/>
      <c r="CU207" s="1156"/>
      <c r="CV207" s="1189"/>
      <c r="CW207" s="1189"/>
      <c r="CX207" s="1189"/>
      <c r="CY207" s="1189"/>
      <c r="CZ207" s="1156"/>
      <c r="DA207" s="1156"/>
      <c r="DB207" s="2108"/>
      <c r="DC207" s="2108"/>
    </row>
    <row r="208" spans="1:107" s="1178" customFormat="1" ht="11.25" hidden="1" outlineLevel="1">
      <c r="A208" s="1191"/>
      <c r="B208" s="1191" t="s">
        <v>895</v>
      </c>
      <c r="C208" s="1191"/>
      <c r="D208" s="1191"/>
      <c r="E208" s="1191"/>
      <c r="F208" s="1191"/>
      <c r="G208" s="1191"/>
      <c r="H208" s="1191"/>
      <c r="I208" s="1191"/>
      <c r="J208" s="1191"/>
      <c r="K208" s="1191"/>
      <c r="L208" s="1191"/>
      <c r="M208" s="1191"/>
      <c r="N208" s="1191"/>
      <c r="O208" s="1191"/>
      <c r="P208" s="1191"/>
      <c r="Q208" s="1191"/>
      <c r="R208" s="1191"/>
      <c r="S208" s="1191"/>
      <c r="T208" s="1191"/>
      <c r="U208" s="1191"/>
      <c r="V208" s="1191"/>
      <c r="W208" s="1191"/>
      <c r="X208" s="1191"/>
      <c r="Y208" s="1191"/>
      <c r="Z208" s="1191"/>
      <c r="AA208" s="1191"/>
      <c r="AB208" s="1191"/>
      <c r="AC208" s="1191"/>
      <c r="AD208" s="1191"/>
      <c r="AE208" s="1191"/>
      <c r="AF208" s="1191"/>
      <c r="AG208" s="1191"/>
      <c r="AH208" s="1191"/>
      <c r="AI208" s="1191"/>
      <c r="AJ208" s="1191"/>
      <c r="AK208" s="1191"/>
      <c r="AL208" s="1191"/>
      <c r="AM208" s="1191"/>
      <c r="AN208" s="1191"/>
      <c r="AO208" s="1191"/>
      <c r="AP208" s="1191"/>
      <c r="AQ208" s="1191"/>
      <c r="AR208" s="1191"/>
      <c r="AS208" s="1191"/>
      <c r="AT208" s="1191"/>
      <c r="AU208" s="1191"/>
      <c r="AV208" s="1191"/>
      <c r="AW208" s="1191"/>
      <c r="AX208" s="1191"/>
      <c r="AY208" s="1182"/>
      <c r="AZ208" s="1182"/>
      <c r="BA208" s="1182"/>
      <c r="BB208" s="1199">
        <v>0.27</v>
      </c>
      <c r="BC208" s="1182"/>
      <c r="BD208" s="1182"/>
      <c r="BE208" s="1182"/>
      <c r="BF208" s="1182"/>
      <c r="BG208" s="1182"/>
      <c r="BH208" s="1182"/>
      <c r="BI208" s="1182"/>
      <c r="BJ208" s="1182"/>
      <c r="BK208" s="1182"/>
      <c r="BL208" s="1182"/>
      <c r="BM208" s="1182"/>
      <c r="BN208" s="1182"/>
      <c r="BO208" s="1182"/>
      <c r="BP208" s="1182"/>
      <c r="BQ208" s="1182"/>
      <c r="BR208" s="1190"/>
      <c r="BS208" s="1190"/>
      <c r="BT208" s="1190"/>
      <c r="BU208" s="1190"/>
      <c r="BV208" s="1190"/>
      <c r="BW208" s="1190"/>
      <c r="BX208" s="1190"/>
      <c r="BY208" s="1190"/>
      <c r="BZ208" s="1190"/>
      <c r="CA208" s="1190"/>
      <c r="CB208" s="1190"/>
      <c r="CC208" s="1190"/>
      <c r="CD208" s="1190"/>
      <c r="CE208" s="1190"/>
      <c r="CF208" s="1190"/>
      <c r="CG208" s="1189"/>
      <c r="CH208" s="1189"/>
      <c r="CI208" s="1189"/>
      <c r="CJ208" s="1189"/>
      <c r="CK208" s="1184"/>
      <c r="CL208" s="1189"/>
      <c r="CM208" s="1189"/>
      <c r="CN208" s="1189"/>
      <c r="CO208" s="1189"/>
      <c r="CP208" s="1184"/>
      <c r="CQ208" s="1189"/>
      <c r="CR208" s="1189"/>
      <c r="CS208" s="1189"/>
      <c r="CT208" s="1189"/>
      <c r="CU208" s="1156"/>
      <c r="CV208" s="1189"/>
      <c r="CW208" s="1189"/>
      <c r="CX208" s="1189"/>
      <c r="CY208" s="1189"/>
      <c r="CZ208" s="1156"/>
      <c r="DA208" s="1156"/>
      <c r="DB208" s="2108"/>
      <c r="DC208" s="2108"/>
    </row>
    <row r="209" spans="1:107" s="1178" customFormat="1" ht="11.25" hidden="1" outlineLevel="1">
      <c r="A209" s="1191"/>
      <c r="B209" s="1191" t="s">
        <v>894</v>
      </c>
      <c r="C209" s="1191"/>
      <c r="D209" s="1191"/>
      <c r="E209" s="1191"/>
      <c r="F209" s="1191"/>
      <c r="G209" s="1191"/>
      <c r="H209" s="1191"/>
      <c r="I209" s="1191"/>
      <c r="J209" s="1191"/>
      <c r="K209" s="1191"/>
      <c r="L209" s="1191"/>
      <c r="M209" s="1191"/>
      <c r="N209" s="1191"/>
      <c r="O209" s="1191"/>
      <c r="P209" s="1191"/>
      <c r="Q209" s="1191"/>
      <c r="R209" s="1191"/>
      <c r="S209" s="1191"/>
      <c r="T209" s="1191"/>
      <c r="U209" s="1191"/>
      <c r="V209" s="1191"/>
      <c r="W209" s="1191"/>
      <c r="X209" s="1191"/>
      <c r="Y209" s="1191"/>
      <c r="Z209" s="1191"/>
      <c r="AA209" s="1191"/>
      <c r="AB209" s="1191"/>
      <c r="AC209" s="1191"/>
      <c r="AD209" s="1191"/>
      <c r="AE209" s="1191"/>
      <c r="AF209" s="1191"/>
      <c r="AG209" s="1191"/>
      <c r="AH209" s="1191"/>
      <c r="AI209" s="1191"/>
      <c r="AJ209" s="1191"/>
      <c r="AK209" s="1191"/>
      <c r="AL209" s="1191"/>
      <c r="AM209" s="1191"/>
      <c r="AN209" s="1191"/>
      <c r="AO209" s="1191"/>
      <c r="AP209" s="1191"/>
      <c r="AQ209" s="1191"/>
      <c r="AR209" s="1191"/>
      <c r="AS209" s="1191"/>
      <c r="AT209" s="1191"/>
      <c r="AU209" s="1191"/>
      <c r="AV209" s="1191"/>
      <c r="AW209" s="1191"/>
      <c r="AX209" s="1191"/>
      <c r="AY209" s="1182"/>
      <c r="AZ209" s="1182"/>
      <c r="BA209" s="1182"/>
      <c r="BB209" s="1199">
        <v>0.28000000000000003</v>
      </c>
      <c r="BC209" s="1182"/>
      <c r="BD209" s="1182"/>
      <c r="BE209" s="1182"/>
      <c r="BF209" s="1182"/>
      <c r="BG209" s="1182"/>
      <c r="BH209" s="1182"/>
      <c r="BI209" s="1182"/>
      <c r="BJ209" s="1182"/>
      <c r="BK209" s="1182"/>
      <c r="BL209" s="1182"/>
      <c r="BM209" s="1182"/>
      <c r="BN209" s="1182"/>
      <c r="BO209" s="1182"/>
      <c r="BP209" s="1182"/>
      <c r="BQ209" s="1182"/>
      <c r="BR209" s="1190"/>
      <c r="BS209" s="1190"/>
      <c r="BT209" s="1190"/>
      <c r="BU209" s="1190"/>
      <c r="BV209" s="1190"/>
      <c r="BW209" s="1190"/>
      <c r="BX209" s="1190"/>
      <c r="BY209" s="1190"/>
      <c r="BZ209" s="1190"/>
      <c r="CA209" s="1190"/>
      <c r="CB209" s="1190"/>
      <c r="CC209" s="1190"/>
      <c r="CD209" s="1190"/>
      <c r="CE209" s="1190"/>
      <c r="CF209" s="1190"/>
      <c r="CG209" s="1189"/>
      <c r="CH209" s="1189"/>
      <c r="CI209" s="1189"/>
      <c r="CJ209" s="1189"/>
      <c r="CK209" s="1184"/>
      <c r="CL209" s="1189"/>
      <c r="CM209" s="1189"/>
      <c r="CN209" s="1189"/>
      <c r="CO209" s="1189"/>
      <c r="CP209" s="1184"/>
      <c r="CQ209" s="1189"/>
      <c r="CR209" s="1189"/>
      <c r="CS209" s="1189"/>
      <c r="CT209" s="1189"/>
      <c r="CU209" s="1156"/>
      <c r="CV209" s="1189"/>
      <c r="CW209" s="1189"/>
      <c r="CX209" s="1189"/>
      <c r="CY209" s="1189"/>
      <c r="CZ209" s="1156"/>
      <c r="DA209" s="1156"/>
      <c r="DB209" s="2108"/>
      <c r="DC209" s="2108"/>
    </row>
    <row r="210" spans="1:107" s="1178" customFormat="1" ht="11.25" hidden="1" outlineLevel="1">
      <c r="A210" s="1191"/>
      <c r="B210" s="1191"/>
      <c r="C210" s="1191"/>
      <c r="D210" s="1191"/>
      <c r="E210" s="1191"/>
      <c r="F210" s="1191"/>
      <c r="G210" s="1191"/>
      <c r="H210" s="1191"/>
      <c r="I210" s="1191"/>
      <c r="J210" s="1191"/>
      <c r="K210" s="1191"/>
      <c r="L210" s="1191"/>
      <c r="M210" s="1191"/>
      <c r="N210" s="1191"/>
      <c r="O210" s="1191"/>
      <c r="P210" s="1191"/>
      <c r="Q210" s="1191"/>
      <c r="R210" s="1191"/>
      <c r="S210" s="1191"/>
      <c r="T210" s="1191"/>
      <c r="U210" s="1191"/>
      <c r="V210" s="1191"/>
      <c r="W210" s="1191"/>
      <c r="X210" s="1191"/>
      <c r="Y210" s="1191"/>
      <c r="Z210" s="1191"/>
      <c r="AA210" s="1191"/>
      <c r="AB210" s="1191"/>
      <c r="AC210" s="1191"/>
      <c r="AD210" s="1191"/>
      <c r="AE210" s="1191"/>
      <c r="AF210" s="1191"/>
      <c r="AG210" s="1191"/>
      <c r="AH210" s="1191"/>
      <c r="AI210" s="1191"/>
      <c r="AJ210" s="1191"/>
      <c r="AK210" s="1191"/>
      <c r="AL210" s="1191"/>
      <c r="AM210" s="1191"/>
      <c r="AN210" s="1191"/>
      <c r="AO210" s="1191"/>
      <c r="AP210" s="1191"/>
      <c r="AQ210" s="1191"/>
      <c r="AR210" s="1191"/>
      <c r="AS210" s="1191"/>
      <c r="AT210" s="1191"/>
      <c r="AU210" s="1191"/>
      <c r="AV210" s="1191"/>
      <c r="AW210" s="1191"/>
      <c r="AX210" s="1191"/>
      <c r="AY210" s="1182"/>
      <c r="AZ210" s="1182"/>
      <c r="BA210" s="1182"/>
      <c r="BB210" s="1199"/>
      <c r="BC210" s="1182"/>
      <c r="BD210" s="1182"/>
      <c r="BE210" s="1182"/>
      <c r="BF210" s="1182"/>
      <c r="BG210" s="1182"/>
      <c r="BH210" s="1182"/>
      <c r="BI210" s="1182"/>
      <c r="BJ210" s="1182"/>
      <c r="BK210" s="1182"/>
      <c r="BL210" s="1182"/>
      <c r="BM210" s="1182"/>
      <c r="BN210" s="1182"/>
      <c r="BO210" s="1182"/>
      <c r="BP210" s="1182"/>
      <c r="BQ210" s="1182"/>
      <c r="BR210" s="1190"/>
      <c r="BS210" s="1190"/>
      <c r="BT210" s="1190"/>
      <c r="BU210" s="1190"/>
      <c r="BV210" s="1190"/>
      <c r="BW210" s="1190"/>
      <c r="BX210" s="1190"/>
      <c r="BY210" s="1190"/>
      <c r="BZ210" s="1190"/>
      <c r="CA210" s="1190"/>
      <c r="CB210" s="1190"/>
      <c r="CC210" s="1190"/>
      <c r="CD210" s="1190"/>
      <c r="CE210" s="1190"/>
      <c r="CF210" s="1190"/>
      <c r="CG210" s="1189"/>
      <c r="CH210" s="1189"/>
      <c r="CI210" s="1189"/>
      <c r="CJ210" s="1189"/>
      <c r="CK210" s="1184"/>
      <c r="CL210" s="1189"/>
      <c r="CM210" s="1189"/>
      <c r="CN210" s="1189"/>
      <c r="CO210" s="1189"/>
      <c r="CP210" s="1184"/>
      <c r="CQ210" s="1189"/>
      <c r="CR210" s="1189"/>
      <c r="CS210" s="1189"/>
      <c r="CT210" s="1189"/>
      <c r="CU210" s="1156"/>
      <c r="CV210" s="1189"/>
      <c r="CW210" s="1189"/>
      <c r="CX210" s="1189"/>
      <c r="CY210" s="1189"/>
      <c r="CZ210" s="1156"/>
      <c r="DA210" s="1156"/>
      <c r="DB210" s="2108"/>
      <c r="DC210" s="2108"/>
    </row>
    <row r="211" spans="1:107" s="1178" customFormat="1" ht="11.25" hidden="1" outlineLevel="1">
      <c r="A211" s="1191"/>
      <c r="B211" s="1182" t="s">
        <v>893</v>
      </c>
      <c r="C211" s="1191"/>
      <c r="D211" s="1191"/>
      <c r="E211" s="1191"/>
      <c r="F211" s="1191"/>
      <c r="G211" s="1191"/>
      <c r="H211" s="1191"/>
      <c r="I211" s="1191"/>
      <c r="J211" s="1191"/>
      <c r="K211" s="1191"/>
      <c r="L211" s="1191"/>
      <c r="M211" s="1191"/>
      <c r="N211" s="1191"/>
      <c r="O211" s="1191"/>
      <c r="P211" s="1191"/>
      <c r="Q211" s="1191"/>
      <c r="R211" s="1191"/>
      <c r="S211" s="1191"/>
      <c r="T211" s="1191"/>
      <c r="U211" s="1191"/>
      <c r="V211" s="1191"/>
      <c r="W211" s="1191"/>
      <c r="X211" s="1191"/>
      <c r="Y211" s="1191"/>
      <c r="Z211" s="1191"/>
      <c r="AA211" s="1191"/>
      <c r="AB211" s="1191"/>
      <c r="AC211" s="1191"/>
      <c r="AD211" s="1191"/>
      <c r="AE211" s="1191"/>
      <c r="AF211" s="1191"/>
      <c r="AG211" s="1191"/>
      <c r="AH211" s="1191"/>
      <c r="AI211" s="1191"/>
      <c r="AJ211" s="1191"/>
      <c r="AK211" s="1191"/>
      <c r="AL211" s="1191"/>
      <c r="AM211" s="1191"/>
      <c r="AN211" s="1191"/>
      <c r="AO211" s="1191"/>
      <c r="AP211" s="1191"/>
      <c r="AQ211" s="1191"/>
      <c r="AR211" s="1191"/>
      <c r="AS211" s="1191"/>
      <c r="AT211" s="1191"/>
      <c r="AU211" s="1191"/>
      <c r="AV211" s="1191"/>
      <c r="AW211" s="1191"/>
      <c r="AX211" s="1191"/>
      <c r="AY211" s="1182"/>
      <c r="AZ211" s="1182"/>
      <c r="BA211" s="1182"/>
      <c r="BB211" s="1182"/>
      <c r="BC211" s="1182"/>
      <c r="BD211" s="1182"/>
      <c r="BE211" s="1182"/>
      <c r="BF211" s="1182"/>
      <c r="BG211" s="1182"/>
      <c r="BH211" s="1182"/>
      <c r="BI211" s="1182"/>
      <c r="BJ211" s="1182"/>
      <c r="BK211" s="1182"/>
      <c r="BL211" s="1182"/>
      <c r="BM211" s="1182"/>
      <c r="BN211" s="1182"/>
      <c r="BO211" s="1182"/>
      <c r="BP211" s="1182"/>
      <c r="BQ211" s="1182"/>
      <c r="BR211" s="1190"/>
      <c r="BS211" s="1190"/>
      <c r="BT211" s="1190"/>
      <c r="BU211" s="1190"/>
      <c r="BV211" s="1190"/>
      <c r="BW211" s="1190"/>
      <c r="BX211" s="1190"/>
      <c r="BY211" s="1190"/>
      <c r="BZ211" s="1190"/>
      <c r="CA211" s="1190"/>
      <c r="CB211" s="1190"/>
      <c r="CC211" s="1190"/>
      <c r="CD211" s="1190"/>
      <c r="CE211" s="1190"/>
      <c r="CF211" s="1190"/>
      <c r="CG211" s="1189"/>
      <c r="CH211" s="1189"/>
      <c r="CI211" s="1189"/>
      <c r="CJ211" s="1189"/>
      <c r="CK211" s="1184"/>
      <c r="CL211" s="1189"/>
      <c r="CM211" s="1189"/>
      <c r="CN211" s="1189"/>
      <c r="CO211" s="1189"/>
      <c r="CP211" s="1184"/>
      <c r="CQ211" s="1189"/>
      <c r="CR211" s="1189"/>
      <c r="CS211" s="1189"/>
      <c r="CT211" s="1189"/>
      <c r="CU211" s="1156"/>
      <c r="CV211" s="1189"/>
      <c r="CW211" s="1189"/>
      <c r="CX211" s="1189"/>
      <c r="CY211" s="1189"/>
      <c r="CZ211" s="1156"/>
      <c r="DA211" s="1156"/>
      <c r="DB211" s="2108"/>
      <c r="DC211" s="2108"/>
    </row>
    <row r="212" spans="1:107" s="1178" customFormat="1" ht="11.25" hidden="1" outlineLevel="1">
      <c r="A212" s="1191"/>
      <c r="B212" s="1182"/>
      <c r="C212" s="1191"/>
      <c r="D212" s="1191"/>
      <c r="E212" s="1191"/>
      <c r="F212" s="1191"/>
      <c r="G212" s="1191"/>
      <c r="H212" s="1191"/>
      <c r="I212" s="1191"/>
      <c r="J212" s="1191"/>
      <c r="K212" s="1191"/>
      <c r="L212" s="1191"/>
      <c r="M212" s="1191"/>
      <c r="N212" s="1191"/>
      <c r="O212" s="1191"/>
      <c r="P212" s="1191"/>
      <c r="Q212" s="1191"/>
      <c r="R212" s="1191"/>
      <c r="S212" s="1191"/>
      <c r="T212" s="1191"/>
      <c r="U212" s="1191"/>
      <c r="V212" s="1191"/>
      <c r="W212" s="1191"/>
      <c r="X212" s="1191"/>
      <c r="Y212" s="1191"/>
      <c r="Z212" s="1191"/>
      <c r="AA212" s="1191"/>
      <c r="AB212" s="1191"/>
      <c r="AC212" s="1191"/>
      <c r="AD212" s="1191"/>
      <c r="AE212" s="1191"/>
      <c r="AF212" s="1191"/>
      <c r="AG212" s="1191"/>
      <c r="AH212" s="1191"/>
      <c r="AI212" s="1191"/>
      <c r="AJ212" s="1191"/>
      <c r="AK212" s="1191"/>
      <c r="AL212" s="1191"/>
      <c r="AM212" s="1191"/>
      <c r="AN212" s="1191"/>
      <c r="AO212" s="1191"/>
      <c r="AP212" s="1191"/>
      <c r="AQ212" s="1191"/>
      <c r="AR212" s="1191"/>
      <c r="AS212" s="1191"/>
      <c r="AT212" s="1191"/>
      <c r="AU212" s="1191"/>
      <c r="AV212" s="1191"/>
      <c r="AW212" s="1191"/>
      <c r="AX212" s="1191"/>
      <c r="AY212" s="1182"/>
      <c r="AZ212" s="1182"/>
      <c r="BA212" s="1182"/>
      <c r="BB212" s="1182"/>
      <c r="BC212" s="1182"/>
      <c r="BD212" s="1182"/>
      <c r="BE212" s="1182"/>
      <c r="BF212" s="1182"/>
      <c r="BG212" s="1182"/>
      <c r="BH212" s="1182"/>
      <c r="BI212" s="1182"/>
      <c r="BJ212" s="1182"/>
      <c r="BK212" s="1182"/>
      <c r="BL212" s="1182"/>
      <c r="BM212" s="1182"/>
      <c r="BN212" s="1182"/>
      <c r="BO212" s="1182"/>
      <c r="BP212" s="1182"/>
      <c r="BQ212" s="1182"/>
      <c r="BR212" s="1190"/>
      <c r="BS212" s="1190"/>
      <c r="BT212" s="1190"/>
      <c r="BU212" s="1190"/>
      <c r="BV212" s="1190"/>
      <c r="BW212" s="1190"/>
      <c r="BX212" s="1190"/>
      <c r="BY212" s="1190"/>
      <c r="BZ212" s="1190"/>
      <c r="CA212" s="1190"/>
      <c r="CB212" s="1190"/>
      <c r="CC212" s="1190"/>
      <c r="CD212" s="1190"/>
      <c r="CE212" s="1190"/>
      <c r="CF212" s="1190"/>
      <c r="CG212" s="1189"/>
      <c r="CH212" s="1189"/>
      <c r="CI212" s="1189"/>
      <c r="CJ212" s="1189"/>
      <c r="CK212" s="1184"/>
      <c r="CL212" s="1189"/>
      <c r="CM212" s="1189"/>
      <c r="CN212" s="1189"/>
      <c r="CO212" s="1189"/>
      <c r="CP212" s="1184"/>
      <c r="CQ212" s="1189"/>
      <c r="CR212" s="1189"/>
      <c r="CS212" s="1189"/>
      <c r="CT212" s="1189"/>
      <c r="CU212" s="1156"/>
      <c r="CV212" s="1189"/>
      <c r="CW212" s="1189"/>
      <c r="CX212" s="1189"/>
      <c r="CY212" s="1189"/>
      <c r="CZ212" s="1156"/>
      <c r="DA212" s="1156"/>
      <c r="DB212" s="2108"/>
      <c r="DC212" s="2108"/>
    </row>
    <row r="213" spans="1:107" s="1178" customFormat="1" ht="11.25" hidden="1" outlineLevel="1">
      <c r="A213" s="1191"/>
      <c r="B213" s="1191" t="s">
        <v>892</v>
      </c>
      <c r="C213" s="1191"/>
      <c r="D213" s="1191"/>
      <c r="E213" s="1191"/>
      <c r="F213" s="1191"/>
      <c r="G213" s="1191"/>
      <c r="H213" s="1191"/>
      <c r="I213" s="1191"/>
      <c r="J213" s="1191"/>
      <c r="K213" s="1191"/>
      <c r="L213" s="1191"/>
      <c r="M213" s="1191"/>
      <c r="N213" s="1191"/>
      <c r="O213" s="1191"/>
      <c r="P213" s="1191"/>
      <c r="Q213" s="1191"/>
      <c r="R213" s="1191"/>
      <c r="S213" s="1191"/>
      <c r="T213" s="1191"/>
      <c r="U213" s="1191"/>
      <c r="V213" s="1191"/>
      <c r="W213" s="1191"/>
      <c r="X213" s="1191"/>
      <c r="Y213" s="1191"/>
      <c r="Z213" s="1191"/>
      <c r="AA213" s="1191"/>
      <c r="AB213" s="1191"/>
      <c r="AC213" s="1191"/>
      <c r="AD213" s="1191"/>
      <c r="AE213" s="1191"/>
      <c r="AF213" s="1191"/>
      <c r="AG213" s="1191"/>
      <c r="AH213" s="1191"/>
      <c r="AI213" s="1191"/>
      <c r="AJ213" s="1191"/>
      <c r="AK213" s="1191"/>
      <c r="AL213" s="1191"/>
      <c r="AM213" s="1191"/>
      <c r="AN213" s="1191"/>
      <c r="AO213" s="1191"/>
      <c r="AP213" s="1191"/>
      <c r="AQ213" s="1191"/>
      <c r="AR213" s="1191"/>
      <c r="AS213" s="1191"/>
      <c r="AT213" s="1191"/>
      <c r="AU213" s="1191"/>
      <c r="AV213" s="1191"/>
      <c r="AW213" s="1191"/>
      <c r="AX213" s="1191"/>
      <c r="AY213" s="1182"/>
      <c r="AZ213" s="1182"/>
      <c r="BA213" s="1182"/>
      <c r="BB213" s="1197" t="s">
        <v>891</v>
      </c>
      <c r="BC213" s="1182"/>
      <c r="BD213" s="1182"/>
      <c r="BE213" s="1182"/>
      <c r="BF213" s="1182"/>
      <c r="BG213" s="1182"/>
      <c r="BH213" s="1182"/>
      <c r="BI213" s="1182"/>
      <c r="BJ213" s="1182"/>
      <c r="BK213" s="1182"/>
      <c r="BL213" s="1182"/>
      <c r="BM213" s="1182"/>
      <c r="BN213" s="1182"/>
      <c r="BO213" s="1182"/>
      <c r="BP213" s="1182"/>
      <c r="BQ213" s="1182"/>
      <c r="BR213" s="1190"/>
      <c r="BS213" s="1190"/>
      <c r="BT213" s="1190"/>
      <c r="BU213" s="1190"/>
      <c r="BV213" s="1190"/>
      <c r="BW213" s="1190"/>
      <c r="BX213" s="1190"/>
      <c r="BY213" s="1190"/>
      <c r="BZ213" s="1190"/>
      <c r="CA213" s="1190"/>
      <c r="CB213" s="1190"/>
      <c r="CC213" s="1190"/>
      <c r="CD213" s="1190"/>
      <c r="CE213" s="1190"/>
      <c r="CF213" s="1190"/>
      <c r="CG213" s="1189"/>
      <c r="CH213" s="1189"/>
      <c r="CI213" s="1189"/>
      <c r="CJ213" s="1189"/>
      <c r="CK213" s="1184"/>
      <c r="CL213" s="1189"/>
      <c r="CM213" s="1189"/>
      <c r="CN213" s="1189"/>
      <c r="CO213" s="1189"/>
      <c r="CP213" s="1184"/>
      <c r="CQ213" s="1189"/>
      <c r="CR213" s="1189"/>
      <c r="CS213" s="1189"/>
      <c r="CT213" s="1189"/>
      <c r="CU213" s="1156"/>
      <c r="CV213" s="1189"/>
      <c r="CW213" s="1189"/>
      <c r="CX213" s="1189"/>
      <c r="CY213" s="1189"/>
      <c r="CZ213" s="1156"/>
      <c r="DA213" s="1156"/>
      <c r="DB213" s="2108"/>
      <c r="DC213" s="2108"/>
    </row>
    <row r="214" spans="1:107" s="1178" customFormat="1" ht="11.25" hidden="1" outlineLevel="1">
      <c r="A214" s="1191"/>
      <c r="B214" s="1191" t="s">
        <v>890</v>
      </c>
      <c r="C214" s="1191"/>
      <c r="D214" s="1191"/>
      <c r="E214" s="1191"/>
      <c r="F214" s="1191"/>
      <c r="G214" s="1191"/>
      <c r="H214" s="1191"/>
      <c r="I214" s="1191"/>
      <c r="J214" s="1191"/>
      <c r="K214" s="1191"/>
      <c r="L214" s="1191"/>
      <c r="M214" s="1191"/>
      <c r="N214" s="1191"/>
      <c r="O214" s="1191"/>
      <c r="P214" s="1191"/>
      <c r="Q214" s="1191"/>
      <c r="R214" s="1191"/>
      <c r="S214" s="1191"/>
      <c r="T214" s="1191"/>
      <c r="U214" s="1191"/>
      <c r="V214" s="1191"/>
      <c r="W214" s="1191"/>
      <c r="X214" s="1191"/>
      <c r="Y214" s="1191"/>
      <c r="Z214" s="1191"/>
      <c r="AA214" s="1191"/>
      <c r="AB214" s="1191"/>
      <c r="AC214" s="1191"/>
      <c r="AD214" s="1191"/>
      <c r="AE214" s="1191"/>
      <c r="AF214" s="1191"/>
      <c r="AG214" s="1191"/>
      <c r="AH214" s="1191"/>
      <c r="AI214" s="1191"/>
      <c r="AJ214" s="1191"/>
      <c r="AK214" s="1191"/>
      <c r="AL214" s="1191"/>
      <c r="AM214" s="1191"/>
      <c r="AN214" s="1191"/>
      <c r="AO214" s="1191"/>
      <c r="AP214" s="1191"/>
      <c r="AQ214" s="1191"/>
      <c r="AR214" s="1191"/>
      <c r="AS214" s="1191"/>
      <c r="AT214" s="1191"/>
      <c r="AU214" s="1191"/>
      <c r="AV214" s="1191"/>
      <c r="AW214" s="1191"/>
      <c r="AX214" s="1191"/>
      <c r="AY214" s="1182"/>
      <c r="AZ214" s="1182"/>
      <c r="BA214" s="1182"/>
      <c r="BB214" s="1197" t="s">
        <v>889</v>
      </c>
      <c r="BC214" s="1182"/>
      <c r="BD214" s="1182"/>
      <c r="BE214" s="1182"/>
      <c r="BF214" s="1182"/>
      <c r="BG214" s="1182"/>
      <c r="BH214" s="1182"/>
      <c r="BI214" s="1182"/>
      <c r="BJ214" s="1182"/>
      <c r="BK214" s="1182"/>
      <c r="BL214" s="1182"/>
      <c r="BM214" s="1182"/>
      <c r="BN214" s="1182"/>
      <c r="BO214" s="1182"/>
      <c r="BP214" s="1182"/>
      <c r="BQ214" s="1182"/>
      <c r="BR214" s="1190"/>
      <c r="BS214" s="1190"/>
      <c r="BT214" s="1190"/>
      <c r="BU214" s="1190"/>
      <c r="BV214" s="1190"/>
      <c r="BW214" s="1190"/>
      <c r="BX214" s="1190"/>
      <c r="BY214" s="1190"/>
      <c r="BZ214" s="1190"/>
      <c r="CA214" s="1190"/>
      <c r="CB214" s="1190"/>
      <c r="CC214" s="1190"/>
      <c r="CD214" s="1190"/>
      <c r="CE214" s="1190"/>
      <c r="CF214" s="1190"/>
      <c r="CG214" s="1189"/>
      <c r="CH214" s="1189"/>
      <c r="CI214" s="1189"/>
      <c r="CJ214" s="1189"/>
      <c r="CK214" s="1184"/>
      <c r="CL214" s="1189"/>
      <c r="CM214" s="1189"/>
      <c r="CN214" s="1189"/>
      <c r="CO214" s="1189"/>
      <c r="CP214" s="1184"/>
      <c r="CQ214" s="1189"/>
      <c r="CR214" s="1189"/>
      <c r="CS214" s="1189"/>
      <c r="CT214" s="1189"/>
      <c r="CU214" s="1156"/>
      <c r="CV214" s="1189"/>
      <c r="CW214" s="1189"/>
      <c r="CX214" s="1189"/>
      <c r="CY214" s="1189"/>
      <c r="CZ214" s="1156"/>
      <c r="DA214" s="1156"/>
      <c r="DB214" s="2108"/>
      <c r="DC214" s="2108"/>
    </row>
    <row r="215" spans="1:107" s="1178" customFormat="1" ht="11.25" hidden="1" outlineLevel="1">
      <c r="A215" s="1191"/>
      <c r="B215" s="1191" t="s">
        <v>888</v>
      </c>
      <c r="C215" s="1191"/>
      <c r="D215" s="1191"/>
      <c r="E215" s="1191"/>
      <c r="F215" s="1191"/>
      <c r="G215" s="1191"/>
      <c r="H215" s="1191"/>
      <c r="I215" s="1191"/>
      <c r="J215" s="1191"/>
      <c r="K215" s="1191"/>
      <c r="L215" s="1191"/>
      <c r="M215" s="1191"/>
      <c r="N215" s="1191"/>
      <c r="O215" s="1191"/>
      <c r="P215" s="1191"/>
      <c r="Q215" s="1191"/>
      <c r="R215" s="1191"/>
      <c r="S215" s="1191"/>
      <c r="T215" s="1191"/>
      <c r="U215" s="1191"/>
      <c r="V215" s="1191"/>
      <c r="W215" s="1191"/>
      <c r="X215" s="1191"/>
      <c r="Y215" s="1191"/>
      <c r="Z215" s="1191"/>
      <c r="AA215" s="1191"/>
      <c r="AB215" s="1191"/>
      <c r="AC215" s="1191"/>
      <c r="AD215" s="1191"/>
      <c r="AE215" s="1191"/>
      <c r="AF215" s="1191"/>
      <c r="AG215" s="1191"/>
      <c r="AH215" s="1191"/>
      <c r="AI215" s="1191"/>
      <c r="AJ215" s="1191"/>
      <c r="AK215" s="1191"/>
      <c r="AL215" s="1191"/>
      <c r="AM215" s="1191"/>
      <c r="AN215" s="1191"/>
      <c r="AO215" s="1191"/>
      <c r="AP215" s="1191"/>
      <c r="AQ215" s="1191"/>
      <c r="AR215" s="1191"/>
      <c r="AS215" s="1191"/>
      <c r="AT215" s="1191"/>
      <c r="AU215" s="1191"/>
      <c r="AV215" s="1191"/>
      <c r="AW215" s="1191"/>
      <c r="AX215" s="1191"/>
      <c r="AY215" s="1182"/>
      <c r="AZ215" s="1182"/>
      <c r="BA215" s="1182"/>
      <c r="BB215" s="1197" t="s">
        <v>887</v>
      </c>
      <c r="BC215" s="1182"/>
      <c r="BD215" s="1182"/>
      <c r="BE215" s="1182"/>
      <c r="BF215" s="1182"/>
      <c r="BG215" s="1182"/>
      <c r="BH215" s="1182"/>
      <c r="BI215" s="1182"/>
      <c r="BJ215" s="1182"/>
      <c r="BK215" s="1182"/>
      <c r="BL215" s="1182"/>
      <c r="BM215" s="1182"/>
      <c r="BN215" s="1182"/>
      <c r="BO215" s="1182"/>
      <c r="BP215" s="1182"/>
      <c r="BQ215" s="1182"/>
      <c r="BR215" s="1190"/>
      <c r="BS215" s="1190"/>
      <c r="BT215" s="1190"/>
      <c r="BU215" s="1190"/>
      <c r="BV215" s="1190"/>
      <c r="BW215" s="1190"/>
      <c r="BX215" s="1190"/>
      <c r="BY215" s="1190"/>
      <c r="BZ215" s="1190"/>
      <c r="CA215" s="1190"/>
      <c r="CB215" s="1190"/>
      <c r="CC215" s="1190"/>
      <c r="CD215" s="1190"/>
      <c r="CE215" s="1190"/>
      <c r="CF215" s="1190"/>
      <c r="CG215" s="1189"/>
      <c r="CH215" s="1189"/>
      <c r="CI215" s="1189"/>
      <c r="CJ215" s="1189"/>
      <c r="CK215" s="1184"/>
      <c r="CL215" s="1189"/>
      <c r="CM215" s="1189"/>
      <c r="CN215" s="1189"/>
      <c r="CO215" s="1189"/>
      <c r="CP215" s="1184"/>
      <c r="CQ215" s="1189"/>
      <c r="CR215" s="1189"/>
      <c r="CS215" s="1189"/>
      <c r="CT215" s="1189"/>
      <c r="CU215" s="1156"/>
      <c r="CV215" s="1189"/>
      <c r="CW215" s="1189"/>
      <c r="CX215" s="1189"/>
      <c r="CY215" s="1189"/>
      <c r="CZ215" s="1156"/>
      <c r="DA215" s="1156"/>
      <c r="DB215" s="2108"/>
      <c r="DC215" s="2108"/>
    </row>
    <row r="216" spans="1:107" s="1178" customFormat="1" ht="11.25" hidden="1" outlineLevel="1">
      <c r="A216" s="1191"/>
      <c r="B216" s="1191" t="s">
        <v>886</v>
      </c>
      <c r="C216" s="1191"/>
      <c r="D216" s="1191"/>
      <c r="E216" s="1191"/>
      <c r="F216" s="1191"/>
      <c r="G216" s="1191"/>
      <c r="H216" s="1191"/>
      <c r="I216" s="1191"/>
      <c r="J216" s="1191"/>
      <c r="K216" s="1191"/>
      <c r="L216" s="1191"/>
      <c r="M216" s="1191"/>
      <c r="N216" s="1191"/>
      <c r="O216" s="1191"/>
      <c r="P216" s="1191"/>
      <c r="Q216" s="1191"/>
      <c r="R216" s="1191"/>
      <c r="S216" s="1191"/>
      <c r="T216" s="1191"/>
      <c r="U216" s="1191"/>
      <c r="V216" s="1191"/>
      <c r="W216" s="1191"/>
      <c r="X216" s="1191"/>
      <c r="Y216" s="1191"/>
      <c r="Z216" s="1191"/>
      <c r="AA216" s="1191"/>
      <c r="AB216" s="1191"/>
      <c r="AC216" s="1191"/>
      <c r="AD216" s="1191"/>
      <c r="AE216" s="1191"/>
      <c r="AF216" s="1191"/>
      <c r="AG216" s="1191"/>
      <c r="AH216" s="1191"/>
      <c r="AI216" s="1191"/>
      <c r="AJ216" s="1191"/>
      <c r="AK216" s="1191"/>
      <c r="AL216" s="1191"/>
      <c r="AM216" s="1191"/>
      <c r="AN216" s="1191"/>
      <c r="AO216" s="1191"/>
      <c r="AP216" s="1191"/>
      <c r="AQ216" s="1191"/>
      <c r="AR216" s="1191"/>
      <c r="AS216" s="1191"/>
      <c r="AT216" s="1191"/>
      <c r="AU216" s="1191"/>
      <c r="AV216" s="1191"/>
      <c r="AW216" s="1191"/>
      <c r="AX216" s="1191"/>
      <c r="AY216" s="1182"/>
      <c r="AZ216" s="1182"/>
      <c r="BA216" s="1182"/>
      <c r="BB216" s="1197" t="s">
        <v>885</v>
      </c>
      <c r="BC216" s="1182"/>
      <c r="BD216" s="1182"/>
      <c r="BE216" s="1182"/>
      <c r="BF216" s="1182"/>
      <c r="BG216" s="1182"/>
      <c r="BH216" s="1182"/>
      <c r="BI216" s="1182"/>
      <c r="BJ216" s="1182"/>
      <c r="BK216" s="1182"/>
      <c r="BL216" s="1182"/>
      <c r="BM216" s="1182"/>
      <c r="BN216" s="1182"/>
      <c r="BO216" s="1182"/>
      <c r="BP216" s="1182"/>
      <c r="BQ216" s="1182"/>
      <c r="BR216" s="1190"/>
      <c r="BS216" s="1190"/>
      <c r="BT216" s="1190"/>
      <c r="BU216" s="1190"/>
      <c r="BV216" s="1190"/>
      <c r="BW216" s="1190"/>
      <c r="BX216" s="1190"/>
      <c r="BY216" s="1190"/>
      <c r="BZ216" s="1190"/>
      <c r="CA216" s="1190"/>
      <c r="CB216" s="1190"/>
      <c r="CC216" s="1190"/>
      <c r="CD216" s="1190"/>
      <c r="CE216" s="1190"/>
      <c r="CF216" s="1190"/>
      <c r="CG216" s="1189"/>
      <c r="CH216" s="1189"/>
      <c r="CI216" s="1189"/>
      <c r="CJ216" s="1189"/>
      <c r="CK216" s="1184"/>
      <c r="CL216" s="1189"/>
      <c r="CM216" s="1189"/>
      <c r="CN216" s="1189"/>
      <c r="CO216" s="1189"/>
      <c r="CP216" s="1184"/>
      <c r="CQ216" s="1189"/>
      <c r="CR216" s="1189"/>
      <c r="CS216" s="1189"/>
      <c r="CT216" s="1189"/>
      <c r="CU216" s="1156"/>
      <c r="CV216" s="1189"/>
      <c r="CW216" s="1189"/>
      <c r="CX216" s="1189"/>
      <c r="CY216" s="1189"/>
      <c r="CZ216" s="1156"/>
      <c r="DA216" s="1156"/>
      <c r="DB216" s="2108"/>
      <c r="DC216" s="2108"/>
    </row>
    <row r="217" spans="1:107" s="1178" customFormat="1" ht="11.25" hidden="1" outlineLevel="1">
      <c r="A217" s="1191"/>
      <c r="B217" s="1182"/>
      <c r="C217" s="1191"/>
      <c r="D217" s="1191"/>
      <c r="E217" s="1191"/>
      <c r="F217" s="1191"/>
      <c r="G217" s="1191"/>
      <c r="H217" s="1191"/>
      <c r="I217" s="1191"/>
      <c r="J217" s="1191"/>
      <c r="K217" s="1191"/>
      <c r="L217" s="1191"/>
      <c r="M217" s="1191"/>
      <c r="N217" s="1191"/>
      <c r="O217" s="1191"/>
      <c r="P217" s="1191"/>
      <c r="Q217" s="1191"/>
      <c r="R217" s="1191"/>
      <c r="S217" s="1191"/>
      <c r="T217" s="1191"/>
      <c r="U217" s="1191"/>
      <c r="V217" s="1191"/>
      <c r="W217" s="1191"/>
      <c r="X217" s="1191"/>
      <c r="Y217" s="1191"/>
      <c r="Z217" s="1191"/>
      <c r="AA217" s="1191"/>
      <c r="AB217" s="1191"/>
      <c r="AC217" s="1191"/>
      <c r="AD217" s="1191"/>
      <c r="AE217" s="1191"/>
      <c r="AF217" s="1191"/>
      <c r="AG217" s="1191"/>
      <c r="AH217" s="1191"/>
      <c r="AI217" s="1191"/>
      <c r="AJ217" s="1191"/>
      <c r="AK217" s="1191"/>
      <c r="AL217" s="1191"/>
      <c r="AM217" s="1191"/>
      <c r="AN217" s="1191"/>
      <c r="AO217" s="1191"/>
      <c r="AP217" s="1191"/>
      <c r="AQ217" s="1191"/>
      <c r="AR217" s="1191"/>
      <c r="AS217" s="1191"/>
      <c r="AT217" s="1191"/>
      <c r="AU217" s="1191"/>
      <c r="AV217" s="1191"/>
      <c r="AW217" s="1191"/>
      <c r="AX217" s="1191"/>
      <c r="AY217" s="1182"/>
      <c r="AZ217" s="1182"/>
      <c r="BA217" s="1182"/>
      <c r="BB217" s="1182"/>
      <c r="BC217" s="1182"/>
      <c r="BD217" s="1182"/>
      <c r="BE217" s="1182"/>
      <c r="BF217" s="1182"/>
      <c r="BG217" s="1182"/>
      <c r="BH217" s="1182"/>
      <c r="BI217" s="1182"/>
      <c r="BJ217" s="1182"/>
      <c r="BK217" s="1182"/>
      <c r="BL217" s="1182"/>
      <c r="BM217" s="1182"/>
      <c r="BN217" s="1182"/>
      <c r="BO217" s="1182"/>
      <c r="BP217" s="1182"/>
      <c r="BQ217" s="1182"/>
      <c r="BR217" s="1190"/>
      <c r="BS217" s="1190"/>
      <c r="BT217" s="1190"/>
      <c r="BU217" s="1190"/>
      <c r="BV217" s="1190"/>
      <c r="BW217" s="1190"/>
      <c r="BX217" s="1190"/>
      <c r="BY217" s="1190"/>
      <c r="BZ217" s="1190"/>
      <c r="CA217" s="1190"/>
      <c r="CB217" s="1190"/>
      <c r="CC217" s="1190"/>
      <c r="CD217" s="1190"/>
      <c r="CE217" s="1190"/>
      <c r="CF217" s="1190"/>
      <c r="CG217" s="1189"/>
      <c r="CH217" s="1189"/>
      <c r="CI217" s="1189"/>
      <c r="CJ217" s="1189"/>
      <c r="CK217" s="1184"/>
      <c r="CL217" s="1189"/>
      <c r="CM217" s="1189"/>
      <c r="CN217" s="1189"/>
      <c r="CO217" s="1189"/>
      <c r="CP217" s="1184"/>
      <c r="CQ217" s="1189"/>
      <c r="CR217" s="1189"/>
      <c r="CS217" s="1189"/>
      <c r="CT217" s="1189"/>
      <c r="CU217" s="1156"/>
      <c r="CV217" s="1189"/>
      <c r="CW217" s="1189"/>
      <c r="CX217" s="1189"/>
      <c r="CY217" s="1189"/>
      <c r="CZ217" s="1156"/>
      <c r="DA217" s="1156"/>
      <c r="DB217" s="2108"/>
      <c r="DC217" s="2108"/>
    </row>
    <row r="218" spans="1:107" s="1178" customFormat="1" ht="11.25" hidden="1" outlineLevel="1">
      <c r="A218" s="1191"/>
      <c r="B218" s="1182" t="s">
        <v>884</v>
      </c>
      <c r="C218" s="1191"/>
      <c r="D218" s="1191"/>
      <c r="E218" s="1191"/>
      <c r="F218" s="1191"/>
      <c r="G218" s="1191"/>
      <c r="H218" s="1191"/>
      <c r="I218" s="1191"/>
      <c r="J218" s="1191"/>
      <c r="K218" s="1191"/>
      <c r="L218" s="1191"/>
      <c r="M218" s="1191"/>
      <c r="N218" s="1191"/>
      <c r="O218" s="1191"/>
      <c r="P218" s="1191"/>
      <c r="Q218" s="1191"/>
      <c r="R218" s="1191"/>
      <c r="S218" s="1191"/>
      <c r="T218" s="1191"/>
      <c r="U218" s="1191"/>
      <c r="V218" s="1191"/>
      <c r="W218" s="1191"/>
      <c r="X218" s="1191"/>
      <c r="Y218" s="1191"/>
      <c r="Z218" s="1191"/>
      <c r="AA218" s="1191"/>
      <c r="AB218" s="1191"/>
      <c r="AC218" s="1191"/>
      <c r="AD218" s="1191"/>
      <c r="AE218" s="1191"/>
      <c r="AF218" s="1191"/>
      <c r="AG218" s="1191"/>
      <c r="AH218" s="1191">
        <v>17.36</v>
      </c>
      <c r="AI218" s="1191"/>
      <c r="AJ218" s="1191"/>
      <c r="AK218" s="1191"/>
      <c r="AL218" s="1191"/>
      <c r="AM218" s="1191">
        <v>18.45</v>
      </c>
      <c r="AN218" s="1191"/>
      <c r="AO218" s="1191"/>
      <c r="AP218" s="1191"/>
      <c r="AQ218" s="1191"/>
      <c r="AR218" s="1191">
        <v>18.68</v>
      </c>
      <c r="AS218" s="1191"/>
      <c r="AT218" s="1191"/>
      <c r="AU218" s="1191"/>
      <c r="AV218" s="1191"/>
      <c r="AW218" s="1191">
        <v>18.920000000000002</v>
      </c>
      <c r="AX218" s="1191"/>
      <c r="AY218" s="1191"/>
      <c r="AZ218" s="1191"/>
      <c r="BA218" s="1191"/>
      <c r="BB218" s="1191">
        <v>19.309999999999999</v>
      </c>
      <c r="BC218" s="1191"/>
      <c r="BD218" s="1191"/>
      <c r="BE218" s="1191"/>
      <c r="BF218" s="1191"/>
      <c r="BG218" s="1191"/>
      <c r="BH218" s="1191"/>
      <c r="BI218" s="1191"/>
      <c r="BJ218" s="1191"/>
      <c r="BK218" s="1191"/>
      <c r="BL218" s="1191"/>
      <c r="BM218" s="1191"/>
      <c r="BN218" s="1191"/>
      <c r="BO218" s="1191"/>
      <c r="BP218" s="1191"/>
      <c r="BQ218" s="1191"/>
      <c r="BR218" s="1191"/>
      <c r="BS218" s="1191"/>
      <c r="BT218" s="1191"/>
      <c r="BU218" s="1191"/>
      <c r="BV218" s="1191"/>
      <c r="BW218" s="1191"/>
      <c r="BX218" s="1191"/>
      <c r="BY218" s="1191"/>
      <c r="BZ218" s="1191"/>
      <c r="CA218" s="1191">
        <v>20.72</v>
      </c>
      <c r="CB218" s="1191"/>
      <c r="CC218" s="1191"/>
      <c r="CD218" s="1191"/>
      <c r="CE218" s="1191"/>
      <c r="CF218" s="1191"/>
      <c r="CG218" s="1206"/>
      <c r="CH218" s="1206"/>
      <c r="CI218" s="1206"/>
      <c r="CJ218" s="1206"/>
      <c r="CK218" s="1184"/>
      <c r="CL218" s="1206"/>
      <c r="CM218" s="1206"/>
      <c r="CN218" s="1206"/>
      <c r="CO218" s="1206"/>
      <c r="CP218" s="1184"/>
      <c r="CQ218" s="1206"/>
      <c r="CR218" s="1206"/>
      <c r="CS218" s="1206"/>
      <c r="CT218" s="1206"/>
      <c r="CU218" s="1156"/>
      <c r="CV218" s="1206"/>
      <c r="CW218" s="1206"/>
      <c r="CX218" s="1206"/>
      <c r="CY218" s="1206"/>
      <c r="CZ218" s="1156"/>
      <c r="DA218" s="1156"/>
      <c r="DB218" s="2108"/>
      <c r="DC218" s="2108"/>
    </row>
    <row r="219" spans="1:107" s="1178" customFormat="1" ht="11.25" hidden="1" outlineLevel="1">
      <c r="A219" s="1191"/>
      <c r="B219" s="1182" t="s">
        <v>883</v>
      </c>
      <c r="C219" s="1191"/>
      <c r="D219" s="1191"/>
      <c r="E219" s="1191"/>
      <c r="F219" s="1191"/>
      <c r="G219" s="1191"/>
      <c r="H219" s="1191"/>
      <c r="I219" s="1191"/>
      <c r="J219" s="1191"/>
      <c r="K219" s="1191"/>
      <c r="L219" s="1191"/>
      <c r="M219" s="1191"/>
      <c r="N219" s="1191"/>
      <c r="O219" s="1191"/>
      <c r="P219" s="1191"/>
      <c r="Q219" s="1191"/>
      <c r="R219" s="1191"/>
      <c r="S219" s="1191"/>
      <c r="T219" s="1191"/>
      <c r="U219" s="1191"/>
      <c r="V219" s="1191"/>
      <c r="W219" s="1191"/>
      <c r="X219" s="1191"/>
      <c r="Y219" s="1191"/>
      <c r="Z219" s="1191"/>
      <c r="AA219" s="1191"/>
      <c r="AB219" s="1191"/>
      <c r="AC219" s="1191"/>
      <c r="AD219" s="1191"/>
      <c r="AE219" s="1191"/>
      <c r="AF219" s="1191"/>
      <c r="AG219" s="1191"/>
      <c r="AH219" s="1191"/>
      <c r="AI219" s="1191"/>
      <c r="AJ219" s="1191"/>
      <c r="AK219" s="1191"/>
      <c r="AL219" s="1191"/>
      <c r="AM219" s="1191"/>
      <c r="AN219" s="1191"/>
      <c r="AO219" s="1191"/>
      <c r="AP219" s="1191"/>
      <c r="AQ219" s="1191"/>
      <c r="AR219" s="1191"/>
      <c r="AS219" s="1191"/>
      <c r="AT219" s="1191"/>
      <c r="AU219" s="1191"/>
      <c r="AV219" s="1191"/>
      <c r="AW219" s="1191"/>
      <c r="AX219" s="1191"/>
      <c r="AY219" s="1182"/>
      <c r="AZ219" s="1182"/>
      <c r="BA219" s="1182"/>
      <c r="BB219" s="1182"/>
      <c r="BC219" s="1182"/>
      <c r="BD219" s="1182"/>
      <c r="BE219" s="1182"/>
      <c r="BF219" s="1182"/>
      <c r="BG219" s="1182"/>
      <c r="BH219" s="1182"/>
      <c r="BI219" s="1182"/>
      <c r="BJ219" s="1182"/>
      <c r="BK219" s="1182"/>
      <c r="BL219" s="1182"/>
      <c r="BM219" s="1182"/>
      <c r="BN219" s="1182"/>
      <c r="BO219" s="1182"/>
      <c r="BP219" s="1182"/>
      <c r="BQ219" s="1182"/>
      <c r="BR219" s="1190"/>
      <c r="BS219" s="1190"/>
      <c r="BT219" s="1190"/>
      <c r="BU219" s="1190"/>
      <c r="BV219" s="1190"/>
      <c r="BW219" s="1190"/>
      <c r="BX219" s="1190"/>
      <c r="BY219" s="1190"/>
      <c r="BZ219" s="1190"/>
      <c r="CA219" s="1190">
        <v>14.48</v>
      </c>
      <c r="CB219" s="1190"/>
      <c r="CC219" s="1190"/>
      <c r="CD219" s="1190"/>
      <c r="CE219" s="1190"/>
      <c r="CF219" s="1190"/>
      <c r="CG219" s="1189"/>
      <c r="CH219" s="1189"/>
      <c r="CI219" s="1189"/>
      <c r="CJ219" s="1189"/>
      <c r="CK219" s="1184"/>
      <c r="CL219" s="1189"/>
      <c r="CM219" s="1189"/>
      <c r="CN219" s="1189"/>
      <c r="CO219" s="1189"/>
      <c r="CP219" s="1184"/>
      <c r="CQ219" s="1189"/>
      <c r="CR219" s="1189"/>
      <c r="CS219" s="1189"/>
      <c r="CT219" s="1189"/>
      <c r="CU219" s="1156"/>
      <c r="CV219" s="1189"/>
      <c r="CW219" s="1189"/>
      <c r="CX219" s="1189"/>
      <c r="CY219" s="1189"/>
      <c r="CZ219" s="1156"/>
      <c r="DA219" s="1156"/>
      <c r="DB219" s="2108"/>
      <c r="DC219" s="2108"/>
    </row>
    <row r="220" spans="1:107" s="1178" customFormat="1" ht="11.25" collapsed="1">
      <c r="A220" s="1191"/>
      <c r="B220" s="1191"/>
      <c r="C220" s="1191"/>
      <c r="D220" s="1191"/>
      <c r="E220" s="1191"/>
      <c r="F220" s="1191"/>
      <c r="G220" s="1191"/>
      <c r="H220" s="1191"/>
      <c r="I220" s="1191"/>
      <c r="J220" s="1191"/>
      <c r="K220" s="1191"/>
      <c r="L220" s="1191"/>
      <c r="M220" s="1191"/>
      <c r="N220" s="1191"/>
      <c r="O220" s="1191"/>
      <c r="P220" s="1191"/>
      <c r="Q220" s="1191"/>
      <c r="R220" s="1191"/>
      <c r="S220" s="1191"/>
      <c r="T220" s="1191"/>
      <c r="U220" s="1191"/>
      <c r="V220" s="1191"/>
      <c r="W220" s="1191"/>
      <c r="X220" s="1191"/>
      <c r="Y220" s="1191"/>
      <c r="Z220" s="1191"/>
      <c r="AA220" s="1191"/>
      <c r="AB220" s="1191"/>
      <c r="AC220" s="1191"/>
      <c r="AD220" s="1191"/>
      <c r="AE220" s="1191"/>
      <c r="AF220" s="1191"/>
      <c r="AG220" s="1191"/>
      <c r="AH220" s="1191"/>
      <c r="AI220" s="1191"/>
      <c r="AJ220" s="1191"/>
      <c r="AK220" s="1191"/>
      <c r="AL220" s="1191"/>
      <c r="AM220" s="1191"/>
      <c r="AN220" s="1191"/>
      <c r="AO220" s="1191"/>
      <c r="AP220" s="1191"/>
      <c r="AQ220" s="1191"/>
      <c r="AR220" s="1191"/>
      <c r="AS220" s="1191"/>
      <c r="AT220" s="1191"/>
      <c r="AU220" s="1191"/>
      <c r="AV220" s="1191"/>
      <c r="AW220" s="1191"/>
      <c r="AX220" s="1191"/>
      <c r="AY220" s="1182"/>
      <c r="AZ220" s="1182"/>
      <c r="BA220" s="1182"/>
      <c r="BB220" s="1182"/>
      <c r="BC220" s="1182"/>
      <c r="BD220" s="1182"/>
      <c r="BE220" s="1182"/>
      <c r="BF220" s="1182"/>
      <c r="BG220" s="1182"/>
      <c r="BH220" s="1182"/>
      <c r="BI220" s="1182"/>
      <c r="BJ220" s="1182"/>
      <c r="BK220" s="1182"/>
      <c r="BL220" s="1182"/>
      <c r="BM220" s="1182"/>
      <c r="BN220" s="1182"/>
      <c r="BO220" s="1182"/>
      <c r="BP220" s="1182"/>
      <c r="BQ220" s="1182"/>
      <c r="BR220" s="1190"/>
      <c r="BS220" s="1190"/>
      <c r="BT220" s="1190"/>
      <c r="BU220" s="1190"/>
      <c r="BV220" s="1190"/>
      <c r="BW220" s="1190"/>
      <c r="BX220" s="1190"/>
      <c r="BY220" s="1190"/>
      <c r="BZ220" s="1190"/>
      <c r="CA220" s="1190"/>
      <c r="CB220" s="1190"/>
      <c r="CC220" s="1190"/>
      <c r="CD220" s="1190"/>
      <c r="CE220" s="1190"/>
      <c r="CF220" s="1190"/>
      <c r="CG220" s="1189"/>
      <c r="CH220" s="1189"/>
      <c r="CI220" s="1189"/>
      <c r="CJ220" s="1189"/>
      <c r="CK220" s="1184"/>
      <c r="CL220" s="1189"/>
      <c r="CM220" s="1189"/>
      <c r="CN220" s="1189"/>
      <c r="CO220" s="1189"/>
      <c r="CP220" s="1184"/>
      <c r="CQ220" s="1189"/>
      <c r="CR220" s="1189"/>
      <c r="CS220" s="1189"/>
      <c r="CT220" s="1189"/>
      <c r="CU220" s="1156"/>
      <c r="CV220" s="1189"/>
      <c r="CW220" s="1189"/>
      <c r="CX220" s="1189"/>
      <c r="CY220" s="1189"/>
      <c r="CZ220" s="1156"/>
      <c r="DA220" s="1156"/>
      <c r="DB220" s="2108"/>
      <c r="DC220" s="2108"/>
    </row>
    <row r="221" spans="1:107" s="1178" customFormat="1" ht="11.25">
      <c r="A221" s="1205"/>
      <c r="B221" s="1205"/>
      <c r="C221" s="1205"/>
      <c r="D221" s="1205"/>
      <c r="E221" s="1205"/>
      <c r="F221" s="1205"/>
      <c r="G221" s="1205"/>
      <c r="H221" s="1205"/>
      <c r="I221" s="1205"/>
      <c r="J221" s="1205"/>
      <c r="K221" s="1205"/>
      <c r="L221" s="1205"/>
      <c r="M221" s="1205"/>
      <c r="N221" s="1205"/>
      <c r="O221" s="1205"/>
      <c r="P221" s="1205"/>
      <c r="Q221" s="1205"/>
      <c r="R221" s="1205"/>
      <c r="S221" s="1205"/>
      <c r="T221" s="1205"/>
      <c r="U221" s="1205"/>
      <c r="V221" s="1205"/>
      <c r="W221" s="1205"/>
      <c r="X221" s="1205"/>
      <c r="Y221" s="1205"/>
      <c r="Z221" s="1205"/>
      <c r="AA221" s="1205"/>
      <c r="AB221" s="1205"/>
      <c r="AC221" s="1205"/>
      <c r="AD221" s="1205"/>
      <c r="AE221" s="1205"/>
      <c r="AF221" s="1205"/>
      <c r="AG221" s="1205"/>
      <c r="AH221" s="1205"/>
      <c r="AI221" s="1205"/>
      <c r="AJ221" s="1205"/>
      <c r="AK221" s="1205"/>
      <c r="AL221" s="1205"/>
      <c r="AM221" s="1205"/>
      <c r="AN221" s="1205"/>
      <c r="AO221" s="1205"/>
      <c r="AP221" s="1205"/>
      <c r="AQ221" s="1205"/>
      <c r="AR221" s="1205"/>
      <c r="AS221" s="1205"/>
      <c r="AT221" s="1205"/>
      <c r="AU221" s="1205"/>
      <c r="AV221" s="1205"/>
      <c r="AW221" s="1205"/>
      <c r="AX221" s="1205"/>
      <c r="AY221" s="1204"/>
      <c r="AZ221" s="1204"/>
      <c r="BA221" s="1204"/>
      <c r="BB221" s="1204"/>
      <c r="BC221" s="1204"/>
      <c r="BD221" s="1204"/>
      <c r="BE221" s="1204"/>
      <c r="BF221" s="1204"/>
      <c r="BG221" s="1204"/>
      <c r="BH221" s="1204"/>
      <c r="BI221" s="1204"/>
      <c r="BJ221" s="1204"/>
      <c r="BK221" s="1204"/>
      <c r="BL221" s="1204"/>
      <c r="BM221" s="1204"/>
      <c r="BN221" s="1204"/>
      <c r="BO221" s="1204"/>
      <c r="BP221" s="1204"/>
      <c r="BQ221" s="1204"/>
      <c r="BR221" s="1203"/>
      <c r="BS221" s="1203"/>
      <c r="BT221" s="1203"/>
      <c r="BU221" s="1203"/>
      <c r="BV221" s="1203"/>
      <c r="BW221" s="1203"/>
      <c r="BX221" s="1203"/>
      <c r="BY221" s="1203"/>
      <c r="BZ221" s="1203"/>
      <c r="CA221" s="1203"/>
      <c r="CB221" s="1203"/>
      <c r="CC221" s="1203"/>
      <c r="CD221" s="1203"/>
      <c r="CE221" s="1203"/>
      <c r="CF221" s="1203"/>
      <c r="CG221" s="1203"/>
      <c r="CH221" s="1203"/>
      <c r="CI221" s="1203"/>
      <c r="CJ221" s="1203"/>
      <c r="CK221" s="1203"/>
      <c r="CL221" s="1203"/>
      <c r="CM221" s="1203"/>
      <c r="CN221" s="1203"/>
      <c r="CO221" s="1203"/>
      <c r="CP221" s="1203"/>
      <c r="CQ221" s="1203"/>
      <c r="CR221" s="1203"/>
      <c r="CS221" s="1203"/>
      <c r="CT221" s="1203"/>
      <c r="CU221" s="1202"/>
      <c r="CV221" s="1203"/>
      <c r="CW221" s="1203"/>
      <c r="CX221" s="1203"/>
      <c r="CY221" s="1203"/>
      <c r="CZ221" s="1202"/>
      <c r="DA221" s="1202"/>
      <c r="DB221" s="1202"/>
      <c r="DC221" s="1202"/>
    </row>
    <row r="222" spans="1:107" s="1178" customFormat="1" ht="11.25" hidden="1" outlineLevel="1">
      <c r="A222" s="1191"/>
      <c r="B222" s="1182" t="s">
        <v>882</v>
      </c>
      <c r="C222" s="1191"/>
      <c r="D222" s="1191"/>
      <c r="E222" s="1191"/>
      <c r="F222" s="1191"/>
      <c r="G222" s="1191"/>
      <c r="H222" s="1191"/>
      <c r="I222" s="1191"/>
      <c r="J222" s="1191"/>
      <c r="K222" s="1191"/>
      <c r="L222" s="1191"/>
      <c r="M222" s="1191"/>
      <c r="N222" s="1191"/>
      <c r="O222" s="1191"/>
      <c r="P222" s="1191"/>
      <c r="Q222" s="1191"/>
      <c r="R222" s="1191"/>
      <c r="S222" s="1191"/>
      <c r="T222" s="1191"/>
      <c r="U222" s="1191"/>
      <c r="V222" s="1191"/>
      <c r="W222" s="1191"/>
      <c r="X222" s="1191"/>
      <c r="Y222" s="1191"/>
      <c r="Z222" s="1191"/>
      <c r="AA222" s="1191"/>
      <c r="AB222" s="1191"/>
      <c r="AC222" s="1191"/>
      <c r="AD222" s="1191"/>
      <c r="AE222" s="1191"/>
      <c r="AF222" s="1191"/>
      <c r="AG222" s="1191"/>
      <c r="AH222" s="1191"/>
      <c r="AI222" s="1191"/>
      <c r="AJ222" s="1191"/>
      <c r="AK222" s="1191"/>
      <c r="AL222" s="1191"/>
      <c r="AM222" s="1191"/>
      <c r="AN222" s="1191"/>
      <c r="AO222" s="1191"/>
      <c r="AP222" s="1191"/>
      <c r="AQ222" s="1191"/>
      <c r="AR222" s="1191"/>
      <c r="AS222" s="1191"/>
      <c r="AT222" s="1191"/>
      <c r="AU222" s="1191"/>
      <c r="AV222" s="1191"/>
      <c r="AW222" s="1197" t="s">
        <v>881</v>
      </c>
      <c r="AX222" s="1191"/>
      <c r="AY222" s="1182"/>
      <c r="AZ222" s="1182"/>
      <c r="BA222" s="1182"/>
      <c r="BB222" s="1182"/>
      <c r="BC222" s="1182"/>
      <c r="BD222" s="1182"/>
      <c r="BE222" s="1182"/>
      <c r="BF222" s="1182"/>
      <c r="BG222" s="1182"/>
      <c r="BH222" s="1182"/>
      <c r="BI222" s="1182"/>
      <c r="BJ222" s="1182"/>
      <c r="BK222" s="1182"/>
      <c r="BL222" s="1182"/>
      <c r="BM222" s="1182"/>
      <c r="BN222" s="1182"/>
      <c r="BO222" s="1182"/>
      <c r="BP222" s="1182"/>
      <c r="BQ222" s="1182"/>
      <c r="BR222" s="1190"/>
      <c r="BS222" s="1190"/>
      <c r="BT222" s="1190"/>
      <c r="BU222" s="1190"/>
      <c r="BV222" s="1190"/>
      <c r="BW222" s="1190"/>
      <c r="BX222" s="1190"/>
      <c r="BY222" s="1190"/>
      <c r="BZ222" s="1190"/>
      <c r="CA222" s="1190"/>
      <c r="CB222" s="1190"/>
      <c r="CC222" s="1190"/>
      <c r="CD222" s="1190"/>
      <c r="CE222" s="1190"/>
      <c r="CF222" s="1190"/>
      <c r="CG222" s="1189"/>
      <c r="CH222" s="1189"/>
      <c r="CI222" s="1189"/>
      <c r="CJ222" s="1189"/>
      <c r="CK222" s="1184"/>
      <c r="CL222" s="1189"/>
      <c r="CM222" s="1189"/>
      <c r="CN222" s="1189"/>
      <c r="CO222" s="1189"/>
      <c r="CP222" s="1184"/>
      <c r="CQ222" s="1189"/>
      <c r="CR222" s="1189"/>
      <c r="CS222" s="1189"/>
      <c r="CT222" s="1189"/>
      <c r="CU222" s="1156"/>
      <c r="CV222" s="1189"/>
      <c r="CW222" s="1189"/>
      <c r="CX222" s="1189"/>
      <c r="CY222" s="1189"/>
      <c r="CZ222" s="1156"/>
      <c r="DA222" s="1156"/>
      <c r="DB222" s="2108"/>
      <c r="DC222" s="2108"/>
    </row>
    <row r="223" spans="1:107" s="1178" customFormat="1" ht="11.25" hidden="1" outlineLevel="1">
      <c r="A223" s="1191"/>
      <c r="B223" s="1191" t="s">
        <v>167</v>
      </c>
      <c r="C223" s="1191"/>
      <c r="D223" s="1191"/>
      <c r="E223" s="1191"/>
      <c r="F223" s="1191"/>
      <c r="G223" s="1191"/>
      <c r="H223" s="1191"/>
      <c r="I223" s="1191"/>
      <c r="J223" s="1191"/>
      <c r="K223" s="1191"/>
      <c r="L223" s="1191"/>
      <c r="M223" s="1191"/>
      <c r="N223" s="1191"/>
      <c r="O223" s="1191"/>
      <c r="P223" s="1191"/>
      <c r="Q223" s="1191"/>
      <c r="R223" s="1191"/>
      <c r="S223" s="1191"/>
      <c r="T223" s="1191"/>
      <c r="U223" s="1191"/>
      <c r="V223" s="1191"/>
      <c r="W223" s="1191"/>
      <c r="X223" s="1191"/>
      <c r="Y223" s="1191"/>
      <c r="Z223" s="1191"/>
      <c r="AA223" s="1191"/>
      <c r="AB223" s="1191"/>
      <c r="AC223" s="1191"/>
      <c r="AD223" s="1191"/>
      <c r="AE223" s="1191"/>
      <c r="AF223" s="1191"/>
      <c r="AG223" s="1191"/>
      <c r="AH223" s="1191"/>
      <c r="AI223" s="1191"/>
      <c r="AJ223" s="1191"/>
      <c r="AK223" s="1191"/>
      <c r="AL223" s="1191"/>
      <c r="AM223" s="1191"/>
      <c r="AN223" s="1191"/>
      <c r="AO223" s="1191"/>
      <c r="AP223" s="1191"/>
      <c r="AQ223" s="1191"/>
      <c r="AR223" s="1191"/>
      <c r="AS223" s="1191"/>
      <c r="AT223" s="1191"/>
      <c r="AU223" s="1191"/>
      <c r="AV223" s="1191"/>
      <c r="AW223" s="1197" t="s">
        <v>880</v>
      </c>
      <c r="AX223" s="1191"/>
      <c r="AY223" s="1182"/>
      <c r="AZ223" s="1182"/>
      <c r="BA223" s="1182"/>
      <c r="BB223" s="1182"/>
      <c r="BC223" s="1182"/>
      <c r="BD223" s="1182"/>
      <c r="BE223" s="1182"/>
      <c r="BF223" s="1182"/>
      <c r="BG223" s="1182"/>
      <c r="BH223" s="1182"/>
      <c r="BI223" s="1182"/>
      <c r="BJ223" s="1182"/>
      <c r="BK223" s="1182"/>
      <c r="BL223" s="1182"/>
      <c r="BM223" s="1182"/>
      <c r="BN223" s="1182"/>
      <c r="BO223" s="1182"/>
      <c r="BP223" s="1182"/>
      <c r="BQ223" s="1182"/>
      <c r="BR223" s="1190"/>
      <c r="BS223" s="1190"/>
      <c r="BT223" s="1190"/>
      <c r="BU223" s="1190"/>
      <c r="BV223" s="1190"/>
      <c r="BW223" s="1190"/>
      <c r="BX223" s="1190"/>
      <c r="BY223" s="1190"/>
      <c r="BZ223" s="1190"/>
      <c r="CA223" s="1190"/>
      <c r="CB223" s="1190"/>
      <c r="CC223" s="1190"/>
      <c r="CD223" s="1190"/>
      <c r="CE223" s="1190"/>
      <c r="CF223" s="1190"/>
      <c r="CG223" s="1189"/>
      <c r="CH223" s="1189"/>
      <c r="CI223" s="1189"/>
      <c r="CJ223" s="1189"/>
      <c r="CK223" s="1184"/>
      <c r="CL223" s="1189"/>
      <c r="CM223" s="1189"/>
      <c r="CN223" s="1189"/>
      <c r="CO223" s="1189"/>
      <c r="CP223" s="1184"/>
      <c r="CQ223" s="1189"/>
      <c r="CR223" s="1189"/>
      <c r="CS223" s="1189"/>
      <c r="CT223" s="1189"/>
      <c r="CU223" s="1156"/>
      <c r="CV223" s="1189"/>
      <c r="CW223" s="1189"/>
      <c r="CX223" s="1189"/>
      <c r="CY223" s="1189"/>
      <c r="CZ223" s="1156"/>
      <c r="DA223" s="1156"/>
      <c r="DB223" s="2108"/>
      <c r="DC223" s="2108"/>
    </row>
    <row r="224" spans="1:107" s="1178" customFormat="1" ht="11.25" hidden="1" outlineLevel="1">
      <c r="A224" s="1191"/>
      <c r="B224" s="1191" t="s">
        <v>879</v>
      </c>
      <c r="C224" s="1191"/>
      <c r="D224" s="1191"/>
      <c r="E224" s="1191"/>
      <c r="F224" s="1191"/>
      <c r="G224" s="1191"/>
      <c r="H224" s="1191"/>
      <c r="I224" s="1191"/>
      <c r="J224" s="1191"/>
      <c r="K224" s="1191"/>
      <c r="L224" s="1191"/>
      <c r="M224" s="1191"/>
      <c r="N224" s="1191"/>
      <c r="O224" s="1191"/>
      <c r="P224" s="1191"/>
      <c r="Q224" s="1191"/>
      <c r="R224" s="1191"/>
      <c r="S224" s="1191"/>
      <c r="T224" s="1191"/>
      <c r="U224" s="1191"/>
      <c r="V224" s="1191"/>
      <c r="W224" s="1191"/>
      <c r="X224" s="1191"/>
      <c r="Y224" s="1191"/>
      <c r="Z224" s="1191"/>
      <c r="AA224" s="1191"/>
      <c r="AB224" s="1191"/>
      <c r="AC224" s="1191"/>
      <c r="AD224" s="1191"/>
      <c r="AE224" s="1191"/>
      <c r="AF224" s="1191"/>
      <c r="AG224" s="1191"/>
      <c r="AH224" s="1191"/>
      <c r="AI224" s="1191"/>
      <c r="AJ224" s="1191"/>
      <c r="AK224" s="1191"/>
      <c r="AL224" s="1191"/>
      <c r="AM224" s="1191"/>
      <c r="AN224" s="1191"/>
      <c r="AO224" s="1191"/>
      <c r="AP224" s="1191"/>
      <c r="AQ224" s="1191"/>
      <c r="AR224" s="1191"/>
      <c r="AS224" s="1191"/>
      <c r="AT224" s="1191"/>
      <c r="AU224" s="1191"/>
      <c r="AV224" s="1191"/>
      <c r="AW224" s="1197" t="s">
        <v>878</v>
      </c>
      <c r="AX224" s="1191"/>
      <c r="AY224" s="1182"/>
      <c r="AZ224" s="1182"/>
      <c r="BA224" s="1182"/>
      <c r="BB224" s="1182"/>
      <c r="BC224" s="1182"/>
      <c r="BD224" s="1182"/>
      <c r="BE224" s="1182"/>
      <c r="BF224" s="1182"/>
      <c r="BG224" s="1182"/>
      <c r="BH224" s="1182"/>
      <c r="BI224" s="1182"/>
      <c r="BJ224" s="1182"/>
      <c r="BK224" s="1182"/>
      <c r="BL224" s="1182"/>
      <c r="BM224" s="1182"/>
      <c r="BN224" s="1182"/>
      <c r="BO224" s="1182"/>
      <c r="BP224" s="1182"/>
      <c r="BQ224" s="1182"/>
      <c r="BR224" s="1190"/>
      <c r="BS224" s="1190"/>
      <c r="BT224" s="1190"/>
      <c r="BU224" s="1190"/>
      <c r="BV224" s="1190"/>
      <c r="BW224" s="1190"/>
      <c r="BX224" s="1190"/>
      <c r="BY224" s="1190"/>
      <c r="BZ224" s="1190"/>
      <c r="CA224" s="1190"/>
      <c r="CB224" s="1190"/>
      <c r="CC224" s="1190"/>
      <c r="CD224" s="1190"/>
      <c r="CE224" s="1190"/>
      <c r="CF224" s="1190"/>
      <c r="CG224" s="1189"/>
      <c r="CH224" s="1189"/>
      <c r="CI224" s="1189"/>
      <c r="CJ224" s="1189"/>
      <c r="CK224" s="1184"/>
      <c r="CL224" s="1189"/>
      <c r="CM224" s="1189"/>
      <c r="CN224" s="1189"/>
      <c r="CO224" s="1189"/>
      <c r="CP224" s="1184"/>
      <c r="CQ224" s="1189"/>
      <c r="CR224" s="1189"/>
      <c r="CS224" s="1189"/>
      <c r="CT224" s="1189"/>
      <c r="CU224" s="1156"/>
      <c r="CV224" s="1189"/>
      <c r="CW224" s="1189"/>
      <c r="CX224" s="1189"/>
      <c r="CY224" s="1189"/>
      <c r="CZ224" s="1156"/>
      <c r="DA224" s="1156"/>
      <c r="DB224" s="2108"/>
      <c r="DC224" s="2108"/>
    </row>
    <row r="225" spans="1:107" s="1178" customFormat="1" ht="11.25" hidden="1" outlineLevel="1">
      <c r="A225" s="1191"/>
      <c r="B225" s="1191" t="s">
        <v>877</v>
      </c>
      <c r="C225" s="1191"/>
      <c r="D225" s="1191"/>
      <c r="E225" s="1191"/>
      <c r="F225" s="1191"/>
      <c r="G225" s="1191"/>
      <c r="H225" s="1191"/>
      <c r="I225" s="1191"/>
      <c r="J225" s="1191"/>
      <c r="K225" s="1191"/>
      <c r="L225" s="1191"/>
      <c r="M225" s="1191"/>
      <c r="N225" s="1191"/>
      <c r="O225" s="1191"/>
      <c r="P225" s="1191"/>
      <c r="Q225" s="1191"/>
      <c r="R225" s="1191"/>
      <c r="S225" s="1191"/>
      <c r="T225" s="1191"/>
      <c r="U225" s="1191"/>
      <c r="V225" s="1191"/>
      <c r="W225" s="1191"/>
      <c r="X225" s="1191"/>
      <c r="Y225" s="1191"/>
      <c r="Z225" s="1191"/>
      <c r="AA225" s="1191"/>
      <c r="AB225" s="1191"/>
      <c r="AC225" s="1191"/>
      <c r="AD225" s="1191"/>
      <c r="AE225" s="1191"/>
      <c r="AF225" s="1191"/>
      <c r="AG225" s="1191"/>
      <c r="AH225" s="1191"/>
      <c r="AI225" s="1191"/>
      <c r="AJ225" s="1191"/>
      <c r="AK225" s="1191"/>
      <c r="AL225" s="1191"/>
      <c r="AM225" s="1191"/>
      <c r="AN225" s="1191"/>
      <c r="AO225" s="1191"/>
      <c r="AP225" s="1191"/>
      <c r="AQ225" s="1191"/>
      <c r="AR225" s="1191"/>
      <c r="AS225" s="1191"/>
      <c r="AT225" s="1191"/>
      <c r="AU225" s="1191"/>
      <c r="AV225" s="1191"/>
      <c r="AW225" s="1197" t="s">
        <v>876</v>
      </c>
      <c r="AX225" s="1191"/>
      <c r="AY225" s="1182"/>
      <c r="AZ225" s="1182"/>
      <c r="BA225" s="1182"/>
      <c r="BB225" s="1182"/>
      <c r="BC225" s="1182"/>
      <c r="BD225" s="1182"/>
      <c r="BE225" s="1182"/>
      <c r="BF225" s="1182"/>
      <c r="BG225" s="1182"/>
      <c r="BH225" s="1182"/>
      <c r="BI225" s="1182"/>
      <c r="BJ225" s="1182"/>
      <c r="BK225" s="1182"/>
      <c r="BL225" s="1182"/>
      <c r="BM225" s="1182"/>
      <c r="BN225" s="1182"/>
      <c r="BO225" s="1182"/>
      <c r="BP225" s="1182"/>
      <c r="BQ225" s="1182"/>
      <c r="BR225" s="1190"/>
      <c r="BS225" s="1190"/>
      <c r="BT225" s="1190"/>
      <c r="BU225" s="1190"/>
      <c r="BV225" s="1190"/>
      <c r="BW225" s="1190"/>
      <c r="BX225" s="1190"/>
      <c r="BY225" s="1190"/>
      <c r="BZ225" s="1190"/>
      <c r="CA225" s="1190"/>
      <c r="CB225" s="1190"/>
      <c r="CC225" s="1190"/>
      <c r="CD225" s="1190"/>
      <c r="CE225" s="1190"/>
      <c r="CF225" s="1190"/>
      <c r="CG225" s="1189"/>
      <c r="CH225" s="1189"/>
      <c r="CI225" s="1189"/>
      <c r="CJ225" s="1189"/>
      <c r="CK225" s="1184"/>
      <c r="CL225" s="1189"/>
      <c r="CM225" s="1189"/>
      <c r="CN225" s="1189"/>
      <c r="CO225" s="1189"/>
      <c r="CP225" s="1184"/>
      <c r="CQ225" s="1189"/>
      <c r="CR225" s="1189"/>
      <c r="CS225" s="1189"/>
      <c r="CT225" s="1189"/>
      <c r="CU225" s="1156"/>
      <c r="CV225" s="1189"/>
      <c r="CW225" s="1189"/>
      <c r="CX225" s="1189"/>
      <c r="CY225" s="1189"/>
      <c r="CZ225" s="1156"/>
      <c r="DA225" s="1156"/>
      <c r="DB225" s="2108"/>
      <c r="DC225" s="2108"/>
    </row>
    <row r="226" spans="1:107" s="1178" customFormat="1" ht="11.25" hidden="1" outlineLevel="1">
      <c r="A226" s="1191"/>
      <c r="B226" s="1191" t="s">
        <v>875</v>
      </c>
      <c r="C226" s="1191"/>
      <c r="D226" s="1191"/>
      <c r="E226" s="1191"/>
      <c r="F226" s="1191"/>
      <c r="G226" s="1191"/>
      <c r="H226" s="1191"/>
      <c r="I226" s="1191"/>
      <c r="J226" s="1191"/>
      <c r="K226" s="1191"/>
      <c r="L226" s="1191"/>
      <c r="M226" s="1191"/>
      <c r="N226" s="1191"/>
      <c r="O226" s="1191"/>
      <c r="P226" s="1191"/>
      <c r="Q226" s="1191"/>
      <c r="R226" s="1191"/>
      <c r="S226" s="1191"/>
      <c r="T226" s="1191"/>
      <c r="U226" s="1191"/>
      <c r="V226" s="1191"/>
      <c r="W226" s="1191"/>
      <c r="X226" s="1191"/>
      <c r="Y226" s="1191"/>
      <c r="Z226" s="1191"/>
      <c r="AA226" s="1191"/>
      <c r="AB226" s="1191"/>
      <c r="AC226" s="1191"/>
      <c r="AD226" s="1191"/>
      <c r="AE226" s="1191"/>
      <c r="AF226" s="1191"/>
      <c r="AG226" s="1191"/>
      <c r="AH226" s="1191"/>
      <c r="AI226" s="1191"/>
      <c r="AJ226" s="1191"/>
      <c r="AK226" s="1191"/>
      <c r="AL226" s="1191"/>
      <c r="AM226" s="1191"/>
      <c r="AN226" s="1191"/>
      <c r="AO226" s="1191"/>
      <c r="AP226" s="1191"/>
      <c r="AQ226" s="1191"/>
      <c r="AR226" s="1191"/>
      <c r="AS226" s="1191"/>
      <c r="AT226" s="1191"/>
      <c r="AU226" s="1191"/>
      <c r="AV226" s="1191"/>
      <c r="AW226" s="1197" t="s">
        <v>874</v>
      </c>
      <c r="AX226" s="1191"/>
      <c r="AY226" s="1182"/>
      <c r="AZ226" s="1182"/>
      <c r="BA226" s="1182"/>
      <c r="BB226" s="1182"/>
      <c r="BC226" s="1182"/>
      <c r="BD226" s="1182"/>
      <c r="BE226" s="1182"/>
      <c r="BF226" s="1182"/>
      <c r="BG226" s="1182"/>
      <c r="BH226" s="1182"/>
      <c r="BI226" s="1182"/>
      <c r="BJ226" s="1182"/>
      <c r="BK226" s="1182"/>
      <c r="BL226" s="1182"/>
      <c r="BM226" s="1182"/>
      <c r="BN226" s="1182"/>
      <c r="BO226" s="1182"/>
      <c r="BP226" s="1182"/>
      <c r="BQ226" s="1182"/>
      <c r="BR226" s="1190"/>
      <c r="BS226" s="1190"/>
      <c r="BT226" s="1190"/>
      <c r="BU226" s="1190"/>
      <c r="BV226" s="1190"/>
      <c r="BW226" s="1190"/>
      <c r="BX226" s="1190"/>
      <c r="BY226" s="1190"/>
      <c r="BZ226" s="1190"/>
      <c r="CA226" s="1190"/>
      <c r="CB226" s="1190"/>
      <c r="CC226" s="1190"/>
      <c r="CD226" s="1190"/>
      <c r="CE226" s="1190"/>
      <c r="CF226" s="1190"/>
      <c r="CG226" s="1189"/>
      <c r="CH226" s="1189"/>
      <c r="CI226" s="1189"/>
      <c r="CJ226" s="1189"/>
      <c r="CK226" s="1184"/>
      <c r="CL226" s="1189"/>
      <c r="CM226" s="1189"/>
      <c r="CN226" s="1189"/>
      <c r="CO226" s="1189"/>
      <c r="CP226" s="1184"/>
      <c r="CQ226" s="1189"/>
      <c r="CR226" s="1189"/>
      <c r="CS226" s="1189"/>
      <c r="CT226" s="1189"/>
      <c r="CU226" s="1156"/>
      <c r="CV226" s="1189"/>
      <c r="CW226" s="1189"/>
      <c r="CX226" s="1189"/>
      <c r="CY226" s="1189"/>
      <c r="CZ226" s="1156"/>
      <c r="DA226" s="1156"/>
      <c r="DB226" s="2108"/>
      <c r="DC226" s="2108"/>
    </row>
    <row r="227" spans="1:107" s="1178" customFormat="1" ht="11.25" hidden="1" outlineLevel="1">
      <c r="A227" s="1191"/>
      <c r="B227" s="1191" t="s">
        <v>873</v>
      </c>
      <c r="C227" s="1191"/>
      <c r="D227" s="1191"/>
      <c r="E227" s="1191"/>
      <c r="F227" s="1191"/>
      <c r="G227" s="1191"/>
      <c r="H227" s="1191"/>
      <c r="I227" s="1191"/>
      <c r="J227" s="1191"/>
      <c r="K227" s="1191"/>
      <c r="L227" s="1191"/>
      <c r="M227" s="1191"/>
      <c r="N227" s="1191"/>
      <c r="O227" s="1191"/>
      <c r="P227" s="1191"/>
      <c r="Q227" s="1191"/>
      <c r="R227" s="1191"/>
      <c r="S227" s="1191"/>
      <c r="T227" s="1191"/>
      <c r="U227" s="1191"/>
      <c r="V227" s="1191"/>
      <c r="W227" s="1191"/>
      <c r="X227" s="1191"/>
      <c r="Y227" s="1191"/>
      <c r="Z227" s="1191"/>
      <c r="AA227" s="1191"/>
      <c r="AB227" s="1191"/>
      <c r="AC227" s="1191"/>
      <c r="AD227" s="1191"/>
      <c r="AE227" s="1191"/>
      <c r="AF227" s="1191"/>
      <c r="AG227" s="1191"/>
      <c r="AH227" s="1191"/>
      <c r="AI227" s="1191"/>
      <c r="AJ227" s="1191"/>
      <c r="AK227" s="1191"/>
      <c r="AL227" s="1191"/>
      <c r="AM227" s="1191"/>
      <c r="AN227" s="1191"/>
      <c r="AO227" s="1191"/>
      <c r="AP227" s="1191"/>
      <c r="AQ227" s="1191"/>
      <c r="AR227" s="1191"/>
      <c r="AS227" s="1191"/>
      <c r="AT227" s="1191"/>
      <c r="AU227" s="1191"/>
      <c r="AV227" s="1191"/>
      <c r="AW227" s="1197" t="s">
        <v>872</v>
      </c>
      <c r="AX227" s="1191"/>
      <c r="AY227" s="1182"/>
      <c r="AZ227" s="1182"/>
      <c r="BA227" s="1182"/>
      <c r="BB227" s="1182"/>
      <c r="BC227" s="1182"/>
      <c r="BD227" s="1182"/>
      <c r="BE227" s="1182"/>
      <c r="BF227" s="1182"/>
      <c r="BG227" s="1182"/>
      <c r="BH227" s="1182"/>
      <c r="BI227" s="1182"/>
      <c r="BJ227" s="1182"/>
      <c r="BK227" s="1182"/>
      <c r="BL227" s="1182"/>
      <c r="BM227" s="1182"/>
      <c r="BN227" s="1182"/>
      <c r="BO227" s="1182"/>
      <c r="BP227" s="1182"/>
      <c r="BQ227" s="1182"/>
      <c r="BR227" s="1190"/>
      <c r="BS227" s="1190"/>
      <c r="BT227" s="1190"/>
      <c r="BU227" s="1190"/>
      <c r="BV227" s="1190"/>
      <c r="BW227" s="1190"/>
      <c r="BX227" s="1190"/>
      <c r="BY227" s="1190"/>
      <c r="BZ227" s="1190"/>
      <c r="CA227" s="1190"/>
      <c r="CB227" s="1190"/>
      <c r="CC227" s="1190"/>
      <c r="CD227" s="1190"/>
      <c r="CE227" s="1190"/>
      <c r="CF227" s="1190"/>
      <c r="CG227" s="1189"/>
      <c r="CH227" s="1189"/>
      <c r="CI227" s="1189"/>
      <c r="CJ227" s="1189"/>
      <c r="CK227" s="1184"/>
      <c r="CL227" s="1189"/>
      <c r="CM227" s="1189"/>
      <c r="CN227" s="1189"/>
      <c r="CO227" s="1189"/>
      <c r="CP227" s="1184"/>
      <c r="CQ227" s="1189"/>
      <c r="CR227" s="1189"/>
      <c r="CS227" s="1189"/>
      <c r="CT227" s="1189"/>
      <c r="CU227" s="1156"/>
      <c r="CV227" s="1189"/>
      <c r="CW227" s="1189"/>
      <c r="CX227" s="1189"/>
      <c r="CY227" s="1189"/>
      <c r="CZ227" s="1156"/>
      <c r="DA227" s="1156"/>
      <c r="DB227" s="2108"/>
      <c r="DC227" s="2108"/>
    </row>
    <row r="228" spans="1:107" s="1178" customFormat="1" ht="11.25" hidden="1" outlineLevel="1">
      <c r="A228" s="1191"/>
      <c r="B228" s="1182" t="s">
        <v>871</v>
      </c>
      <c r="C228" s="1191"/>
      <c r="D228" s="1191"/>
      <c r="E228" s="1191"/>
      <c r="F228" s="1191"/>
      <c r="G228" s="1191"/>
      <c r="H228" s="1191"/>
      <c r="I228" s="1191"/>
      <c r="J228" s="1191"/>
      <c r="K228" s="1191"/>
      <c r="L228" s="1191"/>
      <c r="M228" s="1191"/>
      <c r="N228" s="1191"/>
      <c r="O228" s="1191"/>
      <c r="P228" s="1191"/>
      <c r="Q228" s="1191"/>
      <c r="R228" s="1191"/>
      <c r="S228" s="1191"/>
      <c r="T228" s="1191"/>
      <c r="U228" s="1191"/>
      <c r="V228" s="1191"/>
      <c r="W228" s="1191"/>
      <c r="X228" s="1191"/>
      <c r="Y228" s="1191"/>
      <c r="Z228" s="1191"/>
      <c r="AA228" s="1191"/>
      <c r="AB228" s="1191"/>
      <c r="AC228" s="1191"/>
      <c r="AD228" s="1191"/>
      <c r="AE228" s="1191"/>
      <c r="AF228" s="1191"/>
      <c r="AG228" s="1191"/>
      <c r="AH228" s="1191"/>
      <c r="AI228" s="1191"/>
      <c r="AJ228" s="1191"/>
      <c r="AK228" s="1191"/>
      <c r="AL228" s="1191"/>
      <c r="AM228" s="1191"/>
      <c r="AN228" s="1191"/>
      <c r="AO228" s="1191"/>
      <c r="AP228" s="1191"/>
      <c r="AQ228" s="1191"/>
      <c r="AR228" s="1191"/>
      <c r="AS228" s="1191"/>
      <c r="AT228" s="1191"/>
      <c r="AU228" s="1191"/>
      <c r="AV228" s="1191"/>
      <c r="AW228" s="1201">
        <v>0.75</v>
      </c>
      <c r="AX228" s="1191"/>
      <c r="AY228" s="1182"/>
      <c r="AZ228" s="1182"/>
      <c r="BA228" s="1182"/>
      <c r="BB228" s="1182"/>
      <c r="BC228" s="1182"/>
      <c r="BD228" s="1182"/>
      <c r="BE228" s="1182"/>
      <c r="BF228" s="1182"/>
      <c r="BG228" s="1182"/>
      <c r="BH228" s="1182"/>
      <c r="BI228" s="1182"/>
      <c r="BJ228" s="1182"/>
      <c r="BK228" s="1182"/>
      <c r="BL228" s="1182"/>
      <c r="BM228" s="1182"/>
      <c r="BN228" s="1182"/>
      <c r="BO228" s="1182"/>
      <c r="BP228" s="1182"/>
      <c r="BQ228" s="1182"/>
      <c r="BR228" s="1190"/>
      <c r="BS228" s="1190"/>
      <c r="BT228" s="1190"/>
      <c r="BU228" s="1190"/>
      <c r="BV228" s="1190"/>
      <c r="BW228" s="1190"/>
      <c r="BX228" s="1190"/>
      <c r="BY228" s="1190"/>
      <c r="BZ228" s="1190"/>
      <c r="CA228" s="1190"/>
      <c r="CB228" s="1190"/>
      <c r="CC228" s="1190"/>
      <c r="CD228" s="1190"/>
      <c r="CE228" s="1190"/>
      <c r="CF228" s="1190"/>
      <c r="CG228" s="1189"/>
      <c r="CH228" s="1189"/>
      <c r="CI228" s="1189"/>
      <c r="CJ228" s="1189"/>
      <c r="CK228" s="1184"/>
      <c r="CL228" s="1189"/>
      <c r="CM228" s="1189"/>
      <c r="CN228" s="1189"/>
      <c r="CO228" s="1189"/>
      <c r="CP228" s="1184"/>
      <c r="CQ228" s="1189"/>
      <c r="CR228" s="1189"/>
      <c r="CS228" s="1189"/>
      <c r="CT228" s="1189"/>
      <c r="CU228" s="1156"/>
      <c r="CV228" s="1189"/>
      <c r="CW228" s="1189"/>
      <c r="CX228" s="1189"/>
      <c r="CY228" s="1189"/>
      <c r="CZ228" s="1156"/>
      <c r="DA228" s="1156"/>
      <c r="DB228" s="2108"/>
      <c r="DC228" s="2108"/>
    </row>
    <row r="229" spans="1:107" s="1178" customFormat="1" ht="11.25" hidden="1" outlineLevel="1">
      <c r="A229" s="1191"/>
      <c r="B229" s="1182" t="s">
        <v>870</v>
      </c>
      <c r="C229" s="1191"/>
      <c r="D229" s="1191"/>
      <c r="E229" s="1191"/>
      <c r="F229" s="1191"/>
      <c r="G229" s="1191"/>
      <c r="H229" s="1191"/>
      <c r="I229" s="1191"/>
      <c r="J229" s="1191"/>
      <c r="K229" s="1191"/>
      <c r="L229" s="1191"/>
      <c r="M229" s="1191"/>
      <c r="N229" s="1191"/>
      <c r="O229" s="1191"/>
      <c r="P229" s="1191"/>
      <c r="Q229" s="1191"/>
      <c r="R229" s="1191"/>
      <c r="S229" s="1191"/>
      <c r="T229" s="1191"/>
      <c r="U229" s="1191"/>
      <c r="V229" s="1191"/>
      <c r="W229" s="1191"/>
      <c r="X229" s="1191"/>
      <c r="Y229" s="1191"/>
      <c r="Z229" s="1191"/>
      <c r="AA229" s="1191"/>
      <c r="AB229" s="1191"/>
      <c r="AC229" s="1191"/>
      <c r="AD229" s="1191"/>
      <c r="AE229" s="1191"/>
      <c r="AF229" s="1191"/>
      <c r="AG229" s="1191"/>
      <c r="AH229" s="1191"/>
      <c r="AI229" s="1191"/>
      <c r="AJ229" s="1191"/>
      <c r="AK229" s="1191"/>
      <c r="AL229" s="1191"/>
      <c r="AM229" s="1191"/>
      <c r="AN229" s="1191"/>
      <c r="AO229" s="1191"/>
      <c r="AP229" s="1191"/>
      <c r="AQ229" s="1191"/>
      <c r="AR229" s="1191"/>
      <c r="AS229" s="1191"/>
      <c r="AT229" s="1191"/>
      <c r="AU229" s="1191"/>
      <c r="AV229" s="1191"/>
      <c r="AW229" s="1201">
        <v>0.13</v>
      </c>
      <c r="AX229" s="1191"/>
      <c r="AY229" s="1182"/>
      <c r="AZ229" s="1182"/>
      <c r="BA229" s="1182"/>
      <c r="BB229" s="1182"/>
      <c r="BC229" s="1182"/>
      <c r="BD229" s="1182"/>
      <c r="BE229" s="1182"/>
      <c r="BF229" s="1182"/>
      <c r="BG229" s="1182"/>
      <c r="BH229" s="1182"/>
      <c r="BI229" s="1182"/>
      <c r="BJ229" s="1182"/>
      <c r="BK229" s="1182"/>
      <c r="BL229" s="1182"/>
      <c r="BM229" s="1182"/>
      <c r="BN229" s="1182"/>
      <c r="BO229" s="1182"/>
      <c r="BP229" s="1182"/>
      <c r="BQ229" s="1182"/>
      <c r="BR229" s="1190"/>
      <c r="BS229" s="1190"/>
      <c r="BT229" s="1190"/>
      <c r="BU229" s="1190"/>
      <c r="BV229" s="1190"/>
      <c r="BW229" s="1190"/>
      <c r="BX229" s="1190"/>
      <c r="BY229" s="1190"/>
      <c r="BZ229" s="1190"/>
      <c r="CA229" s="1190"/>
      <c r="CB229" s="1190"/>
      <c r="CC229" s="1190"/>
      <c r="CD229" s="1190"/>
      <c r="CE229" s="1190"/>
      <c r="CF229" s="1190"/>
      <c r="CG229" s="1189"/>
      <c r="CH229" s="1189"/>
      <c r="CI229" s="1189"/>
      <c r="CJ229" s="1189"/>
      <c r="CK229" s="1184"/>
      <c r="CL229" s="1189"/>
      <c r="CM229" s="1189"/>
      <c r="CN229" s="1189"/>
      <c r="CO229" s="1189"/>
      <c r="CP229" s="1184"/>
      <c r="CQ229" s="1189"/>
      <c r="CR229" s="1189"/>
      <c r="CS229" s="1189"/>
      <c r="CT229" s="1189"/>
      <c r="CU229" s="1156"/>
      <c r="CV229" s="1189"/>
      <c r="CW229" s="1189"/>
      <c r="CX229" s="1189"/>
      <c r="CY229" s="1189"/>
      <c r="CZ229" s="1156"/>
      <c r="DA229" s="1156"/>
      <c r="DB229" s="2108"/>
      <c r="DC229" s="2108"/>
    </row>
    <row r="230" spans="1:107" s="1178" customFormat="1" ht="11.25" hidden="1" outlineLevel="1">
      <c r="A230" s="1191"/>
      <c r="B230" s="1182" t="s">
        <v>869</v>
      </c>
      <c r="C230" s="1191"/>
      <c r="D230" s="1191"/>
      <c r="E230" s="1191"/>
      <c r="F230" s="1191"/>
      <c r="G230" s="1191"/>
      <c r="H230" s="1191"/>
      <c r="I230" s="1191"/>
      <c r="J230" s="1191"/>
      <c r="K230" s="1191"/>
      <c r="L230" s="1191"/>
      <c r="M230" s="1191"/>
      <c r="N230" s="1191"/>
      <c r="O230" s="1191"/>
      <c r="P230" s="1191"/>
      <c r="Q230" s="1191"/>
      <c r="R230" s="1191"/>
      <c r="S230" s="1191"/>
      <c r="T230" s="1191"/>
      <c r="U230" s="1191"/>
      <c r="V230" s="1191"/>
      <c r="W230" s="1191"/>
      <c r="X230" s="1191"/>
      <c r="Y230" s="1191"/>
      <c r="Z230" s="1191"/>
      <c r="AA230" s="1191"/>
      <c r="AB230" s="1191"/>
      <c r="AC230" s="1191"/>
      <c r="AD230" s="1191"/>
      <c r="AE230" s="1191"/>
      <c r="AF230" s="1191"/>
      <c r="AG230" s="1191"/>
      <c r="AH230" s="1191"/>
      <c r="AI230" s="1191"/>
      <c r="AJ230" s="1191"/>
      <c r="AK230" s="1191"/>
      <c r="AL230" s="1191"/>
      <c r="AM230" s="1191"/>
      <c r="AN230" s="1191"/>
      <c r="AO230" s="1191"/>
      <c r="AP230" s="1191"/>
      <c r="AQ230" s="1191"/>
      <c r="AR230" s="1191"/>
      <c r="AS230" s="1191"/>
      <c r="AT230" s="1191"/>
      <c r="AU230" s="1191"/>
      <c r="AV230" s="1191"/>
      <c r="AW230" s="1201">
        <v>0.12</v>
      </c>
      <c r="AX230" s="1191"/>
      <c r="AY230" s="1182"/>
      <c r="AZ230" s="1182"/>
      <c r="BA230" s="1182"/>
      <c r="BB230" s="1182"/>
      <c r="BC230" s="1182"/>
      <c r="BD230" s="1182"/>
      <c r="BE230" s="1182"/>
      <c r="BF230" s="1182"/>
      <c r="BG230" s="1182"/>
      <c r="BH230" s="1182"/>
      <c r="BI230" s="1182"/>
      <c r="BJ230" s="1182"/>
      <c r="BK230" s="1182"/>
      <c r="BL230" s="1182"/>
      <c r="BM230" s="1182"/>
      <c r="BN230" s="1182"/>
      <c r="BO230" s="1182"/>
      <c r="BP230" s="1182"/>
      <c r="BQ230" s="1182"/>
      <c r="BR230" s="1190"/>
      <c r="BS230" s="1190"/>
      <c r="BT230" s="1190"/>
      <c r="BU230" s="1190"/>
      <c r="BV230" s="1190"/>
      <c r="BW230" s="1190"/>
      <c r="BX230" s="1190"/>
      <c r="BY230" s="1190"/>
      <c r="BZ230" s="1190"/>
      <c r="CA230" s="1190"/>
      <c r="CB230" s="1190"/>
      <c r="CC230" s="1190"/>
      <c r="CD230" s="1190"/>
      <c r="CE230" s="1190"/>
      <c r="CF230" s="1190"/>
      <c r="CG230" s="1189"/>
      <c r="CH230" s="1189"/>
      <c r="CI230" s="1189"/>
      <c r="CJ230" s="1189"/>
      <c r="CK230" s="1184"/>
      <c r="CL230" s="1189"/>
      <c r="CM230" s="1189"/>
      <c r="CN230" s="1189"/>
      <c r="CO230" s="1189"/>
      <c r="CP230" s="1184"/>
      <c r="CQ230" s="1189"/>
      <c r="CR230" s="1189"/>
      <c r="CS230" s="1189"/>
      <c r="CT230" s="1189"/>
      <c r="CU230" s="1156"/>
      <c r="CV230" s="1189"/>
      <c r="CW230" s="1189"/>
      <c r="CX230" s="1189"/>
      <c r="CY230" s="1189"/>
      <c r="CZ230" s="1156"/>
      <c r="DA230" s="1156"/>
      <c r="DB230" s="2108"/>
      <c r="DC230" s="2108"/>
    </row>
    <row r="231" spans="1:107" s="1178" customFormat="1" ht="11.25" hidden="1" outlineLevel="1">
      <c r="A231" s="1156"/>
      <c r="B231" s="271"/>
      <c r="C231" s="1156"/>
      <c r="D231" s="1191"/>
      <c r="E231" s="1191"/>
      <c r="F231" s="1191"/>
      <c r="G231" s="1191"/>
      <c r="H231" s="1191"/>
      <c r="I231" s="1191"/>
      <c r="J231" s="1191"/>
      <c r="K231" s="1191"/>
      <c r="L231" s="1191"/>
      <c r="M231" s="1191"/>
      <c r="N231" s="1182"/>
      <c r="O231" s="1191"/>
      <c r="P231" s="1191"/>
      <c r="Q231" s="1191"/>
      <c r="R231" s="1191"/>
      <c r="S231" s="1182"/>
      <c r="T231" s="1191"/>
      <c r="U231" s="1191"/>
      <c r="V231" s="1191"/>
      <c r="W231" s="1191"/>
      <c r="X231" s="1182"/>
      <c r="Y231" s="1191"/>
      <c r="Z231" s="1191"/>
      <c r="AA231" s="1191"/>
      <c r="AB231" s="1191"/>
      <c r="AC231" s="1182"/>
      <c r="AD231" s="1191"/>
      <c r="AE231" s="1191"/>
      <c r="AF231" s="1191"/>
      <c r="AG231" s="1191"/>
      <c r="AH231" s="1182"/>
      <c r="AI231" s="1191"/>
      <c r="AJ231" s="1191"/>
      <c r="AK231" s="1191"/>
      <c r="AL231" s="1191"/>
      <c r="AM231" s="1182"/>
      <c r="AN231" s="1191"/>
      <c r="AO231" s="1191"/>
      <c r="AP231" s="1191"/>
      <c r="AQ231" s="1191"/>
      <c r="AR231" s="1182"/>
      <c r="AS231" s="1182"/>
      <c r="AT231" s="1182"/>
      <c r="AU231" s="1182"/>
      <c r="AV231" s="1182"/>
      <c r="AW231" s="1200"/>
      <c r="AX231" s="1182"/>
      <c r="AY231" s="1182"/>
      <c r="AZ231" s="1182"/>
      <c r="BA231" s="1182"/>
      <c r="BB231" s="1182"/>
      <c r="BC231" s="1182"/>
      <c r="BD231" s="1182"/>
      <c r="BE231" s="1182"/>
      <c r="BF231" s="1190"/>
      <c r="BG231" s="1190"/>
      <c r="BH231" s="1184"/>
      <c r="BI231" s="1184"/>
      <c r="BJ231" s="1184"/>
      <c r="BK231" s="1184"/>
      <c r="BL231" s="1156"/>
      <c r="BM231" s="1156"/>
      <c r="BN231" s="1156"/>
      <c r="BO231" s="1156"/>
      <c r="BP231" s="1156"/>
      <c r="BQ231" s="1156"/>
      <c r="BR231" s="1156"/>
      <c r="BS231" s="1156"/>
      <c r="BT231" s="1156"/>
      <c r="BU231" s="1156"/>
      <c r="BV231" s="1156"/>
      <c r="BW231" s="1156"/>
      <c r="BX231" s="1156"/>
      <c r="BY231" s="1156"/>
      <c r="BZ231" s="1156"/>
      <c r="CA231" s="1156"/>
      <c r="CB231" s="1156"/>
      <c r="CC231" s="1156"/>
      <c r="CD231" s="1156"/>
      <c r="CE231" s="1156"/>
      <c r="CF231" s="1156"/>
      <c r="CG231" s="1196"/>
      <c r="CH231" s="1196"/>
      <c r="CI231" s="1196"/>
      <c r="CJ231" s="1196"/>
      <c r="CK231" s="1156"/>
      <c r="CL231" s="1196"/>
      <c r="CM231" s="1196"/>
      <c r="CN231" s="1196"/>
      <c r="CO231" s="1196"/>
      <c r="CP231" s="1156"/>
      <c r="CQ231" s="1196"/>
      <c r="CR231" s="1196"/>
      <c r="CS231" s="1196"/>
      <c r="CT231" s="1196"/>
      <c r="CU231" s="1156"/>
      <c r="CV231" s="1196"/>
      <c r="CW231" s="1196"/>
      <c r="CX231" s="1196"/>
      <c r="CY231" s="1196"/>
      <c r="CZ231" s="1156"/>
      <c r="DA231" s="1156"/>
      <c r="DB231" s="2108"/>
      <c r="DC231" s="2108"/>
    </row>
    <row r="232" spans="1:107" s="1178" customFormat="1" ht="11.25" hidden="1" outlineLevel="1">
      <c r="A232" s="1191"/>
      <c r="B232" s="1182" t="s">
        <v>868</v>
      </c>
      <c r="C232" s="1156"/>
      <c r="D232" s="1191"/>
      <c r="E232" s="1191"/>
      <c r="F232" s="1191"/>
      <c r="G232" s="1191"/>
      <c r="H232" s="1191"/>
      <c r="I232" s="1191"/>
      <c r="J232" s="1191"/>
      <c r="K232" s="1191"/>
      <c r="L232" s="1191"/>
      <c r="M232" s="1191"/>
      <c r="N232" s="1182"/>
      <c r="O232" s="1191"/>
      <c r="P232" s="1191"/>
      <c r="Q232" s="1191"/>
      <c r="R232" s="1191"/>
      <c r="S232" s="1182"/>
      <c r="T232" s="1191"/>
      <c r="U232" s="1191"/>
      <c r="V232" s="1191"/>
      <c r="W232" s="1191"/>
      <c r="X232" s="1182"/>
      <c r="Y232" s="1191"/>
      <c r="Z232" s="1191"/>
      <c r="AA232" s="1191"/>
      <c r="AB232" s="1191"/>
      <c r="AC232" s="1182"/>
      <c r="AD232" s="1191"/>
      <c r="AE232" s="1191"/>
      <c r="AF232" s="1191"/>
      <c r="AG232" s="1191"/>
      <c r="AH232" s="1182"/>
      <c r="AI232" s="1191"/>
      <c r="AJ232" s="1191"/>
      <c r="AK232" s="1191"/>
      <c r="AL232" s="1191"/>
      <c r="AM232" s="1182"/>
      <c r="AN232" s="1191"/>
      <c r="AO232" s="1191"/>
      <c r="AP232" s="1191"/>
      <c r="AQ232" s="1191"/>
      <c r="AR232" s="1182"/>
      <c r="AS232" s="1182"/>
      <c r="AT232" s="1182"/>
      <c r="AU232" s="1182"/>
      <c r="AV232" s="1182"/>
      <c r="AW232" s="1182"/>
      <c r="AX232" s="1182"/>
      <c r="AY232" s="1182"/>
      <c r="AZ232" s="1182"/>
      <c r="BA232" s="1182"/>
      <c r="BB232" s="1182"/>
      <c r="BC232" s="1182"/>
      <c r="BD232" s="1182"/>
      <c r="BE232" s="1182"/>
      <c r="BF232" s="1190"/>
      <c r="BG232" s="1190"/>
      <c r="BH232" s="1184"/>
      <c r="BI232" s="1184"/>
      <c r="BJ232" s="1184"/>
      <c r="BK232" s="1184"/>
      <c r="BL232" s="1156"/>
      <c r="BM232" s="1156"/>
      <c r="BN232" s="1156"/>
      <c r="BO232" s="1156"/>
      <c r="BP232" s="1156"/>
      <c r="BQ232" s="1156"/>
      <c r="BR232" s="1156"/>
      <c r="BS232" s="1156"/>
      <c r="BT232" s="1156"/>
      <c r="BU232" s="1156"/>
      <c r="BV232" s="1156"/>
      <c r="BW232" s="1156"/>
      <c r="BX232" s="1156"/>
      <c r="BY232" s="1156"/>
      <c r="BZ232" s="1156"/>
      <c r="CA232" s="1156"/>
      <c r="CB232" s="1156"/>
      <c r="CC232" s="1156"/>
      <c r="CD232" s="1156"/>
      <c r="CE232" s="1156"/>
      <c r="CF232" s="1156"/>
      <c r="CG232" s="1196"/>
      <c r="CH232" s="1196"/>
      <c r="CI232" s="1196"/>
      <c r="CJ232" s="1196"/>
      <c r="CK232" s="1156"/>
      <c r="CL232" s="1196"/>
      <c r="CM232" s="1196"/>
      <c r="CN232" s="1196"/>
      <c r="CO232" s="1196"/>
      <c r="CP232" s="1156"/>
      <c r="CQ232" s="1196"/>
      <c r="CR232" s="1196"/>
      <c r="CS232" s="1196"/>
      <c r="CT232" s="1196"/>
      <c r="CU232" s="1156"/>
      <c r="CV232" s="1196"/>
      <c r="CW232" s="1196"/>
      <c r="CX232" s="1196"/>
      <c r="CY232" s="1196"/>
      <c r="CZ232" s="1156"/>
      <c r="DA232" s="1156"/>
      <c r="DB232" s="2108"/>
      <c r="DC232" s="2108"/>
    </row>
    <row r="233" spans="1:107" s="1178" customFormat="1" ht="11.25" hidden="1" outlineLevel="1">
      <c r="A233" s="1191"/>
      <c r="B233" s="1191" t="s">
        <v>798</v>
      </c>
      <c r="C233" s="1156"/>
      <c r="D233" s="1191"/>
      <c r="E233" s="1191"/>
      <c r="F233" s="1191"/>
      <c r="G233" s="1191"/>
      <c r="H233" s="1191"/>
      <c r="I233" s="1191"/>
      <c r="J233" s="1191"/>
      <c r="K233" s="1191"/>
      <c r="L233" s="1191"/>
      <c r="M233" s="1191"/>
      <c r="N233" s="1191">
        <v>570</v>
      </c>
      <c r="O233" s="1191"/>
      <c r="P233" s="1191"/>
      <c r="Q233" s="1191"/>
      <c r="R233" s="1191"/>
      <c r="S233" s="1191">
        <v>676</v>
      </c>
      <c r="T233" s="1191"/>
      <c r="U233" s="1191"/>
      <c r="V233" s="1191"/>
      <c r="W233" s="1191"/>
      <c r="X233" s="1191">
        <v>578</v>
      </c>
      <c r="Y233" s="1191"/>
      <c r="Z233" s="1191"/>
      <c r="AA233" s="1191"/>
      <c r="AB233" s="1191"/>
      <c r="AC233" s="1191">
        <v>610</v>
      </c>
      <c r="AD233" s="1191"/>
      <c r="AE233" s="1191"/>
      <c r="AF233" s="1191"/>
      <c r="AG233" s="1191"/>
      <c r="AH233" s="1191">
        <v>749</v>
      </c>
      <c r="AI233" s="1191"/>
      <c r="AJ233" s="1191"/>
      <c r="AK233" s="1191"/>
      <c r="AL233" s="1191"/>
      <c r="AM233" s="1191">
        <v>871</v>
      </c>
      <c r="AN233" s="1191"/>
      <c r="AO233" s="1191"/>
      <c r="AP233" s="1191"/>
      <c r="AQ233" s="1191"/>
      <c r="AR233" s="1191">
        <v>1107</v>
      </c>
      <c r="AS233" s="1191"/>
      <c r="AT233" s="1191"/>
      <c r="AU233" s="1191"/>
      <c r="AV233" s="1191"/>
      <c r="AW233" s="1191">
        <v>1498</v>
      </c>
      <c r="AX233" s="1182"/>
      <c r="AY233" s="1182"/>
      <c r="AZ233" s="1182"/>
      <c r="BA233" s="1182"/>
      <c r="BB233" s="1182"/>
      <c r="BC233" s="1182"/>
      <c r="BD233" s="1182"/>
      <c r="BE233" s="1182"/>
      <c r="BF233" s="1190"/>
      <c r="BG233" s="1190"/>
      <c r="BH233" s="1184"/>
      <c r="BI233" s="1184"/>
      <c r="BJ233" s="1184"/>
      <c r="BK233" s="1184"/>
      <c r="BL233" s="1156"/>
      <c r="BM233" s="1156"/>
      <c r="BN233" s="1156"/>
      <c r="BO233" s="1156"/>
      <c r="BP233" s="1156"/>
      <c r="BQ233" s="1156"/>
      <c r="BR233" s="1156"/>
      <c r="BS233" s="1156"/>
      <c r="BT233" s="1156"/>
      <c r="BU233" s="1156"/>
      <c r="BV233" s="1156"/>
      <c r="BW233" s="1156"/>
      <c r="BX233" s="1156"/>
      <c r="BY233" s="1156"/>
      <c r="BZ233" s="1156"/>
      <c r="CA233" s="1156"/>
      <c r="CB233" s="1156"/>
      <c r="CC233" s="1156"/>
      <c r="CD233" s="1156"/>
      <c r="CE233" s="1156"/>
      <c r="CF233" s="1156"/>
      <c r="CG233" s="1196"/>
      <c r="CH233" s="1196"/>
      <c r="CI233" s="1196"/>
      <c r="CJ233" s="1196"/>
      <c r="CK233" s="1156"/>
      <c r="CL233" s="1196"/>
      <c r="CM233" s="1196"/>
      <c r="CN233" s="1196"/>
      <c r="CO233" s="1196"/>
      <c r="CP233" s="1156"/>
      <c r="CQ233" s="1196"/>
      <c r="CR233" s="1196"/>
      <c r="CS233" s="1196"/>
      <c r="CT233" s="1196"/>
      <c r="CU233" s="1156"/>
      <c r="CV233" s="1196"/>
      <c r="CW233" s="1196"/>
      <c r="CX233" s="1196"/>
      <c r="CY233" s="1196"/>
      <c r="CZ233" s="1156"/>
      <c r="DA233" s="1156"/>
      <c r="DB233" s="2108"/>
      <c r="DC233" s="2108"/>
    </row>
    <row r="234" spans="1:107" s="1178" customFormat="1" ht="11.25" hidden="1" outlineLevel="1">
      <c r="A234" s="1191"/>
      <c r="B234" s="1191" t="s">
        <v>9</v>
      </c>
      <c r="C234" s="1156"/>
      <c r="D234" s="1191"/>
      <c r="E234" s="1191"/>
      <c r="F234" s="1191"/>
      <c r="G234" s="1191"/>
      <c r="H234" s="1191"/>
      <c r="I234" s="1191"/>
      <c r="J234" s="1191"/>
      <c r="K234" s="1191"/>
      <c r="L234" s="1191"/>
      <c r="M234" s="1191"/>
      <c r="N234" s="1191">
        <v>895</v>
      </c>
      <c r="O234" s="1191"/>
      <c r="P234" s="1191"/>
      <c r="Q234" s="1191"/>
      <c r="R234" s="1191"/>
      <c r="S234" s="1191">
        <v>952</v>
      </c>
      <c r="T234" s="1191"/>
      <c r="U234" s="1191"/>
      <c r="V234" s="1191"/>
      <c r="W234" s="1191"/>
      <c r="X234" s="1191">
        <v>969</v>
      </c>
      <c r="Y234" s="1191"/>
      <c r="Z234" s="1191"/>
      <c r="AA234" s="1191"/>
      <c r="AB234" s="1191"/>
      <c r="AC234" s="1191">
        <v>1172</v>
      </c>
      <c r="AD234" s="1191"/>
      <c r="AE234" s="1191"/>
      <c r="AF234" s="1191"/>
      <c r="AG234" s="1191"/>
      <c r="AH234" s="1191">
        <v>1327</v>
      </c>
      <c r="AI234" s="1191"/>
      <c r="AJ234" s="1191"/>
      <c r="AK234" s="1191"/>
      <c r="AL234" s="1191"/>
      <c r="AM234" s="1191">
        <v>1465</v>
      </c>
      <c r="AN234" s="1191"/>
      <c r="AO234" s="1191"/>
      <c r="AP234" s="1191"/>
      <c r="AQ234" s="1191"/>
      <c r="AR234" s="1191">
        <v>1571</v>
      </c>
      <c r="AS234" s="1191"/>
      <c r="AT234" s="1191"/>
      <c r="AU234" s="1191"/>
      <c r="AV234" s="1191"/>
      <c r="AW234" s="1191">
        <v>1820</v>
      </c>
      <c r="AX234" s="1182"/>
      <c r="AY234" s="1182"/>
      <c r="AZ234" s="1182"/>
      <c r="BA234" s="1182"/>
      <c r="BB234" s="1182"/>
      <c r="BC234" s="1182"/>
      <c r="BD234" s="1182"/>
      <c r="BE234" s="1182"/>
      <c r="BF234" s="1190"/>
      <c r="BG234" s="1190"/>
      <c r="BH234" s="1184"/>
      <c r="BI234" s="1184"/>
      <c r="BJ234" s="1184"/>
      <c r="BK234" s="1184"/>
      <c r="BL234" s="1156"/>
      <c r="BM234" s="1156"/>
      <c r="BN234" s="1156"/>
      <c r="BO234" s="1156"/>
      <c r="BP234" s="1156"/>
      <c r="BQ234" s="1156"/>
      <c r="BR234" s="1156"/>
      <c r="BS234" s="1156"/>
      <c r="BT234" s="1156"/>
      <c r="BU234" s="1156"/>
      <c r="BV234" s="1156"/>
      <c r="BW234" s="1156"/>
      <c r="BX234" s="1156"/>
      <c r="BY234" s="1156"/>
      <c r="BZ234" s="1156"/>
      <c r="CA234" s="1156"/>
      <c r="CB234" s="1156"/>
      <c r="CC234" s="1156"/>
      <c r="CD234" s="1156"/>
      <c r="CE234" s="1156"/>
      <c r="CF234" s="1156"/>
      <c r="CG234" s="1196"/>
      <c r="CH234" s="1196"/>
      <c r="CI234" s="1196"/>
      <c r="CJ234" s="1196"/>
      <c r="CK234" s="1156"/>
      <c r="CL234" s="1196"/>
      <c r="CM234" s="1196"/>
      <c r="CN234" s="1196"/>
      <c r="CO234" s="1196"/>
      <c r="CP234" s="1156"/>
      <c r="CQ234" s="1196"/>
      <c r="CR234" s="1196"/>
      <c r="CS234" s="1196"/>
      <c r="CT234" s="1196"/>
      <c r="CU234" s="1156"/>
      <c r="CV234" s="1196"/>
      <c r="CW234" s="1196"/>
      <c r="CX234" s="1196"/>
      <c r="CY234" s="1196"/>
      <c r="CZ234" s="1156"/>
      <c r="DA234" s="1156"/>
      <c r="DB234" s="2108"/>
      <c r="DC234" s="2108"/>
    </row>
    <row r="235" spans="1:107" s="1178" customFormat="1" ht="11.25" hidden="1" outlineLevel="1">
      <c r="A235" s="1191"/>
      <c r="B235" s="1191" t="s">
        <v>563</v>
      </c>
      <c r="C235" s="1156"/>
      <c r="D235" s="1191"/>
      <c r="E235" s="1191"/>
      <c r="F235" s="1191"/>
      <c r="G235" s="1191"/>
      <c r="H235" s="1191"/>
      <c r="I235" s="1191"/>
      <c r="J235" s="1191"/>
      <c r="K235" s="1191"/>
      <c r="L235" s="1191"/>
      <c r="M235" s="1191"/>
      <c r="N235" s="1191">
        <v>871</v>
      </c>
      <c r="O235" s="1191"/>
      <c r="P235" s="1191"/>
      <c r="Q235" s="1191"/>
      <c r="R235" s="1191"/>
      <c r="S235" s="1191">
        <v>863</v>
      </c>
      <c r="T235" s="1191"/>
      <c r="U235" s="1191"/>
      <c r="V235" s="1191"/>
      <c r="W235" s="1191"/>
      <c r="X235" s="1191">
        <v>1197</v>
      </c>
      <c r="Y235" s="1191"/>
      <c r="Z235" s="1191"/>
      <c r="AA235" s="1191"/>
      <c r="AB235" s="1191"/>
      <c r="AC235" s="1191">
        <v>1424</v>
      </c>
      <c r="AD235" s="1191"/>
      <c r="AE235" s="1191"/>
      <c r="AF235" s="1191"/>
      <c r="AG235" s="1191"/>
      <c r="AH235" s="1191">
        <v>1701</v>
      </c>
      <c r="AI235" s="1191"/>
      <c r="AJ235" s="1191"/>
      <c r="AK235" s="1191"/>
      <c r="AL235" s="1191"/>
      <c r="AM235" s="1191">
        <v>1848</v>
      </c>
      <c r="AN235" s="1191"/>
      <c r="AO235" s="1191"/>
      <c r="AP235" s="1191"/>
      <c r="AQ235" s="1191"/>
      <c r="AR235" s="1191">
        <v>2076</v>
      </c>
      <c r="AS235" s="1191"/>
      <c r="AT235" s="1191"/>
      <c r="AU235" s="1191"/>
      <c r="AV235" s="1191"/>
      <c r="AW235" s="1191">
        <v>2520</v>
      </c>
      <c r="AX235" s="1182"/>
      <c r="AY235" s="1182"/>
      <c r="AZ235" s="1182"/>
      <c r="BA235" s="1182"/>
      <c r="BB235" s="1182"/>
      <c r="BC235" s="1182"/>
      <c r="BD235" s="1182"/>
      <c r="BE235" s="1182"/>
      <c r="BF235" s="1190"/>
      <c r="BG235" s="1190"/>
      <c r="BH235" s="1184"/>
      <c r="BI235" s="1184"/>
      <c r="BJ235" s="1184"/>
      <c r="BK235" s="1184"/>
      <c r="BL235" s="1156"/>
      <c r="BM235" s="1156"/>
      <c r="BN235" s="1156"/>
      <c r="BO235" s="1156"/>
      <c r="BP235" s="1156"/>
      <c r="BQ235" s="1156"/>
      <c r="BR235" s="1156"/>
      <c r="BS235" s="1156"/>
      <c r="BT235" s="1156"/>
      <c r="BU235" s="1156"/>
      <c r="BV235" s="1156"/>
      <c r="BW235" s="1156"/>
      <c r="BX235" s="1156"/>
      <c r="BY235" s="1156"/>
      <c r="BZ235" s="1156"/>
      <c r="CA235" s="1156"/>
      <c r="CB235" s="1156"/>
      <c r="CC235" s="1156"/>
      <c r="CD235" s="1156"/>
      <c r="CE235" s="1156"/>
      <c r="CF235" s="1156"/>
      <c r="CG235" s="1196"/>
      <c r="CH235" s="1196"/>
      <c r="CI235" s="1196"/>
      <c r="CJ235" s="1196"/>
      <c r="CK235" s="1156"/>
      <c r="CL235" s="1196"/>
      <c r="CM235" s="1196"/>
      <c r="CN235" s="1196"/>
      <c r="CO235" s="1196"/>
      <c r="CP235" s="1156"/>
      <c r="CQ235" s="1196"/>
      <c r="CR235" s="1196"/>
      <c r="CS235" s="1196"/>
      <c r="CT235" s="1196"/>
      <c r="CU235" s="1156"/>
      <c r="CV235" s="1196"/>
      <c r="CW235" s="1196"/>
      <c r="CX235" s="1196"/>
      <c r="CY235" s="1196"/>
      <c r="CZ235" s="1156"/>
      <c r="DA235" s="1156"/>
      <c r="DB235" s="2108"/>
      <c r="DC235" s="2108"/>
    </row>
    <row r="236" spans="1:107" s="1178" customFormat="1" ht="11.25" hidden="1" outlineLevel="1">
      <c r="A236" s="1191"/>
      <c r="B236" s="1191"/>
      <c r="C236" s="1156"/>
      <c r="D236" s="1191"/>
      <c r="E236" s="1191"/>
      <c r="F236" s="1191"/>
      <c r="G236" s="1191"/>
      <c r="H236" s="1191"/>
      <c r="I236" s="1191"/>
      <c r="J236" s="1191"/>
      <c r="K236" s="1191"/>
      <c r="L236" s="1191"/>
      <c r="M236" s="1191"/>
      <c r="N236" s="1191"/>
      <c r="O236" s="1191"/>
      <c r="P236" s="1191"/>
      <c r="Q236" s="1191"/>
      <c r="R236" s="1191"/>
      <c r="S236" s="1191"/>
      <c r="T236" s="1191"/>
      <c r="U236" s="1191"/>
      <c r="V236" s="1191"/>
      <c r="W236" s="1191"/>
      <c r="X236" s="1191"/>
      <c r="Y236" s="1191"/>
      <c r="Z236" s="1191"/>
      <c r="AA236" s="1191"/>
      <c r="AB236" s="1191"/>
      <c r="AC236" s="1191"/>
      <c r="AD236" s="1191"/>
      <c r="AE236" s="1191"/>
      <c r="AF236" s="1191"/>
      <c r="AG236" s="1191"/>
      <c r="AH236" s="1191"/>
      <c r="AI236" s="1191"/>
      <c r="AJ236" s="1191"/>
      <c r="AK236" s="1191"/>
      <c r="AL236" s="1191"/>
      <c r="AM236" s="1191"/>
      <c r="AN236" s="1191"/>
      <c r="AO236" s="1191"/>
      <c r="AP236" s="1191"/>
      <c r="AQ236" s="1191"/>
      <c r="AR236" s="1191">
        <f>SUM(AR233:AR235)</f>
        <v>4754</v>
      </c>
      <c r="AS236" s="1191"/>
      <c r="AT236" s="1191"/>
      <c r="AU236" s="1191"/>
      <c r="AV236" s="1191"/>
      <c r="AW236" s="1191">
        <f>SUM(AW233:AW235)</f>
        <v>5838</v>
      </c>
      <c r="AX236" s="1182"/>
      <c r="AY236" s="1182"/>
      <c r="AZ236" s="1182"/>
      <c r="BA236" s="1182"/>
      <c r="BB236" s="1182"/>
      <c r="BC236" s="1182"/>
      <c r="BD236" s="1182"/>
      <c r="BE236" s="1182"/>
      <c r="BF236" s="1190"/>
      <c r="BG236" s="1190"/>
      <c r="BH236" s="1184"/>
      <c r="BI236" s="1184"/>
      <c r="BJ236" s="1184"/>
      <c r="BK236" s="1184"/>
      <c r="BL236" s="1156"/>
      <c r="BM236" s="1156"/>
      <c r="BN236" s="1156"/>
      <c r="BO236" s="1156"/>
      <c r="BP236" s="1156"/>
      <c r="BQ236" s="1156"/>
      <c r="BR236" s="1156"/>
      <c r="BS236" s="1156"/>
      <c r="BT236" s="1156"/>
      <c r="BU236" s="1156"/>
      <c r="BV236" s="1156"/>
      <c r="BW236" s="1156"/>
      <c r="BX236" s="1156"/>
      <c r="BY236" s="1156"/>
      <c r="BZ236" s="1156"/>
      <c r="CA236" s="1156"/>
      <c r="CB236" s="1156"/>
      <c r="CC236" s="1156"/>
      <c r="CD236" s="1156"/>
      <c r="CE236" s="1156"/>
      <c r="CF236" s="1156"/>
      <c r="CG236" s="1196"/>
      <c r="CH236" s="1196"/>
      <c r="CI236" s="1196"/>
      <c r="CJ236" s="1196"/>
      <c r="CK236" s="1156"/>
      <c r="CL236" s="1196"/>
      <c r="CM236" s="1196"/>
      <c r="CN236" s="1196"/>
      <c r="CO236" s="1196"/>
      <c r="CP236" s="1156"/>
      <c r="CQ236" s="1196"/>
      <c r="CR236" s="1196"/>
      <c r="CS236" s="1196"/>
      <c r="CT236" s="1196"/>
      <c r="CU236" s="1156"/>
      <c r="CV236" s="1196"/>
      <c r="CW236" s="1196"/>
      <c r="CX236" s="1196"/>
      <c r="CY236" s="1196"/>
      <c r="CZ236" s="1156"/>
      <c r="DA236" s="1156"/>
      <c r="DB236" s="2108"/>
      <c r="DC236" s="2108"/>
    </row>
    <row r="237" spans="1:107" s="1178" customFormat="1" ht="11.25" hidden="1" outlineLevel="1">
      <c r="A237" s="1191"/>
      <c r="B237" s="1191"/>
      <c r="C237" s="1156"/>
      <c r="D237" s="1191"/>
      <c r="E237" s="1191"/>
      <c r="F237" s="1191"/>
      <c r="G237" s="1191"/>
      <c r="H237" s="1191"/>
      <c r="I237" s="1191"/>
      <c r="J237" s="1191"/>
      <c r="K237" s="1191"/>
      <c r="L237" s="1191"/>
      <c r="M237" s="1191"/>
      <c r="N237" s="1182"/>
      <c r="O237" s="1191"/>
      <c r="P237" s="1191"/>
      <c r="Q237" s="1191"/>
      <c r="R237" s="1191"/>
      <c r="S237" s="1182"/>
      <c r="T237" s="1191"/>
      <c r="U237" s="1191"/>
      <c r="V237" s="1191"/>
      <c r="W237" s="1191"/>
      <c r="X237" s="1182"/>
      <c r="Y237" s="1191"/>
      <c r="Z237" s="1191"/>
      <c r="AA237" s="1191"/>
      <c r="AB237" s="1191"/>
      <c r="AC237" s="1182"/>
      <c r="AD237" s="1191"/>
      <c r="AE237" s="1191"/>
      <c r="AF237" s="1191"/>
      <c r="AG237" s="1191"/>
      <c r="AH237" s="1182"/>
      <c r="AI237" s="1191"/>
      <c r="AJ237" s="1191"/>
      <c r="AK237" s="1191"/>
      <c r="AL237" s="1191"/>
      <c r="AM237" s="1182"/>
      <c r="AN237" s="1191"/>
      <c r="AO237" s="1191"/>
      <c r="AP237" s="1191"/>
      <c r="AQ237" s="1191"/>
      <c r="AR237" s="1182"/>
      <c r="AS237" s="1182"/>
      <c r="AT237" s="1182"/>
      <c r="AU237" s="1182"/>
      <c r="AV237" s="1182"/>
      <c r="AW237" s="1182"/>
      <c r="AX237" s="1182"/>
      <c r="AY237" s="1182"/>
      <c r="AZ237" s="1182"/>
      <c r="BA237" s="1182"/>
      <c r="BB237" s="1182"/>
      <c r="BC237" s="1182"/>
      <c r="BD237" s="1182"/>
      <c r="BE237" s="1182"/>
      <c r="BF237" s="1190"/>
      <c r="BG237" s="1190"/>
      <c r="BH237" s="1184"/>
      <c r="BI237" s="1184"/>
      <c r="BJ237" s="1184"/>
      <c r="BK237" s="1184"/>
      <c r="BL237" s="1156"/>
      <c r="BM237" s="1156"/>
      <c r="BN237" s="1156"/>
      <c r="BO237" s="1156"/>
      <c r="BP237" s="1156"/>
      <c r="BQ237" s="1156"/>
      <c r="BR237" s="1156"/>
      <c r="BS237" s="1156"/>
      <c r="BT237" s="1156"/>
      <c r="BU237" s="1156"/>
      <c r="BV237" s="1156"/>
      <c r="BW237" s="1156"/>
      <c r="BX237" s="1156"/>
      <c r="BY237" s="1156"/>
      <c r="BZ237" s="1156"/>
      <c r="CA237" s="1156"/>
      <c r="CB237" s="1156"/>
      <c r="CC237" s="1156"/>
      <c r="CD237" s="1156"/>
      <c r="CE237" s="1156"/>
      <c r="CF237" s="1156"/>
      <c r="CG237" s="1196"/>
      <c r="CH237" s="1196"/>
      <c r="CI237" s="1196"/>
      <c r="CJ237" s="1196"/>
      <c r="CK237" s="1156"/>
      <c r="CL237" s="1196"/>
      <c r="CM237" s="1196"/>
      <c r="CN237" s="1196"/>
      <c r="CO237" s="1196"/>
      <c r="CP237" s="1156"/>
      <c r="CQ237" s="1196"/>
      <c r="CR237" s="1196"/>
      <c r="CS237" s="1196"/>
      <c r="CT237" s="1196"/>
      <c r="CU237" s="1156"/>
      <c r="CV237" s="1196"/>
      <c r="CW237" s="1196"/>
      <c r="CX237" s="1196"/>
      <c r="CY237" s="1196"/>
      <c r="CZ237" s="1156"/>
      <c r="DA237" s="1156"/>
      <c r="DB237" s="2108"/>
      <c r="DC237" s="2108"/>
    </row>
    <row r="238" spans="1:107" s="1178" customFormat="1" ht="11.25" hidden="1" outlineLevel="1">
      <c r="A238" s="1156"/>
      <c r="B238" s="1182" t="s">
        <v>867</v>
      </c>
      <c r="C238" s="1156"/>
      <c r="D238" s="1191"/>
      <c r="E238" s="1191"/>
      <c r="F238" s="1191"/>
      <c r="G238" s="1191"/>
      <c r="H238" s="1191"/>
      <c r="I238" s="1191"/>
      <c r="J238" s="1191"/>
      <c r="K238" s="1191"/>
      <c r="L238" s="1191"/>
      <c r="M238" s="1191"/>
      <c r="N238" s="1191">
        <v>1</v>
      </c>
      <c r="O238" s="1191"/>
      <c r="P238" s="1191"/>
      <c r="Q238" s="1191"/>
      <c r="R238" s="1191"/>
      <c r="S238" s="1191">
        <v>5.3</v>
      </c>
      <c r="T238" s="1191"/>
      <c r="U238" s="1191"/>
      <c r="V238" s="1191"/>
      <c r="W238" s="1191"/>
      <c r="X238" s="1191">
        <v>6.7</v>
      </c>
      <c r="Y238" s="1191"/>
      <c r="Z238" s="1191"/>
      <c r="AA238" s="1191"/>
      <c r="AB238" s="1191"/>
      <c r="AC238" s="1191">
        <v>8</v>
      </c>
      <c r="AD238" s="1191"/>
      <c r="AE238" s="1191"/>
      <c r="AF238" s="1191"/>
      <c r="AG238" s="1191"/>
      <c r="AH238" s="1191">
        <v>12</v>
      </c>
      <c r="AI238" s="1191"/>
      <c r="AJ238" s="1191"/>
      <c r="AK238" s="1191"/>
      <c r="AL238" s="1191"/>
      <c r="AM238" s="1191">
        <v>16.899999999999999</v>
      </c>
      <c r="AN238" s="1191"/>
      <c r="AO238" s="1191"/>
      <c r="AP238" s="1191"/>
      <c r="AQ238" s="1191"/>
      <c r="AR238" s="1191">
        <v>27.9</v>
      </c>
      <c r="AS238" s="1191"/>
      <c r="AT238" s="1198"/>
      <c r="AU238" s="1198"/>
      <c r="AV238" s="1198"/>
      <c r="AW238" s="1191">
        <v>34.799999999999997</v>
      </c>
      <c r="AX238" s="1191"/>
      <c r="AY238" s="1191"/>
      <c r="AZ238" s="1191"/>
      <c r="BA238" s="1191"/>
      <c r="BB238" s="1191">
        <v>39.9</v>
      </c>
      <c r="BC238" s="1156"/>
      <c r="BD238" s="1156"/>
      <c r="BE238" s="1182"/>
      <c r="BF238" s="1190"/>
      <c r="BG238" s="1191">
        <v>45</v>
      </c>
      <c r="BH238" s="1184"/>
      <c r="BI238" s="1184"/>
      <c r="BJ238" s="1184"/>
      <c r="BK238" s="1184"/>
      <c r="BL238" s="1191">
        <v>49.8</v>
      </c>
      <c r="BM238" s="1156"/>
      <c r="BN238" s="1156"/>
      <c r="BO238" s="1156"/>
      <c r="BP238" s="1156"/>
      <c r="BQ238" s="1156"/>
      <c r="BR238" s="1156"/>
      <c r="BS238" s="1156"/>
      <c r="BT238" s="1156"/>
      <c r="BU238" s="1156"/>
      <c r="BV238" s="1156"/>
      <c r="BW238" s="1156"/>
      <c r="BX238" s="1156"/>
      <c r="BY238" s="1156"/>
      <c r="BZ238" s="1156"/>
      <c r="CA238" s="1156"/>
      <c r="CB238" s="1156"/>
      <c r="CC238" s="1156"/>
      <c r="CD238" s="1156"/>
      <c r="CE238" s="1156"/>
      <c r="CF238" s="1156"/>
      <c r="CG238" s="1196"/>
      <c r="CH238" s="1196"/>
      <c r="CI238" s="1196"/>
      <c r="CJ238" s="1196"/>
      <c r="CK238" s="1156"/>
      <c r="CL238" s="1196"/>
      <c r="CM238" s="1196"/>
      <c r="CN238" s="1196"/>
      <c r="CO238" s="1196"/>
      <c r="CP238" s="1156"/>
      <c r="CQ238" s="1196"/>
      <c r="CR238" s="1196"/>
      <c r="CS238" s="1196"/>
      <c r="CT238" s="1196"/>
      <c r="CU238" s="1156"/>
      <c r="CV238" s="1196"/>
      <c r="CW238" s="1196"/>
      <c r="CX238" s="1196"/>
      <c r="CY238" s="1196"/>
      <c r="CZ238" s="1156"/>
      <c r="DA238" s="1156"/>
      <c r="DB238" s="2108"/>
      <c r="DC238" s="2108"/>
    </row>
    <row r="239" spans="1:107" s="1178" customFormat="1" ht="11.25" hidden="1" outlineLevel="1">
      <c r="A239" s="1182"/>
      <c r="B239" s="1191"/>
      <c r="C239" s="1191"/>
      <c r="D239" s="1191"/>
      <c r="E239" s="1191"/>
      <c r="F239" s="1191"/>
      <c r="G239" s="1191"/>
      <c r="H239" s="1191"/>
      <c r="I239" s="1191"/>
      <c r="J239" s="1191"/>
      <c r="K239" s="1191"/>
      <c r="L239" s="1191"/>
      <c r="M239" s="1191"/>
      <c r="N239" s="1182"/>
      <c r="O239" s="1191"/>
      <c r="P239" s="1191"/>
      <c r="Q239" s="1191"/>
      <c r="R239" s="1191"/>
      <c r="S239" s="1182"/>
      <c r="T239" s="1191"/>
      <c r="U239" s="1191"/>
      <c r="V239" s="1191"/>
      <c r="W239" s="1191"/>
      <c r="X239" s="1182"/>
      <c r="Y239" s="1191"/>
      <c r="Z239" s="1191"/>
      <c r="AA239" s="1191"/>
      <c r="AB239" s="1191"/>
      <c r="AC239" s="1182"/>
      <c r="AD239" s="1191"/>
      <c r="AE239" s="1191"/>
      <c r="AF239" s="1191"/>
      <c r="AG239" s="1191"/>
      <c r="AH239" s="1182"/>
      <c r="AI239" s="1191"/>
      <c r="AJ239" s="1191"/>
      <c r="AK239" s="1191"/>
      <c r="AL239" s="1191"/>
      <c r="AM239" s="1182"/>
      <c r="AN239" s="1191"/>
      <c r="AO239" s="1191"/>
      <c r="AP239" s="1191"/>
      <c r="AQ239" s="1191"/>
      <c r="AR239" s="1182"/>
      <c r="AS239" s="1182"/>
      <c r="AT239" s="1182"/>
      <c r="AU239" s="1182"/>
      <c r="AV239" s="1182"/>
      <c r="AW239" s="1182"/>
      <c r="AX239" s="1182"/>
      <c r="AY239" s="1182"/>
      <c r="AZ239" s="1182"/>
      <c r="BA239" s="1182"/>
      <c r="BB239" s="1182"/>
      <c r="BC239" s="1182"/>
      <c r="BD239" s="1182"/>
      <c r="BE239" s="1182"/>
      <c r="BF239" s="1190"/>
      <c r="BG239" s="1190"/>
      <c r="BH239" s="1184"/>
      <c r="BI239" s="1184"/>
      <c r="BJ239" s="1184"/>
      <c r="BK239" s="1184"/>
      <c r="BL239" s="1156"/>
      <c r="BM239" s="1156"/>
      <c r="BN239" s="1156"/>
      <c r="BO239" s="1156"/>
      <c r="BP239" s="1156"/>
      <c r="BQ239" s="1156"/>
      <c r="BR239" s="1156"/>
      <c r="BS239" s="1156"/>
      <c r="BT239" s="1156"/>
      <c r="BU239" s="1156"/>
      <c r="BV239" s="1156"/>
      <c r="BW239" s="1156"/>
      <c r="BX239" s="1156"/>
      <c r="BY239" s="1156"/>
      <c r="BZ239" s="1156"/>
      <c r="CA239" s="1156"/>
      <c r="CB239" s="1156"/>
      <c r="CC239" s="1156"/>
      <c r="CD239" s="1156"/>
      <c r="CE239" s="1156"/>
      <c r="CF239" s="1156"/>
      <c r="CG239" s="1196"/>
      <c r="CH239" s="1196"/>
      <c r="CI239" s="1196"/>
      <c r="CJ239" s="1196"/>
      <c r="CK239" s="1156"/>
      <c r="CL239" s="1196"/>
      <c r="CM239" s="1196"/>
      <c r="CN239" s="1196"/>
      <c r="CO239" s="1196"/>
      <c r="CP239" s="1156"/>
      <c r="CQ239" s="1196"/>
      <c r="CR239" s="1196"/>
      <c r="CS239" s="1196"/>
      <c r="CT239" s="1196"/>
      <c r="CU239" s="1156"/>
      <c r="CV239" s="1196"/>
      <c r="CW239" s="1196"/>
      <c r="CX239" s="1196"/>
      <c r="CY239" s="1196"/>
      <c r="CZ239" s="1156"/>
      <c r="DA239" s="1156"/>
      <c r="DB239" s="2108"/>
      <c r="DC239" s="2108"/>
    </row>
    <row r="240" spans="1:107" s="1178" customFormat="1" ht="11.25" hidden="1" outlineLevel="1">
      <c r="A240" s="1182"/>
      <c r="B240" s="1191"/>
      <c r="C240" s="1191"/>
      <c r="D240" s="1191"/>
      <c r="E240" s="1191"/>
      <c r="F240" s="1191"/>
      <c r="G240" s="1191"/>
      <c r="H240" s="1191"/>
      <c r="I240" s="1191"/>
      <c r="J240" s="1191"/>
      <c r="K240" s="1191"/>
      <c r="L240" s="1191"/>
      <c r="M240" s="1191"/>
      <c r="N240" s="1182"/>
      <c r="O240" s="1191"/>
      <c r="P240" s="1191"/>
      <c r="Q240" s="1191"/>
      <c r="R240" s="1191"/>
      <c r="S240" s="1182"/>
      <c r="T240" s="1191"/>
      <c r="U240" s="1191"/>
      <c r="V240" s="1191"/>
      <c r="W240" s="1191"/>
      <c r="X240" s="1182"/>
      <c r="Y240" s="1191"/>
      <c r="Z240" s="1191"/>
      <c r="AA240" s="1191"/>
      <c r="AB240" s="1191"/>
      <c r="AC240" s="1182"/>
      <c r="AD240" s="1191"/>
      <c r="AE240" s="1191"/>
      <c r="AF240" s="1191"/>
      <c r="AG240" s="1191"/>
      <c r="AH240" s="1182"/>
      <c r="AI240" s="1191"/>
      <c r="AJ240" s="1191"/>
      <c r="AK240" s="1191"/>
      <c r="AL240" s="1191"/>
      <c r="AM240" s="1182"/>
      <c r="AN240" s="1191"/>
      <c r="AO240" s="1191"/>
      <c r="AP240" s="1191"/>
      <c r="AQ240" s="1191"/>
      <c r="AR240" s="1182">
        <v>1999</v>
      </c>
      <c r="AS240" s="1182"/>
      <c r="AT240" s="1182"/>
      <c r="AU240" s="1182"/>
      <c r="AV240" s="1182"/>
      <c r="AW240" s="1182">
        <v>2007</v>
      </c>
      <c r="AX240" s="1182"/>
      <c r="AY240" s="1182"/>
      <c r="AZ240" s="1182"/>
      <c r="BA240" s="1182"/>
      <c r="BB240" s="1182"/>
      <c r="BC240" s="1182"/>
      <c r="BD240" s="1182"/>
      <c r="BE240" s="1182"/>
      <c r="BF240" s="1190"/>
      <c r="BG240" s="1190"/>
      <c r="BH240" s="1184"/>
      <c r="BI240" s="1184"/>
      <c r="BJ240" s="1184"/>
      <c r="BK240" s="1184"/>
      <c r="BL240" s="1156"/>
      <c r="BM240" s="1156"/>
      <c r="BN240" s="1156"/>
      <c r="BO240" s="1156"/>
      <c r="BP240" s="1156"/>
      <c r="BQ240" s="1156"/>
      <c r="BR240" s="1156"/>
      <c r="BS240" s="1156"/>
      <c r="BT240" s="1156"/>
      <c r="BU240" s="1156"/>
      <c r="BV240" s="1156"/>
      <c r="BW240" s="1156"/>
      <c r="BX240" s="1156"/>
      <c r="BY240" s="1156"/>
      <c r="BZ240" s="1156"/>
      <c r="CA240" s="1156"/>
      <c r="CB240" s="1156"/>
      <c r="CC240" s="1156"/>
      <c r="CD240" s="1156"/>
      <c r="CE240" s="1156"/>
      <c r="CF240" s="1156"/>
      <c r="CG240" s="1196"/>
      <c r="CH240" s="1196"/>
      <c r="CI240" s="1196"/>
      <c r="CJ240" s="1196"/>
      <c r="CK240" s="1156"/>
      <c r="CL240" s="1196"/>
      <c r="CM240" s="1196"/>
      <c r="CN240" s="1196"/>
      <c r="CO240" s="1196"/>
      <c r="CP240" s="1156"/>
      <c r="CQ240" s="1196"/>
      <c r="CR240" s="1196"/>
      <c r="CS240" s="1196"/>
      <c r="CT240" s="1196"/>
      <c r="CU240" s="1156"/>
      <c r="CV240" s="1196"/>
      <c r="CW240" s="1196"/>
      <c r="CX240" s="1196"/>
      <c r="CY240" s="1196"/>
      <c r="CZ240" s="1156"/>
      <c r="DA240" s="1156"/>
      <c r="DB240" s="2108"/>
      <c r="DC240" s="2108"/>
    </row>
    <row r="241" spans="1:107" s="1178" customFormat="1" ht="11.25" hidden="1" outlineLevel="1">
      <c r="A241" s="1156"/>
      <c r="B241" s="1182" t="s">
        <v>571</v>
      </c>
      <c r="C241" s="1191"/>
      <c r="D241" s="1191"/>
      <c r="E241" s="1191"/>
      <c r="F241" s="1191"/>
      <c r="G241" s="1191"/>
      <c r="H241" s="1191"/>
      <c r="I241" s="1191"/>
      <c r="J241" s="1191"/>
      <c r="K241" s="1191"/>
      <c r="L241" s="1191"/>
      <c r="M241" s="1191"/>
      <c r="N241" s="1182"/>
      <c r="O241" s="1191"/>
      <c r="P241" s="1191"/>
      <c r="Q241" s="1191"/>
      <c r="R241" s="1191"/>
      <c r="S241" s="1182"/>
      <c r="T241" s="1191"/>
      <c r="U241" s="1191"/>
      <c r="V241" s="1191"/>
      <c r="W241" s="1191"/>
      <c r="X241" s="1182"/>
      <c r="Y241" s="1191"/>
      <c r="Z241" s="1191"/>
      <c r="AA241" s="1191"/>
      <c r="AB241" s="1191"/>
      <c r="AC241" s="1182"/>
      <c r="AD241" s="1191"/>
      <c r="AE241" s="1191"/>
      <c r="AF241" s="1191"/>
      <c r="AG241" s="1191"/>
      <c r="AH241" s="1182"/>
      <c r="AI241" s="1191"/>
      <c r="AJ241" s="1191"/>
      <c r="AK241" s="1191"/>
      <c r="AL241" s="1191"/>
      <c r="AM241" s="1182"/>
      <c r="AN241" s="1191"/>
      <c r="AO241" s="1191"/>
      <c r="AP241" s="1191"/>
      <c r="AQ241" s="1191"/>
      <c r="AR241" s="1200" t="s">
        <v>866</v>
      </c>
      <c r="AS241" s="1182"/>
      <c r="AT241" s="1182"/>
      <c r="AU241" s="1182"/>
      <c r="AV241" s="1182"/>
      <c r="AW241" s="1200" t="s">
        <v>865</v>
      </c>
      <c r="AX241" s="1182"/>
      <c r="AY241" s="1182"/>
      <c r="AZ241" s="1182"/>
      <c r="BA241" s="1182"/>
      <c r="BB241" s="1182"/>
      <c r="BC241" s="1182"/>
      <c r="BD241" s="1182"/>
      <c r="BE241" s="1182"/>
      <c r="BF241" s="1190"/>
      <c r="BG241" s="1190"/>
      <c r="BH241" s="1184"/>
      <c r="BI241" s="1184"/>
      <c r="BJ241" s="1184"/>
      <c r="BK241" s="1184"/>
      <c r="BL241" s="1156"/>
      <c r="BM241" s="1156"/>
      <c r="BN241" s="1156"/>
      <c r="BO241" s="1156"/>
      <c r="BP241" s="1156"/>
      <c r="BQ241" s="1156"/>
      <c r="BR241" s="1156"/>
      <c r="BS241" s="1156"/>
      <c r="BT241" s="1156"/>
      <c r="BU241" s="1156"/>
      <c r="BV241" s="1156"/>
      <c r="BW241" s="1156"/>
      <c r="BX241" s="1156"/>
      <c r="BY241" s="1156"/>
      <c r="BZ241" s="1156"/>
      <c r="CA241" s="1156"/>
      <c r="CB241" s="1156"/>
      <c r="CC241" s="1156"/>
      <c r="CD241" s="1156"/>
      <c r="CE241" s="1156"/>
      <c r="CF241" s="1156"/>
      <c r="CG241" s="1196"/>
      <c r="CH241" s="1196"/>
      <c r="CI241" s="1196"/>
      <c r="CJ241" s="1196"/>
      <c r="CK241" s="1156"/>
      <c r="CL241" s="1196"/>
      <c r="CM241" s="1196"/>
      <c r="CN241" s="1196"/>
      <c r="CO241" s="1196"/>
      <c r="CP241" s="1156"/>
      <c r="CQ241" s="1196"/>
      <c r="CR241" s="1196"/>
      <c r="CS241" s="1196"/>
      <c r="CT241" s="1196"/>
      <c r="CU241" s="1156"/>
      <c r="CV241" s="1196"/>
      <c r="CW241" s="1196"/>
      <c r="CX241" s="1196"/>
      <c r="CY241" s="1196"/>
      <c r="CZ241" s="1156"/>
      <c r="DA241" s="1156"/>
      <c r="DB241" s="2108"/>
      <c r="DC241" s="2108"/>
    </row>
    <row r="242" spans="1:107" s="1178" customFormat="1" ht="11.25" hidden="1" outlineLevel="1">
      <c r="A242" s="1191"/>
      <c r="B242" s="1191" t="s">
        <v>861</v>
      </c>
      <c r="C242" s="1191"/>
      <c r="D242" s="1191"/>
      <c r="E242" s="1191"/>
      <c r="F242" s="1191"/>
      <c r="G242" s="1191"/>
      <c r="H242" s="1191"/>
      <c r="I242" s="1191"/>
      <c r="J242" s="1191"/>
      <c r="K242" s="1191"/>
      <c r="L242" s="1191"/>
      <c r="M242" s="1191"/>
      <c r="N242" s="1182"/>
      <c r="O242" s="1191"/>
      <c r="P242" s="1191"/>
      <c r="Q242" s="1191"/>
      <c r="R242" s="1191"/>
      <c r="S242" s="1182"/>
      <c r="T242" s="1191"/>
      <c r="U242" s="1191"/>
      <c r="V242" s="1191"/>
      <c r="W242" s="1191"/>
      <c r="X242" s="1182"/>
      <c r="Y242" s="1191"/>
      <c r="Z242" s="1191"/>
      <c r="AA242" s="1191"/>
      <c r="AB242" s="1191"/>
      <c r="AC242" s="1182"/>
      <c r="AD242" s="1191"/>
      <c r="AE242" s="1191"/>
      <c r="AF242" s="1191"/>
      <c r="AG242" s="1191"/>
      <c r="AH242" s="1182"/>
      <c r="AI242" s="1191"/>
      <c r="AJ242" s="1191"/>
      <c r="AK242" s="1191"/>
      <c r="AL242" s="1191"/>
      <c r="AM242" s="1182"/>
      <c r="AN242" s="1191"/>
      <c r="AO242" s="1191"/>
      <c r="AP242" s="1191"/>
      <c r="AQ242" s="1191"/>
      <c r="AR242" s="1199">
        <v>0.31</v>
      </c>
      <c r="AS242" s="1182"/>
      <c r="AT242" s="1182"/>
      <c r="AU242" s="1182"/>
      <c r="AV242" s="1182"/>
      <c r="AW242" s="1199">
        <v>0.46</v>
      </c>
      <c r="AX242" s="1182"/>
      <c r="AY242" s="1182"/>
      <c r="AZ242" s="1182"/>
      <c r="BA242" s="1182"/>
      <c r="BB242" s="1182"/>
      <c r="BC242" s="1182"/>
      <c r="BD242" s="1182"/>
      <c r="BE242" s="1182"/>
      <c r="BF242" s="1190"/>
      <c r="BG242" s="1190"/>
      <c r="BH242" s="1184"/>
      <c r="BI242" s="1184"/>
      <c r="BJ242" s="1184"/>
      <c r="BK242" s="1184"/>
      <c r="BL242" s="1156"/>
      <c r="BM242" s="1156"/>
      <c r="BN242" s="1156"/>
      <c r="BO242" s="1156"/>
      <c r="BP242" s="1156"/>
      <c r="BQ242" s="1156"/>
      <c r="BR242" s="1156"/>
      <c r="BS242" s="1156"/>
      <c r="BT242" s="1156"/>
      <c r="BU242" s="1156"/>
      <c r="BV242" s="1156"/>
      <c r="BW242" s="1156"/>
      <c r="BX242" s="1156"/>
      <c r="BY242" s="1156"/>
      <c r="BZ242" s="1156"/>
      <c r="CA242" s="1156"/>
      <c r="CB242" s="1156"/>
      <c r="CC242" s="1156"/>
      <c r="CD242" s="1156"/>
      <c r="CE242" s="1156"/>
      <c r="CF242" s="1156"/>
      <c r="CG242" s="1196"/>
      <c r="CH242" s="1196"/>
      <c r="CI242" s="1196"/>
      <c r="CJ242" s="1196"/>
      <c r="CK242" s="1156"/>
      <c r="CL242" s="1196"/>
      <c r="CM242" s="1196"/>
      <c r="CN242" s="1196"/>
      <c r="CO242" s="1196"/>
      <c r="CP242" s="1156"/>
      <c r="CQ242" s="1196"/>
      <c r="CR242" s="1196"/>
      <c r="CS242" s="1196"/>
      <c r="CT242" s="1196"/>
      <c r="CU242" s="1156"/>
      <c r="CV242" s="1196"/>
      <c r="CW242" s="1196"/>
      <c r="CX242" s="1196"/>
      <c r="CY242" s="1196"/>
      <c r="CZ242" s="1156"/>
      <c r="DA242" s="1156"/>
      <c r="DB242" s="2108"/>
      <c r="DC242" s="2108"/>
    </row>
    <row r="243" spans="1:107" s="1178" customFormat="1" ht="11.25" hidden="1" outlineLevel="1">
      <c r="A243" s="1191"/>
      <c r="B243" s="1191" t="s">
        <v>864</v>
      </c>
      <c r="C243" s="1191"/>
      <c r="D243" s="1191"/>
      <c r="E243" s="1191"/>
      <c r="F243" s="1191"/>
      <c r="G243" s="1191"/>
      <c r="H243" s="1191"/>
      <c r="I243" s="1191"/>
      <c r="J243" s="1191"/>
      <c r="K243" s="1191"/>
      <c r="L243" s="1191"/>
      <c r="M243" s="1191"/>
      <c r="N243" s="1182"/>
      <c r="O243" s="1191"/>
      <c r="P243" s="1191"/>
      <c r="Q243" s="1191"/>
      <c r="R243" s="1191"/>
      <c r="S243" s="1182"/>
      <c r="T243" s="1191"/>
      <c r="U243" s="1191"/>
      <c r="V243" s="1191"/>
      <c r="W243" s="1191"/>
      <c r="X243" s="1182"/>
      <c r="Y243" s="1191"/>
      <c r="Z243" s="1191"/>
      <c r="AA243" s="1191"/>
      <c r="AB243" s="1191"/>
      <c r="AC243" s="1182"/>
      <c r="AD243" s="1191"/>
      <c r="AE243" s="1191"/>
      <c r="AF243" s="1191"/>
      <c r="AG243" s="1191"/>
      <c r="AH243" s="1182"/>
      <c r="AI243" s="1191"/>
      <c r="AJ243" s="1191"/>
      <c r="AK243" s="1191"/>
      <c r="AL243" s="1191"/>
      <c r="AM243" s="1182"/>
      <c r="AN243" s="1191"/>
      <c r="AO243" s="1191"/>
      <c r="AP243" s="1191"/>
      <c r="AQ243" s="1191"/>
      <c r="AR243" s="1199">
        <v>0.69</v>
      </c>
      <c r="AS243" s="1182"/>
      <c r="AT243" s="1182"/>
      <c r="AU243" s="1182"/>
      <c r="AV243" s="1182"/>
      <c r="AW243" s="1199">
        <v>0.54</v>
      </c>
      <c r="AX243" s="1182"/>
      <c r="AY243" s="1182"/>
      <c r="AZ243" s="1182"/>
      <c r="BA243" s="1182"/>
      <c r="BB243" s="1182"/>
      <c r="BC243" s="1182"/>
      <c r="BD243" s="1182"/>
      <c r="BE243" s="1182"/>
      <c r="BF243" s="1190"/>
      <c r="BG243" s="1190"/>
      <c r="BH243" s="1184"/>
      <c r="BI243" s="1184"/>
      <c r="BJ243" s="1184"/>
      <c r="BK243" s="1184"/>
      <c r="BL243" s="1156"/>
      <c r="BM243" s="1156"/>
      <c r="BN243" s="1156"/>
      <c r="BO243" s="1156"/>
      <c r="BP243" s="1156"/>
      <c r="BQ243" s="1156"/>
      <c r="BR243" s="1156"/>
      <c r="BS243" s="1156"/>
      <c r="BT243" s="1156"/>
      <c r="BU243" s="1156"/>
      <c r="BV243" s="1156"/>
      <c r="BW243" s="1156"/>
      <c r="BX243" s="1156"/>
      <c r="BY243" s="1156"/>
      <c r="BZ243" s="1156"/>
      <c r="CA243" s="1156"/>
      <c r="CB243" s="1156"/>
      <c r="CC243" s="1156"/>
      <c r="CD243" s="1156"/>
      <c r="CE243" s="1156"/>
      <c r="CF243" s="1156"/>
      <c r="CG243" s="1196"/>
      <c r="CH243" s="1196"/>
      <c r="CI243" s="1196"/>
      <c r="CJ243" s="1196"/>
      <c r="CK243" s="1156"/>
      <c r="CL243" s="1196"/>
      <c r="CM243" s="1196"/>
      <c r="CN243" s="1196"/>
      <c r="CO243" s="1196"/>
      <c r="CP243" s="1156"/>
      <c r="CQ243" s="1196"/>
      <c r="CR243" s="1196"/>
      <c r="CS243" s="1196"/>
      <c r="CT243" s="1196"/>
      <c r="CU243" s="1156"/>
      <c r="CV243" s="1196"/>
      <c r="CW243" s="1196"/>
      <c r="CX243" s="1196"/>
      <c r="CY243" s="1196"/>
      <c r="CZ243" s="1156"/>
      <c r="DA243" s="1156"/>
      <c r="DB243" s="2108"/>
      <c r="DC243" s="2108"/>
    </row>
    <row r="244" spans="1:107" s="1178" customFormat="1" ht="11.25" hidden="1" outlineLevel="1">
      <c r="A244" s="1191"/>
      <c r="B244" s="1191"/>
      <c r="C244" s="1191"/>
      <c r="D244" s="1191"/>
      <c r="E244" s="1191"/>
      <c r="F244" s="1191"/>
      <c r="G244" s="1191"/>
      <c r="H244" s="1191"/>
      <c r="I244" s="1191"/>
      <c r="J244" s="1191"/>
      <c r="K244" s="1191"/>
      <c r="L244" s="1191"/>
      <c r="M244" s="1191"/>
      <c r="N244" s="1182"/>
      <c r="O244" s="1191"/>
      <c r="P244" s="1191"/>
      <c r="Q244" s="1191"/>
      <c r="R244" s="1191"/>
      <c r="S244" s="1182"/>
      <c r="T244" s="1191"/>
      <c r="U244" s="1191"/>
      <c r="V244" s="1191"/>
      <c r="W244" s="1191"/>
      <c r="X244" s="1182"/>
      <c r="Y244" s="1191"/>
      <c r="Z244" s="1191"/>
      <c r="AA244" s="1191"/>
      <c r="AB244" s="1191"/>
      <c r="AC244" s="1182"/>
      <c r="AD244" s="1191"/>
      <c r="AE244" s="1191"/>
      <c r="AF244" s="1191"/>
      <c r="AG244" s="1191"/>
      <c r="AH244" s="1182"/>
      <c r="AI244" s="1191"/>
      <c r="AJ244" s="1191"/>
      <c r="AK244" s="1191"/>
      <c r="AL244" s="1191"/>
      <c r="AM244" s="1182"/>
      <c r="AN244" s="1191"/>
      <c r="AO244" s="1191"/>
      <c r="AP244" s="1191"/>
      <c r="AQ244" s="1191"/>
      <c r="AR244" s="1182"/>
      <c r="AS244" s="1182"/>
      <c r="AT244" s="1182"/>
      <c r="AU244" s="1182"/>
      <c r="AV244" s="1182"/>
      <c r="AW244" s="1182"/>
      <c r="AX244" s="1182"/>
      <c r="AY244" s="1182"/>
      <c r="AZ244" s="1182"/>
      <c r="BA244" s="1182"/>
      <c r="BB244" s="1182"/>
      <c r="BC244" s="1182"/>
      <c r="BD244" s="1182"/>
      <c r="BE244" s="1182"/>
      <c r="BF244" s="1190"/>
      <c r="BG244" s="1190"/>
      <c r="BH244" s="1184"/>
      <c r="BI244" s="1184"/>
      <c r="BJ244" s="1184"/>
      <c r="BK244" s="1184"/>
      <c r="BL244" s="1156"/>
      <c r="BM244" s="1156"/>
      <c r="BN244" s="1156"/>
      <c r="BO244" s="1156"/>
      <c r="BP244" s="1156"/>
      <c r="BQ244" s="1156"/>
      <c r="BR244" s="1156"/>
      <c r="BS244" s="1156"/>
      <c r="BT244" s="1156"/>
      <c r="BU244" s="1156"/>
      <c r="BV244" s="1156"/>
      <c r="BW244" s="1156"/>
      <c r="BX244" s="1156"/>
      <c r="BY244" s="1156"/>
      <c r="BZ244" s="1156"/>
      <c r="CA244" s="1156"/>
      <c r="CB244" s="1156"/>
      <c r="CC244" s="1156"/>
      <c r="CD244" s="1156"/>
      <c r="CE244" s="1156"/>
      <c r="CF244" s="1156"/>
      <c r="CG244" s="1196"/>
      <c r="CH244" s="1196"/>
      <c r="CI244" s="1196"/>
      <c r="CJ244" s="1196"/>
      <c r="CK244" s="1156"/>
      <c r="CL244" s="1196"/>
      <c r="CM244" s="1196"/>
      <c r="CN244" s="1196"/>
      <c r="CO244" s="1196"/>
      <c r="CP244" s="1156"/>
      <c r="CQ244" s="1196"/>
      <c r="CR244" s="1196"/>
      <c r="CS244" s="1196"/>
      <c r="CT244" s="1196"/>
      <c r="CU244" s="1156"/>
      <c r="CV244" s="1196"/>
      <c r="CW244" s="1196"/>
      <c r="CX244" s="1196"/>
      <c r="CY244" s="1196"/>
      <c r="CZ244" s="1156"/>
      <c r="DA244" s="1156"/>
      <c r="DB244" s="2108"/>
      <c r="DC244" s="2108"/>
    </row>
    <row r="245" spans="1:107" s="1178" customFormat="1" ht="11.25" hidden="1" outlineLevel="1">
      <c r="A245" s="1156"/>
      <c r="B245" s="1182" t="s">
        <v>863</v>
      </c>
      <c r="C245" s="1191"/>
      <c r="D245" s="1191"/>
      <c r="E245" s="1197"/>
      <c r="F245" s="1197"/>
      <c r="G245" s="1197"/>
      <c r="H245" s="1197"/>
      <c r="I245" s="1197"/>
      <c r="J245" s="1197"/>
      <c r="K245" s="1197"/>
      <c r="L245" s="1197"/>
      <c r="M245" s="1197"/>
      <c r="N245" s="1197">
        <v>22.63</v>
      </c>
      <c r="O245" s="1197"/>
      <c r="P245" s="1197"/>
      <c r="Q245" s="1197"/>
      <c r="R245" s="1197"/>
      <c r="S245" s="1197">
        <v>20.89</v>
      </c>
      <c r="T245" s="1197"/>
      <c r="U245" s="1197"/>
      <c r="V245" s="1197"/>
      <c r="W245" s="1197"/>
      <c r="X245" s="1197">
        <v>21.04</v>
      </c>
      <c r="Y245" s="1197"/>
      <c r="Z245" s="1197"/>
      <c r="AA245" s="1197"/>
      <c r="AB245" s="1197"/>
      <c r="AC245" s="1197">
        <v>20.420000000000002</v>
      </c>
      <c r="AD245" s="1197"/>
      <c r="AE245" s="1197"/>
      <c r="AF245" s="1197"/>
      <c r="AG245" s="1197"/>
      <c r="AH245" s="1197">
        <v>19.45</v>
      </c>
      <c r="AI245" s="1197"/>
      <c r="AJ245" s="1197"/>
      <c r="AK245" s="1197"/>
      <c r="AL245" s="1197"/>
      <c r="AM245" s="1197">
        <v>18.98</v>
      </c>
      <c r="AN245" s="1191"/>
      <c r="AO245" s="1191"/>
      <c r="AP245" s="1191"/>
      <c r="AQ245" s="1191"/>
      <c r="AR245" s="1191">
        <v>18.510000000000002</v>
      </c>
      <c r="AS245" s="1191"/>
      <c r="AT245" s="1191"/>
      <c r="AU245" s="1191"/>
      <c r="AV245" s="1191"/>
      <c r="AW245" s="1191">
        <v>17.96</v>
      </c>
      <c r="AX245" s="1182"/>
      <c r="AY245" s="1182"/>
      <c r="AZ245" s="1182"/>
      <c r="BA245" s="1182"/>
      <c r="BB245" s="1182"/>
      <c r="BC245" s="1182"/>
      <c r="BD245" s="1182"/>
      <c r="BE245" s="1182"/>
      <c r="BF245" s="1190"/>
      <c r="BG245" s="1190"/>
      <c r="BH245" s="1184"/>
      <c r="BI245" s="1184"/>
      <c r="BJ245" s="1184"/>
      <c r="BK245" s="1184"/>
      <c r="BL245" s="1156"/>
      <c r="BM245" s="1156"/>
      <c r="BN245" s="1156"/>
      <c r="BO245" s="1156"/>
      <c r="BP245" s="1156"/>
      <c r="BQ245" s="1156"/>
      <c r="BR245" s="1156"/>
      <c r="BS245" s="1156"/>
      <c r="BT245" s="1156"/>
      <c r="BU245" s="1156"/>
      <c r="BV245" s="1156"/>
      <c r="BW245" s="1156"/>
      <c r="BX245" s="1156"/>
      <c r="BY245" s="1156"/>
      <c r="BZ245" s="1156"/>
      <c r="CA245" s="1156"/>
      <c r="CB245" s="1156"/>
      <c r="CC245" s="1156"/>
      <c r="CD245" s="1156"/>
      <c r="CE245" s="1156"/>
      <c r="CF245" s="1156"/>
      <c r="CG245" s="1196"/>
      <c r="CH245" s="1196"/>
      <c r="CI245" s="1196"/>
      <c r="CJ245" s="1196"/>
      <c r="CK245" s="1156"/>
      <c r="CL245" s="1196"/>
      <c r="CM245" s="1196"/>
      <c r="CN245" s="1196"/>
      <c r="CO245" s="1196"/>
      <c r="CP245" s="1156"/>
      <c r="CQ245" s="1196"/>
      <c r="CR245" s="1196"/>
      <c r="CS245" s="1196"/>
      <c r="CT245" s="1196"/>
      <c r="CU245" s="1156"/>
      <c r="CV245" s="1196"/>
      <c r="CW245" s="1196"/>
      <c r="CX245" s="1196"/>
      <c r="CY245" s="1196"/>
      <c r="CZ245" s="1156"/>
      <c r="DA245" s="1156"/>
      <c r="DB245" s="2108"/>
      <c r="DC245" s="2108"/>
    </row>
    <row r="246" spans="1:107" s="1178" customFormat="1" ht="11.25" hidden="1" outlineLevel="1">
      <c r="A246" s="1182"/>
      <c r="B246" s="1191"/>
      <c r="C246" s="1191"/>
      <c r="D246" s="1191"/>
      <c r="E246" s="1191"/>
      <c r="F246" s="1191"/>
      <c r="G246" s="1191"/>
      <c r="H246" s="1191"/>
      <c r="I246" s="1191"/>
      <c r="J246" s="1191"/>
      <c r="K246" s="1191"/>
      <c r="L246" s="1191"/>
      <c r="M246" s="1191"/>
      <c r="N246" s="1191"/>
      <c r="O246" s="1191"/>
      <c r="P246" s="1191"/>
      <c r="Q246" s="1191"/>
      <c r="R246" s="1191"/>
      <c r="S246" s="1191"/>
      <c r="T246" s="1191"/>
      <c r="U246" s="1191"/>
      <c r="V246" s="1191"/>
      <c r="W246" s="1191"/>
      <c r="X246" s="1191"/>
      <c r="Y246" s="1191"/>
      <c r="Z246" s="1191"/>
      <c r="AA246" s="1191"/>
      <c r="AB246" s="1191"/>
      <c r="AC246" s="1191"/>
      <c r="AD246" s="1191"/>
      <c r="AE246" s="1191"/>
      <c r="AF246" s="1191"/>
      <c r="AG246" s="1191"/>
      <c r="AH246" s="1191"/>
      <c r="AI246" s="1191"/>
      <c r="AJ246" s="1191"/>
      <c r="AK246" s="1191"/>
      <c r="AL246" s="1191"/>
      <c r="AM246" s="1191"/>
      <c r="AN246" s="1191"/>
      <c r="AO246" s="1191"/>
      <c r="AP246" s="1191"/>
      <c r="AQ246" s="1191"/>
      <c r="AR246" s="1191"/>
      <c r="AS246" s="1191"/>
      <c r="AT246" s="1191"/>
      <c r="AU246" s="1191"/>
      <c r="AV246" s="1191"/>
      <c r="AW246" s="1191"/>
      <c r="AX246" s="1182"/>
      <c r="AY246" s="1182"/>
      <c r="AZ246" s="1182"/>
      <c r="BA246" s="1182"/>
      <c r="BB246" s="1182"/>
      <c r="BC246" s="1182"/>
      <c r="BD246" s="1182"/>
      <c r="BE246" s="1182"/>
      <c r="BF246" s="1190"/>
      <c r="BG246" s="1190"/>
      <c r="BH246" s="1184"/>
      <c r="BI246" s="1184"/>
      <c r="BJ246" s="1184"/>
      <c r="BK246" s="1184"/>
      <c r="BL246" s="1156"/>
      <c r="BM246" s="1156"/>
      <c r="BN246" s="1156"/>
      <c r="BO246" s="1156"/>
      <c r="BP246" s="1156"/>
      <c r="BQ246" s="1156"/>
      <c r="BR246" s="1156"/>
      <c r="BS246" s="1156"/>
      <c r="BT246" s="1156"/>
      <c r="BU246" s="1156"/>
      <c r="BV246" s="1156"/>
      <c r="BW246" s="1156"/>
      <c r="BX246" s="1156"/>
      <c r="BY246" s="1156"/>
      <c r="BZ246" s="1156"/>
      <c r="CA246" s="1156"/>
      <c r="CB246" s="1156"/>
      <c r="CC246" s="1156"/>
      <c r="CD246" s="1156"/>
      <c r="CE246" s="1156"/>
      <c r="CF246" s="1156"/>
      <c r="CG246" s="1196"/>
      <c r="CH246" s="1196"/>
      <c r="CI246" s="1196"/>
      <c r="CJ246" s="1196"/>
      <c r="CK246" s="1156"/>
      <c r="CL246" s="1196"/>
      <c r="CM246" s="1196"/>
      <c r="CN246" s="1196"/>
      <c r="CO246" s="1196"/>
      <c r="CP246" s="1156"/>
      <c r="CQ246" s="1196"/>
      <c r="CR246" s="1196"/>
      <c r="CS246" s="1196"/>
      <c r="CT246" s="1196"/>
      <c r="CU246" s="1156"/>
      <c r="CV246" s="1196"/>
      <c r="CW246" s="1196"/>
      <c r="CX246" s="1196"/>
      <c r="CY246" s="1196"/>
      <c r="CZ246" s="1156"/>
      <c r="DA246" s="1156"/>
      <c r="DB246" s="2108"/>
      <c r="DC246" s="2108"/>
    </row>
    <row r="247" spans="1:107" s="1178" customFormat="1" ht="11.25" hidden="1" outlineLevel="1">
      <c r="A247" s="1191"/>
      <c r="B247" s="1182" t="s">
        <v>862</v>
      </c>
      <c r="C247" s="1156"/>
      <c r="D247" s="1191"/>
      <c r="E247" s="1191"/>
      <c r="F247" s="1191"/>
      <c r="G247" s="1191"/>
      <c r="H247" s="1191"/>
      <c r="I247" s="1191"/>
      <c r="J247" s="1191"/>
      <c r="K247" s="1191"/>
      <c r="L247" s="1191"/>
      <c r="M247" s="1191"/>
      <c r="N247" s="1182"/>
      <c r="O247" s="1191"/>
      <c r="P247" s="1191"/>
      <c r="Q247" s="1191"/>
      <c r="R247" s="1191"/>
      <c r="S247" s="1182"/>
      <c r="T247" s="1191"/>
      <c r="U247" s="1191"/>
      <c r="V247" s="1191"/>
      <c r="W247" s="1191"/>
      <c r="X247" s="1182"/>
      <c r="Y247" s="1191"/>
      <c r="Z247" s="1191"/>
      <c r="AA247" s="1191"/>
      <c r="AB247" s="1191"/>
      <c r="AC247" s="1182"/>
      <c r="AD247" s="1191"/>
      <c r="AE247" s="1191"/>
      <c r="AF247" s="1191"/>
      <c r="AG247" s="1191"/>
      <c r="AH247" s="1182"/>
      <c r="AI247" s="1191"/>
      <c r="AJ247" s="1191"/>
      <c r="AK247" s="1191"/>
      <c r="AL247" s="1191"/>
      <c r="AM247" s="1182"/>
      <c r="AN247" s="1191"/>
      <c r="AO247" s="1191"/>
      <c r="AP247" s="1191"/>
      <c r="AQ247" s="1191"/>
      <c r="AR247" s="1182"/>
      <c r="AS247" s="1182"/>
      <c r="AT247" s="1182"/>
      <c r="AU247" s="1182"/>
      <c r="AV247" s="1182"/>
      <c r="AW247" s="1182"/>
      <c r="AX247" s="1182"/>
      <c r="AY247" s="1182"/>
      <c r="AZ247" s="1182"/>
      <c r="BA247" s="1182"/>
      <c r="BB247" s="1182"/>
      <c r="BC247" s="1182"/>
      <c r="BD247" s="1182"/>
      <c r="BE247" s="1182"/>
      <c r="BF247" s="1190"/>
      <c r="BG247" s="1190"/>
      <c r="BH247" s="1184"/>
      <c r="BI247" s="1184"/>
      <c r="BJ247" s="1184"/>
      <c r="BK247" s="1184"/>
      <c r="BL247" s="1156"/>
      <c r="BM247" s="1156"/>
      <c r="BN247" s="1156"/>
      <c r="BO247" s="1156"/>
      <c r="BP247" s="1156"/>
      <c r="BQ247" s="1156"/>
      <c r="BR247" s="1156"/>
      <c r="BS247" s="1156"/>
      <c r="BT247" s="1156"/>
      <c r="BU247" s="1156"/>
      <c r="BV247" s="1156"/>
      <c r="BW247" s="1156"/>
      <c r="BX247" s="1156"/>
      <c r="BY247" s="1156"/>
      <c r="BZ247" s="1156"/>
      <c r="CA247" s="1156"/>
      <c r="CB247" s="1156"/>
      <c r="CC247" s="1156"/>
      <c r="CD247" s="1156"/>
      <c r="CE247" s="1156"/>
      <c r="CF247" s="1156"/>
      <c r="CG247" s="1196"/>
      <c r="CH247" s="1196"/>
      <c r="CI247" s="1196"/>
      <c r="CJ247" s="1196"/>
      <c r="CK247" s="1156"/>
      <c r="CL247" s="1196"/>
      <c r="CM247" s="1196"/>
      <c r="CN247" s="1196"/>
      <c r="CO247" s="1196"/>
      <c r="CP247" s="1156"/>
      <c r="CQ247" s="1196"/>
      <c r="CR247" s="1196"/>
      <c r="CS247" s="1196"/>
      <c r="CT247" s="1196"/>
      <c r="CU247" s="1156"/>
      <c r="CV247" s="1196"/>
      <c r="CW247" s="1196"/>
      <c r="CX247" s="1196"/>
      <c r="CY247" s="1196"/>
      <c r="CZ247" s="1156"/>
      <c r="DA247" s="1156"/>
      <c r="DB247" s="2108"/>
      <c r="DC247" s="2108"/>
    </row>
    <row r="248" spans="1:107" s="1178" customFormat="1" ht="11.25" hidden="1" outlineLevel="1">
      <c r="A248" s="1191"/>
      <c r="B248" s="1191" t="s">
        <v>861</v>
      </c>
      <c r="C248" s="1156"/>
      <c r="D248" s="1191"/>
      <c r="E248" s="1156"/>
      <c r="F248" s="1156"/>
      <c r="G248" s="1156"/>
      <c r="H248" s="1156"/>
      <c r="I248" s="1156"/>
      <c r="J248" s="1156"/>
      <c r="K248" s="1156"/>
      <c r="L248" s="1156"/>
      <c r="M248" s="1156"/>
      <c r="N248" s="1156">
        <v>1.0129999999999999</v>
      </c>
      <c r="O248" s="1156"/>
      <c r="P248" s="1156"/>
      <c r="Q248" s="1156"/>
      <c r="R248" s="1156"/>
      <c r="S248" s="1156">
        <v>1.026</v>
      </c>
      <c r="T248" s="1156"/>
      <c r="U248" s="1156"/>
      <c r="V248" s="1156"/>
      <c r="W248" s="1156"/>
      <c r="X248" s="1156">
        <v>1.224</v>
      </c>
      <c r="Y248" s="1156"/>
      <c r="Z248" s="1156"/>
      <c r="AA248" s="1156"/>
      <c r="AB248" s="1156"/>
      <c r="AC248" s="1156">
        <v>1.333</v>
      </c>
      <c r="AD248" s="1156"/>
      <c r="AE248" s="1156"/>
      <c r="AF248" s="1156"/>
      <c r="AG248" s="1156"/>
      <c r="AH248" s="1156">
        <v>1.5509999999999999</v>
      </c>
      <c r="AI248" s="1156"/>
      <c r="AJ248" s="1156"/>
      <c r="AK248" s="1156"/>
      <c r="AL248" s="1156"/>
      <c r="AM248" s="1156">
        <v>1.59</v>
      </c>
      <c r="AN248" s="1156"/>
      <c r="AO248" s="1156"/>
      <c r="AP248" s="1156"/>
      <c r="AQ248" s="1156"/>
      <c r="AR248" s="1156">
        <v>1.8</v>
      </c>
      <c r="AS248" s="1156"/>
      <c r="AT248" s="1156"/>
      <c r="AU248" s="1156"/>
      <c r="AV248" s="1156"/>
      <c r="AW248" s="1156">
        <v>2.0710000000000002</v>
      </c>
      <c r="AX248" s="1182"/>
      <c r="AY248" s="1182"/>
      <c r="AZ248" s="1182"/>
      <c r="BA248" s="1182"/>
      <c r="BB248" s="1182"/>
      <c r="BC248" s="1182"/>
      <c r="BD248" s="1182"/>
      <c r="BE248" s="1182"/>
      <c r="BF248" s="1190"/>
      <c r="BG248" s="1190"/>
      <c r="BH248" s="1184"/>
      <c r="BI248" s="1184"/>
      <c r="BJ248" s="1184"/>
      <c r="BK248" s="1184"/>
      <c r="BL248" s="1156"/>
      <c r="BM248" s="1156"/>
      <c r="BN248" s="1156"/>
      <c r="BO248" s="1156"/>
      <c r="BP248" s="1156"/>
      <c r="BQ248" s="1156"/>
      <c r="BR248" s="1156"/>
      <c r="BS248" s="1156"/>
      <c r="BT248" s="1156"/>
      <c r="BU248" s="1156"/>
      <c r="BV248" s="1156"/>
      <c r="BW248" s="1156"/>
      <c r="BX248" s="1156"/>
      <c r="BY248" s="1156"/>
      <c r="BZ248" s="1156"/>
      <c r="CA248" s="1156"/>
      <c r="CB248" s="1156"/>
      <c r="CC248" s="1156"/>
      <c r="CD248" s="1156"/>
      <c r="CE248" s="1156"/>
      <c r="CF248" s="1156"/>
      <c r="CG248" s="1196"/>
      <c r="CH248" s="1196"/>
      <c r="CI248" s="1196"/>
      <c r="CJ248" s="1196"/>
      <c r="CK248" s="1156"/>
      <c r="CL248" s="1196"/>
      <c r="CM248" s="1196"/>
      <c r="CN248" s="1196"/>
      <c r="CO248" s="1196"/>
      <c r="CP248" s="1156"/>
      <c r="CQ248" s="1196"/>
      <c r="CR248" s="1196"/>
      <c r="CS248" s="1196"/>
      <c r="CT248" s="1196"/>
      <c r="CU248" s="1156"/>
      <c r="CV248" s="1196"/>
      <c r="CW248" s="1196"/>
      <c r="CX248" s="1196"/>
      <c r="CY248" s="1196"/>
      <c r="CZ248" s="1156"/>
      <c r="DA248" s="1156"/>
      <c r="DB248" s="2108"/>
      <c r="DC248" s="2108"/>
    </row>
    <row r="249" spans="1:107" s="1178" customFormat="1" ht="11.25" hidden="1" outlineLevel="1">
      <c r="A249" s="1191"/>
      <c r="B249" s="1191" t="s">
        <v>860</v>
      </c>
      <c r="C249" s="1156"/>
      <c r="D249" s="1191"/>
      <c r="E249" s="1191"/>
      <c r="F249" s="1191"/>
      <c r="G249" s="1191"/>
      <c r="H249" s="1191"/>
      <c r="I249" s="1191"/>
      <c r="J249" s="1191"/>
      <c r="K249" s="1191"/>
      <c r="L249" s="1191"/>
      <c r="M249" s="1191"/>
      <c r="N249" s="1191">
        <v>1.006</v>
      </c>
      <c r="O249" s="1191"/>
      <c r="P249" s="1191"/>
      <c r="Q249" s="1191"/>
      <c r="R249" s="1191"/>
      <c r="S249" s="1191">
        <v>1.0580000000000001</v>
      </c>
      <c r="T249" s="1191"/>
      <c r="U249" s="1191"/>
      <c r="V249" s="1191"/>
      <c r="W249" s="1191"/>
      <c r="X249" s="1191">
        <v>1.179</v>
      </c>
      <c r="Y249" s="1191"/>
      <c r="Z249" s="1191"/>
      <c r="AA249" s="1191"/>
      <c r="AB249" s="1191"/>
      <c r="AC249" s="1191">
        <v>1.2629999999999999</v>
      </c>
      <c r="AD249" s="1191"/>
      <c r="AE249" s="1191"/>
      <c r="AF249" s="1191"/>
      <c r="AG249" s="1191"/>
      <c r="AH249" s="1191">
        <v>1.327</v>
      </c>
      <c r="AI249" s="1191"/>
      <c r="AJ249" s="1191"/>
      <c r="AK249" s="1191"/>
      <c r="AL249" s="1191"/>
      <c r="AM249" s="1191">
        <v>1.353</v>
      </c>
      <c r="AN249" s="1191"/>
      <c r="AO249" s="1191"/>
      <c r="AP249" s="1191"/>
      <c r="AQ249" s="1191"/>
      <c r="AR249" s="1191">
        <v>1.365</v>
      </c>
      <c r="AS249" s="1191"/>
      <c r="AT249" s="1191"/>
      <c r="AU249" s="1191"/>
      <c r="AV249" s="1191"/>
      <c r="AW249" s="1191">
        <v>1.429</v>
      </c>
      <c r="AX249" s="1182"/>
      <c r="AY249" s="1182"/>
      <c r="AZ249" s="1182"/>
      <c r="BA249" s="1182"/>
      <c r="BB249" s="1182"/>
      <c r="BC249" s="1182"/>
      <c r="BD249" s="1182"/>
      <c r="BE249" s="1182"/>
      <c r="BF249" s="1190"/>
      <c r="BG249" s="1190"/>
      <c r="BH249" s="1184"/>
      <c r="BI249" s="1184"/>
      <c r="BJ249" s="1184"/>
      <c r="BK249" s="1184"/>
      <c r="BL249" s="1156"/>
      <c r="BM249" s="1156"/>
      <c r="BN249" s="1156"/>
      <c r="BO249" s="1156"/>
      <c r="BP249" s="1156"/>
      <c r="BQ249" s="1156"/>
      <c r="BR249" s="1156"/>
      <c r="BS249" s="1156"/>
      <c r="BT249" s="1156"/>
      <c r="BU249" s="1156"/>
      <c r="BV249" s="1156"/>
      <c r="BW249" s="1156"/>
      <c r="BX249" s="1156"/>
      <c r="BY249" s="1156"/>
      <c r="BZ249" s="1156"/>
      <c r="CA249" s="1156"/>
      <c r="CB249" s="1156"/>
      <c r="CC249" s="1156"/>
      <c r="CD249" s="1156"/>
      <c r="CE249" s="1156"/>
      <c r="CF249" s="1156"/>
      <c r="CG249" s="1196"/>
      <c r="CH249" s="1196"/>
      <c r="CI249" s="1196"/>
      <c r="CJ249" s="1196"/>
      <c r="CK249" s="1156"/>
      <c r="CL249" s="1196"/>
      <c r="CM249" s="1196"/>
      <c r="CN249" s="1196"/>
      <c r="CO249" s="1196"/>
      <c r="CP249" s="1156"/>
      <c r="CQ249" s="1196"/>
      <c r="CR249" s="1196"/>
      <c r="CS249" s="1196"/>
      <c r="CT249" s="1196"/>
      <c r="CU249" s="1156"/>
      <c r="CV249" s="1196"/>
      <c r="CW249" s="1196"/>
      <c r="CX249" s="1196"/>
      <c r="CY249" s="1196"/>
      <c r="CZ249" s="1156"/>
      <c r="DA249" s="1156"/>
      <c r="DB249" s="2108"/>
      <c r="DC249" s="2108"/>
    </row>
    <row r="250" spans="1:107" s="1178" customFormat="1" ht="11.25" hidden="1" outlineLevel="1">
      <c r="A250" s="1191"/>
      <c r="B250" s="1191" t="s">
        <v>859</v>
      </c>
      <c r="C250" s="1156"/>
      <c r="D250" s="1191"/>
      <c r="E250" s="1191"/>
      <c r="F250" s="1191"/>
      <c r="G250" s="1191"/>
      <c r="H250" s="1191"/>
      <c r="I250" s="1191"/>
      <c r="J250" s="1191"/>
      <c r="K250" s="1191"/>
      <c r="L250" s="1191"/>
      <c r="M250" s="1191"/>
      <c r="N250" s="1191">
        <v>1</v>
      </c>
      <c r="O250" s="1191"/>
      <c r="P250" s="1191"/>
      <c r="Q250" s="1191"/>
      <c r="R250" s="1191"/>
      <c r="S250" s="1191">
        <v>1</v>
      </c>
      <c r="T250" s="1191"/>
      <c r="U250" s="1191"/>
      <c r="V250" s="1191"/>
      <c r="W250" s="1191"/>
      <c r="X250" s="1191">
        <v>1.077</v>
      </c>
      <c r="Y250" s="1191"/>
      <c r="Z250" s="1191"/>
      <c r="AA250" s="1191"/>
      <c r="AB250" s="1191"/>
      <c r="AC250" s="1191">
        <v>1.0640000000000001</v>
      </c>
      <c r="AD250" s="1191"/>
      <c r="AE250" s="1191"/>
      <c r="AF250" s="1191"/>
      <c r="AG250" s="1191"/>
      <c r="AH250" s="1191">
        <v>1.0640000000000001</v>
      </c>
      <c r="AI250" s="1191"/>
      <c r="AJ250" s="1191"/>
      <c r="AK250" s="1191"/>
      <c r="AL250" s="1191"/>
      <c r="AM250" s="1191">
        <v>1.077</v>
      </c>
      <c r="AN250" s="1191"/>
      <c r="AO250" s="1191"/>
      <c r="AP250" s="1191"/>
      <c r="AQ250" s="1191"/>
      <c r="AR250" s="1191">
        <v>1.0900000000000001</v>
      </c>
      <c r="AS250" s="1191"/>
      <c r="AT250" s="1191"/>
      <c r="AU250" s="1191"/>
      <c r="AV250" s="1191"/>
      <c r="AW250" s="1191">
        <v>1.1000000000000001</v>
      </c>
      <c r="AX250" s="1182"/>
      <c r="AY250" s="1182"/>
      <c r="AZ250" s="1182"/>
      <c r="BA250" s="1182"/>
      <c r="BB250" s="1182"/>
      <c r="BC250" s="1182"/>
      <c r="BD250" s="1182"/>
      <c r="BE250" s="1182"/>
      <c r="BF250" s="1190"/>
      <c r="BG250" s="1190"/>
      <c r="BH250" s="1184"/>
      <c r="BI250" s="1184"/>
      <c r="BJ250" s="1184"/>
      <c r="BK250" s="1184"/>
      <c r="BL250" s="1156"/>
      <c r="BM250" s="1156"/>
      <c r="BN250" s="1156"/>
      <c r="BO250" s="1156"/>
      <c r="BP250" s="1156"/>
      <c r="BQ250" s="1156"/>
      <c r="BR250" s="1156"/>
      <c r="BS250" s="1156"/>
      <c r="BT250" s="1156"/>
      <c r="BU250" s="1156"/>
      <c r="BV250" s="1156"/>
      <c r="BW250" s="1156"/>
      <c r="BX250" s="1156"/>
      <c r="BY250" s="1156"/>
      <c r="BZ250" s="1156"/>
      <c r="CA250" s="1156"/>
      <c r="CB250" s="1156"/>
      <c r="CC250" s="1156"/>
      <c r="CD250" s="1156"/>
      <c r="CE250" s="1156"/>
      <c r="CF250" s="1156"/>
      <c r="CG250" s="1196"/>
      <c r="CH250" s="1196"/>
      <c r="CI250" s="1196"/>
      <c r="CJ250" s="1196"/>
      <c r="CK250" s="1156"/>
      <c r="CL250" s="1196"/>
      <c r="CM250" s="1196"/>
      <c r="CN250" s="1196"/>
      <c r="CO250" s="1196"/>
      <c r="CP250" s="1156"/>
      <c r="CQ250" s="1196"/>
      <c r="CR250" s="1196"/>
      <c r="CS250" s="1196"/>
      <c r="CT250" s="1196"/>
      <c r="CU250" s="1156"/>
      <c r="CV250" s="1196"/>
      <c r="CW250" s="1196"/>
      <c r="CX250" s="1196"/>
      <c r="CY250" s="1196"/>
      <c r="CZ250" s="1156"/>
      <c r="DA250" s="1156"/>
      <c r="DB250" s="2108"/>
      <c r="DC250" s="2108"/>
    </row>
    <row r="251" spans="1:107" s="1178" customFormat="1" ht="11.25" hidden="1" outlineLevel="1">
      <c r="A251" s="1191"/>
      <c r="B251" s="1191" t="s">
        <v>858</v>
      </c>
      <c r="C251" s="1191"/>
      <c r="D251" s="1191"/>
      <c r="E251" s="1191"/>
      <c r="F251" s="1191"/>
      <c r="G251" s="1191"/>
      <c r="H251" s="1191"/>
      <c r="I251" s="1191"/>
      <c r="J251" s="1191"/>
      <c r="K251" s="1191"/>
      <c r="L251" s="1191"/>
      <c r="M251" s="1191"/>
      <c r="N251" s="1191">
        <v>180</v>
      </c>
      <c r="O251" s="1191"/>
      <c r="P251" s="1191"/>
      <c r="Q251" s="1191"/>
      <c r="R251" s="1191"/>
      <c r="S251" s="1182"/>
      <c r="T251" s="1191"/>
      <c r="U251" s="1191"/>
      <c r="V251" s="1191"/>
      <c r="W251" s="1191"/>
      <c r="X251" s="1182"/>
      <c r="Y251" s="1191"/>
      <c r="Z251" s="1191"/>
      <c r="AA251" s="1191"/>
      <c r="AB251" s="1191"/>
      <c r="AC251" s="1182"/>
      <c r="AD251" s="1191"/>
      <c r="AE251" s="1191"/>
      <c r="AF251" s="1191"/>
      <c r="AG251" s="1191"/>
      <c r="AH251" s="1182"/>
      <c r="AI251" s="1191"/>
      <c r="AJ251" s="1191"/>
      <c r="AK251" s="1191"/>
      <c r="AL251" s="1191"/>
      <c r="AM251" s="1182"/>
      <c r="AN251" s="1191"/>
      <c r="AO251" s="1191"/>
      <c r="AP251" s="1191"/>
      <c r="AQ251" s="1191"/>
      <c r="AR251" s="1182"/>
      <c r="AS251" s="1182"/>
      <c r="AT251" s="1182"/>
      <c r="AU251" s="1182"/>
      <c r="AV251" s="1182"/>
      <c r="AW251" s="1191">
        <v>82.8</v>
      </c>
      <c r="AX251" s="1191"/>
      <c r="AY251" s="1182"/>
      <c r="AZ251" s="1182"/>
      <c r="BA251" s="1182"/>
      <c r="BB251" s="1182"/>
      <c r="BC251" s="1182"/>
      <c r="BD251" s="1182"/>
      <c r="BE251" s="1182"/>
      <c r="BF251" s="1190"/>
      <c r="BG251" s="1190"/>
      <c r="BH251" s="1184"/>
      <c r="BI251" s="1184"/>
      <c r="BJ251" s="1184"/>
      <c r="BK251" s="1184"/>
      <c r="BL251" s="1156"/>
      <c r="BM251" s="1156"/>
      <c r="BN251" s="1156"/>
      <c r="BO251" s="1156"/>
      <c r="BP251" s="1156"/>
      <c r="BQ251" s="1156"/>
      <c r="BR251" s="1156"/>
      <c r="BS251" s="1156"/>
      <c r="BT251" s="1156"/>
      <c r="BU251" s="1156"/>
      <c r="BV251" s="1156"/>
      <c r="BW251" s="1156"/>
      <c r="BX251" s="1156"/>
      <c r="BY251" s="1156"/>
      <c r="BZ251" s="1156"/>
      <c r="CA251" s="1156"/>
      <c r="CB251" s="1156"/>
      <c r="CC251" s="1156"/>
      <c r="CD251" s="1156"/>
      <c r="CE251" s="1156"/>
      <c r="CF251" s="1156"/>
      <c r="CG251" s="1196"/>
      <c r="CH251" s="1196"/>
      <c r="CI251" s="1196"/>
      <c r="CJ251" s="1196"/>
      <c r="CK251" s="1156"/>
      <c r="CL251" s="1196"/>
      <c r="CM251" s="1196"/>
      <c r="CN251" s="1196"/>
      <c r="CO251" s="1196"/>
      <c r="CP251" s="1156"/>
      <c r="CQ251" s="1196"/>
      <c r="CR251" s="1196"/>
      <c r="CS251" s="1196"/>
      <c r="CT251" s="1196"/>
      <c r="CU251" s="1156"/>
      <c r="CV251" s="1196"/>
      <c r="CW251" s="1196"/>
      <c r="CX251" s="1196"/>
      <c r="CY251" s="1196"/>
      <c r="CZ251" s="1156"/>
      <c r="DA251" s="1156"/>
      <c r="DB251" s="2108"/>
      <c r="DC251" s="2108"/>
    </row>
    <row r="252" spans="1:107" s="1178" customFormat="1" ht="11.25" hidden="1" outlineLevel="1">
      <c r="A252" s="1191"/>
      <c r="B252" s="1191"/>
      <c r="C252" s="1191"/>
      <c r="D252" s="1191"/>
      <c r="E252" s="1191"/>
      <c r="F252" s="1191"/>
      <c r="G252" s="1191"/>
      <c r="H252" s="1191"/>
      <c r="I252" s="1191"/>
      <c r="J252" s="1191"/>
      <c r="K252" s="1191"/>
      <c r="L252" s="1191"/>
      <c r="M252" s="1191"/>
      <c r="N252" s="1191"/>
      <c r="O252" s="1191"/>
      <c r="P252" s="1191"/>
      <c r="Q252" s="1191"/>
      <c r="R252" s="1191"/>
      <c r="S252" s="1182"/>
      <c r="T252" s="1191"/>
      <c r="U252" s="1191"/>
      <c r="V252" s="1191"/>
      <c r="W252" s="1191"/>
      <c r="X252" s="1182"/>
      <c r="Y252" s="1191"/>
      <c r="Z252" s="1191"/>
      <c r="AA252" s="1191"/>
      <c r="AB252" s="1191"/>
      <c r="AC252" s="1182"/>
      <c r="AD252" s="1191"/>
      <c r="AE252" s="1191"/>
      <c r="AF252" s="1191"/>
      <c r="AG252" s="1191"/>
      <c r="AH252" s="1182"/>
      <c r="AI252" s="1191"/>
      <c r="AJ252" s="1191"/>
      <c r="AK252" s="1191"/>
      <c r="AL252" s="1191"/>
      <c r="AM252" s="1182"/>
      <c r="AN252" s="1191"/>
      <c r="AO252" s="1191"/>
      <c r="AP252" s="1191"/>
      <c r="AQ252" s="1191"/>
      <c r="AR252" s="1182"/>
      <c r="AS252" s="1182"/>
      <c r="AT252" s="1182"/>
      <c r="AU252" s="1182"/>
      <c r="AV252" s="1182"/>
      <c r="AW252" s="1191"/>
      <c r="AX252" s="1191"/>
      <c r="AY252" s="1182"/>
      <c r="AZ252" s="1182"/>
      <c r="BA252" s="1182"/>
      <c r="BB252" s="1182"/>
      <c r="BC252" s="1182"/>
      <c r="BD252" s="1182"/>
      <c r="BE252" s="1182"/>
      <c r="BF252" s="1190"/>
      <c r="BG252" s="1190"/>
      <c r="BH252" s="1184"/>
      <c r="BI252" s="1184"/>
      <c r="BJ252" s="1184"/>
      <c r="BK252" s="1184"/>
      <c r="BL252" s="1156"/>
      <c r="BM252" s="1156"/>
      <c r="BN252" s="1156"/>
      <c r="BO252" s="1156"/>
      <c r="BP252" s="1156"/>
      <c r="BQ252" s="1156"/>
      <c r="BR252" s="1156"/>
      <c r="BS252" s="1156"/>
      <c r="BT252" s="1156"/>
      <c r="BU252" s="1156"/>
      <c r="BV252" s="1156"/>
      <c r="BW252" s="1156"/>
      <c r="BX252" s="1156"/>
      <c r="BY252" s="1156"/>
      <c r="BZ252" s="1156"/>
      <c r="CA252" s="1156"/>
      <c r="CB252" s="1156"/>
      <c r="CC252" s="1156"/>
      <c r="CD252" s="1156"/>
      <c r="CE252" s="1156"/>
      <c r="CF252" s="1156"/>
      <c r="CG252" s="1196"/>
      <c r="CH252" s="1196"/>
      <c r="CI252" s="1196"/>
      <c r="CJ252" s="1196"/>
      <c r="CK252" s="1156"/>
      <c r="CL252" s="1196"/>
      <c r="CM252" s="1196"/>
      <c r="CN252" s="1196"/>
      <c r="CO252" s="1196"/>
      <c r="CP252" s="1156"/>
      <c r="CQ252" s="1196"/>
      <c r="CR252" s="1196"/>
      <c r="CS252" s="1196"/>
      <c r="CT252" s="1196"/>
      <c r="CU252" s="1156"/>
      <c r="CV252" s="1196"/>
      <c r="CW252" s="1196"/>
      <c r="CX252" s="1196"/>
      <c r="CY252" s="1196"/>
      <c r="CZ252" s="1156"/>
      <c r="DA252" s="1156"/>
      <c r="DB252" s="2108"/>
      <c r="DC252" s="2108"/>
    </row>
    <row r="253" spans="1:107" s="1178" customFormat="1" ht="11.25" hidden="1" outlineLevel="1">
      <c r="A253" s="1191"/>
      <c r="B253" s="1181" t="s">
        <v>857</v>
      </c>
      <c r="C253" s="1191"/>
      <c r="D253" s="1191"/>
      <c r="E253" s="1191"/>
      <c r="F253" s="1191"/>
      <c r="G253" s="1191"/>
      <c r="H253" s="1191"/>
      <c r="I253" s="1191"/>
      <c r="J253" s="1191"/>
      <c r="K253" s="1191"/>
      <c r="L253" s="1191"/>
      <c r="M253" s="1191"/>
      <c r="N253" s="1182"/>
      <c r="O253" s="1191"/>
      <c r="P253" s="1191"/>
      <c r="Q253" s="1191"/>
      <c r="R253" s="1191"/>
      <c r="S253" s="1182"/>
      <c r="T253" s="1191"/>
      <c r="U253" s="1191"/>
      <c r="V253" s="1191"/>
      <c r="W253" s="1191"/>
      <c r="X253" s="1182"/>
      <c r="Y253" s="1191"/>
      <c r="Z253" s="1191"/>
      <c r="AA253" s="1191"/>
      <c r="AB253" s="1191"/>
      <c r="AC253" s="1182"/>
      <c r="AD253" s="1191"/>
      <c r="AE253" s="1191"/>
      <c r="AF253" s="1191"/>
      <c r="AG253" s="1191"/>
      <c r="AH253" s="1182"/>
      <c r="AI253" s="1191"/>
      <c r="AJ253" s="1191"/>
      <c r="AK253" s="1191"/>
      <c r="AL253" s="1191"/>
      <c r="AM253" s="1182"/>
      <c r="AN253" s="1191"/>
      <c r="AO253" s="1191"/>
      <c r="AP253" s="1191"/>
      <c r="AQ253" s="1191"/>
      <c r="AR253" s="1182"/>
      <c r="AS253" s="1182"/>
      <c r="AT253" s="1182"/>
      <c r="AU253" s="1182"/>
      <c r="AV253" s="1182"/>
      <c r="AW253" s="1182"/>
      <c r="AX253" s="1182"/>
      <c r="AY253" s="1182"/>
      <c r="AZ253" s="1182"/>
      <c r="BA253" s="1182"/>
      <c r="BB253" s="1182"/>
      <c r="BC253" s="1182"/>
      <c r="BD253" s="1182"/>
      <c r="BE253" s="1182"/>
      <c r="BF253" s="1190"/>
      <c r="BG253" s="1190"/>
      <c r="BH253" s="1184"/>
      <c r="BI253" s="1184"/>
      <c r="BJ253" s="1184"/>
      <c r="BK253" s="1184"/>
      <c r="BL253" s="1156"/>
      <c r="BM253" s="1156"/>
      <c r="BN253" s="1156"/>
      <c r="BO253" s="1156"/>
      <c r="BP253" s="1156"/>
      <c r="BQ253" s="1156"/>
      <c r="BR253" s="1156"/>
      <c r="BS253" s="1156"/>
      <c r="BT253" s="1156"/>
      <c r="BU253" s="1156"/>
      <c r="BV253" s="1156"/>
      <c r="BW253" s="1156"/>
      <c r="BX253" s="1156"/>
      <c r="BY253" s="1156"/>
      <c r="BZ253" s="1156"/>
      <c r="CA253" s="1156"/>
      <c r="CB253" s="1156"/>
      <c r="CC253" s="1156"/>
      <c r="CD253" s="1156"/>
      <c r="CE253" s="1156"/>
      <c r="CF253" s="1156"/>
      <c r="CG253" s="1196"/>
      <c r="CH253" s="1196"/>
      <c r="CI253" s="1196"/>
      <c r="CJ253" s="1196"/>
      <c r="CK253" s="1156"/>
      <c r="CL253" s="1196"/>
      <c r="CM253" s="1196"/>
      <c r="CN253" s="1196"/>
      <c r="CO253" s="1196"/>
      <c r="CP253" s="1156"/>
      <c r="CQ253" s="1196"/>
      <c r="CR253" s="1196"/>
      <c r="CS253" s="1196"/>
      <c r="CT253" s="1196"/>
      <c r="CU253" s="1156"/>
      <c r="CV253" s="1196"/>
      <c r="CW253" s="1196"/>
      <c r="CX253" s="1196"/>
      <c r="CY253" s="1196"/>
      <c r="CZ253" s="1156"/>
      <c r="DA253" s="1156"/>
      <c r="DB253" s="2108"/>
      <c r="DC253" s="2108"/>
    </row>
    <row r="254" spans="1:107" s="1178" customFormat="1" ht="11.25" hidden="1" outlineLevel="1">
      <c r="A254" s="1191"/>
      <c r="B254" s="1182" t="s">
        <v>856</v>
      </c>
      <c r="C254" s="1191"/>
      <c r="D254" s="1191"/>
      <c r="E254" s="1191"/>
      <c r="F254" s="1191"/>
      <c r="G254" s="1191"/>
      <c r="H254" s="1191"/>
      <c r="I254" s="1191"/>
      <c r="J254" s="1191"/>
      <c r="K254" s="1191"/>
      <c r="L254" s="1191"/>
      <c r="M254" s="1191"/>
      <c r="N254" s="1156"/>
      <c r="O254" s="1156"/>
      <c r="P254" s="1156"/>
      <c r="Q254" s="1156"/>
      <c r="R254" s="1156"/>
      <c r="S254" s="1156"/>
      <c r="T254" s="1156"/>
      <c r="U254" s="1156"/>
      <c r="V254" s="1156"/>
      <c r="W254" s="1156"/>
      <c r="X254" s="1191">
        <v>14.3</v>
      </c>
      <c r="Y254" s="1191"/>
      <c r="Z254" s="1191"/>
      <c r="AA254" s="1191"/>
      <c r="AB254" s="1191"/>
      <c r="AC254" s="1191">
        <v>36</v>
      </c>
      <c r="AD254" s="1191"/>
      <c r="AE254" s="1191"/>
      <c r="AF254" s="1191"/>
      <c r="AG254" s="1191"/>
      <c r="AH254" s="1191">
        <v>60.4</v>
      </c>
      <c r="AI254" s="1191"/>
      <c r="AJ254" s="1191"/>
      <c r="AK254" s="1191"/>
      <c r="AL254" s="1191"/>
      <c r="AM254" s="1191">
        <v>62.6</v>
      </c>
      <c r="AN254" s="1191"/>
      <c r="AO254" s="1191"/>
      <c r="AP254" s="1191"/>
      <c r="AQ254" s="1191"/>
      <c r="AR254" s="1191">
        <v>62.6</v>
      </c>
      <c r="AS254" s="1191"/>
      <c r="AT254" s="1191"/>
      <c r="AU254" s="1191"/>
      <c r="AV254" s="1191"/>
      <c r="AW254" s="1191">
        <v>67</v>
      </c>
      <c r="AX254" s="1198"/>
      <c r="AY254" s="1191"/>
      <c r="AZ254" s="1191"/>
      <c r="BA254" s="1191"/>
      <c r="BB254" s="1191">
        <v>80.900000000000006</v>
      </c>
      <c r="BC254" s="1182"/>
      <c r="BD254" s="1182"/>
      <c r="BE254" s="1182"/>
      <c r="BF254" s="1190"/>
      <c r="BG254" s="1190"/>
      <c r="BH254" s="1184"/>
      <c r="BI254" s="1184"/>
      <c r="BJ254" s="1184"/>
      <c r="BK254" s="1184"/>
      <c r="BL254" s="1156"/>
      <c r="BM254" s="1156"/>
      <c r="BN254" s="1156"/>
      <c r="BO254" s="1156"/>
      <c r="BP254" s="1156"/>
      <c r="BQ254" s="1156"/>
      <c r="BR254" s="1156"/>
      <c r="BS254" s="1156"/>
      <c r="BT254" s="1156"/>
      <c r="BU254" s="1156"/>
      <c r="BV254" s="1156"/>
      <c r="BW254" s="1156"/>
      <c r="BX254" s="1156"/>
      <c r="BY254" s="1156"/>
      <c r="BZ254" s="1156"/>
      <c r="CA254" s="1156"/>
      <c r="CB254" s="1156"/>
      <c r="CC254" s="1156"/>
      <c r="CD254" s="1156"/>
      <c r="CE254" s="1156"/>
      <c r="CF254" s="1156"/>
      <c r="CG254" s="1196"/>
      <c r="CH254" s="1196"/>
      <c r="CI254" s="1196"/>
      <c r="CJ254" s="1196"/>
      <c r="CK254" s="1156"/>
      <c r="CL254" s="1196"/>
      <c r="CM254" s="1196"/>
      <c r="CN254" s="1196"/>
      <c r="CO254" s="1196"/>
      <c r="CP254" s="1156"/>
      <c r="CQ254" s="1196"/>
      <c r="CR254" s="1196"/>
      <c r="CS254" s="1196"/>
      <c r="CT254" s="1196"/>
      <c r="CU254" s="1156"/>
      <c r="CV254" s="1196"/>
      <c r="CW254" s="1196"/>
      <c r="CX254" s="1196"/>
      <c r="CY254" s="1196"/>
      <c r="CZ254" s="1156"/>
      <c r="DA254" s="1156"/>
      <c r="DB254" s="2108"/>
      <c r="DC254" s="2108"/>
    </row>
    <row r="255" spans="1:107" s="1178" customFormat="1" ht="11.25" hidden="1" outlineLevel="1">
      <c r="A255" s="1191"/>
      <c r="B255" s="1156"/>
      <c r="C255" s="1182" t="s">
        <v>855</v>
      </c>
      <c r="D255" s="1191"/>
      <c r="E255" s="1191"/>
      <c r="F255" s="1191"/>
      <c r="G255" s="1191"/>
      <c r="H255" s="1191"/>
      <c r="I255" s="1191"/>
      <c r="J255" s="1191"/>
      <c r="K255" s="1191"/>
      <c r="L255" s="1191"/>
      <c r="M255" s="1191"/>
      <c r="N255" s="1182"/>
      <c r="O255" s="1191"/>
      <c r="P255" s="1191"/>
      <c r="Q255" s="1191"/>
      <c r="R255" s="1191"/>
      <c r="S255" s="1182"/>
      <c r="T255" s="1191"/>
      <c r="U255" s="1191"/>
      <c r="V255" s="1191"/>
      <c r="W255" s="1191"/>
      <c r="X255" s="1182"/>
      <c r="Y255" s="1191"/>
      <c r="Z255" s="1191"/>
      <c r="AA255" s="1191"/>
      <c r="AB255" s="1191"/>
      <c r="AC255" s="1182"/>
      <c r="AD255" s="1191"/>
      <c r="AE255" s="1191"/>
      <c r="AF255" s="1191"/>
      <c r="AG255" s="1191"/>
      <c r="AH255" s="1182"/>
      <c r="AI255" s="1191"/>
      <c r="AJ255" s="1191"/>
      <c r="AK255" s="1191"/>
      <c r="AL255" s="1191"/>
      <c r="AM255" s="1191">
        <v>7</v>
      </c>
      <c r="AN255" s="1191"/>
      <c r="AO255" s="1191"/>
      <c r="AP255" s="1191"/>
      <c r="AQ255" s="1191"/>
      <c r="AR255" s="1191">
        <v>10</v>
      </c>
      <c r="AS255" s="1191"/>
      <c r="AT255" s="1191"/>
      <c r="AU255" s="1191"/>
      <c r="AV255" s="1191"/>
      <c r="AW255" s="1191">
        <v>21</v>
      </c>
      <c r="AX255" s="1191"/>
      <c r="AY255" s="1191"/>
      <c r="AZ255" s="1191"/>
      <c r="BA255" s="1191"/>
      <c r="BB255" s="1191">
        <v>32</v>
      </c>
      <c r="BC255" s="1182"/>
      <c r="BD255" s="1182"/>
      <c r="BE255" s="1182"/>
      <c r="BF255" s="1190"/>
      <c r="BG255" s="1190"/>
      <c r="BH255" s="1184"/>
      <c r="BI255" s="1184"/>
      <c r="BJ255" s="1184"/>
      <c r="BK255" s="1184"/>
      <c r="BL255" s="1156"/>
      <c r="BM255" s="1156"/>
      <c r="BN255" s="1156"/>
      <c r="BO255" s="1156"/>
      <c r="BP255" s="1156"/>
      <c r="BQ255" s="1156"/>
      <c r="BR255" s="1156"/>
      <c r="BS255" s="1156"/>
      <c r="BT255" s="1156"/>
      <c r="BU255" s="1156"/>
      <c r="BV255" s="1156"/>
      <c r="BW255" s="1156"/>
      <c r="BX255" s="1156"/>
      <c r="BY255" s="1156"/>
      <c r="BZ255" s="1156"/>
      <c r="CA255" s="1156"/>
      <c r="CB255" s="1156"/>
      <c r="CC255" s="1156"/>
      <c r="CD255" s="1156"/>
      <c r="CE255" s="1156"/>
      <c r="CF255" s="1156"/>
      <c r="CG255" s="1196"/>
      <c r="CH255" s="1196"/>
      <c r="CI255" s="1196"/>
      <c r="CJ255" s="1196"/>
      <c r="CK255" s="1156"/>
      <c r="CL255" s="1196"/>
      <c r="CM255" s="1196"/>
      <c r="CN255" s="1196"/>
      <c r="CO255" s="1196"/>
      <c r="CP255" s="1156"/>
      <c r="CQ255" s="1196"/>
      <c r="CR255" s="1196"/>
      <c r="CS255" s="1196"/>
      <c r="CT255" s="1196"/>
      <c r="CU255" s="1156"/>
      <c r="CV255" s="1196"/>
      <c r="CW255" s="1196"/>
      <c r="CX255" s="1196"/>
      <c r="CY255" s="1196"/>
      <c r="CZ255" s="1156"/>
      <c r="DA255" s="1156"/>
      <c r="DB255" s="2108"/>
      <c r="DC255" s="2108"/>
    </row>
    <row r="256" spans="1:107" s="1178" customFormat="1" ht="11.25" hidden="1" outlineLevel="1">
      <c r="A256" s="1191"/>
      <c r="B256" s="1182"/>
      <c r="C256" s="1191"/>
      <c r="D256" s="1191"/>
      <c r="E256" s="1191"/>
      <c r="F256" s="1191"/>
      <c r="G256" s="1191"/>
      <c r="H256" s="1191"/>
      <c r="I256" s="1191"/>
      <c r="J256" s="1191"/>
      <c r="K256" s="1191"/>
      <c r="L256" s="1191"/>
      <c r="M256" s="1191"/>
      <c r="N256" s="1182"/>
      <c r="O256" s="1191"/>
      <c r="P256" s="1191"/>
      <c r="Q256" s="1191"/>
      <c r="R256" s="1191"/>
      <c r="S256" s="1182"/>
      <c r="T256" s="1191"/>
      <c r="U256" s="1191"/>
      <c r="V256" s="1191"/>
      <c r="W256" s="1191"/>
      <c r="X256" s="1182"/>
      <c r="Y256" s="1191"/>
      <c r="Z256" s="1191"/>
      <c r="AA256" s="1191"/>
      <c r="AB256" s="1191"/>
      <c r="AC256" s="1182"/>
      <c r="AD256" s="1191"/>
      <c r="AE256" s="1191"/>
      <c r="AF256" s="1191"/>
      <c r="AG256" s="1191"/>
      <c r="AH256" s="1182"/>
      <c r="AI256" s="1191"/>
      <c r="AJ256" s="1191"/>
      <c r="AK256" s="1191"/>
      <c r="AL256" s="1191"/>
      <c r="AM256" s="1182"/>
      <c r="AN256" s="1191"/>
      <c r="AO256" s="1191"/>
      <c r="AP256" s="1191"/>
      <c r="AQ256" s="1191"/>
      <c r="AR256" s="1182"/>
      <c r="AS256" s="1182"/>
      <c r="AT256" s="1182"/>
      <c r="AU256" s="1182"/>
      <c r="AV256" s="1182"/>
      <c r="AW256" s="1182"/>
      <c r="AX256" s="1182"/>
      <c r="AY256" s="1182"/>
      <c r="AZ256" s="1182"/>
      <c r="BA256" s="1182"/>
      <c r="BB256" s="1182"/>
      <c r="BC256" s="1182"/>
      <c r="BD256" s="1182"/>
      <c r="BE256" s="1182"/>
      <c r="BF256" s="1190"/>
      <c r="BG256" s="1190"/>
      <c r="BH256" s="1184"/>
      <c r="BI256" s="1184"/>
      <c r="BJ256" s="1184"/>
      <c r="BK256" s="1184"/>
      <c r="BL256" s="1156"/>
      <c r="BM256" s="1156"/>
      <c r="BN256" s="1156"/>
      <c r="BO256" s="1156"/>
      <c r="BP256" s="1156"/>
      <c r="BQ256" s="1156"/>
      <c r="BR256" s="1156"/>
      <c r="BS256" s="1156"/>
      <c r="BT256" s="1156"/>
      <c r="BU256" s="1156"/>
      <c r="BV256" s="1156"/>
      <c r="BW256" s="1156"/>
      <c r="BX256" s="1156"/>
      <c r="BY256" s="1156"/>
      <c r="BZ256" s="1156"/>
      <c r="CA256" s="1156"/>
      <c r="CB256" s="1156"/>
      <c r="CC256" s="1156"/>
      <c r="CD256" s="1156"/>
      <c r="CE256" s="1156"/>
      <c r="CF256" s="1156"/>
      <c r="CG256" s="1196"/>
      <c r="CH256" s="1196"/>
      <c r="CI256" s="1196"/>
      <c r="CJ256" s="1196"/>
      <c r="CK256" s="1156"/>
      <c r="CL256" s="1196"/>
      <c r="CM256" s="1196"/>
      <c r="CN256" s="1196"/>
      <c r="CO256" s="1196"/>
      <c r="CP256" s="1156"/>
      <c r="CQ256" s="1196"/>
      <c r="CR256" s="1196"/>
      <c r="CS256" s="1196"/>
      <c r="CT256" s="1196"/>
      <c r="CU256" s="1156"/>
      <c r="CV256" s="1196"/>
      <c r="CW256" s="1196"/>
      <c r="CX256" s="1196"/>
      <c r="CY256" s="1196"/>
      <c r="CZ256" s="1156"/>
      <c r="DA256" s="1156"/>
      <c r="DB256" s="2108"/>
      <c r="DC256" s="2108"/>
    </row>
    <row r="257" spans="1:107" s="1178" customFormat="1" ht="11.25" hidden="1" outlineLevel="1">
      <c r="A257" s="1191"/>
      <c r="B257" s="1191"/>
      <c r="C257" s="1191"/>
      <c r="D257" s="1191"/>
      <c r="E257" s="1191"/>
      <c r="F257" s="1191"/>
      <c r="G257" s="1191"/>
      <c r="H257" s="1191"/>
      <c r="I257" s="1191"/>
      <c r="J257" s="1191"/>
      <c r="K257" s="1191"/>
      <c r="L257" s="1191"/>
      <c r="M257" s="1191"/>
      <c r="N257" s="1182"/>
      <c r="O257" s="1191"/>
      <c r="P257" s="1191"/>
      <c r="Q257" s="1191"/>
      <c r="R257" s="1191"/>
      <c r="S257" s="1182"/>
      <c r="T257" s="1191"/>
      <c r="U257" s="1191"/>
      <c r="V257" s="1191"/>
      <c r="W257" s="1191"/>
      <c r="X257" s="1182"/>
      <c r="Y257" s="1191"/>
      <c r="Z257" s="1191"/>
      <c r="AA257" s="1191"/>
      <c r="AB257" s="1191"/>
      <c r="AC257" s="1182"/>
      <c r="AD257" s="1191"/>
      <c r="AE257" s="1191"/>
      <c r="AF257" s="1191"/>
      <c r="AG257" s="1191"/>
      <c r="AH257" s="1182"/>
      <c r="AI257" s="1191"/>
      <c r="AJ257" s="1191"/>
      <c r="AK257" s="1191"/>
      <c r="AL257" s="1191"/>
      <c r="AM257" s="1182"/>
      <c r="AN257" s="1191"/>
      <c r="AO257" s="1191"/>
      <c r="AP257" s="1191"/>
      <c r="AQ257" s="1191"/>
      <c r="AR257" s="1182"/>
      <c r="AS257" s="1182"/>
      <c r="AT257" s="1182"/>
      <c r="AU257" s="1182"/>
      <c r="AV257" s="1182"/>
      <c r="AW257" s="1182"/>
      <c r="AX257" s="1182"/>
      <c r="AY257" s="1182"/>
      <c r="AZ257" s="1182"/>
      <c r="BA257" s="1182"/>
      <c r="BB257" s="1182"/>
      <c r="BC257" s="1182"/>
      <c r="BD257" s="1182"/>
      <c r="BE257" s="1182"/>
      <c r="BF257" s="1190"/>
      <c r="BG257" s="1190"/>
      <c r="BH257" s="1184"/>
      <c r="BI257" s="1184"/>
      <c r="BJ257" s="1184"/>
      <c r="BK257" s="1184"/>
      <c r="BL257" s="1156"/>
      <c r="BM257" s="1156"/>
      <c r="BN257" s="1156"/>
      <c r="BO257" s="1156"/>
      <c r="BP257" s="1156"/>
      <c r="BQ257" s="1156"/>
      <c r="BR257" s="1156"/>
      <c r="BS257" s="1156"/>
      <c r="BT257" s="1156"/>
      <c r="BU257" s="1156"/>
      <c r="BV257" s="1156"/>
      <c r="BW257" s="1156"/>
      <c r="BX257" s="1156"/>
      <c r="BY257" s="1156"/>
      <c r="BZ257" s="1156"/>
      <c r="CA257" s="1156"/>
      <c r="CB257" s="1156"/>
      <c r="CC257" s="1156"/>
      <c r="CD257" s="1156"/>
      <c r="CE257" s="1156"/>
      <c r="CF257" s="1156"/>
      <c r="CG257" s="1196"/>
      <c r="CH257" s="1196"/>
      <c r="CI257" s="1196"/>
      <c r="CJ257" s="1196"/>
      <c r="CK257" s="1156"/>
      <c r="CL257" s="1196"/>
      <c r="CM257" s="1196"/>
      <c r="CN257" s="1196"/>
      <c r="CO257" s="1196"/>
      <c r="CP257" s="1156"/>
      <c r="CQ257" s="1196"/>
      <c r="CR257" s="1196"/>
      <c r="CS257" s="1196"/>
      <c r="CT257" s="1196"/>
      <c r="CU257" s="1156"/>
      <c r="CV257" s="1196"/>
      <c r="CW257" s="1196"/>
      <c r="CX257" s="1196"/>
      <c r="CY257" s="1196"/>
      <c r="CZ257" s="1156"/>
      <c r="DA257" s="1156"/>
      <c r="DB257" s="2108"/>
      <c r="DC257" s="2108"/>
    </row>
    <row r="258" spans="1:107" s="1178" customFormat="1" ht="11.25" hidden="1" outlineLevel="1">
      <c r="A258" s="1156"/>
      <c r="B258" s="1182" t="s">
        <v>854</v>
      </c>
      <c r="C258" s="1191"/>
      <c r="D258" s="1191"/>
      <c r="E258" s="1191"/>
      <c r="F258" s="1191"/>
      <c r="G258" s="1191"/>
      <c r="H258" s="1191"/>
      <c r="I258" s="1191"/>
      <c r="J258" s="1191"/>
      <c r="K258" s="1191"/>
      <c r="L258" s="1191"/>
      <c r="M258" s="1191"/>
      <c r="N258" s="1182"/>
      <c r="O258" s="1191"/>
      <c r="P258" s="1191"/>
      <c r="Q258" s="1191"/>
      <c r="R258" s="1191"/>
      <c r="S258" s="1182"/>
      <c r="T258" s="1191"/>
      <c r="U258" s="1191"/>
      <c r="V258" s="1191"/>
      <c r="W258" s="1191"/>
      <c r="X258" s="1182"/>
      <c r="Y258" s="1191"/>
      <c r="Z258" s="1191"/>
      <c r="AA258" s="1191"/>
      <c r="AB258" s="1191"/>
      <c r="AC258" s="1182"/>
      <c r="AD258" s="1191"/>
      <c r="AE258" s="1191"/>
      <c r="AF258" s="1191"/>
      <c r="AG258" s="1191"/>
      <c r="AH258" s="1182"/>
      <c r="AI258" s="1191"/>
      <c r="AJ258" s="1191"/>
      <c r="AK258" s="1191"/>
      <c r="AL258" s="1191"/>
      <c r="AM258" s="1182"/>
      <c r="AN258" s="1191"/>
      <c r="AO258" s="1191"/>
      <c r="AP258" s="1191"/>
      <c r="AQ258" s="1191"/>
      <c r="AR258" s="1182"/>
      <c r="AS258" s="1182"/>
      <c r="AT258" s="1182"/>
      <c r="AU258" s="1182"/>
      <c r="AV258" s="1182"/>
      <c r="AW258" s="1182"/>
      <c r="AX258" s="1182"/>
      <c r="AY258" s="1182"/>
      <c r="AZ258" s="1182"/>
      <c r="BA258" s="1182"/>
      <c r="BB258" s="1182"/>
      <c r="BC258" s="1182"/>
      <c r="BD258" s="1182"/>
      <c r="BE258" s="1182"/>
      <c r="BF258" s="1190"/>
      <c r="BG258" s="1190"/>
      <c r="BH258" s="1184"/>
      <c r="BI258" s="1184"/>
      <c r="BJ258" s="1184"/>
      <c r="BK258" s="1184"/>
      <c r="BL258" s="1156"/>
      <c r="BM258" s="1156"/>
      <c r="BN258" s="1156"/>
      <c r="BO258" s="1156"/>
      <c r="BP258" s="1156"/>
      <c r="BQ258" s="1156"/>
      <c r="BR258" s="1156"/>
      <c r="BS258" s="1156"/>
      <c r="BT258" s="1156"/>
      <c r="BU258" s="1156"/>
      <c r="BV258" s="1156"/>
      <c r="BW258" s="1156"/>
      <c r="BX258" s="1156"/>
      <c r="BY258" s="1156"/>
      <c r="BZ258" s="1156"/>
      <c r="CA258" s="1156"/>
      <c r="CB258" s="1156"/>
      <c r="CC258" s="1156"/>
      <c r="CD258" s="1156"/>
      <c r="CE258" s="1156"/>
      <c r="CF258" s="1156"/>
      <c r="CG258" s="1196"/>
      <c r="CH258" s="1196"/>
      <c r="CI258" s="1196"/>
      <c r="CJ258" s="1196"/>
      <c r="CK258" s="1156"/>
      <c r="CL258" s="1196"/>
      <c r="CM258" s="1196"/>
      <c r="CN258" s="1196"/>
      <c r="CO258" s="1196"/>
      <c r="CP258" s="1156"/>
      <c r="CQ258" s="1196"/>
      <c r="CR258" s="1196"/>
      <c r="CS258" s="1196"/>
      <c r="CT258" s="1196"/>
      <c r="CU258" s="1156"/>
      <c r="CV258" s="1196"/>
      <c r="CW258" s="1196"/>
      <c r="CX258" s="1196"/>
      <c r="CY258" s="1196"/>
      <c r="CZ258" s="1156"/>
      <c r="DA258" s="1156"/>
      <c r="DB258" s="2108"/>
      <c r="DC258" s="2108"/>
    </row>
    <row r="259" spans="1:107" s="1178" customFormat="1" ht="11.25" hidden="1" outlineLevel="1">
      <c r="A259" s="1191"/>
      <c r="B259" s="1191" t="s">
        <v>853</v>
      </c>
      <c r="C259" s="1191"/>
      <c r="D259" s="1191"/>
      <c r="E259" s="1191"/>
      <c r="F259" s="1191"/>
      <c r="G259" s="1191"/>
      <c r="H259" s="1191"/>
      <c r="I259" s="1191"/>
      <c r="J259" s="1191"/>
      <c r="K259" s="1191"/>
      <c r="L259" s="1191"/>
      <c r="M259" s="1191"/>
      <c r="N259" s="1182"/>
      <c r="O259" s="1191"/>
      <c r="P259" s="1191"/>
      <c r="Q259" s="1191"/>
      <c r="R259" s="1191"/>
      <c r="S259" s="1182"/>
      <c r="T259" s="1191"/>
      <c r="U259" s="1191"/>
      <c r="V259" s="1191"/>
      <c r="W259" s="1191"/>
      <c r="X259" s="1182"/>
      <c r="Y259" s="1191"/>
      <c r="Z259" s="1191"/>
      <c r="AA259" s="1191"/>
      <c r="AB259" s="1191"/>
      <c r="AC259" s="1182"/>
      <c r="AD259" s="1191"/>
      <c r="AE259" s="1191"/>
      <c r="AF259" s="1191"/>
      <c r="AG259" s="1191"/>
      <c r="AH259" s="1182"/>
      <c r="AI259" s="1191"/>
      <c r="AJ259" s="1191"/>
      <c r="AK259" s="1191"/>
      <c r="AL259" s="1191"/>
      <c r="AM259" s="1182"/>
      <c r="AN259" s="1191"/>
      <c r="AO259" s="1191"/>
      <c r="AP259" s="1191"/>
      <c r="AQ259" s="1191"/>
      <c r="AR259" s="1182"/>
      <c r="AS259" s="1182"/>
      <c r="AT259" s="1182"/>
      <c r="AU259" s="1182"/>
      <c r="AV259" s="1182"/>
      <c r="AW259" s="1182"/>
      <c r="AX259" s="1182"/>
      <c r="AY259" s="1182"/>
      <c r="AZ259" s="1182"/>
      <c r="BA259" s="1182"/>
      <c r="BB259" s="1197" t="s">
        <v>852</v>
      </c>
      <c r="BC259" s="1182"/>
      <c r="BD259" s="1182"/>
      <c r="BE259" s="1182"/>
      <c r="BF259" s="1190"/>
      <c r="BG259" s="1190"/>
      <c r="BH259" s="1184"/>
      <c r="BI259" s="1184"/>
      <c r="BJ259" s="1184"/>
      <c r="BK259" s="1184"/>
      <c r="BL259" s="1156"/>
      <c r="BM259" s="1156"/>
      <c r="BN259" s="1156"/>
      <c r="BO259" s="1156"/>
      <c r="BP259" s="1156"/>
      <c r="BQ259" s="1156"/>
      <c r="BR259" s="1156"/>
      <c r="BS259" s="1156"/>
      <c r="BT259" s="1156"/>
      <c r="BU259" s="1156"/>
      <c r="BV259" s="1156"/>
      <c r="BW259" s="1156"/>
      <c r="BX259" s="1156"/>
      <c r="BY259" s="1156"/>
      <c r="BZ259" s="1156"/>
      <c r="CA259" s="1156"/>
      <c r="CB259" s="1156"/>
      <c r="CC259" s="1156"/>
      <c r="CD259" s="1156"/>
      <c r="CE259" s="1156"/>
      <c r="CF259" s="1156"/>
      <c r="CG259" s="1196"/>
      <c r="CH259" s="1196"/>
      <c r="CI259" s="1196"/>
      <c r="CJ259" s="1196"/>
      <c r="CK259" s="1156"/>
      <c r="CL259" s="1196"/>
      <c r="CM259" s="1196"/>
      <c r="CN259" s="1196"/>
      <c r="CO259" s="1196"/>
      <c r="CP259" s="1156"/>
      <c r="CQ259" s="1196"/>
      <c r="CR259" s="1196"/>
      <c r="CS259" s="1196"/>
      <c r="CT259" s="1196"/>
      <c r="CU259" s="1156"/>
      <c r="CV259" s="1196"/>
      <c r="CW259" s="1196"/>
      <c r="CX259" s="1196"/>
      <c r="CY259" s="1196"/>
      <c r="CZ259" s="1156"/>
      <c r="DA259" s="1156"/>
      <c r="DB259" s="2108"/>
      <c r="DC259" s="2108"/>
    </row>
    <row r="260" spans="1:107" s="1178" customFormat="1" ht="11.25" hidden="1" outlineLevel="1">
      <c r="A260" s="1191"/>
      <c r="B260" s="1191" t="s">
        <v>851</v>
      </c>
      <c r="C260" s="1191"/>
      <c r="D260" s="1191"/>
      <c r="E260" s="1191"/>
      <c r="F260" s="1191"/>
      <c r="G260" s="1191"/>
      <c r="H260" s="1191"/>
      <c r="I260" s="1191"/>
      <c r="J260" s="1191"/>
      <c r="K260" s="1191"/>
      <c r="L260" s="1191"/>
      <c r="M260" s="1191"/>
      <c r="N260" s="1182"/>
      <c r="O260" s="1191"/>
      <c r="P260" s="1191"/>
      <c r="Q260" s="1191"/>
      <c r="R260" s="1191"/>
      <c r="S260" s="1182"/>
      <c r="T260" s="1191"/>
      <c r="U260" s="1191"/>
      <c r="V260" s="1191"/>
      <c r="W260" s="1191"/>
      <c r="X260" s="1182"/>
      <c r="Y260" s="1191"/>
      <c r="Z260" s="1191"/>
      <c r="AA260" s="1191"/>
      <c r="AB260" s="1191"/>
      <c r="AC260" s="1182"/>
      <c r="AD260" s="1191"/>
      <c r="AE260" s="1191"/>
      <c r="AF260" s="1191"/>
      <c r="AG260" s="1191"/>
      <c r="AH260" s="1182"/>
      <c r="AI260" s="1191"/>
      <c r="AJ260" s="1191"/>
      <c r="AK260" s="1191"/>
      <c r="AL260" s="1191"/>
      <c r="AM260" s="1182"/>
      <c r="AN260" s="1191"/>
      <c r="AO260" s="1191"/>
      <c r="AP260" s="1191"/>
      <c r="AQ260" s="1191"/>
      <c r="AR260" s="1182"/>
      <c r="AS260" s="1182"/>
      <c r="AT260" s="1182"/>
      <c r="AU260" s="1182"/>
      <c r="AV260" s="1182"/>
      <c r="AW260" s="1182"/>
      <c r="AX260" s="1182"/>
      <c r="AY260" s="1182"/>
      <c r="AZ260" s="1182"/>
      <c r="BA260" s="1182"/>
      <c r="BB260" s="1197" t="s">
        <v>850</v>
      </c>
      <c r="BC260" s="1182"/>
      <c r="BD260" s="1182"/>
      <c r="BE260" s="1182"/>
      <c r="BF260" s="1190"/>
      <c r="BG260" s="1190"/>
      <c r="BH260" s="1184"/>
      <c r="BI260" s="1184"/>
      <c r="BJ260" s="1184"/>
      <c r="BK260" s="1184"/>
      <c r="BL260" s="1156"/>
      <c r="BM260" s="1156"/>
      <c r="BN260" s="1156"/>
      <c r="BO260" s="1156"/>
      <c r="BP260" s="1156"/>
      <c r="BQ260" s="1156"/>
      <c r="BR260" s="1156"/>
      <c r="BS260" s="1156"/>
      <c r="BT260" s="1156"/>
      <c r="BU260" s="1156"/>
      <c r="BV260" s="1156"/>
      <c r="BW260" s="1156"/>
      <c r="BX260" s="1156"/>
      <c r="BY260" s="1156"/>
      <c r="BZ260" s="1156"/>
      <c r="CA260" s="1156"/>
      <c r="CB260" s="1156"/>
      <c r="CC260" s="1156"/>
      <c r="CD260" s="1156"/>
      <c r="CE260" s="1156"/>
      <c r="CF260" s="1156"/>
      <c r="CG260" s="1196"/>
      <c r="CH260" s="1196"/>
      <c r="CI260" s="1196"/>
      <c r="CJ260" s="1196"/>
      <c r="CK260" s="1156"/>
      <c r="CL260" s="1196"/>
      <c r="CM260" s="1196"/>
      <c r="CN260" s="1196"/>
      <c r="CO260" s="1196"/>
      <c r="CP260" s="1156"/>
      <c r="CQ260" s="1196"/>
      <c r="CR260" s="1196"/>
      <c r="CS260" s="1196"/>
      <c r="CT260" s="1196"/>
      <c r="CU260" s="1156"/>
      <c r="CV260" s="1196"/>
      <c r="CW260" s="1196"/>
      <c r="CX260" s="1196"/>
      <c r="CY260" s="1196"/>
      <c r="CZ260" s="1156"/>
      <c r="DA260" s="1156"/>
      <c r="DB260" s="2108"/>
      <c r="DC260" s="2108"/>
    </row>
    <row r="261" spans="1:107" s="1178" customFormat="1" ht="11.25" hidden="1" outlineLevel="1">
      <c r="A261" s="1191"/>
      <c r="B261" s="1191"/>
      <c r="C261" s="1191"/>
      <c r="D261" s="1191"/>
      <c r="E261" s="1191"/>
      <c r="F261" s="1191"/>
      <c r="G261" s="1191"/>
      <c r="H261" s="1191"/>
      <c r="I261" s="1191"/>
      <c r="J261" s="1191"/>
      <c r="K261" s="1191"/>
      <c r="L261" s="1191"/>
      <c r="M261" s="1191"/>
      <c r="N261" s="1182"/>
      <c r="O261" s="1191"/>
      <c r="P261" s="1191"/>
      <c r="Q261" s="1191"/>
      <c r="R261" s="1191"/>
      <c r="S261" s="1182"/>
      <c r="T261" s="1191"/>
      <c r="U261" s="1191"/>
      <c r="V261" s="1191"/>
      <c r="W261" s="1191"/>
      <c r="X261" s="1182"/>
      <c r="Y261" s="1191"/>
      <c r="Z261" s="1191"/>
      <c r="AA261" s="1191"/>
      <c r="AB261" s="1191"/>
      <c r="AC261" s="1182"/>
      <c r="AD261" s="1191"/>
      <c r="AE261" s="1191"/>
      <c r="AF261" s="1191"/>
      <c r="AG261" s="1191"/>
      <c r="AH261" s="1182"/>
      <c r="AI261" s="1191"/>
      <c r="AJ261" s="1191"/>
      <c r="AK261" s="1191"/>
      <c r="AL261" s="1191"/>
      <c r="AM261" s="1182"/>
      <c r="AN261" s="1191"/>
      <c r="AO261" s="1191"/>
      <c r="AP261" s="1191"/>
      <c r="AQ261" s="1191"/>
      <c r="AR261" s="1182"/>
      <c r="AS261" s="1182"/>
      <c r="AT261" s="1182"/>
      <c r="AU261" s="1182"/>
      <c r="AV261" s="1182"/>
      <c r="AW261" s="1182"/>
      <c r="AX261" s="1182"/>
      <c r="AY261" s="1182"/>
      <c r="AZ261" s="1182"/>
      <c r="BA261" s="1182"/>
      <c r="BB261" s="1182"/>
      <c r="BC261" s="1182"/>
      <c r="BD261" s="1182"/>
      <c r="BE261" s="1182"/>
      <c r="BF261" s="1182"/>
      <c r="BG261" s="1182"/>
      <c r="BH261" s="1182"/>
      <c r="BI261" s="1182"/>
      <c r="BJ261" s="1182"/>
      <c r="BK261" s="1182"/>
      <c r="BL261" s="1182"/>
      <c r="BM261" s="1182"/>
      <c r="BN261" s="1182"/>
      <c r="BO261" s="1182"/>
      <c r="BP261" s="1182"/>
      <c r="BQ261" s="1182"/>
      <c r="BR261" s="1190"/>
      <c r="BS261" s="1190"/>
      <c r="BT261" s="1190"/>
      <c r="BU261" s="1190"/>
      <c r="BV261" s="1190"/>
      <c r="BW261" s="1190"/>
      <c r="BX261" s="1190"/>
      <c r="BY261" s="1190"/>
      <c r="BZ261" s="1190"/>
      <c r="CA261" s="1190"/>
      <c r="CB261" s="1190"/>
      <c r="CC261" s="1190"/>
      <c r="CD261" s="1190"/>
      <c r="CE261" s="1190"/>
      <c r="CF261" s="1190"/>
      <c r="CG261" s="1189"/>
      <c r="CH261" s="1189"/>
      <c r="CI261" s="1189"/>
      <c r="CJ261" s="1189"/>
      <c r="CK261" s="1195"/>
      <c r="CL261" s="1189"/>
      <c r="CM261" s="1189"/>
      <c r="CN261" s="1189"/>
      <c r="CO261" s="1189"/>
      <c r="CP261" s="1195"/>
      <c r="CQ261" s="1189"/>
      <c r="CR261" s="1189"/>
      <c r="CS261" s="1189"/>
      <c r="CT261" s="1189"/>
      <c r="CU261" s="1194"/>
      <c r="CV261" s="1189"/>
      <c r="CW261" s="1189"/>
      <c r="CX261" s="1189"/>
      <c r="CY261" s="1189"/>
      <c r="CZ261" s="1194"/>
      <c r="DA261" s="1194"/>
      <c r="DB261" s="1194"/>
      <c r="DC261" s="1194"/>
    </row>
    <row r="262" spans="1:107" s="1178" customFormat="1" ht="11.25" hidden="1" outlineLevel="1">
      <c r="A262" s="1191"/>
      <c r="B262" s="1186" t="s">
        <v>849</v>
      </c>
      <c r="C262" s="1156"/>
      <c r="D262" s="1156"/>
      <c r="E262" s="1156"/>
      <c r="F262" s="1156"/>
      <c r="G262" s="1156"/>
      <c r="H262" s="1156"/>
      <c r="I262" s="1156"/>
      <c r="J262" s="1156"/>
      <c r="K262" s="1156"/>
      <c r="L262" s="1156"/>
      <c r="M262" s="1156"/>
      <c r="N262" s="1156"/>
      <c r="O262" s="1156"/>
      <c r="P262" s="1156"/>
      <c r="Q262" s="1156"/>
      <c r="R262" s="1156"/>
      <c r="S262" s="1156"/>
      <c r="T262" s="1156"/>
      <c r="U262" s="1156"/>
      <c r="V262" s="1156"/>
      <c r="W262" s="1156"/>
      <c r="X262" s="1186"/>
      <c r="Y262" s="1156"/>
      <c r="Z262" s="1156"/>
      <c r="AA262" s="1156"/>
      <c r="AB262" s="1156"/>
      <c r="AC262" s="1186"/>
      <c r="AD262" s="1156"/>
      <c r="AE262" s="1156"/>
      <c r="AF262" s="1156"/>
      <c r="AG262" s="1156"/>
      <c r="AH262" s="1186"/>
      <c r="AI262" s="1156"/>
      <c r="AJ262" s="1156"/>
      <c r="AK262" s="1156"/>
      <c r="AL262" s="1156"/>
      <c r="AM262" s="1186"/>
      <c r="AN262" s="1156"/>
      <c r="AO262" s="1156"/>
      <c r="AP262" s="1156"/>
      <c r="AQ262" s="1156"/>
      <c r="AR262" s="1186"/>
      <c r="AS262" s="1186"/>
      <c r="AT262" s="1186"/>
      <c r="AU262" s="1186"/>
      <c r="AV262" s="1186"/>
      <c r="AW262" s="1186"/>
      <c r="AX262" s="1182"/>
      <c r="AY262" s="1182"/>
      <c r="AZ262" s="1182"/>
      <c r="BA262" s="1182"/>
      <c r="BB262" s="1182"/>
      <c r="BC262" s="1182"/>
      <c r="BD262" s="1182"/>
      <c r="BE262" s="1182"/>
      <c r="BF262" s="1182"/>
      <c r="BG262" s="1182"/>
      <c r="BH262" s="1182"/>
      <c r="BI262" s="1182"/>
      <c r="BJ262" s="1182"/>
      <c r="BK262" s="1182"/>
      <c r="BL262" s="1182"/>
      <c r="BM262" s="1182"/>
      <c r="BN262" s="1182"/>
      <c r="BO262" s="1182"/>
      <c r="BP262" s="1182"/>
      <c r="BQ262" s="1182"/>
      <c r="BR262" s="1190"/>
      <c r="BS262" s="1190"/>
      <c r="BT262" s="1190"/>
      <c r="BU262" s="1190"/>
      <c r="BV262" s="1190"/>
      <c r="BW262" s="1190"/>
      <c r="BX262" s="1190"/>
      <c r="BY262" s="1190"/>
      <c r="BZ262" s="1190"/>
      <c r="CA262" s="1190"/>
      <c r="CB262" s="1190"/>
      <c r="CC262" s="1190"/>
      <c r="CD262" s="1190"/>
      <c r="CE262" s="1190"/>
      <c r="CF262" s="1190"/>
      <c r="CG262" s="1189"/>
      <c r="CH262" s="1189"/>
      <c r="CI262" s="1189"/>
      <c r="CJ262" s="1189"/>
      <c r="CK262" s="1184"/>
      <c r="CL262" s="1189"/>
      <c r="CM262" s="1189"/>
      <c r="CN262" s="1189"/>
      <c r="CO262" s="1189"/>
      <c r="CP262" s="1184"/>
      <c r="CQ262" s="1189"/>
      <c r="CR262" s="1189"/>
      <c r="CS262" s="1189"/>
      <c r="CT262" s="1189"/>
      <c r="CU262" s="1156"/>
      <c r="CV262" s="1189"/>
      <c r="CW262" s="1189"/>
      <c r="CX262" s="1189"/>
      <c r="CY262" s="1189"/>
      <c r="CZ262" s="1156"/>
      <c r="DA262" s="1156"/>
      <c r="DB262" s="2108"/>
      <c r="DC262" s="2108"/>
    </row>
    <row r="263" spans="1:107" s="1178" customFormat="1" ht="11.25" hidden="1" outlineLevel="1">
      <c r="A263" s="1191"/>
      <c r="B263" s="1156"/>
      <c r="C263" s="1156" t="s">
        <v>848</v>
      </c>
      <c r="D263" s="1156"/>
      <c r="E263" s="1156"/>
      <c r="F263" s="1156"/>
      <c r="G263" s="1156"/>
      <c r="H263" s="1156"/>
      <c r="I263" s="1156"/>
      <c r="J263" s="1156"/>
      <c r="K263" s="1156"/>
      <c r="L263" s="1156"/>
      <c r="M263" s="1156"/>
      <c r="N263" s="1156"/>
      <c r="O263" s="1156"/>
      <c r="P263" s="1156"/>
      <c r="Q263" s="1156"/>
      <c r="R263" s="1156"/>
      <c r="S263" s="1156"/>
      <c r="T263" s="1156"/>
      <c r="U263" s="1156"/>
      <c r="V263" s="1156"/>
      <c r="W263" s="1156"/>
      <c r="X263" s="1186"/>
      <c r="Y263" s="1156"/>
      <c r="Z263" s="1156"/>
      <c r="AA263" s="1156"/>
      <c r="AB263" s="1156"/>
      <c r="AC263" s="1186"/>
      <c r="AD263" s="1156"/>
      <c r="AE263" s="1156"/>
      <c r="AF263" s="1156"/>
      <c r="AG263" s="1156"/>
      <c r="AH263" s="1186"/>
      <c r="AI263" s="1156"/>
      <c r="AJ263" s="1156"/>
      <c r="AK263" s="1156"/>
      <c r="AL263" s="1156"/>
      <c r="AM263" s="1186"/>
      <c r="AN263" s="1156"/>
      <c r="AO263" s="1156"/>
      <c r="AP263" s="1156"/>
      <c r="AQ263" s="1156"/>
      <c r="AR263" s="1186"/>
      <c r="AS263" s="1186"/>
      <c r="AT263" s="1186"/>
      <c r="AU263" s="1186"/>
      <c r="AV263" s="1186"/>
      <c r="AW263" s="1193">
        <f>11.1/360</f>
        <v>3.0833333333333331E-2</v>
      </c>
      <c r="AX263" s="1182"/>
      <c r="AY263" s="1182"/>
      <c r="AZ263" s="1182"/>
      <c r="BA263" s="1182"/>
      <c r="BB263" s="1182"/>
      <c r="BC263" s="1182"/>
      <c r="BD263" s="1182"/>
      <c r="BE263" s="1182"/>
      <c r="BF263" s="1182"/>
      <c r="BG263" s="1182"/>
      <c r="BH263" s="1182"/>
      <c r="BI263" s="1182"/>
      <c r="BJ263" s="1182"/>
      <c r="BK263" s="1182"/>
      <c r="BL263" s="1182"/>
      <c r="BM263" s="1182"/>
      <c r="BN263" s="1182"/>
      <c r="BO263" s="1182"/>
      <c r="BP263" s="1182"/>
      <c r="BQ263" s="1182"/>
      <c r="BR263" s="1190"/>
      <c r="BS263" s="1190"/>
      <c r="BT263" s="1190"/>
      <c r="BU263" s="1190"/>
      <c r="BV263" s="1190"/>
      <c r="BW263" s="1190"/>
      <c r="BX263" s="1190"/>
      <c r="BY263" s="1190"/>
      <c r="BZ263" s="1190"/>
      <c r="CA263" s="1190"/>
      <c r="CB263" s="1190"/>
      <c r="CC263" s="1190"/>
      <c r="CD263" s="1190"/>
      <c r="CE263" s="1190"/>
      <c r="CF263" s="1190"/>
      <c r="CG263" s="1189"/>
      <c r="CH263" s="1189"/>
      <c r="CI263" s="1189"/>
      <c r="CJ263" s="1189"/>
      <c r="CK263" s="1184"/>
      <c r="CL263" s="1189"/>
      <c r="CM263" s="1189"/>
      <c r="CN263" s="1189"/>
      <c r="CO263" s="1189"/>
      <c r="CP263" s="1184"/>
      <c r="CQ263" s="1189"/>
      <c r="CR263" s="1189"/>
      <c r="CS263" s="1189"/>
      <c r="CT263" s="1189"/>
      <c r="CU263" s="1156"/>
      <c r="CV263" s="1189"/>
      <c r="CW263" s="1189"/>
      <c r="CX263" s="1189"/>
      <c r="CY263" s="1189"/>
      <c r="CZ263" s="1156"/>
      <c r="DA263" s="1156"/>
      <c r="DB263" s="2108"/>
      <c r="DC263" s="2108"/>
    </row>
    <row r="264" spans="1:107" s="1178" customFormat="1" ht="11.25" hidden="1" outlineLevel="1">
      <c r="A264" s="1191"/>
      <c r="B264" s="1156"/>
      <c r="C264" s="1156" t="s">
        <v>847</v>
      </c>
      <c r="D264" s="1156"/>
      <c r="E264" s="1156"/>
      <c r="F264" s="1156"/>
      <c r="G264" s="1156"/>
      <c r="H264" s="1156"/>
      <c r="I264" s="1156"/>
      <c r="J264" s="1156"/>
      <c r="K264" s="1156"/>
      <c r="L264" s="1156"/>
      <c r="M264" s="1156"/>
      <c r="N264" s="1156"/>
      <c r="O264" s="1156"/>
      <c r="P264" s="1156"/>
      <c r="Q264" s="1156"/>
      <c r="R264" s="1156"/>
      <c r="S264" s="1156"/>
      <c r="T264" s="1156"/>
      <c r="U264" s="1156"/>
      <c r="V264" s="1156"/>
      <c r="W264" s="1156"/>
      <c r="X264" s="1186"/>
      <c r="Y264" s="1156"/>
      <c r="Z264" s="1156"/>
      <c r="AA264" s="1156"/>
      <c r="AB264" s="1156"/>
      <c r="AC264" s="1186"/>
      <c r="AD264" s="1156"/>
      <c r="AE264" s="1156"/>
      <c r="AF264" s="1156"/>
      <c r="AG264" s="1156"/>
      <c r="AH264" s="1186"/>
      <c r="AI264" s="1156"/>
      <c r="AJ264" s="1156"/>
      <c r="AK264" s="1156"/>
      <c r="AL264" s="1156"/>
      <c r="AM264" s="1186"/>
      <c r="AN264" s="1156"/>
      <c r="AO264" s="1156"/>
      <c r="AP264" s="1156"/>
      <c r="AQ264" s="1156"/>
      <c r="AR264" s="1186"/>
      <c r="AS264" s="1186"/>
      <c r="AT264" s="1186"/>
      <c r="AU264" s="1186"/>
      <c r="AV264" s="1186"/>
      <c r="AW264" s="1193">
        <f>29%-AW263</f>
        <v>0.25916666666666666</v>
      </c>
      <c r="AX264" s="1182"/>
      <c r="AY264" s="1182"/>
      <c r="AZ264" s="1182"/>
      <c r="BA264" s="1182"/>
      <c r="BB264" s="1182"/>
      <c r="BC264" s="1182"/>
      <c r="BD264" s="1182"/>
      <c r="BE264" s="1182"/>
      <c r="BF264" s="1182"/>
      <c r="BG264" s="1182"/>
      <c r="BH264" s="1182"/>
      <c r="BI264" s="1182"/>
      <c r="BJ264" s="1182"/>
      <c r="BK264" s="1182"/>
      <c r="BL264" s="1182"/>
      <c r="BM264" s="1182"/>
      <c r="BN264" s="1182"/>
      <c r="BO264" s="1182"/>
      <c r="BP264" s="1182"/>
      <c r="BQ264" s="1182"/>
      <c r="BR264" s="1190"/>
      <c r="BS264" s="1190"/>
      <c r="BT264" s="1190"/>
      <c r="BU264" s="1190"/>
      <c r="BV264" s="1190"/>
      <c r="BW264" s="1190"/>
      <c r="BX264" s="1190"/>
      <c r="BY264" s="1190"/>
      <c r="BZ264" s="1190"/>
      <c r="CA264" s="1190"/>
      <c r="CB264" s="1190"/>
      <c r="CC264" s="1190"/>
      <c r="CD264" s="1190"/>
      <c r="CE264" s="1190"/>
      <c r="CF264" s="1190"/>
      <c r="CG264" s="1189"/>
      <c r="CH264" s="1189"/>
      <c r="CI264" s="1189"/>
      <c r="CJ264" s="1189"/>
      <c r="CK264" s="1184"/>
      <c r="CL264" s="1189"/>
      <c r="CM264" s="1189"/>
      <c r="CN264" s="1189"/>
      <c r="CO264" s="1189"/>
      <c r="CP264" s="1184"/>
      <c r="CQ264" s="1189"/>
      <c r="CR264" s="1189"/>
      <c r="CS264" s="1189"/>
      <c r="CT264" s="1189"/>
      <c r="CU264" s="1156"/>
      <c r="CV264" s="1189"/>
      <c r="CW264" s="1189"/>
      <c r="CX264" s="1189"/>
      <c r="CY264" s="1189"/>
      <c r="CZ264" s="1156"/>
      <c r="DA264" s="1156"/>
      <c r="DB264" s="2108"/>
      <c r="DC264" s="2108"/>
    </row>
    <row r="265" spans="1:107" s="1178" customFormat="1" ht="11.25" hidden="1" outlineLevel="1">
      <c r="A265" s="1191"/>
      <c r="B265" s="1156"/>
      <c r="C265" s="1156" t="s">
        <v>846</v>
      </c>
      <c r="D265" s="1156"/>
      <c r="E265" s="1156"/>
      <c r="F265" s="1156"/>
      <c r="G265" s="1156"/>
      <c r="H265" s="1156"/>
      <c r="I265" s="1156"/>
      <c r="J265" s="1156"/>
      <c r="K265" s="1156"/>
      <c r="L265" s="1156"/>
      <c r="M265" s="1156"/>
      <c r="N265" s="1156"/>
      <c r="O265" s="1156"/>
      <c r="P265" s="1156"/>
      <c r="Q265" s="1156"/>
      <c r="R265" s="1156"/>
      <c r="S265" s="1156"/>
      <c r="T265" s="1156"/>
      <c r="U265" s="1156"/>
      <c r="V265" s="1156"/>
      <c r="W265" s="1156"/>
      <c r="X265" s="1186"/>
      <c r="Y265" s="1156"/>
      <c r="Z265" s="1156"/>
      <c r="AA265" s="1156"/>
      <c r="AB265" s="1156"/>
      <c r="AC265" s="1186"/>
      <c r="AD265" s="1156"/>
      <c r="AE265" s="1156"/>
      <c r="AF265" s="1156"/>
      <c r="AG265" s="1156"/>
      <c r="AH265" s="1186"/>
      <c r="AI265" s="1156"/>
      <c r="AJ265" s="1156"/>
      <c r="AK265" s="1156"/>
      <c r="AL265" s="1156"/>
      <c r="AM265" s="1186"/>
      <c r="AN265" s="1156"/>
      <c r="AO265" s="1156"/>
      <c r="AP265" s="1156"/>
      <c r="AQ265" s="1156"/>
      <c r="AR265" s="1186"/>
      <c r="AS265" s="1186"/>
      <c r="AT265" s="1186"/>
      <c r="AU265" s="1186"/>
      <c r="AV265" s="1186"/>
      <c r="AW265" s="1193">
        <f>1-AW264-AW263</f>
        <v>0.71</v>
      </c>
      <c r="AX265" s="1182"/>
      <c r="AY265" s="1182"/>
      <c r="AZ265" s="1182"/>
      <c r="BA265" s="1182"/>
      <c r="BB265" s="1182"/>
      <c r="BC265" s="1182"/>
      <c r="BD265" s="1182"/>
      <c r="BE265" s="1182"/>
      <c r="BF265" s="1182"/>
      <c r="BG265" s="1182"/>
      <c r="BH265" s="1182"/>
      <c r="BI265" s="1182"/>
      <c r="BJ265" s="1182"/>
      <c r="BK265" s="1182"/>
      <c r="BL265" s="1182"/>
      <c r="BM265" s="1182"/>
      <c r="BN265" s="1182"/>
      <c r="BO265" s="1182"/>
      <c r="BP265" s="1182"/>
      <c r="BQ265" s="1182"/>
      <c r="BR265" s="1190"/>
      <c r="BS265" s="1190"/>
      <c r="BT265" s="1190"/>
      <c r="BU265" s="1190"/>
      <c r="BV265" s="1190"/>
      <c r="BW265" s="1190"/>
      <c r="BX265" s="1190"/>
      <c r="BY265" s="1190"/>
      <c r="BZ265" s="1190"/>
      <c r="CA265" s="1190"/>
      <c r="CB265" s="1190"/>
      <c r="CC265" s="1190"/>
      <c r="CD265" s="1190"/>
      <c r="CE265" s="1190"/>
      <c r="CF265" s="1190"/>
      <c r="CG265" s="1189"/>
      <c r="CH265" s="1189"/>
      <c r="CI265" s="1189"/>
      <c r="CJ265" s="1189"/>
      <c r="CK265" s="1184"/>
      <c r="CL265" s="1189"/>
      <c r="CM265" s="1189"/>
      <c r="CN265" s="1189"/>
      <c r="CO265" s="1189"/>
      <c r="CP265" s="1184"/>
      <c r="CQ265" s="1189"/>
      <c r="CR265" s="1189"/>
      <c r="CS265" s="1189"/>
      <c r="CT265" s="1189"/>
      <c r="CU265" s="1156"/>
      <c r="CV265" s="1189"/>
      <c r="CW265" s="1189"/>
      <c r="CX265" s="1189"/>
      <c r="CY265" s="1189"/>
      <c r="CZ265" s="1156"/>
      <c r="DA265" s="1156"/>
      <c r="DB265" s="2108"/>
      <c r="DC265" s="2108"/>
    </row>
    <row r="266" spans="1:107" s="1178" customFormat="1" ht="11.25" hidden="1" outlineLevel="1">
      <c r="A266" s="1191"/>
      <c r="B266" s="1191"/>
      <c r="C266" s="1191"/>
      <c r="D266" s="1191"/>
      <c r="E266" s="1191"/>
      <c r="F266" s="1191"/>
      <c r="G266" s="1191"/>
      <c r="H266" s="1191"/>
      <c r="I266" s="1191"/>
      <c r="J266" s="1191"/>
      <c r="K266" s="1191"/>
      <c r="L266" s="1191"/>
      <c r="M266" s="1191"/>
      <c r="N266" s="1182"/>
      <c r="O266" s="1191"/>
      <c r="P266" s="1191"/>
      <c r="Q266" s="1191"/>
      <c r="R266" s="1191"/>
      <c r="S266" s="1182"/>
      <c r="T266" s="1191"/>
      <c r="U266" s="1191"/>
      <c r="V266" s="1191"/>
      <c r="W266" s="1191"/>
      <c r="X266" s="1182"/>
      <c r="Y266" s="1191"/>
      <c r="Z266" s="1191"/>
      <c r="AA266" s="1191"/>
      <c r="AB266" s="1191"/>
      <c r="AC266" s="1182"/>
      <c r="AD266" s="1191"/>
      <c r="AE266" s="1191"/>
      <c r="AF266" s="1191"/>
      <c r="AG266" s="1191"/>
      <c r="AH266" s="1182"/>
      <c r="AI266" s="1191"/>
      <c r="AJ266" s="1191"/>
      <c r="AK266" s="1191"/>
      <c r="AL266" s="1191"/>
      <c r="AM266" s="1182"/>
      <c r="AN266" s="1191"/>
      <c r="AO266" s="1191"/>
      <c r="AP266" s="1191"/>
      <c r="AQ266" s="1191"/>
      <c r="AR266" s="1182"/>
      <c r="AS266" s="1182"/>
      <c r="AT266" s="1182"/>
      <c r="AU266" s="1182"/>
      <c r="AV266" s="1182"/>
      <c r="AW266" s="1182"/>
      <c r="AX266" s="1182"/>
      <c r="AY266" s="1182"/>
      <c r="AZ266" s="1182"/>
      <c r="BA266" s="1182"/>
      <c r="BB266" s="1182"/>
      <c r="BC266" s="1182"/>
      <c r="BD266" s="1182"/>
      <c r="BE266" s="1182"/>
      <c r="BF266" s="1182"/>
      <c r="BG266" s="1182"/>
      <c r="BH266" s="1182"/>
      <c r="BI266" s="1182"/>
      <c r="BJ266" s="1182"/>
      <c r="BK266" s="1182"/>
      <c r="BL266" s="1182"/>
      <c r="BM266" s="1182"/>
      <c r="BN266" s="1182"/>
      <c r="BO266" s="1182"/>
      <c r="BP266" s="1182"/>
      <c r="BQ266" s="1182"/>
      <c r="BR266" s="1190"/>
      <c r="BS266" s="1190"/>
      <c r="BT266" s="1190"/>
      <c r="BU266" s="1190"/>
      <c r="BV266" s="1190"/>
      <c r="BW266" s="1190"/>
      <c r="BX266" s="1190"/>
      <c r="BY266" s="1190"/>
      <c r="BZ266" s="1190"/>
      <c r="CA266" s="1190"/>
      <c r="CB266" s="1190"/>
      <c r="CC266" s="1190"/>
      <c r="CD266" s="1190"/>
      <c r="CE266" s="1190"/>
      <c r="CF266" s="1190"/>
      <c r="CG266" s="1189"/>
      <c r="CH266" s="1189"/>
      <c r="CI266" s="1189"/>
      <c r="CJ266" s="1189"/>
      <c r="CK266" s="1184"/>
      <c r="CL266" s="1189"/>
      <c r="CM266" s="1189"/>
      <c r="CN266" s="1189"/>
      <c r="CO266" s="1189"/>
      <c r="CP266" s="1184"/>
      <c r="CQ266" s="1189"/>
      <c r="CR266" s="1189"/>
      <c r="CS266" s="1189"/>
      <c r="CT266" s="1189"/>
      <c r="CU266" s="1156"/>
      <c r="CV266" s="1189"/>
      <c r="CW266" s="1189"/>
      <c r="CX266" s="1189"/>
      <c r="CY266" s="1189"/>
      <c r="CZ266" s="1156"/>
      <c r="DA266" s="1156"/>
      <c r="DB266" s="2108"/>
      <c r="DC266" s="2108"/>
    </row>
    <row r="267" spans="1:107" s="1178" customFormat="1" ht="11.25" hidden="1" outlineLevel="1">
      <c r="A267" s="1191"/>
      <c r="B267" s="1192" t="s">
        <v>845</v>
      </c>
      <c r="C267" s="1191"/>
      <c r="D267" s="1191"/>
      <c r="E267" s="1191"/>
      <c r="F267" s="1191"/>
      <c r="G267" s="1191"/>
      <c r="H267" s="1191"/>
      <c r="I267" s="1191"/>
      <c r="J267" s="1191"/>
      <c r="K267" s="1191"/>
      <c r="L267" s="1191"/>
      <c r="M267" s="1191"/>
      <c r="N267" s="1182"/>
      <c r="O267" s="1191"/>
      <c r="P267" s="1191"/>
      <c r="Q267" s="1191"/>
      <c r="R267" s="1191"/>
      <c r="S267" s="1182"/>
      <c r="T267" s="1191"/>
      <c r="U267" s="1191"/>
      <c r="V267" s="1191"/>
      <c r="W267" s="1191"/>
      <c r="X267" s="1182"/>
      <c r="Y267" s="1191"/>
      <c r="Z267" s="1191"/>
      <c r="AA267" s="1191"/>
      <c r="AB267" s="1191"/>
      <c r="AC267" s="1182"/>
      <c r="AD267" s="1191"/>
      <c r="AE267" s="1191"/>
      <c r="AF267" s="1191"/>
      <c r="AG267" s="1191"/>
      <c r="AH267" s="1182"/>
      <c r="AI267" s="1191"/>
      <c r="AJ267" s="1191"/>
      <c r="AK267" s="1191"/>
      <c r="AL267" s="1191"/>
      <c r="AM267" s="1182"/>
      <c r="AN267" s="1191"/>
      <c r="AO267" s="1191"/>
      <c r="AP267" s="1191"/>
      <c r="AQ267" s="1191"/>
      <c r="AR267" s="1182"/>
      <c r="AS267" s="1182"/>
      <c r="AT267" s="1182"/>
      <c r="AU267" s="1182"/>
      <c r="AV267" s="1182"/>
      <c r="AW267" s="1182"/>
      <c r="AX267" s="1182"/>
      <c r="AY267" s="1182"/>
      <c r="AZ267" s="1182"/>
      <c r="BA267" s="1182"/>
      <c r="BB267" s="1182"/>
      <c r="BC267" s="1182"/>
      <c r="BD267" s="1182"/>
      <c r="BE267" s="1182"/>
      <c r="BF267" s="1182"/>
      <c r="BG267" s="1182"/>
      <c r="BH267" s="1182"/>
      <c r="BI267" s="1182"/>
      <c r="BJ267" s="1182"/>
      <c r="BK267" s="1182"/>
      <c r="BL267" s="1182"/>
      <c r="BM267" s="1182"/>
      <c r="BN267" s="1182"/>
      <c r="BO267" s="1182"/>
      <c r="BP267" s="1182"/>
      <c r="BQ267" s="1182"/>
      <c r="BR267" s="1190"/>
      <c r="BS267" s="1190"/>
      <c r="BT267" s="1190"/>
      <c r="BU267" s="1190"/>
      <c r="BV267" s="1190"/>
      <c r="BW267" s="1190"/>
      <c r="BX267" s="1190"/>
      <c r="BY267" s="1190"/>
      <c r="BZ267" s="1190"/>
      <c r="CA267" s="1190"/>
      <c r="CB267" s="1190"/>
      <c r="CC267" s="1190"/>
      <c r="CD267" s="1190"/>
      <c r="CE267" s="1190"/>
      <c r="CF267" s="1190"/>
      <c r="CG267" s="1189"/>
      <c r="CH267" s="1189"/>
      <c r="CI267" s="1189"/>
      <c r="CJ267" s="1189"/>
      <c r="CK267" s="1184"/>
      <c r="CL267" s="1189"/>
      <c r="CM267" s="1189"/>
      <c r="CN267" s="1189"/>
      <c r="CO267" s="1189"/>
      <c r="CP267" s="1184"/>
      <c r="CQ267" s="1189"/>
      <c r="CR267" s="1189"/>
      <c r="CS267" s="1189"/>
      <c r="CT267" s="1189"/>
      <c r="CU267" s="1156"/>
      <c r="CV267" s="1189"/>
      <c r="CW267" s="1189"/>
      <c r="CX267" s="1189"/>
      <c r="CY267" s="1189"/>
      <c r="CZ267" s="1156"/>
      <c r="DA267" s="1156"/>
      <c r="DB267" s="2108"/>
      <c r="DC267" s="2108"/>
    </row>
    <row r="268" spans="1:107" s="1178" customFormat="1" ht="11.25" hidden="1" outlineLevel="1">
      <c r="A268" s="1156"/>
      <c r="B268" s="1188"/>
      <c r="C268" s="1156" t="s">
        <v>844</v>
      </c>
      <c r="D268" s="1156"/>
      <c r="E268" s="1156"/>
      <c r="F268" s="1156"/>
      <c r="G268" s="1156"/>
      <c r="H268" s="1156"/>
      <c r="I268" s="1156"/>
      <c r="J268" s="1156"/>
      <c r="K268" s="1156"/>
      <c r="L268" s="1156"/>
      <c r="M268" s="1156"/>
      <c r="N268" s="1186"/>
      <c r="O268" s="1156"/>
      <c r="P268" s="1156"/>
      <c r="Q268" s="1156"/>
      <c r="R268" s="1156"/>
      <c r="S268" s="1186"/>
      <c r="T268" s="1156"/>
      <c r="U268" s="1156"/>
      <c r="V268" s="1156"/>
      <c r="W268" s="1156"/>
      <c r="X268" s="1186"/>
      <c r="Y268" s="1156"/>
      <c r="Z268" s="1156"/>
      <c r="AA268" s="1156"/>
      <c r="AB268" s="1156"/>
      <c r="AC268" s="1186"/>
      <c r="AD268" s="1156"/>
      <c r="AE268" s="1156"/>
      <c r="AF268" s="1156"/>
      <c r="AG268" s="1156"/>
      <c r="AH268" s="1186"/>
      <c r="AI268" s="1156"/>
      <c r="AJ268" s="1156"/>
      <c r="AK268" s="1156"/>
      <c r="AL268" s="1156"/>
      <c r="AM268" s="1186"/>
      <c r="AN268" s="1156"/>
      <c r="AO268" s="1156"/>
      <c r="AP268" s="1156"/>
      <c r="AQ268" s="1156"/>
      <c r="AR268" s="1186"/>
      <c r="AS268" s="1186"/>
      <c r="AT268" s="1186"/>
      <c r="AU268" s="1186"/>
      <c r="AV268" s="1186"/>
      <c r="AW268" s="1187">
        <v>0.21</v>
      </c>
      <c r="AX268" s="1186"/>
      <c r="AY268" s="1186"/>
      <c r="AZ268" s="1186"/>
      <c r="BA268" s="1186"/>
      <c r="BB268" s="1186"/>
      <c r="BC268" s="1186"/>
      <c r="BD268" s="1186"/>
      <c r="BE268" s="1186"/>
      <c r="BF268" s="1186"/>
      <c r="BG268" s="1186"/>
      <c r="BH268" s="1186"/>
      <c r="BI268" s="1186"/>
      <c r="BJ268" s="1186"/>
      <c r="BK268" s="1186"/>
      <c r="BL268" s="1186"/>
      <c r="BM268" s="1186"/>
      <c r="BN268" s="1186"/>
      <c r="BO268" s="1186"/>
      <c r="BP268" s="1186"/>
      <c r="BQ268" s="1186"/>
      <c r="BR268" s="1184"/>
      <c r="BS268" s="1184"/>
      <c r="BT268" s="1184"/>
      <c r="BU268" s="1184"/>
      <c r="BV268" s="1184"/>
      <c r="BW268" s="1184"/>
      <c r="BX268" s="1184"/>
      <c r="BY268" s="1184"/>
      <c r="BZ268" s="1184"/>
      <c r="CA268" s="1184"/>
      <c r="CB268" s="1184"/>
      <c r="CC268" s="1184"/>
      <c r="CD268" s="1184"/>
      <c r="CE268" s="1184"/>
      <c r="CF268" s="1184"/>
      <c r="CG268" s="1185"/>
      <c r="CH268" s="1185"/>
      <c r="CI268" s="1185"/>
      <c r="CJ268" s="1185"/>
      <c r="CK268" s="1184"/>
      <c r="CL268" s="1185"/>
      <c r="CM268" s="1185"/>
      <c r="CN268" s="1185"/>
      <c r="CO268" s="1185"/>
      <c r="CP268" s="1184"/>
      <c r="CQ268" s="1185"/>
      <c r="CR268" s="1185"/>
      <c r="CS268" s="1185"/>
      <c r="CT268" s="1185"/>
      <c r="CU268" s="1156"/>
      <c r="CV268" s="1185"/>
      <c r="CW268" s="1185"/>
      <c r="CX268" s="1185"/>
      <c r="CY268" s="1185"/>
      <c r="CZ268" s="1156"/>
      <c r="DA268" s="1156"/>
      <c r="DB268" s="2108"/>
      <c r="DC268" s="2108"/>
    </row>
    <row r="269" spans="1:107" s="1178" customFormat="1" ht="11.25" hidden="1" outlineLevel="1">
      <c r="A269" s="1156"/>
      <c r="B269" s="1188"/>
      <c r="C269" s="1156" t="s">
        <v>843</v>
      </c>
      <c r="D269" s="1156"/>
      <c r="E269" s="1156"/>
      <c r="F269" s="1156"/>
      <c r="G269" s="1156"/>
      <c r="H269" s="1156"/>
      <c r="I269" s="1156"/>
      <c r="J269" s="1156"/>
      <c r="K269" s="1156"/>
      <c r="L269" s="1156"/>
      <c r="M269" s="1156"/>
      <c r="N269" s="1186"/>
      <c r="O269" s="1156"/>
      <c r="P269" s="1156"/>
      <c r="Q269" s="1156"/>
      <c r="R269" s="1156"/>
      <c r="S269" s="1186"/>
      <c r="T269" s="1156"/>
      <c r="U269" s="1156"/>
      <c r="V269" s="1156"/>
      <c r="W269" s="1156"/>
      <c r="X269" s="1186"/>
      <c r="Y269" s="1156"/>
      <c r="Z269" s="1156"/>
      <c r="AA269" s="1156"/>
      <c r="AB269" s="1156"/>
      <c r="AC269" s="1186"/>
      <c r="AD269" s="1156"/>
      <c r="AE269" s="1156"/>
      <c r="AF269" s="1156"/>
      <c r="AG269" s="1156"/>
      <c r="AH269" s="1186"/>
      <c r="AI269" s="1156"/>
      <c r="AJ269" s="1156"/>
      <c r="AK269" s="1156"/>
      <c r="AL269" s="1156"/>
      <c r="AM269" s="1186"/>
      <c r="AN269" s="1156"/>
      <c r="AO269" s="1156"/>
      <c r="AP269" s="1156"/>
      <c r="AQ269" s="1156"/>
      <c r="AR269" s="1186"/>
      <c r="AS269" s="1186"/>
      <c r="AT269" s="1186"/>
      <c r="AU269" s="1186"/>
      <c r="AV269" s="1186"/>
      <c r="AW269" s="1187">
        <v>0.28999999999999998</v>
      </c>
      <c r="AX269" s="1186"/>
      <c r="AY269" s="1186"/>
      <c r="AZ269" s="1186"/>
      <c r="BA269" s="1186"/>
      <c r="BB269" s="1186"/>
      <c r="BC269" s="1186"/>
      <c r="BD269" s="1186"/>
      <c r="BE269" s="1186"/>
      <c r="BF269" s="1186"/>
      <c r="BG269" s="1186"/>
      <c r="BH269" s="1186"/>
      <c r="BI269" s="1186"/>
      <c r="BJ269" s="1186"/>
      <c r="BK269" s="1186"/>
      <c r="BL269" s="1186"/>
      <c r="BM269" s="1186"/>
      <c r="BN269" s="1186"/>
      <c r="BO269" s="1186"/>
      <c r="BP269" s="1186"/>
      <c r="BQ269" s="1186"/>
      <c r="BR269" s="1184"/>
      <c r="BS269" s="1184"/>
      <c r="BT269" s="1184"/>
      <c r="BU269" s="1184"/>
      <c r="BV269" s="1184"/>
      <c r="BW269" s="1184"/>
      <c r="BX269" s="1184"/>
      <c r="BY269" s="1184"/>
      <c r="BZ269" s="1184"/>
      <c r="CA269" s="1184"/>
      <c r="CB269" s="1184"/>
      <c r="CC269" s="1184"/>
      <c r="CD269" s="1184"/>
      <c r="CE269" s="1184"/>
      <c r="CF269" s="1184"/>
      <c r="CG269" s="1185"/>
      <c r="CH269" s="1185"/>
      <c r="CI269" s="1185"/>
      <c r="CJ269" s="1185"/>
      <c r="CK269" s="1184"/>
      <c r="CL269" s="1185"/>
      <c r="CM269" s="1185"/>
      <c r="CN269" s="1185"/>
      <c r="CO269" s="1185"/>
      <c r="CP269" s="1184"/>
      <c r="CQ269" s="1185"/>
      <c r="CR269" s="1185"/>
      <c r="CS269" s="1185"/>
      <c r="CT269" s="1185"/>
      <c r="CU269" s="1156"/>
      <c r="CV269" s="1185"/>
      <c r="CW269" s="1185"/>
      <c r="CX269" s="1185"/>
      <c r="CY269" s="1185"/>
      <c r="CZ269" s="1156"/>
      <c r="DA269" s="1156"/>
      <c r="DB269" s="2108"/>
      <c r="DC269" s="2108"/>
    </row>
    <row r="270" spans="1:107" s="1178" customFormat="1" ht="11.25" hidden="1" outlineLevel="1">
      <c r="A270" s="1156"/>
      <c r="B270" s="1188"/>
      <c r="C270" s="1156" t="s">
        <v>499</v>
      </c>
      <c r="D270" s="1156"/>
      <c r="E270" s="1156"/>
      <c r="F270" s="1156"/>
      <c r="G270" s="1156"/>
      <c r="H270" s="1156"/>
      <c r="I270" s="1156"/>
      <c r="J270" s="1156"/>
      <c r="K270" s="1156"/>
      <c r="L270" s="1156"/>
      <c r="M270" s="1156"/>
      <c r="N270" s="1186"/>
      <c r="O270" s="1156"/>
      <c r="P270" s="1156"/>
      <c r="Q270" s="1156"/>
      <c r="R270" s="1156"/>
      <c r="S270" s="1186"/>
      <c r="T270" s="1156"/>
      <c r="U270" s="1156"/>
      <c r="V270" s="1156"/>
      <c r="W270" s="1156"/>
      <c r="X270" s="1186"/>
      <c r="Y270" s="1156"/>
      <c r="Z270" s="1156"/>
      <c r="AA270" s="1156"/>
      <c r="AB270" s="1156"/>
      <c r="AC270" s="1186"/>
      <c r="AD270" s="1156"/>
      <c r="AE270" s="1156"/>
      <c r="AF270" s="1156"/>
      <c r="AG270" s="1156"/>
      <c r="AH270" s="1186"/>
      <c r="AI270" s="1156"/>
      <c r="AJ270" s="1156"/>
      <c r="AK270" s="1156"/>
      <c r="AL270" s="1156"/>
      <c r="AM270" s="1186"/>
      <c r="AN270" s="1156"/>
      <c r="AO270" s="1156"/>
      <c r="AP270" s="1156"/>
      <c r="AQ270" s="1156"/>
      <c r="AR270" s="1186"/>
      <c r="AS270" s="1186"/>
      <c r="AT270" s="1186"/>
      <c r="AU270" s="1186"/>
      <c r="AV270" s="1186"/>
      <c r="AW270" s="1187">
        <v>0.26</v>
      </c>
      <c r="AX270" s="1186"/>
      <c r="AY270" s="1186"/>
      <c r="AZ270" s="1186"/>
      <c r="BA270" s="1186"/>
      <c r="BB270" s="1186"/>
      <c r="BC270" s="1186"/>
      <c r="BD270" s="1186"/>
      <c r="BE270" s="1186"/>
      <c r="BF270" s="1186"/>
      <c r="BG270" s="1186"/>
      <c r="BH270" s="1186"/>
      <c r="BI270" s="1186"/>
      <c r="BJ270" s="1186"/>
      <c r="BK270" s="1186"/>
      <c r="BL270" s="1186"/>
      <c r="BM270" s="1186"/>
      <c r="BN270" s="1186"/>
      <c r="BO270" s="1186"/>
      <c r="BP270" s="1186"/>
      <c r="BQ270" s="1186"/>
      <c r="BR270" s="1184"/>
      <c r="BS270" s="1184"/>
      <c r="BT270" s="1184"/>
      <c r="BU270" s="1184"/>
      <c r="BV270" s="1184"/>
      <c r="BW270" s="1184"/>
      <c r="BX270" s="1184"/>
      <c r="BY270" s="1184"/>
      <c r="BZ270" s="1184"/>
      <c r="CA270" s="1184"/>
      <c r="CB270" s="1184"/>
      <c r="CC270" s="1184"/>
      <c r="CD270" s="1184"/>
      <c r="CE270" s="1184"/>
      <c r="CF270" s="1184"/>
      <c r="CG270" s="1185"/>
      <c r="CH270" s="1185"/>
      <c r="CI270" s="1185"/>
      <c r="CJ270" s="1185"/>
      <c r="CK270" s="1184"/>
      <c r="CL270" s="1185"/>
      <c r="CM270" s="1185"/>
      <c r="CN270" s="1185"/>
      <c r="CO270" s="1185"/>
      <c r="CP270" s="1184"/>
      <c r="CQ270" s="1185"/>
      <c r="CR270" s="1185"/>
      <c r="CS270" s="1185"/>
      <c r="CT270" s="1185"/>
      <c r="CU270" s="1156"/>
      <c r="CV270" s="1185"/>
      <c r="CW270" s="1185"/>
      <c r="CX270" s="1185"/>
      <c r="CY270" s="1185"/>
      <c r="CZ270" s="1156"/>
      <c r="DA270" s="1156"/>
      <c r="DB270" s="2108"/>
      <c r="DC270" s="2108"/>
    </row>
    <row r="271" spans="1:107" s="1178" customFormat="1" ht="11.25" hidden="1" outlineLevel="1">
      <c r="A271" s="1156"/>
      <c r="B271" s="1188"/>
      <c r="C271" s="1156" t="s">
        <v>842</v>
      </c>
      <c r="D271" s="1156"/>
      <c r="E271" s="1156"/>
      <c r="F271" s="1156"/>
      <c r="G271" s="1156"/>
      <c r="H271" s="1156"/>
      <c r="I271" s="1156"/>
      <c r="J271" s="1156"/>
      <c r="K271" s="1156"/>
      <c r="L271" s="1156"/>
      <c r="M271" s="1156"/>
      <c r="N271" s="1186"/>
      <c r="O271" s="1156"/>
      <c r="P271" s="1156"/>
      <c r="Q271" s="1156"/>
      <c r="R271" s="1156"/>
      <c r="S271" s="1186"/>
      <c r="T271" s="1156"/>
      <c r="U271" s="1156"/>
      <c r="V271" s="1156"/>
      <c r="W271" s="1156"/>
      <c r="X271" s="1186"/>
      <c r="Y271" s="1156"/>
      <c r="Z271" s="1156"/>
      <c r="AA271" s="1156"/>
      <c r="AB271" s="1156"/>
      <c r="AC271" s="1186"/>
      <c r="AD271" s="1156"/>
      <c r="AE271" s="1156"/>
      <c r="AF271" s="1156"/>
      <c r="AG271" s="1156"/>
      <c r="AH271" s="1186"/>
      <c r="AI271" s="1156"/>
      <c r="AJ271" s="1156"/>
      <c r="AK271" s="1156"/>
      <c r="AL271" s="1156"/>
      <c r="AM271" s="1186"/>
      <c r="AN271" s="1156"/>
      <c r="AO271" s="1156"/>
      <c r="AP271" s="1156"/>
      <c r="AQ271" s="1156"/>
      <c r="AR271" s="1186"/>
      <c r="AS271" s="1186"/>
      <c r="AT271" s="1186"/>
      <c r="AU271" s="1186"/>
      <c r="AV271" s="1186"/>
      <c r="AW271" s="1187">
        <v>0.13</v>
      </c>
      <c r="AX271" s="1186"/>
      <c r="AY271" s="1186"/>
      <c r="AZ271" s="1186"/>
      <c r="BA271" s="1186"/>
      <c r="BB271" s="1186"/>
      <c r="BC271" s="1186"/>
      <c r="BD271" s="1186"/>
      <c r="BE271" s="1186"/>
      <c r="BF271" s="1186"/>
      <c r="BG271" s="1186"/>
      <c r="BH271" s="1186"/>
      <c r="BI271" s="1186"/>
      <c r="BJ271" s="1186"/>
      <c r="BK271" s="1186"/>
      <c r="BL271" s="1186"/>
      <c r="BM271" s="1186"/>
      <c r="BN271" s="1186"/>
      <c r="BO271" s="1186"/>
      <c r="BP271" s="1186"/>
      <c r="BQ271" s="1186"/>
      <c r="BR271" s="1184"/>
      <c r="BS271" s="1184"/>
      <c r="BT271" s="1184"/>
      <c r="BU271" s="1184"/>
      <c r="BV271" s="1184"/>
      <c r="BW271" s="1184"/>
      <c r="BX271" s="1184"/>
      <c r="BY271" s="1184"/>
      <c r="BZ271" s="1184"/>
      <c r="CA271" s="1184"/>
      <c r="CB271" s="1184"/>
      <c r="CC271" s="1184"/>
      <c r="CD271" s="1184"/>
      <c r="CE271" s="1184"/>
      <c r="CF271" s="1184"/>
      <c r="CG271" s="1185"/>
      <c r="CH271" s="1185"/>
      <c r="CI271" s="1185"/>
      <c r="CJ271" s="1185"/>
      <c r="CK271" s="1184"/>
      <c r="CL271" s="1185"/>
      <c r="CM271" s="1185"/>
      <c r="CN271" s="1185"/>
      <c r="CO271" s="1185"/>
      <c r="CP271" s="1184"/>
      <c r="CQ271" s="1185"/>
      <c r="CR271" s="1185"/>
      <c r="CS271" s="1185"/>
      <c r="CT271" s="1185"/>
      <c r="CU271" s="1156"/>
      <c r="CV271" s="1185"/>
      <c r="CW271" s="1185"/>
      <c r="CX271" s="1185"/>
      <c r="CY271" s="1185"/>
      <c r="CZ271" s="1156"/>
      <c r="DA271" s="1156"/>
      <c r="DB271" s="2108"/>
      <c r="DC271" s="2108"/>
    </row>
    <row r="272" spans="1:107" s="1178" customFormat="1" ht="11.25" hidden="1" outlineLevel="1">
      <c r="A272" s="1156"/>
      <c r="B272" s="1156"/>
      <c r="C272" s="1156" t="s">
        <v>542</v>
      </c>
      <c r="D272" s="1156"/>
      <c r="E272" s="1156"/>
      <c r="F272" s="1156"/>
      <c r="G272" s="1156"/>
      <c r="H272" s="1156"/>
      <c r="I272" s="1156"/>
      <c r="J272" s="1156"/>
      <c r="K272" s="1156"/>
      <c r="L272" s="1156"/>
      <c r="M272" s="1156"/>
      <c r="N272" s="1186"/>
      <c r="O272" s="1156"/>
      <c r="P272" s="1156"/>
      <c r="Q272" s="1156"/>
      <c r="R272" s="1156"/>
      <c r="S272" s="1186"/>
      <c r="T272" s="1156"/>
      <c r="U272" s="1156"/>
      <c r="V272" s="1156"/>
      <c r="W272" s="1156"/>
      <c r="X272" s="1186"/>
      <c r="Y272" s="1156"/>
      <c r="Z272" s="1156"/>
      <c r="AA272" s="1156"/>
      <c r="AB272" s="1156"/>
      <c r="AC272" s="1186"/>
      <c r="AD272" s="1156"/>
      <c r="AE272" s="1156"/>
      <c r="AF272" s="1156"/>
      <c r="AG272" s="1156"/>
      <c r="AH272" s="1186"/>
      <c r="AI272" s="1156"/>
      <c r="AJ272" s="1156"/>
      <c r="AK272" s="1156"/>
      <c r="AL272" s="1156"/>
      <c r="AM272" s="1186"/>
      <c r="AN272" s="1156"/>
      <c r="AO272" s="1156"/>
      <c r="AP272" s="1156"/>
      <c r="AQ272" s="1156"/>
      <c r="AR272" s="1186"/>
      <c r="AS272" s="1186"/>
      <c r="AT272" s="1186"/>
      <c r="AU272" s="1186"/>
      <c r="AV272" s="1186"/>
      <c r="AW272" s="1187">
        <v>0.22</v>
      </c>
      <c r="AX272" s="1186"/>
      <c r="AY272" s="1186"/>
      <c r="AZ272" s="1186"/>
      <c r="BA272" s="1186"/>
      <c r="BB272" s="1186"/>
      <c r="BC272" s="1186"/>
      <c r="BD272" s="1186"/>
      <c r="BE272" s="1186"/>
      <c r="BF272" s="1186"/>
      <c r="BG272" s="1186"/>
      <c r="BH272" s="1186"/>
      <c r="BI272" s="1186"/>
      <c r="BJ272" s="1186"/>
      <c r="BK272" s="1186"/>
      <c r="BL272" s="1186"/>
      <c r="BM272" s="1186"/>
      <c r="BN272" s="1186"/>
      <c r="BO272" s="1186"/>
      <c r="BP272" s="1186"/>
      <c r="BQ272" s="1186"/>
      <c r="BR272" s="1184"/>
      <c r="BS272" s="1184"/>
      <c r="BT272" s="1184"/>
      <c r="BU272" s="1184"/>
      <c r="BV272" s="1184"/>
      <c r="BW272" s="1184"/>
      <c r="BX272" s="1184"/>
      <c r="BY272" s="1184"/>
      <c r="BZ272" s="1184"/>
      <c r="CA272" s="1184"/>
      <c r="CB272" s="1184"/>
      <c r="CC272" s="1184"/>
      <c r="CD272" s="1184"/>
      <c r="CE272" s="1184"/>
      <c r="CF272" s="1184"/>
      <c r="CG272" s="1185"/>
      <c r="CH272" s="1185"/>
      <c r="CI272" s="1185"/>
      <c r="CJ272" s="1185"/>
      <c r="CK272" s="1184"/>
      <c r="CL272" s="1185"/>
      <c r="CM272" s="1185"/>
      <c r="CN272" s="1185"/>
      <c r="CO272" s="1185"/>
      <c r="CP272" s="1184"/>
      <c r="CQ272" s="1185"/>
      <c r="CR272" s="1185"/>
      <c r="CS272" s="1185"/>
      <c r="CT272" s="1185"/>
      <c r="CU272" s="1156"/>
      <c r="CV272" s="1185"/>
      <c r="CW272" s="1185"/>
      <c r="CX272" s="1185"/>
      <c r="CY272" s="1185"/>
      <c r="CZ272" s="1156"/>
      <c r="DA272" s="1156"/>
      <c r="DB272" s="2108"/>
      <c r="DC272" s="2108"/>
    </row>
    <row r="273" spans="2:107" s="1178" customFormat="1" ht="11.25" hidden="1" outlineLevel="1">
      <c r="CV273" s="2109"/>
      <c r="CW273" s="2109"/>
      <c r="CX273" s="2109"/>
      <c r="CY273" s="2109"/>
      <c r="DB273" s="2109"/>
      <c r="DC273" s="2109"/>
    </row>
    <row r="274" spans="2:107" s="1178" customFormat="1" ht="11.25" collapsed="1">
      <c r="BQ274" s="1179"/>
      <c r="BV274" s="1179"/>
      <c r="CA274" s="1179"/>
      <c r="CF274" s="1179"/>
      <c r="CV274" s="2109"/>
      <c r="CW274" s="2109"/>
      <c r="CX274" s="2109"/>
      <c r="CY274" s="2109"/>
      <c r="DB274" s="2109"/>
      <c r="DC274" s="2109"/>
    </row>
    <row r="275" spans="2:107" s="1178" customFormat="1" ht="11.25">
      <c r="B275" s="266" t="s">
        <v>841</v>
      </c>
      <c r="BQ275" s="1179"/>
      <c r="BV275" s="1179"/>
      <c r="CA275" s="1180"/>
      <c r="CF275" s="1179"/>
      <c r="CV275" s="2109"/>
      <c r="CW275" s="2109"/>
      <c r="CX275" s="2109"/>
      <c r="CY275" s="2109"/>
      <c r="DB275" s="2109"/>
      <c r="DC275" s="2109"/>
    </row>
    <row r="276" spans="2:107" s="1178" customFormat="1" ht="11.25">
      <c r="C276" s="1178" t="s">
        <v>840</v>
      </c>
      <c r="BQ276" s="1179"/>
      <c r="BV276" s="1179"/>
      <c r="CA276" s="1180">
        <f>64/360</f>
        <v>0.17777777777777778</v>
      </c>
      <c r="CF276" s="1179"/>
      <c r="CV276" s="2109"/>
      <c r="CW276" s="2109"/>
      <c r="CX276" s="2109"/>
      <c r="CY276" s="2109"/>
      <c r="DB276" s="2109"/>
      <c r="DC276" s="2109"/>
    </row>
    <row r="277" spans="2:107" s="1178" customFormat="1" ht="11.25">
      <c r="C277" s="1178" t="s">
        <v>839</v>
      </c>
      <c r="BQ277" s="1179"/>
      <c r="BV277" s="1179"/>
      <c r="CA277" s="1180">
        <v>0.21</v>
      </c>
      <c r="CF277" s="1179"/>
      <c r="CV277" s="2109"/>
      <c r="CW277" s="2109"/>
      <c r="CX277" s="2109"/>
      <c r="CY277" s="2109"/>
      <c r="DB277" s="2109"/>
      <c r="DC277" s="2109"/>
    </row>
    <row r="278" spans="2:107" s="1178" customFormat="1" ht="11.25">
      <c r="C278" s="1178" t="s">
        <v>838</v>
      </c>
      <c r="BQ278" s="1179"/>
      <c r="BV278" s="1179"/>
      <c r="CA278" s="1180">
        <f>50/360</f>
        <v>0.1388888888888889</v>
      </c>
      <c r="CF278" s="1179"/>
      <c r="CV278" s="2109"/>
      <c r="CW278" s="2109"/>
      <c r="CX278" s="2109"/>
      <c r="CY278" s="2109"/>
      <c r="DB278" s="2109"/>
      <c r="DC278" s="2109"/>
    </row>
    <row r="279" spans="2:107" s="1178" customFormat="1" ht="11.25">
      <c r="C279" s="1178" t="s">
        <v>837</v>
      </c>
      <c r="BQ279" s="1179"/>
      <c r="BV279" s="1179"/>
      <c r="CA279" s="1183">
        <f>30/360</f>
        <v>8.3333333333333329E-2</v>
      </c>
      <c r="CF279" s="1179"/>
      <c r="CV279" s="2109"/>
      <c r="CW279" s="2109"/>
      <c r="CX279" s="2109"/>
      <c r="CY279" s="2109"/>
      <c r="DB279" s="2109"/>
      <c r="DC279" s="2109"/>
    </row>
    <row r="280" spans="2:107" s="1178" customFormat="1" ht="11.25">
      <c r="C280" s="1178" t="s">
        <v>671</v>
      </c>
      <c r="BQ280" s="1179"/>
      <c r="BV280" s="1179"/>
      <c r="CA280" s="1183">
        <f>15/360</f>
        <v>4.1666666666666664E-2</v>
      </c>
      <c r="CF280" s="1179"/>
      <c r="CV280" s="2109"/>
      <c r="CW280" s="2109"/>
      <c r="CX280" s="2109"/>
      <c r="CY280" s="2109"/>
      <c r="DB280" s="2109"/>
      <c r="DC280" s="2109"/>
    </row>
    <row r="281" spans="2:107" s="1178" customFormat="1" ht="11.25">
      <c r="C281" s="1178" t="s">
        <v>836</v>
      </c>
      <c r="BQ281" s="1179"/>
      <c r="BV281" s="1179"/>
      <c r="CA281" s="1183">
        <f>12/360</f>
        <v>3.3333333333333333E-2</v>
      </c>
      <c r="CF281" s="1179"/>
      <c r="CV281" s="2109"/>
      <c r="CW281" s="2109"/>
      <c r="CX281" s="2109"/>
      <c r="CY281" s="2109"/>
      <c r="DB281" s="2109"/>
      <c r="DC281" s="2109"/>
    </row>
    <row r="282" spans="2:107" s="1178" customFormat="1" ht="11.25">
      <c r="C282" s="1178" t="s">
        <v>835</v>
      </c>
      <c r="BQ282" s="1179"/>
      <c r="BV282" s="1179"/>
      <c r="CA282" s="1183">
        <f>60/360</f>
        <v>0.16666666666666666</v>
      </c>
      <c r="CF282" s="1179"/>
      <c r="CV282" s="2109"/>
      <c r="CW282" s="2109"/>
      <c r="CX282" s="2109"/>
      <c r="CY282" s="2109"/>
      <c r="DB282" s="2109"/>
      <c r="DC282" s="2109"/>
    </row>
    <row r="283" spans="2:107" s="1178" customFormat="1" ht="11.25">
      <c r="C283" s="1178" t="s">
        <v>834</v>
      </c>
      <c r="BQ283" s="1179"/>
      <c r="BV283" s="1179"/>
      <c r="CA283" s="1183">
        <f>1-SUM(CA276:CA282)</f>
        <v>0.14833333333333343</v>
      </c>
      <c r="CF283" s="1179"/>
      <c r="CV283" s="2109"/>
      <c r="CW283" s="2109"/>
      <c r="CX283" s="2109"/>
      <c r="CY283" s="2109"/>
      <c r="DB283" s="2109"/>
      <c r="DC283" s="2109"/>
    </row>
    <row r="284" spans="2:107" s="1178" customFormat="1" ht="11.25">
      <c r="BQ284" s="1179"/>
      <c r="BV284" s="1179"/>
      <c r="CA284" s="1179"/>
      <c r="CF284" s="1179"/>
      <c r="CV284" s="2109"/>
      <c r="CW284" s="2109"/>
      <c r="CX284" s="2109"/>
      <c r="CY284" s="2109"/>
      <c r="DB284" s="2109"/>
      <c r="DC284" s="2109"/>
    </row>
    <row r="285" spans="2:107" s="1178" customFormat="1" ht="11.25">
      <c r="B285" s="1182" t="s">
        <v>833</v>
      </c>
      <c r="D285" s="1181"/>
      <c r="BQ285" s="1179"/>
      <c r="BV285" s="1179"/>
      <c r="CA285" s="1179"/>
      <c r="CF285" s="1179"/>
      <c r="CV285" s="2109"/>
      <c r="CW285" s="2109"/>
      <c r="CX285" s="2109"/>
      <c r="CY285" s="2109"/>
      <c r="DB285" s="2109"/>
      <c r="DC285" s="2109"/>
    </row>
    <row r="286" spans="2:107" s="1178" customFormat="1" ht="11.25">
      <c r="C286" s="1178" t="s">
        <v>564</v>
      </c>
      <c r="BQ286" s="1179"/>
      <c r="BV286" s="1180">
        <v>0.45</v>
      </c>
      <c r="CA286" s="1180">
        <v>0.4</v>
      </c>
      <c r="CF286" s="1179"/>
      <c r="CV286" s="2109"/>
      <c r="CW286" s="2109"/>
      <c r="CX286" s="2109"/>
      <c r="CY286" s="2109"/>
      <c r="DB286" s="2109"/>
      <c r="DC286" s="2109"/>
    </row>
    <row r="287" spans="2:107" s="1178" customFormat="1" ht="11.25">
      <c r="C287" s="1178" t="s">
        <v>798</v>
      </c>
      <c r="BQ287" s="1179"/>
      <c r="BV287" s="1180">
        <v>0.25</v>
      </c>
      <c r="CA287" s="1180">
        <v>0.25</v>
      </c>
      <c r="CF287" s="1179"/>
      <c r="CV287" s="2109"/>
      <c r="CW287" s="2109"/>
      <c r="CX287" s="2109"/>
      <c r="CY287" s="2109"/>
      <c r="DB287" s="2109"/>
      <c r="DC287" s="2109"/>
    </row>
    <row r="288" spans="2:107" s="1178" customFormat="1" ht="11.25">
      <c r="C288" s="1178" t="s">
        <v>832</v>
      </c>
      <c r="BQ288" s="1179"/>
      <c r="BV288" s="1180">
        <v>0.3</v>
      </c>
      <c r="CA288" s="1180">
        <f>1-CA287-CA286</f>
        <v>0.35</v>
      </c>
      <c r="CF288" s="1179"/>
      <c r="CV288" s="2109"/>
      <c r="CW288" s="2109"/>
      <c r="CX288" s="2109"/>
      <c r="CY288" s="2109"/>
      <c r="DB288" s="2109"/>
      <c r="DC288" s="2109"/>
    </row>
    <row r="289" spans="4:107" s="1178" customFormat="1" ht="11.25">
      <c r="D289" s="1178" t="s">
        <v>499</v>
      </c>
      <c r="BQ289" s="1179"/>
      <c r="BV289" s="1179"/>
      <c r="CA289" s="1180">
        <f>60%*CA288</f>
        <v>0.21</v>
      </c>
      <c r="CF289" s="1179"/>
      <c r="CV289" s="2109"/>
      <c r="CW289" s="2109"/>
      <c r="CX289" s="2109"/>
      <c r="CY289" s="2109"/>
      <c r="DB289" s="2109"/>
      <c r="DC289" s="2109"/>
    </row>
    <row r="290" spans="4:107" s="1178" customFormat="1" ht="11.25">
      <c r="BQ290" s="1179"/>
      <c r="BV290" s="1179"/>
      <c r="CA290" s="1179"/>
      <c r="CF290" s="1179"/>
      <c r="CV290" s="2109"/>
      <c r="CW290" s="2109"/>
      <c r="CX290" s="2109"/>
      <c r="CY290" s="2109"/>
      <c r="DB290" s="2109"/>
      <c r="DC290" s="2109"/>
    </row>
    <row r="291" spans="4:107" s="1178" customFormat="1" ht="11.25">
      <c r="BQ291" s="1179"/>
      <c r="BV291" s="1179"/>
      <c r="CA291" s="1179"/>
      <c r="CF291" s="1179"/>
      <c r="CV291" s="2109"/>
      <c r="CW291" s="2109"/>
      <c r="CX291" s="2109"/>
      <c r="CY291" s="2109"/>
      <c r="DB291" s="2109"/>
      <c r="DC291" s="2109"/>
    </row>
    <row r="292" spans="4:107" s="1178" customFormat="1" ht="11.25">
      <c r="BQ292" s="1179"/>
      <c r="BV292" s="1179"/>
      <c r="CA292" s="1179"/>
      <c r="CF292" s="1179"/>
      <c r="CV292" s="2109"/>
      <c r="CW292" s="2109"/>
      <c r="CX292" s="2109"/>
      <c r="CY292" s="2109"/>
      <c r="DB292" s="2109"/>
      <c r="DC292" s="2109"/>
    </row>
    <row r="293" spans="4:107" s="1178" customFormat="1" ht="11.25">
      <c r="BQ293" s="1179"/>
      <c r="BV293" s="1179"/>
      <c r="CA293" s="1179"/>
      <c r="CF293" s="1179"/>
      <c r="CV293" s="2109"/>
      <c r="CW293" s="2109"/>
      <c r="CX293" s="2109"/>
      <c r="CY293" s="2109"/>
      <c r="DB293" s="2109"/>
      <c r="DC293" s="2109"/>
    </row>
    <row r="294" spans="4:107" s="1178" customFormat="1" ht="11.25">
      <c r="BQ294" s="1179"/>
      <c r="BV294" s="1179"/>
      <c r="CA294" s="1179"/>
      <c r="CF294" s="1179"/>
      <c r="CV294" s="2109"/>
      <c r="CW294" s="2109"/>
      <c r="CX294" s="2109"/>
      <c r="CY294" s="2109"/>
      <c r="DB294" s="2109"/>
      <c r="DC294" s="2109"/>
    </row>
    <row r="295" spans="4:107" s="1178" customFormat="1" ht="11.25">
      <c r="BQ295" s="1179"/>
      <c r="BV295" s="1179"/>
      <c r="CA295" s="1179"/>
      <c r="CF295" s="1179"/>
      <c r="CV295" s="2109"/>
      <c r="CW295" s="2109"/>
      <c r="CX295" s="2109"/>
      <c r="CY295" s="2109"/>
      <c r="DB295" s="2109"/>
      <c r="DC295" s="2109"/>
    </row>
    <row r="296" spans="4:107" s="1178" customFormat="1" ht="11.25">
      <c r="BQ296" s="1179"/>
      <c r="BV296" s="1179"/>
      <c r="CA296" s="1179"/>
      <c r="CF296" s="1179"/>
      <c r="CV296" s="2109"/>
      <c r="CW296" s="2109"/>
      <c r="CX296" s="2109"/>
      <c r="CY296" s="2109"/>
      <c r="DB296" s="2109"/>
      <c r="DC296" s="2109"/>
    </row>
    <row r="297" spans="4:107" s="1178" customFormat="1" ht="11.25">
      <c r="BQ297" s="1179"/>
      <c r="BV297" s="1179"/>
      <c r="CA297" s="1179"/>
      <c r="CF297" s="1179"/>
      <c r="CV297" s="2109"/>
      <c r="CW297" s="2109"/>
      <c r="CX297" s="2109"/>
      <c r="CY297" s="2109"/>
      <c r="DB297" s="2109"/>
      <c r="DC297" s="2109"/>
    </row>
    <row r="298" spans="4:107" s="1178" customFormat="1" ht="11.25">
      <c r="BQ298" s="1179"/>
      <c r="BV298" s="1179"/>
      <c r="CA298" s="1179"/>
      <c r="CF298" s="1179"/>
      <c r="CV298" s="2109"/>
      <c r="CW298" s="2109"/>
      <c r="CX298" s="2109"/>
      <c r="CY298" s="2109"/>
      <c r="DB298" s="2109"/>
      <c r="DC298" s="2109"/>
    </row>
    <row r="299" spans="4:107" s="1178" customFormat="1" ht="11.25">
      <c r="BQ299" s="1179"/>
      <c r="BV299" s="1179"/>
      <c r="CA299" s="1179"/>
      <c r="CF299" s="1179"/>
      <c r="CV299" s="2109"/>
      <c r="CW299" s="2109"/>
      <c r="CX299" s="2109"/>
      <c r="CY299" s="2109"/>
      <c r="DB299" s="2109"/>
      <c r="DC299" s="2109"/>
    </row>
    <row r="300" spans="4:107" s="1178" customFormat="1" ht="11.25">
      <c r="CV300" s="2109"/>
      <c r="CW300" s="2109"/>
      <c r="CX300" s="2109"/>
      <c r="CY300" s="2109"/>
      <c r="DB300" s="2109"/>
      <c r="DC300" s="2109"/>
    </row>
    <row r="301" spans="4:107" s="1178" customFormat="1" ht="11.25">
      <c r="CV301" s="2109"/>
      <c r="CW301" s="2109"/>
      <c r="CX301" s="2109"/>
      <c r="CY301" s="2109"/>
      <c r="DB301" s="2109"/>
      <c r="DC301" s="2109"/>
    </row>
    <row r="302" spans="4:107" s="1178" customFormat="1" ht="11.25">
      <c r="CV302" s="2109"/>
      <c r="CW302" s="2109"/>
      <c r="CX302" s="2109"/>
      <c r="CY302" s="2109"/>
      <c r="DB302" s="2109"/>
      <c r="DC302" s="2109"/>
    </row>
    <row r="303" spans="4:107" s="1178" customFormat="1" ht="11.25">
      <c r="CV303" s="2109"/>
      <c r="CW303" s="2109"/>
      <c r="CX303" s="2109"/>
      <c r="CY303" s="2109"/>
      <c r="DB303" s="2109"/>
      <c r="DC303" s="2109"/>
    </row>
    <row r="304" spans="4:107" s="1178" customFormat="1" ht="11.25">
      <c r="CV304" s="2109"/>
      <c r="CW304" s="2109"/>
      <c r="CX304" s="2109"/>
      <c r="CY304" s="2109"/>
      <c r="DB304" s="2109"/>
      <c r="DC304" s="2109"/>
    </row>
    <row r="305" spans="100:107" s="1178" customFormat="1" ht="11.25">
      <c r="CV305" s="2109"/>
      <c r="CW305" s="2109"/>
      <c r="CX305" s="2109"/>
      <c r="CY305" s="2109"/>
      <c r="DB305" s="2109"/>
      <c r="DC305" s="2109"/>
    </row>
    <row r="306" spans="100:107" s="1178" customFormat="1" ht="11.25">
      <c r="CV306" s="2109"/>
      <c r="CW306" s="2109"/>
      <c r="CX306" s="2109"/>
      <c r="CY306" s="2109"/>
      <c r="DB306" s="2109"/>
      <c r="DC306" s="2109"/>
    </row>
    <row r="307" spans="100:107" s="1178" customFormat="1" ht="11.25">
      <c r="CV307" s="2109"/>
      <c r="CW307" s="2109"/>
      <c r="CX307" s="2109"/>
      <c r="CY307" s="2109"/>
      <c r="DB307" s="2109"/>
      <c r="DC307" s="2109"/>
    </row>
    <row r="308" spans="100:107" s="1178" customFormat="1" ht="11.25">
      <c r="CV308" s="2109"/>
      <c r="CW308" s="2109"/>
      <c r="CX308" s="2109"/>
      <c r="CY308" s="2109"/>
      <c r="DB308" s="2109"/>
      <c r="DC308" s="2109"/>
    </row>
    <row r="309" spans="100:107" s="1178" customFormat="1" ht="11.25">
      <c r="CV309" s="2109"/>
      <c r="CW309" s="2109"/>
      <c r="CX309" s="2109"/>
      <c r="CY309" s="2109"/>
      <c r="DB309" s="2109"/>
      <c r="DC309" s="2109"/>
    </row>
    <row r="310" spans="100:107" s="1178" customFormat="1" ht="11.25">
      <c r="CV310" s="2109"/>
      <c r="CW310" s="2109"/>
      <c r="CX310" s="2109"/>
      <c r="CY310" s="2109"/>
      <c r="DB310" s="2109"/>
      <c r="DC310" s="2109"/>
    </row>
    <row r="311" spans="100:107" s="1178" customFormat="1" ht="11.25">
      <c r="CV311" s="2109"/>
      <c r="CW311" s="2109"/>
      <c r="CX311" s="2109"/>
      <c r="CY311" s="2109"/>
      <c r="DB311" s="2109"/>
      <c r="DC311" s="2109"/>
    </row>
    <row r="312" spans="100:107" s="1178" customFormat="1" ht="11.25">
      <c r="CV312" s="2109"/>
      <c r="CW312" s="2109"/>
      <c r="CX312" s="2109"/>
      <c r="CY312" s="2109"/>
      <c r="DB312" s="2109"/>
      <c r="DC312" s="2109"/>
    </row>
    <row r="313" spans="100:107" s="1178" customFormat="1" ht="11.25">
      <c r="CV313" s="2109"/>
      <c r="CW313" s="2109"/>
      <c r="CX313" s="2109"/>
      <c r="CY313" s="2109"/>
      <c r="DB313" s="2109"/>
      <c r="DC313" s="2109"/>
    </row>
    <row r="314" spans="100:107" s="1178" customFormat="1" ht="11.25">
      <c r="CV314" s="2109"/>
      <c r="CW314" s="2109"/>
      <c r="CX314" s="2109"/>
      <c r="CY314" s="2109"/>
      <c r="DB314" s="2109"/>
      <c r="DC314" s="2109"/>
    </row>
    <row r="315" spans="100:107" s="1178" customFormat="1" ht="11.25">
      <c r="CV315" s="2109"/>
      <c r="CW315" s="2109"/>
      <c r="CX315" s="2109"/>
      <c r="CY315" s="2109"/>
      <c r="DB315" s="2109"/>
      <c r="DC315" s="2109"/>
    </row>
    <row r="316" spans="100:107" s="1178" customFormat="1" ht="11.25">
      <c r="CV316" s="2109"/>
      <c r="CW316" s="2109"/>
      <c r="CX316" s="2109"/>
      <c r="CY316" s="2109"/>
      <c r="DB316" s="2109"/>
      <c r="DC316" s="2109"/>
    </row>
    <row r="317" spans="100:107" s="1178" customFormat="1" ht="11.25">
      <c r="CV317" s="2109"/>
      <c r="CW317" s="2109"/>
      <c r="CX317" s="2109"/>
      <c r="CY317" s="2109"/>
      <c r="DB317" s="2109"/>
      <c r="DC317" s="2109"/>
    </row>
    <row r="318" spans="100:107" s="1178" customFormat="1" ht="11.25">
      <c r="CV318" s="2109"/>
      <c r="CW318" s="2109"/>
      <c r="CX318" s="2109"/>
      <c r="CY318" s="2109"/>
      <c r="DB318" s="2109"/>
      <c r="DC318" s="2109"/>
    </row>
    <row r="319" spans="100:107" s="1178" customFormat="1" ht="11.25">
      <c r="CV319" s="2109"/>
      <c r="CW319" s="2109"/>
      <c r="CX319" s="2109"/>
      <c r="CY319" s="2109"/>
      <c r="DB319" s="2109"/>
      <c r="DC319" s="2109"/>
    </row>
    <row r="320" spans="100:107" s="1178" customFormat="1" ht="11.25">
      <c r="CV320" s="2109"/>
      <c r="CW320" s="2109"/>
      <c r="CX320" s="2109"/>
      <c r="CY320" s="2109"/>
      <c r="DB320" s="2109"/>
      <c r="DC320" s="2109"/>
    </row>
    <row r="321" spans="100:107" s="1178" customFormat="1" ht="11.25">
      <c r="CV321" s="2109"/>
      <c r="CW321" s="2109"/>
      <c r="CX321" s="2109"/>
      <c r="CY321" s="2109"/>
      <c r="DB321" s="2109"/>
      <c r="DC321" s="2109"/>
    </row>
    <row r="322" spans="100:107" s="1178" customFormat="1" ht="11.25">
      <c r="CV322" s="2109"/>
      <c r="CW322" s="2109"/>
      <c r="CX322" s="2109"/>
      <c r="CY322" s="2109"/>
      <c r="DB322" s="2109"/>
      <c r="DC322" s="2109"/>
    </row>
    <row r="323" spans="100:107" s="1178" customFormat="1" ht="11.25">
      <c r="CV323" s="2109"/>
      <c r="CW323" s="2109"/>
      <c r="CX323" s="2109"/>
      <c r="CY323" s="2109"/>
      <c r="DB323" s="2109"/>
      <c r="DC323" s="2109"/>
    </row>
    <row r="324" spans="100:107" s="1178" customFormat="1" ht="11.25">
      <c r="CV324" s="2109"/>
      <c r="CW324" s="2109"/>
      <c r="CX324" s="2109"/>
      <c r="CY324" s="2109"/>
      <c r="DB324" s="2109"/>
      <c r="DC324" s="2109"/>
    </row>
    <row r="325" spans="100:107" s="1178" customFormat="1" ht="11.25">
      <c r="CV325" s="2109"/>
      <c r="CW325" s="2109"/>
      <c r="CX325" s="2109"/>
      <c r="CY325" s="2109"/>
      <c r="DB325" s="2109"/>
      <c r="DC325" s="2109"/>
    </row>
    <row r="326" spans="100:107" s="1178" customFormat="1" ht="11.25">
      <c r="CV326" s="2109"/>
      <c r="CW326" s="2109"/>
      <c r="CX326" s="2109"/>
      <c r="CY326" s="2109"/>
      <c r="DB326" s="2109"/>
      <c r="DC326" s="2109"/>
    </row>
    <row r="327" spans="100:107" s="1178" customFormat="1" ht="11.25">
      <c r="CV327" s="2109"/>
      <c r="CW327" s="2109"/>
      <c r="CX327" s="2109"/>
      <c r="CY327" s="2109"/>
      <c r="DB327" s="2109"/>
      <c r="DC327" s="2109"/>
    </row>
    <row r="328" spans="100:107" s="1178" customFormat="1" ht="11.25">
      <c r="CV328" s="2109"/>
      <c r="CW328" s="2109"/>
      <c r="CX328" s="2109"/>
      <c r="CY328" s="2109"/>
      <c r="DB328" s="2109"/>
      <c r="DC328" s="2109"/>
    </row>
    <row r="329" spans="100:107" s="1178" customFormat="1" ht="11.25">
      <c r="CV329" s="2109"/>
      <c r="CW329" s="2109"/>
      <c r="CX329" s="2109"/>
      <c r="CY329" s="2109"/>
      <c r="DB329" s="2109"/>
      <c r="DC329" s="2109"/>
    </row>
    <row r="330" spans="100:107" s="1178" customFormat="1" ht="11.25">
      <c r="CV330" s="2109"/>
      <c r="CW330" s="2109"/>
      <c r="CX330" s="2109"/>
      <c r="CY330" s="2109"/>
      <c r="DB330" s="2109"/>
      <c r="DC330" s="2109"/>
    </row>
    <row r="331" spans="100:107" s="1178" customFormat="1" ht="11.25">
      <c r="CV331" s="2109"/>
      <c r="CW331" s="2109"/>
      <c r="CX331" s="2109"/>
      <c r="CY331" s="2109"/>
      <c r="DB331" s="2109"/>
      <c r="DC331" s="2109"/>
    </row>
    <row r="332" spans="100:107" s="1178" customFormat="1" ht="11.25">
      <c r="CV332" s="2109"/>
      <c r="CW332" s="2109"/>
      <c r="CX332" s="2109"/>
      <c r="CY332" s="2109"/>
      <c r="DB332" s="2109"/>
      <c r="DC332" s="2109"/>
    </row>
    <row r="333" spans="100:107" s="1178" customFormat="1" ht="11.25">
      <c r="CV333" s="2109"/>
      <c r="CW333" s="2109"/>
      <c r="CX333" s="2109"/>
      <c r="CY333" s="2109"/>
      <c r="DB333" s="2109"/>
      <c r="DC333" s="2109"/>
    </row>
    <row r="334" spans="100:107" s="1178" customFormat="1" ht="11.25">
      <c r="CV334" s="2109"/>
      <c r="CW334" s="2109"/>
      <c r="CX334" s="2109"/>
      <c r="CY334" s="2109"/>
      <c r="DB334" s="2109"/>
      <c r="DC334" s="2109"/>
    </row>
    <row r="335" spans="100:107" s="1178" customFormat="1" ht="11.25">
      <c r="CV335" s="2109"/>
      <c r="CW335" s="2109"/>
      <c r="CX335" s="2109"/>
      <c r="CY335" s="2109"/>
      <c r="DB335" s="2109"/>
      <c r="DC335" s="2109"/>
    </row>
    <row r="336" spans="100:107" s="1178" customFormat="1" ht="11.25">
      <c r="CV336" s="2109"/>
      <c r="CW336" s="2109"/>
      <c r="CX336" s="2109"/>
      <c r="CY336" s="2109"/>
      <c r="DB336" s="2109"/>
      <c r="DC336" s="2109"/>
    </row>
    <row r="337" spans="100:107" s="1178" customFormat="1" ht="11.25">
      <c r="CV337" s="2109"/>
      <c r="CW337" s="2109"/>
      <c r="CX337" s="2109"/>
      <c r="CY337" s="2109"/>
      <c r="DB337" s="2109"/>
      <c r="DC337" s="2109"/>
    </row>
    <row r="338" spans="100:107" s="1178" customFormat="1" ht="11.25">
      <c r="CV338" s="2109"/>
      <c r="CW338" s="2109"/>
      <c r="CX338" s="2109"/>
      <c r="CY338" s="2109"/>
      <c r="DB338" s="2109"/>
      <c r="DC338" s="2109"/>
    </row>
    <row r="339" spans="100:107" s="1178" customFormat="1" ht="11.25">
      <c r="CV339" s="2109"/>
      <c r="CW339" s="2109"/>
      <c r="CX339" s="2109"/>
      <c r="CY339" s="2109"/>
      <c r="DB339" s="2109"/>
      <c r="DC339" s="2109"/>
    </row>
    <row r="340" spans="100:107" s="1178" customFormat="1" ht="11.25">
      <c r="CV340" s="2109"/>
      <c r="CW340" s="2109"/>
      <c r="CX340" s="2109"/>
      <c r="CY340" s="2109"/>
      <c r="DB340" s="2109"/>
      <c r="DC340" s="2109"/>
    </row>
    <row r="341" spans="100:107" s="1178" customFormat="1" ht="11.25">
      <c r="CV341" s="2109"/>
      <c r="CW341" s="2109"/>
      <c r="CX341" s="2109"/>
      <c r="CY341" s="2109"/>
      <c r="DB341" s="2109"/>
      <c r="DC341" s="2109"/>
    </row>
    <row r="342" spans="100:107" s="1178" customFormat="1" ht="11.25">
      <c r="CV342" s="2109"/>
      <c r="CW342" s="2109"/>
      <c r="CX342" s="2109"/>
      <c r="CY342" s="2109"/>
      <c r="DB342" s="2109"/>
      <c r="DC342" s="2109"/>
    </row>
    <row r="343" spans="100:107" s="1178" customFormat="1" ht="11.25">
      <c r="CV343" s="2109"/>
      <c r="CW343" s="2109"/>
      <c r="CX343" s="2109"/>
      <c r="CY343" s="2109"/>
      <c r="DB343" s="2109"/>
      <c r="DC343" s="2109"/>
    </row>
    <row r="344" spans="100:107" s="1178" customFormat="1" ht="11.25">
      <c r="CV344" s="2109"/>
      <c r="CW344" s="2109"/>
      <c r="CX344" s="2109"/>
      <c r="CY344" s="2109"/>
      <c r="DB344" s="2109"/>
      <c r="DC344" s="2109"/>
    </row>
    <row r="345" spans="100:107" s="1178" customFormat="1" ht="11.25">
      <c r="CV345" s="2109"/>
      <c r="CW345" s="2109"/>
      <c r="CX345" s="2109"/>
      <c r="CY345" s="2109"/>
      <c r="DB345" s="2109"/>
      <c r="DC345" s="2109"/>
    </row>
    <row r="346" spans="100:107" s="1178" customFormat="1" ht="11.25">
      <c r="CV346" s="2109"/>
      <c r="CW346" s="2109"/>
      <c r="CX346" s="2109"/>
      <c r="CY346" s="2109"/>
      <c r="DB346" s="2109"/>
      <c r="DC346" s="2109"/>
    </row>
  </sheetData>
  <mergeCells count="2">
    <mergeCell ref="DH35:DH36"/>
    <mergeCell ref="DI35:DI36"/>
  </mergeCells>
  <hyperlinks>
    <hyperlink ref="CU4" r:id="rId1"/>
  </hyperlinks>
  <pageMargins left="0.25" right="0.25" top="0.75" bottom="0.75" header="0.3" footer="0.3"/>
  <pageSetup scale="16" orientation="landscape" errors="dash" r:id="rId2"/>
  <headerFooter alignWithMargins="0"/>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F190"/>
  <sheetViews>
    <sheetView showGridLines="0" topLeftCell="A9" zoomScale="85" zoomScaleNormal="85" workbookViewId="0">
      <pane xSplit="9" ySplit="2" topLeftCell="CF17" activePane="bottomRight" state="frozen"/>
      <selection activeCell="A9" sqref="A9"/>
      <selection pane="topRight" activeCell="J9" sqref="J9"/>
      <selection pane="bottomLeft" activeCell="A11" sqref="A11"/>
      <selection pane="bottomRight" activeCell="CV120" sqref="CV120"/>
    </sheetView>
  </sheetViews>
  <sheetFormatPr defaultRowHeight="12.75" outlineLevelRow="1" outlineLevelCol="1"/>
  <cols>
    <col min="1" max="1" width="2" customWidth="1"/>
    <col min="2" max="2" width="1.42578125" customWidth="1"/>
    <col min="3" max="3" width="2.28515625" customWidth="1"/>
    <col min="4" max="4" width="21" customWidth="1"/>
    <col min="5" max="5" width="1.85546875" customWidth="1"/>
    <col min="6" max="9" width="8.7109375" hidden="1" customWidth="1" outlineLevel="1"/>
    <col min="10" max="10" width="8.7109375" customWidth="1" collapsed="1"/>
    <col min="11" max="14" width="8.7109375" hidden="1" customWidth="1" outlineLevel="1"/>
    <col min="15" max="15" width="8.7109375" customWidth="1" collapsed="1"/>
    <col min="16" max="19" width="8.7109375" hidden="1" customWidth="1" outlineLevel="1"/>
    <col min="20" max="20" width="8.7109375" customWidth="1" collapsed="1"/>
    <col min="21" max="24" width="8.7109375" hidden="1" customWidth="1" outlineLevel="1"/>
    <col min="25" max="25" width="8.7109375" customWidth="1" collapsed="1"/>
    <col min="26" max="29" width="8.7109375" hidden="1" customWidth="1" outlineLevel="1"/>
    <col min="30" max="30" width="8.7109375" customWidth="1" collapsed="1"/>
    <col min="31" max="34" width="8.7109375" hidden="1" customWidth="1" outlineLevel="1"/>
    <col min="35" max="35" width="8.7109375" customWidth="1" collapsed="1"/>
    <col min="36" max="39" width="8.7109375" hidden="1" customWidth="1" outlineLevel="1"/>
    <col min="40" max="40" width="8.7109375" customWidth="1" collapsed="1"/>
    <col min="41" max="44" width="8.7109375" hidden="1" customWidth="1" outlineLevel="1"/>
    <col min="45" max="45" width="8.7109375" customWidth="1" collapsed="1"/>
    <col min="46" max="49" width="8.7109375" hidden="1" customWidth="1" outlineLevel="1"/>
    <col min="50" max="50" width="8.7109375" customWidth="1" collapsed="1"/>
    <col min="51" max="54" width="8.7109375" hidden="1" customWidth="1" outlineLevel="1"/>
    <col min="55" max="55" width="8.7109375" customWidth="1" collapsed="1"/>
    <col min="56" max="59" width="8.7109375" hidden="1" customWidth="1" outlineLevel="1"/>
    <col min="60" max="60" width="8.7109375" customWidth="1" collapsed="1"/>
    <col min="61" max="64" width="8.7109375" hidden="1" customWidth="1" outlineLevel="1"/>
    <col min="65" max="65" width="8.7109375" customWidth="1" collapsed="1"/>
    <col min="66" max="69" width="9.5703125" customWidth="1" outlineLevel="1"/>
    <col min="70" max="70" width="10.7109375" bestFit="1" customWidth="1"/>
    <col min="71" max="74" width="9.5703125" customWidth="1" outlineLevel="1"/>
    <col min="75" max="75" width="9.85546875" customWidth="1"/>
    <col min="76" max="77" width="9.5703125" bestFit="1" customWidth="1" outlineLevel="1"/>
    <col min="78" max="78" width="9.5703125" customWidth="1" outlineLevel="1"/>
    <col min="79" max="79" width="8.85546875" customWidth="1" outlineLevel="1"/>
    <col min="80" max="80" width="8.140625" style="1493" customWidth="1"/>
    <col min="81" max="81" width="9.5703125" bestFit="1" customWidth="1" outlineLevel="1"/>
    <col min="82" max="82" width="8.85546875" customWidth="1" outlineLevel="1"/>
    <col min="83" max="83" width="8.7109375" customWidth="1" outlineLevel="1"/>
    <col min="84" max="84" width="8.5703125" customWidth="1" outlineLevel="1"/>
    <col min="85" max="85" width="8.7109375" style="1493" customWidth="1"/>
    <col min="86" max="86" width="9.5703125" bestFit="1" customWidth="1" outlineLevel="1"/>
    <col min="87" max="87" width="8.7109375" customWidth="1" outlineLevel="1"/>
    <col min="88" max="88" width="8" customWidth="1" outlineLevel="1"/>
    <col min="89" max="89" width="7.7109375" customWidth="1" outlineLevel="1"/>
    <col min="90" max="90" width="9" style="1493" customWidth="1"/>
    <col min="91" max="91" width="9.5703125" bestFit="1" customWidth="1" outlineLevel="1"/>
    <col min="92" max="92" width="7.42578125" bestFit="1" customWidth="1" outlineLevel="1"/>
    <col min="93" max="93" width="8" customWidth="1" outlineLevel="1"/>
    <col min="94" max="94" width="7.7109375" customWidth="1" outlineLevel="1"/>
    <col min="95" max="95" width="9" style="1493" customWidth="1"/>
    <col min="96" max="96" width="9.5703125" style="2029" bestFit="1" customWidth="1" outlineLevel="1"/>
    <col min="97" max="97" width="7.42578125" style="2029" bestFit="1" customWidth="1" outlineLevel="1"/>
    <col min="98" max="98" width="8" style="2029" customWidth="1" outlineLevel="1"/>
    <col min="99" max="99" width="7.7109375" style="2029" customWidth="1" outlineLevel="1"/>
    <col min="100" max="103" width="9" style="1493" customWidth="1"/>
    <col min="104" max="104" width="9" style="1979" customWidth="1"/>
    <col min="105" max="105" width="16.140625" bestFit="1" customWidth="1"/>
  </cols>
  <sheetData>
    <row r="1" spans="1:105" hidden="1" outlineLevel="1">
      <c r="A1" s="1156"/>
      <c r="B1" s="1518"/>
      <c r="C1" s="1518"/>
      <c r="D1" s="1518"/>
      <c r="E1" s="1518"/>
      <c r="F1" s="1184"/>
      <c r="G1" s="1184"/>
      <c r="H1" s="1184"/>
      <c r="I1" s="1184"/>
      <c r="J1" s="1184"/>
      <c r="K1" s="1184"/>
      <c r="L1" s="1184"/>
      <c r="M1" s="1184"/>
      <c r="N1" s="1184"/>
      <c r="O1" s="1184"/>
      <c r="P1" s="1184"/>
      <c r="Q1" s="1184"/>
      <c r="R1" s="1184"/>
      <c r="S1" s="1184"/>
      <c r="T1" s="1184"/>
      <c r="U1" s="1184"/>
      <c r="V1" s="1184"/>
      <c r="W1" s="1184"/>
      <c r="X1" s="1184"/>
      <c r="Y1" s="1184"/>
      <c r="Z1" s="1184"/>
      <c r="AA1" s="1184"/>
      <c r="AB1" s="1184"/>
      <c r="AC1" s="1184"/>
      <c r="AD1" s="1184"/>
      <c r="AE1" s="1184"/>
      <c r="AF1" s="1184"/>
      <c r="AG1" s="1184"/>
      <c r="AH1" s="1184"/>
      <c r="AI1" s="1184"/>
      <c r="AJ1" s="1184"/>
      <c r="AK1" s="1184"/>
      <c r="AL1" s="1184"/>
      <c r="AM1" s="1184"/>
      <c r="AN1" s="1184"/>
      <c r="AO1" s="1184"/>
      <c r="AP1" s="1184"/>
      <c r="AQ1" s="1184"/>
      <c r="AR1" s="1184"/>
      <c r="AS1" s="1184"/>
      <c r="AT1" s="1184"/>
      <c r="AU1" s="1184"/>
      <c r="AV1" s="1184"/>
      <c r="AW1" s="1184"/>
      <c r="AX1" s="1184"/>
      <c r="AY1" s="1184"/>
      <c r="AZ1" s="1184"/>
      <c r="BA1" s="1184"/>
      <c r="BB1" s="1184"/>
      <c r="BC1" s="1184"/>
      <c r="BD1" s="1184"/>
      <c r="BE1" s="1184"/>
      <c r="BF1" s="1184"/>
      <c r="BG1" s="1184"/>
      <c r="BH1" s="1184"/>
      <c r="BI1" s="1363"/>
      <c r="BJ1" s="1363"/>
      <c r="BK1" s="1363"/>
      <c r="BL1" s="1363"/>
      <c r="BM1" s="1520"/>
      <c r="BN1" s="1184"/>
      <c r="BO1" s="1184"/>
      <c r="BP1" s="1184"/>
      <c r="BQ1" s="1184"/>
      <c r="BR1" s="1184"/>
      <c r="BS1" s="1184"/>
      <c r="BT1" s="1184"/>
      <c r="BU1" s="1184"/>
      <c r="BV1" s="1184"/>
      <c r="BW1" s="1184"/>
      <c r="BX1" s="1184"/>
      <c r="BY1" s="1184"/>
      <c r="BZ1" s="1184"/>
      <c r="CA1" s="1184"/>
      <c r="CB1" s="1240"/>
      <c r="CC1" s="1184"/>
      <c r="CD1" s="1184"/>
      <c r="CE1" s="1184"/>
      <c r="CF1" s="1184"/>
      <c r="CG1" s="1240"/>
      <c r="CH1" s="1184"/>
      <c r="CI1" s="1184"/>
      <c r="CJ1" s="1184"/>
      <c r="CK1" s="1184"/>
      <c r="CL1" s="1240"/>
      <c r="CM1" s="1184"/>
      <c r="CN1" s="1184"/>
      <c r="CO1" s="1184"/>
      <c r="CP1" s="1184"/>
      <c r="CQ1" s="1197"/>
      <c r="CR1" s="2110"/>
      <c r="CS1" s="2110"/>
      <c r="CT1" s="2110"/>
      <c r="CU1" s="2110"/>
      <c r="CV1" s="1197"/>
      <c r="CW1" s="1197"/>
      <c r="CX1" s="1197"/>
      <c r="CY1" s="1197"/>
      <c r="CZ1" s="1197"/>
    </row>
    <row r="2" spans="1:105" hidden="1" outlineLevel="1">
      <c r="A2" s="1156"/>
      <c r="B2" s="520" t="s">
        <v>0</v>
      </c>
      <c r="C2" s="518"/>
      <c r="D2" s="1529"/>
      <c r="E2" s="1529"/>
      <c r="F2" s="1529"/>
      <c r="G2" s="1529"/>
      <c r="H2" s="1529"/>
      <c r="I2" s="1529"/>
      <c r="J2" s="1529"/>
      <c r="K2" s="1529"/>
      <c r="L2" s="1529"/>
      <c r="M2" s="1529"/>
      <c r="N2" s="1529"/>
      <c r="O2" s="1529"/>
      <c r="P2" s="1529"/>
      <c r="Q2" s="1529"/>
      <c r="R2" s="1529"/>
      <c r="S2" s="1529"/>
      <c r="T2" s="1529"/>
      <c r="U2" s="1529"/>
      <c r="V2" s="1529"/>
      <c r="W2" s="1529"/>
      <c r="X2" s="1529"/>
      <c r="Y2" s="1529"/>
      <c r="Z2" s="1529"/>
      <c r="AA2" s="1529"/>
      <c r="AB2" s="1529"/>
      <c r="AC2" s="1529"/>
      <c r="AD2" s="1529"/>
      <c r="AE2" s="1529"/>
      <c r="AF2" s="1529"/>
      <c r="AG2" s="1529"/>
      <c r="AH2" s="1529"/>
      <c r="AI2" s="1529"/>
      <c r="AJ2" s="1529"/>
      <c r="AK2" s="1529"/>
      <c r="AL2" s="1529"/>
      <c r="AM2" s="1529"/>
      <c r="AN2" s="1529"/>
      <c r="AO2" s="1529"/>
      <c r="AP2" s="1529"/>
      <c r="AQ2" s="1529"/>
      <c r="AR2" s="1529"/>
      <c r="AS2" s="1529"/>
      <c r="AT2" s="1529"/>
      <c r="AU2" s="1529"/>
      <c r="AV2" s="1529"/>
      <c r="AW2" s="1529"/>
      <c r="AX2" s="1529"/>
      <c r="AY2" s="1529"/>
      <c r="AZ2" s="1529"/>
      <c r="BA2" s="1529"/>
      <c r="BB2" s="1529"/>
      <c r="BC2" s="1529"/>
      <c r="BD2" s="1529"/>
      <c r="BE2" s="1529"/>
      <c r="BF2" s="1529"/>
      <c r="BG2" s="1529"/>
      <c r="BH2" s="1529"/>
      <c r="BI2" s="1531"/>
      <c r="BJ2" s="1531"/>
      <c r="BK2" s="1531"/>
      <c r="BL2" s="1531"/>
      <c r="BM2" s="1531"/>
      <c r="BN2" s="1531"/>
      <c r="BO2" s="1531"/>
      <c r="BP2" s="1531"/>
      <c r="BQ2" s="1531"/>
      <c r="BR2" s="1531"/>
      <c r="BS2" s="1531"/>
      <c r="BT2" s="1531"/>
      <c r="BU2" s="1531"/>
      <c r="BV2" s="1531"/>
      <c r="BW2" s="1529"/>
      <c r="BX2" s="1531"/>
      <c r="BY2" s="1531"/>
      <c r="BZ2" s="1531"/>
      <c r="CA2" s="1531"/>
      <c r="CB2" s="1531"/>
      <c r="CC2" s="1531"/>
      <c r="CD2" s="1531"/>
      <c r="CE2" s="1531"/>
      <c r="CF2" s="1531"/>
      <c r="CG2" s="1531"/>
      <c r="CH2" s="1531"/>
      <c r="CI2" s="1531"/>
      <c r="CJ2" s="1531"/>
      <c r="CK2" s="1531"/>
      <c r="CL2" s="1531"/>
      <c r="CM2" s="1531"/>
      <c r="CN2" s="1531"/>
      <c r="CO2" s="1531"/>
      <c r="CP2" s="1531"/>
      <c r="CQ2" s="728" t="s">
        <v>1</v>
      </c>
      <c r="CR2" s="1531"/>
      <c r="CS2" s="1531"/>
      <c r="CT2" s="1531"/>
      <c r="CU2" s="1531"/>
      <c r="CV2" s="728" t="s">
        <v>1</v>
      </c>
      <c r="CW2" s="728" t="s">
        <v>1</v>
      </c>
      <c r="CX2" s="728" t="s">
        <v>1</v>
      </c>
      <c r="CY2" s="728" t="s">
        <v>1</v>
      </c>
      <c r="CZ2" s="524"/>
    </row>
    <row r="3" spans="1:105" hidden="1" outlineLevel="1">
      <c r="A3" s="1156"/>
      <c r="B3" s="514" t="str">
        <f>IS!B3</f>
        <v>Morgan Stanley Research</v>
      </c>
      <c r="C3" s="116"/>
      <c r="D3" s="1184"/>
      <c r="E3" s="1184"/>
      <c r="F3" s="1184"/>
      <c r="G3" s="1184"/>
      <c r="H3" s="1184"/>
      <c r="I3" s="1184"/>
      <c r="J3" s="1184"/>
      <c r="K3" s="1184"/>
      <c r="L3" s="1184"/>
      <c r="M3" s="1184"/>
      <c r="N3" s="1184"/>
      <c r="O3" s="1184"/>
      <c r="P3" s="1184"/>
      <c r="Q3" s="1184"/>
      <c r="R3" s="1184"/>
      <c r="S3" s="1184"/>
      <c r="T3" s="1184"/>
      <c r="U3" s="1184"/>
      <c r="V3" s="1184"/>
      <c r="W3" s="1184"/>
      <c r="X3" s="1184"/>
      <c r="Y3" s="1184"/>
      <c r="Z3" s="1184"/>
      <c r="AA3" s="1184"/>
      <c r="AB3" s="1184"/>
      <c r="AC3" s="1184"/>
      <c r="AD3" s="1184"/>
      <c r="AE3" s="1184"/>
      <c r="AF3" s="1184"/>
      <c r="AG3" s="1184"/>
      <c r="AH3" s="1184"/>
      <c r="AI3" s="1184"/>
      <c r="AJ3" s="1184"/>
      <c r="AK3" s="1184"/>
      <c r="AL3" s="1184"/>
      <c r="AM3" s="1184"/>
      <c r="AN3" s="1184"/>
      <c r="AO3" s="1184"/>
      <c r="AP3" s="1184"/>
      <c r="AQ3" s="1184"/>
      <c r="AR3" s="1184"/>
      <c r="AS3" s="1184"/>
      <c r="AT3" s="1184"/>
      <c r="AU3" s="1184"/>
      <c r="AV3" s="1184"/>
      <c r="AW3" s="1184"/>
      <c r="AX3" s="1184"/>
      <c r="AY3" s="1184"/>
      <c r="AZ3" s="1184"/>
      <c r="BA3" s="1184"/>
      <c r="BB3" s="1184"/>
      <c r="BC3" s="1184"/>
      <c r="BD3" s="1184"/>
      <c r="BE3" s="1184"/>
      <c r="BF3" s="1184"/>
      <c r="BG3" s="1184"/>
      <c r="BH3" s="1184"/>
      <c r="BI3" s="1240"/>
      <c r="BJ3" s="1240"/>
      <c r="BK3" s="1240"/>
      <c r="BL3" s="1240"/>
      <c r="BM3" s="1240"/>
      <c r="BN3" s="1240"/>
      <c r="BO3" s="1240"/>
      <c r="BP3" s="1240"/>
      <c r="BQ3" s="1240"/>
      <c r="BR3" s="1240"/>
      <c r="BS3" s="1240"/>
      <c r="BT3" s="1240"/>
      <c r="BU3" s="1240"/>
      <c r="BV3" s="1240"/>
      <c r="BW3" s="1184"/>
      <c r="BX3" s="1240"/>
      <c r="BY3" s="1240"/>
      <c r="BZ3" s="1240"/>
      <c r="CA3" s="1240"/>
      <c r="CB3" s="1240"/>
      <c r="CC3" s="1240"/>
      <c r="CD3" s="1240"/>
      <c r="CE3" s="1240"/>
      <c r="CF3" s="1240"/>
      <c r="CG3" s="1240"/>
      <c r="CH3" s="1240"/>
      <c r="CI3" s="1240"/>
      <c r="CJ3" s="1240"/>
      <c r="CK3" s="1240"/>
      <c r="CL3" s="1240"/>
      <c r="CM3" s="1240"/>
      <c r="CN3" s="1240"/>
      <c r="CO3" s="1240"/>
      <c r="CP3" s="1240"/>
      <c r="CQ3" s="140" t="s">
        <v>5</v>
      </c>
      <c r="CR3" s="1240"/>
      <c r="CS3" s="1240"/>
      <c r="CT3" s="1240"/>
      <c r="CU3" s="1240"/>
      <c r="CV3" s="140" t="s">
        <v>5</v>
      </c>
      <c r="CW3" s="140" t="s">
        <v>5</v>
      </c>
      <c r="CX3" s="140" t="s">
        <v>5</v>
      </c>
      <c r="CY3" s="140" t="s">
        <v>5</v>
      </c>
      <c r="CZ3" s="1963"/>
    </row>
    <row r="4" spans="1:105" hidden="1" outlineLevel="1">
      <c r="A4" s="1156"/>
      <c r="B4" s="514" t="str">
        <f>IS!B4</f>
        <v>YE 31 December ($ million)</v>
      </c>
      <c r="C4" s="116"/>
      <c r="D4" s="1184"/>
      <c r="E4" s="1184"/>
      <c r="F4" s="1184"/>
      <c r="G4" s="1184"/>
      <c r="H4" s="1184"/>
      <c r="I4" s="1184"/>
      <c r="J4" s="1184"/>
      <c r="K4" s="1184"/>
      <c r="L4" s="1184"/>
      <c r="M4" s="1184"/>
      <c r="N4" s="1184"/>
      <c r="O4" s="1184"/>
      <c r="P4" s="1184"/>
      <c r="Q4" s="1184"/>
      <c r="R4" s="1184"/>
      <c r="S4" s="1184"/>
      <c r="T4" s="1184"/>
      <c r="U4" s="1184"/>
      <c r="V4" s="1184"/>
      <c r="W4" s="1184"/>
      <c r="X4" s="1184"/>
      <c r="Y4" s="1184"/>
      <c r="Z4" s="1184"/>
      <c r="AA4" s="1184"/>
      <c r="AB4" s="1184"/>
      <c r="AC4" s="1184"/>
      <c r="AD4" s="1184"/>
      <c r="AE4" s="1184"/>
      <c r="AF4" s="1184"/>
      <c r="AG4" s="1184"/>
      <c r="AH4" s="1184"/>
      <c r="AI4" s="1184"/>
      <c r="AJ4" s="1184"/>
      <c r="AK4" s="1184"/>
      <c r="AL4" s="1184"/>
      <c r="AM4" s="1184"/>
      <c r="AN4" s="1184"/>
      <c r="AO4" s="1184"/>
      <c r="AP4" s="1184"/>
      <c r="AQ4" s="1184"/>
      <c r="AR4" s="1184"/>
      <c r="AS4" s="1184"/>
      <c r="AT4" s="1184"/>
      <c r="AU4" s="1184"/>
      <c r="AV4" s="1184"/>
      <c r="AW4" s="1184"/>
      <c r="AX4" s="1184"/>
      <c r="AY4" s="1184"/>
      <c r="AZ4" s="1184"/>
      <c r="BA4" s="1184"/>
      <c r="BB4" s="1184"/>
      <c r="BC4" s="1184"/>
      <c r="BD4" s="1184"/>
      <c r="BE4" s="1184"/>
      <c r="BF4" s="1184"/>
      <c r="BG4" s="1184"/>
      <c r="BH4" s="1184"/>
      <c r="BI4" s="1240"/>
      <c r="BJ4" s="1240"/>
      <c r="BK4" s="1240"/>
      <c r="BL4" s="1240"/>
      <c r="BM4" s="1240"/>
      <c r="BN4" s="1240"/>
      <c r="BO4" s="1240"/>
      <c r="BP4" s="1240"/>
      <c r="BQ4" s="1240"/>
      <c r="BR4" s="1240"/>
      <c r="BS4" s="1240"/>
      <c r="BT4" s="1240"/>
      <c r="BU4" s="1240"/>
      <c r="BV4" s="1240"/>
      <c r="BW4" s="1184"/>
      <c r="BX4" s="1240"/>
      <c r="BY4" s="1240"/>
      <c r="BZ4" s="1240"/>
      <c r="CA4" s="1240"/>
      <c r="CB4" s="1240"/>
      <c r="CC4" s="1240"/>
      <c r="CD4" s="1240"/>
      <c r="CE4" s="1240"/>
      <c r="CF4" s="1240"/>
      <c r="CG4" s="1240"/>
      <c r="CH4" s="1240"/>
      <c r="CI4" s="1240"/>
      <c r="CJ4" s="1240"/>
      <c r="CK4" s="1240"/>
      <c r="CL4" s="1240"/>
      <c r="CM4" s="1240"/>
      <c r="CN4" s="1240"/>
      <c r="CO4" s="1240"/>
      <c r="CP4" s="1240"/>
      <c r="CQ4" s="727" t="s">
        <v>6</v>
      </c>
      <c r="CR4" s="1240"/>
      <c r="CS4" s="1240"/>
      <c r="CT4" s="1240"/>
      <c r="CU4" s="1240"/>
      <c r="CV4" s="727" t="s">
        <v>6</v>
      </c>
      <c r="CW4" s="727" t="s">
        <v>6</v>
      </c>
      <c r="CX4" s="727" t="s">
        <v>6</v>
      </c>
      <c r="CY4" s="727" t="s">
        <v>6</v>
      </c>
      <c r="CZ4" s="1524"/>
    </row>
    <row r="5" spans="1:105" hidden="1" outlineLevel="1">
      <c r="A5" s="1156"/>
      <c r="B5" s="1523"/>
      <c r="C5" s="1521"/>
      <c r="D5" s="1521"/>
      <c r="E5" s="1521"/>
      <c r="F5" s="1521"/>
      <c r="G5" s="1521"/>
      <c r="H5" s="1521"/>
      <c r="I5" s="1521"/>
      <c r="J5" s="1521"/>
      <c r="K5" s="1521"/>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1521"/>
      <c r="AX5" s="1521"/>
      <c r="AY5" s="1521"/>
      <c r="AZ5" s="1521"/>
      <c r="BA5" s="1521"/>
      <c r="BB5" s="1521"/>
      <c r="BC5" s="1521"/>
      <c r="BD5" s="1521"/>
      <c r="BE5" s="1521"/>
      <c r="BF5" s="1521"/>
      <c r="BG5" s="1521"/>
      <c r="BH5" s="1521"/>
      <c r="BI5" s="1520"/>
      <c r="BJ5" s="1520"/>
      <c r="BK5" s="1520"/>
      <c r="BL5" s="1520"/>
      <c r="BM5" s="1520"/>
      <c r="BN5" s="1520"/>
      <c r="BO5" s="1520"/>
      <c r="BP5" s="1520"/>
      <c r="BQ5" s="1520"/>
      <c r="BR5" s="1520"/>
      <c r="BS5" s="1520"/>
      <c r="BT5" s="1520"/>
      <c r="BU5" s="1520"/>
      <c r="BV5" s="1520"/>
      <c r="BW5" s="1520"/>
      <c r="BX5" s="1520"/>
      <c r="BY5" s="1520"/>
      <c r="BZ5" s="1520"/>
      <c r="CA5" s="1520"/>
      <c r="CB5" s="1651"/>
      <c r="CC5" s="1520"/>
      <c r="CD5" s="1520"/>
      <c r="CE5" s="1520"/>
      <c r="CF5" s="1520"/>
      <c r="CG5" s="1650"/>
      <c r="CH5" s="1520"/>
      <c r="CI5" s="1520"/>
      <c r="CJ5" s="1520"/>
      <c r="CK5" s="1520"/>
      <c r="CL5" s="1650"/>
      <c r="CM5" s="1520"/>
      <c r="CN5" s="1520"/>
      <c r="CO5" s="1520"/>
      <c r="CP5" s="1520"/>
      <c r="CQ5" s="1649"/>
      <c r="CR5" s="1520"/>
      <c r="CS5" s="1520"/>
      <c r="CT5" s="1520"/>
      <c r="CU5" s="1520"/>
      <c r="CV5" s="1649"/>
      <c r="CW5" s="1649"/>
      <c r="CX5" s="1649"/>
      <c r="CY5" s="1649"/>
      <c r="CZ5" s="1240"/>
    </row>
    <row r="6" spans="1:105" hidden="1" outlineLevel="1">
      <c r="A6" s="1156"/>
      <c r="B6" s="1513"/>
      <c r="C6" s="1516"/>
      <c r="D6" s="1516"/>
      <c r="E6" s="1515"/>
      <c r="F6" s="1515"/>
      <c r="G6" s="1515"/>
      <c r="H6" s="1515"/>
      <c r="I6" s="1515"/>
      <c r="J6" s="1515"/>
      <c r="K6" s="1515"/>
      <c r="L6" s="1515"/>
      <c r="M6" s="1515"/>
      <c r="N6" s="1515"/>
      <c r="O6" s="1515"/>
      <c r="P6" s="1515"/>
      <c r="Q6" s="1515"/>
      <c r="R6" s="1515"/>
      <c r="S6" s="1515"/>
      <c r="T6" s="1515"/>
      <c r="U6" s="1515"/>
      <c r="V6" s="1515"/>
      <c r="W6" s="1515"/>
      <c r="X6" s="1515"/>
      <c r="Y6" s="1515"/>
      <c r="Z6" s="1515"/>
      <c r="AA6" s="1515"/>
      <c r="AB6" s="1515"/>
      <c r="AC6" s="1515"/>
      <c r="AD6" s="1515"/>
      <c r="AE6" s="1515"/>
      <c r="AF6" s="1515"/>
      <c r="AG6" s="1515"/>
      <c r="AH6" s="1515"/>
      <c r="AI6" s="1515"/>
      <c r="AJ6" s="1515"/>
      <c r="AK6" s="1515"/>
      <c r="AL6" s="1515"/>
      <c r="AM6" s="1515"/>
      <c r="AN6" s="1515"/>
      <c r="AO6" s="1515"/>
      <c r="AP6" s="1515"/>
      <c r="AQ6" s="1515"/>
      <c r="AR6" s="1515"/>
      <c r="AS6" s="1515"/>
      <c r="AT6" s="1515"/>
      <c r="AU6" s="1515"/>
      <c r="AV6" s="1515"/>
      <c r="AW6" s="1515"/>
      <c r="AX6" s="1515"/>
      <c r="AY6" s="1515"/>
      <c r="AZ6" s="1515"/>
      <c r="BA6" s="1515"/>
      <c r="BB6" s="1515"/>
      <c r="BC6" s="1515"/>
      <c r="BD6" s="1515"/>
      <c r="BE6" s="1515"/>
      <c r="BF6" s="1515"/>
      <c r="BG6" s="1515"/>
      <c r="BH6" s="1515"/>
      <c r="BI6" s="1513"/>
      <c r="BJ6" s="1513"/>
      <c r="BK6" s="1513"/>
      <c r="BL6" s="1513"/>
      <c r="BM6" s="1513"/>
      <c r="BN6" s="1513"/>
      <c r="BO6" s="1513"/>
      <c r="BP6" s="1513"/>
      <c r="BQ6" s="1513"/>
      <c r="BR6" s="1513"/>
      <c r="BS6" s="1513"/>
      <c r="BT6" s="1513"/>
      <c r="BU6" s="1513"/>
      <c r="BV6" s="1513"/>
      <c r="BW6" s="1513"/>
      <c r="BX6" s="1513"/>
      <c r="BY6" s="1513"/>
      <c r="BZ6" s="1513"/>
      <c r="CA6" s="1513"/>
      <c r="CB6" s="1243"/>
      <c r="CC6" s="1513"/>
      <c r="CD6" s="1513"/>
      <c r="CE6" s="1513"/>
      <c r="CF6" s="1513"/>
      <c r="CG6" s="1243"/>
      <c r="CH6" s="1513"/>
      <c r="CI6" s="1513"/>
      <c r="CJ6" s="1513"/>
      <c r="CK6" s="1513"/>
      <c r="CL6" s="1240"/>
      <c r="CM6" s="1513"/>
      <c r="CN6" s="1513"/>
      <c r="CO6" s="1513"/>
      <c r="CP6" s="1513"/>
      <c r="CQ6" s="1197"/>
      <c r="CR6" s="1513"/>
      <c r="CS6" s="1513"/>
      <c r="CT6" s="1513"/>
      <c r="CU6" s="1513"/>
      <c r="CV6" s="1197"/>
      <c r="CW6" s="1197"/>
      <c r="CX6" s="1197"/>
      <c r="CY6" s="1197"/>
      <c r="CZ6" s="1197"/>
    </row>
    <row r="7" spans="1:105" ht="13.5" hidden="1" outlineLevel="1" thickBot="1">
      <c r="A7" s="1156"/>
      <c r="B7" s="1510"/>
      <c r="C7" s="1510"/>
      <c r="D7" s="1510"/>
      <c r="E7" s="1510"/>
      <c r="F7" s="1510"/>
      <c r="G7" s="1510"/>
      <c r="H7" s="1510"/>
      <c r="I7" s="1510"/>
      <c r="J7" s="1510"/>
      <c r="K7" s="1510"/>
      <c r="L7" s="1510"/>
      <c r="M7" s="1510"/>
      <c r="N7" s="1510"/>
      <c r="O7" s="1510"/>
      <c r="P7" s="1510"/>
      <c r="Q7" s="1510"/>
      <c r="R7" s="1510"/>
      <c r="S7" s="1510"/>
      <c r="T7" s="1510"/>
      <c r="U7" s="1510"/>
      <c r="V7" s="1510"/>
      <c r="W7" s="1510"/>
      <c r="X7" s="1510"/>
      <c r="Y7" s="1510"/>
      <c r="Z7" s="1510"/>
      <c r="AA7" s="1510"/>
      <c r="AB7" s="1510"/>
      <c r="AC7" s="1510"/>
      <c r="AD7" s="1510"/>
      <c r="AE7" s="1510"/>
      <c r="AF7" s="1510"/>
      <c r="AG7" s="1510"/>
      <c r="AH7" s="1510"/>
      <c r="AI7" s="1510"/>
      <c r="AJ7" s="1510"/>
      <c r="AK7" s="1510"/>
      <c r="AL7" s="1510"/>
      <c r="AM7" s="1510"/>
      <c r="AN7" s="1510"/>
      <c r="AO7" s="1510"/>
      <c r="AP7" s="1510"/>
      <c r="AQ7" s="1510"/>
      <c r="AR7" s="1510"/>
      <c r="AS7" s="1510"/>
      <c r="AT7" s="1510"/>
      <c r="AU7" s="1510"/>
      <c r="AV7" s="1510"/>
      <c r="AW7" s="1510"/>
      <c r="AX7" s="1510"/>
      <c r="AY7" s="1510"/>
      <c r="AZ7" s="1510"/>
      <c r="BA7" s="1510"/>
      <c r="BB7" s="1510"/>
      <c r="BC7" s="1510"/>
      <c r="BD7" s="1510"/>
      <c r="BE7" s="1510"/>
      <c r="BF7" s="1510"/>
      <c r="BG7" s="1510"/>
      <c r="BH7" s="1510"/>
      <c r="BI7" s="1510"/>
      <c r="BJ7" s="1510"/>
      <c r="BK7" s="1510"/>
      <c r="BL7" s="1510"/>
      <c r="BM7" s="1510"/>
      <c r="BN7" s="1510"/>
      <c r="BO7" s="1510"/>
      <c r="BP7" s="1510"/>
      <c r="BQ7" s="1510"/>
      <c r="BR7" s="1510"/>
      <c r="BS7" s="1510"/>
      <c r="BT7" s="1510"/>
      <c r="BU7" s="1510"/>
      <c r="BV7" s="1510"/>
      <c r="BW7" s="1510"/>
      <c r="BX7" s="1510"/>
      <c r="BY7" s="1510"/>
      <c r="BZ7" s="1510"/>
      <c r="CA7" s="1510"/>
      <c r="CB7" s="1648"/>
      <c r="CC7" s="1510"/>
      <c r="CD7" s="1510"/>
      <c r="CE7" s="1510"/>
      <c r="CF7" s="1510"/>
      <c r="CG7" s="1648"/>
      <c r="CH7" s="1510"/>
      <c r="CI7" s="1510"/>
      <c r="CJ7" s="1510"/>
      <c r="CK7" s="1510"/>
      <c r="CL7" s="1648"/>
      <c r="CM7" s="1510"/>
      <c r="CN7" s="1510"/>
      <c r="CO7" s="1510"/>
      <c r="CP7" s="1510"/>
      <c r="CQ7" s="1648"/>
      <c r="CR7" s="1510"/>
      <c r="CS7" s="1510"/>
      <c r="CT7" s="1510"/>
      <c r="CU7" s="1510"/>
      <c r="CV7" s="1648"/>
      <c r="CW7" s="1648"/>
      <c r="CX7" s="1648"/>
      <c r="CY7" s="1648"/>
      <c r="CZ7" s="1243"/>
    </row>
    <row r="8" spans="1:105" hidden="1" outlineLevel="1">
      <c r="A8" s="1156"/>
      <c r="B8" s="1490"/>
      <c r="C8" s="1490"/>
      <c r="D8" s="1490"/>
      <c r="E8" s="1490"/>
      <c r="F8" s="1490"/>
      <c r="G8" s="1490"/>
      <c r="H8" s="1490"/>
      <c r="I8" s="1490"/>
      <c r="J8" s="1490"/>
      <c r="K8" s="1490"/>
      <c r="L8" s="1490"/>
      <c r="M8" s="1490"/>
      <c r="N8" s="1490"/>
      <c r="O8" s="1490"/>
      <c r="P8" s="1490"/>
      <c r="Q8" s="1490"/>
      <c r="R8" s="1490"/>
      <c r="S8" s="1490"/>
      <c r="T8" s="1490"/>
      <c r="U8" s="1490"/>
      <c r="V8" s="1490"/>
      <c r="W8" s="1490"/>
      <c r="X8" s="1490"/>
      <c r="Y8" s="1490"/>
      <c r="Z8" s="1490"/>
      <c r="AA8" s="1490"/>
      <c r="AB8" s="1490"/>
      <c r="AC8" s="1490"/>
      <c r="AD8" s="1490"/>
      <c r="AE8" s="1490"/>
      <c r="AF8" s="1490"/>
      <c r="AG8" s="1490"/>
      <c r="AH8" s="1490"/>
      <c r="AI8" s="1490"/>
      <c r="AJ8" s="1490"/>
      <c r="AK8" s="1490"/>
      <c r="AL8" s="1490"/>
      <c r="AM8" s="1490"/>
      <c r="AN8" s="1490"/>
      <c r="AO8" s="1490"/>
      <c r="AP8" s="1490"/>
      <c r="AQ8" s="1490"/>
      <c r="AR8" s="1490"/>
      <c r="AS8" s="1490"/>
      <c r="AT8" s="1490"/>
      <c r="AU8" s="1490"/>
      <c r="AV8" s="1490"/>
      <c r="AW8" s="1490"/>
      <c r="AX8" s="1490"/>
      <c r="AY8" s="1490"/>
      <c r="AZ8" s="1490"/>
      <c r="BA8" s="1490"/>
      <c r="BB8" s="1490"/>
      <c r="BC8" s="1490"/>
      <c r="BD8" s="1490"/>
      <c r="BE8" s="1490"/>
      <c r="BF8" s="1490"/>
      <c r="BG8" s="1490"/>
      <c r="BH8" s="1490"/>
      <c r="BI8" s="1490"/>
      <c r="BJ8" s="1490"/>
      <c r="BK8" s="1490"/>
      <c r="BL8" s="1490"/>
      <c r="BM8" s="1490"/>
      <c r="BN8" s="1490"/>
      <c r="BO8" s="1490"/>
      <c r="BP8" s="1490"/>
      <c r="BQ8" s="1490"/>
      <c r="BR8" s="1490"/>
      <c r="BS8" s="1490"/>
      <c r="BT8" s="1490"/>
      <c r="BU8" s="1490"/>
      <c r="BV8" s="1490"/>
      <c r="BW8" s="1490"/>
      <c r="BX8" s="1490"/>
      <c r="BY8" s="1490"/>
      <c r="BZ8" s="1490"/>
      <c r="CA8" s="1490"/>
      <c r="CB8" s="1243"/>
      <c r="CC8" s="1490"/>
      <c r="CD8" s="1490"/>
      <c r="CE8" s="1490"/>
      <c r="CF8" s="1490"/>
      <c r="CG8" s="1243"/>
      <c r="CH8" s="1490"/>
      <c r="CI8" s="1490"/>
      <c r="CJ8" s="1490"/>
      <c r="CK8" s="1490"/>
      <c r="CL8" s="1240"/>
      <c r="CM8" s="1490"/>
      <c r="CN8" s="1490"/>
      <c r="CO8" s="1490"/>
      <c r="CP8" s="1490"/>
      <c r="CQ8" s="1197"/>
      <c r="CR8" s="1490"/>
      <c r="CS8" s="1490"/>
      <c r="CT8" s="1490"/>
      <c r="CU8" s="1490"/>
      <c r="CV8" s="1197"/>
      <c r="CW8" s="1197"/>
      <c r="CX8" s="1197"/>
      <c r="CY8" s="1197"/>
      <c r="CZ8" s="1197"/>
    </row>
    <row r="9" spans="1:105" ht="12" customHeight="1" collapsed="1" thickBot="1">
      <c r="A9" s="1156"/>
      <c r="B9" s="1156"/>
      <c r="C9" s="1381"/>
      <c r="D9" s="1381"/>
      <c r="E9" s="1381"/>
      <c r="F9" s="1381"/>
      <c r="G9" s="1381"/>
      <c r="H9" s="1381"/>
      <c r="I9" s="1381"/>
      <c r="J9" s="1381"/>
      <c r="K9" s="1381"/>
      <c r="L9" s="1381"/>
      <c r="M9" s="1381"/>
      <c r="N9" s="1381"/>
      <c r="O9" s="1381"/>
      <c r="P9" s="1381"/>
      <c r="Q9" s="1381"/>
      <c r="R9" s="1381"/>
      <c r="S9" s="1381"/>
      <c r="T9" s="1381"/>
      <c r="U9" s="1381"/>
      <c r="V9" s="1381"/>
      <c r="W9" s="1381"/>
      <c r="X9" s="1381"/>
      <c r="Y9" s="1381"/>
      <c r="Z9" s="1381"/>
      <c r="AA9" s="1381"/>
      <c r="AB9" s="1381"/>
      <c r="AC9" s="1381"/>
      <c r="AD9" s="1381"/>
      <c r="AE9" s="1381"/>
      <c r="AF9" s="1381"/>
      <c r="AG9" s="1381"/>
      <c r="AH9" s="1381"/>
      <c r="AI9" s="1381"/>
      <c r="AJ9" s="1381"/>
      <c r="AK9" s="1381"/>
      <c r="AL9" s="1381"/>
      <c r="AM9" s="1381"/>
      <c r="AN9" s="1381"/>
      <c r="AO9" s="1381"/>
      <c r="AP9" s="1381"/>
      <c r="AQ9" s="1381"/>
      <c r="AR9" s="1381"/>
      <c r="AS9" s="1381"/>
      <c r="AT9" s="1381"/>
      <c r="AU9" s="1381"/>
      <c r="AV9" s="1381"/>
      <c r="AW9" s="1381"/>
      <c r="AX9" s="1381"/>
      <c r="AY9" s="1381"/>
      <c r="AZ9" s="1381"/>
      <c r="BA9" s="1381"/>
      <c r="BB9" s="1381"/>
      <c r="BC9" s="1381"/>
      <c r="BD9" s="1381"/>
      <c r="BE9" s="1381"/>
      <c r="BF9" s="1381"/>
      <c r="BG9" s="1381"/>
      <c r="BH9" s="1381"/>
      <c r="BI9" s="1504"/>
      <c r="BJ9" s="1504"/>
      <c r="BK9" s="1504"/>
      <c r="BL9" s="1504"/>
      <c r="BM9" s="1504"/>
      <c r="BN9" s="1504"/>
      <c r="BO9" s="1504"/>
      <c r="BP9" s="1504"/>
      <c r="BQ9" s="1504"/>
      <c r="BR9" s="1504"/>
      <c r="BS9" s="1504"/>
      <c r="BT9" s="1504"/>
      <c r="BU9" s="1504"/>
      <c r="BV9" s="1504"/>
      <c r="BW9" s="1504"/>
      <c r="BX9" s="1504"/>
      <c r="BY9" s="1504"/>
      <c r="BZ9" s="1504"/>
      <c r="CA9" s="1504"/>
      <c r="CB9" s="1648"/>
      <c r="CC9" s="1504"/>
      <c r="CD9" s="1504"/>
      <c r="CE9" s="1504"/>
      <c r="CF9" s="1504"/>
      <c r="CG9" s="1648"/>
      <c r="CH9" s="1504"/>
      <c r="CI9" s="1504"/>
      <c r="CJ9" s="1504"/>
      <c r="CK9" s="1504"/>
      <c r="CL9" s="1647"/>
      <c r="CM9" s="1504"/>
      <c r="CN9" s="1504"/>
      <c r="CO9" s="1504"/>
      <c r="CP9" s="1504"/>
      <c r="CQ9" s="1197"/>
      <c r="CR9" s="1504"/>
      <c r="CS9" s="1504"/>
      <c r="CT9" s="1504"/>
      <c r="CU9" s="1504"/>
      <c r="CV9" s="1197"/>
      <c r="CW9" s="1197"/>
      <c r="CX9" s="1197"/>
      <c r="CY9" s="1197"/>
      <c r="CZ9" s="1197"/>
    </row>
    <row r="10" spans="1:105" ht="12" customHeight="1">
      <c r="A10" s="1184"/>
      <c r="B10" s="1184"/>
      <c r="C10" s="1646" t="s">
        <v>1086</v>
      </c>
      <c r="D10" s="1645"/>
      <c r="E10" s="1644"/>
      <c r="F10" s="1642" t="s">
        <v>327</v>
      </c>
      <c r="G10" s="1642" t="s">
        <v>326</v>
      </c>
      <c r="H10" s="1642" t="s">
        <v>325</v>
      </c>
      <c r="I10" s="1642" t="s">
        <v>324</v>
      </c>
      <c r="J10" s="1643">
        <v>2000</v>
      </c>
      <c r="K10" s="1642" t="s">
        <v>323</v>
      </c>
      <c r="L10" s="1642" t="s">
        <v>322</v>
      </c>
      <c r="M10" s="1642" t="s">
        <v>321</v>
      </c>
      <c r="N10" s="1642" t="s">
        <v>320</v>
      </c>
      <c r="O10" s="1643">
        <v>2001</v>
      </c>
      <c r="P10" s="1642" t="s">
        <v>319</v>
      </c>
      <c r="Q10" s="1642" t="s">
        <v>318</v>
      </c>
      <c r="R10" s="1642" t="s">
        <v>317</v>
      </c>
      <c r="S10" s="1642" t="s">
        <v>316</v>
      </c>
      <c r="T10" s="1643">
        <v>2002</v>
      </c>
      <c r="U10" s="1642" t="s">
        <v>315</v>
      </c>
      <c r="V10" s="1642" t="s">
        <v>314</v>
      </c>
      <c r="W10" s="1642" t="s">
        <v>313</v>
      </c>
      <c r="X10" s="1642" t="s">
        <v>312</v>
      </c>
      <c r="Y10" s="1643">
        <v>2003</v>
      </c>
      <c r="Z10" s="1642" t="s">
        <v>121</v>
      </c>
      <c r="AA10" s="1642" t="s">
        <v>120</v>
      </c>
      <c r="AB10" s="1642" t="s">
        <v>119</v>
      </c>
      <c r="AC10" s="1642" t="s">
        <v>118</v>
      </c>
      <c r="AD10" s="1643">
        <v>2004</v>
      </c>
      <c r="AE10" s="1642" t="s">
        <v>117</v>
      </c>
      <c r="AF10" s="1642" t="s">
        <v>116</v>
      </c>
      <c r="AG10" s="1642" t="s">
        <v>115</v>
      </c>
      <c r="AH10" s="1642" t="s">
        <v>114</v>
      </c>
      <c r="AI10" s="1643">
        <v>2005</v>
      </c>
      <c r="AJ10" s="1642" t="s">
        <v>206</v>
      </c>
      <c r="AK10" s="1642" t="s">
        <v>205</v>
      </c>
      <c r="AL10" s="1642" t="s">
        <v>204</v>
      </c>
      <c r="AM10" s="1642" t="s">
        <v>203</v>
      </c>
      <c r="AN10" s="1494">
        <v>2006</v>
      </c>
      <c r="AO10" s="1497" t="s">
        <v>202</v>
      </c>
      <c r="AP10" s="1497" t="s">
        <v>201</v>
      </c>
      <c r="AQ10" s="1497" t="s">
        <v>200</v>
      </c>
      <c r="AR10" s="1497" t="s">
        <v>199</v>
      </c>
      <c r="AS10" s="1494">
        <v>2007</v>
      </c>
      <c r="AT10" s="1497" t="s">
        <v>198</v>
      </c>
      <c r="AU10" s="1497" t="s">
        <v>197</v>
      </c>
      <c r="AV10" s="1497" t="s">
        <v>196</v>
      </c>
      <c r="AW10" s="1497" t="s">
        <v>195</v>
      </c>
      <c r="AX10" s="1494">
        <v>2008</v>
      </c>
      <c r="AY10" s="1497" t="s">
        <v>194</v>
      </c>
      <c r="AZ10" s="1497" t="s">
        <v>193</v>
      </c>
      <c r="BA10" s="1497" t="s">
        <v>192</v>
      </c>
      <c r="BB10" s="1497" t="s">
        <v>191</v>
      </c>
      <c r="BC10" s="1494">
        <v>2009</v>
      </c>
      <c r="BD10" s="1497" t="s">
        <v>190</v>
      </c>
      <c r="BE10" s="1497" t="s">
        <v>189</v>
      </c>
      <c r="BF10" s="1497" t="s">
        <v>188</v>
      </c>
      <c r="BG10" s="1497" t="s">
        <v>187</v>
      </c>
      <c r="BH10" s="1494">
        <v>2010</v>
      </c>
      <c r="BI10" s="1497" t="s">
        <v>186</v>
      </c>
      <c r="BJ10" s="1497" t="s">
        <v>185</v>
      </c>
      <c r="BK10" s="1497" t="s">
        <v>184</v>
      </c>
      <c r="BL10" s="1497" t="s">
        <v>183</v>
      </c>
      <c r="BM10" s="1494">
        <v>2011</v>
      </c>
      <c r="BN10" s="1497" t="s">
        <v>182</v>
      </c>
      <c r="BO10" s="1497" t="s">
        <v>181</v>
      </c>
      <c r="BP10" s="1497" t="s">
        <v>180</v>
      </c>
      <c r="BQ10" s="1497" t="s">
        <v>179</v>
      </c>
      <c r="BR10" s="1494">
        <v>2012</v>
      </c>
      <c r="BS10" s="1499" t="s">
        <v>178</v>
      </c>
      <c r="BT10" s="1499" t="s">
        <v>177</v>
      </c>
      <c r="BU10" s="1499" t="s">
        <v>176</v>
      </c>
      <c r="BV10" s="1499" t="s">
        <v>175</v>
      </c>
      <c r="BW10" s="1494">
        <v>2013</v>
      </c>
      <c r="BX10" s="1499" t="s">
        <v>174</v>
      </c>
      <c r="BY10" s="1499" t="s">
        <v>152</v>
      </c>
      <c r="BZ10" s="1499" t="s">
        <v>140</v>
      </c>
      <c r="CA10" s="1499" t="s">
        <v>132</v>
      </c>
      <c r="CB10" s="1494">
        <v>2014</v>
      </c>
      <c r="CC10" s="1499" t="str">
        <f>IS!CC9</f>
        <v>1Q15</v>
      </c>
      <c r="CD10" s="1499" t="str">
        <f>IS!CD9</f>
        <v>2Q15</v>
      </c>
      <c r="CE10" s="1499" t="str">
        <f>IS!CE9</f>
        <v>3Q15</v>
      </c>
      <c r="CF10" s="1499" t="str">
        <f>IS!CF9</f>
        <v>4Q15</v>
      </c>
      <c r="CG10" s="1494">
        <f>IS!CG9</f>
        <v>2015</v>
      </c>
      <c r="CH10" s="1499" t="str">
        <f>IS!CH9</f>
        <v>1Q16</v>
      </c>
      <c r="CI10" s="1499" t="str">
        <f>IS!CI9</f>
        <v>2Q16</v>
      </c>
      <c r="CJ10" s="1499" t="str">
        <f>IS!CJ9</f>
        <v>3Q16</v>
      </c>
      <c r="CK10" s="1499" t="str">
        <f>IS!CK9</f>
        <v>4Q16</v>
      </c>
      <c r="CL10" s="1494">
        <f>IS!CL9</f>
        <v>2016</v>
      </c>
      <c r="CM10" s="1499" t="str">
        <f>IS!CM9</f>
        <v>1Q17</v>
      </c>
      <c r="CN10" s="1499" t="str">
        <f>IS!CN9</f>
        <v>2Q17</v>
      </c>
      <c r="CO10" s="1499" t="str">
        <f>IS!CO9</f>
        <v>3Q17</v>
      </c>
      <c r="CP10" s="1499" t="str">
        <f>IS!CP9</f>
        <v>4Q17E</v>
      </c>
      <c r="CQ10" s="1494" t="str">
        <f>IS!CQ9</f>
        <v>2017E</v>
      </c>
      <c r="CR10" s="1499" t="str">
        <f>IS!CR9</f>
        <v>1Q18E</v>
      </c>
      <c r="CS10" s="1499" t="str">
        <f>IS!CS9</f>
        <v>2Q18E</v>
      </c>
      <c r="CT10" s="1499" t="str">
        <f>IS!CT9</f>
        <v>3Q18E</v>
      </c>
      <c r="CU10" s="1499" t="str">
        <f>IS!CU9</f>
        <v>4Q18E</v>
      </c>
      <c r="CV10" s="1494" t="str">
        <f>IS!CV9</f>
        <v>2018E</v>
      </c>
      <c r="CW10" s="1494" t="str">
        <f>IS!CW9</f>
        <v>2019E</v>
      </c>
      <c r="CX10" s="1494" t="str">
        <f>IS!CX9</f>
        <v>2020E</v>
      </c>
      <c r="CY10" s="1494" t="str">
        <f>IS!CY9</f>
        <v>2021E</v>
      </c>
      <c r="CZ10" s="1243"/>
    </row>
    <row r="11" spans="1:105" ht="12" customHeight="1">
      <c r="A11" s="1641"/>
      <c r="B11" s="1184"/>
      <c r="C11" s="1492"/>
      <c r="D11" s="1492"/>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1191"/>
      <c r="AK11" s="1191"/>
      <c r="AL11" s="1191"/>
      <c r="AM11" s="1191"/>
      <c r="AN11" s="1191"/>
      <c r="AO11" s="1490"/>
      <c r="AP11" s="1490"/>
      <c r="AQ11" s="1490"/>
      <c r="AR11" s="1490"/>
      <c r="AS11" s="1487"/>
      <c r="AT11" s="1490"/>
      <c r="AU11" s="1490"/>
      <c r="AV11" s="1490"/>
      <c r="AW11" s="1490"/>
      <c r="AX11" s="1487"/>
      <c r="AY11" s="1490"/>
      <c r="AZ11" s="1490"/>
      <c r="BA11" s="1490"/>
      <c r="BB11" s="1490"/>
      <c r="BC11" s="1487"/>
      <c r="BD11" s="1490"/>
      <c r="BE11" s="1490"/>
      <c r="BF11" s="1490"/>
      <c r="BG11" s="1490"/>
      <c r="BH11" s="1487"/>
      <c r="BI11" s="1490"/>
      <c r="BJ11" s="1637"/>
      <c r="BK11" s="1637"/>
      <c r="BL11" s="1637"/>
      <c r="BM11" s="1640"/>
      <c r="BN11" s="1639"/>
      <c r="BO11" s="1637"/>
      <c r="BP11" s="1637"/>
      <c r="BQ11" s="2311">
        <f>BQ12/BP12-1</f>
        <v>-2.6297252876262056E-2</v>
      </c>
      <c r="BR11" s="1638"/>
      <c r="BS11" s="2311">
        <f>BS12/BQ12-1</f>
        <v>-7.4752833373523009E-2</v>
      </c>
      <c r="BT11" s="2311">
        <f t="shared" ref="BT11" si="0">BT12/BS12-1</f>
        <v>0.18399791503778995</v>
      </c>
      <c r="BU11" s="2311">
        <f>BU12/BT12-1</f>
        <v>-6.7356372441118251E-2</v>
      </c>
      <c r="BV11" s="2311">
        <f>BV12/BU12-1</f>
        <v>-1.0620722209110256E-2</v>
      </c>
      <c r="BW11" s="1487"/>
      <c r="BX11" s="2311">
        <f>BX12/BV12-1</f>
        <v>-8.1345419847328237E-2</v>
      </c>
      <c r="BY11" s="2311">
        <f t="shared" ref="BY11" si="1">BY12/BX12-1</f>
        <v>0.15009088548428973</v>
      </c>
      <c r="BZ11" s="2311">
        <f>BZ12/BY12-1</f>
        <v>-1.7611198916233861E-2</v>
      </c>
      <c r="CA11" s="2311">
        <f>CA12/BZ12-1</f>
        <v>-3.6543323373937064E-2</v>
      </c>
      <c r="CB11" s="1489"/>
      <c r="CC11" s="2311">
        <f>CC12/CA12-1</f>
        <v>-8.1106870229007644E-2</v>
      </c>
      <c r="CD11" s="2311">
        <f t="shared" ref="CD11" si="2">CD12/CC12-1</f>
        <v>0.15628245067497404</v>
      </c>
      <c r="CE11" s="2311">
        <f>CE12/CD12-1</f>
        <v>-3.9290525370453522E-2</v>
      </c>
      <c r="CF11" s="2311">
        <f>CF12/CE12-1</f>
        <v>-3.6690815611124084E-2</v>
      </c>
      <c r="CG11" s="1487"/>
      <c r="CH11" s="2311">
        <f>CH12/CF12-1</f>
        <v>-9.5584667637069409E-2</v>
      </c>
      <c r="CI11" s="2311">
        <f t="shared" ref="CI11" si="3">CI12/CH12-1</f>
        <v>0.19608369098712441</v>
      </c>
      <c r="CJ11" s="2311">
        <f>CJ12/CI12-1</f>
        <v>-9.8676833370711092E-3</v>
      </c>
      <c r="CK11" s="2311">
        <f>CK12/CJ12-1</f>
        <v>-3.7599093997734978E-2</v>
      </c>
      <c r="CL11" s="1487"/>
      <c r="CM11" s="2311">
        <f>CM12/CK12-1</f>
        <v>-8.4019769357495888E-2</v>
      </c>
      <c r="CN11" s="2311">
        <f t="shared" ref="CN11" si="4">CN12/CM12-1</f>
        <v>0.21068859198355594</v>
      </c>
      <c r="CO11" s="2311">
        <f>CO12/CN12-1</f>
        <v>-5.0933786078098953E-3</v>
      </c>
      <c r="CP11" s="2311">
        <f>CP12/CO12-1</f>
        <v>-2.9650011367684637E-2</v>
      </c>
      <c r="CQ11" s="1487"/>
      <c r="CR11" s="2311">
        <f>CR12/CP12-1</f>
        <v>-8.3413909541915632E-2</v>
      </c>
      <c r="CS11" s="2311">
        <f t="shared" ref="CS11" si="5">CS12/CR12-1</f>
        <v>0.19938761445668729</v>
      </c>
      <c r="CT11" s="2311">
        <f>CT12/CS12-1</f>
        <v>-5.0933786078097842E-3</v>
      </c>
      <c r="CU11" s="2311">
        <f>CU12/CT12-1</f>
        <v>-5.5763068428878459E-2</v>
      </c>
      <c r="CV11" s="1636"/>
      <c r="CW11" s="1636"/>
      <c r="CX11" s="1636"/>
      <c r="CY11" s="1636"/>
      <c r="CZ11" s="1964"/>
    </row>
    <row r="12" spans="1:105" s="1108" customFormat="1" ht="13.5" customHeight="1">
      <c r="A12" s="1632"/>
      <c r="B12" s="1632"/>
      <c r="C12" s="1635" t="s">
        <v>304</v>
      </c>
      <c r="D12" s="1635"/>
      <c r="E12" s="1632"/>
      <c r="F12" s="1632"/>
      <c r="G12" s="1632"/>
      <c r="H12" s="1632"/>
      <c r="I12" s="1632"/>
      <c r="J12" s="1632"/>
      <c r="K12" s="1632"/>
      <c r="L12" s="1632"/>
      <c r="M12" s="1632"/>
      <c r="N12" s="1632"/>
      <c r="O12" s="1632"/>
      <c r="P12" s="1632"/>
      <c r="Q12" s="1632"/>
      <c r="R12" s="1632"/>
      <c r="S12" s="1632"/>
      <c r="T12" s="1632"/>
      <c r="U12" s="1632"/>
      <c r="V12" s="1632"/>
      <c r="W12" s="1632"/>
      <c r="X12" s="1632"/>
      <c r="Y12" s="1632"/>
      <c r="Z12" s="1632"/>
      <c r="AA12" s="1632"/>
      <c r="AB12" s="1632"/>
      <c r="AC12" s="1632"/>
      <c r="AD12" s="1632"/>
      <c r="AE12" s="1632"/>
      <c r="AF12" s="1632"/>
      <c r="AG12" s="1632"/>
      <c r="AH12" s="1632"/>
      <c r="AI12" s="1632"/>
      <c r="AJ12" s="1632"/>
      <c r="AK12" s="1632"/>
      <c r="AL12" s="1632"/>
      <c r="AM12" s="1632"/>
      <c r="AN12" s="1632"/>
      <c r="AO12" s="1632">
        <v>4376</v>
      </c>
      <c r="AP12" s="1632">
        <v>5404</v>
      </c>
      <c r="AQ12" s="1632">
        <v>5209</v>
      </c>
      <c r="AR12" s="1632">
        <v>5409</v>
      </c>
      <c r="AS12" s="1634">
        <v>20398</v>
      </c>
      <c r="AT12" s="1632">
        <v>5007</v>
      </c>
      <c r="AU12" s="1632">
        <v>6094</v>
      </c>
      <c r="AV12" s="1632">
        <v>5541</v>
      </c>
      <c r="AW12" s="1632">
        <v>4764</v>
      </c>
      <c r="AX12" s="1634">
        <v>21406</v>
      </c>
      <c r="AY12" s="1632">
        <v>3771</v>
      </c>
      <c r="AZ12" s="1632">
        <v>4416</v>
      </c>
      <c r="BA12" s="1632">
        <v>4317</v>
      </c>
      <c r="BB12" s="1632">
        <v>4334</v>
      </c>
      <c r="BC12" s="1634">
        <v>16838</v>
      </c>
      <c r="BD12" s="1632">
        <v>3882</v>
      </c>
      <c r="BE12" s="1632">
        <v>4708</v>
      </c>
      <c r="BF12" s="1632">
        <v>4593</v>
      </c>
      <c r="BG12" s="1632">
        <v>4693</v>
      </c>
      <c r="BH12" s="1634">
        <v>17876</v>
      </c>
      <c r="BI12" s="1632">
        <v>4393</v>
      </c>
      <c r="BJ12" s="1632">
        <v>5140</v>
      </c>
      <c r="BK12" s="1632">
        <v>4921</v>
      </c>
      <c r="BL12" s="1632">
        <v>4410</v>
      </c>
      <c r="BM12" s="1634">
        <f>SUM(BI12:BL12)</f>
        <v>18864</v>
      </c>
      <c r="BN12" s="1632">
        <v>4112</v>
      </c>
      <c r="BO12" s="1632">
        <v>4572</v>
      </c>
      <c r="BP12" s="1632">
        <v>4259</v>
      </c>
      <c r="BQ12" s="1632">
        <v>4147</v>
      </c>
      <c r="BR12" s="1634">
        <f>SUM(BN12:BQ12)</f>
        <v>17090</v>
      </c>
      <c r="BS12" s="1632">
        <v>3837</v>
      </c>
      <c r="BT12" s="1632">
        <v>4543</v>
      </c>
      <c r="BU12" s="1632">
        <v>4237</v>
      </c>
      <c r="BV12" s="1632">
        <v>4192</v>
      </c>
      <c r="BW12" s="1634">
        <f>SUM(BS12:BV12)</f>
        <v>16809</v>
      </c>
      <c r="BX12" s="1632">
        <v>3851</v>
      </c>
      <c r="BY12" s="1632">
        <v>4429</v>
      </c>
      <c r="BZ12" s="1632">
        <v>4351</v>
      </c>
      <c r="CA12" s="1633">
        <v>4192</v>
      </c>
      <c r="CB12" s="1631">
        <f>SUM(BX12:CA12)</f>
        <v>16823</v>
      </c>
      <c r="CC12" s="1632">
        <v>3852</v>
      </c>
      <c r="CD12" s="1633">
        <v>4454</v>
      </c>
      <c r="CE12" s="1871">
        <v>4279</v>
      </c>
      <c r="CF12" s="1871">
        <v>4122</v>
      </c>
      <c r="CG12" s="1631">
        <f>SUM(CC12:CF12)</f>
        <v>16707</v>
      </c>
      <c r="CH12" s="1871">
        <v>3728</v>
      </c>
      <c r="CI12" s="1871">
        <v>4459</v>
      </c>
      <c r="CJ12" s="1871">
        <v>4415</v>
      </c>
      <c r="CK12" s="1871">
        <v>4249</v>
      </c>
      <c r="CL12" s="1631">
        <f>SUM(CH12:CK12)</f>
        <v>16851</v>
      </c>
      <c r="CM12" s="1871">
        <v>3892</v>
      </c>
      <c r="CN12" s="1871">
        <v>4712</v>
      </c>
      <c r="CO12" s="1871">
        <v>4688</v>
      </c>
      <c r="CP12" s="1485">
        <f>CQ12-SUM(CM12:CO12)</f>
        <v>4549.0007467082942</v>
      </c>
      <c r="CQ12" s="1631">
        <f>CQ87</f>
        <v>17841.000746708294</v>
      </c>
      <c r="CR12" s="1632">
        <f>CM12*(1+CR13)</f>
        <v>4169.5508099162616</v>
      </c>
      <c r="CS12" s="1632">
        <f>CN12*(1+CS13)</f>
        <v>5000.9075992614135</v>
      </c>
      <c r="CT12" s="1632">
        <f>CO12*(1+CT13)</f>
        <v>4975.4360834757017</v>
      </c>
      <c r="CU12" s="1485">
        <f>CV12-SUM(CR12:CT12)</f>
        <v>4697.990500689335</v>
      </c>
      <c r="CV12" s="1631">
        <f>CV87</f>
        <v>18843.884993342712</v>
      </c>
      <c r="CW12" s="1631">
        <f>CW87</f>
        <v>19341.643816188036</v>
      </c>
      <c r="CX12" s="1631">
        <f>CX87</f>
        <v>19749.982372980827</v>
      </c>
      <c r="CY12" s="1631">
        <f>CY87</f>
        <v>20168.096124287287</v>
      </c>
      <c r="CZ12" s="1965"/>
      <c r="DA12" s="1980" t="s">
        <v>1373</v>
      </c>
    </row>
    <row r="13" spans="1:105" s="1178" customFormat="1" ht="13.5" customHeight="1">
      <c r="A13" s="1482"/>
      <c r="B13" s="1482"/>
      <c r="C13" s="1483"/>
      <c r="D13" s="1393" t="s">
        <v>282</v>
      </c>
      <c r="E13" s="1482"/>
      <c r="F13" s="1482"/>
      <c r="G13" s="1482"/>
      <c r="H13" s="1482"/>
      <c r="I13" s="1482"/>
      <c r="J13" s="1482"/>
      <c r="K13" s="1482"/>
      <c r="L13" s="1482"/>
      <c r="M13" s="1482"/>
      <c r="N13" s="1482"/>
      <c r="O13" s="1482"/>
      <c r="P13" s="1482"/>
      <c r="Q13" s="1482"/>
      <c r="R13" s="1482"/>
      <c r="S13" s="1482"/>
      <c r="T13" s="1482"/>
      <c r="U13" s="1482"/>
      <c r="V13" s="1482"/>
      <c r="W13" s="1482"/>
      <c r="X13" s="1482"/>
      <c r="Y13" s="1482"/>
      <c r="Z13" s="1482"/>
      <c r="AA13" s="1482"/>
      <c r="AB13" s="1482"/>
      <c r="AC13" s="1482"/>
      <c r="AD13" s="1482"/>
      <c r="AE13" s="1482"/>
      <c r="AF13" s="1482"/>
      <c r="AG13" s="1482"/>
      <c r="AH13" s="1482"/>
      <c r="AI13" s="1482"/>
      <c r="AJ13" s="1482"/>
      <c r="AK13" s="1482"/>
      <c r="AL13" s="1482"/>
      <c r="AM13" s="1482"/>
      <c r="AN13" s="1482"/>
      <c r="AO13" s="337"/>
      <c r="AP13" s="337"/>
      <c r="AQ13" s="337"/>
      <c r="AR13" s="337"/>
      <c r="AS13" s="1151"/>
      <c r="AT13" s="337">
        <f t="shared" ref="AT13:CO13" si="6">IF(ISERROR(AT12/AO12-1),"-",AT12/AO12-1)</f>
        <v>0.1441956124314443</v>
      </c>
      <c r="AU13" s="337">
        <f t="shared" si="6"/>
        <v>0.12768319763138414</v>
      </c>
      <c r="AV13" s="337">
        <f t="shared" si="6"/>
        <v>6.3735841812248006E-2</v>
      </c>
      <c r="AW13" s="337">
        <f t="shared" si="6"/>
        <v>-0.1192457016084304</v>
      </c>
      <c r="AX13" s="1151">
        <f t="shared" si="6"/>
        <v>4.9416609471516715E-2</v>
      </c>
      <c r="AY13" s="337">
        <f t="shared" si="6"/>
        <v>-0.24685440383463153</v>
      </c>
      <c r="AZ13" s="337">
        <f t="shared" si="6"/>
        <v>-0.27535280603872658</v>
      </c>
      <c r="BA13" s="337">
        <f t="shared" si="6"/>
        <v>-0.22089875473741205</v>
      </c>
      <c r="BB13" s="337">
        <f t="shared" si="6"/>
        <v>-9.0260285474391244E-2</v>
      </c>
      <c r="BC13" s="1151">
        <f t="shared" si="6"/>
        <v>-0.21339811267868825</v>
      </c>
      <c r="BD13" s="337">
        <f t="shared" si="6"/>
        <v>2.9435163086714455E-2</v>
      </c>
      <c r="BE13" s="337">
        <f t="shared" si="6"/>
        <v>6.6123188405797118E-2</v>
      </c>
      <c r="BF13" s="337">
        <f t="shared" si="6"/>
        <v>6.3933287004864559E-2</v>
      </c>
      <c r="BG13" s="337">
        <f t="shared" si="6"/>
        <v>8.2833410244577799E-2</v>
      </c>
      <c r="BH13" s="1151">
        <f t="shared" si="6"/>
        <v>6.1646276279843315E-2</v>
      </c>
      <c r="BI13" s="337">
        <f t="shared" si="6"/>
        <v>0.13163317877382785</v>
      </c>
      <c r="BJ13" s="337">
        <f t="shared" si="6"/>
        <v>9.1758708581138437E-2</v>
      </c>
      <c r="BK13" s="337">
        <f t="shared" si="6"/>
        <v>7.1413019812758494E-2</v>
      </c>
      <c r="BL13" s="337">
        <f t="shared" si="6"/>
        <v>-6.0302578308118471E-2</v>
      </c>
      <c r="BM13" s="1151">
        <f t="shared" si="6"/>
        <v>5.5269635265160044E-2</v>
      </c>
      <c r="BN13" s="337">
        <f t="shared" si="6"/>
        <v>-6.3965399499203324E-2</v>
      </c>
      <c r="BO13" s="337">
        <f t="shared" si="6"/>
        <v>-0.11050583657587554</v>
      </c>
      <c r="BP13" s="337">
        <f t="shared" si="6"/>
        <v>-0.13452550294655563</v>
      </c>
      <c r="BQ13" s="337">
        <f t="shared" si="6"/>
        <v>-5.9637188208616743E-2</v>
      </c>
      <c r="BR13" s="1151">
        <f t="shared" si="6"/>
        <v>-9.4041560644614108E-2</v>
      </c>
      <c r="BS13" s="287">
        <f t="shared" si="6"/>
        <v>-6.687743190661477E-2</v>
      </c>
      <c r="BT13" s="287">
        <f t="shared" si="6"/>
        <v>-6.3429571303587062E-3</v>
      </c>
      <c r="BU13" s="287">
        <f t="shared" si="6"/>
        <v>-5.1655318149800289E-3</v>
      </c>
      <c r="BV13" s="287">
        <f t="shared" si="6"/>
        <v>1.0851217747769537E-2</v>
      </c>
      <c r="BW13" s="1151">
        <f t="shared" si="6"/>
        <v>-1.644236395552956E-2</v>
      </c>
      <c r="BX13" s="287">
        <f t="shared" si="6"/>
        <v>3.6486838676048627E-3</v>
      </c>
      <c r="BY13" s="287">
        <f t="shared" si="6"/>
        <v>-2.509355051727935E-2</v>
      </c>
      <c r="BZ13" s="287">
        <f t="shared" si="6"/>
        <v>2.6905829596412634E-2</v>
      </c>
      <c r="CA13" s="287">
        <f t="shared" si="6"/>
        <v>0</v>
      </c>
      <c r="CB13" s="1151">
        <f t="shared" si="6"/>
        <v>8.3288714379192719E-4</v>
      </c>
      <c r="CC13" s="287">
        <f t="shared" si="6"/>
        <v>2.596728122565839E-4</v>
      </c>
      <c r="CD13" s="287">
        <f t="shared" si="6"/>
        <v>5.6446150372544412E-3</v>
      </c>
      <c r="CE13" s="287">
        <f t="shared" si="6"/>
        <v>-1.6547920018386564E-2</v>
      </c>
      <c r="CF13" s="287">
        <f t="shared" si="6"/>
        <v>-1.6698473282442783E-2</v>
      </c>
      <c r="CG13" s="1151">
        <f>CG12/CB12-1</f>
        <v>-6.895321880758476E-3</v>
      </c>
      <c r="CH13" s="287">
        <f t="shared" si="6"/>
        <v>-3.2191069574247111E-2</v>
      </c>
      <c r="CI13" s="287">
        <f t="shared" si="6"/>
        <v>1.1225864391557483E-3</v>
      </c>
      <c r="CJ13" s="287">
        <f t="shared" si="6"/>
        <v>3.1783126898808023E-2</v>
      </c>
      <c r="CK13" s="287">
        <f t="shared" si="6"/>
        <v>3.0810286268801557E-2</v>
      </c>
      <c r="CL13" s="1151">
        <f>CL12/CG12-1</f>
        <v>8.6191416771412843E-3</v>
      </c>
      <c r="CM13" s="287">
        <f t="shared" si="6"/>
        <v>4.3991416309012932E-2</v>
      </c>
      <c r="CN13" s="287">
        <f t="shared" si="6"/>
        <v>5.673917918815885E-2</v>
      </c>
      <c r="CO13" s="287">
        <f t="shared" si="6"/>
        <v>6.1834654586636395E-2</v>
      </c>
      <c r="CP13" s="287">
        <f>IF(ISERROR(CP12/CK12-1),"-",CP12/CK12-1)</f>
        <v>7.0605023936995526E-2</v>
      </c>
      <c r="CQ13" s="1151">
        <f>CQ12/CL12-1</f>
        <v>5.8750266851124167E-2</v>
      </c>
      <c r="CR13" s="337">
        <f>SUM(CR14,CR15,CR16)</f>
        <v>7.1313157737991045E-2</v>
      </c>
      <c r="CS13" s="337">
        <f>SUM(CS14,CS15,CS16)</f>
        <v>6.1313157737991036E-2</v>
      </c>
      <c r="CT13" s="337">
        <f>SUM(CT14,CT15,CT16)</f>
        <v>6.1313157737991036E-2</v>
      </c>
      <c r="CU13" s="287">
        <f>IF(ISERROR(CU12/CP12-1),"-",CU12/CP12-1)</f>
        <v>3.2752193784283623E-2</v>
      </c>
      <c r="CV13" s="1151">
        <f>CV12/CQ12-1</f>
        <v>5.6212331408564742E-2</v>
      </c>
      <c r="CW13" s="1151">
        <f>CW12/CV12-1</f>
        <v>2.6414872677326118E-2</v>
      </c>
      <c r="CX13" s="1151">
        <f>CX12/CW12-1</f>
        <v>2.1111884836335859E-2</v>
      </c>
      <c r="CY13" s="1151">
        <f>CY12/CX12-1</f>
        <v>2.117033541652491E-2</v>
      </c>
      <c r="CZ13" s="337"/>
    </row>
    <row r="14" spans="1:105" s="1178" customFormat="1" ht="13.5" customHeight="1">
      <c r="A14" s="1482"/>
      <c r="B14" s="1482"/>
      <c r="C14" s="1483"/>
      <c r="D14" s="1393" t="s">
        <v>829</v>
      </c>
      <c r="E14" s="1482"/>
      <c r="F14" s="1482"/>
      <c r="G14" s="1482"/>
      <c r="H14" s="1482"/>
      <c r="I14" s="1482"/>
      <c r="J14" s="1482"/>
      <c r="K14" s="1482"/>
      <c r="L14" s="1482"/>
      <c r="M14" s="1482"/>
      <c r="N14" s="1482"/>
      <c r="O14" s="1482"/>
      <c r="P14" s="1482"/>
      <c r="Q14" s="1482"/>
      <c r="R14" s="1482"/>
      <c r="S14" s="1482"/>
      <c r="T14" s="1482"/>
      <c r="U14" s="1482"/>
      <c r="V14" s="1482"/>
      <c r="W14" s="1482"/>
      <c r="X14" s="1482"/>
      <c r="Y14" s="1482"/>
      <c r="Z14" s="1482"/>
      <c r="AA14" s="1482"/>
      <c r="AB14" s="1482"/>
      <c r="AC14" s="1482"/>
      <c r="AD14" s="1482"/>
      <c r="AE14" s="1482"/>
      <c r="AF14" s="1482"/>
      <c r="AG14" s="1482"/>
      <c r="AH14" s="1482"/>
      <c r="AI14" s="1482"/>
      <c r="AJ14" s="1482"/>
      <c r="AK14" s="1482"/>
      <c r="AL14" s="1482"/>
      <c r="AM14" s="1482"/>
      <c r="AN14" s="1482"/>
      <c r="AO14" s="1153"/>
      <c r="AP14" s="1153"/>
      <c r="AQ14" s="1153"/>
      <c r="AR14" s="1153"/>
      <c r="AS14" s="1398"/>
      <c r="AT14" s="1153">
        <f t="shared" ref="AT14:BP14" si="7">AT13-AT15-AT16</f>
        <v>6.4195612431444296E-2</v>
      </c>
      <c r="AU14" s="1153">
        <f t="shared" si="7"/>
        <v>5.5201702442635059E-2</v>
      </c>
      <c r="AV14" s="1153">
        <f t="shared" si="7"/>
        <v>1.6780572086772815E-2</v>
      </c>
      <c r="AW14" s="1153">
        <f t="shared" si="7"/>
        <v>-1.7286004806803396E-3</v>
      </c>
      <c r="AX14" s="1398">
        <f t="shared" si="7"/>
        <v>3.2566918325325954E-2</v>
      </c>
      <c r="AY14" s="1153">
        <f t="shared" si="7"/>
        <v>-1.919512682244856E-2</v>
      </c>
      <c r="AZ14" s="1153">
        <f t="shared" si="7"/>
        <v>-2.8890712175910715E-2</v>
      </c>
      <c r="BA14" s="1153">
        <f t="shared" si="7"/>
        <v>-4.5949287132286631E-2</v>
      </c>
      <c r="BB14" s="1153">
        <f t="shared" si="7"/>
        <v>-5.9718723761544898E-2</v>
      </c>
      <c r="BC14" s="1398">
        <f t="shared" si="7"/>
        <v>-3.7924880874521172E-2</v>
      </c>
      <c r="BD14" s="1153">
        <f t="shared" si="7"/>
        <v>-1.2251392203659405E-2</v>
      </c>
      <c r="BE14" s="1153">
        <f t="shared" si="7"/>
        <v>1.8865489130434822E-2</v>
      </c>
      <c r="BF14" s="1153">
        <f t="shared" si="7"/>
        <v>2.4313180449386192E-2</v>
      </c>
      <c r="BG14" s="1153">
        <f t="shared" si="7"/>
        <v>3.4501615136132938E-2</v>
      </c>
      <c r="BH14" s="1398">
        <f t="shared" si="7"/>
        <v>1.779189927544849E-2</v>
      </c>
      <c r="BI14" s="1153">
        <f t="shared" si="7"/>
        <v>-7.3364245234416037E-3</v>
      </c>
      <c r="BJ14" s="1153">
        <f t="shared" si="7"/>
        <v>-5.4519966015293179E-2</v>
      </c>
      <c r="BK14" s="1153">
        <f t="shared" si="7"/>
        <v>-4.0548661005878568E-2</v>
      </c>
      <c r="BL14" s="1153">
        <f t="shared" si="7"/>
        <v>-5.7986362667803111E-2</v>
      </c>
      <c r="BM14" s="1398">
        <f t="shared" si="7"/>
        <v>-3.6577534123965041E-2</v>
      </c>
      <c r="BN14" s="1153">
        <f t="shared" si="7"/>
        <v>-6.3965399499203324E-2</v>
      </c>
      <c r="BO14" s="1153">
        <f t="shared" si="7"/>
        <v>-8.0505836575875539E-2</v>
      </c>
      <c r="BP14" s="1153">
        <f t="shared" si="7"/>
        <v>-8.4525502946555628E-2</v>
      </c>
      <c r="BQ14" s="1153">
        <v>-0.05</v>
      </c>
      <c r="BR14" s="1398">
        <v>-7.0000000000000007E-2</v>
      </c>
      <c r="BS14" s="1153">
        <v>-0.04</v>
      </c>
      <c r="BT14" s="1153">
        <v>-0.02</v>
      </c>
      <c r="BU14" s="1153">
        <v>-0.03</v>
      </c>
      <c r="BV14" s="1153">
        <v>-0.03</v>
      </c>
      <c r="BW14" s="1398">
        <f>SUMPRODUCT(BS14:BV14,BN12:BQ12)/BR12</f>
        <v>-2.9730836746635462E-2</v>
      </c>
      <c r="BX14" s="1153">
        <v>-0.03</v>
      </c>
      <c r="BY14" s="1153">
        <f>BY13-BY16</f>
        <v>-1.509355051727935E-2</v>
      </c>
      <c r="BZ14" s="1153">
        <v>-0.01</v>
      </c>
      <c r="CA14" s="1153">
        <f>CA13-CA15-CA16</f>
        <v>-2.0000000000000004E-2</v>
      </c>
      <c r="CB14" s="1398">
        <f>SUMPRODUCT(BX14:CA14,BS12:BV12)/BW12</f>
        <v>-1.8435956927836283E-2</v>
      </c>
      <c r="CC14" s="1153">
        <v>0.01</v>
      </c>
      <c r="CD14" s="1153">
        <v>0.03</v>
      </c>
      <c r="CE14" s="1888">
        <v>0.02</v>
      </c>
      <c r="CF14" s="1888">
        <v>0.03</v>
      </c>
      <c r="CG14" s="1398">
        <f>SUMPRODUCT(CC14:CF14,BX12:CA12)/CB12</f>
        <v>2.2835403911311891E-2</v>
      </c>
      <c r="CH14" s="1888">
        <v>0.01</v>
      </c>
      <c r="CI14" s="1888">
        <v>0.02</v>
      </c>
      <c r="CJ14" s="1888">
        <v>0.04</v>
      </c>
      <c r="CK14" s="1888">
        <v>0.05</v>
      </c>
      <c r="CL14" s="1398">
        <f>SUMPRODUCT(CH14:CK14,CC12:CF12)/CG12</f>
        <v>3.0218471299455318E-2</v>
      </c>
      <c r="CM14" s="1888">
        <v>0.04</v>
      </c>
      <c r="CN14" s="1888">
        <v>0.02</v>
      </c>
      <c r="CO14" s="1888">
        <v>0</v>
      </c>
      <c r="CP14" s="1481">
        <v>0</v>
      </c>
      <c r="CQ14" s="1398">
        <f>SUMPRODUCT(CM14:CP14,CH12:CK12)/CL12</f>
        <v>1.4141593970684234E-2</v>
      </c>
      <c r="CR14" s="1432">
        <v>0.01</v>
      </c>
      <c r="CS14" s="1432">
        <v>0</v>
      </c>
      <c r="CT14" s="1432">
        <v>0</v>
      </c>
      <c r="CU14" s="2119">
        <v>0</v>
      </c>
      <c r="CV14" s="1398">
        <f>SUMPRODUCT(CR14:CU14,CM12:CP12)/CQ12</f>
        <v>2.181491977527148E-3</v>
      </c>
      <c r="CW14" s="1484">
        <v>0</v>
      </c>
      <c r="CX14" s="2120">
        <v>0</v>
      </c>
      <c r="CY14" s="2120">
        <v>0</v>
      </c>
      <c r="CZ14" s="1432"/>
    </row>
    <row r="15" spans="1:105" s="1178" customFormat="1" ht="12" customHeight="1">
      <c r="A15" s="1482"/>
      <c r="B15" s="1482"/>
      <c r="C15" s="1483"/>
      <c r="D15" s="1393" t="s">
        <v>828</v>
      </c>
      <c r="E15" s="1482"/>
      <c r="F15" s="1482"/>
      <c r="G15" s="1482"/>
      <c r="H15" s="1482"/>
      <c r="I15" s="1482"/>
      <c r="J15" s="1482"/>
      <c r="K15" s="1482"/>
      <c r="L15" s="1482"/>
      <c r="M15" s="1482"/>
      <c r="N15" s="1482"/>
      <c r="O15" s="1482"/>
      <c r="P15" s="1482"/>
      <c r="Q15" s="1482"/>
      <c r="R15" s="1482"/>
      <c r="S15" s="1482"/>
      <c r="T15" s="1482"/>
      <c r="U15" s="1482"/>
      <c r="V15" s="1482"/>
      <c r="W15" s="1482"/>
      <c r="X15" s="1482"/>
      <c r="Y15" s="1482"/>
      <c r="Z15" s="1482"/>
      <c r="AA15" s="1482"/>
      <c r="AB15" s="1482"/>
      <c r="AC15" s="1482"/>
      <c r="AD15" s="1482"/>
      <c r="AE15" s="1482"/>
      <c r="AF15" s="1482"/>
      <c r="AG15" s="1482"/>
      <c r="AH15" s="1482"/>
      <c r="AI15" s="1482"/>
      <c r="AJ15" s="1482"/>
      <c r="AK15" s="1482"/>
      <c r="AL15" s="1482"/>
      <c r="AM15" s="1482"/>
      <c r="AN15" s="1482"/>
      <c r="AO15" s="1153"/>
      <c r="AP15" s="1153"/>
      <c r="AQ15" s="1153"/>
      <c r="AR15" s="1153"/>
      <c r="AS15" s="1398"/>
      <c r="AT15" s="1153">
        <v>6.5694698354661796E-2</v>
      </c>
      <c r="AU15" s="1153">
        <v>5.4992598075499631E-2</v>
      </c>
      <c r="AV15" s="1153">
        <v>2.7176041466692263E-2</v>
      </c>
      <c r="AW15" s="1153">
        <v>-7.8724348308374936E-2</v>
      </c>
      <c r="AX15" s="1398">
        <v>1.5217178154721072E-2</v>
      </c>
      <c r="AY15" s="1153">
        <v>-9.1915318554024378E-2</v>
      </c>
      <c r="AZ15" s="1153">
        <v>-7.3537906137184111E-2</v>
      </c>
      <c r="BA15" s="1153">
        <v>-4.8448835950189513E-2</v>
      </c>
      <c r="BB15" s="1153">
        <v>5.2611251049538198E-2</v>
      </c>
      <c r="BC15" s="1398">
        <v>-3.9056339344109126E-2</v>
      </c>
      <c r="BD15" s="1153">
        <v>5.3587907716786003E-2</v>
      </c>
      <c r="BE15" s="1153">
        <v>9.9999999999999985E-3</v>
      </c>
      <c r="BF15" s="1153">
        <v>-1.3182765809589993E-2</v>
      </c>
      <c r="BG15" s="1153">
        <v>-0.01</v>
      </c>
      <c r="BH15" s="1398">
        <v>1.3268202874450649E-2</v>
      </c>
      <c r="BI15" s="1153">
        <v>1.3645028335909325E-2</v>
      </c>
      <c r="BJ15" s="1153">
        <v>6.0290994052676301E-2</v>
      </c>
      <c r="BK15" s="1153">
        <v>4.7215327672545181E-2</v>
      </c>
      <c r="BL15" s="1153">
        <v>-6.1581078201576817E-3</v>
      </c>
      <c r="BM15" s="1398">
        <v>2.7261132244349968E-2</v>
      </c>
      <c r="BN15" s="1153">
        <v>-0.01</v>
      </c>
      <c r="BO15" s="1153">
        <v>-0.03</v>
      </c>
      <c r="BP15" s="1153">
        <v>-0.03</v>
      </c>
      <c r="BQ15" s="1153">
        <v>-0.01</v>
      </c>
      <c r="BR15" s="1398">
        <v>-0.02</v>
      </c>
      <c r="BS15" s="1153">
        <v>0</v>
      </c>
      <c r="BT15" s="1153">
        <v>0</v>
      </c>
      <c r="BU15" s="1153">
        <v>0</v>
      </c>
      <c r="BV15" s="1153">
        <v>0</v>
      </c>
      <c r="BW15" s="1398">
        <f>SUMPRODUCT(BS15:BV15,BN12:BQ12)/BR12</f>
        <v>0</v>
      </c>
      <c r="BX15" s="1153">
        <v>0</v>
      </c>
      <c r="BY15" s="1153">
        <v>0</v>
      </c>
      <c r="BZ15" s="1153">
        <f>+BZ13-BZ16-BZ14</f>
        <v>-3.0941704035873669E-3</v>
      </c>
      <c r="CA15" s="1630">
        <v>-0.03</v>
      </c>
      <c r="CB15" s="1398">
        <f>SUMPRODUCT(BX15:CA15,BS12:BV12)/BW12</f>
        <v>-8.2616455470283581E-3</v>
      </c>
      <c r="CC15" s="1153">
        <f>+CC13-CC16-CC14</f>
        <v>-6.9740327187743409E-2</v>
      </c>
      <c r="CD15" s="1153">
        <f>+CD13-CD16-CD14</f>
        <v>-7.435538496274556E-2</v>
      </c>
      <c r="CE15" s="1153">
        <f>+CE13-CE16-CE14</f>
        <v>-6.6547920018386567E-2</v>
      </c>
      <c r="CF15" s="1153">
        <f>+CF13-CF16-CF14</f>
        <v>-4.6698473282442782E-2</v>
      </c>
      <c r="CG15" s="1398">
        <f>SUMPRODUCT(CC15:CF15,BX12:CA12)/CB12</f>
        <v>-6.4388040183082682E-2</v>
      </c>
      <c r="CH15" s="1153">
        <f>+CH13-CH16-CH14</f>
        <v>-3.2191069574247111E-2</v>
      </c>
      <c r="CI15" s="2215">
        <f>+CI13-CI16-CI14</f>
        <v>-8.8774135608442519E-3</v>
      </c>
      <c r="CJ15" s="2215">
        <f>+CJ13-CJ16-CJ14</f>
        <v>-8.2168731011919779E-3</v>
      </c>
      <c r="CK15" s="2215">
        <f>+CK13-CK16-CK14</f>
        <v>-1.9189713731198446E-2</v>
      </c>
      <c r="CL15" s="1398">
        <f>SUMPRODUCT(CH15:CK15,CC12:CF12)/CG12</f>
        <v>-1.6627760818818497E-2</v>
      </c>
      <c r="CM15" s="2215">
        <f>+CM13-CM16-CM14</f>
        <v>-1.6008583690987069E-2</v>
      </c>
      <c r="CN15" s="2215">
        <f>+CN13-CN16-CN14</f>
        <v>-1.3260820811841153E-2</v>
      </c>
      <c r="CO15" s="2215">
        <f>+CO13-CO16-CO14</f>
        <v>2.1834654586636394E-2</v>
      </c>
      <c r="CP15" s="2215">
        <f>'FX Model'!BN37</f>
        <v>2.4689610623745029E-2</v>
      </c>
      <c r="CQ15" s="1398">
        <f>SUMPRODUCT(CM15:CP15,CH12:CK12)/CL12</f>
        <v>4.8956237339204097E-3</v>
      </c>
      <c r="CR15" s="2215">
        <f>'FX Model'!BP37</f>
        <v>3.1313157737991038E-2</v>
      </c>
      <c r="CS15" s="2215">
        <f>'FX Model'!BQ37</f>
        <v>3.1313157737991038E-2</v>
      </c>
      <c r="CT15" s="2215">
        <f>'FX Model'!BR37</f>
        <v>3.1313157737991038E-2</v>
      </c>
      <c r="CU15" s="2215">
        <f>'FX Model'!BS37</f>
        <v>0</v>
      </c>
      <c r="CV15" s="1398">
        <f>SUMPRODUCT(CR15:CU15,CM12:CP12)/CQ12</f>
        <v>2.3329100119575376E-2</v>
      </c>
      <c r="CW15" s="1484">
        <v>0</v>
      </c>
      <c r="CX15" s="2120">
        <v>0</v>
      </c>
      <c r="CY15" s="2120">
        <v>0</v>
      </c>
      <c r="CZ15" s="1432"/>
    </row>
    <row r="16" spans="1:105" s="1178" customFormat="1" ht="12" customHeight="1">
      <c r="A16" s="1482"/>
      <c r="B16" s="1482"/>
      <c r="C16" s="1483"/>
      <c r="D16" s="1393" t="s">
        <v>827</v>
      </c>
      <c r="E16" s="1482"/>
      <c r="F16" s="1482"/>
      <c r="G16" s="1482"/>
      <c r="H16" s="1482"/>
      <c r="I16" s="1482"/>
      <c r="J16" s="1482"/>
      <c r="K16" s="1482"/>
      <c r="L16" s="1482"/>
      <c r="M16" s="1482"/>
      <c r="N16" s="1482"/>
      <c r="O16" s="1482"/>
      <c r="P16" s="1482"/>
      <c r="Q16" s="1482"/>
      <c r="R16" s="1482"/>
      <c r="S16" s="1482"/>
      <c r="T16" s="1482"/>
      <c r="U16" s="1482"/>
      <c r="V16" s="1482"/>
      <c r="W16" s="1482"/>
      <c r="X16" s="1482"/>
      <c r="Y16" s="1482"/>
      <c r="Z16" s="1482"/>
      <c r="AA16" s="1482"/>
      <c r="AB16" s="1482"/>
      <c r="AC16" s="1482"/>
      <c r="AD16" s="1482"/>
      <c r="AE16" s="1482"/>
      <c r="AF16" s="1482"/>
      <c r="AG16" s="1482"/>
      <c r="AH16" s="1482"/>
      <c r="AI16" s="1482"/>
      <c r="AJ16" s="1482"/>
      <c r="AK16" s="1482"/>
      <c r="AL16" s="1482"/>
      <c r="AM16" s="1482"/>
      <c r="AN16" s="1482"/>
      <c r="AO16" s="1153"/>
      <c r="AP16" s="1153"/>
      <c r="AQ16" s="1153"/>
      <c r="AR16" s="1153"/>
      <c r="AS16" s="1480"/>
      <c r="AT16" s="1153">
        <v>1.4305301645338209E-2</v>
      </c>
      <c r="AU16" s="1153">
        <v>1.7488897113249444E-2</v>
      </c>
      <c r="AV16" s="1153">
        <v>1.9779228258782925E-2</v>
      </c>
      <c r="AW16" s="1153">
        <v>-3.8792752819375123E-2</v>
      </c>
      <c r="AX16" s="1480">
        <v>1.6325129914696898E-3</v>
      </c>
      <c r="AY16" s="1153">
        <v>-0.13574395845815859</v>
      </c>
      <c r="AZ16" s="1153">
        <v>-0.17292418772563176</v>
      </c>
      <c r="BA16" s="1153">
        <v>-0.12650063165493591</v>
      </c>
      <c r="BB16" s="1153">
        <v>-8.3152812762384551E-2</v>
      </c>
      <c r="BC16" s="1480">
        <v>-0.13641689246005795</v>
      </c>
      <c r="BD16" s="1153">
        <v>-1.1901352426412142E-2</v>
      </c>
      <c r="BE16" s="1153">
        <v>3.7257699275362301E-2</v>
      </c>
      <c r="BF16" s="1153">
        <v>5.2802872365068358E-2</v>
      </c>
      <c r="BG16" s="1153">
        <v>5.8331795108444856E-2</v>
      </c>
      <c r="BH16" s="1480">
        <v>3.0586174129944174E-2</v>
      </c>
      <c r="BI16" s="1153">
        <v>0.12532457496136012</v>
      </c>
      <c r="BJ16" s="1153">
        <v>8.5987680543755315E-2</v>
      </c>
      <c r="BK16" s="1153">
        <v>6.4746353146091881E-2</v>
      </c>
      <c r="BL16" s="1153">
        <v>3.8418921798423185E-3</v>
      </c>
      <c r="BM16" s="1480">
        <v>6.4586037144775121E-2</v>
      </c>
      <c r="BN16" s="1153">
        <v>0.01</v>
      </c>
      <c r="BO16" s="1153">
        <v>0</v>
      </c>
      <c r="BP16" s="1153">
        <v>-0.02</v>
      </c>
      <c r="BQ16" s="1153">
        <f t="shared" ref="BQ16:BW16" si="8">BQ13-BQ14-BQ15</f>
        <v>3.6281179138326035E-4</v>
      </c>
      <c r="BR16" s="1480">
        <f t="shared" si="8"/>
        <v>-4.0415606446141013E-3</v>
      </c>
      <c r="BS16" s="1153">
        <f t="shared" si="8"/>
        <v>-2.687743190661477E-2</v>
      </c>
      <c r="BT16" s="1153">
        <f t="shared" si="8"/>
        <v>1.3657042869641294E-2</v>
      </c>
      <c r="BU16" s="1153">
        <f t="shared" si="8"/>
        <v>2.483446818501997E-2</v>
      </c>
      <c r="BV16" s="1153">
        <f t="shared" si="8"/>
        <v>4.0851217747769536E-2</v>
      </c>
      <c r="BW16" s="1398">
        <f t="shared" si="8"/>
        <v>1.3288472791105902E-2</v>
      </c>
      <c r="BX16" s="1153">
        <v>0.03</v>
      </c>
      <c r="BY16" s="1153">
        <v>-0.01</v>
      </c>
      <c r="BZ16" s="1153">
        <v>0.04</v>
      </c>
      <c r="CA16" s="1630">
        <v>0.05</v>
      </c>
      <c r="CB16" s="1398">
        <f>CB13-CB14-CB15</f>
        <v>2.7530489618656569E-2</v>
      </c>
      <c r="CC16" s="1153">
        <v>0.06</v>
      </c>
      <c r="CD16" s="1153">
        <v>0.05</v>
      </c>
      <c r="CE16" s="1888">
        <v>0.03</v>
      </c>
      <c r="CF16" s="1888">
        <v>0</v>
      </c>
      <c r="CG16" s="1398">
        <f>SUMPRODUCT(CC16:CF16,BX12:CA12)/CB12</f>
        <v>3.46573143910123E-2</v>
      </c>
      <c r="CH16" s="1888">
        <v>-0.01</v>
      </c>
      <c r="CI16" s="1888">
        <v>-0.01</v>
      </c>
      <c r="CJ16" s="1888">
        <v>0</v>
      </c>
      <c r="CK16" s="1888">
        <v>0</v>
      </c>
      <c r="CL16" s="1629">
        <f>SUMPRODUCT(CH16:CK16,CC12:CF12)/CG12</f>
        <v>-4.9715688034955409E-3</v>
      </c>
      <c r="CM16" s="1888">
        <v>0.02</v>
      </c>
      <c r="CN16" s="1888">
        <v>0.05</v>
      </c>
      <c r="CO16" s="1888">
        <v>0.04</v>
      </c>
      <c r="CP16" s="1430">
        <f>CP13-CP15-CP14</f>
        <v>4.5915413313250497E-2</v>
      </c>
      <c r="CQ16" s="1398">
        <f>CQ13-CQ15-CQ14</f>
        <v>3.9713049146519519E-2</v>
      </c>
      <c r="CR16" s="1432">
        <v>0.03</v>
      </c>
      <c r="CS16" s="1432">
        <v>0.03</v>
      </c>
      <c r="CT16" s="1432">
        <f>CS16</f>
        <v>0.03</v>
      </c>
      <c r="CU16" s="2217">
        <f>CU13-CU15-CU14</f>
        <v>3.2752193784283623E-2</v>
      </c>
      <c r="CV16" s="1398">
        <f>CV13-CV15-CV14</f>
        <v>3.0701739311462219E-2</v>
      </c>
      <c r="CW16" s="1398">
        <f>CW13-CW15-CW14</f>
        <v>2.6414872677326118E-2</v>
      </c>
      <c r="CX16" s="1398">
        <f>CX13-CX15-CX14</f>
        <v>2.1111884836335859E-2</v>
      </c>
      <c r="CY16" s="1398">
        <f>CY13-CY15-CY14</f>
        <v>2.117033541652491E-2</v>
      </c>
      <c r="CZ16" s="1153"/>
      <c r="DA16" s="1178" t="s">
        <v>1374</v>
      </c>
    </row>
    <row r="17" spans="1:105" s="1178" customFormat="1" ht="12" customHeight="1">
      <c r="A17" s="1467"/>
      <c r="B17" s="1467"/>
      <c r="C17" s="1466"/>
      <c r="D17" s="1442"/>
      <c r="E17" s="1467"/>
      <c r="F17" s="1467"/>
      <c r="G17" s="1467"/>
      <c r="H17" s="1467"/>
      <c r="I17" s="1467"/>
      <c r="J17" s="1467"/>
      <c r="K17" s="1467"/>
      <c r="L17" s="1467"/>
      <c r="M17" s="1467"/>
      <c r="N17" s="1467"/>
      <c r="O17" s="1467"/>
      <c r="P17" s="1467"/>
      <c r="Q17" s="1467"/>
      <c r="R17" s="1467"/>
      <c r="S17" s="1467"/>
      <c r="T17" s="1467"/>
      <c r="U17" s="1467"/>
      <c r="V17" s="1467"/>
      <c r="W17" s="1467"/>
      <c r="X17" s="1467"/>
      <c r="Y17" s="1467"/>
      <c r="Z17" s="1467"/>
      <c r="AA17" s="1467"/>
      <c r="AB17" s="1467"/>
      <c r="AC17" s="1467"/>
      <c r="AD17" s="1467"/>
      <c r="AE17" s="1467"/>
      <c r="AF17" s="1467"/>
      <c r="AG17" s="1467"/>
      <c r="AH17" s="1467"/>
      <c r="AI17" s="1467"/>
      <c r="AJ17" s="1467"/>
      <c r="AK17" s="1467"/>
      <c r="AL17" s="1467"/>
      <c r="AM17" s="1467"/>
      <c r="AN17" s="1467"/>
      <c r="AO17" s="1467"/>
      <c r="AP17" s="1467"/>
      <c r="AQ17" s="1467"/>
      <c r="AR17" s="1467"/>
      <c r="AS17" s="1628"/>
      <c r="AT17" s="1467"/>
      <c r="AU17" s="1467"/>
      <c r="AV17" s="1467"/>
      <c r="AW17" s="1467"/>
      <c r="AX17" s="1628"/>
      <c r="AY17" s="1467"/>
      <c r="AZ17" s="1467"/>
      <c r="BA17" s="1467"/>
      <c r="BB17" s="1467"/>
      <c r="BC17" s="1628"/>
      <c r="BD17" s="1467"/>
      <c r="BE17" s="1467"/>
      <c r="BF17" s="1467"/>
      <c r="BG17" s="1467"/>
      <c r="BH17" s="1628"/>
      <c r="BI17" s="1467"/>
      <c r="BJ17" s="1467"/>
      <c r="BK17" s="1467"/>
      <c r="BL17" s="1467"/>
      <c r="BM17" s="1628"/>
      <c r="BN17" s="1467"/>
      <c r="BO17" s="1467"/>
      <c r="BP17" s="1467"/>
      <c r="BQ17" s="1467"/>
      <c r="BR17" s="1628"/>
      <c r="BS17" s="1467"/>
      <c r="BT17" s="1467"/>
      <c r="BU17" s="1467"/>
      <c r="BV17" s="1467"/>
      <c r="BW17" s="1628"/>
      <c r="BX17" s="1467"/>
      <c r="BY17" s="1467"/>
      <c r="BZ17" s="1467"/>
      <c r="CA17" s="1476"/>
      <c r="CB17" s="1627"/>
      <c r="CC17" s="1476"/>
      <c r="CD17" s="1476"/>
      <c r="CE17" s="1476"/>
      <c r="CF17" s="1476"/>
      <c r="CG17" s="1627"/>
      <c r="CH17" s="1467"/>
      <c r="CI17" s="1467"/>
      <c r="CJ17" s="1467"/>
      <c r="CK17" s="1467"/>
      <c r="CL17" s="1627"/>
      <c r="CM17" s="1467"/>
      <c r="CN17" s="1467"/>
      <c r="CO17" s="1467"/>
      <c r="CP17" s="1467"/>
      <c r="CQ17" s="1627"/>
      <c r="CR17" s="1467"/>
      <c r="CS17" s="1467"/>
      <c r="CT17" s="1467"/>
      <c r="CU17" s="1467"/>
      <c r="CV17" s="1627"/>
      <c r="CW17" s="1627"/>
      <c r="CX17" s="1627"/>
      <c r="CY17" s="1627"/>
      <c r="CZ17" s="1486"/>
      <c r="DA17" s="1178" t="s">
        <v>1375</v>
      </c>
    </row>
    <row r="18" spans="1:105" s="1178" customFormat="1" ht="12" customHeight="1">
      <c r="A18" s="1467"/>
      <c r="B18" s="1467"/>
      <c r="C18" s="1466" t="s">
        <v>1015</v>
      </c>
      <c r="D18" s="1440"/>
      <c r="E18" s="1467"/>
      <c r="F18" s="1467"/>
      <c r="G18" s="1467"/>
      <c r="H18" s="1467"/>
      <c r="I18" s="1467"/>
      <c r="J18" s="1467"/>
      <c r="K18" s="1467"/>
      <c r="L18" s="1467"/>
      <c r="M18" s="1467"/>
      <c r="N18" s="1467"/>
      <c r="O18" s="1467"/>
      <c r="P18" s="1467"/>
      <c r="Q18" s="1467"/>
      <c r="R18" s="1467"/>
      <c r="S18" s="1467"/>
      <c r="T18" s="1467"/>
      <c r="U18" s="1467"/>
      <c r="V18" s="1467"/>
      <c r="W18" s="1467"/>
      <c r="X18" s="1467"/>
      <c r="Y18" s="1467"/>
      <c r="Z18" s="1467"/>
      <c r="AA18" s="1467"/>
      <c r="AB18" s="1467"/>
      <c r="AC18" s="1467"/>
      <c r="AD18" s="1467"/>
      <c r="AE18" s="1467"/>
      <c r="AF18" s="1467"/>
      <c r="AG18" s="1467"/>
      <c r="AH18" s="1467"/>
      <c r="AI18" s="1467"/>
      <c r="AJ18" s="1467"/>
      <c r="AK18" s="1467"/>
      <c r="AL18" s="1467"/>
      <c r="AM18" s="1467"/>
      <c r="AN18" s="1467"/>
      <c r="AO18" s="1469"/>
      <c r="AP18" s="1469"/>
      <c r="AQ18" s="1469"/>
      <c r="AR18" s="1469"/>
      <c r="AS18" s="1429"/>
      <c r="AT18" s="1469">
        <f t="shared" ref="AT18:BL18" si="9">AT12-AT22</f>
        <v>4519</v>
      </c>
      <c r="AU18" s="1469">
        <f t="shared" si="9"/>
        <v>5300</v>
      </c>
      <c r="AV18" s="1469">
        <f t="shared" si="9"/>
        <v>4824</v>
      </c>
      <c r="AW18" s="1469">
        <f t="shared" si="9"/>
        <v>4337</v>
      </c>
      <c r="AX18" s="1429">
        <f t="shared" si="9"/>
        <v>19047</v>
      </c>
      <c r="AY18" s="1469">
        <f t="shared" si="9"/>
        <v>3499.75</v>
      </c>
      <c r="AZ18" s="1469">
        <f t="shared" si="9"/>
        <v>3858.75</v>
      </c>
      <c r="BA18" s="1469">
        <f t="shared" si="9"/>
        <v>3761.75</v>
      </c>
      <c r="BB18" s="1469">
        <f t="shared" si="9"/>
        <v>3841.75</v>
      </c>
      <c r="BC18" s="1429">
        <f t="shared" si="9"/>
        <v>15046</v>
      </c>
      <c r="BD18" s="1469">
        <f t="shared" si="9"/>
        <v>3477.75</v>
      </c>
      <c r="BE18" s="1469">
        <f t="shared" si="9"/>
        <v>4011.75</v>
      </c>
      <c r="BF18" s="1469">
        <f t="shared" si="9"/>
        <v>3912.75</v>
      </c>
      <c r="BG18" s="1469">
        <f t="shared" si="9"/>
        <v>4082.75</v>
      </c>
      <c r="BH18" s="1429">
        <f t="shared" si="9"/>
        <v>15480</v>
      </c>
      <c r="BI18" s="1469">
        <f t="shared" si="9"/>
        <v>3793</v>
      </c>
      <c r="BJ18" s="1469">
        <f t="shared" si="9"/>
        <v>4343</v>
      </c>
      <c r="BK18" s="1469">
        <f t="shared" si="9"/>
        <v>4186</v>
      </c>
      <c r="BL18" s="1469">
        <f t="shared" si="9"/>
        <v>3815</v>
      </c>
      <c r="BM18" s="1429">
        <f>SUM(BI18:BL18)</f>
        <v>16137</v>
      </c>
      <c r="BN18" s="1469">
        <f>BN12-BN22</f>
        <v>3540.5</v>
      </c>
      <c r="BO18" s="1469">
        <f>BO12-BO22</f>
        <v>3751.5</v>
      </c>
      <c r="BP18" s="1469">
        <f>BP12-BP22</f>
        <v>3496.5</v>
      </c>
      <c r="BQ18" s="1469">
        <f>BQ12-BQ22</f>
        <v>3472.5</v>
      </c>
      <c r="BR18" s="1429">
        <f>SUM(BN18:BQ18)</f>
        <v>14261</v>
      </c>
      <c r="BS18" s="1469">
        <f t="shared" ref="BS18:CV18" si="10">BS12-BS22</f>
        <v>3238</v>
      </c>
      <c r="BT18" s="1469">
        <f t="shared" si="10"/>
        <v>3680</v>
      </c>
      <c r="BU18" s="1469">
        <f t="shared" si="10"/>
        <v>3418</v>
      </c>
      <c r="BV18" s="1469">
        <f t="shared" si="10"/>
        <v>3461</v>
      </c>
      <c r="BW18" s="1429">
        <f t="shared" si="10"/>
        <v>13797</v>
      </c>
      <c r="BX18" s="1469">
        <f t="shared" si="10"/>
        <v>3183.75</v>
      </c>
      <c r="BY18" s="1469">
        <f t="shared" si="10"/>
        <v>3501.75</v>
      </c>
      <c r="BZ18" s="1469">
        <f t="shared" si="10"/>
        <v>3472.75</v>
      </c>
      <c r="CA18" s="1469">
        <f t="shared" si="10"/>
        <v>3447.75</v>
      </c>
      <c r="CB18" s="1575">
        <f t="shared" si="10"/>
        <v>13606</v>
      </c>
      <c r="CC18" s="1469">
        <f t="shared" si="10"/>
        <v>3140.75</v>
      </c>
      <c r="CD18" s="1469">
        <f t="shared" si="10"/>
        <v>3518.75</v>
      </c>
      <c r="CE18" s="1469">
        <f t="shared" si="10"/>
        <v>3408.75</v>
      </c>
      <c r="CF18" s="1469">
        <f t="shared" si="10"/>
        <v>3378.75</v>
      </c>
      <c r="CG18" s="1575">
        <f t="shared" si="10"/>
        <v>13447</v>
      </c>
      <c r="CH18" s="1469">
        <f t="shared" si="10"/>
        <v>3005.5</v>
      </c>
      <c r="CI18" s="1469">
        <f t="shared" si="10"/>
        <v>3461.5</v>
      </c>
      <c r="CJ18" s="1469">
        <f t="shared" si="10"/>
        <v>3496.5</v>
      </c>
      <c r="CK18" s="1469">
        <f t="shared" si="10"/>
        <v>3480.5</v>
      </c>
      <c r="CL18" s="1575">
        <f t="shared" si="10"/>
        <v>13444</v>
      </c>
      <c r="CM18" s="1469">
        <f>CM12-CM22</f>
        <v>3196.5</v>
      </c>
      <c r="CN18" s="1469">
        <f>CN12-CN22</f>
        <v>3732.5</v>
      </c>
      <c r="CO18" s="1469">
        <f>CO12-CO22</f>
        <v>3728.5</v>
      </c>
      <c r="CP18" s="1469">
        <f>CP12-CP22</f>
        <v>3717.1778036560981</v>
      </c>
      <c r="CQ18" s="1575">
        <f t="shared" si="10"/>
        <v>14374.677803656097</v>
      </c>
      <c r="CR18" s="1469">
        <f>CR12-CR22</f>
        <v>3404.033953517072</v>
      </c>
      <c r="CS18" s="1469">
        <f>CS12-CS22</f>
        <v>3964.7784189706881</v>
      </c>
      <c r="CT18" s="1469">
        <f>CT12-CT22</f>
        <v>3959.5823858354606</v>
      </c>
      <c r="CU18" s="1469">
        <f>CU12-CU22</f>
        <v>3797.6268535952236</v>
      </c>
      <c r="CV18" s="1575">
        <f t="shared" si="10"/>
        <v>15126.021611918444</v>
      </c>
      <c r="CW18" s="1575">
        <f>CW12-CW22</f>
        <v>15394.88955600862</v>
      </c>
      <c r="CX18" s="1575">
        <f>CX12-CX22</f>
        <v>15600.675738711965</v>
      </c>
      <c r="CY18" s="1575">
        <f>CY12-CY22</f>
        <v>15812.846016682244</v>
      </c>
      <c r="CZ18" s="1767"/>
    </row>
    <row r="19" spans="1:105" s="1178" customFormat="1" ht="12" customHeight="1">
      <c r="A19" s="1467"/>
      <c r="B19" s="1467"/>
      <c r="C19" s="1466"/>
      <c r="D19" s="1393" t="s">
        <v>282</v>
      </c>
      <c r="E19" s="1465"/>
      <c r="F19" s="1465"/>
      <c r="G19" s="1465"/>
      <c r="H19" s="1465"/>
      <c r="I19" s="1465"/>
      <c r="J19" s="1465"/>
      <c r="K19" s="1465"/>
      <c r="L19" s="1465"/>
      <c r="M19" s="1465"/>
      <c r="N19" s="1465"/>
      <c r="O19" s="1465"/>
      <c r="P19" s="1465"/>
      <c r="Q19" s="1465"/>
      <c r="R19" s="1465"/>
      <c r="S19" s="1465"/>
      <c r="T19" s="1465"/>
      <c r="U19" s="1465"/>
      <c r="V19" s="1465"/>
      <c r="W19" s="1465"/>
      <c r="X19" s="1465"/>
      <c r="Y19" s="1465"/>
      <c r="Z19" s="1465"/>
      <c r="AA19" s="1465"/>
      <c r="AB19" s="1465"/>
      <c r="AC19" s="1465"/>
      <c r="AD19" s="1465"/>
      <c r="AE19" s="1465"/>
      <c r="AF19" s="1465"/>
      <c r="AG19" s="1465"/>
      <c r="AH19" s="1465"/>
      <c r="AI19" s="1465"/>
      <c r="AJ19" s="1465"/>
      <c r="AK19" s="1465"/>
      <c r="AL19" s="1465"/>
      <c r="AM19" s="1465"/>
      <c r="AN19" s="1465"/>
      <c r="AO19" s="1153"/>
      <c r="AP19" s="1153"/>
      <c r="AQ19" s="1153"/>
      <c r="AR19" s="1153"/>
      <c r="AS19" s="1398"/>
      <c r="AT19" s="1153">
        <v>0.1365694164989939</v>
      </c>
      <c r="AU19" s="1153">
        <v>0.12240576027107153</v>
      </c>
      <c r="AV19" s="1153">
        <v>6.0686015831134643E-2</v>
      </c>
      <c r="AW19" s="1153">
        <v>-0.11254348270922854</v>
      </c>
      <c r="AX19" s="1398">
        <v>5.0405338333425309E-2</v>
      </c>
      <c r="AY19" s="1153">
        <v>-0.22554768754149146</v>
      </c>
      <c r="AZ19" s="1153">
        <v>-0.2719339622641509</v>
      </c>
      <c r="BA19" s="1153">
        <v>-0.22020107794361521</v>
      </c>
      <c r="BB19" s="1153">
        <v>-0.11419183767581276</v>
      </c>
      <c r="BC19" s="1398">
        <v>-0.20727081138040038</v>
      </c>
      <c r="BD19" s="1153">
        <v>-6.286163297378411E-3</v>
      </c>
      <c r="BE19" s="1153">
        <v>3.9650145772594847E-2</v>
      </c>
      <c r="BF19" s="1153">
        <v>4.0140891872133988E-2</v>
      </c>
      <c r="BG19" s="1153">
        <v>6.27318279429947E-2</v>
      </c>
      <c r="BH19" s="1398">
        <v>3.4621039967918765E-2</v>
      </c>
      <c r="BI19" s="1153">
        <v>9.0647688879304189E-2</v>
      </c>
      <c r="BJ19" s="1153">
        <v>8.2569950769614264E-2</v>
      </c>
      <c r="BK19" s="1153">
        <v>6.9835793240048627E-2</v>
      </c>
      <c r="BL19" s="1153">
        <v>-6.5580797256750922E-2</v>
      </c>
      <c r="BM19" s="1398">
        <v>4.2105263157894646E-2</v>
      </c>
      <c r="BN19" s="1153">
        <f t="shared" ref="BN19:CL19" si="11">IF(ISERROR(BN18/BI18-1),"-",BN18/BI18-1)</f>
        <v>-6.6569997363564504E-2</v>
      </c>
      <c r="BO19" s="1153">
        <f t="shared" si="11"/>
        <v>-0.13619617775731063</v>
      </c>
      <c r="BP19" s="1153">
        <f t="shared" si="11"/>
        <v>-0.1647157190635451</v>
      </c>
      <c r="BQ19" s="1153">
        <f t="shared" si="11"/>
        <v>-8.9777195281782407E-2</v>
      </c>
      <c r="BR19" s="1398">
        <f t="shared" si="11"/>
        <v>-0.11625457024230035</v>
      </c>
      <c r="BS19" s="1153">
        <f t="shared" si="11"/>
        <v>-8.5439909617285648E-2</v>
      </c>
      <c r="BT19" s="1153">
        <f t="shared" si="11"/>
        <v>-1.9059043049446833E-2</v>
      </c>
      <c r="BU19" s="1153">
        <f t="shared" si="11"/>
        <v>-2.2451022451022484E-2</v>
      </c>
      <c r="BV19" s="1153">
        <f t="shared" si="11"/>
        <v>-3.3117350611950869E-3</v>
      </c>
      <c r="BW19" s="1398">
        <f t="shared" si="11"/>
        <v>-3.2536287777855666E-2</v>
      </c>
      <c r="BX19" s="1153">
        <f t="shared" si="11"/>
        <v>-1.6754169240271732E-2</v>
      </c>
      <c r="BY19" s="1153">
        <f t="shared" si="11"/>
        <v>-4.8437500000000022E-2</v>
      </c>
      <c r="BZ19" s="1153">
        <f t="shared" si="11"/>
        <v>1.6018139262726772E-2</v>
      </c>
      <c r="CA19" s="1153">
        <f t="shared" si="11"/>
        <v>-3.8283733025137323E-3</v>
      </c>
      <c r="CB19" s="1398">
        <f t="shared" si="11"/>
        <v>-1.3843589186054994E-2</v>
      </c>
      <c r="CC19" s="1153">
        <f t="shared" si="11"/>
        <v>-1.3506085590891281E-2</v>
      </c>
      <c r="CD19" s="1153">
        <f t="shared" si="11"/>
        <v>4.8547154993932029E-3</v>
      </c>
      <c r="CE19" s="1153">
        <f t="shared" si="11"/>
        <v>-1.8429198761788168E-2</v>
      </c>
      <c r="CF19" s="1153">
        <f t="shared" si="11"/>
        <v>-2.0013051990428576E-2</v>
      </c>
      <c r="CG19" s="1398">
        <f t="shared" si="11"/>
        <v>-1.1686020873144187E-2</v>
      </c>
      <c r="CH19" s="1153">
        <f t="shared" si="11"/>
        <v>-4.306296266815246E-2</v>
      </c>
      <c r="CI19" s="1153">
        <f t="shared" si="11"/>
        <v>-1.6269982238010683E-2</v>
      </c>
      <c r="CJ19" s="1153">
        <f t="shared" si="11"/>
        <v>2.5742574257425765E-2</v>
      </c>
      <c r="CK19" s="1153">
        <f t="shared" si="11"/>
        <v>3.0114687384387828E-2</v>
      </c>
      <c r="CL19" s="1398">
        <f t="shared" si="11"/>
        <v>-2.2309808879306114E-4</v>
      </c>
      <c r="CM19" s="1153">
        <f t="shared" ref="CM19:CV19" si="12">IF(ISERROR(CM18/CH18-1),"-",CM18/CH18-1)</f>
        <v>6.3550158043586658E-2</v>
      </c>
      <c r="CN19" s="1153">
        <f t="shared" si="12"/>
        <v>7.8289758775097473E-2</v>
      </c>
      <c r="CO19" s="1153">
        <f t="shared" si="12"/>
        <v>6.6352066352066252E-2</v>
      </c>
      <c r="CP19" s="1153">
        <f t="shared" si="12"/>
        <v>6.800109284760758E-2</v>
      </c>
      <c r="CQ19" s="1398">
        <f t="shared" si="12"/>
        <v>6.9226257338299346E-2</v>
      </c>
      <c r="CR19" s="2215">
        <f t="shared" si="12"/>
        <v>6.4925372600366682E-2</v>
      </c>
      <c r="CS19" s="2215">
        <f t="shared" si="12"/>
        <v>6.2231324573526647E-2</v>
      </c>
      <c r="CT19" s="2215">
        <f t="shared" si="12"/>
        <v>6.1977306111160146E-2</v>
      </c>
      <c r="CU19" s="2215">
        <f t="shared" si="12"/>
        <v>2.1642507888645524E-2</v>
      </c>
      <c r="CV19" s="1398">
        <f t="shared" si="12"/>
        <v>5.226856688719983E-2</v>
      </c>
      <c r="CW19" s="1398">
        <f>IF(ISERROR(CW18/CV18-1),"-",CW18/CV18-1)</f>
        <v>1.7775192379622329E-2</v>
      </c>
      <c r="CX19" s="1398">
        <f>IF(ISERROR(CX18/CW18-1),"-",CX18/CW18-1)</f>
        <v>1.3367174993667019E-2</v>
      </c>
      <c r="CY19" s="1398">
        <f>IF(ISERROR(CY18/CX18-1),"-",CY18/CX18-1)</f>
        <v>1.3600069735684173E-2</v>
      </c>
      <c r="CZ19" s="1153"/>
    </row>
    <row r="20" spans="1:105" s="1178" customFormat="1" ht="12" customHeight="1">
      <c r="A20" s="1467"/>
      <c r="B20" s="1467"/>
      <c r="C20" s="1466"/>
      <c r="D20" s="1393" t="s">
        <v>1014</v>
      </c>
      <c r="E20" s="1465"/>
      <c r="F20" s="1465"/>
      <c r="G20" s="1465"/>
      <c r="H20" s="1465"/>
      <c r="I20" s="1465"/>
      <c r="J20" s="1465"/>
      <c r="K20" s="1465"/>
      <c r="L20" s="1465"/>
      <c r="M20" s="1465"/>
      <c r="N20" s="1465"/>
      <c r="O20" s="1465"/>
      <c r="P20" s="1465"/>
      <c r="Q20" s="1465"/>
      <c r="R20" s="1465"/>
      <c r="S20" s="1465"/>
      <c r="T20" s="1465"/>
      <c r="U20" s="1465"/>
      <c r="V20" s="1465"/>
      <c r="W20" s="1465"/>
      <c r="X20" s="1465"/>
      <c r="Y20" s="1465"/>
      <c r="Z20" s="1465"/>
      <c r="AA20" s="1465"/>
      <c r="AB20" s="1465"/>
      <c r="AC20" s="1465"/>
      <c r="AD20" s="1465"/>
      <c r="AE20" s="1465"/>
      <c r="AF20" s="1465"/>
      <c r="AG20" s="1465"/>
      <c r="AH20" s="1465"/>
      <c r="AI20" s="1465"/>
      <c r="AJ20" s="1465"/>
      <c r="AK20" s="1465"/>
      <c r="AL20" s="1465"/>
      <c r="AM20" s="1465"/>
      <c r="AN20" s="1465"/>
      <c r="AO20" s="1463"/>
      <c r="AP20" s="1463"/>
      <c r="AQ20" s="1463"/>
      <c r="AR20" s="1463"/>
      <c r="AS20" s="1461"/>
      <c r="AT20" s="1463"/>
      <c r="AU20" s="1463"/>
      <c r="AV20" s="1463"/>
      <c r="AW20" s="1463"/>
      <c r="AX20" s="1461"/>
      <c r="AY20" s="1463"/>
      <c r="AZ20" s="1463"/>
      <c r="BA20" s="1463"/>
      <c r="BB20" s="1463"/>
      <c r="BC20" s="1461"/>
      <c r="BD20" s="1463"/>
      <c r="BE20" s="1463"/>
      <c r="BF20" s="1463"/>
      <c r="BG20" s="1463"/>
      <c r="BH20" s="1461"/>
      <c r="BI20" s="1463">
        <f t="shared" ref="BI20:BZ20" si="13">BI19/BI13</f>
        <v>0.68863860710265956</v>
      </c>
      <c r="BJ20" s="1463">
        <f t="shared" si="13"/>
        <v>0.89985955607255597</v>
      </c>
      <c r="BK20" s="1463">
        <f t="shared" si="13"/>
        <v>0.97791401936446209</v>
      </c>
      <c r="BL20" s="1463">
        <f t="shared" si="13"/>
        <v>1.0875289099856258</v>
      </c>
      <c r="BM20" s="1461">
        <f t="shared" si="13"/>
        <v>0.76181546984870852</v>
      </c>
      <c r="BN20" s="1463">
        <f t="shared" si="13"/>
        <v>1.0407188555805647</v>
      </c>
      <c r="BO20" s="1463">
        <f t="shared" si="13"/>
        <v>1.232479495902423</v>
      </c>
      <c r="BP20" s="1463">
        <f t="shared" si="13"/>
        <v>1.2244200204104307</v>
      </c>
      <c r="BQ20" s="1463">
        <f t="shared" si="13"/>
        <v>1.5053894722154397</v>
      </c>
      <c r="BR20" s="1461">
        <f t="shared" si="13"/>
        <v>1.2362041787208304</v>
      </c>
      <c r="BS20" s="1463">
        <f t="shared" si="13"/>
        <v>1.2775596667137405</v>
      </c>
      <c r="BT20" s="1463">
        <f t="shared" si="13"/>
        <v>3.004756718002445</v>
      </c>
      <c r="BU20" s="1463">
        <f t="shared" si="13"/>
        <v>4.3463138463138637</v>
      </c>
      <c r="BV20" s="1463">
        <f t="shared" si="13"/>
        <v>-0.30519478441724318</v>
      </c>
      <c r="BW20" s="1461">
        <f t="shared" si="13"/>
        <v>1.9788083918987651</v>
      </c>
      <c r="BX20" s="1463">
        <f t="shared" si="13"/>
        <v>-4.5918390982088066</v>
      </c>
      <c r="BY20" s="1463">
        <f t="shared" si="13"/>
        <v>1.9302768640350871</v>
      </c>
      <c r="BZ20" s="1463">
        <f t="shared" si="13"/>
        <v>0.59534084259801001</v>
      </c>
      <c r="CA20" s="1463" t="str">
        <f>IF(ISERROR(CA19/CA13),"-",CA19/CA13)</f>
        <v>-</v>
      </c>
      <c r="CB20" s="1461">
        <f t="shared" ref="CB20:CQ20" si="14">CB19/CB13</f>
        <v>-16.621206473458805</v>
      </c>
      <c r="CC20" s="1463">
        <f t="shared" si="14"/>
        <v>-52.011935610516886</v>
      </c>
      <c r="CD20" s="1463">
        <f t="shared" si="14"/>
        <v>0.86006139787250258</v>
      </c>
      <c r="CE20" s="1463">
        <f t="shared" si="14"/>
        <v>1.1136867196186164</v>
      </c>
      <c r="CF20" s="1463">
        <f t="shared" si="14"/>
        <v>1.1984959134839488</v>
      </c>
      <c r="CG20" s="1461">
        <f t="shared" si="14"/>
        <v>1.6947752512836631</v>
      </c>
      <c r="CH20" s="1463">
        <f t="shared" si="14"/>
        <v>1.3377300983687375</v>
      </c>
      <c r="CI20" s="1463">
        <f t="shared" si="14"/>
        <v>-14.493300177620778</v>
      </c>
      <c r="CJ20" s="1463">
        <f t="shared" si="14"/>
        <v>0.80994467093768552</v>
      </c>
      <c r="CK20" s="1463">
        <f t="shared" si="14"/>
        <v>0.97742316061768986</v>
      </c>
      <c r="CL20" s="1461">
        <f t="shared" si="14"/>
        <v>-2.588402617684505E-2</v>
      </c>
      <c r="CM20" s="1463">
        <f>CM19/CM13</f>
        <v>1.4446035926005534</v>
      </c>
      <c r="CN20" s="1463">
        <f>CN19/CN13</f>
        <v>1.3798183177002339</v>
      </c>
      <c r="CO20" s="1463">
        <f>CO19/CO13</f>
        <v>1.073056311151549</v>
      </c>
      <c r="CP20" s="1463">
        <f>CP19/CP13</f>
        <v>0.96311974779993603</v>
      </c>
      <c r="CQ20" s="1461">
        <f t="shared" si="14"/>
        <v>1.1783139217685907</v>
      </c>
      <c r="CR20" s="1463">
        <f>CR19/CR13</f>
        <v>0.91042627559568345</v>
      </c>
      <c r="CS20" s="1463">
        <f>CS19/CS13</f>
        <v>1.0149750374863942</v>
      </c>
      <c r="CT20" s="1463">
        <f>CT19/CT13</f>
        <v>1.0108320692926502</v>
      </c>
      <c r="CU20" s="1463">
        <f>CU19/CU13</f>
        <v>0.66079567161790664</v>
      </c>
      <c r="CV20" s="1461">
        <f>IF(ISERROR(CV19/CV13),"-",CV19/CV13)</f>
        <v>0.92984164821948612</v>
      </c>
      <c r="CW20" s="1461">
        <f>IF(ISERROR(CW19/CW13),"-",CW19/CW13)</f>
        <v>0.67292364406814353</v>
      </c>
      <c r="CX20" s="1461">
        <f>IF(ISERROR(CX19/CX13),"-",CX19/CX13)</f>
        <v>0.63315876802532811</v>
      </c>
      <c r="CY20" s="1461">
        <f>IF(ISERROR(CY19/CY13),"-",CY19/CY13)</f>
        <v>0.64241163250858924</v>
      </c>
      <c r="CZ20" s="1463"/>
    </row>
    <row r="21" spans="1:105" s="1178" customFormat="1" ht="12" customHeight="1">
      <c r="A21" s="1452"/>
      <c r="B21" s="1452"/>
      <c r="C21" s="1396"/>
      <c r="D21" s="1396"/>
      <c r="E21" s="1458"/>
      <c r="F21" s="1458"/>
      <c r="G21" s="1458"/>
      <c r="H21" s="1458"/>
      <c r="I21" s="1458"/>
      <c r="J21" s="1458"/>
      <c r="K21" s="1458"/>
      <c r="L21" s="1458"/>
      <c r="M21" s="1458"/>
      <c r="N21" s="1458"/>
      <c r="O21" s="1458"/>
      <c r="P21" s="1458"/>
      <c r="Q21" s="1458"/>
      <c r="R21" s="1458"/>
      <c r="S21" s="1458"/>
      <c r="T21" s="1458"/>
      <c r="U21" s="1458"/>
      <c r="V21" s="1458"/>
      <c r="W21" s="1458"/>
      <c r="X21" s="1458"/>
      <c r="Y21" s="1458"/>
      <c r="Z21" s="1458"/>
      <c r="AA21" s="1458"/>
      <c r="AB21" s="1458"/>
      <c r="AC21" s="1458"/>
      <c r="AD21" s="1458"/>
      <c r="AE21" s="1458"/>
      <c r="AF21" s="1458"/>
      <c r="AG21" s="1458"/>
      <c r="AH21" s="1458"/>
      <c r="AI21" s="1458"/>
      <c r="AJ21" s="1458"/>
      <c r="AK21" s="1458"/>
      <c r="AL21" s="1458"/>
      <c r="AM21" s="1458"/>
      <c r="AN21" s="1458"/>
      <c r="AO21" s="1456"/>
      <c r="AP21" s="1456"/>
      <c r="AQ21" s="1456"/>
      <c r="AR21" s="1456"/>
      <c r="AS21" s="1454"/>
      <c r="AT21" s="1456"/>
      <c r="AU21" s="1456"/>
      <c r="AV21" s="1456"/>
      <c r="AW21" s="1456"/>
      <c r="AX21" s="1454"/>
      <c r="AY21" s="1456"/>
      <c r="AZ21" s="1456"/>
      <c r="BA21" s="1456"/>
      <c r="BB21" s="1456"/>
      <c r="BC21" s="1454"/>
      <c r="BD21" s="1456"/>
      <c r="BE21" s="1456"/>
      <c r="BF21" s="1456"/>
      <c r="BG21" s="1456"/>
      <c r="BH21" s="1454"/>
      <c r="BI21" s="1456"/>
      <c r="BJ21" s="1456"/>
      <c r="BK21" s="1456"/>
      <c r="BL21" s="1456"/>
      <c r="BM21" s="1454"/>
      <c r="BN21" s="1456"/>
      <c r="BO21" s="1456"/>
      <c r="BP21" s="1456"/>
      <c r="BQ21" s="1456"/>
      <c r="BR21" s="1454"/>
      <c r="BS21" s="1456"/>
      <c r="BT21" s="1456"/>
      <c r="BU21" s="1456"/>
      <c r="BV21" s="1456"/>
      <c r="BW21" s="1454"/>
      <c r="BX21" s="1456"/>
      <c r="BY21" s="1456"/>
      <c r="BZ21" s="1456"/>
      <c r="CA21" s="1456"/>
      <c r="CB21" s="1626"/>
      <c r="CC21" s="1456"/>
      <c r="CD21" s="1456"/>
      <c r="CE21" s="1456"/>
      <c r="CF21" s="1456"/>
      <c r="CG21" s="1626"/>
      <c r="CH21" s="1456"/>
      <c r="CI21" s="1456"/>
      <c r="CJ21" s="1456"/>
      <c r="CK21" s="1456"/>
      <c r="CL21" s="1626"/>
      <c r="CM21" s="1456"/>
      <c r="CN21" s="1456"/>
      <c r="CO21" s="1456"/>
      <c r="CP21" s="1456"/>
      <c r="CQ21" s="1626"/>
      <c r="CR21" s="1456"/>
      <c r="CS21" s="1456"/>
      <c r="CT21" s="1456"/>
      <c r="CU21" s="1456"/>
      <c r="CV21" s="1626"/>
      <c r="CW21" s="1626"/>
      <c r="CX21" s="1626"/>
      <c r="CY21" s="1626"/>
      <c r="CZ21" s="1966"/>
    </row>
    <row r="22" spans="1:105" s="1178" customFormat="1" ht="12" customHeight="1" thickBot="1">
      <c r="A22" s="1186"/>
      <c r="B22" s="1186"/>
      <c r="C22" s="1409" t="s">
        <v>1013</v>
      </c>
      <c r="D22" s="1408"/>
      <c r="E22" s="1407"/>
      <c r="F22" s="1407"/>
      <c r="G22" s="1407"/>
      <c r="H22" s="1407"/>
      <c r="I22" s="1407"/>
      <c r="J22" s="1407"/>
      <c r="K22" s="1407"/>
      <c r="L22" s="1407"/>
      <c r="M22" s="1407"/>
      <c r="N22" s="1407"/>
      <c r="O22" s="1407"/>
      <c r="P22" s="1407"/>
      <c r="Q22" s="1407"/>
      <c r="R22" s="1407"/>
      <c r="S22" s="1407"/>
      <c r="T22" s="1407"/>
      <c r="U22" s="1407"/>
      <c r="V22" s="1407"/>
      <c r="W22" s="1407"/>
      <c r="X22" s="1407"/>
      <c r="Y22" s="1407"/>
      <c r="Z22" s="1407"/>
      <c r="AA22" s="1407"/>
      <c r="AB22" s="1407"/>
      <c r="AC22" s="1407"/>
      <c r="AD22" s="1407"/>
      <c r="AE22" s="1407"/>
      <c r="AF22" s="1407"/>
      <c r="AG22" s="1407"/>
      <c r="AH22" s="1407"/>
      <c r="AI22" s="1407"/>
      <c r="AJ22" s="1407"/>
      <c r="AK22" s="1407"/>
      <c r="AL22" s="1407"/>
      <c r="AM22" s="1407"/>
      <c r="AN22" s="1407"/>
      <c r="AO22" s="1403"/>
      <c r="AP22" s="1403"/>
      <c r="AQ22" s="1403"/>
      <c r="AR22" s="1403"/>
      <c r="AS22" s="1400"/>
      <c r="AT22" s="1403">
        <f t="shared" ref="AT22:BL22" si="15">AT29+AT27+AT26-AT33</f>
        <v>488</v>
      </c>
      <c r="AU22" s="1403">
        <f t="shared" si="15"/>
        <v>794</v>
      </c>
      <c r="AV22" s="1403">
        <f t="shared" si="15"/>
        <v>717</v>
      </c>
      <c r="AW22" s="1403">
        <f t="shared" si="15"/>
        <v>427</v>
      </c>
      <c r="AX22" s="1400">
        <f t="shared" si="15"/>
        <v>2359</v>
      </c>
      <c r="AY22" s="1403">
        <f t="shared" si="15"/>
        <v>271.25</v>
      </c>
      <c r="AZ22" s="1403">
        <f t="shared" si="15"/>
        <v>557.25</v>
      </c>
      <c r="BA22" s="1403">
        <f t="shared" si="15"/>
        <v>555.25</v>
      </c>
      <c r="BB22" s="1403">
        <f t="shared" si="15"/>
        <v>492.25</v>
      </c>
      <c r="BC22" s="1400">
        <f t="shared" si="15"/>
        <v>1792</v>
      </c>
      <c r="BD22" s="1403">
        <f t="shared" si="15"/>
        <v>404.25</v>
      </c>
      <c r="BE22" s="1403">
        <f t="shared" si="15"/>
        <v>696.25</v>
      </c>
      <c r="BF22" s="1403">
        <f t="shared" si="15"/>
        <v>680.25</v>
      </c>
      <c r="BG22" s="1403">
        <f t="shared" si="15"/>
        <v>610.25</v>
      </c>
      <c r="BH22" s="1400">
        <f t="shared" si="15"/>
        <v>2396</v>
      </c>
      <c r="BI22" s="1403">
        <f t="shared" si="15"/>
        <v>600</v>
      </c>
      <c r="BJ22" s="1403">
        <f t="shared" si="15"/>
        <v>797</v>
      </c>
      <c r="BK22" s="1403">
        <f t="shared" si="15"/>
        <v>735</v>
      </c>
      <c r="BL22" s="1403">
        <f t="shared" si="15"/>
        <v>595</v>
      </c>
      <c r="BM22" s="1400">
        <f>BM12-BM18</f>
        <v>2727</v>
      </c>
      <c r="BN22" s="1403">
        <f>BN29+BN27+BN26-BN33</f>
        <v>571.5</v>
      </c>
      <c r="BO22" s="1403">
        <f>BO29+BO27+BO26-BO33</f>
        <v>820.5</v>
      </c>
      <c r="BP22" s="1403">
        <f>BP29+BP27+BP26-BP33</f>
        <v>762.5</v>
      </c>
      <c r="BQ22" s="1403">
        <f>BQ29+BQ27+BQ26-BQ33</f>
        <v>674.5</v>
      </c>
      <c r="BR22" s="1400">
        <f>BR12-BR18</f>
        <v>2829</v>
      </c>
      <c r="BS22" s="1403">
        <f>BS29+BS27+BS26-BS33</f>
        <v>599</v>
      </c>
      <c r="BT22" s="1403">
        <f>BT29+BT27+BT26-BT33</f>
        <v>863</v>
      </c>
      <c r="BU22" s="1403">
        <f>BU29+BU27+BU26-BU33</f>
        <v>819</v>
      </c>
      <c r="BV22" s="1403">
        <f>BV29+BV27+BV26-BV33</f>
        <v>731</v>
      </c>
      <c r="BW22" s="1400">
        <f>SUM(BS22:BV22)</f>
        <v>3012</v>
      </c>
      <c r="BX22" s="1403">
        <f>BX29+BX27+BX26-BX33</f>
        <v>667.25</v>
      </c>
      <c r="BY22" s="1403">
        <f>BY29+BY27+BY26-BY33</f>
        <v>927.25</v>
      </c>
      <c r="BZ22" s="1403">
        <f>BZ29+BZ27+BZ26-BZ33</f>
        <v>878.25</v>
      </c>
      <c r="CA22" s="1403">
        <f>CA29+CA27+CA26-CA33</f>
        <v>744.25</v>
      </c>
      <c r="CB22" s="1607">
        <f>SUM(BX22:CA22)</f>
        <v>3217</v>
      </c>
      <c r="CC22" s="1403">
        <f t="shared" ref="CC22:CW22" si="16">CC29+CC27+CC26-CC33</f>
        <v>711.25</v>
      </c>
      <c r="CD22" s="1403">
        <f t="shared" si="16"/>
        <v>935.25</v>
      </c>
      <c r="CE22" s="1403">
        <f t="shared" si="16"/>
        <v>870.25</v>
      </c>
      <c r="CF22" s="1403">
        <f t="shared" si="16"/>
        <v>743.25</v>
      </c>
      <c r="CG22" s="1607">
        <f t="shared" si="16"/>
        <v>3260</v>
      </c>
      <c r="CH22" s="1403">
        <f t="shared" si="16"/>
        <v>722.5</v>
      </c>
      <c r="CI22" s="1403">
        <f t="shared" si="16"/>
        <v>997.5</v>
      </c>
      <c r="CJ22" s="1403">
        <f t="shared" si="16"/>
        <v>918.5</v>
      </c>
      <c r="CK22" s="1403">
        <f t="shared" si="16"/>
        <v>768.5</v>
      </c>
      <c r="CL22" s="1607">
        <f t="shared" si="16"/>
        <v>3407</v>
      </c>
      <c r="CM22" s="1403">
        <f t="shared" si="16"/>
        <v>695.5</v>
      </c>
      <c r="CN22" s="1403">
        <f t="shared" si="16"/>
        <v>979.5</v>
      </c>
      <c r="CO22" s="1403">
        <f t="shared" si="16"/>
        <v>959.5</v>
      </c>
      <c r="CP22" s="1403">
        <f t="shared" si="16"/>
        <v>831.8229430521958</v>
      </c>
      <c r="CQ22" s="1607">
        <f t="shared" si="16"/>
        <v>3466.322943052196</v>
      </c>
      <c r="CR22" s="1403">
        <f>CR29+CR27+CR26-CR33</f>
        <v>765.51685639918969</v>
      </c>
      <c r="CS22" s="1403">
        <f>CS29+CS27+CS26-CS33</f>
        <v>1036.1291802907251</v>
      </c>
      <c r="CT22" s="1403">
        <f>CT29+CT27+CT26-CT33</f>
        <v>1015.8536976402412</v>
      </c>
      <c r="CU22" s="1403">
        <f>CU29+CU27+CU26-CU33</f>
        <v>900.36364709411134</v>
      </c>
      <c r="CV22" s="1607">
        <f t="shared" si="16"/>
        <v>3717.8633814242671</v>
      </c>
      <c r="CW22" s="1607">
        <f t="shared" si="16"/>
        <v>3946.7542601794148</v>
      </c>
      <c r="CX22" s="1607">
        <f>CX29+CX27+CX26-CX33</f>
        <v>4149.3066342688617</v>
      </c>
      <c r="CY22" s="1607">
        <f>CY29+CY27+CY26-CY33</f>
        <v>4355.2501076050421</v>
      </c>
      <c r="CZ22" s="1967"/>
    </row>
    <row r="23" spans="1:105" s="1178" customFormat="1" ht="12" customHeight="1" thickTop="1">
      <c r="A23" s="1156"/>
      <c r="B23" s="1156"/>
      <c r="C23" s="1387"/>
      <c r="D23" s="1393" t="s">
        <v>293</v>
      </c>
      <c r="E23" s="1418"/>
      <c r="F23" s="1418"/>
      <c r="G23" s="1418"/>
      <c r="H23" s="1418"/>
      <c r="I23" s="1418"/>
      <c r="J23" s="1418"/>
      <c r="K23" s="1418"/>
      <c r="L23" s="1418"/>
      <c r="M23" s="1418"/>
      <c r="N23" s="1418"/>
      <c r="O23" s="1418"/>
      <c r="P23" s="1418"/>
      <c r="Q23" s="1418"/>
      <c r="R23" s="1418"/>
      <c r="S23" s="1418"/>
      <c r="T23" s="1418"/>
      <c r="U23" s="1418"/>
      <c r="V23" s="1418"/>
      <c r="W23" s="1418"/>
      <c r="X23" s="1418"/>
      <c r="Y23" s="1418"/>
      <c r="Z23" s="1418"/>
      <c r="AA23" s="1418"/>
      <c r="AB23" s="1418"/>
      <c r="AC23" s="1418"/>
      <c r="AD23" s="1418"/>
      <c r="AE23" s="1418"/>
      <c r="AF23" s="1418"/>
      <c r="AG23" s="1418"/>
      <c r="AH23" s="1418"/>
      <c r="AI23" s="1418"/>
      <c r="AJ23" s="1418"/>
      <c r="AK23" s="1418"/>
      <c r="AL23" s="1418"/>
      <c r="AM23" s="1418"/>
      <c r="AN23" s="1418"/>
      <c r="AO23" s="1153"/>
      <c r="AP23" s="1153"/>
      <c r="AQ23" s="1153"/>
      <c r="AR23" s="1153"/>
      <c r="AS23" s="1398"/>
      <c r="AT23" s="1153">
        <f t="shared" ref="AT23:CV23" si="17">IF(ISERROR(AT22/AT$12),"-",AT22/AT$12)</f>
        <v>9.7463551028560011E-2</v>
      </c>
      <c r="AU23" s="1153">
        <f t="shared" si="17"/>
        <v>0.13029209058089924</v>
      </c>
      <c r="AV23" s="1153">
        <f t="shared" si="17"/>
        <v>0.12939902544667028</v>
      </c>
      <c r="AW23" s="1153">
        <f t="shared" si="17"/>
        <v>8.9630562552476908E-2</v>
      </c>
      <c r="AX23" s="1398">
        <f t="shared" si="17"/>
        <v>0.11020274689339438</v>
      </c>
      <c r="AY23" s="1153">
        <f t="shared" si="17"/>
        <v>7.1930522407849376E-2</v>
      </c>
      <c r="AZ23" s="1153">
        <f t="shared" si="17"/>
        <v>0.12618885869565216</v>
      </c>
      <c r="BA23" s="1153">
        <f t="shared" si="17"/>
        <v>0.12861941162844567</v>
      </c>
      <c r="BB23" s="1153">
        <f t="shared" si="17"/>
        <v>0.11357868020304568</v>
      </c>
      <c r="BC23" s="1398">
        <f t="shared" si="17"/>
        <v>0.10642594132319753</v>
      </c>
      <c r="BD23" s="1153">
        <f t="shared" si="17"/>
        <v>0.10413446676970634</v>
      </c>
      <c r="BE23" s="1153">
        <f t="shared" si="17"/>
        <v>0.14788657604078165</v>
      </c>
      <c r="BF23" s="1153">
        <f t="shared" si="17"/>
        <v>0.14810581319399085</v>
      </c>
      <c r="BG23" s="1153">
        <f t="shared" si="17"/>
        <v>0.13003409333049223</v>
      </c>
      <c r="BH23" s="1398">
        <f t="shared" si="17"/>
        <v>0.13403445961065116</v>
      </c>
      <c r="BI23" s="1153">
        <f t="shared" si="17"/>
        <v>0.13658092419758708</v>
      </c>
      <c r="BJ23" s="1153">
        <f t="shared" si="17"/>
        <v>0.15505836575875487</v>
      </c>
      <c r="BK23" s="1153">
        <f t="shared" si="17"/>
        <v>0.14935988620199148</v>
      </c>
      <c r="BL23" s="1153">
        <f t="shared" si="17"/>
        <v>0.13492063492063491</v>
      </c>
      <c r="BM23" s="1398">
        <f t="shared" si="17"/>
        <v>0.14456106870229007</v>
      </c>
      <c r="BN23" s="1153">
        <f t="shared" si="17"/>
        <v>0.13898346303501946</v>
      </c>
      <c r="BO23" s="1153">
        <f t="shared" si="17"/>
        <v>0.17946194225721784</v>
      </c>
      <c r="BP23" s="1153">
        <f t="shared" si="17"/>
        <v>0.17903263676919465</v>
      </c>
      <c r="BQ23" s="1153">
        <f t="shared" si="17"/>
        <v>0.16264769713045574</v>
      </c>
      <c r="BR23" s="1398">
        <f t="shared" si="17"/>
        <v>0.16553540081919252</v>
      </c>
      <c r="BS23" s="1153">
        <f t="shared" si="17"/>
        <v>0.15611154547823822</v>
      </c>
      <c r="BT23" s="1153">
        <f t="shared" si="17"/>
        <v>0.18996257979308825</v>
      </c>
      <c r="BU23" s="1153">
        <f t="shared" si="17"/>
        <v>0.19329714420580599</v>
      </c>
      <c r="BV23" s="1153">
        <f t="shared" si="17"/>
        <v>0.1743797709923664</v>
      </c>
      <c r="BW23" s="1398">
        <f t="shared" si="17"/>
        <v>0.17918971979296805</v>
      </c>
      <c r="BX23" s="1153">
        <f t="shared" si="17"/>
        <v>0.17326668397818748</v>
      </c>
      <c r="BY23" s="1153">
        <f t="shared" si="17"/>
        <v>0.2093587717317679</v>
      </c>
      <c r="BZ23" s="1153">
        <f t="shared" si="17"/>
        <v>0.20185014939094462</v>
      </c>
      <c r="CA23" s="1153">
        <f t="shared" si="17"/>
        <v>0.17754055343511452</v>
      </c>
      <c r="CB23" s="1398">
        <f t="shared" si="17"/>
        <v>0.19122629733103488</v>
      </c>
      <c r="CC23" s="1153">
        <f t="shared" si="17"/>
        <v>0.18464434060228452</v>
      </c>
      <c r="CD23" s="1153">
        <f t="shared" si="17"/>
        <v>0.2099797934440952</v>
      </c>
      <c r="CE23" s="1153">
        <f t="shared" si="17"/>
        <v>0.20337695723299837</v>
      </c>
      <c r="CF23" s="1153">
        <f t="shared" si="17"/>
        <v>0.18031295487627366</v>
      </c>
      <c r="CG23" s="1398">
        <f t="shared" si="17"/>
        <v>0.19512779074639372</v>
      </c>
      <c r="CH23" s="1153">
        <f t="shared" si="17"/>
        <v>0.19380364806866954</v>
      </c>
      <c r="CI23" s="1153">
        <f t="shared" si="17"/>
        <v>0.22370486656200941</v>
      </c>
      <c r="CJ23" s="1153">
        <f t="shared" si="17"/>
        <v>0.20804077010192526</v>
      </c>
      <c r="CK23" s="1153">
        <f t="shared" si="17"/>
        <v>0.1808660861379148</v>
      </c>
      <c r="CL23" s="1398">
        <f t="shared" si="17"/>
        <v>0.20218384665598479</v>
      </c>
      <c r="CM23" s="1153">
        <f>IF(ISERROR(CM22/CM$12),"-",CM22/CM$12)</f>
        <v>0.17869989722507709</v>
      </c>
      <c r="CN23" s="1153">
        <f>IF(ISERROR(CN22/CN$12),"-",CN22/CN$12)</f>
        <v>0.20787351443123939</v>
      </c>
      <c r="CO23" s="1153">
        <f>IF(ISERROR(CO22/CO$12),"-",CO22/CO$12)</f>
        <v>0.20467150170648465</v>
      </c>
      <c r="CP23" s="1153">
        <f>IF(ISERROR(CP22/CP$12),"-",CP22/CP$12)</f>
        <v>0.18285838788971662</v>
      </c>
      <c r="CQ23" s="1398">
        <f t="shared" si="17"/>
        <v>0.19428971458855751</v>
      </c>
      <c r="CR23" s="2215">
        <f>IF(ISERROR(CR22/CR$12),"-",CR22/CR$12)</f>
        <v>0.18359696075140616</v>
      </c>
      <c r="CS23" s="2215">
        <f>IF(ISERROR(CS22/CS$12),"-",CS22/CS$12)</f>
        <v>0.20718822728173414</v>
      </c>
      <c r="CT23" s="2215">
        <f>IF(ISERROR(CT22/CT$12),"-",CT22/CT$12)</f>
        <v>0.20417380116972458</v>
      </c>
      <c r="CU23" s="2215">
        <f>IF(ISERROR(CU22/CU$12),"-",CU22/CU$12)</f>
        <v>0.19164867339812655</v>
      </c>
      <c r="CV23" s="1398">
        <f t="shared" si="17"/>
        <v>0.19729813585350037</v>
      </c>
      <c r="CW23" s="1398">
        <f>IF(ISERROR(CW22/CW$12),"-",CW22/CW$12)</f>
        <v>0.204054748277195</v>
      </c>
      <c r="CX23" s="1398">
        <f>IF(ISERROR(CX22/CX$12),"-",CX22/CX$12)</f>
        <v>0.21009166266119633</v>
      </c>
      <c r="CY23" s="1398">
        <f>IF(ISERROR(CY22/CY$12),"-",CY22/CY$12)</f>
        <v>0.2159475084195113</v>
      </c>
      <c r="CZ23" s="1153"/>
    </row>
    <row r="24" spans="1:105" s="1178" customFormat="1" ht="12" customHeight="1">
      <c r="A24" s="1156"/>
      <c r="B24" s="1156"/>
      <c r="C24" s="1393"/>
      <c r="D24" s="1393" t="s">
        <v>282</v>
      </c>
      <c r="E24" s="1418"/>
      <c r="F24" s="1418"/>
      <c r="G24" s="1418"/>
      <c r="H24" s="1418"/>
      <c r="I24" s="1418"/>
      <c r="J24" s="1418"/>
      <c r="K24" s="1418"/>
      <c r="L24" s="1418"/>
      <c r="M24" s="1418"/>
      <c r="N24" s="1418"/>
      <c r="O24" s="1418"/>
      <c r="P24" s="1418"/>
      <c r="Q24" s="1418"/>
      <c r="R24" s="1418"/>
      <c r="S24" s="1418"/>
      <c r="T24" s="1418"/>
      <c r="U24" s="1418"/>
      <c r="V24" s="1418"/>
      <c r="W24" s="1418"/>
      <c r="X24" s="1418"/>
      <c r="Y24" s="1418"/>
      <c r="Z24" s="1418"/>
      <c r="AA24" s="1418"/>
      <c r="AB24" s="1418"/>
      <c r="AC24" s="1418"/>
      <c r="AD24" s="1418"/>
      <c r="AE24" s="1418"/>
      <c r="AF24" s="1418"/>
      <c r="AG24" s="1418"/>
      <c r="AH24" s="1418"/>
      <c r="AI24" s="1418"/>
      <c r="AJ24" s="1418"/>
      <c r="AK24" s="1418"/>
      <c r="AL24" s="1418"/>
      <c r="AM24" s="1418"/>
      <c r="AN24" s="1418"/>
      <c r="AO24" s="1153"/>
      <c r="AP24" s="1153"/>
      <c r="AQ24" s="1153"/>
      <c r="AR24" s="1153"/>
      <c r="AS24" s="1398"/>
      <c r="AT24" s="1153"/>
      <c r="AU24" s="1153"/>
      <c r="AV24" s="1153"/>
      <c r="AW24" s="1153"/>
      <c r="AX24" s="1398"/>
      <c r="AY24" s="1153">
        <v>-0.44415983606557374</v>
      </c>
      <c r="AZ24" s="1153">
        <v>-0.2981738035264484</v>
      </c>
      <c r="BA24" s="1153">
        <v>-0.22559274755927472</v>
      </c>
      <c r="BB24" s="1153">
        <v>0.15281030444964872</v>
      </c>
      <c r="BC24" s="1398">
        <v>-0.26133553173948887</v>
      </c>
      <c r="BD24" s="1153">
        <v>0.49032258064516121</v>
      </c>
      <c r="BE24" s="1153">
        <v>0.24943921040825479</v>
      </c>
      <c r="BF24" s="1153">
        <v>0.22512381809995508</v>
      </c>
      <c r="BG24" s="1153">
        <v>0.23971559167089884</v>
      </c>
      <c r="BH24" s="1398">
        <v>0.27718550106609818</v>
      </c>
      <c r="BI24" s="1153">
        <v>0.48423005565862698</v>
      </c>
      <c r="BJ24" s="1153">
        <v>0.14470377019748648</v>
      </c>
      <c r="BK24" s="1153">
        <v>8.0485115766262494E-2</v>
      </c>
      <c r="BL24" s="1153">
        <v>-2.4989758295780429E-2</v>
      </c>
      <c r="BM24" s="1398">
        <v>0.14052697616060228</v>
      </c>
      <c r="BN24" s="1153">
        <f t="shared" ref="BN24:CL24" si="18">IF(ISERROR(BN22/BI22-1),"-",BN22/BI22-1)</f>
        <v>-4.7499999999999987E-2</v>
      </c>
      <c r="BO24" s="1153">
        <f t="shared" si="18"/>
        <v>2.9485570890840584E-2</v>
      </c>
      <c r="BP24" s="1153">
        <f t="shared" si="18"/>
        <v>3.7414965986394488E-2</v>
      </c>
      <c r="BQ24" s="1153">
        <f t="shared" si="18"/>
        <v>0.13361344537815123</v>
      </c>
      <c r="BR24" s="1398">
        <f t="shared" si="18"/>
        <v>3.7403740374037486E-2</v>
      </c>
      <c r="BS24" s="1153">
        <f t="shared" si="18"/>
        <v>4.8118985126859082E-2</v>
      </c>
      <c r="BT24" s="1153">
        <f t="shared" si="18"/>
        <v>5.1797684338817707E-2</v>
      </c>
      <c r="BU24" s="1153">
        <f t="shared" si="18"/>
        <v>7.4098360655737716E-2</v>
      </c>
      <c r="BV24" s="1153">
        <f t="shared" si="18"/>
        <v>8.3765752409191929E-2</v>
      </c>
      <c r="BW24" s="1398">
        <f t="shared" si="18"/>
        <v>6.4687168610816581E-2</v>
      </c>
      <c r="BX24" s="1153">
        <f t="shared" si="18"/>
        <v>0.11393989983305519</v>
      </c>
      <c r="BY24" s="1153">
        <f t="shared" si="18"/>
        <v>7.4449594438007027E-2</v>
      </c>
      <c r="BZ24" s="1153">
        <f t="shared" si="18"/>
        <v>7.2344322344322309E-2</v>
      </c>
      <c r="CA24" s="1153">
        <f t="shared" si="18"/>
        <v>1.8125854993159995E-2</v>
      </c>
      <c r="CB24" s="1398">
        <f t="shared" si="18"/>
        <v>6.8061088977423578E-2</v>
      </c>
      <c r="CC24" s="1153">
        <f t="shared" si="18"/>
        <v>6.5942300487073835E-2</v>
      </c>
      <c r="CD24" s="1153">
        <f t="shared" si="18"/>
        <v>8.6276624427068516E-3</v>
      </c>
      <c r="CE24" s="1153">
        <f t="shared" si="18"/>
        <v>-9.1090236265299884E-3</v>
      </c>
      <c r="CF24" s="1153">
        <f t="shared" si="18"/>
        <v>-1.3436345314075115E-3</v>
      </c>
      <c r="CG24" s="1398">
        <f t="shared" si="18"/>
        <v>1.3366490519117091E-2</v>
      </c>
      <c r="CH24" s="1153">
        <f t="shared" si="18"/>
        <v>1.5817223198594021E-2</v>
      </c>
      <c r="CI24" s="1153">
        <f t="shared" si="18"/>
        <v>6.655974338412185E-2</v>
      </c>
      <c r="CJ24" s="1153">
        <f t="shared" si="18"/>
        <v>5.5443837977592558E-2</v>
      </c>
      <c r="CK24" s="1153">
        <f t="shared" si="18"/>
        <v>3.3972418432559603E-2</v>
      </c>
      <c r="CL24" s="1398">
        <f t="shared" si="18"/>
        <v>4.5092024539877373E-2</v>
      </c>
      <c r="CM24" s="1153">
        <f t="shared" ref="CM24:CV24" si="19">IF(ISERROR(CM22/CH22-1),"-",CM22/CH22-1)</f>
        <v>-3.7370242214532889E-2</v>
      </c>
      <c r="CN24" s="1153">
        <f t="shared" si="19"/>
        <v>-1.8045112781954864E-2</v>
      </c>
      <c r="CO24" s="1153">
        <f t="shared" si="19"/>
        <v>4.4637996733805085E-2</v>
      </c>
      <c r="CP24" s="1153">
        <f t="shared" si="19"/>
        <v>8.2398104166812924E-2</v>
      </c>
      <c r="CQ24" s="1398">
        <f t="shared" si="19"/>
        <v>1.7412076035279167E-2</v>
      </c>
      <c r="CR24" s="2215">
        <f t="shared" si="19"/>
        <v>0.10067125291040924</v>
      </c>
      <c r="CS24" s="2215">
        <f t="shared" si="19"/>
        <v>5.7814374977769312E-2</v>
      </c>
      <c r="CT24" s="2215">
        <f t="shared" si="19"/>
        <v>5.8732358145118457E-2</v>
      </c>
      <c r="CU24" s="2215">
        <f t="shared" si="19"/>
        <v>8.2398188958842766E-2</v>
      </c>
      <c r="CV24" s="1398">
        <f t="shared" si="19"/>
        <v>7.2566936925554382E-2</v>
      </c>
      <c r="CW24" s="1398">
        <f>IF(ISERROR(CW22/CV22-1),"-",CW22/CV22-1)</f>
        <v>6.1565166675775496E-2</v>
      </c>
      <c r="CX24" s="1398">
        <f>IF(ISERROR(CX22/CW22-1),"-",CX22/CW22-1)</f>
        <v>5.1321253044074533E-2</v>
      </c>
      <c r="CY24" s="1398">
        <f>IF(ISERROR(CY22/CX22-1),"-",CY22/CX22-1)</f>
        <v>4.9633225858823238E-2</v>
      </c>
      <c r="CZ24" s="1153"/>
    </row>
    <row r="25" spans="1:105" s="1178" customFormat="1" ht="12" customHeight="1">
      <c r="A25" s="1156"/>
      <c r="B25" s="1156"/>
      <c r="C25" s="1393"/>
      <c r="D25" s="1393"/>
      <c r="E25" s="1418"/>
      <c r="F25" s="1418"/>
      <c r="G25" s="1418"/>
      <c r="H25" s="1418"/>
      <c r="I25" s="1418"/>
      <c r="J25" s="1418"/>
      <c r="K25" s="1418"/>
      <c r="L25" s="1418"/>
      <c r="M25" s="1418"/>
      <c r="N25" s="1418"/>
      <c r="O25" s="1418"/>
      <c r="P25" s="1418"/>
      <c r="Q25" s="1418"/>
      <c r="R25" s="1418"/>
      <c r="S25" s="1418"/>
      <c r="T25" s="1418"/>
      <c r="U25" s="1418"/>
      <c r="V25" s="1418"/>
      <c r="W25" s="1418"/>
      <c r="X25" s="1418"/>
      <c r="Y25" s="1418"/>
      <c r="Z25" s="1418"/>
      <c r="AA25" s="1418"/>
      <c r="AB25" s="1418"/>
      <c r="AC25" s="1418"/>
      <c r="AD25" s="1418"/>
      <c r="AE25" s="1418"/>
      <c r="AF25" s="1418"/>
      <c r="AG25" s="1418"/>
      <c r="AH25" s="1418"/>
      <c r="AI25" s="1418"/>
      <c r="AJ25" s="1418"/>
      <c r="AK25" s="1418"/>
      <c r="AL25" s="1418"/>
      <c r="AM25" s="1418"/>
      <c r="AN25" s="1418"/>
      <c r="AO25" s="1413"/>
      <c r="AP25" s="1413"/>
      <c r="AQ25" s="1413"/>
      <c r="AR25" s="1413"/>
      <c r="AS25" s="1415"/>
      <c r="AT25" s="1413"/>
      <c r="AU25" s="1413"/>
      <c r="AV25" s="1413"/>
      <c r="AW25" s="1413"/>
      <c r="AX25" s="1415"/>
      <c r="AY25" s="1413"/>
      <c r="AZ25" s="1413"/>
      <c r="BA25" s="1413"/>
      <c r="BB25" s="1413"/>
      <c r="BC25" s="1415"/>
      <c r="BD25" s="1413"/>
      <c r="BE25" s="1413"/>
      <c r="BF25" s="1413"/>
      <c r="BG25" s="1413"/>
      <c r="BH25" s="1415"/>
      <c r="BI25" s="1413"/>
      <c r="BJ25" s="1413"/>
      <c r="BK25" s="1413"/>
      <c r="BL25" s="1413"/>
      <c r="BM25" s="1415"/>
      <c r="BN25" s="1413"/>
      <c r="BO25" s="1413"/>
      <c r="BP25" s="1413"/>
      <c r="BQ25" s="1413"/>
      <c r="BR25" s="1415"/>
      <c r="BS25" s="1416"/>
      <c r="BT25" s="1413"/>
      <c r="BU25" s="1413"/>
      <c r="BV25" s="1413"/>
      <c r="BW25" s="1415"/>
      <c r="BX25" s="1413"/>
      <c r="BY25" s="1413"/>
      <c r="BZ25" s="1413"/>
      <c r="CA25" s="1413"/>
      <c r="CB25" s="1610"/>
      <c r="CC25" s="1413"/>
      <c r="CD25" s="1413"/>
      <c r="CE25" s="1413"/>
      <c r="CF25" s="1413"/>
      <c r="CG25" s="1610"/>
      <c r="CH25" s="1413"/>
      <c r="CI25" s="1413"/>
      <c r="CJ25" s="1413"/>
      <c r="CK25" s="1413"/>
      <c r="CL25" s="1610"/>
      <c r="CM25" s="1413"/>
      <c r="CN25" s="1413"/>
      <c r="CO25" s="1413"/>
      <c r="CP25" s="1413"/>
      <c r="CQ25" s="1610"/>
      <c r="CR25" s="1413"/>
      <c r="CS25" s="1413"/>
      <c r="CT25" s="1413"/>
      <c r="CU25" s="1413"/>
      <c r="CV25" s="1610"/>
      <c r="CW25" s="1610"/>
      <c r="CX25" s="1610"/>
      <c r="CY25" s="1610"/>
      <c r="CZ25" s="1434"/>
    </row>
    <row r="26" spans="1:105" s="1178" customFormat="1" ht="11.25">
      <c r="A26" s="1452"/>
      <c r="B26" s="1452"/>
      <c r="C26" s="1395" t="s">
        <v>224</v>
      </c>
      <c r="D26" s="1451"/>
      <c r="E26" s="1441"/>
      <c r="F26" s="1441"/>
      <c r="G26" s="1441"/>
      <c r="H26" s="1441"/>
      <c r="I26" s="1441"/>
      <c r="J26" s="1441"/>
      <c r="K26" s="1441"/>
      <c r="L26" s="1441"/>
      <c r="M26" s="1441"/>
      <c r="N26" s="1441"/>
      <c r="O26" s="1441"/>
      <c r="P26" s="1441"/>
      <c r="Q26" s="1441"/>
      <c r="R26" s="1441"/>
      <c r="S26" s="1441"/>
      <c r="T26" s="1441"/>
      <c r="U26" s="1441"/>
      <c r="V26" s="1441"/>
      <c r="W26" s="1441"/>
      <c r="X26" s="1441"/>
      <c r="Y26" s="1441"/>
      <c r="Z26" s="1441"/>
      <c r="AA26" s="1441"/>
      <c r="AB26" s="1441"/>
      <c r="AC26" s="1441"/>
      <c r="AD26" s="1441"/>
      <c r="AE26" s="1441"/>
      <c r="AF26" s="1441"/>
      <c r="AG26" s="1441"/>
      <c r="AH26" s="1441"/>
      <c r="AI26" s="1441"/>
      <c r="AJ26" s="1441"/>
      <c r="AK26" s="1441"/>
      <c r="AL26" s="1441"/>
      <c r="AM26" s="1441"/>
      <c r="AN26" s="1441"/>
      <c r="AO26" s="1448">
        <v>87</v>
      </c>
      <c r="AP26" s="1448">
        <v>87</v>
      </c>
      <c r="AQ26" s="1448">
        <v>105</v>
      </c>
      <c r="AR26" s="1448">
        <v>111</v>
      </c>
      <c r="AS26" s="1446">
        <v>390</v>
      </c>
      <c r="AT26" s="1448">
        <v>108</v>
      </c>
      <c r="AU26" s="1448">
        <v>108</v>
      </c>
      <c r="AV26" s="1448">
        <v>108</v>
      </c>
      <c r="AW26" s="1448">
        <v>108</v>
      </c>
      <c r="AX26" s="1446">
        <v>432</v>
      </c>
      <c r="AY26" s="1448">
        <v>101.25</v>
      </c>
      <c r="AZ26" s="1448">
        <v>101.25</v>
      </c>
      <c r="BA26" s="1448">
        <v>101.25</v>
      </c>
      <c r="BB26" s="1448">
        <v>101.25</v>
      </c>
      <c r="BC26" s="1446">
        <v>405</v>
      </c>
      <c r="BD26" s="1448">
        <v>114.25</v>
      </c>
      <c r="BE26" s="1448">
        <v>114.25</v>
      </c>
      <c r="BF26" s="1448">
        <v>114.25</v>
      </c>
      <c r="BG26" s="1448">
        <v>114.25</v>
      </c>
      <c r="BH26" s="1446">
        <v>457</v>
      </c>
      <c r="BI26" s="1448">
        <f>$BM$26/4</f>
        <v>108</v>
      </c>
      <c r="BJ26" s="1448">
        <f>$BM$26/4</f>
        <v>108</v>
      </c>
      <c r="BK26" s="1448">
        <f>$BM$26/4</f>
        <v>108</v>
      </c>
      <c r="BL26" s="1448">
        <f>BM26-BI26-BJ26-BK26</f>
        <v>108</v>
      </c>
      <c r="BM26" s="1446">
        <f>164+268</f>
        <v>432</v>
      </c>
      <c r="BN26" s="1448">
        <f>$BR$26/4</f>
        <v>104.5</v>
      </c>
      <c r="BO26" s="1448">
        <f>$BR$26/4</f>
        <v>104.5</v>
      </c>
      <c r="BP26" s="1448">
        <f>$BR$26/4</f>
        <v>104.5</v>
      </c>
      <c r="BQ26" s="1448">
        <f>BR26-BN26-BO26-BP26</f>
        <v>104.5</v>
      </c>
      <c r="BR26" s="1446">
        <v>418</v>
      </c>
      <c r="BS26" s="1448">
        <f>$BW$26/4</f>
        <v>95</v>
      </c>
      <c r="BT26" s="1448">
        <f>$BW$26/4</f>
        <v>95</v>
      </c>
      <c r="BU26" s="1448">
        <f>$BW$26/4</f>
        <v>95</v>
      </c>
      <c r="BV26" s="1448">
        <f>$BW$26/4</f>
        <v>95</v>
      </c>
      <c r="BW26" s="1446">
        <v>380</v>
      </c>
      <c r="BX26" s="1448">
        <f>$CB$26/4</f>
        <v>87.25</v>
      </c>
      <c r="BY26" s="1448">
        <f>$CB$26/4</f>
        <v>87.25</v>
      </c>
      <c r="BZ26" s="1448">
        <f>$CB$26/4</f>
        <v>87.25</v>
      </c>
      <c r="CA26" s="1448">
        <f>$CB$26/4</f>
        <v>87.25</v>
      </c>
      <c r="CB26" s="1624">
        <v>349</v>
      </c>
      <c r="CC26" s="1625">
        <f>$CG$26/4</f>
        <v>84.25</v>
      </c>
      <c r="CD26" s="1625">
        <f>$CG$26/4</f>
        <v>84.25</v>
      </c>
      <c r="CE26" s="1625">
        <f>$CG$26/4</f>
        <v>84.25</v>
      </c>
      <c r="CF26" s="1625">
        <f>$CG$26/4</f>
        <v>84.25</v>
      </c>
      <c r="CG26" s="1576">
        <v>337</v>
      </c>
      <c r="CH26" s="1625">
        <f>$CL$26/4</f>
        <v>88.5</v>
      </c>
      <c r="CI26" s="1625">
        <f>$CL$26/4</f>
        <v>88.5</v>
      </c>
      <c r="CJ26" s="1625">
        <f>$CL$26/4</f>
        <v>88.5</v>
      </c>
      <c r="CK26" s="1625">
        <f>$CL$26/4</f>
        <v>88.5</v>
      </c>
      <c r="CL26" s="1576">
        <v>354</v>
      </c>
      <c r="CM26" s="1625">
        <f>$CQ$26/4</f>
        <v>88.5</v>
      </c>
      <c r="CN26" s="1625">
        <f>$CQ$26/4</f>
        <v>88.5</v>
      </c>
      <c r="CO26" s="1625">
        <f>$CQ$26/4</f>
        <v>88.5</v>
      </c>
      <c r="CP26" s="1625">
        <f>$CQ$26/4</f>
        <v>88.5</v>
      </c>
      <c r="CQ26" s="1623">
        <f>CL26</f>
        <v>354</v>
      </c>
      <c r="CR26" s="1625">
        <f>$CV$26/4</f>
        <v>89.155253245707272</v>
      </c>
      <c r="CS26" s="1625">
        <f t="shared" ref="CS26:CU26" si="20">$CV$26/4</f>
        <v>89.155253245707272</v>
      </c>
      <c r="CT26" s="1625">
        <f t="shared" si="20"/>
        <v>89.155253245707272</v>
      </c>
      <c r="CU26" s="1625">
        <f t="shared" si="20"/>
        <v>89.155253245707272</v>
      </c>
      <c r="CV26" s="2284">
        <f>CQ26+CV40/10-CQ26/10</f>
        <v>356.62101298282909</v>
      </c>
      <c r="CW26" s="2284">
        <f>CV26+CW40/10-CV26/10</f>
        <v>359.98424488437962</v>
      </c>
      <c r="CX26" s="2284">
        <f t="shared" ref="CX26:CY26" si="21">CW26+CX40/10-CW26/10</f>
        <v>363.83505193598955</v>
      </c>
      <c r="CY26" s="2284">
        <f t="shared" si="21"/>
        <v>368.14439988023213</v>
      </c>
      <c r="CZ26" s="1770"/>
    </row>
    <row r="27" spans="1:105" s="1178" customFormat="1" ht="11.25">
      <c r="A27" s="1452"/>
      <c r="B27" s="1452"/>
      <c r="C27" s="1395" t="s">
        <v>250</v>
      </c>
      <c r="D27" s="1451"/>
      <c r="E27" s="1441"/>
      <c r="F27" s="1441"/>
      <c r="G27" s="1441"/>
      <c r="H27" s="1441"/>
      <c r="I27" s="1441"/>
      <c r="J27" s="1441"/>
      <c r="K27" s="1441"/>
      <c r="L27" s="1441"/>
      <c r="M27" s="1441"/>
      <c r="N27" s="1441"/>
      <c r="O27" s="1441"/>
      <c r="P27" s="1441"/>
      <c r="Q27" s="1441"/>
      <c r="R27" s="1441"/>
      <c r="S27" s="1441"/>
      <c r="T27" s="1441"/>
      <c r="U27" s="1441"/>
      <c r="V27" s="1441"/>
      <c r="W27" s="1441"/>
      <c r="X27" s="1441"/>
      <c r="Y27" s="1441"/>
      <c r="Z27" s="1441"/>
      <c r="AA27" s="1441"/>
      <c r="AB27" s="1441"/>
      <c r="AC27" s="1441"/>
      <c r="AD27" s="1441"/>
      <c r="AE27" s="1441"/>
      <c r="AF27" s="1441"/>
      <c r="AG27" s="1441"/>
      <c r="AH27" s="1441"/>
      <c r="AI27" s="1441"/>
      <c r="AJ27" s="1441"/>
      <c r="AK27" s="1441"/>
      <c r="AL27" s="1441"/>
      <c r="AM27" s="1441"/>
      <c r="AN27" s="1441"/>
      <c r="AO27" s="1448">
        <v>14</v>
      </c>
      <c r="AP27" s="1448">
        <v>5</v>
      </c>
      <c r="AQ27" s="1448">
        <v>17</v>
      </c>
      <c r="AR27" s="1448">
        <v>36</v>
      </c>
      <c r="AS27" s="1446">
        <v>72</v>
      </c>
      <c r="AT27" s="1448">
        <v>17</v>
      </c>
      <c r="AU27" s="1448">
        <v>73</v>
      </c>
      <c r="AV27" s="1448">
        <v>34</v>
      </c>
      <c r="AW27" s="1448">
        <v>79</v>
      </c>
      <c r="AX27" s="1446">
        <v>203</v>
      </c>
      <c r="AY27" s="1448">
        <v>55</v>
      </c>
      <c r="AZ27" s="1448">
        <v>141</v>
      </c>
      <c r="BA27" s="1448">
        <v>50</v>
      </c>
      <c r="BB27" s="1448">
        <v>76</v>
      </c>
      <c r="BC27" s="1446">
        <v>322</v>
      </c>
      <c r="BD27" s="1448">
        <v>28</v>
      </c>
      <c r="BE27" s="1448">
        <v>34</v>
      </c>
      <c r="BF27" s="1448">
        <v>23</v>
      </c>
      <c r="BG27" s="1448">
        <v>68</v>
      </c>
      <c r="BH27" s="1446">
        <v>153</v>
      </c>
      <c r="BI27" s="1448">
        <v>21</v>
      </c>
      <c r="BJ27" s="1448">
        <v>24</v>
      </c>
      <c r="BK27" s="1448">
        <f>20</f>
        <v>20</v>
      </c>
      <c r="BL27" s="1448">
        <f>61</f>
        <v>61</v>
      </c>
      <c r="BM27" s="1446">
        <f>SUM(BI27:BL27)</f>
        <v>126</v>
      </c>
      <c r="BN27" s="1448">
        <f>35</f>
        <v>35</v>
      </c>
      <c r="BO27" s="1448">
        <f>37</f>
        <v>37</v>
      </c>
      <c r="BP27" s="1448">
        <v>26</v>
      </c>
      <c r="BQ27" s="1448">
        <v>45</v>
      </c>
      <c r="BR27" s="1446">
        <f>SUM(BN27:BQ27)</f>
        <v>143</v>
      </c>
      <c r="BS27" s="1448">
        <v>22</v>
      </c>
      <c r="BT27" s="1448">
        <v>16</v>
      </c>
      <c r="BU27" s="1448">
        <v>28</v>
      </c>
      <c r="BV27" s="1448">
        <v>31</v>
      </c>
      <c r="BW27" s="1446">
        <f>SUM(BS27:BV27)</f>
        <v>97</v>
      </c>
      <c r="BX27" s="1448">
        <v>43</v>
      </c>
      <c r="BY27" s="1448">
        <v>25</v>
      </c>
      <c r="BZ27" s="1448">
        <v>14</v>
      </c>
      <c r="CA27" s="1447">
        <v>34</v>
      </c>
      <c r="CB27" s="1624">
        <f>SUM(BX27:CA27)</f>
        <v>116</v>
      </c>
      <c r="CC27" s="1448">
        <v>24</v>
      </c>
      <c r="CD27" s="1448">
        <v>28</v>
      </c>
      <c r="CE27" s="1876">
        <v>15</v>
      </c>
      <c r="CF27" s="1876">
        <v>41</v>
      </c>
      <c r="CG27" s="1624">
        <f>SUM(CC27:CF27)</f>
        <v>108</v>
      </c>
      <c r="CH27" s="1448">
        <v>28</v>
      </c>
      <c r="CI27" s="1876">
        <v>25</v>
      </c>
      <c r="CJ27" s="1876">
        <v>18</v>
      </c>
      <c r="CK27" s="1876">
        <v>-6</v>
      </c>
      <c r="CL27" s="2125">
        <f>SUM(CH27:CK27)</f>
        <v>65</v>
      </c>
      <c r="CM27" s="1876">
        <v>23</v>
      </c>
      <c r="CN27" s="1876">
        <v>18</v>
      </c>
      <c r="CO27" s="1876">
        <v>43</v>
      </c>
      <c r="CP27" s="1448">
        <f>CO27</f>
        <v>43</v>
      </c>
      <c r="CQ27" s="1623">
        <f>SUM(CM27:CP27)</f>
        <v>127</v>
      </c>
      <c r="CR27" s="1448">
        <f>CV27/4</f>
        <v>31.75</v>
      </c>
      <c r="CS27" s="1448">
        <f>CR27</f>
        <v>31.75</v>
      </c>
      <c r="CT27" s="1448">
        <f>CS27</f>
        <v>31.75</v>
      </c>
      <c r="CU27" s="1448">
        <f>CT27</f>
        <v>31.75</v>
      </c>
      <c r="CV27" s="1623">
        <f>CQ27</f>
        <v>127</v>
      </c>
      <c r="CW27" s="1623">
        <f t="shared" ref="CW27:CY27" si="22">CV27</f>
        <v>127</v>
      </c>
      <c r="CX27" s="1623">
        <f t="shared" si="22"/>
        <v>127</v>
      </c>
      <c r="CY27" s="1623">
        <f t="shared" si="22"/>
        <v>127</v>
      </c>
      <c r="CZ27" s="1770"/>
    </row>
    <row r="28" spans="1:105" s="1178" customFormat="1" ht="12" customHeight="1">
      <c r="A28" s="1156"/>
      <c r="B28" s="1156"/>
      <c r="C28" s="1393"/>
      <c r="D28" s="1393"/>
      <c r="E28" s="1441"/>
      <c r="F28" s="1441"/>
      <c r="G28" s="1441"/>
      <c r="H28" s="1441"/>
      <c r="I28" s="1441"/>
      <c r="J28" s="1441"/>
      <c r="K28" s="1441"/>
      <c r="L28" s="1441"/>
      <c r="M28" s="1441"/>
      <c r="N28" s="1441"/>
      <c r="O28" s="1441"/>
      <c r="P28" s="1441"/>
      <c r="Q28" s="1441"/>
      <c r="R28" s="1441"/>
      <c r="S28" s="1441"/>
      <c r="T28" s="1441"/>
      <c r="U28" s="1441"/>
      <c r="V28" s="1441"/>
      <c r="W28" s="1441"/>
      <c r="X28" s="1441"/>
      <c r="Y28" s="1441"/>
      <c r="Z28" s="1441"/>
      <c r="AA28" s="1441"/>
      <c r="AB28" s="1441"/>
      <c r="AC28" s="1441"/>
      <c r="AD28" s="1441"/>
      <c r="AE28" s="1441"/>
      <c r="AF28" s="1441"/>
      <c r="AG28" s="1441"/>
      <c r="AH28" s="1441"/>
      <c r="AI28" s="1441"/>
      <c r="AJ28" s="1441"/>
      <c r="AK28" s="1441"/>
      <c r="AL28" s="1441"/>
      <c r="AM28" s="1441"/>
      <c r="AN28" s="1441"/>
      <c r="AO28" s="1439"/>
      <c r="AP28" s="1439"/>
      <c r="AQ28" s="1439"/>
      <c r="AR28" s="1439"/>
      <c r="AS28" s="1436"/>
      <c r="AT28" s="1439"/>
      <c r="AU28" s="1439"/>
      <c r="AV28" s="1439"/>
      <c r="AW28" s="1439"/>
      <c r="AX28" s="1436"/>
      <c r="AY28" s="1439"/>
      <c r="AZ28" s="1439"/>
      <c r="BA28" s="1439"/>
      <c r="BB28" s="1439"/>
      <c r="BC28" s="1436"/>
      <c r="BD28" s="1439"/>
      <c r="BE28" s="1439"/>
      <c r="BF28" s="1439"/>
      <c r="BG28" s="1439"/>
      <c r="BH28" s="1436"/>
      <c r="BI28" s="1439"/>
      <c r="BJ28" s="1439"/>
      <c r="BK28" s="1439"/>
      <c r="BL28" s="1439"/>
      <c r="BM28" s="1436"/>
      <c r="BN28" s="1439"/>
      <c r="BO28" s="1439"/>
      <c r="BP28" s="1439"/>
      <c r="BQ28" s="1439"/>
      <c r="BR28" s="1436"/>
      <c r="BS28" s="1439"/>
      <c r="BT28" s="1439"/>
      <c r="BU28" s="1439"/>
      <c r="BV28" s="1439"/>
      <c r="BW28" s="1414"/>
      <c r="BX28" s="1439"/>
      <c r="BY28" s="1439"/>
      <c r="BZ28" s="1439"/>
      <c r="CA28" s="1439"/>
      <c r="CB28" s="1622"/>
      <c r="CC28" s="1439"/>
      <c r="CD28" s="1439"/>
      <c r="CE28" s="1439"/>
      <c r="CF28" s="1439"/>
      <c r="CG28" s="1621"/>
      <c r="CH28" s="1439"/>
      <c r="CI28" s="1439"/>
      <c r="CJ28" s="1439"/>
      <c r="CK28" s="1439"/>
      <c r="CL28" s="1621"/>
      <c r="CM28" s="1439"/>
      <c r="CN28" s="1439"/>
      <c r="CO28" s="1439"/>
      <c r="CP28" s="1439"/>
      <c r="CQ28" s="1621"/>
      <c r="CR28" s="1439"/>
      <c r="CS28" s="1439"/>
      <c r="CT28" s="1439"/>
      <c r="CU28" s="1439"/>
      <c r="CV28" s="1621"/>
      <c r="CW28" s="1621"/>
      <c r="CX28" s="1621"/>
      <c r="CY28" s="1621"/>
      <c r="CZ28" s="1968"/>
    </row>
    <row r="29" spans="1:105" s="1178" customFormat="1" ht="12" customHeight="1" thickBot="1">
      <c r="A29" s="1186"/>
      <c r="B29" s="1186"/>
      <c r="C29" s="1409" t="s">
        <v>248</v>
      </c>
      <c r="D29" s="1408"/>
      <c r="E29" s="1407"/>
      <c r="F29" s="1407"/>
      <c r="G29" s="1407"/>
      <c r="H29" s="1407"/>
      <c r="I29" s="1407"/>
      <c r="J29" s="1407"/>
      <c r="K29" s="1407"/>
      <c r="L29" s="1407"/>
      <c r="M29" s="1407"/>
      <c r="N29" s="1407"/>
      <c r="O29" s="1407"/>
      <c r="P29" s="1407"/>
      <c r="Q29" s="1407"/>
      <c r="R29" s="1407"/>
      <c r="S29" s="1407"/>
      <c r="T29" s="1407"/>
      <c r="U29" s="1407"/>
      <c r="V29" s="1407"/>
      <c r="W29" s="1407"/>
      <c r="X29" s="1407"/>
      <c r="Y29" s="1407"/>
      <c r="Z29" s="1407"/>
      <c r="AA29" s="1407"/>
      <c r="AB29" s="1407"/>
      <c r="AC29" s="1407"/>
      <c r="AD29" s="1407"/>
      <c r="AE29" s="1407"/>
      <c r="AF29" s="1407"/>
      <c r="AG29" s="1407"/>
      <c r="AH29" s="1407"/>
      <c r="AI29" s="1407"/>
      <c r="AJ29" s="1407"/>
      <c r="AK29" s="1407"/>
      <c r="AL29" s="1407"/>
      <c r="AM29" s="1407"/>
      <c r="AN29" s="1407"/>
      <c r="AO29" s="1403">
        <v>299</v>
      </c>
      <c r="AP29" s="1403">
        <v>590</v>
      </c>
      <c r="AQ29" s="1403">
        <v>539</v>
      </c>
      <c r="AR29" s="1403">
        <v>396</v>
      </c>
      <c r="AS29" s="1400">
        <v>1803</v>
      </c>
      <c r="AT29" s="1403">
        <v>363</v>
      </c>
      <c r="AU29" s="1403">
        <v>613</v>
      </c>
      <c r="AV29" s="1403">
        <v>575</v>
      </c>
      <c r="AW29" s="1403">
        <v>307</v>
      </c>
      <c r="AX29" s="1400">
        <v>1791</v>
      </c>
      <c r="AY29" s="1403">
        <v>115</v>
      </c>
      <c r="AZ29" s="1403">
        <v>315</v>
      </c>
      <c r="BA29" s="1403">
        <v>461</v>
      </c>
      <c r="BB29" s="1403">
        <v>342</v>
      </c>
      <c r="BC29" s="1400">
        <v>1149</v>
      </c>
      <c r="BD29" s="1403">
        <v>262</v>
      </c>
      <c r="BE29" s="1403">
        <v>501</v>
      </c>
      <c r="BF29" s="1403">
        <v>567</v>
      </c>
      <c r="BG29" s="1403">
        <v>446</v>
      </c>
      <c r="BH29" s="1400">
        <v>1781</v>
      </c>
      <c r="BI29" s="1403">
        <v>471</v>
      </c>
      <c r="BJ29" s="1403">
        <v>665</v>
      </c>
      <c r="BK29" s="1403">
        <v>615</v>
      </c>
      <c r="BL29" s="1403">
        <v>461</v>
      </c>
      <c r="BM29" s="1400">
        <f>SUM(BI29:BL29)</f>
        <v>2212</v>
      </c>
      <c r="BN29" s="1403">
        <v>544</v>
      </c>
      <c r="BO29" s="1403">
        <v>789</v>
      </c>
      <c r="BP29" s="1403">
        <v>632</v>
      </c>
      <c r="BQ29" s="1403">
        <v>460</v>
      </c>
      <c r="BR29" s="1400">
        <f>SUM(BN29:BQ29)</f>
        <v>2425</v>
      </c>
      <c r="BS29" s="1403">
        <v>520</v>
      </c>
      <c r="BT29" s="1403">
        <v>752</v>
      </c>
      <c r="BU29" s="1403">
        <v>696</v>
      </c>
      <c r="BV29" s="1403">
        <v>622</v>
      </c>
      <c r="BW29" s="1400">
        <f>BW35+BW33-BW27</f>
        <v>2590</v>
      </c>
      <c r="BX29" s="1403">
        <v>537</v>
      </c>
      <c r="BY29" s="1403">
        <v>815</v>
      </c>
      <c r="BZ29" s="1403">
        <v>807</v>
      </c>
      <c r="CA29" s="1403">
        <v>623</v>
      </c>
      <c r="CB29" s="1607">
        <f>CB35+CB33-CB27</f>
        <v>2782</v>
      </c>
      <c r="CC29" s="1403">
        <v>729</v>
      </c>
      <c r="CD29" s="1435">
        <v>823</v>
      </c>
      <c r="CE29" s="1870">
        <v>771</v>
      </c>
      <c r="CF29" s="1870">
        <v>613</v>
      </c>
      <c r="CG29" s="1607">
        <f>CG35+CG33-CG27</f>
        <v>2936</v>
      </c>
      <c r="CH29" s="1870">
        <v>606</v>
      </c>
      <c r="CI29" s="1870">
        <v>872</v>
      </c>
      <c r="CJ29" s="1403">
        <f>CJ35+CJ33-CJ27</f>
        <v>801</v>
      </c>
      <c r="CK29" s="1403">
        <f t="shared" ref="CK29:CW29" si="23">CK35+CK33-CK27</f>
        <v>677</v>
      </c>
      <c r="CL29" s="1607">
        <f t="shared" si="23"/>
        <v>2956</v>
      </c>
      <c r="CM29" s="1403">
        <f t="shared" si="23"/>
        <v>963</v>
      </c>
      <c r="CN29" s="1403">
        <f t="shared" ref="CN29" si="24">CN35+CN33-CN27</f>
        <v>873</v>
      </c>
      <c r="CO29" s="1403">
        <f t="shared" si="23"/>
        <v>828</v>
      </c>
      <c r="CP29" s="1403">
        <f t="shared" si="23"/>
        <v>700.3229430521958</v>
      </c>
      <c r="CQ29" s="1607">
        <f t="shared" si="23"/>
        <v>3364.322943052196</v>
      </c>
      <c r="CR29" s="1403">
        <f>CR35+CR33-CR27</f>
        <v>644.61160315348241</v>
      </c>
      <c r="CS29" s="1403">
        <f>CS35+CS33-CS27</f>
        <v>915.22392704501783</v>
      </c>
      <c r="CT29" s="1403">
        <f>CT35+CT33-CT27</f>
        <v>894.94844439453391</v>
      </c>
      <c r="CU29" s="1403">
        <f>CU35+CU33-CU27</f>
        <v>779.45839384840406</v>
      </c>
      <c r="CV29" s="1607">
        <f t="shared" si="23"/>
        <v>3234.242368441438</v>
      </c>
      <c r="CW29" s="1607">
        <f t="shared" si="23"/>
        <v>3459.7700152950351</v>
      </c>
      <c r="CX29" s="1607">
        <f>CX35+CX33-CX27</f>
        <v>3658.471582332872</v>
      </c>
      <c r="CY29" s="1607">
        <f>CY35+CY33-CY27</f>
        <v>3860.1057077248101</v>
      </c>
      <c r="CZ29" s="1967"/>
    </row>
    <row r="30" spans="1:105" s="1178" customFormat="1" ht="12" customHeight="1" thickTop="1">
      <c r="A30" s="1156"/>
      <c r="B30" s="1156"/>
      <c r="C30" s="1387"/>
      <c r="D30" s="1393" t="s">
        <v>293</v>
      </c>
      <c r="E30" s="1418"/>
      <c r="F30" s="1418"/>
      <c r="G30" s="1418"/>
      <c r="H30" s="1418"/>
      <c r="I30" s="1418"/>
      <c r="J30" s="1418"/>
      <c r="K30" s="1418"/>
      <c r="L30" s="1418"/>
      <c r="M30" s="1418"/>
      <c r="N30" s="1418"/>
      <c r="O30" s="1418"/>
      <c r="P30" s="1418"/>
      <c r="Q30" s="1418"/>
      <c r="R30" s="1418"/>
      <c r="S30" s="1418"/>
      <c r="T30" s="1418"/>
      <c r="U30" s="1418"/>
      <c r="V30" s="1418"/>
      <c r="W30" s="1418"/>
      <c r="X30" s="1418"/>
      <c r="Y30" s="1418"/>
      <c r="Z30" s="1418"/>
      <c r="AA30" s="1418"/>
      <c r="AB30" s="1418"/>
      <c r="AC30" s="1418"/>
      <c r="AD30" s="1418"/>
      <c r="AE30" s="1418"/>
      <c r="AF30" s="1418"/>
      <c r="AG30" s="1418"/>
      <c r="AH30" s="1418"/>
      <c r="AI30" s="1418"/>
      <c r="AJ30" s="1418"/>
      <c r="AK30" s="1418"/>
      <c r="AL30" s="1418"/>
      <c r="AM30" s="1418"/>
      <c r="AN30" s="1418"/>
      <c r="AO30" s="1153"/>
      <c r="AP30" s="1153"/>
      <c r="AQ30" s="1153"/>
      <c r="AR30" s="1153"/>
      <c r="AS30" s="1398"/>
      <c r="AT30" s="1153">
        <f t="shared" ref="AT30:CV30" si="25">IF(ISERROR(AT29/AT$12),"-",AT29/AT$12)</f>
        <v>7.2498502097064113E-2</v>
      </c>
      <c r="AU30" s="1153">
        <f t="shared" si="25"/>
        <v>0.10059074499507713</v>
      </c>
      <c r="AV30" s="1153">
        <f t="shared" si="25"/>
        <v>0.10377188233170907</v>
      </c>
      <c r="AW30" s="1153">
        <f t="shared" si="25"/>
        <v>6.4441645675902604E-2</v>
      </c>
      <c r="AX30" s="1398">
        <f t="shared" si="25"/>
        <v>8.3668130430720355E-2</v>
      </c>
      <c r="AY30" s="1153">
        <f t="shared" si="25"/>
        <v>3.0495889684433838E-2</v>
      </c>
      <c r="AZ30" s="1153">
        <f t="shared" si="25"/>
        <v>7.1331521739130432E-2</v>
      </c>
      <c r="BA30" s="1153">
        <f t="shared" si="25"/>
        <v>0.10678712068566133</v>
      </c>
      <c r="BB30" s="1153">
        <f t="shared" si="25"/>
        <v>7.891093677895708E-2</v>
      </c>
      <c r="BC30" s="1398">
        <f t="shared" si="25"/>
        <v>6.8238508136358234E-2</v>
      </c>
      <c r="BD30" s="1153">
        <f t="shared" si="25"/>
        <v>6.7490984028851106E-2</v>
      </c>
      <c r="BE30" s="1153">
        <f t="shared" si="25"/>
        <v>0.10641461342395922</v>
      </c>
      <c r="BF30" s="1153">
        <f t="shared" si="25"/>
        <v>0.12344872632266493</v>
      </c>
      <c r="BG30" s="1153">
        <f t="shared" si="25"/>
        <v>9.5035158747070109E-2</v>
      </c>
      <c r="BH30" s="1398">
        <f t="shared" si="25"/>
        <v>9.9630789885880505E-2</v>
      </c>
      <c r="BI30" s="1153">
        <f t="shared" si="25"/>
        <v>0.10721602549510585</v>
      </c>
      <c r="BJ30" s="1153">
        <f t="shared" si="25"/>
        <v>0.1293774319066148</v>
      </c>
      <c r="BK30" s="1153">
        <f t="shared" si="25"/>
        <v>0.12497459865880918</v>
      </c>
      <c r="BL30" s="1153">
        <f t="shared" si="25"/>
        <v>0.10453514739229025</v>
      </c>
      <c r="BM30" s="1398">
        <f t="shared" si="25"/>
        <v>0.11726039016115351</v>
      </c>
      <c r="BN30" s="1153">
        <f t="shared" si="25"/>
        <v>0.13229571984435798</v>
      </c>
      <c r="BO30" s="1153">
        <f t="shared" si="25"/>
        <v>0.1725721784776903</v>
      </c>
      <c r="BP30" s="1153">
        <f t="shared" si="25"/>
        <v>0.14839164123033577</v>
      </c>
      <c r="BQ30" s="1153">
        <f t="shared" si="25"/>
        <v>0.11092355919942126</v>
      </c>
      <c r="BR30" s="1398">
        <f t="shared" si="25"/>
        <v>0.14189584552369808</v>
      </c>
      <c r="BS30" s="1153">
        <f t="shared" si="25"/>
        <v>0.13552254365389627</v>
      </c>
      <c r="BT30" s="1153">
        <f t="shared" si="25"/>
        <v>0.16552938586836891</v>
      </c>
      <c r="BU30" s="1153">
        <f t="shared" si="25"/>
        <v>0.16426717016757139</v>
      </c>
      <c r="BV30" s="1153">
        <f t="shared" si="25"/>
        <v>0.14837786259541985</v>
      </c>
      <c r="BW30" s="1398">
        <f t="shared" si="25"/>
        <v>0.15408412160152299</v>
      </c>
      <c r="BX30" s="1153">
        <f t="shared" si="25"/>
        <v>0.13944430018177098</v>
      </c>
      <c r="BY30" s="1153">
        <f t="shared" si="25"/>
        <v>0.18401445021449536</v>
      </c>
      <c r="BZ30" s="1153">
        <f t="shared" si="25"/>
        <v>0.18547460353941622</v>
      </c>
      <c r="CA30" s="1153">
        <f t="shared" si="25"/>
        <v>0.14861641221374045</v>
      </c>
      <c r="CB30" s="1398">
        <f t="shared" si="25"/>
        <v>0.16536884027819057</v>
      </c>
      <c r="CC30" s="1153">
        <f t="shared" si="25"/>
        <v>0.18925233644859812</v>
      </c>
      <c r="CD30" s="1153">
        <f t="shared" si="25"/>
        <v>0.18477772788504715</v>
      </c>
      <c r="CE30" s="1153">
        <f t="shared" si="25"/>
        <v>0.18018228558074317</v>
      </c>
      <c r="CF30" s="1153">
        <f t="shared" si="25"/>
        <v>0.14871421639980592</v>
      </c>
      <c r="CG30" s="1398">
        <f t="shared" si="25"/>
        <v>0.17573472197282577</v>
      </c>
      <c r="CH30" s="1153">
        <f t="shared" si="25"/>
        <v>0.16255364806866954</v>
      </c>
      <c r="CI30" s="1153">
        <f t="shared" si="25"/>
        <v>0.195559542498318</v>
      </c>
      <c r="CJ30" s="1153">
        <f t="shared" si="25"/>
        <v>0.18142695356738392</v>
      </c>
      <c r="CK30" s="1153">
        <f t="shared" si="25"/>
        <v>0.159331607437044</v>
      </c>
      <c r="CL30" s="1398">
        <f t="shared" si="25"/>
        <v>0.1754198563883449</v>
      </c>
      <c r="CM30" s="1153">
        <f>IF(ISERROR(CM29/CM$12),"-",CM29/CM$12)</f>
        <v>0.2474306269270298</v>
      </c>
      <c r="CN30" s="2215">
        <f>IF(ISERROR(CN29/CN$12),"-",CN29/CN$12)</f>
        <v>0.18527164685908321</v>
      </c>
      <c r="CO30" s="1153">
        <f>IF(ISERROR(CO29/CO$12),"-",CO29/CO$12)</f>
        <v>0.1766211604095563</v>
      </c>
      <c r="CP30" s="1153">
        <f>IF(ISERROR(CP29/CP$12),"-",CP29/CP$12)</f>
        <v>0.15395094044751631</v>
      </c>
      <c r="CQ30" s="1398">
        <f t="shared" si="25"/>
        <v>0.18857254650767957</v>
      </c>
      <c r="CR30" s="2215">
        <f>IF(ISERROR(CR29/CR$12),"-",CR29/CR$12)</f>
        <v>0.15459977166375588</v>
      </c>
      <c r="CS30" s="2215">
        <f>IF(ISERROR(CS29/CS$12),"-",CS29/CS$12)</f>
        <v>0.18301156517672668</v>
      </c>
      <c r="CT30" s="2215">
        <f>IF(ISERROR(CT29/CT$12),"-",CT29/CT$12)</f>
        <v>0.17987336775701232</v>
      </c>
      <c r="CU30" s="2215">
        <f>IF(ISERROR(CU29/CU$12),"-",CU29/CU$12)</f>
        <v>0.16591314812876576</v>
      </c>
      <c r="CV30" s="1398">
        <f t="shared" si="25"/>
        <v>0.17163352300144327</v>
      </c>
      <c r="CW30" s="1398">
        <f>IF(ISERROR(CW29/CW$12),"-",CW29/CW$12)</f>
        <v>0.17887673085983374</v>
      </c>
      <c r="CX30" s="1398">
        <f>IF(ISERROR(CX29/CX$12),"-",CX29/CX$12)</f>
        <v>0.18523923278725973</v>
      </c>
      <c r="CY30" s="1398">
        <f>IF(ISERROR(CY29/CY$12),"-",CY29/CY$12)</f>
        <v>0.19139663376932764</v>
      </c>
      <c r="CZ30" s="1153"/>
    </row>
    <row r="31" spans="1:105" s="1178" customFormat="1" ht="12" customHeight="1">
      <c r="A31" s="1156"/>
      <c r="B31" s="1156"/>
      <c r="C31" s="1393"/>
      <c r="D31" s="1393" t="s">
        <v>282</v>
      </c>
      <c r="E31" s="1418"/>
      <c r="F31" s="1418"/>
      <c r="G31" s="1418"/>
      <c r="H31" s="1418"/>
      <c r="I31" s="1418"/>
      <c r="J31" s="1418"/>
      <c r="K31" s="1418"/>
      <c r="L31" s="1418"/>
      <c r="M31" s="1418"/>
      <c r="N31" s="1418"/>
      <c r="O31" s="1418"/>
      <c r="P31" s="1418"/>
      <c r="Q31" s="1418"/>
      <c r="R31" s="1418"/>
      <c r="S31" s="1418"/>
      <c r="T31" s="1418"/>
      <c r="U31" s="1418"/>
      <c r="V31" s="1418"/>
      <c r="W31" s="1418"/>
      <c r="X31" s="1418"/>
      <c r="Y31" s="1418"/>
      <c r="Z31" s="1418"/>
      <c r="AA31" s="1418"/>
      <c r="AB31" s="1418"/>
      <c r="AC31" s="1418"/>
      <c r="AD31" s="1418"/>
      <c r="AE31" s="1418"/>
      <c r="AF31" s="1418"/>
      <c r="AG31" s="1418"/>
      <c r="AH31" s="1418"/>
      <c r="AI31" s="1418"/>
      <c r="AJ31" s="1418"/>
      <c r="AK31" s="1418"/>
      <c r="AL31" s="1418"/>
      <c r="AM31" s="1418"/>
      <c r="AN31" s="1418"/>
      <c r="AO31" s="1153"/>
      <c r="AP31" s="1153"/>
      <c r="AQ31" s="1153"/>
      <c r="AR31" s="1153"/>
      <c r="AS31" s="1398"/>
      <c r="AT31" s="1153">
        <f t="shared" ref="AT31:CL31" si="26">IF(ISERROR(AT29/AO29-1),"-",AT29/AO29-1)</f>
        <v>0.214046822742475</v>
      </c>
      <c r="AU31" s="1153">
        <f t="shared" si="26"/>
        <v>3.8983050847457568E-2</v>
      </c>
      <c r="AV31" s="1153">
        <f t="shared" si="26"/>
        <v>6.6790352504638273E-2</v>
      </c>
      <c r="AW31" s="1153">
        <f t="shared" si="26"/>
        <v>-0.2247474747474747</v>
      </c>
      <c r="AX31" s="1398">
        <f t="shared" si="26"/>
        <v>-6.6555740432612254E-3</v>
      </c>
      <c r="AY31" s="1153">
        <f t="shared" si="26"/>
        <v>-0.6831955922865014</v>
      </c>
      <c r="AZ31" s="1153">
        <f t="shared" si="26"/>
        <v>-0.48613376835236544</v>
      </c>
      <c r="BA31" s="1153">
        <f t="shared" si="26"/>
        <v>-0.19826086956521738</v>
      </c>
      <c r="BB31" s="1153">
        <f t="shared" si="26"/>
        <v>0.11400651465798051</v>
      </c>
      <c r="BC31" s="1398">
        <f t="shared" si="26"/>
        <v>-0.35845896147403689</v>
      </c>
      <c r="BD31" s="1153">
        <f t="shared" si="26"/>
        <v>1.2782608695652176</v>
      </c>
      <c r="BE31" s="1153">
        <f t="shared" si="26"/>
        <v>0.59047619047619038</v>
      </c>
      <c r="BF31" s="1153">
        <f t="shared" si="26"/>
        <v>0.22993492407809102</v>
      </c>
      <c r="BG31" s="1153">
        <f t="shared" si="26"/>
        <v>0.30409356725146197</v>
      </c>
      <c r="BH31" s="1398">
        <f t="shared" si="26"/>
        <v>0.55004351610095736</v>
      </c>
      <c r="BI31" s="1153">
        <f t="shared" si="26"/>
        <v>0.79770992366412208</v>
      </c>
      <c r="BJ31" s="1153">
        <f t="shared" si="26"/>
        <v>0.32734530938123751</v>
      </c>
      <c r="BK31" s="1153">
        <f t="shared" si="26"/>
        <v>8.4656084656084651E-2</v>
      </c>
      <c r="BL31" s="1153">
        <f t="shared" si="26"/>
        <v>3.3632286995515681E-2</v>
      </c>
      <c r="BM31" s="1398">
        <f t="shared" si="26"/>
        <v>0.24199887703537337</v>
      </c>
      <c r="BN31" s="1153">
        <f t="shared" si="26"/>
        <v>0.15498938428874731</v>
      </c>
      <c r="BO31" s="1153">
        <f t="shared" si="26"/>
        <v>0.18646616541353378</v>
      </c>
      <c r="BP31" s="1153">
        <f t="shared" si="26"/>
        <v>2.7642276422764178E-2</v>
      </c>
      <c r="BQ31" s="1153">
        <f t="shared" si="26"/>
        <v>-2.1691973969630851E-3</v>
      </c>
      <c r="BR31" s="1398">
        <f t="shared" si="26"/>
        <v>9.6292947558770381E-2</v>
      </c>
      <c r="BS31" s="1153">
        <f t="shared" si="26"/>
        <v>-4.4117647058823484E-2</v>
      </c>
      <c r="BT31" s="1153">
        <f t="shared" si="26"/>
        <v>-4.6894803548795938E-2</v>
      </c>
      <c r="BU31" s="1153">
        <f t="shared" si="26"/>
        <v>0.10126582278481022</v>
      </c>
      <c r="BV31" s="1153">
        <f t="shared" si="26"/>
        <v>0.35217391304347823</v>
      </c>
      <c r="BW31" s="1398">
        <f t="shared" si="26"/>
        <v>6.8041237113402042E-2</v>
      </c>
      <c r="BX31" s="1153">
        <f t="shared" si="26"/>
        <v>3.2692307692307798E-2</v>
      </c>
      <c r="BY31" s="1153">
        <f t="shared" si="26"/>
        <v>8.3776595744680771E-2</v>
      </c>
      <c r="BZ31" s="1153">
        <f t="shared" si="26"/>
        <v>0.15948275862068972</v>
      </c>
      <c r="CA31" s="1153">
        <f t="shared" si="26"/>
        <v>1.607717041800738E-3</v>
      </c>
      <c r="CB31" s="1398">
        <f t="shared" si="26"/>
        <v>7.4131274131274072E-2</v>
      </c>
      <c r="CC31" s="1153">
        <f t="shared" si="26"/>
        <v>0.35754189944134085</v>
      </c>
      <c r="CD31" s="1153">
        <f t="shared" si="26"/>
        <v>9.8159509202453421E-3</v>
      </c>
      <c r="CE31" s="1153">
        <f t="shared" si="26"/>
        <v>-4.4609665427509326E-2</v>
      </c>
      <c r="CF31" s="1153">
        <f t="shared" si="26"/>
        <v>-1.6051364365971099E-2</v>
      </c>
      <c r="CG31" s="1398">
        <f t="shared" si="26"/>
        <v>5.5355859094176951E-2</v>
      </c>
      <c r="CH31" s="1153">
        <f t="shared" si="26"/>
        <v>-0.16872427983539096</v>
      </c>
      <c r="CI31" s="1153">
        <f t="shared" si="26"/>
        <v>5.9538274605103192E-2</v>
      </c>
      <c r="CJ31" s="1153">
        <f t="shared" si="26"/>
        <v>3.8910505836575959E-2</v>
      </c>
      <c r="CK31" s="1153">
        <f t="shared" si="26"/>
        <v>0.10440456769983686</v>
      </c>
      <c r="CL31" s="1398">
        <f t="shared" si="26"/>
        <v>6.8119891008173727E-3</v>
      </c>
      <c r="CM31" s="1153">
        <f t="shared" ref="CM31:CV31" si="27">IF(ISERROR(CM29/CH29-1),"-",CM29/CH29-1)</f>
        <v>0.58910891089108919</v>
      </c>
      <c r="CN31" s="2215">
        <f t="shared" si="27"/>
        <v>1.1467889908256534E-3</v>
      </c>
      <c r="CO31" s="1153">
        <f t="shared" si="27"/>
        <v>3.3707865168539408E-2</v>
      </c>
      <c r="CP31" s="1153">
        <f t="shared" si="27"/>
        <v>3.4450432868826875E-2</v>
      </c>
      <c r="CQ31" s="1398">
        <f t="shared" si="27"/>
        <v>0.13813360725717061</v>
      </c>
      <c r="CR31" s="2215">
        <f t="shared" si="27"/>
        <v>-0.33062138821029863</v>
      </c>
      <c r="CS31" s="2215">
        <f t="shared" si="27"/>
        <v>4.8366468550994135E-2</v>
      </c>
      <c r="CT31" s="2215">
        <f t="shared" si="27"/>
        <v>8.0855609172142406E-2</v>
      </c>
      <c r="CU31" s="2215">
        <f t="shared" si="27"/>
        <v>0.11299851244529369</v>
      </c>
      <c r="CV31" s="1398">
        <f t="shared" si="27"/>
        <v>-3.8664711091244364E-2</v>
      </c>
      <c r="CW31" s="1398">
        <f>IF(ISERROR(CW29/CV29-1),"-",CW29/CV29-1)</f>
        <v>6.9731214040794853E-2</v>
      </c>
      <c r="CX31" s="1398">
        <f>IF(ISERROR(CX29/CW29-1),"-",CX29/CW29-1)</f>
        <v>5.7432016047139545E-2</v>
      </c>
      <c r="CY31" s="1398">
        <f>IF(ISERROR(CY29/CX29-1),"-",CY29/CX29-1)</f>
        <v>5.5114306850338801E-2</v>
      </c>
      <c r="CZ31" s="1153"/>
    </row>
    <row r="32" spans="1:105" s="1178" customFormat="1" ht="12" customHeight="1">
      <c r="A32" s="1156"/>
      <c r="B32" s="1156"/>
      <c r="C32" s="1393"/>
      <c r="D32" s="1442"/>
      <c r="E32" s="1156"/>
      <c r="F32" s="1156"/>
      <c r="G32" s="1156"/>
      <c r="H32" s="1156"/>
      <c r="I32" s="1156"/>
      <c r="J32" s="1156"/>
      <c r="K32" s="1156"/>
      <c r="L32" s="1156"/>
      <c r="M32" s="1156"/>
      <c r="N32" s="1156"/>
      <c r="O32" s="1156"/>
      <c r="P32" s="1156"/>
      <c r="Q32" s="1156"/>
      <c r="R32" s="1156"/>
      <c r="S32" s="1156"/>
      <c r="T32" s="1156"/>
      <c r="U32" s="1156"/>
      <c r="V32" s="1156"/>
      <c r="W32" s="1156"/>
      <c r="X32" s="1156"/>
      <c r="Y32" s="1156"/>
      <c r="Z32" s="1156"/>
      <c r="AA32" s="1156"/>
      <c r="AB32" s="1156"/>
      <c r="AC32" s="1156"/>
      <c r="AD32" s="1156"/>
      <c r="AE32" s="1156"/>
      <c r="AF32" s="1156"/>
      <c r="AG32" s="1156"/>
      <c r="AH32" s="1156"/>
      <c r="AI32" s="1156"/>
      <c r="AJ32" s="1156"/>
      <c r="AK32" s="1156"/>
      <c r="AL32" s="1156"/>
      <c r="AM32" s="1156"/>
      <c r="AN32" s="1156"/>
      <c r="AO32" s="1186"/>
      <c r="AP32" s="1186"/>
      <c r="AQ32" s="1186"/>
      <c r="AR32" s="1186"/>
      <c r="AS32" s="1235"/>
      <c r="AT32" s="1186"/>
      <c r="AU32" s="1186"/>
      <c r="AV32" s="1186"/>
      <c r="AW32" s="1186"/>
      <c r="AX32" s="1235"/>
      <c r="AY32" s="1186"/>
      <c r="AZ32" s="1186"/>
      <c r="BA32" s="1186"/>
      <c r="BB32" s="1186"/>
      <c r="BC32" s="1235"/>
      <c r="BD32" s="1186"/>
      <c r="BE32" s="1186"/>
      <c r="BF32" s="1186"/>
      <c r="BG32" s="1186"/>
      <c r="BH32" s="1235"/>
      <c r="BI32" s="1186"/>
      <c r="BJ32" s="1186"/>
      <c r="BK32" s="1186"/>
      <c r="BL32" s="1186"/>
      <c r="BM32" s="1235"/>
      <c r="BN32" s="1186"/>
      <c r="BO32" s="1186"/>
      <c r="BP32" s="1186"/>
      <c r="BQ32" s="1186"/>
      <c r="BR32" s="1235"/>
      <c r="BS32" s="1186"/>
      <c r="BT32" s="1186"/>
      <c r="BU32" s="1186"/>
      <c r="BV32" s="1186"/>
      <c r="BW32" s="1235"/>
      <c r="BX32" s="1186"/>
      <c r="BY32" s="1186"/>
      <c r="BZ32" s="1186"/>
      <c r="CA32" s="1186"/>
      <c r="CB32" s="1547"/>
      <c r="CC32" s="1186"/>
      <c r="CD32" s="1186"/>
      <c r="CE32" s="1186"/>
      <c r="CF32" s="1186"/>
      <c r="CG32" s="1547"/>
      <c r="CH32" s="1186"/>
      <c r="CI32" s="1186"/>
      <c r="CJ32" s="1186"/>
      <c r="CK32" s="1186"/>
      <c r="CL32" s="1547"/>
      <c r="CM32" s="1186"/>
      <c r="CN32" s="1186"/>
      <c r="CO32" s="1186"/>
      <c r="CP32" s="1186"/>
      <c r="CQ32" s="1547"/>
      <c r="CR32" s="1186"/>
      <c r="CS32" s="1186"/>
      <c r="CT32" s="1186"/>
      <c r="CU32" s="1186"/>
      <c r="CV32" s="1547"/>
      <c r="CW32" s="1547"/>
      <c r="CX32" s="1547"/>
      <c r="CY32" s="1547"/>
      <c r="CZ32" s="1200"/>
    </row>
    <row r="33" spans="1:110" s="1178" customFormat="1" ht="12" customHeight="1">
      <c r="A33" s="1393"/>
      <c r="B33" s="1393"/>
      <c r="C33" s="1427" t="s">
        <v>1012</v>
      </c>
      <c r="D33" s="1394"/>
      <c r="E33" s="1393"/>
      <c r="F33" s="1393"/>
      <c r="G33" s="1393"/>
      <c r="H33" s="1393"/>
      <c r="I33" s="1393"/>
      <c r="J33" s="1393"/>
      <c r="K33" s="1393"/>
      <c r="L33" s="1393"/>
      <c r="M33" s="1393"/>
      <c r="N33" s="1393"/>
      <c r="O33" s="1393"/>
      <c r="P33" s="1393"/>
      <c r="Q33" s="1393"/>
      <c r="R33" s="1393"/>
      <c r="S33" s="1393"/>
      <c r="T33" s="1393"/>
      <c r="U33" s="1393"/>
      <c r="V33" s="1393"/>
      <c r="W33" s="1393"/>
      <c r="X33" s="1393"/>
      <c r="Y33" s="1393"/>
      <c r="Z33" s="1393"/>
      <c r="AA33" s="1393"/>
      <c r="AB33" s="1393"/>
      <c r="AC33" s="1393"/>
      <c r="AD33" s="1393"/>
      <c r="AE33" s="1393"/>
      <c r="AF33" s="1393"/>
      <c r="AG33" s="1393"/>
      <c r="AH33" s="1393"/>
      <c r="AI33" s="1393"/>
      <c r="AJ33" s="1393"/>
      <c r="AK33" s="1393"/>
      <c r="AL33" s="1393"/>
      <c r="AM33" s="1393"/>
      <c r="AN33" s="1393"/>
      <c r="AO33" s="1616">
        <v>0</v>
      </c>
      <c r="AP33" s="1616">
        <v>0</v>
      </c>
      <c r="AQ33" s="1616">
        <v>0</v>
      </c>
      <c r="AR33" s="1616">
        <v>21</v>
      </c>
      <c r="AS33" s="1620">
        <v>21</v>
      </c>
      <c r="AT33" s="1616">
        <v>0</v>
      </c>
      <c r="AU33" s="1616">
        <v>0</v>
      </c>
      <c r="AV33" s="1616">
        <v>0</v>
      </c>
      <c r="AW33" s="1616">
        <v>67</v>
      </c>
      <c r="AX33" s="1620">
        <v>67</v>
      </c>
      <c r="AY33" s="1616">
        <v>0</v>
      </c>
      <c r="AZ33" s="1616">
        <v>0</v>
      </c>
      <c r="BA33" s="1616">
        <v>57</v>
      </c>
      <c r="BB33" s="1616">
        <v>27</v>
      </c>
      <c r="BC33" s="1620">
        <v>84</v>
      </c>
      <c r="BD33" s="1616">
        <v>0</v>
      </c>
      <c r="BE33" s="1616">
        <v>-47</v>
      </c>
      <c r="BF33" s="1616">
        <v>24</v>
      </c>
      <c r="BG33" s="1616">
        <v>18</v>
      </c>
      <c r="BH33" s="1620">
        <v>-5</v>
      </c>
      <c r="BI33" s="1616">
        <v>0</v>
      </c>
      <c r="BJ33" s="1616">
        <v>0</v>
      </c>
      <c r="BK33" s="1616">
        <f>28-20</f>
        <v>8</v>
      </c>
      <c r="BL33" s="1616">
        <f>81-46</f>
        <v>35</v>
      </c>
      <c r="BM33" s="1620">
        <f>SUM(BI33:BL33)</f>
        <v>43</v>
      </c>
      <c r="BN33" s="1616">
        <v>112</v>
      </c>
      <c r="BO33" s="1616">
        <v>110</v>
      </c>
      <c r="BP33" s="1616">
        <v>0</v>
      </c>
      <c r="BQ33" s="1616">
        <v>-65</v>
      </c>
      <c r="BR33" s="1620">
        <f>SUM(BN33:BQ33)</f>
        <v>157</v>
      </c>
      <c r="BS33" s="1619">
        <v>38</v>
      </c>
      <c r="BT33" s="1615">
        <v>0</v>
      </c>
      <c r="BU33" s="1615"/>
      <c r="BV33" s="1619">
        <v>17</v>
      </c>
      <c r="BW33" s="1618">
        <f>SUM(BS33:BV33)</f>
        <v>55</v>
      </c>
      <c r="BX33" s="1616">
        <v>0</v>
      </c>
      <c r="BY33" s="1616">
        <v>0</v>
      </c>
      <c r="BZ33" s="1615">
        <v>30</v>
      </c>
      <c r="CA33" s="1615">
        <v>0</v>
      </c>
      <c r="CB33" s="1617">
        <f>SUM(BX33:CA33)</f>
        <v>30</v>
      </c>
      <c r="CC33" s="1616">
        <v>126</v>
      </c>
      <c r="CD33" s="1616">
        <v>0</v>
      </c>
      <c r="CE33" s="1615">
        <v>0</v>
      </c>
      <c r="CF33" s="1934">
        <v>-5</v>
      </c>
      <c r="CG33" s="1614">
        <f>SUM(CC33:CF33)</f>
        <v>121</v>
      </c>
      <c r="CH33" s="1616">
        <v>0</v>
      </c>
      <c r="CI33" s="1934">
        <v>-12</v>
      </c>
      <c r="CJ33" s="1876">
        <v>-11</v>
      </c>
      <c r="CK33" s="1876">
        <v>-9</v>
      </c>
      <c r="CL33" s="1614">
        <f>SUM(CH33:CK33)</f>
        <v>-32</v>
      </c>
      <c r="CM33" s="1934">
        <v>379</v>
      </c>
      <c r="CN33" s="1615">
        <v>0</v>
      </c>
      <c r="CO33" s="1615">
        <v>0</v>
      </c>
      <c r="CP33" s="1615">
        <v>0</v>
      </c>
      <c r="CQ33" s="1614">
        <f>SUM(CM33:CP33)</f>
        <v>379</v>
      </c>
      <c r="CR33" s="1616"/>
      <c r="CS33" s="1615">
        <v>0</v>
      </c>
      <c r="CT33" s="1615">
        <v>0</v>
      </c>
      <c r="CU33" s="1615">
        <v>0</v>
      </c>
      <c r="CV33" s="1614">
        <v>0</v>
      </c>
      <c r="CW33" s="1614">
        <v>0</v>
      </c>
      <c r="CX33" s="1614">
        <v>0</v>
      </c>
      <c r="CY33" s="1614">
        <v>0</v>
      </c>
      <c r="CZ33" s="1969"/>
    </row>
    <row r="34" spans="1:110" s="1178" customFormat="1" ht="12" customHeight="1">
      <c r="A34" s="1156"/>
      <c r="B34" s="1156"/>
      <c r="C34" s="1393"/>
      <c r="D34" s="1393"/>
      <c r="E34" s="1418"/>
      <c r="F34" s="1418"/>
      <c r="G34" s="1418"/>
      <c r="H34" s="1418"/>
      <c r="I34" s="1418"/>
      <c r="J34" s="1418"/>
      <c r="K34" s="1418"/>
      <c r="L34" s="1418"/>
      <c r="M34" s="1418"/>
      <c r="N34" s="1418"/>
      <c r="O34" s="1418"/>
      <c r="P34" s="1418"/>
      <c r="Q34" s="1418"/>
      <c r="R34" s="1418"/>
      <c r="S34" s="1418"/>
      <c r="T34" s="1418"/>
      <c r="U34" s="1418"/>
      <c r="V34" s="1418"/>
      <c r="W34" s="1418"/>
      <c r="X34" s="1418"/>
      <c r="Y34" s="1418"/>
      <c r="Z34" s="1418"/>
      <c r="AA34" s="1418"/>
      <c r="AB34" s="1418"/>
      <c r="AC34" s="1418"/>
      <c r="AD34" s="1418"/>
      <c r="AE34" s="1418"/>
      <c r="AF34" s="1418"/>
      <c r="AG34" s="1418"/>
      <c r="AH34" s="1418"/>
      <c r="AI34" s="1418"/>
      <c r="AJ34" s="1418"/>
      <c r="AK34" s="1418"/>
      <c r="AL34" s="1418"/>
      <c r="AM34" s="1418"/>
      <c r="AN34" s="1418"/>
      <c r="AO34" s="1413"/>
      <c r="AP34" s="1413"/>
      <c r="AQ34" s="1413"/>
      <c r="AR34" s="1413"/>
      <c r="AS34" s="1415"/>
      <c r="AT34" s="1413"/>
      <c r="AU34" s="1413"/>
      <c r="AV34" s="1413"/>
      <c r="AW34" s="1413"/>
      <c r="AX34" s="1415"/>
      <c r="AY34" s="1413"/>
      <c r="AZ34" s="1413"/>
      <c r="BA34" s="1413"/>
      <c r="BB34" s="1413"/>
      <c r="BC34" s="1415"/>
      <c r="BD34" s="1413"/>
      <c r="BE34" s="1413"/>
      <c r="BF34" s="1413"/>
      <c r="BG34" s="1413"/>
      <c r="BH34" s="1415"/>
      <c r="BI34" s="1413"/>
      <c r="BJ34" s="1413"/>
      <c r="BK34" s="1413"/>
      <c r="BL34" s="1413"/>
      <c r="BM34" s="1415"/>
      <c r="BN34" s="1413"/>
      <c r="BO34" s="1413"/>
      <c r="BP34" s="1413"/>
      <c r="BQ34" s="1413"/>
      <c r="BR34" s="1415"/>
      <c r="BS34" s="1416"/>
      <c r="BT34" s="1413"/>
      <c r="BU34" s="1413"/>
      <c r="BV34" s="1413"/>
      <c r="BW34" s="1444"/>
      <c r="BX34" s="1413"/>
      <c r="BY34" s="1413"/>
      <c r="BZ34" s="1413"/>
      <c r="CA34" s="1413"/>
      <c r="CB34" s="1613">
        <f>CB35-BW35</f>
        <v>236</v>
      </c>
      <c r="CC34" s="1612"/>
      <c r="CD34" s="1612"/>
      <c r="CE34" s="1612"/>
      <c r="CF34" s="1612"/>
      <c r="CG34" s="1410">
        <f>+CG35-CB35</f>
        <v>55</v>
      </c>
      <c r="CH34" s="1612"/>
      <c r="CI34" s="1612"/>
      <c r="CJ34" s="1612"/>
      <c r="CK34" s="1612"/>
      <c r="CL34" s="1611">
        <f>CL35-CG35</f>
        <v>130</v>
      </c>
      <c r="CM34" s="1632"/>
      <c r="CN34" s="1612"/>
      <c r="CO34" s="1612"/>
      <c r="CP34" s="1612"/>
      <c r="CQ34" s="1611">
        <f>CQ35-CL35</f>
        <v>59.322943052196024</v>
      </c>
      <c r="CR34" s="1632"/>
      <c r="CS34" s="1612"/>
      <c r="CT34" s="1612"/>
      <c r="CU34" s="1612"/>
      <c r="CV34" s="1611">
        <f>CV35-CQ35</f>
        <v>248.91942538924195</v>
      </c>
      <c r="CW34" s="1611">
        <f>CW35-CV35</f>
        <v>225.52764685359716</v>
      </c>
      <c r="CX34" s="1611">
        <f>CX35-CW35</f>
        <v>198.70156703783687</v>
      </c>
      <c r="CY34" s="1611">
        <f>CY35-CX35</f>
        <v>201.63412539193814</v>
      </c>
      <c r="CZ34" s="1741"/>
    </row>
    <row r="35" spans="1:110" s="1178" customFormat="1" ht="12" customHeight="1" thickBot="1">
      <c r="A35" s="1186"/>
      <c r="B35" s="1186"/>
      <c r="C35" s="1409" t="s">
        <v>1011</v>
      </c>
      <c r="D35" s="1408"/>
      <c r="E35" s="1407"/>
      <c r="F35" s="1407"/>
      <c r="G35" s="1407"/>
      <c r="H35" s="1407"/>
      <c r="I35" s="1407"/>
      <c r="J35" s="1407"/>
      <c r="K35" s="1407"/>
      <c r="L35" s="1407"/>
      <c r="M35" s="1407"/>
      <c r="N35" s="1407"/>
      <c r="O35" s="1407"/>
      <c r="P35" s="1407"/>
      <c r="Q35" s="1407"/>
      <c r="R35" s="1407"/>
      <c r="S35" s="1407"/>
      <c r="T35" s="1407"/>
      <c r="U35" s="1407"/>
      <c r="V35" s="1407"/>
      <c r="W35" s="1407"/>
      <c r="X35" s="1407"/>
      <c r="Y35" s="1407"/>
      <c r="Z35" s="1407"/>
      <c r="AA35" s="1407"/>
      <c r="AB35" s="1407"/>
      <c r="AC35" s="1407"/>
      <c r="AD35" s="1407"/>
      <c r="AE35" s="1407"/>
      <c r="AF35" s="1407"/>
      <c r="AG35" s="1407"/>
      <c r="AH35" s="1407"/>
      <c r="AI35" s="1407"/>
      <c r="AJ35" s="1407"/>
      <c r="AK35" s="1407"/>
      <c r="AL35" s="1407"/>
      <c r="AM35" s="1407"/>
      <c r="AN35" s="1407"/>
      <c r="AO35" s="1403">
        <f t="shared" ref="AO35:BV35" si="28">AO29+AO27-AO33</f>
        <v>313</v>
      </c>
      <c r="AP35" s="1403">
        <f t="shared" si="28"/>
        <v>595</v>
      </c>
      <c r="AQ35" s="1403">
        <f t="shared" si="28"/>
        <v>556</v>
      </c>
      <c r="AR35" s="1403">
        <f t="shared" si="28"/>
        <v>411</v>
      </c>
      <c r="AS35" s="1400">
        <f t="shared" si="28"/>
        <v>1854</v>
      </c>
      <c r="AT35" s="1403">
        <f t="shared" si="28"/>
        <v>380</v>
      </c>
      <c r="AU35" s="1403">
        <f t="shared" si="28"/>
        <v>686</v>
      </c>
      <c r="AV35" s="1403">
        <f t="shared" si="28"/>
        <v>609</v>
      </c>
      <c r="AW35" s="1403">
        <f t="shared" si="28"/>
        <v>319</v>
      </c>
      <c r="AX35" s="1400">
        <f t="shared" si="28"/>
        <v>1927</v>
      </c>
      <c r="AY35" s="1403">
        <f t="shared" si="28"/>
        <v>170</v>
      </c>
      <c r="AZ35" s="1403">
        <f t="shared" si="28"/>
        <v>456</v>
      </c>
      <c r="BA35" s="1403">
        <f t="shared" si="28"/>
        <v>454</v>
      </c>
      <c r="BB35" s="1403">
        <f t="shared" si="28"/>
        <v>391</v>
      </c>
      <c r="BC35" s="1400">
        <f t="shared" si="28"/>
        <v>1387</v>
      </c>
      <c r="BD35" s="1403">
        <f t="shared" si="28"/>
        <v>290</v>
      </c>
      <c r="BE35" s="1403">
        <f t="shared" si="28"/>
        <v>582</v>
      </c>
      <c r="BF35" s="1403">
        <f t="shared" si="28"/>
        <v>566</v>
      </c>
      <c r="BG35" s="1403">
        <f t="shared" si="28"/>
        <v>496</v>
      </c>
      <c r="BH35" s="1400">
        <f t="shared" si="28"/>
        <v>1939</v>
      </c>
      <c r="BI35" s="1403">
        <f t="shared" si="28"/>
        <v>492</v>
      </c>
      <c r="BJ35" s="1403">
        <f t="shared" si="28"/>
        <v>689</v>
      </c>
      <c r="BK35" s="1403">
        <f t="shared" si="28"/>
        <v>627</v>
      </c>
      <c r="BL35" s="1403">
        <f t="shared" si="28"/>
        <v>487</v>
      </c>
      <c r="BM35" s="1400">
        <f t="shared" si="28"/>
        <v>2295</v>
      </c>
      <c r="BN35" s="1403">
        <f t="shared" si="28"/>
        <v>467</v>
      </c>
      <c r="BO35" s="1403">
        <f t="shared" si="28"/>
        <v>716</v>
      </c>
      <c r="BP35" s="1403">
        <f t="shared" si="28"/>
        <v>658</v>
      </c>
      <c r="BQ35" s="1403">
        <f t="shared" si="28"/>
        <v>570</v>
      </c>
      <c r="BR35" s="1400">
        <f t="shared" si="28"/>
        <v>2411</v>
      </c>
      <c r="BS35" s="1403">
        <f t="shared" si="28"/>
        <v>504</v>
      </c>
      <c r="BT35" s="1403">
        <f t="shared" si="28"/>
        <v>768</v>
      </c>
      <c r="BU35" s="1403">
        <f t="shared" si="28"/>
        <v>724</v>
      </c>
      <c r="BV35" s="1403">
        <f t="shared" si="28"/>
        <v>636</v>
      </c>
      <c r="BW35" s="1400">
        <f>SUM(BS35:BV35)</f>
        <v>2632</v>
      </c>
      <c r="BX35" s="1403">
        <f>BX29+BX27-BX33</f>
        <v>580</v>
      </c>
      <c r="BY35" s="1403">
        <f>BY29+BY27-BY33</f>
        <v>840</v>
      </c>
      <c r="BZ35" s="1403">
        <f>BZ29+BZ27-BZ33</f>
        <v>791</v>
      </c>
      <c r="CA35" s="1403">
        <f>CA29+CA27-CA33</f>
        <v>657</v>
      </c>
      <c r="CB35" s="1607">
        <f>SUM(BX35:CA35)</f>
        <v>2868</v>
      </c>
      <c r="CC35" s="1403">
        <f>CC29+CC27-CC33</f>
        <v>627</v>
      </c>
      <c r="CD35" s="1403">
        <f>CD29+CD27-CD33</f>
        <v>851</v>
      </c>
      <c r="CE35" s="1403">
        <f>CE29+CE27-CE33</f>
        <v>786</v>
      </c>
      <c r="CF35" s="1403">
        <f>CF29+CF27-CF33</f>
        <v>659</v>
      </c>
      <c r="CG35" s="1607">
        <f>SUM(CC35:CF35)</f>
        <v>2923</v>
      </c>
      <c r="CH35" s="1403">
        <f>CH29+CH27-CH33</f>
        <v>634</v>
      </c>
      <c r="CI35" s="1403">
        <f>CI29+CI27-CI33</f>
        <v>909</v>
      </c>
      <c r="CJ35" s="1870">
        <v>830</v>
      </c>
      <c r="CK35" s="1870">
        <v>680</v>
      </c>
      <c r="CL35" s="1607">
        <f>SUM(CH35:CK35)</f>
        <v>3053</v>
      </c>
      <c r="CM35" s="1870">
        <v>607</v>
      </c>
      <c r="CN35" s="1870">
        <v>891</v>
      </c>
      <c r="CO35" s="1870">
        <v>871</v>
      </c>
      <c r="CP35" s="1608">
        <f>CK12*CP16*CP124+CK12*CP15*CP126+CK35+CP123+($CQ$173-$CL$173)/4</f>
        <v>743.3229430521958</v>
      </c>
      <c r="CQ35" s="1607">
        <f>SUM(CM35:CP35)</f>
        <v>3112.322943052196</v>
      </c>
      <c r="CR35" s="1608">
        <f>CM12*CR16*CR124+CM12*CR15*CR126+CM35+CR123</f>
        <v>676.36160315348241</v>
      </c>
      <c r="CS35" s="1608">
        <f>CN12*CS16*CS124+CN12*CS15*CS126+CN35+CS123+($CQ$173-$CL$173)/4</f>
        <v>946.97392704501783</v>
      </c>
      <c r="CT35" s="1608">
        <f>CO12*CT16*CT124+CO12*CT15*CT126+CO35+CT123+($CQ$173-$CL$173)/4</f>
        <v>926.69844439453391</v>
      </c>
      <c r="CU35" s="1608">
        <f>CP12*CU16*CU124+CP12*CU15*CU126+CP35+CU123+($CQ$173-$CL$173)/4</f>
        <v>811.20839384840406</v>
      </c>
      <c r="CV35" s="1607">
        <f>SUM(CR35:CU35)</f>
        <v>3361.242368441438</v>
      </c>
      <c r="CW35" s="1607">
        <f>(CW12-CV12)*CW37+CV35+CW118</f>
        <v>3586.7700152950351</v>
      </c>
      <c r="CX35" s="1607">
        <f>(CX12-CW12)*CX37+CW35+CX118</f>
        <v>3785.471582332872</v>
      </c>
      <c r="CY35" s="1607">
        <f>(CY12-CX12)*CY37+CX35+CY118</f>
        <v>3987.1057077248101</v>
      </c>
      <c r="CZ35" s="1967"/>
      <c r="DA35" s="1234" t="s">
        <v>1343</v>
      </c>
      <c r="DB35" s="1609" t="s">
        <v>154</v>
      </c>
      <c r="DC35" s="1609" t="s">
        <v>153</v>
      </c>
      <c r="DD35" s="1609" t="s">
        <v>1308</v>
      </c>
      <c r="DE35" s="1234">
        <v>2017</v>
      </c>
      <c r="DF35" s="1234">
        <v>2018</v>
      </c>
    </row>
    <row r="36" spans="1:110" s="1178" customFormat="1" ht="12" thickTop="1">
      <c r="A36" s="1390"/>
      <c r="B36" s="1390"/>
      <c r="C36" s="1605"/>
      <c r="D36" s="1605" t="s">
        <v>293</v>
      </c>
      <c r="E36" s="1390"/>
      <c r="F36" s="1390"/>
      <c r="G36" s="1390"/>
      <c r="H36" s="1390"/>
      <c r="I36" s="1390"/>
      <c r="J36" s="1390"/>
      <c r="K36" s="1390"/>
      <c r="L36" s="1390"/>
      <c r="M36" s="1390"/>
      <c r="N36" s="1390"/>
      <c r="O36" s="1390"/>
      <c r="P36" s="1390"/>
      <c r="Q36" s="1390"/>
      <c r="R36" s="1390"/>
      <c r="S36" s="1390"/>
      <c r="T36" s="1390"/>
      <c r="U36" s="1390"/>
      <c r="V36" s="1390"/>
      <c r="W36" s="1390"/>
      <c r="X36" s="1390"/>
      <c r="Y36" s="1390"/>
      <c r="Z36" s="1390"/>
      <c r="AA36" s="1390"/>
      <c r="AB36" s="1390"/>
      <c r="AC36" s="1390"/>
      <c r="AD36" s="1390"/>
      <c r="AE36" s="1390"/>
      <c r="AF36" s="1390"/>
      <c r="AG36" s="1390"/>
      <c r="AH36" s="1390"/>
      <c r="AI36" s="1390"/>
      <c r="AJ36" s="1390"/>
      <c r="AK36" s="1390"/>
      <c r="AL36" s="1390"/>
      <c r="AM36" s="1390"/>
      <c r="AN36" s="1390"/>
      <c r="AO36" s="1390"/>
      <c r="AP36" s="1390"/>
      <c r="AQ36" s="1390"/>
      <c r="AR36" s="1390"/>
      <c r="AS36" s="1388"/>
      <c r="AT36" s="1390">
        <f t="shared" ref="AT36:BY36" si="29">(AT35)/(AT12)</f>
        <v>7.589374875174755E-2</v>
      </c>
      <c r="AU36" s="1390">
        <f t="shared" si="29"/>
        <v>0.1125697407285855</v>
      </c>
      <c r="AV36" s="1390">
        <f t="shared" si="29"/>
        <v>0.10990795885219275</v>
      </c>
      <c r="AW36" s="1390">
        <f t="shared" si="29"/>
        <v>6.696053736356003E-2</v>
      </c>
      <c r="AX36" s="1388">
        <f t="shared" si="29"/>
        <v>9.0021489302064842E-2</v>
      </c>
      <c r="AY36" s="1390">
        <f t="shared" si="29"/>
        <v>4.5080880403076104E-2</v>
      </c>
      <c r="AZ36" s="1390">
        <f t="shared" si="29"/>
        <v>0.10326086956521739</v>
      </c>
      <c r="BA36" s="1390">
        <f t="shared" si="29"/>
        <v>0.10516562427611767</v>
      </c>
      <c r="BB36" s="1390">
        <f t="shared" si="29"/>
        <v>9.0216889709275494E-2</v>
      </c>
      <c r="BC36" s="1388">
        <f t="shared" si="29"/>
        <v>8.237320346834541E-2</v>
      </c>
      <c r="BD36" s="1390">
        <f t="shared" si="29"/>
        <v>7.4703760947964964E-2</v>
      </c>
      <c r="BE36" s="1390">
        <f t="shared" si="29"/>
        <v>0.12361937128292269</v>
      </c>
      <c r="BF36" s="1390">
        <f t="shared" si="29"/>
        <v>0.12323100370128456</v>
      </c>
      <c r="BG36" s="1390">
        <f t="shared" si="29"/>
        <v>0.10568932452588962</v>
      </c>
      <c r="BH36" s="1388">
        <f t="shared" si="29"/>
        <v>0.10846945625419557</v>
      </c>
      <c r="BI36" s="1390">
        <f t="shared" si="29"/>
        <v>0.1119963578420214</v>
      </c>
      <c r="BJ36" s="1390">
        <f t="shared" si="29"/>
        <v>0.13404669260700389</v>
      </c>
      <c r="BK36" s="1390">
        <f t="shared" si="29"/>
        <v>0.12741312741312741</v>
      </c>
      <c r="BL36" s="1390">
        <f t="shared" si="29"/>
        <v>0.11043083900226758</v>
      </c>
      <c r="BM36" s="1388">
        <f t="shared" si="29"/>
        <v>0.12166030534351145</v>
      </c>
      <c r="BN36" s="451">
        <f t="shared" si="29"/>
        <v>0.11357003891050584</v>
      </c>
      <c r="BO36" s="451">
        <f t="shared" si="29"/>
        <v>0.15660542432195976</v>
      </c>
      <c r="BP36" s="451">
        <f t="shared" si="29"/>
        <v>0.15449636064803945</v>
      </c>
      <c r="BQ36" s="451">
        <f t="shared" si="29"/>
        <v>0.13744875813841331</v>
      </c>
      <c r="BR36" s="1388">
        <f t="shared" si="29"/>
        <v>0.14107665301345818</v>
      </c>
      <c r="BS36" s="451">
        <f t="shared" si="29"/>
        <v>0.13135261923377639</v>
      </c>
      <c r="BT36" s="451">
        <f t="shared" si="29"/>
        <v>0.16905128769535549</v>
      </c>
      <c r="BU36" s="451">
        <f t="shared" si="29"/>
        <v>0.17087561954212888</v>
      </c>
      <c r="BV36" s="451">
        <f t="shared" si="29"/>
        <v>0.15171755725190839</v>
      </c>
      <c r="BW36" s="1388">
        <f t="shared" si="29"/>
        <v>0.15658278303289905</v>
      </c>
      <c r="BX36" s="451">
        <f t="shared" si="29"/>
        <v>0.15061023110880292</v>
      </c>
      <c r="BY36" s="451">
        <f t="shared" si="29"/>
        <v>0.18965906525174983</v>
      </c>
      <c r="BZ36" s="451">
        <f t="shared" ref="BZ36:CW36" si="30">(BZ35)/(BZ12)</f>
        <v>0.18179728797977476</v>
      </c>
      <c r="CA36" s="451">
        <f t="shared" si="30"/>
        <v>0.15672709923664122</v>
      </c>
      <c r="CB36" s="1480">
        <f t="shared" si="30"/>
        <v>0.1704808892587529</v>
      </c>
      <c r="CC36" s="451">
        <f t="shared" si="30"/>
        <v>0.16277258566978192</v>
      </c>
      <c r="CD36" s="451">
        <f t="shared" si="30"/>
        <v>0.19106421194431972</v>
      </c>
      <c r="CE36" s="451">
        <f t="shared" si="30"/>
        <v>0.18368777751811172</v>
      </c>
      <c r="CF36" s="451">
        <f t="shared" si="30"/>
        <v>0.1598738476467734</v>
      </c>
      <c r="CG36" s="1398">
        <f t="shared" si="30"/>
        <v>0.1749566050158616</v>
      </c>
      <c r="CH36" s="451">
        <f t="shared" si="30"/>
        <v>0.17006437768240343</v>
      </c>
      <c r="CI36" s="451">
        <f t="shared" si="30"/>
        <v>0.20385736712267324</v>
      </c>
      <c r="CJ36" s="451">
        <f t="shared" si="30"/>
        <v>0.18799546998867497</v>
      </c>
      <c r="CK36" s="451">
        <f t="shared" si="30"/>
        <v>0.16003765591903976</v>
      </c>
      <c r="CL36" s="1480">
        <f t="shared" si="30"/>
        <v>0.18117619132395704</v>
      </c>
      <c r="CM36" s="451">
        <f t="shared" si="30"/>
        <v>0.15596094552929085</v>
      </c>
      <c r="CN36" s="451">
        <f t="shared" si="30"/>
        <v>0.18909168081494057</v>
      </c>
      <c r="CO36" s="451">
        <f t="shared" si="30"/>
        <v>0.18579351535836178</v>
      </c>
      <c r="CP36" s="451">
        <f t="shared" si="30"/>
        <v>0.16340356584686697</v>
      </c>
      <c r="CQ36" s="1398">
        <f t="shared" si="30"/>
        <v>0.17444777830786351</v>
      </c>
      <c r="CR36" s="451">
        <f>(CR35)/(CR12)</f>
        <v>0.16221450079104949</v>
      </c>
      <c r="CS36" s="451">
        <f>(CS35)/(CS12)</f>
        <v>0.18936041273485574</v>
      </c>
      <c r="CT36" s="451">
        <f>(CT35)/(CT12)</f>
        <v>0.18625471794769155</v>
      </c>
      <c r="CU36" s="451">
        <f>(CU35)/(CU12)</f>
        <v>0.1726713567703842</v>
      </c>
      <c r="CV36" s="1398">
        <f t="shared" ref="CV36" si="31">(CV35)/(CV12)</f>
        <v>0.17837310987776242</v>
      </c>
      <c r="CW36" s="1480">
        <f t="shared" si="30"/>
        <v>0.1854428739036689</v>
      </c>
      <c r="CX36" s="1480">
        <f>(CX35)/(CX12)</f>
        <v>0.19166961827326118</v>
      </c>
      <c r="CY36" s="1480">
        <f>(CY35)/(CY12)</f>
        <v>0.19769370808002876</v>
      </c>
      <c r="CZ36" s="1431"/>
      <c r="DA36" s="1178" t="s">
        <v>1272</v>
      </c>
      <c r="DB36" s="1178">
        <v>50</v>
      </c>
      <c r="DC36" s="1178">
        <v>100</v>
      </c>
      <c r="DD36" s="1855">
        <f>DD42-SUM(DD37:DD41)</f>
        <v>3.6029448734064573</v>
      </c>
      <c r="DE36" s="2242">
        <f>DE42-SUM(DE37:DE41)</f>
        <v>49.889695752005935</v>
      </c>
      <c r="DF36" s="2242">
        <f>CV16*CQ12*CU124</f>
        <v>109.54995079620818</v>
      </c>
    </row>
    <row r="37" spans="1:110" s="1178" customFormat="1" ht="11.25">
      <c r="A37" s="1390"/>
      <c r="B37" s="1390"/>
      <c r="C37" s="1605"/>
      <c r="D37" s="1605" t="s">
        <v>1010</v>
      </c>
      <c r="E37" s="1390"/>
      <c r="F37" s="1390"/>
      <c r="G37" s="1390"/>
      <c r="H37" s="1390"/>
      <c r="I37" s="1390"/>
      <c r="J37" s="1390"/>
      <c r="K37" s="1390"/>
      <c r="L37" s="1390"/>
      <c r="M37" s="1390"/>
      <c r="N37" s="1390"/>
      <c r="O37" s="1390"/>
      <c r="P37" s="1390"/>
      <c r="Q37" s="1390"/>
      <c r="R37" s="1390"/>
      <c r="S37" s="1390"/>
      <c r="T37" s="1390"/>
      <c r="U37" s="1390"/>
      <c r="V37" s="1390"/>
      <c r="W37" s="1390"/>
      <c r="X37" s="1390"/>
      <c r="Y37" s="1390"/>
      <c r="Z37" s="1390"/>
      <c r="AA37" s="1390"/>
      <c r="AB37" s="1390"/>
      <c r="AC37" s="1390"/>
      <c r="AD37" s="1390"/>
      <c r="AE37" s="1390"/>
      <c r="AF37" s="1390"/>
      <c r="AG37" s="1390"/>
      <c r="AH37" s="1390"/>
      <c r="AI37" s="1390"/>
      <c r="AJ37" s="1390"/>
      <c r="AK37" s="1390"/>
      <c r="AL37" s="1390"/>
      <c r="AM37" s="1390"/>
      <c r="AN37" s="1390"/>
      <c r="AO37" s="1390"/>
      <c r="AP37" s="1390"/>
      <c r="AQ37" s="1390"/>
      <c r="AR37" s="1390"/>
      <c r="AS37" s="1388"/>
      <c r="AT37" s="1390"/>
      <c r="AU37" s="1390"/>
      <c r="AV37" s="1390"/>
      <c r="AW37" s="1390"/>
      <c r="AX37" s="1388"/>
      <c r="AY37" s="1390">
        <f t="shared" ref="AY37:BZ37" si="32">(AY35-AT35)/(AY12-AT12)</f>
        <v>0.16990291262135923</v>
      </c>
      <c r="AZ37" s="1390">
        <f t="shared" si="32"/>
        <v>0.13706793802145412</v>
      </c>
      <c r="BA37" s="1390">
        <f t="shared" si="32"/>
        <v>0.12663398692810457</v>
      </c>
      <c r="BB37" s="1390">
        <f t="shared" si="32"/>
        <v>-0.16744186046511628</v>
      </c>
      <c r="BC37" s="1388">
        <f t="shared" si="32"/>
        <v>0.11821366024518389</v>
      </c>
      <c r="BD37" s="1390">
        <f t="shared" si="32"/>
        <v>1.0810810810810811</v>
      </c>
      <c r="BE37" s="1390">
        <f t="shared" si="32"/>
        <v>0.4315068493150685</v>
      </c>
      <c r="BF37" s="1390">
        <f t="shared" si="32"/>
        <v>0.40579710144927539</v>
      </c>
      <c r="BG37" s="1390">
        <f t="shared" si="32"/>
        <v>0.29247910863509752</v>
      </c>
      <c r="BH37" s="1388">
        <f t="shared" si="32"/>
        <v>0.53179190751445082</v>
      </c>
      <c r="BI37" s="1390">
        <f t="shared" si="32"/>
        <v>0.3953033268101761</v>
      </c>
      <c r="BJ37" s="1390">
        <f t="shared" si="32"/>
        <v>0.24768518518518517</v>
      </c>
      <c r="BK37" s="1390">
        <f t="shared" si="32"/>
        <v>0.18597560975609756</v>
      </c>
      <c r="BL37" s="1390">
        <f t="shared" si="32"/>
        <v>3.1802120141342753E-2</v>
      </c>
      <c r="BM37" s="1388">
        <f t="shared" si="32"/>
        <v>0.36032388663967613</v>
      </c>
      <c r="BN37" s="1390">
        <f t="shared" si="32"/>
        <v>8.8967971530249115E-2</v>
      </c>
      <c r="BO37" s="1390">
        <f t="shared" si="32"/>
        <v>-4.7535211267605633E-2</v>
      </c>
      <c r="BP37" s="1390">
        <f t="shared" si="32"/>
        <v>-4.6827794561933533E-2</v>
      </c>
      <c r="BQ37" s="1390">
        <f t="shared" si="32"/>
        <v>-0.31558935361216728</v>
      </c>
      <c r="BR37" s="1388">
        <f t="shared" si="32"/>
        <v>-6.538895152198422E-2</v>
      </c>
      <c r="BS37" s="451">
        <f t="shared" si="32"/>
        <v>-0.13454545454545455</v>
      </c>
      <c r="BT37" s="451">
        <f t="shared" si="32"/>
        <v>-1.7931034482758621</v>
      </c>
      <c r="BU37" s="451">
        <f t="shared" si="32"/>
        <v>-3</v>
      </c>
      <c r="BV37" s="451">
        <f t="shared" si="32"/>
        <v>1.4666666666666666</v>
      </c>
      <c r="BW37" s="1388">
        <f t="shared" si="32"/>
        <v>-0.78647686832740216</v>
      </c>
      <c r="BX37" s="451">
        <f t="shared" si="32"/>
        <v>5.4285714285714288</v>
      </c>
      <c r="BY37" s="451">
        <f t="shared" si="32"/>
        <v>-0.63157894736842102</v>
      </c>
      <c r="BZ37" s="451">
        <f t="shared" si="32"/>
        <v>0.58771929824561409</v>
      </c>
      <c r="CA37" s="1606" t="s">
        <v>284</v>
      </c>
      <c r="CB37" s="1480">
        <f t="shared" ref="CB37:CQ37" si="33">(CB35-BW35)/(CB12-BW12)</f>
        <v>16.857142857142858</v>
      </c>
      <c r="CC37" s="451">
        <f t="shared" si="33"/>
        <v>47</v>
      </c>
      <c r="CD37" s="451">
        <f t="shared" si="33"/>
        <v>0.44</v>
      </c>
      <c r="CE37" s="451">
        <f t="shared" si="33"/>
        <v>6.9444444444444448E-2</v>
      </c>
      <c r="CF37" s="451">
        <f t="shared" si="33"/>
        <v>-2.8571428571428571E-2</v>
      </c>
      <c r="CG37" s="1398">
        <f t="shared" si="33"/>
        <v>-0.47413793103448276</v>
      </c>
      <c r="CH37" s="451">
        <f t="shared" si="33"/>
        <v>-5.6451612903225805E-2</v>
      </c>
      <c r="CI37" s="451">
        <f t="shared" si="33"/>
        <v>11.6</v>
      </c>
      <c r="CJ37" s="451">
        <f t="shared" si="33"/>
        <v>0.3235294117647059</v>
      </c>
      <c r="CK37" s="451">
        <f t="shared" si="33"/>
        <v>0.16535433070866143</v>
      </c>
      <c r="CL37" s="1398">
        <f t="shared" si="33"/>
        <v>0.90277777777777779</v>
      </c>
      <c r="CM37" s="451">
        <f t="shared" si="33"/>
        <v>-0.16463414634146342</v>
      </c>
      <c r="CN37" s="451">
        <f t="shared" si="33"/>
        <v>-7.1146245059288543E-2</v>
      </c>
      <c r="CO37" s="451">
        <f t="shared" si="33"/>
        <v>0.15018315018315018</v>
      </c>
      <c r="CP37" s="451">
        <f t="shared" si="33"/>
        <v>0.2110759514667738</v>
      </c>
      <c r="CQ37" s="1398">
        <f t="shared" si="33"/>
        <v>5.9922119502881198E-2</v>
      </c>
      <c r="CR37" s="451">
        <f>(CR35-CM35)/(CR12-CM12)</f>
        <v>0.24990596559386413</v>
      </c>
      <c r="CS37" s="451">
        <f>(CS35-CN35)/(CS12-CN12)</f>
        <v>0.19374335319705699</v>
      </c>
      <c r="CT37" s="451">
        <f>(CT35-CO35)/(CT12-CO12)</f>
        <v>0.19377679977066051</v>
      </c>
      <c r="CU37" s="451">
        <f>(CU35-CP35)/(CU12-CP12)</f>
        <v>0.45563838440089494</v>
      </c>
      <c r="CV37" s="1398">
        <f t="shared" ref="CV37" si="34">(CV35-CQ35)/(CV12-CQ12)</f>
        <v>0.248203545149494</v>
      </c>
      <c r="CW37" s="1484">
        <v>0.3</v>
      </c>
      <c r="CX37" s="2120">
        <v>0.3</v>
      </c>
      <c r="CY37" s="2120">
        <v>0.3</v>
      </c>
      <c r="CZ37" s="1432"/>
      <c r="DA37" s="1178" t="s">
        <v>1346</v>
      </c>
      <c r="DB37" s="1178">
        <v>75</v>
      </c>
      <c r="DC37" s="1178">
        <f>DB37</f>
        <v>75</v>
      </c>
      <c r="DD37" s="1178">
        <f>CL118</f>
        <v>50</v>
      </c>
      <c r="DE37" s="2242">
        <f>$CQ$118</f>
        <v>50</v>
      </c>
      <c r="DF37" s="2242">
        <f>$CV$118</f>
        <v>76.2</v>
      </c>
    </row>
    <row r="38" spans="1:110" s="1178" customFormat="1" ht="11.25">
      <c r="A38" s="1390"/>
      <c r="B38" s="1390"/>
      <c r="C38" s="1605"/>
      <c r="D38" s="1605" t="s">
        <v>282</v>
      </c>
      <c r="E38" s="1390"/>
      <c r="F38" s="1390"/>
      <c r="G38" s="1390"/>
      <c r="H38" s="1390"/>
      <c r="I38" s="1390"/>
      <c r="J38" s="1390"/>
      <c r="K38" s="1390"/>
      <c r="L38" s="1390"/>
      <c r="M38" s="1390"/>
      <c r="N38" s="1390"/>
      <c r="O38" s="1390"/>
      <c r="P38" s="1390"/>
      <c r="Q38" s="1390"/>
      <c r="R38" s="1390"/>
      <c r="S38" s="1390"/>
      <c r="T38" s="1390"/>
      <c r="U38" s="1390"/>
      <c r="V38" s="1390"/>
      <c r="W38" s="1390"/>
      <c r="X38" s="1390"/>
      <c r="Y38" s="1390"/>
      <c r="Z38" s="1390"/>
      <c r="AA38" s="1390"/>
      <c r="AB38" s="1390"/>
      <c r="AC38" s="1390"/>
      <c r="AD38" s="1390"/>
      <c r="AE38" s="1390"/>
      <c r="AF38" s="1390"/>
      <c r="AG38" s="1390"/>
      <c r="AH38" s="1390"/>
      <c r="AI38" s="1390"/>
      <c r="AJ38" s="1390"/>
      <c r="AK38" s="1390"/>
      <c r="AL38" s="1390"/>
      <c r="AM38" s="1390"/>
      <c r="AN38" s="1390"/>
      <c r="AO38" s="1390"/>
      <c r="AP38" s="1390"/>
      <c r="AQ38" s="1390"/>
      <c r="AR38" s="1390"/>
      <c r="AS38" s="1388"/>
      <c r="AT38" s="1390"/>
      <c r="AU38" s="1390"/>
      <c r="AV38" s="1390"/>
      <c r="AW38" s="1390"/>
      <c r="AX38" s="1388"/>
      <c r="AY38" s="1390">
        <f t="shared" ref="AY38:CL38" si="35">IF(ISERROR(AY35/AT35-1),"-",AY35/AT35-1)</f>
        <v>-0.55263157894736836</v>
      </c>
      <c r="AZ38" s="1390">
        <f t="shared" si="35"/>
        <v>-0.33527696793002915</v>
      </c>
      <c r="BA38" s="1390">
        <f t="shared" si="35"/>
        <v>-0.25451559934318557</v>
      </c>
      <c r="BB38" s="1390">
        <f t="shared" si="35"/>
        <v>0.22570532915360508</v>
      </c>
      <c r="BC38" s="1388">
        <f t="shared" si="35"/>
        <v>-0.28022833419823556</v>
      </c>
      <c r="BD38" s="1390">
        <f t="shared" si="35"/>
        <v>0.70588235294117641</v>
      </c>
      <c r="BE38" s="1390">
        <f t="shared" si="35"/>
        <v>0.27631578947368429</v>
      </c>
      <c r="BF38" s="1390">
        <f t="shared" si="35"/>
        <v>0.24669603524229067</v>
      </c>
      <c r="BG38" s="1390">
        <f t="shared" si="35"/>
        <v>0.26854219948849112</v>
      </c>
      <c r="BH38" s="1388">
        <f t="shared" si="35"/>
        <v>0.39798125450612831</v>
      </c>
      <c r="BI38" s="1390">
        <f t="shared" si="35"/>
        <v>0.69655172413793109</v>
      </c>
      <c r="BJ38" s="1390">
        <f t="shared" si="35"/>
        <v>0.18384879725085912</v>
      </c>
      <c r="BK38" s="1390">
        <f t="shared" si="35"/>
        <v>0.10777385159010611</v>
      </c>
      <c r="BL38" s="1390">
        <f t="shared" si="35"/>
        <v>-1.814516129032262E-2</v>
      </c>
      <c r="BM38" s="1388">
        <f t="shared" si="35"/>
        <v>0.18359979370809687</v>
      </c>
      <c r="BN38" s="1390">
        <f t="shared" si="35"/>
        <v>-5.0813008130081272E-2</v>
      </c>
      <c r="BO38" s="1390">
        <f t="shared" si="35"/>
        <v>3.9187227866473107E-2</v>
      </c>
      <c r="BP38" s="1390">
        <f t="shared" si="35"/>
        <v>4.944178628389162E-2</v>
      </c>
      <c r="BQ38" s="1390">
        <f t="shared" si="35"/>
        <v>0.17043121149897322</v>
      </c>
      <c r="BR38" s="1388">
        <f t="shared" si="35"/>
        <v>5.054466230936816E-2</v>
      </c>
      <c r="BS38" s="451">
        <f t="shared" si="35"/>
        <v>7.922912205567445E-2</v>
      </c>
      <c r="BT38" s="451">
        <f t="shared" si="35"/>
        <v>7.2625698324022325E-2</v>
      </c>
      <c r="BU38" s="451">
        <f t="shared" si="35"/>
        <v>0.10030395136778125</v>
      </c>
      <c r="BV38" s="451">
        <f t="shared" si="35"/>
        <v>0.11578947368421044</v>
      </c>
      <c r="BW38" s="1388">
        <f t="shared" si="35"/>
        <v>9.166321028618829E-2</v>
      </c>
      <c r="BX38" s="451">
        <f t="shared" si="35"/>
        <v>0.1507936507936507</v>
      </c>
      <c r="BY38" s="451">
        <f t="shared" si="35"/>
        <v>9.375E-2</v>
      </c>
      <c r="BZ38" s="451">
        <f t="shared" si="35"/>
        <v>9.2541436464088411E-2</v>
      </c>
      <c r="CA38" s="451">
        <f t="shared" si="35"/>
        <v>3.3018867924528239E-2</v>
      </c>
      <c r="CB38" s="1480">
        <f t="shared" si="35"/>
        <v>8.9665653495440756E-2</v>
      </c>
      <c r="CC38" s="451">
        <f t="shared" si="35"/>
        <v>8.1034482758620685E-2</v>
      </c>
      <c r="CD38" s="451">
        <f t="shared" si="35"/>
        <v>1.3095238095238049E-2</v>
      </c>
      <c r="CE38" s="451">
        <f t="shared" si="35"/>
        <v>-6.321112515802807E-3</v>
      </c>
      <c r="CF38" s="451">
        <f t="shared" si="35"/>
        <v>3.0441400304415112E-3</v>
      </c>
      <c r="CG38" s="1398">
        <f t="shared" si="35"/>
        <v>1.9177126917712783E-2</v>
      </c>
      <c r="CH38" s="451">
        <f t="shared" si="35"/>
        <v>1.1164274322169154E-2</v>
      </c>
      <c r="CI38" s="451">
        <f t="shared" si="35"/>
        <v>6.8155111633372512E-2</v>
      </c>
      <c r="CJ38" s="1390">
        <f t="shared" si="35"/>
        <v>5.5979643765903253E-2</v>
      </c>
      <c r="CK38" s="1390">
        <f t="shared" si="35"/>
        <v>3.1866464339908918E-2</v>
      </c>
      <c r="CL38" s="1480">
        <f t="shared" si="35"/>
        <v>4.4474854601436853E-2</v>
      </c>
      <c r="CM38" s="1390">
        <f t="shared" ref="CM38:CV38" si="36">IF(ISERROR(CM35/CH35-1),"-",CM35/CH35-1)</f>
        <v>-4.258675078864349E-2</v>
      </c>
      <c r="CN38" s="1390">
        <f t="shared" si="36"/>
        <v>-1.980198019801982E-2</v>
      </c>
      <c r="CO38" s="1390">
        <f t="shared" si="36"/>
        <v>4.9397590361445864E-2</v>
      </c>
      <c r="CP38" s="1390">
        <f t="shared" si="36"/>
        <v>9.3121975076758456E-2</v>
      </c>
      <c r="CQ38" s="1398">
        <f t="shared" si="36"/>
        <v>1.9431032771764167E-2</v>
      </c>
      <c r="CR38" s="1390">
        <f t="shared" si="36"/>
        <v>0.11426952743572061</v>
      </c>
      <c r="CS38" s="1390">
        <f t="shared" si="36"/>
        <v>6.2821466941658688E-2</v>
      </c>
      <c r="CT38" s="1390">
        <f t="shared" si="36"/>
        <v>6.3947697353081479E-2</v>
      </c>
      <c r="CU38" s="1390">
        <f t="shared" si="36"/>
        <v>9.1326995124703769E-2</v>
      </c>
      <c r="CV38" s="1398">
        <f t="shared" si="36"/>
        <v>7.997866222234995E-2</v>
      </c>
      <c r="CW38" s="1480">
        <f>IF(ISERROR(CW35/CV35-1),"-",CW35/CV35-1)</f>
        <v>6.7096514363577775E-2</v>
      </c>
      <c r="CX38" s="1480">
        <f>IF(ISERROR(CX35/CW35-1),"-",CX35/CW35-1)</f>
        <v>5.539846887046429E-2</v>
      </c>
      <c r="CY38" s="1480">
        <f>IF(ISERROR(CY35/CX35-1),"-",CY35/CX35-1)</f>
        <v>5.3265259296353618E-2</v>
      </c>
      <c r="CZ38" s="1431"/>
      <c r="DA38" s="1178" t="s">
        <v>134</v>
      </c>
      <c r="DB38" s="1178">
        <v>50</v>
      </c>
      <c r="DC38" s="1178">
        <f>DB38</f>
        <v>50</v>
      </c>
      <c r="DD38" s="1896">
        <f>CL122</f>
        <v>50</v>
      </c>
      <c r="DE38" s="2242">
        <f>$CQ$122</f>
        <v>25</v>
      </c>
      <c r="DF38" s="2242">
        <f>$CV$122</f>
        <v>13.75</v>
      </c>
    </row>
    <row r="39" spans="1:110" s="1178" customFormat="1" ht="11.25">
      <c r="A39" s="1396"/>
      <c r="B39" s="1396"/>
      <c r="C39" s="1395"/>
      <c r="D39" s="1394"/>
      <c r="E39" s="1393"/>
      <c r="F39" s="1393"/>
      <c r="G39" s="1393"/>
      <c r="H39" s="1393"/>
      <c r="I39" s="1393"/>
      <c r="J39" s="1393"/>
      <c r="K39" s="1393"/>
      <c r="L39" s="1393"/>
      <c r="M39" s="1393"/>
      <c r="N39" s="1393"/>
      <c r="O39" s="1393"/>
      <c r="P39" s="1393"/>
      <c r="Q39" s="1393"/>
      <c r="R39" s="1393"/>
      <c r="S39" s="1393"/>
      <c r="T39" s="1393"/>
      <c r="U39" s="1393"/>
      <c r="V39" s="1393"/>
      <c r="W39" s="1393"/>
      <c r="X39" s="1393"/>
      <c r="Y39" s="1393"/>
      <c r="Z39" s="1393"/>
      <c r="AA39" s="1393"/>
      <c r="AB39" s="1393"/>
      <c r="AC39" s="1393"/>
      <c r="AD39" s="1393"/>
      <c r="AE39" s="1393"/>
      <c r="AF39" s="1393"/>
      <c r="AG39" s="1393"/>
      <c r="AH39" s="1393"/>
      <c r="AI39" s="1393"/>
      <c r="AJ39" s="1393"/>
      <c r="AK39" s="1393"/>
      <c r="AL39" s="1393"/>
      <c r="AM39" s="1393"/>
      <c r="AN39" s="1393"/>
      <c r="AO39" s="1390"/>
      <c r="AP39" s="1390"/>
      <c r="AQ39" s="1390"/>
      <c r="AR39" s="1390"/>
      <c r="AS39" s="1388"/>
      <c r="AT39" s="1390"/>
      <c r="AU39" s="1390"/>
      <c r="AV39" s="1390"/>
      <c r="AW39" s="1390"/>
      <c r="AX39" s="1388"/>
      <c r="AY39" s="1390"/>
      <c r="AZ39" s="1390"/>
      <c r="BA39" s="1390"/>
      <c r="BB39" s="1390"/>
      <c r="BC39" s="1388"/>
      <c r="BD39" s="1390"/>
      <c r="BE39" s="1390"/>
      <c r="BF39" s="1390"/>
      <c r="BG39" s="1390"/>
      <c r="BH39" s="1388"/>
      <c r="BI39" s="1390"/>
      <c r="BJ39" s="1390"/>
      <c r="BK39" s="1390"/>
      <c r="BL39" s="1390"/>
      <c r="BM39" s="1388"/>
      <c r="BN39" s="1390"/>
      <c r="BO39" s="1390"/>
      <c r="BP39" s="1390"/>
      <c r="BQ39" s="1390"/>
      <c r="BR39" s="1388"/>
      <c r="BS39" s="451"/>
      <c r="BT39" s="1390"/>
      <c r="BU39" s="1390"/>
      <c r="BV39" s="1390"/>
      <c r="BW39" s="1388"/>
      <c r="BX39" s="1390"/>
      <c r="BY39" s="1390"/>
      <c r="BZ39" s="1390"/>
      <c r="CA39" s="1390"/>
      <c r="CB39" s="1480"/>
      <c r="CC39" s="1390"/>
      <c r="CD39" s="1390"/>
      <c r="CE39" s="1390"/>
      <c r="CF39" s="1390"/>
      <c r="CG39" s="1480"/>
      <c r="CH39" s="1390"/>
      <c r="CI39" s="1390"/>
      <c r="CJ39" s="1390"/>
      <c r="CK39" s="1390"/>
      <c r="CL39" s="1480"/>
      <c r="CM39" s="1390">
        <f>CM36+25/CM12</f>
        <v>0.16238437821171633</v>
      </c>
      <c r="CN39" s="1390"/>
      <c r="CO39" s="1390"/>
      <c r="CP39" s="1390"/>
      <c r="CQ39" s="1480"/>
      <c r="CR39" s="1390"/>
      <c r="CS39" s="1390"/>
      <c r="CT39" s="1390"/>
      <c r="CU39" s="1390"/>
      <c r="CV39" s="1480"/>
      <c r="CW39" s="1480"/>
      <c r="CX39" s="1480"/>
      <c r="CY39" s="1480"/>
      <c r="CZ39" s="1431"/>
      <c r="DA39" s="1178" t="s">
        <v>1347</v>
      </c>
      <c r="DB39" s="1178">
        <v>50</v>
      </c>
      <c r="DC39" s="1178">
        <f>DB39</f>
        <v>50</v>
      </c>
      <c r="DD39" s="1178">
        <v>125</v>
      </c>
      <c r="DE39" s="2242">
        <f>$CQ$119</f>
        <v>-30</v>
      </c>
      <c r="DF39" s="2242">
        <f>$CV$119</f>
        <v>-10</v>
      </c>
    </row>
    <row r="40" spans="1:110" s="1178" customFormat="1" ht="12" customHeight="1">
      <c r="A40" s="1363"/>
      <c r="B40" s="1363"/>
      <c r="C40" s="1387" t="s">
        <v>222</v>
      </c>
      <c r="D40" s="1386"/>
      <c r="E40" s="1363"/>
      <c r="F40" s="1363"/>
      <c r="G40" s="1363"/>
      <c r="H40" s="1363"/>
      <c r="I40" s="1363"/>
      <c r="J40" s="1363"/>
      <c r="K40" s="1363"/>
      <c r="L40" s="1363"/>
      <c r="M40" s="1363"/>
      <c r="N40" s="1363"/>
      <c r="O40" s="1363"/>
      <c r="P40" s="1363"/>
      <c r="Q40" s="1363"/>
      <c r="R40" s="1363"/>
      <c r="S40" s="1363"/>
      <c r="T40" s="1363"/>
      <c r="U40" s="1363"/>
      <c r="V40" s="1363"/>
      <c r="W40" s="1363"/>
      <c r="X40" s="1363"/>
      <c r="Y40" s="1363"/>
      <c r="Z40" s="1363"/>
      <c r="AA40" s="1363"/>
      <c r="AB40" s="1363"/>
      <c r="AC40" s="1363"/>
      <c r="AD40" s="1363"/>
      <c r="AE40" s="1363"/>
      <c r="AF40" s="1363"/>
      <c r="AG40" s="1363"/>
      <c r="AH40" s="1363"/>
      <c r="AI40" s="1363"/>
      <c r="AJ40" s="1363"/>
      <c r="AK40" s="1363"/>
      <c r="AL40" s="1363"/>
      <c r="AM40" s="1363"/>
      <c r="AN40" s="1363"/>
      <c r="AO40" s="1384"/>
      <c r="AP40" s="1384"/>
      <c r="AQ40" s="1384"/>
      <c r="AR40" s="1384"/>
      <c r="AS40" s="1286"/>
      <c r="AT40" s="1384">
        <v>71.5</v>
      </c>
      <c r="AU40" s="1384">
        <v>71.5</v>
      </c>
      <c r="AV40" s="1384">
        <v>71.5</v>
      </c>
      <c r="AW40" s="1384">
        <v>71.5</v>
      </c>
      <c r="AX40" s="1286">
        <v>286</v>
      </c>
      <c r="AY40" s="1384">
        <v>40.5</v>
      </c>
      <c r="AZ40" s="1384">
        <v>40.5</v>
      </c>
      <c r="BA40" s="1384">
        <v>40.5</v>
      </c>
      <c r="BB40" s="1384">
        <v>40.5</v>
      </c>
      <c r="BC40" s="1286">
        <v>162</v>
      </c>
      <c r="BD40" s="1384">
        <v>58.5</v>
      </c>
      <c r="BE40" s="1384">
        <v>58.5</v>
      </c>
      <c r="BF40" s="1384">
        <v>58.5</v>
      </c>
      <c r="BG40" s="1384">
        <v>58.5</v>
      </c>
      <c r="BH40" s="1286">
        <v>234</v>
      </c>
      <c r="BI40" s="1384">
        <f>$BM$40/4</f>
        <v>76.25</v>
      </c>
      <c r="BJ40" s="1384">
        <f>$BM$40/4</f>
        <v>76.25</v>
      </c>
      <c r="BK40" s="1384">
        <f>$BM$40/4</f>
        <v>76.25</v>
      </c>
      <c r="BL40" s="1384">
        <f>$BM$40/4</f>
        <v>76.25</v>
      </c>
      <c r="BM40" s="1286">
        <f>189+116</f>
        <v>305</v>
      </c>
      <c r="BN40" s="1384">
        <f>$BR$40/4</f>
        <v>66.25</v>
      </c>
      <c r="BO40" s="1384">
        <f>$BR$40/4</f>
        <v>66.25</v>
      </c>
      <c r="BP40" s="1384">
        <f>$BR$40/4</f>
        <v>66.25</v>
      </c>
      <c r="BQ40" s="1384">
        <f>$BR$40/4</f>
        <v>66.25</v>
      </c>
      <c r="BR40" s="1286">
        <v>265</v>
      </c>
      <c r="BS40" s="1384">
        <f>$BW$40/4</f>
        <v>66.5</v>
      </c>
      <c r="BT40" s="1384">
        <f>$BW$40/4</f>
        <v>66.5</v>
      </c>
      <c r="BU40" s="1384">
        <f>$BW$40/4</f>
        <v>66.5</v>
      </c>
      <c r="BV40" s="1384">
        <f>$BW$40/4</f>
        <v>66.5</v>
      </c>
      <c r="BW40" s="1286">
        <v>266</v>
      </c>
      <c r="BX40" s="1384">
        <f>$CB$40/4</f>
        <v>57</v>
      </c>
      <c r="BY40" s="1384">
        <f>$CB$40/4</f>
        <v>57</v>
      </c>
      <c r="BZ40" s="1384">
        <f>$CB$40/4</f>
        <v>57</v>
      </c>
      <c r="CA40" s="1384">
        <f>$CB$40/4</f>
        <v>57</v>
      </c>
      <c r="CB40" s="1566">
        <v>228</v>
      </c>
      <c r="CC40" s="1383">
        <f>CG$40/4</f>
        <v>65.25</v>
      </c>
      <c r="CD40" s="1383">
        <f>+CC40</f>
        <v>65.25</v>
      </c>
      <c r="CE40" s="1383">
        <f>+CD40</f>
        <v>65.25</v>
      </c>
      <c r="CF40" s="1383">
        <f>+CG40-SUM(CC40:CE40)</f>
        <v>65.25</v>
      </c>
      <c r="CG40" s="1566">
        <v>261</v>
      </c>
      <c r="CH40" s="1383">
        <f>CL$40/4</f>
        <v>85</v>
      </c>
      <c r="CI40" s="1383">
        <f>+CH40</f>
        <v>85</v>
      </c>
      <c r="CJ40" s="1383">
        <f>+CI40</f>
        <v>85</v>
      </c>
      <c r="CK40" s="1383">
        <f>+CL40-SUM(CH40:CJ40)</f>
        <v>85</v>
      </c>
      <c r="CL40" s="1566">
        <v>340</v>
      </c>
      <c r="CM40" s="1383">
        <f>CQ$40/4</f>
        <v>89.993772682345551</v>
      </c>
      <c r="CN40" s="1383">
        <f>+CM40</f>
        <v>89.993772682345551</v>
      </c>
      <c r="CO40" s="1383">
        <f>+CN40</f>
        <v>89.993772682345551</v>
      </c>
      <c r="CP40" s="1383">
        <f>+CQ40-SUM(CM40:CO40)</f>
        <v>89.993772682345536</v>
      </c>
      <c r="CQ40" s="1566">
        <f>CQ41*CQ12</f>
        <v>359.9750907293822</v>
      </c>
      <c r="CR40" s="1383">
        <f>CV$40/4</f>
        <v>95.052532457072601</v>
      </c>
      <c r="CS40" s="1383">
        <f>+CR40</f>
        <v>95.052532457072601</v>
      </c>
      <c r="CT40" s="1383">
        <f>+CS40</f>
        <v>95.052532457072601</v>
      </c>
      <c r="CU40" s="1383">
        <f>+CV40-SUM(CR40:CT40)</f>
        <v>95.05253245707263</v>
      </c>
      <c r="CV40" s="1566">
        <f>CV41*CV12</f>
        <v>380.21012982829041</v>
      </c>
      <c r="CW40" s="1566">
        <f>CW41*CW12</f>
        <v>390.25333199833437</v>
      </c>
      <c r="CX40" s="1566">
        <f>CX41*CX12</f>
        <v>398.49231540047953</v>
      </c>
      <c r="CY40" s="1566">
        <f>CY41*CY12</f>
        <v>406.92853137841536</v>
      </c>
      <c r="CZ40" s="1690"/>
      <c r="DA40" s="1178" t="s">
        <v>8</v>
      </c>
      <c r="DB40" s="1178">
        <v>-50</v>
      </c>
      <c r="DC40" s="1178">
        <f>DB40</f>
        <v>-50</v>
      </c>
      <c r="DD40" s="1178">
        <f>CL120</f>
        <v>-50</v>
      </c>
      <c r="DE40" s="2242">
        <f>$CQ$120</f>
        <v>-50</v>
      </c>
      <c r="DF40" s="2242">
        <f>$CV$120</f>
        <v>-25</v>
      </c>
    </row>
    <row r="41" spans="1:110" s="1178" customFormat="1" ht="12" customHeight="1" thickBot="1">
      <c r="A41" s="1156"/>
      <c r="B41" s="1156"/>
      <c r="C41" s="1382"/>
      <c r="D41" s="1382" t="s">
        <v>293</v>
      </c>
      <c r="E41" s="1381"/>
      <c r="F41" s="1381"/>
      <c r="G41" s="1381"/>
      <c r="H41" s="1381"/>
      <c r="I41" s="1381"/>
      <c r="J41" s="1381"/>
      <c r="K41" s="1381"/>
      <c r="L41" s="1381"/>
      <c r="M41" s="1381"/>
      <c r="N41" s="1381"/>
      <c r="O41" s="1381"/>
      <c r="P41" s="1381"/>
      <c r="Q41" s="1381"/>
      <c r="R41" s="1381"/>
      <c r="S41" s="1381"/>
      <c r="T41" s="1381"/>
      <c r="U41" s="1381"/>
      <c r="V41" s="1381"/>
      <c r="W41" s="1381"/>
      <c r="X41" s="1381"/>
      <c r="Y41" s="1381"/>
      <c r="Z41" s="1381"/>
      <c r="AA41" s="1381"/>
      <c r="AB41" s="1381"/>
      <c r="AC41" s="1381"/>
      <c r="AD41" s="1381"/>
      <c r="AE41" s="1381"/>
      <c r="AF41" s="1381"/>
      <c r="AG41" s="1381"/>
      <c r="AH41" s="1381"/>
      <c r="AI41" s="1381"/>
      <c r="AJ41" s="1381"/>
      <c r="AK41" s="1381"/>
      <c r="AL41" s="1381"/>
      <c r="AM41" s="1381"/>
      <c r="AN41" s="1381"/>
      <c r="AO41" s="1379"/>
      <c r="AP41" s="1379"/>
      <c r="AQ41" s="1379"/>
      <c r="AR41" s="1379"/>
      <c r="AS41" s="1378"/>
      <c r="AT41" s="1379">
        <f t="shared" ref="AT41:CL41" si="37">AT40/AT12</f>
        <v>1.4280007988815659E-2</v>
      </c>
      <c r="AU41" s="1379">
        <f t="shared" si="37"/>
        <v>1.1732851985559567E-2</v>
      </c>
      <c r="AV41" s="1379">
        <f t="shared" si="37"/>
        <v>1.2903807976899476E-2</v>
      </c>
      <c r="AW41" s="1379">
        <f t="shared" si="37"/>
        <v>1.5008396305625525E-2</v>
      </c>
      <c r="AX41" s="1378">
        <f t="shared" si="37"/>
        <v>1.3360739979445015E-2</v>
      </c>
      <c r="AY41" s="1379">
        <f t="shared" si="37"/>
        <v>1.0739856801909307E-2</v>
      </c>
      <c r="AZ41" s="1379">
        <f t="shared" si="37"/>
        <v>9.1711956521739139E-3</v>
      </c>
      <c r="BA41" s="1379">
        <f t="shared" si="37"/>
        <v>9.3815149409312015E-3</v>
      </c>
      <c r="BB41" s="1379">
        <f t="shared" si="37"/>
        <v>9.3447161975080753E-3</v>
      </c>
      <c r="BC41" s="1378">
        <f t="shared" si="37"/>
        <v>9.6210951419408476E-3</v>
      </c>
      <c r="BD41" s="1379">
        <f t="shared" si="37"/>
        <v>1.5069551777434312E-2</v>
      </c>
      <c r="BE41" s="1379">
        <f t="shared" si="37"/>
        <v>1.2425658453695837E-2</v>
      </c>
      <c r="BF41" s="1379">
        <f t="shared" si="37"/>
        <v>1.2736773350751143E-2</v>
      </c>
      <c r="BG41" s="1379">
        <f t="shared" si="37"/>
        <v>1.2465373961218837E-2</v>
      </c>
      <c r="BH41" s="1378">
        <f t="shared" si="37"/>
        <v>1.3090176773327366E-2</v>
      </c>
      <c r="BI41" s="1379">
        <f t="shared" si="37"/>
        <v>1.7357159116776689E-2</v>
      </c>
      <c r="BJ41" s="1379">
        <f t="shared" si="37"/>
        <v>1.4834630350194552E-2</v>
      </c>
      <c r="BK41" s="1379">
        <f t="shared" si="37"/>
        <v>1.5494818126397074E-2</v>
      </c>
      <c r="BL41" s="1379">
        <f t="shared" si="37"/>
        <v>1.7290249433106575E-2</v>
      </c>
      <c r="BM41" s="1378">
        <f t="shared" si="37"/>
        <v>1.6168363019508056E-2</v>
      </c>
      <c r="BN41" s="1379">
        <f t="shared" si="37"/>
        <v>1.6111381322957197E-2</v>
      </c>
      <c r="BO41" s="1379">
        <f t="shared" si="37"/>
        <v>1.4490376202974628E-2</v>
      </c>
      <c r="BP41" s="1379">
        <f t="shared" si="37"/>
        <v>1.5555294670110355E-2</v>
      </c>
      <c r="BQ41" s="1379">
        <f t="shared" si="37"/>
        <v>1.5975403906438389E-2</v>
      </c>
      <c r="BR41" s="1378">
        <f t="shared" si="37"/>
        <v>1.55061439438268E-2</v>
      </c>
      <c r="BS41" s="1379">
        <f t="shared" si="37"/>
        <v>1.7331248371123275E-2</v>
      </c>
      <c r="BT41" s="1379">
        <f t="shared" si="37"/>
        <v>1.4637904468412942E-2</v>
      </c>
      <c r="BU41" s="1379">
        <f t="shared" si="37"/>
        <v>1.5695067264573991E-2</v>
      </c>
      <c r="BV41" s="1379">
        <f t="shared" si="37"/>
        <v>1.5863549618320611E-2</v>
      </c>
      <c r="BW41" s="1378">
        <f t="shared" si="37"/>
        <v>1.5824855732048306E-2</v>
      </c>
      <c r="BX41" s="1379">
        <f t="shared" si="37"/>
        <v>1.4801350298623735E-2</v>
      </c>
      <c r="BY41" s="1379">
        <f t="shared" si="37"/>
        <v>1.2869722284940167E-2</v>
      </c>
      <c r="BZ41" s="1379">
        <f t="shared" si="37"/>
        <v>1.3100436681222707E-2</v>
      </c>
      <c r="CA41" s="1379">
        <f t="shared" si="37"/>
        <v>1.3597328244274809E-2</v>
      </c>
      <c r="CB41" s="1604">
        <f t="shared" si="37"/>
        <v>1.3552874041490815E-2</v>
      </c>
      <c r="CC41" s="1379">
        <f t="shared" si="37"/>
        <v>1.6939252336448597E-2</v>
      </c>
      <c r="CD41" s="1379">
        <f t="shared" si="37"/>
        <v>1.4649753030983386E-2</v>
      </c>
      <c r="CE41" s="1379">
        <f t="shared" si="37"/>
        <v>1.5248889927553166E-2</v>
      </c>
      <c r="CF41" s="1379">
        <f t="shared" si="37"/>
        <v>1.5829694323144104E-2</v>
      </c>
      <c r="CG41" s="1604">
        <f t="shared" si="37"/>
        <v>1.5622194289818639E-2</v>
      </c>
      <c r="CH41" s="1379">
        <f t="shared" si="37"/>
        <v>2.2800429184549355E-2</v>
      </c>
      <c r="CI41" s="1379">
        <f t="shared" si="37"/>
        <v>1.9062570082978247E-2</v>
      </c>
      <c r="CJ41" s="1379">
        <f t="shared" si="37"/>
        <v>1.9252548131370329E-2</v>
      </c>
      <c r="CK41" s="1379">
        <f t="shared" si="37"/>
        <v>2.000470698987997E-2</v>
      </c>
      <c r="CL41" s="1604">
        <f t="shared" si="37"/>
        <v>2.0176844104207465E-2</v>
      </c>
      <c r="CM41" s="1379">
        <f>CM40/CM12</f>
        <v>2.3122757626501941E-2</v>
      </c>
      <c r="CN41" s="1379">
        <f>CN40/CN12</f>
        <v>1.9098848192348375E-2</v>
      </c>
      <c r="CO41" s="1379">
        <f>CO40/CO12</f>
        <v>1.9196623865688045E-2</v>
      </c>
      <c r="CP41" s="1379">
        <f>CP40/CP12</f>
        <v>1.978319584745419E-2</v>
      </c>
      <c r="CQ41" s="1603">
        <f>CL41</f>
        <v>2.0176844104207465E-2</v>
      </c>
      <c r="CR41" s="1379">
        <f>CR40/CR12</f>
        <v>2.2796827953508396E-2</v>
      </c>
      <c r="CS41" s="1379">
        <f>CS40/CS12</f>
        <v>1.9007056333356559E-2</v>
      </c>
      <c r="CT41" s="1379">
        <f>CT40/CT12</f>
        <v>1.9104362082503438E-2</v>
      </c>
      <c r="CU41" s="1379">
        <f>CU40/CU12</f>
        <v>2.0232593582963948E-2</v>
      </c>
      <c r="CV41" s="1603">
        <f>CQ41</f>
        <v>2.0176844104207465E-2</v>
      </c>
      <c r="CW41" s="1603">
        <f>CV41</f>
        <v>2.0176844104207465E-2</v>
      </c>
      <c r="CX41" s="1603">
        <f>CW41</f>
        <v>2.0176844104207465E-2</v>
      </c>
      <c r="CY41" s="1603">
        <f>CX41</f>
        <v>2.0176844104207465E-2</v>
      </c>
      <c r="CZ41" s="1970"/>
      <c r="DA41" s="1178" t="s">
        <v>150</v>
      </c>
      <c r="DB41" s="1178">
        <v>-75</v>
      </c>
      <c r="DC41" s="1178">
        <f>DB41</f>
        <v>-75</v>
      </c>
      <c r="DD41" s="1855">
        <f>CL127</f>
        <v>-48.602944873406457</v>
      </c>
      <c r="DE41" s="2242">
        <f>$CQ$127</f>
        <v>14.433247300190089</v>
      </c>
      <c r="DF41" s="2242">
        <f>$CV$127</f>
        <v>72.819474593034087</v>
      </c>
    </row>
    <row r="42" spans="1:110" s="1178" customFormat="1" ht="11.25">
      <c r="A42" s="1191"/>
      <c r="B42" s="1191"/>
      <c r="C42" s="1375"/>
      <c r="D42" s="1191"/>
      <c r="E42" s="1191"/>
      <c r="F42" s="1191"/>
      <c r="G42" s="1191"/>
      <c r="H42" s="1191"/>
      <c r="I42" s="1191"/>
      <c r="J42" s="1191"/>
      <c r="K42" s="1191"/>
      <c r="L42" s="1191"/>
      <c r="M42" s="1191"/>
      <c r="N42" s="1191"/>
      <c r="O42" s="1191"/>
      <c r="P42" s="1191"/>
      <c r="Q42" s="1191"/>
      <c r="R42" s="1191"/>
      <c r="S42" s="1191"/>
      <c r="T42" s="1191"/>
      <c r="U42" s="1191"/>
      <c r="V42" s="1191"/>
      <c r="W42" s="1191"/>
      <c r="X42" s="1191"/>
      <c r="Y42" s="1191"/>
      <c r="Z42" s="1191"/>
      <c r="AA42" s="1191"/>
      <c r="AB42" s="1191"/>
      <c r="AC42" s="1191"/>
      <c r="AD42" s="1191"/>
      <c r="AE42" s="1191"/>
      <c r="AF42" s="1191"/>
      <c r="AG42" s="1191"/>
      <c r="AH42" s="1191"/>
      <c r="AI42" s="1191"/>
      <c r="AJ42" s="1191"/>
      <c r="AK42" s="1191"/>
      <c r="AL42" s="1191"/>
      <c r="AM42" s="1191"/>
      <c r="AN42" s="1191"/>
      <c r="AO42" s="1191"/>
      <c r="AP42" s="1191"/>
      <c r="AQ42" s="1191"/>
      <c r="AR42" s="1191"/>
      <c r="AS42" s="1191"/>
      <c r="AT42" s="1191"/>
      <c r="AU42" s="1156"/>
      <c r="AV42" s="1156"/>
      <c r="AW42" s="1156"/>
      <c r="AX42" s="1156"/>
      <c r="AY42" s="1191"/>
      <c r="AZ42" s="1191"/>
      <c r="BA42" s="1191"/>
      <c r="BB42" s="1191"/>
      <c r="BC42" s="1156"/>
      <c r="BD42" s="1191"/>
      <c r="BE42" s="1191"/>
      <c r="BF42" s="1191"/>
      <c r="BG42" s="1191"/>
      <c r="BH42" s="1191"/>
      <c r="BI42" s="1182"/>
      <c r="BJ42" s="1182"/>
      <c r="BK42" s="1182"/>
      <c r="BL42" s="1182"/>
      <c r="BM42" s="1364"/>
      <c r="BN42" s="1190"/>
      <c r="BO42" s="1190"/>
      <c r="BP42" s="1190"/>
      <c r="BQ42" s="1190"/>
      <c r="BR42" s="1223"/>
      <c r="BS42" s="1190"/>
      <c r="BT42" s="1190"/>
      <c r="BU42" s="1190"/>
      <c r="BV42" s="1190"/>
      <c r="BW42" s="1223"/>
      <c r="BX42" s="1190"/>
      <c r="BY42" s="1190"/>
      <c r="BZ42" s="1190"/>
      <c r="CA42" s="1190"/>
      <c r="CB42" s="1253"/>
      <c r="CC42" s="1190"/>
      <c r="CD42" s="1190"/>
      <c r="CE42" s="1190"/>
      <c r="CF42" s="1190"/>
      <c r="CG42" s="1253"/>
      <c r="CH42" s="1190"/>
      <c r="CI42" s="1190"/>
      <c r="CJ42" s="1190"/>
      <c r="CK42" s="1190"/>
      <c r="CL42" s="1253"/>
      <c r="CM42" s="1190"/>
      <c r="CN42" s="1190"/>
      <c r="CO42" s="1190"/>
      <c r="CP42" s="1190"/>
      <c r="CQ42" s="1534"/>
      <c r="CR42" s="1190"/>
      <c r="CS42" s="1190"/>
      <c r="CT42" s="1190"/>
      <c r="CU42" s="1190"/>
      <c r="CV42" s="1534"/>
      <c r="CW42" s="1534"/>
      <c r="CX42" s="1534"/>
      <c r="CY42" s="1534"/>
      <c r="CZ42" s="1197"/>
      <c r="DA42" s="1234" t="s">
        <v>1030</v>
      </c>
      <c r="DB42" s="1234">
        <f>SUM(DB36:DB41)</f>
        <v>100</v>
      </c>
      <c r="DC42" s="1234">
        <f>SUM(DC36:DC41)</f>
        <v>150</v>
      </c>
      <c r="DD42" s="1904">
        <f>CL34</f>
        <v>130</v>
      </c>
      <c r="DE42" s="1904">
        <f>CQ34</f>
        <v>59.322943052196024</v>
      </c>
      <c r="DF42" s="1904">
        <f>CV34</f>
        <v>248.91942538924195</v>
      </c>
    </row>
    <row r="43" spans="1:110" s="1178" customFormat="1" ht="11.25">
      <c r="A43" s="1191"/>
      <c r="B43" s="1191"/>
      <c r="C43" s="1373" t="s">
        <v>1371</v>
      </c>
      <c r="D43" s="1191"/>
      <c r="E43" s="1191"/>
      <c r="F43" s="1191"/>
      <c r="G43" s="1191"/>
      <c r="H43" s="1191"/>
      <c r="I43" s="1191"/>
      <c r="J43" s="1191"/>
      <c r="K43" s="1191"/>
      <c r="L43" s="1191"/>
      <c r="M43" s="1191"/>
      <c r="N43" s="1191"/>
      <c r="O43" s="1191"/>
      <c r="P43" s="1191"/>
      <c r="Q43" s="1191"/>
      <c r="R43" s="1191"/>
      <c r="S43" s="1191"/>
      <c r="T43" s="1191"/>
      <c r="U43" s="1191"/>
      <c r="V43" s="1191"/>
      <c r="W43" s="1191"/>
      <c r="X43" s="1191"/>
      <c r="Y43" s="1191"/>
      <c r="Z43" s="1191"/>
      <c r="AA43" s="1191"/>
      <c r="AB43" s="1191"/>
      <c r="AC43" s="1191"/>
      <c r="AD43" s="1191"/>
      <c r="AE43" s="1191"/>
      <c r="AF43" s="1191"/>
      <c r="AG43" s="1191"/>
      <c r="AH43" s="1191"/>
      <c r="AI43" s="1191"/>
      <c r="AJ43" s="1191"/>
      <c r="AK43" s="1191"/>
      <c r="AL43" s="1191"/>
      <c r="AM43" s="1191"/>
      <c r="AN43" s="1191"/>
      <c r="AO43" s="1191"/>
      <c r="AP43" s="1191"/>
      <c r="AQ43" s="1191"/>
      <c r="AR43" s="1191"/>
      <c r="AS43" s="1191"/>
      <c r="AT43" s="1191"/>
      <c r="AU43" s="1156"/>
      <c r="AV43" s="1156"/>
      <c r="AW43" s="1156"/>
      <c r="AX43" s="1156"/>
      <c r="AY43" s="1191"/>
      <c r="AZ43" s="1191"/>
      <c r="BA43" s="1191"/>
      <c r="BB43" s="1191"/>
      <c r="BC43" s="1156"/>
      <c r="BD43" s="1191"/>
      <c r="BE43" s="1191"/>
      <c r="BF43" s="1191"/>
      <c r="BG43" s="1191"/>
      <c r="BH43" s="1191"/>
      <c r="BI43" s="1182"/>
      <c r="BJ43" s="1182"/>
      <c r="BK43" s="1182"/>
      <c r="BL43" s="1182"/>
      <c r="BM43" s="1364"/>
      <c r="BN43" s="1190"/>
      <c r="BO43" s="1190"/>
      <c r="BP43" s="1190"/>
      <c r="BQ43" s="1190"/>
      <c r="BR43" s="1223"/>
      <c r="BS43" s="1190"/>
      <c r="BT43" s="1190"/>
      <c r="BU43" s="1190"/>
      <c r="BV43" s="1190"/>
      <c r="BW43" s="1223"/>
      <c r="BX43" s="1190"/>
      <c r="BY43" s="1190"/>
      <c r="BZ43" s="1190"/>
      <c r="CA43" s="1190"/>
      <c r="CB43" s="1253"/>
      <c r="CC43" s="1190"/>
      <c r="CD43" s="1190"/>
      <c r="CE43" s="1190"/>
      <c r="CF43" s="1190"/>
      <c r="CG43" s="1253"/>
      <c r="CH43" s="1190"/>
      <c r="CI43" s="1190"/>
      <c r="CJ43" s="1190"/>
      <c r="CK43" s="1190"/>
      <c r="CL43" s="1253"/>
      <c r="CM43" s="2303"/>
      <c r="CN43" s="1190"/>
      <c r="CO43" s="1190"/>
      <c r="CP43" s="1190"/>
      <c r="CQ43" s="1534"/>
      <c r="CR43" s="1190"/>
      <c r="CS43" s="1190"/>
      <c r="CT43" s="1190"/>
      <c r="CU43" s="1190"/>
      <c r="CV43" s="1534"/>
      <c r="CW43" s="1534"/>
      <c r="CX43" s="1534"/>
      <c r="CY43" s="1534"/>
      <c r="CZ43" s="1197"/>
      <c r="DA43" s="1234"/>
      <c r="DB43" s="1234"/>
      <c r="DC43" s="1234"/>
      <c r="DD43" s="1904"/>
    </row>
    <row r="44" spans="1:110" s="1178" customFormat="1" ht="11.25">
      <c r="A44" s="1191"/>
      <c r="B44" s="1191"/>
      <c r="C44" s="1191" t="s">
        <v>1372</v>
      </c>
      <c r="D44" s="1191"/>
      <c r="E44" s="1191"/>
      <c r="F44" s="1191"/>
      <c r="G44" s="1191"/>
      <c r="H44" s="1191"/>
      <c r="I44" s="1191"/>
      <c r="J44" s="1191"/>
      <c r="K44" s="1191"/>
      <c r="L44" s="1191"/>
      <c r="M44" s="1191"/>
      <c r="N44" s="1191"/>
      <c r="O44" s="1191"/>
      <c r="P44" s="1191"/>
      <c r="Q44" s="1191"/>
      <c r="R44" s="1191"/>
      <c r="S44" s="1191"/>
      <c r="T44" s="1191"/>
      <c r="U44" s="1191"/>
      <c r="V44" s="1191"/>
      <c r="W44" s="1191"/>
      <c r="X44" s="1191"/>
      <c r="Y44" s="1191"/>
      <c r="Z44" s="1191"/>
      <c r="AA44" s="1191"/>
      <c r="AB44" s="1191"/>
      <c r="AC44" s="1191"/>
      <c r="AD44" s="1191"/>
      <c r="AE44" s="1191"/>
      <c r="AF44" s="1191"/>
      <c r="AG44" s="1191"/>
      <c r="AH44" s="1191"/>
      <c r="AI44" s="1191"/>
      <c r="AJ44" s="1191"/>
      <c r="AK44" s="1191"/>
      <c r="AL44" s="1191"/>
      <c r="AM44" s="1191"/>
      <c r="AN44" s="1191"/>
      <c r="AO44" s="1191"/>
      <c r="AP44" s="1191"/>
      <c r="AQ44" s="1191"/>
      <c r="AR44" s="1191"/>
      <c r="AS44" s="1191"/>
      <c r="AT44" s="1191"/>
      <c r="AU44" s="1156"/>
      <c r="AV44" s="1156"/>
      <c r="AW44" s="1156"/>
      <c r="AX44" s="1156"/>
      <c r="AY44" s="1191"/>
      <c r="AZ44" s="1191"/>
      <c r="BA44" s="1191"/>
      <c r="BB44" s="1191"/>
      <c r="BC44" s="1156"/>
      <c r="BD44" s="1191"/>
      <c r="BE44" s="1191"/>
      <c r="BF44" s="1191"/>
      <c r="BG44" s="1191"/>
      <c r="BH44" s="1191"/>
      <c r="BI44" s="1182"/>
      <c r="BJ44" s="1182"/>
      <c r="BK44" s="1182"/>
      <c r="BL44" s="1182"/>
      <c r="BM44" s="1364"/>
      <c r="BN44" s="1190"/>
      <c r="BO44" s="1190"/>
      <c r="BP44" s="1190"/>
      <c r="BQ44" s="1190"/>
      <c r="BR44" s="1223"/>
      <c r="BS44" s="1190"/>
      <c r="BT44" s="1190"/>
      <c r="BU44" s="1190"/>
      <c r="BV44" s="1190"/>
      <c r="BW44" s="1223"/>
      <c r="BX44" s="1190"/>
      <c r="BY44" s="1190"/>
      <c r="BZ44" s="1190"/>
      <c r="CA44" s="1190"/>
      <c r="CB44" s="1253"/>
      <c r="CC44" s="1190"/>
      <c r="CD44" s="1190"/>
      <c r="CE44" s="1190"/>
      <c r="CF44" s="1190"/>
      <c r="CG44" s="1253"/>
      <c r="CH44" s="1190"/>
      <c r="CI44" s="1190"/>
      <c r="CJ44" s="1190"/>
      <c r="CK44" s="1190"/>
      <c r="CL44" s="1253"/>
      <c r="CM44" s="1190"/>
      <c r="CN44" s="1190"/>
      <c r="CO44" s="1190"/>
      <c r="CP44" s="1190"/>
      <c r="CQ44" s="1534"/>
      <c r="CR44" s="1190"/>
      <c r="CS44" s="1190"/>
      <c r="CT44" s="1190"/>
      <c r="CU44" s="1190"/>
      <c r="CV44" s="1534"/>
      <c r="CW44" s="1534"/>
      <c r="CX44" s="1534"/>
      <c r="CY44" s="1534"/>
      <c r="CZ44" s="1197"/>
      <c r="DA44" s="1234"/>
      <c r="DB44" s="1234"/>
      <c r="DC44" s="1234"/>
      <c r="DD44" s="1904"/>
    </row>
    <row r="45" spans="1:110" s="1178" customFormat="1" ht="11.25">
      <c r="A45" s="1191"/>
      <c r="B45" s="1191"/>
      <c r="C45" s="1375"/>
      <c r="D45" s="1191"/>
      <c r="E45" s="1191"/>
      <c r="F45" s="1191"/>
      <c r="G45" s="1191"/>
      <c r="H45" s="1191"/>
      <c r="I45" s="1191"/>
      <c r="J45" s="1191"/>
      <c r="K45" s="1191"/>
      <c r="L45" s="1191"/>
      <c r="M45" s="1191"/>
      <c r="N45" s="1191"/>
      <c r="O45" s="1191"/>
      <c r="P45" s="1191"/>
      <c r="Q45" s="1191"/>
      <c r="R45" s="1191"/>
      <c r="S45" s="1191"/>
      <c r="T45" s="1191"/>
      <c r="U45" s="1191"/>
      <c r="V45" s="1191"/>
      <c r="W45" s="1191"/>
      <c r="X45" s="1191"/>
      <c r="Y45" s="1191"/>
      <c r="Z45" s="1191"/>
      <c r="AA45" s="1191"/>
      <c r="AB45" s="1191"/>
      <c r="AC45" s="1191"/>
      <c r="AD45" s="1191"/>
      <c r="AE45" s="1191"/>
      <c r="AF45" s="1191"/>
      <c r="AG45" s="1191"/>
      <c r="AH45" s="1191"/>
      <c r="AI45" s="1191"/>
      <c r="AJ45" s="1191"/>
      <c r="AK45" s="1191"/>
      <c r="AL45" s="1191"/>
      <c r="AM45" s="1191"/>
      <c r="AN45" s="1191"/>
      <c r="AO45" s="1191"/>
      <c r="AP45" s="1191"/>
      <c r="AQ45" s="1191"/>
      <c r="AR45" s="1191"/>
      <c r="AS45" s="1191"/>
      <c r="AT45" s="1191"/>
      <c r="AU45" s="1156"/>
      <c r="AV45" s="1156"/>
      <c r="AW45" s="1156"/>
      <c r="AX45" s="1156"/>
      <c r="AY45" s="1191"/>
      <c r="AZ45" s="1191"/>
      <c r="BA45" s="1191"/>
      <c r="BB45" s="1191"/>
      <c r="BC45" s="1156"/>
      <c r="BD45" s="1191"/>
      <c r="BE45" s="1191"/>
      <c r="BF45" s="1191"/>
      <c r="BG45" s="1191"/>
      <c r="BH45" s="1191"/>
      <c r="BI45" s="1182"/>
      <c r="BJ45" s="1182"/>
      <c r="BK45" s="1182"/>
      <c r="BL45" s="1182"/>
      <c r="BM45" s="1364"/>
      <c r="BN45" s="1190"/>
      <c r="BO45" s="1190"/>
      <c r="BP45" s="1190"/>
      <c r="BQ45" s="1190"/>
      <c r="BR45" s="1223"/>
      <c r="BS45" s="1190"/>
      <c r="BT45" s="1190"/>
      <c r="BU45" s="1190"/>
      <c r="BV45" s="1190"/>
      <c r="BW45" s="1223"/>
      <c r="BX45" s="1190"/>
      <c r="BY45" s="1190"/>
      <c r="BZ45" s="1190"/>
      <c r="CA45" s="1190"/>
      <c r="CB45" s="1253"/>
      <c r="CC45" s="1190"/>
      <c r="CD45" s="1190"/>
      <c r="CE45" s="1190"/>
      <c r="CF45" s="1190"/>
      <c r="CG45" s="1253"/>
      <c r="CH45" s="1190"/>
      <c r="CI45" s="1190"/>
      <c r="CJ45" s="1190"/>
      <c r="CK45" s="1190"/>
      <c r="CL45" s="1253"/>
      <c r="CM45" s="1190"/>
      <c r="CN45" s="1190"/>
      <c r="CO45" s="1190"/>
      <c r="CP45" s="1190"/>
      <c r="CQ45" s="1534"/>
      <c r="CR45" s="1190"/>
      <c r="CS45" s="1190"/>
      <c r="CT45" s="1190"/>
      <c r="CU45" s="1190"/>
      <c r="CV45" s="1534"/>
      <c r="CW45" s="1534"/>
      <c r="CX45" s="1534"/>
      <c r="CY45" s="1534"/>
      <c r="CZ45" s="1197"/>
      <c r="DA45" s="1234"/>
      <c r="DB45" s="1234"/>
      <c r="DC45" s="1234"/>
      <c r="DD45" s="1904"/>
    </row>
    <row r="46" spans="1:110" s="1178" customFormat="1" ht="11.25">
      <c r="A46" s="1191"/>
      <c r="B46" s="1191"/>
      <c r="C46" s="1375" t="s">
        <v>1009</v>
      </c>
      <c r="D46" s="1191"/>
      <c r="E46" s="1191"/>
      <c r="F46" s="1191"/>
      <c r="G46" s="1191"/>
      <c r="H46" s="1191"/>
      <c r="I46" s="1191"/>
      <c r="J46" s="1191"/>
      <c r="K46" s="1191"/>
      <c r="L46" s="1191"/>
      <c r="M46" s="1191"/>
      <c r="N46" s="1191"/>
      <c r="O46" s="1191"/>
      <c r="P46" s="1191"/>
      <c r="Q46" s="1191"/>
      <c r="R46" s="1191"/>
      <c r="S46" s="1191"/>
      <c r="T46" s="1191"/>
      <c r="U46" s="1191"/>
      <c r="V46" s="1191"/>
      <c r="W46" s="1191"/>
      <c r="X46" s="1191"/>
      <c r="Y46" s="1191"/>
      <c r="Z46" s="1191"/>
      <c r="AA46" s="1191"/>
      <c r="AB46" s="1191"/>
      <c r="AC46" s="1191"/>
      <c r="AD46" s="1191"/>
      <c r="AE46" s="1191"/>
      <c r="AF46" s="1191"/>
      <c r="AG46" s="1191"/>
      <c r="AH46" s="1191"/>
      <c r="AI46" s="1191"/>
      <c r="AJ46" s="1191"/>
      <c r="AK46" s="1191"/>
      <c r="AL46" s="1191"/>
      <c r="AM46" s="1191"/>
      <c r="AN46" s="1191"/>
      <c r="AO46" s="1191"/>
      <c r="AP46" s="1191"/>
      <c r="AQ46" s="1191"/>
      <c r="AR46" s="1191"/>
      <c r="AS46" s="1191"/>
      <c r="AT46" s="1191"/>
      <c r="AU46" s="1156"/>
      <c r="AV46" s="1156"/>
      <c r="AW46" s="1156"/>
      <c r="AX46" s="1156"/>
      <c r="AY46" s="1191"/>
      <c r="AZ46" s="1191"/>
      <c r="BA46" s="1191"/>
      <c r="BB46" s="1191"/>
      <c r="BC46" s="1156"/>
      <c r="BD46" s="1191"/>
      <c r="BE46" s="1191"/>
      <c r="BF46" s="1191"/>
      <c r="BG46" s="1191"/>
      <c r="BH46" s="1191"/>
      <c r="BI46" s="1182"/>
      <c r="BJ46" s="1182"/>
      <c r="BK46" s="1182"/>
      <c r="BL46" s="1182"/>
      <c r="BM46" s="1364"/>
      <c r="BN46" s="1190"/>
      <c r="BO46" s="1190"/>
      <c r="BP46" s="1190"/>
      <c r="BQ46" s="1190"/>
      <c r="BR46" s="1223"/>
      <c r="BS46" s="1190"/>
      <c r="BT46" s="1190"/>
      <c r="BU46" s="1190"/>
      <c r="BV46" s="1190"/>
      <c r="BW46" s="1223"/>
      <c r="BX46" s="1190"/>
      <c r="BY46" s="1190"/>
      <c r="BZ46" s="1190"/>
      <c r="CA46" s="1190"/>
      <c r="CB46" s="1253"/>
      <c r="CC46" s="1190"/>
      <c r="CD46" s="1190"/>
      <c r="CE46" s="1190"/>
      <c r="CF46" s="1190"/>
      <c r="CG46" s="1253"/>
      <c r="CH46" s="1190"/>
      <c r="CI46" s="1190"/>
      <c r="CJ46" s="1190"/>
      <c r="CK46" s="1190"/>
      <c r="CL46" s="1253"/>
      <c r="CM46" s="1190"/>
      <c r="CN46" s="1190"/>
      <c r="CO46" s="1190"/>
      <c r="CP46" s="1190"/>
      <c r="CQ46" s="1534"/>
      <c r="CR46" s="1190"/>
      <c r="CS46" s="1190"/>
      <c r="CT46" s="1190"/>
      <c r="CU46" s="1190"/>
      <c r="CV46" s="1534"/>
      <c r="CW46" s="1534"/>
      <c r="CX46" s="1534"/>
      <c r="CY46" s="1534"/>
      <c r="CZ46" s="1197"/>
    </row>
    <row r="47" spans="1:110" s="1178" customFormat="1" ht="11.25">
      <c r="A47" s="1191"/>
      <c r="B47" s="1191"/>
      <c r="C47" s="1373" t="s">
        <v>1085</v>
      </c>
      <c r="D47" s="1191"/>
      <c r="E47" s="1191"/>
      <c r="F47" s="1191"/>
      <c r="G47" s="1191"/>
      <c r="H47" s="1191"/>
      <c r="I47" s="1191"/>
      <c r="J47" s="1191"/>
      <c r="K47" s="1191"/>
      <c r="L47" s="1191"/>
      <c r="M47" s="1191"/>
      <c r="N47" s="1191"/>
      <c r="O47" s="1191"/>
      <c r="P47" s="1191"/>
      <c r="Q47" s="1191"/>
      <c r="R47" s="1191"/>
      <c r="S47" s="1191"/>
      <c r="T47" s="1191"/>
      <c r="U47" s="1191"/>
      <c r="V47" s="1191"/>
      <c r="W47" s="1191"/>
      <c r="X47" s="1191"/>
      <c r="Y47" s="1191"/>
      <c r="Z47" s="1191"/>
      <c r="AA47" s="1191"/>
      <c r="AB47" s="1191"/>
      <c r="AC47" s="1191"/>
      <c r="AD47" s="1191"/>
      <c r="AE47" s="1191"/>
      <c r="AF47" s="1191"/>
      <c r="AG47" s="1191"/>
      <c r="AH47" s="1191"/>
      <c r="AI47" s="1191"/>
      <c r="AJ47" s="1191"/>
      <c r="AK47" s="1191"/>
      <c r="AL47" s="1191"/>
      <c r="AM47" s="1191"/>
      <c r="AN47" s="1191"/>
      <c r="AO47" s="1191"/>
      <c r="AP47" s="1191"/>
      <c r="AQ47" s="1191"/>
      <c r="AR47" s="1191"/>
      <c r="AS47" s="1191"/>
      <c r="AT47" s="1191"/>
      <c r="AU47" s="1191"/>
      <c r="AV47" s="1191"/>
      <c r="AW47" s="1191"/>
      <c r="AX47" s="1191"/>
      <c r="AY47" s="1191"/>
      <c r="AZ47" s="1191"/>
      <c r="BA47" s="1191"/>
      <c r="BB47" s="1191"/>
      <c r="BC47" s="1191"/>
      <c r="BD47" s="1191"/>
      <c r="BE47" s="1191"/>
      <c r="BF47" s="1191"/>
      <c r="BG47" s="1191"/>
      <c r="BH47" s="1191"/>
      <c r="BI47" s="1182"/>
      <c r="BJ47" s="1182"/>
      <c r="BK47" s="1182"/>
      <c r="BL47" s="1182"/>
      <c r="BM47" s="1364"/>
      <c r="BN47" s="1190"/>
      <c r="BO47" s="1190"/>
      <c r="BP47" s="1190"/>
      <c r="BQ47" s="1190"/>
      <c r="BR47" s="1223"/>
      <c r="BS47" s="1190"/>
      <c r="BT47" s="1190"/>
      <c r="BU47" s="1190"/>
      <c r="BV47" s="1190"/>
      <c r="BW47" s="1223"/>
      <c r="BX47" s="1240"/>
      <c r="BY47" s="1240"/>
      <c r="BZ47" s="1240"/>
      <c r="CA47" s="1240"/>
      <c r="CB47" s="1253"/>
      <c r="CC47" s="1190"/>
      <c r="CD47" s="1190"/>
      <c r="CE47" s="1190"/>
      <c r="CF47" s="1190"/>
      <c r="CG47" s="1253"/>
      <c r="CH47" s="1190"/>
      <c r="CI47" s="1190"/>
      <c r="CJ47" s="1190"/>
      <c r="CK47" s="1190"/>
      <c r="CL47" s="1253"/>
      <c r="CM47" s="1190"/>
      <c r="CN47" s="1190"/>
      <c r="CO47" s="1190"/>
      <c r="CP47" s="1190"/>
      <c r="CQ47" s="1534"/>
      <c r="CR47" s="1190"/>
      <c r="CS47" s="1190"/>
      <c r="CT47" s="1190"/>
      <c r="CU47" s="1190"/>
      <c r="CV47" s="1534"/>
      <c r="CW47" s="1534"/>
      <c r="CX47" s="1534"/>
      <c r="CY47" s="1534"/>
      <c r="CZ47" s="1197"/>
    </row>
    <row r="48" spans="1:110" s="1178" customFormat="1" ht="11.25">
      <c r="A48" s="1191"/>
      <c r="B48" s="1191"/>
      <c r="C48" s="1373"/>
      <c r="D48" s="1191" t="s">
        <v>500</v>
      </c>
      <c r="E48" s="1191"/>
      <c r="F48" s="1191"/>
      <c r="G48" s="1191"/>
      <c r="H48" s="1191"/>
      <c r="I48" s="1191"/>
      <c r="J48" s="1191"/>
      <c r="K48" s="1191"/>
      <c r="L48" s="1191"/>
      <c r="M48" s="1191"/>
      <c r="N48" s="1191"/>
      <c r="O48" s="1191"/>
      <c r="P48" s="1191"/>
      <c r="Q48" s="1191"/>
      <c r="R48" s="1191"/>
      <c r="S48" s="1191"/>
      <c r="T48" s="1191"/>
      <c r="U48" s="1191"/>
      <c r="V48" s="1191"/>
      <c r="W48" s="1191"/>
      <c r="X48" s="1191"/>
      <c r="Y48" s="1191"/>
      <c r="Z48" s="1191"/>
      <c r="AA48" s="1191"/>
      <c r="AB48" s="1191"/>
      <c r="AC48" s="1191"/>
      <c r="AD48" s="1191"/>
      <c r="AE48" s="1191"/>
      <c r="AF48" s="1191"/>
      <c r="AG48" s="1191"/>
      <c r="AH48" s="1191"/>
      <c r="AI48" s="1191"/>
      <c r="AJ48" s="1191"/>
      <c r="AK48" s="1191"/>
      <c r="AL48" s="1191"/>
      <c r="AM48" s="1191"/>
      <c r="AN48" s="1191"/>
      <c r="AO48" s="1191"/>
      <c r="AP48" s="1191"/>
      <c r="AQ48" s="1191"/>
      <c r="AR48" s="1191"/>
      <c r="AS48" s="1191"/>
      <c r="AT48" s="1191"/>
      <c r="AU48" s="1191"/>
      <c r="AV48" s="1191"/>
      <c r="AW48" s="1191"/>
      <c r="AX48" s="1191"/>
      <c r="AY48" s="1191"/>
      <c r="AZ48" s="1191"/>
      <c r="BA48" s="1191"/>
      <c r="BB48" s="1191"/>
      <c r="BC48" s="1191"/>
      <c r="BD48" s="1191"/>
      <c r="BE48" s="1191"/>
      <c r="BF48" s="1191"/>
      <c r="BG48" s="1191"/>
      <c r="BH48" s="1191"/>
      <c r="BI48" s="1182"/>
      <c r="BJ48" s="1182"/>
      <c r="BK48" s="1182"/>
      <c r="BL48" s="1182"/>
      <c r="BM48" s="1364"/>
      <c r="BN48" s="1190"/>
      <c r="BO48" s="1190"/>
      <c r="BP48" s="1190"/>
      <c r="BQ48" s="1190"/>
      <c r="BR48" s="1223"/>
      <c r="BS48" s="1240"/>
      <c r="BT48" s="1240"/>
      <c r="BU48" s="1538">
        <v>-0.03</v>
      </c>
      <c r="BV48" s="1259" t="s">
        <v>1084</v>
      </c>
      <c r="BW48" s="1253"/>
      <c r="BX48" s="1240" t="s">
        <v>1041</v>
      </c>
      <c r="BY48" s="1240" t="s">
        <v>956</v>
      </c>
      <c r="BZ48" s="1572" t="s">
        <v>983</v>
      </c>
      <c r="CA48" s="1240"/>
      <c r="CB48" s="1253"/>
      <c r="CC48" s="1240" t="s">
        <v>948</v>
      </c>
      <c r="CD48" s="1240"/>
      <c r="CE48" s="1240"/>
      <c r="CF48" s="1240"/>
      <c r="CG48" s="1253"/>
      <c r="CH48" s="1240"/>
      <c r="CI48" s="1240"/>
      <c r="CJ48" s="1240"/>
      <c r="CK48" s="1240"/>
      <c r="CL48" s="1253"/>
      <c r="CM48" s="1240"/>
      <c r="CN48" s="1240"/>
      <c r="CO48" s="1240"/>
      <c r="CP48" s="1240"/>
      <c r="CQ48" s="1534"/>
      <c r="CR48" s="1240"/>
      <c r="CS48" s="1240"/>
      <c r="CT48" s="1240"/>
      <c r="CU48" s="1240"/>
      <c r="CV48" s="1534"/>
      <c r="CW48" s="1534"/>
      <c r="CX48" s="1534"/>
      <c r="CY48" s="1534"/>
      <c r="CZ48" s="1197"/>
    </row>
    <row r="49" spans="1:104" s="1178" customFormat="1" ht="11.25">
      <c r="A49" s="1191"/>
      <c r="B49" s="1191"/>
      <c r="C49" s="1373"/>
      <c r="D49" s="1191" t="s">
        <v>1064</v>
      </c>
      <c r="E49" s="1191"/>
      <c r="F49" s="1191"/>
      <c r="G49" s="1191"/>
      <c r="H49" s="1191"/>
      <c r="I49" s="1191"/>
      <c r="J49" s="1191"/>
      <c r="K49" s="1191"/>
      <c r="L49" s="1191"/>
      <c r="M49" s="1191"/>
      <c r="N49" s="1191"/>
      <c r="O49" s="1191"/>
      <c r="P49" s="1191"/>
      <c r="Q49" s="1191"/>
      <c r="R49" s="1191"/>
      <c r="S49" s="1191"/>
      <c r="T49" s="1191"/>
      <c r="U49" s="1191"/>
      <c r="V49" s="1191"/>
      <c r="W49" s="1191"/>
      <c r="X49" s="1191"/>
      <c r="Y49" s="1191"/>
      <c r="Z49" s="1191"/>
      <c r="AA49" s="1191"/>
      <c r="AB49" s="1191"/>
      <c r="AC49" s="1191"/>
      <c r="AD49" s="1191"/>
      <c r="AE49" s="1191"/>
      <c r="AF49" s="1191"/>
      <c r="AG49" s="1191"/>
      <c r="AH49" s="1191"/>
      <c r="AI49" s="1191"/>
      <c r="AJ49" s="1191"/>
      <c r="AK49" s="1191"/>
      <c r="AL49" s="1191"/>
      <c r="AM49" s="1191"/>
      <c r="AN49" s="1191"/>
      <c r="AO49" s="1191"/>
      <c r="AP49" s="1191"/>
      <c r="AQ49" s="1191"/>
      <c r="AR49" s="1191"/>
      <c r="AS49" s="1191"/>
      <c r="AT49" s="1191"/>
      <c r="AU49" s="1191"/>
      <c r="AV49" s="1191"/>
      <c r="AW49" s="1191"/>
      <c r="AX49" s="1191"/>
      <c r="AY49" s="1191"/>
      <c r="AZ49" s="1191"/>
      <c r="BA49" s="1191"/>
      <c r="BB49" s="1191"/>
      <c r="BC49" s="1191"/>
      <c r="BD49" s="1191"/>
      <c r="BE49" s="1191"/>
      <c r="BF49" s="1191"/>
      <c r="BG49" s="1191"/>
      <c r="BH49" s="1191"/>
      <c r="BI49" s="1182"/>
      <c r="BJ49" s="1182"/>
      <c r="BK49" s="1182"/>
      <c r="BL49" s="1182"/>
      <c r="BM49" s="1364"/>
      <c r="BN49" s="1190"/>
      <c r="BO49" s="1190"/>
      <c r="BP49" s="1190"/>
      <c r="BQ49" s="1190"/>
      <c r="BR49" s="1223"/>
      <c r="BS49" s="1240"/>
      <c r="BT49" s="1240"/>
      <c r="BU49" s="1538">
        <v>-0.03</v>
      </c>
      <c r="BV49" s="1337">
        <v>0</v>
      </c>
      <c r="BW49" s="1253"/>
      <c r="BX49" s="1240" t="s">
        <v>986</v>
      </c>
      <c r="BY49" s="1240" t="s">
        <v>986</v>
      </c>
      <c r="BZ49" s="1572" t="s">
        <v>983</v>
      </c>
      <c r="CA49" s="1240"/>
      <c r="CB49" s="1253"/>
      <c r="CC49" s="1240" t="s">
        <v>983</v>
      </c>
      <c r="CD49" s="1240"/>
      <c r="CE49" s="1240"/>
      <c r="CF49" s="1240"/>
      <c r="CG49" s="1253"/>
      <c r="CH49" s="1240"/>
      <c r="CI49" s="1240"/>
      <c r="CJ49" s="1240"/>
      <c r="CK49" s="1240"/>
      <c r="CL49" s="1253"/>
      <c r="CM49" s="1240"/>
      <c r="CN49" s="1240"/>
      <c r="CO49" s="1240"/>
      <c r="CP49" s="1240"/>
      <c r="CQ49" s="1534"/>
      <c r="CR49" s="1240"/>
      <c r="CS49" s="1240"/>
      <c r="CT49" s="1240"/>
      <c r="CU49" s="1240"/>
      <c r="CV49" s="1534"/>
      <c r="CW49" s="1534"/>
      <c r="CX49" s="1534"/>
      <c r="CY49" s="1534"/>
      <c r="CZ49" s="1197"/>
    </row>
    <row r="50" spans="1:104" s="1178" customFormat="1" ht="11.25">
      <c r="A50" s="1191"/>
      <c r="B50" s="1191"/>
      <c r="C50" s="1373"/>
      <c r="D50" s="1191" t="s">
        <v>499</v>
      </c>
      <c r="E50" s="1191"/>
      <c r="F50" s="1191"/>
      <c r="G50" s="1191"/>
      <c r="H50" s="1191"/>
      <c r="I50" s="1191"/>
      <c r="J50" s="1191"/>
      <c r="K50" s="1191"/>
      <c r="L50" s="1191"/>
      <c r="M50" s="1191"/>
      <c r="N50" s="1191"/>
      <c r="O50" s="1191"/>
      <c r="P50" s="1191"/>
      <c r="Q50" s="1191"/>
      <c r="R50" s="1191"/>
      <c r="S50" s="1191"/>
      <c r="T50" s="1191"/>
      <c r="U50" s="1191"/>
      <c r="V50" s="1191"/>
      <c r="W50" s="1191"/>
      <c r="X50" s="1191"/>
      <c r="Y50" s="1191"/>
      <c r="Z50" s="1191"/>
      <c r="AA50" s="1191"/>
      <c r="AB50" s="1191"/>
      <c r="AC50" s="1191"/>
      <c r="AD50" s="1191"/>
      <c r="AE50" s="1191"/>
      <c r="AF50" s="1191"/>
      <c r="AG50" s="1191"/>
      <c r="AH50" s="1191"/>
      <c r="AI50" s="1191"/>
      <c r="AJ50" s="1191"/>
      <c r="AK50" s="1191"/>
      <c r="AL50" s="1191"/>
      <c r="AM50" s="1191"/>
      <c r="AN50" s="1191"/>
      <c r="AO50" s="1191"/>
      <c r="AP50" s="1191"/>
      <c r="AQ50" s="1191"/>
      <c r="AR50" s="1191"/>
      <c r="AS50" s="1191"/>
      <c r="AT50" s="1191"/>
      <c r="AU50" s="1191"/>
      <c r="AV50" s="1191"/>
      <c r="AW50" s="1191"/>
      <c r="AX50" s="1191"/>
      <c r="AY50" s="1191"/>
      <c r="AZ50" s="1191"/>
      <c r="BA50" s="1191"/>
      <c r="BB50" s="1191"/>
      <c r="BC50" s="1191"/>
      <c r="BD50" s="1191"/>
      <c r="BE50" s="1191"/>
      <c r="BF50" s="1191"/>
      <c r="BG50" s="1191"/>
      <c r="BH50" s="1191"/>
      <c r="BI50" s="1182"/>
      <c r="BJ50" s="1182"/>
      <c r="BK50" s="1182"/>
      <c r="BL50" s="1182"/>
      <c r="BM50" s="1364"/>
      <c r="BN50" s="1190"/>
      <c r="BO50" s="1190"/>
      <c r="BP50" s="1190"/>
      <c r="BQ50" s="1190"/>
      <c r="BR50" s="1223"/>
      <c r="BS50" s="1240"/>
      <c r="BT50" s="1240"/>
      <c r="BU50" s="1538"/>
      <c r="BV50" s="1337"/>
      <c r="BW50" s="1253"/>
      <c r="BX50" s="1240" t="s">
        <v>958</v>
      </c>
      <c r="BY50" s="1240" t="s">
        <v>1058</v>
      </c>
      <c r="BZ50" s="1537">
        <v>0.04</v>
      </c>
      <c r="CA50" s="1240"/>
      <c r="CB50" s="1253"/>
      <c r="CC50" s="1240" t="s">
        <v>956</v>
      </c>
      <c r="CD50" s="1240"/>
      <c r="CE50" s="1240"/>
      <c r="CF50" s="1240"/>
      <c r="CG50" s="1253"/>
      <c r="CH50" s="1240"/>
      <c r="CI50" s="1240"/>
      <c r="CJ50" s="1240"/>
      <c r="CK50" s="1240"/>
      <c r="CL50" s="1253"/>
      <c r="CM50" s="1240"/>
      <c r="CN50" s="1240"/>
      <c r="CO50" s="1240"/>
      <c r="CP50" s="1240"/>
      <c r="CQ50" s="1534"/>
      <c r="CR50" s="1240"/>
      <c r="CS50" s="1240"/>
      <c r="CT50" s="1240"/>
      <c r="CU50" s="1240"/>
      <c r="CV50" s="1534"/>
      <c r="CW50" s="1534"/>
      <c r="CX50" s="1534"/>
      <c r="CY50" s="1534"/>
      <c r="CZ50" s="1197"/>
    </row>
    <row r="51" spans="1:104" s="1178" customFormat="1" ht="11.25">
      <c r="A51" s="1191"/>
      <c r="B51" s="1191"/>
      <c r="C51" s="1373"/>
      <c r="D51" s="1191" t="s">
        <v>1083</v>
      </c>
      <c r="E51" s="1191"/>
      <c r="F51" s="1191"/>
      <c r="G51" s="1191"/>
      <c r="H51" s="1191"/>
      <c r="I51" s="1191"/>
      <c r="J51" s="1191"/>
      <c r="K51" s="1191"/>
      <c r="L51" s="1191"/>
      <c r="M51" s="1191"/>
      <c r="N51" s="1191"/>
      <c r="O51" s="1191"/>
      <c r="P51" s="1191"/>
      <c r="Q51" s="1191"/>
      <c r="R51" s="1191"/>
      <c r="S51" s="1191"/>
      <c r="T51" s="1191"/>
      <c r="U51" s="1191"/>
      <c r="V51" s="1191"/>
      <c r="W51" s="1191"/>
      <c r="X51" s="1191"/>
      <c r="Y51" s="1191"/>
      <c r="Z51" s="1191"/>
      <c r="AA51" s="1191"/>
      <c r="AB51" s="1191"/>
      <c r="AC51" s="1191"/>
      <c r="AD51" s="1191"/>
      <c r="AE51" s="1191"/>
      <c r="AF51" s="1191"/>
      <c r="AG51" s="1191"/>
      <c r="AH51" s="1191"/>
      <c r="AI51" s="1191"/>
      <c r="AJ51" s="1191"/>
      <c r="AK51" s="1191"/>
      <c r="AL51" s="1191"/>
      <c r="AM51" s="1191"/>
      <c r="AN51" s="1191"/>
      <c r="AO51" s="1191"/>
      <c r="AP51" s="1191"/>
      <c r="AQ51" s="1191"/>
      <c r="AR51" s="1191"/>
      <c r="AS51" s="1191"/>
      <c r="AT51" s="1191"/>
      <c r="AU51" s="1191"/>
      <c r="AV51" s="1191"/>
      <c r="AW51" s="1191"/>
      <c r="AX51" s="1191"/>
      <c r="AY51" s="1191"/>
      <c r="AZ51" s="1191"/>
      <c r="BA51" s="1191"/>
      <c r="BB51" s="1191"/>
      <c r="BC51" s="1191"/>
      <c r="BD51" s="1191"/>
      <c r="BE51" s="1191"/>
      <c r="BF51" s="1191"/>
      <c r="BG51" s="1191"/>
      <c r="BH51" s="1191"/>
      <c r="BI51" s="1182"/>
      <c r="BJ51" s="1182"/>
      <c r="BK51" s="1182"/>
      <c r="BL51" s="1182"/>
      <c r="BM51" s="1364"/>
      <c r="BN51" s="1190"/>
      <c r="BO51" s="1190"/>
      <c r="BP51" s="1190"/>
      <c r="BQ51" s="1190"/>
      <c r="BR51" s="1223"/>
      <c r="BS51" s="1240"/>
      <c r="BT51" s="1240"/>
      <c r="BU51" s="1538">
        <v>-0.03</v>
      </c>
      <c r="BV51" s="1259" t="s">
        <v>1082</v>
      </c>
      <c r="BW51" s="1253"/>
      <c r="BX51" s="1240" t="s">
        <v>950</v>
      </c>
      <c r="BY51" s="1240" t="s">
        <v>956</v>
      </c>
      <c r="BZ51" s="1572" t="s">
        <v>983</v>
      </c>
      <c r="CA51" s="1240"/>
      <c r="CB51" s="1253"/>
      <c r="CC51" s="1240" t="s">
        <v>956</v>
      </c>
      <c r="CD51" s="1240"/>
      <c r="CE51" s="1240"/>
      <c r="CF51" s="1240"/>
      <c r="CG51" s="1253"/>
      <c r="CH51" s="1602"/>
      <c r="CI51" s="1240"/>
      <c r="CJ51" s="1240"/>
      <c r="CK51" s="1240"/>
      <c r="CL51" s="1253"/>
      <c r="CM51" s="1602"/>
      <c r="CN51" s="1240"/>
      <c r="CO51" s="1240"/>
      <c r="CP51" s="1240"/>
      <c r="CQ51" s="1534"/>
      <c r="CR51" s="1602"/>
      <c r="CS51" s="1240"/>
      <c r="CT51" s="1240"/>
      <c r="CU51" s="1240"/>
      <c r="CV51" s="1534"/>
      <c r="CW51" s="1534"/>
      <c r="CX51" s="1534"/>
      <c r="CY51" s="1534"/>
      <c r="CZ51" s="1197"/>
    </row>
    <row r="52" spans="1:104" s="1178" customFormat="1" ht="11.25">
      <c r="A52" s="1191"/>
      <c r="B52" s="1191"/>
      <c r="C52" s="1373"/>
      <c r="D52" s="1191"/>
      <c r="E52" s="1191"/>
      <c r="F52" s="1191"/>
      <c r="G52" s="1191"/>
      <c r="H52" s="1191"/>
      <c r="I52" s="1191"/>
      <c r="J52" s="1191"/>
      <c r="K52" s="1191"/>
      <c r="L52" s="1191"/>
      <c r="M52" s="1191"/>
      <c r="N52" s="1191"/>
      <c r="O52" s="1191"/>
      <c r="P52" s="1191"/>
      <c r="Q52" s="1191"/>
      <c r="R52" s="1191"/>
      <c r="S52" s="1191"/>
      <c r="T52" s="1191"/>
      <c r="U52" s="1191"/>
      <c r="V52" s="1191"/>
      <c r="W52" s="1191"/>
      <c r="X52" s="1191"/>
      <c r="Y52" s="1191"/>
      <c r="Z52" s="1191"/>
      <c r="AA52" s="1191"/>
      <c r="AB52" s="1191"/>
      <c r="AC52" s="1191"/>
      <c r="AD52" s="1191"/>
      <c r="AE52" s="1191"/>
      <c r="AF52" s="1191"/>
      <c r="AG52" s="1191"/>
      <c r="AH52" s="1191"/>
      <c r="AI52" s="1191"/>
      <c r="AJ52" s="1191"/>
      <c r="AK52" s="1191"/>
      <c r="AL52" s="1191"/>
      <c r="AM52" s="1191"/>
      <c r="AN52" s="1191"/>
      <c r="AO52" s="1191"/>
      <c r="AP52" s="1191"/>
      <c r="AQ52" s="1191"/>
      <c r="AR52" s="1191"/>
      <c r="AS52" s="1191"/>
      <c r="AT52" s="1191"/>
      <c r="AU52" s="1191"/>
      <c r="AV52" s="1191"/>
      <c r="AW52" s="1191"/>
      <c r="AX52" s="1191"/>
      <c r="AY52" s="1191"/>
      <c r="AZ52" s="1191"/>
      <c r="BA52" s="1191"/>
      <c r="BB52" s="1191"/>
      <c r="BC52" s="1191"/>
      <c r="BD52" s="1191"/>
      <c r="BE52" s="1191"/>
      <c r="BF52" s="1191"/>
      <c r="BG52" s="1191"/>
      <c r="BH52" s="1191"/>
      <c r="BI52" s="1182"/>
      <c r="BJ52" s="1182"/>
      <c r="BK52" s="1182"/>
      <c r="BL52" s="1182"/>
      <c r="BM52" s="1364"/>
      <c r="BN52" s="1190"/>
      <c r="BO52" s="1190"/>
      <c r="BP52" s="1190"/>
      <c r="BQ52" s="1190"/>
      <c r="BR52" s="1223"/>
      <c r="BS52" s="1190"/>
      <c r="BT52" s="1190"/>
      <c r="BU52" s="1190"/>
      <c r="BV52" s="1190"/>
      <c r="BW52" s="1223"/>
      <c r="BX52" s="1240"/>
      <c r="BY52" s="1240"/>
      <c r="BZ52" s="1572"/>
      <c r="CA52" s="1240"/>
      <c r="CB52" s="1253"/>
      <c r="CC52" s="1190"/>
      <c r="CD52" s="1190"/>
      <c r="CE52" s="1190"/>
      <c r="CF52" s="1190"/>
      <c r="CG52" s="1253"/>
      <c r="CH52" s="1190"/>
      <c r="CI52" s="1190"/>
      <c r="CJ52" s="1190"/>
      <c r="CK52" s="1190"/>
      <c r="CL52" s="1253"/>
      <c r="CM52" s="1190"/>
      <c r="CN52" s="1190"/>
      <c r="CO52" s="1190"/>
      <c r="CP52" s="1190"/>
      <c r="CQ52" s="1534"/>
      <c r="CR52" s="1190"/>
      <c r="CS52" s="1190"/>
      <c r="CT52" s="1190"/>
      <c r="CU52" s="1190"/>
      <c r="CV52" s="1534"/>
      <c r="CW52" s="1534"/>
      <c r="CX52" s="1534"/>
      <c r="CY52" s="1534"/>
      <c r="CZ52" s="1197"/>
    </row>
    <row r="53" spans="1:104" s="1178" customFormat="1" ht="11.25">
      <c r="A53" s="1191"/>
      <c r="B53" s="1191"/>
      <c r="C53" s="1373" t="s">
        <v>309</v>
      </c>
      <c r="D53" s="1191"/>
      <c r="E53" s="1191"/>
      <c r="F53" s="1191"/>
      <c r="G53" s="1191"/>
      <c r="H53" s="1191"/>
      <c r="I53" s="1191"/>
      <c r="J53" s="1191"/>
      <c r="K53" s="1191"/>
      <c r="L53" s="1191"/>
      <c r="M53" s="1191"/>
      <c r="N53" s="1191"/>
      <c r="O53" s="1191"/>
      <c r="P53" s="1191"/>
      <c r="Q53" s="1191"/>
      <c r="R53" s="1191"/>
      <c r="S53" s="1191"/>
      <c r="T53" s="1191"/>
      <c r="U53" s="1191"/>
      <c r="V53" s="1191"/>
      <c r="W53" s="1191"/>
      <c r="X53" s="1191"/>
      <c r="Y53" s="1191"/>
      <c r="Z53" s="1191"/>
      <c r="AA53" s="1191"/>
      <c r="AB53" s="1191"/>
      <c r="AC53" s="1191"/>
      <c r="AD53" s="1191"/>
      <c r="AE53" s="1191"/>
      <c r="AF53" s="1191"/>
      <c r="AG53" s="1191"/>
      <c r="AH53" s="1191"/>
      <c r="AI53" s="1191"/>
      <c r="AJ53" s="1191"/>
      <c r="AK53" s="1191"/>
      <c r="AL53" s="1191"/>
      <c r="AM53" s="1191"/>
      <c r="AN53" s="1191"/>
      <c r="AO53" s="1191"/>
      <c r="AP53" s="1191"/>
      <c r="AQ53" s="1191"/>
      <c r="AR53" s="1191"/>
      <c r="AS53" s="1191"/>
      <c r="AT53" s="1191"/>
      <c r="AU53" s="1156"/>
      <c r="AV53" s="1156"/>
      <c r="AW53" s="1156"/>
      <c r="AX53" s="1156"/>
      <c r="AY53" s="1191"/>
      <c r="AZ53" s="1191"/>
      <c r="BA53" s="1191"/>
      <c r="BB53" s="1191"/>
      <c r="BC53" s="1156"/>
      <c r="BD53" s="1191"/>
      <c r="BE53" s="1191"/>
      <c r="BF53" s="1191"/>
      <c r="BG53" s="1191"/>
      <c r="BH53" s="1191"/>
      <c r="BI53" s="1182"/>
      <c r="BJ53" s="1182"/>
      <c r="BK53" s="1182"/>
      <c r="BL53" s="1182"/>
      <c r="BM53" s="1364"/>
      <c r="BN53" s="1190"/>
      <c r="BO53" s="1190"/>
      <c r="BP53" s="1190"/>
      <c r="BQ53" s="1190"/>
      <c r="BR53" s="1223"/>
      <c r="BS53" s="1190"/>
      <c r="BT53" s="1190"/>
      <c r="BU53" s="1190"/>
      <c r="BV53" s="1190"/>
      <c r="BW53" s="1223"/>
      <c r="BX53" s="1240"/>
      <c r="BY53" s="1240"/>
      <c r="BZ53" s="1572"/>
      <c r="CA53" s="1240"/>
      <c r="CB53" s="1253"/>
      <c r="CC53" s="1357"/>
      <c r="CD53" s="1357"/>
      <c r="CE53" s="1190"/>
      <c r="CF53" s="1190"/>
      <c r="CG53" s="1253"/>
      <c r="CH53" s="1190"/>
      <c r="CI53" s="1190"/>
      <c r="CJ53" s="1190"/>
      <c r="CK53" s="1190"/>
      <c r="CL53" s="1253"/>
      <c r="CM53" s="1190"/>
      <c r="CN53" s="1190"/>
      <c r="CO53" s="1190"/>
      <c r="CP53" s="1190"/>
      <c r="CQ53" s="1534"/>
      <c r="CR53" s="1190"/>
      <c r="CS53" s="1190"/>
      <c r="CT53" s="1190"/>
      <c r="CU53" s="1190"/>
      <c r="CV53" s="1534"/>
      <c r="CW53" s="1534"/>
      <c r="CX53" s="1534"/>
      <c r="CY53" s="1534"/>
      <c r="CZ53" s="1197"/>
    </row>
    <row r="54" spans="1:104" s="1178" customFormat="1" ht="11.25">
      <c r="A54" s="1191"/>
      <c r="B54" s="1191"/>
      <c r="C54" s="1373"/>
      <c r="D54" s="1191" t="s">
        <v>1081</v>
      </c>
      <c r="E54" s="1191"/>
      <c r="F54" s="1191"/>
      <c r="G54" s="1191"/>
      <c r="H54" s="1191"/>
      <c r="I54" s="1191"/>
      <c r="J54" s="1191"/>
      <c r="K54" s="1191"/>
      <c r="L54" s="1191"/>
      <c r="M54" s="1191"/>
      <c r="N54" s="1191"/>
      <c r="O54" s="1191"/>
      <c r="P54" s="1191"/>
      <c r="Q54" s="1191"/>
      <c r="R54" s="1191"/>
      <c r="S54" s="1191"/>
      <c r="T54" s="1191"/>
      <c r="U54" s="1191"/>
      <c r="V54" s="1191"/>
      <c r="W54" s="1191"/>
      <c r="X54" s="1191"/>
      <c r="Y54" s="1191"/>
      <c r="Z54" s="1191"/>
      <c r="AA54" s="1191"/>
      <c r="AB54" s="1191"/>
      <c r="AC54" s="1191"/>
      <c r="AD54" s="1191"/>
      <c r="AE54" s="1191"/>
      <c r="AF54" s="1191"/>
      <c r="AG54" s="1191"/>
      <c r="AH54" s="1191"/>
      <c r="AI54" s="1191"/>
      <c r="AJ54" s="1191"/>
      <c r="AK54" s="1191"/>
      <c r="AL54" s="1191"/>
      <c r="AM54" s="1191"/>
      <c r="AN54" s="1586"/>
      <c r="AO54" s="1191"/>
      <c r="AP54" s="1191"/>
      <c r="AQ54" s="1191"/>
      <c r="AR54" s="1191"/>
      <c r="AS54" s="1586">
        <v>3360</v>
      </c>
      <c r="AT54" s="1191"/>
      <c r="AU54" s="1156"/>
      <c r="AV54" s="1156"/>
      <c r="AW54" s="1156"/>
      <c r="AX54" s="1586">
        <v>3700</v>
      </c>
      <c r="AY54" s="1191"/>
      <c r="AZ54" s="1191"/>
      <c r="BA54" s="1191"/>
      <c r="BB54" s="1191"/>
      <c r="BC54" s="1586">
        <v>3200</v>
      </c>
      <c r="BD54" s="1206"/>
      <c r="BE54" s="1206"/>
      <c r="BF54" s="1206"/>
      <c r="BG54" s="1206"/>
      <c r="BH54" s="1600">
        <v>3500</v>
      </c>
      <c r="BI54" s="1182"/>
      <c r="BJ54" s="1182"/>
      <c r="BK54" s="1182"/>
      <c r="BL54" s="1182"/>
      <c r="BM54" s="1369">
        <v>2800</v>
      </c>
      <c r="BN54" s="1184"/>
      <c r="BO54" s="1190"/>
      <c r="BP54" s="1190"/>
      <c r="BQ54" s="1190"/>
      <c r="BR54" s="1598">
        <v>2500</v>
      </c>
      <c r="BS54" s="1190"/>
      <c r="BT54" s="1190"/>
      <c r="BU54" s="1190"/>
      <c r="BV54" s="1190"/>
      <c r="BW54" s="1597">
        <f>BR54*(1+BW68)</f>
        <v>2806.25</v>
      </c>
      <c r="BX54" s="1210">
        <f>BW54/$BW$59</f>
        <v>0.25451206239796842</v>
      </c>
      <c r="BY54" s="1210"/>
      <c r="BZ54" s="1583"/>
      <c r="CA54" s="1210"/>
      <c r="CB54" s="1601">
        <f>CB130*$CB$12</f>
        <v>2523.4499999999998</v>
      </c>
      <c r="CC54" s="1210"/>
      <c r="CD54" s="1210"/>
      <c r="CE54" s="1190"/>
      <c r="CF54" s="1190"/>
      <c r="CG54" s="1601">
        <f>CB54*(1+CG68)</f>
        <v>2674.857</v>
      </c>
      <c r="CH54" s="1190"/>
      <c r="CI54" s="1190"/>
      <c r="CJ54" s="1190"/>
      <c r="CK54" s="1190"/>
      <c r="CL54" s="1601">
        <f>CG54*(1+CL68)</f>
        <v>2755.1027100000001</v>
      </c>
      <c r="CM54" s="2281"/>
      <c r="CN54" s="1190"/>
      <c r="CO54" s="1190"/>
      <c r="CP54" s="1190"/>
      <c r="CQ54" s="1601">
        <f>CL54*(1+CQ68)</f>
        <v>2865.3068184000003</v>
      </c>
      <c r="CR54" s="2281">
        <f>CQ54/$CL$12</f>
        <v>0.17003779113405734</v>
      </c>
      <c r="CS54" s="1190"/>
      <c r="CT54" s="1190"/>
      <c r="CU54" s="1190"/>
      <c r="CV54" s="1601">
        <f>CQ54*(1+CV68)</f>
        <v>2979.9190911360006</v>
      </c>
      <c r="CW54" s="1601">
        <f>CV54*(1+CW68)</f>
        <v>3069.3166638700809</v>
      </c>
      <c r="CX54" s="1601">
        <f>CW54*(1+CX68)</f>
        <v>3161.3961637861835</v>
      </c>
      <c r="CY54" s="1601">
        <f>CX54*(1+CY68)</f>
        <v>3256.238048699769</v>
      </c>
      <c r="CZ54" s="1687"/>
    </row>
    <row r="55" spans="1:104" s="1178" customFormat="1" ht="11.25">
      <c r="A55" s="1191"/>
      <c r="B55" s="1191"/>
      <c r="C55" s="1373"/>
      <c r="D55" s="1191" t="s">
        <v>516</v>
      </c>
      <c r="E55" s="1191"/>
      <c r="F55" s="1191"/>
      <c r="G55" s="1191"/>
      <c r="H55" s="1191"/>
      <c r="I55" s="1191"/>
      <c r="J55" s="1191"/>
      <c r="K55" s="1191"/>
      <c r="L55" s="1191"/>
      <c r="M55" s="1191"/>
      <c r="N55" s="1191"/>
      <c r="O55" s="1191"/>
      <c r="P55" s="1191"/>
      <c r="Q55" s="1191"/>
      <c r="R55" s="1191"/>
      <c r="S55" s="1191"/>
      <c r="T55" s="1191"/>
      <c r="U55" s="1191"/>
      <c r="V55" s="1191"/>
      <c r="W55" s="1191"/>
      <c r="X55" s="1191"/>
      <c r="Y55" s="1191"/>
      <c r="Z55" s="1191"/>
      <c r="AA55" s="1191"/>
      <c r="AB55" s="1191"/>
      <c r="AC55" s="1191"/>
      <c r="AD55" s="1191"/>
      <c r="AE55" s="1191"/>
      <c r="AF55" s="1191"/>
      <c r="AG55" s="1191"/>
      <c r="AH55" s="1191"/>
      <c r="AI55" s="1191"/>
      <c r="AJ55" s="1191"/>
      <c r="AK55" s="1191"/>
      <c r="AL55" s="1191"/>
      <c r="AM55" s="1191"/>
      <c r="AN55" s="1586"/>
      <c r="AO55" s="1191"/>
      <c r="AP55" s="1191"/>
      <c r="AQ55" s="1191"/>
      <c r="AR55" s="1191"/>
      <c r="AS55" s="1586">
        <v>6430</v>
      </c>
      <c r="AT55" s="1191"/>
      <c r="AU55" s="1156"/>
      <c r="AV55" s="1156"/>
      <c r="AW55" s="1156"/>
      <c r="AX55" s="1586">
        <v>6800.0000000000009</v>
      </c>
      <c r="AY55" s="1191"/>
      <c r="AZ55" s="1191"/>
      <c r="BA55" s="1191"/>
      <c r="BB55" s="1191"/>
      <c r="BC55" s="1586">
        <v>5400</v>
      </c>
      <c r="BD55" s="1206"/>
      <c r="BE55" s="1206"/>
      <c r="BF55" s="1206"/>
      <c r="BG55" s="1206"/>
      <c r="BH55" s="1600">
        <v>4500</v>
      </c>
      <c r="BI55" s="1182"/>
      <c r="BJ55" s="1182"/>
      <c r="BK55" s="1182"/>
      <c r="BL55" s="1182"/>
      <c r="BM55" s="1369">
        <v>4000</v>
      </c>
      <c r="BN55" s="1184"/>
      <c r="BO55" s="1190"/>
      <c r="BP55" s="1190"/>
      <c r="BQ55" s="1190"/>
      <c r="BR55" s="1598">
        <v>3900</v>
      </c>
      <c r="BS55" s="1190"/>
      <c r="BT55" s="1190"/>
      <c r="BU55" s="1190"/>
      <c r="BV55" s="1190"/>
      <c r="BW55" s="1597">
        <f>BR55*(1+BW64)</f>
        <v>3822</v>
      </c>
      <c r="BX55" s="1210">
        <f>BW55/$BW$59</f>
        <v>0.34663522582985667</v>
      </c>
      <c r="BY55" s="1210"/>
      <c r="BZ55" s="1583"/>
      <c r="CA55" s="1210"/>
      <c r="CB55" s="1601">
        <f>CB131*$CB$12</f>
        <v>4205.75</v>
      </c>
      <c r="CC55" s="1210"/>
      <c r="CD55" s="1210"/>
      <c r="CE55" s="1190"/>
      <c r="CF55" s="1190"/>
      <c r="CG55" s="1601">
        <f>CB55*(1+CG64+CG68)</f>
        <v>4289.8649999999998</v>
      </c>
      <c r="CH55" s="1190"/>
      <c r="CI55" s="1190"/>
      <c r="CJ55" s="1190"/>
      <c r="CK55" s="1190"/>
      <c r="CL55" s="1601">
        <f>CG55*(1+CL64)</f>
        <v>4332.7636499999999</v>
      </c>
      <c r="CM55" s="2281"/>
      <c r="CN55" s="1190"/>
      <c r="CO55" s="1190"/>
      <c r="CP55" s="1190"/>
      <c r="CQ55" s="1601">
        <f>CL55*(1+CQ64)+CQ14*CL12</f>
        <v>4701.0465595000005</v>
      </c>
      <c r="CR55" s="2281">
        <f>CQ55/$CL$12</f>
        <v>0.27897730458133052</v>
      </c>
      <c r="CS55" s="1190"/>
      <c r="CT55" s="1190"/>
      <c r="CU55" s="1190"/>
      <c r="CV55" s="1601">
        <f>CQ55*(1+CV64)</f>
        <v>4842.0779562850003</v>
      </c>
      <c r="CW55" s="1601">
        <f t="shared" ref="CW55:CY58" si="38">CV55*(1+CW64)</f>
        <v>4938.9195154107001</v>
      </c>
      <c r="CX55" s="1601">
        <f t="shared" si="38"/>
        <v>5037.6979057189146</v>
      </c>
      <c r="CY55" s="1601">
        <f t="shared" si="38"/>
        <v>5138.4518638332929</v>
      </c>
      <c r="CZ55" s="1687"/>
    </row>
    <row r="56" spans="1:104" s="1178" customFormat="1" ht="11.25">
      <c r="A56" s="1191"/>
      <c r="B56" s="1191"/>
      <c r="C56" s="1373"/>
      <c r="D56" s="1156" t="s">
        <v>671</v>
      </c>
      <c r="E56" s="1191"/>
      <c r="F56" s="1191"/>
      <c r="G56" s="1191"/>
      <c r="H56" s="1191"/>
      <c r="I56" s="1191"/>
      <c r="J56" s="1191"/>
      <c r="K56" s="1191"/>
      <c r="L56" s="1191"/>
      <c r="M56" s="1191"/>
      <c r="N56" s="1191"/>
      <c r="O56" s="1191"/>
      <c r="P56" s="1191"/>
      <c r="Q56" s="1191"/>
      <c r="R56" s="1191"/>
      <c r="S56" s="1191"/>
      <c r="T56" s="1191"/>
      <c r="U56" s="1191"/>
      <c r="V56" s="1191"/>
      <c r="W56" s="1191"/>
      <c r="X56" s="1191"/>
      <c r="Y56" s="1191"/>
      <c r="Z56" s="1191"/>
      <c r="AA56" s="1191"/>
      <c r="AB56" s="1191"/>
      <c r="AC56" s="1191"/>
      <c r="AD56" s="1191"/>
      <c r="AE56" s="1191"/>
      <c r="AF56" s="1191"/>
      <c r="AG56" s="1191"/>
      <c r="AH56" s="1191"/>
      <c r="AI56" s="1191"/>
      <c r="AJ56" s="1191"/>
      <c r="AK56" s="1191"/>
      <c r="AL56" s="1191"/>
      <c r="AM56" s="1191"/>
      <c r="AN56" s="1586"/>
      <c r="AO56" s="1191"/>
      <c r="AP56" s="1191"/>
      <c r="AQ56" s="1191"/>
      <c r="AR56" s="1191"/>
      <c r="AS56" s="1586">
        <v>1800</v>
      </c>
      <c r="AT56" s="1191"/>
      <c r="AU56" s="1156"/>
      <c r="AV56" s="1156"/>
      <c r="AW56" s="1156"/>
      <c r="AX56" s="1586">
        <v>2200</v>
      </c>
      <c r="AY56" s="1191"/>
      <c r="AZ56" s="1191"/>
      <c r="BA56" s="1191"/>
      <c r="BB56" s="1191"/>
      <c r="BC56" s="1586">
        <v>1300</v>
      </c>
      <c r="BD56" s="1206"/>
      <c r="BE56" s="1206"/>
      <c r="BF56" s="1206"/>
      <c r="BG56" s="1206"/>
      <c r="BH56" s="1600">
        <v>1750</v>
      </c>
      <c r="BI56" s="1182"/>
      <c r="BJ56" s="1182"/>
      <c r="BK56" s="1182"/>
      <c r="BL56" s="1182"/>
      <c r="BM56" s="1369">
        <v>2150</v>
      </c>
      <c r="BN56" s="1184"/>
      <c r="BO56" s="1190"/>
      <c r="BP56" s="1190"/>
      <c r="BQ56" s="1190"/>
      <c r="BR56" s="1598">
        <v>1900</v>
      </c>
      <c r="BS56" s="1190"/>
      <c r="BT56" s="1190"/>
      <c r="BU56" s="1190"/>
      <c r="BV56" s="1190"/>
      <c r="BW56" s="1597">
        <f>BR56*(1+BW65)</f>
        <v>1971.2500000000002</v>
      </c>
      <c r="BX56" s="1210">
        <f>BW56/$BW$59</f>
        <v>0.17878196988935247</v>
      </c>
      <c r="BY56" s="1210"/>
      <c r="BZ56" s="1583"/>
      <c r="CA56" s="1210"/>
      <c r="CB56" s="1601">
        <f>CB132*$CB$12</f>
        <v>2972.0633333333326</v>
      </c>
      <c r="CC56" s="1190"/>
      <c r="CD56" s="1190"/>
      <c r="CE56" s="1190"/>
      <c r="CF56" s="1190"/>
      <c r="CG56" s="1601">
        <f>CB56*(1+CG65)</f>
        <v>3269.2696666666661</v>
      </c>
      <c r="CH56" s="1190"/>
      <c r="CI56" s="1190"/>
      <c r="CJ56" s="1190"/>
      <c r="CK56" s="1190"/>
      <c r="CL56" s="1601">
        <f>CG56*(1+CL65)</f>
        <v>3171.1915766666662</v>
      </c>
      <c r="CM56" s="2281"/>
      <c r="CN56" s="1190"/>
      <c r="CO56" s="1190"/>
      <c r="CP56" s="1190"/>
      <c r="CQ56" s="1601">
        <f>CL56*(1+CQ65)</f>
        <v>3266.3273239666664</v>
      </c>
      <c r="CR56" s="2281">
        <f>CQ56/$CL$12</f>
        <v>0.19383581532055466</v>
      </c>
      <c r="CS56" s="1190"/>
      <c r="CT56" s="1190"/>
      <c r="CU56" s="1190"/>
      <c r="CV56" s="1601">
        <f>CQ56*(1+CV65)</f>
        <v>3364.3171436856665</v>
      </c>
      <c r="CW56" s="1601">
        <f t="shared" si="38"/>
        <v>3532.5330008699498</v>
      </c>
      <c r="CX56" s="1601">
        <f t="shared" si="38"/>
        <v>3603.1836608873487</v>
      </c>
      <c r="CY56" s="1601">
        <f t="shared" si="38"/>
        <v>3675.2473341050959</v>
      </c>
      <c r="CZ56" s="1687"/>
    </row>
    <row r="57" spans="1:104" s="1178" customFormat="1" ht="11.25">
      <c r="A57" s="1191"/>
      <c r="B57" s="1191"/>
      <c r="C57" s="1373"/>
      <c r="D57" s="1191" t="s">
        <v>1080</v>
      </c>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1191"/>
      <c r="AK57" s="1191"/>
      <c r="AL57" s="1191"/>
      <c r="AM57" s="1191"/>
      <c r="AN57" s="1586"/>
      <c r="AO57" s="1191"/>
      <c r="AP57" s="1191"/>
      <c r="AQ57" s="1191"/>
      <c r="AR57" s="1191"/>
      <c r="AS57" s="1586">
        <f>AS59-AS54-AS55-AS56</f>
        <v>3054</v>
      </c>
      <c r="AT57" s="1191"/>
      <c r="AU57" s="1156"/>
      <c r="AV57" s="1156"/>
      <c r="AW57" s="1156"/>
      <c r="AX57" s="1586">
        <f>AX59-AX54-AX55-AX56</f>
        <v>2243.9999999999991</v>
      </c>
      <c r="AY57" s="1191"/>
      <c r="AZ57" s="1191"/>
      <c r="BA57" s="1191"/>
      <c r="BB57" s="1191"/>
      <c r="BC57" s="1586">
        <f>BC59-BC54-BC55-BC56</f>
        <v>1435</v>
      </c>
      <c r="BD57" s="1206"/>
      <c r="BE57" s="1206"/>
      <c r="BF57" s="1206"/>
      <c r="BG57" s="1206"/>
      <c r="BH57" s="1600">
        <v>1500</v>
      </c>
      <c r="BI57" s="1182"/>
      <c r="BJ57" s="1182"/>
      <c r="BK57" s="1182"/>
      <c r="BL57" s="1182"/>
      <c r="BM57" s="1369">
        <v>1500</v>
      </c>
      <c r="BN57" s="1599"/>
      <c r="BO57" s="1190"/>
      <c r="BP57" s="1190"/>
      <c r="BQ57" s="1190"/>
      <c r="BR57" s="1598">
        <v>1500</v>
      </c>
      <c r="BS57" s="1190"/>
      <c r="BT57" s="1190"/>
      <c r="BU57" s="1190"/>
      <c r="BV57" s="1190"/>
      <c r="BW57" s="1597">
        <f>BR57*(1+BW66)</f>
        <v>1515</v>
      </c>
      <c r="BX57" s="1210">
        <f>BW57/$BW$59</f>
        <v>0.13740250317431527</v>
      </c>
      <c r="BY57" s="1210"/>
      <c r="BZ57" s="1583"/>
      <c r="CA57" s="1210"/>
      <c r="CB57" s="1601">
        <f>CB133*$CB$12</f>
        <v>1514.07</v>
      </c>
      <c r="CC57" s="1210"/>
      <c r="CD57" s="1210"/>
      <c r="CE57" s="1190"/>
      <c r="CF57" s="1190"/>
      <c r="CG57" s="1601">
        <f>CB57*(1+CG66)</f>
        <v>1498.9293</v>
      </c>
      <c r="CH57" s="1190"/>
      <c r="CI57" s="1190"/>
      <c r="CJ57" s="1190"/>
      <c r="CK57" s="1190"/>
      <c r="CL57" s="1601">
        <f>CG57*(1+CL66)</f>
        <v>1528.907886</v>
      </c>
      <c r="CM57" s="2281"/>
      <c r="CN57" s="1190"/>
      <c r="CO57" s="1190"/>
      <c r="CP57" s="1190"/>
      <c r="CQ57" s="1601">
        <f>CL57*(1+CQ66)</f>
        <v>1635.9314380200001</v>
      </c>
      <c r="CR57" s="2281">
        <f>CQ57/$CL$12</f>
        <v>9.708215761794553E-2</v>
      </c>
      <c r="CS57" s="1190"/>
      <c r="CT57" s="1190"/>
      <c r="CU57" s="1190"/>
      <c r="CV57" s="1601">
        <f>CQ57*(1+CV66)</f>
        <v>1685.0093811606002</v>
      </c>
      <c r="CW57" s="1601">
        <f t="shared" si="38"/>
        <v>1701.8594749722063</v>
      </c>
      <c r="CX57" s="1601">
        <f t="shared" si="38"/>
        <v>1718.8780697219283</v>
      </c>
      <c r="CY57" s="1601">
        <f t="shared" si="38"/>
        <v>1736.0668504191476</v>
      </c>
      <c r="CZ57" s="1687"/>
    </row>
    <row r="58" spans="1:104" s="1178" customFormat="1" ht="11.25" outlineLevel="1">
      <c r="A58" s="1191"/>
      <c r="B58" s="1191"/>
      <c r="C58" s="1373"/>
      <c r="D58" s="1191" t="s">
        <v>1068</v>
      </c>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586"/>
      <c r="AO58" s="1191"/>
      <c r="AP58" s="1191"/>
      <c r="AQ58" s="1191"/>
      <c r="AR58" s="1191"/>
      <c r="AS58" s="1586"/>
      <c r="AT58" s="1191"/>
      <c r="AU58" s="1156"/>
      <c r="AV58" s="1156"/>
      <c r="AW58" s="1156"/>
      <c r="AX58" s="1586"/>
      <c r="AY58" s="1191"/>
      <c r="AZ58" s="1191"/>
      <c r="BA58" s="1191"/>
      <c r="BB58" s="1191"/>
      <c r="BC58" s="1586"/>
      <c r="BD58" s="1206"/>
      <c r="BE58" s="1206"/>
      <c r="BF58" s="1206"/>
      <c r="BG58" s="1206"/>
      <c r="BH58" s="1600">
        <f>BH59-BH54-BH55-BH56-BH57</f>
        <v>136</v>
      </c>
      <c r="BI58" s="1182"/>
      <c r="BJ58" s="1182"/>
      <c r="BK58" s="1182"/>
      <c r="BL58" s="1182"/>
      <c r="BM58" s="1369">
        <f>BM59-BM57-BM56-BM55-BM54</f>
        <v>1519</v>
      </c>
      <c r="BN58" s="1599"/>
      <c r="BO58" s="1190"/>
      <c r="BP58" s="1190"/>
      <c r="BQ58" s="1190"/>
      <c r="BR58" s="1598">
        <f>BR59-SUM(BR54:BR57)</f>
        <v>1390</v>
      </c>
      <c r="BS58" s="1190"/>
      <c r="BT58" s="1190"/>
      <c r="BU58" s="1190"/>
      <c r="BV58" s="1190"/>
      <c r="BW58" s="1597">
        <f>BW59-SUM(BW54:BW57)</f>
        <v>911.5</v>
      </c>
      <c r="BX58" s="1210">
        <f>BW58/$BW$59</f>
        <v>8.2668238708507161E-2</v>
      </c>
      <c r="BY58" s="1210"/>
      <c r="BZ58" s="1583"/>
      <c r="CA58" s="1210"/>
      <c r="CB58" s="1330"/>
      <c r="CC58" s="1190"/>
      <c r="CD58" s="1190"/>
      <c r="CE58" s="1190"/>
      <c r="CF58" s="1190"/>
      <c r="CG58" s="1330">
        <f>CB58*(1+CG67)</f>
        <v>0</v>
      </c>
      <c r="CH58" s="1190"/>
      <c r="CI58" s="1190"/>
      <c r="CJ58" s="1190"/>
      <c r="CK58" s="1190"/>
      <c r="CL58" s="1330">
        <f>CG58*(1+CL67)</f>
        <v>0</v>
      </c>
      <c r="CM58" s="1190"/>
      <c r="CN58" s="1190"/>
      <c r="CO58" s="1190"/>
      <c r="CP58" s="1190"/>
      <c r="CQ58" s="1330">
        <f>CL58*(1+CQ67)</f>
        <v>0</v>
      </c>
      <c r="CR58" s="1190"/>
      <c r="CS58" s="1190"/>
      <c r="CT58" s="1190"/>
      <c r="CU58" s="1190"/>
      <c r="CV58" s="1330">
        <f>CQ58*(1+CV67)</f>
        <v>0</v>
      </c>
      <c r="CW58" s="1330">
        <f t="shared" si="38"/>
        <v>0</v>
      </c>
      <c r="CX58" s="1330">
        <f t="shared" si="38"/>
        <v>0</v>
      </c>
      <c r="CY58" s="1330">
        <f t="shared" si="38"/>
        <v>0</v>
      </c>
      <c r="CZ58" s="1589"/>
    </row>
    <row r="59" spans="1:104" s="1178" customFormat="1" ht="11.25">
      <c r="A59" s="1191"/>
      <c r="B59" s="1191"/>
      <c r="C59" s="1373" t="s">
        <v>1030</v>
      </c>
      <c r="D59" s="1191"/>
      <c r="E59" s="1191"/>
      <c r="F59" s="1191"/>
      <c r="G59" s="1191"/>
      <c r="H59" s="1191"/>
      <c r="I59" s="1191"/>
      <c r="J59" s="1191"/>
      <c r="K59" s="1191"/>
      <c r="L59" s="1191"/>
      <c r="M59" s="1191"/>
      <c r="N59" s="1191"/>
      <c r="O59" s="1191"/>
      <c r="P59" s="1191"/>
      <c r="Q59" s="1191"/>
      <c r="R59" s="1191"/>
      <c r="S59" s="1191"/>
      <c r="T59" s="1191"/>
      <c r="U59" s="1191"/>
      <c r="V59" s="1191"/>
      <c r="W59" s="1191"/>
      <c r="X59" s="1191"/>
      <c r="Y59" s="1191"/>
      <c r="Z59" s="1191"/>
      <c r="AA59" s="1191"/>
      <c r="AB59" s="1191"/>
      <c r="AC59" s="1191"/>
      <c r="AD59" s="1191"/>
      <c r="AE59" s="1191"/>
      <c r="AF59" s="1191"/>
      <c r="AG59" s="1191"/>
      <c r="AH59" s="1191"/>
      <c r="AI59" s="1191"/>
      <c r="AJ59" s="1191"/>
      <c r="AK59" s="1191"/>
      <c r="AL59" s="1191"/>
      <c r="AM59" s="1191"/>
      <c r="AN59" s="1587"/>
      <c r="AO59" s="1191"/>
      <c r="AP59" s="1191"/>
      <c r="AQ59" s="1191"/>
      <c r="AR59" s="1191"/>
      <c r="AS59" s="1587">
        <v>14644</v>
      </c>
      <c r="AT59" s="1191"/>
      <c r="AU59" s="1156"/>
      <c r="AV59" s="1156"/>
      <c r="AW59" s="1156"/>
      <c r="AX59" s="1587">
        <v>14944</v>
      </c>
      <c r="AY59" s="1191"/>
      <c r="AZ59" s="1191"/>
      <c r="BA59" s="1191"/>
      <c r="BB59" s="1191"/>
      <c r="BC59" s="1587">
        <v>11335</v>
      </c>
      <c r="BD59" s="1206"/>
      <c r="BE59" s="1206"/>
      <c r="BF59" s="1206"/>
      <c r="BG59" s="1206"/>
      <c r="BH59" s="1596">
        <v>11386</v>
      </c>
      <c r="BI59" s="1182"/>
      <c r="BJ59" s="1182"/>
      <c r="BK59" s="1182"/>
      <c r="BL59" s="1182"/>
      <c r="BM59" s="1364">
        <v>11969</v>
      </c>
      <c r="BN59" s="1587"/>
      <c r="BO59" s="1190"/>
      <c r="BP59" s="1190"/>
      <c r="BQ59" s="1190"/>
      <c r="BR59" s="1364">
        <f>BR87-BR75</f>
        <v>11190</v>
      </c>
      <c r="BS59" s="1190"/>
      <c r="BT59" s="1190"/>
      <c r="BU59" s="1190"/>
      <c r="BV59" s="1190"/>
      <c r="BW59" s="1364">
        <f>BW87-BW75</f>
        <v>11026</v>
      </c>
      <c r="BX59" s="1190"/>
      <c r="BY59" s="1190"/>
      <c r="BZ59" s="1583"/>
      <c r="CA59" s="1190"/>
      <c r="CB59" s="1575">
        <f>SUM(CB54:CB58)</f>
        <v>11215.333333333332</v>
      </c>
      <c r="CC59" s="1240"/>
      <c r="CD59" s="1240"/>
      <c r="CE59" s="1240"/>
      <c r="CF59" s="1240"/>
      <c r="CG59" s="1575">
        <f>SUM(CG54:CG58)</f>
        <v>11732.920966666665</v>
      </c>
      <c r="CH59" s="1190"/>
      <c r="CI59" s="1190"/>
      <c r="CJ59" s="1190"/>
      <c r="CK59" s="1190"/>
      <c r="CL59" s="1575">
        <f>SUM(CL54:CL58)</f>
        <v>11787.965822666665</v>
      </c>
      <c r="CM59" s="2281">
        <f>CL59/CL12</f>
        <v>0.69954102561667941</v>
      </c>
      <c r="CN59" s="1190"/>
      <c r="CO59" s="1190"/>
      <c r="CP59" s="1190"/>
      <c r="CQ59" s="1575">
        <f>SUM(CQ54:CQ58)</f>
        <v>12468.612139886667</v>
      </c>
      <c r="CR59" s="2281">
        <f>CQ59/$CL$12</f>
        <v>0.73993306865388808</v>
      </c>
      <c r="CS59" s="1190"/>
      <c r="CT59" s="1190"/>
      <c r="CU59" s="1190"/>
      <c r="CV59" s="1575">
        <f>SUM(CV54:CV58)</f>
        <v>12871.323572267267</v>
      </c>
      <c r="CW59" s="1575">
        <f>SUM(CW54:CW58)</f>
        <v>13242.628655122937</v>
      </c>
      <c r="CX59" s="1575">
        <f>SUM(CX54:CX58)</f>
        <v>13521.155800114375</v>
      </c>
      <c r="CY59" s="1575">
        <f>SUM(CY54:CY58)</f>
        <v>13806.004097057305</v>
      </c>
      <c r="CZ59" s="1767"/>
    </row>
    <row r="60" spans="1:104" s="1178" customFormat="1" ht="11.25">
      <c r="A60" s="1191"/>
      <c r="B60" s="1191"/>
      <c r="C60" s="1191" t="s">
        <v>1079</v>
      </c>
      <c r="D60" s="1191"/>
      <c r="E60" s="1191"/>
      <c r="F60" s="1191"/>
      <c r="G60" s="1191"/>
      <c r="H60" s="1191"/>
      <c r="I60" s="1191"/>
      <c r="J60" s="1191"/>
      <c r="K60" s="1191"/>
      <c r="L60" s="1191"/>
      <c r="M60" s="1191"/>
      <c r="N60" s="1191"/>
      <c r="O60" s="1191"/>
      <c r="P60" s="1191"/>
      <c r="Q60" s="1191"/>
      <c r="R60" s="1191"/>
      <c r="S60" s="1191"/>
      <c r="T60" s="1191"/>
      <c r="U60" s="1191"/>
      <c r="V60" s="1191"/>
      <c r="W60" s="1191"/>
      <c r="X60" s="1191"/>
      <c r="Y60" s="1191"/>
      <c r="Z60" s="1191"/>
      <c r="AA60" s="1191"/>
      <c r="AB60" s="1191"/>
      <c r="AC60" s="1191"/>
      <c r="AD60" s="1191"/>
      <c r="AE60" s="1191"/>
      <c r="AF60" s="1191"/>
      <c r="AG60" s="1191"/>
      <c r="AH60" s="1191"/>
      <c r="AI60" s="1191"/>
      <c r="AJ60" s="1191"/>
      <c r="AK60" s="1191"/>
      <c r="AL60" s="1191"/>
      <c r="AM60" s="1191"/>
      <c r="AN60" s="1586"/>
      <c r="AO60" s="1191"/>
      <c r="AP60" s="1191"/>
      <c r="AQ60" s="1191"/>
      <c r="AR60" s="1191"/>
      <c r="AS60" s="1586"/>
      <c r="AT60" s="1191"/>
      <c r="AU60" s="1156"/>
      <c r="AV60" s="1156"/>
      <c r="AW60" s="1156"/>
      <c r="AX60" s="1586"/>
      <c r="AY60" s="1191"/>
      <c r="AZ60" s="1191"/>
      <c r="BA60" s="1191"/>
      <c r="BB60" s="1191"/>
      <c r="BC60" s="1586"/>
      <c r="BD60" s="1191"/>
      <c r="BE60" s="1191"/>
      <c r="BF60" s="1191"/>
      <c r="BG60" s="1191"/>
      <c r="BH60" s="1586"/>
      <c r="BI60" s="1191"/>
      <c r="BJ60" s="1191"/>
      <c r="BK60" s="1191"/>
      <c r="BL60" s="1191"/>
      <c r="BM60" s="1305">
        <f>BM59/BM12</f>
        <v>0.63448897370653101</v>
      </c>
      <c r="BN60" s="1190"/>
      <c r="BO60" s="1190"/>
      <c r="BP60" s="1190"/>
      <c r="BQ60" s="1190"/>
      <c r="BR60" s="1305">
        <f>BR59/BR12</f>
        <v>0.65476887068461087</v>
      </c>
      <c r="BS60" s="1190"/>
      <c r="BT60" s="1190"/>
      <c r="BU60" s="1190"/>
      <c r="BV60" s="1190"/>
      <c r="BW60" s="1305">
        <f>BW59/BW12</f>
        <v>0.65595811767505507</v>
      </c>
      <c r="BX60" s="1190"/>
      <c r="BY60" s="1190"/>
      <c r="BZ60" s="1583"/>
      <c r="CA60" s="1190"/>
      <c r="CB60" s="1595">
        <f>CB59/CB12</f>
        <v>0.66666666666666663</v>
      </c>
      <c r="CC60" s="1240"/>
      <c r="CD60" s="1240"/>
      <c r="CE60" s="1240"/>
      <c r="CF60" s="1240"/>
      <c r="CG60" s="1334">
        <f>CG59/CG87</f>
        <v>0.70229270934071764</v>
      </c>
      <c r="CH60" s="1190"/>
      <c r="CI60" s="1190"/>
      <c r="CJ60" s="1190"/>
      <c r="CK60" s="1190"/>
      <c r="CL60" s="1334">
        <f>CL59/CL87</f>
        <v>0.69954102561667941</v>
      </c>
      <c r="CM60" s="1190"/>
      <c r="CN60" s="1190"/>
      <c r="CO60" s="1190"/>
      <c r="CP60" s="1190"/>
      <c r="CQ60" s="1334">
        <f>CQ59/CQ87</f>
        <v>0.69887403273536408</v>
      </c>
      <c r="CR60" s="1190"/>
      <c r="CS60" s="1190"/>
      <c r="CT60" s="1190"/>
      <c r="CU60" s="1190"/>
      <c r="CV60" s="1334">
        <f>CV59/CV87</f>
        <v>0.68305042069692801</v>
      </c>
      <c r="CW60" s="1334">
        <f>CW59/CW87</f>
        <v>0.68466924429864051</v>
      </c>
      <c r="CX60" s="1334">
        <f>CX59/CX87</f>
        <v>0.68461609457495698</v>
      </c>
      <c r="CY60" s="1334">
        <f>CY59/CY87</f>
        <v>0.68454672230719493</v>
      </c>
      <c r="CZ60" s="1336"/>
    </row>
    <row r="61" spans="1:104" s="1178" customFormat="1" ht="11.25">
      <c r="A61" s="1191"/>
      <c r="B61" s="1191"/>
      <c r="C61" s="1373"/>
      <c r="D61" s="1191"/>
      <c r="E61" s="1191"/>
      <c r="F61" s="1191"/>
      <c r="G61" s="1191"/>
      <c r="H61" s="1191"/>
      <c r="I61" s="1191"/>
      <c r="J61" s="1191"/>
      <c r="K61" s="1191"/>
      <c r="L61" s="1191"/>
      <c r="M61" s="1191"/>
      <c r="N61" s="1191"/>
      <c r="O61" s="1191"/>
      <c r="P61" s="1191"/>
      <c r="Q61" s="1191"/>
      <c r="R61" s="1191"/>
      <c r="S61" s="1191"/>
      <c r="T61" s="1191"/>
      <c r="U61" s="1191"/>
      <c r="V61" s="1191"/>
      <c r="W61" s="1191"/>
      <c r="X61" s="1191"/>
      <c r="Y61" s="1191"/>
      <c r="Z61" s="1191"/>
      <c r="AA61" s="1191"/>
      <c r="AB61" s="1191"/>
      <c r="AC61" s="1191"/>
      <c r="AD61" s="1191"/>
      <c r="AE61" s="1191"/>
      <c r="AF61" s="1191"/>
      <c r="AG61" s="1191"/>
      <c r="AH61" s="1191"/>
      <c r="AI61" s="1191"/>
      <c r="AJ61" s="1191"/>
      <c r="AK61" s="1191"/>
      <c r="AL61" s="1191"/>
      <c r="AM61" s="1191"/>
      <c r="AN61" s="1191"/>
      <c r="AO61" s="1191"/>
      <c r="AP61" s="1191"/>
      <c r="AQ61" s="1191"/>
      <c r="AR61" s="1191"/>
      <c r="AS61" s="1191"/>
      <c r="AT61" s="1191"/>
      <c r="AU61" s="1191"/>
      <c r="AV61" s="1191"/>
      <c r="AW61" s="1191"/>
      <c r="AX61" s="1191"/>
      <c r="AY61" s="1191"/>
      <c r="AZ61" s="1191"/>
      <c r="BA61" s="1191"/>
      <c r="BB61" s="1191"/>
      <c r="BC61" s="1191"/>
      <c r="BD61" s="1191"/>
      <c r="BE61" s="1191"/>
      <c r="BF61" s="1191"/>
      <c r="BG61" s="1191"/>
      <c r="BH61" s="1191"/>
      <c r="BI61" s="1182"/>
      <c r="BJ61" s="1182"/>
      <c r="BK61" s="1182"/>
      <c r="BL61" s="1182"/>
      <c r="BM61" s="1364"/>
      <c r="BN61" s="1190"/>
      <c r="BO61" s="1190"/>
      <c r="BP61" s="1190"/>
      <c r="BQ61" s="1190"/>
      <c r="BR61" s="1223"/>
      <c r="BS61" s="1190"/>
      <c r="BT61" s="1190"/>
      <c r="BU61" s="1190"/>
      <c r="BV61" s="1190"/>
      <c r="BW61" s="1581"/>
      <c r="BX61" s="1190"/>
      <c r="BY61" s="1190"/>
      <c r="BZ61" s="1583"/>
      <c r="CA61" s="1190"/>
      <c r="CB61" s="1536">
        <f>CB59/BW59-1</f>
        <v>1.7171533950057327E-2</v>
      </c>
      <c r="CC61" s="1240"/>
      <c r="CD61" s="1240"/>
      <c r="CE61" s="1240"/>
      <c r="CF61" s="1240"/>
      <c r="CG61" s="1574">
        <f>CG59/CB59-1</f>
        <v>4.6149999999999913E-2</v>
      </c>
      <c r="CH61" s="1190"/>
      <c r="CI61" s="1190"/>
      <c r="CJ61" s="1190"/>
      <c r="CK61" s="1190"/>
      <c r="CL61" s="1574">
        <f>CL59/CG59-1</f>
        <v>4.6914878363524259E-3</v>
      </c>
      <c r="CM61" s="1190"/>
      <c r="CN61" s="1190"/>
      <c r="CO61" s="1190"/>
      <c r="CP61" s="1190"/>
      <c r="CQ61" s="1534"/>
      <c r="CR61" s="1190"/>
      <c r="CS61" s="1190"/>
      <c r="CT61" s="1190"/>
      <c r="CU61" s="1190"/>
      <c r="CV61" s="1534"/>
      <c r="CW61" s="1534"/>
      <c r="CX61" s="1534"/>
      <c r="CY61" s="1534"/>
      <c r="CZ61" s="1197"/>
    </row>
    <row r="62" spans="1:104" s="1178" customFormat="1" ht="11.25">
      <c r="A62" s="1191"/>
      <c r="B62" s="1191"/>
      <c r="C62" s="1373" t="s">
        <v>1078</v>
      </c>
      <c r="D62" s="1191"/>
      <c r="E62" s="1191"/>
      <c r="F62" s="1191"/>
      <c r="G62" s="1191"/>
      <c r="H62" s="1191"/>
      <c r="I62" s="1191"/>
      <c r="J62" s="1191"/>
      <c r="K62" s="1191"/>
      <c r="L62" s="1191"/>
      <c r="M62" s="1191"/>
      <c r="N62" s="1191"/>
      <c r="O62" s="1191"/>
      <c r="P62" s="1191"/>
      <c r="Q62" s="1191"/>
      <c r="R62" s="1191"/>
      <c r="S62" s="1191"/>
      <c r="T62" s="1191"/>
      <c r="U62" s="1191"/>
      <c r="V62" s="1191"/>
      <c r="W62" s="1191"/>
      <c r="X62" s="1191"/>
      <c r="Y62" s="1191"/>
      <c r="Z62" s="1191"/>
      <c r="AA62" s="1191"/>
      <c r="AB62" s="1191"/>
      <c r="AC62" s="1191"/>
      <c r="AD62" s="1191"/>
      <c r="AE62" s="1191"/>
      <c r="AF62" s="1191"/>
      <c r="AG62" s="1191"/>
      <c r="AH62" s="1191"/>
      <c r="AI62" s="1191"/>
      <c r="AJ62" s="1191"/>
      <c r="AK62" s="1191"/>
      <c r="AL62" s="1191"/>
      <c r="AM62" s="1191"/>
      <c r="AN62" s="1191"/>
      <c r="AO62" s="1191"/>
      <c r="AP62" s="1191"/>
      <c r="AQ62" s="1191"/>
      <c r="AR62" s="1191"/>
      <c r="AS62" s="1191"/>
      <c r="AT62" s="1191"/>
      <c r="AU62" s="1191"/>
      <c r="AV62" s="1191"/>
      <c r="AW62" s="1191"/>
      <c r="AX62" s="1191"/>
      <c r="AY62" s="1191"/>
      <c r="AZ62" s="1191"/>
      <c r="BA62" s="1191"/>
      <c r="BB62" s="1191"/>
      <c r="BC62" s="1191"/>
      <c r="BD62" s="1191"/>
      <c r="BE62" s="1191"/>
      <c r="BF62" s="1191"/>
      <c r="BG62" s="1191"/>
      <c r="BH62" s="1191"/>
      <c r="BI62" s="1182"/>
      <c r="BJ62" s="1182"/>
      <c r="BK62" s="1182"/>
      <c r="BL62" s="1182"/>
      <c r="BM62" s="1364"/>
      <c r="BN62" s="1190"/>
      <c r="BO62" s="1190"/>
      <c r="BP62" s="1190"/>
      <c r="BQ62" s="1190"/>
      <c r="BR62" s="1223"/>
      <c r="BS62" s="1190"/>
      <c r="BT62" s="1190"/>
      <c r="BU62" s="1190"/>
      <c r="BV62" s="1190"/>
      <c r="BW62" s="1223"/>
      <c r="BX62" s="1210"/>
      <c r="BY62" s="1190"/>
      <c r="BZ62" s="1594"/>
      <c r="CA62" s="1210"/>
      <c r="CB62" s="1253"/>
      <c r="CC62" s="1240"/>
      <c r="CD62" s="1240"/>
      <c r="CE62" s="1240"/>
      <c r="CF62" s="1240"/>
      <c r="CG62" s="1253"/>
      <c r="CH62" s="1190"/>
      <c r="CI62" s="1190"/>
      <c r="CJ62" s="1190"/>
      <c r="CK62" s="1190"/>
      <c r="CL62" s="1253"/>
      <c r="CM62" s="1190"/>
      <c r="CN62" s="1190"/>
      <c r="CO62" s="1190"/>
      <c r="CP62" s="1190"/>
      <c r="CQ62" s="1534"/>
      <c r="CR62" s="1190"/>
      <c r="CS62" s="1190"/>
      <c r="CT62" s="1190"/>
      <c r="CU62" s="1190"/>
      <c r="CV62" s="1534"/>
      <c r="CW62" s="1534"/>
      <c r="CX62" s="1534"/>
      <c r="CY62" s="1534"/>
      <c r="CZ62" s="1197"/>
    </row>
    <row r="63" spans="1:104" s="1178" customFormat="1" ht="11.25">
      <c r="A63" s="1191"/>
      <c r="B63" s="1191"/>
      <c r="C63" s="1373"/>
      <c r="D63" s="1191" t="s">
        <v>1077</v>
      </c>
      <c r="E63" s="1191"/>
      <c r="F63" s="1191"/>
      <c r="G63" s="1191"/>
      <c r="H63" s="1191"/>
      <c r="I63" s="1191"/>
      <c r="J63" s="1191"/>
      <c r="K63" s="1191"/>
      <c r="L63" s="1191"/>
      <c r="M63" s="1191"/>
      <c r="N63" s="1191"/>
      <c r="O63" s="1191"/>
      <c r="P63" s="1191"/>
      <c r="Q63" s="1191"/>
      <c r="R63" s="1191"/>
      <c r="S63" s="1191"/>
      <c r="T63" s="1191"/>
      <c r="U63" s="1191"/>
      <c r="V63" s="1191"/>
      <c r="W63" s="1191"/>
      <c r="X63" s="1191"/>
      <c r="Y63" s="1191"/>
      <c r="Z63" s="1191"/>
      <c r="AA63" s="1191"/>
      <c r="AB63" s="1191"/>
      <c r="AC63" s="1191"/>
      <c r="AD63" s="1191"/>
      <c r="AE63" s="1191"/>
      <c r="AF63" s="1191"/>
      <c r="AG63" s="1191"/>
      <c r="AH63" s="1191"/>
      <c r="AI63" s="1191"/>
      <c r="AJ63" s="1191"/>
      <c r="AK63" s="1191"/>
      <c r="AL63" s="1191"/>
      <c r="AM63" s="1191"/>
      <c r="AN63" s="1191"/>
      <c r="AO63" s="1191"/>
      <c r="AP63" s="1191"/>
      <c r="AQ63" s="1191"/>
      <c r="AR63" s="1191"/>
      <c r="AS63" s="1335"/>
      <c r="AT63" s="1191"/>
      <c r="AU63" s="1191"/>
      <c r="AV63" s="1191"/>
      <c r="AW63" s="1191"/>
      <c r="AX63" s="1335">
        <f>AX54/AS54-1</f>
        <v>0.10119047619047628</v>
      </c>
      <c r="AY63" s="1191"/>
      <c r="AZ63" s="1191"/>
      <c r="BA63" s="1191"/>
      <c r="BB63" s="1191"/>
      <c r="BC63" s="1335">
        <f>BC54/AX54-1</f>
        <v>-0.13513513513513509</v>
      </c>
      <c r="BD63" s="1191"/>
      <c r="BE63" s="1191"/>
      <c r="BF63" s="1191"/>
      <c r="BG63" s="1191"/>
      <c r="BH63" s="1335">
        <f>BH54/BC54-1</f>
        <v>9.375E-2</v>
      </c>
      <c r="BI63" s="1182"/>
      <c r="BJ63" s="1182"/>
      <c r="BK63" s="1182"/>
      <c r="BL63" s="1182"/>
      <c r="BM63" s="1346">
        <f>BM54/BH54-1</f>
        <v>-0.19999999999999996</v>
      </c>
      <c r="BN63" s="1190"/>
      <c r="BO63" s="1190"/>
      <c r="BP63" s="1190"/>
      <c r="BQ63" s="1190"/>
      <c r="BR63" s="1346">
        <f>BR54/BM54-1</f>
        <v>-0.1071428571428571</v>
      </c>
      <c r="BS63" s="1190"/>
      <c r="BT63" s="1240"/>
      <c r="BU63" s="1240"/>
      <c r="BV63" s="1240"/>
      <c r="BW63" s="1593"/>
      <c r="BX63" s="1240"/>
      <c r="BY63" s="1240"/>
      <c r="BZ63" s="1537"/>
      <c r="CA63" s="1592"/>
      <c r="CB63" s="1581"/>
      <c r="CC63" s="1240"/>
      <c r="CD63" s="1240"/>
      <c r="CE63" s="1240"/>
      <c r="CF63" s="1240"/>
      <c r="CG63" s="1593"/>
      <c r="CH63" s="1240"/>
      <c r="CI63" s="1240"/>
      <c r="CJ63" s="1240"/>
      <c r="CK63" s="1190"/>
      <c r="CL63" s="1593"/>
      <c r="CM63" s="1240"/>
      <c r="CN63" s="1240"/>
      <c r="CO63" s="1240"/>
      <c r="CP63" s="1190"/>
      <c r="CQ63" s="1593"/>
      <c r="CR63" s="1240"/>
      <c r="CS63" s="1240"/>
      <c r="CT63" s="1240"/>
      <c r="CU63" s="1190"/>
      <c r="CV63" s="1593"/>
      <c r="CW63" s="1593"/>
      <c r="CX63" s="1593"/>
      <c r="CY63" s="1593"/>
      <c r="CZ63" s="1971"/>
    </row>
    <row r="64" spans="1:104" s="1178" customFormat="1" ht="11.25">
      <c r="A64" s="1191"/>
      <c r="B64" s="1191"/>
      <c r="C64" s="1373"/>
      <c r="D64" s="1191" t="s">
        <v>1076</v>
      </c>
      <c r="E64" s="1191"/>
      <c r="F64" s="1191"/>
      <c r="G64" s="1191"/>
      <c r="H64" s="1191"/>
      <c r="I64" s="1191"/>
      <c r="J64" s="1191"/>
      <c r="K64" s="1191"/>
      <c r="L64" s="1191"/>
      <c r="M64" s="1191"/>
      <c r="N64" s="1191"/>
      <c r="O64" s="1191"/>
      <c r="P64" s="1191"/>
      <c r="Q64" s="1191"/>
      <c r="R64" s="1191"/>
      <c r="S64" s="1191"/>
      <c r="T64" s="1191"/>
      <c r="U64" s="1191"/>
      <c r="V64" s="1191"/>
      <c r="W64" s="1191"/>
      <c r="X64" s="1191"/>
      <c r="Y64" s="1191"/>
      <c r="Z64" s="1191"/>
      <c r="AA64" s="1191"/>
      <c r="AB64" s="1191"/>
      <c r="AC64" s="1191"/>
      <c r="AD64" s="1191"/>
      <c r="AE64" s="1191"/>
      <c r="AF64" s="1191"/>
      <c r="AG64" s="1191"/>
      <c r="AH64" s="1191"/>
      <c r="AI64" s="1191"/>
      <c r="AJ64" s="1191"/>
      <c r="AK64" s="1191"/>
      <c r="AL64" s="1191"/>
      <c r="AM64" s="1191"/>
      <c r="AN64" s="1191"/>
      <c r="AO64" s="1191"/>
      <c r="AP64" s="1191"/>
      <c r="AQ64" s="1191"/>
      <c r="AR64" s="1191"/>
      <c r="AS64" s="1335"/>
      <c r="AT64" s="1191"/>
      <c r="AU64" s="1191"/>
      <c r="AV64" s="1191"/>
      <c r="AW64" s="1191"/>
      <c r="AX64" s="1335">
        <f>AX55/AS55-1</f>
        <v>5.7542768273717071E-2</v>
      </c>
      <c r="AY64" s="1191"/>
      <c r="AZ64" s="1191"/>
      <c r="BA64" s="1191"/>
      <c r="BB64" s="1191"/>
      <c r="BC64" s="1335">
        <f>BC55/AX55-1</f>
        <v>-0.20588235294117663</v>
      </c>
      <c r="BD64" s="1191"/>
      <c r="BE64" s="1191"/>
      <c r="BF64" s="1191"/>
      <c r="BG64" s="1191"/>
      <c r="BH64" s="1335">
        <f>BH55/BC55-1</f>
        <v>-0.16666666666666663</v>
      </c>
      <c r="BI64" s="1182"/>
      <c r="BJ64" s="1182"/>
      <c r="BK64" s="1182"/>
      <c r="BL64" s="1182"/>
      <c r="BM64" s="1346">
        <f>BM55/BH55-1</f>
        <v>-0.11111111111111116</v>
      </c>
      <c r="BN64" s="1190"/>
      <c r="BO64" s="1190"/>
      <c r="BP64" s="1190"/>
      <c r="BQ64" s="1190"/>
      <c r="BR64" s="1346">
        <f>BR55/BM55-1</f>
        <v>-2.5000000000000022E-2</v>
      </c>
      <c r="BS64" s="1190"/>
      <c r="BT64" s="1254">
        <v>-0.03</v>
      </c>
      <c r="BU64" s="1538">
        <v>-0.03</v>
      </c>
      <c r="BV64" s="1240"/>
      <c r="BW64" s="1581">
        <v>-0.02</v>
      </c>
      <c r="BX64" s="1254" t="s">
        <v>1075</v>
      </c>
      <c r="BY64" s="1254" t="s">
        <v>949</v>
      </c>
      <c r="BZ64" s="1537" t="s">
        <v>1074</v>
      </c>
      <c r="CA64" s="1592" t="s">
        <v>1069</v>
      </c>
      <c r="CB64" s="1581">
        <v>0.05</v>
      </c>
      <c r="CC64" s="1240"/>
      <c r="CD64" s="1254" t="s">
        <v>983</v>
      </c>
      <c r="CE64" s="1889">
        <v>-0.05</v>
      </c>
      <c r="CF64" s="1254">
        <v>0.04</v>
      </c>
      <c r="CG64" s="1581">
        <v>-0.04</v>
      </c>
      <c r="CH64" s="2115">
        <v>0.01</v>
      </c>
      <c r="CI64" s="2115" t="s">
        <v>956</v>
      </c>
      <c r="CJ64" s="1240" t="s">
        <v>948</v>
      </c>
      <c r="CK64" s="1190" t="s">
        <v>956</v>
      </c>
      <c r="CL64" s="1581">
        <v>0.01</v>
      </c>
      <c r="CM64" s="1240" t="s">
        <v>948</v>
      </c>
      <c r="CN64" s="1889">
        <v>0.03</v>
      </c>
      <c r="CO64" s="2115">
        <v>0.04</v>
      </c>
      <c r="CP64" s="1190"/>
      <c r="CQ64" s="2246">
        <v>0.03</v>
      </c>
      <c r="CR64" s="1240"/>
      <c r="CS64" s="1240"/>
      <c r="CT64" s="1240"/>
      <c r="CU64" s="1190"/>
      <c r="CV64" s="1581">
        <v>0.03</v>
      </c>
      <c r="CW64" s="1581">
        <v>0.02</v>
      </c>
      <c r="CX64" s="1581">
        <v>0.02</v>
      </c>
      <c r="CY64" s="1581">
        <v>0.02</v>
      </c>
      <c r="CZ64" s="1972"/>
    </row>
    <row r="65" spans="1:104" s="1178" customFormat="1" ht="11.25">
      <c r="A65" s="1191"/>
      <c r="B65" s="1191"/>
      <c r="C65" s="1373"/>
      <c r="D65" s="1156" t="s">
        <v>1073</v>
      </c>
      <c r="E65" s="1191"/>
      <c r="F65" s="1191"/>
      <c r="G65" s="1191"/>
      <c r="H65" s="1191"/>
      <c r="I65" s="1191"/>
      <c r="J65" s="1191"/>
      <c r="K65" s="1191"/>
      <c r="L65" s="1191"/>
      <c r="M65" s="1191"/>
      <c r="N65" s="1191"/>
      <c r="O65" s="1191"/>
      <c r="P65" s="1191"/>
      <c r="Q65" s="1191"/>
      <c r="R65" s="1191"/>
      <c r="S65" s="1191"/>
      <c r="T65" s="1191"/>
      <c r="U65" s="1191"/>
      <c r="V65" s="1191"/>
      <c r="W65" s="1191"/>
      <c r="X65" s="1191"/>
      <c r="Y65" s="1191"/>
      <c r="Z65" s="1191"/>
      <c r="AA65" s="1191"/>
      <c r="AB65" s="1191"/>
      <c r="AC65" s="1191"/>
      <c r="AD65" s="1191"/>
      <c r="AE65" s="1191"/>
      <c r="AF65" s="1191"/>
      <c r="AG65" s="1191"/>
      <c r="AH65" s="1191"/>
      <c r="AI65" s="1191"/>
      <c r="AJ65" s="1191"/>
      <c r="AK65" s="1191"/>
      <c r="AL65" s="1191"/>
      <c r="AM65" s="1191"/>
      <c r="AN65" s="1191"/>
      <c r="AO65" s="1191"/>
      <c r="AP65" s="1191"/>
      <c r="AQ65" s="1191"/>
      <c r="AR65" s="1191"/>
      <c r="AS65" s="1335"/>
      <c r="AT65" s="1191"/>
      <c r="AU65" s="1191"/>
      <c r="AV65" s="1191"/>
      <c r="AW65" s="1191"/>
      <c r="AX65" s="1335">
        <f>AX56/AS56-1</f>
        <v>0.22222222222222232</v>
      </c>
      <c r="AY65" s="1191"/>
      <c r="AZ65" s="1191"/>
      <c r="BA65" s="1191"/>
      <c r="BB65" s="1191"/>
      <c r="BC65" s="1335">
        <f>BC56/AX56-1</f>
        <v>-0.40909090909090906</v>
      </c>
      <c r="BD65" s="1191"/>
      <c r="BE65" s="1191"/>
      <c r="BF65" s="1191"/>
      <c r="BG65" s="1191"/>
      <c r="BH65" s="1335">
        <f>BH56/BC56-1</f>
        <v>0.34615384615384626</v>
      </c>
      <c r="BI65" s="1182"/>
      <c r="BJ65" s="1182"/>
      <c r="BK65" s="1182"/>
      <c r="BL65" s="1182"/>
      <c r="BM65" s="1346">
        <f>BM56/BH56-1</f>
        <v>0.22857142857142865</v>
      </c>
      <c r="BN65" s="1190"/>
      <c r="BO65" s="1190"/>
      <c r="BP65" s="1190"/>
      <c r="BQ65" s="1190"/>
      <c r="BR65" s="1346">
        <f>BR56/BM56-1</f>
        <v>-0.11627906976744184</v>
      </c>
      <c r="BS65" s="1335">
        <v>-0.4</v>
      </c>
      <c r="BT65" s="1254">
        <v>0.11</v>
      </c>
      <c r="BU65" s="1254">
        <v>0.22</v>
      </c>
      <c r="BV65" s="1337">
        <v>0.22</v>
      </c>
      <c r="BW65" s="1581">
        <f>AVERAGE(BS65:BV65)</f>
        <v>3.7499999999999992E-2</v>
      </c>
      <c r="BX65" s="1254">
        <v>7.0000000000000007E-2</v>
      </c>
      <c r="BY65" s="1254" t="s">
        <v>950</v>
      </c>
      <c r="BZ65" s="1537" t="s">
        <v>1072</v>
      </c>
      <c r="CA65" s="1254" t="s">
        <v>958</v>
      </c>
      <c r="CB65" s="1581">
        <v>0.02</v>
      </c>
      <c r="CC65" s="1240" t="s">
        <v>943</v>
      </c>
      <c r="CD65" s="1240" t="s">
        <v>1071</v>
      </c>
      <c r="CE65" s="1889">
        <v>0.19</v>
      </c>
      <c r="CF65" s="1889">
        <v>0.05</v>
      </c>
      <c r="CG65" s="1581">
        <v>0.1</v>
      </c>
      <c r="CH65" s="2115">
        <v>0</v>
      </c>
      <c r="CI65" s="2115">
        <v>-0.06</v>
      </c>
      <c r="CJ65" s="2115">
        <v>-0.08</v>
      </c>
      <c r="CK65" s="1210">
        <v>-0.01</v>
      </c>
      <c r="CL65" s="1581">
        <v>-0.03</v>
      </c>
      <c r="CM65" s="2115">
        <v>-0.08</v>
      </c>
      <c r="CN65" s="1889">
        <v>0.05</v>
      </c>
      <c r="CO65" s="2115">
        <v>0.08</v>
      </c>
      <c r="CP65" s="2115"/>
      <c r="CQ65" s="2247">
        <v>0.03</v>
      </c>
      <c r="CR65" s="1240"/>
      <c r="CS65" s="1240"/>
      <c r="CT65" s="1240"/>
      <c r="CU65" s="1190"/>
      <c r="CV65" s="1581">
        <v>0.03</v>
      </c>
      <c r="CW65" s="1581">
        <v>0.05</v>
      </c>
      <c r="CX65" s="1581">
        <v>0.02</v>
      </c>
      <c r="CY65" s="1581">
        <v>0.02</v>
      </c>
      <c r="CZ65" s="1972"/>
    </row>
    <row r="66" spans="1:104" s="1178" customFormat="1" ht="11.25">
      <c r="A66" s="1191"/>
      <c r="B66" s="1191"/>
      <c r="C66" s="1373"/>
      <c r="D66" s="1191" t="s">
        <v>1070</v>
      </c>
      <c r="E66" s="1191"/>
      <c r="F66" s="1191"/>
      <c r="G66" s="1191"/>
      <c r="H66" s="1191"/>
      <c r="I66" s="1191"/>
      <c r="J66" s="1191"/>
      <c r="K66" s="1191"/>
      <c r="L66" s="1191"/>
      <c r="M66" s="1191"/>
      <c r="N66" s="1191"/>
      <c r="O66" s="1191"/>
      <c r="P66" s="1191"/>
      <c r="Q66" s="1191"/>
      <c r="R66" s="1191"/>
      <c r="S66" s="1191"/>
      <c r="T66" s="1191"/>
      <c r="U66" s="1191"/>
      <c r="V66" s="1191"/>
      <c r="W66" s="1191"/>
      <c r="X66" s="1191"/>
      <c r="Y66" s="1191"/>
      <c r="Z66" s="1191"/>
      <c r="AA66" s="1191"/>
      <c r="AB66" s="1191"/>
      <c r="AC66" s="1191"/>
      <c r="AD66" s="1191"/>
      <c r="AE66" s="1191"/>
      <c r="AF66" s="1191"/>
      <c r="AG66" s="1191"/>
      <c r="AH66" s="1191"/>
      <c r="AI66" s="1191"/>
      <c r="AJ66" s="1191"/>
      <c r="AK66" s="1191"/>
      <c r="AL66" s="1191"/>
      <c r="AM66" s="1191"/>
      <c r="AN66" s="1191"/>
      <c r="AO66" s="1191"/>
      <c r="AP66" s="1191"/>
      <c r="AQ66" s="1191"/>
      <c r="AR66" s="1191"/>
      <c r="AS66" s="1335"/>
      <c r="AT66" s="1191"/>
      <c r="AU66" s="1191"/>
      <c r="AV66" s="1191"/>
      <c r="AW66" s="1191"/>
      <c r="AX66" s="1335">
        <f>AX57/AS57-1</f>
        <v>-0.26522593320235788</v>
      </c>
      <c r="AY66" s="1191"/>
      <c r="AZ66" s="1191"/>
      <c r="BA66" s="1191"/>
      <c r="BB66" s="1191"/>
      <c r="BC66" s="1335">
        <f>BC57/AX57-1</f>
        <v>-0.36051693404634555</v>
      </c>
      <c r="BD66" s="1191"/>
      <c r="BE66" s="1191"/>
      <c r="BF66" s="1191"/>
      <c r="BG66" s="1191"/>
      <c r="BH66" s="1335">
        <f>BH57/BC57-1</f>
        <v>4.5296167247386832E-2</v>
      </c>
      <c r="BI66" s="1182"/>
      <c r="BJ66" s="1182"/>
      <c r="BK66" s="1182"/>
      <c r="BL66" s="1182"/>
      <c r="BM66" s="1346">
        <f>BM57/BH57-1</f>
        <v>0</v>
      </c>
      <c r="BN66" s="1190"/>
      <c r="BO66" s="1190"/>
      <c r="BP66" s="1190"/>
      <c r="BQ66" s="1190"/>
      <c r="BR66" s="1346">
        <f>BR57/BM57-1</f>
        <v>0</v>
      </c>
      <c r="BS66" s="1190"/>
      <c r="BT66" s="1240"/>
      <c r="BU66" s="1538">
        <v>0.02</v>
      </c>
      <c r="BV66" s="1240"/>
      <c r="BW66" s="1581">
        <v>0.01</v>
      </c>
      <c r="BX66" s="1254"/>
      <c r="BY66" s="1254"/>
      <c r="BZ66" s="1537" t="s">
        <v>948</v>
      </c>
      <c r="CA66" s="1254" t="s">
        <v>1069</v>
      </c>
      <c r="CB66" s="1581">
        <v>0</v>
      </c>
      <c r="CC66" s="1240"/>
      <c r="CD66" s="1240"/>
      <c r="CE66" s="1240"/>
      <c r="CF66" s="1254">
        <v>-0.06</v>
      </c>
      <c r="CG66" s="1581">
        <v>-0.01</v>
      </c>
      <c r="CH66" s="1240" t="s">
        <v>1229</v>
      </c>
      <c r="CI66" s="2115" t="s">
        <v>956</v>
      </c>
      <c r="CJ66" s="1240" t="s">
        <v>1041</v>
      </c>
      <c r="CK66" s="2115">
        <v>0.09</v>
      </c>
      <c r="CL66" s="1581">
        <v>0.02</v>
      </c>
      <c r="CM66" s="1240" t="s">
        <v>988</v>
      </c>
      <c r="CN66" s="1889">
        <v>0.12</v>
      </c>
      <c r="CO66" s="1240">
        <v>11</v>
      </c>
      <c r="CP66" s="1190"/>
      <c r="CQ66" s="2247">
        <v>7.0000000000000007E-2</v>
      </c>
      <c r="CR66" s="1240"/>
      <c r="CS66" s="1240"/>
      <c r="CT66" s="1240"/>
      <c r="CU66" s="1190"/>
      <c r="CV66" s="1581">
        <v>0.03</v>
      </c>
      <c r="CW66" s="1581">
        <v>0.01</v>
      </c>
      <c r="CX66" s="1581">
        <v>0.01</v>
      </c>
      <c r="CY66" s="1581">
        <v>0.01</v>
      </c>
      <c r="CZ66" s="1972"/>
    </row>
    <row r="67" spans="1:104" s="1178" customFormat="1" ht="11.25">
      <c r="A67" s="1191"/>
      <c r="B67" s="1191"/>
      <c r="C67" s="1373"/>
      <c r="D67" s="1191" t="s">
        <v>1068</v>
      </c>
      <c r="E67" s="1191"/>
      <c r="F67" s="1191"/>
      <c r="G67" s="1191"/>
      <c r="H67" s="1191"/>
      <c r="I67" s="1191"/>
      <c r="J67" s="1191"/>
      <c r="K67" s="1191"/>
      <c r="L67" s="1191"/>
      <c r="M67" s="1191"/>
      <c r="N67" s="1191"/>
      <c r="O67" s="1191"/>
      <c r="P67" s="1191"/>
      <c r="Q67" s="1191"/>
      <c r="R67" s="1191"/>
      <c r="S67" s="1191"/>
      <c r="T67" s="1191"/>
      <c r="U67" s="1191"/>
      <c r="V67" s="1191"/>
      <c r="W67" s="1191"/>
      <c r="X67" s="1191"/>
      <c r="Y67" s="1191"/>
      <c r="Z67" s="1191"/>
      <c r="AA67" s="1191"/>
      <c r="AB67" s="1191"/>
      <c r="AC67" s="1191"/>
      <c r="AD67" s="1191"/>
      <c r="AE67" s="1191"/>
      <c r="AF67" s="1191"/>
      <c r="AG67" s="1191"/>
      <c r="AH67" s="1191"/>
      <c r="AI67" s="1191"/>
      <c r="AJ67" s="1191"/>
      <c r="AK67" s="1191"/>
      <c r="AL67" s="1191"/>
      <c r="AM67" s="1191"/>
      <c r="AN67" s="1191"/>
      <c r="AO67" s="1191"/>
      <c r="AP67" s="1191"/>
      <c r="AQ67" s="1191"/>
      <c r="AR67" s="1191"/>
      <c r="AS67" s="1335"/>
      <c r="AT67" s="1191"/>
      <c r="AU67" s="1191"/>
      <c r="AV67" s="1191"/>
      <c r="AW67" s="1191"/>
      <c r="AX67" s="1335"/>
      <c r="AY67" s="1191"/>
      <c r="AZ67" s="1191"/>
      <c r="BA67" s="1191"/>
      <c r="BB67" s="1191"/>
      <c r="BC67" s="1335"/>
      <c r="BD67" s="1191"/>
      <c r="BE67" s="1191"/>
      <c r="BF67" s="1191"/>
      <c r="BG67" s="1191"/>
      <c r="BH67" s="1335"/>
      <c r="BI67" s="1182"/>
      <c r="BJ67" s="1182"/>
      <c r="BK67" s="1182"/>
      <c r="BL67" s="1182"/>
      <c r="BM67" s="1346"/>
      <c r="BN67" s="1190"/>
      <c r="BO67" s="1190"/>
      <c r="BP67" s="1190"/>
      <c r="BQ67" s="1190"/>
      <c r="BR67" s="1346"/>
      <c r="BS67" s="1190"/>
      <c r="BT67" s="1240"/>
      <c r="BU67" s="1240"/>
      <c r="BV67" s="1240"/>
      <c r="BW67" s="1581"/>
      <c r="BX67" s="1254"/>
      <c r="BY67" s="1254"/>
      <c r="BZ67" s="1537"/>
      <c r="CA67" s="1254"/>
      <c r="CB67" s="1581"/>
      <c r="CC67" s="1240"/>
      <c r="CD67" s="1240"/>
      <c r="CE67" s="1240"/>
      <c r="CF67" s="1240"/>
      <c r="CG67" s="1581"/>
      <c r="CH67" s="1240"/>
      <c r="CI67" s="1240"/>
      <c r="CJ67" s="1240"/>
      <c r="CK67" s="1190"/>
      <c r="CL67" s="1581"/>
      <c r="CM67" s="2115"/>
      <c r="CN67" s="1889"/>
      <c r="CO67" s="2115"/>
      <c r="CP67" s="1210"/>
      <c r="CQ67" s="2246"/>
      <c r="CR67" s="1240"/>
      <c r="CS67" s="1240"/>
      <c r="CT67" s="1240"/>
      <c r="CU67" s="1190"/>
      <c r="CV67" s="1581"/>
      <c r="CW67" s="1581"/>
      <c r="CX67" s="1581"/>
      <c r="CY67" s="1581"/>
      <c r="CZ67" s="1972"/>
    </row>
    <row r="68" spans="1:104" s="1178" customFormat="1" ht="11.25">
      <c r="A68" s="1191"/>
      <c r="B68" s="1191"/>
      <c r="C68" s="1373"/>
      <c r="D68" s="1191" t="s">
        <v>1067</v>
      </c>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1191"/>
      <c r="AK68" s="1191"/>
      <c r="AL68" s="1191"/>
      <c r="AM68" s="1191"/>
      <c r="AN68" s="1191"/>
      <c r="AO68" s="1191"/>
      <c r="AP68" s="1191"/>
      <c r="AQ68" s="1191"/>
      <c r="AR68" s="1191"/>
      <c r="AS68" s="1191"/>
      <c r="AT68" s="1191"/>
      <c r="AU68" s="1191"/>
      <c r="AV68" s="1191"/>
      <c r="AW68" s="1191"/>
      <c r="AX68" s="1191"/>
      <c r="AY68" s="1191"/>
      <c r="AZ68" s="1191"/>
      <c r="BA68" s="1191"/>
      <c r="BB68" s="1191"/>
      <c r="BC68" s="1191"/>
      <c r="BD68" s="1191"/>
      <c r="BE68" s="1191"/>
      <c r="BF68" s="1191"/>
      <c r="BG68" s="1191"/>
      <c r="BH68" s="1191"/>
      <c r="BI68" s="1182"/>
      <c r="BJ68" s="1182"/>
      <c r="BK68" s="1182"/>
      <c r="BL68" s="1182"/>
      <c r="BM68" s="1364"/>
      <c r="BN68" s="1190"/>
      <c r="BO68" s="1190"/>
      <c r="BP68" s="1190"/>
      <c r="BQ68" s="1190"/>
      <c r="BR68" s="1223"/>
      <c r="BS68" s="1335">
        <v>0.09</v>
      </c>
      <c r="BT68" s="1336">
        <v>0.13</v>
      </c>
      <c r="BU68" s="1336">
        <v>0.09</v>
      </c>
      <c r="BV68" s="1337">
        <v>0.18</v>
      </c>
      <c r="BW68" s="1581">
        <f>AVERAGE(BS68:BV68)</f>
        <v>0.1225</v>
      </c>
      <c r="BX68" s="1254">
        <v>0.21</v>
      </c>
      <c r="BY68" s="1240" t="s">
        <v>1043</v>
      </c>
      <c r="BZ68" s="1537" t="s">
        <v>1066</v>
      </c>
      <c r="CA68" s="1254" t="s">
        <v>958</v>
      </c>
      <c r="CB68" s="1581">
        <v>0.09</v>
      </c>
      <c r="CC68" s="1240"/>
      <c r="CD68" s="1254">
        <v>7.0000000000000007E-2</v>
      </c>
      <c r="CE68" s="1889">
        <v>7.0000000000000007E-2</v>
      </c>
      <c r="CF68" s="1240"/>
      <c r="CG68" s="1581">
        <v>0.06</v>
      </c>
      <c r="CH68" s="2115">
        <v>0.01</v>
      </c>
      <c r="CI68" s="2115">
        <v>0.03</v>
      </c>
      <c r="CJ68" s="1240" t="s">
        <v>948</v>
      </c>
      <c r="CK68" s="1190" t="s">
        <v>948</v>
      </c>
      <c r="CL68" s="1581">
        <v>0.03</v>
      </c>
      <c r="CM68" s="1240" t="s">
        <v>983</v>
      </c>
      <c r="CN68" s="1889">
        <v>0.11</v>
      </c>
      <c r="CO68" s="1240" t="s">
        <v>1041</v>
      </c>
      <c r="CP68" s="1190"/>
      <c r="CQ68" s="2246">
        <v>0.04</v>
      </c>
      <c r="CR68" s="1240"/>
      <c r="CS68" s="1240"/>
      <c r="CT68" s="1240"/>
      <c r="CU68" s="1190"/>
      <c r="CV68" s="1581">
        <v>0.04</v>
      </c>
      <c r="CW68" s="1581">
        <v>0.03</v>
      </c>
      <c r="CX68" s="1581">
        <v>0.03</v>
      </c>
      <c r="CY68" s="1581">
        <v>0.03</v>
      </c>
      <c r="CZ68" s="1972"/>
    </row>
    <row r="69" spans="1:104" s="1178" customFormat="1" ht="11.25">
      <c r="A69" s="1191"/>
      <c r="B69" s="1191"/>
      <c r="C69" s="1373"/>
      <c r="D69" s="1191" t="s">
        <v>1065</v>
      </c>
      <c r="E69" s="1191"/>
      <c r="F69" s="1191"/>
      <c r="G69" s="1191"/>
      <c r="H69" s="1191"/>
      <c r="I69" s="1191"/>
      <c r="J69" s="1191"/>
      <c r="K69" s="1191"/>
      <c r="L69" s="1191"/>
      <c r="M69" s="1191"/>
      <c r="N69" s="1191"/>
      <c r="O69" s="1191"/>
      <c r="P69" s="1191"/>
      <c r="Q69" s="1191"/>
      <c r="R69" s="1191"/>
      <c r="S69" s="1191"/>
      <c r="T69" s="1191"/>
      <c r="U69" s="1191"/>
      <c r="V69" s="1191"/>
      <c r="W69" s="1191"/>
      <c r="X69" s="1191"/>
      <c r="Y69" s="1191"/>
      <c r="Z69" s="1191"/>
      <c r="AA69" s="1191"/>
      <c r="AB69" s="1191"/>
      <c r="AC69" s="1191"/>
      <c r="AD69" s="1191"/>
      <c r="AE69" s="1191"/>
      <c r="AF69" s="1191"/>
      <c r="AG69" s="1191"/>
      <c r="AH69" s="1191"/>
      <c r="AI69" s="1191"/>
      <c r="AJ69" s="1191"/>
      <c r="AK69" s="1191"/>
      <c r="AL69" s="1191"/>
      <c r="AM69" s="1191"/>
      <c r="AN69" s="1191"/>
      <c r="AO69" s="1191"/>
      <c r="AP69" s="1191"/>
      <c r="AQ69" s="1191"/>
      <c r="AR69" s="1191"/>
      <c r="AS69" s="1191"/>
      <c r="AT69" s="1191"/>
      <c r="AU69" s="1191"/>
      <c r="AV69" s="1191"/>
      <c r="AW69" s="1191"/>
      <c r="AX69" s="1191"/>
      <c r="AY69" s="1191"/>
      <c r="AZ69" s="1191"/>
      <c r="BA69" s="1191"/>
      <c r="BB69" s="1191"/>
      <c r="BC69" s="1191"/>
      <c r="BD69" s="1191"/>
      <c r="BE69" s="1191"/>
      <c r="BF69" s="1191"/>
      <c r="BG69" s="1191"/>
      <c r="BH69" s="1191"/>
      <c r="BI69" s="1182"/>
      <c r="BJ69" s="1182"/>
      <c r="BK69" s="1182"/>
      <c r="BL69" s="1182"/>
      <c r="BM69" s="1364"/>
      <c r="BN69" s="1190"/>
      <c r="BO69" s="1190"/>
      <c r="BP69" s="1190"/>
      <c r="BQ69" s="1190"/>
      <c r="BR69" s="1223"/>
      <c r="BS69" s="1335"/>
      <c r="BT69" s="1336"/>
      <c r="BU69" s="1336"/>
      <c r="BV69" s="1337"/>
      <c r="BW69" s="1581"/>
      <c r="BX69" s="1254"/>
      <c r="BY69" s="1254"/>
      <c r="BZ69" s="1537" t="s">
        <v>948</v>
      </c>
      <c r="CA69" s="1254"/>
      <c r="CB69" s="1581"/>
      <c r="CC69" s="1240" t="s">
        <v>958</v>
      </c>
      <c r="CD69" s="1240" t="s">
        <v>1187</v>
      </c>
      <c r="CE69" s="1889">
        <v>0.05</v>
      </c>
      <c r="CF69" s="1240"/>
      <c r="CG69" s="1581"/>
      <c r="CH69" s="1240"/>
      <c r="CI69" s="1240"/>
      <c r="CJ69" s="1240"/>
      <c r="CK69" s="1190" t="s">
        <v>983</v>
      </c>
      <c r="CL69" s="1581"/>
      <c r="CM69" s="1240"/>
      <c r="CN69" s="1240"/>
      <c r="CO69" s="1240"/>
      <c r="CP69" s="1190"/>
      <c r="CQ69" s="1581"/>
      <c r="CR69" s="1240"/>
      <c r="CS69" s="1240"/>
      <c r="CT69" s="1240"/>
      <c r="CU69" s="1190"/>
      <c r="CV69" s="1581"/>
      <c r="CW69" s="1581"/>
      <c r="CX69" s="1581"/>
      <c r="CY69" s="1581"/>
      <c r="CZ69" s="1972"/>
    </row>
    <row r="70" spans="1:104" s="1178" customFormat="1" ht="19.5" customHeight="1">
      <c r="A70" s="1191"/>
      <c r="B70" s="1191"/>
      <c r="C70" s="1373" t="s">
        <v>308</v>
      </c>
      <c r="D70" s="1191"/>
      <c r="E70" s="1191"/>
      <c r="F70" s="1191"/>
      <c r="G70" s="1191"/>
      <c r="H70" s="1191"/>
      <c r="I70" s="1191"/>
      <c r="J70" s="1191"/>
      <c r="K70" s="1191"/>
      <c r="L70" s="1191"/>
      <c r="M70" s="1191"/>
      <c r="N70" s="1191"/>
      <c r="O70" s="1191"/>
      <c r="P70" s="1191"/>
      <c r="Q70" s="1191"/>
      <c r="R70" s="1191"/>
      <c r="S70" s="1191"/>
      <c r="T70" s="1191"/>
      <c r="U70" s="1191"/>
      <c r="V70" s="1191"/>
      <c r="W70" s="1191"/>
      <c r="X70" s="1191"/>
      <c r="Y70" s="1191"/>
      <c r="Z70" s="1191"/>
      <c r="AA70" s="1191"/>
      <c r="AB70" s="1191"/>
      <c r="AC70" s="1191"/>
      <c r="AD70" s="1191"/>
      <c r="AE70" s="1191"/>
      <c r="AF70" s="1191"/>
      <c r="AG70" s="1191"/>
      <c r="AH70" s="1191"/>
      <c r="AI70" s="1191"/>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82"/>
      <c r="BJ70" s="1182"/>
      <c r="BK70" s="1182"/>
      <c r="BL70" s="1182"/>
      <c r="BM70" s="1364"/>
      <c r="BN70" s="1190"/>
      <c r="BO70" s="1190"/>
      <c r="BP70" s="1190"/>
      <c r="BQ70" s="1190"/>
      <c r="BR70" s="1223"/>
      <c r="BS70" s="1190"/>
      <c r="BT70" s="1240"/>
      <c r="BU70" s="1240"/>
      <c r="BV70" s="1240"/>
      <c r="BW70" s="1253"/>
      <c r="BX70" s="1240"/>
      <c r="BY70" s="1240"/>
      <c r="CA70" s="1240"/>
      <c r="CB70" s="1253"/>
      <c r="CC70" s="1254"/>
      <c r="CD70" s="1254"/>
      <c r="CE70" s="1240"/>
      <c r="CF70" s="1254">
        <v>-0.02</v>
      </c>
      <c r="CG70" s="1253"/>
      <c r="CH70" s="2115"/>
      <c r="CJ70" s="1240"/>
      <c r="CK70" s="1190"/>
      <c r="CL70" s="1253"/>
      <c r="CM70" s="1240" t="s">
        <v>950</v>
      </c>
      <c r="CN70" s="1240" t="s">
        <v>950</v>
      </c>
      <c r="CO70" s="1240" t="s">
        <v>983</v>
      </c>
      <c r="CP70" s="1190"/>
      <c r="CQ70" s="1534"/>
      <c r="CR70" s="1240"/>
      <c r="CS70" s="1240"/>
      <c r="CT70" s="1240"/>
      <c r="CU70" s="1190"/>
      <c r="CV70" s="1534"/>
      <c r="CW70" s="1534"/>
      <c r="CX70" s="1534"/>
      <c r="CY70" s="1534"/>
      <c r="CZ70" s="1197"/>
    </row>
    <row r="71" spans="1:104" s="1178" customFormat="1" ht="11.25">
      <c r="A71" s="1191"/>
      <c r="B71" s="1191"/>
      <c r="C71" s="1373"/>
      <c r="D71" s="1191" t="s">
        <v>500</v>
      </c>
      <c r="E71" s="1191"/>
      <c r="F71" s="1191"/>
      <c r="G71" s="1191"/>
      <c r="H71" s="1191"/>
      <c r="I71" s="1191"/>
      <c r="J71" s="1191"/>
      <c r="K71" s="1191"/>
      <c r="L71" s="1191"/>
      <c r="M71" s="1191"/>
      <c r="N71" s="1191"/>
      <c r="O71" s="1191"/>
      <c r="P71" s="1191"/>
      <c r="Q71" s="1191"/>
      <c r="R71" s="1191"/>
      <c r="S71" s="1191"/>
      <c r="T71" s="1191"/>
      <c r="U71" s="1191"/>
      <c r="V71" s="1191"/>
      <c r="W71" s="1191"/>
      <c r="X71" s="1191"/>
      <c r="Y71" s="1191"/>
      <c r="Z71" s="1191"/>
      <c r="AA71" s="1191"/>
      <c r="AB71" s="1191"/>
      <c r="AC71" s="1191"/>
      <c r="AD71" s="1191"/>
      <c r="AE71" s="1191"/>
      <c r="AF71" s="1191"/>
      <c r="AG71" s="1191"/>
      <c r="AH71" s="1191"/>
      <c r="AI71" s="1191"/>
      <c r="AJ71" s="1191"/>
      <c r="AK71" s="1191"/>
      <c r="AL71" s="1191"/>
      <c r="AM71" s="1191"/>
      <c r="AN71" s="1191"/>
      <c r="AO71" s="1191"/>
      <c r="AP71" s="1191"/>
      <c r="AQ71" s="1191"/>
      <c r="AR71" s="1191"/>
      <c r="AS71" s="1191"/>
      <c r="AT71" s="1191"/>
      <c r="AU71" s="1191"/>
      <c r="AV71" s="1191"/>
      <c r="AW71" s="1191"/>
      <c r="AX71" s="1191"/>
      <c r="AY71" s="1191"/>
      <c r="AZ71" s="1191"/>
      <c r="BA71" s="1191"/>
      <c r="BB71" s="1191"/>
      <c r="BC71" s="1191"/>
      <c r="BD71" s="1191"/>
      <c r="BE71" s="1191"/>
      <c r="BF71" s="1191"/>
      <c r="BG71" s="1191"/>
      <c r="BH71" s="1191"/>
      <c r="BI71" s="1182"/>
      <c r="BJ71" s="1182"/>
      <c r="BK71" s="1182"/>
      <c r="BL71" s="1182"/>
      <c r="BM71" s="1364"/>
      <c r="BN71" s="1190"/>
      <c r="BO71" s="1190"/>
      <c r="BP71" s="1190"/>
      <c r="BQ71" s="1190"/>
      <c r="BR71" s="1590">
        <v>2000</v>
      </c>
      <c r="BS71" s="1190"/>
      <c r="BT71" s="1190"/>
      <c r="BU71" s="1190"/>
      <c r="BV71" s="1190"/>
      <c r="BW71" s="1590">
        <f>BR71*(1+BW78)</f>
        <v>1980</v>
      </c>
      <c r="BX71" s="1190"/>
      <c r="BY71" s="1190"/>
      <c r="BZ71" s="1583"/>
      <c r="CA71" s="1190"/>
      <c r="CB71" s="1330">
        <f>CB146*$CB$75</f>
        <v>2130.9133333333339</v>
      </c>
      <c r="CC71" s="1240"/>
      <c r="CD71" s="1240"/>
      <c r="CE71" s="1240"/>
      <c r="CF71" s="1240"/>
      <c r="CG71" s="1330">
        <f>CB71*(1+CG78)</f>
        <v>2173.5316000000007</v>
      </c>
      <c r="CH71" s="1190"/>
      <c r="CJ71" s="1190"/>
      <c r="CK71" s="1190"/>
      <c r="CL71" s="1330">
        <f>CG71*(1+CL78)</f>
        <v>2176.7918974000008</v>
      </c>
      <c r="CN71" s="1190"/>
      <c r="CO71" s="1190"/>
      <c r="CP71" s="1190"/>
      <c r="CQ71" s="1330">
        <f>CL71*(1+CQ78)</f>
        <v>2220.3277353480007</v>
      </c>
      <c r="CR71" s="1190"/>
      <c r="CS71" s="1190"/>
      <c r="CT71" s="1190"/>
      <c r="CU71" s="1190"/>
      <c r="CV71" s="1330">
        <f>CQ71*(1+CV78)</f>
        <v>2286.9375674084408</v>
      </c>
      <c r="CW71" s="1330">
        <f t="shared" ref="CW71:CY73" si="39">CV71*(1+CW78)</f>
        <v>2355.5456944306943</v>
      </c>
      <c r="CX71" s="1330">
        <f t="shared" si="39"/>
        <v>2426.2120652636154</v>
      </c>
      <c r="CY71" s="1330">
        <f t="shared" si="39"/>
        <v>2498.9984272215238</v>
      </c>
      <c r="CZ71" s="1589"/>
    </row>
    <row r="72" spans="1:104" s="1178" customFormat="1" ht="11.25">
      <c r="A72" s="1191"/>
      <c r="B72" s="1191"/>
      <c r="C72" s="1373"/>
      <c r="D72" s="1191" t="s">
        <v>1064</v>
      </c>
      <c r="E72" s="1191"/>
      <c r="F72" s="1191"/>
      <c r="G72" s="1191"/>
      <c r="H72" s="1191"/>
      <c r="I72" s="1191"/>
      <c r="J72" s="1191"/>
      <c r="K72" s="1191"/>
      <c r="L72" s="1191"/>
      <c r="M72" s="1191"/>
      <c r="N72" s="1191"/>
      <c r="O72" s="1191"/>
      <c r="P72" s="1191"/>
      <c r="Q72" s="1191"/>
      <c r="R72" s="1191"/>
      <c r="S72" s="1191"/>
      <c r="T72" s="1191"/>
      <c r="U72" s="1191"/>
      <c r="V72" s="1191"/>
      <c r="W72" s="1191"/>
      <c r="X72" s="1191"/>
      <c r="Y72" s="1191"/>
      <c r="Z72" s="1191"/>
      <c r="AA72" s="1191"/>
      <c r="AB72" s="1191"/>
      <c r="AC72" s="1191"/>
      <c r="AD72" s="1191"/>
      <c r="AE72" s="1191"/>
      <c r="AF72" s="1191"/>
      <c r="AG72" s="1191"/>
      <c r="AH72" s="1191"/>
      <c r="AI72" s="1191"/>
      <c r="AJ72" s="1191"/>
      <c r="AK72" s="1191"/>
      <c r="AL72" s="1191"/>
      <c r="AM72" s="1191"/>
      <c r="AN72" s="1191"/>
      <c r="AO72" s="1191"/>
      <c r="AP72" s="1191"/>
      <c r="AQ72" s="1191"/>
      <c r="AR72" s="1191"/>
      <c r="AS72" s="1191"/>
      <c r="AT72" s="1191"/>
      <c r="AU72" s="1191"/>
      <c r="AV72" s="1191"/>
      <c r="AW72" s="1191"/>
      <c r="AX72" s="1191"/>
      <c r="AY72" s="1191"/>
      <c r="AZ72" s="1191"/>
      <c r="BA72" s="1191"/>
      <c r="BB72" s="1191"/>
      <c r="BC72" s="1191"/>
      <c r="BD72" s="1191"/>
      <c r="BE72" s="1191"/>
      <c r="BF72" s="1191"/>
      <c r="BG72" s="1191"/>
      <c r="BH72" s="1191"/>
      <c r="BI72" s="1182"/>
      <c r="BJ72" s="1182"/>
      <c r="BK72" s="1182"/>
      <c r="BL72" s="1182"/>
      <c r="BM72" s="1364"/>
      <c r="BN72" s="1190"/>
      <c r="BO72" s="1190"/>
      <c r="BP72" s="1190"/>
      <c r="BQ72" s="1190"/>
      <c r="BR72" s="1590">
        <v>2500</v>
      </c>
      <c r="BS72" s="1190"/>
      <c r="BT72" s="1190"/>
      <c r="BU72" s="1190"/>
      <c r="BV72" s="1190"/>
      <c r="BW72" s="1590">
        <f>BR72*(1+BW79)</f>
        <v>2375</v>
      </c>
      <c r="BX72" s="1190"/>
      <c r="BY72" s="1190"/>
      <c r="BZ72" s="1583"/>
      <c r="CA72" s="1190"/>
      <c r="CB72" s="1330">
        <f>CB147*$CB$75</f>
        <v>2355.2200000000003</v>
      </c>
      <c r="CC72" s="1240"/>
      <c r="CD72" s="1240"/>
      <c r="CE72" s="1240"/>
      <c r="CF72" s="1240"/>
      <c r="CG72" s="1330">
        <f>CB72*(1+CG79)</f>
        <v>2355.2200000000003</v>
      </c>
      <c r="CJ72" s="1190"/>
      <c r="CK72" s="1190"/>
      <c r="CL72" s="1330">
        <f>CG72*(1+CL79)</f>
        <v>2213.9068000000002</v>
      </c>
      <c r="CN72" s="1190"/>
      <c r="CO72" s="1190"/>
      <c r="CP72" s="1190"/>
      <c r="CQ72" s="1330">
        <f>CL72*(1+CQ79)</f>
        <v>2147.4895960000003</v>
      </c>
      <c r="CR72" s="1190"/>
      <c r="CS72" s="1190"/>
      <c r="CT72" s="1190"/>
      <c r="CU72" s="1190"/>
      <c r="CV72" s="1330">
        <f>CQ72*(1+CV79)</f>
        <v>2179.7019399400001</v>
      </c>
      <c r="CW72" s="1330">
        <f t="shared" si="39"/>
        <v>2201.4989593394002</v>
      </c>
      <c r="CX72" s="1330">
        <f t="shared" si="39"/>
        <v>2223.5139489327944</v>
      </c>
      <c r="CY72" s="1330">
        <f t="shared" si="39"/>
        <v>2245.7490884221224</v>
      </c>
      <c r="CZ72" s="1589"/>
    </row>
    <row r="73" spans="1:104" s="1178" customFormat="1" ht="11.25">
      <c r="A73" s="1191"/>
      <c r="B73" s="1191"/>
      <c r="C73" s="1373"/>
      <c r="D73" s="1191" t="s">
        <v>563</v>
      </c>
      <c r="E73" s="1191"/>
      <c r="F73" s="1191"/>
      <c r="G73" s="1191"/>
      <c r="H73" s="1191"/>
      <c r="I73" s="1191"/>
      <c r="J73" s="1191"/>
      <c r="K73" s="1191"/>
      <c r="L73" s="1191"/>
      <c r="M73" s="1191"/>
      <c r="N73" s="1191"/>
      <c r="O73" s="1191"/>
      <c r="P73" s="1191"/>
      <c r="Q73" s="1191"/>
      <c r="R73" s="1191"/>
      <c r="S73" s="1191"/>
      <c r="T73" s="1191"/>
      <c r="U73" s="1191"/>
      <c r="V73" s="1191"/>
      <c r="W73" s="1191"/>
      <c r="X73" s="1191"/>
      <c r="Y73" s="1191"/>
      <c r="Z73" s="1191"/>
      <c r="AA73" s="1191"/>
      <c r="AB73" s="1191"/>
      <c r="AC73" s="1191"/>
      <c r="AD73" s="1191"/>
      <c r="AE73" s="1191"/>
      <c r="AF73" s="1191"/>
      <c r="AG73" s="1191"/>
      <c r="AH73" s="1191"/>
      <c r="AI73" s="1191"/>
      <c r="AJ73" s="1191"/>
      <c r="AK73" s="1191"/>
      <c r="AL73" s="1191"/>
      <c r="AM73" s="1191"/>
      <c r="AN73" s="1191"/>
      <c r="AO73" s="1191"/>
      <c r="AP73" s="1191"/>
      <c r="AQ73" s="1191"/>
      <c r="AR73" s="1191"/>
      <c r="AS73" s="1191"/>
      <c r="AT73" s="1191"/>
      <c r="AU73" s="1191"/>
      <c r="AV73" s="1191"/>
      <c r="AW73" s="1191"/>
      <c r="AX73" s="1191"/>
      <c r="AY73" s="1191"/>
      <c r="AZ73" s="1191"/>
      <c r="BA73" s="1191"/>
      <c r="BB73" s="1191"/>
      <c r="BC73" s="1191"/>
      <c r="BD73" s="1191"/>
      <c r="BE73" s="1191"/>
      <c r="BF73" s="1191"/>
      <c r="BG73" s="1191"/>
      <c r="BH73" s="1191"/>
      <c r="BI73" s="1182"/>
      <c r="BJ73" s="1182"/>
      <c r="BK73" s="1182"/>
      <c r="BL73" s="1182"/>
      <c r="BM73" s="1364"/>
      <c r="BN73" s="1190"/>
      <c r="BO73" s="1190"/>
      <c r="BP73" s="1190"/>
      <c r="BQ73" s="1190"/>
      <c r="BR73" s="1590">
        <v>1400</v>
      </c>
      <c r="BS73" s="1190"/>
      <c r="BT73" s="1190"/>
      <c r="BU73" s="1190"/>
      <c r="BV73" s="1190"/>
      <c r="BW73" s="1590">
        <f>BR73*(1+BW80)</f>
        <v>1428</v>
      </c>
      <c r="BX73" s="1190"/>
      <c r="BY73" s="1190"/>
      <c r="BZ73" s="1583"/>
      <c r="CA73" s="1190"/>
      <c r="CB73" s="1330">
        <f>CB148*$CB$75</f>
        <v>1121.5333333333335</v>
      </c>
      <c r="CC73" s="1240"/>
      <c r="CD73" s="1240"/>
      <c r="CE73" s="1240"/>
      <c r="CF73" s="1240"/>
      <c r="CG73" s="1330">
        <f>CB73*(1+CG80)</f>
        <v>1143.9640000000002</v>
      </c>
      <c r="CH73" s="1190"/>
      <c r="CJ73" s="1190"/>
      <c r="CK73" s="1190"/>
      <c r="CL73" s="1330">
        <f>CG73*(1+CL80)</f>
        <v>1143.9640000000002</v>
      </c>
      <c r="CN73" s="1190"/>
      <c r="CO73" s="1190"/>
      <c r="CP73" s="1190"/>
      <c r="CQ73" s="1330">
        <f>CL73*(1+CQ80)</f>
        <v>1155.4036400000002</v>
      </c>
      <c r="CR73" s="1190"/>
      <c r="CS73" s="1190"/>
      <c r="CT73" s="1190"/>
      <c r="CU73" s="1190"/>
      <c r="CV73" s="1330">
        <f>CQ73*(1+CV80)</f>
        <v>1201.6197856000003</v>
      </c>
      <c r="CW73" s="1330">
        <f t="shared" si="39"/>
        <v>1237.6683791680005</v>
      </c>
      <c r="CX73" s="1330">
        <f t="shared" si="39"/>
        <v>1274.7984305430405</v>
      </c>
      <c r="CY73" s="1330">
        <f t="shared" si="39"/>
        <v>1313.0423834593316</v>
      </c>
      <c r="CZ73" s="1589"/>
    </row>
    <row r="74" spans="1:104" s="1178" customFormat="1" ht="11.25">
      <c r="A74" s="1191"/>
      <c r="B74" s="1191"/>
      <c r="C74" s="1373"/>
      <c r="D74" s="1191" t="s">
        <v>22</v>
      </c>
      <c r="E74" s="1191"/>
      <c r="F74" s="1191"/>
      <c r="G74" s="1191"/>
      <c r="H74" s="1191"/>
      <c r="I74" s="1191"/>
      <c r="J74" s="1191"/>
      <c r="K74" s="1191"/>
      <c r="L74" s="1191"/>
      <c r="M74" s="1191"/>
      <c r="N74" s="1191"/>
      <c r="O74" s="1191"/>
      <c r="P74" s="1191"/>
      <c r="Q74" s="1191"/>
      <c r="R74" s="1191"/>
      <c r="S74" s="1191"/>
      <c r="T74" s="1191"/>
      <c r="U74" s="1191"/>
      <c r="V74" s="1191"/>
      <c r="W74" s="1191"/>
      <c r="X74" s="1191"/>
      <c r="Y74" s="1191"/>
      <c r="Z74" s="1191"/>
      <c r="AA74" s="1191"/>
      <c r="AB74" s="1191"/>
      <c r="AC74" s="1191"/>
      <c r="AD74" s="1191"/>
      <c r="AE74" s="1191"/>
      <c r="AF74" s="1191"/>
      <c r="AG74" s="1191"/>
      <c r="AH74" s="1191"/>
      <c r="AI74" s="1191"/>
      <c r="AJ74" s="1191"/>
      <c r="AK74" s="1191"/>
      <c r="AL74" s="1191"/>
      <c r="AM74" s="1191"/>
      <c r="AN74" s="1191"/>
      <c r="AO74" s="1191"/>
      <c r="AP74" s="1191"/>
      <c r="AQ74" s="1191"/>
      <c r="AR74" s="1191"/>
      <c r="AS74" s="1191"/>
      <c r="AT74" s="1191"/>
      <c r="AU74" s="1191"/>
      <c r="AV74" s="1191"/>
      <c r="AW74" s="1191"/>
      <c r="AX74" s="1191"/>
      <c r="AY74" s="1191"/>
      <c r="AZ74" s="1191"/>
      <c r="BA74" s="1191"/>
      <c r="BB74" s="1191"/>
      <c r="BC74" s="1191"/>
      <c r="BD74" s="1191"/>
      <c r="BE74" s="1191"/>
      <c r="BF74" s="1191"/>
      <c r="BG74" s="1191"/>
      <c r="BH74" s="1191"/>
      <c r="BI74" s="1182"/>
      <c r="BJ74" s="1182"/>
      <c r="BK74" s="1182"/>
      <c r="BL74" s="1182"/>
      <c r="BM74" s="1364"/>
      <c r="BN74" s="1190"/>
      <c r="BO74" s="1190"/>
      <c r="BP74" s="1190"/>
      <c r="BQ74" s="1190"/>
      <c r="BR74" s="1591"/>
      <c r="BS74" s="1190"/>
      <c r="BT74" s="1190"/>
      <c r="BU74" s="1190"/>
      <c r="BV74" s="1190"/>
      <c r="BW74" s="1590"/>
      <c r="BX74" s="1190"/>
      <c r="BY74" s="1190"/>
      <c r="BZ74" s="1583"/>
      <c r="CA74" s="1190"/>
      <c r="CB74" s="1588">
        <f>CB75-SUM(CB71:CB73)</f>
        <v>0</v>
      </c>
      <c r="CC74" s="1589"/>
      <c r="CD74" s="1589"/>
      <c r="CE74" s="1240"/>
      <c r="CF74" s="1240"/>
      <c r="CG74" s="1588">
        <f>CB74</f>
        <v>0</v>
      </c>
      <c r="CH74" s="308"/>
      <c r="CI74" s="1190"/>
      <c r="CJ74" s="1190"/>
      <c r="CK74" s="1190"/>
      <c r="CL74" s="1588">
        <f>CL75-SUM(CL71:CL73)</f>
        <v>0.351479933333394</v>
      </c>
      <c r="CM74" s="308"/>
      <c r="CN74" s="1190"/>
      <c r="CO74" s="1190"/>
      <c r="CP74" s="1190"/>
      <c r="CQ74" s="1588">
        <f>CL74</f>
        <v>0.351479933333394</v>
      </c>
      <c r="CR74" s="308">
        <f>CQ14*CL12</f>
        <v>238.3</v>
      </c>
      <c r="CS74" s="1190"/>
      <c r="CT74" s="1190"/>
      <c r="CU74" s="1190"/>
      <c r="CV74" s="1588">
        <f>CQ74</f>
        <v>0.351479933333394</v>
      </c>
      <c r="CW74" s="1588">
        <f>CV74</f>
        <v>0.351479933333394</v>
      </c>
      <c r="CX74" s="1588">
        <f>CW74</f>
        <v>0.351479933333394</v>
      </c>
      <c r="CY74" s="1588">
        <f>CX74</f>
        <v>0.351479933333394</v>
      </c>
      <c r="CZ74" s="1973"/>
    </row>
    <row r="75" spans="1:104" s="1178" customFormat="1" ht="11.25">
      <c r="A75" s="1191"/>
      <c r="B75" s="1191"/>
      <c r="C75" s="1373"/>
      <c r="D75" s="1182" t="s">
        <v>1030</v>
      </c>
      <c r="E75" s="1191"/>
      <c r="F75" s="1182"/>
      <c r="G75" s="1182"/>
      <c r="H75" s="1182"/>
      <c r="I75" s="1182"/>
      <c r="J75" s="1182"/>
      <c r="K75" s="1182"/>
      <c r="L75" s="1182"/>
      <c r="M75" s="1182"/>
      <c r="N75" s="1182"/>
      <c r="O75" s="1182"/>
      <c r="P75" s="1182"/>
      <c r="Q75" s="1182"/>
      <c r="R75" s="1182"/>
      <c r="S75" s="1182"/>
      <c r="T75" s="1182"/>
      <c r="U75" s="1182"/>
      <c r="V75" s="1182"/>
      <c r="W75" s="1182"/>
      <c r="X75" s="1182"/>
      <c r="Y75" s="1182">
        <v>1136</v>
      </c>
      <c r="Z75" s="1182">
        <v>703</v>
      </c>
      <c r="AA75" s="1182">
        <v>707</v>
      </c>
      <c r="AB75" s="1182">
        <v>696</v>
      </c>
      <c r="AC75" s="1182">
        <v>773</v>
      </c>
      <c r="AD75" s="1182">
        <v>2881</v>
      </c>
      <c r="AE75" s="1182">
        <v>764</v>
      </c>
      <c r="AF75" s="1182">
        <v>1162</v>
      </c>
      <c r="AG75" s="1182">
        <v>1121</v>
      </c>
      <c r="AH75" s="1182">
        <v>1203</v>
      </c>
      <c r="AI75" s="1182">
        <v>4250</v>
      </c>
      <c r="AJ75" s="1182">
        <v>1112</v>
      </c>
      <c r="AK75" s="1182">
        <v>1167</v>
      </c>
      <c r="AL75" s="1182">
        <v>1142</v>
      </c>
      <c r="AM75" s="1182">
        <v>1326</v>
      </c>
      <c r="AN75" s="1182">
        <v>4747</v>
      </c>
      <c r="AO75" s="1191">
        <v>1246</v>
      </c>
      <c r="AP75" s="1587">
        <v>1349</v>
      </c>
      <c r="AQ75" s="1587">
        <v>1471</v>
      </c>
      <c r="AR75" s="1587">
        <v>1688</v>
      </c>
      <c r="AS75" s="1587">
        <v>5754</v>
      </c>
      <c r="AT75" s="1587">
        <v>1598</v>
      </c>
      <c r="AU75" s="1587">
        <v>1738</v>
      </c>
      <c r="AV75" s="1587">
        <v>1624</v>
      </c>
      <c r="AW75" s="1587">
        <v>1502</v>
      </c>
      <c r="AX75" s="1587">
        <v>6462</v>
      </c>
      <c r="AY75" s="1191">
        <v>1281</v>
      </c>
      <c r="AZ75" s="1191">
        <v>1323</v>
      </c>
      <c r="BA75" s="1191">
        <v>1374</v>
      </c>
      <c r="BB75" s="1191">
        <v>1525</v>
      </c>
      <c r="BC75" s="1587">
        <v>5503</v>
      </c>
      <c r="BD75" s="1191">
        <v>1415</v>
      </c>
      <c r="BE75" s="1191">
        <v>1615</v>
      </c>
      <c r="BF75" s="1191">
        <v>1657</v>
      </c>
      <c r="BG75" s="1191">
        <v>1803</v>
      </c>
      <c r="BH75" s="1587">
        <v>6490</v>
      </c>
      <c r="BI75" s="1586">
        <v>1628</v>
      </c>
      <c r="BJ75" s="1586">
        <v>1746</v>
      </c>
      <c r="BK75" s="1586">
        <v>1746</v>
      </c>
      <c r="BL75" s="1586">
        <v>1775</v>
      </c>
      <c r="BM75" s="1364">
        <f>BM12-BM59</f>
        <v>6895</v>
      </c>
      <c r="BN75" s="1586">
        <f>BN12-BN59</f>
        <v>4112</v>
      </c>
      <c r="BO75" s="1586">
        <f>BO12-BO59</f>
        <v>4572</v>
      </c>
      <c r="BP75" s="1586">
        <f>BP12-BP59</f>
        <v>4259</v>
      </c>
      <c r="BQ75" s="1586">
        <f>BQ12-BQ59</f>
        <v>4147</v>
      </c>
      <c r="BR75" s="1364">
        <f>SUM(BR71:BR73)</f>
        <v>5900</v>
      </c>
      <c r="BS75" s="1190"/>
      <c r="BT75" s="1190"/>
      <c r="BU75" s="1190"/>
      <c r="BV75" s="1190"/>
      <c r="BW75" s="1585">
        <f>SUM(BW71:BW74)</f>
        <v>5783</v>
      </c>
      <c r="BX75" s="1190"/>
      <c r="BY75" s="1190"/>
      <c r="BZ75" s="1537"/>
      <c r="CA75" s="1190"/>
      <c r="CB75" s="1584">
        <f>CB87-CB59</f>
        <v>5607.6666666666679</v>
      </c>
      <c r="CC75" s="1254"/>
      <c r="CD75" s="1254"/>
      <c r="CE75" s="1240"/>
      <c r="CF75" s="1240"/>
      <c r="CG75" s="1584">
        <f>SUM(CG71:CG74)</f>
        <v>5672.7156000000014</v>
      </c>
      <c r="CH75" s="1190"/>
      <c r="CI75" s="1190"/>
      <c r="CJ75" s="1190"/>
      <c r="CK75" s="1190"/>
      <c r="CL75" s="1584">
        <f>CL83-CL59</f>
        <v>5535.0141773333344</v>
      </c>
      <c r="CM75" s="2281"/>
      <c r="CN75" s="1190"/>
      <c r="CO75" s="1190"/>
      <c r="CP75" s="1190"/>
      <c r="CQ75" s="1584">
        <f>SUM(CQ71:CQ74)</f>
        <v>5523.5724512813349</v>
      </c>
      <c r="CR75" s="2281">
        <f>CQ75/$CL$12</f>
        <v>0.32778900072881934</v>
      </c>
      <c r="CS75" s="1190"/>
      <c r="CT75" s="1190"/>
      <c r="CU75" s="1190"/>
      <c r="CV75" s="1584">
        <f>SUM(CV71:CV74)</f>
        <v>5668.6107728817751</v>
      </c>
      <c r="CW75" s="1584">
        <f>SUM(CW71:CW74)</f>
        <v>5795.0645128714286</v>
      </c>
      <c r="CX75" s="1584">
        <f>SUM(CX71:CX74)</f>
        <v>5924.8759246727841</v>
      </c>
      <c r="CY75" s="1584">
        <f>SUM(CY71:CY74)</f>
        <v>6058.1413790363113</v>
      </c>
      <c r="CZ75" s="1967"/>
    </row>
    <row r="76" spans="1:104" s="1178" customFormat="1" ht="11.25">
      <c r="A76" s="1191"/>
      <c r="B76" s="1191"/>
      <c r="C76" s="1373"/>
      <c r="D76" s="1191" t="s">
        <v>1063</v>
      </c>
      <c r="E76" s="1191"/>
      <c r="F76" s="1191"/>
      <c r="G76" s="1191"/>
      <c r="H76" s="1191"/>
      <c r="I76" s="1191"/>
      <c r="J76" s="1191"/>
      <c r="K76" s="1191"/>
      <c r="L76" s="1191"/>
      <c r="M76" s="1191"/>
      <c r="N76" s="1191"/>
      <c r="O76" s="1191"/>
      <c r="P76" s="1191"/>
      <c r="Q76" s="1191"/>
      <c r="R76" s="1191"/>
      <c r="S76" s="1191"/>
      <c r="T76" s="1191"/>
      <c r="U76" s="1191"/>
      <c r="V76" s="1191"/>
      <c r="W76" s="1191"/>
      <c r="X76" s="1191"/>
      <c r="Y76" s="1191"/>
      <c r="Z76" s="1191"/>
      <c r="AA76" s="1191"/>
      <c r="AB76" s="1191"/>
      <c r="AC76" s="1191"/>
      <c r="AD76" s="1335"/>
      <c r="AE76" s="1335">
        <f t="shared" ref="AE76:BR76" si="40">AE75/Z75-1</f>
        <v>8.6770981507823697E-2</v>
      </c>
      <c r="AF76" s="1335">
        <f t="shared" si="40"/>
        <v>0.64356435643564347</v>
      </c>
      <c r="AG76" s="1335">
        <f t="shared" si="40"/>
        <v>0.61063218390804597</v>
      </c>
      <c r="AH76" s="1335">
        <f t="shared" si="40"/>
        <v>0.55627425614489012</v>
      </c>
      <c r="AI76" s="1335">
        <f t="shared" si="40"/>
        <v>0.47518222839291901</v>
      </c>
      <c r="AJ76" s="1335">
        <f t="shared" si="40"/>
        <v>0.45549738219895297</v>
      </c>
      <c r="AK76" s="1335">
        <f t="shared" si="40"/>
        <v>4.3029259896729677E-3</v>
      </c>
      <c r="AL76" s="1335">
        <f t="shared" si="40"/>
        <v>1.873327386262269E-2</v>
      </c>
      <c r="AM76" s="1335">
        <f t="shared" si="40"/>
        <v>0.10224438902743138</v>
      </c>
      <c r="AN76" s="1335">
        <f t="shared" si="40"/>
        <v>0.11694117647058833</v>
      </c>
      <c r="AO76" s="1335">
        <f t="shared" si="40"/>
        <v>0.12050359712230208</v>
      </c>
      <c r="AP76" s="1335">
        <f t="shared" si="40"/>
        <v>0.15595544130248506</v>
      </c>
      <c r="AQ76" s="1335">
        <f t="shared" si="40"/>
        <v>0.28809106830122588</v>
      </c>
      <c r="AR76" s="1335">
        <f t="shared" si="40"/>
        <v>0.27300150829562586</v>
      </c>
      <c r="AS76" s="1335">
        <f t="shared" si="40"/>
        <v>0.21213397935538225</v>
      </c>
      <c r="AT76" s="1335">
        <f t="shared" si="40"/>
        <v>0.28250401284109139</v>
      </c>
      <c r="AU76" s="1335">
        <f t="shared" si="40"/>
        <v>0.2883617494440327</v>
      </c>
      <c r="AV76" s="1335">
        <f t="shared" si="40"/>
        <v>0.10401087695445277</v>
      </c>
      <c r="AW76" s="1335">
        <f t="shared" si="40"/>
        <v>-0.1101895734597157</v>
      </c>
      <c r="AX76" s="1335">
        <f t="shared" si="40"/>
        <v>0.1230448383733056</v>
      </c>
      <c r="AY76" s="1335">
        <f t="shared" si="40"/>
        <v>-0.19837296620775968</v>
      </c>
      <c r="AZ76" s="1335">
        <f t="shared" si="40"/>
        <v>-0.23878020713463755</v>
      </c>
      <c r="BA76" s="1335">
        <f t="shared" si="40"/>
        <v>-0.15394088669950734</v>
      </c>
      <c r="BB76" s="1335">
        <f t="shared" si="40"/>
        <v>1.5312916111850816E-2</v>
      </c>
      <c r="BC76" s="1335">
        <f t="shared" si="40"/>
        <v>-0.14840606623336428</v>
      </c>
      <c r="BD76" s="1335">
        <f t="shared" si="40"/>
        <v>0.10460577673692417</v>
      </c>
      <c r="BE76" s="1335">
        <f t="shared" si="40"/>
        <v>0.22071050642479206</v>
      </c>
      <c r="BF76" s="1335">
        <f t="shared" si="40"/>
        <v>0.20596797671033484</v>
      </c>
      <c r="BG76" s="1335">
        <f t="shared" si="40"/>
        <v>0.18229508196721311</v>
      </c>
      <c r="BH76" s="1335">
        <f t="shared" si="40"/>
        <v>0.17935671451935309</v>
      </c>
      <c r="BI76" s="1335">
        <f t="shared" si="40"/>
        <v>0.15053003533568909</v>
      </c>
      <c r="BJ76" s="1335">
        <f t="shared" si="40"/>
        <v>8.1114551083591335E-2</v>
      </c>
      <c r="BK76" s="1335">
        <f t="shared" si="40"/>
        <v>5.3711526855763525E-2</v>
      </c>
      <c r="BL76" s="1335">
        <f t="shared" si="40"/>
        <v>-1.5529672767609526E-2</v>
      </c>
      <c r="BM76" s="1346">
        <f t="shared" si="40"/>
        <v>6.240369799691825E-2</v>
      </c>
      <c r="BN76" s="1335">
        <f t="shared" si="40"/>
        <v>1.5257985257985256</v>
      </c>
      <c r="BO76" s="1335">
        <f t="shared" si="40"/>
        <v>1.6185567010309279</v>
      </c>
      <c r="BP76" s="1335">
        <f t="shared" si="40"/>
        <v>1.4392898052691869</v>
      </c>
      <c r="BQ76" s="1335">
        <f t="shared" si="40"/>
        <v>1.3363380281690143</v>
      </c>
      <c r="BR76" s="1346">
        <f t="shared" si="40"/>
        <v>-0.14430746918056558</v>
      </c>
      <c r="BS76" s="1190"/>
      <c r="BT76" s="1190"/>
      <c r="BU76" s="1190"/>
      <c r="BV76" s="1190"/>
      <c r="BW76" s="1346">
        <f>BW75/BR75-1</f>
        <v>-1.9830508474576236E-2</v>
      </c>
      <c r="BX76" s="1190"/>
      <c r="BY76" s="1190"/>
      <c r="BZ76" s="1583"/>
      <c r="CA76" s="1190"/>
      <c r="CB76" s="1334">
        <f>CB75/BW75-1</f>
        <v>-3.0318750360251112E-2</v>
      </c>
      <c r="CC76" s="1240"/>
      <c r="CD76" s="1240"/>
      <c r="CE76" s="1240"/>
      <c r="CF76" s="1240"/>
      <c r="CG76" s="1334">
        <f>CG75/CB75-1</f>
        <v>1.1600000000000055E-2</v>
      </c>
      <c r="CH76" s="1190"/>
      <c r="CI76" s="1190"/>
      <c r="CJ76" s="1190"/>
      <c r="CK76" s="1190"/>
      <c r="CL76" s="1334">
        <f>CL75/CG75-1</f>
        <v>-2.4274339201257877E-2</v>
      </c>
      <c r="CM76" s="1190"/>
      <c r="CN76" s="1190"/>
      <c r="CO76" s="1190"/>
      <c r="CP76" s="1190"/>
      <c r="CQ76" s="1340">
        <f>CQ75/CL75-1</f>
        <v>-2.0671538835175252E-3</v>
      </c>
      <c r="CR76" s="1190"/>
      <c r="CS76" s="1190"/>
      <c r="CT76" s="1190"/>
      <c r="CU76" s="1190"/>
      <c r="CV76" s="1334">
        <f>CV75/CQ75-1</f>
        <v>2.6258064482669097E-2</v>
      </c>
      <c r="CW76" s="1334">
        <f>CW75/CV75-1</f>
        <v>2.2307712604753061E-2</v>
      </c>
      <c r="CX76" s="1334">
        <f>CX75/CW75-1</f>
        <v>2.2400339377246059E-2</v>
      </c>
      <c r="CY76" s="1334">
        <f>CY75/CX75-1</f>
        <v>2.2492530823907009E-2</v>
      </c>
      <c r="CZ76" s="1336"/>
    </row>
    <row r="77" spans="1:104" s="1178" customFormat="1" ht="11.25">
      <c r="A77" s="1191"/>
      <c r="B77" s="1191"/>
      <c r="C77" s="1373"/>
      <c r="D77" s="1191"/>
      <c r="E77" s="1191"/>
      <c r="F77" s="1191"/>
      <c r="G77" s="1191"/>
      <c r="H77" s="1191"/>
      <c r="I77" s="1191"/>
      <c r="J77" s="1191"/>
      <c r="K77" s="1191"/>
      <c r="L77" s="1191"/>
      <c r="M77" s="1191"/>
      <c r="N77" s="1191"/>
      <c r="O77" s="1191"/>
      <c r="P77" s="1191"/>
      <c r="Q77" s="1191"/>
      <c r="R77" s="1191"/>
      <c r="S77" s="1191"/>
      <c r="T77" s="1191"/>
      <c r="U77" s="1191"/>
      <c r="V77" s="1191"/>
      <c r="W77" s="1191"/>
      <c r="X77" s="1191"/>
      <c r="Y77" s="1191"/>
      <c r="Z77" s="1191"/>
      <c r="AA77" s="1191"/>
      <c r="AB77" s="1191"/>
      <c r="AC77" s="1191"/>
      <c r="AD77" s="1335"/>
      <c r="AE77" s="1335"/>
      <c r="AF77" s="1335"/>
      <c r="AG77" s="1335"/>
      <c r="AH77" s="1335"/>
      <c r="AI77" s="1335"/>
      <c r="AJ77" s="1335"/>
      <c r="AK77" s="1335"/>
      <c r="AL77" s="1335"/>
      <c r="AM77" s="1335"/>
      <c r="AN77" s="1335"/>
      <c r="AO77" s="1335"/>
      <c r="AP77" s="1335"/>
      <c r="AQ77" s="1335"/>
      <c r="AR77" s="1335"/>
      <c r="AS77" s="1335"/>
      <c r="AT77" s="1335"/>
      <c r="AU77" s="1335"/>
      <c r="AV77" s="1335"/>
      <c r="AW77" s="1335"/>
      <c r="AX77" s="1335"/>
      <c r="AY77" s="1335"/>
      <c r="AZ77" s="1335"/>
      <c r="BA77" s="1335"/>
      <c r="BB77" s="1335"/>
      <c r="BC77" s="1335"/>
      <c r="BD77" s="1335"/>
      <c r="BE77" s="1335"/>
      <c r="BF77" s="1335"/>
      <c r="BG77" s="1335"/>
      <c r="BH77" s="1335"/>
      <c r="BI77" s="1335"/>
      <c r="BJ77" s="1335"/>
      <c r="BK77" s="1335"/>
      <c r="BL77" s="1335"/>
      <c r="BM77" s="1346"/>
      <c r="BN77" s="1335"/>
      <c r="BO77" s="1335"/>
      <c r="BP77" s="1335"/>
      <c r="BQ77" s="1335"/>
      <c r="BR77" s="1346"/>
      <c r="BS77" s="1190"/>
      <c r="BT77" s="1190"/>
      <c r="BU77" s="1190"/>
      <c r="BV77" s="1190"/>
      <c r="BW77" s="1346"/>
      <c r="BX77" s="1240"/>
      <c r="BY77" s="1240"/>
      <c r="CA77" s="1240"/>
      <c r="CB77" s="1334"/>
      <c r="CC77" s="1240"/>
      <c r="CD77" s="1240"/>
      <c r="CE77" s="1240"/>
      <c r="CF77" s="1240"/>
      <c r="CG77" s="1581"/>
      <c r="CH77" s="1602"/>
      <c r="CI77" s="1602"/>
      <c r="CJ77" s="1602"/>
      <c r="CK77" s="1602"/>
      <c r="CL77" s="1581"/>
      <c r="CM77" s="1190"/>
      <c r="CN77" s="1190"/>
      <c r="CO77" s="1190"/>
      <c r="CP77" s="1190"/>
      <c r="CQ77" s="1581"/>
      <c r="CR77" s="1190"/>
      <c r="CS77" s="1190"/>
      <c r="CT77" s="1190"/>
      <c r="CU77" s="1190"/>
      <c r="CV77" s="1581"/>
      <c r="CW77" s="1581"/>
      <c r="CX77" s="1581"/>
      <c r="CY77" s="1581"/>
      <c r="CZ77" s="1972"/>
    </row>
    <row r="78" spans="1:104" s="1178" customFormat="1" ht="11.25">
      <c r="A78" s="1191"/>
      <c r="B78" s="1191"/>
      <c r="C78" s="1373"/>
      <c r="D78" s="1191" t="str">
        <f>D71</f>
        <v>North America</v>
      </c>
      <c r="E78" s="1191"/>
      <c r="F78" s="1191"/>
      <c r="G78" s="1191"/>
      <c r="H78" s="1191"/>
      <c r="I78" s="1191"/>
      <c r="J78" s="1191"/>
      <c r="K78" s="1191"/>
      <c r="L78" s="1191"/>
      <c r="M78" s="1191"/>
      <c r="N78" s="1191"/>
      <c r="O78" s="1191"/>
      <c r="P78" s="1191"/>
      <c r="Q78" s="1191"/>
      <c r="R78" s="1191"/>
      <c r="S78" s="1191"/>
      <c r="T78" s="1191"/>
      <c r="U78" s="1191"/>
      <c r="V78" s="1191"/>
      <c r="W78" s="1191"/>
      <c r="X78" s="1191"/>
      <c r="Y78" s="1191"/>
      <c r="Z78" s="1191"/>
      <c r="AA78" s="1191"/>
      <c r="AB78" s="1191"/>
      <c r="AC78" s="1191"/>
      <c r="AD78" s="1335"/>
      <c r="AE78" s="1335"/>
      <c r="AF78" s="1335"/>
      <c r="AG78" s="1335"/>
      <c r="AH78" s="1335"/>
      <c r="AI78" s="1335"/>
      <c r="AJ78" s="1335"/>
      <c r="AK78" s="1335"/>
      <c r="AL78" s="1335"/>
      <c r="AM78" s="1335"/>
      <c r="AN78" s="1335"/>
      <c r="AO78" s="1335"/>
      <c r="AP78" s="1335"/>
      <c r="AQ78" s="1335"/>
      <c r="AR78" s="1335"/>
      <c r="AS78" s="1335"/>
      <c r="AT78" s="1335"/>
      <c r="AU78" s="1335"/>
      <c r="AV78" s="1335"/>
      <c r="AW78" s="1335"/>
      <c r="AX78" s="1335"/>
      <c r="AY78" s="1335"/>
      <c r="AZ78" s="1335"/>
      <c r="BA78" s="1335"/>
      <c r="BB78" s="1335"/>
      <c r="BC78" s="1335"/>
      <c r="BD78" s="1335"/>
      <c r="BE78" s="1335"/>
      <c r="BF78" s="1335"/>
      <c r="BG78" s="1335"/>
      <c r="BH78" s="1335"/>
      <c r="BI78" s="1335"/>
      <c r="BJ78" s="1335"/>
      <c r="BK78" s="1335"/>
      <c r="BL78" s="1335"/>
      <c r="BM78" s="1346"/>
      <c r="BN78" s="1335"/>
      <c r="BO78" s="1335"/>
      <c r="BP78" s="1335"/>
      <c r="BQ78" s="1335"/>
      <c r="BR78" s="1346"/>
      <c r="BS78" s="1190"/>
      <c r="BT78" s="1190"/>
      <c r="BU78" s="1190"/>
      <c r="BV78" s="1190"/>
      <c r="BW78" s="1582">
        <v>-0.01</v>
      </c>
      <c r="BX78" s="1240" t="s">
        <v>1041</v>
      </c>
      <c r="BY78" s="1240" t="s">
        <v>983</v>
      </c>
      <c r="BZ78" s="1537">
        <v>0.03</v>
      </c>
      <c r="CA78" s="1240" t="s">
        <v>958</v>
      </c>
      <c r="CB78" s="1581">
        <v>0.02</v>
      </c>
      <c r="CC78" s="1240"/>
      <c r="CD78" s="1240"/>
      <c r="CE78" s="1240"/>
      <c r="CF78" s="1240"/>
      <c r="CG78" s="1581">
        <v>0.02</v>
      </c>
      <c r="CH78" s="1602"/>
      <c r="CI78" s="2271" t="s">
        <v>1414</v>
      </c>
      <c r="CJ78" s="1602" t="s">
        <v>983</v>
      </c>
      <c r="CK78" s="1602" t="s">
        <v>1427</v>
      </c>
      <c r="CL78" s="1581">
        <v>1.5E-3</v>
      </c>
      <c r="CM78" s="2293" t="s">
        <v>983</v>
      </c>
      <c r="CN78" s="1190" t="s">
        <v>1041</v>
      </c>
      <c r="CO78" s="1190" t="s">
        <v>948</v>
      </c>
      <c r="CP78" s="1190"/>
      <c r="CQ78" s="1581">
        <v>0.02</v>
      </c>
      <c r="CR78" s="1190"/>
      <c r="CS78" s="1190"/>
      <c r="CT78" s="1190"/>
      <c r="CU78" s="1190"/>
      <c r="CV78" s="1581">
        <v>0.03</v>
      </c>
      <c r="CW78" s="1581">
        <v>0.03</v>
      </c>
      <c r="CX78" s="1581">
        <v>0.03</v>
      </c>
      <c r="CY78" s="1581">
        <v>0.03</v>
      </c>
      <c r="CZ78" s="1972"/>
    </row>
    <row r="79" spans="1:104" s="1178" customFormat="1" ht="11.25">
      <c r="A79" s="1191"/>
      <c r="B79" s="1191"/>
      <c r="C79" s="1373"/>
      <c r="D79" s="1191" t="str">
        <f>D72</f>
        <v>EU</v>
      </c>
      <c r="E79" s="1191"/>
      <c r="F79" s="1191"/>
      <c r="G79" s="1191"/>
      <c r="H79" s="1191"/>
      <c r="I79" s="1191"/>
      <c r="J79" s="1191"/>
      <c r="K79" s="1191"/>
      <c r="L79" s="1191"/>
      <c r="M79" s="1191"/>
      <c r="N79" s="1191"/>
      <c r="O79" s="1191"/>
      <c r="P79" s="1191"/>
      <c r="Q79" s="1191"/>
      <c r="R79" s="1191"/>
      <c r="S79" s="1191"/>
      <c r="T79" s="1191"/>
      <c r="U79" s="1191"/>
      <c r="V79" s="1191"/>
      <c r="W79" s="1191"/>
      <c r="X79" s="1191"/>
      <c r="Y79" s="1191"/>
      <c r="Z79" s="1191"/>
      <c r="AA79" s="1191"/>
      <c r="AB79" s="1191"/>
      <c r="AC79" s="1191"/>
      <c r="AD79" s="1335"/>
      <c r="AE79" s="1335"/>
      <c r="AF79" s="1335"/>
      <c r="AG79" s="1335"/>
      <c r="AH79" s="1335"/>
      <c r="AI79" s="1335"/>
      <c r="AJ79" s="1335"/>
      <c r="AK79" s="1335"/>
      <c r="AL79" s="1335"/>
      <c r="AM79" s="1335"/>
      <c r="AN79" s="1335"/>
      <c r="AO79" s="1335"/>
      <c r="AP79" s="1335"/>
      <c r="AQ79" s="1335"/>
      <c r="AR79" s="1335"/>
      <c r="AS79" s="1335"/>
      <c r="AT79" s="1335"/>
      <c r="AU79" s="1335"/>
      <c r="AV79" s="1335"/>
      <c r="AW79" s="1335"/>
      <c r="AX79" s="1335"/>
      <c r="AY79" s="1335"/>
      <c r="AZ79" s="1335"/>
      <c r="BA79" s="1335"/>
      <c r="BB79" s="1335"/>
      <c r="BC79" s="1335"/>
      <c r="BD79" s="1335"/>
      <c r="BE79" s="1335"/>
      <c r="BF79" s="1335"/>
      <c r="BG79" s="1335"/>
      <c r="BH79" s="1335"/>
      <c r="BI79" s="1335"/>
      <c r="BJ79" s="1335"/>
      <c r="BK79" s="1335"/>
      <c r="BL79" s="1335"/>
      <c r="BM79" s="1346"/>
      <c r="BN79" s="1335"/>
      <c r="BO79" s="1335"/>
      <c r="BP79" s="1335"/>
      <c r="BQ79" s="1335"/>
      <c r="BR79" s="1346"/>
      <c r="BS79" s="1190"/>
      <c r="BT79" s="1190"/>
      <c r="BU79" s="1210">
        <v>-0.05</v>
      </c>
      <c r="BV79" s="1190"/>
      <c r="BW79" s="1582">
        <v>-0.05</v>
      </c>
      <c r="BX79" s="1240" t="s">
        <v>986</v>
      </c>
      <c r="BY79" s="1240" t="s">
        <v>1043</v>
      </c>
      <c r="BZ79" s="1537">
        <v>0.03</v>
      </c>
      <c r="CA79" s="1240" t="s">
        <v>986</v>
      </c>
      <c r="CB79" s="1581">
        <v>-0.01</v>
      </c>
      <c r="CC79" s="1240"/>
      <c r="CD79" s="1240"/>
      <c r="CE79" s="1240"/>
      <c r="CF79" s="1240"/>
      <c r="CG79" s="1581">
        <v>0</v>
      </c>
      <c r="CH79" s="1602" t="s">
        <v>1387</v>
      </c>
      <c r="CI79" s="1602" t="s">
        <v>1415</v>
      </c>
      <c r="CJ79" s="1602" t="s">
        <v>1420</v>
      </c>
      <c r="CK79" s="1602" t="s">
        <v>1428</v>
      </c>
      <c r="CL79" s="1581">
        <v>-0.06</v>
      </c>
      <c r="CM79" s="2293" t="s">
        <v>956</v>
      </c>
      <c r="CN79" s="1190" t="s">
        <v>1460</v>
      </c>
      <c r="CO79" s="1190" t="s">
        <v>950</v>
      </c>
      <c r="CP79" s="1190"/>
      <c r="CQ79" s="1581">
        <v>-0.03</v>
      </c>
      <c r="CR79" s="1190"/>
      <c r="CS79" s="1190"/>
      <c r="CT79" s="1190"/>
      <c r="CU79" s="1190"/>
      <c r="CV79" s="1581">
        <v>1.4999999999999999E-2</v>
      </c>
      <c r="CW79" s="1581">
        <v>0.01</v>
      </c>
      <c r="CX79" s="1581">
        <v>0.01</v>
      </c>
      <c r="CY79" s="1581">
        <v>0.01</v>
      </c>
      <c r="CZ79" s="1972"/>
    </row>
    <row r="80" spans="1:104" s="1178" customFormat="1" ht="11.25">
      <c r="A80" s="1191"/>
      <c r="B80" s="1191"/>
      <c r="C80" s="1373"/>
      <c r="D80" s="1191" t="str">
        <f>D73</f>
        <v>Asia</v>
      </c>
      <c r="E80" s="1191"/>
      <c r="F80" s="1191"/>
      <c r="G80" s="1191"/>
      <c r="H80" s="1191"/>
      <c r="I80" s="1191"/>
      <c r="J80" s="1191"/>
      <c r="K80" s="1191"/>
      <c r="L80" s="1191"/>
      <c r="M80" s="1191"/>
      <c r="N80" s="1191"/>
      <c r="O80" s="1191"/>
      <c r="P80" s="1191"/>
      <c r="Q80" s="1191"/>
      <c r="R80" s="1191"/>
      <c r="S80" s="1191"/>
      <c r="T80" s="1191"/>
      <c r="U80" s="1191"/>
      <c r="V80" s="1191"/>
      <c r="W80" s="1191"/>
      <c r="X80" s="1191"/>
      <c r="Y80" s="1191"/>
      <c r="Z80" s="1191"/>
      <c r="AA80" s="1191"/>
      <c r="AB80" s="1191"/>
      <c r="AC80" s="1191"/>
      <c r="AD80" s="1335"/>
      <c r="AE80" s="1335"/>
      <c r="AF80" s="1335"/>
      <c r="AG80" s="1335"/>
      <c r="AH80" s="1335"/>
      <c r="AI80" s="1335"/>
      <c r="AJ80" s="1335"/>
      <c r="AK80" s="1335"/>
      <c r="AL80" s="1335"/>
      <c r="AM80" s="1335"/>
      <c r="AN80" s="1335"/>
      <c r="AO80" s="1335"/>
      <c r="AP80" s="1335"/>
      <c r="AQ80" s="1335"/>
      <c r="AR80" s="1335"/>
      <c r="AS80" s="1335"/>
      <c r="AT80" s="1335"/>
      <c r="AU80" s="1335"/>
      <c r="AV80" s="1335"/>
      <c r="AW80" s="1335"/>
      <c r="AX80" s="1335"/>
      <c r="AY80" s="1335"/>
      <c r="AZ80" s="1335"/>
      <c r="BA80" s="1335"/>
      <c r="BB80" s="1335"/>
      <c r="BC80" s="1335"/>
      <c r="BD80" s="1335"/>
      <c r="BE80" s="1335"/>
      <c r="BF80" s="1335"/>
      <c r="BG80" s="1335"/>
      <c r="BH80" s="1335"/>
      <c r="BI80" s="1335"/>
      <c r="BJ80" s="1335"/>
      <c r="BK80" s="1335"/>
      <c r="BL80" s="1335"/>
      <c r="BM80" s="1346"/>
      <c r="BN80" s="1335"/>
      <c r="BO80" s="1335"/>
      <c r="BP80" s="1335"/>
      <c r="BQ80" s="1335"/>
      <c r="BR80" s="1346"/>
      <c r="BS80" s="1190"/>
      <c r="BT80" s="1190"/>
      <c r="BU80" s="1190"/>
      <c r="BV80" s="1190"/>
      <c r="BW80" s="1582">
        <v>0.02</v>
      </c>
      <c r="BX80" s="1240" t="s">
        <v>949</v>
      </c>
      <c r="BY80" s="1240" t="s">
        <v>1043</v>
      </c>
      <c r="BZ80" s="1537">
        <v>0.02</v>
      </c>
      <c r="CA80" s="1240" t="s">
        <v>983</v>
      </c>
      <c r="CB80" s="1581">
        <v>0</v>
      </c>
      <c r="CC80" s="1240"/>
      <c r="CD80" s="1240"/>
      <c r="CE80" s="1240"/>
      <c r="CF80" s="1240"/>
      <c r="CG80" s="1581">
        <v>0.02</v>
      </c>
      <c r="CH80" s="1602"/>
      <c r="CI80" s="1602" t="s">
        <v>1413</v>
      </c>
      <c r="CJ80" s="1602" t="s">
        <v>1421</v>
      </c>
      <c r="CK80" s="1602" t="s">
        <v>1429</v>
      </c>
      <c r="CL80" s="1581">
        <v>0</v>
      </c>
      <c r="CM80" s="2293" t="s">
        <v>1457</v>
      </c>
      <c r="CN80" s="1190" t="s">
        <v>1459</v>
      </c>
      <c r="CO80" s="1190" t="s">
        <v>983</v>
      </c>
      <c r="CP80" s="1190"/>
      <c r="CQ80" s="1581">
        <v>0.01</v>
      </c>
      <c r="CR80" s="1190"/>
      <c r="CS80" s="1190"/>
      <c r="CT80" s="1190"/>
      <c r="CU80" s="1190"/>
      <c r="CV80" s="1581">
        <v>0.04</v>
      </c>
      <c r="CW80" s="1581">
        <v>0.03</v>
      </c>
      <c r="CX80" s="1581">
        <v>0.03</v>
      </c>
      <c r="CY80" s="1581">
        <v>0.03</v>
      </c>
      <c r="CZ80" s="1972"/>
    </row>
    <row r="81" spans="1:104" s="1178" customFormat="1" ht="11.25">
      <c r="A81" s="1191"/>
      <c r="B81" s="1191"/>
      <c r="C81" s="1373"/>
      <c r="D81" s="1191" t="str">
        <f>D74</f>
        <v>Disposals</v>
      </c>
      <c r="E81" s="1191"/>
      <c r="F81" s="1191"/>
      <c r="G81" s="1191"/>
      <c r="H81" s="1191"/>
      <c r="I81" s="1191"/>
      <c r="J81" s="1191"/>
      <c r="K81" s="1191"/>
      <c r="L81" s="1191"/>
      <c r="M81" s="1191"/>
      <c r="N81" s="1191"/>
      <c r="O81" s="1191"/>
      <c r="P81" s="1191"/>
      <c r="Q81" s="1191"/>
      <c r="R81" s="1191"/>
      <c r="S81" s="1191"/>
      <c r="T81" s="1191"/>
      <c r="U81" s="1191"/>
      <c r="V81" s="1191"/>
      <c r="W81" s="1191"/>
      <c r="X81" s="1191"/>
      <c r="Y81" s="1191"/>
      <c r="Z81" s="1191"/>
      <c r="AA81" s="1191"/>
      <c r="AB81" s="1191"/>
      <c r="AC81" s="1191"/>
      <c r="AD81" s="1335"/>
      <c r="AE81" s="1335"/>
      <c r="AF81" s="1335"/>
      <c r="AG81" s="1335"/>
      <c r="AH81" s="1335"/>
      <c r="AI81" s="1335"/>
      <c r="AJ81" s="1335"/>
      <c r="AK81" s="1335"/>
      <c r="AL81" s="1335"/>
      <c r="AM81" s="1335"/>
      <c r="AN81" s="1335"/>
      <c r="AO81" s="1335"/>
      <c r="AP81" s="1335"/>
      <c r="AQ81" s="1335"/>
      <c r="AR81" s="1335"/>
      <c r="AS81" s="1335"/>
      <c r="AT81" s="1335"/>
      <c r="AU81" s="1335"/>
      <c r="AV81" s="1335"/>
      <c r="AW81" s="1335"/>
      <c r="AX81" s="1335"/>
      <c r="AY81" s="1335"/>
      <c r="AZ81" s="1335"/>
      <c r="BA81" s="1335"/>
      <c r="BB81" s="1335"/>
      <c r="BC81" s="1335"/>
      <c r="BD81" s="1335"/>
      <c r="BE81" s="1335"/>
      <c r="BF81" s="1335"/>
      <c r="BG81" s="1335"/>
      <c r="BH81" s="1335"/>
      <c r="BI81" s="1335"/>
      <c r="BJ81" s="1335"/>
      <c r="BK81" s="1335"/>
      <c r="BL81" s="1335"/>
      <c r="BM81" s="1346"/>
      <c r="BN81" s="1335"/>
      <c r="BO81" s="1335"/>
      <c r="BP81" s="1335"/>
      <c r="BQ81" s="1335"/>
      <c r="BR81" s="1346"/>
      <c r="BS81" s="1190"/>
      <c r="BT81" s="1190"/>
      <c r="BU81" s="1190"/>
      <c r="BV81" s="1190"/>
      <c r="BW81" s="1221"/>
      <c r="BX81" s="1197"/>
      <c r="BY81" s="1197"/>
      <c r="BZ81" s="1580"/>
      <c r="CA81" s="1197"/>
      <c r="CB81" s="1534"/>
      <c r="CC81" s="1197"/>
      <c r="CD81" s="1197"/>
      <c r="CE81" s="1197"/>
      <c r="CF81" s="1197"/>
      <c r="CG81" s="1534"/>
      <c r="CH81" s="1156"/>
      <c r="CI81" s="1156"/>
      <c r="CJ81" s="1156"/>
      <c r="CK81" s="1156"/>
      <c r="CL81" s="1534"/>
      <c r="CM81" s="1156"/>
      <c r="CN81" s="1156"/>
      <c r="CO81" s="1156"/>
      <c r="CP81" s="1156"/>
      <c r="CQ81" s="1534"/>
      <c r="CR81" s="2108"/>
      <c r="CS81" s="2108"/>
      <c r="CT81" s="2108"/>
      <c r="CU81" s="2108"/>
      <c r="CV81" s="1534"/>
      <c r="CW81" s="1534"/>
      <c r="CX81" s="1534"/>
      <c r="CY81" s="1534"/>
      <c r="CZ81" s="1197"/>
    </row>
    <row r="82" spans="1:104" s="1178" customFormat="1" ht="11.25">
      <c r="A82" s="1191"/>
      <c r="B82" s="1191"/>
      <c r="C82" s="1373"/>
      <c r="D82" s="1191"/>
      <c r="E82" s="1191"/>
      <c r="F82" s="1191"/>
      <c r="G82" s="1191"/>
      <c r="H82" s="1191"/>
      <c r="I82" s="1191"/>
      <c r="J82" s="1191"/>
      <c r="K82" s="1191"/>
      <c r="L82" s="1191"/>
      <c r="M82" s="1191"/>
      <c r="N82" s="1191"/>
      <c r="O82" s="1191"/>
      <c r="P82" s="1191"/>
      <c r="Q82" s="1191"/>
      <c r="R82" s="1191"/>
      <c r="S82" s="1191"/>
      <c r="T82" s="1191"/>
      <c r="U82" s="1191"/>
      <c r="V82" s="1191"/>
      <c r="W82" s="1191"/>
      <c r="X82" s="1191"/>
      <c r="Y82" s="1191"/>
      <c r="Z82" s="1191"/>
      <c r="AA82" s="1191"/>
      <c r="AB82" s="1191"/>
      <c r="AC82" s="1191"/>
      <c r="AD82" s="1335"/>
      <c r="AE82" s="1335"/>
      <c r="AF82" s="1335"/>
      <c r="AG82" s="1335"/>
      <c r="AH82" s="1335"/>
      <c r="AI82" s="1335"/>
      <c r="AJ82" s="1335"/>
      <c r="AK82" s="1335"/>
      <c r="AL82" s="1335"/>
      <c r="AM82" s="1335"/>
      <c r="AN82" s="1335"/>
      <c r="AO82" s="1335"/>
      <c r="AP82" s="1335"/>
      <c r="AQ82" s="1335"/>
      <c r="AR82" s="1335"/>
      <c r="AS82" s="1335"/>
      <c r="AT82" s="1335"/>
      <c r="AU82" s="1335"/>
      <c r="AV82" s="1335"/>
      <c r="AW82" s="1335"/>
      <c r="AX82" s="1335"/>
      <c r="AY82" s="1335"/>
      <c r="AZ82" s="1335"/>
      <c r="BA82" s="1335"/>
      <c r="BB82" s="1335"/>
      <c r="BC82" s="1335"/>
      <c r="BD82" s="1335"/>
      <c r="BE82" s="1335"/>
      <c r="BF82" s="1335"/>
      <c r="BG82" s="1335"/>
      <c r="BH82" s="1335"/>
      <c r="BI82" s="1335"/>
      <c r="BJ82" s="1335"/>
      <c r="BK82" s="1335"/>
      <c r="BL82" s="1335"/>
      <c r="BM82" s="1346"/>
      <c r="BN82" s="1335"/>
      <c r="BO82" s="1335"/>
      <c r="BP82" s="1335"/>
      <c r="BQ82" s="1335"/>
      <c r="BR82" s="1346"/>
      <c r="BS82" s="1190"/>
      <c r="BT82" s="1190"/>
      <c r="BU82" s="1190"/>
      <c r="BV82" s="1190"/>
      <c r="BW82" s="1221"/>
      <c r="BX82" s="1197"/>
      <c r="BY82" s="1197"/>
      <c r="BZ82" s="1580"/>
      <c r="CA82" s="1197"/>
      <c r="CB82" s="1534"/>
      <c r="CC82" s="1197"/>
      <c r="CD82" s="1197"/>
      <c r="CE82" s="1197"/>
      <c r="CF82" s="1197"/>
      <c r="CG82" s="1534"/>
      <c r="CH82" s="1156"/>
      <c r="CI82" s="1156"/>
      <c r="CJ82" s="1156"/>
      <c r="CK82" s="1156"/>
      <c r="CL82" s="1534"/>
      <c r="CM82" s="1156"/>
      <c r="CN82" s="1156"/>
      <c r="CO82" s="1156"/>
      <c r="CP82" s="1156"/>
      <c r="CQ82" s="1534"/>
      <c r="CR82" s="2108"/>
      <c r="CS82" s="2108"/>
      <c r="CT82" s="2108"/>
      <c r="CU82" s="2108"/>
      <c r="CV82" s="1534"/>
      <c r="CW82" s="1534"/>
      <c r="CX82" s="1534"/>
      <c r="CY82" s="1534"/>
      <c r="CZ82" s="1197"/>
    </row>
    <row r="83" spans="1:104" s="1234" customFormat="1" ht="11.25">
      <c r="A83" s="1182"/>
      <c r="B83" s="1182"/>
      <c r="C83" s="1373" t="s">
        <v>1062</v>
      </c>
      <c r="D83" s="1182"/>
      <c r="E83" s="1182"/>
      <c r="F83" s="1182"/>
      <c r="G83" s="1182"/>
      <c r="H83" s="1182"/>
      <c r="I83" s="1182"/>
      <c r="J83" s="1182"/>
      <c r="K83" s="1182"/>
      <c r="L83" s="1182"/>
      <c r="M83" s="1182"/>
      <c r="N83" s="1182"/>
      <c r="O83" s="1182"/>
      <c r="P83" s="1182"/>
      <c r="Q83" s="1182"/>
      <c r="R83" s="1182"/>
      <c r="S83" s="1182"/>
      <c r="T83" s="1182"/>
      <c r="U83" s="1182"/>
      <c r="V83" s="1182"/>
      <c r="W83" s="1182"/>
      <c r="X83" s="1182"/>
      <c r="Y83" s="1182"/>
      <c r="Z83" s="1182"/>
      <c r="AA83" s="1182"/>
      <c r="AB83" s="1182"/>
      <c r="AC83" s="1182"/>
      <c r="AD83" s="1343"/>
      <c r="AE83" s="1343"/>
      <c r="AF83" s="1343"/>
      <c r="AG83" s="1343"/>
      <c r="AH83" s="1343"/>
      <c r="AI83" s="1343"/>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8"/>
      <c r="BN83" s="1343"/>
      <c r="BO83" s="1343"/>
      <c r="BP83" s="1343"/>
      <c r="BQ83" s="1343"/>
      <c r="BR83" s="1348"/>
      <c r="BS83" s="1357"/>
      <c r="BT83" s="1357"/>
      <c r="BU83" s="1357"/>
      <c r="BV83" s="1357"/>
      <c r="BW83" s="1579">
        <f>BW87-BW85-BW86</f>
        <v>17317.099999999999</v>
      </c>
      <c r="BX83" s="1243"/>
      <c r="BY83" s="1243"/>
      <c r="BZ83" s="1578"/>
      <c r="CA83" s="1243"/>
      <c r="CB83" s="1579">
        <f>CB87-CB85-CB86</f>
        <v>17271.759999999998</v>
      </c>
      <c r="CC83" s="1243"/>
      <c r="CD83" s="1243"/>
      <c r="CE83" s="1243"/>
      <c r="CF83" s="1243"/>
      <c r="CG83" s="1579">
        <f>CG75+CG59</f>
        <v>17405.636566666668</v>
      </c>
      <c r="CH83" s="1357"/>
      <c r="CI83" s="1357"/>
      <c r="CJ83" s="1357"/>
      <c r="CK83" s="1357"/>
      <c r="CL83" s="1579">
        <f>CL87-CL85-CL86</f>
        <v>17322.98</v>
      </c>
      <c r="CM83" s="1357"/>
      <c r="CN83" s="1357"/>
      <c r="CO83" s="1357"/>
      <c r="CP83" s="1357"/>
      <c r="CQ83" s="1579">
        <f>CQ75+CQ59</f>
        <v>17992.184591168003</v>
      </c>
      <c r="CR83" s="1357"/>
      <c r="CS83" s="1357"/>
      <c r="CT83" s="1357"/>
      <c r="CU83" s="1357"/>
      <c r="CV83" s="1579">
        <f>CV75+CV59</f>
        <v>18539.934345149042</v>
      </c>
      <c r="CW83" s="1579">
        <f>CW75+CW59</f>
        <v>19037.693167994366</v>
      </c>
      <c r="CX83" s="1579">
        <f>CX75+CX59</f>
        <v>19446.031724787157</v>
      </c>
      <c r="CY83" s="1579">
        <f>CY75+CY59</f>
        <v>19864.145476093618</v>
      </c>
      <c r="CZ83" s="1974"/>
    </row>
    <row r="84" spans="1:104" s="1234" customFormat="1" ht="11.25">
      <c r="A84" s="1182"/>
      <c r="B84" s="1182"/>
      <c r="C84" s="1191" t="s">
        <v>141</v>
      </c>
      <c r="D84" s="1182"/>
      <c r="E84" s="1182"/>
      <c r="F84" s="1182"/>
      <c r="G84" s="1182"/>
      <c r="H84" s="1182"/>
      <c r="I84" s="1182"/>
      <c r="J84" s="1182"/>
      <c r="K84" s="1182"/>
      <c r="L84" s="1182"/>
      <c r="M84" s="1182"/>
      <c r="N84" s="1182"/>
      <c r="O84" s="1182"/>
      <c r="P84" s="1182"/>
      <c r="Q84" s="1182"/>
      <c r="R84" s="1182"/>
      <c r="S84" s="1182"/>
      <c r="T84" s="1182"/>
      <c r="U84" s="1182"/>
      <c r="V84" s="1182"/>
      <c r="W84" s="1182"/>
      <c r="X84" s="1182"/>
      <c r="Y84" s="1182"/>
      <c r="Z84" s="1182"/>
      <c r="AA84" s="1182"/>
      <c r="AB84" s="1182"/>
      <c r="AC84" s="1182"/>
      <c r="AD84" s="1343"/>
      <c r="AE84" s="1343"/>
      <c r="AF84" s="1343"/>
      <c r="AG84" s="1343"/>
      <c r="AH84" s="1343"/>
      <c r="AI84" s="1343"/>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8"/>
      <c r="BN84" s="1343"/>
      <c r="BO84" s="1343"/>
      <c r="BP84" s="1343"/>
      <c r="BQ84" s="1343"/>
      <c r="BR84" s="1348"/>
      <c r="BS84" s="1357"/>
      <c r="BT84" s="1357"/>
      <c r="BU84" s="1357"/>
      <c r="BV84" s="1357"/>
      <c r="BW84" s="1574">
        <f>BW83/BR87-1</f>
        <v>1.3288472791105788E-2</v>
      </c>
      <c r="BX84" s="1243"/>
      <c r="BY84" s="1243"/>
      <c r="BZ84" s="1578"/>
      <c r="CA84" s="1243"/>
      <c r="CB84" s="1574">
        <f>CB83/BW87-1</f>
        <v>2.7530489618656562E-2</v>
      </c>
      <c r="CC84" s="1243"/>
      <c r="CD84" s="1243"/>
      <c r="CE84" s="1243"/>
      <c r="CF84" s="1243"/>
      <c r="CG84" s="1574">
        <f>CG83/CB87-1</f>
        <v>3.4633333333333516E-2</v>
      </c>
      <c r="CH84" s="1357"/>
      <c r="CI84" s="1357"/>
      <c r="CJ84" s="1357"/>
      <c r="CK84" s="1357"/>
      <c r="CL84" s="1574">
        <f>CL83/CG83-1</f>
        <v>-4.7488390528022117E-3</v>
      </c>
      <c r="CM84" s="1357"/>
      <c r="CN84" s="1357"/>
      <c r="CO84" s="1357"/>
      <c r="CP84" s="1357"/>
      <c r="CQ84" s="1574">
        <f>CQ83/CL83-1</f>
        <v>3.8631031795222537E-2</v>
      </c>
      <c r="CR84" s="1357"/>
      <c r="CS84" s="1357"/>
      <c r="CT84" s="1357"/>
      <c r="CU84" s="1357"/>
      <c r="CV84" s="1574">
        <f>CV83/CQ83-1</f>
        <v>3.0443760245207674E-2</v>
      </c>
      <c r="CW84" s="1574">
        <f>CW83/CV83-1</f>
        <v>2.684792802276359E-2</v>
      </c>
      <c r="CX84" s="1574">
        <f>CX83/CW83-1</f>
        <v>2.1448951466414012E-2</v>
      </c>
      <c r="CY84" s="1574">
        <f>CY83/CX83-1</f>
        <v>2.1501237744742774E-2</v>
      </c>
      <c r="CZ84" s="1975"/>
    </row>
    <row r="85" spans="1:104" s="1178" customFormat="1" ht="11.25" outlineLevel="1">
      <c r="A85" s="1191"/>
      <c r="B85" s="1191"/>
      <c r="C85" s="1191" t="s">
        <v>150</v>
      </c>
      <c r="D85" s="1191"/>
      <c r="E85" s="1191"/>
      <c r="F85" s="1191"/>
      <c r="G85" s="1191"/>
      <c r="H85" s="1191"/>
      <c r="I85" s="1191"/>
      <c r="J85" s="1191"/>
      <c r="K85" s="1191"/>
      <c r="L85" s="1191"/>
      <c r="M85" s="1191"/>
      <c r="N85" s="1191"/>
      <c r="O85" s="1191"/>
      <c r="P85" s="1191"/>
      <c r="Q85" s="1191"/>
      <c r="R85" s="1191"/>
      <c r="S85" s="1191"/>
      <c r="T85" s="1191"/>
      <c r="U85" s="1191"/>
      <c r="V85" s="1191"/>
      <c r="W85" s="1191"/>
      <c r="X85" s="1191"/>
      <c r="Y85" s="1191"/>
      <c r="Z85" s="1191"/>
      <c r="AA85" s="1191"/>
      <c r="AB85" s="1191"/>
      <c r="AC85" s="1191"/>
      <c r="AD85" s="1191"/>
      <c r="AE85" s="1191"/>
      <c r="AF85" s="1191"/>
      <c r="AG85" s="1191"/>
      <c r="AH85" s="1191"/>
      <c r="AI85" s="1191"/>
      <c r="AJ85" s="1191"/>
      <c r="AK85" s="1191"/>
      <c r="AL85" s="1191"/>
      <c r="AM85" s="1191"/>
      <c r="AN85" s="1191"/>
      <c r="AO85" s="1191"/>
      <c r="AP85" s="1191"/>
      <c r="AQ85" s="1191"/>
      <c r="AR85" s="1191"/>
      <c r="AS85" s="1191"/>
      <c r="AT85" s="1191"/>
      <c r="AU85" s="1191"/>
      <c r="AV85" s="1191"/>
      <c r="AW85" s="1191"/>
      <c r="AX85" s="1191"/>
      <c r="AY85" s="1191"/>
      <c r="AZ85" s="1191"/>
      <c r="BA85" s="1191"/>
      <c r="BB85" s="1191"/>
      <c r="BC85" s="1191"/>
      <c r="BD85" s="1191"/>
      <c r="BE85" s="1191"/>
      <c r="BF85" s="1191"/>
      <c r="BG85" s="1191"/>
      <c r="BH85" s="1191"/>
      <c r="BI85" s="1182"/>
      <c r="BJ85" s="1182"/>
      <c r="BK85" s="1182"/>
      <c r="BL85" s="1182"/>
      <c r="BM85" s="1364"/>
      <c r="BN85" s="1190"/>
      <c r="BO85" s="1190"/>
      <c r="BP85" s="1190"/>
      <c r="BQ85" s="1190"/>
      <c r="BR85" s="1223"/>
      <c r="BS85" s="1190"/>
      <c r="BT85" s="1190"/>
      <c r="BU85" s="1190"/>
      <c r="BV85" s="1190"/>
      <c r="BW85" s="1577">
        <f>BW15*BR12</f>
        <v>0</v>
      </c>
      <c r="BX85" s="1240"/>
      <c r="BY85" s="1240"/>
      <c r="BZ85" s="1572"/>
      <c r="CA85" s="1240"/>
      <c r="CB85" s="1577">
        <f>CB15*BW12</f>
        <v>-138.86999999999966</v>
      </c>
      <c r="CC85" s="1240"/>
      <c r="CD85" s="1240"/>
      <c r="CE85" s="1240"/>
      <c r="CF85" s="1240"/>
      <c r="CG85" s="1577">
        <f>CG15*CB12</f>
        <v>-1083.2</v>
      </c>
      <c r="CH85" s="1190"/>
      <c r="CI85" s="1190"/>
      <c r="CJ85" s="1190"/>
      <c r="CK85" s="1190"/>
      <c r="CL85" s="1577">
        <f>CG85+(CL15*CG12)</f>
        <v>-1361.0000000000007</v>
      </c>
      <c r="CM85" s="1190"/>
      <c r="CN85" s="1190"/>
      <c r="CO85" s="1190"/>
      <c r="CP85" s="1190"/>
      <c r="CQ85" s="1577">
        <f>CL85+(CQ15*CL12)</f>
        <v>-1278.5038444597078</v>
      </c>
      <c r="CR85" s="1190"/>
      <c r="CS85" s="1190"/>
      <c r="CT85" s="1190"/>
      <c r="CU85" s="1190"/>
      <c r="CV85" s="1577">
        <f>CQ85+(CV15*CQ12)</f>
        <v>-862.28935180633096</v>
      </c>
      <c r="CW85" s="1576">
        <f t="shared" ref="CW85:CY86" si="41">CV85</f>
        <v>-862.28935180633096</v>
      </c>
      <c r="CX85" s="1576">
        <f t="shared" si="41"/>
        <v>-862.28935180633096</v>
      </c>
      <c r="CY85" s="1576">
        <f t="shared" si="41"/>
        <v>-862.28935180633096</v>
      </c>
      <c r="CZ85" s="1976"/>
    </row>
    <row r="86" spans="1:104" s="1178" customFormat="1" ht="11.25" outlineLevel="1">
      <c r="A86" s="1191"/>
      <c r="B86" s="1191"/>
      <c r="C86" s="1191" t="s">
        <v>94</v>
      </c>
      <c r="D86" s="1191"/>
      <c r="E86" s="1191"/>
      <c r="F86" s="1191"/>
      <c r="G86" s="1191"/>
      <c r="H86" s="1191"/>
      <c r="I86" s="1191"/>
      <c r="J86" s="1191"/>
      <c r="K86" s="1191"/>
      <c r="L86" s="1191"/>
      <c r="M86" s="1191"/>
      <c r="N86" s="1191"/>
      <c r="O86" s="1191"/>
      <c r="P86" s="1191"/>
      <c r="Q86" s="1191"/>
      <c r="R86" s="1191"/>
      <c r="S86" s="1191"/>
      <c r="T86" s="1191"/>
      <c r="U86" s="1191"/>
      <c r="V86" s="1191"/>
      <c r="W86" s="1191"/>
      <c r="X86" s="1191"/>
      <c r="Y86" s="1191"/>
      <c r="Z86" s="1191"/>
      <c r="AA86" s="1191"/>
      <c r="AB86" s="1191"/>
      <c r="AC86" s="1191"/>
      <c r="AD86" s="1191"/>
      <c r="AE86" s="1191"/>
      <c r="AF86" s="1191"/>
      <c r="AG86" s="1191"/>
      <c r="AH86" s="1191"/>
      <c r="AI86" s="1191"/>
      <c r="AJ86" s="1191"/>
      <c r="AK86" s="1191"/>
      <c r="AL86" s="1191"/>
      <c r="AM86" s="1191"/>
      <c r="AN86" s="1191"/>
      <c r="AO86" s="1191"/>
      <c r="AP86" s="1191"/>
      <c r="AQ86" s="1191"/>
      <c r="AR86" s="1191"/>
      <c r="AS86" s="1191"/>
      <c r="AT86" s="1191"/>
      <c r="AU86" s="1191"/>
      <c r="AV86" s="1191"/>
      <c r="AW86" s="1191"/>
      <c r="AX86" s="1191"/>
      <c r="AY86" s="1191"/>
      <c r="AZ86" s="1191"/>
      <c r="BA86" s="1191"/>
      <c r="BB86" s="1191"/>
      <c r="BC86" s="1191"/>
      <c r="BD86" s="1191"/>
      <c r="BE86" s="1191"/>
      <c r="BF86" s="1191"/>
      <c r="BG86" s="1191"/>
      <c r="BH86" s="1191"/>
      <c r="BI86" s="1182"/>
      <c r="BJ86" s="1182"/>
      <c r="BK86" s="1182"/>
      <c r="BL86" s="1182"/>
      <c r="BM86" s="1364"/>
      <c r="BN86" s="1190"/>
      <c r="BO86" s="1190"/>
      <c r="BP86" s="1190"/>
      <c r="BQ86" s="1190"/>
      <c r="BR86" s="1223"/>
      <c r="BS86" s="1190"/>
      <c r="BT86" s="1190"/>
      <c r="BU86" s="1190"/>
      <c r="BV86" s="1190"/>
      <c r="BW86" s="1577">
        <f>BW14*BR12</f>
        <v>-508.1</v>
      </c>
      <c r="BX86" s="1240"/>
      <c r="BY86" s="1240"/>
      <c r="BZ86" s="1572"/>
      <c r="CA86" s="1240"/>
      <c r="CB86" s="1577">
        <f>CB14*BW12</f>
        <v>-309.8900000000001</v>
      </c>
      <c r="CC86" s="1240"/>
      <c r="CD86" s="1240"/>
      <c r="CE86" s="1240"/>
      <c r="CF86" s="1240"/>
      <c r="CG86" s="1577">
        <f>CG14*CB12</f>
        <v>384.15999999999997</v>
      </c>
      <c r="CH86" s="1190"/>
      <c r="CI86" s="1190"/>
      <c r="CJ86" s="1190"/>
      <c r="CK86" s="1190"/>
      <c r="CL86" s="1577">
        <f>CL14*CG12+CG86</f>
        <v>889.02</v>
      </c>
      <c r="CM86" s="1190"/>
      <c r="CN86" s="1190"/>
      <c r="CO86" s="1190"/>
      <c r="CP86" s="1190"/>
      <c r="CQ86" s="1577">
        <f>CQ14*CL12+CL86</f>
        <v>1127.32</v>
      </c>
      <c r="CR86" s="1190"/>
      <c r="CS86" s="1190"/>
      <c r="CT86" s="1190"/>
      <c r="CU86" s="1190"/>
      <c r="CV86" s="1577">
        <f>CV14*CQ12+CQ86</f>
        <v>1166.24</v>
      </c>
      <c r="CW86" s="1576">
        <f t="shared" si="41"/>
        <v>1166.24</v>
      </c>
      <c r="CX86" s="1576">
        <f t="shared" si="41"/>
        <v>1166.24</v>
      </c>
      <c r="CY86" s="1576">
        <f t="shared" si="41"/>
        <v>1166.24</v>
      </c>
      <c r="CZ86" s="1976"/>
    </row>
    <row r="87" spans="1:104" s="1178" customFormat="1" ht="11.25" outlineLevel="1">
      <c r="A87" s="1191"/>
      <c r="B87" s="1191"/>
      <c r="C87" s="1373" t="s">
        <v>1061</v>
      </c>
      <c r="D87" s="1191"/>
      <c r="E87" s="1191"/>
      <c r="F87" s="1191"/>
      <c r="G87" s="1191"/>
      <c r="H87" s="1191"/>
      <c r="I87" s="1191"/>
      <c r="J87" s="1191"/>
      <c r="K87" s="1191"/>
      <c r="L87" s="1191"/>
      <c r="M87" s="1191"/>
      <c r="N87" s="1191"/>
      <c r="O87" s="1191"/>
      <c r="P87" s="1191"/>
      <c r="Q87" s="1191"/>
      <c r="R87" s="1191"/>
      <c r="S87" s="1191"/>
      <c r="T87" s="1191"/>
      <c r="U87" s="1191"/>
      <c r="V87" s="1191"/>
      <c r="W87" s="1191"/>
      <c r="X87" s="1191"/>
      <c r="Y87" s="1191"/>
      <c r="Z87" s="1191"/>
      <c r="AA87" s="1191"/>
      <c r="AB87" s="1191"/>
      <c r="AC87" s="1191"/>
      <c r="AD87" s="1191"/>
      <c r="AE87" s="1191"/>
      <c r="AF87" s="1191"/>
      <c r="AG87" s="1191"/>
      <c r="AH87" s="1191"/>
      <c r="AI87" s="1191"/>
      <c r="AJ87" s="1191"/>
      <c r="AK87" s="1191"/>
      <c r="AL87" s="1191"/>
      <c r="AM87" s="1191"/>
      <c r="AN87" s="1191"/>
      <c r="AO87" s="1191"/>
      <c r="AP87" s="1191"/>
      <c r="AQ87" s="1191"/>
      <c r="AR87" s="1191"/>
      <c r="AS87" s="1191"/>
      <c r="AT87" s="1191"/>
      <c r="AU87" s="1191"/>
      <c r="AV87" s="1191"/>
      <c r="AW87" s="1191"/>
      <c r="AX87" s="1191"/>
      <c r="AY87" s="1191"/>
      <c r="AZ87" s="1191"/>
      <c r="BA87" s="1191"/>
      <c r="BB87" s="1191"/>
      <c r="BC87" s="1191"/>
      <c r="BD87" s="1191"/>
      <c r="BE87" s="1191"/>
      <c r="BF87" s="1191"/>
      <c r="BG87" s="1191"/>
      <c r="BH87" s="1191"/>
      <c r="BI87" s="1182"/>
      <c r="BJ87" s="1182"/>
      <c r="BK87" s="1182"/>
      <c r="BL87" s="1182"/>
      <c r="BM87" s="1364">
        <f>SUM(BM75,BM59)</f>
        <v>18864</v>
      </c>
      <c r="BN87" s="1190"/>
      <c r="BO87" s="1190"/>
      <c r="BP87" s="1190"/>
      <c r="BQ87" s="1190"/>
      <c r="BR87" s="1364">
        <f>BR12</f>
        <v>17090</v>
      </c>
      <c r="BS87" s="1190"/>
      <c r="BT87" s="1190"/>
      <c r="BU87" s="1190"/>
      <c r="BV87" s="1190"/>
      <c r="BW87" s="1364">
        <f>BW12</f>
        <v>16809</v>
      </c>
      <c r="BX87" s="1240"/>
      <c r="BY87" s="1240"/>
      <c r="BZ87" s="1572"/>
      <c r="CA87" s="1240"/>
      <c r="CB87" s="1575">
        <f>CB12</f>
        <v>16823</v>
      </c>
      <c r="CC87" s="1240"/>
      <c r="CD87" s="1240"/>
      <c r="CE87" s="1240"/>
      <c r="CF87" s="1240"/>
      <c r="CG87" s="1575">
        <f>CG85+CG83+CG86</f>
        <v>16706.596566666667</v>
      </c>
      <c r="CH87" s="1190"/>
      <c r="CI87" s="1190"/>
      <c r="CJ87" s="1190"/>
      <c r="CK87" s="1190"/>
      <c r="CL87" s="1575">
        <f>CL12</f>
        <v>16851</v>
      </c>
      <c r="CM87" s="1190"/>
      <c r="CN87" s="1190"/>
      <c r="CO87" s="1190"/>
      <c r="CP87" s="1190"/>
      <c r="CQ87" s="1575">
        <f>CQ85+CQ83+CQ86</f>
        <v>17841.000746708294</v>
      </c>
      <c r="CR87" s="1190"/>
      <c r="CS87" s="1190"/>
      <c r="CT87" s="1190"/>
      <c r="CU87" s="1190"/>
      <c r="CV87" s="1575">
        <f>CV85+CV83+CV86</f>
        <v>18843.884993342712</v>
      </c>
      <c r="CW87" s="1575">
        <f>CW85+CW83+CW86</f>
        <v>19341.643816188036</v>
      </c>
      <c r="CX87" s="1575">
        <f>CX85+CX83+CX86</f>
        <v>19749.982372980827</v>
      </c>
      <c r="CY87" s="1575">
        <f>CY85+CY83+CY86</f>
        <v>20168.096124287287</v>
      </c>
      <c r="CZ87" s="1767"/>
    </row>
    <row r="88" spans="1:104" s="1178" customFormat="1" ht="11.25" outlineLevel="1">
      <c r="A88" s="1191"/>
      <c r="B88" s="1191"/>
      <c r="C88" s="1373"/>
      <c r="D88" s="1191"/>
      <c r="E88" s="1191"/>
      <c r="F88" s="1191"/>
      <c r="G88" s="1191"/>
      <c r="H88" s="1191"/>
      <c r="I88" s="1191"/>
      <c r="J88" s="1191"/>
      <c r="K88" s="1191"/>
      <c r="L88" s="1191"/>
      <c r="M88" s="1191"/>
      <c r="N88" s="1191"/>
      <c r="O88" s="1191"/>
      <c r="P88" s="1191"/>
      <c r="Q88" s="1191"/>
      <c r="R88" s="1191"/>
      <c r="S88" s="1191"/>
      <c r="T88" s="1191"/>
      <c r="U88" s="1191"/>
      <c r="V88" s="1191"/>
      <c r="W88" s="1191"/>
      <c r="X88" s="1191"/>
      <c r="Y88" s="1191"/>
      <c r="Z88" s="1191"/>
      <c r="AA88" s="1191"/>
      <c r="AB88" s="1191"/>
      <c r="AC88" s="1191"/>
      <c r="AD88" s="1191"/>
      <c r="AE88" s="1191"/>
      <c r="AF88" s="1191"/>
      <c r="AG88" s="1191"/>
      <c r="AH88" s="1191"/>
      <c r="AI88" s="1191"/>
      <c r="AJ88" s="1191"/>
      <c r="AK88" s="1191"/>
      <c r="AL88" s="1191"/>
      <c r="AM88" s="1191"/>
      <c r="AN88" s="1191"/>
      <c r="AO88" s="1191"/>
      <c r="AP88" s="1191"/>
      <c r="AQ88" s="1191"/>
      <c r="AR88" s="1191"/>
      <c r="AS88" s="1191"/>
      <c r="AT88" s="1191"/>
      <c r="AU88" s="1191"/>
      <c r="AV88" s="1191"/>
      <c r="AW88" s="1191"/>
      <c r="AX88" s="1191"/>
      <c r="AY88" s="1191"/>
      <c r="AZ88" s="1191"/>
      <c r="BA88" s="1191"/>
      <c r="BB88" s="1191"/>
      <c r="BC88" s="1191"/>
      <c r="BD88" s="1191"/>
      <c r="BE88" s="1191"/>
      <c r="BF88" s="1191"/>
      <c r="BG88" s="1191"/>
      <c r="BH88" s="1191"/>
      <c r="BI88" s="1182"/>
      <c r="BJ88" s="1182"/>
      <c r="BK88" s="1182"/>
      <c r="BL88" s="1182"/>
      <c r="BM88" s="1364"/>
      <c r="BN88" s="1190"/>
      <c r="BO88" s="1190"/>
      <c r="BP88" s="1190"/>
      <c r="BQ88" s="1190"/>
      <c r="BR88" s="1223"/>
      <c r="BS88" s="1190"/>
      <c r="BT88" s="1190"/>
      <c r="BU88" s="1190"/>
      <c r="BV88" s="1190"/>
      <c r="BW88" s="1223"/>
      <c r="BX88" s="1240"/>
      <c r="BY88" s="1240"/>
      <c r="BZ88" s="1572"/>
      <c r="CA88" s="1240"/>
      <c r="CB88" s="1574">
        <f>CB87/BW87-1</f>
        <v>8.3288714379192719E-4</v>
      </c>
      <c r="CC88" s="1240"/>
      <c r="CD88" s="1240"/>
      <c r="CE88" s="1240"/>
      <c r="CF88" s="1240"/>
      <c r="CG88" s="1574">
        <f>CG87/CB87-1</f>
        <v>-6.9193029384374549E-3</v>
      </c>
      <c r="CH88" s="1190"/>
      <c r="CI88" s="1190"/>
      <c r="CJ88" s="1190"/>
      <c r="CK88" s="1190"/>
      <c r="CL88" s="1574">
        <f>CL87/CG87-1</f>
        <v>8.6434979594496308E-3</v>
      </c>
      <c r="CM88" s="1190"/>
      <c r="CN88" s="1190"/>
      <c r="CO88" s="1190"/>
      <c r="CP88" s="1190"/>
      <c r="CQ88" s="1574">
        <f>CQ87/CL87-1</f>
        <v>5.8750266851124167E-2</v>
      </c>
      <c r="CR88" s="1190"/>
      <c r="CS88" s="1190"/>
      <c r="CT88" s="1190"/>
      <c r="CU88" s="1190"/>
      <c r="CV88" s="1574">
        <f>CV87/CQ87-1</f>
        <v>5.6212331408564742E-2</v>
      </c>
      <c r="CW88" s="1574">
        <f>CW87/CV87-1</f>
        <v>2.6414872677326118E-2</v>
      </c>
      <c r="CX88" s="1574">
        <f>CX87/CW87-1</f>
        <v>2.1111884836335859E-2</v>
      </c>
      <c r="CY88" s="1574">
        <f>CY87/CX87-1</f>
        <v>2.117033541652491E-2</v>
      </c>
      <c r="CZ88" s="1975"/>
    </row>
    <row r="89" spans="1:104" s="1178" customFormat="1" ht="11.25" outlineLevel="1">
      <c r="A89" s="1191"/>
      <c r="B89" s="1191"/>
      <c r="C89" s="1191"/>
      <c r="D89" s="1191"/>
      <c r="E89" s="1191"/>
      <c r="F89" s="1191"/>
      <c r="G89" s="1191"/>
      <c r="H89" s="1191"/>
      <c r="I89" s="1191"/>
      <c r="J89" s="1191"/>
      <c r="K89" s="1191"/>
      <c r="L89" s="1191"/>
      <c r="M89" s="1191"/>
      <c r="N89" s="1191"/>
      <c r="O89" s="1191"/>
      <c r="P89" s="1191"/>
      <c r="Q89" s="1191"/>
      <c r="R89" s="1191"/>
      <c r="S89" s="1191"/>
      <c r="T89" s="1191"/>
      <c r="U89" s="1191"/>
      <c r="V89" s="1191"/>
      <c r="W89" s="1191"/>
      <c r="X89" s="1191"/>
      <c r="Y89" s="1191"/>
      <c r="Z89" s="1191"/>
      <c r="AA89" s="1191"/>
      <c r="AB89" s="1191"/>
      <c r="AC89" s="1191"/>
      <c r="AD89" s="1191"/>
      <c r="AE89" s="1191"/>
      <c r="AF89" s="1191"/>
      <c r="AG89" s="1191"/>
      <c r="AH89" s="1191"/>
      <c r="AI89" s="1191"/>
      <c r="AJ89" s="1191"/>
      <c r="AK89" s="1191"/>
      <c r="AL89" s="1191"/>
      <c r="AM89" s="1191"/>
      <c r="AN89" s="1191"/>
      <c r="AO89" s="1191"/>
      <c r="AP89" s="1191"/>
      <c r="AQ89" s="1191"/>
      <c r="AR89" s="1191"/>
      <c r="AS89" s="1191"/>
      <c r="AT89" s="1191"/>
      <c r="AU89" s="1191"/>
      <c r="AV89" s="1191"/>
      <c r="AW89" s="1191"/>
      <c r="AX89" s="1191"/>
      <c r="AY89" s="1191"/>
      <c r="AZ89" s="1191"/>
      <c r="BA89" s="1191"/>
      <c r="BB89" s="1191"/>
      <c r="BC89" s="1191"/>
      <c r="BD89" s="1191"/>
      <c r="BE89" s="1191"/>
      <c r="BF89" s="1191"/>
      <c r="BG89" s="1191"/>
      <c r="BH89" s="1191"/>
      <c r="BI89" s="1182"/>
      <c r="BJ89" s="1182"/>
      <c r="BK89" s="1182"/>
      <c r="BL89" s="1182"/>
      <c r="BM89" s="1364"/>
      <c r="BN89" s="1190"/>
      <c r="BO89" s="1190"/>
      <c r="BP89" s="1190"/>
      <c r="BQ89" s="1190"/>
      <c r="BR89" s="1223"/>
      <c r="BS89" s="1190"/>
      <c r="BT89" s="1190"/>
      <c r="BU89" s="1190"/>
      <c r="BV89" s="1190"/>
      <c r="BW89" s="1223"/>
      <c r="BX89" s="1240"/>
      <c r="BY89" s="1240"/>
      <c r="BZ89" s="1572"/>
      <c r="CA89" s="1240"/>
      <c r="CB89" s="1574">
        <f>CB13-CB15</f>
        <v>9.0945326908202853E-3</v>
      </c>
      <c r="CC89" s="1240"/>
      <c r="CD89" s="1240"/>
      <c r="CE89" s="1240"/>
      <c r="CF89" s="1240"/>
      <c r="CG89" s="1253"/>
      <c r="CH89" s="1190"/>
      <c r="CI89" s="1190"/>
      <c r="CJ89" s="1190"/>
      <c r="CK89" s="1190"/>
      <c r="CL89" s="1253"/>
      <c r="CM89" s="1190"/>
      <c r="CN89" s="1190"/>
      <c r="CO89" s="1190"/>
      <c r="CP89" s="1190"/>
      <c r="CQ89" s="1534"/>
      <c r="CR89" s="1190"/>
      <c r="CS89" s="1190"/>
      <c r="CT89" s="1190"/>
      <c r="CU89" s="1190"/>
      <c r="CV89" s="1534"/>
      <c r="CW89" s="1534"/>
      <c r="CX89" s="1534"/>
      <c r="CY89" s="1534"/>
      <c r="CZ89" s="1197"/>
    </row>
    <row r="90" spans="1:104" s="1178" customFormat="1" ht="11.25">
      <c r="A90" s="1191"/>
      <c r="B90" s="1373" t="s">
        <v>1060</v>
      </c>
      <c r="D90" s="1191"/>
      <c r="E90" s="1191"/>
      <c r="F90" s="1191"/>
      <c r="G90" s="1191"/>
      <c r="H90" s="1191"/>
      <c r="I90" s="1191"/>
      <c r="J90" s="1191"/>
      <c r="K90" s="1191"/>
      <c r="L90" s="1191"/>
      <c r="M90" s="1191"/>
      <c r="N90" s="1191"/>
      <c r="O90" s="1191"/>
      <c r="P90" s="1191"/>
      <c r="Q90" s="1191"/>
      <c r="R90" s="1191"/>
      <c r="S90" s="1191"/>
      <c r="T90" s="1191"/>
      <c r="U90" s="1191"/>
      <c r="V90" s="1191"/>
      <c r="W90" s="1191"/>
      <c r="X90" s="1191"/>
      <c r="Y90" s="1191"/>
      <c r="Z90" s="1191"/>
      <c r="AA90" s="1191"/>
      <c r="AB90" s="1191"/>
      <c r="AC90" s="1191"/>
      <c r="AD90" s="1191"/>
      <c r="AE90" s="1191"/>
      <c r="AF90" s="1191"/>
      <c r="AG90" s="1191"/>
      <c r="AH90" s="1191"/>
      <c r="AI90" s="1191"/>
      <c r="AJ90" s="1191"/>
      <c r="AK90" s="1191"/>
      <c r="AL90" s="1191"/>
      <c r="AM90" s="1191"/>
      <c r="AN90" s="1191"/>
      <c r="AO90" s="1191"/>
      <c r="AP90" s="1191"/>
      <c r="AQ90" s="1191"/>
      <c r="AR90" s="1191"/>
      <c r="AS90" s="1191"/>
      <c r="AT90" s="1191"/>
      <c r="AU90" s="1191"/>
      <c r="AV90" s="1191"/>
      <c r="AW90" s="1191"/>
      <c r="AX90" s="1191"/>
      <c r="AY90" s="1573"/>
      <c r="AZ90" s="1573"/>
      <c r="BA90" s="1573"/>
      <c r="BB90" s="1573"/>
      <c r="BC90" s="1573"/>
      <c r="BD90" s="1191"/>
      <c r="BE90" s="1191"/>
      <c r="BF90" s="1191"/>
      <c r="BG90" s="1191"/>
      <c r="BH90" s="1191"/>
      <c r="BI90" s="1182"/>
      <c r="BJ90" s="1182"/>
      <c r="BK90" s="1182"/>
      <c r="BL90" s="1182"/>
      <c r="BM90" s="1364"/>
      <c r="BN90" s="1190"/>
      <c r="BO90" s="1190"/>
      <c r="BP90" s="1190"/>
      <c r="BQ90" s="1190"/>
      <c r="BR90" s="1223"/>
      <c r="BS90" s="1190"/>
      <c r="BT90" s="1190"/>
      <c r="BU90" s="1190"/>
      <c r="BV90" s="1190"/>
      <c r="BW90" s="1223"/>
      <c r="BX90" s="1240"/>
      <c r="BY90" s="1240"/>
      <c r="BZ90" s="1572"/>
      <c r="CA90" s="1240"/>
      <c r="CB90" s="1253"/>
      <c r="CC90" s="1240"/>
      <c r="CD90" s="1240"/>
      <c r="CE90" s="1240"/>
      <c r="CF90" s="1240"/>
      <c r="CG90" s="1253"/>
      <c r="CH90" s="1190"/>
      <c r="CI90" s="1190"/>
      <c r="CJ90" s="1190"/>
      <c r="CK90" s="1190"/>
      <c r="CL90" s="1253"/>
      <c r="CM90" s="1190"/>
      <c r="CN90" s="1190"/>
      <c r="CO90" s="1190"/>
      <c r="CP90" s="1190"/>
      <c r="CQ90" s="1534"/>
      <c r="CR90" s="1190"/>
      <c r="CS90" s="1190"/>
      <c r="CT90" s="1190"/>
      <c r="CU90" s="1190"/>
      <c r="CV90" s="1534"/>
      <c r="CW90" s="1534"/>
      <c r="CX90" s="1534"/>
      <c r="CY90" s="1534"/>
      <c r="CZ90" s="1197"/>
    </row>
    <row r="91" spans="1:104" s="1178" customFormat="1" ht="11.25">
      <c r="A91" s="1156"/>
      <c r="B91" s="1156"/>
      <c r="C91" s="1156" t="s">
        <v>1059</v>
      </c>
      <c r="D91" s="1156"/>
      <c r="E91" s="1156"/>
      <c r="F91" s="1337" t="s">
        <v>946</v>
      </c>
      <c r="G91" s="1337" t="s">
        <v>946</v>
      </c>
      <c r="H91" s="1337" t="s">
        <v>946</v>
      </c>
      <c r="I91" s="1337" t="s">
        <v>946</v>
      </c>
      <c r="J91" s="1336" t="s">
        <v>946</v>
      </c>
      <c r="K91" s="1336" t="s">
        <v>946</v>
      </c>
      <c r="L91" s="1336" t="s">
        <v>946</v>
      </c>
      <c r="M91" s="1336" t="s">
        <v>946</v>
      </c>
      <c r="N91" s="1336" t="s">
        <v>946</v>
      </c>
      <c r="O91" s="1336" t="s">
        <v>946</v>
      </c>
      <c r="P91" s="1336" t="s">
        <v>946</v>
      </c>
      <c r="Q91" s="1336" t="s">
        <v>946</v>
      </c>
      <c r="R91" s="1336" t="s">
        <v>946</v>
      </c>
      <c r="S91" s="1336" t="s">
        <v>946</v>
      </c>
      <c r="T91" s="1336" t="s">
        <v>946</v>
      </c>
      <c r="U91" s="1336" t="s">
        <v>946</v>
      </c>
      <c r="V91" s="1336" t="s">
        <v>946</v>
      </c>
      <c r="W91" s="1336" t="s">
        <v>946</v>
      </c>
      <c r="X91" s="1336" t="s">
        <v>946</v>
      </c>
      <c r="Y91" s="1336" t="s">
        <v>946</v>
      </c>
      <c r="Z91" s="1336" t="s">
        <v>946</v>
      </c>
      <c r="AA91" s="1336" t="s">
        <v>946</v>
      </c>
      <c r="AB91" s="1336" t="s">
        <v>946</v>
      </c>
      <c r="AC91" s="1336" t="s">
        <v>946</v>
      </c>
      <c r="AD91" s="1336" t="s">
        <v>946</v>
      </c>
      <c r="AE91" s="1336" t="s">
        <v>946</v>
      </c>
      <c r="AF91" s="1336" t="s">
        <v>946</v>
      </c>
      <c r="AG91" s="1336" t="s">
        <v>946</v>
      </c>
      <c r="AH91" s="1336" t="s">
        <v>946</v>
      </c>
      <c r="AI91" s="1336" t="s">
        <v>946</v>
      </c>
      <c r="AJ91" s="1336" t="s">
        <v>946</v>
      </c>
      <c r="AK91" s="1336" t="s">
        <v>946</v>
      </c>
      <c r="AL91" s="1336" t="s">
        <v>946</v>
      </c>
      <c r="AM91" s="1336" t="s">
        <v>946</v>
      </c>
      <c r="AN91" s="1336" t="s">
        <v>946</v>
      </c>
      <c r="AO91" s="1336" t="s">
        <v>946</v>
      </c>
      <c r="AP91" s="1336" t="s">
        <v>946</v>
      </c>
      <c r="AQ91" s="1336" t="s">
        <v>946</v>
      </c>
      <c r="AR91" s="1336" t="s">
        <v>946</v>
      </c>
      <c r="AS91" s="1336" t="s">
        <v>946</v>
      </c>
      <c r="AT91" s="1336" t="s">
        <v>946</v>
      </c>
      <c r="AU91" s="1336" t="s">
        <v>946</v>
      </c>
      <c r="AV91" s="1336" t="s">
        <v>946</v>
      </c>
      <c r="AW91" s="1336" t="s">
        <v>946</v>
      </c>
      <c r="AX91" s="1336" t="s">
        <v>946</v>
      </c>
      <c r="AY91" s="1240" t="s">
        <v>946</v>
      </c>
      <c r="AZ91" s="1240" t="s">
        <v>946</v>
      </c>
      <c r="BA91" s="1240" t="s">
        <v>946</v>
      </c>
      <c r="BB91" s="1240" t="s">
        <v>946</v>
      </c>
      <c r="BC91" s="1240" t="s">
        <v>946</v>
      </c>
      <c r="BD91" s="1240" t="s">
        <v>946</v>
      </c>
      <c r="BE91" s="1240" t="s">
        <v>946</v>
      </c>
      <c r="BF91" s="1240" t="s">
        <v>946</v>
      </c>
      <c r="BG91" s="1240" t="s">
        <v>946</v>
      </c>
      <c r="BH91" s="1240" t="s">
        <v>946</v>
      </c>
      <c r="BI91" s="1254">
        <v>7.0000000000000007E-2</v>
      </c>
      <c r="BJ91" s="1254">
        <v>0.01</v>
      </c>
      <c r="BK91" s="1541">
        <v>4.4999999999999998E-2</v>
      </c>
      <c r="BL91" s="1541">
        <v>-0.2</v>
      </c>
      <c r="BM91" s="1571">
        <v>-0.03</v>
      </c>
      <c r="BN91" s="1540">
        <v>0.1</v>
      </c>
      <c r="BO91" s="1540">
        <v>0.04</v>
      </c>
      <c r="BP91" s="1540">
        <v>0.03</v>
      </c>
      <c r="BQ91" s="1540">
        <v>0.2</v>
      </c>
      <c r="BR91" s="1539">
        <v>0.08</v>
      </c>
      <c r="BS91" s="1535">
        <v>0.08</v>
      </c>
      <c r="BT91" s="1535">
        <v>0.13</v>
      </c>
      <c r="BU91" s="1254">
        <v>7.0000000000000007E-2</v>
      </c>
      <c r="BV91" s="1347">
        <v>0.18</v>
      </c>
      <c r="BW91" s="1222"/>
      <c r="BX91" s="1254">
        <v>0.19</v>
      </c>
      <c r="BY91" s="1254" t="s">
        <v>1058</v>
      </c>
      <c r="BZ91" s="1537" t="s">
        <v>958</v>
      </c>
      <c r="CA91" s="1254" t="s">
        <v>1043</v>
      </c>
      <c r="CB91" s="1536"/>
      <c r="CC91" s="1254" t="s">
        <v>1057</v>
      </c>
      <c r="CD91" s="1254">
        <v>7.0000000000000007E-2</v>
      </c>
      <c r="CE91" s="1254">
        <v>7.0000000000000007E-2</v>
      </c>
      <c r="CF91" s="1254">
        <v>0.02</v>
      </c>
      <c r="CG91" s="1253"/>
      <c r="CH91" s="1535">
        <v>0.15</v>
      </c>
      <c r="CI91" s="1535">
        <v>0.11</v>
      </c>
      <c r="CJ91" s="1535">
        <v>0.11</v>
      </c>
      <c r="CK91" s="1535"/>
      <c r="CL91" s="1253"/>
      <c r="CM91" s="1535"/>
      <c r="CN91" s="1535">
        <v>0.16</v>
      </c>
      <c r="CO91" s="1535">
        <v>-0.03</v>
      </c>
      <c r="CP91" s="1535"/>
      <c r="CQ91" s="1534"/>
      <c r="CR91" s="2121"/>
      <c r="CS91" s="2121"/>
      <c r="CT91" s="2121"/>
      <c r="CU91" s="2121"/>
      <c r="CV91" s="1534"/>
      <c r="CW91" s="1534"/>
      <c r="CX91" s="1534"/>
      <c r="CY91" s="1534"/>
      <c r="CZ91" s="1197"/>
    </row>
    <row r="92" spans="1:104" s="1178" customFormat="1" ht="11.25">
      <c r="A92" s="1156"/>
      <c r="B92" s="1156"/>
      <c r="C92" s="1156"/>
      <c r="D92" s="1156"/>
      <c r="E92" s="1156"/>
      <c r="F92" s="1337"/>
      <c r="G92" s="1337"/>
      <c r="H92" s="1337"/>
      <c r="I92" s="1337"/>
      <c r="J92" s="1336"/>
      <c r="K92" s="1336"/>
      <c r="L92" s="1336"/>
      <c r="M92" s="1336"/>
      <c r="N92" s="1336"/>
      <c r="O92" s="1336"/>
      <c r="P92" s="1336"/>
      <c r="Q92" s="1336"/>
      <c r="R92" s="1336"/>
      <c r="S92" s="1336"/>
      <c r="T92" s="1336"/>
      <c r="U92" s="1336"/>
      <c r="V92" s="1336"/>
      <c r="W92" s="1336"/>
      <c r="X92" s="1336"/>
      <c r="Y92" s="1336"/>
      <c r="Z92" s="1336"/>
      <c r="AA92" s="1336"/>
      <c r="AB92" s="1336"/>
      <c r="AC92" s="1336"/>
      <c r="AD92" s="1336"/>
      <c r="AE92" s="1336"/>
      <c r="AF92" s="1336"/>
      <c r="AG92" s="1336"/>
      <c r="AH92" s="1336"/>
      <c r="AI92" s="1336"/>
      <c r="AJ92" s="1336"/>
      <c r="AK92" s="1336"/>
      <c r="AL92" s="1336"/>
      <c r="AM92" s="1336"/>
      <c r="AN92" s="1336"/>
      <c r="AO92" s="1336"/>
      <c r="AP92" s="1336"/>
      <c r="AQ92" s="1336"/>
      <c r="AR92" s="1336"/>
      <c r="AS92" s="1336"/>
      <c r="AT92" s="1336"/>
      <c r="AU92" s="1336"/>
      <c r="AV92" s="1336"/>
      <c r="AW92" s="1336"/>
      <c r="AX92" s="1336"/>
      <c r="AY92" s="1240"/>
      <c r="AZ92" s="1240"/>
      <c r="BA92" s="1240"/>
      <c r="BB92" s="1240"/>
      <c r="BC92" s="1240"/>
      <c r="BD92" s="1240"/>
      <c r="BE92" s="1240"/>
      <c r="BF92" s="1240"/>
      <c r="BG92" s="1240"/>
      <c r="BH92" s="1240"/>
      <c r="BI92" s="1254"/>
      <c r="BJ92" s="1254"/>
      <c r="BK92" s="1541"/>
      <c r="BL92" s="1541"/>
      <c r="BM92" s="1571"/>
      <c r="BN92" s="1540"/>
      <c r="BO92" s="1540"/>
      <c r="BP92" s="1540"/>
      <c r="BQ92" s="1540"/>
      <c r="BR92" s="1539"/>
      <c r="BS92" s="1535"/>
      <c r="BT92" s="1535"/>
      <c r="BU92" s="1254"/>
      <c r="BV92" s="1347"/>
      <c r="BW92" s="1222"/>
      <c r="BX92" s="1254"/>
      <c r="BY92" s="1254"/>
      <c r="BZ92" s="1537"/>
      <c r="CA92" s="1254"/>
      <c r="CB92" s="1536"/>
      <c r="CC92" s="1254"/>
      <c r="CD92" s="1254"/>
      <c r="CE92" s="1254"/>
      <c r="CF92" s="1254"/>
      <c r="CG92" s="1253"/>
      <c r="CH92" s="1535"/>
      <c r="CI92" s="1535"/>
      <c r="CJ92" s="1535"/>
      <c r="CK92" s="1535"/>
      <c r="CL92" s="1253"/>
      <c r="CM92" s="1535"/>
      <c r="CN92" s="1535"/>
      <c r="CO92" s="1535"/>
      <c r="CP92" s="1535"/>
      <c r="CQ92" s="1534"/>
      <c r="CR92" s="2121"/>
      <c r="CS92" s="2121"/>
      <c r="CT92" s="2121"/>
      <c r="CU92" s="2121"/>
      <c r="CV92" s="1534"/>
      <c r="CW92" s="1534"/>
      <c r="CX92" s="1534"/>
      <c r="CY92" s="1534"/>
      <c r="CZ92" s="1197"/>
    </row>
    <row r="93" spans="1:104" s="1178" customFormat="1" ht="11.25">
      <c r="A93" s="1156"/>
      <c r="B93" s="1156"/>
      <c r="C93" s="1156" t="s">
        <v>1056</v>
      </c>
      <c r="D93" s="1156"/>
      <c r="E93" s="1156"/>
      <c r="F93" s="1337" t="s">
        <v>946</v>
      </c>
      <c r="G93" s="1337" t="s">
        <v>946</v>
      </c>
      <c r="H93" s="1337" t="s">
        <v>946</v>
      </c>
      <c r="I93" s="1337" t="s">
        <v>946</v>
      </c>
      <c r="J93" s="1336" t="s">
        <v>946</v>
      </c>
      <c r="K93" s="1336" t="s">
        <v>946</v>
      </c>
      <c r="L93" s="1336" t="s">
        <v>946</v>
      </c>
      <c r="M93" s="1336" t="s">
        <v>946</v>
      </c>
      <c r="N93" s="1336" t="s">
        <v>946</v>
      </c>
      <c r="O93" s="1336" t="s">
        <v>946</v>
      </c>
      <c r="P93" s="1336" t="s">
        <v>946</v>
      </c>
      <c r="Q93" s="1336" t="s">
        <v>946</v>
      </c>
      <c r="R93" s="1336" t="s">
        <v>946</v>
      </c>
      <c r="S93" s="1336" t="s">
        <v>946</v>
      </c>
      <c r="T93" s="1336" t="s">
        <v>946</v>
      </c>
      <c r="U93" s="1336" t="s">
        <v>946</v>
      </c>
      <c r="V93" s="1336" t="s">
        <v>946</v>
      </c>
      <c r="W93" s="1336" t="s">
        <v>946</v>
      </c>
      <c r="X93" s="1336" t="s">
        <v>946</v>
      </c>
      <c r="Y93" s="1336" t="s">
        <v>946</v>
      </c>
      <c r="Z93" s="1336" t="s">
        <v>946</v>
      </c>
      <c r="AA93" s="1336" t="s">
        <v>946</v>
      </c>
      <c r="AB93" s="1336" t="s">
        <v>946</v>
      </c>
      <c r="AC93" s="1336" t="s">
        <v>946</v>
      </c>
      <c r="AD93" s="1336" t="s">
        <v>946</v>
      </c>
      <c r="AE93" s="1336" t="s">
        <v>946</v>
      </c>
      <c r="AF93" s="1336" t="s">
        <v>946</v>
      </c>
      <c r="AG93" s="1336" t="s">
        <v>946</v>
      </c>
      <c r="AH93" s="1336" t="s">
        <v>946</v>
      </c>
      <c r="AI93" s="1336" t="s">
        <v>946</v>
      </c>
      <c r="AJ93" s="1336" t="s">
        <v>946</v>
      </c>
      <c r="AK93" s="1336" t="s">
        <v>946</v>
      </c>
      <c r="AL93" s="1336" t="s">
        <v>946</v>
      </c>
      <c r="AM93" s="1336" t="s">
        <v>946</v>
      </c>
      <c r="AN93" s="1336" t="s">
        <v>946</v>
      </c>
      <c r="AO93" s="1336" t="s">
        <v>946</v>
      </c>
      <c r="AP93" s="1336" t="s">
        <v>946</v>
      </c>
      <c r="AQ93" s="1336" t="s">
        <v>946</v>
      </c>
      <c r="AR93" s="1336" t="s">
        <v>946</v>
      </c>
      <c r="AS93" s="1336" t="s">
        <v>946</v>
      </c>
      <c r="AT93" s="1570">
        <v>0.05</v>
      </c>
      <c r="AU93" s="1336" t="s">
        <v>946</v>
      </c>
      <c r="AV93" s="1336">
        <v>0.12</v>
      </c>
      <c r="AW93" s="1570">
        <v>-7.0000000000000007E-2</v>
      </c>
      <c r="AX93" s="1570">
        <v>0.09</v>
      </c>
      <c r="AY93" s="1336">
        <v>-0.17</v>
      </c>
      <c r="AZ93" s="1336">
        <v>-0.18</v>
      </c>
      <c r="BA93" s="1254">
        <v>-0.2</v>
      </c>
      <c r="BB93" s="1254">
        <v>-0.2</v>
      </c>
      <c r="BC93" s="1254">
        <f>AVERAGE(AY93:BB93)</f>
        <v>-0.1875</v>
      </c>
      <c r="BD93" s="1336">
        <v>-0.13</v>
      </c>
      <c r="BE93" s="1254">
        <v>4.4999999999999998E-2</v>
      </c>
      <c r="BF93" s="1254">
        <v>0.04</v>
      </c>
      <c r="BG93" s="1254">
        <v>0.2</v>
      </c>
      <c r="BH93" s="1254">
        <v>7.0000000000000007E-2</v>
      </c>
      <c r="BI93" s="1336">
        <v>0.26</v>
      </c>
      <c r="BJ93" s="1240" t="s">
        <v>946</v>
      </c>
      <c r="BK93" s="1254">
        <v>0.11</v>
      </c>
      <c r="BL93" s="1240" t="s">
        <v>946</v>
      </c>
      <c r="BM93" s="1253" t="s">
        <v>946</v>
      </c>
      <c r="BN93" s="1541">
        <f>3/4*9%</f>
        <v>6.7500000000000004E-2</v>
      </c>
      <c r="BO93" s="1540">
        <v>4.4999999999999998E-2</v>
      </c>
      <c r="BP93" s="1540">
        <v>0</v>
      </c>
      <c r="BQ93" s="1540">
        <v>7.0000000000000007E-2</v>
      </c>
      <c r="BR93" s="1539">
        <f>AVERAGE(BN93:BQ93)</f>
        <v>4.5624999999999999E-2</v>
      </c>
      <c r="BS93" s="1535">
        <v>-0.12</v>
      </c>
      <c r="BT93" s="1535">
        <v>0</v>
      </c>
      <c r="BU93" s="1538">
        <v>0.08</v>
      </c>
      <c r="BV93" s="1259" t="s">
        <v>1055</v>
      </c>
      <c r="BW93" s="1222"/>
      <c r="BX93" s="1254" t="s">
        <v>983</v>
      </c>
      <c r="BY93" s="1254" t="s">
        <v>983</v>
      </c>
      <c r="BZ93" s="1537" t="s">
        <v>949</v>
      </c>
      <c r="CA93" s="1254" t="s">
        <v>948</v>
      </c>
      <c r="CB93" s="1536"/>
      <c r="CC93" s="1254" t="s">
        <v>948</v>
      </c>
      <c r="CD93" s="1254">
        <v>-0.05</v>
      </c>
      <c r="CE93" s="1254" t="s">
        <v>958</v>
      </c>
      <c r="CF93" s="1254" t="s">
        <v>956</v>
      </c>
      <c r="CG93" s="1253"/>
      <c r="CH93" s="1535">
        <v>-7.0000000000000007E-2</v>
      </c>
      <c r="CI93" s="2121" t="s">
        <v>1054</v>
      </c>
      <c r="CJ93" s="1535" t="s">
        <v>956</v>
      </c>
      <c r="CK93" s="1535"/>
      <c r="CL93" s="1253"/>
      <c r="CM93" s="1592">
        <v>0.06</v>
      </c>
      <c r="CN93" s="1535"/>
      <c r="CO93" s="1535">
        <v>7.0000000000000007E-2</v>
      </c>
      <c r="CP93" s="1535"/>
      <c r="CQ93" s="1534"/>
      <c r="CR93" s="2121"/>
      <c r="CS93" s="2121"/>
      <c r="CT93" s="2121"/>
      <c r="CU93" s="2121"/>
      <c r="CV93" s="1534"/>
      <c r="CW93" s="1534"/>
      <c r="CX93" s="1534"/>
      <c r="CY93" s="1534"/>
      <c r="CZ93" s="1197"/>
    </row>
    <row r="94" spans="1:104" s="1178" customFormat="1" ht="11.25">
      <c r="A94" s="1156"/>
      <c r="B94" s="1156"/>
      <c r="C94" s="1542" t="s">
        <v>1037</v>
      </c>
      <c r="D94" s="1156"/>
      <c r="E94" s="1156"/>
      <c r="F94" s="1337"/>
      <c r="G94" s="1337"/>
      <c r="H94" s="1337"/>
      <c r="I94" s="1337"/>
      <c r="J94" s="1336"/>
      <c r="K94" s="1336"/>
      <c r="L94" s="1336"/>
      <c r="M94" s="1336"/>
      <c r="N94" s="1336"/>
      <c r="O94" s="1336"/>
      <c r="P94" s="1336"/>
      <c r="Q94" s="1336"/>
      <c r="R94" s="1336"/>
      <c r="S94" s="1336"/>
      <c r="T94" s="1336"/>
      <c r="U94" s="1336"/>
      <c r="V94" s="1336"/>
      <c r="W94" s="1336"/>
      <c r="X94" s="1336"/>
      <c r="Y94" s="1336"/>
      <c r="Z94" s="1336"/>
      <c r="AA94" s="1336"/>
      <c r="AB94" s="1336"/>
      <c r="AC94" s="1336"/>
      <c r="AD94" s="1336"/>
      <c r="AE94" s="1336"/>
      <c r="AF94" s="1336"/>
      <c r="AG94" s="1336"/>
      <c r="AH94" s="1336"/>
      <c r="AI94" s="1336"/>
      <c r="AJ94" s="1336"/>
      <c r="AK94" s="1336"/>
      <c r="AL94" s="1336"/>
      <c r="AM94" s="1336"/>
      <c r="AN94" s="1336"/>
      <c r="AO94" s="1336"/>
      <c r="AP94" s="1336"/>
      <c r="AQ94" s="1336"/>
      <c r="AR94" s="1336"/>
      <c r="AS94" s="1336"/>
      <c r="AT94" s="1570"/>
      <c r="AU94" s="1336"/>
      <c r="AV94" s="1336"/>
      <c r="AW94" s="1570"/>
      <c r="AX94" s="1570"/>
      <c r="AY94" s="1336"/>
      <c r="AZ94" s="1336"/>
      <c r="BA94" s="1254"/>
      <c r="BB94" s="1254"/>
      <c r="BC94" s="1254"/>
      <c r="BD94" s="1336"/>
      <c r="BE94" s="1254"/>
      <c r="BF94" s="1254"/>
      <c r="BG94" s="1254"/>
      <c r="BH94" s="1254"/>
      <c r="BI94" s="1336"/>
      <c r="BJ94" s="1240"/>
      <c r="BK94" s="1254"/>
      <c r="BL94" s="1240"/>
      <c r="BM94" s="1253"/>
      <c r="BN94" s="1541"/>
      <c r="BO94" s="1540"/>
      <c r="BP94" s="1540"/>
      <c r="BQ94" s="1540"/>
      <c r="BR94" s="1539"/>
      <c r="BS94" s="1535"/>
      <c r="BT94" s="1535"/>
      <c r="BU94" s="1538"/>
      <c r="BV94" s="1259"/>
      <c r="BW94" s="1222"/>
      <c r="BX94" s="1254">
        <v>-0.04</v>
      </c>
      <c r="BY94" s="1254">
        <v>0.03</v>
      </c>
      <c r="BZ94" s="1537" t="s">
        <v>986</v>
      </c>
      <c r="CA94" s="1254">
        <v>0.12</v>
      </c>
      <c r="CB94" s="1536"/>
      <c r="CC94" s="1254"/>
      <c r="CD94" s="1254">
        <v>0.1</v>
      </c>
      <c r="CE94" s="1254" t="s">
        <v>993</v>
      </c>
      <c r="CF94" s="1254">
        <v>-0.05</v>
      </c>
      <c r="CG94" s="1253"/>
      <c r="CH94" s="1535">
        <v>-7.0000000000000007E-2</v>
      </c>
      <c r="CI94" s="1535" t="s">
        <v>1000</v>
      </c>
      <c r="CJ94" s="1535">
        <v>0.1</v>
      </c>
      <c r="CK94" s="1535" t="s">
        <v>1000</v>
      </c>
      <c r="CL94" s="1253"/>
      <c r="CM94" s="1535" t="s">
        <v>983</v>
      </c>
      <c r="CN94" s="1535" t="s">
        <v>1467</v>
      </c>
      <c r="CO94" s="1535"/>
      <c r="CP94" s="1535"/>
      <c r="CQ94" s="1534"/>
      <c r="CR94" s="2121"/>
      <c r="CS94" s="2121"/>
      <c r="CT94" s="2121"/>
      <c r="CU94" s="2121"/>
      <c r="CV94" s="1534"/>
      <c r="CW94" s="1534"/>
      <c r="CX94" s="1534"/>
      <c r="CY94" s="1534"/>
      <c r="CZ94" s="1197"/>
    </row>
    <row r="95" spans="1:104" s="1178" customFormat="1" ht="11.25">
      <c r="A95" s="1156"/>
      <c r="B95" s="1156"/>
      <c r="C95" s="1542" t="s">
        <v>1035</v>
      </c>
      <c r="D95" s="1156"/>
      <c r="E95" s="1156"/>
      <c r="F95" s="1337"/>
      <c r="G95" s="1337"/>
      <c r="H95" s="1337"/>
      <c r="I95" s="1337"/>
      <c r="J95" s="1336"/>
      <c r="K95" s="1336"/>
      <c r="L95" s="1336"/>
      <c r="M95" s="1336"/>
      <c r="N95" s="1336"/>
      <c r="O95" s="1336"/>
      <c r="P95" s="1336"/>
      <c r="Q95" s="1336"/>
      <c r="R95" s="1336"/>
      <c r="S95" s="1336"/>
      <c r="T95" s="1336"/>
      <c r="U95" s="1336"/>
      <c r="V95" s="1336"/>
      <c r="W95" s="1336"/>
      <c r="X95" s="1336"/>
      <c r="Y95" s="1336"/>
      <c r="Z95" s="1336"/>
      <c r="AA95" s="1336"/>
      <c r="AB95" s="1336"/>
      <c r="AC95" s="1336"/>
      <c r="AD95" s="1336"/>
      <c r="AE95" s="1336"/>
      <c r="AF95" s="1336"/>
      <c r="AG95" s="1336"/>
      <c r="AH95" s="1336"/>
      <c r="AI95" s="1336"/>
      <c r="AJ95" s="1336"/>
      <c r="AK95" s="1336"/>
      <c r="AL95" s="1336"/>
      <c r="AM95" s="1336"/>
      <c r="AN95" s="1336"/>
      <c r="AO95" s="1336"/>
      <c r="AP95" s="1336"/>
      <c r="AQ95" s="1336"/>
      <c r="AR95" s="1336"/>
      <c r="AS95" s="1336"/>
      <c r="AT95" s="1570"/>
      <c r="AU95" s="1336"/>
      <c r="AV95" s="1336"/>
      <c r="AW95" s="1570"/>
      <c r="AX95" s="1570"/>
      <c r="AY95" s="1336"/>
      <c r="AZ95" s="1336"/>
      <c r="BA95" s="1254"/>
      <c r="BB95" s="1254"/>
      <c r="BC95" s="1254"/>
      <c r="BD95" s="1336"/>
      <c r="BE95" s="1254"/>
      <c r="BF95" s="1254"/>
      <c r="BG95" s="1254"/>
      <c r="BH95" s="1254"/>
      <c r="BI95" s="1336"/>
      <c r="BJ95" s="1240"/>
      <c r="BK95" s="1254"/>
      <c r="BL95" s="1240"/>
      <c r="BM95" s="1253"/>
      <c r="BN95" s="1541"/>
      <c r="BO95" s="1540"/>
      <c r="BP95" s="1540"/>
      <c r="BQ95" s="1540"/>
      <c r="BR95" s="1539"/>
      <c r="BS95" s="1535"/>
      <c r="BT95" s="1535"/>
      <c r="BU95" s="1538"/>
      <c r="BV95" s="1259"/>
      <c r="BW95" s="1222"/>
      <c r="BX95" s="1254">
        <v>0.15</v>
      </c>
      <c r="BY95" s="1254">
        <v>0.02</v>
      </c>
      <c r="BZ95" s="1537">
        <v>-0.11</v>
      </c>
      <c r="CA95" s="1254" t="s">
        <v>1054</v>
      </c>
      <c r="CB95" s="1536"/>
      <c r="CC95" s="1254"/>
      <c r="CD95" s="1254" t="s">
        <v>1043</v>
      </c>
      <c r="CE95" s="1254" t="s">
        <v>949</v>
      </c>
      <c r="CF95" s="1254">
        <v>0.04</v>
      </c>
      <c r="CG95" s="1253"/>
      <c r="CH95" s="1535">
        <v>-0.1</v>
      </c>
      <c r="CI95" s="2240"/>
      <c r="CJ95" s="1535"/>
      <c r="CK95" s="1535" t="s">
        <v>1312</v>
      </c>
      <c r="CL95" s="1253"/>
      <c r="CM95" s="1535"/>
      <c r="CN95" s="1535"/>
      <c r="CO95" s="1535"/>
      <c r="CP95" s="1535"/>
      <c r="CQ95" s="1534"/>
      <c r="CR95" s="2121"/>
      <c r="CS95" s="2121"/>
      <c r="CT95" s="2121"/>
      <c r="CU95" s="2121"/>
      <c r="CV95" s="1534"/>
      <c r="CW95" s="1534"/>
      <c r="CX95" s="1534"/>
      <c r="CY95" s="1534"/>
      <c r="CZ95" s="1197"/>
    </row>
    <row r="96" spans="1:104" s="1178" customFormat="1" ht="11.25">
      <c r="A96" s="1156"/>
      <c r="B96" s="1156"/>
      <c r="C96" s="1542" t="s">
        <v>1034</v>
      </c>
      <c r="D96" s="1156"/>
      <c r="E96" s="1156"/>
      <c r="F96" s="1337"/>
      <c r="G96" s="1337"/>
      <c r="H96" s="1337"/>
      <c r="I96" s="1337"/>
      <c r="J96" s="1336"/>
      <c r="K96" s="1336"/>
      <c r="L96" s="1336"/>
      <c r="M96" s="1336"/>
      <c r="N96" s="1336"/>
      <c r="O96" s="1336"/>
      <c r="P96" s="1336"/>
      <c r="Q96" s="1336"/>
      <c r="R96" s="1336"/>
      <c r="S96" s="1336"/>
      <c r="T96" s="1336"/>
      <c r="U96" s="1336"/>
      <c r="V96" s="1336"/>
      <c r="W96" s="1336"/>
      <c r="X96" s="1336"/>
      <c r="Y96" s="1336"/>
      <c r="Z96" s="1336"/>
      <c r="AA96" s="1336"/>
      <c r="AB96" s="1336"/>
      <c r="AC96" s="1336"/>
      <c r="AD96" s="1336"/>
      <c r="AE96" s="1336"/>
      <c r="AF96" s="1336"/>
      <c r="AG96" s="1336"/>
      <c r="AH96" s="1336"/>
      <c r="AI96" s="1336"/>
      <c r="AJ96" s="1336"/>
      <c r="AK96" s="1336"/>
      <c r="AL96" s="1336"/>
      <c r="AM96" s="1336"/>
      <c r="AN96" s="1336"/>
      <c r="AO96" s="1336"/>
      <c r="AP96" s="1336"/>
      <c r="AQ96" s="1336"/>
      <c r="AR96" s="1336"/>
      <c r="AS96" s="1336"/>
      <c r="AT96" s="1570"/>
      <c r="AU96" s="1336"/>
      <c r="AV96" s="1336"/>
      <c r="AW96" s="1570"/>
      <c r="AX96" s="1570"/>
      <c r="AY96" s="1336"/>
      <c r="AZ96" s="1336"/>
      <c r="BA96" s="1254"/>
      <c r="BB96" s="1254"/>
      <c r="BC96" s="1254"/>
      <c r="BD96" s="1336"/>
      <c r="BE96" s="1254"/>
      <c r="BF96" s="1254"/>
      <c r="BG96" s="1254"/>
      <c r="BH96" s="1254"/>
      <c r="BI96" s="1336"/>
      <c r="BJ96" s="1240"/>
      <c r="BK96" s="1254"/>
      <c r="BL96" s="1240"/>
      <c r="BM96" s="1253"/>
      <c r="BN96" s="1541"/>
      <c r="BO96" s="1540"/>
      <c r="BP96" s="1540"/>
      <c r="BQ96" s="1540"/>
      <c r="BR96" s="1539"/>
      <c r="BS96" s="1535"/>
      <c r="BT96" s="1535"/>
      <c r="BU96" s="1538"/>
      <c r="BV96" s="1259"/>
      <c r="BW96" s="1222"/>
      <c r="BX96" s="1254">
        <v>0.1</v>
      </c>
      <c r="BY96" s="1254">
        <v>7.0000000000000007E-2</v>
      </c>
      <c r="BZ96" s="1537" t="s">
        <v>949</v>
      </c>
      <c r="CA96" s="1254" t="s">
        <v>983</v>
      </c>
      <c r="CB96" s="1536"/>
      <c r="CC96" s="1254"/>
      <c r="CD96" s="1254" t="s">
        <v>1337</v>
      </c>
      <c r="CE96" s="1254" t="s">
        <v>949</v>
      </c>
      <c r="CF96" s="1254">
        <v>0</v>
      </c>
      <c r="CG96" s="1253"/>
      <c r="CH96" s="1535">
        <v>-0.06</v>
      </c>
      <c r="CI96" s="1535" t="s">
        <v>1041</v>
      </c>
      <c r="CJ96" s="1535"/>
      <c r="CK96" s="1535" t="s">
        <v>1313</v>
      </c>
      <c r="CL96" s="1253"/>
      <c r="CM96" s="1535"/>
      <c r="CN96" s="1535"/>
      <c r="CO96" s="1535"/>
      <c r="CP96" s="1535"/>
      <c r="CQ96" s="1534"/>
      <c r="CR96" s="2121"/>
      <c r="CS96" s="2121"/>
      <c r="CT96" s="2121"/>
      <c r="CU96" s="2121"/>
      <c r="CV96" s="1534"/>
      <c r="CW96" s="1534"/>
      <c r="CX96" s="1534"/>
      <c r="CY96" s="1534"/>
      <c r="CZ96" s="1197"/>
    </row>
    <row r="97" spans="1:104" s="1178" customFormat="1" ht="11.25">
      <c r="A97" s="1156"/>
      <c r="B97" s="1156"/>
      <c r="C97" s="1156"/>
      <c r="D97" s="1156"/>
      <c r="E97" s="1156"/>
      <c r="F97" s="1337"/>
      <c r="G97" s="1337"/>
      <c r="H97" s="1337"/>
      <c r="I97" s="1337"/>
      <c r="J97" s="1336"/>
      <c r="K97" s="1336"/>
      <c r="L97" s="1336"/>
      <c r="M97" s="1336"/>
      <c r="N97" s="1336"/>
      <c r="O97" s="1336"/>
      <c r="P97" s="1336"/>
      <c r="Q97" s="1336"/>
      <c r="R97" s="1336"/>
      <c r="S97" s="1336"/>
      <c r="T97" s="1336"/>
      <c r="U97" s="1336"/>
      <c r="V97" s="1336"/>
      <c r="W97" s="1336"/>
      <c r="X97" s="1336"/>
      <c r="Y97" s="1336"/>
      <c r="Z97" s="1336"/>
      <c r="AA97" s="1336"/>
      <c r="AB97" s="1336"/>
      <c r="AC97" s="1336"/>
      <c r="AD97" s="1336"/>
      <c r="AE97" s="1336"/>
      <c r="AF97" s="1336"/>
      <c r="AG97" s="1336"/>
      <c r="AH97" s="1336"/>
      <c r="AI97" s="1336"/>
      <c r="AJ97" s="1336"/>
      <c r="AK97" s="1336"/>
      <c r="AL97" s="1336"/>
      <c r="AM97" s="1336"/>
      <c r="AN97" s="1336"/>
      <c r="AO97" s="1336"/>
      <c r="AP97" s="1336"/>
      <c r="AQ97" s="1336"/>
      <c r="AR97" s="1336"/>
      <c r="AS97" s="1336"/>
      <c r="AT97" s="1570"/>
      <c r="AU97" s="1336"/>
      <c r="AV97" s="1336"/>
      <c r="AW97" s="1570"/>
      <c r="AX97" s="1570"/>
      <c r="AY97" s="1336"/>
      <c r="AZ97" s="1336"/>
      <c r="BA97" s="1254"/>
      <c r="BB97" s="1254"/>
      <c r="BC97" s="1254"/>
      <c r="BD97" s="1336"/>
      <c r="BE97" s="1254"/>
      <c r="BF97" s="1254"/>
      <c r="BG97" s="1254"/>
      <c r="BH97" s="1254"/>
      <c r="BI97" s="1336"/>
      <c r="BJ97" s="1240"/>
      <c r="BK97" s="1254"/>
      <c r="BL97" s="1240"/>
      <c r="BM97" s="1253"/>
      <c r="BN97" s="1541"/>
      <c r="BO97" s="1540"/>
      <c r="BP97" s="1540"/>
      <c r="BQ97" s="1540"/>
      <c r="BR97" s="1539"/>
      <c r="BS97" s="1535"/>
      <c r="BT97" s="1535"/>
      <c r="BU97" s="1538"/>
      <c r="BV97" s="1259"/>
      <c r="BW97" s="1222"/>
      <c r="BX97" s="1254"/>
      <c r="BY97" s="1254"/>
      <c r="BZ97" s="1537"/>
      <c r="CA97" s="1254"/>
      <c r="CB97" s="1536"/>
      <c r="CC97" s="1254"/>
      <c r="CD97" s="1254"/>
      <c r="CE97" s="1254"/>
      <c r="CF97" s="1254"/>
      <c r="CG97" s="1253"/>
      <c r="CH97" s="1535"/>
      <c r="CI97" s="1535"/>
      <c r="CJ97" s="1535"/>
      <c r="CK97" s="1535"/>
      <c r="CL97" s="1253"/>
      <c r="CM97" s="1535"/>
      <c r="CN97" s="1535"/>
      <c r="CO97" s="1535"/>
      <c r="CP97" s="1535"/>
      <c r="CQ97" s="1534"/>
      <c r="CR97" s="2121"/>
      <c r="CS97" s="2121"/>
      <c r="CT97" s="2121"/>
      <c r="CU97" s="2121"/>
      <c r="CV97" s="1534"/>
      <c r="CW97" s="1534"/>
      <c r="CX97" s="1534"/>
      <c r="CY97" s="1534"/>
      <c r="CZ97" s="1197"/>
    </row>
    <row r="98" spans="1:104" s="1178" customFormat="1" ht="11.25">
      <c r="A98" s="1156"/>
      <c r="B98" s="1156"/>
      <c r="C98" s="1156" t="s">
        <v>1053</v>
      </c>
      <c r="D98" s="1156"/>
      <c r="E98" s="1156"/>
      <c r="F98" s="1337" t="s">
        <v>946</v>
      </c>
      <c r="G98" s="1337" t="s">
        <v>946</v>
      </c>
      <c r="H98" s="1337" t="s">
        <v>946</v>
      </c>
      <c r="I98" s="1337" t="s">
        <v>946</v>
      </c>
      <c r="J98" s="1336" t="s">
        <v>946</v>
      </c>
      <c r="K98" s="1336" t="s">
        <v>946</v>
      </c>
      <c r="L98" s="1336" t="s">
        <v>946</v>
      </c>
      <c r="M98" s="1336" t="s">
        <v>946</v>
      </c>
      <c r="N98" s="1336" t="s">
        <v>946</v>
      </c>
      <c r="O98" s="1336" t="s">
        <v>946</v>
      </c>
      <c r="P98" s="1336" t="s">
        <v>946</v>
      </c>
      <c r="Q98" s="1336" t="s">
        <v>946</v>
      </c>
      <c r="R98" s="1336" t="s">
        <v>946</v>
      </c>
      <c r="S98" s="1336" t="s">
        <v>946</v>
      </c>
      <c r="T98" s="1336" t="s">
        <v>946</v>
      </c>
      <c r="U98" s="1336" t="s">
        <v>946</v>
      </c>
      <c r="V98" s="1336" t="s">
        <v>946</v>
      </c>
      <c r="W98" s="1336" t="s">
        <v>946</v>
      </c>
      <c r="X98" s="1336" t="s">
        <v>946</v>
      </c>
      <c r="Y98" s="1336" t="s">
        <v>946</v>
      </c>
      <c r="Z98" s="1336" t="s">
        <v>946</v>
      </c>
      <c r="AA98" s="1336" t="s">
        <v>946</v>
      </c>
      <c r="AB98" s="1336" t="s">
        <v>946</v>
      </c>
      <c r="AC98" s="1336" t="s">
        <v>946</v>
      </c>
      <c r="AD98" s="1336" t="s">
        <v>946</v>
      </c>
      <c r="AE98" s="1336" t="s">
        <v>946</v>
      </c>
      <c r="AF98" s="1336" t="s">
        <v>946</v>
      </c>
      <c r="AG98" s="1336" t="s">
        <v>946</v>
      </c>
      <c r="AH98" s="1336" t="s">
        <v>946</v>
      </c>
      <c r="AI98" s="1336" t="s">
        <v>946</v>
      </c>
      <c r="AJ98" s="1336" t="s">
        <v>946</v>
      </c>
      <c r="AK98" s="1336" t="s">
        <v>946</v>
      </c>
      <c r="AL98" s="1336" t="s">
        <v>946</v>
      </c>
      <c r="AM98" s="1336" t="s">
        <v>946</v>
      </c>
      <c r="AN98" s="1336" t="s">
        <v>946</v>
      </c>
      <c r="AO98" s="1336" t="s">
        <v>946</v>
      </c>
      <c r="AP98" s="1336" t="s">
        <v>946</v>
      </c>
      <c r="AQ98" s="1336" t="s">
        <v>946</v>
      </c>
      <c r="AR98" s="1336" t="s">
        <v>946</v>
      </c>
      <c r="AS98" s="1336" t="s">
        <v>946</v>
      </c>
      <c r="AT98" s="1336" t="s">
        <v>946</v>
      </c>
      <c r="AU98" s="1336" t="s">
        <v>946</v>
      </c>
      <c r="AV98" s="1336" t="s">
        <v>946</v>
      </c>
      <c r="AW98" s="1336" t="s">
        <v>946</v>
      </c>
      <c r="AX98" s="1336" t="s">
        <v>946</v>
      </c>
      <c r="AY98" s="1240" t="s">
        <v>946</v>
      </c>
      <c r="AZ98" s="1240" t="s">
        <v>946</v>
      </c>
      <c r="BA98" s="1240" t="s">
        <v>946</v>
      </c>
      <c r="BB98" s="1240" t="s">
        <v>946</v>
      </c>
      <c r="BC98" s="1240" t="s">
        <v>946</v>
      </c>
      <c r="BD98" s="1240" t="s">
        <v>946</v>
      </c>
      <c r="BE98" s="1240" t="s">
        <v>946</v>
      </c>
      <c r="BF98" s="1240" t="s">
        <v>946</v>
      </c>
      <c r="BG98" s="1240" t="s">
        <v>946</v>
      </c>
      <c r="BH98" s="1240" t="s">
        <v>946</v>
      </c>
      <c r="BI98" s="1336">
        <v>0.24</v>
      </c>
      <c r="BJ98" s="1336">
        <v>0.09</v>
      </c>
      <c r="BK98" s="1240" t="s">
        <v>946</v>
      </c>
      <c r="BL98" s="1240" t="s">
        <v>946</v>
      </c>
      <c r="BM98" s="1253" t="s">
        <v>946</v>
      </c>
      <c r="BN98" s="1240" t="s">
        <v>946</v>
      </c>
      <c r="BO98" s="1240" t="s">
        <v>946</v>
      </c>
      <c r="BP98" s="1240" t="s">
        <v>946</v>
      </c>
      <c r="BQ98" s="1240" t="s">
        <v>946</v>
      </c>
      <c r="BR98" s="1253" t="s">
        <v>946</v>
      </c>
      <c r="BS98" s="1240" t="s">
        <v>946</v>
      </c>
      <c r="BT98" s="1240" t="s">
        <v>946</v>
      </c>
      <c r="BU98" s="1254">
        <v>0.1</v>
      </c>
      <c r="BV98" s="1184"/>
      <c r="BW98" s="1222"/>
      <c r="BX98" s="1254">
        <v>0.02</v>
      </c>
      <c r="BY98" s="1254" t="s">
        <v>986</v>
      </c>
      <c r="BZ98" s="1537"/>
      <c r="CA98" s="1254"/>
      <c r="CB98" s="1536"/>
      <c r="CC98" s="1254"/>
      <c r="CD98" s="1254"/>
      <c r="CE98" s="1254"/>
      <c r="CF98" s="1254"/>
      <c r="CG98" s="1253"/>
      <c r="CH98" s="1535"/>
      <c r="CI98" s="1535"/>
      <c r="CJ98" s="1535"/>
      <c r="CK98" s="1535"/>
      <c r="CL98" s="1253"/>
      <c r="CM98" s="1535"/>
      <c r="CN98" s="1535"/>
      <c r="CO98" s="1535"/>
      <c r="CP98" s="1535"/>
      <c r="CQ98" s="1534"/>
      <c r="CR98" s="2121"/>
      <c r="CS98" s="2121"/>
      <c r="CT98" s="2121"/>
      <c r="CU98" s="2121"/>
      <c r="CV98" s="1534"/>
      <c r="CW98" s="1534"/>
      <c r="CX98" s="1534"/>
      <c r="CY98" s="1534"/>
      <c r="CZ98" s="1197"/>
    </row>
    <row r="99" spans="1:104" s="1178" customFormat="1" ht="11.25">
      <c r="A99" s="1156"/>
      <c r="B99" s="1156"/>
      <c r="C99" s="1156"/>
      <c r="D99" s="1156"/>
      <c r="E99" s="1156"/>
      <c r="F99" s="1337"/>
      <c r="G99" s="1337"/>
      <c r="H99" s="1337"/>
      <c r="I99" s="1337"/>
      <c r="J99" s="1336"/>
      <c r="K99" s="1336"/>
      <c r="L99" s="1336"/>
      <c r="M99" s="1336"/>
      <c r="N99" s="1336"/>
      <c r="O99" s="1336"/>
      <c r="P99" s="1336"/>
      <c r="Q99" s="1336"/>
      <c r="R99" s="1336"/>
      <c r="S99" s="1336"/>
      <c r="T99" s="1336"/>
      <c r="U99" s="1336"/>
      <c r="V99" s="1336"/>
      <c r="W99" s="1336"/>
      <c r="X99" s="1336"/>
      <c r="Y99" s="1336"/>
      <c r="Z99" s="1336"/>
      <c r="AA99" s="1336"/>
      <c r="AB99" s="1336"/>
      <c r="AC99" s="1336"/>
      <c r="AD99" s="1336"/>
      <c r="AE99" s="1336"/>
      <c r="AF99" s="1336"/>
      <c r="AG99" s="1336"/>
      <c r="AH99" s="1336"/>
      <c r="AI99" s="1336"/>
      <c r="AJ99" s="1336"/>
      <c r="AK99" s="1336"/>
      <c r="AL99" s="1336"/>
      <c r="AM99" s="1336"/>
      <c r="AN99" s="1336"/>
      <c r="AO99" s="1336"/>
      <c r="AP99" s="1336"/>
      <c r="AQ99" s="1336"/>
      <c r="AR99" s="1336"/>
      <c r="AS99" s="1336"/>
      <c r="AT99" s="1336"/>
      <c r="AU99" s="1336"/>
      <c r="AV99" s="1336"/>
      <c r="AW99" s="1336"/>
      <c r="AX99" s="1336"/>
      <c r="AY99" s="1240"/>
      <c r="AZ99" s="1240"/>
      <c r="BA99" s="1240"/>
      <c r="BB99" s="1240"/>
      <c r="BC99" s="1240"/>
      <c r="BD99" s="1240"/>
      <c r="BE99" s="1240"/>
      <c r="BF99" s="1240"/>
      <c r="BG99" s="1240"/>
      <c r="BH99" s="1240"/>
      <c r="BI99" s="1336"/>
      <c r="BJ99" s="1336"/>
      <c r="BK99" s="1240"/>
      <c r="BL99" s="1240"/>
      <c r="BM99" s="1253"/>
      <c r="BN99" s="1240"/>
      <c r="BO99" s="1240"/>
      <c r="BP99" s="1240"/>
      <c r="BQ99" s="1240"/>
      <c r="BR99" s="1253"/>
      <c r="BS99" s="1240"/>
      <c r="BT99" s="1240"/>
      <c r="BU99" s="1254"/>
      <c r="BV99" s="1184"/>
      <c r="BW99" s="1222"/>
      <c r="BX99" s="1254"/>
      <c r="BY99" s="1254"/>
      <c r="BZ99" s="1537"/>
      <c r="CA99" s="1254"/>
      <c r="CB99" s="1536"/>
      <c r="CC99" s="1254"/>
      <c r="CD99" s="1254"/>
      <c r="CE99" s="1254"/>
      <c r="CF99" s="1254"/>
      <c r="CG99" s="1953" t="s">
        <v>1359</v>
      </c>
      <c r="CH99" s="1535"/>
      <c r="CI99" s="1535"/>
      <c r="CJ99" s="1535"/>
      <c r="CK99" s="1535"/>
      <c r="CL99" s="1253"/>
      <c r="CM99" s="1535"/>
      <c r="CN99" s="1535"/>
      <c r="CO99" s="1535"/>
      <c r="CP99" s="1535"/>
      <c r="CQ99" s="1534"/>
      <c r="CR99" s="2121"/>
      <c r="CS99" s="2121"/>
      <c r="CT99" s="2121"/>
      <c r="CU99" s="2121"/>
      <c r="CV99" s="1534"/>
      <c r="CW99" s="1534"/>
      <c r="CX99" s="1534"/>
      <c r="CY99" s="1534"/>
      <c r="CZ99" s="1197"/>
    </row>
    <row r="100" spans="1:104" s="1178" customFormat="1" ht="11.25">
      <c r="A100" s="1156"/>
      <c r="B100" s="1156"/>
      <c r="C100" s="1156" t="s">
        <v>671</v>
      </c>
      <c r="D100" s="1156"/>
      <c r="E100" s="1156"/>
      <c r="F100" s="1337" t="s">
        <v>946</v>
      </c>
      <c r="G100" s="1337" t="s">
        <v>946</v>
      </c>
      <c r="H100" s="1337" t="s">
        <v>946</v>
      </c>
      <c r="I100" s="1337" t="s">
        <v>946</v>
      </c>
      <c r="J100" s="1336" t="s">
        <v>946</v>
      </c>
      <c r="K100" s="1336" t="s">
        <v>946</v>
      </c>
      <c r="L100" s="1336" t="s">
        <v>946</v>
      </c>
      <c r="M100" s="1336" t="s">
        <v>946</v>
      </c>
      <c r="N100" s="1336" t="s">
        <v>946</v>
      </c>
      <c r="O100" s="1336" t="s">
        <v>946</v>
      </c>
      <c r="P100" s="1336" t="s">
        <v>946</v>
      </c>
      <c r="Q100" s="1336" t="s">
        <v>946</v>
      </c>
      <c r="R100" s="1336" t="s">
        <v>946</v>
      </c>
      <c r="S100" s="1336" t="s">
        <v>946</v>
      </c>
      <c r="T100" s="1336" t="s">
        <v>946</v>
      </c>
      <c r="U100" s="1336" t="s">
        <v>946</v>
      </c>
      <c r="V100" s="1336" t="s">
        <v>946</v>
      </c>
      <c r="W100" s="1336" t="s">
        <v>946</v>
      </c>
      <c r="X100" s="1336" t="s">
        <v>946</v>
      </c>
      <c r="Y100" s="1336" t="s">
        <v>946</v>
      </c>
      <c r="Z100" s="1336" t="s">
        <v>946</v>
      </c>
      <c r="AA100" s="1336" t="s">
        <v>946</v>
      </c>
      <c r="AB100" s="1336" t="s">
        <v>946</v>
      </c>
      <c r="AC100" s="1336" t="s">
        <v>946</v>
      </c>
      <c r="AD100" s="1336" t="s">
        <v>946</v>
      </c>
      <c r="AE100" s="1336" t="s">
        <v>946</v>
      </c>
      <c r="AF100" s="1336" t="s">
        <v>946</v>
      </c>
      <c r="AG100" s="1336" t="s">
        <v>946</v>
      </c>
      <c r="AH100" s="1336" t="s">
        <v>946</v>
      </c>
      <c r="AI100" s="1336" t="s">
        <v>946</v>
      </c>
      <c r="AJ100" s="1336" t="s">
        <v>946</v>
      </c>
      <c r="AK100" s="1336" t="s">
        <v>946</v>
      </c>
      <c r="AL100" s="1336" t="s">
        <v>946</v>
      </c>
      <c r="AM100" s="1336" t="s">
        <v>946</v>
      </c>
      <c r="AN100" s="1336" t="s">
        <v>946</v>
      </c>
      <c r="AO100" s="1336" t="s">
        <v>946</v>
      </c>
      <c r="AP100" s="1336" t="s">
        <v>946</v>
      </c>
      <c r="AQ100" s="1336" t="s">
        <v>946</v>
      </c>
      <c r="AR100" s="1336" t="s">
        <v>946</v>
      </c>
      <c r="AS100" s="1336" t="s">
        <v>946</v>
      </c>
      <c r="AT100" s="1336" t="s">
        <v>946</v>
      </c>
      <c r="AU100" s="1336" t="s">
        <v>946</v>
      </c>
      <c r="AV100" s="1336" t="s">
        <v>946</v>
      </c>
      <c r="AW100" s="1336" t="s">
        <v>946</v>
      </c>
      <c r="AX100" s="1336" t="s">
        <v>946</v>
      </c>
      <c r="AY100" s="1254">
        <v>-0.55000000000000004</v>
      </c>
      <c r="AZ100" s="1254">
        <v>-0.375</v>
      </c>
      <c r="BA100" s="1240" t="s">
        <v>946</v>
      </c>
      <c r="BB100" s="1541">
        <v>-0.1</v>
      </c>
      <c r="BC100" s="1240" t="s">
        <v>946</v>
      </c>
      <c r="BD100" s="1254">
        <v>0.35</v>
      </c>
      <c r="BE100" s="1254">
        <v>0.4</v>
      </c>
      <c r="BF100" s="1254">
        <v>0.4</v>
      </c>
      <c r="BG100" s="1336">
        <v>0.75</v>
      </c>
      <c r="BH100" s="1254">
        <f>AVERAGE(BD100:BG100)</f>
        <v>0.47499999999999998</v>
      </c>
      <c r="BI100" s="1240" t="s">
        <v>946</v>
      </c>
      <c r="BJ100" s="1240" t="s">
        <v>946</v>
      </c>
      <c r="BK100" s="1240" t="s">
        <v>946</v>
      </c>
      <c r="BL100" s="1336" t="s">
        <v>946</v>
      </c>
      <c r="BM100" s="1253" t="s">
        <v>946</v>
      </c>
      <c r="BN100" s="1540">
        <v>-0.15</v>
      </c>
      <c r="BO100" s="1540">
        <v>-0.25</v>
      </c>
      <c r="BP100" s="1540">
        <v>-0.25</v>
      </c>
      <c r="BQ100" s="1540">
        <v>0</v>
      </c>
      <c r="BR100" s="1539">
        <f>AVERAGE(BN100:BQ100)</f>
        <v>-0.16250000000000001</v>
      </c>
      <c r="BS100" s="1535">
        <v>0.3</v>
      </c>
      <c r="BT100" s="1535">
        <v>0.05</v>
      </c>
      <c r="BU100" s="1254">
        <v>0.7</v>
      </c>
      <c r="BV100" s="1259" t="s">
        <v>1052</v>
      </c>
      <c r="BW100" s="1222"/>
      <c r="BX100" s="1254" t="s">
        <v>1051</v>
      </c>
      <c r="BY100" s="1254" t="s">
        <v>948</v>
      </c>
      <c r="BZ100" s="1537" t="s">
        <v>983</v>
      </c>
      <c r="CA100" s="1254" t="s">
        <v>1050</v>
      </c>
      <c r="CB100" s="1536"/>
      <c r="CC100" s="1254" t="s">
        <v>1049</v>
      </c>
      <c r="CD100" s="1254" t="s">
        <v>1048</v>
      </c>
      <c r="CE100" s="1254" t="s">
        <v>956</v>
      </c>
      <c r="CF100" s="1254" t="s">
        <v>1240</v>
      </c>
      <c r="CG100" s="1253"/>
      <c r="CH100" s="2121">
        <v>-0.25</v>
      </c>
      <c r="CI100" s="1535">
        <v>-0.3</v>
      </c>
      <c r="CJ100" s="1535">
        <v>-0.3</v>
      </c>
      <c r="CK100" s="1535">
        <v>-0.01</v>
      </c>
      <c r="CL100" s="1253"/>
      <c r="CM100" s="1548">
        <v>0.3</v>
      </c>
      <c r="CN100" s="1535">
        <v>0.09</v>
      </c>
      <c r="CO100" s="1535">
        <v>0.08</v>
      </c>
      <c r="CP100" s="1535"/>
      <c r="CQ100" s="1534"/>
      <c r="CR100" s="1548"/>
      <c r="CS100" s="2121"/>
      <c r="CT100" s="2121"/>
      <c r="CU100" s="2121"/>
      <c r="CV100" s="1534"/>
      <c r="CW100" s="1534"/>
      <c r="CX100" s="1534"/>
      <c r="CY100" s="1534"/>
      <c r="CZ100" s="1197"/>
    </row>
    <row r="101" spans="1:104" s="1178" customFormat="1" ht="11.25">
      <c r="A101" s="1156"/>
      <c r="B101" s="1156"/>
      <c r="C101" s="1542" t="s">
        <v>1037</v>
      </c>
      <c r="D101" s="1156"/>
      <c r="E101" s="1156"/>
      <c r="F101" s="1337"/>
      <c r="G101" s="1337"/>
      <c r="H101" s="1337"/>
      <c r="I101" s="1337"/>
      <c r="J101" s="1336"/>
      <c r="K101" s="1336"/>
      <c r="L101" s="1336"/>
      <c r="M101" s="1336"/>
      <c r="N101" s="1336"/>
      <c r="O101" s="1336"/>
      <c r="P101" s="1336"/>
      <c r="Q101" s="1336"/>
      <c r="R101" s="1336"/>
      <c r="S101" s="1336"/>
      <c r="T101" s="1336"/>
      <c r="U101" s="1336"/>
      <c r="V101" s="1336"/>
      <c r="W101" s="1336"/>
      <c r="X101" s="1336"/>
      <c r="Y101" s="1336"/>
      <c r="Z101" s="1336"/>
      <c r="AA101" s="1336"/>
      <c r="AB101" s="1336"/>
      <c r="AC101" s="1336"/>
      <c r="AD101" s="1336"/>
      <c r="AE101" s="1336"/>
      <c r="AF101" s="1336"/>
      <c r="AG101" s="1336"/>
      <c r="AH101" s="1336"/>
      <c r="AI101" s="1336"/>
      <c r="AJ101" s="1336"/>
      <c r="AK101" s="1336"/>
      <c r="AL101" s="1336"/>
      <c r="AM101" s="1336"/>
      <c r="AN101" s="1336"/>
      <c r="AO101" s="1336"/>
      <c r="AP101" s="1336"/>
      <c r="AQ101" s="1336"/>
      <c r="AR101" s="1336"/>
      <c r="AS101" s="1336"/>
      <c r="AT101" s="1336"/>
      <c r="AU101" s="1336"/>
      <c r="AV101" s="1336"/>
      <c r="AW101" s="1336"/>
      <c r="AX101" s="1336"/>
      <c r="AY101" s="1254"/>
      <c r="AZ101" s="1254"/>
      <c r="BA101" s="1240"/>
      <c r="BB101" s="1541"/>
      <c r="BC101" s="1240"/>
      <c r="BD101" s="1254"/>
      <c r="BE101" s="1254"/>
      <c r="BF101" s="1254"/>
      <c r="BG101" s="1336"/>
      <c r="BH101" s="1254"/>
      <c r="BI101" s="1240"/>
      <c r="BJ101" s="1240"/>
      <c r="BK101" s="1240"/>
      <c r="BL101" s="1336"/>
      <c r="BM101" s="1253"/>
      <c r="BN101" s="1540"/>
      <c r="BO101" s="1540"/>
      <c r="BP101" s="1540"/>
      <c r="BQ101" s="1540"/>
      <c r="BR101" s="1539"/>
      <c r="BS101" s="1535"/>
      <c r="BT101" s="1535"/>
      <c r="BU101" s="1254"/>
      <c r="BV101" s="1259"/>
      <c r="BW101" s="1222"/>
      <c r="BX101" s="1254" t="s">
        <v>950</v>
      </c>
      <c r="BY101" s="1254" t="s">
        <v>1047</v>
      </c>
      <c r="BZ101" s="1569"/>
      <c r="CA101" s="1254" t="s">
        <v>1046</v>
      </c>
      <c r="CB101" s="1536"/>
      <c r="CC101" s="1254"/>
      <c r="CD101" s="1254"/>
      <c r="CE101" s="1254" t="s">
        <v>1338</v>
      </c>
      <c r="CF101" s="1254" t="s">
        <v>1356</v>
      </c>
      <c r="CG101" s="1253"/>
      <c r="CH101" s="1535"/>
      <c r="CI101" s="1535"/>
      <c r="CJ101" s="1535"/>
      <c r="CK101" s="1535"/>
      <c r="CL101" s="1253"/>
      <c r="CM101" s="1535"/>
      <c r="CN101" s="1535"/>
      <c r="CO101" s="1535"/>
      <c r="CP101" s="1535"/>
      <c r="CQ101" s="1534"/>
      <c r="CR101" s="2121"/>
      <c r="CS101" s="2121"/>
      <c r="CT101" s="2121"/>
      <c r="CU101" s="2121"/>
      <c r="CV101" s="1534"/>
      <c r="CW101" s="1534"/>
      <c r="CX101" s="1534"/>
      <c r="CY101" s="1534"/>
      <c r="CZ101" s="1197"/>
    </row>
    <row r="102" spans="1:104" s="1178" customFormat="1" ht="11.25">
      <c r="A102" s="1156"/>
      <c r="B102" s="1156"/>
      <c r="C102" s="1542" t="s">
        <v>1035</v>
      </c>
      <c r="D102" s="1156"/>
      <c r="E102" s="1156"/>
      <c r="F102" s="1337"/>
      <c r="G102" s="1337"/>
      <c r="H102" s="1337"/>
      <c r="I102" s="1337"/>
      <c r="J102" s="1336"/>
      <c r="K102" s="1336"/>
      <c r="L102" s="1336"/>
      <c r="M102" s="1336"/>
      <c r="N102" s="1336"/>
      <c r="O102" s="1336"/>
      <c r="P102" s="1336"/>
      <c r="Q102" s="1336"/>
      <c r="R102" s="1336"/>
      <c r="S102" s="1336"/>
      <c r="T102" s="1336"/>
      <c r="U102" s="1336"/>
      <c r="V102" s="1336"/>
      <c r="W102" s="1336"/>
      <c r="X102" s="1336"/>
      <c r="Y102" s="1336"/>
      <c r="Z102" s="1336"/>
      <c r="AA102" s="1336"/>
      <c r="AB102" s="1336"/>
      <c r="AC102" s="1336"/>
      <c r="AD102" s="1336"/>
      <c r="AE102" s="1336"/>
      <c r="AF102" s="1336"/>
      <c r="AG102" s="1336"/>
      <c r="AH102" s="1336"/>
      <c r="AI102" s="1336"/>
      <c r="AJ102" s="1336"/>
      <c r="AK102" s="1336"/>
      <c r="AL102" s="1336"/>
      <c r="AM102" s="1336"/>
      <c r="AN102" s="1336"/>
      <c r="AO102" s="1336"/>
      <c r="AP102" s="1336"/>
      <c r="AQ102" s="1336"/>
      <c r="AR102" s="1336"/>
      <c r="AS102" s="1336"/>
      <c r="AT102" s="1336"/>
      <c r="AU102" s="1336"/>
      <c r="AV102" s="1336"/>
      <c r="AW102" s="1336"/>
      <c r="AX102" s="1336"/>
      <c r="AY102" s="1254"/>
      <c r="AZ102" s="1254"/>
      <c r="BA102" s="1240"/>
      <c r="BB102" s="1541"/>
      <c r="BC102" s="1240"/>
      <c r="BD102" s="1254"/>
      <c r="BE102" s="1254"/>
      <c r="BF102" s="1254"/>
      <c r="BG102" s="1336"/>
      <c r="BH102" s="1254"/>
      <c r="BI102" s="1240"/>
      <c r="BJ102" s="1240"/>
      <c r="BK102" s="1240"/>
      <c r="BL102" s="1336"/>
      <c r="BM102" s="1253"/>
      <c r="BN102" s="1540"/>
      <c r="BO102" s="1540"/>
      <c r="BP102" s="1540"/>
      <c r="BQ102" s="1540"/>
      <c r="BR102" s="1539"/>
      <c r="BS102" s="1535"/>
      <c r="BT102" s="1535"/>
      <c r="BU102" s="1254"/>
      <c r="BV102" s="1259"/>
      <c r="BW102" s="1222"/>
      <c r="BX102" s="1254">
        <v>-0.2</v>
      </c>
      <c r="BY102" s="1254" t="s">
        <v>948</v>
      </c>
      <c r="BZ102" s="1537">
        <v>0.15</v>
      </c>
      <c r="CA102" s="1254">
        <v>-0.2</v>
      </c>
      <c r="CB102" s="1536"/>
      <c r="CC102" s="1254">
        <v>0.1</v>
      </c>
      <c r="CD102" s="1254"/>
      <c r="CE102" s="1254" t="s">
        <v>1339</v>
      </c>
      <c r="CF102" s="1254" t="s">
        <v>1357</v>
      </c>
      <c r="CG102" s="1253"/>
      <c r="CH102" s="1535"/>
      <c r="CI102" s="1535"/>
      <c r="CJ102" s="1535"/>
      <c r="CK102" s="1535"/>
      <c r="CL102" s="1253"/>
      <c r="CM102" s="1535"/>
      <c r="CN102" s="1535"/>
      <c r="CO102" s="1535"/>
      <c r="CP102" s="1535"/>
      <c r="CQ102" s="1534"/>
      <c r="CR102" s="2121"/>
      <c r="CS102" s="2121"/>
      <c r="CT102" s="2121"/>
      <c r="CU102" s="2121"/>
      <c r="CV102" s="1534"/>
      <c r="CW102" s="1534"/>
      <c r="CX102" s="1534"/>
      <c r="CY102" s="1534"/>
      <c r="CZ102" s="1197"/>
    </row>
    <row r="103" spans="1:104" s="1178" customFormat="1" ht="11.25">
      <c r="A103" s="1156"/>
      <c r="B103" s="1156"/>
      <c r="C103" s="1542" t="s">
        <v>1034</v>
      </c>
      <c r="D103" s="1156"/>
      <c r="E103" s="1156"/>
      <c r="F103" s="1337"/>
      <c r="G103" s="1337"/>
      <c r="H103" s="1337"/>
      <c r="I103" s="1337"/>
      <c r="J103" s="1336"/>
      <c r="K103" s="1336"/>
      <c r="L103" s="1336"/>
      <c r="M103" s="1336"/>
      <c r="N103" s="1336"/>
      <c r="O103" s="1336"/>
      <c r="P103" s="1336"/>
      <c r="Q103" s="1336"/>
      <c r="R103" s="1336"/>
      <c r="S103" s="1336"/>
      <c r="T103" s="1336"/>
      <c r="U103" s="1336"/>
      <c r="V103" s="1336"/>
      <c r="W103" s="1336"/>
      <c r="X103" s="1336"/>
      <c r="Y103" s="1336"/>
      <c r="Z103" s="1336"/>
      <c r="AA103" s="1336"/>
      <c r="AB103" s="1336"/>
      <c r="AC103" s="1336"/>
      <c r="AD103" s="1336"/>
      <c r="AE103" s="1336"/>
      <c r="AF103" s="1336"/>
      <c r="AG103" s="1336"/>
      <c r="AH103" s="1336"/>
      <c r="AI103" s="1336"/>
      <c r="AJ103" s="1336"/>
      <c r="AK103" s="1336"/>
      <c r="AL103" s="1336"/>
      <c r="AM103" s="1336"/>
      <c r="AN103" s="1336"/>
      <c r="AO103" s="1336"/>
      <c r="AP103" s="1336"/>
      <c r="AQ103" s="1336"/>
      <c r="AR103" s="1336"/>
      <c r="AS103" s="1336"/>
      <c r="AT103" s="1336"/>
      <c r="AU103" s="1336"/>
      <c r="AV103" s="1336"/>
      <c r="AW103" s="1336"/>
      <c r="AX103" s="1336"/>
      <c r="AY103" s="1254"/>
      <c r="AZ103" s="1254"/>
      <c r="BA103" s="1240"/>
      <c r="BB103" s="1541"/>
      <c r="BC103" s="1240"/>
      <c r="BD103" s="1254"/>
      <c r="BE103" s="1254"/>
      <c r="BF103" s="1254"/>
      <c r="BG103" s="1336"/>
      <c r="BH103" s="1254"/>
      <c r="BI103" s="1240"/>
      <c r="BJ103" s="1240"/>
      <c r="BK103" s="1240"/>
      <c r="BL103" s="1336"/>
      <c r="BM103" s="1253"/>
      <c r="BN103" s="1540"/>
      <c r="BO103" s="1540"/>
      <c r="BP103" s="1540"/>
      <c r="BQ103" s="1540"/>
      <c r="BR103" s="1539"/>
      <c r="BS103" s="1535"/>
      <c r="BT103" s="1535"/>
      <c r="BU103" s="1254"/>
      <c r="BV103" s="1259"/>
      <c r="BW103" s="1222"/>
      <c r="BX103" s="1254"/>
      <c r="BY103" s="1254" t="s">
        <v>1045</v>
      </c>
      <c r="BZ103" s="1569"/>
      <c r="CA103" s="1254"/>
      <c r="CB103" s="1536"/>
      <c r="CC103" s="1254"/>
      <c r="CD103" s="1254"/>
      <c r="CE103" s="1254"/>
      <c r="CF103" s="1254"/>
      <c r="CG103" s="1253"/>
      <c r="CH103" s="1535"/>
      <c r="CI103" s="1535"/>
      <c r="CJ103" s="1535"/>
      <c r="CK103" s="1535"/>
      <c r="CL103" s="1253"/>
      <c r="CM103" s="1535"/>
      <c r="CN103" s="1535"/>
      <c r="CO103" s="1535"/>
      <c r="CP103" s="1535"/>
      <c r="CQ103" s="1534"/>
      <c r="CR103" s="2121"/>
      <c r="CS103" s="2121"/>
      <c r="CT103" s="2121"/>
      <c r="CU103" s="2121"/>
      <c r="CV103" s="1534"/>
      <c r="CW103" s="1534"/>
      <c r="CX103" s="1534"/>
      <c r="CY103" s="1534"/>
      <c r="CZ103" s="1197"/>
    </row>
    <row r="104" spans="1:104" s="1178" customFormat="1" ht="11.25">
      <c r="A104" s="1156"/>
      <c r="B104" s="1156"/>
      <c r="C104" s="1542"/>
      <c r="D104" s="1156"/>
      <c r="E104" s="1156"/>
      <c r="F104" s="1337"/>
      <c r="G104" s="1337"/>
      <c r="H104" s="1337"/>
      <c r="I104" s="1337"/>
      <c r="J104" s="1336"/>
      <c r="K104" s="1336"/>
      <c r="L104" s="1336"/>
      <c r="M104" s="1336"/>
      <c r="N104" s="1336"/>
      <c r="O104" s="1336"/>
      <c r="P104" s="1336"/>
      <c r="Q104" s="1336"/>
      <c r="R104" s="1336"/>
      <c r="S104" s="1336"/>
      <c r="T104" s="1336"/>
      <c r="U104" s="1336"/>
      <c r="V104" s="1336"/>
      <c r="W104" s="1336"/>
      <c r="X104" s="1336"/>
      <c r="Y104" s="1336"/>
      <c r="Z104" s="1336"/>
      <c r="AA104" s="1336"/>
      <c r="AB104" s="1336"/>
      <c r="AC104" s="1336"/>
      <c r="AD104" s="1336"/>
      <c r="AE104" s="1336"/>
      <c r="AF104" s="1336"/>
      <c r="AG104" s="1336"/>
      <c r="AH104" s="1336"/>
      <c r="AI104" s="1336"/>
      <c r="AJ104" s="1336"/>
      <c r="AK104" s="1336"/>
      <c r="AL104" s="1336"/>
      <c r="AM104" s="1336"/>
      <c r="AN104" s="1336"/>
      <c r="AO104" s="1336"/>
      <c r="AP104" s="1336"/>
      <c r="AQ104" s="1336"/>
      <c r="AR104" s="1336"/>
      <c r="AS104" s="1336"/>
      <c r="AT104" s="1336"/>
      <c r="AU104" s="1336"/>
      <c r="AV104" s="1336"/>
      <c r="AW104" s="1336"/>
      <c r="AX104" s="1336"/>
      <c r="AY104" s="1254"/>
      <c r="AZ104" s="1254"/>
      <c r="BA104" s="1240"/>
      <c r="BB104" s="1541"/>
      <c r="BC104" s="1240"/>
      <c r="BD104" s="1254"/>
      <c r="BE104" s="1254"/>
      <c r="BF104" s="1254"/>
      <c r="BG104" s="1336"/>
      <c r="BH104" s="1254"/>
      <c r="BI104" s="1240"/>
      <c r="BJ104" s="1240"/>
      <c r="BK104" s="1240"/>
      <c r="BL104" s="1336"/>
      <c r="BM104" s="1253"/>
      <c r="BN104" s="1540"/>
      <c r="BO104" s="1540"/>
      <c r="BP104" s="1540"/>
      <c r="BQ104" s="1540"/>
      <c r="BR104" s="1539"/>
      <c r="BS104" s="1535"/>
      <c r="BT104" s="1535"/>
      <c r="BU104" s="1254"/>
      <c r="BV104" s="1259"/>
      <c r="BW104" s="1222"/>
      <c r="BX104" s="1254"/>
      <c r="BY104" s="1254"/>
      <c r="BZ104" s="1537"/>
      <c r="CA104" s="1254"/>
      <c r="CB104" s="1536"/>
      <c r="CC104" s="1254"/>
      <c r="CD104" s="1254"/>
      <c r="CE104" s="1254"/>
      <c r="CF104" s="1254"/>
      <c r="CG104" s="1253"/>
      <c r="CH104" s="1535"/>
      <c r="CI104" s="1535"/>
      <c r="CJ104" s="1535"/>
      <c r="CK104" s="1535"/>
      <c r="CL104" s="1253"/>
      <c r="CM104" s="1535"/>
      <c r="CN104" s="1535"/>
      <c r="CO104" s="1535"/>
      <c r="CP104" s="1535"/>
      <c r="CQ104" s="1534"/>
      <c r="CR104" s="2121"/>
      <c r="CS104" s="2121"/>
      <c r="CT104" s="2121"/>
      <c r="CU104" s="2121"/>
      <c r="CV104" s="1534"/>
      <c r="CW104" s="1534"/>
      <c r="CX104" s="1534"/>
      <c r="CY104" s="1534"/>
      <c r="CZ104" s="1197"/>
    </row>
    <row r="105" spans="1:104" s="1178" customFormat="1" ht="11.25">
      <c r="A105" s="1156"/>
      <c r="B105" s="1156"/>
      <c r="C105" s="1156" t="s">
        <v>1044</v>
      </c>
      <c r="D105" s="1156"/>
      <c r="E105" s="1156"/>
      <c r="F105" s="1337" t="s">
        <v>946</v>
      </c>
      <c r="G105" s="1337" t="s">
        <v>946</v>
      </c>
      <c r="H105" s="1337" t="s">
        <v>946</v>
      </c>
      <c r="I105" s="1337" t="s">
        <v>946</v>
      </c>
      <c r="J105" s="1336" t="s">
        <v>946</v>
      </c>
      <c r="K105" s="1336" t="s">
        <v>946</v>
      </c>
      <c r="L105" s="1336" t="s">
        <v>946</v>
      </c>
      <c r="M105" s="1336" t="s">
        <v>946</v>
      </c>
      <c r="N105" s="1336" t="s">
        <v>946</v>
      </c>
      <c r="O105" s="1336" t="s">
        <v>946</v>
      </c>
      <c r="P105" s="1336" t="s">
        <v>946</v>
      </c>
      <c r="Q105" s="1336" t="s">
        <v>946</v>
      </c>
      <c r="R105" s="1336" t="s">
        <v>946</v>
      </c>
      <c r="S105" s="1336" t="s">
        <v>946</v>
      </c>
      <c r="T105" s="1336" t="s">
        <v>946</v>
      </c>
      <c r="U105" s="1336" t="s">
        <v>946</v>
      </c>
      <c r="V105" s="1336" t="s">
        <v>946</v>
      </c>
      <c r="W105" s="1336" t="s">
        <v>946</v>
      </c>
      <c r="X105" s="1336" t="s">
        <v>946</v>
      </c>
      <c r="Y105" s="1336" t="s">
        <v>946</v>
      </c>
      <c r="Z105" s="1336" t="s">
        <v>946</v>
      </c>
      <c r="AA105" s="1336" t="s">
        <v>946</v>
      </c>
      <c r="AB105" s="1336" t="s">
        <v>946</v>
      </c>
      <c r="AC105" s="1336" t="s">
        <v>946</v>
      </c>
      <c r="AD105" s="1336" t="s">
        <v>946</v>
      </c>
      <c r="AE105" s="1336" t="s">
        <v>946</v>
      </c>
      <c r="AF105" s="1336" t="s">
        <v>946</v>
      </c>
      <c r="AG105" s="1336" t="s">
        <v>946</v>
      </c>
      <c r="AH105" s="1336" t="s">
        <v>946</v>
      </c>
      <c r="AI105" s="1336" t="s">
        <v>946</v>
      </c>
      <c r="AJ105" s="1336" t="s">
        <v>946</v>
      </c>
      <c r="AK105" s="1336" t="s">
        <v>946</v>
      </c>
      <c r="AL105" s="1336" t="s">
        <v>946</v>
      </c>
      <c r="AM105" s="1336" t="s">
        <v>946</v>
      </c>
      <c r="AN105" s="1336" t="s">
        <v>946</v>
      </c>
      <c r="AO105" s="1336" t="s">
        <v>946</v>
      </c>
      <c r="AP105" s="1336" t="s">
        <v>946</v>
      </c>
      <c r="AQ105" s="1336" t="s">
        <v>946</v>
      </c>
      <c r="AR105" s="1336" t="s">
        <v>946</v>
      </c>
      <c r="AS105" s="1336" t="s">
        <v>946</v>
      </c>
      <c r="AT105" s="1336" t="s">
        <v>946</v>
      </c>
      <c r="AU105" s="1336" t="s">
        <v>946</v>
      </c>
      <c r="AV105" s="1336" t="s">
        <v>946</v>
      </c>
      <c r="AW105" s="1336" t="s">
        <v>946</v>
      </c>
      <c r="AX105" s="1336" t="s">
        <v>946</v>
      </c>
      <c r="AY105" s="1240" t="s">
        <v>946</v>
      </c>
      <c r="AZ105" s="1240" t="s">
        <v>946</v>
      </c>
      <c r="BA105" s="1240" t="s">
        <v>946</v>
      </c>
      <c r="BB105" s="1240" t="s">
        <v>946</v>
      </c>
      <c r="BC105" s="1240" t="s">
        <v>946</v>
      </c>
      <c r="BD105" s="1336">
        <f>-9%*0.25</f>
        <v>-2.2499999999999999E-2</v>
      </c>
      <c r="BE105" s="1254">
        <v>4.4999999999999998E-2</v>
      </c>
      <c r="BF105" s="1541">
        <v>7.0000000000000007E-2</v>
      </c>
      <c r="BG105" s="1541">
        <v>0.06</v>
      </c>
      <c r="BH105" s="1535">
        <v>0.25</v>
      </c>
      <c r="BI105" s="1336">
        <v>0.03</v>
      </c>
      <c r="BJ105" s="1336">
        <v>0.05</v>
      </c>
      <c r="BK105" s="1541">
        <v>0</v>
      </c>
      <c r="BL105" s="1541">
        <v>-0.02</v>
      </c>
      <c r="BM105" s="1539">
        <f>AVERAGE(BI105:BL105)</f>
        <v>1.4999999999999999E-2</v>
      </c>
      <c r="BN105" s="1540">
        <v>0.05</v>
      </c>
      <c r="BO105" s="1540">
        <f>-1/4*9%</f>
        <v>-2.2499999999999999E-2</v>
      </c>
      <c r="BP105" s="1540">
        <f>1/4*9%</f>
        <v>2.2499999999999999E-2</v>
      </c>
      <c r="BQ105" s="1540">
        <f>1/4*9%</f>
        <v>2.2499999999999999E-2</v>
      </c>
      <c r="BR105" s="1539">
        <f>AVERAGE(BN105:BQ105)</f>
        <v>1.8125000000000002E-2</v>
      </c>
      <c r="BS105" s="1535">
        <v>-0.02</v>
      </c>
      <c r="BT105" s="1535">
        <v>0.05</v>
      </c>
      <c r="BU105" s="1538">
        <v>0.05</v>
      </c>
      <c r="BV105" s="1535">
        <v>0.1</v>
      </c>
      <c r="BW105" s="1222"/>
      <c r="BX105" s="1254" t="s">
        <v>958</v>
      </c>
      <c r="BY105" s="1254" t="s">
        <v>948</v>
      </c>
      <c r="BZ105" s="1537" t="s">
        <v>958</v>
      </c>
      <c r="CA105" s="1254" t="s">
        <v>958</v>
      </c>
      <c r="CB105" s="1536"/>
      <c r="CC105" s="1254" t="s">
        <v>1043</v>
      </c>
      <c r="CD105" s="1254" t="s">
        <v>1058</v>
      </c>
      <c r="CE105" s="1254" t="s">
        <v>949</v>
      </c>
      <c r="CF105" s="1254" t="s">
        <v>949</v>
      </c>
      <c r="CG105" s="1253"/>
      <c r="CH105" s="1535">
        <v>-7.0000000000000007E-2</v>
      </c>
      <c r="CI105" s="1535" t="s">
        <v>1317</v>
      </c>
      <c r="CJ105" s="1535"/>
      <c r="CK105" s="1535"/>
      <c r="CL105" s="1253"/>
      <c r="CM105" s="1535"/>
      <c r="CN105" s="1535"/>
      <c r="CO105" s="1535"/>
      <c r="CP105" s="1535"/>
      <c r="CQ105" s="1534"/>
      <c r="CR105" s="2121"/>
      <c r="CS105" s="2121"/>
      <c r="CT105" s="2121"/>
      <c r="CU105" s="2121"/>
      <c r="CV105" s="1534"/>
      <c r="CW105" s="1534"/>
      <c r="CX105" s="1534"/>
      <c r="CY105" s="1534"/>
      <c r="CZ105" s="1197"/>
    </row>
    <row r="106" spans="1:104" s="1178" customFormat="1" ht="11.25">
      <c r="A106" s="1156"/>
      <c r="B106" s="1156"/>
      <c r="C106" s="1542" t="s">
        <v>1037</v>
      </c>
      <c r="D106" s="1156"/>
      <c r="E106" s="1156"/>
      <c r="F106" s="1337"/>
      <c r="G106" s="1337"/>
      <c r="H106" s="1337"/>
      <c r="I106" s="1337"/>
      <c r="J106" s="1336"/>
      <c r="K106" s="1336"/>
      <c r="L106" s="1336"/>
      <c r="M106" s="1336"/>
      <c r="N106" s="1336"/>
      <c r="O106" s="1336"/>
      <c r="P106" s="1336"/>
      <c r="Q106" s="1336"/>
      <c r="R106" s="1336"/>
      <c r="S106" s="1336"/>
      <c r="T106" s="1336"/>
      <c r="U106" s="1336"/>
      <c r="V106" s="1336"/>
      <c r="W106" s="1336"/>
      <c r="X106" s="1336"/>
      <c r="Y106" s="1336"/>
      <c r="Z106" s="1336"/>
      <c r="AA106" s="1336"/>
      <c r="AB106" s="1336"/>
      <c r="AC106" s="1336"/>
      <c r="AD106" s="1336"/>
      <c r="AE106" s="1336"/>
      <c r="AF106" s="1336"/>
      <c r="AG106" s="1336"/>
      <c r="AH106" s="1336"/>
      <c r="AI106" s="1336"/>
      <c r="AJ106" s="1336"/>
      <c r="AK106" s="1336"/>
      <c r="AL106" s="1336"/>
      <c r="AM106" s="1336"/>
      <c r="AN106" s="1336"/>
      <c r="AO106" s="1336"/>
      <c r="AP106" s="1336"/>
      <c r="AQ106" s="1336"/>
      <c r="AR106" s="1336"/>
      <c r="AS106" s="1336"/>
      <c r="AT106" s="1336"/>
      <c r="AU106" s="1336"/>
      <c r="AV106" s="1336"/>
      <c r="AW106" s="1336"/>
      <c r="AX106" s="1336"/>
      <c r="AY106" s="1240"/>
      <c r="AZ106" s="1240"/>
      <c r="BA106" s="1240"/>
      <c r="BB106" s="1240"/>
      <c r="BC106" s="1240"/>
      <c r="BD106" s="1336"/>
      <c r="BE106" s="1254"/>
      <c r="BF106" s="1541"/>
      <c r="BG106" s="1541"/>
      <c r="BH106" s="1535"/>
      <c r="BI106" s="1336"/>
      <c r="BJ106" s="1336"/>
      <c r="BK106" s="1541"/>
      <c r="BL106" s="1541"/>
      <c r="BM106" s="1539"/>
      <c r="BN106" s="1540"/>
      <c r="BO106" s="1540"/>
      <c r="BP106" s="1540"/>
      <c r="BQ106" s="1540"/>
      <c r="BR106" s="1539"/>
      <c r="BS106" s="1535"/>
      <c r="BT106" s="1535"/>
      <c r="BU106" s="1538"/>
      <c r="BV106" s="1535"/>
      <c r="BW106" s="1222"/>
      <c r="BX106" s="1254"/>
      <c r="BY106" s="1254"/>
      <c r="BZ106" s="1537" t="s">
        <v>958</v>
      </c>
      <c r="CA106" s="1254" t="s">
        <v>1042</v>
      </c>
      <c r="CB106" s="1536"/>
      <c r="CC106" s="1254"/>
      <c r="CD106" s="1254" t="s">
        <v>1358</v>
      </c>
      <c r="CE106" s="1254" t="s">
        <v>949</v>
      </c>
      <c r="CF106" s="1254" t="s">
        <v>1229</v>
      </c>
      <c r="CG106" s="1253"/>
      <c r="CH106" s="1535"/>
      <c r="CI106" s="1535" t="s">
        <v>1417</v>
      </c>
      <c r="CJ106" s="1535"/>
      <c r="CK106" s="1535" t="s">
        <v>1311</v>
      </c>
      <c r="CL106" s="1253"/>
      <c r="CM106" s="1535"/>
      <c r="CN106" s="1535"/>
      <c r="CO106" s="1535"/>
      <c r="CP106" s="1535"/>
      <c r="CQ106" s="1534"/>
      <c r="CR106" s="2121"/>
      <c r="CS106" s="2121"/>
      <c r="CT106" s="2121"/>
      <c r="CU106" s="2121"/>
      <c r="CV106" s="1534"/>
      <c r="CW106" s="1534"/>
      <c r="CX106" s="1534"/>
      <c r="CY106" s="1534"/>
      <c r="CZ106" s="1197"/>
    </row>
    <row r="107" spans="1:104" s="1178" customFormat="1" ht="11.25">
      <c r="A107" s="1156"/>
      <c r="B107" s="1156"/>
      <c r="C107" s="1542" t="s">
        <v>1035</v>
      </c>
      <c r="D107" s="1156"/>
      <c r="E107" s="1156"/>
      <c r="F107" s="1337"/>
      <c r="G107" s="1337"/>
      <c r="H107" s="1337"/>
      <c r="I107" s="1337"/>
      <c r="J107" s="1336"/>
      <c r="K107" s="1336"/>
      <c r="L107" s="1336"/>
      <c r="M107" s="1336"/>
      <c r="N107" s="1336"/>
      <c r="O107" s="1336"/>
      <c r="P107" s="1336"/>
      <c r="Q107" s="1336"/>
      <c r="R107" s="1336"/>
      <c r="S107" s="1336"/>
      <c r="T107" s="1336"/>
      <c r="U107" s="1336"/>
      <c r="V107" s="1336"/>
      <c r="W107" s="1336"/>
      <c r="X107" s="1336"/>
      <c r="Y107" s="1336"/>
      <c r="Z107" s="1336"/>
      <c r="AA107" s="1336"/>
      <c r="AB107" s="1336"/>
      <c r="AC107" s="1336"/>
      <c r="AD107" s="1336"/>
      <c r="AE107" s="1336"/>
      <c r="AF107" s="1336"/>
      <c r="AG107" s="1336"/>
      <c r="AH107" s="1336"/>
      <c r="AI107" s="1336"/>
      <c r="AJ107" s="1336"/>
      <c r="AK107" s="1336"/>
      <c r="AL107" s="1336"/>
      <c r="AM107" s="1336"/>
      <c r="AN107" s="1336"/>
      <c r="AO107" s="1336"/>
      <c r="AP107" s="1336"/>
      <c r="AQ107" s="1336"/>
      <c r="AR107" s="1336"/>
      <c r="AS107" s="1336"/>
      <c r="AT107" s="1336"/>
      <c r="AU107" s="1336"/>
      <c r="AV107" s="1336"/>
      <c r="AW107" s="1336"/>
      <c r="AX107" s="1336"/>
      <c r="AY107" s="1240"/>
      <c r="AZ107" s="1240"/>
      <c r="BA107" s="1240"/>
      <c r="BB107" s="1240"/>
      <c r="BC107" s="1240"/>
      <c r="BD107" s="1336"/>
      <c r="BE107" s="1254"/>
      <c r="BF107" s="1541"/>
      <c r="BG107" s="1541"/>
      <c r="BH107" s="1535"/>
      <c r="BI107" s="1336"/>
      <c r="BJ107" s="1336"/>
      <c r="BK107" s="1541"/>
      <c r="BL107" s="1541"/>
      <c r="BM107" s="1539"/>
      <c r="BN107" s="1540"/>
      <c r="BO107" s="1540"/>
      <c r="BP107" s="1540"/>
      <c r="BQ107" s="1540"/>
      <c r="BR107" s="1539"/>
      <c r="BS107" s="1535"/>
      <c r="BT107" s="1535"/>
      <c r="BU107" s="1538"/>
      <c r="BV107" s="1535"/>
      <c r="BW107" s="1222"/>
      <c r="BX107" s="1254">
        <v>0.1</v>
      </c>
      <c r="BY107" s="1254">
        <v>0.18</v>
      </c>
      <c r="BZ107" s="1537">
        <v>0.12</v>
      </c>
      <c r="CA107" s="1254" t="s">
        <v>949</v>
      </c>
      <c r="CB107" s="1536"/>
      <c r="CC107" s="1254"/>
      <c r="CD107" s="1254" t="s">
        <v>1334</v>
      </c>
      <c r="CE107" s="1254" t="s">
        <v>1240</v>
      </c>
      <c r="CF107" s="1254">
        <v>-7.0000000000000007E-2</v>
      </c>
      <c r="CG107" s="1253"/>
      <c r="CH107" s="1535"/>
      <c r="CI107" s="2121" t="s">
        <v>1417</v>
      </c>
      <c r="CJ107" s="1535"/>
      <c r="CK107" s="1535" t="s">
        <v>1430</v>
      </c>
      <c r="CL107" s="1253"/>
      <c r="CM107" s="1535"/>
      <c r="CN107" s="1535"/>
      <c r="CO107" s="1535"/>
      <c r="CP107" s="1535"/>
      <c r="CQ107" s="1534"/>
      <c r="CR107" s="2121"/>
      <c r="CS107" s="2121"/>
      <c r="CT107" s="2121"/>
      <c r="CU107" s="2121"/>
      <c r="CV107" s="1534"/>
      <c r="CW107" s="1534"/>
      <c r="CX107" s="1534"/>
      <c r="CY107" s="1534"/>
      <c r="CZ107" s="1197"/>
    </row>
    <row r="108" spans="1:104" s="1178" customFormat="1" ht="11.25">
      <c r="A108" s="1156"/>
      <c r="B108" s="1156"/>
      <c r="C108" s="1542" t="s">
        <v>1034</v>
      </c>
      <c r="D108" s="1156"/>
      <c r="E108" s="1156"/>
      <c r="F108" s="1337"/>
      <c r="G108" s="1337"/>
      <c r="H108" s="1337"/>
      <c r="I108" s="1337"/>
      <c r="J108" s="1336"/>
      <c r="K108" s="1336"/>
      <c r="L108" s="1336"/>
      <c r="M108" s="1336"/>
      <c r="N108" s="1336"/>
      <c r="O108" s="1336"/>
      <c r="P108" s="1336"/>
      <c r="Q108" s="1336"/>
      <c r="R108" s="1336"/>
      <c r="S108" s="1336"/>
      <c r="T108" s="1336"/>
      <c r="U108" s="1336"/>
      <c r="V108" s="1336"/>
      <c r="W108" s="1336"/>
      <c r="X108" s="1336"/>
      <c r="Y108" s="1336"/>
      <c r="Z108" s="1336"/>
      <c r="AA108" s="1336"/>
      <c r="AB108" s="1336"/>
      <c r="AC108" s="1336"/>
      <c r="AD108" s="1336"/>
      <c r="AE108" s="1336"/>
      <c r="AF108" s="1336"/>
      <c r="AG108" s="1336"/>
      <c r="AH108" s="1336"/>
      <c r="AI108" s="1336"/>
      <c r="AJ108" s="1336"/>
      <c r="AK108" s="1336"/>
      <c r="AL108" s="1336"/>
      <c r="AM108" s="1336"/>
      <c r="AN108" s="1336"/>
      <c r="AO108" s="1336"/>
      <c r="AP108" s="1336"/>
      <c r="AQ108" s="1336"/>
      <c r="AR108" s="1336"/>
      <c r="AS108" s="1336"/>
      <c r="AT108" s="1336"/>
      <c r="AU108" s="1336"/>
      <c r="AV108" s="1336"/>
      <c r="AW108" s="1336"/>
      <c r="AX108" s="1336"/>
      <c r="AY108" s="1240"/>
      <c r="AZ108" s="1240"/>
      <c r="BA108" s="1240"/>
      <c r="BB108" s="1240"/>
      <c r="BC108" s="1240"/>
      <c r="BD108" s="1336"/>
      <c r="BE108" s="1254"/>
      <c r="BF108" s="1541"/>
      <c r="BG108" s="1541"/>
      <c r="BH108" s="1535"/>
      <c r="BI108" s="1336"/>
      <c r="BJ108" s="1336"/>
      <c r="BK108" s="1541"/>
      <c r="BL108" s="1541"/>
      <c r="BM108" s="1539"/>
      <c r="BN108" s="1540"/>
      <c r="BO108" s="1540"/>
      <c r="BP108" s="1540"/>
      <c r="BQ108" s="1540"/>
      <c r="BR108" s="1539"/>
      <c r="BS108" s="1535"/>
      <c r="BT108" s="1535"/>
      <c r="BU108" s="1538"/>
      <c r="BV108" s="1535"/>
      <c r="BW108" s="1222"/>
      <c r="BX108" s="1254" t="s">
        <v>1041</v>
      </c>
      <c r="BY108" s="1254">
        <v>0.1</v>
      </c>
      <c r="BZ108" s="1537" t="s">
        <v>950</v>
      </c>
      <c r="CA108" s="1254" t="s">
        <v>949</v>
      </c>
      <c r="CB108" s="1536"/>
      <c r="CC108" s="1254"/>
      <c r="CD108" s="1254" t="s">
        <v>1335</v>
      </c>
      <c r="CE108" s="1254" t="s">
        <v>1333</v>
      </c>
      <c r="CF108" s="1254">
        <v>0.08</v>
      </c>
      <c r="CG108" s="1253"/>
      <c r="CH108" s="1535" t="s">
        <v>1388</v>
      </c>
      <c r="CI108" s="2121"/>
      <c r="CJ108" s="1535"/>
      <c r="CK108" s="1535"/>
      <c r="CL108" s="1253"/>
      <c r="CM108" s="1535"/>
      <c r="CN108" s="1535"/>
      <c r="CO108" s="1535"/>
      <c r="CP108" s="1535"/>
      <c r="CQ108" s="1534"/>
      <c r="CR108" s="2121"/>
      <c r="CS108" s="2121"/>
      <c r="CT108" s="2121"/>
      <c r="CU108" s="2121"/>
      <c r="CV108" s="1534"/>
      <c r="CW108" s="1534"/>
      <c r="CX108" s="1534"/>
      <c r="CY108" s="1534"/>
      <c r="CZ108" s="1197"/>
    </row>
    <row r="109" spans="1:104" s="1178" customFormat="1" ht="11.25">
      <c r="A109" s="1156"/>
      <c r="B109" s="1156"/>
      <c r="C109" s="1542" t="s">
        <v>1040</v>
      </c>
      <c r="D109" s="1156"/>
      <c r="E109" s="1156"/>
      <c r="F109" s="1337"/>
      <c r="G109" s="1337"/>
      <c r="H109" s="1337"/>
      <c r="I109" s="1337"/>
      <c r="J109" s="1336"/>
      <c r="K109" s="1336"/>
      <c r="L109" s="1336"/>
      <c r="M109" s="1336"/>
      <c r="N109" s="1336"/>
      <c r="O109" s="1336"/>
      <c r="P109" s="1336"/>
      <c r="Q109" s="1336"/>
      <c r="R109" s="1336"/>
      <c r="S109" s="1336"/>
      <c r="T109" s="1336"/>
      <c r="U109" s="1336"/>
      <c r="V109" s="1336"/>
      <c r="W109" s="1336"/>
      <c r="X109" s="1336"/>
      <c r="Y109" s="1336"/>
      <c r="Z109" s="1336"/>
      <c r="AA109" s="1336"/>
      <c r="AB109" s="1336"/>
      <c r="AC109" s="1336"/>
      <c r="AD109" s="1336"/>
      <c r="AE109" s="1336"/>
      <c r="AF109" s="1336"/>
      <c r="AG109" s="1336"/>
      <c r="AH109" s="1336"/>
      <c r="AI109" s="1336"/>
      <c r="AJ109" s="1336"/>
      <c r="AK109" s="1336"/>
      <c r="AL109" s="1336"/>
      <c r="AM109" s="1336"/>
      <c r="AN109" s="1336"/>
      <c r="AO109" s="1336"/>
      <c r="AP109" s="1336"/>
      <c r="AQ109" s="1336"/>
      <c r="AR109" s="1336"/>
      <c r="AS109" s="1336"/>
      <c r="AT109" s="1336"/>
      <c r="AU109" s="1336"/>
      <c r="AV109" s="1336"/>
      <c r="AW109" s="1336"/>
      <c r="AX109" s="1336"/>
      <c r="AY109" s="1240"/>
      <c r="AZ109" s="1240"/>
      <c r="BA109" s="1240"/>
      <c r="BB109" s="1240"/>
      <c r="BC109" s="1240"/>
      <c r="BD109" s="1336"/>
      <c r="BE109" s="1254"/>
      <c r="BF109" s="1541"/>
      <c r="BG109" s="1541"/>
      <c r="BH109" s="1535"/>
      <c r="BI109" s="1336"/>
      <c r="BJ109" s="1336"/>
      <c r="BK109" s="1541"/>
      <c r="BL109" s="1541"/>
      <c r="BM109" s="1539"/>
      <c r="BN109" s="1540"/>
      <c r="BO109" s="1540"/>
      <c r="BP109" s="1540"/>
      <c r="BQ109" s="1540"/>
      <c r="BR109" s="1539"/>
      <c r="BS109" s="1535"/>
      <c r="BT109" s="1535"/>
      <c r="BU109" s="1538"/>
      <c r="BV109" s="1535"/>
      <c r="BW109" s="1222"/>
      <c r="BX109" s="1254" t="s">
        <v>1039</v>
      </c>
      <c r="BY109" s="1254" t="s">
        <v>995</v>
      </c>
      <c r="BZ109" s="1537"/>
      <c r="CA109" s="1254" t="s">
        <v>949</v>
      </c>
      <c r="CB109" s="1536"/>
      <c r="CC109" s="1254"/>
      <c r="CD109" s="1254"/>
      <c r="CE109" s="1254"/>
      <c r="CF109" s="1254"/>
      <c r="CG109" s="1253"/>
      <c r="CH109" s="1535"/>
      <c r="CI109" s="1535" t="s">
        <v>1000</v>
      </c>
      <c r="CJ109" s="1535"/>
      <c r="CK109" s="2121" t="s">
        <v>1430</v>
      </c>
      <c r="CL109" s="1253"/>
      <c r="CM109" s="1535"/>
      <c r="CN109" s="1535"/>
      <c r="CO109" s="1535"/>
      <c r="CP109" s="1535"/>
      <c r="CQ109" s="1534"/>
      <c r="CR109" s="2121"/>
      <c r="CS109" s="2121"/>
      <c r="CT109" s="2121"/>
      <c r="CU109" s="2121"/>
      <c r="CV109" s="1534"/>
      <c r="CW109" s="1534"/>
      <c r="CX109" s="1534"/>
      <c r="CY109" s="1534"/>
      <c r="CZ109" s="1197"/>
    </row>
    <row r="110" spans="1:104" s="1178" customFormat="1" ht="11.25">
      <c r="A110" s="1156"/>
      <c r="B110" s="1156"/>
      <c r="C110" s="1156"/>
      <c r="D110" s="1156"/>
      <c r="E110" s="1156"/>
      <c r="F110" s="1337"/>
      <c r="G110" s="1337"/>
      <c r="H110" s="1337"/>
      <c r="I110" s="1337"/>
      <c r="J110" s="1336"/>
      <c r="K110" s="1336"/>
      <c r="L110" s="1336"/>
      <c r="M110" s="1336"/>
      <c r="N110" s="1336"/>
      <c r="O110" s="1336"/>
      <c r="P110" s="1336"/>
      <c r="Q110" s="1336"/>
      <c r="R110" s="1336"/>
      <c r="S110" s="1336"/>
      <c r="T110" s="1336"/>
      <c r="U110" s="1336"/>
      <c r="V110" s="1336"/>
      <c r="W110" s="1336"/>
      <c r="X110" s="1336"/>
      <c r="Y110" s="1336"/>
      <c r="Z110" s="1336"/>
      <c r="AA110" s="1336"/>
      <c r="AB110" s="1336"/>
      <c r="AC110" s="1336"/>
      <c r="AD110" s="1336"/>
      <c r="AE110" s="1336"/>
      <c r="AF110" s="1336"/>
      <c r="AG110" s="1336"/>
      <c r="AH110" s="1336"/>
      <c r="AI110" s="1336"/>
      <c r="AJ110" s="1336"/>
      <c r="AK110" s="1336"/>
      <c r="AL110" s="1336"/>
      <c r="AM110" s="1336"/>
      <c r="AN110" s="1336"/>
      <c r="AO110" s="1336"/>
      <c r="AP110" s="1336"/>
      <c r="AQ110" s="1336"/>
      <c r="AR110" s="1336"/>
      <c r="AS110" s="1336"/>
      <c r="AT110" s="1336"/>
      <c r="AU110" s="1336"/>
      <c r="AV110" s="1336"/>
      <c r="AW110" s="1336"/>
      <c r="AX110" s="1336"/>
      <c r="AY110" s="1240"/>
      <c r="AZ110" s="1240"/>
      <c r="BA110" s="1240"/>
      <c r="BB110" s="1240"/>
      <c r="BC110" s="1240"/>
      <c r="BD110" s="1336"/>
      <c r="BE110" s="1254"/>
      <c r="BF110" s="1541"/>
      <c r="BG110" s="1541"/>
      <c r="BH110" s="1535"/>
      <c r="BI110" s="1336"/>
      <c r="BJ110" s="1336"/>
      <c r="BK110" s="1541"/>
      <c r="BL110" s="1541"/>
      <c r="BM110" s="1539"/>
      <c r="BN110" s="1540"/>
      <c r="BO110" s="1540"/>
      <c r="BP110" s="1540"/>
      <c r="BQ110" s="1540"/>
      <c r="BR110" s="1539"/>
      <c r="BS110" s="1535"/>
      <c r="BT110" s="1535"/>
      <c r="BU110" s="1538"/>
      <c r="BV110" s="1535"/>
      <c r="BW110" s="1222"/>
      <c r="BX110" s="1254"/>
      <c r="BY110" s="1254"/>
      <c r="BZ110" s="1537"/>
      <c r="CA110" s="1254"/>
      <c r="CB110" s="1536"/>
      <c r="CC110" s="1254"/>
      <c r="CD110" s="1254"/>
      <c r="CE110" s="1254"/>
      <c r="CF110" s="1254"/>
      <c r="CG110" s="1253"/>
      <c r="CH110" s="1535"/>
      <c r="CI110" s="1535"/>
      <c r="CJ110" s="1535"/>
      <c r="CK110" s="1535"/>
      <c r="CL110" s="1253"/>
      <c r="CM110" s="1535"/>
      <c r="CN110" s="1535"/>
      <c r="CO110" s="1535"/>
      <c r="CP110" s="1535"/>
      <c r="CQ110" s="1534"/>
      <c r="CR110" s="2121"/>
      <c r="CS110" s="2121"/>
      <c r="CT110" s="2121"/>
      <c r="CU110" s="2121"/>
      <c r="CV110" s="1534"/>
      <c r="CW110" s="1534"/>
      <c r="CX110" s="1534"/>
      <c r="CY110" s="1534"/>
      <c r="CZ110" s="1197"/>
    </row>
    <row r="111" spans="1:104" s="1178" customFormat="1" ht="11.25">
      <c r="A111" s="1156"/>
      <c r="B111" s="1156"/>
      <c r="C111" s="1156" t="s">
        <v>838</v>
      </c>
      <c r="D111" s="1156"/>
      <c r="E111" s="1156"/>
      <c r="F111" s="1337"/>
      <c r="G111" s="1337"/>
      <c r="H111" s="1337"/>
      <c r="I111" s="1337"/>
      <c r="J111" s="1336"/>
      <c r="K111" s="1336"/>
      <c r="L111" s="1336"/>
      <c r="M111" s="1336"/>
      <c r="N111" s="1336"/>
      <c r="O111" s="1336"/>
      <c r="P111" s="1336"/>
      <c r="Q111" s="1336"/>
      <c r="R111" s="1336"/>
      <c r="S111" s="1336"/>
      <c r="T111" s="1336"/>
      <c r="U111" s="1336"/>
      <c r="V111" s="1336"/>
      <c r="W111" s="1336"/>
      <c r="X111" s="1336"/>
      <c r="Y111" s="1336"/>
      <c r="Z111" s="1336"/>
      <c r="AA111" s="1336"/>
      <c r="AB111" s="1336"/>
      <c r="AC111" s="1336"/>
      <c r="AD111" s="1336"/>
      <c r="AE111" s="1336"/>
      <c r="AF111" s="1336"/>
      <c r="AG111" s="1336"/>
      <c r="AH111" s="1336"/>
      <c r="AI111" s="1336"/>
      <c r="AJ111" s="1336"/>
      <c r="AK111" s="1336"/>
      <c r="AL111" s="1336"/>
      <c r="AM111" s="1336"/>
      <c r="AN111" s="1336"/>
      <c r="AO111" s="1336"/>
      <c r="AP111" s="1336"/>
      <c r="AQ111" s="1336"/>
      <c r="AR111" s="1336"/>
      <c r="AS111" s="1336"/>
      <c r="AT111" s="1336"/>
      <c r="AU111" s="1336"/>
      <c r="AV111" s="1336"/>
      <c r="AW111" s="1336"/>
      <c r="AX111" s="1336"/>
      <c r="AY111" s="1240"/>
      <c r="AZ111" s="1240"/>
      <c r="BA111" s="1240"/>
      <c r="BB111" s="1240"/>
      <c r="BC111" s="1240"/>
      <c r="BD111" s="1336"/>
      <c r="BE111" s="1254"/>
      <c r="BF111" s="1541"/>
      <c r="BG111" s="1541"/>
      <c r="BH111" s="1535"/>
      <c r="BI111" s="1336"/>
      <c r="BJ111" s="1336"/>
      <c r="BK111" s="1541"/>
      <c r="BL111" s="1541"/>
      <c r="BM111" s="1539"/>
      <c r="BN111" s="1540"/>
      <c r="BO111" s="1540"/>
      <c r="BP111" s="1540"/>
      <c r="BQ111" s="1540"/>
      <c r="BR111" s="1539"/>
      <c r="BS111" s="1535"/>
      <c r="BT111" s="1535"/>
      <c r="BU111" s="1538"/>
      <c r="BV111" s="1535"/>
      <c r="BW111" s="1222"/>
      <c r="BX111" s="1254" t="s">
        <v>956</v>
      </c>
      <c r="BY111" s="1254" t="s">
        <v>956</v>
      </c>
      <c r="BZ111" s="1537" t="s">
        <v>1038</v>
      </c>
      <c r="CA111" s="1254" t="s">
        <v>948</v>
      </c>
      <c r="CB111" s="1536"/>
      <c r="CC111" s="1254" t="s">
        <v>949</v>
      </c>
      <c r="CD111" s="1254" t="s">
        <v>1332</v>
      </c>
      <c r="CE111" s="1254" t="s">
        <v>1332</v>
      </c>
      <c r="CF111" s="1254" t="s">
        <v>956</v>
      </c>
      <c r="CG111" s="1253"/>
      <c r="CH111" s="1535"/>
      <c r="CI111" s="1535"/>
      <c r="CJ111" s="1535"/>
      <c r="CK111" s="1535"/>
      <c r="CL111" s="1253"/>
      <c r="CM111" s="1535"/>
      <c r="CN111" s="1535"/>
      <c r="CO111" s="1535"/>
      <c r="CP111" s="1535"/>
      <c r="CQ111" s="1534"/>
      <c r="CR111" s="2121"/>
      <c r="CS111" s="2121"/>
      <c r="CT111" s="2121"/>
      <c r="CU111" s="2121"/>
      <c r="CV111" s="1534"/>
      <c r="CW111" s="1534"/>
      <c r="CX111" s="1534"/>
      <c r="CY111" s="1534"/>
      <c r="CZ111" s="1197"/>
    </row>
    <row r="112" spans="1:104" s="1178" customFormat="1" ht="11.25">
      <c r="A112" s="1156"/>
      <c r="B112" s="1156"/>
      <c r="C112" s="1542" t="s">
        <v>1037</v>
      </c>
      <c r="D112" s="1156"/>
      <c r="E112" s="1156"/>
      <c r="F112" s="1337"/>
      <c r="G112" s="1337"/>
      <c r="H112" s="1337"/>
      <c r="I112" s="1337"/>
      <c r="J112" s="1336"/>
      <c r="K112" s="1336"/>
      <c r="L112" s="1336"/>
      <c r="M112" s="1336"/>
      <c r="N112" s="1336"/>
      <c r="O112" s="1336"/>
      <c r="P112" s="1336"/>
      <c r="Q112" s="1336"/>
      <c r="R112" s="1336"/>
      <c r="S112" s="1336"/>
      <c r="T112" s="1336"/>
      <c r="U112" s="1336"/>
      <c r="V112" s="1336"/>
      <c r="W112" s="1336"/>
      <c r="X112" s="1336"/>
      <c r="Y112" s="1336"/>
      <c r="Z112" s="1336"/>
      <c r="AA112" s="1336"/>
      <c r="AB112" s="1336"/>
      <c r="AC112" s="1336"/>
      <c r="AD112" s="1336"/>
      <c r="AE112" s="1336"/>
      <c r="AF112" s="1336"/>
      <c r="AG112" s="1336"/>
      <c r="AH112" s="1336"/>
      <c r="AI112" s="1336"/>
      <c r="AJ112" s="1336"/>
      <c r="AK112" s="1336"/>
      <c r="AL112" s="1336"/>
      <c r="AM112" s="1336"/>
      <c r="AN112" s="1336"/>
      <c r="AO112" s="1336"/>
      <c r="AP112" s="1336"/>
      <c r="AQ112" s="1336"/>
      <c r="AR112" s="1336"/>
      <c r="AS112" s="1336"/>
      <c r="AT112" s="1336"/>
      <c r="AU112" s="1336"/>
      <c r="AV112" s="1336"/>
      <c r="AW112" s="1336"/>
      <c r="AX112" s="1336"/>
      <c r="AY112" s="1240"/>
      <c r="AZ112" s="1240"/>
      <c r="BA112" s="1240"/>
      <c r="BB112" s="1240"/>
      <c r="BC112" s="1240"/>
      <c r="BD112" s="1336"/>
      <c r="BE112" s="1254"/>
      <c r="BF112" s="1541"/>
      <c r="BG112" s="1541"/>
      <c r="BH112" s="1535"/>
      <c r="BI112" s="1336"/>
      <c r="BJ112" s="1336"/>
      <c r="BK112" s="1541"/>
      <c r="BL112" s="1541"/>
      <c r="BM112" s="1539"/>
      <c r="BN112" s="1540"/>
      <c r="BO112" s="1540"/>
      <c r="BP112" s="1540"/>
      <c r="BQ112" s="1540"/>
      <c r="BR112" s="1539"/>
      <c r="BS112" s="1254" t="s">
        <v>1036</v>
      </c>
      <c r="BT112" s="1254" t="s">
        <v>1036</v>
      </c>
      <c r="BU112" s="1254" t="s">
        <v>1036</v>
      </c>
      <c r="BV112" s="1254" t="s">
        <v>1036</v>
      </c>
      <c r="BW112" s="1253"/>
      <c r="BX112" s="1254" t="s">
        <v>1036</v>
      </c>
      <c r="BY112" s="1254"/>
      <c r="BZ112" s="1569"/>
      <c r="CA112" s="1254"/>
      <c r="CB112" s="1536"/>
      <c r="CC112" s="1254"/>
      <c r="CD112" s="1254"/>
      <c r="CE112" s="1254"/>
      <c r="CF112" s="1254"/>
      <c r="CG112" s="1253"/>
      <c r="CH112" s="1535"/>
      <c r="CI112" s="2121" t="s">
        <v>1417</v>
      </c>
      <c r="CJ112" s="1535"/>
      <c r="CK112" s="1535" t="s">
        <v>1187</v>
      </c>
      <c r="CL112" s="1253"/>
      <c r="CM112" s="1535"/>
      <c r="CN112" s="1535"/>
      <c r="CO112" s="1535"/>
      <c r="CP112" s="1535"/>
      <c r="CQ112" s="1534"/>
      <c r="CR112" s="2121"/>
      <c r="CS112" s="2121"/>
      <c r="CT112" s="2121"/>
      <c r="CU112" s="2121"/>
      <c r="CV112" s="1534"/>
      <c r="CW112" s="1534"/>
      <c r="CX112" s="1534"/>
      <c r="CY112" s="1534"/>
      <c r="CZ112" s="1197"/>
    </row>
    <row r="113" spans="1:104" s="1178" customFormat="1" ht="11.25">
      <c r="A113" s="1156"/>
      <c r="B113" s="1156"/>
      <c r="C113" s="1542" t="s">
        <v>1035</v>
      </c>
      <c r="D113" s="1156"/>
      <c r="E113" s="1156"/>
      <c r="F113" s="1337"/>
      <c r="G113" s="1337"/>
      <c r="H113" s="1337"/>
      <c r="I113" s="1337"/>
      <c r="J113" s="1336"/>
      <c r="K113" s="1336"/>
      <c r="L113" s="1336"/>
      <c r="M113" s="1336"/>
      <c r="N113" s="1336"/>
      <c r="O113" s="1336"/>
      <c r="P113" s="1336"/>
      <c r="Q113" s="1336"/>
      <c r="R113" s="1336"/>
      <c r="S113" s="1336"/>
      <c r="T113" s="1336"/>
      <c r="U113" s="1336"/>
      <c r="V113" s="1336"/>
      <c r="W113" s="1336"/>
      <c r="X113" s="1336"/>
      <c r="Y113" s="1336"/>
      <c r="Z113" s="1336"/>
      <c r="AA113" s="1336"/>
      <c r="AB113" s="1336"/>
      <c r="AC113" s="1336"/>
      <c r="AD113" s="1336"/>
      <c r="AE113" s="1336"/>
      <c r="AF113" s="1336"/>
      <c r="AG113" s="1336"/>
      <c r="AH113" s="1336"/>
      <c r="AI113" s="1336"/>
      <c r="AJ113" s="1336"/>
      <c r="AK113" s="1336"/>
      <c r="AL113" s="1336"/>
      <c r="AM113" s="1336"/>
      <c r="AN113" s="1336"/>
      <c r="AO113" s="1336"/>
      <c r="AP113" s="1336"/>
      <c r="AQ113" s="1336"/>
      <c r="AR113" s="1336"/>
      <c r="AS113" s="1336"/>
      <c r="AT113" s="1336"/>
      <c r="AU113" s="1336"/>
      <c r="AV113" s="1336"/>
      <c r="AW113" s="1336"/>
      <c r="AX113" s="1336"/>
      <c r="AY113" s="1240"/>
      <c r="AZ113" s="1240"/>
      <c r="BA113" s="1240"/>
      <c r="BB113" s="1240"/>
      <c r="BC113" s="1240"/>
      <c r="BD113" s="1336"/>
      <c r="BE113" s="1254"/>
      <c r="BF113" s="1541"/>
      <c r="BG113" s="1541"/>
      <c r="BH113" s="1535"/>
      <c r="BI113" s="1336"/>
      <c r="BJ113" s="1336"/>
      <c r="BK113" s="1541"/>
      <c r="BL113" s="1541"/>
      <c r="BM113" s="1539"/>
      <c r="BN113" s="1540"/>
      <c r="BO113" s="1540"/>
      <c r="BP113" s="1540"/>
      <c r="BQ113" s="1540"/>
      <c r="BR113" s="1539"/>
      <c r="BS113" s="1535"/>
      <c r="BT113" s="1535"/>
      <c r="BU113" s="1538"/>
      <c r="BV113" s="1535"/>
      <c r="BW113" s="1222"/>
      <c r="BX113" s="1254" t="s">
        <v>956</v>
      </c>
      <c r="BY113" s="1254"/>
      <c r="BZ113" s="1537" t="s">
        <v>950</v>
      </c>
      <c r="CA113" s="1254" t="s">
        <v>983</v>
      </c>
      <c r="CB113" s="1536"/>
      <c r="CC113" s="1254"/>
      <c r="CD113" s="1254"/>
      <c r="CE113" s="1254"/>
      <c r="CF113" s="1254"/>
      <c r="CG113" s="1253"/>
      <c r="CH113" s="1535"/>
      <c r="CI113" s="1535" t="s">
        <v>1311</v>
      </c>
      <c r="CJ113" s="1535"/>
      <c r="CK113" s="1535" t="s">
        <v>1411</v>
      </c>
      <c r="CL113" s="1253"/>
      <c r="CM113" s="1535"/>
      <c r="CN113" s="1535"/>
      <c r="CO113" s="1535"/>
      <c r="CP113" s="1535"/>
      <c r="CQ113" s="1534"/>
      <c r="CR113" s="2121"/>
      <c r="CS113" s="2121"/>
      <c r="CT113" s="2121"/>
      <c r="CU113" s="2121"/>
      <c r="CV113" s="1534"/>
      <c r="CW113" s="1534"/>
      <c r="CX113" s="1534"/>
      <c r="CY113" s="1534"/>
      <c r="CZ113" s="1197"/>
    </row>
    <row r="114" spans="1:104" s="1178" customFormat="1" ht="11.25">
      <c r="A114" s="1156"/>
      <c r="B114" s="1156"/>
      <c r="C114" s="1542" t="s">
        <v>1034</v>
      </c>
      <c r="D114" s="1156"/>
      <c r="E114" s="1156"/>
      <c r="F114" s="1337"/>
      <c r="G114" s="1337"/>
      <c r="H114" s="1337"/>
      <c r="I114" s="1337"/>
      <c r="J114" s="1336"/>
      <c r="K114" s="1336"/>
      <c r="L114" s="1336"/>
      <c r="M114" s="1336"/>
      <c r="N114" s="1336"/>
      <c r="O114" s="1336"/>
      <c r="P114" s="1336"/>
      <c r="Q114" s="1336"/>
      <c r="R114" s="1336"/>
      <c r="S114" s="1336"/>
      <c r="T114" s="1336"/>
      <c r="U114" s="1336"/>
      <c r="V114" s="1336"/>
      <c r="W114" s="1336"/>
      <c r="X114" s="1336"/>
      <c r="Y114" s="1336"/>
      <c r="Z114" s="1336"/>
      <c r="AA114" s="1336"/>
      <c r="AB114" s="1336"/>
      <c r="AC114" s="1336"/>
      <c r="AD114" s="1336"/>
      <c r="AE114" s="1336"/>
      <c r="AF114" s="1336"/>
      <c r="AG114" s="1336"/>
      <c r="AH114" s="1336"/>
      <c r="AI114" s="1336"/>
      <c r="AJ114" s="1336"/>
      <c r="AK114" s="1336"/>
      <c r="AL114" s="1336"/>
      <c r="AM114" s="1336"/>
      <c r="AN114" s="1336"/>
      <c r="AO114" s="1336"/>
      <c r="AP114" s="1336"/>
      <c r="AQ114" s="1336"/>
      <c r="AR114" s="1336"/>
      <c r="AS114" s="1336"/>
      <c r="AT114" s="1336"/>
      <c r="AU114" s="1336"/>
      <c r="AV114" s="1336"/>
      <c r="AW114" s="1336"/>
      <c r="AX114" s="1336"/>
      <c r="AY114" s="1240"/>
      <c r="AZ114" s="1240"/>
      <c r="BA114" s="1240"/>
      <c r="BB114" s="1240"/>
      <c r="BC114" s="1240"/>
      <c r="BD114" s="1336"/>
      <c r="BE114" s="1254"/>
      <c r="BF114" s="1541"/>
      <c r="BG114" s="1541"/>
      <c r="BH114" s="1535"/>
      <c r="BI114" s="1336"/>
      <c r="BJ114" s="1336"/>
      <c r="BK114" s="1541"/>
      <c r="BL114" s="1541"/>
      <c r="BM114" s="1539"/>
      <c r="BN114" s="1540"/>
      <c r="BO114" s="1540"/>
      <c r="BP114" s="1540"/>
      <c r="BQ114" s="1540"/>
      <c r="BR114" s="1539"/>
      <c r="BS114" s="1535"/>
      <c r="BT114" s="1535"/>
      <c r="BU114" s="1538"/>
      <c r="BV114" s="1535"/>
      <c r="BW114" s="1222"/>
      <c r="BX114" s="1254" t="s">
        <v>956</v>
      </c>
      <c r="BY114" s="1254"/>
      <c r="BZ114" s="1537" t="s">
        <v>1033</v>
      </c>
      <c r="CA114" s="1254" t="s">
        <v>958</v>
      </c>
      <c r="CB114" s="1536"/>
      <c r="CC114" s="1254"/>
      <c r="CD114" s="1254"/>
      <c r="CE114" s="1254"/>
      <c r="CF114" s="1254"/>
      <c r="CG114" s="1253"/>
      <c r="CH114" s="1535"/>
      <c r="CI114" s="2121" t="s">
        <v>1417</v>
      </c>
      <c r="CJ114" s="1535"/>
      <c r="CK114" s="1535" t="s">
        <v>1041</v>
      </c>
      <c r="CL114" s="1253"/>
      <c r="CM114" s="1535"/>
      <c r="CN114" s="1535"/>
      <c r="CO114" s="1535"/>
      <c r="CP114" s="1535"/>
      <c r="CQ114" s="1534"/>
      <c r="CR114" s="2121"/>
      <c r="CS114" s="2121"/>
      <c r="CT114" s="2121"/>
      <c r="CU114" s="2121"/>
      <c r="CV114" s="1534"/>
      <c r="CW114" s="1534"/>
      <c r="CX114" s="1534"/>
      <c r="CY114" s="1534"/>
      <c r="CZ114" s="1197"/>
    </row>
    <row r="115" spans="1:104" s="1178" customFormat="1" ht="11.25">
      <c r="A115" s="1156"/>
      <c r="B115" s="1156"/>
      <c r="C115" s="1542"/>
      <c r="D115" s="1156"/>
      <c r="E115" s="1156"/>
      <c r="F115" s="1337"/>
      <c r="G115" s="1337"/>
      <c r="H115" s="1337"/>
      <c r="I115" s="1337"/>
      <c r="J115" s="1336"/>
      <c r="K115" s="1336"/>
      <c r="L115" s="1336"/>
      <c r="M115" s="1336"/>
      <c r="N115" s="1336"/>
      <c r="O115" s="1336"/>
      <c r="P115" s="1336"/>
      <c r="Q115" s="1336"/>
      <c r="R115" s="1336"/>
      <c r="S115" s="1336"/>
      <c r="T115" s="1336"/>
      <c r="U115" s="1336"/>
      <c r="V115" s="1336"/>
      <c r="W115" s="1336"/>
      <c r="X115" s="1336"/>
      <c r="Y115" s="1336"/>
      <c r="Z115" s="1336"/>
      <c r="AA115" s="1336"/>
      <c r="AB115" s="1336"/>
      <c r="AC115" s="1336"/>
      <c r="AD115" s="1336"/>
      <c r="AE115" s="1336"/>
      <c r="AF115" s="1336"/>
      <c r="AG115" s="1336"/>
      <c r="AH115" s="1336"/>
      <c r="AI115" s="1336"/>
      <c r="AJ115" s="1336"/>
      <c r="AK115" s="1336"/>
      <c r="AL115" s="1336"/>
      <c r="AM115" s="1336"/>
      <c r="AN115" s="1336"/>
      <c r="AO115" s="1336"/>
      <c r="AP115" s="1336"/>
      <c r="AQ115" s="1336"/>
      <c r="AR115" s="1336"/>
      <c r="AS115" s="1336"/>
      <c r="AT115" s="1336"/>
      <c r="AU115" s="1336"/>
      <c r="AV115" s="1336"/>
      <c r="AW115" s="1336"/>
      <c r="AX115" s="1336"/>
      <c r="AY115" s="1240"/>
      <c r="AZ115" s="1240"/>
      <c r="BA115" s="1240"/>
      <c r="BB115" s="1240"/>
      <c r="BC115" s="1240"/>
      <c r="BD115" s="1336"/>
      <c r="BE115" s="1254"/>
      <c r="BF115" s="1541"/>
      <c r="BG115" s="1541"/>
      <c r="BH115" s="1535"/>
      <c r="BI115" s="1336"/>
      <c r="BJ115" s="1336"/>
      <c r="BK115" s="1541"/>
      <c r="BL115" s="1541"/>
      <c r="BM115" s="1539"/>
      <c r="BN115" s="1540"/>
      <c r="BO115" s="1540"/>
      <c r="BP115" s="1540"/>
      <c r="BQ115" s="1540"/>
      <c r="BR115" s="1539"/>
      <c r="BS115" s="1535"/>
      <c r="BT115" s="1535"/>
      <c r="BU115" s="1538"/>
      <c r="BV115" s="1535"/>
      <c r="BW115" s="1222"/>
      <c r="BX115" s="1254"/>
      <c r="BY115" s="1254"/>
      <c r="BZ115" s="1537"/>
      <c r="CA115" s="1254"/>
      <c r="CB115" s="1536"/>
      <c r="CC115" s="1254"/>
      <c r="CD115" s="1254"/>
      <c r="CE115" s="1254"/>
      <c r="CF115" s="1254"/>
      <c r="CG115" s="1253"/>
      <c r="CH115" s="1535"/>
      <c r="CI115" s="1535"/>
      <c r="CJ115" s="1535"/>
      <c r="CK115" s="1535"/>
      <c r="CL115" s="1253"/>
      <c r="CM115" s="1535"/>
      <c r="CN115" s="1535"/>
      <c r="CO115" s="1535"/>
      <c r="CP115" s="1535"/>
      <c r="CQ115" s="1534"/>
      <c r="CR115" s="2121"/>
      <c r="CS115" s="2121"/>
      <c r="CT115" s="2121"/>
      <c r="CU115" s="2121"/>
      <c r="CV115" s="1534"/>
      <c r="CW115" s="1534"/>
      <c r="CX115" s="1534"/>
      <c r="CY115" s="1534"/>
      <c r="CZ115" s="1197"/>
    </row>
    <row r="116" spans="1:104" s="1178" customFormat="1" ht="11.25">
      <c r="A116" s="1186"/>
      <c r="B116" s="1186"/>
      <c r="C116" s="1186" t="s">
        <v>1032</v>
      </c>
      <c r="D116" s="1186"/>
      <c r="E116" s="1186"/>
      <c r="F116" s="1186"/>
      <c r="G116" s="1186"/>
      <c r="H116" s="1186"/>
      <c r="I116" s="1186"/>
      <c r="J116" s="1186"/>
      <c r="K116" s="1186"/>
      <c r="L116" s="1186"/>
      <c r="M116" s="1186"/>
      <c r="N116" s="1186"/>
      <c r="O116" s="1186"/>
      <c r="P116" s="1186"/>
      <c r="Q116" s="1186"/>
      <c r="R116" s="1186"/>
      <c r="S116" s="1186"/>
      <c r="T116" s="1186"/>
      <c r="U116" s="1186"/>
      <c r="V116" s="1186"/>
      <c r="W116" s="1186"/>
      <c r="X116" s="1186"/>
      <c r="Y116" s="1186"/>
      <c r="Z116" s="1186"/>
      <c r="AA116" s="1186"/>
      <c r="AB116" s="1186"/>
      <c r="AC116" s="1186"/>
      <c r="AD116" s="1186"/>
      <c r="AE116" s="1186"/>
      <c r="AF116" s="1186"/>
      <c r="AG116" s="1186"/>
      <c r="AH116" s="1186"/>
      <c r="AI116" s="1186"/>
      <c r="AJ116" s="1186"/>
      <c r="AK116" s="1186"/>
      <c r="AL116" s="1186"/>
      <c r="AM116" s="1186"/>
      <c r="AN116" s="1186"/>
      <c r="AO116" s="1186"/>
      <c r="AP116" s="1186"/>
      <c r="AQ116" s="1186"/>
      <c r="AR116" s="1186"/>
      <c r="AS116" s="1186"/>
      <c r="AT116" s="1186"/>
      <c r="AU116" s="1186"/>
      <c r="AV116" s="1186"/>
      <c r="AW116" s="1186"/>
      <c r="AX116" s="1186"/>
      <c r="AY116" s="1186"/>
      <c r="AZ116" s="1186"/>
      <c r="BA116" s="1186"/>
      <c r="BB116" s="1186"/>
      <c r="BC116" s="1186"/>
      <c r="BD116" s="1186"/>
      <c r="BE116" s="1186"/>
      <c r="BF116" s="1186"/>
      <c r="BG116" s="1186"/>
      <c r="BH116" s="1186"/>
      <c r="BI116" s="1186"/>
      <c r="BJ116" s="1186"/>
      <c r="BK116" s="1186"/>
      <c r="BL116" s="1186"/>
      <c r="BM116" s="1235"/>
      <c r="BN116" s="1363"/>
      <c r="BO116" s="1363"/>
      <c r="BP116" s="1548">
        <v>-0.04</v>
      </c>
      <c r="BQ116" s="1548">
        <v>0.05</v>
      </c>
      <c r="BR116" s="1236"/>
      <c r="BS116" s="1548">
        <v>0.05</v>
      </c>
      <c r="BT116" s="1548">
        <v>0.06</v>
      </c>
      <c r="BU116" s="1266">
        <v>0.13</v>
      </c>
      <c r="BV116" s="1548">
        <v>0.05</v>
      </c>
      <c r="BW116" s="1236"/>
      <c r="BX116" s="1548">
        <v>0.01</v>
      </c>
      <c r="BY116" s="1548">
        <v>0.02</v>
      </c>
      <c r="BZ116" s="1549">
        <v>0.05</v>
      </c>
      <c r="CA116" s="1548">
        <v>0.11</v>
      </c>
      <c r="CB116" s="1257"/>
      <c r="CC116" s="1266">
        <v>0.06</v>
      </c>
      <c r="CD116" s="1266">
        <v>0.04</v>
      </c>
      <c r="CE116" s="1266">
        <v>-0.02</v>
      </c>
      <c r="CF116" s="1266">
        <v>-0.05</v>
      </c>
      <c r="CG116" s="1244"/>
      <c r="CH116" s="1548">
        <v>-0.08</v>
      </c>
      <c r="CI116" s="1548">
        <v>-0.04</v>
      </c>
      <c r="CJ116" s="1548">
        <v>0</v>
      </c>
      <c r="CK116" s="1548">
        <v>2.5000000000000001E-2</v>
      </c>
      <c r="CL116" s="1244"/>
      <c r="CM116" s="1548">
        <v>7.0000000000000007E-2</v>
      </c>
      <c r="CN116" s="1548">
        <v>0.11</v>
      </c>
      <c r="CO116" s="1548">
        <v>0.02</v>
      </c>
      <c r="CP116" s="1548"/>
      <c r="CQ116" s="1547"/>
      <c r="CR116" s="1548"/>
      <c r="CS116" s="1548"/>
      <c r="CT116" s="1548"/>
      <c r="CU116" s="1548"/>
      <c r="CV116" s="1547"/>
      <c r="CW116" s="1547"/>
      <c r="CX116" s="1547"/>
      <c r="CY116" s="1547"/>
      <c r="CZ116" s="1200"/>
    </row>
    <row r="117" spans="1:104" s="1178" customFormat="1" ht="11.25">
      <c r="A117" s="1186"/>
      <c r="B117" s="1186"/>
      <c r="C117" s="1186"/>
      <c r="D117" s="1186"/>
      <c r="E117" s="1186"/>
      <c r="F117" s="1186"/>
      <c r="G117" s="1186"/>
      <c r="H117" s="1186"/>
      <c r="I117" s="1186"/>
      <c r="J117" s="1186"/>
      <c r="K117" s="1186"/>
      <c r="L117" s="1186"/>
      <c r="M117" s="1186"/>
      <c r="N117" s="1186"/>
      <c r="O117" s="1186"/>
      <c r="P117" s="1186"/>
      <c r="Q117" s="1186"/>
      <c r="R117" s="1186"/>
      <c r="S117" s="1186"/>
      <c r="T117" s="1186"/>
      <c r="U117" s="1186"/>
      <c r="V117" s="1186"/>
      <c r="W117" s="1186"/>
      <c r="X117" s="1186"/>
      <c r="Y117" s="1186"/>
      <c r="Z117" s="1186"/>
      <c r="AA117" s="1186"/>
      <c r="AB117" s="1186"/>
      <c r="AC117" s="1186"/>
      <c r="AD117" s="1186"/>
      <c r="AE117" s="1186"/>
      <c r="AF117" s="1186"/>
      <c r="AG117" s="1186"/>
      <c r="AH117" s="1186"/>
      <c r="AI117" s="1186"/>
      <c r="AJ117" s="1186"/>
      <c r="AK117" s="1186"/>
      <c r="AL117" s="1186"/>
      <c r="AM117" s="1186"/>
      <c r="AN117" s="1186"/>
      <c r="AO117" s="1186"/>
      <c r="AP117" s="1186"/>
      <c r="AQ117" s="1186"/>
      <c r="AR117" s="1186"/>
      <c r="AS117" s="1186"/>
      <c r="AT117" s="1186"/>
      <c r="AU117" s="1186"/>
      <c r="AV117" s="1186"/>
      <c r="AW117" s="1186"/>
      <c r="AX117" s="1186"/>
      <c r="AY117" s="1186"/>
      <c r="AZ117" s="1186"/>
      <c r="BA117" s="1186"/>
      <c r="BB117" s="1186"/>
      <c r="BC117" s="1186"/>
      <c r="BD117" s="1186"/>
      <c r="BE117" s="1186"/>
      <c r="BF117" s="1186"/>
      <c r="BG117" s="1186"/>
      <c r="BH117" s="1186"/>
      <c r="BI117" s="1186"/>
      <c r="BJ117" s="1186"/>
      <c r="BK117" s="1186"/>
      <c r="BL117" s="1186"/>
      <c r="BM117" s="1235"/>
      <c r="BN117" s="1363"/>
      <c r="BO117" s="1363"/>
      <c r="BP117" s="1548"/>
      <c r="BQ117" s="1548"/>
      <c r="BR117" s="1236"/>
      <c r="BS117" s="1548"/>
      <c r="BT117" s="1548"/>
      <c r="BU117" s="1266"/>
      <c r="BV117" s="1548"/>
      <c r="BW117" s="1236"/>
      <c r="BX117" s="1548"/>
      <c r="BY117" s="1548"/>
      <c r="BZ117" s="1548"/>
      <c r="CA117" s="1548"/>
      <c r="CB117" s="1257"/>
      <c r="CC117" s="1266"/>
      <c r="CD117" s="1266"/>
      <c r="CE117" s="1266"/>
      <c r="CF117" s="1266"/>
      <c r="CG117" s="1244"/>
      <c r="CH117" s="1548"/>
      <c r="CI117" s="1548"/>
      <c r="CJ117" s="1548"/>
      <c r="CK117" s="1548"/>
      <c r="CL117" s="1244"/>
      <c r="CM117" s="1548"/>
      <c r="CN117" s="1548"/>
      <c r="CO117" s="1548"/>
      <c r="CP117" s="1548"/>
      <c r="CQ117" s="1547"/>
      <c r="CR117" s="1548"/>
      <c r="CS117" s="1548"/>
      <c r="CT117" s="1548"/>
      <c r="CU117" s="1548"/>
      <c r="CV117" s="1547"/>
      <c r="CW117" s="1547"/>
      <c r="CX117" s="1547"/>
      <c r="CY117" s="1547"/>
      <c r="CZ117" s="1200"/>
    </row>
    <row r="118" spans="1:104" s="1178" customFormat="1" ht="11.25">
      <c r="A118" s="1156"/>
      <c r="B118" s="1156"/>
      <c r="C118" s="1156" t="s">
        <v>1031</v>
      </c>
      <c r="D118" s="1156"/>
      <c r="E118" s="1156"/>
      <c r="F118" s="1156"/>
      <c r="G118" s="1156"/>
      <c r="H118" s="1156"/>
      <c r="I118" s="1156"/>
      <c r="J118" s="1156"/>
      <c r="K118" s="1156"/>
      <c r="L118" s="1156"/>
      <c r="M118" s="1156"/>
      <c r="N118" s="1156"/>
      <c r="O118" s="1156"/>
      <c r="P118" s="1156"/>
      <c r="Q118" s="1156"/>
      <c r="R118" s="1156"/>
      <c r="S118" s="1156"/>
      <c r="T118" s="1156"/>
      <c r="U118" s="1156"/>
      <c r="V118" s="1156"/>
      <c r="W118" s="1156"/>
      <c r="X118" s="1156"/>
      <c r="Y118" s="1156"/>
      <c r="Z118" s="1156"/>
      <c r="AA118" s="1156"/>
      <c r="AB118" s="1156"/>
      <c r="AC118" s="1156"/>
      <c r="AD118" s="1156"/>
      <c r="AE118" s="1156"/>
      <c r="AF118" s="1156"/>
      <c r="AG118" s="1156"/>
      <c r="AH118" s="1156"/>
      <c r="AI118" s="1156"/>
      <c r="AJ118" s="1156"/>
      <c r="AK118" s="1156"/>
      <c r="AL118" s="1156"/>
      <c r="AM118" s="1156"/>
      <c r="AN118" s="1156"/>
      <c r="AO118" s="1156"/>
      <c r="AP118" s="1156"/>
      <c r="AQ118" s="1156"/>
      <c r="AR118" s="1156"/>
      <c r="AS118" s="1156"/>
      <c r="AT118" s="1156"/>
      <c r="AU118" s="1156"/>
      <c r="AV118" s="1156"/>
      <c r="AW118" s="1156"/>
      <c r="AX118" s="1156"/>
      <c r="AY118" s="1156"/>
      <c r="AZ118" s="1156"/>
      <c r="BA118" s="1156"/>
      <c r="BB118" s="1156"/>
      <c r="BC118" s="1156"/>
      <c r="BD118" s="1156"/>
      <c r="BE118" s="1156"/>
      <c r="BF118" s="1156"/>
      <c r="BG118" s="1156"/>
      <c r="BH118" s="1156"/>
      <c r="BI118" s="1156"/>
      <c r="BJ118" s="1156"/>
      <c r="BK118" s="1156"/>
      <c r="BL118" s="1156"/>
      <c r="BM118" s="1221"/>
      <c r="BN118" s="1184"/>
      <c r="BO118" s="1184"/>
      <c r="BP118" s="1535"/>
      <c r="BQ118" s="1535"/>
      <c r="BR118" s="1222"/>
      <c r="BS118" s="1535"/>
      <c r="BT118" s="1535"/>
      <c r="BU118" s="1254"/>
      <c r="BV118" s="1535"/>
      <c r="BW118" s="1222"/>
      <c r="BX118" s="1535"/>
      <c r="BY118" s="1535"/>
      <c r="BZ118" s="1535"/>
      <c r="CA118" s="1535"/>
      <c r="CB118" s="1536"/>
      <c r="CC118" s="1254"/>
      <c r="CD118" s="1254"/>
      <c r="CE118" s="1254"/>
      <c r="CF118" s="1254"/>
      <c r="CG118" s="1253">
        <v>100</v>
      </c>
      <c r="CH118" s="1944">
        <f>CL118/4</f>
        <v>12.5</v>
      </c>
      <c r="CI118" s="1944">
        <f>CH118</f>
        <v>12.5</v>
      </c>
      <c r="CJ118" s="2129">
        <f>CI118</f>
        <v>12.5</v>
      </c>
      <c r="CK118" s="2129">
        <f>CL118-SUM(CH118:CJ118)</f>
        <v>12.5</v>
      </c>
      <c r="CL118" s="1253">
        <v>50</v>
      </c>
      <c r="CM118" s="1944">
        <v>10</v>
      </c>
      <c r="CN118" s="1944">
        <v>10</v>
      </c>
      <c r="CO118" s="2129">
        <v>10</v>
      </c>
      <c r="CP118" s="1944">
        <f>CQ118-SUM(CM118:CO118)</f>
        <v>20</v>
      </c>
      <c r="CQ118" s="1576">
        <v>50</v>
      </c>
      <c r="CR118" s="2129">
        <v>10</v>
      </c>
      <c r="CS118" s="2129">
        <v>10</v>
      </c>
      <c r="CT118" s="2129">
        <v>10</v>
      </c>
      <c r="CU118" s="2129">
        <f>CV118-SUM(CR118:CT118)</f>
        <v>46.2</v>
      </c>
      <c r="CV118" s="1624">
        <f>9/15*CQ27</f>
        <v>76.2</v>
      </c>
      <c r="CW118" s="1624">
        <f>9/15*CV27</f>
        <v>76.2</v>
      </c>
      <c r="CX118" s="2125">
        <f>9/15*CW27</f>
        <v>76.2</v>
      </c>
      <c r="CY118" s="2125">
        <f>9/15*CX27</f>
        <v>76.2</v>
      </c>
      <c r="CZ118" s="1771"/>
    </row>
    <row r="119" spans="1:104" s="2109" customFormat="1" ht="11.25">
      <c r="A119" s="2108"/>
      <c r="B119" s="2108"/>
      <c r="C119" s="2108" t="s">
        <v>1431</v>
      </c>
      <c r="D119" s="2108"/>
      <c r="E119" s="2108"/>
      <c r="F119" s="2108"/>
      <c r="G119" s="2108"/>
      <c r="H119" s="2108"/>
      <c r="I119" s="2108"/>
      <c r="J119" s="2108"/>
      <c r="K119" s="2108"/>
      <c r="L119" s="2108"/>
      <c r="M119" s="2108"/>
      <c r="N119" s="2108"/>
      <c r="O119" s="2108"/>
      <c r="P119" s="2108"/>
      <c r="Q119" s="2108"/>
      <c r="R119" s="2108"/>
      <c r="S119" s="2108"/>
      <c r="T119" s="2108"/>
      <c r="U119" s="2108"/>
      <c r="V119" s="2108"/>
      <c r="W119" s="2108"/>
      <c r="X119" s="2108"/>
      <c r="Y119" s="2108"/>
      <c r="Z119" s="2108"/>
      <c r="AA119" s="2108"/>
      <c r="AB119" s="2108"/>
      <c r="AC119" s="2108"/>
      <c r="AD119" s="2108"/>
      <c r="AE119" s="2108"/>
      <c r="AF119" s="2108"/>
      <c r="AG119" s="2108"/>
      <c r="AH119" s="2108"/>
      <c r="AI119" s="2108"/>
      <c r="AJ119" s="2108"/>
      <c r="AK119" s="2108"/>
      <c r="AL119" s="2108"/>
      <c r="AM119" s="2108"/>
      <c r="AN119" s="2108"/>
      <c r="AO119" s="2108"/>
      <c r="AP119" s="2108"/>
      <c r="AQ119" s="2108"/>
      <c r="AR119" s="2108"/>
      <c r="AS119" s="2108"/>
      <c r="AT119" s="2108"/>
      <c r="AU119" s="2108"/>
      <c r="AV119" s="2108"/>
      <c r="AW119" s="2108"/>
      <c r="AX119" s="2108"/>
      <c r="AY119" s="2108"/>
      <c r="AZ119" s="2108"/>
      <c r="BA119" s="2108"/>
      <c r="BB119" s="2108"/>
      <c r="BC119" s="2108"/>
      <c r="BD119" s="2108"/>
      <c r="BE119" s="2108"/>
      <c r="BF119" s="2108"/>
      <c r="BG119" s="2108"/>
      <c r="BH119" s="2108"/>
      <c r="BI119" s="2108"/>
      <c r="BJ119" s="2108"/>
      <c r="BK119" s="2108"/>
      <c r="BL119" s="2108"/>
      <c r="BM119" s="2111"/>
      <c r="BN119" s="2110"/>
      <c r="BO119" s="2110"/>
      <c r="BP119" s="2121"/>
      <c r="BQ119" s="2121"/>
      <c r="BR119" s="2112"/>
      <c r="BS119" s="2121"/>
      <c r="BT119" s="2121"/>
      <c r="BU119" s="2115"/>
      <c r="BV119" s="2121"/>
      <c r="BW119" s="2112"/>
      <c r="BX119" s="2121"/>
      <c r="BY119" s="2121"/>
      <c r="BZ119" s="2121"/>
      <c r="CA119" s="2121"/>
      <c r="CB119" s="2122"/>
      <c r="CC119" s="2115"/>
      <c r="CD119" s="2115"/>
      <c r="CE119" s="2115"/>
      <c r="CF119" s="2115"/>
      <c r="CG119" s="2114"/>
      <c r="CH119" s="2129">
        <v>25</v>
      </c>
      <c r="CI119" s="2129">
        <v>50</v>
      </c>
      <c r="CJ119" s="2129">
        <v>30</v>
      </c>
      <c r="CK119" s="2129">
        <f>CL119-SUM(CH119:CJ119)</f>
        <v>20</v>
      </c>
      <c r="CL119" s="2114">
        <f>DD39</f>
        <v>125</v>
      </c>
      <c r="CM119" s="2129">
        <v>-5</v>
      </c>
      <c r="CN119" s="2129">
        <v>-10</v>
      </c>
      <c r="CO119" s="2129">
        <v>-10</v>
      </c>
      <c r="CP119" s="2129">
        <v>-5</v>
      </c>
      <c r="CQ119" s="2125">
        <f>SUM(CM119:CP119)</f>
        <v>-30</v>
      </c>
      <c r="CR119" s="2129">
        <f>CV119/4</f>
        <v>-2.5</v>
      </c>
      <c r="CS119" s="2129">
        <f t="shared" ref="CS119:CU122" si="42">CR119</f>
        <v>-2.5</v>
      </c>
      <c r="CT119" s="2129">
        <f t="shared" si="42"/>
        <v>-2.5</v>
      </c>
      <c r="CU119" s="2129">
        <f t="shared" si="42"/>
        <v>-2.5</v>
      </c>
      <c r="CV119" s="2321">
        <v>-10</v>
      </c>
      <c r="CW119" s="2125"/>
      <c r="CX119" s="2125"/>
      <c r="CY119" s="2125"/>
      <c r="CZ119" s="2128"/>
    </row>
    <row r="120" spans="1:104" s="1178" customFormat="1" ht="11.25">
      <c r="A120" s="1156"/>
      <c r="B120" s="1156"/>
      <c r="C120" s="1156" t="s">
        <v>1412</v>
      </c>
      <c r="D120" s="1156"/>
      <c r="E120" s="1156"/>
      <c r="F120" s="1156"/>
      <c r="G120" s="1156"/>
      <c r="H120" s="1156"/>
      <c r="I120" s="1156"/>
      <c r="J120" s="1156"/>
      <c r="K120" s="1156"/>
      <c r="L120" s="1156"/>
      <c r="M120" s="1156"/>
      <c r="N120" s="1156"/>
      <c r="O120" s="1156"/>
      <c r="P120" s="1156"/>
      <c r="Q120" s="1156"/>
      <c r="R120" s="1156"/>
      <c r="S120" s="1156"/>
      <c r="T120" s="1156"/>
      <c r="U120" s="1156"/>
      <c r="V120" s="1156"/>
      <c r="W120" s="1156"/>
      <c r="X120" s="1156"/>
      <c r="Y120" s="1156"/>
      <c r="Z120" s="1156"/>
      <c r="AA120" s="1156"/>
      <c r="AB120" s="1156"/>
      <c r="AC120" s="1156"/>
      <c r="AD120" s="1156"/>
      <c r="AE120" s="1156"/>
      <c r="AF120" s="1156"/>
      <c r="AG120" s="1156"/>
      <c r="AH120" s="1156"/>
      <c r="AI120" s="1156"/>
      <c r="AJ120" s="1156"/>
      <c r="AK120" s="1156"/>
      <c r="AL120" s="1156"/>
      <c r="AM120" s="1156"/>
      <c r="AN120" s="1156"/>
      <c r="AO120" s="1156"/>
      <c r="AP120" s="1156"/>
      <c r="AQ120" s="1156"/>
      <c r="AR120" s="1156"/>
      <c r="AS120" s="1156"/>
      <c r="AT120" s="1156"/>
      <c r="AU120" s="1156"/>
      <c r="AV120" s="1156"/>
      <c r="AW120" s="1156"/>
      <c r="AX120" s="1156"/>
      <c r="AY120" s="1156"/>
      <c r="AZ120" s="1156"/>
      <c r="BA120" s="1156"/>
      <c r="BB120" s="1156"/>
      <c r="BC120" s="1156"/>
      <c r="BD120" s="1156"/>
      <c r="BE120" s="1156"/>
      <c r="BF120" s="1156"/>
      <c r="BG120" s="1156"/>
      <c r="BH120" s="1156"/>
      <c r="BI120" s="1156"/>
      <c r="BJ120" s="1156"/>
      <c r="BK120" s="1156"/>
      <c r="BL120" s="1156"/>
      <c r="BM120" s="1221"/>
      <c r="BN120" s="1184"/>
      <c r="BO120" s="1184"/>
      <c r="BP120" s="1535"/>
      <c r="BQ120" s="1535"/>
      <c r="BR120" s="1222"/>
      <c r="BS120" s="1535"/>
      <c r="BT120" s="1535"/>
      <c r="BU120" s="1254"/>
      <c r="BV120" s="1535"/>
      <c r="BW120" s="1222"/>
      <c r="BX120" s="1535"/>
      <c r="BY120" s="1535"/>
      <c r="BZ120" s="1535"/>
      <c r="CA120" s="1535"/>
      <c r="CB120" s="1536"/>
      <c r="CC120" s="1254"/>
      <c r="CD120" s="1254"/>
      <c r="CE120" s="1254"/>
      <c r="CF120" s="1254"/>
      <c r="CG120" s="1568">
        <f>-50-Otis!CK94</f>
        <v>-45</v>
      </c>
      <c r="CH120" s="2129">
        <f>CL120/4</f>
        <v>-12.5</v>
      </c>
      <c r="CI120" s="2129">
        <f>CH120</f>
        <v>-12.5</v>
      </c>
      <c r="CJ120" s="2129">
        <f>CI120</f>
        <v>-12.5</v>
      </c>
      <c r="CK120" s="2129">
        <f>CL120-SUM(CH120:CJ120)</f>
        <v>-12.5</v>
      </c>
      <c r="CL120" s="1253">
        <v>-50</v>
      </c>
      <c r="CM120" s="2129">
        <f>CQ120/4</f>
        <v>-12.5</v>
      </c>
      <c r="CN120" s="2129">
        <f t="shared" ref="CN120:CP122" si="43">CM120</f>
        <v>-12.5</v>
      </c>
      <c r="CO120" s="2129">
        <f t="shared" si="43"/>
        <v>-12.5</v>
      </c>
      <c r="CP120" s="2129">
        <f t="shared" si="43"/>
        <v>-12.5</v>
      </c>
      <c r="CQ120" s="1534">
        <v>-50</v>
      </c>
      <c r="CR120" s="2129">
        <f>CV120/4</f>
        <v>-6.25</v>
      </c>
      <c r="CS120" s="2129">
        <f t="shared" si="42"/>
        <v>-6.25</v>
      </c>
      <c r="CT120" s="2129">
        <f t="shared" si="42"/>
        <v>-6.25</v>
      </c>
      <c r="CU120" s="2129">
        <f t="shared" si="42"/>
        <v>-6.25</v>
      </c>
      <c r="CV120" s="1534">
        <v>-25</v>
      </c>
      <c r="CW120" s="1534"/>
      <c r="CX120" s="1534"/>
      <c r="CY120" s="1534"/>
      <c r="CZ120" s="1197"/>
    </row>
    <row r="121" spans="1:104" s="2109" customFormat="1" ht="11.25">
      <c r="A121" s="2108"/>
      <c r="B121" s="2108"/>
      <c r="C121" s="2108" t="s">
        <v>8</v>
      </c>
      <c r="D121" s="2108"/>
      <c r="E121" s="2108"/>
      <c r="F121" s="2108"/>
      <c r="G121" s="2108"/>
      <c r="H121" s="2108"/>
      <c r="I121" s="2108"/>
      <c r="J121" s="2108"/>
      <c r="K121" s="2108"/>
      <c r="L121" s="2108"/>
      <c r="M121" s="2108"/>
      <c r="N121" s="2108"/>
      <c r="O121" s="2108"/>
      <c r="P121" s="2108"/>
      <c r="Q121" s="2108"/>
      <c r="R121" s="2108"/>
      <c r="S121" s="2108"/>
      <c r="T121" s="2108"/>
      <c r="U121" s="2108"/>
      <c r="V121" s="2108"/>
      <c r="W121" s="2108"/>
      <c r="X121" s="2108"/>
      <c r="Y121" s="2108"/>
      <c r="Z121" s="2108"/>
      <c r="AA121" s="2108"/>
      <c r="AB121" s="2108"/>
      <c r="AC121" s="2108"/>
      <c r="AD121" s="2108"/>
      <c r="AE121" s="2108"/>
      <c r="AF121" s="2108"/>
      <c r="AG121" s="2108"/>
      <c r="AH121" s="2108"/>
      <c r="AI121" s="2108"/>
      <c r="AJ121" s="2108"/>
      <c r="AK121" s="2108"/>
      <c r="AL121" s="2108"/>
      <c r="AM121" s="2108"/>
      <c r="AN121" s="2108"/>
      <c r="AO121" s="2108"/>
      <c r="AP121" s="2108"/>
      <c r="AQ121" s="2108"/>
      <c r="AR121" s="2108"/>
      <c r="AS121" s="2108"/>
      <c r="AT121" s="2108"/>
      <c r="AU121" s="2108"/>
      <c r="AV121" s="2108"/>
      <c r="AW121" s="2108"/>
      <c r="AX121" s="2108"/>
      <c r="AY121" s="2108"/>
      <c r="AZ121" s="2108"/>
      <c r="BA121" s="2108"/>
      <c r="BB121" s="2108"/>
      <c r="BC121" s="2108"/>
      <c r="BD121" s="2108"/>
      <c r="BE121" s="2108"/>
      <c r="BF121" s="2108"/>
      <c r="BG121" s="2108"/>
      <c r="BH121" s="2108"/>
      <c r="BI121" s="2108"/>
      <c r="BJ121" s="2108"/>
      <c r="BK121" s="2108"/>
      <c r="BL121" s="2108"/>
      <c r="BM121" s="2111"/>
      <c r="BN121" s="2110"/>
      <c r="BO121" s="2110"/>
      <c r="BP121" s="2121"/>
      <c r="BQ121" s="2121"/>
      <c r="BR121" s="2112"/>
      <c r="BS121" s="2121"/>
      <c r="BT121" s="2121"/>
      <c r="BU121" s="2115"/>
      <c r="BV121" s="2121"/>
      <c r="BW121" s="2112"/>
      <c r="BX121" s="2121"/>
      <c r="BY121" s="2121"/>
      <c r="BZ121" s="2121"/>
      <c r="CA121" s="2121"/>
      <c r="CB121" s="2122"/>
      <c r="CC121" s="2115"/>
      <c r="CD121" s="2115"/>
      <c r="CE121" s="2115"/>
      <c r="CF121" s="2115"/>
      <c r="CG121" s="1568"/>
      <c r="CH121" s="2129"/>
      <c r="CI121" s="2129"/>
      <c r="CJ121" s="2129"/>
      <c r="CK121" s="2129"/>
      <c r="CL121" s="2114"/>
      <c r="CM121" s="2129">
        <v>-20</v>
      </c>
      <c r="CN121" s="2129"/>
      <c r="CO121" s="2129"/>
      <c r="CP121" s="2129"/>
      <c r="CQ121" s="1576">
        <f>SUM(CM121:CP121)</f>
        <v>-20</v>
      </c>
      <c r="CR121" s="2129">
        <f>-CM121</f>
        <v>20</v>
      </c>
      <c r="CS121" s="2129"/>
      <c r="CT121" s="2129"/>
      <c r="CU121" s="2129"/>
      <c r="CV121" s="1576">
        <f>SUM(CR121:CU121)</f>
        <v>20</v>
      </c>
      <c r="CW121" s="1534"/>
      <c r="CX121" s="1534"/>
      <c r="CY121" s="1534"/>
      <c r="CZ121" s="1197"/>
    </row>
    <row r="122" spans="1:104" s="1178" customFormat="1" ht="11.25">
      <c r="A122" s="1156"/>
      <c r="B122" s="1156"/>
      <c r="C122" s="1191" t="s">
        <v>134</v>
      </c>
      <c r="D122" s="1156"/>
      <c r="E122" s="1156"/>
      <c r="F122" s="1156"/>
      <c r="G122" s="1156"/>
      <c r="H122" s="1156"/>
      <c r="I122" s="1156"/>
      <c r="J122" s="1156"/>
      <c r="K122" s="1156"/>
      <c r="L122" s="1156"/>
      <c r="M122" s="1156"/>
      <c r="N122" s="1156"/>
      <c r="O122" s="1156"/>
      <c r="P122" s="1156"/>
      <c r="Q122" s="1156"/>
      <c r="R122" s="1156"/>
      <c r="S122" s="1156"/>
      <c r="T122" s="1156"/>
      <c r="U122" s="1156"/>
      <c r="V122" s="1156"/>
      <c r="W122" s="1156"/>
      <c r="X122" s="1156"/>
      <c r="Y122" s="1156"/>
      <c r="Z122" s="1156"/>
      <c r="AA122" s="1156"/>
      <c r="AB122" s="1156"/>
      <c r="AC122" s="1156"/>
      <c r="AD122" s="1156"/>
      <c r="AE122" s="1156"/>
      <c r="AF122" s="1156"/>
      <c r="AG122" s="1156"/>
      <c r="AH122" s="1156"/>
      <c r="AI122" s="1156"/>
      <c r="AJ122" s="1156"/>
      <c r="AK122" s="1156"/>
      <c r="AL122" s="1156"/>
      <c r="AM122" s="1156"/>
      <c r="AN122" s="1156"/>
      <c r="AO122" s="1156"/>
      <c r="AP122" s="1156"/>
      <c r="AQ122" s="1156"/>
      <c r="AR122" s="1156"/>
      <c r="AS122" s="1156"/>
      <c r="AT122" s="1156"/>
      <c r="AU122" s="1156"/>
      <c r="AV122" s="1156"/>
      <c r="AW122" s="1156"/>
      <c r="AX122" s="1156"/>
      <c r="AY122" s="1156"/>
      <c r="AZ122" s="1156"/>
      <c r="BA122" s="1156"/>
      <c r="BB122" s="1156"/>
      <c r="BC122" s="1156"/>
      <c r="BD122" s="1156"/>
      <c r="BE122" s="1156"/>
      <c r="BF122" s="1156"/>
      <c r="BG122" s="1156"/>
      <c r="BH122" s="1156"/>
      <c r="BI122" s="1186"/>
      <c r="BJ122" s="1186"/>
      <c r="BK122" s="1186"/>
      <c r="BL122" s="1186"/>
      <c r="BM122" s="1235"/>
      <c r="BN122" s="1184"/>
      <c r="BO122" s="1184"/>
      <c r="BP122" s="1184"/>
      <c r="BQ122" s="1184"/>
      <c r="BR122" s="1222"/>
      <c r="BS122" s="1184"/>
      <c r="BT122" s="1184"/>
      <c r="BU122" s="1184"/>
      <c r="BV122" s="1184"/>
      <c r="BW122" s="1222"/>
      <c r="BX122" s="1184"/>
      <c r="BY122" s="1184"/>
      <c r="BZ122" s="1184"/>
      <c r="CA122" s="1184"/>
      <c r="CB122" s="1253"/>
      <c r="CC122" s="1240"/>
      <c r="CD122" s="1240"/>
      <c r="CE122" s="1240"/>
      <c r="CF122" s="1240"/>
      <c r="CG122" s="1566">
        <f>'Divisional Summary'!CH209</f>
        <v>-20</v>
      </c>
      <c r="CH122" s="1824">
        <f>CL122/4</f>
        <v>12.5</v>
      </c>
      <c r="CI122" s="1824">
        <f>CH122</f>
        <v>12.5</v>
      </c>
      <c r="CJ122" s="1824">
        <f>CI122</f>
        <v>12.5</v>
      </c>
      <c r="CK122" s="1824">
        <f>CJ122</f>
        <v>12.5</v>
      </c>
      <c r="CL122" s="1568">
        <f>'Divisional Summary'!CL$209</f>
        <v>50</v>
      </c>
      <c r="CM122" s="2129">
        <f>CQ122/4</f>
        <v>6.25</v>
      </c>
      <c r="CN122" s="2129">
        <f t="shared" si="43"/>
        <v>6.25</v>
      </c>
      <c r="CO122" s="2129">
        <f t="shared" si="43"/>
        <v>6.25</v>
      </c>
      <c r="CP122" s="2129">
        <f t="shared" si="43"/>
        <v>6.25</v>
      </c>
      <c r="CQ122" s="2125">
        <f>'Divisional Summary'!CQ$209</f>
        <v>25</v>
      </c>
      <c r="CR122" s="2129">
        <f>CV122/4</f>
        <v>3.4375</v>
      </c>
      <c r="CS122" s="2129">
        <f t="shared" si="42"/>
        <v>3.4375</v>
      </c>
      <c r="CT122" s="2129">
        <f t="shared" si="42"/>
        <v>3.4375</v>
      </c>
      <c r="CU122" s="2129">
        <f t="shared" si="42"/>
        <v>3.4375</v>
      </c>
      <c r="CV122" s="2125">
        <f>'Divisional Summary'!CV$209</f>
        <v>13.75</v>
      </c>
      <c r="CW122" s="1253"/>
      <c r="CX122" s="2114"/>
      <c r="CY122" s="2114"/>
      <c r="CZ122" s="1240"/>
    </row>
    <row r="123" spans="1:104" s="1178" customFormat="1" ht="11.25">
      <c r="A123" s="1156"/>
      <c r="B123" s="1156"/>
      <c r="C123" s="1182" t="s">
        <v>1030</v>
      </c>
      <c r="D123" s="1156"/>
      <c r="E123" s="1156"/>
      <c r="F123" s="1156"/>
      <c r="G123" s="1156"/>
      <c r="H123" s="1156"/>
      <c r="I123" s="1156"/>
      <c r="J123" s="1156"/>
      <c r="K123" s="1156"/>
      <c r="L123" s="1156"/>
      <c r="M123" s="1156"/>
      <c r="N123" s="1156"/>
      <c r="O123" s="1156"/>
      <c r="P123" s="1156"/>
      <c r="Q123" s="1156"/>
      <c r="R123" s="1156"/>
      <c r="S123" s="1156"/>
      <c r="T123" s="1156"/>
      <c r="U123" s="1156"/>
      <c r="V123" s="1156"/>
      <c r="W123" s="1156"/>
      <c r="X123" s="1156"/>
      <c r="Y123" s="1156"/>
      <c r="Z123" s="1156"/>
      <c r="AA123" s="1156"/>
      <c r="AB123" s="1156"/>
      <c r="AC123" s="1156"/>
      <c r="AD123" s="1156"/>
      <c r="AE123" s="1156"/>
      <c r="AF123" s="1156"/>
      <c r="AG123" s="1156"/>
      <c r="AH123" s="1156"/>
      <c r="AI123" s="1156"/>
      <c r="AJ123" s="1156"/>
      <c r="AK123" s="1156"/>
      <c r="AL123" s="1156"/>
      <c r="AM123" s="1156"/>
      <c r="AN123" s="1156"/>
      <c r="AO123" s="1156"/>
      <c r="AP123" s="1156"/>
      <c r="AQ123" s="1156"/>
      <c r="AR123" s="1156"/>
      <c r="AS123" s="1156"/>
      <c r="AT123" s="1156"/>
      <c r="AU123" s="1156"/>
      <c r="AV123" s="1156"/>
      <c r="AW123" s="1156"/>
      <c r="AX123" s="1156"/>
      <c r="AY123" s="1156"/>
      <c r="AZ123" s="1156"/>
      <c r="BA123" s="1156"/>
      <c r="BB123" s="1156"/>
      <c r="BC123" s="1156"/>
      <c r="BD123" s="1156"/>
      <c r="BE123" s="1156"/>
      <c r="BF123" s="1156"/>
      <c r="BG123" s="1156"/>
      <c r="BH123" s="1156"/>
      <c r="BI123" s="1186"/>
      <c r="BJ123" s="1186"/>
      <c r="BK123" s="1186"/>
      <c r="BL123" s="1186"/>
      <c r="BM123" s="1235"/>
      <c r="BN123" s="1184"/>
      <c r="BO123" s="1184"/>
      <c r="BP123" s="1184"/>
      <c r="BQ123" s="1184"/>
      <c r="BR123" s="1222"/>
      <c r="BS123" s="1184"/>
      <c r="BT123" s="1184"/>
      <c r="BU123" s="1184"/>
      <c r="BV123" s="1184"/>
      <c r="BW123" s="1222"/>
      <c r="BX123" s="1184"/>
      <c r="BY123" s="1184"/>
      <c r="BZ123" s="1184"/>
      <c r="CA123" s="1184"/>
      <c r="CB123" s="1253"/>
      <c r="CC123" s="1567">
        <f>CC35-BX35-BX12*CC15*CC126</f>
        <v>92.656899999999979</v>
      </c>
      <c r="CD123" s="1567">
        <f>CD35-BY35-BY12*CD15*CD126</f>
        <v>66.984400000000022</v>
      </c>
      <c r="CE123" s="1240"/>
      <c r="CF123" s="1240"/>
      <c r="CG123" s="1566">
        <f t="shared" ref="CG123:CY123" si="44">SUM(CG118:CG122)</f>
        <v>35</v>
      </c>
      <c r="CH123" s="2130">
        <f t="shared" si="44"/>
        <v>37.5</v>
      </c>
      <c r="CI123" s="1945">
        <f t="shared" si="44"/>
        <v>62.5</v>
      </c>
      <c r="CJ123" s="2130">
        <f t="shared" si="44"/>
        <v>42.5</v>
      </c>
      <c r="CK123" s="1945">
        <f t="shared" si="44"/>
        <v>32.5</v>
      </c>
      <c r="CL123" s="1891">
        <f t="shared" si="44"/>
        <v>175</v>
      </c>
      <c r="CM123" s="2130">
        <f t="shared" si="44"/>
        <v>-21.25</v>
      </c>
      <c r="CN123" s="2130">
        <f>SUM(CN118:CN122)</f>
        <v>-6.25</v>
      </c>
      <c r="CO123" s="2130">
        <f>SUM(CO118:CO122)</f>
        <v>-6.25</v>
      </c>
      <c r="CP123" s="1945">
        <f t="shared" si="44"/>
        <v>8.75</v>
      </c>
      <c r="CQ123" s="1891">
        <f t="shared" si="44"/>
        <v>-25</v>
      </c>
      <c r="CR123" s="2130">
        <f t="shared" si="44"/>
        <v>24.6875</v>
      </c>
      <c r="CS123" s="2130">
        <f t="shared" si="44"/>
        <v>4.6875</v>
      </c>
      <c r="CT123" s="2130">
        <f t="shared" si="44"/>
        <v>4.6875</v>
      </c>
      <c r="CU123" s="2130">
        <f t="shared" si="44"/>
        <v>40.887500000000003</v>
      </c>
      <c r="CV123" s="1891">
        <f t="shared" si="44"/>
        <v>74.95</v>
      </c>
      <c r="CW123" s="1891">
        <f t="shared" si="44"/>
        <v>76.2</v>
      </c>
      <c r="CX123" s="1891">
        <f t="shared" si="44"/>
        <v>76.2</v>
      </c>
      <c r="CY123" s="1891">
        <f t="shared" si="44"/>
        <v>76.2</v>
      </c>
      <c r="CZ123" s="1977"/>
    </row>
    <row r="124" spans="1:104" s="1178" customFormat="1" ht="11.25">
      <c r="A124" s="1156"/>
      <c r="B124" s="1156"/>
      <c r="C124" s="1191" t="s">
        <v>966</v>
      </c>
      <c r="D124" s="1156"/>
      <c r="E124" s="1156"/>
      <c r="F124" s="1156"/>
      <c r="G124" s="1156"/>
      <c r="H124" s="1156"/>
      <c r="I124" s="1156"/>
      <c r="J124" s="1156"/>
      <c r="K124" s="1156"/>
      <c r="L124" s="1156"/>
      <c r="M124" s="1156"/>
      <c r="N124" s="1156"/>
      <c r="O124" s="1156"/>
      <c r="P124" s="1156"/>
      <c r="Q124" s="1156"/>
      <c r="R124" s="1156"/>
      <c r="S124" s="1156"/>
      <c r="T124" s="1156"/>
      <c r="U124" s="1156"/>
      <c r="V124" s="1156"/>
      <c r="W124" s="1156"/>
      <c r="X124" s="1156"/>
      <c r="Y124" s="1156"/>
      <c r="Z124" s="1156"/>
      <c r="AA124" s="1156"/>
      <c r="AB124" s="1156"/>
      <c r="AC124" s="1156"/>
      <c r="AD124" s="1156"/>
      <c r="AE124" s="1156"/>
      <c r="AF124" s="1156"/>
      <c r="AG124" s="1156"/>
      <c r="AH124" s="1156"/>
      <c r="AI124" s="1156"/>
      <c r="AJ124" s="1156"/>
      <c r="AK124" s="1156"/>
      <c r="AL124" s="1156"/>
      <c r="AM124" s="1156"/>
      <c r="AN124" s="1156"/>
      <c r="AO124" s="1156"/>
      <c r="AP124" s="1156"/>
      <c r="AQ124" s="1156"/>
      <c r="AR124" s="1156"/>
      <c r="AS124" s="1156"/>
      <c r="AT124" s="1156"/>
      <c r="AU124" s="1156"/>
      <c r="AV124" s="1156"/>
      <c r="AW124" s="1156"/>
      <c r="AX124" s="1156"/>
      <c r="AY124" s="1156"/>
      <c r="AZ124" s="1156"/>
      <c r="BA124" s="1156"/>
      <c r="BB124" s="1156"/>
      <c r="BC124" s="1156"/>
      <c r="BD124" s="1156"/>
      <c r="BE124" s="1156"/>
      <c r="BF124" s="1156"/>
      <c r="BG124" s="1156"/>
      <c r="BH124" s="1156"/>
      <c r="BI124" s="1186"/>
      <c r="BJ124" s="1186"/>
      <c r="BK124" s="1186"/>
      <c r="BL124" s="1186"/>
      <c r="BM124" s="1235"/>
      <c r="BN124" s="1184"/>
      <c r="BO124" s="1184"/>
      <c r="BP124" s="1184"/>
      <c r="BQ124" s="1184"/>
      <c r="BR124" s="1222"/>
      <c r="BS124" s="1184"/>
      <c r="BT124" s="1184"/>
      <c r="BU124" s="1184"/>
      <c r="BV124" s="1184"/>
      <c r="BW124" s="1222"/>
      <c r="BX124" s="1184"/>
      <c r="BY124" s="1184"/>
      <c r="BZ124" s="1184"/>
      <c r="CA124" s="1184"/>
      <c r="CB124" s="1253"/>
      <c r="CC124" s="1254">
        <f>CC123/(CC16*BX12)</f>
        <v>0.40100796329957578</v>
      </c>
      <c r="CD124" s="1254">
        <f>CD123/(CD16*BY12)</f>
        <v>0.30248092120117415</v>
      </c>
      <c r="CE124" s="1254">
        <v>0.4</v>
      </c>
      <c r="CF124" s="1254">
        <v>0.5</v>
      </c>
      <c r="CG124" s="1566"/>
      <c r="CH124" s="1983">
        <f>(CH35-CC35-CH127-CH123-CH125)/(CC12*CH16)</f>
        <v>0.29859244491259562</v>
      </c>
      <c r="CI124" s="1983">
        <f>(CI35-CD35-CI127-CI123-CI125)/(CD12*CI16)</f>
        <v>8.571656573131517E-2</v>
      </c>
      <c r="CJ124" s="1983"/>
      <c r="CK124" s="2225">
        <v>0.15</v>
      </c>
      <c r="CL124" s="1244"/>
      <c r="CM124" s="1983">
        <f>(CM35-CH35-CM127-CM123-CM125)/(CH12*CM16)</f>
        <v>6.292127397192307E-2</v>
      </c>
      <c r="CN124" s="1983">
        <f>(CN35-CI35-CN127-CN123-CN125)/(CI12*CN16)</f>
        <v>-6.3010358619069512E-3</v>
      </c>
      <c r="CO124" s="1983">
        <f>(CO35-CJ35-CO127-CO123-CO125)/(CJ12*CO16)</f>
        <v>0.17205086793018687</v>
      </c>
      <c r="CP124" s="1962">
        <v>0.2</v>
      </c>
      <c r="CQ124" s="1253"/>
      <c r="CR124" s="1962">
        <v>0.2</v>
      </c>
      <c r="CS124" s="1962">
        <v>0.2</v>
      </c>
      <c r="CT124" s="1962">
        <f t="shared" ref="CT124" si="45">CS124</f>
        <v>0.2</v>
      </c>
      <c r="CU124" s="1962">
        <v>0.2</v>
      </c>
      <c r="CV124" s="1253"/>
      <c r="CW124" s="1253"/>
      <c r="CX124" s="2114"/>
      <c r="CY124" s="2114"/>
      <c r="CZ124" s="1240"/>
    </row>
    <row r="125" spans="1:104" s="2109" customFormat="1" ht="11.25">
      <c r="A125" s="2108"/>
      <c r="B125" s="2108"/>
      <c r="C125" s="1191" t="s">
        <v>149</v>
      </c>
      <c r="D125" s="2108"/>
      <c r="E125" s="2108"/>
      <c r="F125" s="2108"/>
      <c r="G125" s="2108"/>
      <c r="H125" s="2108"/>
      <c r="I125" s="2108"/>
      <c r="J125" s="2108"/>
      <c r="K125" s="2108"/>
      <c r="L125" s="2108"/>
      <c r="M125" s="2108"/>
      <c r="N125" s="2108"/>
      <c r="O125" s="2108"/>
      <c r="P125" s="2108"/>
      <c r="Q125" s="2108"/>
      <c r="R125" s="2108"/>
      <c r="S125" s="2108"/>
      <c r="T125" s="2108"/>
      <c r="U125" s="2108"/>
      <c r="V125" s="2108"/>
      <c r="W125" s="2108"/>
      <c r="X125" s="2108"/>
      <c r="Y125" s="2108"/>
      <c r="Z125" s="2108"/>
      <c r="AA125" s="2108"/>
      <c r="AB125" s="2108"/>
      <c r="AC125" s="2108"/>
      <c r="AD125" s="2108"/>
      <c r="AE125" s="2108"/>
      <c r="AF125" s="2108"/>
      <c r="AG125" s="2108"/>
      <c r="AH125" s="2108"/>
      <c r="AI125" s="2108"/>
      <c r="AJ125" s="2108"/>
      <c r="AK125" s="2108"/>
      <c r="AL125" s="2108"/>
      <c r="AM125" s="2108"/>
      <c r="AN125" s="2108"/>
      <c r="AO125" s="2108"/>
      <c r="AP125" s="2108"/>
      <c r="AQ125" s="2108"/>
      <c r="AR125" s="2108"/>
      <c r="AS125" s="2108"/>
      <c r="AT125" s="2108"/>
      <c r="AU125" s="2108"/>
      <c r="AV125" s="2108"/>
      <c r="AW125" s="2108"/>
      <c r="AX125" s="2108"/>
      <c r="AY125" s="2108"/>
      <c r="AZ125" s="2108"/>
      <c r="BA125" s="2108"/>
      <c r="BB125" s="2108"/>
      <c r="BC125" s="2108"/>
      <c r="BD125" s="2108"/>
      <c r="BE125" s="2108"/>
      <c r="BF125" s="2108"/>
      <c r="BG125" s="2108"/>
      <c r="BH125" s="2108"/>
      <c r="BI125" s="1186"/>
      <c r="BJ125" s="1186"/>
      <c r="BK125" s="1186"/>
      <c r="BL125" s="1186"/>
      <c r="BM125" s="1235"/>
      <c r="BN125" s="2110"/>
      <c r="BO125" s="2110"/>
      <c r="BP125" s="2110"/>
      <c r="BQ125" s="2110"/>
      <c r="BR125" s="2112"/>
      <c r="BS125" s="2110"/>
      <c r="BT125" s="2110"/>
      <c r="BU125" s="2110"/>
      <c r="BV125" s="2110"/>
      <c r="BW125" s="2112"/>
      <c r="BX125" s="2110"/>
      <c r="BY125" s="2110"/>
      <c r="BZ125" s="2110"/>
      <c r="CA125" s="2110"/>
      <c r="CB125" s="2114"/>
      <c r="CC125" s="2115"/>
      <c r="CD125" s="2115"/>
      <c r="CE125" s="2115"/>
      <c r="CF125" s="2115"/>
      <c r="CG125" s="1566"/>
      <c r="CH125" s="2129">
        <f>7%*CH14*CC12</f>
        <v>2.6964000000000006</v>
      </c>
      <c r="CI125" s="2129">
        <f>7%*CI14*CD12</f>
        <v>6.2356000000000007</v>
      </c>
      <c r="CJ125" s="2129">
        <f>7%*CJ14*CE12</f>
        <v>11.981200000000001</v>
      </c>
      <c r="CK125" s="2129">
        <f>7%*CK14*CF12</f>
        <v>14.427000000000001</v>
      </c>
      <c r="CL125" s="1244"/>
      <c r="CM125" s="1962"/>
      <c r="CN125" s="1962"/>
      <c r="CO125" s="1962"/>
      <c r="CP125" s="1962"/>
      <c r="CQ125" s="2114"/>
      <c r="CR125" s="1962"/>
      <c r="CS125" s="1962"/>
      <c r="CT125" s="1962"/>
      <c r="CU125" s="1962"/>
      <c r="CV125" s="2114"/>
      <c r="CW125" s="2114"/>
      <c r="CX125" s="2114"/>
      <c r="CY125" s="2114"/>
      <c r="CZ125" s="1240"/>
    </row>
    <row r="126" spans="1:104" s="1178" customFormat="1" ht="11.25">
      <c r="A126" s="1156"/>
      <c r="B126" s="1156"/>
      <c r="C126" s="1191" t="s">
        <v>965</v>
      </c>
      <c r="D126" s="1156"/>
      <c r="E126" s="1156"/>
      <c r="F126" s="1156"/>
      <c r="G126" s="1156"/>
      <c r="H126" s="1156"/>
      <c r="I126" s="1156"/>
      <c r="J126" s="1156"/>
      <c r="K126" s="1156"/>
      <c r="L126" s="1156"/>
      <c r="M126" s="1156"/>
      <c r="N126" s="1156"/>
      <c r="O126" s="1156"/>
      <c r="P126" s="1156"/>
      <c r="Q126" s="1156"/>
      <c r="R126" s="1156"/>
      <c r="S126" s="1156"/>
      <c r="T126" s="1156"/>
      <c r="U126" s="1156"/>
      <c r="V126" s="1156"/>
      <c r="W126" s="1156"/>
      <c r="X126" s="1156"/>
      <c r="Y126" s="1156"/>
      <c r="Z126" s="1156"/>
      <c r="AA126" s="1156"/>
      <c r="AB126" s="1156"/>
      <c r="AC126" s="1156"/>
      <c r="AD126" s="1156"/>
      <c r="AE126" s="1156"/>
      <c r="AF126" s="1156"/>
      <c r="AG126" s="1156"/>
      <c r="AH126" s="1156"/>
      <c r="AI126" s="1156"/>
      <c r="AJ126" s="1156"/>
      <c r="AK126" s="1156"/>
      <c r="AL126" s="1156"/>
      <c r="AM126" s="1156"/>
      <c r="AN126" s="1156"/>
      <c r="AO126" s="1156"/>
      <c r="AP126" s="1156"/>
      <c r="AQ126" s="1156"/>
      <c r="AR126" s="1156"/>
      <c r="AS126" s="1156"/>
      <c r="AT126" s="1156"/>
      <c r="AU126" s="1156"/>
      <c r="AV126" s="1156"/>
      <c r="AW126" s="1156"/>
      <c r="AX126" s="1156"/>
      <c r="AY126" s="1156"/>
      <c r="AZ126" s="1156"/>
      <c r="BA126" s="1156"/>
      <c r="BB126" s="1156"/>
      <c r="BC126" s="1156"/>
      <c r="BD126" s="1156"/>
      <c r="BE126" s="1156"/>
      <c r="BF126" s="1156"/>
      <c r="BG126" s="1156"/>
      <c r="BH126" s="1156"/>
      <c r="BI126" s="1186"/>
      <c r="BJ126" s="1186"/>
      <c r="BK126" s="1186"/>
      <c r="BL126" s="1186"/>
      <c r="BM126" s="1235"/>
      <c r="BN126" s="1184"/>
      <c r="BO126" s="1184"/>
      <c r="BP126" s="1184"/>
      <c r="BQ126" s="1184"/>
      <c r="BR126" s="1222"/>
      <c r="BS126" s="1184"/>
      <c r="BT126" s="1184"/>
      <c r="BU126" s="1184"/>
      <c r="BV126" s="1184"/>
      <c r="BW126" s="1222"/>
      <c r="BX126" s="1184"/>
      <c r="BY126" s="1184"/>
      <c r="BZ126" s="1184"/>
      <c r="CA126" s="1184"/>
      <c r="CB126" s="1253"/>
      <c r="CC126" s="1254">
        <v>0.17</v>
      </c>
      <c r="CD126" s="1254">
        <f>CC126</f>
        <v>0.17</v>
      </c>
      <c r="CE126" s="1254">
        <f>CD126</f>
        <v>0.17</v>
      </c>
      <c r="CF126" s="1254">
        <f>CE126</f>
        <v>0.17</v>
      </c>
      <c r="CG126" s="1566"/>
      <c r="CH126" s="1535">
        <f>CG36</f>
        <v>0.1749566050158616</v>
      </c>
      <c r="CI126" s="1535">
        <f>CH126</f>
        <v>0.1749566050158616</v>
      </c>
      <c r="CJ126" s="2121">
        <f>CI126</f>
        <v>0.1749566050158616</v>
      </c>
      <c r="CK126" s="2121">
        <f>CJ126</f>
        <v>0.1749566050158616</v>
      </c>
      <c r="CL126" s="1244"/>
      <c r="CM126" s="1535">
        <f>CK126</f>
        <v>0.1749566050158616</v>
      </c>
      <c r="CN126" s="1535">
        <f>CM126</f>
        <v>0.1749566050158616</v>
      </c>
      <c r="CO126" s="1535">
        <f>CN126</f>
        <v>0.1749566050158616</v>
      </c>
      <c r="CP126" s="1535">
        <f>CO126</f>
        <v>0.1749566050158616</v>
      </c>
      <c r="CQ126" s="1253"/>
      <c r="CR126" s="2121">
        <f>CP126</f>
        <v>0.1749566050158616</v>
      </c>
      <c r="CS126" s="2121">
        <f>CR126</f>
        <v>0.1749566050158616</v>
      </c>
      <c r="CT126" s="2121">
        <f>CS126</f>
        <v>0.1749566050158616</v>
      </c>
      <c r="CU126" s="2121">
        <f>CT126</f>
        <v>0.1749566050158616</v>
      </c>
      <c r="CV126" s="1253"/>
      <c r="CW126" s="1253"/>
      <c r="CX126" s="2114"/>
      <c r="CY126" s="2114"/>
      <c r="CZ126" s="1240"/>
    </row>
    <row r="127" spans="1:104" s="1178" customFormat="1" ht="12" thickBot="1">
      <c r="A127" s="1156"/>
      <c r="B127" s="1156"/>
      <c r="C127" s="1277" t="s">
        <v>1348</v>
      </c>
      <c r="D127" s="1381"/>
      <c r="E127" s="1381"/>
      <c r="F127" s="1381"/>
      <c r="G127" s="1381"/>
      <c r="H127" s="1381"/>
      <c r="I127" s="1381"/>
      <c r="J127" s="1381"/>
      <c r="K127" s="1381"/>
      <c r="L127" s="1381"/>
      <c r="M127" s="1381"/>
      <c r="N127" s="1381"/>
      <c r="O127" s="1381"/>
      <c r="P127" s="1381"/>
      <c r="Q127" s="1381"/>
      <c r="R127" s="1381"/>
      <c r="S127" s="1381"/>
      <c r="T127" s="1381"/>
      <c r="U127" s="1381"/>
      <c r="V127" s="1381"/>
      <c r="W127" s="1381"/>
      <c r="X127" s="1381"/>
      <c r="Y127" s="1381"/>
      <c r="Z127" s="1381"/>
      <c r="AA127" s="1381"/>
      <c r="AB127" s="1381"/>
      <c r="AC127" s="1381"/>
      <c r="AD127" s="1381"/>
      <c r="AE127" s="1381"/>
      <c r="AF127" s="1381"/>
      <c r="AG127" s="1381"/>
      <c r="AH127" s="1381"/>
      <c r="AI127" s="1381"/>
      <c r="AJ127" s="1381"/>
      <c r="AK127" s="1381"/>
      <c r="AL127" s="1381"/>
      <c r="AM127" s="1381"/>
      <c r="AN127" s="1381"/>
      <c r="AO127" s="1381"/>
      <c r="AP127" s="1381"/>
      <c r="AQ127" s="1381"/>
      <c r="AR127" s="1381"/>
      <c r="AS127" s="1381"/>
      <c r="AT127" s="1381"/>
      <c r="AU127" s="1381"/>
      <c r="AV127" s="1381"/>
      <c r="AW127" s="1381"/>
      <c r="AX127" s="1381"/>
      <c r="AY127" s="1381"/>
      <c r="AZ127" s="1381"/>
      <c r="BA127" s="1381"/>
      <c r="BB127" s="1381"/>
      <c r="BC127" s="1381"/>
      <c r="BD127" s="1381"/>
      <c r="BE127" s="1381"/>
      <c r="BF127" s="1381"/>
      <c r="BG127" s="1381"/>
      <c r="BH127" s="1381"/>
      <c r="BI127" s="1565"/>
      <c r="BJ127" s="1565"/>
      <c r="BK127" s="1565"/>
      <c r="BL127" s="1565"/>
      <c r="BM127" s="1564"/>
      <c r="BN127" s="1381"/>
      <c r="BO127" s="1381"/>
      <c r="BP127" s="1381"/>
      <c r="BQ127" s="1381"/>
      <c r="BR127" s="1272"/>
      <c r="BS127" s="1381"/>
      <c r="BT127" s="1381"/>
      <c r="BU127" s="1381"/>
      <c r="BV127" s="1381"/>
      <c r="BW127" s="1272"/>
      <c r="BX127" s="1381"/>
      <c r="BY127" s="1381"/>
      <c r="BZ127" s="1381"/>
      <c r="CA127" s="1381"/>
      <c r="CB127" s="1561"/>
      <c r="CC127" s="1563"/>
      <c r="CD127" s="1563"/>
      <c r="CE127" s="1563"/>
      <c r="CF127" s="1563"/>
      <c r="CG127" s="1562"/>
      <c r="CH127" s="1902">
        <f>CH126*CH15*CC12</f>
        <v>-21.694619021966815</v>
      </c>
      <c r="CI127" s="1902">
        <f>CI126*CI15*CD12</f>
        <v>-6.9177841623272203</v>
      </c>
      <c r="CJ127" s="1902">
        <f>CJ126*CJ15*CE12</f>
        <v>-6.1514742323577769</v>
      </c>
      <c r="CK127" s="1902">
        <f>CK126*CK15*CF12</f>
        <v>-13.839067456754652</v>
      </c>
      <c r="CL127" s="1903">
        <f>SUM(CH127:CK127)</f>
        <v>-48.602944873406457</v>
      </c>
      <c r="CM127" s="1902">
        <f>CM126*CM15*CH12</f>
        <v>-10.441410187346586</v>
      </c>
      <c r="CN127" s="1902">
        <f>CN126*CN15*CI12</f>
        <v>-10.345184054587845</v>
      </c>
      <c r="CO127" s="1902">
        <f>CO126*CO15*CJ12</f>
        <v>16.865816723529001</v>
      </c>
      <c r="CP127" s="1902">
        <f>CP126*CP15*CK12</f>
        <v>18.354024818595519</v>
      </c>
      <c r="CQ127" s="1903">
        <f>SUM(CM127:CP127)</f>
        <v>14.433247300190089</v>
      </c>
      <c r="CR127" s="1902">
        <f>CR126*CR15*CM12</f>
        <v>21.322103153482445</v>
      </c>
      <c r="CS127" s="1902">
        <f>CS126*CS15*CN12</f>
        <v>25.814427045017801</v>
      </c>
      <c r="CT127" s="1902">
        <f>CT126*CT15*CO12</f>
        <v>25.682944394533841</v>
      </c>
      <c r="CU127" s="1902">
        <f>CU126*CU15*CP12</f>
        <v>0</v>
      </c>
      <c r="CV127" s="1903">
        <f>SUM(CR127:CU127)</f>
        <v>72.819474593034087</v>
      </c>
      <c r="CW127" s="1561"/>
      <c r="CX127" s="1561"/>
      <c r="CY127" s="1561"/>
      <c r="CZ127" s="1240"/>
    </row>
    <row r="128" spans="1:104" s="1178" customFormat="1" ht="11.25">
      <c r="A128" s="1186"/>
      <c r="B128" s="1186"/>
      <c r="C128" s="1186" t="s">
        <v>1029</v>
      </c>
      <c r="D128" s="1186"/>
      <c r="E128" s="1186"/>
      <c r="F128" s="1186"/>
      <c r="G128" s="1186"/>
      <c r="H128" s="1186"/>
      <c r="I128" s="1186"/>
      <c r="J128" s="1186"/>
      <c r="K128" s="1186"/>
      <c r="L128" s="1186"/>
      <c r="M128" s="1186"/>
      <c r="N128" s="1186"/>
      <c r="O128" s="1186"/>
      <c r="P128" s="1186"/>
      <c r="Q128" s="1186"/>
      <c r="R128" s="1186"/>
      <c r="S128" s="1186"/>
      <c r="T128" s="1186"/>
      <c r="U128" s="1186"/>
      <c r="V128" s="1186"/>
      <c r="W128" s="1186"/>
      <c r="X128" s="1186"/>
      <c r="Y128" s="1186"/>
      <c r="Z128" s="1186"/>
      <c r="AA128" s="1186"/>
      <c r="AB128" s="1186"/>
      <c r="AC128" s="1186"/>
      <c r="AD128" s="1186"/>
      <c r="AE128" s="1186"/>
      <c r="AF128" s="1186"/>
      <c r="AG128" s="1186"/>
      <c r="AH128" s="1186"/>
      <c r="AI128" s="1186"/>
      <c r="AJ128" s="1186"/>
      <c r="AK128" s="1186"/>
      <c r="AL128" s="1186"/>
      <c r="AM128" s="1186"/>
      <c r="AN128" s="1186"/>
      <c r="AO128" s="1186"/>
      <c r="AP128" s="1186"/>
      <c r="AQ128" s="1186"/>
      <c r="AR128" s="1186"/>
      <c r="AS128" s="1186"/>
      <c r="AT128" s="1186"/>
      <c r="AU128" s="1186"/>
      <c r="AV128" s="1186"/>
      <c r="AW128" s="1186"/>
      <c r="AX128" s="1186"/>
      <c r="AY128" s="1186"/>
      <c r="AZ128" s="1186"/>
      <c r="BA128" s="1186"/>
      <c r="BB128" s="1186"/>
      <c r="BC128" s="1186"/>
      <c r="BD128" s="1186"/>
      <c r="BE128" s="1186"/>
      <c r="BF128" s="1186"/>
      <c r="BG128" s="1186"/>
      <c r="BH128" s="1186"/>
      <c r="BI128" s="1186"/>
      <c r="BJ128" s="1186"/>
      <c r="BK128" s="1186"/>
      <c r="BL128" s="1186"/>
      <c r="BM128" s="1235"/>
      <c r="BN128" s="1363"/>
      <c r="BO128" s="1363"/>
      <c r="BP128" s="1548"/>
      <c r="BQ128" s="1548"/>
      <c r="BR128" s="1236"/>
      <c r="BS128" s="1548"/>
      <c r="BT128" s="1548"/>
      <c r="BU128" s="1266"/>
      <c r="BV128" s="1548"/>
      <c r="BW128" s="1236"/>
      <c r="BX128" s="1548"/>
      <c r="BY128" s="1548"/>
      <c r="BZ128" s="1549"/>
      <c r="CA128" s="1548"/>
      <c r="CB128" s="1257"/>
      <c r="CC128" s="1266"/>
      <c r="CD128" s="1266"/>
      <c r="CE128" s="1266"/>
      <c r="CF128" s="1266"/>
      <c r="CG128" s="1244"/>
      <c r="CH128" s="1548"/>
      <c r="CI128" s="1548"/>
      <c r="CJ128" s="1548"/>
      <c r="CK128" s="1548"/>
      <c r="CL128" s="1244"/>
      <c r="CM128" s="1548"/>
      <c r="CN128" s="1548"/>
      <c r="CO128" s="1548"/>
      <c r="CP128" s="1548"/>
      <c r="CQ128" s="1547"/>
      <c r="CR128" s="1548"/>
      <c r="CS128" s="1548"/>
      <c r="CT128" s="1548"/>
      <c r="CU128" s="1548"/>
      <c r="CV128" s="1547"/>
      <c r="CW128" s="1547"/>
      <c r="CX128" s="1547"/>
      <c r="CY128" s="1547"/>
      <c r="CZ128" s="1200"/>
    </row>
    <row r="129" spans="1:104" s="1551" customFormat="1" ht="11.25">
      <c r="A129" s="1441"/>
      <c r="B129" s="1441"/>
      <c r="C129" s="1550" t="s">
        <v>309</v>
      </c>
      <c r="D129" s="1441"/>
      <c r="E129" s="1441"/>
      <c r="F129" s="1441"/>
      <c r="G129" s="1441"/>
      <c r="H129" s="1441"/>
      <c r="I129" s="1441"/>
      <c r="J129" s="1441"/>
      <c r="K129" s="1441"/>
      <c r="L129" s="1441"/>
      <c r="M129" s="1441"/>
      <c r="N129" s="1441"/>
      <c r="O129" s="1441"/>
      <c r="P129" s="1441"/>
      <c r="Q129" s="1441"/>
      <c r="R129" s="1441"/>
      <c r="S129" s="1441"/>
      <c r="T129" s="1441"/>
      <c r="U129" s="1441"/>
      <c r="V129" s="1441"/>
      <c r="W129" s="1441"/>
      <c r="X129" s="1441"/>
      <c r="Y129" s="1441"/>
      <c r="Z129" s="1441"/>
      <c r="AA129" s="1441"/>
      <c r="AB129" s="1441"/>
      <c r="AC129" s="1441"/>
      <c r="AD129" s="1441"/>
      <c r="AE129" s="1441"/>
      <c r="AF129" s="1441"/>
      <c r="AG129" s="1441"/>
      <c r="AH129" s="1441"/>
      <c r="AI129" s="1441"/>
      <c r="AJ129" s="1441"/>
      <c r="AK129" s="1441"/>
      <c r="AL129" s="1441"/>
      <c r="AM129" s="1441"/>
      <c r="AN129" s="1441"/>
      <c r="AO129" s="1441"/>
      <c r="AP129" s="1441"/>
      <c r="AQ129" s="1441"/>
      <c r="AR129" s="1441"/>
      <c r="AS129" s="1441"/>
      <c r="AT129" s="1441"/>
      <c r="AU129" s="1441"/>
      <c r="AV129" s="1441"/>
      <c r="AW129" s="1441"/>
      <c r="AX129" s="1441"/>
      <c r="AY129" s="1441"/>
      <c r="AZ129" s="1441"/>
      <c r="BA129" s="1441"/>
      <c r="BB129" s="1441"/>
      <c r="BC129" s="1441"/>
      <c r="BD129" s="1441"/>
      <c r="BE129" s="1441"/>
      <c r="BF129" s="1441"/>
      <c r="BG129" s="1441"/>
      <c r="BH129" s="1441"/>
      <c r="BI129" s="1441"/>
      <c r="BJ129" s="1441"/>
      <c r="BK129" s="1441"/>
      <c r="BL129" s="1441"/>
      <c r="BM129" s="1560"/>
      <c r="BN129" s="1559"/>
      <c r="BO129" s="1559"/>
      <c r="BP129" s="1554"/>
      <c r="BQ129" s="1554"/>
      <c r="BR129" s="1558"/>
      <c r="BS129" s="1554"/>
      <c r="BT129" s="1554"/>
      <c r="BU129" s="1557"/>
      <c r="BV129" s="1554"/>
      <c r="BW129" s="1556">
        <f>BW59/$BW$12</f>
        <v>0.65595811767505507</v>
      </c>
      <c r="BX129" s="1554"/>
      <c r="BY129" s="1554"/>
      <c r="BZ129" s="1555"/>
      <c r="CA129" s="1554"/>
      <c r="CB129" s="1257">
        <f>2/3</f>
        <v>0.66666666666666663</v>
      </c>
      <c r="CC129" s="1554"/>
      <c r="CD129" s="1554"/>
      <c r="CE129" s="1554"/>
      <c r="CF129" s="1554"/>
      <c r="CG129" s="1257">
        <f>CG59/$CG$12</f>
        <v>0.70227575068334613</v>
      </c>
      <c r="CH129" s="1554"/>
      <c r="CI129" s="1554"/>
      <c r="CJ129" s="1554"/>
      <c r="CK129" s="1554"/>
      <c r="CL129" s="1553"/>
      <c r="CM129" s="1554"/>
      <c r="CN129" s="1554"/>
      <c r="CO129" s="1554"/>
      <c r="CP129" s="1554"/>
      <c r="CQ129" s="1552"/>
      <c r="CR129" s="1554"/>
      <c r="CS129" s="1554"/>
      <c r="CT129" s="1554"/>
      <c r="CU129" s="1554"/>
      <c r="CV129" s="1552"/>
      <c r="CW129" s="1552"/>
      <c r="CX129" s="1552"/>
      <c r="CY129" s="1552"/>
      <c r="CZ129" s="1443"/>
    </row>
    <row r="130" spans="1:104" s="1178" customFormat="1" ht="11.25">
      <c r="A130" s="1156"/>
      <c r="B130" s="1156"/>
      <c r="C130" s="1542"/>
      <c r="D130" s="1156" t="s">
        <v>1028</v>
      </c>
      <c r="E130" s="1156"/>
      <c r="F130" s="1337"/>
      <c r="G130" s="1337"/>
      <c r="H130" s="1337"/>
      <c r="I130" s="1337"/>
      <c r="J130" s="1336"/>
      <c r="K130" s="1336"/>
      <c r="L130" s="1336"/>
      <c r="M130" s="1336"/>
      <c r="N130" s="1336"/>
      <c r="O130" s="1336"/>
      <c r="P130" s="1336"/>
      <c r="Q130" s="1336"/>
      <c r="R130" s="1336"/>
      <c r="S130" s="1336"/>
      <c r="T130" s="1336"/>
      <c r="U130" s="1336"/>
      <c r="V130" s="1336"/>
      <c r="W130" s="1336"/>
      <c r="X130" s="1336"/>
      <c r="Y130" s="1336"/>
      <c r="Z130" s="1336"/>
      <c r="AA130" s="1336"/>
      <c r="AB130" s="1336"/>
      <c r="AC130" s="1336"/>
      <c r="AD130" s="1336"/>
      <c r="AE130" s="1336"/>
      <c r="AF130" s="1336"/>
      <c r="AG130" s="1336"/>
      <c r="AH130" s="1336"/>
      <c r="AI130" s="1336"/>
      <c r="AJ130" s="1336"/>
      <c r="AK130" s="1336"/>
      <c r="AL130" s="1336"/>
      <c r="AM130" s="1336"/>
      <c r="AN130" s="1336"/>
      <c r="AO130" s="1336"/>
      <c r="AP130" s="1336"/>
      <c r="AQ130" s="1336"/>
      <c r="AR130" s="1336"/>
      <c r="AS130" s="1336"/>
      <c r="AT130" s="1336"/>
      <c r="AU130" s="1336"/>
      <c r="AV130" s="1336"/>
      <c r="AW130" s="1336"/>
      <c r="AX130" s="1336"/>
      <c r="AY130" s="1240"/>
      <c r="AZ130" s="1240"/>
      <c r="BA130" s="1240"/>
      <c r="BB130" s="1240"/>
      <c r="BC130" s="1240"/>
      <c r="BD130" s="1336"/>
      <c r="BE130" s="1254"/>
      <c r="BF130" s="1541"/>
      <c r="BG130" s="1541"/>
      <c r="BH130" s="1535"/>
      <c r="BI130" s="1336"/>
      <c r="BJ130" s="1336"/>
      <c r="BK130" s="1541"/>
      <c r="BL130" s="1541"/>
      <c r="BM130" s="1539"/>
      <c r="BN130" s="1540"/>
      <c r="BO130" s="1540"/>
      <c r="BP130" s="1540"/>
      <c r="BQ130" s="1540"/>
      <c r="BR130" s="1539"/>
      <c r="BS130" s="1535"/>
      <c r="BT130" s="1535"/>
      <c r="BU130" s="1538"/>
      <c r="BV130" s="1535"/>
      <c r="BW130" s="1222"/>
      <c r="BX130" s="1254"/>
      <c r="BY130" s="1254"/>
      <c r="BZ130" s="1537"/>
      <c r="CA130" s="1254"/>
      <c r="CB130" s="1536">
        <v>0.15</v>
      </c>
      <c r="CC130" s="1535"/>
      <c r="CD130" s="1535"/>
      <c r="CE130" s="1535"/>
      <c r="CF130" s="1535"/>
      <c r="CG130" s="1253"/>
      <c r="CH130" s="1535"/>
      <c r="CI130" s="1535"/>
      <c r="CJ130" s="1535"/>
      <c r="CK130" s="1535"/>
      <c r="CL130" s="1253"/>
      <c r="CM130" s="1535"/>
      <c r="CN130" s="1535"/>
      <c r="CO130" s="1535"/>
      <c r="CP130" s="1535"/>
      <c r="CQ130" s="1534"/>
      <c r="CR130" s="2121"/>
      <c r="CS130" s="2121"/>
      <c r="CT130" s="2121"/>
      <c r="CU130" s="2121"/>
      <c r="CV130" s="1534"/>
      <c r="CW130" s="1534"/>
      <c r="CX130" s="1534"/>
      <c r="CY130" s="1534"/>
      <c r="CZ130" s="1197"/>
    </row>
    <row r="131" spans="1:104" s="1178" customFormat="1" ht="11.25">
      <c r="A131" s="1156"/>
      <c r="B131" s="1156"/>
      <c r="C131" s="1542"/>
      <c r="D131" s="1156" t="s">
        <v>516</v>
      </c>
      <c r="E131" s="1156"/>
      <c r="F131" s="1337"/>
      <c r="G131" s="1337"/>
      <c r="H131" s="1337"/>
      <c r="I131" s="1337"/>
      <c r="J131" s="1336"/>
      <c r="K131" s="1336"/>
      <c r="L131" s="1336"/>
      <c r="M131" s="1336"/>
      <c r="N131" s="1336"/>
      <c r="O131" s="1336"/>
      <c r="P131" s="1336"/>
      <c r="Q131" s="1336"/>
      <c r="R131" s="1336"/>
      <c r="S131" s="1336"/>
      <c r="T131" s="1336"/>
      <c r="U131" s="1336"/>
      <c r="V131" s="1336"/>
      <c r="W131" s="1336"/>
      <c r="X131" s="1336"/>
      <c r="Y131" s="1336"/>
      <c r="Z131" s="1336"/>
      <c r="AA131" s="1336"/>
      <c r="AB131" s="1336"/>
      <c r="AC131" s="1336"/>
      <c r="AD131" s="1336"/>
      <c r="AE131" s="1336"/>
      <c r="AF131" s="1336"/>
      <c r="AG131" s="1336"/>
      <c r="AH131" s="1336"/>
      <c r="AI131" s="1336"/>
      <c r="AJ131" s="1336"/>
      <c r="AK131" s="1336"/>
      <c r="AL131" s="1336"/>
      <c r="AM131" s="1336"/>
      <c r="AN131" s="1336"/>
      <c r="AO131" s="1336"/>
      <c r="AP131" s="1336"/>
      <c r="AQ131" s="1336"/>
      <c r="AR131" s="1336"/>
      <c r="AS131" s="1336"/>
      <c r="AT131" s="1336"/>
      <c r="AU131" s="1336"/>
      <c r="AV131" s="1336"/>
      <c r="AW131" s="1336"/>
      <c r="AX131" s="1336"/>
      <c r="AY131" s="1240"/>
      <c r="AZ131" s="1240"/>
      <c r="BA131" s="1240"/>
      <c r="BB131" s="1240"/>
      <c r="BC131" s="1240"/>
      <c r="BD131" s="1336"/>
      <c r="BE131" s="1254"/>
      <c r="BF131" s="1541"/>
      <c r="BG131" s="1541"/>
      <c r="BH131" s="1535"/>
      <c r="BI131" s="1336"/>
      <c r="BJ131" s="1336"/>
      <c r="BK131" s="1541"/>
      <c r="BL131" s="1541"/>
      <c r="BM131" s="1539"/>
      <c r="BN131" s="1540"/>
      <c r="BO131" s="1540"/>
      <c r="BP131" s="1540"/>
      <c r="BQ131" s="1540"/>
      <c r="BR131" s="1539"/>
      <c r="BS131" s="1535"/>
      <c r="BT131" s="1535"/>
      <c r="BU131" s="1538"/>
      <c r="BV131" s="1535"/>
      <c r="BW131" s="1222"/>
      <c r="BX131" s="1254"/>
      <c r="BY131" s="1254"/>
      <c r="BZ131" s="1537"/>
      <c r="CA131" s="1254"/>
      <c r="CB131" s="1536">
        <v>0.25</v>
      </c>
      <c r="CC131" s="1535"/>
      <c r="CD131" s="1535"/>
      <c r="CE131" s="1535"/>
      <c r="CF131" s="1535"/>
      <c r="CG131" s="1253"/>
      <c r="CH131" s="1535"/>
      <c r="CI131" s="1535"/>
      <c r="CJ131" s="1535"/>
      <c r="CK131" s="1535"/>
      <c r="CL131" s="1253"/>
      <c r="CM131" s="1535"/>
      <c r="CN131" s="1535"/>
      <c r="CO131" s="1535"/>
      <c r="CP131" s="1535"/>
      <c r="CQ131" s="1534"/>
      <c r="CR131" s="2121"/>
      <c r="CS131" s="2121"/>
      <c r="CT131" s="2121"/>
      <c r="CU131" s="2121"/>
      <c r="CV131" s="1534"/>
      <c r="CW131" s="1534"/>
      <c r="CX131" s="1534"/>
      <c r="CY131" s="1534"/>
      <c r="CZ131" s="1197"/>
    </row>
    <row r="132" spans="1:104" s="1178" customFormat="1" ht="11.25">
      <c r="A132" s="1156"/>
      <c r="B132" s="1156"/>
      <c r="C132" s="1542"/>
      <c r="D132" s="1156" t="s">
        <v>671</v>
      </c>
      <c r="E132" s="1156"/>
      <c r="F132" s="1337"/>
      <c r="G132" s="1337"/>
      <c r="H132" s="1337"/>
      <c r="I132" s="1337"/>
      <c r="J132" s="1336"/>
      <c r="K132" s="1336"/>
      <c r="L132" s="1336"/>
      <c r="M132" s="1336"/>
      <c r="N132" s="1336"/>
      <c r="O132" s="1336"/>
      <c r="P132" s="1336"/>
      <c r="Q132" s="1336"/>
      <c r="R132" s="1336"/>
      <c r="S132" s="1336"/>
      <c r="T132" s="1336"/>
      <c r="U132" s="1336"/>
      <c r="V132" s="1336"/>
      <c r="W132" s="1336"/>
      <c r="X132" s="1336"/>
      <c r="Y132" s="1336"/>
      <c r="Z132" s="1336"/>
      <c r="AA132" s="1336"/>
      <c r="AB132" s="1336"/>
      <c r="AC132" s="1336"/>
      <c r="AD132" s="1336"/>
      <c r="AE132" s="1336"/>
      <c r="AF132" s="1336"/>
      <c r="AG132" s="1336"/>
      <c r="AH132" s="1336"/>
      <c r="AI132" s="1336"/>
      <c r="AJ132" s="1336"/>
      <c r="AK132" s="1336"/>
      <c r="AL132" s="1336"/>
      <c r="AM132" s="1336"/>
      <c r="AN132" s="1336"/>
      <c r="AO132" s="1336"/>
      <c r="AP132" s="1336"/>
      <c r="AQ132" s="1336"/>
      <c r="AR132" s="1336"/>
      <c r="AS132" s="1336"/>
      <c r="AT132" s="1336"/>
      <c r="AU132" s="1336"/>
      <c r="AV132" s="1336"/>
      <c r="AW132" s="1336"/>
      <c r="AX132" s="1336"/>
      <c r="AY132" s="1240"/>
      <c r="AZ132" s="1240"/>
      <c r="BA132" s="1240"/>
      <c r="BB132" s="1240"/>
      <c r="BC132" s="1240"/>
      <c r="BD132" s="1336"/>
      <c r="BE132" s="1254"/>
      <c r="BF132" s="1541"/>
      <c r="BG132" s="1541"/>
      <c r="BH132" s="1535"/>
      <c r="BI132" s="1336"/>
      <c r="BJ132" s="1336"/>
      <c r="BK132" s="1541"/>
      <c r="BL132" s="1541"/>
      <c r="BM132" s="1539"/>
      <c r="BN132" s="1540"/>
      <c r="BO132" s="1540"/>
      <c r="BP132" s="1540"/>
      <c r="BQ132" s="1540"/>
      <c r="BR132" s="1539"/>
      <c r="BS132" s="1535"/>
      <c r="BT132" s="1535"/>
      <c r="BU132" s="1538"/>
      <c r="BV132" s="1535"/>
      <c r="BW132" s="1222"/>
      <c r="BX132" s="1254"/>
      <c r="BY132" s="1254"/>
      <c r="BZ132" s="1537"/>
      <c r="CA132" s="1254"/>
      <c r="CB132" s="1536">
        <f>CB129-CB131-CB130-CB133</f>
        <v>0.17666666666666661</v>
      </c>
      <c r="CC132" s="1535"/>
      <c r="CD132" s="1535"/>
      <c r="CE132" s="1535"/>
      <c r="CF132" s="1535"/>
      <c r="CG132" s="1253"/>
      <c r="CH132" s="1535"/>
      <c r="CI132" s="1535"/>
      <c r="CJ132" s="1535"/>
      <c r="CK132" s="1535"/>
      <c r="CL132" s="1253"/>
      <c r="CM132" s="1535"/>
      <c r="CN132" s="1535"/>
      <c r="CO132" s="1535"/>
      <c r="CP132" s="1535"/>
      <c r="CQ132" s="1534"/>
      <c r="CR132" s="2121"/>
      <c r="CS132" s="2121"/>
      <c r="CT132" s="2121"/>
      <c r="CU132" s="2121"/>
      <c r="CV132" s="1534"/>
      <c r="CW132" s="1534"/>
      <c r="CX132" s="1534"/>
      <c r="CY132" s="1534"/>
      <c r="CZ132" s="1197"/>
    </row>
    <row r="133" spans="1:104" s="1178" customFormat="1" ht="11.25">
      <c r="A133" s="1156"/>
      <c r="B133" s="1156"/>
      <c r="C133" s="1542"/>
      <c r="D133" s="1156" t="s">
        <v>1027</v>
      </c>
      <c r="E133" s="1156"/>
      <c r="F133" s="1337"/>
      <c r="G133" s="1337"/>
      <c r="H133" s="1337"/>
      <c r="I133" s="1337"/>
      <c r="J133" s="1336"/>
      <c r="K133" s="1336"/>
      <c r="L133" s="1336"/>
      <c r="M133" s="1336"/>
      <c r="N133" s="1336"/>
      <c r="O133" s="1336"/>
      <c r="P133" s="1336"/>
      <c r="Q133" s="1336"/>
      <c r="R133" s="1336"/>
      <c r="S133" s="1336"/>
      <c r="T133" s="1336"/>
      <c r="U133" s="1336"/>
      <c r="V133" s="1336"/>
      <c r="W133" s="1336"/>
      <c r="X133" s="1336"/>
      <c r="Y133" s="1336"/>
      <c r="Z133" s="1336"/>
      <c r="AA133" s="1336"/>
      <c r="AB133" s="1336"/>
      <c r="AC133" s="1336"/>
      <c r="AD133" s="1336"/>
      <c r="AE133" s="1336"/>
      <c r="AF133" s="1336"/>
      <c r="AG133" s="1336"/>
      <c r="AH133" s="1336"/>
      <c r="AI133" s="1336"/>
      <c r="AJ133" s="1336"/>
      <c r="AK133" s="1336"/>
      <c r="AL133" s="1336"/>
      <c r="AM133" s="1336"/>
      <c r="AN133" s="1336"/>
      <c r="AO133" s="1336"/>
      <c r="AP133" s="1336"/>
      <c r="AQ133" s="1336"/>
      <c r="AR133" s="1336"/>
      <c r="AS133" s="1336"/>
      <c r="AT133" s="1336"/>
      <c r="AU133" s="1336"/>
      <c r="AV133" s="1336"/>
      <c r="AW133" s="1336"/>
      <c r="AX133" s="1336"/>
      <c r="AY133" s="1240"/>
      <c r="AZ133" s="1240"/>
      <c r="BA133" s="1240"/>
      <c r="BB133" s="1240"/>
      <c r="BC133" s="1240"/>
      <c r="BD133" s="1336"/>
      <c r="BE133" s="1254"/>
      <c r="BF133" s="1541"/>
      <c r="BG133" s="1541"/>
      <c r="BH133" s="1535"/>
      <c r="BI133" s="1336"/>
      <c r="BJ133" s="1336"/>
      <c r="BK133" s="1541"/>
      <c r="BL133" s="1541"/>
      <c r="BM133" s="1539"/>
      <c r="BN133" s="1540"/>
      <c r="BO133" s="1540"/>
      <c r="BP133" s="1540"/>
      <c r="BQ133" s="1540"/>
      <c r="BR133" s="1539"/>
      <c r="BS133" s="1535"/>
      <c r="BT133" s="1535"/>
      <c r="BU133" s="1538"/>
      <c r="BV133" s="1535"/>
      <c r="BW133" s="1222"/>
      <c r="BX133" s="1254"/>
      <c r="BY133" s="1254"/>
      <c r="BZ133" s="1537"/>
      <c r="CA133" s="1254"/>
      <c r="CB133" s="1536">
        <v>0.09</v>
      </c>
      <c r="CC133" s="1535"/>
      <c r="CD133" s="1535"/>
      <c r="CE133" s="1535"/>
      <c r="CF133" s="1535"/>
      <c r="CG133" s="1253"/>
      <c r="CH133" s="1535"/>
      <c r="CI133" s="1535"/>
      <c r="CJ133" s="1535"/>
      <c r="CK133" s="1535"/>
      <c r="CL133" s="1253"/>
      <c r="CM133" s="1535"/>
      <c r="CN133" s="1535"/>
      <c r="CO133" s="1535"/>
      <c r="CP133" s="1535"/>
      <c r="CQ133" s="1534"/>
      <c r="CR133" s="2121"/>
      <c r="CS133" s="2121"/>
      <c r="CT133" s="2121"/>
      <c r="CU133" s="2121"/>
      <c r="CV133" s="1534"/>
      <c r="CW133" s="1534"/>
      <c r="CX133" s="1534"/>
      <c r="CY133" s="1534"/>
      <c r="CZ133" s="1197"/>
    </row>
    <row r="134" spans="1:104" s="1178" customFormat="1" ht="11.25">
      <c r="A134" s="1186"/>
      <c r="B134" s="1186"/>
      <c r="C134" s="1550" t="s">
        <v>683</v>
      </c>
      <c r="D134" s="1186"/>
      <c r="E134" s="1186"/>
      <c r="F134" s="1186"/>
      <c r="G134" s="1186"/>
      <c r="H134" s="1186"/>
      <c r="I134" s="1186"/>
      <c r="J134" s="1186"/>
      <c r="K134" s="1186"/>
      <c r="L134" s="1186"/>
      <c r="M134" s="1186"/>
      <c r="N134" s="1186"/>
      <c r="O134" s="1186"/>
      <c r="P134" s="1186"/>
      <c r="Q134" s="1186"/>
      <c r="R134" s="1186"/>
      <c r="S134" s="1186"/>
      <c r="T134" s="1186"/>
      <c r="U134" s="1186"/>
      <c r="V134" s="1186"/>
      <c r="W134" s="1186"/>
      <c r="X134" s="1186"/>
      <c r="Y134" s="1186"/>
      <c r="Z134" s="1186"/>
      <c r="AA134" s="1186"/>
      <c r="AB134" s="1186"/>
      <c r="AC134" s="1186"/>
      <c r="AD134" s="1186"/>
      <c r="AE134" s="1186"/>
      <c r="AF134" s="1186"/>
      <c r="AG134" s="1186"/>
      <c r="AH134" s="1186"/>
      <c r="AI134" s="1186"/>
      <c r="AJ134" s="1186"/>
      <c r="AK134" s="1186"/>
      <c r="AL134" s="1186"/>
      <c r="AM134" s="1186"/>
      <c r="AN134" s="1186"/>
      <c r="AO134" s="1186"/>
      <c r="AP134" s="1186"/>
      <c r="AQ134" s="1186"/>
      <c r="AR134" s="1186"/>
      <c r="AS134" s="1186"/>
      <c r="AT134" s="1186"/>
      <c r="AU134" s="1186"/>
      <c r="AV134" s="1186"/>
      <c r="AW134" s="1186"/>
      <c r="AX134" s="1186"/>
      <c r="AY134" s="1186"/>
      <c r="AZ134" s="1186"/>
      <c r="BA134" s="1186"/>
      <c r="BB134" s="1186"/>
      <c r="BC134" s="1186"/>
      <c r="BD134" s="1186"/>
      <c r="BE134" s="1186"/>
      <c r="BF134" s="1186"/>
      <c r="BG134" s="1186"/>
      <c r="BH134" s="1186"/>
      <c r="BI134" s="1186"/>
      <c r="BJ134" s="1186"/>
      <c r="BK134" s="1186"/>
      <c r="BL134" s="1186"/>
      <c r="BM134" s="1235"/>
      <c r="BN134" s="1363"/>
      <c r="BO134" s="1363"/>
      <c r="BP134" s="1548"/>
      <c r="BQ134" s="1548"/>
      <c r="BR134" s="1236"/>
      <c r="BS134" s="1548"/>
      <c r="BT134" s="1548"/>
      <c r="BU134" s="1266"/>
      <c r="BV134" s="1548"/>
      <c r="BW134" s="1236"/>
      <c r="BX134" s="1548"/>
      <c r="BY134" s="1548"/>
      <c r="BZ134" s="1549"/>
      <c r="CA134" s="1548"/>
      <c r="CB134" s="1257">
        <f>1-CB129</f>
        <v>0.33333333333333337</v>
      </c>
      <c r="CC134" s="1548"/>
      <c r="CD134" s="1548"/>
      <c r="CE134" s="1548"/>
      <c r="CF134" s="1548"/>
      <c r="CG134" s="1244"/>
      <c r="CH134" s="1548"/>
      <c r="CI134" s="1548"/>
      <c r="CJ134" s="1548"/>
      <c r="CK134" s="1548"/>
      <c r="CL134" s="1244"/>
      <c r="CM134" s="1548"/>
      <c r="CN134" s="1548"/>
      <c r="CO134" s="1548"/>
      <c r="CP134" s="1548"/>
      <c r="CQ134" s="1547"/>
      <c r="CR134" s="1548"/>
      <c r="CS134" s="1548"/>
      <c r="CT134" s="1548"/>
      <c r="CU134" s="1548"/>
      <c r="CV134" s="1547"/>
      <c r="CW134" s="1547"/>
      <c r="CX134" s="1547"/>
      <c r="CY134" s="1547"/>
      <c r="CZ134" s="1200"/>
    </row>
    <row r="135" spans="1:104" s="1178" customFormat="1" ht="11.25">
      <c r="A135" s="1156"/>
      <c r="B135" s="1156"/>
      <c r="C135" s="1542"/>
      <c r="D135" s="1156" t="s">
        <v>1026</v>
      </c>
      <c r="E135" s="1156"/>
      <c r="F135" s="1337"/>
      <c r="G135" s="1337"/>
      <c r="H135" s="1337"/>
      <c r="I135" s="1337"/>
      <c r="J135" s="1336"/>
      <c r="K135" s="1336"/>
      <c r="L135" s="1336"/>
      <c r="M135" s="1336"/>
      <c r="N135" s="1336"/>
      <c r="O135" s="1336"/>
      <c r="P135" s="1336"/>
      <c r="Q135" s="1336"/>
      <c r="R135" s="1336"/>
      <c r="S135" s="1336"/>
      <c r="T135" s="1336"/>
      <c r="U135" s="1336"/>
      <c r="V135" s="1336"/>
      <c r="W135" s="1336"/>
      <c r="X135" s="1336"/>
      <c r="Y135" s="1336"/>
      <c r="Z135" s="1336"/>
      <c r="AA135" s="1336"/>
      <c r="AB135" s="1336"/>
      <c r="AC135" s="1336"/>
      <c r="AD135" s="1336"/>
      <c r="AE135" s="1336"/>
      <c r="AF135" s="1336"/>
      <c r="AG135" s="1336"/>
      <c r="AH135" s="1336"/>
      <c r="AI135" s="1336"/>
      <c r="AJ135" s="1336"/>
      <c r="AK135" s="1336"/>
      <c r="AL135" s="1336"/>
      <c r="AM135" s="1336"/>
      <c r="AN135" s="1336"/>
      <c r="AO135" s="1336"/>
      <c r="AP135" s="1336"/>
      <c r="AQ135" s="1336"/>
      <c r="AR135" s="1336"/>
      <c r="AS135" s="1336"/>
      <c r="AT135" s="1336"/>
      <c r="AU135" s="1336"/>
      <c r="AV135" s="1336"/>
      <c r="AW135" s="1336"/>
      <c r="AX135" s="1336"/>
      <c r="AY135" s="1240"/>
      <c r="AZ135" s="1240"/>
      <c r="BA135" s="1240"/>
      <c r="BB135" s="1240"/>
      <c r="BC135" s="1240"/>
      <c r="BD135" s="1336"/>
      <c r="BE135" s="1254"/>
      <c r="BF135" s="1541"/>
      <c r="BG135" s="1541"/>
      <c r="BH135" s="1535"/>
      <c r="BI135" s="1336"/>
      <c r="BJ135" s="1336"/>
      <c r="BK135" s="1541"/>
      <c r="BL135" s="1541"/>
      <c r="BM135" s="1539"/>
      <c r="BN135" s="1540"/>
      <c r="BO135" s="1540"/>
      <c r="BP135" s="1540"/>
      <c r="BQ135" s="1540"/>
      <c r="BR135" s="1539"/>
      <c r="BS135" s="1535"/>
      <c r="BT135" s="1535"/>
      <c r="BU135" s="1538"/>
      <c r="BV135" s="1535"/>
      <c r="BW135" s="1222"/>
      <c r="BX135" s="1254"/>
      <c r="BY135" s="1254"/>
      <c r="BZ135" s="1537"/>
      <c r="CA135" s="1254"/>
      <c r="CB135" s="1536">
        <f>CB134/3</f>
        <v>0.11111111111111112</v>
      </c>
      <c r="CC135" s="1535"/>
      <c r="CD135" s="1535"/>
      <c r="CE135" s="1535"/>
      <c r="CF135" s="1535"/>
      <c r="CG135" s="1253"/>
      <c r="CH135" s="1535"/>
      <c r="CI135" s="1535"/>
      <c r="CJ135" s="1535"/>
      <c r="CK135" s="1535"/>
      <c r="CL135" s="1253"/>
      <c r="CM135" s="1535"/>
      <c r="CN135" s="1535"/>
      <c r="CO135" s="1535"/>
      <c r="CP135" s="1535"/>
      <c r="CQ135" s="1534"/>
      <c r="CR135" s="2121"/>
      <c r="CS135" s="2121"/>
      <c r="CT135" s="2121"/>
      <c r="CU135" s="2121"/>
      <c r="CV135" s="1534"/>
      <c r="CW135" s="1534"/>
      <c r="CX135" s="1534"/>
      <c r="CY135" s="1534"/>
      <c r="CZ135" s="1197"/>
    </row>
    <row r="136" spans="1:104" s="1178" customFormat="1" ht="11.25">
      <c r="A136" s="1156"/>
      <c r="B136" s="1156"/>
      <c r="C136" s="1542"/>
      <c r="D136" s="1156" t="s">
        <v>1025</v>
      </c>
      <c r="E136" s="1156"/>
      <c r="F136" s="1337"/>
      <c r="G136" s="1337"/>
      <c r="H136" s="1337"/>
      <c r="I136" s="1337"/>
      <c r="J136" s="1336"/>
      <c r="K136" s="1336"/>
      <c r="L136" s="1336"/>
      <c r="M136" s="1336"/>
      <c r="N136" s="1336"/>
      <c r="O136" s="1336"/>
      <c r="P136" s="1336"/>
      <c r="Q136" s="1336"/>
      <c r="R136" s="1336"/>
      <c r="S136" s="1336"/>
      <c r="T136" s="1336"/>
      <c r="U136" s="1336"/>
      <c r="V136" s="1336"/>
      <c r="W136" s="1336"/>
      <c r="X136" s="1336"/>
      <c r="Y136" s="1336"/>
      <c r="Z136" s="1336"/>
      <c r="AA136" s="1336"/>
      <c r="AB136" s="1336"/>
      <c r="AC136" s="1336"/>
      <c r="AD136" s="1336"/>
      <c r="AE136" s="1336"/>
      <c r="AF136" s="1336"/>
      <c r="AG136" s="1336"/>
      <c r="AH136" s="1336"/>
      <c r="AI136" s="1336"/>
      <c r="AJ136" s="1336"/>
      <c r="AK136" s="1336"/>
      <c r="AL136" s="1336"/>
      <c r="AM136" s="1336"/>
      <c r="AN136" s="1336"/>
      <c r="AO136" s="1336"/>
      <c r="AP136" s="1336"/>
      <c r="AQ136" s="1336"/>
      <c r="AR136" s="1336"/>
      <c r="AS136" s="1336"/>
      <c r="AT136" s="1336"/>
      <c r="AU136" s="1336"/>
      <c r="AV136" s="1336"/>
      <c r="AW136" s="1336"/>
      <c r="AX136" s="1336"/>
      <c r="AY136" s="1240"/>
      <c r="AZ136" s="1240"/>
      <c r="BA136" s="1240"/>
      <c r="BB136" s="1240"/>
      <c r="BC136" s="1240"/>
      <c r="BD136" s="1336"/>
      <c r="BE136" s="1254"/>
      <c r="BF136" s="1541"/>
      <c r="BG136" s="1541"/>
      <c r="BH136" s="1535"/>
      <c r="BI136" s="1336"/>
      <c r="BJ136" s="1336"/>
      <c r="BK136" s="1541"/>
      <c r="BL136" s="1541"/>
      <c r="BM136" s="1539"/>
      <c r="BN136" s="1540"/>
      <c r="BO136" s="1540"/>
      <c r="BP136" s="1540"/>
      <c r="BQ136" s="1540"/>
      <c r="BR136" s="1539"/>
      <c r="BS136" s="1535"/>
      <c r="BT136" s="1535"/>
      <c r="BU136" s="1538"/>
      <c r="BV136" s="1535"/>
      <c r="BW136" s="1222"/>
      <c r="BX136" s="1254"/>
      <c r="BY136" s="1254"/>
      <c r="BZ136" s="1537"/>
      <c r="CA136" s="1254"/>
      <c r="CB136" s="1536">
        <f>CB134-CB135</f>
        <v>0.22222222222222227</v>
      </c>
      <c r="CC136" s="1535"/>
      <c r="CD136" s="1535"/>
      <c r="CE136" s="1535"/>
      <c r="CF136" s="1535"/>
      <c r="CG136" s="1253"/>
      <c r="CH136" s="1535"/>
      <c r="CI136" s="1535"/>
      <c r="CJ136" s="1535"/>
      <c r="CK136" s="1535"/>
      <c r="CL136" s="1253"/>
      <c r="CM136" s="1535"/>
      <c r="CN136" s="1535"/>
      <c r="CO136" s="1535"/>
      <c r="CP136" s="1535"/>
      <c r="CQ136" s="1534"/>
      <c r="CR136" s="2121"/>
      <c r="CS136" s="2121"/>
      <c r="CT136" s="2121"/>
      <c r="CU136" s="2121"/>
      <c r="CV136" s="1534"/>
      <c r="CW136" s="1534"/>
      <c r="CX136" s="1534"/>
      <c r="CY136" s="1534"/>
      <c r="CZ136" s="1197"/>
    </row>
    <row r="137" spans="1:104" s="1178" customFormat="1" ht="11.25">
      <c r="A137" s="1156"/>
      <c r="B137" s="1156"/>
      <c r="C137" s="1542"/>
      <c r="D137" s="1156"/>
      <c r="E137" s="1156"/>
      <c r="F137" s="1337"/>
      <c r="G137" s="1337"/>
      <c r="H137" s="1337"/>
      <c r="I137" s="1337"/>
      <c r="J137" s="1336"/>
      <c r="K137" s="1336"/>
      <c r="L137" s="1336"/>
      <c r="M137" s="1336"/>
      <c r="N137" s="1336"/>
      <c r="O137" s="1336"/>
      <c r="P137" s="1336"/>
      <c r="Q137" s="1336"/>
      <c r="R137" s="1336"/>
      <c r="S137" s="1336"/>
      <c r="T137" s="1336"/>
      <c r="U137" s="1336"/>
      <c r="V137" s="1336"/>
      <c r="W137" s="1336"/>
      <c r="X137" s="1336"/>
      <c r="Y137" s="1336"/>
      <c r="Z137" s="1336"/>
      <c r="AA137" s="1336"/>
      <c r="AB137" s="1336"/>
      <c r="AC137" s="1336"/>
      <c r="AD137" s="1336"/>
      <c r="AE137" s="1336"/>
      <c r="AF137" s="1336"/>
      <c r="AG137" s="1336"/>
      <c r="AH137" s="1336"/>
      <c r="AI137" s="1336"/>
      <c r="AJ137" s="1336"/>
      <c r="AK137" s="1336"/>
      <c r="AL137" s="1336"/>
      <c r="AM137" s="1336"/>
      <c r="AN137" s="1336"/>
      <c r="AO137" s="1336"/>
      <c r="AP137" s="1336"/>
      <c r="AQ137" s="1336"/>
      <c r="AR137" s="1336"/>
      <c r="AS137" s="1336"/>
      <c r="AT137" s="1336"/>
      <c r="AU137" s="1336"/>
      <c r="AV137" s="1336"/>
      <c r="AW137" s="1336"/>
      <c r="AX137" s="1336"/>
      <c r="AY137" s="1240"/>
      <c r="AZ137" s="1240"/>
      <c r="BA137" s="1240"/>
      <c r="BB137" s="1240"/>
      <c r="BC137" s="1240"/>
      <c r="BD137" s="1336"/>
      <c r="BE137" s="1254"/>
      <c r="BF137" s="1541"/>
      <c r="BG137" s="1541"/>
      <c r="BH137" s="1535"/>
      <c r="BI137" s="1336"/>
      <c r="BJ137" s="1336"/>
      <c r="BK137" s="1541"/>
      <c r="BL137" s="1541"/>
      <c r="BM137" s="1539"/>
      <c r="BN137" s="1540"/>
      <c r="BO137" s="1540"/>
      <c r="BP137" s="1540"/>
      <c r="BQ137" s="1540"/>
      <c r="BR137" s="1539"/>
      <c r="BS137" s="1535"/>
      <c r="BT137" s="1535"/>
      <c r="BU137" s="1538"/>
      <c r="BV137" s="1535"/>
      <c r="BW137" s="1222"/>
      <c r="BX137" s="1254"/>
      <c r="BY137" s="1254"/>
      <c r="BZ137" s="1537"/>
      <c r="CA137" s="1254"/>
      <c r="CB137" s="1536"/>
      <c r="CC137" s="1535"/>
      <c r="CD137" s="1535"/>
      <c r="CE137" s="1535"/>
      <c r="CF137" s="1535"/>
      <c r="CG137" s="1253"/>
      <c r="CH137" s="1535"/>
      <c r="CI137" s="1535"/>
      <c r="CJ137" s="1535"/>
      <c r="CK137" s="1535"/>
      <c r="CL137" s="1253"/>
      <c r="CM137" s="1535"/>
      <c r="CN137" s="1535"/>
      <c r="CO137" s="1535"/>
      <c r="CP137" s="1535"/>
      <c r="CQ137" s="1534"/>
      <c r="CR137" s="2121"/>
      <c r="CS137" s="2121"/>
      <c r="CT137" s="2121"/>
      <c r="CU137" s="2121"/>
      <c r="CV137" s="1534"/>
      <c r="CW137" s="1534"/>
      <c r="CX137" s="1534"/>
      <c r="CY137" s="1534"/>
      <c r="CZ137" s="1197"/>
    </row>
    <row r="138" spans="1:104" s="1178" customFormat="1" ht="11.25">
      <c r="A138" s="1156"/>
      <c r="B138" s="1156"/>
      <c r="C138" s="1186" t="s">
        <v>1024</v>
      </c>
      <c r="D138" s="1156"/>
      <c r="E138" s="1156"/>
      <c r="F138" s="1337"/>
      <c r="G138" s="1337"/>
      <c r="H138" s="1337"/>
      <c r="I138" s="1337"/>
      <c r="J138" s="1336"/>
      <c r="K138" s="1336"/>
      <c r="L138" s="1336"/>
      <c r="M138" s="1336"/>
      <c r="N138" s="1336"/>
      <c r="O138" s="1336"/>
      <c r="P138" s="1336"/>
      <c r="Q138" s="1336"/>
      <c r="R138" s="1336"/>
      <c r="S138" s="1336"/>
      <c r="T138" s="1336"/>
      <c r="U138" s="1336"/>
      <c r="V138" s="1336"/>
      <c r="W138" s="1336"/>
      <c r="X138" s="1336"/>
      <c r="Y138" s="1336"/>
      <c r="Z138" s="1336"/>
      <c r="AA138" s="1336"/>
      <c r="AB138" s="1336"/>
      <c r="AC138" s="1336"/>
      <c r="AD138" s="1336"/>
      <c r="AE138" s="1336"/>
      <c r="AF138" s="1336"/>
      <c r="AG138" s="1336"/>
      <c r="AH138" s="1336"/>
      <c r="AI138" s="1336"/>
      <c r="AJ138" s="1336"/>
      <c r="AK138" s="1336"/>
      <c r="AL138" s="1336"/>
      <c r="AM138" s="1336"/>
      <c r="AN138" s="1336"/>
      <c r="AO138" s="1336"/>
      <c r="AP138" s="1336"/>
      <c r="AQ138" s="1336"/>
      <c r="AR138" s="1336"/>
      <c r="AS138" s="1336"/>
      <c r="AT138" s="1336"/>
      <c r="AU138" s="1336"/>
      <c r="AV138" s="1336"/>
      <c r="AW138" s="1336"/>
      <c r="AX138" s="1336"/>
      <c r="AY138" s="1240"/>
      <c r="AZ138" s="1240"/>
      <c r="BA138" s="1240"/>
      <c r="BB138" s="1240"/>
      <c r="BC138" s="1240"/>
      <c r="BD138" s="1336"/>
      <c r="BE138" s="1254"/>
      <c r="BF138" s="1541"/>
      <c r="BG138" s="1541"/>
      <c r="BH138" s="1535"/>
      <c r="BI138" s="1336"/>
      <c r="BJ138" s="1336"/>
      <c r="BK138" s="1541"/>
      <c r="BL138" s="1541"/>
      <c r="BM138" s="1539"/>
      <c r="BN138" s="1540"/>
      <c r="BO138" s="1540"/>
      <c r="BP138" s="1540"/>
      <c r="BQ138" s="1540"/>
      <c r="BR138" s="1539"/>
      <c r="BS138" s="1535"/>
      <c r="BT138" s="1535"/>
      <c r="BU138" s="1538"/>
      <c r="BV138" s="1535"/>
      <c r="BW138" s="1222"/>
      <c r="BX138" s="1254"/>
      <c r="BY138" s="1254"/>
      <c r="BZ138" s="1537"/>
      <c r="CA138" s="1254"/>
      <c r="CB138" s="1536"/>
      <c r="CC138" s="1535"/>
      <c r="CD138" s="1535"/>
      <c r="CE138" s="1535"/>
      <c r="CF138" s="1535"/>
      <c r="CG138" s="1253"/>
      <c r="CH138" s="1535"/>
      <c r="CI138" s="1535"/>
      <c r="CJ138" s="1535"/>
      <c r="CK138" s="1535"/>
      <c r="CL138" s="1253"/>
      <c r="CM138" s="1535"/>
      <c r="CN138" s="1535"/>
      <c r="CO138" s="1535"/>
      <c r="CP138" s="1535"/>
      <c r="CQ138" s="1534"/>
      <c r="CR138" s="2121"/>
      <c r="CS138" s="2121"/>
      <c r="CT138" s="2121"/>
      <c r="CU138" s="2121"/>
      <c r="CV138" s="1534"/>
      <c r="CW138" s="1534"/>
      <c r="CX138" s="1534"/>
      <c r="CY138" s="1534"/>
      <c r="CZ138" s="1197"/>
    </row>
    <row r="139" spans="1:104" s="1178" customFormat="1" ht="11.25">
      <c r="A139" s="1156"/>
      <c r="B139" s="1156"/>
      <c r="C139" s="1546" t="s">
        <v>309</v>
      </c>
      <c r="D139" s="1156"/>
      <c r="E139" s="1156"/>
      <c r="F139" s="1337"/>
      <c r="G139" s="1337"/>
      <c r="H139" s="1337"/>
      <c r="I139" s="1337"/>
      <c r="J139" s="1336"/>
      <c r="K139" s="1336"/>
      <c r="L139" s="1336"/>
      <c r="M139" s="1336"/>
      <c r="N139" s="1336"/>
      <c r="O139" s="1336"/>
      <c r="P139" s="1336"/>
      <c r="Q139" s="1336"/>
      <c r="R139" s="1336"/>
      <c r="S139" s="1336"/>
      <c r="T139" s="1336"/>
      <c r="U139" s="1336"/>
      <c r="V139" s="1336"/>
      <c r="W139" s="1336"/>
      <c r="X139" s="1336"/>
      <c r="Y139" s="1336"/>
      <c r="Z139" s="1336"/>
      <c r="AA139" s="1336"/>
      <c r="AB139" s="1336"/>
      <c r="AC139" s="1336"/>
      <c r="AD139" s="1336"/>
      <c r="AE139" s="1336"/>
      <c r="AF139" s="1336"/>
      <c r="AG139" s="1336"/>
      <c r="AH139" s="1336"/>
      <c r="AI139" s="1336"/>
      <c r="AJ139" s="1336"/>
      <c r="AK139" s="1336"/>
      <c r="AL139" s="1336"/>
      <c r="AM139" s="1336"/>
      <c r="AN139" s="1336"/>
      <c r="AO139" s="1336"/>
      <c r="AP139" s="1336"/>
      <c r="AQ139" s="1336"/>
      <c r="AR139" s="1336"/>
      <c r="AS139" s="1336"/>
      <c r="AT139" s="1336"/>
      <c r="AU139" s="1336"/>
      <c r="AV139" s="1336"/>
      <c r="AW139" s="1336"/>
      <c r="AX139" s="1336"/>
      <c r="AY139" s="1240"/>
      <c r="AZ139" s="1240"/>
      <c r="BA139" s="1240"/>
      <c r="BB139" s="1240"/>
      <c r="BC139" s="1240"/>
      <c r="BD139" s="1336"/>
      <c r="BE139" s="1254"/>
      <c r="BF139" s="1541"/>
      <c r="BG139" s="1541"/>
      <c r="BH139" s="1535"/>
      <c r="BI139" s="1336"/>
      <c r="BJ139" s="1336"/>
      <c r="BK139" s="1541"/>
      <c r="BL139" s="1541"/>
      <c r="BM139" s="1539"/>
      <c r="BN139" s="1540"/>
      <c r="BO139" s="1540"/>
      <c r="BP139" s="1540"/>
      <c r="BQ139" s="1540"/>
      <c r="BR139" s="1539"/>
      <c r="BS139" s="1535"/>
      <c r="BT139" s="1535"/>
      <c r="BU139" s="1538"/>
      <c r="BV139" s="1535"/>
      <c r="BW139" s="1222"/>
      <c r="BX139" s="1254"/>
      <c r="BY139" s="1254"/>
      <c r="BZ139" s="1537"/>
      <c r="CA139" s="1254"/>
      <c r="CB139" s="1536"/>
      <c r="CC139" s="1535"/>
      <c r="CD139" s="1535"/>
      <c r="CE139" s="1535"/>
      <c r="CF139" s="1535"/>
      <c r="CG139" s="1253"/>
      <c r="CH139" s="1535"/>
      <c r="CI139" s="1535"/>
      <c r="CJ139" s="1535"/>
      <c r="CK139" s="1535"/>
      <c r="CL139" s="1253"/>
      <c r="CM139" s="1535"/>
      <c r="CN139" s="1535"/>
      <c r="CO139" s="1535"/>
      <c r="CP139" s="1535"/>
      <c r="CQ139" s="1534"/>
      <c r="CR139" s="2121"/>
      <c r="CS139" s="2121"/>
      <c r="CT139" s="2121"/>
      <c r="CU139" s="2121"/>
      <c r="CV139" s="1534"/>
      <c r="CW139" s="1534"/>
      <c r="CX139" s="1534"/>
      <c r="CY139" s="1534"/>
      <c r="CZ139" s="1197"/>
    </row>
    <row r="140" spans="1:104" s="1178" customFormat="1" ht="11.25">
      <c r="A140" s="1156"/>
      <c r="B140" s="1156"/>
      <c r="C140" s="1542"/>
      <c r="D140" s="1156" t="s">
        <v>155</v>
      </c>
      <c r="E140" s="1156"/>
      <c r="F140" s="1337"/>
      <c r="G140" s="1337"/>
      <c r="H140" s="1337"/>
      <c r="I140" s="1337"/>
      <c r="J140" s="1336"/>
      <c r="K140" s="1336"/>
      <c r="L140" s="1336"/>
      <c r="M140" s="1336"/>
      <c r="N140" s="1336"/>
      <c r="O140" s="1336"/>
      <c r="P140" s="1336"/>
      <c r="Q140" s="1336"/>
      <c r="R140" s="1336"/>
      <c r="S140" s="1336"/>
      <c r="T140" s="1336"/>
      <c r="U140" s="1336"/>
      <c r="V140" s="1336"/>
      <c r="W140" s="1336"/>
      <c r="X140" s="1336"/>
      <c r="Y140" s="1336"/>
      <c r="Z140" s="1336"/>
      <c r="AA140" s="1336"/>
      <c r="AB140" s="1336"/>
      <c r="AC140" s="1336"/>
      <c r="AD140" s="1336"/>
      <c r="AE140" s="1336"/>
      <c r="AF140" s="1336"/>
      <c r="AG140" s="1336"/>
      <c r="AH140" s="1336"/>
      <c r="AI140" s="1336"/>
      <c r="AJ140" s="1336"/>
      <c r="AK140" s="1336"/>
      <c r="AL140" s="1336"/>
      <c r="AM140" s="1336"/>
      <c r="AN140" s="1336"/>
      <c r="AO140" s="1336"/>
      <c r="AP140" s="1336"/>
      <c r="AQ140" s="1336"/>
      <c r="AR140" s="1336"/>
      <c r="AS140" s="1336"/>
      <c r="AT140" s="1336"/>
      <c r="AU140" s="1336"/>
      <c r="AV140" s="1336"/>
      <c r="AW140" s="1336"/>
      <c r="AX140" s="1336"/>
      <c r="AY140" s="1240"/>
      <c r="AZ140" s="1240"/>
      <c r="BA140" s="1240"/>
      <c r="BB140" s="1240"/>
      <c r="BC140" s="1240"/>
      <c r="BD140" s="1336"/>
      <c r="BE140" s="1254"/>
      <c r="BF140" s="1541"/>
      <c r="BG140" s="1541"/>
      <c r="BH140" s="1535"/>
      <c r="BI140" s="1336"/>
      <c r="BJ140" s="1336"/>
      <c r="BK140" s="1541"/>
      <c r="BL140" s="1541"/>
      <c r="BM140" s="1539"/>
      <c r="BN140" s="1540"/>
      <c r="BO140" s="1540"/>
      <c r="BP140" s="1540"/>
      <c r="BQ140" s="1540"/>
      <c r="BR140" s="1539"/>
      <c r="BS140" s="1535"/>
      <c r="BT140" s="1535"/>
      <c r="BU140" s="1538"/>
      <c r="BV140" s="1535"/>
      <c r="BW140" s="1222"/>
      <c r="BX140" s="1254"/>
      <c r="BY140" s="1254"/>
      <c r="BZ140" s="1537"/>
      <c r="CA140" s="1254"/>
      <c r="CB140" s="1536">
        <v>0.48</v>
      </c>
      <c r="CC140" s="1535"/>
      <c r="CD140" s="1535"/>
      <c r="CE140" s="1535"/>
      <c r="CF140" s="1535"/>
      <c r="CG140" s="1253"/>
      <c r="CH140" s="1535"/>
      <c r="CI140" s="1535"/>
      <c r="CJ140" s="1535"/>
      <c r="CK140" s="1535"/>
      <c r="CL140" s="1253"/>
      <c r="CM140" s="1535"/>
      <c r="CN140" s="1535"/>
      <c r="CO140" s="1535"/>
      <c r="CP140" s="1535"/>
      <c r="CQ140" s="1534"/>
      <c r="CR140" s="2121"/>
      <c r="CS140" s="2121"/>
      <c r="CT140" s="2121"/>
      <c r="CU140" s="2121"/>
      <c r="CV140" s="1534"/>
      <c r="CW140" s="1534"/>
      <c r="CX140" s="1534"/>
      <c r="CY140" s="1534"/>
      <c r="CZ140" s="1197"/>
    </row>
    <row r="141" spans="1:104" s="1178" customFormat="1" ht="11.25">
      <c r="A141" s="1156"/>
      <c r="B141" s="1156"/>
      <c r="C141" s="1542"/>
      <c r="D141" s="1156" t="s">
        <v>564</v>
      </c>
      <c r="E141" s="1156"/>
      <c r="F141" s="1337"/>
      <c r="G141" s="1337"/>
      <c r="H141" s="1337"/>
      <c r="I141" s="1337"/>
      <c r="J141" s="1336"/>
      <c r="K141" s="1336"/>
      <c r="L141" s="1336"/>
      <c r="M141" s="1336"/>
      <c r="N141" s="1336"/>
      <c r="O141" s="1336"/>
      <c r="P141" s="1336"/>
      <c r="Q141" s="1336"/>
      <c r="R141" s="1336"/>
      <c r="S141" s="1336"/>
      <c r="T141" s="1336"/>
      <c r="U141" s="1336"/>
      <c r="V141" s="1336"/>
      <c r="W141" s="1336"/>
      <c r="X141" s="1336"/>
      <c r="Y141" s="1336"/>
      <c r="Z141" s="1336"/>
      <c r="AA141" s="1336"/>
      <c r="AB141" s="1336"/>
      <c r="AC141" s="1336"/>
      <c r="AD141" s="1336"/>
      <c r="AE141" s="1336"/>
      <c r="AF141" s="1336"/>
      <c r="AG141" s="1336"/>
      <c r="AH141" s="1336"/>
      <c r="AI141" s="1336"/>
      <c r="AJ141" s="1336"/>
      <c r="AK141" s="1336"/>
      <c r="AL141" s="1336"/>
      <c r="AM141" s="1336"/>
      <c r="AN141" s="1336"/>
      <c r="AO141" s="1336"/>
      <c r="AP141" s="1336"/>
      <c r="AQ141" s="1336"/>
      <c r="AR141" s="1336"/>
      <c r="AS141" s="1336"/>
      <c r="AT141" s="1336"/>
      <c r="AU141" s="1336"/>
      <c r="AV141" s="1336"/>
      <c r="AW141" s="1336"/>
      <c r="AX141" s="1336"/>
      <c r="AY141" s="1240"/>
      <c r="AZ141" s="1240"/>
      <c r="BA141" s="1240"/>
      <c r="BB141" s="1240"/>
      <c r="BC141" s="1240"/>
      <c r="BD141" s="1336"/>
      <c r="BE141" s="1254"/>
      <c r="BF141" s="1541"/>
      <c r="BG141" s="1541"/>
      <c r="BH141" s="1535"/>
      <c r="BI141" s="1336"/>
      <c r="BJ141" s="1336"/>
      <c r="BK141" s="1541"/>
      <c r="BL141" s="1541"/>
      <c r="BM141" s="1539"/>
      <c r="BN141" s="1540"/>
      <c r="BO141" s="1540"/>
      <c r="BP141" s="1540"/>
      <c r="BQ141" s="1540"/>
      <c r="BR141" s="1539"/>
      <c r="BS141" s="1535"/>
      <c r="BT141" s="1535"/>
      <c r="BU141" s="1538"/>
      <c r="BV141" s="1535"/>
      <c r="BW141" s="1222"/>
      <c r="BX141" s="1254"/>
      <c r="BY141" s="1254"/>
      <c r="BZ141" s="1537"/>
      <c r="CA141" s="1254"/>
      <c r="CB141" s="1536">
        <v>0.25</v>
      </c>
      <c r="CC141" s="1535"/>
      <c r="CD141" s="1535"/>
      <c r="CE141" s="1535"/>
      <c r="CF141" s="1535"/>
      <c r="CG141" s="1253"/>
      <c r="CH141" s="1535"/>
      <c r="CI141" s="1535"/>
      <c r="CJ141" s="1535"/>
      <c r="CK141" s="1535"/>
      <c r="CL141" s="1253"/>
      <c r="CM141" s="1535"/>
      <c r="CN141" s="1535"/>
      <c r="CO141" s="1535"/>
      <c r="CP141" s="1535"/>
      <c r="CQ141" s="1534"/>
      <c r="CR141" s="2121"/>
      <c r="CS141" s="2121"/>
      <c r="CT141" s="2121"/>
      <c r="CU141" s="2121"/>
      <c r="CV141" s="1534"/>
      <c r="CW141" s="1534"/>
      <c r="CX141" s="1534"/>
      <c r="CY141" s="1534"/>
      <c r="CZ141" s="1197"/>
    </row>
    <row r="142" spans="1:104" s="1178" customFormat="1" ht="11.25">
      <c r="A142" s="1156"/>
      <c r="B142" s="1156"/>
      <c r="C142" s="1542"/>
      <c r="D142" s="1156" t="s">
        <v>832</v>
      </c>
      <c r="E142" s="1156"/>
      <c r="F142" s="1337"/>
      <c r="G142" s="1337"/>
      <c r="H142" s="1337"/>
      <c r="I142" s="1337"/>
      <c r="J142" s="1336"/>
      <c r="K142" s="1336"/>
      <c r="L142" s="1336"/>
      <c r="M142" s="1336"/>
      <c r="N142" s="1336"/>
      <c r="O142" s="1336"/>
      <c r="P142" s="1336"/>
      <c r="Q142" s="1336"/>
      <c r="R142" s="1336"/>
      <c r="S142" s="1336"/>
      <c r="T142" s="1336"/>
      <c r="U142" s="1336"/>
      <c r="V142" s="1336"/>
      <c r="W142" s="1336"/>
      <c r="X142" s="1336"/>
      <c r="Y142" s="1336"/>
      <c r="Z142" s="1336"/>
      <c r="AA142" s="1336"/>
      <c r="AB142" s="1336"/>
      <c r="AC142" s="1336"/>
      <c r="AD142" s="1336"/>
      <c r="AE142" s="1336"/>
      <c r="AF142" s="1336"/>
      <c r="AG142" s="1336"/>
      <c r="AH142" s="1336"/>
      <c r="AI142" s="1336"/>
      <c r="AJ142" s="1336"/>
      <c r="AK142" s="1336"/>
      <c r="AL142" s="1336"/>
      <c r="AM142" s="1336"/>
      <c r="AN142" s="1336"/>
      <c r="AO142" s="1336"/>
      <c r="AP142" s="1336"/>
      <c r="AQ142" s="1336"/>
      <c r="AR142" s="1336"/>
      <c r="AS142" s="1336"/>
      <c r="AT142" s="1336"/>
      <c r="AU142" s="1336"/>
      <c r="AV142" s="1336"/>
      <c r="AW142" s="1336"/>
      <c r="AX142" s="1336"/>
      <c r="AY142" s="1240"/>
      <c r="AZ142" s="1240"/>
      <c r="BA142" s="1240"/>
      <c r="BB142" s="1240"/>
      <c r="BC142" s="1240"/>
      <c r="BD142" s="1336"/>
      <c r="BE142" s="1254"/>
      <c r="BF142" s="1541"/>
      <c r="BG142" s="1541"/>
      <c r="BH142" s="1535"/>
      <c r="BI142" s="1336"/>
      <c r="BJ142" s="1336"/>
      <c r="BK142" s="1541"/>
      <c r="BL142" s="1541"/>
      <c r="BM142" s="1539"/>
      <c r="BN142" s="1540"/>
      <c r="BO142" s="1540"/>
      <c r="BP142" s="1540"/>
      <c r="BQ142" s="1540"/>
      <c r="BR142" s="1539"/>
      <c r="BS142" s="1535"/>
      <c r="BT142" s="1535"/>
      <c r="BU142" s="1538"/>
      <c r="BV142" s="1535"/>
      <c r="BW142" s="1222"/>
      <c r="BX142" s="1254"/>
      <c r="BY142" s="1254"/>
      <c r="BZ142" s="1537"/>
      <c r="CA142" s="1254"/>
      <c r="CB142" s="1536">
        <v>0.15</v>
      </c>
      <c r="CC142" s="1535"/>
      <c r="CD142" s="1535"/>
      <c r="CE142" s="1535"/>
      <c r="CF142" s="1535"/>
      <c r="CG142" s="1253"/>
      <c r="CH142" s="1535"/>
      <c r="CI142" s="1535"/>
      <c r="CJ142" s="1535"/>
      <c r="CK142" s="1535"/>
      <c r="CL142" s="1253"/>
      <c r="CM142" s="1535"/>
      <c r="CN142" s="1535"/>
      <c r="CO142" s="1535"/>
      <c r="CP142" s="1535"/>
      <c r="CQ142" s="1534"/>
      <c r="CR142" s="2121"/>
      <c r="CS142" s="2121"/>
      <c r="CT142" s="2121"/>
      <c r="CU142" s="2121"/>
      <c r="CV142" s="1534"/>
      <c r="CW142" s="1534"/>
      <c r="CX142" s="1534"/>
      <c r="CY142" s="1534"/>
      <c r="CZ142" s="1197"/>
    </row>
    <row r="143" spans="1:104" s="1178" customFormat="1" ht="11.25">
      <c r="A143" s="1156"/>
      <c r="B143" s="1156"/>
      <c r="C143" s="1542"/>
      <c r="D143" s="1156" t="s">
        <v>671</v>
      </c>
      <c r="E143" s="1156"/>
      <c r="F143" s="1337"/>
      <c r="G143" s="1337"/>
      <c r="H143" s="1337"/>
      <c r="I143" s="1337"/>
      <c r="J143" s="1336"/>
      <c r="K143" s="1336"/>
      <c r="L143" s="1336"/>
      <c r="M143" s="1336"/>
      <c r="N143" s="1336"/>
      <c r="O143" s="1336"/>
      <c r="P143" s="1336"/>
      <c r="Q143" s="1336"/>
      <c r="R143" s="1336"/>
      <c r="S143" s="1336"/>
      <c r="T143" s="1336"/>
      <c r="U143" s="1336"/>
      <c r="V143" s="1336"/>
      <c r="W143" s="1336"/>
      <c r="X143" s="1336"/>
      <c r="Y143" s="1336"/>
      <c r="Z143" s="1336"/>
      <c r="AA143" s="1336"/>
      <c r="AB143" s="1336"/>
      <c r="AC143" s="1336"/>
      <c r="AD143" s="1336"/>
      <c r="AE143" s="1336"/>
      <c r="AF143" s="1336"/>
      <c r="AG143" s="1336"/>
      <c r="AH143" s="1336"/>
      <c r="AI143" s="1336"/>
      <c r="AJ143" s="1336"/>
      <c r="AK143" s="1336"/>
      <c r="AL143" s="1336"/>
      <c r="AM143" s="1336"/>
      <c r="AN143" s="1336"/>
      <c r="AO143" s="1336"/>
      <c r="AP143" s="1336"/>
      <c r="AQ143" s="1336"/>
      <c r="AR143" s="1336"/>
      <c r="AS143" s="1336"/>
      <c r="AT143" s="1336"/>
      <c r="AU143" s="1336"/>
      <c r="AV143" s="1336"/>
      <c r="AW143" s="1336"/>
      <c r="AX143" s="1336"/>
      <c r="AY143" s="1240"/>
      <c r="AZ143" s="1240"/>
      <c r="BA143" s="1240"/>
      <c r="BB143" s="1240"/>
      <c r="BC143" s="1240"/>
      <c r="BD143" s="1336"/>
      <c r="BE143" s="1254"/>
      <c r="BF143" s="1541"/>
      <c r="BG143" s="1541"/>
      <c r="BH143" s="1535"/>
      <c r="BI143" s="1336"/>
      <c r="BJ143" s="1336"/>
      <c r="BK143" s="1541"/>
      <c r="BL143" s="1541"/>
      <c r="BM143" s="1539"/>
      <c r="BN143" s="1540"/>
      <c r="BO143" s="1540"/>
      <c r="BP143" s="1540"/>
      <c r="BQ143" s="1540"/>
      <c r="BR143" s="1539"/>
      <c r="BS143" s="1535"/>
      <c r="BT143" s="1535"/>
      <c r="BU143" s="1538"/>
      <c r="BV143" s="1535"/>
      <c r="BW143" s="1222"/>
      <c r="BX143" s="1254"/>
      <c r="BY143" s="1254"/>
      <c r="BZ143" s="1537"/>
      <c r="CA143" s="1254"/>
      <c r="CB143" s="1536">
        <f>1-SUM(CB140:CB142)</f>
        <v>0.12</v>
      </c>
      <c r="CC143" s="1535"/>
      <c r="CD143" s="1535"/>
      <c r="CE143" s="1535"/>
      <c r="CF143" s="1535"/>
      <c r="CG143" s="1253"/>
      <c r="CH143" s="1535"/>
      <c r="CI143" s="1535"/>
      <c r="CJ143" s="1535"/>
      <c r="CK143" s="1535"/>
      <c r="CL143" s="1253"/>
      <c r="CM143" s="1535"/>
      <c r="CN143" s="1535"/>
      <c r="CO143" s="1535"/>
      <c r="CP143" s="1535"/>
      <c r="CQ143" s="1534"/>
      <c r="CR143" s="2121"/>
      <c r="CS143" s="2121"/>
      <c r="CT143" s="2121"/>
      <c r="CU143" s="2121"/>
      <c r="CV143" s="1534"/>
      <c r="CW143" s="1534"/>
      <c r="CX143" s="1534"/>
      <c r="CY143" s="1534"/>
      <c r="CZ143" s="1197"/>
    </row>
    <row r="144" spans="1:104" s="1178" customFormat="1" ht="11.25">
      <c r="A144" s="1156"/>
      <c r="B144" s="1156"/>
      <c r="C144" s="1542"/>
      <c r="D144" s="1156"/>
      <c r="E144" s="1156"/>
      <c r="F144" s="1337"/>
      <c r="G144" s="1337"/>
      <c r="H144" s="1337"/>
      <c r="I144" s="1337"/>
      <c r="J144" s="1336"/>
      <c r="K144" s="1336"/>
      <c r="L144" s="1336"/>
      <c r="M144" s="1336"/>
      <c r="N144" s="1336"/>
      <c r="O144" s="1336"/>
      <c r="P144" s="1336"/>
      <c r="Q144" s="1336"/>
      <c r="R144" s="1336"/>
      <c r="S144" s="1336"/>
      <c r="T144" s="1336"/>
      <c r="U144" s="1336"/>
      <c r="V144" s="1336"/>
      <c r="W144" s="1336"/>
      <c r="X144" s="1336"/>
      <c r="Y144" s="1336"/>
      <c r="Z144" s="1336"/>
      <c r="AA144" s="1336"/>
      <c r="AB144" s="1336"/>
      <c r="AC144" s="1336"/>
      <c r="AD144" s="1336"/>
      <c r="AE144" s="1336"/>
      <c r="AF144" s="1336"/>
      <c r="AG144" s="1336"/>
      <c r="AH144" s="1336"/>
      <c r="AI144" s="1336"/>
      <c r="AJ144" s="1336"/>
      <c r="AK144" s="1336"/>
      <c r="AL144" s="1336"/>
      <c r="AM144" s="1336"/>
      <c r="AN144" s="1336"/>
      <c r="AO144" s="1336"/>
      <c r="AP144" s="1336"/>
      <c r="AQ144" s="1336"/>
      <c r="AR144" s="1336"/>
      <c r="AS144" s="1336"/>
      <c r="AT144" s="1336"/>
      <c r="AU144" s="1336"/>
      <c r="AV144" s="1336"/>
      <c r="AW144" s="1336"/>
      <c r="AX144" s="1336"/>
      <c r="AY144" s="1240"/>
      <c r="AZ144" s="1240"/>
      <c r="BA144" s="1240"/>
      <c r="BB144" s="1240"/>
      <c r="BC144" s="1240"/>
      <c r="BD144" s="1336"/>
      <c r="BE144" s="1254"/>
      <c r="BF144" s="1541"/>
      <c r="BG144" s="1541"/>
      <c r="BH144" s="1535"/>
      <c r="BI144" s="1336"/>
      <c r="BJ144" s="1336"/>
      <c r="BK144" s="1541"/>
      <c r="BL144" s="1541"/>
      <c r="BM144" s="1539"/>
      <c r="BN144" s="1540"/>
      <c r="BO144" s="1540"/>
      <c r="BP144" s="1540"/>
      <c r="BQ144" s="1540"/>
      <c r="BR144" s="1539"/>
      <c r="BS144" s="1535"/>
      <c r="BT144" s="1535"/>
      <c r="BU144" s="1538"/>
      <c r="BV144" s="1535"/>
      <c r="BW144" s="1222"/>
      <c r="BX144" s="1254"/>
      <c r="BY144" s="1254"/>
      <c r="BZ144" s="1537"/>
      <c r="CA144" s="1254"/>
      <c r="CB144" s="1536"/>
      <c r="CC144" s="1535"/>
      <c r="CD144" s="1535"/>
      <c r="CE144" s="1535"/>
      <c r="CF144" s="1535"/>
      <c r="CG144" s="1253"/>
      <c r="CH144" s="1535"/>
      <c r="CI144" s="1535"/>
      <c r="CJ144" s="1535"/>
      <c r="CK144" s="1535"/>
      <c r="CL144" s="1253"/>
      <c r="CM144" s="1535"/>
      <c r="CN144" s="1535"/>
      <c r="CO144" s="1535"/>
      <c r="CP144" s="1535"/>
      <c r="CQ144" s="1534"/>
      <c r="CR144" s="2121"/>
      <c r="CS144" s="2121"/>
      <c r="CT144" s="2121"/>
      <c r="CU144" s="2121"/>
      <c r="CV144" s="1534"/>
      <c r="CW144" s="1534"/>
      <c r="CX144" s="1534"/>
      <c r="CY144" s="1534"/>
      <c r="CZ144" s="1197"/>
    </row>
    <row r="145" spans="1:104" s="1178" customFormat="1" ht="11.25">
      <c r="A145" s="1156"/>
      <c r="B145" s="1156"/>
      <c r="C145" s="1546" t="s">
        <v>683</v>
      </c>
      <c r="D145" s="1156"/>
      <c r="E145" s="1156"/>
      <c r="F145" s="1337"/>
      <c r="G145" s="1337"/>
      <c r="H145" s="1337"/>
      <c r="I145" s="1337"/>
      <c r="J145" s="1336"/>
      <c r="K145" s="1336"/>
      <c r="L145" s="1336"/>
      <c r="M145" s="1336"/>
      <c r="N145" s="1336"/>
      <c r="O145" s="1336"/>
      <c r="P145" s="1336"/>
      <c r="Q145" s="1336"/>
      <c r="R145" s="1336"/>
      <c r="S145" s="1336"/>
      <c r="T145" s="1336"/>
      <c r="U145" s="1336"/>
      <c r="V145" s="1336"/>
      <c r="W145" s="1336"/>
      <c r="X145" s="1336"/>
      <c r="Y145" s="1336"/>
      <c r="Z145" s="1336"/>
      <c r="AA145" s="1336"/>
      <c r="AB145" s="1336"/>
      <c r="AC145" s="1336"/>
      <c r="AD145" s="1336"/>
      <c r="AE145" s="1336"/>
      <c r="AF145" s="1336"/>
      <c r="AG145" s="1336"/>
      <c r="AH145" s="1336"/>
      <c r="AI145" s="1336"/>
      <c r="AJ145" s="1336"/>
      <c r="AK145" s="1336"/>
      <c r="AL145" s="1336"/>
      <c r="AM145" s="1336"/>
      <c r="AN145" s="1336"/>
      <c r="AO145" s="1336"/>
      <c r="AP145" s="1336"/>
      <c r="AQ145" s="1336"/>
      <c r="AR145" s="1336"/>
      <c r="AS145" s="1336"/>
      <c r="AT145" s="1336"/>
      <c r="AU145" s="1336"/>
      <c r="AV145" s="1336"/>
      <c r="AW145" s="1336"/>
      <c r="AX145" s="1336"/>
      <c r="AY145" s="1240"/>
      <c r="AZ145" s="1240"/>
      <c r="BA145" s="1240"/>
      <c r="BB145" s="1240"/>
      <c r="BC145" s="1240"/>
      <c r="BD145" s="1336"/>
      <c r="BE145" s="1254"/>
      <c r="BF145" s="1541"/>
      <c r="BG145" s="1541"/>
      <c r="BH145" s="1535"/>
      <c r="BI145" s="1336"/>
      <c r="BJ145" s="1336"/>
      <c r="BK145" s="1541"/>
      <c r="BL145" s="1541"/>
      <c r="BM145" s="1539"/>
      <c r="BN145" s="1540"/>
      <c r="BO145" s="1540"/>
      <c r="BP145" s="1540"/>
      <c r="BQ145" s="1540"/>
      <c r="BR145" s="1539"/>
      <c r="BS145" s="1535"/>
      <c r="BT145" s="1535"/>
      <c r="BU145" s="1538"/>
      <c r="BV145" s="1535"/>
      <c r="BW145" s="1222"/>
      <c r="BX145" s="1254"/>
      <c r="BY145" s="1254"/>
      <c r="BZ145" s="1537"/>
      <c r="CA145" s="1254"/>
      <c r="CB145" s="1536"/>
      <c r="CC145" s="1535"/>
      <c r="CD145" s="1535"/>
      <c r="CE145" s="1535"/>
      <c r="CF145" s="1535"/>
      <c r="CG145" s="1253"/>
      <c r="CH145" s="1535"/>
      <c r="CI145" s="1535"/>
      <c r="CJ145" s="1535"/>
      <c r="CK145" s="1535"/>
      <c r="CL145" s="1253"/>
      <c r="CM145" s="1535"/>
      <c r="CN145" s="1535"/>
      <c r="CO145" s="1535"/>
      <c r="CP145" s="1535"/>
      <c r="CQ145" s="1534"/>
      <c r="CR145" s="2121"/>
      <c r="CS145" s="2121"/>
      <c r="CT145" s="2121"/>
      <c r="CU145" s="2121"/>
      <c r="CV145" s="1534"/>
      <c r="CW145" s="1534"/>
      <c r="CX145" s="1534"/>
      <c r="CY145" s="1534"/>
      <c r="CZ145" s="1197"/>
    </row>
    <row r="146" spans="1:104" s="1178" customFormat="1" ht="11.25">
      <c r="A146" s="1156"/>
      <c r="B146" s="1156"/>
      <c r="C146" s="1542"/>
      <c r="D146" s="1156" t="s">
        <v>155</v>
      </c>
      <c r="E146" s="1156"/>
      <c r="F146" s="1337"/>
      <c r="G146" s="1337"/>
      <c r="H146" s="1337"/>
      <c r="I146" s="1337"/>
      <c r="J146" s="1336"/>
      <c r="K146" s="1336"/>
      <c r="L146" s="1336"/>
      <c r="M146" s="1336"/>
      <c r="N146" s="1336"/>
      <c r="O146" s="1336"/>
      <c r="P146" s="1336"/>
      <c r="Q146" s="1336"/>
      <c r="R146" s="1336"/>
      <c r="S146" s="1336"/>
      <c r="T146" s="1336"/>
      <c r="U146" s="1336"/>
      <c r="V146" s="1336"/>
      <c r="W146" s="1336"/>
      <c r="X146" s="1336"/>
      <c r="Y146" s="1336"/>
      <c r="Z146" s="1336"/>
      <c r="AA146" s="1336"/>
      <c r="AB146" s="1336"/>
      <c r="AC146" s="1336"/>
      <c r="AD146" s="1336"/>
      <c r="AE146" s="1336"/>
      <c r="AF146" s="1336"/>
      <c r="AG146" s="1336"/>
      <c r="AH146" s="1336"/>
      <c r="AI146" s="1336"/>
      <c r="AJ146" s="1336"/>
      <c r="AK146" s="1336"/>
      <c r="AL146" s="1336"/>
      <c r="AM146" s="1336"/>
      <c r="AN146" s="1336"/>
      <c r="AO146" s="1336"/>
      <c r="AP146" s="1336"/>
      <c r="AQ146" s="1336"/>
      <c r="AR146" s="1336"/>
      <c r="AS146" s="1336"/>
      <c r="AT146" s="1336"/>
      <c r="AU146" s="1336"/>
      <c r="AV146" s="1336"/>
      <c r="AW146" s="1336"/>
      <c r="AX146" s="1336"/>
      <c r="AY146" s="1240"/>
      <c r="AZ146" s="1240"/>
      <c r="BA146" s="1240"/>
      <c r="BB146" s="1240"/>
      <c r="BC146" s="1240"/>
      <c r="BD146" s="1336"/>
      <c r="BE146" s="1254"/>
      <c r="BF146" s="1541"/>
      <c r="BG146" s="1541"/>
      <c r="BH146" s="1535"/>
      <c r="BI146" s="1336"/>
      <c r="BJ146" s="1336"/>
      <c r="BK146" s="1541"/>
      <c r="BL146" s="1541"/>
      <c r="BM146" s="1539"/>
      <c r="BN146" s="1540"/>
      <c r="BO146" s="1540"/>
      <c r="BP146" s="1540"/>
      <c r="BQ146" s="1540"/>
      <c r="BR146" s="1539"/>
      <c r="BS146" s="1535"/>
      <c r="BT146" s="1535"/>
      <c r="BU146" s="1538"/>
      <c r="BV146" s="1535"/>
      <c r="BW146" s="1539">
        <f>BW71/$BW$75</f>
        <v>0.34238284627356042</v>
      </c>
      <c r="BX146" s="1254"/>
      <c r="BY146" s="1254"/>
      <c r="BZ146" s="1537"/>
      <c r="CA146" s="1254"/>
      <c r="CB146" s="1536">
        <v>0.38</v>
      </c>
      <c r="CC146" s="1535"/>
      <c r="CD146" s="1535"/>
      <c r="CE146" s="1535"/>
      <c r="CF146" s="1535"/>
      <c r="CG146" s="1253"/>
      <c r="CH146" s="1535"/>
      <c r="CI146" s="1535"/>
      <c r="CJ146" s="1535"/>
      <c r="CK146" s="1535"/>
      <c r="CL146" s="1253"/>
      <c r="CM146" s="1535"/>
      <c r="CN146" s="1535"/>
      <c r="CO146" s="1535"/>
      <c r="CP146" s="1535"/>
      <c r="CQ146" s="1534"/>
      <c r="CR146" s="2121"/>
      <c r="CS146" s="2121"/>
      <c r="CT146" s="2121"/>
      <c r="CU146" s="2121"/>
      <c r="CV146" s="1534"/>
      <c r="CW146" s="1534"/>
      <c r="CX146" s="1534"/>
      <c r="CY146" s="1534"/>
      <c r="CZ146" s="1197"/>
    </row>
    <row r="147" spans="1:104" s="1178" customFormat="1" ht="11.25">
      <c r="A147" s="1156"/>
      <c r="B147" s="1156"/>
      <c r="C147" s="1542"/>
      <c r="D147" s="1156" t="s">
        <v>564</v>
      </c>
      <c r="E147" s="1156"/>
      <c r="F147" s="1337"/>
      <c r="G147" s="1337"/>
      <c r="H147" s="1337"/>
      <c r="I147" s="1337"/>
      <c r="J147" s="1336"/>
      <c r="K147" s="1336"/>
      <c r="L147" s="1336"/>
      <c r="M147" s="1336"/>
      <c r="N147" s="1336"/>
      <c r="O147" s="1336"/>
      <c r="P147" s="1336"/>
      <c r="Q147" s="1336"/>
      <c r="R147" s="1336"/>
      <c r="S147" s="1336"/>
      <c r="T147" s="1336"/>
      <c r="U147" s="1336"/>
      <c r="V147" s="1336"/>
      <c r="W147" s="1336"/>
      <c r="X147" s="1336"/>
      <c r="Y147" s="1336"/>
      <c r="Z147" s="1336"/>
      <c r="AA147" s="1336"/>
      <c r="AB147" s="1336"/>
      <c r="AC147" s="1336"/>
      <c r="AD147" s="1336"/>
      <c r="AE147" s="1336"/>
      <c r="AF147" s="1336"/>
      <c r="AG147" s="1336"/>
      <c r="AH147" s="1336"/>
      <c r="AI147" s="1336"/>
      <c r="AJ147" s="1336"/>
      <c r="AK147" s="1336"/>
      <c r="AL147" s="1336"/>
      <c r="AM147" s="1336"/>
      <c r="AN147" s="1336"/>
      <c r="AO147" s="1336"/>
      <c r="AP147" s="1336"/>
      <c r="AQ147" s="1336"/>
      <c r="AR147" s="1336"/>
      <c r="AS147" s="1336"/>
      <c r="AT147" s="1336"/>
      <c r="AU147" s="1336"/>
      <c r="AV147" s="1336"/>
      <c r="AW147" s="1336"/>
      <c r="AX147" s="1336"/>
      <c r="AY147" s="1240"/>
      <c r="AZ147" s="1240"/>
      <c r="BA147" s="1240"/>
      <c r="BB147" s="1240"/>
      <c r="BC147" s="1240"/>
      <c r="BD147" s="1336"/>
      <c r="BE147" s="1254"/>
      <c r="BF147" s="1541"/>
      <c r="BG147" s="1541"/>
      <c r="BH147" s="1535"/>
      <c r="BI147" s="1336"/>
      <c r="BJ147" s="1336"/>
      <c r="BK147" s="1541"/>
      <c r="BL147" s="1541"/>
      <c r="BM147" s="1539"/>
      <c r="BN147" s="1540"/>
      <c r="BO147" s="1540"/>
      <c r="BP147" s="1540"/>
      <c r="BQ147" s="1540"/>
      <c r="BR147" s="1539"/>
      <c r="BS147" s="1535"/>
      <c r="BT147" s="1535"/>
      <c r="BU147" s="1538"/>
      <c r="BV147" s="1535"/>
      <c r="BW147" s="1539">
        <f>BW72/$BW$75</f>
        <v>0.41068649489884146</v>
      </c>
      <c r="BX147" s="1254"/>
      <c r="BY147" s="1254"/>
      <c r="BZ147" s="1537"/>
      <c r="CA147" s="1254"/>
      <c r="CB147" s="1536">
        <v>0.42</v>
      </c>
      <c r="CC147" s="1535"/>
      <c r="CD147" s="1535"/>
      <c r="CE147" s="1535"/>
      <c r="CF147" s="1535"/>
      <c r="CG147" s="1253"/>
      <c r="CH147" s="1535"/>
      <c r="CI147" s="1535"/>
      <c r="CJ147" s="1535"/>
      <c r="CK147" s="1535"/>
      <c r="CL147" s="1253"/>
      <c r="CM147" s="1535"/>
      <c r="CN147" s="1535"/>
      <c r="CO147" s="1535"/>
      <c r="CP147" s="1535"/>
      <c r="CQ147" s="1534"/>
      <c r="CR147" s="2121"/>
      <c r="CS147" s="2121"/>
      <c r="CT147" s="2121"/>
      <c r="CU147" s="2121"/>
      <c r="CV147" s="1534"/>
      <c r="CW147" s="1534"/>
      <c r="CX147" s="1534"/>
      <c r="CY147" s="1534"/>
      <c r="CZ147" s="1197"/>
    </row>
    <row r="148" spans="1:104" s="1178" customFormat="1" ht="11.25">
      <c r="A148" s="1156"/>
      <c r="B148" s="1156"/>
      <c r="C148" s="1542"/>
      <c r="D148" s="1156" t="s">
        <v>832</v>
      </c>
      <c r="E148" s="1156"/>
      <c r="F148" s="1337"/>
      <c r="G148" s="1337"/>
      <c r="H148" s="1337"/>
      <c r="I148" s="1337"/>
      <c r="J148" s="1336"/>
      <c r="K148" s="1336"/>
      <c r="L148" s="1336"/>
      <c r="M148" s="1336"/>
      <c r="N148" s="1336"/>
      <c r="O148" s="1336"/>
      <c r="P148" s="1336"/>
      <c r="Q148" s="1336"/>
      <c r="R148" s="1336"/>
      <c r="S148" s="1336"/>
      <c r="T148" s="1336"/>
      <c r="U148" s="1336"/>
      <c r="V148" s="1336"/>
      <c r="W148" s="1336"/>
      <c r="X148" s="1336"/>
      <c r="Y148" s="1336"/>
      <c r="Z148" s="1336"/>
      <c r="AA148" s="1336"/>
      <c r="AB148" s="1336"/>
      <c r="AC148" s="1336"/>
      <c r="AD148" s="1336"/>
      <c r="AE148" s="1336"/>
      <c r="AF148" s="1336"/>
      <c r="AG148" s="1336"/>
      <c r="AH148" s="1336"/>
      <c r="AI148" s="1336"/>
      <c r="AJ148" s="1336"/>
      <c r="AK148" s="1336"/>
      <c r="AL148" s="1336"/>
      <c r="AM148" s="1336"/>
      <c r="AN148" s="1336"/>
      <c r="AO148" s="1336"/>
      <c r="AP148" s="1336"/>
      <c r="AQ148" s="1336"/>
      <c r="AR148" s="1336"/>
      <c r="AS148" s="1336"/>
      <c r="AT148" s="1336"/>
      <c r="AU148" s="1336"/>
      <c r="AV148" s="1336"/>
      <c r="AW148" s="1336"/>
      <c r="AX148" s="1336"/>
      <c r="AY148" s="1240"/>
      <c r="AZ148" s="1240"/>
      <c r="BA148" s="1240"/>
      <c r="BB148" s="1240"/>
      <c r="BC148" s="1240"/>
      <c r="BD148" s="1336"/>
      <c r="BE148" s="1254"/>
      <c r="BF148" s="1541"/>
      <c r="BG148" s="1541"/>
      <c r="BH148" s="1535"/>
      <c r="BI148" s="1336"/>
      <c r="BJ148" s="1336"/>
      <c r="BK148" s="1541"/>
      <c r="BL148" s="1541"/>
      <c r="BM148" s="1539"/>
      <c r="BN148" s="1540"/>
      <c r="BO148" s="1540"/>
      <c r="BP148" s="1540"/>
      <c r="BQ148" s="1540"/>
      <c r="BR148" s="1539"/>
      <c r="BS148" s="1535"/>
      <c r="BT148" s="1535"/>
      <c r="BU148" s="1538"/>
      <c r="BV148" s="1535"/>
      <c r="BW148" s="1539">
        <f>BW73/$BW$75</f>
        <v>0.24693065882759813</v>
      </c>
      <c r="BX148" s="1254"/>
      <c r="BY148" s="1254"/>
      <c r="BZ148" s="1537"/>
      <c r="CA148" s="1254"/>
      <c r="CB148" s="1536">
        <v>0.2</v>
      </c>
      <c r="CC148" s="1535"/>
      <c r="CD148" s="1535"/>
      <c r="CE148" s="1535"/>
      <c r="CF148" s="1535"/>
      <c r="CG148" s="1253"/>
      <c r="CH148" s="1535"/>
      <c r="CI148" s="1535"/>
      <c r="CJ148" s="1535"/>
      <c r="CK148" s="1535"/>
      <c r="CL148" s="1253"/>
      <c r="CM148" s="1535"/>
      <c r="CN148" s="1535"/>
      <c r="CO148" s="1535"/>
      <c r="CP148" s="1535"/>
      <c r="CQ148" s="1534"/>
      <c r="CR148" s="2121"/>
      <c r="CS148" s="2121"/>
      <c r="CT148" s="2121"/>
      <c r="CU148" s="2121"/>
      <c r="CV148" s="1534"/>
      <c r="CW148" s="1534"/>
      <c r="CX148" s="1534"/>
      <c r="CY148" s="1534"/>
      <c r="CZ148" s="1197"/>
    </row>
    <row r="149" spans="1:104" s="1178" customFormat="1" ht="11.25">
      <c r="A149" s="1220"/>
      <c r="B149" s="1039" t="s">
        <v>711</v>
      </c>
      <c r="C149" s="1220"/>
      <c r="D149" s="1220"/>
      <c r="E149" s="1220"/>
      <c r="F149" s="1220"/>
      <c r="G149" s="1220"/>
      <c r="H149" s="1220"/>
      <c r="I149" s="1220"/>
      <c r="J149" s="1220"/>
      <c r="K149" s="1220"/>
      <c r="L149" s="1220"/>
      <c r="M149" s="1220"/>
      <c r="N149" s="1220"/>
      <c r="O149" s="1220"/>
      <c r="P149" s="1220"/>
      <c r="Q149" s="1220"/>
      <c r="R149" s="1220"/>
      <c r="S149" s="1220"/>
      <c r="T149" s="1220"/>
      <c r="U149" s="1220"/>
      <c r="V149" s="1220"/>
      <c r="W149" s="1220"/>
      <c r="X149" s="1220"/>
      <c r="Y149" s="1220"/>
      <c r="Z149" s="1220"/>
      <c r="AA149" s="1220"/>
      <c r="AB149" s="1220"/>
      <c r="AC149" s="1220"/>
      <c r="AD149" s="1220"/>
      <c r="AE149" s="1220"/>
      <c r="AF149" s="1220"/>
      <c r="AG149" s="1220"/>
      <c r="AH149" s="1220"/>
      <c r="AI149" s="1220"/>
      <c r="AJ149" s="1220"/>
      <c r="AK149" s="1220"/>
      <c r="AL149" s="1220"/>
      <c r="AM149" s="1220"/>
      <c r="AN149" s="1220"/>
      <c r="AO149" s="1220"/>
      <c r="AP149" s="1220"/>
      <c r="AQ149" s="1220"/>
      <c r="AR149" s="1220"/>
      <c r="AS149" s="1220"/>
      <c r="AT149" s="1220"/>
      <c r="AU149" s="1220"/>
      <c r="AV149" s="1220"/>
      <c r="AW149" s="1220"/>
      <c r="AX149" s="1220"/>
      <c r="AY149" s="1220"/>
      <c r="AZ149" s="1220"/>
      <c r="BA149" s="1220"/>
      <c r="BB149" s="1220"/>
      <c r="BC149" s="1220"/>
      <c r="BD149" s="1220"/>
      <c r="BE149" s="1220"/>
      <c r="BF149" s="1220"/>
      <c r="BG149" s="1220"/>
      <c r="BH149" s="1220"/>
      <c r="BI149" s="1220"/>
      <c r="BJ149" s="1220"/>
      <c r="BK149" s="1220"/>
      <c r="BL149" s="1220"/>
      <c r="BM149" s="1220"/>
      <c r="BN149" s="1220"/>
      <c r="BO149" s="1220"/>
      <c r="BP149" s="1220"/>
      <c r="BQ149" s="1220"/>
      <c r="BR149" s="1220"/>
      <c r="BS149" s="1220"/>
      <c r="BT149" s="1220"/>
      <c r="BU149" s="1220"/>
      <c r="BV149" s="1220"/>
      <c r="BW149" s="1220"/>
      <c r="BX149" s="1220"/>
      <c r="BY149" s="1220"/>
      <c r="BZ149" s="1220"/>
      <c r="CA149" s="1220"/>
      <c r="CB149" s="1545"/>
      <c r="CC149" s="1220"/>
      <c r="CD149" s="1220"/>
      <c r="CE149" s="1220"/>
      <c r="CF149" s="1220"/>
      <c r="CG149" s="1545"/>
      <c r="CH149" s="1220"/>
      <c r="CI149" s="1220"/>
      <c r="CJ149" s="1220"/>
      <c r="CK149" s="1220"/>
      <c r="CL149" s="1545"/>
      <c r="CM149" s="1220"/>
      <c r="CN149" s="1220"/>
      <c r="CO149" s="1220"/>
      <c r="CP149" s="1220"/>
      <c r="CQ149" s="1545"/>
      <c r="CR149" s="1220"/>
      <c r="CS149" s="1220"/>
      <c r="CT149" s="1220"/>
      <c r="CU149" s="1220"/>
      <c r="CV149" s="1545"/>
      <c r="CW149" s="1545"/>
      <c r="CX149" s="1545"/>
      <c r="CY149" s="1545"/>
      <c r="CZ149" s="1978"/>
    </row>
    <row r="150" spans="1:104" s="1178" customFormat="1" ht="12.75" hidden="1" customHeight="1" outlineLevel="1">
      <c r="A150" s="1191"/>
      <c r="B150" s="264" t="s">
        <v>936</v>
      </c>
      <c r="C150" s="1191"/>
      <c r="D150" s="1191"/>
      <c r="E150" s="1191"/>
      <c r="F150" s="1191"/>
      <c r="G150" s="1191"/>
      <c r="H150" s="1191"/>
      <c r="I150" s="1191"/>
      <c r="J150" s="1191"/>
      <c r="K150" s="1191"/>
      <c r="L150" s="1191"/>
      <c r="M150" s="1191"/>
      <c r="N150" s="1191"/>
      <c r="O150" s="1191"/>
      <c r="P150" s="1191"/>
      <c r="Q150" s="1191"/>
      <c r="R150" s="1191"/>
      <c r="S150" s="1191"/>
      <c r="T150" s="1191"/>
      <c r="U150" s="1191"/>
      <c r="V150" s="1191"/>
      <c r="W150" s="1191"/>
      <c r="X150" s="1191"/>
      <c r="Y150" s="1191"/>
      <c r="Z150" s="1191"/>
      <c r="AA150" s="1191"/>
      <c r="AB150" s="1191"/>
      <c r="AC150" s="1191"/>
      <c r="AD150" s="1191"/>
      <c r="AE150" s="1191"/>
      <c r="AF150" s="1191"/>
      <c r="AG150" s="1191"/>
      <c r="AH150" s="1191"/>
      <c r="AI150" s="1191"/>
      <c r="AJ150" s="1191"/>
      <c r="AK150" s="1191"/>
      <c r="AL150" s="1191"/>
      <c r="AM150" s="1191"/>
      <c r="AN150" s="1191"/>
      <c r="AO150" s="1191"/>
      <c r="AP150" s="1191"/>
      <c r="AQ150" s="1191"/>
      <c r="AR150" s="1191"/>
      <c r="AS150" s="1191"/>
      <c r="AT150" s="1191"/>
      <c r="AU150" s="1191"/>
      <c r="AV150" s="1191"/>
      <c r="AW150" s="1191"/>
      <c r="AX150" s="1191"/>
      <c r="AY150" s="1191"/>
      <c r="AZ150" s="1191"/>
      <c r="BA150" s="1191"/>
      <c r="BB150" s="1191"/>
      <c r="BC150" s="1191"/>
      <c r="BD150" s="1191"/>
      <c r="BE150" s="1191"/>
      <c r="BF150" s="1191"/>
      <c r="BG150" s="1191"/>
      <c r="BH150" s="1191"/>
      <c r="BI150" s="1191"/>
      <c r="BJ150" s="1191"/>
      <c r="BK150" s="1191"/>
      <c r="BL150" s="1191"/>
      <c r="BM150" s="1191"/>
      <c r="BN150" s="1191"/>
      <c r="BO150" s="1191"/>
      <c r="BP150" s="1191"/>
      <c r="BQ150" s="1191"/>
      <c r="BR150" s="1191"/>
      <c r="BS150" s="1191"/>
      <c r="BT150" s="1191"/>
      <c r="BU150" s="1191"/>
      <c r="BV150" s="1191"/>
      <c r="BW150" s="1191"/>
      <c r="BX150" s="1191"/>
      <c r="BY150" s="1191"/>
      <c r="BZ150" s="1191"/>
      <c r="CA150" s="1191"/>
      <c r="CB150" s="1197"/>
      <c r="CC150" s="1191"/>
      <c r="CD150" s="1191"/>
      <c r="CE150" s="1191"/>
      <c r="CF150" s="1191"/>
      <c r="CG150" s="1197"/>
      <c r="CH150" s="1191"/>
      <c r="CI150" s="1191"/>
      <c r="CJ150" s="1191"/>
      <c r="CK150" s="1191"/>
      <c r="CL150" s="1197"/>
      <c r="CM150" s="1191"/>
      <c r="CN150" s="1191"/>
      <c r="CO150" s="1191"/>
      <c r="CP150" s="1191"/>
      <c r="CQ150" s="1197"/>
      <c r="CR150" s="1191"/>
      <c r="CS150" s="1191"/>
      <c r="CT150" s="1191"/>
      <c r="CU150" s="1191"/>
      <c r="CV150" s="1197"/>
      <c r="CW150" s="1197"/>
      <c r="CX150" s="1197"/>
      <c r="CY150" s="1197"/>
      <c r="CZ150" s="1197"/>
    </row>
    <row r="151" spans="1:104" s="1178" customFormat="1" ht="11.25" hidden="1" outlineLevel="1">
      <c r="A151" s="1156"/>
      <c r="B151" s="1156"/>
      <c r="C151" s="1156"/>
      <c r="D151" s="1156"/>
      <c r="E151" s="1156"/>
      <c r="F151" s="1156"/>
      <c r="G151" s="1156"/>
      <c r="H151" s="1156"/>
      <c r="I151" s="1156"/>
      <c r="J151" s="1156"/>
      <c r="K151" s="1156"/>
      <c r="L151" s="1156"/>
      <c r="M151" s="1156"/>
      <c r="N151" s="1156"/>
      <c r="O151" s="1156"/>
      <c r="P151" s="1156"/>
      <c r="Q151" s="1156"/>
      <c r="R151" s="1156"/>
      <c r="S151" s="1156"/>
      <c r="T151" s="1156"/>
      <c r="U151" s="1156"/>
      <c r="V151" s="1156"/>
      <c r="W151" s="1156"/>
      <c r="X151" s="1156"/>
      <c r="Y151" s="1156"/>
      <c r="Z151" s="1156"/>
      <c r="AA151" s="1156"/>
      <c r="AB151" s="1156"/>
      <c r="AC151" s="1156"/>
      <c r="AD151" s="1156"/>
      <c r="AE151" s="1156"/>
      <c r="AF151" s="1156"/>
      <c r="AG151" s="1156"/>
      <c r="AH151" s="1156"/>
      <c r="AI151" s="1156"/>
      <c r="AJ151" s="1156"/>
      <c r="AK151" s="1156"/>
      <c r="AL151" s="1156"/>
      <c r="AM151" s="1156"/>
      <c r="AN151" s="1156"/>
      <c r="AO151" s="1156"/>
      <c r="AP151" s="1156"/>
      <c r="AQ151" s="1156"/>
      <c r="AR151" s="1156"/>
      <c r="AS151" s="1156"/>
      <c r="AT151" s="1156"/>
      <c r="AU151" s="1156"/>
      <c r="AV151" s="1156"/>
      <c r="AW151" s="1156"/>
      <c r="AX151" s="1156"/>
      <c r="AY151" s="1156"/>
      <c r="AZ151" s="1156"/>
      <c r="BA151" s="1156"/>
      <c r="BB151" s="1156"/>
      <c r="BC151" s="1156"/>
      <c r="BD151" s="1156"/>
      <c r="BE151" s="1156"/>
      <c r="BF151" s="1156"/>
      <c r="BG151" s="1156"/>
      <c r="BH151" s="1156"/>
      <c r="BI151" s="1186"/>
      <c r="BJ151" s="1186"/>
      <c r="BK151" s="1186"/>
      <c r="BL151" s="1186"/>
      <c r="BM151" s="1186"/>
      <c r="BN151" s="1184"/>
      <c r="BO151" s="1184"/>
      <c r="BP151" s="1184"/>
      <c r="BQ151" s="1184"/>
      <c r="BR151" s="1184"/>
      <c r="BS151" s="1184"/>
      <c r="BT151" s="1184"/>
      <c r="BU151" s="1184"/>
      <c r="BV151" s="1184"/>
      <c r="BW151" s="1184"/>
      <c r="BX151" s="1184"/>
      <c r="BY151" s="1184"/>
      <c r="BZ151" s="1184"/>
      <c r="CA151" s="1184"/>
      <c r="CB151" s="1240"/>
      <c r="CC151" s="1184"/>
      <c r="CD151" s="1184"/>
      <c r="CE151" s="1184"/>
      <c r="CF151" s="1184"/>
      <c r="CG151" s="1240"/>
      <c r="CH151" s="1184"/>
      <c r="CI151" s="1184"/>
      <c r="CJ151" s="1184"/>
      <c r="CK151" s="1184"/>
      <c r="CL151" s="1240"/>
      <c r="CM151" s="1184"/>
      <c r="CN151" s="1184"/>
      <c r="CO151" s="1184"/>
      <c r="CP151" s="1184"/>
      <c r="CQ151" s="1197"/>
      <c r="CR151" s="2110"/>
      <c r="CS151" s="2110"/>
      <c r="CT151" s="2110"/>
      <c r="CU151" s="2110"/>
      <c r="CV151" s="1197"/>
      <c r="CW151" s="1197"/>
      <c r="CX151" s="1197"/>
      <c r="CY151" s="1197"/>
      <c r="CZ151" s="1197"/>
    </row>
    <row r="152" spans="1:104" s="1178" customFormat="1" ht="11.25" hidden="1" outlineLevel="1">
      <c r="A152" s="1156"/>
      <c r="B152" s="1186" t="s">
        <v>859</v>
      </c>
      <c r="C152" s="1156"/>
      <c r="D152" s="1156"/>
      <c r="E152" s="1156"/>
      <c r="F152" s="1156"/>
      <c r="G152" s="1156"/>
      <c r="H152" s="1156"/>
      <c r="I152" s="1156"/>
      <c r="J152" s="1156"/>
      <c r="K152" s="1156"/>
      <c r="L152" s="1156"/>
      <c r="M152" s="1156"/>
      <c r="N152" s="1156"/>
      <c r="O152" s="1156"/>
      <c r="P152" s="1156"/>
      <c r="Q152" s="1156"/>
      <c r="R152" s="1156"/>
      <c r="S152" s="1156"/>
      <c r="T152" s="1156"/>
      <c r="U152" s="1156"/>
      <c r="V152" s="1156"/>
      <c r="W152" s="1156"/>
      <c r="X152" s="1156"/>
      <c r="Y152" s="1156"/>
      <c r="Z152" s="1156"/>
      <c r="AA152" s="1156"/>
      <c r="AB152" s="1156"/>
      <c r="AC152" s="1156"/>
      <c r="AD152" s="1156"/>
      <c r="AE152" s="1156"/>
      <c r="AF152" s="1156"/>
      <c r="AG152" s="1156"/>
      <c r="AH152" s="1156"/>
      <c r="AI152" s="1156"/>
      <c r="AJ152" s="1156"/>
      <c r="AK152" s="1156"/>
      <c r="AL152" s="1156"/>
      <c r="AM152" s="1156"/>
      <c r="AN152" s="1156"/>
      <c r="AO152" s="1156"/>
      <c r="AP152" s="1156"/>
      <c r="AQ152" s="1156"/>
      <c r="AR152" s="1156"/>
      <c r="AS152" s="1156"/>
      <c r="AT152" s="1156"/>
      <c r="AU152" s="1156"/>
      <c r="AV152" s="1156"/>
      <c r="AW152" s="1156"/>
      <c r="AX152" s="1156"/>
      <c r="AY152" s="1156"/>
      <c r="AZ152" s="1156"/>
      <c r="BA152" s="1156"/>
      <c r="BB152" s="1156"/>
      <c r="BC152" s="1156"/>
      <c r="BD152" s="1156"/>
      <c r="BE152" s="1156"/>
      <c r="BF152" s="1156"/>
      <c r="BG152" s="1156"/>
      <c r="BH152" s="1156"/>
      <c r="BI152" s="1186"/>
      <c r="BJ152" s="1186"/>
      <c r="BK152" s="1186"/>
      <c r="BL152" s="1186"/>
      <c r="BM152" s="1186"/>
      <c r="BN152" s="1184"/>
      <c r="BO152" s="1184"/>
      <c r="BP152" s="1544">
        <v>6500</v>
      </c>
      <c r="BQ152" s="1184"/>
      <c r="BR152" s="1184"/>
      <c r="BS152" s="1184"/>
      <c r="BT152" s="1184"/>
      <c r="BU152" s="1184"/>
      <c r="BV152" s="1184"/>
      <c r="BW152" s="1184"/>
      <c r="BX152" s="1184"/>
      <c r="BY152" s="1184"/>
      <c r="BZ152" s="1184"/>
      <c r="CA152" s="1184"/>
      <c r="CB152" s="1240"/>
      <c r="CC152" s="1184"/>
      <c r="CD152" s="1184"/>
      <c r="CE152" s="1184"/>
      <c r="CF152" s="1184"/>
      <c r="CG152" s="1240"/>
      <c r="CH152" s="1184"/>
      <c r="CI152" s="1184"/>
      <c r="CJ152" s="1184"/>
      <c r="CK152" s="1184"/>
      <c r="CL152" s="1240"/>
      <c r="CM152" s="1184"/>
      <c r="CN152" s="1184"/>
      <c r="CO152" s="1184"/>
      <c r="CP152" s="1184"/>
      <c r="CQ152" s="1197"/>
      <c r="CR152" s="2110"/>
      <c r="CS152" s="2110"/>
      <c r="CT152" s="2110"/>
      <c r="CU152" s="2110"/>
      <c r="CV152" s="1197"/>
      <c r="CW152" s="1197"/>
      <c r="CX152" s="1197"/>
      <c r="CY152" s="1197"/>
      <c r="CZ152" s="1197"/>
    </row>
    <row r="153" spans="1:104" s="1178" customFormat="1" ht="11.25" hidden="1" outlineLevel="1">
      <c r="A153" s="1156"/>
      <c r="B153" s="1156"/>
      <c r="C153" s="1156"/>
      <c r="D153" s="1156"/>
      <c r="E153" s="1156"/>
      <c r="F153" s="1156"/>
      <c r="G153" s="1156"/>
      <c r="H153" s="1156"/>
      <c r="I153" s="1156"/>
      <c r="J153" s="1156"/>
      <c r="K153" s="1156"/>
      <c r="L153" s="1156"/>
      <c r="M153" s="1156"/>
      <c r="N153" s="1156"/>
      <c r="O153" s="1156"/>
      <c r="P153" s="1156"/>
      <c r="Q153" s="1156"/>
      <c r="R153" s="1156"/>
      <c r="S153" s="1156"/>
      <c r="T153" s="1156"/>
      <c r="U153" s="1156"/>
      <c r="V153" s="1156"/>
      <c r="W153" s="1156"/>
      <c r="X153" s="1156"/>
      <c r="Y153" s="1156"/>
      <c r="Z153" s="1156"/>
      <c r="AA153" s="1156"/>
      <c r="AB153" s="1156"/>
      <c r="AC153" s="1156"/>
      <c r="AD153" s="1156"/>
      <c r="AE153" s="1156"/>
      <c r="AF153" s="1156"/>
      <c r="AG153" s="1156"/>
      <c r="AH153" s="1156"/>
      <c r="AI153" s="1156"/>
      <c r="AJ153" s="1156"/>
      <c r="AK153" s="1156"/>
      <c r="AL153" s="1156"/>
      <c r="AM153" s="1156"/>
      <c r="AN153" s="1156"/>
      <c r="AO153" s="1156"/>
      <c r="AP153" s="1156"/>
      <c r="AQ153" s="1156"/>
      <c r="AR153" s="1156"/>
      <c r="AS153" s="1156"/>
      <c r="AT153" s="1156"/>
      <c r="AU153" s="1156"/>
      <c r="AV153" s="1156"/>
      <c r="AW153" s="1156"/>
      <c r="AX153" s="1156"/>
      <c r="AY153" s="1156"/>
      <c r="AZ153" s="1156"/>
      <c r="BA153" s="1156"/>
      <c r="BB153" s="1156"/>
      <c r="BC153" s="1156"/>
      <c r="BD153" s="1156"/>
      <c r="BE153" s="1156"/>
      <c r="BF153" s="1156"/>
      <c r="BG153" s="1156"/>
      <c r="BH153" s="1156"/>
      <c r="BI153" s="1186"/>
      <c r="BJ153" s="1186"/>
      <c r="BK153" s="1186"/>
      <c r="BL153" s="1186"/>
      <c r="BM153" s="1186"/>
      <c r="BN153" s="1184"/>
      <c r="BO153" s="1184"/>
      <c r="BP153" s="1184"/>
      <c r="BQ153" s="1184"/>
      <c r="BR153" s="1184"/>
      <c r="BS153" s="1184"/>
      <c r="BT153" s="1184"/>
      <c r="BU153" s="1184"/>
      <c r="BV153" s="1184"/>
      <c r="BW153" s="1184"/>
      <c r="BX153" s="1184"/>
      <c r="BY153" s="1184"/>
      <c r="BZ153" s="1184"/>
      <c r="CA153" s="1184"/>
      <c r="CB153" s="1240"/>
      <c r="CC153" s="1184"/>
      <c r="CD153" s="1184"/>
      <c r="CE153" s="1184"/>
      <c r="CF153" s="1184"/>
      <c r="CG153" s="1240"/>
      <c r="CH153" s="1184"/>
      <c r="CI153" s="1184"/>
      <c r="CJ153" s="1184"/>
      <c r="CK153" s="1184"/>
      <c r="CL153" s="1240"/>
      <c r="CM153" s="1184"/>
      <c r="CN153" s="1184"/>
      <c r="CO153" s="1184"/>
      <c r="CP153" s="1184"/>
      <c r="CQ153" s="1197"/>
      <c r="CR153" s="2110"/>
      <c r="CS153" s="2110"/>
      <c r="CT153" s="2110"/>
      <c r="CU153" s="2110"/>
      <c r="CV153" s="1197"/>
      <c r="CW153" s="1197"/>
      <c r="CX153" s="1197"/>
      <c r="CY153" s="1197"/>
      <c r="CZ153" s="1197"/>
    </row>
    <row r="154" spans="1:104" s="1178" customFormat="1" ht="11.25" hidden="1" outlineLevel="1">
      <c r="A154" s="1156"/>
      <c r="B154" s="1186" t="s">
        <v>1023</v>
      </c>
      <c r="C154" s="1156"/>
      <c r="D154" s="1156"/>
      <c r="E154" s="1156"/>
      <c r="F154" s="1156"/>
      <c r="G154" s="1156"/>
      <c r="H154" s="1156"/>
      <c r="I154" s="1156"/>
      <c r="J154" s="1156"/>
      <c r="K154" s="1156"/>
      <c r="L154" s="1156"/>
      <c r="M154" s="1156"/>
      <c r="N154" s="1156"/>
      <c r="O154" s="1156"/>
      <c r="P154" s="1156"/>
      <c r="Q154" s="1156"/>
      <c r="R154" s="1156"/>
      <c r="S154" s="1156"/>
      <c r="T154" s="1156"/>
      <c r="U154" s="1156"/>
      <c r="V154" s="1156"/>
      <c r="W154" s="1156"/>
      <c r="X154" s="1156"/>
      <c r="Y154" s="1156"/>
      <c r="Z154" s="1156"/>
      <c r="AA154" s="1156"/>
      <c r="AB154" s="1156"/>
      <c r="AC154" s="1156"/>
      <c r="AD154" s="1156"/>
      <c r="AE154" s="1156"/>
      <c r="AF154" s="1156"/>
      <c r="AG154" s="1156"/>
      <c r="AH154" s="1156"/>
      <c r="AI154" s="1156"/>
      <c r="AJ154" s="1156"/>
      <c r="AK154" s="1156"/>
      <c r="AL154" s="1156"/>
      <c r="AM154" s="1156"/>
      <c r="AN154" s="1156"/>
      <c r="AO154" s="1156"/>
      <c r="AP154" s="1156"/>
      <c r="AQ154" s="1156"/>
      <c r="AR154" s="1156"/>
      <c r="AS154" s="1156"/>
      <c r="AT154" s="1156"/>
      <c r="AU154" s="1156"/>
      <c r="AV154" s="1156"/>
      <c r="AW154" s="1156"/>
      <c r="AX154" s="1156"/>
      <c r="AY154" s="1156"/>
      <c r="AZ154" s="1156"/>
      <c r="BA154" s="1156"/>
      <c r="BB154" s="1156"/>
      <c r="BC154" s="1156"/>
      <c r="BD154" s="1156"/>
      <c r="BE154" s="1156"/>
      <c r="BF154" s="1156"/>
      <c r="BG154" s="1156"/>
      <c r="BH154" s="1156"/>
      <c r="BI154" s="1186"/>
      <c r="BJ154" s="1186"/>
      <c r="BK154" s="1186"/>
      <c r="BL154" s="1186"/>
      <c r="BM154" s="1186"/>
      <c r="BN154" s="1184"/>
      <c r="BO154" s="1184"/>
      <c r="BP154" s="1184"/>
      <c r="BQ154" s="1184"/>
      <c r="BR154" s="1184"/>
      <c r="BS154" s="1184"/>
      <c r="BT154" s="1184"/>
      <c r="BU154" s="1184"/>
      <c r="BV154" s="1184"/>
      <c r="BW154" s="1184"/>
      <c r="BX154" s="1184"/>
      <c r="BY154" s="1184"/>
      <c r="BZ154" s="1184"/>
      <c r="CA154" s="1184"/>
      <c r="CB154" s="1240"/>
      <c r="CC154" s="1184"/>
      <c r="CD154" s="1184"/>
      <c r="CE154" s="1184"/>
      <c r="CF154" s="1184"/>
      <c r="CG154" s="1240"/>
      <c r="CH154" s="1184"/>
      <c r="CI154" s="1184"/>
      <c r="CJ154" s="1184"/>
      <c r="CK154" s="1184"/>
      <c r="CL154" s="1240"/>
      <c r="CM154" s="1184"/>
      <c r="CN154" s="1184"/>
      <c r="CO154" s="1184"/>
      <c r="CP154" s="1184"/>
      <c r="CQ154" s="1197"/>
      <c r="CR154" s="2110"/>
      <c r="CS154" s="2110"/>
      <c r="CT154" s="2110"/>
      <c r="CU154" s="2110"/>
      <c r="CV154" s="1197"/>
      <c r="CW154" s="1197"/>
      <c r="CX154" s="1197"/>
      <c r="CY154" s="1197"/>
      <c r="CZ154" s="1197"/>
    </row>
    <row r="155" spans="1:104" s="1178" customFormat="1" ht="11.25" hidden="1" outlineLevel="1">
      <c r="A155" s="1156"/>
      <c r="B155" s="1156" t="s">
        <v>500</v>
      </c>
      <c r="C155" s="1156"/>
      <c r="D155" s="1156"/>
      <c r="E155" s="1156"/>
      <c r="F155" s="1156"/>
      <c r="G155" s="1156"/>
      <c r="H155" s="1156"/>
      <c r="I155" s="1156"/>
      <c r="J155" s="1156"/>
      <c r="K155" s="1156"/>
      <c r="L155" s="1156"/>
      <c r="M155" s="1156"/>
      <c r="N155" s="1156"/>
      <c r="O155" s="1156"/>
      <c r="P155" s="1156"/>
      <c r="Q155" s="1156"/>
      <c r="R155" s="1156"/>
      <c r="S155" s="1156"/>
      <c r="T155" s="1156"/>
      <c r="U155" s="1156"/>
      <c r="V155" s="1156"/>
      <c r="W155" s="1156"/>
      <c r="X155" s="1156"/>
      <c r="Y155" s="1156"/>
      <c r="Z155" s="1156"/>
      <c r="AA155" s="1156"/>
      <c r="AB155" s="1156"/>
      <c r="AC155" s="1156"/>
      <c r="AD155" s="1156"/>
      <c r="AE155" s="1156"/>
      <c r="AF155" s="1156"/>
      <c r="AG155" s="1156"/>
      <c r="AH155" s="1156"/>
      <c r="AI155" s="1156"/>
      <c r="AJ155" s="1156"/>
      <c r="AK155" s="1156"/>
      <c r="AL155" s="1156"/>
      <c r="AM155" s="1156"/>
      <c r="AN155" s="1156"/>
      <c r="AO155" s="1156"/>
      <c r="AP155" s="1156"/>
      <c r="AQ155" s="1156"/>
      <c r="AR155" s="1156"/>
      <c r="AS155" s="1156"/>
      <c r="AT155" s="1156"/>
      <c r="AU155" s="1156"/>
      <c r="AV155" s="1156"/>
      <c r="AW155" s="1156"/>
      <c r="AX155" s="1156"/>
      <c r="AY155" s="1156"/>
      <c r="AZ155" s="1156"/>
      <c r="BA155" s="1156"/>
      <c r="BB155" s="1156"/>
      <c r="BC155" s="1156"/>
      <c r="BD155" s="1156"/>
      <c r="BE155" s="1156"/>
      <c r="BF155" s="1156"/>
      <c r="BG155" s="1156"/>
      <c r="BH155" s="1156"/>
      <c r="BI155" s="1186"/>
      <c r="BJ155" s="1186"/>
      <c r="BK155" s="1186"/>
      <c r="BL155" s="1186"/>
      <c r="BM155" s="1186"/>
      <c r="BN155" s="1184"/>
      <c r="BO155" s="1184"/>
      <c r="BP155" s="1535">
        <v>0.4</v>
      </c>
      <c r="BQ155" s="1184"/>
      <c r="BR155" s="1184"/>
      <c r="BS155" s="1184"/>
      <c r="BT155" s="1184"/>
      <c r="BU155" s="1184"/>
      <c r="BV155" s="1184"/>
      <c r="BW155" s="1184"/>
      <c r="BX155" s="1184"/>
      <c r="BY155" s="1184"/>
      <c r="BZ155" s="1184"/>
      <c r="CA155" s="1184"/>
      <c r="CB155" s="1240"/>
      <c r="CC155" s="1184"/>
      <c r="CD155" s="1184"/>
      <c r="CE155" s="1184"/>
      <c r="CF155" s="1184"/>
      <c r="CG155" s="1240"/>
      <c r="CH155" s="1184"/>
      <c r="CI155" s="1184"/>
      <c r="CJ155" s="1184"/>
      <c r="CK155" s="1184"/>
      <c r="CL155" s="1240"/>
      <c r="CM155" s="1184"/>
      <c r="CN155" s="1184"/>
      <c r="CO155" s="1184"/>
      <c r="CP155" s="1184"/>
      <c r="CQ155" s="1197"/>
      <c r="CR155" s="2110"/>
      <c r="CS155" s="2110"/>
      <c r="CT155" s="2110"/>
      <c r="CU155" s="2110"/>
      <c r="CV155" s="1197"/>
      <c r="CW155" s="1197"/>
      <c r="CX155" s="1197"/>
      <c r="CY155" s="1197"/>
      <c r="CZ155" s="1197"/>
    </row>
    <row r="156" spans="1:104" s="1178" customFormat="1" ht="11.25" hidden="1" outlineLevel="1">
      <c r="A156" s="1156"/>
      <c r="B156" s="1156" t="s">
        <v>9</v>
      </c>
      <c r="C156" s="1156"/>
      <c r="D156" s="1156"/>
      <c r="E156" s="1156"/>
      <c r="F156" s="1156"/>
      <c r="G156" s="1156"/>
      <c r="H156" s="1156"/>
      <c r="I156" s="1156"/>
      <c r="J156" s="1156"/>
      <c r="K156" s="1156"/>
      <c r="L156" s="1156"/>
      <c r="M156" s="1156"/>
      <c r="N156" s="1156"/>
      <c r="O156" s="1156"/>
      <c r="P156" s="1156"/>
      <c r="Q156" s="1156"/>
      <c r="R156" s="1156"/>
      <c r="S156" s="1156"/>
      <c r="T156" s="1156"/>
      <c r="U156" s="1156"/>
      <c r="V156" s="1156"/>
      <c r="W156" s="1156"/>
      <c r="X156" s="1156"/>
      <c r="Y156" s="1156"/>
      <c r="Z156" s="1156"/>
      <c r="AA156" s="1156"/>
      <c r="AB156" s="1156"/>
      <c r="AC156" s="1156"/>
      <c r="AD156" s="1156"/>
      <c r="AE156" s="1156"/>
      <c r="AF156" s="1156"/>
      <c r="AG156" s="1156"/>
      <c r="AH156" s="1156"/>
      <c r="AI156" s="1156"/>
      <c r="AJ156" s="1156"/>
      <c r="AK156" s="1156"/>
      <c r="AL156" s="1156"/>
      <c r="AM156" s="1156"/>
      <c r="AN156" s="1156"/>
      <c r="AO156" s="1156"/>
      <c r="AP156" s="1156"/>
      <c r="AQ156" s="1156"/>
      <c r="AR156" s="1156"/>
      <c r="AS156" s="1156"/>
      <c r="AT156" s="1156"/>
      <c r="AU156" s="1156"/>
      <c r="AV156" s="1156"/>
      <c r="AW156" s="1156"/>
      <c r="AX156" s="1156"/>
      <c r="AY156" s="1156"/>
      <c r="AZ156" s="1156"/>
      <c r="BA156" s="1156"/>
      <c r="BB156" s="1156"/>
      <c r="BC156" s="1156"/>
      <c r="BD156" s="1156"/>
      <c r="BE156" s="1156"/>
      <c r="BF156" s="1156"/>
      <c r="BG156" s="1156"/>
      <c r="BH156" s="1156"/>
      <c r="BI156" s="1186"/>
      <c r="BJ156" s="1186"/>
      <c r="BK156" s="1186"/>
      <c r="BL156" s="1186"/>
      <c r="BM156" s="1186"/>
      <c r="BN156" s="1184"/>
      <c r="BO156" s="1184"/>
      <c r="BP156" s="1535">
        <v>0.3</v>
      </c>
      <c r="BQ156" s="1184"/>
      <c r="BR156" s="1184"/>
      <c r="BS156" s="1184"/>
      <c r="BT156" s="1184"/>
      <c r="BU156" s="1184"/>
      <c r="BV156" s="1184"/>
      <c r="BW156" s="1184"/>
      <c r="BX156" s="1184"/>
      <c r="BY156" s="1184"/>
      <c r="BZ156" s="1184"/>
      <c r="CA156" s="1184"/>
      <c r="CB156" s="1240"/>
      <c r="CC156" s="1184"/>
      <c r="CD156" s="1184"/>
      <c r="CE156" s="1184"/>
      <c r="CF156" s="1184"/>
      <c r="CG156" s="1240"/>
      <c r="CH156" s="1184"/>
      <c r="CI156" s="1184"/>
      <c r="CJ156" s="1184"/>
      <c r="CK156" s="1184"/>
      <c r="CL156" s="1240"/>
      <c r="CM156" s="1184"/>
      <c r="CN156" s="1184"/>
      <c r="CO156" s="1184"/>
      <c r="CP156" s="1184"/>
      <c r="CQ156" s="1197"/>
      <c r="CR156" s="2110"/>
      <c r="CS156" s="2110"/>
      <c r="CT156" s="2110"/>
      <c r="CU156" s="2110"/>
      <c r="CV156" s="1197"/>
      <c r="CW156" s="1197"/>
      <c r="CX156" s="1197"/>
      <c r="CY156" s="1197"/>
      <c r="CZ156" s="1197"/>
    </row>
    <row r="157" spans="1:104" s="1178" customFormat="1" ht="11.25" hidden="1" outlineLevel="1">
      <c r="A157" s="1156"/>
      <c r="B157" s="1156" t="s">
        <v>1022</v>
      </c>
      <c r="C157" s="1156"/>
      <c r="D157" s="1156"/>
      <c r="E157" s="1156"/>
      <c r="F157" s="1156"/>
      <c r="G157" s="1156"/>
      <c r="H157" s="1156"/>
      <c r="I157" s="1156"/>
      <c r="J157" s="1156"/>
      <c r="K157" s="1156"/>
      <c r="L157" s="1156"/>
      <c r="M157" s="1156"/>
      <c r="N157" s="1156"/>
      <c r="O157" s="1156"/>
      <c r="P157" s="1156"/>
      <c r="Q157" s="1156"/>
      <c r="R157" s="1156"/>
      <c r="S157" s="1156"/>
      <c r="T157" s="1156"/>
      <c r="U157" s="1156"/>
      <c r="V157" s="1156"/>
      <c r="W157" s="1156"/>
      <c r="X157" s="1156"/>
      <c r="Y157" s="1156"/>
      <c r="Z157" s="1156"/>
      <c r="AA157" s="1156"/>
      <c r="AB157" s="1156"/>
      <c r="AC157" s="1156"/>
      <c r="AD157" s="1156"/>
      <c r="AE157" s="1156"/>
      <c r="AF157" s="1156"/>
      <c r="AG157" s="1156"/>
      <c r="AH157" s="1156"/>
      <c r="AI157" s="1156"/>
      <c r="AJ157" s="1156"/>
      <c r="AK157" s="1156"/>
      <c r="AL157" s="1156"/>
      <c r="AM157" s="1156"/>
      <c r="AN157" s="1156"/>
      <c r="AO157" s="1156"/>
      <c r="AP157" s="1156"/>
      <c r="AQ157" s="1156"/>
      <c r="AR157" s="1156"/>
      <c r="AS157" s="1156"/>
      <c r="AT157" s="1156"/>
      <c r="AU157" s="1156"/>
      <c r="AV157" s="1156"/>
      <c r="AW157" s="1156"/>
      <c r="AX157" s="1156"/>
      <c r="AY157" s="1156"/>
      <c r="AZ157" s="1156"/>
      <c r="BA157" s="1156"/>
      <c r="BB157" s="1156"/>
      <c r="BC157" s="1156"/>
      <c r="BD157" s="1156"/>
      <c r="BE157" s="1156"/>
      <c r="BF157" s="1156"/>
      <c r="BG157" s="1156"/>
      <c r="BH157" s="1156"/>
      <c r="BI157" s="1186"/>
      <c r="BJ157" s="1186"/>
      <c r="BK157" s="1186"/>
      <c r="BL157" s="1186"/>
      <c r="BM157" s="1186"/>
      <c r="BN157" s="1184"/>
      <c r="BO157" s="1184"/>
      <c r="BP157" s="1535">
        <v>0.3</v>
      </c>
      <c r="BQ157" s="1184"/>
      <c r="BR157" s="1184"/>
      <c r="BS157" s="1184"/>
      <c r="BT157" s="1184"/>
      <c r="BU157" s="1184"/>
      <c r="BV157" s="1184"/>
      <c r="BW157" s="1184"/>
      <c r="BX157" s="1184"/>
      <c r="BY157" s="1184"/>
      <c r="BZ157" s="1184"/>
      <c r="CA157" s="1184"/>
      <c r="CB157" s="1240"/>
      <c r="CC157" s="1184"/>
      <c r="CD157" s="1184"/>
      <c r="CE157" s="1184"/>
      <c r="CF157" s="1184"/>
      <c r="CG157" s="1240"/>
      <c r="CH157" s="1184"/>
      <c r="CI157" s="1184"/>
      <c r="CJ157" s="1184"/>
      <c r="CK157" s="1184"/>
      <c r="CL157" s="1240"/>
      <c r="CM157" s="1184"/>
      <c r="CN157" s="1184"/>
      <c r="CO157" s="1184"/>
      <c r="CP157" s="1184"/>
      <c r="CQ157" s="1197"/>
      <c r="CR157" s="2110"/>
      <c r="CS157" s="2110"/>
      <c r="CT157" s="2110"/>
      <c r="CU157" s="2110"/>
      <c r="CV157" s="1197"/>
      <c r="CW157" s="1197"/>
      <c r="CX157" s="1197"/>
      <c r="CY157" s="1197"/>
      <c r="CZ157" s="1197"/>
    </row>
    <row r="158" spans="1:104" s="1178" customFormat="1" ht="11.25" hidden="1" outlineLevel="1">
      <c r="A158" s="1156"/>
      <c r="B158" s="1156"/>
      <c r="C158" s="1156"/>
      <c r="D158" s="1156"/>
      <c r="E158" s="1156"/>
      <c r="F158" s="1156"/>
      <c r="G158" s="1156"/>
      <c r="H158" s="1156"/>
      <c r="I158" s="1156"/>
      <c r="J158" s="1156"/>
      <c r="K158" s="1156"/>
      <c r="L158" s="1156"/>
      <c r="M158" s="1156"/>
      <c r="N158" s="1156"/>
      <c r="O158" s="1156"/>
      <c r="P158" s="1156"/>
      <c r="Q158" s="1156"/>
      <c r="R158" s="1156"/>
      <c r="S158" s="1156"/>
      <c r="T158" s="1156"/>
      <c r="U158" s="1156"/>
      <c r="V158" s="1156"/>
      <c r="W158" s="1156"/>
      <c r="X158" s="1156"/>
      <c r="Y158" s="1156"/>
      <c r="Z158" s="1156"/>
      <c r="AA158" s="1156"/>
      <c r="AB158" s="1156"/>
      <c r="AC158" s="1156"/>
      <c r="AD158" s="1156"/>
      <c r="AE158" s="1156"/>
      <c r="AF158" s="1156"/>
      <c r="AG158" s="1156"/>
      <c r="AH158" s="1156"/>
      <c r="AI158" s="1156"/>
      <c r="AJ158" s="1156"/>
      <c r="AK158" s="1156"/>
      <c r="AL158" s="1156"/>
      <c r="AM158" s="1156"/>
      <c r="AN158" s="1156"/>
      <c r="AO158" s="1156"/>
      <c r="AP158" s="1156"/>
      <c r="AQ158" s="1156"/>
      <c r="AR158" s="1156"/>
      <c r="AS158" s="1156"/>
      <c r="AT158" s="1156"/>
      <c r="AU158" s="1156"/>
      <c r="AV158" s="1156"/>
      <c r="AW158" s="1156"/>
      <c r="AX158" s="1156"/>
      <c r="AY158" s="1156"/>
      <c r="AZ158" s="1156"/>
      <c r="BA158" s="1156"/>
      <c r="BB158" s="1156"/>
      <c r="BC158" s="1156"/>
      <c r="BD158" s="1156"/>
      <c r="BE158" s="1156"/>
      <c r="BF158" s="1156"/>
      <c r="BG158" s="1156"/>
      <c r="BH158" s="1156"/>
      <c r="BI158" s="1186"/>
      <c r="BJ158" s="1186"/>
      <c r="BK158" s="1186"/>
      <c r="BL158" s="1186"/>
      <c r="BM158" s="1186"/>
      <c r="BN158" s="1184"/>
      <c r="BO158" s="1184"/>
      <c r="BP158" s="1184"/>
      <c r="BQ158" s="1184"/>
      <c r="BR158" s="1184"/>
      <c r="BS158" s="1184"/>
      <c r="BT158" s="1184"/>
      <c r="BU158" s="1184"/>
      <c r="BV158" s="1184"/>
      <c r="BW158" s="1184"/>
      <c r="BX158" s="1184"/>
      <c r="BY158" s="1184"/>
      <c r="BZ158" s="1184"/>
      <c r="CA158" s="1184"/>
      <c r="CB158" s="1240"/>
      <c r="CC158" s="1184"/>
      <c r="CD158" s="1184"/>
      <c r="CE158" s="1184"/>
      <c r="CF158" s="1184"/>
      <c r="CG158" s="1240"/>
      <c r="CH158" s="1184"/>
      <c r="CI158" s="1184"/>
      <c r="CJ158" s="1184"/>
      <c r="CK158" s="1184"/>
      <c r="CL158" s="1240"/>
      <c r="CM158" s="1184"/>
      <c r="CN158" s="1184"/>
      <c r="CO158" s="1184"/>
      <c r="CP158" s="1184"/>
      <c r="CQ158" s="1197"/>
      <c r="CR158" s="2110"/>
      <c r="CS158" s="2110"/>
      <c r="CT158" s="2110"/>
      <c r="CU158" s="2110"/>
      <c r="CV158" s="1197"/>
      <c r="CW158" s="1197"/>
      <c r="CX158" s="1197"/>
      <c r="CY158" s="1197"/>
      <c r="CZ158" s="1197"/>
    </row>
    <row r="159" spans="1:104" s="1178" customFormat="1" ht="11.25" hidden="1" outlineLevel="1">
      <c r="A159" s="1156"/>
      <c r="B159" s="1186" t="s">
        <v>1021</v>
      </c>
      <c r="C159" s="1156"/>
      <c r="D159" s="1156"/>
      <c r="E159" s="1156"/>
      <c r="F159" s="1156"/>
      <c r="G159" s="1156"/>
      <c r="H159" s="1156"/>
      <c r="I159" s="1156"/>
      <c r="J159" s="1156"/>
      <c r="K159" s="1156"/>
      <c r="L159" s="1156"/>
      <c r="M159" s="1156"/>
      <c r="N159" s="1156"/>
      <c r="O159" s="1156"/>
      <c r="P159" s="1156"/>
      <c r="Q159" s="1156"/>
      <c r="R159" s="1156"/>
      <c r="S159" s="1156"/>
      <c r="T159" s="1156"/>
      <c r="U159" s="1156"/>
      <c r="V159" s="1156"/>
      <c r="W159" s="1156"/>
      <c r="X159" s="1156"/>
      <c r="Y159" s="1156"/>
      <c r="Z159" s="1156"/>
      <c r="AA159" s="1156"/>
      <c r="AB159" s="1156"/>
      <c r="AC159" s="1156"/>
      <c r="AD159" s="1156"/>
      <c r="AE159" s="1156"/>
      <c r="AF159" s="1156"/>
      <c r="AG159" s="1156"/>
      <c r="AH159" s="1156"/>
      <c r="AI159" s="1156"/>
      <c r="AJ159" s="1156"/>
      <c r="AK159" s="1156"/>
      <c r="AL159" s="1156"/>
      <c r="AM159" s="1156"/>
      <c r="AN159" s="1156"/>
      <c r="AO159" s="1156"/>
      <c r="AP159" s="1156"/>
      <c r="AQ159" s="1156"/>
      <c r="AR159" s="1156"/>
      <c r="AS159" s="1156"/>
      <c r="AT159" s="1156"/>
      <c r="AU159" s="1156"/>
      <c r="AV159" s="1156"/>
      <c r="AW159" s="1156"/>
      <c r="AX159" s="1156"/>
      <c r="AY159" s="1156"/>
      <c r="AZ159" s="1156"/>
      <c r="BA159" s="1156"/>
      <c r="BB159" s="1156"/>
      <c r="BC159" s="1156"/>
      <c r="BD159" s="1156"/>
      <c r="BE159" s="1156"/>
      <c r="BF159" s="1156"/>
      <c r="BG159" s="1156"/>
      <c r="BH159" s="1156"/>
      <c r="BI159" s="1186"/>
      <c r="BJ159" s="1186"/>
      <c r="BK159" s="1186"/>
      <c r="BL159" s="1186"/>
      <c r="BM159" s="1186"/>
      <c r="BN159" s="1184"/>
      <c r="BO159" s="1184"/>
      <c r="BP159" s="1240" t="s">
        <v>1020</v>
      </c>
      <c r="BQ159" s="1184"/>
      <c r="BR159" s="1184"/>
      <c r="BS159" s="1184"/>
      <c r="BT159" s="1184"/>
      <c r="BU159" s="1184"/>
      <c r="BV159" s="1184"/>
      <c r="BW159" s="1184"/>
      <c r="BX159" s="1184"/>
      <c r="BY159" s="1184"/>
      <c r="BZ159" s="1184"/>
      <c r="CA159" s="1184"/>
      <c r="CB159" s="1240"/>
      <c r="CC159" s="1184"/>
      <c r="CD159" s="1184"/>
      <c r="CE159" s="1184"/>
      <c r="CF159" s="1184"/>
      <c r="CG159" s="1240"/>
      <c r="CH159" s="1184"/>
      <c r="CI159" s="1184"/>
      <c r="CJ159" s="1184"/>
      <c r="CK159" s="1184"/>
      <c r="CL159" s="1240"/>
      <c r="CM159" s="1184"/>
      <c r="CN159" s="1184"/>
      <c r="CO159" s="1184"/>
      <c r="CP159" s="1184"/>
      <c r="CQ159" s="1197"/>
      <c r="CR159" s="2110"/>
      <c r="CS159" s="2110"/>
      <c r="CT159" s="2110"/>
      <c r="CU159" s="2110"/>
      <c r="CV159" s="1197"/>
      <c r="CW159" s="1197"/>
      <c r="CX159" s="1197"/>
      <c r="CY159" s="1197"/>
      <c r="CZ159" s="1197"/>
    </row>
    <row r="160" spans="1:104" s="1178" customFormat="1" ht="11.25" collapsed="1">
      <c r="A160" s="1156"/>
      <c r="B160" s="1156"/>
      <c r="C160" s="1156"/>
      <c r="D160" s="1156"/>
      <c r="E160" s="1156"/>
      <c r="F160" s="1156"/>
      <c r="G160" s="1156"/>
      <c r="H160" s="1156"/>
      <c r="I160" s="1156"/>
      <c r="J160" s="1156"/>
      <c r="K160" s="1156"/>
      <c r="L160" s="1156"/>
      <c r="M160" s="1156"/>
      <c r="N160" s="1156"/>
      <c r="O160" s="1156"/>
      <c r="P160" s="1156"/>
      <c r="Q160" s="1156"/>
      <c r="R160" s="1156"/>
      <c r="S160" s="1156"/>
      <c r="T160" s="1156"/>
      <c r="U160" s="1156"/>
      <c r="V160" s="1156"/>
      <c r="W160" s="1156"/>
      <c r="X160" s="1156"/>
      <c r="Y160" s="1156"/>
      <c r="Z160" s="1156"/>
      <c r="AA160" s="1156"/>
      <c r="AB160" s="1156"/>
      <c r="AC160" s="1156"/>
      <c r="AD160" s="1156"/>
      <c r="AE160" s="1156"/>
      <c r="AF160" s="1156"/>
      <c r="AG160" s="1156"/>
      <c r="AH160" s="1156"/>
      <c r="AI160" s="1156"/>
      <c r="AJ160" s="1156"/>
      <c r="AK160" s="1156"/>
      <c r="AL160" s="1156"/>
      <c r="AM160" s="1156"/>
      <c r="AN160" s="1156"/>
      <c r="AO160" s="1156"/>
      <c r="AP160" s="1156"/>
      <c r="AQ160" s="1156"/>
      <c r="AR160" s="1156"/>
      <c r="AS160" s="1156"/>
      <c r="AT160" s="1156"/>
      <c r="AU160" s="1156"/>
      <c r="AV160" s="1156"/>
      <c r="AW160" s="1156"/>
      <c r="AX160" s="1156"/>
      <c r="AY160" s="1156"/>
      <c r="AZ160" s="1156"/>
      <c r="BA160" s="1156"/>
      <c r="BB160" s="1156"/>
      <c r="BC160" s="1156"/>
      <c r="BD160" s="1156"/>
      <c r="BE160" s="1156"/>
      <c r="BF160" s="1156"/>
      <c r="BG160" s="1156"/>
      <c r="BH160" s="1156"/>
      <c r="BI160" s="1156"/>
      <c r="BJ160" s="1156"/>
      <c r="BK160" s="1156"/>
      <c r="BL160" s="1156"/>
      <c r="BM160" s="1221"/>
      <c r="BN160" s="1184"/>
      <c r="BO160" s="1184"/>
      <c r="BP160" s="1535"/>
      <c r="BQ160" s="1535"/>
      <c r="BR160" s="1222"/>
      <c r="BS160" s="1535"/>
      <c r="BT160" s="1535"/>
      <c r="BU160" s="1254"/>
      <c r="BV160" s="1535"/>
      <c r="BW160" s="1222"/>
      <c r="BX160" s="1535"/>
      <c r="BY160" s="1535"/>
      <c r="BZ160" s="1535"/>
      <c r="CA160" s="1535"/>
      <c r="CB160" s="1536"/>
      <c r="CC160" s="1535"/>
      <c r="CD160" s="1535"/>
      <c r="CE160" s="1535"/>
      <c r="CF160" s="1535"/>
      <c r="CG160" s="1543"/>
      <c r="CH160" s="1535"/>
      <c r="CI160" s="1535"/>
      <c r="CJ160" s="1535"/>
      <c r="CK160" s="1535"/>
      <c r="CL160" s="1253"/>
      <c r="CM160" s="1535"/>
      <c r="CN160" s="1535"/>
      <c r="CO160" s="1535"/>
      <c r="CP160" s="1535"/>
      <c r="CQ160" s="1534"/>
      <c r="CR160" s="2121"/>
      <c r="CS160" s="2121"/>
      <c r="CT160" s="2121"/>
      <c r="CU160" s="2121"/>
      <c r="CV160" s="1534"/>
      <c r="CW160" s="1534"/>
      <c r="CX160" s="1534"/>
      <c r="CY160" s="1534"/>
      <c r="CZ160" s="1197"/>
    </row>
    <row r="161" spans="1:104" s="1178" customFormat="1" ht="11.25">
      <c r="A161" s="1156"/>
      <c r="B161" s="1156"/>
      <c r="C161" s="1542"/>
      <c r="D161" s="1156"/>
      <c r="E161" s="1156"/>
      <c r="F161" s="1337"/>
      <c r="G161" s="1337"/>
      <c r="H161" s="1337"/>
      <c r="I161" s="1337"/>
      <c r="J161" s="1336"/>
      <c r="K161" s="1336"/>
      <c r="L161" s="1336"/>
      <c r="M161" s="1336"/>
      <c r="N161" s="1336"/>
      <c r="O161" s="1336"/>
      <c r="P161" s="1336"/>
      <c r="Q161" s="1336"/>
      <c r="R161" s="1336"/>
      <c r="S161" s="1336"/>
      <c r="T161" s="1336"/>
      <c r="U161" s="1336"/>
      <c r="V161" s="1336"/>
      <c r="W161" s="1336"/>
      <c r="X161" s="1336"/>
      <c r="Y161" s="1336"/>
      <c r="Z161" s="1336"/>
      <c r="AA161" s="1336"/>
      <c r="AB161" s="1336"/>
      <c r="AC161" s="1336"/>
      <c r="AD161" s="1336"/>
      <c r="AE161" s="1336"/>
      <c r="AF161" s="1336"/>
      <c r="AG161" s="1336"/>
      <c r="AH161" s="1336"/>
      <c r="AI161" s="1336"/>
      <c r="AJ161" s="1336"/>
      <c r="AK161" s="1336"/>
      <c r="AL161" s="1336"/>
      <c r="AM161" s="1336"/>
      <c r="AN161" s="1336"/>
      <c r="AO161" s="1336"/>
      <c r="AP161" s="1336"/>
      <c r="AQ161" s="1336"/>
      <c r="AR161" s="1336"/>
      <c r="AS161" s="1336"/>
      <c r="AT161" s="1336"/>
      <c r="AU161" s="1336"/>
      <c r="AV161" s="1336"/>
      <c r="AW161" s="1336"/>
      <c r="AX161" s="1336"/>
      <c r="AY161" s="1240"/>
      <c r="AZ161" s="1240"/>
      <c r="BA161" s="1240"/>
      <c r="BB161" s="1240"/>
      <c r="BC161" s="1240"/>
      <c r="BD161" s="1336"/>
      <c r="BE161" s="1254"/>
      <c r="BF161" s="1541"/>
      <c r="BG161" s="1541"/>
      <c r="BH161" s="1535"/>
      <c r="BI161" s="1336"/>
      <c r="BJ161" s="1336"/>
      <c r="BK161" s="1541"/>
      <c r="BL161" s="1541"/>
      <c r="BM161" s="1539"/>
      <c r="BN161" s="1540"/>
      <c r="BO161" s="1540"/>
      <c r="BP161" s="1540"/>
      <c r="BQ161" s="1540"/>
      <c r="BR161" s="1539"/>
      <c r="BS161" s="1535"/>
      <c r="BT161" s="1535"/>
      <c r="BU161" s="1538"/>
      <c r="BV161" s="1535"/>
      <c r="BW161" s="1222"/>
      <c r="BX161" s="1254"/>
      <c r="BY161" s="1254"/>
      <c r="BZ161" s="1537"/>
      <c r="CA161" s="1254"/>
      <c r="CB161" s="1536"/>
      <c r="CC161" s="1535"/>
      <c r="CD161" s="1535"/>
      <c r="CE161" s="1535"/>
      <c r="CF161" s="1535"/>
      <c r="CG161" s="1253"/>
      <c r="CH161" s="1535"/>
      <c r="CI161" s="1535"/>
      <c r="CJ161" s="1535"/>
      <c r="CK161" s="1535"/>
      <c r="CL161" s="1253"/>
      <c r="CM161" s="1535"/>
      <c r="CN161" s="1535"/>
      <c r="CO161" s="1535"/>
      <c r="CP161" s="1535"/>
      <c r="CQ161" s="1534"/>
      <c r="CR161" s="2121"/>
      <c r="CS161" s="2121"/>
      <c r="CT161" s="2121"/>
      <c r="CU161" s="2121"/>
      <c r="CV161" s="1534"/>
      <c r="CW161" s="1534"/>
      <c r="CX161" s="1534"/>
      <c r="CY161" s="1534"/>
      <c r="CZ161" s="1197"/>
    </row>
    <row r="162" spans="1:104" s="1178" customFormat="1" ht="11.25">
      <c r="CB162" s="1533"/>
      <c r="CG162" s="1533"/>
      <c r="CL162" s="1533"/>
      <c r="CQ162" s="1533"/>
      <c r="CR162" s="2109"/>
      <c r="CS162" s="2109"/>
      <c r="CT162" s="2109"/>
      <c r="CU162" s="2109"/>
      <c r="CV162" s="1533"/>
      <c r="CW162" s="1533"/>
      <c r="CX162" s="1533"/>
      <c r="CY162" s="1533"/>
      <c r="CZ162" s="1971"/>
    </row>
    <row r="163" spans="1:104" s="1178" customFormat="1" ht="11.25">
      <c r="A163" s="1234" t="s">
        <v>1437</v>
      </c>
      <c r="BM163" s="1234">
        <v>2011</v>
      </c>
      <c r="BN163" s="1234"/>
      <c r="BO163" s="1234"/>
      <c r="BP163" s="1234"/>
      <c r="BQ163" s="1234"/>
      <c r="BR163" s="1234">
        <v>2012</v>
      </c>
      <c r="BS163" s="1234"/>
      <c r="BT163" s="1234"/>
      <c r="BU163" s="1234"/>
      <c r="BV163" s="1234"/>
      <c r="BW163" s="1234">
        <v>2013</v>
      </c>
      <c r="BX163" s="1234"/>
      <c r="BY163" s="1234"/>
      <c r="BZ163" s="1234"/>
      <c r="CA163" s="1234"/>
      <c r="CB163" s="1609">
        <v>2014</v>
      </c>
      <c r="CC163" s="1234"/>
      <c r="CD163" s="1234"/>
      <c r="CE163" s="1234"/>
      <c r="CF163" s="1234"/>
      <c r="CG163" s="1609">
        <v>2015</v>
      </c>
      <c r="CH163" s="1234"/>
      <c r="CI163" s="1234"/>
      <c r="CJ163" s="1234"/>
      <c r="CK163" s="1234"/>
      <c r="CL163" s="1609">
        <v>2016</v>
      </c>
      <c r="CM163" s="1234"/>
      <c r="CN163" s="1234"/>
      <c r="CO163" s="1234"/>
      <c r="CP163" s="1234"/>
      <c r="CQ163" s="1609">
        <v>2017</v>
      </c>
      <c r="CR163" s="1234"/>
      <c r="CS163" s="1234"/>
      <c r="CT163" s="1234"/>
      <c r="CU163" s="1234"/>
      <c r="CV163" s="1609">
        <v>2018</v>
      </c>
      <c r="CW163" s="1609">
        <v>2019</v>
      </c>
      <c r="CX163" s="1609">
        <v>2019</v>
      </c>
      <c r="CY163" s="1609">
        <v>2019</v>
      </c>
      <c r="CZ163" s="1971"/>
    </row>
    <row r="164" spans="1:104" s="2109" customFormat="1" ht="11.25">
      <c r="BM164" s="1234"/>
      <c r="BN164" s="1234"/>
      <c r="BO164" s="1234"/>
      <c r="BP164" s="1234"/>
      <c r="BQ164" s="1234"/>
      <c r="BR164" s="1234"/>
      <c r="BS164" s="1234"/>
      <c r="BT164" s="1234"/>
      <c r="BU164" s="1234"/>
      <c r="BV164" s="1234"/>
      <c r="BW164" s="1234"/>
      <c r="BX164" s="1234"/>
      <c r="BY164" s="1234"/>
      <c r="BZ164" s="1234"/>
      <c r="CA164" s="1234"/>
      <c r="CB164" s="1609"/>
      <c r="CC164" s="1234"/>
      <c r="CD164" s="1234"/>
      <c r="CE164" s="1234"/>
      <c r="CF164" s="1234"/>
      <c r="CG164" s="1609"/>
      <c r="CH164" s="1234"/>
      <c r="CI164" s="1234"/>
      <c r="CJ164" s="1234"/>
      <c r="CK164" s="1234"/>
      <c r="CL164" s="1609"/>
      <c r="CM164" s="1234"/>
      <c r="CN164" s="1234"/>
      <c r="CO164" s="1234"/>
      <c r="CP164" s="1234"/>
      <c r="CQ164" s="1609"/>
      <c r="CR164" s="1234"/>
      <c r="CS164" s="1234"/>
      <c r="CT164" s="1234"/>
      <c r="CU164" s="1234"/>
      <c r="CV164" s="1609"/>
      <c r="CW164" s="1609"/>
      <c r="CX164" s="1609"/>
      <c r="CY164" s="1609"/>
      <c r="CZ164" s="1971"/>
    </row>
    <row r="165" spans="1:104" s="1178" customFormat="1" ht="11.25">
      <c r="A165" s="1178" t="s">
        <v>144</v>
      </c>
      <c r="CB165" s="1533">
        <v>57.3</v>
      </c>
      <c r="CG165" s="1533">
        <v>53.6</v>
      </c>
      <c r="CL165" s="1533">
        <v>53.2</v>
      </c>
      <c r="CQ165" s="2277">
        <f>CQ173/CL173*1.05*CL165</f>
        <v>42.986913580246913</v>
      </c>
      <c r="CR165" s="2109"/>
      <c r="CS165" s="2109"/>
      <c r="CT165" s="2109"/>
      <c r="CU165" s="2109"/>
      <c r="CV165" s="2277">
        <f>CV173/CQ173*1.05*CQ165</f>
        <v>45.136259259259262</v>
      </c>
      <c r="CW165" s="2277">
        <f>CW173/CV173*1.05*CV165</f>
        <v>47.39307222222223</v>
      </c>
      <c r="CX165" s="2277">
        <f>CX173/CW173*1.05*CW165</f>
        <v>49.762725833333342</v>
      </c>
      <c r="CY165" s="2277">
        <f>CY173/CX173*1.05*CX165</f>
        <v>52.250862125000012</v>
      </c>
      <c r="CZ165" s="1971"/>
    </row>
    <row r="166" spans="1:104" s="2109" customFormat="1" ht="11.25">
      <c r="A166" s="2109" t="s">
        <v>1310</v>
      </c>
      <c r="CB166" s="2275">
        <f>91.8/300.5</f>
        <v>0.30549084858569053</v>
      </c>
      <c r="CC166" s="2276"/>
      <c r="CD166" s="2276"/>
      <c r="CE166" s="2276"/>
      <c r="CF166" s="2276"/>
      <c r="CG166" s="2275">
        <f>104.7/331.2</f>
        <v>0.31612318840579712</v>
      </c>
      <c r="CH166" s="2276"/>
      <c r="CI166" s="2276"/>
      <c r="CJ166" s="2276"/>
      <c r="CK166" s="2276"/>
      <c r="CL166" s="2275">
        <f>105.9/341.9</f>
        <v>0.30973968996782691</v>
      </c>
      <c r="CQ166" s="1533"/>
      <c r="CV166" s="1533"/>
      <c r="CW166" s="1533"/>
      <c r="CX166" s="1533"/>
      <c r="CY166" s="1533"/>
      <c r="CZ166" s="1971"/>
    </row>
    <row r="167" spans="1:104" s="2109" customFormat="1" ht="11.25">
      <c r="A167" s="2109" t="s">
        <v>1436</v>
      </c>
      <c r="CB167" s="2278">
        <f>CB165/(1-CB166)</f>
        <v>82.504312410158121</v>
      </c>
      <c r="CC167" s="2242"/>
      <c r="CD167" s="2242"/>
      <c r="CE167" s="2242"/>
      <c r="CF167" s="2242"/>
      <c r="CG167" s="2278">
        <f>CG165/(1-CG166)</f>
        <v>78.376688741721864</v>
      </c>
      <c r="CH167" s="2242"/>
      <c r="CI167" s="2242"/>
      <c r="CJ167" s="2242"/>
      <c r="CK167" s="2242"/>
      <c r="CL167" s="2278">
        <f>CL165/(1-CL166)</f>
        <v>77.072372881355932</v>
      </c>
      <c r="CQ167" s="1533"/>
      <c r="CV167" s="1533"/>
      <c r="CW167" s="1533"/>
      <c r="CX167" s="1533"/>
      <c r="CY167" s="1533"/>
      <c r="CZ167" s="1971"/>
    </row>
    <row r="168" spans="1:104" s="2109" customFormat="1" ht="11.25">
      <c r="A168" s="2109" t="s">
        <v>1438</v>
      </c>
      <c r="CB168" s="2275">
        <f>CB167/CB12</f>
        <v>4.9042568156784233E-3</v>
      </c>
      <c r="CC168" s="2242"/>
      <c r="CD168" s="2242"/>
      <c r="CE168" s="2242"/>
      <c r="CF168" s="2242"/>
      <c r="CG168" s="2275">
        <f>CG167/CG12</f>
        <v>4.691248503125748E-3</v>
      </c>
      <c r="CH168" s="2242"/>
      <c r="CI168" s="2242"/>
      <c r="CJ168" s="2242"/>
      <c r="CK168" s="2242"/>
      <c r="CL168" s="2275">
        <f>CL167/CL12</f>
        <v>4.5737566246131347E-3</v>
      </c>
      <c r="CQ168" s="1533"/>
      <c r="CV168" s="1533"/>
      <c r="CW168" s="1533"/>
      <c r="CX168" s="1533"/>
      <c r="CY168" s="1533"/>
      <c r="CZ168" s="1971"/>
    </row>
    <row r="169" spans="1:104" s="1178" customFormat="1" ht="11.25">
      <c r="CB169" s="1533"/>
      <c r="CG169" s="1533"/>
      <c r="CL169" s="1533"/>
      <c r="CQ169" s="1533"/>
      <c r="CR169" s="2109"/>
      <c r="CS169" s="2109"/>
      <c r="CT169" s="2109"/>
      <c r="CU169" s="2109"/>
      <c r="CV169" s="1533"/>
      <c r="CW169" s="1533"/>
      <c r="CX169" s="1533"/>
      <c r="CY169" s="1533"/>
      <c r="CZ169" s="1971"/>
    </row>
    <row r="170" spans="1:104" s="1178" customFormat="1" ht="11.25">
      <c r="A170" s="1178" t="s">
        <v>1433</v>
      </c>
      <c r="BW170" s="1178">
        <v>110</v>
      </c>
      <c r="CB170" s="2273">
        <v>0.2</v>
      </c>
      <c r="CG170" s="2273">
        <v>0.2</v>
      </c>
      <c r="CH170" s="2274"/>
      <c r="CI170" s="2274"/>
      <c r="CJ170" s="2274"/>
      <c r="CK170" s="2274"/>
      <c r="CL170" s="2273">
        <v>0.2</v>
      </c>
      <c r="CM170" s="2274"/>
      <c r="CN170" s="2274"/>
      <c r="CO170" s="2274"/>
      <c r="CP170" s="2274"/>
      <c r="CQ170" s="2273">
        <v>0.2</v>
      </c>
      <c r="CR170" s="2274"/>
      <c r="CS170" s="2274"/>
      <c r="CT170" s="2274"/>
      <c r="CU170" s="2274"/>
      <c r="CV170" s="2279">
        <f>CQ170</f>
        <v>0.2</v>
      </c>
      <c r="CW170" s="2279">
        <f>CV170</f>
        <v>0.2</v>
      </c>
      <c r="CX170" s="2279">
        <f t="shared" ref="CX170:CY172" si="46">CW170</f>
        <v>0.2</v>
      </c>
      <c r="CY170" s="2279">
        <f t="shared" si="46"/>
        <v>0.2</v>
      </c>
      <c r="CZ170" s="1971"/>
    </row>
    <row r="171" spans="1:104" s="1178" customFormat="1" ht="11.25">
      <c r="A171" s="1178" t="s">
        <v>1434</v>
      </c>
      <c r="BW171" s="1178">
        <v>42</v>
      </c>
      <c r="CB171" s="2273">
        <v>0.4</v>
      </c>
      <c r="CG171" s="2273">
        <v>0.4</v>
      </c>
      <c r="CH171" s="2274"/>
      <c r="CI171" s="2274"/>
      <c r="CJ171" s="2274"/>
      <c r="CK171" s="2274"/>
      <c r="CL171" s="2273">
        <v>0.3</v>
      </c>
      <c r="CM171" s="2274"/>
      <c r="CN171" s="2274"/>
      <c r="CO171" s="2274"/>
      <c r="CP171" s="2274"/>
      <c r="CQ171" s="2273">
        <v>0.2</v>
      </c>
      <c r="CR171" s="2274"/>
      <c r="CS171" s="2274"/>
      <c r="CT171" s="2274"/>
      <c r="CU171" s="2274"/>
      <c r="CV171" s="2279">
        <f>CQ171</f>
        <v>0.2</v>
      </c>
      <c r="CW171" s="2279">
        <f>CV171</f>
        <v>0.2</v>
      </c>
      <c r="CX171" s="2279">
        <f t="shared" si="46"/>
        <v>0.2</v>
      </c>
      <c r="CY171" s="2279">
        <f t="shared" si="46"/>
        <v>0.2</v>
      </c>
      <c r="CZ171" s="1971"/>
    </row>
    <row r="172" spans="1:104" s="1178" customFormat="1" ht="11.25">
      <c r="A172" s="1178" t="s">
        <v>1435</v>
      </c>
      <c r="BW172" s="1178">
        <v>35</v>
      </c>
      <c r="CB172" s="2273">
        <v>0.4</v>
      </c>
      <c r="CG172" s="2273">
        <v>0.4</v>
      </c>
      <c r="CH172" s="2274"/>
      <c r="CI172" s="2274"/>
      <c r="CJ172" s="2274"/>
      <c r="CK172" s="2274"/>
      <c r="CL172" s="2273">
        <v>0.4</v>
      </c>
      <c r="CM172" s="2274"/>
      <c r="CN172" s="2274"/>
      <c r="CO172" s="2274"/>
      <c r="CP172" s="2274"/>
      <c r="CQ172" s="2273">
        <v>0.2</v>
      </c>
      <c r="CR172" s="2274"/>
      <c r="CS172" s="2274"/>
      <c r="CT172" s="2274"/>
      <c r="CU172" s="2274"/>
      <c r="CV172" s="2279">
        <f>CQ172</f>
        <v>0.2</v>
      </c>
      <c r="CW172" s="2279">
        <f>CV172</f>
        <v>0.2</v>
      </c>
      <c r="CX172" s="2279">
        <f t="shared" si="46"/>
        <v>0.2</v>
      </c>
      <c r="CY172" s="2279">
        <f t="shared" si="46"/>
        <v>0.2</v>
      </c>
      <c r="CZ172" s="1971"/>
    </row>
    <row r="173" spans="1:104" s="1178" customFormat="1" ht="11.25">
      <c r="BV173" s="1178" t="s">
        <v>1439</v>
      </c>
      <c r="BW173" s="1178">
        <f>SUM(BW170:BW172)</f>
        <v>187</v>
      </c>
      <c r="CB173" s="2278">
        <f>SUMPRODUCT(CB170:CB172,$BW170:$BW172)</f>
        <v>52.8</v>
      </c>
      <c r="CC173" s="2242"/>
      <c r="CD173" s="2242"/>
      <c r="CE173" s="2242"/>
      <c r="CF173" s="2242"/>
      <c r="CG173" s="2278">
        <f>SUMPRODUCT(CG170:CG172,$BW170:$BW172)</f>
        <v>52.8</v>
      </c>
      <c r="CH173" s="2242"/>
      <c r="CI173" s="2242"/>
      <c r="CJ173" s="2242"/>
      <c r="CK173" s="2242"/>
      <c r="CL173" s="2278">
        <f>SUMPRODUCT(CL170:CL172,$BW170:$BW172)</f>
        <v>48.6</v>
      </c>
      <c r="CM173" s="2242"/>
      <c r="CN173" s="2242"/>
      <c r="CO173" s="2242"/>
      <c r="CP173" s="2242"/>
      <c r="CQ173" s="2278">
        <f>SUMPRODUCT(CQ170:CQ172,$BW170:$BW172)</f>
        <v>37.4</v>
      </c>
      <c r="CR173" s="2242"/>
      <c r="CS173" s="2242"/>
      <c r="CT173" s="2242"/>
      <c r="CU173" s="2242"/>
      <c r="CV173" s="2278">
        <f>SUMPRODUCT(CV170:CV172,$BW170:$BW172)</f>
        <v>37.4</v>
      </c>
      <c r="CW173" s="2278">
        <f>SUMPRODUCT(CW170:CW172,$BW170:$BW172)</f>
        <v>37.4</v>
      </c>
      <c r="CX173" s="2278">
        <f>SUMPRODUCT(CX170:CX172,$BW170:$BW172)</f>
        <v>37.4</v>
      </c>
      <c r="CY173" s="2278">
        <f>SUMPRODUCT(CY170:CY172,$BW170:$BW172)</f>
        <v>37.4</v>
      </c>
      <c r="CZ173" s="1971"/>
    </row>
    <row r="174" spans="1:104" s="1178" customFormat="1" ht="11.25">
      <c r="CB174" s="1533"/>
      <c r="CG174" s="1533"/>
      <c r="CL174" s="1533"/>
      <c r="CQ174" s="1533"/>
      <c r="CR174" s="2109"/>
      <c r="CS174" s="2109"/>
      <c r="CT174" s="2109"/>
      <c r="CU174" s="2109"/>
      <c r="CV174" s="1533"/>
      <c r="CW174" s="1533"/>
      <c r="CX174" s="1533"/>
      <c r="CY174" s="1533"/>
      <c r="CZ174" s="1971"/>
    </row>
    <row r="175" spans="1:104" s="1178" customFormat="1" ht="11.25">
      <c r="CB175" s="1533"/>
      <c r="CG175" s="1533"/>
      <c r="CL175" s="1533" t="s">
        <v>1440</v>
      </c>
      <c r="CM175" s="1178">
        <v>25</v>
      </c>
      <c r="CQ175" s="1533"/>
      <c r="CR175" s="2109">
        <v>25</v>
      </c>
      <c r="CS175" s="2109"/>
      <c r="CT175" s="2109"/>
      <c r="CU175" s="2109"/>
      <c r="CV175" s="1533"/>
      <c r="CW175" s="1533"/>
      <c r="CX175" s="1533"/>
      <c r="CY175" s="1533"/>
      <c r="CZ175" s="1971"/>
    </row>
    <row r="176" spans="1:104" s="1178" customFormat="1" ht="11.25">
      <c r="CB176" s="1533"/>
      <c r="CG176" s="1533"/>
      <c r="CL176" s="1533" t="s">
        <v>1441</v>
      </c>
      <c r="CM176" s="2242">
        <f>CM179*CM178/(1-CM177)</f>
        <v>426.74556344779262</v>
      </c>
      <c r="CQ176" s="1533"/>
      <c r="CR176" s="2242">
        <f>CR179*CR178/(1-CR177)</f>
        <v>428.73451625692365</v>
      </c>
      <c r="CS176" s="2109"/>
      <c r="CT176" s="2109"/>
      <c r="CU176" s="2109"/>
      <c r="CV176" s="1533"/>
      <c r="CW176" s="1533"/>
      <c r="CX176" s="1533"/>
      <c r="CY176" s="1533"/>
      <c r="CZ176" s="1971"/>
    </row>
    <row r="177" spans="80:104" s="1178" customFormat="1" ht="11.25">
      <c r="CB177" s="1533"/>
      <c r="CG177" s="1533"/>
      <c r="CL177" s="1533"/>
      <c r="CM177" s="2274">
        <v>0.27</v>
      </c>
      <c r="CQ177" s="1533"/>
      <c r="CR177" s="2274">
        <v>0.27</v>
      </c>
      <c r="CS177" s="2109"/>
      <c r="CT177" s="2109"/>
      <c r="CU177" s="2109"/>
      <c r="CV177" s="1533"/>
      <c r="CW177" s="1533"/>
      <c r="CX177" s="1533"/>
      <c r="CY177" s="1533"/>
      <c r="CZ177" s="1971"/>
    </row>
    <row r="178" spans="80:104" s="1178" customFormat="1" ht="11.25">
      <c r="CB178" s="1533"/>
      <c r="CG178" s="1533"/>
      <c r="CL178" s="1533"/>
      <c r="CM178" s="1178">
        <f>IS!CQ99</f>
        <v>798.78015722279122</v>
      </c>
      <c r="CQ178" s="1533"/>
      <c r="CR178" s="2109">
        <f>IS!CV99</f>
        <v>802.50306889116473</v>
      </c>
      <c r="CS178" s="2109"/>
      <c r="CT178" s="2109"/>
      <c r="CU178" s="2109"/>
      <c r="CV178" s="1533"/>
      <c r="CW178" s="1533"/>
      <c r="CX178" s="1533"/>
      <c r="CY178" s="1533"/>
      <c r="CZ178" s="1971"/>
    </row>
    <row r="179" spans="80:104" s="1178" customFormat="1" ht="11.25">
      <c r="CB179" s="1533"/>
      <c r="CG179" s="1533"/>
      <c r="CL179" s="1533"/>
      <c r="CM179" s="1178">
        <f>0.065*6</f>
        <v>0.39</v>
      </c>
      <c r="CQ179" s="1533"/>
      <c r="CR179" s="2109">
        <f>0.065*6</f>
        <v>0.39</v>
      </c>
      <c r="CS179" s="2109"/>
      <c r="CT179" s="2109"/>
      <c r="CU179" s="2109"/>
      <c r="CV179" s="1533"/>
      <c r="CW179" s="1533"/>
      <c r="CX179" s="1533"/>
      <c r="CY179" s="1533"/>
      <c r="CZ179" s="1971"/>
    </row>
    <row r="180" spans="80:104" s="1178" customFormat="1" ht="11.25">
      <c r="CB180" s="1533"/>
      <c r="CG180" s="1533"/>
      <c r="CL180" s="1533"/>
      <c r="CQ180" s="1533"/>
      <c r="CR180" s="2109"/>
      <c r="CS180" s="2109"/>
      <c r="CT180" s="2109"/>
      <c r="CU180" s="2109"/>
      <c r="CV180" s="1533"/>
      <c r="CW180" s="1533"/>
      <c r="CX180" s="1533"/>
      <c r="CY180" s="1533"/>
      <c r="CZ180" s="1971"/>
    </row>
    <row r="181" spans="80:104" s="1178" customFormat="1" ht="11.25">
      <c r="CB181" s="1533"/>
      <c r="CG181" s="1533"/>
      <c r="CL181" s="1533" t="s">
        <v>1442</v>
      </c>
      <c r="CM181" s="1178">
        <v>450</v>
      </c>
      <c r="CQ181" s="1533"/>
      <c r="CR181" s="2109">
        <v>450</v>
      </c>
      <c r="CS181" s="2109"/>
      <c r="CT181" s="2109"/>
      <c r="CU181" s="2109"/>
      <c r="CV181" s="1533"/>
      <c r="CW181" s="1533"/>
      <c r="CX181" s="1533"/>
      <c r="CY181" s="1533"/>
      <c r="CZ181" s="1971"/>
    </row>
    <row r="182" spans="80:104" s="1178" customFormat="1" ht="11.25">
      <c r="CB182" s="1533"/>
      <c r="CG182" s="1533"/>
      <c r="CL182" s="1533" t="s">
        <v>344</v>
      </c>
      <c r="CQ182" s="1533"/>
      <c r="CR182" s="2109"/>
      <c r="CS182" s="2109"/>
      <c r="CT182" s="2109"/>
      <c r="CU182" s="2109"/>
      <c r="CV182" s="1533"/>
      <c r="CW182" s="1533"/>
      <c r="CX182" s="1533"/>
      <c r="CY182" s="1533"/>
      <c r="CZ182" s="1971"/>
    </row>
    <row r="183" spans="80:104" s="1178" customFormat="1" ht="11.25">
      <c r="CB183" s="1533"/>
      <c r="CG183" s="1533"/>
      <c r="CL183" s="1533"/>
      <c r="CQ183" s="1533"/>
      <c r="CR183" s="2109"/>
      <c r="CS183" s="2109"/>
      <c r="CT183" s="2109"/>
      <c r="CU183" s="2109"/>
      <c r="CV183" s="1533"/>
      <c r="CW183" s="1533"/>
      <c r="CX183" s="1533"/>
      <c r="CY183" s="1533"/>
      <c r="CZ183" s="1971"/>
    </row>
    <row r="184" spans="80:104" s="1178" customFormat="1" ht="11.25">
      <c r="CB184" s="1533"/>
      <c r="CG184" s="1533"/>
      <c r="CL184" s="1533"/>
      <c r="CQ184" s="1533"/>
      <c r="CR184" s="2109"/>
      <c r="CS184" s="2109"/>
      <c r="CT184" s="2109"/>
      <c r="CU184" s="2109"/>
      <c r="CV184" s="1533"/>
      <c r="CW184" s="1533"/>
      <c r="CX184" s="1533"/>
      <c r="CY184" s="1533"/>
      <c r="CZ184" s="1971"/>
    </row>
    <row r="185" spans="80:104" s="1178" customFormat="1" ht="11.25">
      <c r="CB185" s="1533"/>
      <c r="CG185" s="1533"/>
      <c r="CL185" s="1533"/>
      <c r="CQ185" s="1533"/>
      <c r="CR185" s="2109"/>
      <c r="CS185" s="2109"/>
      <c r="CT185" s="2109"/>
      <c r="CU185" s="2109"/>
      <c r="CV185" s="1533"/>
      <c r="CW185" s="1533"/>
      <c r="CX185" s="1533"/>
      <c r="CY185" s="1533"/>
      <c r="CZ185" s="1971"/>
    </row>
    <row r="186" spans="80:104" s="1178" customFormat="1" ht="11.25">
      <c r="CB186" s="1533"/>
      <c r="CG186" s="1533"/>
      <c r="CL186" s="1533"/>
      <c r="CQ186" s="1533"/>
      <c r="CR186" s="2109"/>
      <c r="CS186" s="2109"/>
      <c r="CT186" s="2109"/>
      <c r="CU186" s="2109"/>
      <c r="CV186" s="1533"/>
      <c r="CW186" s="1533"/>
      <c r="CX186" s="1533"/>
      <c r="CY186" s="1533"/>
      <c r="CZ186" s="1971"/>
    </row>
    <row r="187" spans="80:104" s="1178" customFormat="1" ht="11.25">
      <c r="CB187" s="1533"/>
      <c r="CG187" s="1533"/>
      <c r="CL187" s="1533"/>
      <c r="CQ187" s="1533"/>
      <c r="CR187" s="2109"/>
      <c r="CS187" s="2109"/>
      <c r="CT187" s="2109"/>
      <c r="CU187" s="2109"/>
      <c r="CV187" s="1533"/>
      <c r="CW187" s="1533"/>
      <c r="CX187" s="1533"/>
      <c r="CY187" s="1533"/>
      <c r="CZ187" s="1971"/>
    </row>
    <row r="188" spans="80:104" s="1178" customFormat="1" ht="11.25">
      <c r="CB188" s="1533"/>
      <c r="CG188" s="1533"/>
      <c r="CL188" s="1533"/>
      <c r="CQ188" s="1533"/>
      <c r="CR188" s="2109"/>
      <c r="CS188" s="2109"/>
      <c r="CT188" s="2109"/>
      <c r="CU188" s="2109"/>
      <c r="CV188" s="1533"/>
      <c r="CW188" s="1533"/>
      <c r="CX188" s="1533"/>
      <c r="CY188" s="1533"/>
      <c r="CZ188" s="1971"/>
    </row>
    <row r="189" spans="80:104" s="1178" customFormat="1" ht="11.25">
      <c r="CB189" s="1533"/>
      <c r="CG189" s="1533"/>
      <c r="CL189" s="1533"/>
      <c r="CQ189" s="1533"/>
      <c r="CR189" s="2109"/>
      <c r="CS189" s="2109"/>
      <c r="CT189" s="2109"/>
      <c r="CU189" s="2109"/>
      <c r="CV189" s="1533"/>
      <c r="CW189" s="1533"/>
      <c r="CX189" s="1533"/>
      <c r="CY189" s="1533"/>
      <c r="CZ189" s="1971"/>
    </row>
    <row r="190" spans="80:104" s="1178" customFormat="1" ht="11.25">
      <c r="CB190" s="1533"/>
      <c r="CG190" s="1533"/>
      <c r="CL190" s="1533"/>
      <c r="CQ190" s="1533"/>
      <c r="CR190" s="2109"/>
      <c r="CS190" s="2109"/>
      <c r="CT190" s="2109"/>
      <c r="CU190" s="2109"/>
      <c r="CV190" s="1533"/>
      <c r="CW190" s="1533"/>
      <c r="CX190" s="1533"/>
      <c r="CY190" s="1533"/>
      <c r="CZ190" s="1971"/>
    </row>
  </sheetData>
  <hyperlinks>
    <hyperlink ref="CQ4" r:id="rId1"/>
    <hyperlink ref="CV4" r:id="rId2"/>
    <hyperlink ref="CW4" r:id="rId3"/>
    <hyperlink ref="CX4" r:id="rId4"/>
    <hyperlink ref="CY4" r:id="rId5"/>
  </hyperlinks>
  <pageMargins left="0" right="0" top="0" bottom="0" header="0.3" footer="0.3"/>
  <pageSetup paperSize="9" scale="26" orientation="landscape"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DM359"/>
  <sheetViews>
    <sheetView showGridLines="0" zoomScaleNormal="100" workbookViewId="0">
      <pane xSplit="13" ySplit="10" topLeftCell="CQ134" activePane="bottomRight" state="frozen"/>
      <selection activeCell="BN5" sqref="BN5"/>
      <selection pane="topRight" activeCell="BN5" sqref="BN5"/>
      <selection pane="bottomLeft" activeCell="BN5" sqref="BN5"/>
      <selection pane="bottomRight" activeCell="DB163" sqref="DB163"/>
    </sheetView>
  </sheetViews>
  <sheetFormatPr defaultRowHeight="12.75" outlineLevelRow="1" outlineLevelCol="1"/>
  <cols>
    <col min="1" max="1" width="2" customWidth="1"/>
    <col min="2" max="2" width="1.7109375" customWidth="1"/>
    <col min="3" max="3" width="2.28515625" customWidth="1"/>
    <col min="4" max="4" width="20.42578125" customWidth="1"/>
    <col min="5" max="5" width="1.85546875" customWidth="1"/>
    <col min="6" max="6" width="8.28515625" hidden="1" customWidth="1" outlineLevel="1"/>
    <col min="7" max="7" width="8.140625" hidden="1" customWidth="1" outlineLevel="1"/>
    <col min="8" max="8" width="8" hidden="1" customWidth="1" outlineLevel="1"/>
    <col min="9" max="13" width="8.28515625" hidden="1" customWidth="1" outlineLevel="1"/>
    <col min="14" max="14" width="8.7109375" hidden="1" customWidth="1" collapsed="1"/>
    <col min="15" max="18" width="8.7109375" hidden="1" customWidth="1" outlineLevel="1"/>
    <col min="19" max="19" width="8.7109375" hidden="1" customWidth="1" collapsed="1"/>
    <col min="20" max="23" width="8.7109375" hidden="1" customWidth="1" outlineLevel="1"/>
    <col min="24" max="24" width="8.7109375" hidden="1" customWidth="1" collapsed="1"/>
    <col min="25" max="28" width="8.7109375" hidden="1" customWidth="1" outlineLevel="1"/>
    <col min="29" max="29" width="8.7109375" hidden="1" customWidth="1" collapsed="1"/>
    <col min="30" max="33" width="8.7109375" hidden="1" customWidth="1" outlineLevel="1"/>
    <col min="34" max="34" width="8.7109375" hidden="1" customWidth="1" collapsed="1"/>
    <col min="35" max="38" width="8.7109375" hidden="1" customWidth="1" outlineLevel="1"/>
    <col min="39" max="39" width="8.7109375" hidden="1" customWidth="1" collapsed="1"/>
    <col min="40" max="43" width="8.7109375" hidden="1" customWidth="1" outlineLevel="1"/>
    <col min="44" max="44" width="8.7109375" hidden="1" customWidth="1" collapsed="1"/>
    <col min="45" max="48" width="8.7109375" hidden="1" customWidth="1" outlineLevel="1"/>
    <col min="49" max="49" width="8.7109375" hidden="1" customWidth="1" collapsed="1"/>
    <col min="50" max="53" width="8.7109375" hidden="1" customWidth="1" outlineLevel="1"/>
    <col min="54" max="54" width="8.7109375" customWidth="1" collapsed="1"/>
    <col min="55" max="58" width="8.7109375" hidden="1" customWidth="1" outlineLevel="1"/>
    <col min="59" max="59" width="8.7109375" customWidth="1" collapsed="1"/>
    <col min="60" max="63" width="8.7109375" hidden="1" customWidth="1" outlineLevel="1"/>
    <col min="64" max="64" width="8.7109375" customWidth="1" collapsed="1"/>
    <col min="65" max="68" width="8.7109375" hidden="1" customWidth="1" outlineLevel="1"/>
    <col min="69" max="69" width="10" bestFit="1" customWidth="1" collapsed="1"/>
    <col min="70" max="73" width="9.140625" customWidth="1" outlineLevel="1"/>
    <col min="74" max="74" width="10" bestFit="1" customWidth="1"/>
    <col min="75" max="75" width="10.140625" customWidth="1" outlineLevel="1"/>
    <col min="76" max="78" width="10" customWidth="1" outlineLevel="1"/>
    <col min="79" max="79" width="9" customWidth="1"/>
    <col min="80" max="83" width="10" customWidth="1" outlineLevel="1"/>
    <col min="84" max="84" width="9.5703125" bestFit="1" customWidth="1"/>
    <col min="85" max="88" width="10" customWidth="1" outlineLevel="1"/>
    <col min="90" max="93" width="10" customWidth="1" outlineLevel="1"/>
    <col min="94" max="94" width="9.42578125" bestFit="1" customWidth="1"/>
    <col min="95" max="98" width="10" customWidth="1" outlineLevel="1"/>
    <col min="100" max="103" width="10" style="2029" customWidth="1" outlineLevel="1"/>
    <col min="106" max="107" width="9.140625" style="2029"/>
    <col min="108" max="108" width="9.28515625" customWidth="1"/>
  </cols>
  <sheetData>
    <row r="1" spans="1:109" hidden="1" outlineLevel="1">
      <c r="A1" s="1156"/>
      <c r="B1" s="1518"/>
      <c r="C1" s="1518"/>
      <c r="D1" s="1518"/>
      <c r="E1" s="1518"/>
      <c r="F1" s="1518"/>
      <c r="G1" s="1518"/>
      <c r="H1" s="1518"/>
      <c r="I1" s="1518"/>
      <c r="J1" s="1518"/>
      <c r="K1" s="1518"/>
      <c r="L1" s="1518"/>
      <c r="M1" s="1518"/>
      <c r="N1" s="1520"/>
      <c r="O1" s="1518"/>
      <c r="P1" s="1518"/>
      <c r="Q1" s="1518"/>
      <c r="R1" s="1518"/>
      <c r="S1" s="1520"/>
      <c r="T1" s="1518"/>
      <c r="U1" s="1518"/>
      <c r="V1" s="1518"/>
      <c r="W1" s="1518"/>
      <c r="X1" s="1520"/>
      <c r="Y1" s="1518"/>
      <c r="Z1" s="1518"/>
      <c r="AA1" s="1518"/>
      <c r="AB1" s="1518"/>
      <c r="AC1" s="1520"/>
      <c r="AD1" s="1518"/>
      <c r="AE1" s="1518"/>
      <c r="AF1" s="1518"/>
      <c r="AG1" s="1518"/>
      <c r="AH1" s="1520"/>
      <c r="AI1" s="1518"/>
      <c r="AJ1" s="1518"/>
      <c r="AK1" s="1518"/>
      <c r="AL1" s="1518"/>
      <c r="AM1" s="1520"/>
      <c r="AN1" s="1518"/>
      <c r="AO1" s="1518"/>
      <c r="AP1" s="1518"/>
      <c r="AQ1" s="1518"/>
      <c r="AR1" s="1520"/>
      <c r="AS1" s="1520"/>
      <c r="AT1" s="1520"/>
      <c r="AU1" s="1520"/>
      <c r="AV1" s="1520"/>
      <c r="AW1" s="1520"/>
      <c r="AX1" s="1363"/>
      <c r="AY1" s="1363"/>
      <c r="AZ1" s="1363"/>
      <c r="BA1" s="1363"/>
      <c r="BB1" s="1186"/>
      <c r="BC1" s="1363"/>
      <c r="BD1" s="1363"/>
      <c r="BE1" s="1363"/>
      <c r="BF1" s="1363"/>
      <c r="BG1" s="1186"/>
      <c r="BH1" s="1363"/>
      <c r="BI1" s="1363"/>
      <c r="BJ1" s="1363"/>
      <c r="BK1" s="1363"/>
      <c r="BL1" s="1186"/>
      <c r="BM1" s="1363"/>
      <c r="BN1" s="1363"/>
      <c r="BO1" s="1363"/>
      <c r="BP1" s="1363"/>
      <c r="BQ1" s="1184"/>
      <c r="BR1" s="1184"/>
      <c r="BS1" s="1184"/>
      <c r="BT1" s="1184"/>
      <c r="BU1" s="1184"/>
      <c r="BV1" s="1184"/>
      <c r="BW1" s="1184"/>
      <c r="BX1" s="1184"/>
      <c r="BY1" s="1184"/>
      <c r="BZ1" s="1184"/>
      <c r="CA1" s="1184"/>
      <c r="CB1" s="1240"/>
      <c r="CC1" s="1240"/>
      <c r="CD1" s="1240"/>
      <c r="CE1" s="1240"/>
      <c r="CF1" s="1184"/>
      <c r="CG1" s="1240"/>
      <c r="CH1" s="1240"/>
      <c r="CI1" s="1240"/>
      <c r="CJ1" s="1240"/>
      <c r="CK1" s="1184"/>
      <c r="CL1" s="1240"/>
      <c r="CM1" s="1240"/>
      <c r="CN1" s="1240"/>
      <c r="CO1" s="1240"/>
      <c r="CP1" s="1184"/>
      <c r="CQ1" s="1240"/>
      <c r="CR1" s="1240"/>
      <c r="CS1" s="1240"/>
      <c r="CT1" s="1240"/>
      <c r="CU1" s="1184"/>
      <c r="CV1" s="1240"/>
      <c r="CW1" s="1240"/>
      <c r="CX1" s="1240"/>
      <c r="CY1" s="1240"/>
      <c r="CZ1" s="1184"/>
      <c r="DD1" s="2001"/>
    </row>
    <row r="2" spans="1:109" ht="15.75" hidden="1" outlineLevel="1">
      <c r="A2" s="1156"/>
      <c r="B2" s="1799" t="e">
        <v>#REF!</v>
      </c>
      <c r="C2" s="1798"/>
      <c r="D2" s="1798"/>
      <c r="E2" s="1798"/>
      <c r="F2" s="1529"/>
      <c r="G2" s="1797"/>
      <c r="H2" s="1529"/>
      <c r="I2" s="1529"/>
      <c r="J2" s="1529"/>
      <c r="K2" s="1529"/>
      <c r="L2" s="1529"/>
      <c r="M2" s="1529"/>
      <c r="N2" s="1532"/>
      <c r="O2" s="1529"/>
      <c r="P2" s="1529"/>
      <c r="Q2" s="1529"/>
      <c r="R2" s="1529"/>
      <c r="S2" s="1532"/>
      <c r="T2" s="1529"/>
      <c r="U2" s="1529"/>
      <c r="V2" s="1529"/>
      <c r="W2" s="1529"/>
      <c r="X2" s="1532"/>
      <c r="Y2" s="1529"/>
      <c r="Z2" s="1529"/>
      <c r="AA2" s="1529"/>
      <c r="AB2" s="1529"/>
      <c r="AC2" s="1532"/>
      <c r="AD2" s="1529"/>
      <c r="AE2" s="1529"/>
      <c r="AF2" s="1529"/>
      <c r="AG2" s="1529"/>
      <c r="AH2" s="1529"/>
      <c r="AI2" s="1529"/>
      <c r="AJ2" s="1529"/>
      <c r="AK2" s="1529"/>
      <c r="AL2" s="1529"/>
      <c r="AM2" s="1529"/>
      <c r="AN2" s="1529"/>
      <c r="AO2" s="1529"/>
      <c r="AP2" s="1529"/>
      <c r="AQ2" s="1529"/>
      <c r="AR2" s="1529"/>
      <c r="AS2" s="1529"/>
      <c r="AT2" s="1529"/>
      <c r="AU2" s="1529"/>
      <c r="AV2" s="1529"/>
      <c r="AW2" s="1796"/>
      <c r="AX2" s="1796"/>
      <c r="AY2" s="1796"/>
      <c r="AZ2" s="1796"/>
      <c r="BA2" s="1796"/>
      <c r="BB2" s="1796"/>
      <c r="BC2" s="1796"/>
      <c r="BD2" s="1796"/>
      <c r="BE2" s="1796"/>
      <c r="BF2" s="1796"/>
      <c r="BG2" s="1796"/>
      <c r="BH2" s="1796"/>
      <c r="BI2" s="1796"/>
      <c r="BJ2" s="1796"/>
      <c r="BK2" s="1796"/>
      <c r="BL2" s="1796"/>
      <c r="BM2" s="1796"/>
      <c r="BN2" s="1796"/>
      <c r="BO2" s="1796"/>
      <c r="BP2" s="1796" t="s">
        <v>288</v>
      </c>
      <c r="BQ2" s="1795"/>
      <c r="BR2" s="1795"/>
      <c r="BS2" s="1795"/>
      <c r="BT2" s="1795"/>
      <c r="BU2" s="1795"/>
      <c r="BV2" s="1795"/>
      <c r="BW2" s="1795"/>
      <c r="BX2" s="1795"/>
      <c r="BY2" s="1795"/>
      <c r="BZ2" s="1795"/>
      <c r="CA2" s="1529"/>
      <c r="CB2" s="1795"/>
      <c r="CC2" s="1795"/>
      <c r="CD2" s="1795"/>
      <c r="CE2" s="1795"/>
      <c r="CF2" s="1529"/>
      <c r="CG2" s="1795"/>
      <c r="CH2" s="1795"/>
      <c r="CI2" s="1795"/>
      <c r="CJ2" s="1795"/>
      <c r="CK2" s="1529"/>
      <c r="CL2" s="1795"/>
      <c r="CM2" s="1795"/>
      <c r="CN2" s="1795"/>
      <c r="CO2" s="1795"/>
      <c r="CP2" s="1794"/>
      <c r="CQ2" s="1795"/>
      <c r="CR2" s="1795"/>
      <c r="CS2" s="1795"/>
      <c r="CT2" s="1795"/>
      <c r="CU2" s="1793" t="s">
        <v>1</v>
      </c>
      <c r="CV2" s="1795"/>
      <c r="CW2" s="1795"/>
      <c r="CX2" s="1795"/>
      <c r="CY2" s="1795"/>
      <c r="CZ2" s="1793"/>
      <c r="DD2" s="2001"/>
    </row>
    <row r="3" spans="1:109" ht="15.75" hidden="1" outlineLevel="1">
      <c r="A3" s="1156"/>
      <c r="B3" s="992" t="str">
        <f>IS!B3</f>
        <v>Morgan Stanley Research</v>
      </c>
      <c r="C3" s="1792"/>
      <c r="D3" s="1792"/>
      <c r="E3" s="1792"/>
      <c r="F3" s="1184"/>
      <c r="G3" s="1528"/>
      <c r="H3" s="1184"/>
      <c r="I3" s="1184"/>
      <c r="J3" s="1184"/>
      <c r="K3" s="1184"/>
      <c r="L3" s="1184"/>
      <c r="M3" s="1184"/>
      <c r="N3" s="1363"/>
      <c r="O3" s="1184"/>
      <c r="P3" s="1184"/>
      <c r="Q3" s="1184"/>
      <c r="R3" s="1184"/>
      <c r="S3" s="1363"/>
      <c r="T3" s="1184"/>
      <c r="U3" s="1184"/>
      <c r="V3" s="1184"/>
      <c r="W3" s="1184"/>
      <c r="X3" s="1363"/>
      <c r="Y3" s="1184"/>
      <c r="Z3" s="1184"/>
      <c r="AA3" s="1184"/>
      <c r="AB3" s="1184"/>
      <c r="AC3" s="1363"/>
      <c r="AD3" s="1184"/>
      <c r="AE3" s="1792"/>
      <c r="AF3" s="1792"/>
      <c r="AG3" s="1792"/>
      <c r="AH3" s="1184"/>
      <c r="AI3" s="1184"/>
      <c r="AJ3" s="1184"/>
      <c r="AK3" s="1184"/>
      <c r="AL3" s="1184"/>
      <c r="AM3" s="1184"/>
      <c r="AN3" s="1184"/>
      <c r="AO3" s="1184"/>
      <c r="AP3" s="1184"/>
      <c r="AQ3" s="1184"/>
      <c r="AR3" s="1184"/>
      <c r="AS3" s="1184"/>
      <c r="AT3" s="1184"/>
      <c r="AU3" s="1184"/>
      <c r="AV3" s="1184"/>
      <c r="AW3" s="1790"/>
      <c r="AX3" s="1790"/>
      <c r="AY3" s="1790"/>
      <c r="AZ3" s="1790"/>
      <c r="BA3" s="1790"/>
      <c r="BB3" s="1186"/>
      <c r="BC3" s="1790"/>
      <c r="BD3" s="1790"/>
      <c r="BE3" s="1790"/>
      <c r="BF3" s="1790"/>
      <c r="BG3" s="1186"/>
      <c r="BH3" s="1790"/>
      <c r="BI3" s="1790"/>
      <c r="BJ3" s="1790"/>
      <c r="BK3" s="1790"/>
      <c r="BL3" s="1186"/>
      <c r="BM3" s="1790"/>
      <c r="BN3" s="1790"/>
      <c r="BO3" s="1790"/>
      <c r="BP3" s="1790"/>
      <c r="BQ3" s="1789"/>
      <c r="BR3" s="1789"/>
      <c r="BS3" s="1789"/>
      <c r="BT3" s="1789"/>
      <c r="BU3" s="1789"/>
      <c r="BV3" s="1789"/>
      <c r="BW3" s="1789"/>
      <c r="BX3" s="1789"/>
      <c r="BY3" s="1789"/>
      <c r="BZ3" s="1789"/>
      <c r="CA3" s="1184"/>
      <c r="CB3" s="1789"/>
      <c r="CC3" s="1789"/>
      <c r="CD3" s="1789"/>
      <c r="CE3" s="1789"/>
      <c r="CF3" s="1184"/>
      <c r="CG3" s="1789"/>
      <c r="CH3" s="1789"/>
      <c r="CI3" s="1789"/>
      <c r="CJ3" s="1789"/>
      <c r="CK3" s="1184"/>
      <c r="CL3" s="1789"/>
      <c r="CM3" s="1789"/>
      <c r="CN3" s="1789"/>
      <c r="CO3" s="1789"/>
      <c r="CP3" s="1788"/>
      <c r="CQ3" s="1789"/>
      <c r="CR3" s="1789"/>
      <c r="CS3" s="1789"/>
      <c r="CT3" s="1789"/>
      <c r="CU3" s="140" t="s">
        <v>5</v>
      </c>
      <c r="CV3" s="1789"/>
      <c r="CW3" s="1789"/>
      <c r="CX3" s="1789"/>
      <c r="CY3" s="1789"/>
      <c r="CZ3" s="140"/>
      <c r="DD3" s="2001"/>
    </row>
    <row r="4" spans="1:109" hidden="1" outlineLevel="1">
      <c r="A4" s="1156"/>
      <c r="B4" s="986" t="str">
        <f>IS!B4</f>
        <v>YE 31 December ($ million)</v>
      </c>
      <c r="C4" s="1184"/>
      <c r="D4" s="1184"/>
      <c r="E4" s="1184"/>
      <c r="F4" s="1184"/>
      <c r="G4" s="1791"/>
      <c r="H4" s="1184"/>
      <c r="I4" s="1184"/>
      <c r="J4" s="1184"/>
      <c r="K4" s="1184"/>
      <c r="L4" s="1184"/>
      <c r="M4" s="1184"/>
      <c r="N4" s="1363"/>
      <c r="O4" s="1184"/>
      <c r="P4" s="1184"/>
      <c r="Q4" s="1184"/>
      <c r="R4" s="1184"/>
      <c r="S4" s="1363"/>
      <c r="T4" s="1184"/>
      <c r="U4" s="1184"/>
      <c r="V4" s="1184"/>
      <c r="W4" s="1184"/>
      <c r="X4" s="1525"/>
      <c r="Y4" s="1184"/>
      <c r="Z4" s="1184"/>
      <c r="AA4" s="1184"/>
      <c r="AB4" s="1184"/>
      <c r="AC4" s="1363"/>
      <c r="AD4" s="1184"/>
      <c r="AE4" s="1184"/>
      <c r="AF4" s="1184"/>
      <c r="AG4" s="1184"/>
      <c r="AH4" s="1184"/>
      <c r="AI4" s="1184"/>
      <c r="AJ4" s="1184"/>
      <c r="AK4" s="1184"/>
      <c r="AL4" s="1184"/>
      <c r="AM4" s="1184"/>
      <c r="AN4" s="1184"/>
      <c r="AO4" s="1184"/>
      <c r="AP4" s="1184"/>
      <c r="AQ4" s="1184"/>
      <c r="AR4" s="1184"/>
      <c r="AS4" s="1184"/>
      <c r="AT4" s="1184"/>
      <c r="AU4" s="1184"/>
      <c r="AV4" s="1184"/>
      <c r="AW4" s="1790"/>
      <c r="AX4" s="1790"/>
      <c r="AY4" s="1790"/>
      <c r="AZ4" s="1790"/>
      <c r="BA4" s="1790"/>
      <c r="BB4" s="1186"/>
      <c r="BC4" s="1790"/>
      <c r="BD4" s="1790"/>
      <c r="BE4" s="1790"/>
      <c r="BF4" s="1790"/>
      <c r="BG4" s="1186"/>
      <c r="BH4" s="1790"/>
      <c r="BI4" s="1790"/>
      <c r="BJ4" s="1790"/>
      <c r="BK4" s="1790"/>
      <c r="BL4" s="1186"/>
      <c r="BM4" s="1790"/>
      <c r="BN4" s="1790"/>
      <c r="BO4" s="1790"/>
      <c r="BP4" s="1790"/>
      <c r="BQ4" s="1789"/>
      <c r="BR4" s="1789"/>
      <c r="BS4" s="1789"/>
      <c r="BT4" s="1789"/>
      <c r="BU4" s="1789"/>
      <c r="BV4" s="1789"/>
      <c r="BW4" s="1789"/>
      <c r="BX4" s="1789"/>
      <c r="BY4" s="1789"/>
      <c r="BZ4" s="1789"/>
      <c r="CA4" s="1184"/>
      <c r="CB4" s="1789"/>
      <c r="CC4" s="1789"/>
      <c r="CD4" s="1789"/>
      <c r="CE4" s="1789"/>
      <c r="CF4" s="1184"/>
      <c r="CG4" s="1789"/>
      <c r="CH4" s="1789"/>
      <c r="CI4" s="1789"/>
      <c r="CJ4" s="1789"/>
      <c r="CK4" s="1184"/>
      <c r="CL4" s="1789"/>
      <c r="CM4" s="1789"/>
      <c r="CN4" s="1789"/>
      <c r="CO4" s="1789"/>
      <c r="CP4" s="1788"/>
      <c r="CQ4" s="1789"/>
      <c r="CR4" s="1789"/>
      <c r="CS4" s="1789"/>
      <c r="CT4" s="1789"/>
      <c r="CU4" s="985" t="s">
        <v>6</v>
      </c>
      <c r="CV4" s="1789"/>
      <c r="CW4" s="1789"/>
      <c r="CX4" s="1789"/>
      <c r="CY4" s="1789"/>
      <c r="CZ4" s="985"/>
      <c r="DD4" s="2001"/>
    </row>
    <row r="5" spans="1:109" hidden="1" outlineLevel="1">
      <c r="A5" s="1156"/>
      <c r="B5" s="1523"/>
      <c r="C5" s="1521"/>
      <c r="D5" s="1521"/>
      <c r="E5" s="1521"/>
      <c r="F5" s="1518"/>
      <c r="G5" s="1522"/>
      <c r="H5" s="1518"/>
      <c r="I5" s="1518"/>
      <c r="J5" s="1518"/>
      <c r="K5" s="1518"/>
      <c r="L5" s="1518"/>
      <c r="M5" s="1518"/>
      <c r="N5" s="1520"/>
      <c r="O5" s="1518"/>
      <c r="P5" s="1518"/>
      <c r="Q5" s="1518"/>
      <c r="R5" s="1518"/>
      <c r="S5" s="1520"/>
      <c r="T5" s="1518"/>
      <c r="U5" s="1518"/>
      <c r="V5" s="1518"/>
      <c r="W5" s="1518"/>
      <c r="X5" s="1520"/>
      <c r="Y5" s="1518"/>
      <c r="Z5" s="1518"/>
      <c r="AA5" s="1518"/>
      <c r="AB5" s="1518"/>
      <c r="AC5" s="1520"/>
      <c r="AD5" s="1518"/>
      <c r="AE5" s="1521"/>
      <c r="AF5" s="1521"/>
      <c r="AG5" s="1521"/>
      <c r="AH5" s="1520"/>
      <c r="AI5" s="1518"/>
      <c r="AJ5" s="1518"/>
      <c r="AK5" s="1518"/>
      <c r="AL5" s="1518"/>
      <c r="AM5" s="1520"/>
      <c r="AN5" s="1518"/>
      <c r="AO5" s="1518"/>
      <c r="AP5" s="1518"/>
      <c r="AQ5" s="1518"/>
      <c r="AR5" s="1520"/>
      <c r="AS5" s="1520"/>
      <c r="AT5" s="1520"/>
      <c r="AU5" s="1520"/>
      <c r="AV5" s="1520"/>
      <c r="AW5" s="1520"/>
      <c r="AX5" s="1520"/>
      <c r="AY5" s="1520"/>
      <c r="AZ5" s="1520"/>
      <c r="BA5" s="1520"/>
      <c r="BB5" s="1520"/>
      <c r="BC5" s="1520"/>
      <c r="BD5" s="1520"/>
      <c r="BE5" s="1520"/>
      <c r="BF5" s="1520"/>
      <c r="BG5" s="1520"/>
      <c r="BH5" s="1520"/>
      <c r="BI5" s="1520"/>
      <c r="BJ5" s="1520"/>
      <c r="BK5" s="1520"/>
      <c r="BL5" s="1520"/>
      <c r="BM5" s="1520"/>
      <c r="BN5" s="1520"/>
      <c r="BO5" s="1520"/>
      <c r="BP5" s="1520"/>
      <c r="BQ5" s="1787"/>
      <c r="BR5" s="1787"/>
      <c r="BS5" s="1787"/>
      <c r="BT5" s="1787"/>
      <c r="BU5" s="1787"/>
      <c r="BV5" s="1787"/>
      <c r="BW5" s="1787"/>
      <c r="BX5" s="1787"/>
      <c r="BY5" s="1787"/>
      <c r="BZ5" s="1787"/>
      <c r="CA5" s="1787"/>
      <c r="CB5" s="1786"/>
      <c r="CC5" s="1786"/>
      <c r="CD5" s="1786"/>
      <c r="CE5" s="1786"/>
      <c r="CF5" s="1787"/>
      <c r="CG5" s="1786"/>
      <c r="CH5" s="1786"/>
      <c r="CI5" s="1786"/>
      <c r="CJ5" s="1786"/>
      <c r="CK5" s="1518"/>
      <c r="CL5" s="1786"/>
      <c r="CM5" s="1786"/>
      <c r="CN5" s="1786"/>
      <c r="CO5" s="1786"/>
      <c r="CP5" s="1785"/>
      <c r="CQ5" s="1786"/>
      <c r="CR5" s="1786"/>
      <c r="CS5" s="1786"/>
      <c r="CT5" s="1786"/>
      <c r="CU5" s="1517"/>
      <c r="CV5" s="1786"/>
      <c r="CW5" s="1786"/>
      <c r="CX5" s="1786"/>
      <c r="CY5" s="1786"/>
      <c r="CZ5" s="1517"/>
      <c r="DD5" s="2001"/>
    </row>
    <row r="6" spans="1:109" hidden="1" outlineLevel="1">
      <c r="A6" s="1156"/>
      <c r="B6" s="1513"/>
      <c r="C6" s="1516"/>
      <c r="D6" s="1516"/>
      <c r="E6" s="1515"/>
      <c r="F6" s="1515"/>
      <c r="G6" s="1526"/>
      <c r="H6" s="1515"/>
      <c r="I6" s="1515"/>
      <c r="J6" s="1515"/>
      <c r="K6" s="1515"/>
      <c r="L6" s="1515"/>
      <c r="M6" s="1515"/>
      <c r="N6" s="1513"/>
      <c r="O6" s="1515"/>
      <c r="P6" s="1515"/>
      <c r="Q6" s="1515"/>
      <c r="R6" s="1515"/>
      <c r="S6" s="1513"/>
      <c r="T6" s="1514"/>
      <c r="U6" s="1514"/>
      <c r="V6" s="1514"/>
      <c r="W6" s="1514"/>
      <c r="X6" s="1513"/>
      <c r="Y6" s="1514"/>
      <c r="Z6" s="1514"/>
      <c r="AA6" s="1514"/>
      <c r="AB6" s="1514"/>
      <c r="AC6" s="1513"/>
      <c r="AD6" s="1156"/>
      <c r="AE6" s="1515"/>
      <c r="AF6" s="1515"/>
      <c r="AG6" s="1515"/>
      <c r="AH6" s="1513"/>
      <c r="AI6" s="1514"/>
      <c r="AJ6" s="1514"/>
      <c r="AK6" s="1514"/>
      <c r="AL6" s="1514"/>
      <c r="AM6" s="1513"/>
      <c r="AN6" s="1514"/>
      <c r="AO6" s="1514"/>
      <c r="AP6" s="1514"/>
      <c r="AQ6" s="1514"/>
      <c r="AR6" s="1513"/>
      <c r="AS6" s="1513"/>
      <c r="AT6" s="1513"/>
      <c r="AU6" s="1513"/>
      <c r="AV6" s="1513"/>
      <c r="AW6" s="1513"/>
      <c r="AX6" s="1513"/>
      <c r="AY6" s="1513"/>
      <c r="AZ6" s="1513"/>
      <c r="BA6" s="1513"/>
      <c r="BB6" s="1513"/>
      <c r="BC6" s="1513"/>
      <c r="BD6" s="1513"/>
      <c r="BE6" s="1513"/>
      <c r="BF6" s="1513"/>
      <c r="BG6" s="1513"/>
      <c r="BH6" s="1513"/>
      <c r="BI6" s="1513"/>
      <c r="BJ6" s="1513"/>
      <c r="BK6" s="1513"/>
      <c r="BL6" s="1513"/>
      <c r="BM6" s="1513"/>
      <c r="BN6" s="1513"/>
      <c r="BO6" s="1513"/>
      <c r="BP6" s="1513"/>
      <c r="BQ6" s="1513"/>
      <c r="BR6" s="1513"/>
      <c r="BS6" s="1513"/>
      <c r="BT6" s="1513"/>
      <c r="BU6" s="1513"/>
      <c r="BV6" s="1513"/>
      <c r="BW6" s="1513"/>
      <c r="BX6" s="1513"/>
      <c r="BY6" s="1513"/>
      <c r="BZ6" s="1513"/>
      <c r="CA6" s="1513"/>
      <c r="CB6" s="1243"/>
      <c r="CC6" s="1243"/>
      <c r="CD6" s="1243"/>
      <c r="CE6" s="1243"/>
      <c r="CF6" s="1513"/>
      <c r="CG6" s="1243"/>
      <c r="CH6" s="1243"/>
      <c r="CI6" s="1243"/>
      <c r="CJ6" s="1243"/>
      <c r="CK6" s="1513"/>
      <c r="CL6" s="1243"/>
      <c r="CM6" s="1243"/>
      <c r="CN6" s="1243"/>
      <c r="CO6" s="1243"/>
      <c r="CP6" s="1184"/>
      <c r="CQ6" s="1243"/>
      <c r="CR6" s="1243"/>
      <c r="CS6" s="1243"/>
      <c r="CT6" s="1243"/>
      <c r="CU6" s="1184"/>
      <c r="CV6" s="2113"/>
      <c r="CW6" s="2113"/>
      <c r="CX6" s="2113"/>
      <c r="CY6" s="2113"/>
      <c r="CZ6" s="1184"/>
      <c r="DD6" s="2001"/>
    </row>
    <row r="7" spans="1:109" ht="13.5" hidden="1" outlineLevel="1" thickBot="1">
      <c r="A7" s="1156"/>
      <c r="B7" s="1510"/>
      <c r="C7" s="1510"/>
      <c r="D7" s="1510"/>
      <c r="E7" s="1510"/>
      <c r="F7" s="1510"/>
      <c r="G7" s="1510"/>
      <c r="H7" s="1510"/>
      <c r="I7" s="1510"/>
      <c r="J7" s="1510"/>
      <c r="K7" s="1510"/>
      <c r="L7" s="1510"/>
      <c r="M7" s="1510"/>
      <c r="N7" s="1510"/>
      <c r="O7" s="1510"/>
      <c r="P7" s="1510"/>
      <c r="Q7" s="1510"/>
      <c r="R7" s="1510"/>
      <c r="S7" s="1510"/>
      <c r="T7" s="1510"/>
      <c r="U7" s="1510"/>
      <c r="V7" s="1510"/>
      <c r="W7" s="1510"/>
      <c r="X7" s="1510"/>
      <c r="Y7" s="1510"/>
      <c r="Z7" s="1510"/>
      <c r="AA7" s="1510"/>
      <c r="AB7" s="1510"/>
      <c r="AC7" s="1510"/>
      <c r="AD7" s="1510"/>
      <c r="AE7" s="1510"/>
      <c r="AF7" s="1510"/>
      <c r="AG7" s="1510"/>
      <c r="AH7" s="1510"/>
      <c r="AI7" s="1510"/>
      <c r="AJ7" s="1510"/>
      <c r="AK7" s="1510"/>
      <c r="AL7" s="1510"/>
      <c r="AM7" s="1510"/>
      <c r="AN7" s="1510"/>
      <c r="AO7" s="1510"/>
      <c r="AP7" s="1510"/>
      <c r="AQ7" s="1510"/>
      <c r="AR7" s="1510"/>
      <c r="AS7" s="1510"/>
      <c r="AT7" s="1510"/>
      <c r="AU7" s="1510"/>
      <c r="AV7" s="1510"/>
      <c r="AW7" s="1510"/>
      <c r="AX7" s="1510"/>
      <c r="AY7" s="1510"/>
      <c r="AZ7" s="1510"/>
      <c r="BA7" s="1510"/>
      <c r="BB7" s="1510"/>
      <c r="BC7" s="1510"/>
      <c r="BD7" s="1510"/>
      <c r="BE7" s="1510"/>
      <c r="BF7" s="1510"/>
      <c r="BG7" s="1510"/>
      <c r="BH7" s="1510"/>
      <c r="BI7" s="1510"/>
      <c r="BJ7" s="1510"/>
      <c r="BK7" s="1510"/>
      <c r="BL7" s="1510"/>
      <c r="BM7" s="1510"/>
      <c r="BN7" s="1510"/>
      <c r="BO7" s="1510"/>
      <c r="BP7" s="1510"/>
      <c r="BQ7" s="1510"/>
      <c r="BR7" s="1510"/>
      <c r="BS7" s="1510"/>
      <c r="BT7" s="1510"/>
      <c r="BU7" s="1510"/>
      <c r="BV7" s="1510"/>
      <c r="BW7" s="1510"/>
      <c r="BX7" s="1510"/>
      <c r="BY7" s="1510"/>
      <c r="BZ7" s="1510"/>
      <c r="CA7" s="1510"/>
      <c r="CB7" s="1648"/>
      <c r="CC7" s="1648"/>
      <c r="CD7" s="1648"/>
      <c r="CE7" s="1648"/>
      <c r="CF7" s="1510"/>
      <c r="CG7" s="1648"/>
      <c r="CH7" s="1648"/>
      <c r="CI7" s="1648"/>
      <c r="CJ7" s="1648"/>
      <c r="CK7" s="1510"/>
      <c r="CL7" s="1648"/>
      <c r="CM7" s="1648"/>
      <c r="CN7" s="1648"/>
      <c r="CO7" s="1648"/>
      <c r="CP7" s="1510"/>
      <c r="CQ7" s="1648"/>
      <c r="CR7" s="1648"/>
      <c r="CS7" s="1648"/>
      <c r="CT7" s="1648"/>
      <c r="CU7" s="1510"/>
      <c r="CV7" s="1648"/>
      <c r="CW7" s="1648"/>
      <c r="CX7" s="1648"/>
      <c r="CY7" s="1648"/>
      <c r="CZ7" s="1510"/>
      <c r="DD7" s="2001"/>
    </row>
    <row r="8" spans="1:109" hidden="1" outlineLevel="1">
      <c r="A8" s="1156"/>
      <c r="B8" s="1490"/>
      <c r="C8" s="1490"/>
      <c r="D8" s="1490"/>
      <c r="E8" s="1490"/>
      <c r="F8" s="1490"/>
      <c r="G8" s="1509"/>
      <c r="H8" s="1490"/>
      <c r="I8" s="1490"/>
      <c r="J8" s="1490"/>
      <c r="K8" s="1490"/>
      <c r="L8" s="1490"/>
      <c r="M8" s="1490"/>
      <c r="N8" s="1490"/>
      <c r="O8" s="1490"/>
      <c r="P8" s="1490"/>
      <c r="Q8" s="1490"/>
      <c r="R8" s="1490"/>
      <c r="S8" s="1490"/>
      <c r="T8" s="1490"/>
      <c r="U8" s="1490"/>
      <c r="V8" s="1490"/>
      <c r="W8" s="1490"/>
      <c r="X8" s="1490"/>
      <c r="Y8" s="1490"/>
      <c r="Z8" s="1490"/>
      <c r="AA8" s="1490"/>
      <c r="AB8" s="1490"/>
      <c r="AC8" s="1490"/>
      <c r="AD8" s="1156"/>
      <c r="AE8" s="1490"/>
      <c r="AF8" s="1490"/>
      <c r="AG8" s="1490"/>
      <c r="AH8" s="1490"/>
      <c r="AI8" s="1490"/>
      <c r="AJ8" s="1490"/>
      <c r="AK8" s="1490"/>
      <c r="AL8" s="1490"/>
      <c r="AM8" s="1490"/>
      <c r="AN8" s="1490"/>
      <c r="AO8" s="1490"/>
      <c r="AP8" s="1490"/>
      <c r="AQ8" s="1490"/>
      <c r="AR8" s="1490"/>
      <c r="AS8" s="1490"/>
      <c r="AT8" s="1490"/>
      <c r="AU8" s="1490"/>
      <c r="AV8" s="1490"/>
      <c r="AW8" s="1490"/>
      <c r="AX8" s="1490"/>
      <c r="AY8" s="1490"/>
      <c r="AZ8" s="1490"/>
      <c r="BA8" s="1490"/>
      <c r="BB8" s="1490"/>
      <c r="BC8" s="1490"/>
      <c r="BD8" s="1490"/>
      <c r="BE8" s="1490"/>
      <c r="BF8" s="1490"/>
      <c r="BG8" s="1490"/>
      <c r="BH8" s="1490"/>
      <c r="BI8" s="1490"/>
      <c r="BJ8" s="1490"/>
      <c r="BK8" s="1490"/>
      <c r="BL8" s="1490"/>
      <c r="BM8" s="1490"/>
      <c r="BN8" s="1490"/>
      <c r="BO8" s="1490"/>
      <c r="BP8" s="1490"/>
      <c r="BQ8" s="1490"/>
      <c r="BR8" s="1490"/>
      <c r="BS8" s="1490"/>
      <c r="BT8" s="1490"/>
      <c r="BU8" s="1490"/>
      <c r="BV8" s="1490"/>
      <c r="BW8" s="1490"/>
      <c r="BX8" s="1490"/>
      <c r="BY8" s="1490"/>
      <c r="BZ8" s="1490"/>
      <c r="CA8" s="1490"/>
      <c r="CB8" s="1243"/>
      <c r="CC8" s="1243"/>
      <c r="CD8" s="1243"/>
      <c r="CE8" s="1243"/>
      <c r="CF8" s="1490"/>
      <c r="CG8" s="1243"/>
      <c r="CH8" s="1243"/>
      <c r="CI8" s="1243"/>
      <c r="CJ8" s="1243"/>
      <c r="CK8" s="1490"/>
      <c r="CL8" s="1243"/>
      <c r="CM8" s="1243"/>
      <c r="CN8" s="1243"/>
      <c r="CO8" s="1243"/>
      <c r="CP8" s="1490"/>
      <c r="CQ8" s="1243"/>
      <c r="CR8" s="1243"/>
      <c r="CS8" s="1243"/>
      <c r="CT8" s="1243"/>
      <c r="CU8" s="1490"/>
      <c r="CV8" s="2113"/>
      <c r="CW8" s="2113"/>
      <c r="CX8" s="2113"/>
      <c r="CY8" s="2113"/>
      <c r="CZ8" s="1490"/>
      <c r="DD8" s="2001"/>
    </row>
    <row r="9" spans="1:109" ht="12" customHeight="1" collapsed="1" thickBot="1">
      <c r="A9" s="1156"/>
      <c r="B9" s="1156"/>
      <c r="C9" s="1381"/>
      <c r="D9" s="1381"/>
      <c r="E9" s="1381"/>
      <c r="F9" s="1508"/>
      <c r="G9" s="1508"/>
      <c r="H9" s="1508"/>
      <c r="I9" s="1507"/>
      <c r="J9" s="1507"/>
      <c r="K9" s="1507"/>
      <c r="L9" s="1507"/>
      <c r="M9" s="1507"/>
      <c r="N9" s="1504"/>
      <c r="O9" s="1504"/>
      <c r="P9" s="1504"/>
      <c r="Q9" s="1504"/>
      <c r="R9" s="1504"/>
      <c r="S9" s="1504"/>
      <c r="T9" s="1504"/>
      <c r="U9" s="1504"/>
      <c r="V9" s="1504"/>
      <c r="W9" s="1507"/>
      <c r="X9" s="1504"/>
      <c r="Y9" s="1507"/>
      <c r="Z9" s="1504"/>
      <c r="AA9" s="1504"/>
      <c r="AB9" s="1504"/>
      <c r="AC9" s="1504"/>
      <c r="AD9" s="1504"/>
      <c r="AE9" s="1504"/>
      <c r="AF9" s="1504"/>
      <c r="AG9" s="1504"/>
      <c r="AH9" s="1504"/>
      <c r="AI9" s="1504"/>
      <c r="AJ9" s="1504"/>
      <c r="AK9" s="1504"/>
      <c r="AL9" s="1504"/>
      <c r="AM9" s="1504"/>
      <c r="AN9" s="1504"/>
      <c r="AO9" s="1504"/>
      <c r="AP9" s="1504"/>
      <c r="AQ9" s="1504"/>
      <c r="AR9" s="1504"/>
      <c r="AS9" s="1504"/>
      <c r="AT9" s="1504"/>
      <c r="AU9" s="1504"/>
      <c r="AV9" s="1504"/>
      <c r="AW9" s="1504"/>
      <c r="AX9" s="1504"/>
      <c r="AY9" s="1504"/>
      <c r="AZ9" s="1504"/>
      <c r="BA9" s="1504"/>
      <c r="BB9" s="1784"/>
      <c r="BC9" s="1504"/>
      <c r="BD9" s="1504"/>
      <c r="BE9" s="1504"/>
      <c r="BF9" s="1504"/>
      <c r="BG9" s="1784"/>
      <c r="BH9" s="1504"/>
      <c r="BI9" s="1504"/>
      <c r="BJ9" s="1504"/>
      <c r="BK9" s="1504"/>
      <c r="BL9" s="1784"/>
      <c r="BM9" s="1504"/>
      <c r="BN9" s="1504"/>
      <c r="BO9" s="1504"/>
      <c r="BP9" s="1504"/>
      <c r="BQ9" s="1504"/>
      <c r="BR9" s="1504"/>
      <c r="BS9" s="1504"/>
      <c r="BT9" s="1504"/>
      <c r="BU9" s="1504"/>
      <c r="BV9" s="1504"/>
      <c r="BW9" s="1504"/>
      <c r="BX9" s="1504"/>
      <c r="BY9" s="1504"/>
      <c r="BZ9" s="1504"/>
      <c r="CA9" s="1504"/>
      <c r="CB9" s="1648"/>
      <c r="CC9" s="1648"/>
      <c r="CD9" s="1648"/>
      <c r="CE9" s="1648"/>
      <c r="CF9" s="1504"/>
      <c r="CG9" s="1648"/>
      <c r="CH9" s="1648"/>
      <c r="CI9" s="1648"/>
      <c r="CJ9" s="1648"/>
      <c r="CK9" s="1504"/>
      <c r="CL9" s="1648"/>
      <c r="CM9" s="1648"/>
      <c r="CN9" s="1648"/>
      <c r="CO9" s="1648"/>
      <c r="CP9" s="1783"/>
      <c r="CQ9" s="1648"/>
      <c r="CR9" s="1648"/>
      <c r="CS9" s="1648"/>
      <c r="CT9" s="1648"/>
      <c r="CU9" s="1502"/>
      <c r="CV9" s="1648"/>
      <c r="CW9" s="1648"/>
      <c r="CX9" s="1648"/>
      <c r="CY9" s="1648"/>
      <c r="CZ9" s="1502"/>
      <c r="DD9" s="2001"/>
    </row>
    <row r="10" spans="1:109" s="1178" customFormat="1" ht="12" customHeight="1">
      <c r="A10" s="1184"/>
      <c r="B10" s="1184"/>
      <c r="C10" s="1646" t="s">
        <v>165</v>
      </c>
      <c r="D10" s="1645"/>
      <c r="E10" s="1644"/>
      <c r="F10" s="1642" t="s">
        <v>327</v>
      </c>
      <c r="G10" s="1642" t="s">
        <v>326</v>
      </c>
      <c r="H10" s="1642" t="s">
        <v>325</v>
      </c>
      <c r="I10" s="1642" t="s">
        <v>324</v>
      </c>
      <c r="J10" s="1642"/>
      <c r="K10" s="1642"/>
      <c r="L10" s="1642"/>
      <c r="M10" s="1642"/>
      <c r="N10" s="1643">
        <v>2000</v>
      </c>
      <c r="O10" s="1642" t="s">
        <v>323</v>
      </c>
      <c r="P10" s="1642" t="s">
        <v>322</v>
      </c>
      <c r="Q10" s="1642" t="s">
        <v>321</v>
      </c>
      <c r="R10" s="1642" t="s">
        <v>320</v>
      </c>
      <c r="S10" s="1643">
        <v>2001</v>
      </c>
      <c r="T10" s="1642" t="s">
        <v>319</v>
      </c>
      <c r="U10" s="1642" t="s">
        <v>318</v>
      </c>
      <c r="V10" s="1642" t="s">
        <v>317</v>
      </c>
      <c r="W10" s="1642" t="s">
        <v>316</v>
      </c>
      <c r="X10" s="1643">
        <v>2002</v>
      </c>
      <c r="Y10" s="1642" t="s">
        <v>315</v>
      </c>
      <c r="Z10" s="1642" t="s">
        <v>314</v>
      </c>
      <c r="AA10" s="1642" t="s">
        <v>313</v>
      </c>
      <c r="AB10" s="1642" t="s">
        <v>312</v>
      </c>
      <c r="AC10" s="1643">
        <v>2003</v>
      </c>
      <c r="AD10" s="1642" t="s">
        <v>121</v>
      </c>
      <c r="AE10" s="1642" t="s">
        <v>120</v>
      </c>
      <c r="AF10" s="1642" t="s">
        <v>119</v>
      </c>
      <c r="AG10" s="1642" t="s">
        <v>118</v>
      </c>
      <c r="AH10" s="1643">
        <v>2004</v>
      </c>
      <c r="AI10" s="1642" t="s">
        <v>117</v>
      </c>
      <c r="AJ10" s="1642" t="s">
        <v>116</v>
      </c>
      <c r="AK10" s="1642" t="s">
        <v>115</v>
      </c>
      <c r="AL10" s="1642" t="s">
        <v>114</v>
      </c>
      <c r="AM10" s="1643">
        <v>2005</v>
      </c>
      <c r="AN10" s="1642" t="s">
        <v>206</v>
      </c>
      <c r="AO10" s="1642" t="s">
        <v>205</v>
      </c>
      <c r="AP10" s="1642" t="s">
        <v>204</v>
      </c>
      <c r="AQ10" s="1642" t="s">
        <v>203</v>
      </c>
      <c r="AR10" s="1643">
        <v>2006</v>
      </c>
      <c r="AS10" s="1642" t="s">
        <v>202</v>
      </c>
      <c r="AT10" s="1642" t="s">
        <v>201</v>
      </c>
      <c r="AU10" s="1642" t="s">
        <v>200</v>
      </c>
      <c r="AV10" s="1642" t="s">
        <v>199</v>
      </c>
      <c r="AW10" s="1643">
        <v>2007</v>
      </c>
      <c r="AX10" s="1782" t="s">
        <v>198</v>
      </c>
      <c r="AY10" s="1642" t="s">
        <v>197</v>
      </c>
      <c r="AZ10" s="1642" t="s">
        <v>196</v>
      </c>
      <c r="BA10" s="1642" t="s">
        <v>195</v>
      </c>
      <c r="BB10" s="1643">
        <v>2008</v>
      </c>
      <c r="BC10" s="1642" t="s">
        <v>194</v>
      </c>
      <c r="BD10" s="1642" t="s">
        <v>193</v>
      </c>
      <c r="BE10" s="1642" t="s">
        <v>192</v>
      </c>
      <c r="BF10" s="1642" t="s">
        <v>191</v>
      </c>
      <c r="BG10" s="1643">
        <v>2009</v>
      </c>
      <c r="BH10" s="1642" t="s">
        <v>190</v>
      </c>
      <c r="BI10" s="1642" t="s">
        <v>189</v>
      </c>
      <c r="BJ10" s="1642" t="s">
        <v>188</v>
      </c>
      <c r="BK10" s="1642" t="s">
        <v>187</v>
      </c>
      <c r="BL10" s="1643">
        <v>2010</v>
      </c>
      <c r="BM10" s="1642" t="s">
        <v>186</v>
      </c>
      <c r="BN10" s="1642" t="s">
        <v>185</v>
      </c>
      <c r="BO10" s="1642" t="s">
        <v>184</v>
      </c>
      <c r="BP10" s="1642" t="s">
        <v>183</v>
      </c>
      <c r="BQ10" s="1643">
        <v>2011</v>
      </c>
      <c r="BR10" s="1642" t="s">
        <v>182</v>
      </c>
      <c r="BS10" s="1642" t="s">
        <v>181</v>
      </c>
      <c r="BT10" s="1642" t="s">
        <v>180</v>
      </c>
      <c r="BU10" s="1642" t="s">
        <v>179</v>
      </c>
      <c r="BV10" s="1643">
        <v>2012</v>
      </c>
      <c r="BW10" s="1499" t="s">
        <v>178</v>
      </c>
      <c r="BX10" s="1499" t="s">
        <v>177</v>
      </c>
      <c r="BY10" s="1499" t="s">
        <v>176</v>
      </c>
      <c r="BZ10" s="1499" t="s">
        <v>175</v>
      </c>
      <c r="CA10" s="1643">
        <v>2013</v>
      </c>
      <c r="CB10" s="1499" t="s">
        <v>174</v>
      </c>
      <c r="CC10" s="1499" t="s">
        <v>152</v>
      </c>
      <c r="CD10" s="1499" t="s">
        <v>140</v>
      </c>
      <c r="CE10" s="1499" t="s">
        <v>132</v>
      </c>
      <c r="CF10" s="1643">
        <v>2014</v>
      </c>
      <c r="CG10" s="1499" t="str">
        <f>IS!CC9</f>
        <v>1Q15</v>
      </c>
      <c r="CH10" s="1499" t="str">
        <f>IS!CD9</f>
        <v>2Q15</v>
      </c>
      <c r="CI10" s="1499" t="str">
        <f>IS!CE9</f>
        <v>3Q15</v>
      </c>
      <c r="CJ10" s="1499" t="str">
        <f>IS!CF9</f>
        <v>4Q15</v>
      </c>
      <c r="CK10" s="1643">
        <f>IS!CG9</f>
        <v>2015</v>
      </c>
      <c r="CL10" s="1499" t="str">
        <f>IS!CH9</f>
        <v>1Q16</v>
      </c>
      <c r="CM10" s="1499" t="str">
        <f>IS!CI9</f>
        <v>2Q16</v>
      </c>
      <c r="CN10" s="1499" t="str">
        <f>IS!CJ9</f>
        <v>3Q16</v>
      </c>
      <c r="CO10" s="1499" t="str">
        <f>IS!CK9</f>
        <v>4Q16</v>
      </c>
      <c r="CP10" s="1643">
        <f>IS!CL9</f>
        <v>2016</v>
      </c>
      <c r="CQ10" s="1499" t="str">
        <f>IS!CM9</f>
        <v>1Q17</v>
      </c>
      <c r="CR10" s="1499" t="str">
        <f>IS!CN9</f>
        <v>2Q17</v>
      </c>
      <c r="CS10" s="1499" t="str">
        <f>IS!CO9</f>
        <v>3Q17</v>
      </c>
      <c r="CT10" s="1499" t="str">
        <f>IS!CP9</f>
        <v>4Q17E</v>
      </c>
      <c r="CU10" s="1643" t="str">
        <f>IS!CQ9</f>
        <v>2017E</v>
      </c>
      <c r="CV10" s="1499" t="str">
        <f>IS!CR9</f>
        <v>1Q18E</v>
      </c>
      <c r="CW10" s="1499" t="str">
        <f>IS!CS9</f>
        <v>2Q18E</v>
      </c>
      <c r="CX10" s="1499" t="str">
        <f>IS!CT9</f>
        <v>3Q18E</v>
      </c>
      <c r="CY10" s="1499" t="str">
        <f>IS!CU9</f>
        <v>4Q18E</v>
      </c>
      <c r="CZ10" s="1643" t="str">
        <f>IS!CV9</f>
        <v>2018E</v>
      </c>
      <c r="DA10" s="1643" t="str">
        <f>IS!CW9</f>
        <v>2019E</v>
      </c>
      <c r="DB10" s="1643" t="str">
        <f>IS!CX9</f>
        <v>2020E</v>
      </c>
      <c r="DC10" s="1643" t="str">
        <f>IS!CY9</f>
        <v>2021E</v>
      </c>
      <c r="DD10" s="1490"/>
    </row>
    <row r="11" spans="1:109" s="1178" customFormat="1" ht="12" customHeight="1">
      <c r="A11" s="1184"/>
      <c r="B11" s="1184"/>
      <c r="C11" s="1184"/>
      <c r="D11" s="1184"/>
      <c r="E11" s="1191"/>
      <c r="F11" s="1490"/>
      <c r="G11" s="1490"/>
      <c r="H11" s="1490"/>
      <c r="I11" s="1490"/>
      <c r="J11" s="1490"/>
      <c r="K11" s="1490"/>
      <c r="L11" s="1490"/>
      <c r="M11" s="1490"/>
      <c r="N11" s="1487"/>
      <c r="O11" s="1490"/>
      <c r="P11" s="1490"/>
      <c r="Q11" s="1490"/>
      <c r="R11" s="1490"/>
      <c r="S11" s="1487"/>
      <c r="T11" s="1490"/>
      <c r="U11" s="1490"/>
      <c r="V11" s="1490"/>
      <c r="W11" s="1490"/>
      <c r="X11" s="1487"/>
      <c r="Y11" s="1490"/>
      <c r="Z11" s="1490"/>
      <c r="AA11" s="1490"/>
      <c r="AB11" s="1490"/>
      <c r="AC11" s="1487"/>
      <c r="AD11" s="1490"/>
      <c r="AE11" s="1490"/>
      <c r="AF11" s="1490"/>
      <c r="AG11" s="1490"/>
      <c r="AH11" s="1487"/>
      <c r="AI11" s="1490"/>
      <c r="AJ11" s="1490"/>
      <c r="AK11" s="1490"/>
      <c r="AL11" s="1490"/>
      <c r="AM11" s="1487"/>
      <c r="AN11" s="1490"/>
      <c r="AO11" s="1490"/>
      <c r="AP11" s="1490"/>
      <c r="AQ11" s="1490"/>
      <c r="AR11" s="1487"/>
      <c r="AS11" s="1490"/>
      <c r="AT11" s="1490"/>
      <c r="AU11" s="1490"/>
      <c r="AV11" s="1490"/>
      <c r="AW11" s="1487"/>
      <c r="AX11" s="1491"/>
      <c r="AY11" s="1488"/>
      <c r="AZ11" s="1488"/>
      <c r="BA11" s="1488"/>
      <c r="BB11" s="1487"/>
      <c r="BC11" s="1488"/>
      <c r="BD11" s="1488"/>
      <c r="BE11" s="1488"/>
      <c r="BF11" s="1488"/>
      <c r="BG11" s="1487"/>
      <c r="BH11" s="1488"/>
      <c r="BI11" s="1488"/>
      <c r="BJ11" s="1488"/>
      <c r="BK11" s="1488"/>
      <c r="BL11" s="1487"/>
      <c r="BM11" s="1490"/>
      <c r="BN11" s="1490"/>
      <c r="BO11" s="1490"/>
      <c r="BP11" s="1490"/>
      <c r="BQ11" s="1487"/>
      <c r="BR11" s="1490"/>
      <c r="BS11" s="1490"/>
      <c r="BT11" s="1490"/>
      <c r="BU11" s="1490"/>
      <c r="BV11" s="1487"/>
      <c r="BW11" s="2311">
        <f>BW12/BU12-1</f>
        <v>-0.12567463377023902</v>
      </c>
      <c r="BX11" s="2311">
        <f t="shared" ref="BX11" si="0">BX12/BW12-1</f>
        <v>6.525573192239853E-2</v>
      </c>
      <c r="BY11" s="2311">
        <f>BY12/BX12-1</f>
        <v>-6.5673289183222905E-2</v>
      </c>
      <c r="BZ11" s="2311">
        <f>BZ12/BY12-1</f>
        <v>0.20761961015948027</v>
      </c>
      <c r="CA11" s="1487"/>
      <c r="CB11" s="2311">
        <f>CB12/BZ12-1</f>
        <v>-0.18586451455123498</v>
      </c>
      <c r="CC11" s="2311">
        <f t="shared" ref="CC11" si="1">CC12/CB12-1</f>
        <v>7.9002703514568839E-2</v>
      </c>
      <c r="CD11" s="2311">
        <f>CD12/CC12-1</f>
        <v>-7.7951002227171218E-3</v>
      </c>
      <c r="CE11" s="2311">
        <f>CE12/CD12-1</f>
        <v>0.1287878787878789</v>
      </c>
      <c r="CF11" s="1489"/>
      <c r="CG11" s="2311">
        <f>CG12/CE12-1</f>
        <v>-0.17176236639323883</v>
      </c>
      <c r="CH11" s="2311">
        <f t="shared" ref="CH11" si="2">CH12/CG12-1</f>
        <v>0.10354141656662663</v>
      </c>
      <c r="CI11" s="2311">
        <f>CI12/CH12-1</f>
        <v>-0.12047865107424527</v>
      </c>
      <c r="CJ11" s="2311">
        <f>CJ12/CI12-1</f>
        <v>0.18707482993197289</v>
      </c>
      <c r="CK11" s="1487"/>
      <c r="CL11" s="2311">
        <f>CL12/CJ12-1</f>
        <v>-6.5381609794217255E-2</v>
      </c>
      <c r="CM11" s="2311">
        <f t="shared" ref="CM11" si="3">CM12/CL12-1</f>
        <v>6.2709030100334351E-2</v>
      </c>
      <c r="CN11" s="2311">
        <f>CN12/CM12-1</f>
        <v>-8.1825334382376047E-2</v>
      </c>
      <c r="CO11" s="2311">
        <f>CO12/CN12-1</f>
        <v>0.14024564410168527</v>
      </c>
      <c r="CP11" s="1487"/>
      <c r="CQ11" s="2311">
        <f>CQ12/CO12-1</f>
        <v>-5.8617234468937851E-2</v>
      </c>
      <c r="CR11" s="2311">
        <f t="shared" ref="CR11" si="4">CR12/CQ12-1</f>
        <v>8.3022884513038742E-2</v>
      </c>
      <c r="CS11" s="2311">
        <f>CS12/CR12-1</f>
        <v>-4.8894348894348849E-2</v>
      </c>
      <c r="CT11" s="2311">
        <f>CT12/CS12-1</f>
        <v>8.2549323552760789E-2</v>
      </c>
      <c r="CU11" s="1487"/>
      <c r="CV11" s="2311">
        <f>CV12/CT12-1</f>
        <v>-3.0298485191469937E-2</v>
      </c>
      <c r="CW11" s="2311">
        <f t="shared" ref="CW11" si="5">CW12/CV12-1</f>
        <v>8.3022884513038742E-2</v>
      </c>
      <c r="CX11" s="2311">
        <f>CX12/CW12-1</f>
        <v>-0.12644576213371195</v>
      </c>
      <c r="CY11" s="2311">
        <f>CY12/CX12-1</f>
        <v>0.17139546593616561</v>
      </c>
      <c r="CZ11" s="1487"/>
      <c r="DA11" s="1487"/>
      <c r="DB11" s="1487"/>
      <c r="DC11" s="1487"/>
      <c r="DD11" s="1490"/>
      <c r="DE11" s="1487"/>
    </row>
    <row r="12" spans="1:109" s="1178" customFormat="1" ht="12" customHeight="1">
      <c r="A12" s="1467"/>
      <c r="B12" s="1467"/>
      <c r="C12" s="1466" t="s">
        <v>304</v>
      </c>
      <c r="D12" s="1466"/>
      <c r="E12" s="1467"/>
      <c r="F12" s="1486">
        <v>1824</v>
      </c>
      <c r="G12" s="1467">
        <v>1790</v>
      </c>
      <c r="H12" s="1467">
        <v>1782</v>
      </c>
      <c r="I12" s="1467">
        <v>1970</v>
      </c>
      <c r="J12" s="1467"/>
      <c r="K12" s="1467"/>
      <c r="L12" s="1467"/>
      <c r="M12" s="1467"/>
      <c r="N12" s="1429">
        <v>7366</v>
      </c>
      <c r="O12" s="1467">
        <v>1878</v>
      </c>
      <c r="P12" s="1467">
        <v>1957</v>
      </c>
      <c r="Q12" s="1467">
        <v>1894</v>
      </c>
      <c r="R12" s="1469">
        <v>1950</v>
      </c>
      <c r="S12" s="1429">
        <v>7679</v>
      </c>
      <c r="T12" s="1469">
        <v>1840</v>
      </c>
      <c r="U12" s="1469">
        <v>1875</v>
      </c>
      <c r="V12" s="1469">
        <v>1882</v>
      </c>
      <c r="W12" s="1469">
        <v>2048</v>
      </c>
      <c r="X12" s="1429">
        <v>7645</v>
      </c>
      <c r="Y12" s="1469">
        <v>1731</v>
      </c>
      <c r="Z12" s="1469">
        <v>1948</v>
      </c>
      <c r="AA12" s="1469">
        <v>1859</v>
      </c>
      <c r="AB12" s="1469">
        <v>1967</v>
      </c>
      <c r="AC12" s="1429">
        <v>7505</v>
      </c>
      <c r="AD12" s="1469">
        <v>1939</v>
      </c>
      <c r="AE12" s="1469">
        <v>2080</v>
      </c>
      <c r="AF12" s="1469">
        <v>2100</v>
      </c>
      <c r="AG12" s="1469">
        <v>2162</v>
      </c>
      <c r="AH12" s="1429">
        <v>8303</v>
      </c>
      <c r="AI12" s="1469">
        <v>2013</v>
      </c>
      <c r="AJ12" s="1469">
        <v>2273</v>
      </c>
      <c r="AK12" s="1469">
        <v>2414</v>
      </c>
      <c r="AL12" s="1469">
        <v>2595</v>
      </c>
      <c r="AM12" s="1429">
        <v>9295</v>
      </c>
      <c r="AN12" s="1469">
        <v>2568</v>
      </c>
      <c r="AO12" s="1469">
        <v>2727</v>
      </c>
      <c r="AP12" s="1469">
        <v>2771</v>
      </c>
      <c r="AQ12" s="1469">
        <v>3046</v>
      </c>
      <c r="AR12" s="1429">
        <v>11112</v>
      </c>
      <c r="AS12" s="1469">
        <v>2767</v>
      </c>
      <c r="AT12" s="1469">
        <v>3108</v>
      </c>
      <c r="AU12" s="1469">
        <v>3036</v>
      </c>
      <c r="AV12" s="1469">
        <v>3218</v>
      </c>
      <c r="AW12" s="1429">
        <f>SUM(AS12:AV12)</f>
        <v>12129</v>
      </c>
      <c r="AX12" s="1469">
        <v>3464</v>
      </c>
      <c r="AY12" s="1469">
        <v>3569</v>
      </c>
      <c r="AZ12" s="1469">
        <v>3421</v>
      </c>
      <c r="BA12" s="1469">
        <v>3587</v>
      </c>
      <c r="BB12" s="1429">
        <f>SUM(AX12:BA12)</f>
        <v>14041</v>
      </c>
      <c r="BC12" s="1469">
        <v>3158</v>
      </c>
      <c r="BD12" s="1469">
        <v>3053</v>
      </c>
      <c r="BE12" s="1469">
        <v>2972</v>
      </c>
      <c r="BF12" s="1469">
        <v>3209</v>
      </c>
      <c r="BG12" s="1429">
        <f>SUM(BC12:BF12)</f>
        <v>12392</v>
      </c>
      <c r="BH12" s="1470">
        <v>2841</v>
      </c>
      <c r="BI12" s="1469">
        <v>3279</v>
      </c>
      <c r="BJ12" s="1469">
        <v>3230</v>
      </c>
      <c r="BK12" s="1469">
        <v>3585</v>
      </c>
      <c r="BL12" s="1429">
        <f>SUM(BH12:BK12)</f>
        <v>12935</v>
      </c>
      <c r="BM12" s="1469">
        <v>2873</v>
      </c>
      <c r="BN12" s="1469">
        <v>3276</v>
      </c>
      <c r="BO12" s="1469">
        <v>3081</v>
      </c>
      <c r="BP12" s="1469">
        <v>3481</v>
      </c>
      <c r="BQ12" s="1429">
        <f>SUM(BM12:BP12)</f>
        <v>12711</v>
      </c>
      <c r="BR12" s="1470">
        <v>3052</v>
      </c>
      <c r="BS12" s="1469">
        <v>3447</v>
      </c>
      <c r="BT12" s="1469">
        <v>3574</v>
      </c>
      <c r="BU12" s="1469">
        <v>3891</v>
      </c>
      <c r="BV12" s="1429">
        <f>SUM(BR12:BU12)</f>
        <v>13964</v>
      </c>
      <c r="BW12" s="1469">
        <v>3402</v>
      </c>
      <c r="BX12" s="1469">
        <v>3624</v>
      </c>
      <c r="BY12" s="1469">
        <v>3386</v>
      </c>
      <c r="BZ12" s="1469">
        <v>4089</v>
      </c>
      <c r="CA12" s="1429">
        <f>SUM(BW12:BZ12)</f>
        <v>14501</v>
      </c>
      <c r="CB12" s="1767">
        <v>3329</v>
      </c>
      <c r="CC12" s="1767">
        <v>3592</v>
      </c>
      <c r="CD12" s="1767">
        <v>3564</v>
      </c>
      <c r="CE12" s="1781">
        <v>4023</v>
      </c>
      <c r="CF12" s="1429">
        <f>SUM(CB12:CE12)</f>
        <v>14508</v>
      </c>
      <c r="CG12" s="1767">
        <v>3332</v>
      </c>
      <c r="CH12" s="1767">
        <v>3677</v>
      </c>
      <c r="CI12" s="1873">
        <v>3234</v>
      </c>
      <c r="CJ12" s="1873">
        <v>3839</v>
      </c>
      <c r="CK12" s="1429">
        <f>SUM(CG12:CJ12)</f>
        <v>14082</v>
      </c>
      <c r="CL12" s="1873">
        <v>3588</v>
      </c>
      <c r="CM12" s="1873">
        <v>3813</v>
      </c>
      <c r="CN12" s="1873">
        <v>3501</v>
      </c>
      <c r="CO12" s="1873">
        <v>3992</v>
      </c>
      <c r="CP12" s="1429">
        <f>SUM(CL12:CO12)</f>
        <v>14894</v>
      </c>
      <c r="CQ12" s="1873">
        <v>3758</v>
      </c>
      <c r="CR12" s="1767">
        <v>4070</v>
      </c>
      <c r="CS12" s="1873">
        <v>3871</v>
      </c>
      <c r="CT12" s="1469">
        <f>CO12*(1+CT13)</f>
        <v>4190.5484314727373</v>
      </c>
      <c r="CU12" s="1429">
        <f>CU74</f>
        <v>15889.548431472736</v>
      </c>
      <c r="CV12" s="1767">
        <f>CQ12*(1+CV13)</f>
        <v>4063.5811618776229</v>
      </c>
      <c r="CW12" s="1767">
        <f>CR12*(1+CW13)</f>
        <v>4400.9513913895489</v>
      </c>
      <c r="CX12" s="1767">
        <f>CS12*(1+CX13)</f>
        <v>3844.4697385918776</v>
      </c>
      <c r="CY12" s="1469">
        <f>CT12*(1+CY13)</f>
        <v>4503.3944207153208</v>
      </c>
      <c r="CZ12" s="1429">
        <f>CZ74</f>
        <v>17022.184420715319</v>
      </c>
      <c r="DA12" s="1429">
        <f>DA74</f>
        <v>18249.319934002597</v>
      </c>
      <c r="DB12" s="1429">
        <f>DB74</f>
        <v>19749.449086533736</v>
      </c>
      <c r="DC12" s="1429">
        <f>DC74</f>
        <v>20794.943444881155</v>
      </c>
      <c r="DD12" s="1981"/>
    </row>
    <row r="13" spans="1:109" s="1178" customFormat="1" ht="12" customHeight="1">
      <c r="A13" s="1482"/>
      <c r="B13" s="1482"/>
      <c r="C13" s="1483"/>
      <c r="D13" s="1393" t="s">
        <v>282</v>
      </c>
      <c r="E13" s="1482"/>
      <c r="F13" s="1153" t="s">
        <v>284</v>
      </c>
      <c r="G13" s="1153" t="s">
        <v>284</v>
      </c>
      <c r="H13" s="1153" t="s">
        <v>284</v>
      </c>
      <c r="I13" s="1153" t="s">
        <v>284</v>
      </c>
      <c r="J13" s="1153"/>
      <c r="K13" s="1153"/>
      <c r="L13" s="1153"/>
      <c r="M13" s="1153"/>
      <c r="N13" s="1398" t="s">
        <v>284</v>
      </c>
      <c r="O13" s="1153">
        <v>2.960526315789469E-2</v>
      </c>
      <c r="P13" s="1153">
        <v>9.3296089385474845E-2</v>
      </c>
      <c r="Q13" s="1153">
        <v>6.285072951739612E-2</v>
      </c>
      <c r="R13" s="1153">
        <v>-1.0152284263959421E-2</v>
      </c>
      <c r="S13" s="1398">
        <v>4.24925332609285E-2</v>
      </c>
      <c r="T13" s="1153">
        <v>-2.0234291799786974E-2</v>
      </c>
      <c r="U13" s="1153">
        <v>-4.1900868676545744E-2</v>
      </c>
      <c r="V13" s="1153">
        <v>-6.3357972544878516E-3</v>
      </c>
      <c r="W13" s="1153">
        <v>5.0256410256410255E-2</v>
      </c>
      <c r="X13" s="1398">
        <v>-4.427659851543142E-3</v>
      </c>
      <c r="Y13" s="1153">
        <v>-5.9239130434782572E-2</v>
      </c>
      <c r="Z13" s="1153">
        <v>3.8933333333333264E-2</v>
      </c>
      <c r="AA13" s="1153">
        <v>-1.222104144527103E-2</v>
      </c>
      <c r="AB13" s="1153">
        <v>-3.955078125E-2</v>
      </c>
      <c r="AC13" s="1398">
        <v>-1.8312622629169439E-2</v>
      </c>
      <c r="AD13" s="1153">
        <v>0.12016175621028302</v>
      </c>
      <c r="AE13" s="1153">
        <v>6.7761806981519568E-2</v>
      </c>
      <c r="AF13" s="1153">
        <v>0.12963959117805279</v>
      </c>
      <c r="AG13" s="1153">
        <v>9.9135739705134673E-2</v>
      </c>
      <c r="AH13" s="1398">
        <v>0.10632911392405053</v>
      </c>
      <c r="AI13" s="1153">
        <v>3.8164002062919034E-2</v>
      </c>
      <c r="AJ13" s="1153">
        <v>9.2788461538461542E-2</v>
      </c>
      <c r="AK13" s="1153">
        <v>0.14952380952380961</v>
      </c>
      <c r="AL13" s="1153">
        <v>0.20027752081406103</v>
      </c>
      <c r="AM13" s="1398">
        <v>0.11947488859448385</v>
      </c>
      <c r="AN13" s="1153">
        <f t="shared" ref="AN13:CS13" si="6">IF(ISERROR(AN12/AI12-1),"-",AN12/AI12-1)</f>
        <v>0.27570789865871825</v>
      </c>
      <c r="AO13" s="1153">
        <f t="shared" si="6"/>
        <v>0.19973603167619891</v>
      </c>
      <c r="AP13" s="1153">
        <f t="shared" si="6"/>
        <v>0.147887323943662</v>
      </c>
      <c r="AQ13" s="1153">
        <f t="shared" si="6"/>
        <v>0.17379576107899797</v>
      </c>
      <c r="AR13" s="1398">
        <f t="shared" si="6"/>
        <v>0.19548144163528769</v>
      </c>
      <c r="AS13" s="1153">
        <f t="shared" si="6"/>
        <v>7.7492211838006142E-2</v>
      </c>
      <c r="AT13" s="1153">
        <f t="shared" si="6"/>
        <v>0.13971397139713981</v>
      </c>
      <c r="AU13" s="1153">
        <f t="shared" si="6"/>
        <v>9.5633345362684974E-2</v>
      </c>
      <c r="AV13" s="1153">
        <f t="shared" si="6"/>
        <v>5.6467498358502954E-2</v>
      </c>
      <c r="AW13" s="1398">
        <f t="shared" si="6"/>
        <v>9.1522678185745221E-2</v>
      </c>
      <c r="AX13" s="1153">
        <f t="shared" si="6"/>
        <v>0.25189736176364286</v>
      </c>
      <c r="AY13" s="1153">
        <f t="shared" si="6"/>
        <v>0.14832689832689838</v>
      </c>
      <c r="AZ13" s="1153">
        <f t="shared" si="6"/>
        <v>0.12681159420289845</v>
      </c>
      <c r="BA13" s="1153">
        <f t="shared" si="6"/>
        <v>0.11466749533871967</v>
      </c>
      <c r="BB13" s="1398">
        <f t="shared" si="6"/>
        <v>0.15763871712424771</v>
      </c>
      <c r="BC13" s="1153">
        <f t="shared" si="6"/>
        <v>-8.8337182448036899E-2</v>
      </c>
      <c r="BD13" s="1153">
        <f t="shared" si="6"/>
        <v>-0.14457831325301207</v>
      </c>
      <c r="BE13" s="1153">
        <f t="shared" si="6"/>
        <v>-0.13124817304881609</v>
      </c>
      <c r="BF13" s="1153">
        <f t="shared" si="6"/>
        <v>-0.10538054084192916</v>
      </c>
      <c r="BG13" s="1398">
        <f t="shared" si="6"/>
        <v>-0.11744177765116448</v>
      </c>
      <c r="BH13" s="1153">
        <f t="shared" si="6"/>
        <v>-0.10037998733375553</v>
      </c>
      <c r="BI13" s="1153">
        <f t="shared" si="6"/>
        <v>7.4025548640681338E-2</v>
      </c>
      <c r="BJ13" s="1153">
        <f t="shared" si="6"/>
        <v>8.68102288021535E-2</v>
      </c>
      <c r="BK13" s="1153">
        <f t="shared" si="6"/>
        <v>0.11717045808663129</v>
      </c>
      <c r="BL13" s="1398">
        <f t="shared" si="6"/>
        <v>4.3818592640413101E-2</v>
      </c>
      <c r="BM13" s="1153">
        <f t="shared" si="6"/>
        <v>1.1263639563533934E-2</v>
      </c>
      <c r="BN13" s="1153">
        <f t="shared" si="6"/>
        <v>-9.1491308325708509E-4</v>
      </c>
      <c r="BO13" s="1153">
        <f t="shared" si="6"/>
        <v>-4.6130030959752322E-2</v>
      </c>
      <c r="BP13" s="1153">
        <f t="shared" si="6"/>
        <v>-2.9009762900976344E-2</v>
      </c>
      <c r="BQ13" s="1398">
        <f t="shared" si="6"/>
        <v>-1.7317356010823293E-2</v>
      </c>
      <c r="BR13" s="1153">
        <f t="shared" si="6"/>
        <v>6.2304211625478612E-2</v>
      </c>
      <c r="BS13" s="1153">
        <f t="shared" si="6"/>
        <v>5.2197802197802234E-2</v>
      </c>
      <c r="BT13" s="1153">
        <f t="shared" si="6"/>
        <v>0.16001298279779297</v>
      </c>
      <c r="BU13" s="1153">
        <f t="shared" si="6"/>
        <v>0.11778224648089619</v>
      </c>
      <c r="BV13" s="1398">
        <f t="shared" si="6"/>
        <v>9.8576036503815523E-2</v>
      </c>
      <c r="BW13" s="1153">
        <f t="shared" si="6"/>
        <v>0.1146788990825689</v>
      </c>
      <c r="BX13" s="1153">
        <f t="shared" si="6"/>
        <v>5.1348999129678052E-2</v>
      </c>
      <c r="BY13" s="1153">
        <f t="shared" si="6"/>
        <v>-5.2602126468942356E-2</v>
      </c>
      <c r="BZ13" s="1153">
        <f t="shared" si="6"/>
        <v>5.088666152659993E-2</v>
      </c>
      <c r="CA13" s="1398">
        <f t="shared" si="6"/>
        <v>3.8456029790890911E-2</v>
      </c>
      <c r="CB13" s="1153">
        <f t="shared" si="6"/>
        <v>-2.1457965902410336E-2</v>
      </c>
      <c r="CC13" s="1153">
        <f t="shared" si="6"/>
        <v>-8.8300220750552327E-3</v>
      </c>
      <c r="CD13" s="1153">
        <f t="shared" si="6"/>
        <v>5.2569403425871242E-2</v>
      </c>
      <c r="CE13" s="1153">
        <f t="shared" si="6"/>
        <v>-1.6140865737344079E-2</v>
      </c>
      <c r="CF13" s="1398">
        <f t="shared" si="6"/>
        <v>4.8272532928761436E-4</v>
      </c>
      <c r="CG13" s="1153">
        <f t="shared" si="6"/>
        <v>9.0117152297986003E-4</v>
      </c>
      <c r="CH13" s="1153">
        <f t="shared" si="6"/>
        <v>2.3663697104677084E-2</v>
      </c>
      <c r="CI13" s="1153">
        <f t="shared" si="6"/>
        <v>-9.259259259259256E-2</v>
      </c>
      <c r="CJ13" s="1153">
        <f t="shared" si="6"/>
        <v>-4.5737012179965175E-2</v>
      </c>
      <c r="CK13" s="1398">
        <f>IF(ISERROR(CK12/CF12-1),"-",CK12/CF12-1)</f>
        <v>-2.9363110008271298E-2</v>
      </c>
      <c r="CL13" s="1153">
        <f t="shared" si="6"/>
        <v>7.6830732292917148E-2</v>
      </c>
      <c r="CM13" s="2215">
        <f t="shared" si="6"/>
        <v>3.6986673918955715E-2</v>
      </c>
      <c r="CN13" s="2215">
        <f t="shared" si="6"/>
        <v>8.2560296846011072E-2</v>
      </c>
      <c r="CO13" s="2215">
        <f t="shared" si="6"/>
        <v>3.9854128679343681E-2</v>
      </c>
      <c r="CP13" s="1398">
        <f>IF(ISERROR(CP12/CK12-1),"-",CP12/CK12-1)</f>
        <v>5.7662263882971132E-2</v>
      </c>
      <c r="CQ13" s="2215">
        <f t="shared" si="6"/>
        <v>4.7380156075808255E-2</v>
      </c>
      <c r="CR13" s="2215">
        <f t="shared" si="6"/>
        <v>6.7400996590611051E-2</v>
      </c>
      <c r="CS13" s="2215">
        <f t="shared" si="6"/>
        <v>0.10568409025992564</v>
      </c>
      <c r="CT13" s="337">
        <f>SUM(CT14,CT15,CT16)</f>
        <v>4.9736581030244802E-2</v>
      </c>
      <c r="CU13" s="1398">
        <f>IF(ISERROR(CU12/CP12-1),"-",CU12/CP12-1)</f>
        <v>6.6842247312524306E-2</v>
      </c>
      <c r="CV13" s="2215">
        <f>SUM(CV14,CV15,CV16)</f>
        <v>8.1314838179250282E-2</v>
      </c>
      <c r="CW13" s="2215">
        <f>SUM(CW14,CW15,CW16)</f>
        <v>8.1314838179250282E-2</v>
      </c>
      <c r="CX13" s="2215">
        <f>SUM(CX14,CX15,CX16)</f>
        <v>-6.8535937504837219E-3</v>
      </c>
      <c r="CY13" s="337">
        <f>SUM(CY14,CY15,CY16)</f>
        <v>7.465514224653319E-2</v>
      </c>
      <c r="CZ13" s="1398">
        <f>IF(ISERROR(CZ12/CU12-1),"-",CZ12/CU12-1)</f>
        <v>7.1281823654544496E-2</v>
      </c>
      <c r="DA13" s="1398">
        <f>IF(ISERROR(DA12/CZ12-1),"-",DA12/CZ12-1)</f>
        <v>7.2090366486330826E-2</v>
      </c>
      <c r="DB13" s="1398">
        <f>IF(ISERROR(DB12/DA12-1),"-",DB12/DA12-1)</f>
        <v>8.220192083629696E-2</v>
      </c>
      <c r="DC13" s="1398">
        <f>IF(ISERROR(DC12/DB12-1),"-",DC12/DB12-1)</f>
        <v>5.2937899875915795E-2</v>
      </c>
      <c r="DD13" s="1990"/>
    </row>
    <row r="14" spans="1:109" s="1178" customFormat="1" ht="12" customHeight="1">
      <c r="A14" s="1482"/>
      <c r="B14" s="1482"/>
      <c r="C14" s="1483"/>
      <c r="D14" s="1393" t="s">
        <v>829</v>
      </c>
      <c r="E14" s="1482"/>
      <c r="F14" s="1153"/>
      <c r="G14" s="1153"/>
      <c r="H14" s="1153"/>
      <c r="I14" s="1153"/>
      <c r="J14" s="1153"/>
      <c r="K14" s="1153"/>
      <c r="L14" s="1153"/>
      <c r="M14" s="1153"/>
      <c r="N14" s="1398"/>
      <c r="O14" s="1153"/>
      <c r="P14" s="1153"/>
      <c r="Q14" s="1153"/>
      <c r="R14" s="1153"/>
      <c r="S14" s="1398"/>
      <c r="T14" s="1153"/>
      <c r="U14" s="1153"/>
      <c r="V14" s="1153"/>
      <c r="W14" s="1153"/>
      <c r="X14" s="1398"/>
      <c r="Y14" s="1153"/>
      <c r="Z14" s="1153"/>
      <c r="AA14" s="1153"/>
      <c r="AB14" s="1153"/>
      <c r="AC14" s="1398"/>
      <c r="AD14" s="1153"/>
      <c r="AE14" s="1153"/>
      <c r="AF14" s="1153"/>
      <c r="AG14" s="1153"/>
      <c r="AH14" s="1398"/>
      <c r="AI14" s="1153"/>
      <c r="AJ14" s="1153"/>
      <c r="AK14" s="1153">
        <v>4.1666666666666664E-2</v>
      </c>
      <c r="AL14" s="1153">
        <v>8.0943570767807588E-2</v>
      </c>
      <c r="AM14" s="1398">
        <v>0.03</v>
      </c>
      <c r="AN14" s="1153">
        <f>120/AI12</f>
        <v>5.9612518628912071E-2</v>
      </c>
      <c r="AO14" s="1153">
        <f>120/AJ12</f>
        <v>5.2793664760228773E-2</v>
      </c>
      <c r="AP14" s="1153">
        <v>0.03</v>
      </c>
      <c r="AQ14" s="1153">
        <v>0</v>
      </c>
      <c r="AR14" s="1398">
        <v>0.04</v>
      </c>
      <c r="AS14" s="1153">
        <v>0</v>
      </c>
      <c r="AT14" s="1153">
        <v>0</v>
      </c>
      <c r="AU14" s="1153">
        <v>0</v>
      </c>
      <c r="AV14" s="1153">
        <v>0</v>
      </c>
      <c r="AW14" s="1398">
        <v>0</v>
      </c>
      <c r="AX14" s="1153">
        <f>-2%-237/AS12</f>
        <v>-0.10565233104445249</v>
      </c>
      <c r="AY14" s="1153">
        <f>-277/AT12</f>
        <v>-8.9124839124839123E-2</v>
      </c>
      <c r="AZ14" s="1153">
        <f>1.8%-271/AU12</f>
        <v>-7.1262187088274045E-2</v>
      </c>
      <c r="BA14" s="1153">
        <f>-271/AV12</f>
        <v>-8.4213797389683029E-2</v>
      </c>
      <c r="BB14" s="1398">
        <v>0</v>
      </c>
      <c r="BC14" s="1153">
        <f>BC13-BC16-BC15</f>
        <v>-8.3371824480368978E-3</v>
      </c>
      <c r="BD14" s="1153">
        <v>0</v>
      </c>
      <c r="BE14" s="1153">
        <v>0</v>
      </c>
      <c r="BF14" s="1153">
        <v>0</v>
      </c>
      <c r="BG14" s="1398">
        <v>0</v>
      </c>
      <c r="BH14" s="1153">
        <v>0</v>
      </c>
      <c r="BI14" s="1153">
        <v>0.01</v>
      </c>
      <c r="BJ14" s="1153">
        <f>BJ13-BJ15-BJ16</f>
        <v>6.8102288021534979E-3</v>
      </c>
      <c r="BK14" s="1153">
        <f>BK13-BK16-BK15</f>
        <v>-2.829541913368705E-3</v>
      </c>
      <c r="BL14" s="1398">
        <f>BL13-BL16-BL15</f>
        <v>3.8185926404131001E-3</v>
      </c>
      <c r="BM14" s="1153">
        <f t="shared" ref="BM14:BT14" si="7">BM13-BM15-BM16</f>
        <v>-7.8736360436466063E-2</v>
      </c>
      <c r="BN14" s="1153">
        <f t="shared" si="7"/>
        <v>-5.0914913083257081E-2</v>
      </c>
      <c r="BO14" s="1153">
        <f t="shared" si="7"/>
        <v>-5.6130030959752317E-2</v>
      </c>
      <c r="BP14" s="1153">
        <f t="shared" si="7"/>
        <v>-3.9009762900976346E-2</v>
      </c>
      <c r="BQ14" s="1398">
        <f t="shared" si="7"/>
        <v>-5.7317356010823294E-2</v>
      </c>
      <c r="BR14" s="1153">
        <f t="shared" si="7"/>
        <v>2.3042116254785999E-3</v>
      </c>
      <c r="BS14" s="1153">
        <f t="shared" si="7"/>
        <v>2.1978021978022386E-3</v>
      </c>
      <c r="BT14" s="1153">
        <f t="shared" si="7"/>
        <v>0.17001298279779298</v>
      </c>
      <c r="BU14" s="1153">
        <v>0.16</v>
      </c>
      <c r="BV14" s="1398">
        <v>0.09</v>
      </c>
      <c r="BW14" s="1153">
        <v>0.13</v>
      </c>
      <c r="BX14" s="1432">
        <v>0.11</v>
      </c>
      <c r="BY14" s="1153">
        <f>+BY13</f>
        <v>-5.2602126468942356E-2</v>
      </c>
      <c r="BZ14" s="1432">
        <v>-0.08</v>
      </c>
      <c r="CA14" s="1398">
        <f>SUMPRODUCT(BW14:BZ14,BR12:BU12)/BV12</f>
        <v>1.9811658550558581E-2</v>
      </c>
      <c r="CB14" s="1153">
        <v>-0.06</v>
      </c>
      <c r="CC14" s="1153">
        <f>CC13-CC15-CC16</f>
        <v>-1.8830022075055235E-2</v>
      </c>
      <c r="CD14" s="1153">
        <v>0.01</v>
      </c>
      <c r="CE14" s="1630">
        <v>0.01</v>
      </c>
      <c r="CF14" s="1398">
        <f>SUMPRODUCT(CB14:CE14,BW12:BZ12)/CA12</f>
        <v>-1.3627336045789959E-2</v>
      </c>
      <c r="CG14" s="1153">
        <v>0.01</v>
      </c>
      <c r="CH14" s="1153">
        <v>0.01</v>
      </c>
      <c r="CI14" s="1888">
        <v>0</v>
      </c>
      <c r="CJ14" s="1153">
        <f>-142/CE12</f>
        <v>-3.5297042008451407E-2</v>
      </c>
      <c r="CK14" s="1398">
        <f>SUMPRODUCT(CG14:CJ14,CB12:CE12)/CF12</f>
        <v>-5.0172318720705811E-3</v>
      </c>
      <c r="CL14" s="1432">
        <v>0</v>
      </c>
      <c r="CM14" s="1432">
        <v>0</v>
      </c>
      <c r="CN14" s="1888">
        <f>-184/CI12</f>
        <v>-5.6895485466914038E-2</v>
      </c>
      <c r="CO14" s="1432">
        <v>0.03</v>
      </c>
      <c r="CP14" s="1484">
        <v>0</v>
      </c>
      <c r="CQ14" s="1432">
        <v>0</v>
      </c>
      <c r="CR14" s="1888">
        <v>0</v>
      </c>
      <c r="CS14" s="1888">
        <f>CS13-CS15-CS16</f>
        <v>-6.4315909740074353E-2</v>
      </c>
      <c r="CT14" s="1432">
        <v>0</v>
      </c>
      <c r="CU14" s="1398">
        <f>SUMPRODUCT(CQ14:CT14,CL12:CO12)/CP12</f>
        <v>-1.5118168389955706E-2</v>
      </c>
      <c r="CV14" s="1432">
        <v>0</v>
      </c>
      <c r="CW14" s="1432">
        <v>0</v>
      </c>
      <c r="CX14" s="1432">
        <f>CS14*CN12/CS12</f>
        <v>-5.8168431929733998E-2</v>
      </c>
      <c r="CY14" s="1432">
        <v>0</v>
      </c>
      <c r="CZ14" s="1484">
        <v>0</v>
      </c>
      <c r="DA14" s="1484">
        <v>0</v>
      </c>
      <c r="DB14" s="2120">
        <v>0</v>
      </c>
      <c r="DC14" s="2120">
        <v>0</v>
      </c>
      <c r="DD14" s="1970"/>
    </row>
    <row r="15" spans="1:109" s="1178" customFormat="1" ht="12" customHeight="1">
      <c r="A15" s="1482"/>
      <c r="B15" s="1482"/>
      <c r="C15" s="1483"/>
      <c r="D15" s="1393" t="s">
        <v>828</v>
      </c>
      <c r="E15" s="1482"/>
      <c r="F15" s="1153"/>
      <c r="G15" s="1153"/>
      <c r="H15" s="1153"/>
      <c r="I15" s="1153"/>
      <c r="J15" s="1153"/>
      <c r="K15" s="1153"/>
      <c r="L15" s="1153"/>
      <c r="M15" s="1153"/>
      <c r="N15" s="1398"/>
      <c r="O15" s="1153"/>
      <c r="P15" s="1153"/>
      <c r="Q15" s="1153"/>
      <c r="R15" s="1153"/>
      <c r="S15" s="1398"/>
      <c r="T15" s="1153"/>
      <c r="U15" s="1153"/>
      <c r="V15" s="1153"/>
      <c r="W15" s="1153"/>
      <c r="X15" s="1398"/>
      <c r="Y15" s="1153"/>
      <c r="Z15" s="1153"/>
      <c r="AA15" s="1153"/>
      <c r="AB15" s="1153"/>
      <c r="AC15" s="1398"/>
      <c r="AD15" s="1153"/>
      <c r="AE15" s="1153"/>
      <c r="AF15" s="1153"/>
      <c r="AG15" s="1153"/>
      <c r="AH15" s="1398"/>
      <c r="AI15" s="1153"/>
      <c r="AJ15" s="1153"/>
      <c r="AK15" s="1153">
        <v>0</v>
      </c>
      <c r="AL15" s="1153">
        <v>0</v>
      </c>
      <c r="AM15" s="1398">
        <v>0</v>
      </c>
      <c r="AN15" s="1153">
        <v>0</v>
      </c>
      <c r="AO15" s="1153">
        <v>0</v>
      </c>
      <c r="AP15" s="1153">
        <v>0</v>
      </c>
      <c r="AQ15" s="1153">
        <v>0.01</v>
      </c>
      <c r="AR15" s="1398">
        <f>AR13-AR16-AR14</f>
        <v>-4.5185583647123148E-3</v>
      </c>
      <c r="AS15" s="1153">
        <v>0</v>
      </c>
      <c r="AT15" s="1153">
        <v>0</v>
      </c>
      <c r="AU15" s="1153">
        <v>0</v>
      </c>
      <c r="AV15" s="1153">
        <v>0</v>
      </c>
      <c r="AW15" s="1398">
        <v>0</v>
      </c>
      <c r="AX15" s="1153">
        <v>0</v>
      </c>
      <c r="AY15" s="1153">
        <v>0</v>
      </c>
      <c r="AZ15" s="1153">
        <v>0</v>
      </c>
      <c r="BA15" s="1153">
        <v>0</v>
      </c>
      <c r="BB15" s="1398">
        <v>0</v>
      </c>
      <c r="BC15" s="1153">
        <v>0</v>
      </c>
      <c r="BD15" s="1153">
        <v>0</v>
      </c>
      <c r="BE15" s="1153">
        <v>-0.02</v>
      </c>
      <c r="BF15" s="1153">
        <f>BF13-BF16</f>
        <v>-5.3805408419291545E-3</v>
      </c>
      <c r="BG15" s="1398">
        <v>-0.02</v>
      </c>
      <c r="BH15" s="1153">
        <v>0.03</v>
      </c>
      <c r="BI15" s="1153">
        <v>0.04</v>
      </c>
      <c r="BJ15" s="1153">
        <v>0.04</v>
      </c>
      <c r="BK15" s="1153">
        <v>0</v>
      </c>
      <c r="BL15" s="1398">
        <v>0.04</v>
      </c>
      <c r="BM15" s="1153">
        <v>-0.01</v>
      </c>
      <c r="BN15" s="1153">
        <v>-0.01</v>
      </c>
      <c r="BO15" s="1153">
        <v>-0.02</v>
      </c>
      <c r="BP15" s="1153">
        <v>0</v>
      </c>
      <c r="BQ15" s="1398">
        <v>0</v>
      </c>
      <c r="BR15" s="1153">
        <v>-0.01</v>
      </c>
      <c r="BS15" s="1153">
        <v>-0.01</v>
      </c>
      <c r="BT15" s="1153">
        <v>0</v>
      </c>
      <c r="BU15" s="1153">
        <v>0</v>
      </c>
      <c r="BV15" s="1398">
        <v>0</v>
      </c>
      <c r="BW15" s="1153">
        <v>0</v>
      </c>
      <c r="BX15" s="1153">
        <v>0</v>
      </c>
      <c r="BY15" s="1153">
        <v>0</v>
      </c>
      <c r="BZ15" s="1153"/>
      <c r="CA15" s="1398">
        <f>SUMPRODUCT(BW15:BZ15,BR12:BU12)/BV12</f>
        <v>0</v>
      </c>
      <c r="CB15" s="1153">
        <v>0</v>
      </c>
      <c r="CC15" s="1153">
        <v>0</v>
      </c>
      <c r="CD15" s="1153">
        <f>+CD13-CD16-CD14</f>
        <v>-7.4305965741287613E-3</v>
      </c>
      <c r="CE15" s="1153">
        <f>+CE13-CE16-CE14</f>
        <v>-6.1408657373440787E-3</v>
      </c>
      <c r="CF15" s="1398">
        <f>SUMPRODUCT(CB15:CE15,BW12:BZ12)/CA12</f>
        <v>-3.4666574718984844E-3</v>
      </c>
      <c r="CG15" s="1153">
        <f>+CG13-CG16-CG14</f>
        <v>-9.0988284770201402E-3</v>
      </c>
      <c r="CH15" s="1153">
        <f>+CH13-CH16-CH14</f>
        <v>-6.3363028953229168E-3</v>
      </c>
      <c r="CI15" s="1153">
        <f>+CI13-CI16-CI14</f>
        <v>-1.2592592592592558E-2</v>
      </c>
      <c r="CJ15" s="1153">
        <f>+CJ13-CJ16-CJ14</f>
        <v>-1.0439970171513768E-2</v>
      </c>
      <c r="CK15" s="1398">
        <f>SUMPRODUCT(CG15:CJ15,CB12:CE12)/CF12</f>
        <v>-9.6450234353459962E-3</v>
      </c>
      <c r="CL15" s="1153">
        <f>+CL13-CL16-CL14</f>
        <v>-3.169267707082854E-3</v>
      </c>
      <c r="CM15" s="2215">
        <f>+CM13-CM16-CM14</f>
        <v>-3.0133260810442861E-3</v>
      </c>
      <c r="CN15" s="2215">
        <f>+CN13-CN16-CN14</f>
        <v>9.4557823129251053E-3</v>
      </c>
      <c r="CO15" s="2215">
        <f>+CO13-CO16-CO14</f>
        <v>9.8541286793436822E-3</v>
      </c>
      <c r="CP15" s="1398">
        <f>SUMPRODUCT(CL15:CO15,CG12:CJ12)/CK12</f>
        <v>3.3212611844908591E-3</v>
      </c>
      <c r="CQ15" s="2215">
        <f>+CQ13-CQ16-CQ14</f>
        <v>7.3801560758082543E-3</v>
      </c>
      <c r="CR15" s="2215">
        <f>+CR13-CR16-CR14</f>
        <v>7.4009965906110531E-3</v>
      </c>
      <c r="CS15" s="2215">
        <v>0.02</v>
      </c>
      <c r="CT15" s="2215">
        <f>'FX Model'!BN38</f>
        <v>0.01</v>
      </c>
      <c r="CU15" s="1484">
        <f>SUMPRODUCT(CQ15:CT15,CL12:CO12)/CP12</f>
        <v>1.1054115751309249E-2</v>
      </c>
      <c r="CV15" s="2215">
        <f>'FX Model'!BP38</f>
        <v>1.3148381792502765E-3</v>
      </c>
      <c r="CW15" s="2215">
        <f>'FX Model'!BQ38</f>
        <v>1.3148381792502765E-3</v>
      </c>
      <c r="CX15" s="2215">
        <f>'FX Model'!BR38</f>
        <v>1.3148381792502765E-3</v>
      </c>
      <c r="CY15" s="2215">
        <f>'FX Model'!BS38</f>
        <v>0</v>
      </c>
      <c r="CZ15" s="1484">
        <v>0</v>
      </c>
      <c r="DA15" s="1484">
        <v>0</v>
      </c>
      <c r="DB15" s="2120">
        <v>0</v>
      </c>
      <c r="DC15" s="2120">
        <v>0</v>
      </c>
      <c r="DD15" s="1970"/>
    </row>
    <row r="16" spans="1:109" s="1178" customFormat="1" ht="12" customHeight="1">
      <c r="A16" s="1482"/>
      <c r="B16" s="1482"/>
      <c r="C16" s="1483"/>
      <c r="D16" s="1393" t="s">
        <v>827</v>
      </c>
      <c r="E16" s="1482"/>
      <c r="F16" s="1153"/>
      <c r="G16" s="1153"/>
      <c r="H16" s="1153"/>
      <c r="I16" s="1153"/>
      <c r="J16" s="1153"/>
      <c r="K16" s="1153"/>
      <c r="L16" s="1153"/>
      <c r="M16" s="1153"/>
      <c r="N16" s="1480"/>
      <c r="O16" s="1153"/>
      <c r="P16" s="1153"/>
      <c r="Q16" s="1153"/>
      <c r="R16" s="1153"/>
      <c r="S16" s="1480"/>
      <c r="T16" s="1153"/>
      <c r="U16" s="1153"/>
      <c r="V16" s="1153"/>
      <c r="W16" s="1153"/>
      <c r="X16" s="1480"/>
      <c r="Y16" s="1153"/>
      <c r="Z16" s="1153"/>
      <c r="AA16" s="1153"/>
      <c r="AB16" s="1153"/>
      <c r="AC16" s="1480"/>
      <c r="AD16" s="1153"/>
      <c r="AE16" s="1153"/>
      <c r="AF16" s="1153"/>
      <c r="AG16" s="1153"/>
      <c r="AH16" s="1480"/>
      <c r="AI16" s="1153">
        <v>3.8164002062919034E-2</v>
      </c>
      <c r="AJ16" s="1153">
        <v>9.2788461538461542E-2</v>
      </c>
      <c r="AK16" s="1153">
        <v>0.10785714285714296</v>
      </c>
      <c r="AL16" s="1153">
        <v>0.11933395004625344</v>
      </c>
      <c r="AM16" s="1480">
        <v>0.09</v>
      </c>
      <c r="AN16" s="1153">
        <f>AN13-AN14-AN15</f>
        <v>0.21609538002980619</v>
      </c>
      <c r="AO16" s="1153">
        <f>AO13-AO14-AO15</f>
        <v>0.14694236691597012</v>
      </c>
      <c r="AP16" s="1153">
        <f>AP13-AP14-AP15</f>
        <v>0.117887323943662</v>
      </c>
      <c r="AQ16" s="1153">
        <f>AQ13-AQ14-AQ15</f>
        <v>0.16379576107899796</v>
      </c>
      <c r="AR16" s="1480">
        <v>0.16</v>
      </c>
      <c r="AS16" s="1153">
        <f>AS13-AS14-AS15</f>
        <v>7.7492211838006142E-2</v>
      </c>
      <c r="AT16" s="1153">
        <f>AT13-AT14-AT15</f>
        <v>0.13971397139713981</v>
      </c>
      <c r="AU16" s="1153">
        <f>AU13-AU14-AU15</f>
        <v>9.5633345362684974E-2</v>
      </c>
      <c r="AV16" s="1153">
        <f>AV13-AV14-AV15</f>
        <v>5.6467498358502954E-2</v>
      </c>
      <c r="AW16" s="1480">
        <f>AW13-AW14-AW15</f>
        <v>9.1522678185745221E-2</v>
      </c>
      <c r="AX16" s="1153">
        <f>AX13+AX14+AX15</f>
        <v>0.14624503071919037</v>
      </c>
      <c r="AY16" s="1153">
        <f>AY13+AY14+AY15</f>
        <v>5.920205920205926E-2</v>
      </c>
      <c r="AZ16" s="1153">
        <f>AZ13+AZ14+AZ15</f>
        <v>5.5549407114624402E-2</v>
      </c>
      <c r="BA16" s="1153">
        <f>BA13+BA14+BA15</f>
        <v>3.0453697949036643E-2</v>
      </c>
      <c r="BB16" s="1398">
        <f>BB13-BB14-BB15</f>
        <v>0.15763871712424771</v>
      </c>
      <c r="BC16" s="1153">
        <v>-0.08</v>
      </c>
      <c r="BD16" s="1153">
        <f>BD13-BD14-BD15</f>
        <v>-0.14457831325301207</v>
      </c>
      <c r="BE16" s="1153">
        <f>BE13-BE14-BE15</f>
        <v>-0.11124817304881608</v>
      </c>
      <c r="BF16" s="1153">
        <v>-0.1</v>
      </c>
      <c r="BG16" s="1480">
        <f>BG13-BG14-BG15</f>
        <v>-9.7441777651164477E-2</v>
      </c>
      <c r="BH16" s="1153">
        <f>BH13-BH14-BH15</f>
        <v>-0.13037998733375553</v>
      </c>
      <c r="BI16" s="1153">
        <f>BI13-BI14-BI15</f>
        <v>2.4025548640681342E-2</v>
      </c>
      <c r="BJ16" s="1153">
        <v>0.04</v>
      </c>
      <c r="BK16" s="1153">
        <v>0.12</v>
      </c>
      <c r="BL16" s="1480">
        <v>0</v>
      </c>
      <c r="BM16" s="1153">
        <v>0.1</v>
      </c>
      <c r="BN16" s="1153">
        <v>0.06</v>
      </c>
      <c r="BO16" s="1153">
        <v>0.03</v>
      </c>
      <c r="BP16" s="1153">
        <v>0.01</v>
      </c>
      <c r="BQ16" s="1480">
        <v>0.04</v>
      </c>
      <c r="BR16" s="1153">
        <v>7.0000000000000007E-2</v>
      </c>
      <c r="BS16" s="1153">
        <v>0.06</v>
      </c>
      <c r="BT16" s="1153">
        <v>-0.01</v>
      </c>
      <c r="BU16" s="1153">
        <f t="shared" ref="BU16:CA16" si="8">BU13-BU14-BU15</f>
        <v>-4.2217753519103812E-2</v>
      </c>
      <c r="BV16" s="1480">
        <f t="shared" si="8"/>
        <v>8.5760365038155262E-3</v>
      </c>
      <c r="BW16" s="1153">
        <f t="shared" si="8"/>
        <v>-1.5321100917431107E-2</v>
      </c>
      <c r="BX16" s="1153">
        <f t="shared" si="8"/>
        <v>-5.8651000870321948E-2</v>
      </c>
      <c r="BY16" s="1153">
        <f t="shared" si="8"/>
        <v>0</v>
      </c>
      <c r="BZ16" s="1153">
        <f t="shared" si="8"/>
        <v>0.13088666152659995</v>
      </c>
      <c r="CA16" s="1398">
        <f t="shared" si="8"/>
        <v>1.864437124033233E-2</v>
      </c>
      <c r="CB16" s="1153">
        <v>0.04</v>
      </c>
      <c r="CC16" s="1153">
        <v>0.01</v>
      </c>
      <c r="CD16" s="1153">
        <v>0.05</v>
      </c>
      <c r="CE16" s="1630">
        <v>-0.02</v>
      </c>
      <c r="CF16" s="1398">
        <f>CF13-CF14-CF15</f>
        <v>1.7576718846976057E-2</v>
      </c>
      <c r="CG16" s="1432">
        <v>0</v>
      </c>
      <c r="CH16" s="1432">
        <v>0.02</v>
      </c>
      <c r="CI16" s="1888">
        <v>-0.08</v>
      </c>
      <c r="CJ16" s="1888">
        <v>0</v>
      </c>
      <c r="CK16" s="1398">
        <f>SUMPRODUCT(CG16:CJ16,CB12:CE12)/CF12</f>
        <v>-1.4700854700854702E-2</v>
      </c>
      <c r="CL16" s="1888">
        <v>0.08</v>
      </c>
      <c r="CM16" s="1888">
        <v>0.04</v>
      </c>
      <c r="CN16" s="1888">
        <v>0.13</v>
      </c>
      <c r="CO16" s="1888">
        <v>0</v>
      </c>
      <c r="CP16" s="1398">
        <f>CP13-CP14-CP15</f>
        <v>5.4341002698480273E-2</v>
      </c>
      <c r="CQ16" s="1888">
        <v>0.04</v>
      </c>
      <c r="CR16" s="1888">
        <v>0.06</v>
      </c>
      <c r="CS16" s="1888">
        <v>0.15</v>
      </c>
      <c r="CT16" s="1153">
        <f>(CU16*CP12-SUMPRODUCT(CQ16:CS16,CL12:CN12))/CO12</f>
        <v>3.97365810302448E-2</v>
      </c>
      <c r="CU16" s="1398">
        <f>CU13-CU14-CU15</f>
        <v>7.0906299951170759E-2</v>
      </c>
      <c r="CV16" s="1432">
        <v>0.08</v>
      </c>
      <c r="CW16" s="1432">
        <f>CV16</f>
        <v>0.08</v>
      </c>
      <c r="CX16" s="1432">
        <v>0.05</v>
      </c>
      <c r="CY16" s="2215">
        <f>(CZ16*CU12-SUMPRODUCT(CV16:CX16,CQ12:CS12))/CT12</f>
        <v>7.465514224653319E-2</v>
      </c>
      <c r="CZ16" s="1398">
        <f>CZ13-CZ14-CZ15</f>
        <v>7.1281823654544496E-2</v>
      </c>
      <c r="DA16" s="1398">
        <f>DA13-DA14-DA15</f>
        <v>7.2090366486330826E-2</v>
      </c>
      <c r="DB16" s="1398">
        <f>DB13-DB14-DB15</f>
        <v>8.220192083629696E-2</v>
      </c>
      <c r="DC16" s="1398">
        <f>DC13-DC14-DC15</f>
        <v>5.2937899875915795E-2</v>
      </c>
      <c r="DD16" s="1990"/>
    </row>
    <row r="17" spans="1:109" s="1178" customFormat="1" ht="12" customHeight="1">
      <c r="A17" s="1467"/>
      <c r="B17" s="1467"/>
      <c r="C17" s="1466"/>
      <c r="D17" s="1442"/>
      <c r="E17" s="1467"/>
      <c r="F17" s="1486"/>
      <c r="G17" s="1467"/>
      <c r="H17" s="1467"/>
      <c r="I17" s="1467"/>
      <c r="J17" s="1467"/>
      <c r="K17" s="1467"/>
      <c r="L17" s="1467"/>
      <c r="M17" s="1467"/>
      <c r="N17" s="1628"/>
      <c r="O17" s="1467"/>
      <c r="P17" s="1467"/>
      <c r="Q17" s="1467"/>
      <c r="R17" s="1467"/>
      <c r="S17" s="1628"/>
      <c r="T17" s="1467"/>
      <c r="U17" s="1467"/>
      <c r="V17" s="1467"/>
      <c r="W17" s="1467"/>
      <c r="X17" s="1628"/>
      <c r="Y17" s="1467"/>
      <c r="Z17" s="1467"/>
      <c r="AA17" s="1467"/>
      <c r="AB17" s="1467"/>
      <c r="AC17" s="1628"/>
      <c r="AD17" s="1467"/>
      <c r="AE17" s="1467"/>
      <c r="AF17" s="1467"/>
      <c r="AG17" s="1467"/>
      <c r="AH17" s="1628"/>
      <c r="AI17" s="1467"/>
      <c r="AJ17" s="1467"/>
      <c r="AK17" s="1467"/>
      <c r="AL17" s="1467"/>
      <c r="AM17" s="1628"/>
      <c r="AN17" s="1467"/>
      <c r="AO17" s="1467"/>
      <c r="AP17" s="1467"/>
      <c r="AQ17" s="1467"/>
      <c r="AR17" s="1628"/>
      <c r="AS17" s="1467"/>
      <c r="AT17" s="1467"/>
      <c r="AU17" s="1467"/>
      <c r="AV17" s="1467"/>
      <c r="AW17" s="1628"/>
      <c r="AX17" s="1467"/>
      <c r="AY17" s="1467"/>
      <c r="AZ17" s="1467"/>
      <c r="BA17" s="1467"/>
      <c r="BB17" s="1628"/>
      <c r="BC17" s="1467"/>
      <c r="BD17" s="1467"/>
      <c r="BE17" s="1467"/>
      <c r="BF17" s="1467"/>
      <c r="BG17" s="1628"/>
      <c r="BH17" s="1467"/>
      <c r="BI17" s="1467"/>
      <c r="BJ17" s="1467"/>
      <c r="BK17" s="1467"/>
      <c r="BL17" s="1628"/>
      <c r="BM17" s="1467"/>
      <c r="BN17" s="1467"/>
      <c r="BO17" s="1467"/>
      <c r="BP17" s="1467"/>
      <c r="BQ17" s="1628"/>
      <c r="BR17" s="1467"/>
      <c r="BS17" s="1467"/>
      <c r="BT17" s="1467"/>
      <c r="BU17" s="1467"/>
      <c r="BV17" s="1628"/>
      <c r="BW17" s="1467"/>
      <c r="BX17" s="1467"/>
      <c r="BY17" s="1467"/>
      <c r="BZ17" s="1467"/>
      <c r="CA17" s="1628"/>
      <c r="CB17" s="1270"/>
      <c r="CC17" s="1270"/>
      <c r="CD17" s="1270"/>
      <c r="CE17" s="1270"/>
      <c r="CF17" s="1628"/>
      <c r="CG17" s="1486"/>
      <c r="CH17" s="1486"/>
      <c r="CI17" s="1486"/>
      <c r="CJ17" s="1486"/>
      <c r="CK17" s="1628"/>
      <c r="CL17" s="1201">
        <f>CL16+CG16</f>
        <v>0.08</v>
      </c>
      <c r="CM17" s="1201">
        <f>CM16+CH16</f>
        <v>0.06</v>
      </c>
      <c r="CN17" s="1201">
        <f>CN16+CI16</f>
        <v>0.05</v>
      </c>
      <c r="CO17" s="1201">
        <f>CO16+CJ16</f>
        <v>0</v>
      </c>
      <c r="CP17" s="1628"/>
      <c r="CQ17" s="1201"/>
      <c r="CR17" s="1201"/>
      <c r="CS17" s="2251"/>
      <c r="CT17" s="1201"/>
      <c r="CU17" s="1628"/>
      <c r="CV17" s="1201"/>
      <c r="CW17" s="1201"/>
      <c r="CX17" s="1201"/>
      <c r="CY17" s="1201"/>
      <c r="CZ17" s="1628"/>
      <c r="DA17" s="1628"/>
      <c r="DB17" s="1628"/>
      <c r="DC17" s="1628"/>
      <c r="DD17" s="1525"/>
    </row>
    <row r="18" spans="1:109" s="1178" customFormat="1">
      <c r="A18" s="1467"/>
      <c r="B18" s="1467"/>
      <c r="C18" s="1466" t="s">
        <v>1253</v>
      </c>
      <c r="D18" s="1440"/>
      <c r="E18" s="1467"/>
      <c r="F18" s="1472">
        <v>1487.75</v>
      </c>
      <c r="G18" s="1471">
        <v>1450.75</v>
      </c>
      <c r="H18" s="1471">
        <v>1427.75</v>
      </c>
      <c r="I18" s="1471">
        <v>1582.75</v>
      </c>
      <c r="J18" s="1471"/>
      <c r="K18" s="1471"/>
      <c r="L18" s="1471"/>
      <c r="M18" s="1471"/>
      <c r="N18" s="1429">
        <v>5949</v>
      </c>
      <c r="O18" s="1471">
        <v>1479.25</v>
      </c>
      <c r="P18" s="1471">
        <v>1548.25</v>
      </c>
      <c r="Q18" s="1471">
        <v>1501.25</v>
      </c>
      <c r="R18" s="1469">
        <v>1619.25</v>
      </c>
      <c r="S18" s="1429">
        <v>6148</v>
      </c>
      <c r="T18" s="1469">
        <v>1469.75</v>
      </c>
      <c r="U18" s="1469">
        <v>1487.75</v>
      </c>
      <c r="V18" s="1469">
        <v>1496.75</v>
      </c>
      <c r="W18" s="1469">
        <v>1699.75</v>
      </c>
      <c r="X18" s="1429">
        <v>6154</v>
      </c>
      <c r="Y18" s="1469">
        <v>1401.5</v>
      </c>
      <c r="Z18" s="1469">
        <v>1625.5</v>
      </c>
      <c r="AA18" s="1469">
        <v>1524.5</v>
      </c>
      <c r="AB18" s="1469">
        <v>1614.5</v>
      </c>
      <c r="AC18" s="1429">
        <v>6147</v>
      </c>
      <c r="AD18" s="1469">
        <v>1613.75</v>
      </c>
      <c r="AE18" s="1469">
        <v>1693.75</v>
      </c>
      <c r="AF18" s="1469">
        <v>1706.75</v>
      </c>
      <c r="AG18" s="1469">
        <v>1758.75</v>
      </c>
      <c r="AH18" s="1429">
        <v>6735</v>
      </c>
      <c r="AI18" s="1469">
        <v>1595</v>
      </c>
      <c r="AJ18" s="1469">
        <v>1835</v>
      </c>
      <c r="AK18" s="1469">
        <v>1958</v>
      </c>
      <c r="AL18" s="1469">
        <v>2164</v>
      </c>
      <c r="AM18" s="1429">
        <v>7552</v>
      </c>
      <c r="AN18" s="1469">
        <f t="shared" ref="AN18:AV18" si="9">AN12-AN22</f>
        <v>2081</v>
      </c>
      <c r="AO18" s="1469">
        <f t="shared" si="9"/>
        <v>2191</v>
      </c>
      <c r="AP18" s="1469">
        <f t="shared" si="9"/>
        <v>2245</v>
      </c>
      <c r="AQ18" s="1469">
        <f t="shared" si="9"/>
        <v>2535</v>
      </c>
      <c r="AR18" s="1429">
        <f t="shared" si="9"/>
        <v>9052</v>
      </c>
      <c r="AS18" s="1469">
        <f t="shared" si="9"/>
        <v>2220.25</v>
      </c>
      <c r="AT18" s="1469">
        <f t="shared" si="9"/>
        <v>2502.25</v>
      </c>
      <c r="AU18" s="1469">
        <f t="shared" si="9"/>
        <v>2444.25</v>
      </c>
      <c r="AV18" s="1469">
        <f t="shared" si="9"/>
        <v>2631.25</v>
      </c>
      <c r="AW18" s="1429">
        <f>SUM(AS18:AV18)</f>
        <v>9798</v>
      </c>
      <c r="AX18" s="1469">
        <f>AX12-AX22</f>
        <v>2832</v>
      </c>
      <c r="AY18" s="1469">
        <f>AY12-AY22</f>
        <v>2914</v>
      </c>
      <c r="AZ18" s="1469">
        <f>AZ12-AZ22</f>
        <v>2784</v>
      </c>
      <c r="BA18" s="1469">
        <f>BA12-BA22</f>
        <v>2942</v>
      </c>
      <c r="BB18" s="1429">
        <f>SUM(AX18:BA18)</f>
        <v>11472</v>
      </c>
      <c r="BC18" s="1469">
        <f>BC12-BC22</f>
        <v>2575.75</v>
      </c>
      <c r="BD18" s="1469">
        <f>BD12-BD22</f>
        <v>2447.75</v>
      </c>
      <c r="BE18" s="1469">
        <f>BE12-BE22</f>
        <v>2388.75</v>
      </c>
      <c r="BF18" s="1469">
        <f>BF12-BF22</f>
        <v>2625.75</v>
      </c>
      <c r="BG18" s="1429">
        <f>SUM(BC18:BF18)</f>
        <v>10038</v>
      </c>
      <c r="BH18" s="1469">
        <f>BH12-BH22</f>
        <v>2294</v>
      </c>
      <c r="BI18" s="1469">
        <f>BI12-BI22</f>
        <v>2663</v>
      </c>
      <c r="BJ18" s="1469">
        <f>BJ12-BJ22</f>
        <v>2585</v>
      </c>
      <c r="BK18" s="1469">
        <f>BK12-BK22</f>
        <v>2928</v>
      </c>
      <c r="BL18" s="1429">
        <f>SUM(BH18:BK18)</f>
        <v>10470</v>
      </c>
      <c r="BM18" s="1469">
        <f>BM12-BM22</f>
        <v>2358</v>
      </c>
      <c r="BN18" s="1469">
        <f>BN12-BN22</f>
        <v>2744</v>
      </c>
      <c r="BO18" s="1469">
        <f>BO12-BO22</f>
        <v>2538</v>
      </c>
      <c r="BP18" s="1469">
        <f>BP12-BP22</f>
        <v>2861</v>
      </c>
      <c r="BQ18" s="1429">
        <f>SUM(BM18:BP18)</f>
        <v>10501</v>
      </c>
      <c r="BR18" s="1469">
        <f>BR12-BR22</f>
        <v>2545</v>
      </c>
      <c r="BS18" s="1469">
        <f>BS12-BS22</f>
        <v>2922</v>
      </c>
      <c r="BT18" s="1469">
        <f>BT12-BT22</f>
        <v>3081</v>
      </c>
      <c r="BU18" s="1469">
        <f>BU12-BU22</f>
        <v>3407</v>
      </c>
      <c r="BV18" s="1429">
        <f>SUM(BR18:BU18)</f>
        <v>11955</v>
      </c>
      <c r="BW18" s="1469">
        <f t="shared" ref="BW18:CZ18" si="10">BW12-BW22</f>
        <v>2909.25</v>
      </c>
      <c r="BX18" s="1469">
        <f t="shared" si="10"/>
        <v>3077.25</v>
      </c>
      <c r="BY18" s="1469">
        <f t="shared" si="10"/>
        <v>2820.25</v>
      </c>
      <c r="BZ18" s="1469">
        <f t="shared" si="10"/>
        <v>3513.25</v>
      </c>
      <c r="CA18" s="1429">
        <f t="shared" si="10"/>
        <v>12320</v>
      </c>
      <c r="CB18" s="1767">
        <f t="shared" si="10"/>
        <v>2801.5</v>
      </c>
      <c r="CC18" s="1767">
        <f t="shared" si="10"/>
        <v>2975.5</v>
      </c>
      <c r="CD18" s="1767">
        <f t="shared" si="10"/>
        <v>2908.5</v>
      </c>
      <c r="CE18" s="1767">
        <f t="shared" si="10"/>
        <v>3369.5</v>
      </c>
      <c r="CF18" s="1429">
        <f t="shared" si="10"/>
        <v>12055</v>
      </c>
      <c r="CG18" s="1767">
        <f t="shared" si="10"/>
        <v>2781</v>
      </c>
      <c r="CH18" s="1767">
        <f t="shared" si="10"/>
        <v>3069</v>
      </c>
      <c r="CI18" s="1767">
        <f t="shared" si="10"/>
        <v>2674</v>
      </c>
      <c r="CJ18" s="1767">
        <f t="shared" si="10"/>
        <v>3169</v>
      </c>
      <c r="CK18" s="1429">
        <f t="shared" si="10"/>
        <v>11693</v>
      </c>
      <c r="CL18" s="1767">
        <f t="shared" si="10"/>
        <v>3035.5</v>
      </c>
      <c r="CM18" s="1767">
        <f t="shared" si="10"/>
        <v>3223.5</v>
      </c>
      <c r="CN18" s="1767">
        <f t="shared" si="10"/>
        <v>2949.5</v>
      </c>
      <c r="CO18" s="1767">
        <f t="shared" si="10"/>
        <v>3384.5</v>
      </c>
      <c r="CP18" s="1429">
        <f t="shared" si="10"/>
        <v>12593</v>
      </c>
      <c r="CQ18" s="1767">
        <f>CQ12-CQ22</f>
        <v>3206.7630644606588</v>
      </c>
      <c r="CR18" s="1767">
        <f>CR12-CR22</f>
        <v>3503.7630644606588</v>
      </c>
      <c r="CS18" s="1767">
        <f>CS12-CS22</f>
        <v>3289.7630644606588</v>
      </c>
      <c r="CT18" s="1767">
        <f>CT12-CT22</f>
        <v>3632.3173279210287</v>
      </c>
      <c r="CU18" s="1429">
        <f t="shared" si="10"/>
        <v>13632.606521303005</v>
      </c>
      <c r="CV18" s="1767">
        <f>CV12-CV22</f>
        <v>3525.9387380245935</v>
      </c>
      <c r="CW18" s="1767">
        <f>CW12-CW22</f>
        <v>3848.3089675365195</v>
      </c>
      <c r="CX18" s="1767">
        <f>CX12-CX22</f>
        <v>3276.8273147388481</v>
      </c>
      <c r="CY18" s="1767">
        <f>CY12-CY22</f>
        <v>3958.7578288499235</v>
      </c>
      <c r="CZ18" s="1429">
        <f t="shared" si="10"/>
        <v>14819.620557290833</v>
      </c>
      <c r="DA18" s="1429">
        <f>DA12-DA22</f>
        <v>15567.305840354955</v>
      </c>
      <c r="DB18" s="1429">
        <f>DB12-DB22</f>
        <v>16767.429886285812</v>
      </c>
      <c r="DC18" s="1429">
        <f>DC12-DC22</f>
        <v>17714.200709878707</v>
      </c>
      <c r="DD18" s="1981"/>
      <c r="DE18" s="1856">
        <f>CU15*CP12</f>
        <v>164.63999999999996</v>
      </c>
    </row>
    <row r="19" spans="1:109" s="1178" customFormat="1" ht="12" customHeight="1">
      <c r="A19" s="1467"/>
      <c r="B19" s="1467"/>
      <c r="C19" s="1466"/>
      <c r="D19" s="1393" t="s">
        <v>282</v>
      </c>
      <c r="E19" s="1465"/>
      <c r="F19" s="1432" t="s">
        <v>284</v>
      </c>
      <c r="G19" s="1432" t="s">
        <v>284</v>
      </c>
      <c r="H19" s="1432" t="s">
        <v>284</v>
      </c>
      <c r="I19" s="1432" t="s">
        <v>284</v>
      </c>
      <c r="J19" s="1432"/>
      <c r="K19" s="1432"/>
      <c r="L19" s="1432"/>
      <c r="M19" s="1432"/>
      <c r="N19" s="1398" t="s">
        <v>284</v>
      </c>
      <c r="O19" s="1153">
        <v>-5.713325491514043E-3</v>
      </c>
      <c r="P19" s="1153">
        <v>6.7206617266931001E-2</v>
      </c>
      <c r="Q19" s="1153">
        <v>5.1479600770443001E-2</v>
      </c>
      <c r="R19" s="1153">
        <v>2.3061127783920332E-2</v>
      </c>
      <c r="S19" s="1398">
        <v>3.3451000168095435E-2</v>
      </c>
      <c r="T19" s="1153">
        <v>-6.4221733986817853E-3</v>
      </c>
      <c r="U19" s="1153">
        <v>-3.9076376554174064E-2</v>
      </c>
      <c r="V19" s="1153">
        <v>-2.9975020815986575E-3</v>
      </c>
      <c r="W19" s="1153">
        <v>4.9714373938551715E-2</v>
      </c>
      <c r="X19" s="1398">
        <v>9.7592713077432336E-4</v>
      </c>
      <c r="Y19" s="1153">
        <v>-4.6436468787208751E-2</v>
      </c>
      <c r="Z19" s="1153">
        <v>9.2589480759536213E-2</v>
      </c>
      <c r="AA19" s="1153">
        <v>1.8540170369133024E-2</v>
      </c>
      <c r="AB19" s="1153">
        <v>-5.0154434475658149E-2</v>
      </c>
      <c r="AC19" s="1398">
        <v>-1.1374715632108678E-3</v>
      </c>
      <c r="AD19" s="1153">
        <v>0.15144488048519444</v>
      </c>
      <c r="AE19" s="1153">
        <v>4.1987080898185258E-2</v>
      </c>
      <c r="AF19" s="1153">
        <v>0.11954739258773373</v>
      </c>
      <c r="AG19" s="1153">
        <v>8.9346546918550596E-2</v>
      </c>
      <c r="AH19" s="1398">
        <v>9.5656417764763191E-2</v>
      </c>
      <c r="AI19" s="1153">
        <v>-1.161890007745936E-2</v>
      </c>
      <c r="AJ19" s="1153">
        <v>8.3394833948339464E-2</v>
      </c>
      <c r="AK19" s="1153">
        <v>0.14720960890581525</v>
      </c>
      <c r="AL19" s="1153">
        <v>0.23041933191186925</v>
      </c>
      <c r="AM19" s="1398">
        <v>0.12130660727542697</v>
      </c>
      <c r="AN19" s="1153">
        <f t="shared" ref="AN19:BS19" si="11">IF(ISERROR(AN18/AI18-1),"-",AN18/AI18-1)</f>
        <v>0.30470219435736667</v>
      </c>
      <c r="AO19" s="1153">
        <f t="shared" si="11"/>
        <v>0.19400544959128063</v>
      </c>
      <c r="AP19" s="1153">
        <f t="shared" si="11"/>
        <v>0.14657814096016342</v>
      </c>
      <c r="AQ19" s="1153">
        <f t="shared" si="11"/>
        <v>0.17144177449168208</v>
      </c>
      <c r="AR19" s="1398">
        <f t="shared" si="11"/>
        <v>0.19862288135593231</v>
      </c>
      <c r="AS19" s="1153">
        <f t="shared" si="11"/>
        <v>6.6914944738106774E-2</v>
      </c>
      <c r="AT19" s="1153">
        <f t="shared" si="11"/>
        <v>0.14205842081241449</v>
      </c>
      <c r="AU19" s="1153">
        <f t="shared" si="11"/>
        <v>8.8752783964365367E-2</v>
      </c>
      <c r="AV19" s="1153">
        <f t="shared" si="11"/>
        <v>3.7968441814595577E-2</v>
      </c>
      <c r="AW19" s="1398">
        <f t="shared" si="11"/>
        <v>8.2412726469288655E-2</v>
      </c>
      <c r="AX19" s="1153">
        <f t="shared" si="11"/>
        <v>0.27553203468077925</v>
      </c>
      <c r="AY19" s="1153">
        <f t="shared" si="11"/>
        <v>0.16455190328704172</v>
      </c>
      <c r="AZ19" s="1153">
        <f t="shared" si="11"/>
        <v>0.13899969315741023</v>
      </c>
      <c r="BA19" s="1153">
        <f t="shared" si="11"/>
        <v>0.11809976247030884</v>
      </c>
      <c r="BB19" s="1398">
        <f t="shared" si="11"/>
        <v>0.17085119412124916</v>
      </c>
      <c r="BC19" s="1153">
        <f t="shared" si="11"/>
        <v>-9.0483757062146841E-2</v>
      </c>
      <c r="BD19" s="1153">
        <f t="shared" si="11"/>
        <v>-0.16000343170899112</v>
      </c>
      <c r="BE19" s="1153">
        <f t="shared" si="11"/>
        <v>-0.14197198275862066</v>
      </c>
      <c r="BF19" s="1153">
        <f t="shared" si="11"/>
        <v>-0.10749490142760032</v>
      </c>
      <c r="BG19" s="1398">
        <f t="shared" si="11"/>
        <v>-0.125</v>
      </c>
      <c r="BH19" s="1153">
        <f t="shared" si="11"/>
        <v>-0.10938561584004658</v>
      </c>
      <c r="BI19" s="1153">
        <f t="shared" si="11"/>
        <v>8.7937902155040382E-2</v>
      </c>
      <c r="BJ19" s="1153">
        <f t="shared" si="11"/>
        <v>8.2155939298796499E-2</v>
      </c>
      <c r="BK19" s="1153">
        <f t="shared" si="11"/>
        <v>0.11510996858040556</v>
      </c>
      <c r="BL19" s="1398">
        <f t="shared" si="11"/>
        <v>4.3036461446503305E-2</v>
      </c>
      <c r="BM19" s="1153">
        <f t="shared" si="11"/>
        <v>2.7898866608544015E-2</v>
      </c>
      <c r="BN19" s="1153">
        <f t="shared" si="11"/>
        <v>3.041682313180627E-2</v>
      </c>
      <c r="BO19" s="1153">
        <f t="shared" si="11"/>
        <v>-1.8181818181818188E-2</v>
      </c>
      <c r="BP19" s="1153">
        <f t="shared" si="11"/>
        <v>-2.2882513661202197E-2</v>
      </c>
      <c r="BQ19" s="1398">
        <f t="shared" si="11"/>
        <v>2.9608404966570134E-3</v>
      </c>
      <c r="BR19" s="1153">
        <f t="shared" si="11"/>
        <v>7.9304495335029701E-2</v>
      </c>
      <c r="BS19" s="1153">
        <f t="shared" si="11"/>
        <v>6.4868804664723001E-2</v>
      </c>
      <c r="BT19" s="1153">
        <f t="shared" ref="BT19:CP19" si="12">IF(ISERROR(BT18/BO18-1),"-",BT18/BO18-1)</f>
        <v>0.21394799054373514</v>
      </c>
      <c r="BU19" s="1153">
        <f t="shared" si="12"/>
        <v>0.19084236281020628</v>
      </c>
      <c r="BV19" s="1398">
        <f t="shared" si="12"/>
        <v>0.13846300352347396</v>
      </c>
      <c r="BW19" s="1153">
        <f t="shared" si="12"/>
        <v>0.14312377210216121</v>
      </c>
      <c r="BX19" s="1153">
        <f t="shared" si="12"/>
        <v>5.313141683778233E-2</v>
      </c>
      <c r="BY19" s="1153">
        <f t="shared" si="12"/>
        <v>-8.4631613112625792E-2</v>
      </c>
      <c r="BZ19" s="1153">
        <f t="shared" si="12"/>
        <v>3.1185793953624863E-2</v>
      </c>
      <c r="CA19" s="1398">
        <f t="shared" si="12"/>
        <v>3.0531158511083234E-2</v>
      </c>
      <c r="CB19" s="1153">
        <f t="shared" si="12"/>
        <v>-3.703703703703709E-2</v>
      </c>
      <c r="CC19" s="1153">
        <f t="shared" si="12"/>
        <v>-3.3065236818587973E-2</v>
      </c>
      <c r="CD19" s="1153">
        <f t="shared" si="12"/>
        <v>3.1291552167361125E-2</v>
      </c>
      <c r="CE19" s="1153">
        <f t="shared" si="12"/>
        <v>-4.0916530278232388E-2</v>
      </c>
      <c r="CF19" s="1398">
        <f t="shared" si="12"/>
        <v>-2.1509740259740284E-2</v>
      </c>
      <c r="CG19" s="1153">
        <f t="shared" si="12"/>
        <v>-7.3175084776012644E-3</v>
      </c>
      <c r="CH19" s="1153">
        <f t="shared" si="12"/>
        <v>3.1423290203327126E-2</v>
      </c>
      <c r="CI19" s="1153">
        <f t="shared" si="12"/>
        <v>-8.0625752105896509E-2</v>
      </c>
      <c r="CJ19" s="1153">
        <f t="shared" si="12"/>
        <v>-5.9504377504080774E-2</v>
      </c>
      <c r="CK19" s="1398">
        <f t="shared" si="12"/>
        <v>-3.0029033596018273E-2</v>
      </c>
      <c r="CL19" s="1153">
        <f t="shared" si="12"/>
        <v>9.151384394102835E-2</v>
      </c>
      <c r="CM19" s="1153">
        <f t="shared" si="12"/>
        <v>5.0342130987292233E-2</v>
      </c>
      <c r="CN19" s="1153">
        <f t="shared" si="12"/>
        <v>0.10302916978309651</v>
      </c>
      <c r="CO19" s="1153">
        <f t="shared" si="12"/>
        <v>6.8002524455664348E-2</v>
      </c>
      <c r="CP19" s="1398">
        <f t="shared" si="12"/>
        <v>7.6969126828016821E-2</v>
      </c>
      <c r="CQ19" s="1153">
        <f t="shared" ref="CQ19:CZ19" si="13">IF(ISERROR(CQ18/CL18-1),"-",CQ18/CL18-1)</f>
        <v>5.6420050884750106E-2</v>
      </c>
      <c r="CR19" s="1153">
        <f t="shared" si="13"/>
        <v>8.6943714738842548E-2</v>
      </c>
      <c r="CS19" s="1153">
        <f t="shared" si="13"/>
        <v>0.11536296472644825</v>
      </c>
      <c r="CT19" s="1153">
        <f t="shared" si="13"/>
        <v>7.3221252155718286E-2</v>
      </c>
      <c r="CU19" s="1398">
        <f t="shared" si="13"/>
        <v>8.25543175814345E-2</v>
      </c>
      <c r="CV19" s="2215">
        <f t="shared" si="13"/>
        <v>9.953204123536219E-2</v>
      </c>
      <c r="CW19" s="2215">
        <f t="shared" si="13"/>
        <v>9.8335959577477094E-2</v>
      </c>
      <c r="CX19" s="2215">
        <f t="shared" si="13"/>
        <v>-3.9321220003822877E-3</v>
      </c>
      <c r="CY19" s="2215">
        <f t="shared" si="13"/>
        <v>8.9871140502951086E-2</v>
      </c>
      <c r="CZ19" s="1398">
        <f t="shared" si="13"/>
        <v>8.7071686117613512E-2</v>
      </c>
      <c r="DA19" s="1398">
        <f>IF(ISERROR(DA18/CZ18-1),"-",DA18/CZ18-1)</f>
        <v>5.0452390476103171E-2</v>
      </c>
      <c r="DB19" s="1398">
        <f>IF(ISERROR(DB18/DA18-1),"-",DB18/DA18-1)</f>
        <v>7.7092597668364071E-2</v>
      </c>
      <c r="DC19" s="1398">
        <f>IF(ISERROR(DC18/DB18-1),"-",DC18/DB18-1)</f>
        <v>5.646487446279802E-2</v>
      </c>
      <c r="DD19" s="1990"/>
    </row>
    <row r="20" spans="1:109" s="1178" customFormat="1" ht="12" customHeight="1">
      <c r="A20" s="1467"/>
      <c r="B20" s="1467"/>
      <c r="C20" s="1466"/>
      <c r="D20" s="1393" t="s">
        <v>1014</v>
      </c>
      <c r="E20" s="1465"/>
      <c r="F20" s="1432"/>
      <c r="G20" s="1432"/>
      <c r="H20" s="1432"/>
      <c r="I20" s="1432"/>
      <c r="J20" s="1432"/>
      <c r="K20" s="1432"/>
      <c r="L20" s="1432"/>
      <c r="M20" s="1432"/>
      <c r="N20" s="1461"/>
      <c r="O20" s="1153">
        <v>-0.19298343882447463</v>
      </c>
      <c r="P20" s="1153">
        <v>0.7203583527413564</v>
      </c>
      <c r="Q20" s="1153">
        <v>0.81907721940115641</v>
      </c>
      <c r="R20" s="1463">
        <v>-2.2715210867161457</v>
      </c>
      <c r="S20" s="1461">
        <v>0.78722066210284825</v>
      </c>
      <c r="T20" s="1463">
        <v>0.31739056954537925</v>
      </c>
      <c r="U20" s="1463">
        <v>0.93259108434778804</v>
      </c>
      <c r="V20" s="1463">
        <v>0.47310574521232179</v>
      </c>
      <c r="W20" s="1463">
        <v>0.98921458347118207</v>
      </c>
      <c r="X20" s="1461">
        <v>-0.22041601285929635</v>
      </c>
      <c r="Y20" s="1463">
        <v>0.78388167494003813</v>
      </c>
      <c r="Z20" s="1463">
        <v>2.3781544715634344</v>
      </c>
      <c r="AA20" s="1463">
        <v>-1.5170695928134015</v>
      </c>
      <c r="AB20" s="1463">
        <v>1.2681022445203443</v>
      </c>
      <c r="AC20" s="1461">
        <v>6.2114072148193297E-2</v>
      </c>
      <c r="AD20" s="1463">
        <v>1.2603417698070754</v>
      </c>
      <c r="AE20" s="1463">
        <v>0.61962752719443037</v>
      </c>
      <c r="AF20" s="1463">
        <v>0.92215187892363848</v>
      </c>
      <c r="AG20" s="1463">
        <v>0.90125465532712368</v>
      </c>
      <c r="AH20" s="1461">
        <v>0.89962583374003557</v>
      </c>
      <c r="AI20" s="1463">
        <v>-0.30444658446207701</v>
      </c>
      <c r="AJ20" s="1463">
        <v>0.8987629772670781</v>
      </c>
      <c r="AK20" s="1463">
        <v>0.9845228621089549</v>
      </c>
      <c r="AL20" s="1463">
        <v>1.1505002207701187</v>
      </c>
      <c r="AM20" s="1461">
        <v>1.0153314114998697</v>
      </c>
      <c r="AN20" s="1463">
        <f t="shared" ref="AN20:CD20" si="14">AN19/AN13</f>
        <v>1.1051630941286112</v>
      </c>
      <c r="AO20" s="1463">
        <f t="shared" si="14"/>
        <v>0.97130922229290917</v>
      </c>
      <c r="AP20" s="1463">
        <f t="shared" si="14"/>
        <v>0.99114742934967626</v>
      </c>
      <c r="AQ20" s="1463">
        <f t="shared" si="14"/>
        <v>0.98645544302863697</v>
      </c>
      <c r="AR20" s="1461">
        <f t="shared" si="14"/>
        <v>1.0160702708879426</v>
      </c>
      <c r="AS20" s="1463">
        <f t="shared" si="14"/>
        <v>0.8635054175249165</v>
      </c>
      <c r="AT20" s="1463">
        <f t="shared" si="14"/>
        <v>1.0167803505392494</v>
      </c>
      <c r="AU20" s="1463">
        <f t="shared" si="14"/>
        <v>0.92805269571794857</v>
      </c>
      <c r="AV20" s="1463">
        <f t="shared" si="14"/>
        <v>0.67239461492591934</v>
      </c>
      <c r="AW20" s="1461">
        <f t="shared" si="14"/>
        <v>0.90046235646679917</v>
      </c>
      <c r="AX20" s="1463">
        <f t="shared" si="14"/>
        <v>1.0938265996581298</v>
      </c>
      <c r="AY20" s="1463">
        <f t="shared" si="14"/>
        <v>1.1093868013364978</v>
      </c>
      <c r="AZ20" s="1463">
        <f t="shared" si="14"/>
        <v>1.096111866041293</v>
      </c>
      <c r="BA20" s="1463">
        <f t="shared" si="14"/>
        <v>1.0299323458792791</v>
      </c>
      <c r="BB20" s="1461">
        <f t="shared" si="14"/>
        <v>1.0838149233768988</v>
      </c>
      <c r="BC20" s="1463">
        <f t="shared" si="14"/>
        <v>1.0242997858277021</v>
      </c>
      <c r="BD20" s="1463">
        <f t="shared" si="14"/>
        <v>1.1066904026538551</v>
      </c>
      <c r="BE20" s="1463">
        <f t="shared" si="14"/>
        <v>1.0817063541586669</v>
      </c>
      <c r="BF20" s="1463">
        <f t="shared" si="14"/>
        <v>1.0200640513777843</v>
      </c>
      <c r="BG20" s="1461">
        <f t="shared" si="14"/>
        <v>1.0643571861734382</v>
      </c>
      <c r="BH20" s="1463">
        <f t="shared" si="14"/>
        <v>1.0897153779901172</v>
      </c>
      <c r="BI20" s="1463">
        <f t="shared" si="14"/>
        <v>1.1879398906165404</v>
      </c>
      <c r="BJ20" s="1463">
        <f t="shared" si="14"/>
        <v>0.94638547130241479</v>
      </c>
      <c r="BK20" s="1463">
        <f t="shared" si="14"/>
        <v>0.98241459886840865</v>
      </c>
      <c r="BL20" s="1461">
        <f t="shared" si="14"/>
        <v>0.98215070026716356</v>
      </c>
      <c r="BM20" s="1463">
        <f t="shared" si="14"/>
        <v>2.4768962510898058</v>
      </c>
      <c r="BN20" s="1463">
        <f t="shared" si="14"/>
        <v>-33.24558768306445</v>
      </c>
      <c r="BO20" s="1463">
        <f t="shared" si="14"/>
        <v>0.39414276998169628</v>
      </c>
      <c r="BP20" s="1463">
        <f t="shared" si="14"/>
        <v>0.78878664880201654</v>
      </c>
      <c r="BQ20" s="1461">
        <f t="shared" si="14"/>
        <v>-0.17097532064401155</v>
      </c>
      <c r="BR20" s="1463">
        <f t="shared" si="14"/>
        <v>1.2728593022208954</v>
      </c>
      <c r="BS20" s="1463">
        <f t="shared" si="14"/>
        <v>1.2427497314715346</v>
      </c>
      <c r="BT20" s="1463">
        <f t="shared" si="14"/>
        <v>1.3370664480025309</v>
      </c>
      <c r="BU20" s="1463">
        <f t="shared" si="14"/>
        <v>1.6202982071764114</v>
      </c>
      <c r="BV20" s="1461">
        <f t="shared" si="14"/>
        <v>1.4046314746902464</v>
      </c>
      <c r="BW20" s="1463">
        <f t="shared" si="14"/>
        <v>1.2480392927308448</v>
      </c>
      <c r="BX20" s="1463">
        <f t="shared" si="14"/>
        <v>1.03471182960359</v>
      </c>
      <c r="BY20" s="1463">
        <f t="shared" si="14"/>
        <v>1.608900985449599</v>
      </c>
      <c r="BZ20" s="1463">
        <f t="shared" si="14"/>
        <v>0.61284810239168763</v>
      </c>
      <c r="CA20" s="1461">
        <f t="shared" si="14"/>
        <v>0.79392383137572764</v>
      </c>
      <c r="CB20" s="1463">
        <f t="shared" si="14"/>
        <v>1.7260273972602773</v>
      </c>
      <c r="CC20" s="1463">
        <f t="shared" si="14"/>
        <v>3.744638069705069</v>
      </c>
      <c r="CD20" s="1463">
        <f t="shared" si="14"/>
        <v>0.59524267212744242</v>
      </c>
      <c r="CE20" s="1463">
        <f>IF(ISERROR(CE19/CE13),"-",CE19/CE13)</f>
        <v>2.5349650349650363</v>
      </c>
      <c r="CF20" s="1461">
        <f>CF19/CF13</f>
        <v>-44.558963358072489</v>
      </c>
      <c r="CG20" s="1463">
        <f>CG19/CG13</f>
        <v>-8.1199952406449949</v>
      </c>
      <c r="CH20" s="1463">
        <f>CH19/CH13</f>
        <v>1.3279112754158933</v>
      </c>
      <c r="CI20" s="1463">
        <f>IF(ISERROR(CI19/CI13),"-",)</f>
        <v>0</v>
      </c>
      <c r="CJ20" s="1463">
        <f t="shared" ref="CJ20:CU20" si="15">CJ19/CJ13</f>
        <v>1.3010114711897667</v>
      </c>
      <c r="CK20" s="1461">
        <f t="shared" si="15"/>
        <v>1.0226789188052421</v>
      </c>
      <c r="CL20" s="1463">
        <f t="shared" si="15"/>
        <v>1.1911098750449474</v>
      </c>
      <c r="CM20" s="1463">
        <f t="shared" si="15"/>
        <v>1.3610883502961273</v>
      </c>
      <c r="CN20" s="1463">
        <f t="shared" si="15"/>
        <v>1.2479263486087429</v>
      </c>
      <c r="CO20" s="1463">
        <f t="shared" si="15"/>
        <v>1.7062855646097697</v>
      </c>
      <c r="CP20" s="1461">
        <f t="shared" si="15"/>
        <v>1.3348266551627261</v>
      </c>
      <c r="CQ20" s="1463">
        <f>IF(ISERROR(CQ19/CQ13),"-",CQ19/CQ13)</f>
        <v>1.1907949563204903</v>
      </c>
      <c r="CR20" s="1463">
        <f>IF(ISERROR(CR19/CR13),"-",CR19/CR13)</f>
        <v>1.2899470206194814</v>
      </c>
      <c r="CS20" s="1463">
        <f>IF(ISERROR(CS19/CS13),"-",CS19/CS13)</f>
        <v>1.0915830797494477</v>
      </c>
      <c r="CT20" s="1463">
        <f>IF(ISERROR(CT19/CT13),"-",CT19/CT13)</f>
        <v>1.4721810514315905</v>
      </c>
      <c r="CU20" s="1461">
        <f t="shared" si="15"/>
        <v>1.2350619690485214</v>
      </c>
      <c r="CV20" s="1463">
        <f t="shared" ref="CV20:DA20" si="16">IF(ISERROR(CV19/CV13),"-",CV19/CV13)</f>
        <v>1.224032949754557</v>
      </c>
      <c r="CW20" s="1463">
        <f t="shared" si="16"/>
        <v>1.2093236828523901</v>
      </c>
      <c r="CX20" s="1463">
        <f t="shared" si="16"/>
        <v>0.57373140917562571</v>
      </c>
      <c r="CY20" s="1463">
        <f t="shared" si="16"/>
        <v>1.2038171490742084</v>
      </c>
      <c r="CZ20" s="1461">
        <f t="shared" si="16"/>
        <v>1.2215131663801415</v>
      </c>
      <c r="DA20" s="1461">
        <f t="shared" si="16"/>
        <v>0.69984927161758193</v>
      </c>
      <c r="DB20" s="1461">
        <f>IF(ISERROR(DB19/DB13),"-",DB19/DB13)</f>
        <v>0.93784423629092595</v>
      </c>
      <c r="DC20" s="1461">
        <f>IF(ISERROR(DC19/DC13),"-",DC19/DC13)</f>
        <v>1.0666247545737422</v>
      </c>
      <c r="DD20" s="2002"/>
    </row>
    <row r="21" spans="1:109" s="1178" customFormat="1" ht="12" customHeight="1">
      <c r="A21" s="1452"/>
      <c r="B21" s="1452"/>
      <c r="C21" s="1396"/>
      <c r="D21" s="1396"/>
      <c r="E21" s="1458"/>
      <c r="F21" s="1460"/>
      <c r="G21" s="1458"/>
      <c r="H21" s="1458"/>
      <c r="I21" s="1458"/>
      <c r="J21" s="1458"/>
      <c r="K21" s="1458"/>
      <c r="L21" s="1458"/>
      <c r="M21" s="1458"/>
      <c r="N21" s="1779"/>
      <c r="O21" s="1458"/>
      <c r="P21" s="1458"/>
      <c r="Q21" s="1458"/>
      <c r="R21" s="1456"/>
      <c r="S21" s="1779"/>
      <c r="T21" s="1458"/>
      <c r="U21" s="1458"/>
      <c r="V21" s="1458"/>
      <c r="W21" s="1456"/>
      <c r="X21" s="1779"/>
      <c r="Y21" s="1458"/>
      <c r="Z21" s="1458"/>
      <c r="AA21" s="1458"/>
      <c r="AB21" s="1456"/>
      <c r="AC21" s="1779"/>
      <c r="AD21" s="1458"/>
      <c r="AE21" s="1458"/>
      <c r="AF21" s="1458"/>
      <c r="AG21" s="1456"/>
      <c r="AH21" s="1779"/>
      <c r="AI21" s="1458"/>
      <c r="AJ21" s="1458"/>
      <c r="AK21" s="1458"/>
      <c r="AL21" s="1458"/>
      <c r="AM21" s="1779"/>
      <c r="AN21" s="1780"/>
      <c r="AO21" s="1458"/>
      <c r="AP21" s="1458"/>
      <c r="AQ21" s="1780"/>
      <c r="AR21" s="1779"/>
      <c r="AS21" s="1458"/>
      <c r="AT21" s="1458"/>
      <c r="AU21" s="1458"/>
      <c r="AV21" s="1458"/>
      <c r="AW21" s="1779"/>
      <c r="AX21" s="1458"/>
      <c r="AY21" s="1458"/>
      <c r="AZ21" s="1458"/>
      <c r="BA21" s="1458"/>
      <c r="BB21" s="1779"/>
      <c r="BC21" s="1458"/>
      <c r="BD21" s="1458"/>
      <c r="BE21" s="1458"/>
      <c r="BF21" s="1458"/>
      <c r="BG21" s="1779"/>
      <c r="BH21" s="1458"/>
      <c r="BI21" s="1458"/>
      <c r="BJ21" s="1458"/>
      <c r="BK21" s="1458"/>
      <c r="BL21" s="1779"/>
      <c r="BM21" s="1458"/>
      <c r="BN21" s="1458"/>
      <c r="BO21" s="1458"/>
      <c r="BP21" s="1458"/>
      <c r="BQ21" s="1779"/>
      <c r="BR21" s="1458"/>
      <c r="BS21" s="1458"/>
      <c r="BT21" s="1458"/>
      <c r="BU21" s="1458"/>
      <c r="BV21" s="1779"/>
      <c r="BW21" s="1458"/>
      <c r="BX21" s="1458"/>
      <c r="BY21" s="1458"/>
      <c r="BZ21" s="1458"/>
      <c r="CA21" s="1779"/>
      <c r="CB21" s="1460"/>
      <c r="CC21" s="1460"/>
      <c r="CD21" s="1460"/>
      <c r="CE21" s="1460"/>
      <c r="CF21" s="1779"/>
      <c r="CG21" s="1460"/>
      <c r="CH21" s="1460"/>
      <c r="CI21" s="1460"/>
      <c r="CJ21" s="1460"/>
      <c r="CK21" s="1779"/>
      <c r="CL21" s="1460"/>
      <c r="CM21" s="1460"/>
      <c r="CN21" s="1460"/>
      <c r="CO21" s="1460"/>
      <c r="CP21" s="1779"/>
      <c r="CQ21" s="1460"/>
      <c r="CR21" s="1460"/>
      <c r="CS21" s="1460"/>
      <c r="CT21" s="1460"/>
      <c r="CU21" s="1779"/>
      <c r="CV21" s="1460"/>
      <c r="CW21" s="1460"/>
      <c r="CX21" s="1460"/>
      <c r="CY21" s="1460"/>
      <c r="CZ21" s="1779"/>
      <c r="DA21" s="1779"/>
      <c r="DB21" s="1779"/>
      <c r="DC21" s="1779"/>
      <c r="DD21" s="2003"/>
    </row>
    <row r="22" spans="1:109" s="1178" customFormat="1" ht="12" customHeight="1" thickBot="1">
      <c r="A22" s="1186"/>
      <c r="B22" s="1186"/>
      <c r="C22" s="1409" t="s">
        <v>1013</v>
      </c>
      <c r="D22" s="1408"/>
      <c r="E22" s="1407"/>
      <c r="F22" s="1406">
        <v>336.25</v>
      </c>
      <c r="G22" s="1405">
        <v>339.25</v>
      </c>
      <c r="H22" s="1405">
        <v>354.25</v>
      </c>
      <c r="I22" s="1405">
        <v>387.25</v>
      </c>
      <c r="J22" s="1405"/>
      <c r="K22" s="1405"/>
      <c r="L22" s="1405"/>
      <c r="M22" s="1405"/>
      <c r="N22" s="1400">
        <v>1417</v>
      </c>
      <c r="O22" s="1405">
        <f>O29+O26+O27-O33</f>
        <v>398.75</v>
      </c>
      <c r="P22" s="1405">
        <f>P29+P26+P27-P33</f>
        <v>408.75</v>
      </c>
      <c r="Q22" s="1405">
        <f>Q29+Q26+Q27-Q33</f>
        <v>407.75</v>
      </c>
      <c r="R22" s="1403">
        <f>R29+R26+R27-R33</f>
        <v>378.75</v>
      </c>
      <c r="S22" s="1400">
        <f>SUM(O22:R22)</f>
        <v>1594</v>
      </c>
      <c r="T22" s="1403">
        <f>T29+T26+T27-T33</f>
        <v>379.25</v>
      </c>
      <c r="U22" s="1403">
        <f>U29+U26+U27-U33</f>
        <v>404.25</v>
      </c>
      <c r="V22" s="1403">
        <f>V29+V26+V27-V33</f>
        <v>402.25</v>
      </c>
      <c r="W22" s="1403">
        <f>W29+W26+W27-W33</f>
        <v>385.25</v>
      </c>
      <c r="X22" s="1400">
        <f>SUM(T22:W22)</f>
        <v>1571</v>
      </c>
      <c r="Y22" s="1403">
        <f>Y29+Y26+Y27-Y33</f>
        <v>331.5</v>
      </c>
      <c r="Z22" s="1403">
        <f>Z29+Z26+Z27-Z33</f>
        <v>324.5</v>
      </c>
      <c r="AA22" s="1403">
        <f>AA29+AA26+AA27-AA33</f>
        <v>336.5</v>
      </c>
      <c r="AB22" s="1403">
        <f>AB29+AB26+AB27-AB33</f>
        <v>365.5</v>
      </c>
      <c r="AC22" s="1400">
        <f>SUM(Y22:AB22)</f>
        <v>1358</v>
      </c>
      <c r="AD22" s="1403">
        <f>AD29+AD26+AD27-AD33</f>
        <v>325.25</v>
      </c>
      <c r="AE22" s="1403">
        <f>AE29+AE26+AE27-AE33</f>
        <v>386.25</v>
      </c>
      <c r="AF22" s="1403">
        <f>AF29+AF26+AF27-AF33</f>
        <v>393.25</v>
      </c>
      <c r="AG22" s="1403">
        <f>AG29+AG26+AG27-AG33</f>
        <v>403.25</v>
      </c>
      <c r="AH22" s="1400">
        <f>SUM(AD22:AG22)</f>
        <v>1508</v>
      </c>
      <c r="AI22" s="1403">
        <f>AI29+AI26+AI27-AI33</f>
        <v>418</v>
      </c>
      <c r="AJ22" s="1403">
        <f>AJ29+AJ26+AJ27-AJ33</f>
        <v>438</v>
      </c>
      <c r="AK22" s="1403">
        <f>AK29+AK26+AK27-AK33</f>
        <v>456</v>
      </c>
      <c r="AL22" s="1403">
        <f>AL29+AL26+AL27-AL33</f>
        <v>431</v>
      </c>
      <c r="AM22" s="1400">
        <f>SUM(AI22:AL22)</f>
        <v>1743</v>
      </c>
      <c r="AN22" s="1403">
        <f>AN29+AN26+AN27-AN33</f>
        <v>487</v>
      </c>
      <c r="AO22" s="1403">
        <f>AO29+AO26+AO27-AO33</f>
        <v>536</v>
      </c>
      <c r="AP22" s="1403">
        <f>AP29+AP26+AP27-AP33</f>
        <v>526</v>
      </c>
      <c r="AQ22" s="1403">
        <f>AQ29+AQ26+AQ27-AQ33</f>
        <v>511</v>
      </c>
      <c r="AR22" s="1400">
        <f>SUM(AN22:AQ22)</f>
        <v>2060</v>
      </c>
      <c r="AS22" s="1403">
        <f>AS29+AS26+AS27-AS33</f>
        <v>546.75</v>
      </c>
      <c r="AT22" s="1403">
        <f>AT29+AT26+AT27-AT33</f>
        <v>605.75</v>
      </c>
      <c r="AU22" s="1403">
        <f>AU29+AU26+AU27-AU33</f>
        <v>591.75</v>
      </c>
      <c r="AV22" s="1403">
        <f>AV29+AV26+AV27-AV33</f>
        <v>586.75</v>
      </c>
      <c r="AW22" s="1400">
        <f>SUM(AS22:AV22)</f>
        <v>2331</v>
      </c>
      <c r="AX22" s="1403">
        <f>AX29+AX26+AX27-AX33</f>
        <v>632</v>
      </c>
      <c r="AY22" s="1403">
        <f>AY29+AY26+AY27-AY33</f>
        <v>655</v>
      </c>
      <c r="AZ22" s="1403">
        <f>AZ29+AZ26+AZ27-AZ33</f>
        <v>637</v>
      </c>
      <c r="BA22" s="1403">
        <f>BA29+BA26+BA27-BA33</f>
        <v>645</v>
      </c>
      <c r="BB22" s="1400">
        <f>SUM(AX22:BA22)</f>
        <v>2569</v>
      </c>
      <c r="BC22" s="1403">
        <f>BC29+BC26+BC27-BC33</f>
        <v>582.25</v>
      </c>
      <c r="BD22" s="1403">
        <f>BD29+BD26+BD27-BD33</f>
        <v>605.25</v>
      </c>
      <c r="BE22" s="1403">
        <f>BE29+BE26+BE27-BE33</f>
        <v>583.25</v>
      </c>
      <c r="BF22" s="1403">
        <f>BF29+BF26+BF27-BF33</f>
        <v>583.25</v>
      </c>
      <c r="BG22" s="1400">
        <f>SUM(BC22:BF22)</f>
        <v>2354</v>
      </c>
      <c r="BH22" s="1403">
        <f>BH29+BH26+BH27-BH33</f>
        <v>547</v>
      </c>
      <c r="BI22" s="1403">
        <f>BI29+BI26+BI27-BI33</f>
        <v>616</v>
      </c>
      <c r="BJ22" s="1403">
        <f>BJ29+BJ26+BJ27-BJ33</f>
        <v>645</v>
      </c>
      <c r="BK22" s="1403">
        <f>BK29+BK26+BK27-BK33</f>
        <v>657</v>
      </c>
      <c r="BL22" s="1400">
        <f>SUM(BH22:BK22)</f>
        <v>2465</v>
      </c>
      <c r="BM22" s="1403">
        <f>BM29+BM26+BM27-BM33</f>
        <v>515</v>
      </c>
      <c r="BN22" s="1403">
        <f>BN29+BN26+BN27-BN33</f>
        <v>532</v>
      </c>
      <c r="BO22" s="1403">
        <f>BO29+BO26+BO27-BO33</f>
        <v>543</v>
      </c>
      <c r="BP22" s="1403">
        <f>BP29+BP26+BP27-BP33</f>
        <v>620</v>
      </c>
      <c r="BQ22" s="1400">
        <f>SUM(BM22:BP22)</f>
        <v>2210</v>
      </c>
      <c r="BR22" s="1403">
        <f>BR29+BR26+BR27-BR33</f>
        <v>507</v>
      </c>
      <c r="BS22" s="1403">
        <f>BS29+BS26+BS27-BS33</f>
        <v>525</v>
      </c>
      <c r="BT22" s="1403">
        <f>BT29+BT26+BT27-BT33</f>
        <v>493</v>
      </c>
      <c r="BU22" s="1403">
        <f>BU29+BU26+BU27-BU33</f>
        <v>484</v>
      </c>
      <c r="BV22" s="1400">
        <f>SUM(BR22:BU22)</f>
        <v>2009</v>
      </c>
      <c r="BW22" s="1403">
        <f>BW29+BW26+BW27-BW33</f>
        <v>492.75</v>
      </c>
      <c r="BX22" s="1403">
        <f>BX29+BX26+BX27-BX33</f>
        <v>546.75</v>
      </c>
      <c r="BY22" s="1403">
        <f>BY29+BY26+BY27-BY33</f>
        <v>565.75</v>
      </c>
      <c r="BZ22" s="1403">
        <f>BZ29+BZ26+BZ27-BZ33</f>
        <v>575.75</v>
      </c>
      <c r="CA22" s="1400">
        <f>SUM(BW22:BZ22)</f>
        <v>2181</v>
      </c>
      <c r="CB22" s="1775">
        <f>CB29+CB26+CB27-CB33</f>
        <v>527.5</v>
      </c>
      <c r="CC22" s="1775">
        <f>CC29+CC26+CC27-CC33</f>
        <v>616.5</v>
      </c>
      <c r="CD22" s="1775">
        <f>CD29+CD26+CD27-CD33</f>
        <v>655.5</v>
      </c>
      <c r="CE22" s="1775">
        <f>CE29+CE26+CE27-CE33</f>
        <v>653.5</v>
      </c>
      <c r="CF22" s="1400">
        <f>SUM(CB22:CE22)</f>
        <v>2453</v>
      </c>
      <c r="CG22" s="1775">
        <f t="shared" ref="CG22:CZ22" si="17">CG29+CG26+CG27-CG33</f>
        <v>551</v>
      </c>
      <c r="CH22" s="1775">
        <f t="shared" si="17"/>
        <v>608</v>
      </c>
      <c r="CI22" s="1775">
        <f t="shared" si="17"/>
        <v>560</v>
      </c>
      <c r="CJ22" s="1775">
        <f t="shared" si="17"/>
        <v>670</v>
      </c>
      <c r="CK22" s="1400">
        <f t="shared" si="17"/>
        <v>2389</v>
      </c>
      <c r="CL22" s="1775">
        <f t="shared" si="17"/>
        <v>552.5</v>
      </c>
      <c r="CM22" s="1775">
        <f t="shared" si="17"/>
        <v>589.5</v>
      </c>
      <c r="CN22" s="1775">
        <f t="shared" si="17"/>
        <v>551.5</v>
      </c>
      <c r="CO22" s="1775">
        <f t="shared" si="17"/>
        <v>607.5</v>
      </c>
      <c r="CP22" s="1400">
        <f t="shared" si="17"/>
        <v>2301</v>
      </c>
      <c r="CQ22" s="1775">
        <f>CQ29+CQ26+CQ27-CQ33</f>
        <v>551.23693553934095</v>
      </c>
      <c r="CR22" s="1775">
        <f>CR29+CR26+CR27-CR33</f>
        <v>566.23693553934095</v>
      </c>
      <c r="CS22" s="1775">
        <f>CS29+CS26+CS27-CS33</f>
        <v>581.23693553934095</v>
      </c>
      <c r="CT22" s="1775">
        <f>CT29+CT26+CT27-CT33</f>
        <v>558.23110355170854</v>
      </c>
      <c r="CU22" s="1400">
        <f t="shared" si="17"/>
        <v>2256.9419101697313</v>
      </c>
      <c r="CV22" s="1775">
        <f>CV29+CV26+CV27-CV33</f>
        <v>537.64242385302953</v>
      </c>
      <c r="CW22" s="1775">
        <f>CW29+CW26+CW27-CW33</f>
        <v>552.64242385302953</v>
      </c>
      <c r="CX22" s="1775">
        <f>CX29+CX26+CX27-CX33</f>
        <v>567.64242385302953</v>
      </c>
      <c r="CY22" s="1775">
        <f>CY29+CY26+CY27-CY33</f>
        <v>544.63659186539712</v>
      </c>
      <c r="CZ22" s="1400">
        <f t="shared" si="17"/>
        <v>2202.5638634244856</v>
      </c>
      <c r="DA22" s="1400">
        <f>DA29+DA26+DA27-DA33</f>
        <v>2682.0140936476428</v>
      </c>
      <c r="DB22" s="1400">
        <f>DB29+DB26+DB27-DB33</f>
        <v>2982.0192002479225</v>
      </c>
      <c r="DC22" s="1400">
        <f>DC29+DC26+DC27-DC33</f>
        <v>3080.7427350024464</v>
      </c>
      <c r="DD22" s="1981"/>
    </row>
    <row r="23" spans="1:109" s="1178" customFormat="1" ht="12" customHeight="1" thickTop="1">
      <c r="A23" s="1156"/>
      <c r="B23" s="1156"/>
      <c r="C23" s="1387"/>
      <c r="D23" s="1393" t="s">
        <v>293</v>
      </c>
      <c r="E23" s="1418"/>
      <c r="F23" s="1153">
        <v>0.18434758771929824</v>
      </c>
      <c r="G23" s="1153">
        <v>0.18952513966480447</v>
      </c>
      <c r="H23" s="1153">
        <v>0.19879349046015712</v>
      </c>
      <c r="I23" s="1153">
        <v>0.1965736040609137</v>
      </c>
      <c r="J23" s="1153"/>
      <c r="K23" s="1153"/>
      <c r="L23" s="1153"/>
      <c r="M23" s="1153"/>
      <c r="N23" s="1480">
        <v>0.19237035025794189</v>
      </c>
      <c r="O23" s="1153">
        <v>0.21232694355697551</v>
      </c>
      <c r="P23" s="1153">
        <v>0.20886561062851303</v>
      </c>
      <c r="Q23" s="1153">
        <v>0.20736536430834213</v>
      </c>
      <c r="R23" s="1153" t="s">
        <v>284</v>
      </c>
      <c r="S23" s="1480">
        <v>0.1993749186091939</v>
      </c>
      <c r="T23" s="1153">
        <v>0.20122282608695652</v>
      </c>
      <c r="U23" s="1153">
        <v>0.20653333333333335</v>
      </c>
      <c r="V23" s="1153">
        <v>0.20470244420828906</v>
      </c>
      <c r="W23" s="1153">
        <v>0.1700439453125</v>
      </c>
      <c r="X23" s="1480">
        <v>0.19502943100065404</v>
      </c>
      <c r="Y23" s="1153">
        <v>0.19035239745811669</v>
      </c>
      <c r="Z23" s="1153">
        <v>0.16555441478439425</v>
      </c>
      <c r="AA23" s="1153">
        <v>0.1799354491662184</v>
      </c>
      <c r="AB23" s="1153">
        <v>0.17920691408235892</v>
      </c>
      <c r="AC23" s="1480">
        <v>0.180946035976016</v>
      </c>
      <c r="AD23" s="1153">
        <v>0.16774110366168127</v>
      </c>
      <c r="AE23" s="1153">
        <v>0.18569711538461539</v>
      </c>
      <c r="AF23" s="1153">
        <v>0.18726190476190477</v>
      </c>
      <c r="AG23" s="1153">
        <v>0.18651711378353378</v>
      </c>
      <c r="AH23" s="1480">
        <v>0.18884740455257135</v>
      </c>
      <c r="AI23" s="1153">
        <v>0.20765027322404372</v>
      </c>
      <c r="AJ23" s="1153">
        <v>0.19269687637483501</v>
      </c>
      <c r="AK23" s="1153">
        <v>0.18889809444904723</v>
      </c>
      <c r="AL23" s="1153">
        <v>0.16608863198458573</v>
      </c>
      <c r="AM23" s="1480">
        <v>0.18752017213555675</v>
      </c>
      <c r="AN23" s="1153">
        <f t="shared" ref="AN23:BS23" si="18">IF(ISERROR(AN22/AN$12),"-",AN22/AN$12)</f>
        <v>0.18964174454828661</v>
      </c>
      <c r="AO23" s="1153">
        <f t="shared" si="18"/>
        <v>0.19655298863219656</v>
      </c>
      <c r="AP23" s="1153">
        <f t="shared" si="18"/>
        <v>0.18982316853121617</v>
      </c>
      <c r="AQ23" s="1153">
        <f t="shared" si="18"/>
        <v>0.16776099803020356</v>
      </c>
      <c r="AR23" s="1480">
        <f t="shared" si="18"/>
        <v>0.18538516918646508</v>
      </c>
      <c r="AS23" s="1153">
        <f t="shared" si="18"/>
        <v>0.19759667509938561</v>
      </c>
      <c r="AT23" s="1153">
        <f t="shared" si="18"/>
        <v>0.1949002574002574</v>
      </c>
      <c r="AU23" s="1153">
        <f t="shared" si="18"/>
        <v>0.1949110671936759</v>
      </c>
      <c r="AV23" s="1153">
        <f t="shared" si="18"/>
        <v>0.18233374766935986</v>
      </c>
      <c r="AW23" s="1480">
        <f t="shared" si="18"/>
        <v>0.19218402176601534</v>
      </c>
      <c r="AX23" s="1153">
        <f t="shared" si="18"/>
        <v>0.18244803695150116</v>
      </c>
      <c r="AY23" s="1153">
        <f t="shared" si="18"/>
        <v>0.18352479686186607</v>
      </c>
      <c r="AZ23" s="1153">
        <f t="shared" si="18"/>
        <v>0.18620286465945629</v>
      </c>
      <c r="BA23" s="1153">
        <f t="shared" si="18"/>
        <v>0.179816002230276</v>
      </c>
      <c r="BB23" s="1480">
        <f t="shared" si="18"/>
        <v>0.18296417634071646</v>
      </c>
      <c r="BC23" s="1153">
        <f t="shared" si="18"/>
        <v>0.18437302089930335</v>
      </c>
      <c r="BD23" s="1153">
        <f t="shared" si="18"/>
        <v>0.19824762528660334</v>
      </c>
      <c r="BE23" s="1153">
        <f t="shared" si="18"/>
        <v>0.19624831763122477</v>
      </c>
      <c r="BF23" s="1153">
        <f t="shared" si="18"/>
        <v>0.18175444063571206</v>
      </c>
      <c r="BG23" s="1480">
        <f t="shared" si="18"/>
        <v>0.18996126533247257</v>
      </c>
      <c r="BH23" s="1153">
        <f t="shared" si="18"/>
        <v>0.19253783878915876</v>
      </c>
      <c r="BI23" s="1153">
        <f t="shared" si="18"/>
        <v>0.18786215309545592</v>
      </c>
      <c r="BJ23" s="1153">
        <f t="shared" si="18"/>
        <v>0.19969040247678019</v>
      </c>
      <c r="BK23" s="1153">
        <f t="shared" si="18"/>
        <v>0.18326359832635983</v>
      </c>
      <c r="BL23" s="1480">
        <f t="shared" si="18"/>
        <v>0.19056822574410515</v>
      </c>
      <c r="BM23" s="1153">
        <f t="shared" si="18"/>
        <v>0.17925513400626522</v>
      </c>
      <c r="BN23" s="1153">
        <f t="shared" si="18"/>
        <v>0.1623931623931624</v>
      </c>
      <c r="BO23" s="1153">
        <f t="shared" si="18"/>
        <v>0.17624148003894841</v>
      </c>
      <c r="BP23" s="1153">
        <f t="shared" si="18"/>
        <v>0.17810973858086757</v>
      </c>
      <c r="BQ23" s="1480">
        <f t="shared" si="18"/>
        <v>0.17386515616395248</v>
      </c>
      <c r="BR23" s="1431">
        <f t="shared" si="18"/>
        <v>0.16612057667103539</v>
      </c>
      <c r="BS23" s="1431">
        <f t="shared" si="18"/>
        <v>0.15230635335073978</v>
      </c>
      <c r="BT23" s="1431">
        <f t="shared" ref="BT23:CZ23" si="19">IF(ISERROR(BT22/BT$12),"-",BT22/BT$12)</f>
        <v>0.13794068270844992</v>
      </c>
      <c r="BU23" s="1431">
        <f t="shared" si="19"/>
        <v>0.12438961706502184</v>
      </c>
      <c r="BV23" s="1480">
        <f t="shared" si="19"/>
        <v>0.14386995130335148</v>
      </c>
      <c r="BW23" s="1153">
        <f t="shared" si="19"/>
        <v>0.14484126984126985</v>
      </c>
      <c r="BX23" s="1431">
        <f t="shared" si="19"/>
        <v>0.15086920529801323</v>
      </c>
      <c r="BY23" s="1431">
        <f t="shared" si="19"/>
        <v>0.16708505611340815</v>
      </c>
      <c r="BZ23" s="1431">
        <f t="shared" si="19"/>
        <v>0.14080459770114942</v>
      </c>
      <c r="CA23" s="1480">
        <f t="shared" si="19"/>
        <v>0.15040342045376182</v>
      </c>
      <c r="CB23" s="1431">
        <f t="shared" si="19"/>
        <v>0.1584559927906278</v>
      </c>
      <c r="CC23" s="1431">
        <f t="shared" si="19"/>
        <v>0.17163140311804009</v>
      </c>
      <c r="CD23" s="1431">
        <f t="shared" si="19"/>
        <v>0.18392255892255893</v>
      </c>
      <c r="CE23" s="1431">
        <f t="shared" si="19"/>
        <v>0.16244096445438727</v>
      </c>
      <c r="CF23" s="1480">
        <f t="shared" si="19"/>
        <v>0.16907912875654812</v>
      </c>
      <c r="CG23" s="1431">
        <f t="shared" si="19"/>
        <v>0.16536614645858344</v>
      </c>
      <c r="CH23" s="1431">
        <f t="shared" si="19"/>
        <v>0.16535218928474299</v>
      </c>
      <c r="CI23" s="1431">
        <f t="shared" si="19"/>
        <v>0.17316017316017315</v>
      </c>
      <c r="CJ23" s="1431">
        <f t="shared" si="19"/>
        <v>0.17452461578536077</v>
      </c>
      <c r="CK23" s="1480">
        <f t="shared" si="19"/>
        <v>0.16964919755716518</v>
      </c>
      <c r="CL23" s="1431">
        <f t="shared" si="19"/>
        <v>0.1539855072463768</v>
      </c>
      <c r="CM23" s="1431">
        <f t="shared" si="19"/>
        <v>0.15460267505900865</v>
      </c>
      <c r="CN23" s="1431">
        <f t="shared" si="19"/>
        <v>0.15752642102256498</v>
      </c>
      <c r="CO23" s="1431">
        <f t="shared" si="19"/>
        <v>0.15217935871743488</v>
      </c>
      <c r="CP23" s="1480">
        <f t="shared" si="19"/>
        <v>0.15449174164092924</v>
      </c>
      <c r="CQ23" s="1431">
        <f>IF(ISERROR(CQ22/CQ$12),"-",CQ22/CQ$12)</f>
        <v>0.14668359114937227</v>
      </c>
      <c r="CR23" s="1431">
        <f>IF(ISERROR(CR22/CR$12),"-",CR22/CR$12)</f>
        <v>0.13912455418657027</v>
      </c>
      <c r="CS23" s="1431">
        <f>IF(ISERROR(CS22/CS$12),"-",CS22/CS$12)</f>
        <v>0.15015162375079849</v>
      </c>
      <c r="CT23" s="1431">
        <f>IF(ISERROR(CT22/CT$12),"-",CT22/CT$12)</f>
        <v>0.13321194413579951</v>
      </c>
      <c r="CU23" s="1480">
        <f t="shared" si="19"/>
        <v>0.14203939903662477</v>
      </c>
      <c r="CV23" s="1431">
        <f>IF(ISERROR(CV22/CV$12),"-",CV22/CV$12)</f>
        <v>0.13230753919643773</v>
      </c>
      <c r="CW23" s="1431">
        <f>IF(ISERROR(CW22/CW$12),"-",CW22/CW$12)</f>
        <v>0.12557339872789169</v>
      </c>
      <c r="CX23" s="1431">
        <f>IF(ISERROR(CX22/CX$12),"-",CX22/CX$12)</f>
        <v>0.14765168214354085</v>
      </c>
      <c r="CY23" s="1431">
        <f>IF(ISERROR(CY22/CY$12),"-",CY22/CY$12)</f>
        <v>0.12093912746352047</v>
      </c>
      <c r="CZ23" s="1480">
        <f t="shared" si="19"/>
        <v>0.12939372579843825</v>
      </c>
      <c r="DA23" s="1480">
        <f>IF(ISERROR(DA22/DA$12),"-",DA22/DA$12)</f>
        <v>0.1469651528575838</v>
      </c>
      <c r="DB23" s="1480">
        <f>IF(ISERROR(DB22/DB$12),"-",DB22/DB$12)</f>
        <v>0.15099252577537609</v>
      </c>
      <c r="DC23" s="1480">
        <f>IF(ISERROR(DC22/DC$12),"-",DC22/DC$12)</f>
        <v>0.14814864696161489</v>
      </c>
      <c r="DD23" s="2004"/>
    </row>
    <row r="24" spans="1:109" s="1178" customFormat="1" ht="12" customHeight="1">
      <c r="A24" s="1156"/>
      <c r="B24" s="1156"/>
      <c r="C24" s="1393"/>
      <c r="D24" s="1393" t="s">
        <v>282</v>
      </c>
      <c r="E24" s="1418"/>
      <c r="F24" s="1153" t="s">
        <v>284</v>
      </c>
      <c r="G24" s="1153" t="s">
        <v>284</v>
      </c>
      <c r="H24" s="1153" t="s">
        <v>284</v>
      </c>
      <c r="I24" s="1153" t="s">
        <v>284</v>
      </c>
      <c r="J24" s="1153"/>
      <c r="K24" s="1153"/>
      <c r="L24" s="1153"/>
      <c r="M24" s="1153"/>
      <c r="N24" s="1398" t="s">
        <v>284</v>
      </c>
      <c r="O24" s="1153">
        <v>0.18587360594795532</v>
      </c>
      <c r="P24" s="1153">
        <v>0.20486366985998528</v>
      </c>
      <c r="Q24" s="1153">
        <v>0.1086803105151728</v>
      </c>
      <c r="R24" s="1153">
        <v>-0.14590058102001291</v>
      </c>
      <c r="S24" s="1398">
        <v>8.0451658433309703E-2</v>
      </c>
      <c r="T24" s="1153">
        <v>-7.1473354231974873E-2</v>
      </c>
      <c r="U24" s="1153">
        <v>-5.2599388379204859E-2</v>
      </c>
      <c r="V24" s="1153">
        <v>-1.9096117122851641E-2</v>
      </c>
      <c r="W24" s="1153">
        <v>5.2910052910053018E-2</v>
      </c>
      <c r="X24" s="1398">
        <v>-2.6126714565643416E-2</v>
      </c>
      <c r="Y24" s="1153">
        <v>-0.11006076975016876</v>
      </c>
      <c r="Z24" s="1153">
        <v>-0.16720464816010328</v>
      </c>
      <c r="AA24" s="1153">
        <v>-0.13173264114211547</v>
      </c>
      <c r="AB24" s="1153">
        <v>1.2203876525484603E-2</v>
      </c>
      <c r="AC24" s="1398">
        <v>-8.9201877934272256E-2</v>
      </c>
      <c r="AD24" s="1153">
        <v>-1.2898330804248848E-2</v>
      </c>
      <c r="AE24" s="1153">
        <v>0.19767441860465107</v>
      </c>
      <c r="AF24" s="1153">
        <v>0.17563527653213762</v>
      </c>
      <c r="AG24" s="1153">
        <v>0.1439716312056738</v>
      </c>
      <c r="AH24" s="1398">
        <v>0.15463917525773185</v>
      </c>
      <c r="AI24" s="1153">
        <v>0.28516525749423516</v>
      </c>
      <c r="AJ24" s="1153">
        <v>0.13398058252427192</v>
      </c>
      <c r="AK24" s="1153">
        <v>0.15956770502225037</v>
      </c>
      <c r="AL24" s="1153">
        <v>6.881587104773712E-2</v>
      </c>
      <c r="AM24" s="1398">
        <v>0.11160714285714279</v>
      </c>
      <c r="AN24" s="1153">
        <f t="shared" ref="AN24:BS24" si="20">IF(ISERROR(AN22/AI22-1),"-",AN22/AI22-1)</f>
        <v>0.16507177033492826</v>
      </c>
      <c r="AO24" s="1153">
        <f t="shared" si="20"/>
        <v>0.22374429223744285</v>
      </c>
      <c r="AP24" s="1153">
        <f t="shared" si="20"/>
        <v>0.15350877192982448</v>
      </c>
      <c r="AQ24" s="1153">
        <f t="shared" si="20"/>
        <v>0.18561484918793503</v>
      </c>
      <c r="AR24" s="1398">
        <f t="shared" si="20"/>
        <v>0.18187033849684453</v>
      </c>
      <c r="AS24" s="1153">
        <f t="shared" si="20"/>
        <v>0.12268993839835729</v>
      </c>
      <c r="AT24" s="1153">
        <f t="shared" si="20"/>
        <v>0.13013059701492535</v>
      </c>
      <c r="AU24" s="1153">
        <f t="shared" si="20"/>
        <v>0.125</v>
      </c>
      <c r="AV24" s="1153">
        <f t="shared" si="20"/>
        <v>0.14823874755381605</v>
      </c>
      <c r="AW24" s="1398">
        <f t="shared" si="20"/>
        <v>0.13155339805825239</v>
      </c>
      <c r="AX24" s="1153">
        <f t="shared" si="20"/>
        <v>0.15592135345221769</v>
      </c>
      <c r="AY24" s="1153">
        <f t="shared" si="20"/>
        <v>8.1304168386298059E-2</v>
      </c>
      <c r="AZ24" s="1153">
        <f t="shared" si="20"/>
        <v>7.6468103084072592E-2</v>
      </c>
      <c r="BA24" s="1153">
        <f t="shared" si="20"/>
        <v>9.9275671069450455E-2</v>
      </c>
      <c r="BB24" s="1398">
        <f t="shared" si="20"/>
        <v>0.10210210210210202</v>
      </c>
      <c r="BC24" s="1153">
        <f t="shared" si="20"/>
        <v>-7.8718354430379778E-2</v>
      </c>
      <c r="BD24" s="1153">
        <f t="shared" si="20"/>
        <v>-7.5954198473282442E-2</v>
      </c>
      <c r="BE24" s="1153">
        <f t="shared" si="20"/>
        <v>-8.4379905808477207E-2</v>
      </c>
      <c r="BF24" s="1153">
        <f t="shared" si="20"/>
        <v>-9.5736434108527169E-2</v>
      </c>
      <c r="BG24" s="1398">
        <f t="shared" si="20"/>
        <v>-8.3690151810042801E-2</v>
      </c>
      <c r="BH24" s="1153">
        <f t="shared" si="20"/>
        <v>-6.0541004723057124E-2</v>
      </c>
      <c r="BI24" s="1153">
        <f t="shared" si="20"/>
        <v>1.7761255679471288E-2</v>
      </c>
      <c r="BJ24" s="1153">
        <f t="shared" si="20"/>
        <v>0.10587226746678091</v>
      </c>
      <c r="BK24" s="1153">
        <f t="shared" si="20"/>
        <v>0.12644663523360489</v>
      </c>
      <c r="BL24" s="1398">
        <f t="shared" si="20"/>
        <v>4.7153780798640632E-2</v>
      </c>
      <c r="BM24" s="1153">
        <f t="shared" si="20"/>
        <v>-5.8500914076782484E-2</v>
      </c>
      <c r="BN24" s="1153">
        <f t="shared" si="20"/>
        <v>-0.13636363636363635</v>
      </c>
      <c r="BO24" s="1153">
        <f t="shared" si="20"/>
        <v>-0.1581395348837209</v>
      </c>
      <c r="BP24" s="1153">
        <f t="shared" si="20"/>
        <v>-5.6316590563165958E-2</v>
      </c>
      <c r="BQ24" s="1398">
        <f t="shared" si="20"/>
        <v>-0.10344827586206895</v>
      </c>
      <c r="BR24" s="1153">
        <f t="shared" si="20"/>
        <v>-1.5533980582524309E-2</v>
      </c>
      <c r="BS24" s="1153">
        <f t="shared" si="20"/>
        <v>-1.3157894736842146E-2</v>
      </c>
      <c r="BT24" s="1153">
        <f t="shared" ref="BT24:CP24" si="21">IF(ISERROR(BT22/BO22-1),"-",BT22/BO22-1)</f>
        <v>-9.2081031307550631E-2</v>
      </c>
      <c r="BU24" s="1153">
        <f t="shared" si="21"/>
        <v>-0.21935483870967742</v>
      </c>
      <c r="BV24" s="1398">
        <f t="shared" si="21"/>
        <v>-9.0950226244343901E-2</v>
      </c>
      <c r="BW24" s="1153">
        <f t="shared" si="21"/>
        <v>-2.8106508875739622E-2</v>
      </c>
      <c r="BX24" s="1153">
        <f t="shared" si="21"/>
        <v>4.142857142857137E-2</v>
      </c>
      <c r="BY24" s="1153">
        <f t="shared" si="21"/>
        <v>0.14756592292089254</v>
      </c>
      <c r="BZ24" s="1153">
        <f t="shared" si="21"/>
        <v>0.18956611570247928</v>
      </c>
      <c r="CA24" s="1398">
        <f t="shared" si="21"/>
        <v>8.5614733698357481E-2</v>
      </c>
      <c r="CB24" s="1153">
        <f t="shared" si="21"/>
        <v>7.0522577371892492E-2</v>
      </c>
      <c r="CC24" s="1153">
        <f t="shared" si="21"/>
        <v>0.12757201646090532</v>
      </c>
      <c r="CD24" s="1153">
        <f t="shared" si="21"/>
        <v>0.15863897481219613</v>
      </c>
      <c r="CE24" s="1153">
        <f t="shared" si="21"/>
        <v>0.13504125054277027</v>
      </c>
      <c r="CF24" s="1398">
        <f t="shared" si="21"/>
        <v>0.12471343420449332</v>
      </c>
      <c r="CG24" s="1153">
        <f t="shared" si="21"/>
        <v>4.454976303317526E-2</v>
      </c>
      <c r="CH24" s="1153">
        <f t="shared" si="21"/>
        <v>-1.3787510137875048E-2</v>
      </c>
      <c r="CI24" s="1153">
        <f t="shared" si="21"/>
        <v>-0.14569031273836763</v>
      </c>
      <c r="CJ24" s="1153">
        <f t="shared" si="21"/>
        <v>2.5248661055853105E-2</v>
      </c>
      <c r="CK24" s="1398">
        <f t="shared" si="21"/>
        <v>-2.6090501426824342E-2</v>
      </c>
      <c r="CL24" s="1153">
        <f t="shared" si="21"/>
        <v>2.7223230490018846E-3</v>
      </c>
      <c r="CM24" s="1153">
        <f t="shared" si="21"/>
        <v>-3.0427631578947345E-2</v>
      </c>
      <c r="CN24" s="1153">
        <f t="shared" si="21"/>
        <v>-1.5178571428571375E-2</v>
      </c>
      <c r="CO24" s="1153">
        <f t="shared" si="21"/>
        <v>-9.3283582089552231E-2</v>
      </c>
      <c r="CP24" s="1398">
        <f t="shared" si="21"/>
        <v>-3.6835496023440717E-2</v>
      </c>
      <c r="CQ24" s="1153">
        <f t="shared" ref="CQ24:CZ24" si="22">IF(ISERROR(CQ22/CL22-1),"-",CQ22/CL22-1)</f>
        <v>-2.286089521554846E-3</v>
      </c>
      <c r="CR24" s="1153">
        <f t="shared" si="22"/>
        <v>-3.9462365497301199E-2</v>
      </c>
      <c r="CS24" s="1153">
        <f t="shared" si="22"/>
        <v>5.3920100705967311E-2</v>
      </c>
      <c r="CT24" s="1153">
        <f t="shared" si="22"/>
        <v>-8.1101064112413912E-2</v>
      </c>
      <c r="CU24" s="1398">
        <f t="shared" si="22"/>
        <v>-1.9147366288686962E-2</v>
      </c>
      <c r="CV24" s="2215">
        <f t="shared" si="22"/>
        <v>-2.4661830167476473E-2</v>
      </c>
      <c r="CW24" s="2215">
        <f t="shared" si="22"/>
        <v>-2.4008521580038966E-2</v>
      </c>
      <c r="CX24" s="2215">
        <f t="shared" si="22"/>
        <v>-2.3388932903406823E-2</v>
      </c>
      <c r="CY24" s="2215">
        <f t="shared" si="22"/>
        <v>-2.4352838098445684E-2</v>
      </c>
      <c r="CZ24" s="1398">
        <f t="shared" si="22"/>
        <v>-2.4093684689100447E-2</v>
      </c>
      <c r="DA24" s="1398">
        <f>IF(ISERROR(DA22/CZ22-1),"-",DA22/CZ22-1)</f>
        <v>0.21767824224525367</v>
      </c>
      <c r="DB24" s="1398">
        <f>IF(ISERROR(DB22/DA22-1),"-",DB22/DA22-1)</f>
        <v>0.11185813948958834</v>
      </c>
      <c r="DC24" s="1398">
        <f>IF(ISERROR(DC22/DB22-1),"-",DC22/DB22-1)</f>
        <v>3.3106270659261972E-2</v>
      </c>
      <c r="DD24" s="1990"/>
    </row>
    <row r="25" spans="1:109" s="1178" customFormat="1" ht="12" customHeight="1">
      <c r="A25" s="1156"/>
      <c r="B25" s="1156"/>
      <c r="C25" s="1393"/>
      <c r="D25" s="1393"/>
      <c r="E25" s="1418"/>
      <c r="F25" s="1197"/>
      <c r="G25" s="1156"/>
      <c r="H25" s="1156"/>
      <c r="I25" s="1156"/>
      <c r="J25" s="1156"/>
      <c r="K25" s="1156"/>
      <c r="L25" s="1156"/>
      <c r="M25" s="1156"/>
      <c r="N25" s="1743"/>
      <c r="O25" s="451"/>
      <c r="P25" s="451"/>
      <c r="Q25" s="451"/>
      <c r="R25" s="1416"/>
      <c r="S25" s="1743"/>
      <c r="T25" s="451"/>
      <c r="U25" s="451"/>
      <c r="V25" s="451"/>
      <c r="W25" s="1416"/>
      <c r="X25" s="1743"/>
      <c r="Y25" s="451"/>
      <c r="Z25" s="451"/>
      <c r="AA25" s="451"/>
      <c r="AB25" s="1416"/>
      <c r="AC25" s="1743"/>
      <c r="AD25" s="451"/>
      <c r="AE25" s="451"/>
      <c r="AF25" s="451"/>
      <c r="AG25" s="1416"/>
      <c r="AH25" s="1743"/>
      <c r="AI25" s="451"/>
      <c r="AJ25" s="451"/>
      <c r="AK25" s="451"/>
      <c r="AL25" s="1416"/>
      <c r="AM25" s="1743"/>
      <c r="AN25" s="451"/>
      <c r="AO25" s="451"/>
      <c r="AP25" s="451"/>
      <c r="AQ25" s="1416"/>
      <c r="AR25" s="1743"/>
      <c r="AS25" s="451"/>
      <c r="AT25" s="451"/>
      <c r="AU25" s="451"/>
      <c r="AV25" s="1416"/>
      <c r="AW25" s="1743"/>
      <c r="AX25" s="451"/>
      <c r="AY25" s="451"/>
      <c r="AZ25" s="1417"/>
      <c r="BA25" s="1413"/>
      <c r="BB25" s="1743"/>
      <c r="BC25" s="1417"/>
      <c r="BD25" s="1417"/>
      <c r="BE25" s="1417"/>
      <c r="BF25" s="1416"/>
      <c r="BG25" s="1743"/>
      <c r="BH25" s="1417"/>
      <c r="BI25" s="1417"/>
      <c r="BJ25" s="451"/>
      <c r="BK25" s="1416"/>
      <c r="BL25" s="1743"/>
      <c r="BM25" s="1417"/>
      <c r="BN25" s="1417"/>
      <c r="BO25" s="1417"/>
      <c r="BP25" s="1417"/>
      <c r="BQ25" s="1743"/>
      <c r="BR25" s="1417"/>
      <c r="BS25" s="1417"/>
      <c r="BT25" s="1417"/>
      <c r="BU25" s="1417"/>
      <c r="BV25" s="1743"/>
      <c r="BW25" s="451"/>
      <c r="BX25" s="1417"/>
      <c r="BY25" s="1417"/>
      <c r="BZ25" s="1417"/>
      <c r="CA25" s="1743"/>
      <c r="CB25" s="1432"/>
      <c r="CC25" s="1432"/>
      <c r="CD25" s="1432"/>
      <c r="CE25" s="1432"/>
      <c r="CF25" s="1743"/>
      <c r="CG25" s="1432"/>
      <c r="CH25" s="1432"/>
      <c r="CI25" s="1432"/>
      <c r="CJ25" s="1432"/>
      <c r="CK25" s="1743"/>
      <c r="CL25" s="1432"/>
      <c r="CM25" s="1432"/>
      <c r="CN25" s="1432"/>
      <c r="CO25" s="1432"/>
      <c r="CP25" s="1743"/>
      <c r="CQ25" s="1432"/>
      <c r="CR25" s="1432"/>
      <c r="CS25" s="1432"/>
      <c r="CT25" s="1432"/>
      <c r="CU25" s="1743"/>
      <c r="CV25" s="1432"/>
      <c r="CW25" s="1432"/>
      <c r="CX25" s="1432"/>
      <c r="CY25" s="1432"/>
      <c r="CZ25" s="1743"/>
      <c r="DA25" s="1743"/>
      <c r="DB25" s="1743"/>
      <c r="DC25" s="1743"/>
      <c r="DD25" s="1982"/>
    </row>
    <row r="26" spans="1:109" s="1178" customFormat="1" ht="11.25">
      <c r="A26" s="1452"/>
      <c r="B26" s="1452"/>
      <c r="C26" s="1395" t="s">
        <v>224</v>
      </c>
      <c r="D26" s="1451"/>
      <c r="E26" s="1441"/>
      <c r="F26" s="1450">
        <v>54.25</v>
      </c>
      <c r="G26" s="452">
        <v>54.25</v>
      </c>
      <c r="H26" s="452">
        <v>54.25</v>
      </c>
      <c r="I26" s="452">
        <v>54.25</v>
      </c>
      <c r="J26" s="452"/>
      <c r="K26" s="452"/>
      <c r="L26" s="452"/>
      <c r="M26" s="452"/>
      <c r="N26" s="1444">
        <v>217</v>
      </c>
      <c r="O26" s="452">
        <v>55.75</v>
      </c>
      <c r="P26" s="452">
        <v>55.75</v>
      </c>
      <c r="Q26" s="452">
        <v>55.75</v>
      </c>
      <c r="R26" s="1448">
        <v>55.75</v>
      </c>
      <c r="S26" s="1444">
        <v>223</v>
      </c>
      <c r="T26" s="1448">
        <v>52.25</v>
      </c>
      <c r="U26" s="1448">
        <v>52.25</v>
      </c>
      <c r="V26" s="1448">
        <v>52.25</v>
      </c>
      <c r="W26" s="1448">
        <v>52.25</v>
      </c>
      <c r="X26" s="1444">
        <v>209</v>
      </c>
      <c r="Y26" s="1448">
        <v>53.5</v>
      </c>
      <c r="Z26" s="1448">
        <v>53.5</v>
      </c>
      <c r="AA26" s="1448">
        <v>53.5</v>
      </c>
      <c r="AB26" s="1448">
        <v>53.5</v>
      </c>
      <c r="AC26" s="1444">
        <v>214</v>
      </c>
      <c r="AD26" s="1448">
        <v>68.25</v>
      </c>
      <c r="AE26" s="1448">
        <v>68.25</v>
      </c>
      <c r="AF26" s="1448">
        <v>68.25</v>
      </c>
      <c r="AG26" s="1448">
        <v>68.25</v>
      </c>
      <c r="AH26" s="1444">
        <v>273</v>
      </c>
      <c r="AI26" s="1448">
        <v>68</v>
      </c>
      <c r="AJ26" s="1448">
        <v>68</v>
      </c>
      <c r="AK26" s="1448">
        <v>73</v>
      </c>
      <c r="AL26" s="1448">
        <v>46</v>
      </c>
      <c r="AM26" s="1444">
        <v>255</v>
      </c>
      <c r="AN26" s="1448">
        <f>$AR26/4</f>
        <v>70</v>
      </c>
      <c r="AO26" s="1448">
        <f>$AR26/4</f>
        <v>70</v>
      </c>
      <c r="AP26" s="1448">
        <f>$AR26/4</f>
        <v>70</v>
      </c>
      <c r="AQ26" s="1448">
        <f>AR26-AP26-AO26-AN26</f>
        <v>70</v>
      </c>
      <c r="AR26" s="1444">
        <v>280</v>
      </c>
      <c r="AS26" s="1448">
        <f>$AW26/4</f>
        <v>76.75</v>
      </c>
      <c r="AT26" s="1448">
        <f>$AW26/4</f>
        <v>76.75</v>
      </c>
      <c r="AU26" s="1448">
        <f>$AW26/4</f>
        <v>76.75</v>
      </c>
      <c r="AV26" s="1448">
        <f>AW26-AU26-AT26-AS26</f>
        <v>76.75</v>
      </c>
      <c r="AW26" s="1444">
        <v>307</v>
      </c>
      <c r="AX26" s="1448">
        <f>BB26/4</f>
        <v>92</v>
      </c>
      <c r="AY26" s="1448">
        <f>AX26</f>
        <v>92</v>
      </c>
      <c r="AZ26" s="1448">
        <f>AY26</f>
        <v>92</v>
      </c>
      <c r="BA26" s="1449">
        <f>BB26-AZ26-AY26-AX26</f>
        <v>92</v>
      </c>
      <c r="BB26" s="1444">
        <v>368</v>
      </c>
      <c r="BC26" s="1448">
        <f>BG26/4</f>
        <v>82.25</v>
      </c>
      <c r="BD26" s="1448">
        <f>BC26</f>
        <v>82.25</v>
      </c>
      <c r="BE26" s="1448">
        <f>BD26</f>
        <v>82.25</v>
      </c>
      <c r="BF26" s="1448">
        <f>BE26</f>
        <v>82.25</v>
      </c>
      <c r="BG26" s="1444">
        <v>329</v>
      </c>
      <c r="BH26" s="1448">
        <f>BL26/4</f>
        <v>85</v>
      </c>
      <c r="BI26" s="1448">
        <f>BH26</f>
        <v>85</v>
      </c>
      <c r="BJ26" s="1448">
        <f>BI26</f>
        <v>85</v>
      </c>
      <c r="BK26" s="1448">
        <f>BJ26</f>
        <v>85</v>
      </c>
      <c r="BL26" s="1444">
        <v>340</v>
      </c>
      <c r="BM26" s="1448">
        <f>$BQ$26/4</f>
        <v>83</v>
      </c>
      <c r="BN26" s="1448">
        <f>$BQ$26/4</f>
        <v>83</v>
      </c>
      <c r="BO26" s="1448">
        <f>$BQ$26/4</f>
        <v>83</v>
      </c>
      <c r="BP26" s="1448">
        <f>BQ26-BM26-BN26-BO26</f>
        <v>83</v>
      </c>
      <c r="BQ26" s="1444">
        <v>332</v>
      </c>
      <c r="BR26" s="1448">
        <f>$BV$26/4</f>
        <v>81</v>
      </c>
      <c r="BS26" s="1448">
        <f>$BV$26/4</f>
        <v>81</v>
      </c>
      <c r="BT26" s="1448">
        <f>$BV$26/4</f>
        <v>81</v>
      </c>
      <c r="BU26" s="1448">
        <f>BV26-BR26-BS26-BT26</f>
        <v>81</v>
      </c>
      <c r="BV26" s="1444">
        <v>324</v>
      </c>
      <c r="BW26" s="1448">
        <f>$CA$26/4</f>
        <v>79.75</v>
      </c>
      <c r="BX26" s="1448">
        <f>$CA$26/4</f>
        <v>79.75</v>
      </c>
      <c r="BY26" s="1448">
        <f>$CA$26/4</f>
        <v>79.75</v>
      </c>
      <c r="BZ26" s="1448">
        <f>$CA$26/4</f>
        <v>79.75</v>
      </c>
      <c r="CA26" s="1444">
        <v>319</v>
      </c>
      <c r="CB26" s="1771">
        <f>$CF$26/4</f>
        <v>97.5</v>
      </c>
      <c r="CC26" s="1771">
        <f>$CF$26/4</f>
        <v>97.5</v>
      </c>
      <c r="CD26" s="1771">
        <f>$CF$26/4</f>
        <v>97.5</v>
      </c>
      <c r="CE26" s="1771">
        <f>+CF26-SUM(CB26:CD26)</f>
        <v>97.5</v>
      </c>
      <c r="CF26" s="1446">
        <v>390</v>
      </c>
      <c r="CG26" s="1771">
        <f>$CK$26/4</f>
        <v>119</v>
      </c>
      <c r="CH26" s="1771">
        <f>+CG26</f>
        <v>119</v>
      </c>
      <c r="CI26" s="1771">
        <f>+CH26</f>
        <v>119</v>
      </c>
      <c r="CJ26" s="1771">
        <f>+CK26-SUM(CG26:CI26)</f>
        <v>119</v>
      </c>
      <c r="CK26" s="1446">
        <v>476</v>
      </c>
      <c r="CL26" s="2251">
        <f>CP26/4</f>
        <v>137.5</v>
      </c>
      <c r="CM26" s="1771">
        <f>+CL26</f>
        <v>137.5</v>
      </c>
      <c r="CN26" s="1771">
        <f>+CM26</f>
        <v>137.5</v>
      </c>
      <c r="CO26" s="1771">
        <f>+CP26-SUM(CL26:CN26)</f>
        <v>137.5</v>
      </c>
      <c r="CP26" s="1446">
        <v>550</v>
      </c>
      <c r="CQ26" s="1976">
        <f>$CU$26/4</f>
        <v>158.23693553934092</v>
      </c>
      <c r="CR26" s="1771">
        <f>CQ26</f>
        <v>158.23693553934092</v>
      </c>
      <c r="CS26" s="1771">
        <f>CR26</f>
        <v>158.23693553934092</v>
      </c>
      <c r="CT26" s="1771">
        <f>CS26</f>
        <v>158.23693553934092</v>
      </c>
      <c r="CU26" s="1446">
        <f>CP26*0.9+CU40/10+CP160-CU160</f>
        <v>632.94774215736368</v>
      </c>
      <c r="CV26" s="1976">
        <f>$CZ$26/4</f>
        <v>170.40417640612216</v>
      </c>
      <c r="CW26" s="1976">
        <f t="shared" ref="CW26:CY26" si="23">$CZ$26/4</f>
        <v>170.40417640612216</v>
      </c>
      <c r="CX26" s="1976">
        <f t="shared" si="23"/>
        <v>170.40417640612216</v>
      </c>
      <c r="CY26" s="1976">
        <f t="shared" si="23"/>
        <v>170.40417640612216</v>
      </c>
      <c r="CZ26" s="1446">
        <f>CU26*0.9+CZ40/10+CU160-CZ160</f>
        <v>681.61670562448865</v>
      </c>
      <c r="DA26" s="1446">
        <f>CZ26*0.9+DA40/10+CZ160-DA160</f>
        <v>699.2651548310489</v>
      </c>
      <c r="DB26" s="1446">
        <f>DA26*0.9+DB40/10+DA160-DB160</f>
        <v>712.71823660754535</v>
      </c>
      <c r="DC26" s="1446">
        <f>DB26*0.9+DC40/10+DB160-DC160</f>
        <v>730.3756182814343</v>
      </c>
      <c r="DD26" s="1842"/>
    </row>
    <row r="27" spans="1:109" s="1178" customFormat="1" ht="11.25">
      <c r="A27" s="1452"/>
      <c r="B27" s="1452"/>
      <c r="C27" s="1395" t="s">
        <v>250</v>
      </c>
      <c r="D27" s="1451"/>
      <c r="E27" s="1441"/>
      <c r="F27" s="1450"/>
      <c r="G27" s="452"/>
      <c r="H27" s="452"/>
      <c r="I27" s="452"/>
      <c r="J27" s="452"/>
      <c r="K27" s="452"/>
      <c r="L27" s="452"/>
      <c r="M27" s="452"/>
      <c r="N27" s="1446"/>
      <c r="O27" s="452"/>
      <c r="P27" s="452"/>
      <c r="Q27" s="452">
        <v>15</v>
      </c>
      <c r="R27" s="1448">
        <f>63-Q27</f>
        <v>48</v>
      </c>
      <c r="S27" s="1446">
        <f>SUM(O27:R27)</f>
        <v>63</v>
      </c>
      <c r="T27" s="1448">
        <v>9</v>
      </c>
      <c r="U27" s="1448">
        <f>(X27-T27-W27)/2</f>
        <v>17</v>
      </c>
      <c r="V27" s="1448">
        <f>U27</f>
        <v>17</v>
      </c>
      <c r="W27" s="1448">
        <v>37</v>
      </c>
      <c r="X27" s="1446">
        <v>80</v>
      </c>
      <c r="Y27" s="1448">
        <f>(AC27-AB27)/3</f>
        <v>2</v>
      </c>
      <c r="Z27" s="1448">
        <f>Y27</f>
        <v>2</v>
      </c>
      <c r="AA27" s="1448">
        <f>Z27</f>
        <v>2</v>
      </c>
      <c r="AB27" s="1448">
        <v>13</v>
      </c>
      <c r="AC27" s="1446">
        <v>19</v>
      </c>
      <c r="AD27" s="1448">
        <v>51</v>
      </c>
      <c r="AE27" s="1448">
        <v>23</v>
      </c>
      <c r="AF27" s="1448">
        <v>23</v>
      </c>
      <c r="AG27" s="1448">
        <v>55</v>
      </c>
      <c r="AH27" s="1446">
        <v>152</v>
      </c>
      <c r="AI27" s="1448">
        <v>10</v>
      </c>
      <c r="AJ27" s="1448">
        <v>2</v>
      </c>
      <c r="AK27" s="1448">
        <v>4</v>
      </c>
      <c r="AL27" s="1448">
        <v>23</v>
      </c>
      <c r="AM27" s="1446">
        <v>39</v>
      </c>
      <c r="AN27" s="1448">
        <v>12</v>
      </c>
      <c r="AO27" s="1448">
        <v>11</v>
      </c>
      <c r="AP27" s="1448">
        <v>13</v>
      </c>
      <c r="AQ27" s="1778">
        <v>32</v>
      </c>
      <c r="AR27" s="1446">
        <v>68</v>
      </c>
      <c r="AS27" s="1448">
        <v>20</v>
      </c>
      <c r="AT27" s="1448">
        <v>7</v>
      </c>
      <c r="AU27" s="1448">
        <v>12</v>
      </c>
      <c r="AV27" s="1778">
        <v>14</v>
      </c>
      <c r="AW27" s="1446">
        <f>SUM(AS27:AV27)</f>
        <v>53</v>
      </c>
      <c r="AX27" s="1448">
        <v>14</v>
      </c>
      <c r="AY27" s="1448">
        <v>17</v>
      </c>
      <c r="AZ27" s="1448">
        <v>52</v>
      </c>
      <c r="BA27" s="1778">
        <v>33</v>
      </c>
      <c r="BB27" s="1446">
        <f>SUM(AX27:BA27)</f>
        <v>116</v>
      </c>
      <c r="BC27" s="1448">
        <v>64</v>
      </c>
      <c r="BD27" s="1448">
        <v>56</v>
      </c>
      <c r="BE27" s="1448">
        <v>57</v>
      </c>
      <c r="BF27" s="1448">
        <v>13</v>
      </c>
      <c r="BG27" s="1446">
        <f>SUM(BC27:BF27)</f>
        <v>190</v>
      </c>
      <c r="BH27" s="1448">
        <v>26</v>
      </c>
      <c r="BI27" s="1448">
        <v>9</v>
      </c>
      <c r="BJ27" s="1448">
        <v>13</v>
      </c>
      <c r="BK27" s="1448">
        <v>90</v>
      </c>
      <c r="BL27" s="1446">
        <f>SUM(BH27:BK27)</f>
        <v>138</v>
      </c>
      <c r="BM27" s="1448">
        <v>4</v>
      </c>
      <c r="BN27" s="1448">
        <v>25</v>
      </c>
      <c r="BO27" s="1448">
        <f>5</f>
        <v>5</v>
      </c>
      <c r="BP27" s="1448">
        <v>18</v>
      </c>
      <c r="BQ27" s="1446">
        <f>SUM(BM27:BP27)</f>
        <v>52</v>
      </c>
      <c r="BR27" s="1448">
        <v>37</v>
      </c>
      <c r="BS27" s="1448">
        <v>17</v>
      </c>
      <c r="BT27" s="1448">
        <v>3</v>
      </c>
      <c r="BU27" s="1448">
        <v>39</v>
      </c>
      <c r="BV27" s="1446">
        <f>SUM(BR27:BU27)</f>
        <v>96</v>
      </c>
      <c r="BW27" s="1448">
        <v>7</v>
      </c>
      <c r="BX27" s="1773">
        <v>93</v>
      </c>
      <c r="BY27" s="1773">
        <v>22</v>
      </c>
      <c r="BZ27" s="1773">
        <v>32</v>
      </c>
      <c r="CA27" s="1444">
        <f>SUM(BW27:BZ27)</f>
        <v>154</v>
      </c>
      <c r="CB27" s="1771">
        <v>42</v>
      </c>
      <c r="CC27" s="1771">
        <f>5</f>
        <v>5</v>
      </c>
      <c r="CD27" s="1770">
        <v>8</v>
      </c>
      <c r="CE27" s="1772">
        <v>9</v>
      </c>
      <c r="CF27" s="1446">
        <f>SUM(CB27:CE27)</f>
        <v>64</v>
      </c>
      <c r="CG27" s="1771">
        <v>13</v>
      </c>
      <c r="CH27" s="1771">
        <v>2</v>
      </c>
      <c r="CI27" s="1771">
        <v>22</v>
      </c>
      <c r="CJ27" s="1771">
        <v>68</v>
      </c>
      <c r="CK27" s="1446">
        <f>SUM(CG27:CJ27)</f>
        <v>105</v>
      </c>
      <c r="CL27" s="2080">
        <v>5</v>
      </c>
      <c r="CM27" s="2080">
        <v>66</v>
      </c>
      <c r="CN27" s="2253">
        <v>-21</v>
      </c>
      <c r="CO27" s="2253">
        <v>61</v>
      </c>
      <c r="CP27" s="1446">
        <f>SUM(CL27:CO27)</f>
        <v>111</v>
      </c>
      <c r="CQ27" s="1771">
        <v>0</v>
      </c>
      <c r="CR27" s="1771">
        <v>6</v>
      </c>
      <c r="CS27" s="1771">
        <v>-2</v>
      </c>
      <c r="CT27" s="1771">
        <f>+CU27-SUM(CQ27:CS27)</f>
        <v>26</v>
      </c>
      <c r="CU27" s="1444">
        <v>30</v>
      </c>
      <c r="CV27" s="2128">
        <f>CZ27/4</f>
        <v>7.5</v>
      </c>
      <c r="CW27" s="2128">
        <f>CV27</f>
        <v>7.5</v>
      </c>
      <c r="CX27" s="2128">
        <f>CW27</f>
        <v>7.5</v>
      </c>
      <c r="CY27" s="2128">
        <f>+CZ27-SUM(CV27:CX27)</f>
        <v>7.5</v>
      </c>
      <c r="CZ27" s="1444">
        <f>CU27</f>
        <v>30</v>
      </c>
      <c r="DA27" s="1444">
        <f>CZ27</f>
        <v>30</v>
      </c>
      <c r="DB27" s="1444">
        <f>DA27</f>
        <v>30</v>
      </c>
      <c r="DC27" s="1444">
        <f>DB27</f>
        <v>30</v>
      </c>
      <c r="DD27" s="2005"/>
    </row>
    <row r="28" spans="1:109" s="1178" customFormat="1" ht="12" customHeight="1">
      <c r="A28" s="1156"/>
      <c r="B28" s="1156"/>
      <c r="C28" s="1393"/>
      <c r="D28" s="1393"/>
      <c r="E28" s="1441"/>
      <c r="F28" s="1443"/>
      <c r="G28" s="1441"/>
      <c r="H28" s="1441"/>
      <c r="I28" s="1441"/>
      <c r="J28" s="1441"/>
      <c r="K28" s="1441"/>
      <c r="L28" s="1441"/>
      <c r="M28" s="1441"/>
      <c r="N28" s="1560"/>
      <c r="O28" s="1441"/>
      <c r="P28" s="1441"/>
      <c r="Q28" s="1777"/>
      <c r="R28" s="1439"/>
      <c r="S28" s="1560"/>
      <c r="T28" s="1441"/>
      <c r="U28" s="1441"/>
      <c r="V28" s="1441"/>
      <c r="W28" s="1439"/>
      <c r="X28" s="1560"/>
      <c r="Y28" s="1441"/>
      <c r="Z28" s="1441"/>
      <c r="AA28" s="1441"/>
      <c r="AB28" s="1439"/>
      <c r="AC28" s="1560"/>
      <c r="AD28" s="1441"/>
      <c r="AE28" s="1441"/>
      <c r="AF28" s="1441"/>
      <c r="AG28" s="1439"/>
      <c r="AH28" s="1560"/>
      <c r="AI28" s="1441"/>
      <c r="AJ28" s="1441"/>
      <c r="AK28" s="1441"/>
      <c r="AL28" s="1439"/>
      <c r="AM28" s="1560"/>
      <c r="AN28" s="1441"/>
      <c r="AO28" s="1441"/>
      <c r="AP28" s="1441"/>
      <c r="AQ28" s="1439"/>
      <c r="AR28" s="1560"/>
      <c r="AS28" s="1441"/>
      <c r="AT28" s="1441"/>
      <c r="AU28" s="1441"/>
      <c r="AV28" s="1439"/>
      <c r="AW28" s="1560"/>
      <c r="AX28" s="1441"/>
      <c r="AY28" s="1441"/>
      <c r="AZ28" s="1441"/>
      <c r="BA28" s="1439"/>
      <c r="BB28" s="1560"/>
      <c r="BC28" s="1441"/>
      <c r="BD28" s="1776"/>
      <c r="BE28" s="1441"/>
      <c r="BF28" s="1439"/>
      <c r="BG28" s="1560"/>
      <c r="BH28" s="1441"/>
      <c r="BI28" s="1441"/>
      <c r="BJ28" s="1441"/>
      <c r="BK28" s="1439"/>
      <c r="BL28" s="1560"/>
      <c r="BM28" s="1441"/>
      <c r="BN28" s="1441"/>
      <c r="BO28" s="1441"/>
      <c r="BP28" s="1441"/>
      <c r="BQ28" s="1560"/>
      <c r="BR28" s="1441"/>
      <c r="BS28" s="1441"/>
      <c r="BT28" s="1441"/>
      <c r="BU28" s="1441"/>
      <c r="BV28" s="1560"/>
      <c r="BW28" s="1441"/>
      <c r="BX28" s="1441"/>
      <c r="BY28" s="1441"/>
      <c r="BZ28" s="1441"/>
      <c r="CA28" s="1769"/>
      <c r="CB28" s="1443"/>
      <c r="CC28" s="1443"/>
      <c r="CD28" s="1443"/>
      <c r="CE28" s="1443"/>
      <c r="CF28" s="1769"/>
      <c r="CG28" s="1443"/>
      <c r="CH28" s="1443"/>
      <c r="CI28" s="1443"/>
      <c r="CJ28" s="1443"/>
      <c r="CK28" s="1560"/>
      <c r="CL28" s="1443"/>
      <c r="CM28" s="1443"/>
      <c r="CN28" s="1443"/>
      <c r="CO28" s="1443"/>
      <c r="CP28" s="1560"/>
      <c r="CQ28" s="1443"/>
      <c r="CR28" s="1443"/>
      <c r="CS28" s="1443"/>
      <c r="CT28" s="1443"/>
      <c r="CU28" s="1560"/>
      <c r="CV28" s="1443"/>
      <c r="CW28" s="1443"/>
      <c r="CX28" s="1443"/>
      <c r="CY28" s="1443"/>
      <c r="CZ28" s="1560"/>
      <c r="DA28" s="1560"/>
      <c r="DB28" s="1560"/>
      <c r="DC28" s="1560"/>
      <c r="DD28" s="1559"/>
    </row>
    <row r="29" spans="1:109" s="1178" customFormat="1" ht="12" customHeight="1" thickBot="1">
      <c r="A29" s="1186"/>
      <c r="B29" s="1186"/>
      <c r="C29" s="1409" t="s">
        <v>248</v>
      </c>
      <c r="D29" s="1408"/>
      <c r="E29" s="1407"/>
      <c r="F29" s="1406">
        <v>282</v>
      </c>
      <c r="G29" s="1405">
        <v>285</v>
      </c>
      <c r="H29" s="1405">
        <v>300</v>
      </c>
      <c r="I29" s="1405">
        <v>333</v>
      </c>
      <c r="J29" s="1405"/>
      <c r="K29" s="1405"/>
      <c r="L29" s="1405"/>
      <c r="M29" s="1405"/>
      <c r="N29" s="1400">
        <v>1200</v>
      </c>
      <c r="O29" s="1405">
        <v>343</v>
      </c>
      <c r="P29" s="1405">
        <v>353</v>
      </c>
      <c r="Q29" s="1405">
        <v>337</v>
      </c>
      <c r="R29" s="1403">
        <v>275</v>
      </c>
      <c r="S29" s="1400">
        <v>1308</v>
      </c>
      <c r="T29" s="1403">
        <v>318</v>
      </c>
      <c r="U29" s="1403">
        <v>335</v>
      </c>
      <c r="V29" s="1403">
        <v>333</v>
      </c>
      <c r="W29" s="1403">
        <v>296</v>
      </c>
      <c r="X29" s="1400">
        <v>1282</v>
      </c>
      <c r="Y29" s="1403">
        <v>276</v>
      </c>
      <c r="Z29" s="1403">
        <v>269</v>
      </c>
      <c r="AA29" s="1403">
        <v>281</v>
      </c>
      <c r="AB29" s="1403">
        <v>299</v>
      </c>
      <c r="AC29" s="1400">
        <v>1125</v>
      </c>
      <c r="AD29" s="1403">
        <v>206</v>
      </c>
      <c r="AE29" s="1403">
        <v>295</v>
      </c>
      <c r="AF29" s="1403">
        <v>302</v>
      </c>
      <c r="AG29" s="1403">
        <v>280</v>
      </c>
      <c r="AH29" s="1400">
        <f>SUM(AD29:AG29)</f>
        <v>1083</v>
      </c>
      <c r="AI29" s="1403">
        <v>340</v>
      </c>
      <c r="AJ29" s="1403">
        <v>368</v>
      </c>
      <c r="AK29" s="1403">
        <v>379</v>
      </c>
      <c r="AL29" s="1403">
        <v>362</v>
      </c>
      <c r="AM29" s="1400">
        <v>1449</v>
      </c>
      <c r="AN29" s="1403">
        <v>430</v>
      </c>
      <c r="AO29" s="1403">
        <v>535</v>
      </c>
      <c r="AP29" s="1403">
        <v>443</v>
      </c>
      <c r="AQ29" s="1403">
        <v>409</v>
      </c>
      <c r="AR29" s="1400">
        <v>1817</v>
      </c>
      <c r="AS29" s="1403">
        <v>490</v>
      </c>
      <c r="AT29" s="1403">
        <v>522</v>
      </c>
      <c r="AU29" s="1403">
        <v>503</v>
      </c>
      <c r="AV29" s="1403">
        <v>496</v>
      </c>
      <c r="AW29" s="1400">
        <f>SUM(AS29:AV29)</f>
        <v>2011</v>
      </c>
      <c r="AX29" s="1403">
        <v>526</v>
      </c>
      <c r="AY29" s="1403">
        <v>546</v>
      </c>
      <c r="AZ29" s="1403">
        <v>530</v>
      </c>
      <c r="BA29" s="1403">
        <v>520</v>
      </c>
      <c r="BB29" s="1400">
        <f>SUM(AX29:BA29)</f>
        <v>2122</v>
      </c>
      <c r="BC29" s="1403">
        <v>436</v>
      </c>
      <c r="BD29" s="1403">
        <v>467</v>
      </c>
      <c r="BE29" s="1403">
        <v>444</v>
      </c>
      <c r="BF29" s="1403">
        <v>488</v>
      </c>
      <c r="BG29" s="1400">
        <f>BG22-BG26-BG27</f>
        <v>1835</v>
      </c>
      <c r="BH29" s="1404">
        <v>436</v>
      </c>
      <c r="BI29" s="1403">
        <v>522</v>
      </c>
      <c r="BJ29" s="1403">
        <v>547</v>
      </c>
      <c r="BK29" s="1403">
        <v>482</v>
      </c>
      <c r="BL29" s="1400">
        <f>BL22-BL26-BL27</f>
        <v>1987</v>
      </c>
      <c r="BM29" s="1403">
        <v>428</v>
      </c>
      <c r="BN29" s="1403">
        <v>424</v>
      </c>
      <c r="BO29" s="1403">
        <v>496</v>
      </c>
      <c r="BP29" s="1403">
        <v>519</v>
      </c>
      <c r="BQ29" s="1400">
        <f>BQ22-BQ26-BQ27+BQ33</f>
        <v>1867</v>
      </c>
      <c r="BR29" s="1403">
        <v>389</v>
      </c>
      <c r="BS29" s="1403">
        <v>427</v>
      </c>
      <c r="BT29" s="1403">
        <v>409</v>
      </c>
      <c r="BU29" s="1403">
        <v>364</v>
      </c>
      <c r="BV29" s="1400">
        <f>BV22-BV26-BV27</f>
        <v>1589</v>
      </c>
      <c r="BW29" s="1403">
        <v>406</v>
      </c>
      <c r="BX29" s="1403">
        <v>567</v>
      </c>
      <c r="BY29" s="1403">
        <v>439</v>
      </c>
      <c r="BZ29" s="1403">
        <v>464</v>
      </c>
      <c r="CA29" s="1400">
        <f>CA35-CA27+CA33</f>
        <v>1876</v>
      </c>
      <c r="CB29" s="1775">
        <v>388</v>
      </c>
      <c r="CC29" s="1775">
        <v>432</v>
      </c>
      <c r="CD29" s="1775">
        <v>633</v>
      </c>
      <c r="CE29" s="1775">
        <v>547</v>
      </c>
      <c r="CF29" s="1400">
        <f>CF35-CF27+CF33</f>
        <v>2000</v>
      </c>
      <c r="CG29" s="1775">
        <v>419</v>
      </c>
      <c r="CH29" s="1775">
        <v>487</v>
      </c>
      <c r="CI29" s="1872">
        <v>419</v>
      </c>
      <c r="CJ29" s="1872">
        <v>-464</v>
      </c>
      <c r="CK29" s="1400">
        <f>CK35-CK27+CK33</f>
        <v>861</v>
      </c>
      <c r="CL29" s="1872">
        <v>410</v>
      </c>
      <c r="CM29" s="1872">
        <v>386</v>
      </c>
      <c r="CN29" s="1775">
        <f t="shared" ref="CN29:DC29" si="24">CN35-CN27+CN33</f>
        <v>340</v>
      </c>
      <c r="CO29" s="1775">
        <f t="shared" si="24"/>
        <v>409</v>
      </c>
      <c r="CP29" s="1400">
        <f t="shared" si="24"/>
        <v>1545</v>
      </c>
      <c r="CQ29" s="1775">
        <f>CQ35-CQ27+CQ33</f>
        <v>393</v>
      </c>
      <c r="CR29" s="1775">
        <f>CR35-CR27+CR33</f>
        <v>402</v>
      </c>
      <c r="CS29" s="1775">
        <f t="shared" si="24"/>
        <v>229</v>
      </c>
      <c r="CT29" s="1775">
        <f t="shared" si="24"/>
        <v>373.99416801236765</v>
      </c>
      <c r="CU29" s="1400">
        <f t="shared" si="24"/>
        <v>1397.9941680123677</v>
      </c>
      <c r="CV29" s="1775">
        <f t="shared" si="24"/>
        <v>359.73824744690739</v>
      </c>
      <c r="CW29" s="1775">
        <f t="shared" si="24"/>
        <v>374.73824744690739</v>
      </c>
      <c r="CX29" s="1775">
        <f t="shared" si="24"/>
        <v>389.73824744690739</v>
      </c>
      <c r="CY29" s="1775">
        <f t="shared" si="24"/>
        <v>366.73241545927499</v>
      </c>
      <c r="CZ29" s="1400">
        <f t="shared" si="24"/>
        <v>1490.9471577999971</v>
      </c>
      <c r="DA29" s="1400">
        <f t="shared" si="24"/>
        <v>1952.7489388165939</v>
      </c>
      <c r="DB29" s="1400">
        <f t="shared" si="24"/>
        <v>2239.3009636403772</v>
      </c>
      <c r="DC29" s="1400">
        <f t="shared" si="24"/>
        <v>2320.3671167210123</v>
      </c>
      <c r="DD29" s="1981"/>
    </row>
    <row r="30" spans="1:109" s="1178" customFormat="1" ht="12" customHeight="1" thickTop="1">
      <c r="A30" s="1156"/>
      <c r="B30" s="1156"/>
      <c r="C30" s="1387"/>
      <c r="D30" s="1393" t="s">
        <v>293</v>
      </c>
      <c r="E30" s="1418"/>
      <c r="F30" s="1434">
        <v>0.15460526315789475</v>
      </c>
      <c r="G30" s="1433">
        <v>0.15921787709497207</v>
      </c>
      <c r="H30" s="1433">
        <v>0.16835016835016836</v>
      </c>
      <c r="I30" s="1153">
        <v>0.16903553299492385</v>
      </c>
      <c r="J30" s="1153"/>
      <c r="K30" s="1153"/>
      <c r="L30" s="1153"/>
      <c r="M30" s="1153"/>
      <c r="N30" s="1398">
        <v>0.1629106706489275</v>
      </c>
      <c r="O30" s="1153">
        <v>0.18264110756123536</v>
      </c>
      <c r="P30" s="1153">
        <v>0.18037812979049567</v>
      </c>
      <c r="Q30" s="1153">
        <v>0.17793030623020065</v>
      </c>
      <c r="R30" s="1153">
        <v>0.14102564102564102</v>
      </c>
      <c r="S30" s="1398">
        <v>0.17033467899466076</v>
      </c>
      <c r="T30" s="1153">
        <v>0.17282608695652174</v>
      </c>
      <c r="U30" s="1153">
        <v>0.17866666666666667</v>
      </c>
      <c r="V30" s="1153">
        <v>0.17693942614240171</v>
      </c>
      <c r="W30" s="1153">
        <v>0.14453125</v>
      </c>
      <c r="X30" s="1398">
        <v>0.16769130150425116</v>
      </c>
      <c r="Y30" s="1153">
        <v>0.15944540727902945</v>
      </c>
      <c r="Z30" s="1153">
        <v>0.13809034907597537</v>
      </c>
      <c r="AA30" s="1153">
        <v>0.1511565357719204</v>
      </c>
      <c r="AB30" s="1153">
        <v>0.1520081342145399</v>
      </c>
      <c r="AC30" s="1398">
        <v>0.14990006662225183</v>
      </c>
      <c r="AD30" s="1153">
        <v>0.10624033006704486</v>
      </c>
      <c r="AE30" s="1153">
        <v>0.14182692307692307</v>
      </c>
      <c r="AF30" s="1153">
        <v>0.1438095238095238</v>
      </c>
      <c r="AG30" s="1153">
        <v>0.12950971322849214</v>
      </c>
      <c r="AH30" s="1398">
        <v>0.13766108635432975</v>
      </c>
      <c r="AI30" s="1153">
        <v>0.16890213611525087</v>
      </c>
      <c r="AJ30" s="1153">
        <v>0.16190057193136823</v>
      </c>
      <c r="AK30" s="1153">
        <v>0.15700082850041425</v>
      </c>
      <c r="AL30" s="1153">
        <v>0.1394990366088632</v>
      </c>
      <c r="AM30" s="1398">
        <v>0.15589026358257127</v>
      </c>
      <c r="AN30" s="1153">
        <f t="shared" ref="AN30:BS30" si="25">IF(ISERROR(AN29/AN$12),"-",AN29/AN$12)</f>
        <v>0.1674454828660436</v>
      </c>
      <c r="AO30" s="1153">
        <f t="shared" si="25"/>
        <v>0.19618628529519619</v>
      </c>
      <c r="AP30" s="1153">
        <f t="shared" si="25"/>
        <v>0.15987008300252617</v>
      </c>
      <c r="AQ30" s="1153">
        <f t="shared" si="25"/>
        <v>0.13427445830597504</v>
      </c>
      <c r="AR30" s="1398">
        <f t="shared" si="25"/>
        <v>0.16351691864650827</v>
      </c>
      <c r="AS30" s="1153">
        <f t="shared" si="25"/>
        <v>0.17708709794000724</v>
      </c>
      <c r="AT30" s="1153">
        <f t="shared" si="25"/>
        <v>0.16795366795366795</v>
      </c>
      <c r="AU30" s="1153">
        <f t="shared" si="25"/>
        <v>0.16567852437417654</v>
      </c>
      <c r="AV30" s="1153">
        <f t="shared" si="25"/>
        <v>0.15413300186451212</v>
      </c>
      <c r="AW30" s="1398">
        <f t="shared" si="25"/>
        <v>0.16580097287492787</v>
      </c>
      <c r="AX30" s="1153">
        <f t="shared" si="25"/>
        <v>0.15184757505773672</v>
      </c>
      <c r="AY30" s="1153">
        <f t="shared" si="25"/>
        <v>0.15298402913981507</v>
      </c>
      <c r="AZ30" s="1153">
        <f t="shared" si="25"/>
        <v>0.15492546039169833</v>
      </c>
      <c r="BA30" s="1153">
        <f t="shared" si="25"/>
        <v>0.1449679397825481</v>
      </c>
      <c r="BB30" s="1398">
        <f t="shared" si="25"/>
        <v>0.15112883697742327</v>
      </c>
      <c r="BC30" s="1153">
        <f t="shared" si="25"/>
        <v>0.13806206459784673</v>
      </c>
      <c r="BD30" s="1153">
        <f t="shared" si="25"/>
        <v>0.15296429741238127</v>
      </c>
      <c r="BE30" s="1153">
        <f t="shared" si="25"/>
        <v>0.14939434724091522</v>
      </c>
      <c r="BF30" s="1153">
        <f t="shared" si="25"/>
        <v>0.15207229666562791</v>
      </c>
      <c r="BG30" s="1398">
        <f t="shared" si="25"/>
        <v>0.14807940606843126</v>
      </c>
      <c r="BH30" s="1153">
        <f t="shared" si="25"/>
        <v>0.15346708905315029</v>
      </c>
      <c r="BI30" s="1153">
        <f t="shared" si="25"/>
        <v>0.15919487648673375</v>
      </c>
      <c r="BJ30" s="1153">
        <f t="shared" si="25"/>
        <v>0.16934984520123839</v>
      </c>
      <c r="BK30" s="1153">
        <f t="shared" si="25"/>
        <v>0.13444909344490935</v>
      </c>
      <c r="BL30" s="1398">
        <f t="shared" si="25"/>
        <v>0.15361422497100888</v>
      </c>
      <c r="BM30" s="1153">
        <f t="shared" si="25"/>
        <v>0.14897319874695442</v>
      </c>
      <c r="BN30" s="1153">
        <f t="shared" si="25"/>
        <v>0.12942612942612944</v>
      </c>
      <c r="BO30" s="1153">
        <f t="shared" si="25"/>
        <v>0.16098669263226226</v>
      </c>
      <c r="BP30" s="1153">
        <f t="shared" si="25"/>
        <v>0.14909508761850043</v>
      </c>
      <c r="BQ30" s="1398">
        <f t="shared" si="25"/>
        <v>0.14688065455117616</v>
      </c>
      <c r="BR30" s="1153">
        <f t="shared" si="25"/>
        <v>0.12745740498034075</v>
      </c>
      <c r="BS30" s="1153">
        <f t="shared" si="25"/>
        <v>0.12387583405860168</v>
      </c>
      <c r="BT30" s="1153">
        <f t="shared" ref="BT30:CZ30" si="26">IF(ISERROR(BT29/BT$12),"-",BT29/BT$12)</f>
        <v>0.11443760492445439</v>
      </c>
      <c r="BU30" s="1153">
        <f t="shared" si="26"/>
        <v>9.3549216139809821E-2</v>
      </c>
      <c r="BV30" s="1398">
        <f t="shared" si="26"/>
        <v>0.11379260956745918</v>
      </c>
      <c r="BW30" s="1153">
        <f t="shared" si="26"/>
        <v>0.11934156378600823</v>
      </c>
      <c r="BX30" s="1153">
        <f t="shared" si="26"/>
        <v>0.1564569536423841</v>
      </c>
      <c r="BY30" s="1153">
        <f t="shared" si="26"/>
        <v>0.12965150620200827</v>
      </c>
      <c r="BZ30" s="1153">
        <f t="shared" si="26"/>
        <v>0.11347517730496454</v>
      </c>
      <c r="CA30" s="1398">
        <f t="shared" si="26"/>
        <v>0.12937038824908628</v>
      </c>
      <c r="CB30" s="1153">
        <f t="shared" si="26"/>
        <v>0.11655151697206369</v>
      </c>
      <c r="CC30" s="1153">
        <f t="shared" si="26"/>
        <v>0.12026726057906459</v>
      </c>
      <c r="CD30" s="1153">
        <f t="shared" si="26"/>
        <v>0.17760942760942761</v>
      </c>
      <c r="CE30" s="1153">
        <f t="shared" si="26"/>
        <v>0.13596818294804872</v>
      </c>
      <c r="CF30" s="1398">
        <f t="shared" si="26"/>
        <v>0.13785497656465398</v>
      </c>
      <c r="CG30" s="1153">
        <f t="shared" si="26"/>
        <v>0.12575030012004801</v>
      </c>
      <c r="CH30" s="1153">
        <f t="shared" si="26"/>
        <v>0.13244492793037801</v>
      </c>
      <c r="CI30" s="1153">
        <f t="shared" si="26"/>
        <v>0.129560915275201</v>
      </c>
      <c r="CJ30" s="1153">
        <f t="shared" si="26"/>
        <v>-0.12086480854389164</v>
      </c>
      <c r="CK30" s="1398">
        <f t="shared" si="26"/>
        <v>6.114188325521943E-2</v>
      </c>
      <c r="CL30" s="1153">
        <f t="shared" si="26"/>
        <v>0.11426978818283166</v>
      </c>
      <c r="CM30" s="1153">
        <f t="shared" si="26"/>
        <v>0.1012326252294781</v>
      </c>
      <c r="CN30" s="1153">
        <f t="shared" si="26"/>
        <v>9.7115109968580401E-2</v>
      </c>
      <c r="CO30" s="1153">
        <f t="shared" si="26"/>
        <v>0.10245490981963928</v>
      </c>
      <c r="CP30" s="1398">
        <f t="shared" si="26"/>
        <v>0.1037330468645092</v>
      </c>
      <c r="CQ30" s="1153">
        <f>IF(ISERROR(CQ29/CQ$12),"-",CQ29/CQ$12)</f>
        <v>0.10457690260777008</v>
      </c>
      <c r="CR30" s="2215">
        <f>IF(ISERROR(CR29/CR$12),"-",CR29/CR$12)</f>
        <v>9.8771498771498767E-2</v>
      </c>
      <c r="CS30" s="1153">
        <f>IF(ISERROR(CS29/CS$12),"-",CS29/CS$12)</f>
        <v>5.9157840351330405E-2</v>
      </c>
      <c r="CT30" s="1153">
        <f>IF(ISERROR(CT29/CT$12),"-",CT29/CT$12)</f>
        <v>8.9247069716106381E-2</v>
      </c>
      <c r="CU30" s="1398">
        <f t="shared" si="26"/>
        <v>8.7981994833996269E-2</v>
      </c>
      <c r="CV30" s="2215">
        <f>IF(ISERROR(CV29/CV$12),"-",CV29/CV$12)</f>
        <v>8.8527393231807958E-2</v>
      </c>
      <c r="CW30" s="2215">
        <f>IF(ISERROR(CW29/CW$12),"-",CW29/CW$12)</f>
        <v>8.5149372060796188E-2</v>
      </c>
      <c r="CX30" s="2215">
        <f>IF(ISERROR(CX29/CX$12),"-",CX29/CX$12)</f>
        <v>0.10137633378528235</v>
      </c>
      <c r="CY30" s="2215">
        <f>IF(ISERROR(CY29/CY$12),"-",CY29/CY$12)</f>
        <v>8.1434664876860394E-2</v>
      </c>
      <c r="CZ30" s="1398">
        <f t="shared" si="26"/>
        <v>8.7588474014273623E-2</v>
      </c>
      <c r="DA30" s="1398">
        <f>IF(ISERROR(DA29/DA$12),"-",DA29/DA$12)</f>
        <v>0.10700392923564141</v>
      </c>
      <c r="DB30" s="1398">
        <f>IF(ISERROR(DB29/DB$12),"-",DB29/DB$12)</f>
        <v>0.11338549008778458</v>
      </c>
      <c r="DC30" s="1398">
        <f>IF(ISERROR(DC29/DC$12),"-",DC29/DC$12)</f>
        <v>0.11158323766887616</v>
      </c>
      <c r="DD30" s="1990"/>
    </row>
    <row r="31" spans="1:109" s="1178" customFormat="1" ht="12" customHeight="1">
      <c r="A31" s="1156"/>
      <c r="B31" s="1156"/>
      <c r="C31" s="1393"/>
      <c r="D31" s="1393" t="s">
        <v>282</v>
      </c>
      <c r="E31" s="1418"/>
      <c r="F31" s="1432" t="s">
        <v>284</v>
      </c>
      <c r="G31" s="1153" t="s">
        <v>284</v>
      </c>
      <c r="H31" s="1153" t="s">
        <v>284</v>
      </c>
      <c r="I31" s="1153" t="s">
        <v>284</v>
      </c>
      <c r="J31" s="1153"/>
      <c r="K31" s="1153"/>
      <c r="L31" s="1153"/>
      <c r="M31" s="1153"/>
      <c r="N31" s="1398" t="s">
        <v>284</v>
      </c>
      <c r="O31" s="1153">
        <v>0.21631205673758869</v>
      </c>
      <c r="P31" s="1153">
        <v>0.23859649122807025</v>
      </c>
      <c r="Q31" s="1153">
        <v>0.12333333333333329</v>
      </c>
      <c r="R31" s="1153">
        <v>-0.17417417417417413</v>
      </c>
      <c r="S31" s="1398">
        <v>9.000000000000008E-2</v>
      </c>
      <c r="T31" s="1153">
        <v>-7.2886297376093312E-2</v>
      </c>
      <c r="U31" s="1153">
        <v>-5.0991501416430607E-2</v>
      </c>
      <c r="V31" s="1153">
        <v>-1.1869436201780381E-2</v>
      </c>
      <c r="W31" s="1153">
        <v>7.6363636363636411E-2</v>
      </c>
      <c r="X31" s="1398">
        <v>-1.9877675840978548E-2</v>
      </c>
      <c r="Y31" s="1153">
        <v>-0.13207547169811318</v>
      </c>
      <c r="Z31" s="1153">
        <v>-0.19701492537313436</v>
      </c>
      <c r="AA31" s="1153">
        <v>-0.15615615615615619</v>
      </c>
      <c r="AB31" s="1153">
        <v>1.0135135135135087E-2</v>
      </c>
      <c r="AC31" s="1398">
        <v>-0.12246489859594378</v>
      </c>
      <c r="AD31" s="1153">
        <v>-0.25362318840579712</v>
      </c>
      <c r="AE31" s="1153">
        <v>9.6654275092936892E-2</v>
      </c>
      <c r="AF31" s="1153">
        <v>7.4733096085409345E-2</v>
      </c>
      <c r="AG31" s="1153">
        <v>-6.3545150501672198E-2</v>
      </c>
      <c r="AH31" s="1398">
        <v>1.6000000000000014E-2</v>
      </c>
      <c r="AI31" s="1153">
        <v>0.65048543689320382</v>
      </c>
      <c r="AJ31" s="1153">
        <v>0.24745762711864416</v>
      </c>
      <c r="AK31" s="1153">
        <v>0.25496688741721862</v>
      </c>
      <c r="AL31" s="1153">
        <v>0.29285714285714293</v>
      </c>
      <c r="AM31" s="1398">
        <v>0.26771653543307083</v>
      </c>
      <c r="AN31" s="1153">
        <f t="shared" ref="AN31:BS31" si="27">IF(ISERROR(AN29/AI29-1),"-",AN29/AI29-1)</f>
        <v>0.26470588235294112</v>
      </c>
      <c r="AO31" s="1153">
        <f t="shared" si="27"/>
        <v>0.45380434782608692</v>
      </c>
      <c r="AP31" s="1153">
        <f t="shared" si="27"/>
        <v>0.16886543535620047</v>
      </c>
      <c r="AQ31" s="1153">
        <f t="shared" si="27"/>
        <v>0.12983425414364635</v>
      </c>
      <c r="AR31" s="1398">
        <f t="shared" si="27"/>
        <v>0.25396825396825395</v>
      </c>
      <c r="AS31" s="1153">
        <f t="shared" si="27"/>
        <v>0.13953488372093026</v>
      </c>
      <c r="AT31" s="1153">
        <f t="shared" si="27"/>
        <v>-2.4299065420560706E-2</v>
      </c>
      <c r="AU31" s="1153">
        <f t="shared" si="27"/>
        <v>0.13544018058690743</v>
      </c>
      <c r="AV31" s="1153">
        <f t="shared" si="27"/>
        <v>0.21271393643031788</v>
      </c>
      <c r="AW31" s="1398">
        <f t="shared" si="27"/>
        <v>0.10676940011007163</v>
      </c>
      <c r="AX31" s="1153">
        <f t="shared" si="27"/>
        <v>7.3469387755102034E-2</v>
      </c>
      <c r="AY31" s="1153">
        <f t="shared" si="27"/>
        <v>4.5977011494252817E-2</v>
      </c>
      <c r="AZ31" s="1153">
        <f t="shared" si="27"/>
        <v>5.3677932405566509E-2</v>
      </c>
      <c r="BA31" s="1153">
        <f t="shared" si="27"/>
        <v>4.8387096774193505E-2</v>
      </c>
      <c r="BB31" s="1398">
        <f t="shared" si="27"/>
        <v>5.5196419691695642E-2</v>
      </c>
      <c r="BC31" s="1153">
        <f t="shared" si="27"/>
        <v>-0.17110266159695819</v>
      </c>
      <c r="BD31" s="1153">
        <f t="shared" si="27"/>
        <v>-0.14468864468864473</v>
      </c>
      <c r="BE31" s="1153">
        <f t="shared" si="27"/>
        <v>-0.16226415094339619</v>
      </c>
      <c r="BF31" s="1153">
        <f t="shared" si="27"/>
        <v>-6.1538461538461542E-2</v>
      </c>
      <c r="BG31" s="1398">
        <f t="shared" si="27"/>
        <v>-0.13524976437323277</v>
      </c>
      <c r="BH31" s="1153">
        <f t="shared" si="27"/>
        <v>0</v>
      </c>
      <c r="BI31" s="1153">
        <f t="shared" si="27"/>
        <v>0.11777301927194861</v>
      </c>
      <c r="BJ31" s="1153">
        <f t="shared" si="27"/>
        <v>0.23198198198198194</v>
      </c>
      <c r="BK31" s="1153">
        <f t="shared" si="27"/>
        <v>-1.2295081967213073E-2</v>
      </c>
      <c r="BL31" s="1398">
        <f t="shared" si="27"/>
        <v>8.2833787465939945E-2</v>
      </c>
      <c r="BM31" s="1153">
        <f t="shared" si="27"/>
        <v>-1.834862385321101E-2</v>
      </c>
      <c r="BN31" s="1153">
        <f t="shared" si="27"/>
        <v>-0.1877394636015326</v>
      </c>
      <c r="BO31" s="1153">
        <f t="shared" si="27"/>
        <v>-9.323583180987205E-2</v>
      </c>
      <c r="BP31" s="1153">
        <f t="shared" si="27"/>
        <v>7.6763485477178373E-2</v>
      </c>
      <c r="BQ31" s="1398">
        <f t="shared" si="27"/>
        <v>-6.0392551585304433E-2</v>
      </c>
      <c r="BR31" s="1153">
        <f t="shared" si="27"/>
        <v>-9.1121495327102786E-2</v>
      </c>
      <c r="BS31" s="1153">
        <f t="shared" si="27"/>
        <v>7.0754716981131782E-3</v>
      </c>
      <c r="BT31" s="1153">
        <f t="shared" ref="BT31:CP31" si="28">IF(ISERROR(BT29/BO29-1),"-",BT29/BO29-1)</f>
        <v>-0.17540322580645162</v>
      </c>
      <c r="BU31" s="1153">
        <f t="shared" si="28"/>
        <v>-0.2986512524084779</v>
      </c>
      <c r="BV31" s="1398">
        <f t="shared" si="28"/>
        <v>-0.1489019817889663</v>
      </c>
      <c r="BW31" s="1153">
        <f t="shared" si="28"/>
        <v>4.3701799485861281E-2</v>
      </c>
      <c r="BX31" s="1153">
        <f t="shared" si="28"/>
        <v>0.32786885245901631</v>
      </c>
      <c r="BY31" s="1153">
        <f t="shared" si="28"/>
        <v>7.3349633251833746E-2</v>
      </c>
      <c r="BZ31" s="1153">
        <f t="shared" si="28"/>
        <v>0.27472527472527464</v>
      </c>
      <c r="CA31" s="1398">
        <f t="shared" si="28"/>
        <v>0.1806167400881058</v>
      </c>
      <c r="CB31" s="1153">
        <f t="shared" si="28"/>
        <v>-4.4334975369458074E-2</v>
      </c>
      <c r="CC31" s="1153">
        <f t="shared" si="28"/>
        <v>-0.23809523809523814</v>
      </c>
      <c r="CD31" s="1153">
        <f t="shared" si="28"/>
        <v>0.44191343963553531</v>
      </c>
      <c r="CE31" s="1153">
        <f t="shared" si="28"/>
        <v>0.17887931034482762</v>
      </c>
      <c r="CF31" s="1398">
        <f t="shared" si="28"/>
        <v>6.6098081023454158E-2</v>
      </c>
      <c r="CG31" s="1153">
        <f t="shared" si="28"/>
        <v>7.9896907216494784E-2</v>
      </c>
      <c r="CH31" s="1153">
        <f t="shared" si="28"/>
        <v>0.12731481481481488</v>
      </c>
      <c r="CI31" s="1153">
        <f t="shared" si="28"/>
        <v>-0.3380726698262243</v>
      </c>
      <c r="CJ31" s="1153">
        <f t="shared" si="28"/>
        <v>-1.8482632541133455</v>
      </c>
      <c r="CK31" s="1398">
        <f t="shared" si="28"/>
        <v>-0.56950000000000001</v>
      </c>
      <c r="CL31" s="1153">
        <f t="shared" si="28"/>
        <v>-2.1479713603818618E-2</v>
      </c>
      <c r="CM31" s="1153">
        <f t="shared" si="28"/>
        <v>-0.20739219712525669</v>
      </c>
      <c r="CN31" s="1153">
        <f t="shared" si="28"/>
        <v>-0.1885441527446301</v>
      </c>
      <c r="CO31" s="1153">
        <f t="shared" si="28"/>
        <v>-1.8814655172413794</v>
      </c>
      <c r="CP31" s="1398">
        <f t="shared" si="28"/>
        <v>0.79442508710801385</v>
      </c>
      <c r="CQ31" s="1153">
        <f t="shared" ref="CQ31:CZ31" si="29">IF(ISERROR(CQ29/CL29-1),"-",CQ29/CL29-1)</f>
        <v>-4.1463414634146378E-2</v>
      </c>
      <c r="CR31" s="2215">
        <f t="shared" si="29"/>
        <v>4.1450777202072464E-2</v>
      </c>
      <c r="CS31" s="1153">
        <f t="shared" si="29"/>
        <v>-0.32647058823529407</v>
      </c>
      <c r="CT31" s="1153">
        <f t="shared" si="29"/>
        <v>-8.5588831265604792E-2</v>
      </c>
      <c r="CU31" s="1398">
        <f t="shared" si="29"/>
        <v>-9.5149405817237742E-2</v>
      </c>
      <c r="CV31" s="2215">
        <f t="shared" si="29"/>
        <v>-8.4635502679624941E-2</v>
      </c>
      <c r="CW31" s="2215">
        <f t="shared" si="29"/>
        <v>-6.781530485843934E-2</v>
      </c>
      <c r="CX31" s="2215">
        <f t="shared" si="29"/>
        <v>0.70191374430963926</v>
      </c>
      <c r="CY31" s="2215">
        <f t="shared" si="29"/>
        <v>-1.9416753452830671E-2</v>
      </c>
      <c r="CZ31" s="1398">
        <f t="shared" si="29"/>
        <v>6.6490255763933304E-2</v>
      </c>
      <c r="DA31" s="1398">
        <f>IF(ISERROR(DA29/CZ29-1),"-",DA29/CZ29-1)</f>
        <v>0.30973718860567767</v>
      </c>
      <c r="DB31" s="1398">
        <f>IF(ISERROR(DB29/DA29-1),"-",DB29/DA29-1)</f>
        <v>0.14674289107407712</v>
      </c>
      <c r="DC31" s="1398">
        <f>IF(ISERROR(DC29/DB29-1),"-",DC29/DB29-1)</f>
        <v>3.6201544319816481E-2</v>
      </c>
      <c r="DD31" s="1990"/>
    </row>
    <row r="32" spans="1:109" s="1178" customFormat="1" ht="12" customHeight="1">
      <c r="A32" s="1156"/>
      <c r="B32" s="1156"/>
      <c r="C32" s="1393"/>
      <c r="D32" s="1442"/>
      <c r="E32" s="1156"/>
      <c r="F32" s="1197"/>
      <c r="G32" s="1156"/>
      <c r="H32" s="1156"/>
      <c r="I32" s="1156"/>
      <c r="J32" s="1156"/>
      <c r="K32" s="1156"/>
      <c r="L32" s="1156"/>
      <c r="M32" s="1156"/>
      <c r="N32" s="1221"/>
      <c r="O32" s="1156"/>
      <c r="P32" s="1156"/>
      <c r="Q32" s="1156"/>
      <c r="R32" s="1186"/>
      <c r="S32" s="1221"/>
      <c r="T32" s="1156"/>
      <c r="U32" s="1156"/>
      <c r="V32" s="1156"/>
      <c r="W32" s="1186"/>
      <c r="X32" s="1221"/>
      <c r="Y32" s="1156"/>
      <c r="Z32" s="1156"/>
      <c r="AA32" s="1156"/>
      <c r="AB32" s="1186"/>
      <c r="AC32" s="1221"/>
      <c r="AD32" s="1156"/>
      <c r="AE32" s="1156"/>
      <c r="AF32" s="1156"/>
      <c r="AG32" s="1186"/>
      <c r="AH32" s="1221"/>
      <c r="AI32" s="1774"/>
      <c r="AJ32" s="1774"/>
      <c r="AK32" s="1774"/>
      <c r="AL32" s="1774"/>
      <c r="AM32" s="1221"/>
      <c r="AN32" s="1774"/>
      <c r="AO32" s="1774"/>
      <c r="AP32" s="1774"/>
      <c r="AQ32" s="1774"/>
      <c r="AR32" s="1221"/>
      <c r="AS32" s="1774"/>
      <c r="AT32" s="1774"/>
      <c r="AU32" s="1774"/>
      <c r="AV32" s="1774"/>
      <c r="AW32" s="1221"/>
      <c r="AX32" s="1774"/>
      <c r="AY32" s="1774"/>
      <c r="AZ32" s="1774"/>
      <c r="BA32" s="1774"/>
      <c r="BB32" s="1221"/>
      <c r="BC32" s="1774"/>
      <c r="BD32" s="1774"/>
      <c r="BE32" s="1774"/>
      <c r="BF32" s="1774"/>
      <c r="BG32" s="1221"/>
      <c r="BH32" s="1774"/>
      <c r="BI32" s="1774"/>
      <c r="BJ32" s="1774"/>
      <c r="BK32" s="1774"/>
      <c r="BL32" s="1221"/>
      <c r="BM32" s="1156"/>
      <c r="BN32" s="1156"/>
      <c r="BO32" s="1156"/>
      <c r="BP32" s="1156"/>
      <c r="BQ32" s="1221"/>
      <c r="BR32" s="1156"/>
      <c r="BS32" s="1156"/>
      <c r="BT32" s="1156"/>
      <c r="BU32" s="1448"/>
      <c r="BV32" s="1221"/>
      <c r="BW32" s="1156"/>
      <c r="BX32" s="1156"/>
      <c r="BY32" s="1156"/>
      <c r="BZ32" s="1156"/>
      <c r="CA32" s="1221"/>
      <c r="CB32" s="1197"/>
      <c r="CC32" s="1197"/>
      <c r="CD32" s="1197"/>
      <c r="CE32" s="1197"/>
      <c r="CF32" s="1221"/>
      <c r="CG32" s="1197"/>
      <c r="CH32" s="1197"/>
      <c r="CI32" s="1197"/>
      <c r="CJ32" s="1197"/>
      <c r="CK32" s="1221"/>
      <c r="CL32" s="1197"/>
      <c r="CM32" s="1197"/>
      <c r="CN32" s="1197"/>
      <c r="CO32" s="1197"/>
      <c r="CP32" s="1221"/>
      <c r="CQ32" s="1197"/>
      <c r="CR32" s="1197"/>
      <c r="CS32" s="1197"/>
      <c r="CT32" s="1197"/>
      <c r="CU32" s="1221"/>
      <c r="CV32" s="1197"/>
      <c r="CW32" s="1197"/>
      <c r="CX32" s="1197"/>
      <c r="CY32" s="1197"/>
      <c r="CZ32" s="1221"/>
      <c r="DA32" s="1221"/>
      <c r="DB32" s="2111"/>
      <c r="DC32" s="2111"/>
      <c r="DD32" s="1184"/>
    </row>
    <row r="33" spans="1:116" s="1178" customFormat="1" ht="12" customHeight="1">
      <c r="A33" s="1393"/>
      <c r="B33" s="1393"/>
      <c r="C33" s="1427" t="s">
        <v>1012</v>
      </c>
      <c r="D33" s="1394"/>
      <c r="E33" s="1393"/>
      <c r="F33" s="1390"/>
      <c r="G33" s="1390"/>
      <c r="H33" s="1390"/>
      <c r="I33" s="1390"/>
      <c r="J33" s="1390"/>
      <c r="K33" s="1390"/>
      <c r="L33" s="1390"/>
      <c r="M33" s="1390"/>
      <c r="N33" s="1446"/>
      <c r="O33" s="1426"/>
      <c r="P33" s="1426"/>
      <c r="Q33" s="1426"/>
      <c r="R33" s="1426"/>
      <c r="S33" s="1446"/>
      <c r="T33" s="1426"/>
      <c r="U33" s="1426"/>
      <c r="V33" s="1426"/>
      <c r="W33" s="1426"/>
      <c r="X33" s="1446"/>
      <c r="Y33" s="1426"/>
      <c r="Z33" s="1426"/>
      <c r="AA33" s="1426"/>
      <c r="AB33" s="1426"/>
      <c r="AC33" s="1446"/>
      <c r="AD33" s="1426"/>
      <c r="AE33" s="1426"/>
      <c r="AF33" s="1426"/>
      <c r="AG33" s="1426"/>
      <c r="AH33" s="1446"/>
      <c r="AI33" s="1426"/>
      <c r="AJ33" s="1426"/>
      <c r="AK33" s="1426"/>
      <c r="AL33" s="1426"/>
      <c r="AM33" s="1446"/>
      <c r="AN33" s="1426">
        <v>25</v>
      </c>
      <c r="AO33" s="1426">
        <v>80</v>
      </c>
      <c r="AP33" s="1426"/>
      <c r="AQ33" s="1426"/>
      <c r="AR33" s="1446">
        <v>105</v>
      </c>
      <c r="AS33" s="1424">
        <v>40</v>
      </c>
      <c r="AT33" s="1424">
        <v>0</v>
      </c>
      <c r="AU33" s="1424">
        <v>0</v>
      </c>
      <c r="AV33" s="1424">
        <v>0</v>
      </c>
      <c r="AW33" s="1446">
        <f>SUM(AS33:AV33)</f>
        <v>40</v>
      </c>
      <c r="AX33" s="1424">
        <v>0</v>
      </c>
      <c r="AY33" s="1424">
        <v>0</v>
      </c>
      <c r="AZ33" s="1424">
        <v>37</v>
      </c>
      <c r="BA33" s="1424">
        <v>0</v>
      </c>
      <c r="BB33" s="1446">
        <f>SUM(AX33:BA33)</f>
        <v>37</v>
      </c>
      <c r="BC33" s="1424">
        <v>0</v>
      </c>
      <c r="BD33" s="1424">
        <v>0</v>
      </c>
      <c r="BE33" s="1424">
        <v>0</v>
      </c>
      <c r="BF33" s="1424">
        <v>0</v>
      </c>
      <c r="BG33" s="1446">
        <f>SUM(BC33:BF33)</f>
        <v>0</v>
      </c>
      <c r="BH33" s="1424">
        <v>0</v>
      </c>
      <c r="BI33" s="1424">
        <v>0</v>
      </c>
      <c r="BJ33" s="1425">
        <v>0</v>
      </c>
      <c r="BK33" s="1425">
        <v>0</v>
      </c>
      <c r="BL33" s="1446">
        <f>SUM(BH33:BK33)</f>
        <v>0</v>
      </c>
      <c r="BM33" s="1424">
        <v>0</v>
      </c>
      <c r="BN33" s="1424">
        <v>0</v>
      </c>
      <c r="BO33" s="1424">
        <v>41</v>
      </c>
      <c r="BP33" s="1424">
        <v>0</v>
      </c>
      <c r="BQ33" s="1446">
        <f>SUM(BM33:BP33)</f>
        <v>41</v>
      </c>
      <c r="BR33" s="1424">
        <v>0</v>
      </c>
      <c r="BS33" s="1424">
        <v>0</v>
      </c>
      <c r="BT33" s="1424">
        <v>0</v>
      </c>
      <c r="BU33" s="1424">
        <v>0</v>
      </c>
      <c r="BV33" s="1446">
        <f>SUM(BR33:BU33)</f>
        <v>0</v>
      </c>
      <c r="BW33" s="1448">
        <v>0</v>
      </c>
      <c r="BX33" s="1773">
        <v>193</v>
      </c>
      <c r="BY33" s="1773">
        <v>-25</v>
      </c>
      <c r="BZ33" s="1773"/>
      <c r="CA33" s="1618">
        <f>SUM(BW33:BZ33)</f>
        <v>168</v>
      </c>
      <c r="CB33" s="1770">
        <v>0</v>
      </c>
      <c r="CC33" s="1772">
        <v>-82</v>
      </c>
      <c r="CD33" s="1772">
        <v>83</v>
      </c>
      <c r="CE33" s="1770">
        <v>0</v>
      </c>
      <c r="CF33" s="1618">
        <f>SUM(CB33:CE33)</f>
        <v>1</v>
      </c>
      <c r="CG33" s="1771"/>
      <c r="CH33" s="1771">
        <v>0</v>
      </c>
      <c r="CI33" s="1770">
        <v>0</v>
      </c>
      <c r="CJ33" s="1771">
        <v>-947</v>
      </c>
      <c r="CK33" s="1421">
        <f>SUM(CG33:CJ33)</f>
        <v>-947</v>
      </c>
      <c r="CL33" s="1770">
        <v>0</v>
      </c>
      <c r="CM33" s="1770">
        <v>0</v>
      </c>
      <c r="CN33" s="2080">
        <v>-95</v>
      </c>
      <c r="CO33" s="1770">
        <v>0</v>
      </c>
      <c r="CP33" s="1419">
        <f>SUM(CL33:CO33)</f>
        <v>-95</v>
      </c>
      <c r="CQ33" s="1770">
        <v>0</v>
      </c>
      <c r="CR33" s="1770">
        <v>0</v>
      </c>
      <c r="CS33" s="1770">
        <v>-196</v>
      </c>
      <c r="CT33" s="1770">
        <v>0</v>
      </c>
      <c r="CU33" s="1419">
        <f>SUM(CQ33:CT33)</f>
        <v>-196</v>
      </c>
      <c r="CV33" s="1770">
        <v>0</v>
      </c>
      <c r="CW33" s="1770">
        <v>0</v>
      </c>
      <c r="CX33" s="1770">
        <v>0</v>
      </c>
      <c r="CY33" s="1770">
        <v>0</v>
      </c>
      <c r="CZ33" s="1419">
        <v>0</v>
      </c>
      <c r="DA33" s="1419">
        <v>0</v>
      </c>
      <c r="DB33" s="1419">
        <v>0</v>
      </c>
      <c r="DC33" s="1419">
        <v>0</v>
      </c>
      <c r="DD33" s="2006"/>
    </row>
    <row r="34" spans="1:116" s="1178" customFormat="1" ht="12" customHeight="1">
      <c r="A34" s="1156"/>
      <c r="B34" s="1156"/>
      <c r="C34" s="1393"/>
      <c r="D34" s="1393"/>
      <c r="E34" s="1418"/>
      <c r="F34" s="1197"/>
      <c r="G34" s="1156"/>
      <c r="H34" s="1156"/>
      <c r="I34" s="1156"/>
      <c r="J34" s="451"/>
      <c r="K34" s="451"/>
      <c r="L34" s="451"/>
      <c r="M34" s="451"/>
      <c r="N34" s="1415"/>
      <c r="O34" s="451"/>
      <c r="P34" s="451"/>
      <c r="Q34" s="451"/>
      <c r="R34" s="451"/>
      <c r="S34" s="1415"/>
      <c r="T34" s="451"/>
      <c r="U34" s="451"/>
      <c r="V34" s="451"/>
      <c r="W34" s="451"/>
      <c r="X34" s="1415"/>
      <c r="Y34" s="451"/>
      <c r="Z34" s="451"/>
      <c r="AA34" s="451"/>
      <c r="AB34" s="451"/>
      <c r="AC34" s="1415"/>
      <c r="AD34" s="451"/>
      <c r="AE34" s="451"/>
      <c r="AF34" s="451"/>
      <c r="AG34" s="451"/>
      <c r="AH34" s="1415"/>
      <c r="AI34" s="1390"/>
      <c r="AJ34" s="1390"/>
      <c r="AK34" s="1390"/>
      <c r="AL34" s="1417"/>
      <c r="AM34" s="1415"/>
      <c r="AN34" s="1417"/>
      <c r="AO34" s="1417"/>
      <c r="AP34" s="1417"/>
      <c r="AQ34" s="1417"/>
      <c r="AR34" s="1415"/>
      <c r="AS34" s="1413"/>
      <c r="AT34" s="1413"/>
      <c r="AU34" s="1413"/>
      <c r="AV34" s="1413"/>
      <c r="AW34" s="1415"/>
      <c r="AX34" s="1413"/>
      <c r="AY34" s="1413"/>
      <c r="AZ34" s="1413"/>
      <c r="BA34" s="1413"/>
      <c r="BB34" s="1415"/>
      <c r="BC34" s="1413"/>
      <c r="BD34" s="1413"/>
      <c r="BE34" s="1413"/>
      <c r="BF34" s="1413"/>
      <c r="BG34" s="1415"/>
      <c r="BH34" s="1413"/>
      <c r="BI34" s="1413"/>
      <c r="BJ34" s="1416"/>
      <c r="BK34" s="1416"/>
      <c r="BL34" s="1415"/>
      <c r="BM34" s="1413"/>
      <c r="BN34" s="1413"/>
      <c r="BO34" s="1413"/>
      <c r="BP34" s="1424"/>
      <c r="BQ34" s="1415"/>
      <c r="BR34" s="1413"/>
      <c r="BS34" s="1413"/>
      <c r="BT34" s="1413"/>
      <c r="BU34" s="1413"/>
      <c r="BV34" s="1415"/>
      <c r="BW34" s="1416"/>
      <c r="BX34" s="1413"/>
      <c r="BY34" s="1413"/>
      <c r="BZ34" s="1413"/>
      <c r="CA34" s="1769"/>
      <c r="CB34" s="1434"/>
      <c r="CC34" s="1434"/>
      <c r="CD34" s="1434"/>
      <c r="CE34" s="1434"/>
      <c r="CF34" s="1618">
        <f>CF35-CA35</f>
        <v>201</v>
      </c>
      <c r="CG34" s="1741"/>
      <c r="CH34" s="1741"/>
      <c r="CI34" s="1741"/>
      <c r="CJ34" s="1737"/>
      <c r="CK34" s="1410"/>
      <c r="CL34" s="1434"/>
      <c r="CM34" s="2231"/>
      <c r="CN34" s="1434"/>
      <c r="CO34" s="2231">
        <f>CK35-150-SUM(CL35:CN35)</f>
        <v>482</v>
      </c>
      <c r="CP34" s="1410">
        <f>CP35-CK35</f>
        <v>-162</v>
      </c>
      <c r="CQ34" s="1434"/>
      <c r="CR34" s="1434"/>
      <c r="CS34" s="1434"/>
      <c r="CT34" s="1434"/>
      <c r="CU34" s="1410">
        <f>CU35-CP35</f>
        <v>-127.00583198763229</v>
      </c>
      <c r="CV34" s="1434"/>
      <c r="CW34" s="1434"/>
      <c r="CX34" s="1434"/>
      <c r="CY34" s="1434"/>
      <c r="CZ34" s="1410">
        <f>CZ35-CU35</f>
        <v>-103.04701021237065</v>
      </c>
      <c r="DA34" s="1410">
        <f>DA35-CZ35</f>
        <v>461.80178101659681</v>
      </c>
      <c r="DB34" s="1410">
        <f>DB35-DA35</f>
        <v>286.55202482378331</v>
      </c>
      <c r="DC34" s="1410">
        <f>DC35-DB35</f>
        <v>81.066153080635104</v>
      </c>
      <c r="DD34" s="2007"/>
    </row>
    <row r="35" spans="1:116" s="1178" customFormat="1" ht="12" customHeight="1" thickBot="1">
      <c r="A35" s="1186"/>
      <c r="B35" s="1186"/>
      <c r="C35" s="1409" t="s">
        <v>1011</v>
      </c>
      <c r="D35" s="1408"/>
      <c r="E35" s="1407"/>
      <c r="F35" s="1406"/>
      <c r="G35" s="1405"/>
      <c r="H35" s="1405"/>
      <c r="I35" s="1405"/>
      <c r="J35" s="1405"/>
      <c r="K35" s="1405"/>
      <c r="L35" s="1405"/>
      <c r="M35" s="1405"/>
      <c r="N35" s="1400">
        <v>1200</v>
      </c>
      <c r="O35" s="1403">
        <f>O29+O27</f>
        <v>343</v>
      </c>
      <c r="P35" s="1403">
        <f>P29+P27</f>
        <v>353</v>
      </c>
      <c r="Q35" s="1403">
        <f>Q29+Q27</f>
        <v>352</v>
      </c>
      <c r="R35" s="1403">
        <f>R29+R27</f>
        <v>323</v>
      </c>
      <c r="S35" s="1400">
        <f>SUM(O35:R35)</f>
        <v>1371</v>
      </c>
      <c r="T35" s="1403">
        <f t="shared" ref="T35:AC35" si="30">T29+T27</f>
        <v>327</v>
      </c>
      <c r="U35" s="1403">
        <f t="shared" si="30"/>
        <v>352</v>
      </c>
      <c r="V35" s="1403">
        <f t="shared" si="30"/>
        <v>350</v>
      </c>
      <c r="W35" s="1403">
        <f t="shared" si="30"/>
        <v>333</v>
      </c>
      <c r="X35" s="1400">
        <f t="shared" si="30"/>
        <v>1362</v>
      </c>
      <c r="Y35" s="1403">
        <f t="shared" si="30"/>
        <v>278</v>
      </c>
      <c r="Z35" s="1403">
        <f t="shared" si="30"/>
        <v>271</v>
      </c>
      <c r="AA35" s="1403">
        <f t="shared" si="30"/>
        <v>283</v>
      </c>
      <c r="AB35" s="1403">
        <f t="shared" si="30"/>
        <v>312</v>
      </c>
      <c r="AC35" s="1400">
        <f t="shared" si="30"/>
        <v>1144</v>
      </c>
      <c r="AD35" s="1403">
        <v>257</v>
      </c>
      <c r="AE35" s="1403">
        <v>318</v>
      </c>
      <c r="AF35" s="1403">
        <v>325</v>
      </c>
      <c r="AG35" s="1403">
        <v>335</v>
      </c>
      <c r="AH35" s="1400">
        <f>SUM(AD35:AG35)</f>
        <v>1235</v>
      </c>
      <c r="AI35" s="1404">
        <v>350</v>
      </c>
      <c r="AJ35" s="1404">
        <v>370</v>
      </c>
      <c r="AK35" s="1404">
        <v>383</v>
      </c>
      <c r="AL35" s="1404">
        <v>385</v>
      </c>
      <c r="AM35" s="1400">
        <v>1488</v>
      </c>
      <c r="AN35" s="1404">
        <f t="shared" ref="AN35:BK35" si="31">AN29+AN27-AN33</f>
        <v>417</v>
      </c>
      <c r="AO35" s="1404">
        <f t="shared" si="31"/>
        <v>466</v>
      </c>
      <c r="AP35" s="1404">
        <f t="shared" si="31"/>
        <v>456</v>
      </c>
      <c r="AQ35" s="1404">
        <f t="shared" si="31"/>
        <v>441</v>
      </c>
      <c r="AR35" s="1400">
        <f t="shared" si="31"/>
        <v>1780</v>
      </c>
      <c r="AS35" s="1403">
        <f t="shared" si="31"/>
        <v>470</v>
      </c>
      <c r="AT35" s="1403">
        <f t="shared" si="31"/>
        <v>529</v>
      </c>
      <c r="AU35" s="1403">
        <f t="shared" si="31"/>
        <v>515</v>
      </c>
      <c r="AV35" s="1403">
        <f t="shared" si="31"/>
        <v>510</v>
      </c>
      <c r="AW35" s="1400">
        <f t="shared" si="31"/>
        <v>2024</v>
      </c>
      <c r="AX35" s="1403">
        <f t="shared" si="31"/>
        <v>540</v>
      </c>
      <c r="AY35" s="1403">
        <f t="shared" si="31"/>
        <v>563</v>
      </c>
      <c r="AZ35" s="1403">
        <f t="shared" si="31"/>
        <v>545</v>
      </c>
      <c r="BA35" s="1403">
        <f t="shared" si="31"/>
        <v>553</v>
      </c>
      <c r="BB35" s="1400">
        <f t="shared" si="31"/>
        <v>2201</v>
      </c>
      <c r="BC35" s="1403">
        <f t="shared" si="31"/>
        <v>500</v>
      </c>
      <c r="BD35" s="1403">
        <f t="shared" si="31"/>
        <v>523</v>
      </c>
      <c r="BE35" s="1403">
        <f t="shared" si="31"/>
        <v>501</v>
      </c>
      <c r="BF35" s="1403">
        <f t="shared" si="31"/>
        <v>501</v>
      </c>
      <c r="BG35" s="1400">
        <f t="shared" si="31"/>
        <v>2025</v>
      </c>
      <c r="BH35" s="1403">
        <f t="shared" si="31"/>
        <v>462</v>
      </c>
      <c r="BI35" s="1403">
        <f t="shared" si="31"/>
        <v>531</v>
      </c>
      <c r="BJ35" s="1403">
        <f t="shared" si="31"/>
        <v>560</v>
      </c>
      <c r="BK35" s="1403">
        <f t="shared" si="31"/>
        <v>572</v>
      </c>
      <c r="BL35" s="1400">
        <f>SUM(BH35:BK35)</f>
        <v>2125</v>
      </c>
      <c r="BM35" s="1403">
        <f>BM29+BM27-BM33</f>
        <v>432</v>
      </c>
      <c r="BN35" s="1403">
        <f>BN29+BN27-BN33</f>
        <v>449</v>
      </c>
      <c r="BO35" s="1403">
        <f>BO29+BO27-BO33</f>
        <v>460</v>
      </c>
      <c r="BP35" s="1403">
        <f>BP29+BP27-BP33</f>
        <v>537</v>
      </c>
      <c r="BQ35" s="1400">
        <f>SUM(BM35:BP35)</f>
        <v>1878</v>
      </c>
      <c r="BR35" s="1403">
        <f>BR29+BR27-BR33</f>
        <v>426</v>
      </c>
      <c r="BS35" s="1403">
        <f>BS29+BS27-BS33</f>
        <v>444</v>
      </c>
      <c r="BT35" s="1403">
        <f>BT29+BT27-BT33</f>
        <v>412</v>
      </c>
      <c r="BU35" s="1403">
        <f>BU29+BU27-BU33</f>
        <v>403</v>
      </c>
      <c r="BV35" s="1400">
        <f>SUM(BR35:BU35)</f>
        <v>1685</v>
      </c>
      <c r="BW35" s="1403">
        <f>BW29+BW27-BW33</f>
        <v>413</v>
      </c>
      <c r="BX35" s="1403">
        <f>BX29+BX27-BX33</f>
        <v>467</v>
      </c>
      <c r="BY35" s="1403">
        <f>BY29+BY27-BY33</f>
        <v>486</v>
      </c>
      <c r="BZ35" s="1403">
        <f>BZ29+BZ27-BZ33</f>
        <v>496</v>
      </c>
      <c r="CA35" s="1400">
        <f>SUM(BW35:BZ35)</f>
        <v>1862</v>
      </c>
      <c r="CB35" s="1403">
        <f>CB29+CB27-CB33</f>
        <v>430</v>
      </c>
      <c r="CC35" s="1403">
        <f>CC29+CC27-CC33</f>
        <v>519</v>
      </c>
      <c r="CD35" s="1403">
        <f>CD29+CD27-CD33</f>
        <v>558</v>
      </c>
      <c r="CE35" s="1403">
        <f>CE29+CE27-CE33</f>
        <v>556</v>
      </c>
      <c r="CF35" s="1400">
        <f>SUM(CB35:CE35)</f>
        <v>2063</v>
      </c>
      <c r="CG35" s="1403">
        <f>CG29+CG27-CG33</f>
        <v>432</v>
      </c>
      <c r="CH35" s="1403">
        <f>CH29+CH27-CH33</f>
        <v>489</v>
      </c>
      <c r="CI35" s="1403">
        <f>CI29+CI27-CI33</f>
        <v>441</v>
      </c>
      <c r="CJ35" s="1768">
        <f>CJ29+CJ27-CJ33</f>
        <v>551</v>
      </c>
      <c r="CK35" s="1400">
        <f>SUM(CG35:CJ35)</f>
        <v>1913</v>
      </c>
      <c r="CL35" s="1403">
        <f>CL29+CL27-CL33</f>
        <v>415</v>
      </c>
      <c r="CM35" s="1403">
        <f>CM29+CM27-CM33</f>
        <v>452</v>
      </c>
      <c r="CN35" s="2252">
        <v>414</v>
      </c>
      <c r="CO35" s="2252">
        <v>470</v>
      </c>
      <c r="CP35" s="1400">
        <f>SUM(CL35:CO35)</f>
        <v>1751</v>
      </c>
      <c r="CQ35" s="2252">
        <v>393</v>
      </c>
      <c r="CR35" s="2252">
        <v>408</v>
      </c>
      <c r="CS35" s="2252">
        <v>423</v>
      </c>
      <c r="CT35" s="1947">
        <f>CO35+CT107</f>
        <v>399.99416801236765</v>
      </c>
      <c r="CU35" s="1400">
        <f>CP35+(CU12-CP12)*CU37</f>
        <v>1623.9941680123677</v>
      </c>
      <c r="CV35" s="1947">
        <f>CQ35+CV107</f>
        <v>367.23824744690739</v>
      </c>
      <c r="CW35" s="1947">
        <f>CR35+CW107</f>
        <v>382.23824744690739</v>
      </c>
      <c r="CX35" s="1947">
        <f>CS35+CX107</f>
        <v>397.23824744690739</v>
      </c>
      <c r="CY35" s="1947">
        <f>CT35+CY107</f>
        <v>374.23241545927499</v>
      </c>
      <c r="CZ35" s="1400">
        <f>CU35+(CZ12-CU12)*CZ37</f>
        <v>1520.9471577999971</v>
      </c>
      <c r="DA35" s="1400">
        <f>CZ35+(DA12-CZ12)*DA37</f>
        <v>1982.7489388165939</v>
      </c>
      <c r="DB35" s="1400">
        <f>DA35+(DB12-DA12)*DB37</f>
        <v>2269.3009636403772</v>
      </c>
      <c r="DC35" s="1400">
        <f>DB35+(DC12-DB12)*DC37</f>
        <v>2350.3671167210123</v>
      </c>
      <c r="DD35" s="1981"/>
      <c r="DF35" s="1905" t="s">
        <v>1343</v>
      </c>
      <c r="DG35" s="1906" t="s">
        <v>154</v>
      </c>
      <c r="DH35" s="1906" t="s">
        <v>153</v>
      </c>
      <c r="DI35" s="1906" t="s">
        <v>1308</v>
      </c>
      <c r="DK35" s="1906">
        <v>2017</v>
      </c>
      <c r="DL35" s="2328">
        <v>2018</v>
      </c>
    </row>
    <row r="36" spans="1:116" s="1178" customFormat="1" ht="12" thickTop="1">
      <c r="A36" s="1396"/>
      <c r="B36" s="1396"/>
      <c r="C36" s="1395"/>
      <c r="D36" s="1394" t="s">
        <v>293</v>
      </c>
      <c r="E36" s="1393"/>
      <c r="F36" s="1392"/>
      <c r="G36" s="1391"/>
      <c r="H36" s="1391"/>
      <c r="I36" s="1391"/>
      <c r="J36" s="1391"/>
      <c r="K36" s="1391"/>
      <c r="L36" s="1391"/>
      <c r="M36" s="1391"/>
      <c r="N36" s="1388">
        <v>0.1629106706489275</v>
      </c>
      <c r="O36" s="1390">
        <v>0.18264110756123536</v>
      </c>
      <c r="P36" s="1390">
        <v>0.18037812979049567</v>
      </c>
      <c r="Q36" s="1390">
        <v>0.17793030623020065</v>
      </c>
      <c r="R36" s="1390">
        <v>0.14102564102564102</v>
      </c>
      <c r="S36" s="1388">
        <v>0.17033467899466076</v>
      </c>
      <c r="T36" s="1390">
        <v>0.17282608695652174</v>
      </c>
      <c r="U36" s="1390">
        <v>0.17866666666666667</v>
      </c>
      <c r="V36" s="1390">
        <v>0.17693942614240171</v>
      </c>
      <c r="W36" s="1390">
        <v>0.14453125</v>
      </c>
      <c r="X36" s="1388">
        <v>0.16769130150425116</v>
      </c>
      <c r="Y36" s="1390">
        <v>0.15944540727902945</v>
      </c>
      <c r="Z36" s="1390">
        <v>0.13809034907597537</v>
      </c>
      <c r="AA36" s="1390">
        <v>0.1511565357719204</v>
      </c>
      <c r="AB36" s="1390">
        <v>0.1520081342145399</v>
      </c>
      <c r="AC36" s="1388">
        <v>0.1524317121918721</v>
      </c>
      <c r="AD36" s="1390">
        <v>0.13254254770500257</v>
      </c>
      <c r="AE36" s="1390">
        <v>0.1528846153846154</v>
      </c>
      <c r="AF36" s="1390">
        <v>0.15476190476190477</v>
      </c>
      <c r="AG36" s="1390">
        <v>0.15494912118408879</v>
      </c>
      <c r="AH36" s="1388">
        <v>0.15596772250993618</v>
      </c>
      <c r="AI36" s="451">
        <f t="shared" ref="AI36:BN36" si="32">(AI35)/(AI12)</f>
        <v>0.17386984600099353</v>
      </c>
      <c r="AJ36" s="451">
        <f t="shared" si="32"/>
        <v>0.16278046634403873</v>
      </c>
      <c r="AK36" s="451">
        <f t="shared" si="32"/>
        <v>0.15865782932891467</v>
      </c>
      <c r="AL36" s="451">
        <f t="shared" si="32"/>
        <v>0.14836223506743737</v>
      </c>
      <c r="AM36" s="1388">
        <f t="shared" si="32"/>
        <v>0.16008606777837547</v>
      </c>
      <c r="AN36" s="451">
        <f t="shared" si="32"/>
        <v>0.16238317757009346</v>
      </c>
      <c r="AO36" s="451">
        <f t="shared" si="32"/>
        <v>0.17088375504217088</v>
      </c>
      <c r="AP36" s="451">
        <f t="shared" si="32"/>
        <v>0.16456153013352581</v>
      </c>
      <c r="AQ36" s="451">
        <f t="shared" si="32"/>
        <v>0.14478003939592909</v>
      </c>
      <c r="AR36" s="1388">
        <f t="shared" si="32"/>
        <v>0.16018718502519799</v>
      </c>
      <c r="AS36" s="451">
        <f t="shared" si="32"/>
        <v>0.16985905312612939</v>
      </c>
      <c r="AT36" s="451">
        <f t="shared" si="32"/>
        <v>0.17020592020592021</v>
      </c>
      <c r="AU36" s="451">
        <f t="shared" si="32"/>
        <v>0.16963109354413702</v>
      </c>
      <c r="AV36" s="451">
        <f t="shared" si="32"/>
        <v>0.15848353014294592</v>
      </c>
      <c r="AW36" s="1388">
        <f t="shared" si="32"/>
        <v>0.16687278423612828</v>
      </c>
      <c r="AX36" s="451">
        <f t="shared" si="32"/>
        <v>0.15588914549653579</v>
      </c>
      <c r="AY36" s="451">
        <f t="shared" si="32"/>
        <v>0.15774726814233678</v>
      </c>
      <c r="AZ36" s="451">
        <f t="shared" si="32"/>
        <v>0.15931014323297282</v>
      </c>
      <c r="BA36" s="451">
        <f t="shared" si="32"/>
        <v>0.15416782826874825</v>
      </c>
      <c r="BB36" s="1388">
        <f t="shared" si="32"/>
        <v>0.15675521686489566</v>
      </c>
      <c r="BC36" s="451">
        <f t="shared" si="32"/>
        <v>0.15832805573147563</v>
      </c>
      <c r="BD36" s="451">
        <f t="shared" si="32"/>
        <v>0.17130691123485098</v>
      </c>
      <c r="BE36" s="451">
        <f t="shared" si="32"/>
        <v>0.16857335127860026</v>
      </c>
      <c r="BF36" s="451">
        <f t="shared" si="32"/>
        <v>0.15612340292926144</v>
      </c>
      <c r="BG36" s="1388">
        <f t="shared" si="32"/>
        <v>0.16341187863137507</v>
      </c>
      <c r="BH36" s="451">
        <f t="shared" si="32"/>
        <v>0.16261879619852165</v>
      </c>
      <c r="BI36" s="451">
        <f t="shared" si="32"/>
        <v>0.16193961573650503</v>
      </c>
      <c r="BJ36" s="451">
        <f t="shared" si="32"/>
        <v>0.17337461300309598</v>
      </c>
      <c r="BK36" s="451">
        <f t="shared" si="32"/>
        <v>0.15955369595536958</v>
      </c>
      <c r="BL36" s="1388">
        <f t="shared" si="32"/>
        <v>0.16428295322767686</v>
      </c>
      <c r="BM36" s="451">
        <f t="shared" si="32"/>
        <v>0.15036547163243996</v>
      </c>
      <c r="BN36" s="451">
        <f t="shared" si="32"/>
        <v>0.13705738705738707</v>
      </c>
      <c r="BO36" s="451">
        <f t="shared" ref="BO36:CE36" si="33">(BO35)/(BO12)</f>
        <v>0.14930217461863032</v>
      </c>
      <c r="BP36" s="451">
        <f t="shared" si="33"/>
        <v>0.15426601551278368</v>
      </c>
      <c r="BQ36" s="1388">
        <f t="shared" si="33"/>
        <v>0.14774604673117772</v>
      </c>
      <c r="BR36" s="451">
        <f t="shared" si="33"/>
        <v>0.13958060288335516</v>
      </c>
      <c r="BS36" s="451">
        <f t="shared" si="33"/>
        <v>0.12880765883376849</v>
      </c>
      <c r="BT36" s="451">
        <f t="shared" si="33"/>
        <v>0.1152770005595971</v>
      </c>
      <c r="BU36" s="451">
        <f t="shared" si="33"/>
        <v>0.10357234644050373</v>
      </c>
      <c r="BV36" s="1388">
        <f t="shared" si="33"/>
        <v>0.12066743053566313</v>
      </c>
      <c r="BW36" s="451">
        <f t="shared" si="33"/>
        <v>0.12139917695473251</v>
      </c>
      <c r="BX36" s="451">
        <f t="shared" si="33"/>
        <v>0.12886313465783664</v>
      </c>
      <c r="BY36" s="451">
        <f t="shared" si="33"/>
        <v>0.14353219137625517</v>
      </c>
      <c r="BZ36" s="451">
        <f t="shared" si="33"/>
        <v>0.12130105160185864</v>
      </c>
      <c r="CA36" s="1388">
        <f t="shared" si="33"/>
        <v>0.128404937590511</v>
      </c>
      <c r="CB36" s="451">
        <f t="shared" si="33"/>
        <v>0.12916791829378191</v>
      </c>
      <c r="CC36" s="451">
        <f t="shared" si="33"/>
        <v>0.14448775055679286</v>
      </c>
      <c r="CD36" s="451">
        <f t="shared" si="33"/>
        <v>0.15656565656565657</v>
      </c>
      <c r="CE36" s="451">
        <f t="shared" si="33"/>
        <v>0.13820531941337311</v>
      </c>
      <c r="CF36" s="1388">
        <f>(CF35-CF33)/(CF12)</f>
        <v>0.14212848083815827</v>
      </c>
      <c r="CG36" s="451">
        <f>(CG35)/(CG12)</f>
        <v>0.12965186074429771</v>
      </c>
      <c r="CH36" s="451">
        <f>(CH35)/(CH12)</f>
        <v>0.13298884960565679</v>
      </c>
      <c r="CI36" s="451">
        <f>(CI35)/(CI12)</f>
        <v>0.13636363636363635</v>
      </c>
      <c r="CJ36" s="1890">
        <f>CJ35/(CJ12+142)</f>
        <v>0.13840743531775937</v>
      </c>
      <c r="CK36" s="1397">
        <f>(CK35)/(CK12+CJ14*CE12)</f>
        <v>0.1372309899569584</v>
      </c>
      <c r="CL36" s="451">
        <f>(CL35)/(CL12)</f>
        <v>0.11566332218506131</v>
      </c>
      <c r="CM36" s="451">
        <f>(CM35)/(CM12)</f>
        <v>0.11854183057959612</v>
      </c>
      <c r="CN36" s="451">
        <f>(CN35)/(CN12)</f>
        <v>0.11825192802056556</v>
      </c>
      <c r="CO36" s="451">
        <f>(CO35)/(CO12)</f>
        <v>0.11773547094188377</v>
      </c>
      <c r="CP36" s="1388">
        <f>(CP35-CP33)/(CP12)</f>
        <v>0.12394252719215791</v>
      </c>
      <c r="CQ36" s="451">
        <f>(CQ35)/(CQ12)</f>
        <v>0.10457690260777008</v>
      </c>
      <c r="CR36" s="451">
        <f>(CR35)/(CR12)</f>
        <v>0.10024570024570024</v>
      </c>
      <c r="CS36" s="451">
        <f>(CS35)/(CS12)</f>
        <v>0.10927408938258848</v>
      </c>
      <c r="CT36" s="451">
        <f>(CT35)/(CT12)</f>
        <v>9.5451508210297104E-2</v>
      </c>
      <c r="CU36" s="1388">
        <f>(CU35-CU33)/(CU12)</f>
        <v>0.11454033296550266</v>
      </c>
      <c r="CV36" s="451">
        <f>(CV35)/(CV12)</f>
        <v>9.0373055887782702E-2</v>
      </c>
      <c r="CW36" s="451">
        <f>(CW35)/(CW12)</f>
        <v>8.6853549029138485E-2</v>
      </c>
      <c r="CX36" s="451">
        <f>(CX35)/(CX12)</f>
        <v>0.10332718800185035</v>
      </c>
      <c r="CY36" s="451">
        <f>(CY35)/(CY12)</f>
        <v>8.3100075298275067E-2</v>
      </c>
      <c r="CZ36" s="1388">
        <f>(CZ35-CZ33)/(CZ12)</f>
        <v>8.9350880016848197E-2</v>
      </c>
      <c r="DA36" s="1388">
        <f>(DA35-DA33)/(DA12)</f>
        <v>0.1086478261100725</v>
      </c>
      <c r="DB36" s="1388">
        <f>(DB35-DB33)/(DB12)</f>
        <v>0.11490451980190737</v>
      </c>
      <c r="DC36" s="1388">
        <f>(DC35-DC33)/(DC12)</f>
        <v>0.11302589607665292</v>
      </c>
      <c r="DD36" s="2008"/>
      <c r="DF36" s="1178" t="s">
        <v>134</v>
      </c>
      <c r="DG36" s="1178">
        <v>175</v>
      </c>
      <c r="DH36" s="1178">
        <f>DG36</f>
        <v>175</v>
      </c>
      <c r="DI36" s="1178">
        <f>CP97</f>
        <v>175</v>
      </c>
      <c r="DJ36" s="1178">
        <v>300</v>
      </c>
      <c r="DK36" s="1896">
        <f>$CU$97</f>
        <v>35</v>
      </c>
    </row>
    <row r="37" spans="1:116" s="1178" customFormat="1" ht="11.25">
      <c r="A37" s="1396"/>
      <c r="B37" s="1396"/>
      <c r="C37" s="1395"/>
      <c r="D37" s="1394" t="s">
        <v>1010</v>
      </c>
      <c r="E37" s="1393"/>
      <c r="F37" s="1392"/>
      <c r="G37" s="1391"/>
      <c r="H37" s="1391"/>
      <c r="I37" s="1391"/>
      <c r="J37" s="1391"/>
      <c r="K37" s="1391"/>
      <c r="L37" s="1391"/>
      <c r="M37" s="1391"/>
      <c r="N37" s="1388"/>
      <c r="O37" s="1390"/>
      <c r="P37" s="1390"/>
      <c r="Q37" s="1390"/>
      <c r="R37" s="1390"/>
      <c r="S37" s="1388">
        <f t="shared" ref="S37:AX37" si="34">(S35-N35)/(S12-N12)</f>
        <v>0.54632587859424919</v>
      </c>
      <c r="T37" s="1390">
        <f t="shared" si="34"/>
        <v>0.42105263157894735</v>
      </c>
      <c r="U37" s="1390">
        <f t="shared" si="34"/>
        <v>1.2195121951219513E-2</v>
      </c>
      <c r="V37" s="1390">
        <f t="shared" si="34"/>
        <v>0.16666666666666666</v>
      </c>
      <c r="W37" s="1390">
        <f t="shared" si="34"/>
        <v>0.10204081632653061</v>
      </c>
      <c r="X37" s="1388">
        <f t="shared" si="34"/>
        <v>0.26470588235294118</v>
      </c>
      <c r="Y37" s="1390">
        <f t="shared" si="34"/>
        <v>0.44954128440366975</v>
      </c>
      <c r="Z37" s="1390">
        <f t="shared" si="34"/>
        <v>-1.1095890410958904</v>
      </c>
      <c r="AA37" s="1390">
        <f t="shared" si="34"/>
        <v>2.9130434782608696</v>
      </c>
      <c r="AB37" s="1390">
        <f t="shared" si="34"/>
        <v>0.25925925925925924</v>
      </c>
      <c r="AC37" s="1388">
        <f t="shared" si="34"/>
        <v>1.5571428571428572</v>
      </c>
      <c r="AD37" s="1390">
        <f t="shared" si="34"/>
        <v>-0.10096153846153846</v>
      </c>
      <c r="AE37" s="1390">
        <f t="shared" si="34"/>
        <v>0.35606060606060608</v>
      </c>
      <c r="AF37" s="1390">
        <f t="shared" si="34"/>
        <v>0.17427385892116182</v>
      </c>
      <c r="AG37" s="1390">
        <f t="shared" si="34"/>
        <v>0.11794871794871795</v>
      </c>
      <c r="AH37" s="1388">
        <f t="shared" si="34"/>
        <v>0.11403508771929824</v>
      </c>
      <c r="AI37" s="1390">
        <f t="shared" si="34"/>
        <v>1.2567567567567568</v>
      </c>
      <c r="AJ37" s="1390">
        <f t="shared" si="34"/>
        <v>0.26943005181347152</v>
      </c>
      <c r="AK37" s="1390">
        <f t="shared" si="34"/>
        <v>0.18471337579617833</v>
      </c>
      <c r="AL37" s="1390">
        <f t="shared" si="34"/>
        <v>0.11547344110854503</v>
      </c>
      <c r="AM37" s="1388">
        <f t="shared" si="34"/>
        <v>0.25504032258064518</v>
      </c>
      <c r="AN37" s="1390">
        <f t="shared" si="34"/>
        <v>0.12072072072072072</v>
      </c>
      <c r="AO37" s="1390">
        <f t="shared" si="34"/>
        <v>0.21145374449339208</v>
      </c>
      <c r="AP37" s="1390">
        <f t="shared" si="34"/>
        <v>0.20448179271708683</v>
      </c>
      <c r="AQ37" s="1390">
        <f t="shared" si="34"/>
        <v>0.12416851441241686</v>
      </c>
      <c r="AR37" s="1388">
        <f t="shared" si="34"/>
        <v>0.16070445789763346</v>
      </c>
      <c r="AS37" s="1390">
        <f t="shared" si="34"/>
        <v>0.26633165829145727</v>
      </c>
      <c r="AT37" s="1390">
        <f t="shared" si="34"/>
        <v>0.16535433070866143</v>
      </c>
      <c r="AU37" s="1390">
        <f t="shared" si="34"/>
        <v>0.22264150943396227</v>
      </c>
      <c r="AV37" s="1390">
        <f t="shared" si="34"/>
        <v>0.40116279069767441</v>
      </c>
      <c r="AW37" s="1388">
        <f t="shared" si="34"/>
        <v>0.23992133726647</v>
      </c>
      <c r="AX37" s="1390">
        <f t="shared" si="34"/>
        <v>0.10043041606886657</v>
      </c>
      <c r="AY37" s="1390">
        <f t="shared" ref="AY37:CD37" si="35">(AY35-AT35)/(AY12-AT12)</f>
        <v>7.3752711496746198E-2</v>
      </c>
      <c r="AZ37" s="1390">
        <f t="shared" si="35"/>
        <v>7.792207792207792E-2</v>
      </c>
      <c r="BA37" s="1390">
        <f t="shared" si="35"/>
        <v>0.11653116531165311</v>
      </c>
      <c r="BB37" s="1388">
        <f t="shared" si="35"/>
        <v>9.2573221757322174E-2</v>
      </c>
      <c r="BC37" s="1390">
        <f t="shared" si="35"/>
        <v>0.13071895424836602</v>
      </c>
      <c r="BD37" s="1390">
        <f t="shared" si="35"/>
        <v>7.7519379844961239E-2</v>
      </c>
      <c r="BE37" s="1390">
        <f t="shared" si="35"/>
        <v>9.7995545657015584E-2</v>
      </c>
      <c r="BF37" s="1390">
        <f t="shared" si="35"/>
        <v>0.13756613756613756</v>
      </c>
      <c r="BG37" s="1388">
        <f t="shared" si="35"/>
        <v>0.10673135233474833</v>
      </c>
      <c r="BH37" s="1390">
        <f t="shared" si="35"/>
        <v>0.11987381703470032</v>
      </c>
      <c r="BI37" s="1390">
        <f t="shared" si="35"/>
        <v>3.5398230088495575E-2</v>
      </c>
      <c r="BJ37" s="451">
        <f t="shared" si="35"/>
        <v>0.22868217054263565</v>
      </c>
      <c r="BK37" s="1390">
        <f t="shared" si="35"/>
        <v>0.18882978723404256</v>
      </c>
      <c r="BL37" s="1388">
        <f t="shared" si="35"/>
        <v>0.18416206261510129</v>
      </c>
      <c r="BM37" s="1390">
        <f t="shared" si="35"/>
        <v>-0.9375</v>
      </c>
      <c r="BN37" s="1390">
        <f t="shared" si="35"/>
        <v>27.333333333333332</v>
      </c>
      <c r="BO37" s="1390">
        <f t="shared" si="35"/>
        <v>0.67114093959731547</v>
      </c>
      <c r="BP37" s="1390">
        <f t="shared" si="35"/>
        <v>0.33653846153846156</v>
      </c>
      <c r="BQ37" s="1388">
        <f t="shared" si="35"/>
        <v>1.1026785714285714</v>
      </c>
      <c r="BR37" s="1390">
        <f t="shared" si="35"/>
        <v>-3.3519553072625698E-2</v>
      </c>
      <c r="BS37" s="1390">
        <f t="shared" si="35"/>
        <v>-2.9239766081871343E-2</v>
      </c>
      <c r="BT37" s="1390">
        <f t="shared" si="35"/>
        <v>-9.7363083164300201E-2</v>
      </c>
      <c r="BU37" s="1390">
        <f t="shared" si="35"/>
        <v>-0.32682926829268294</v>
      </c>
      <c r="BV37" s="1388">
        <f t="shared" si="35"/>
        <v>-0.15403032721468476</v>
      </c>
      <c r="BW37" s="451">
        <f t="shared" si="35"/>
        <v>-3.7142857142857144E-2</v>
      </c>
      <c r="BX37" s="451">
        <f t="shared" si="35"/>
        <v>0.12994350282485875</v>
      </c>
      <c r="BY37" s="451">
        <f t="shared" si="35"/>
        <v>-0.39361702127659576</v>
      </c>
      <c r="BZ37" s="451">
        <f t="shared" si="35"/>
        <v>0.46969696969696972</v>
      </c>
      <c r="CA37" s="1388">
        <f t="shared" si="35"/>
        <v>0.32960893854748602</v>
      </c>
      <c r="CB37" s="451">
        <f t="shared" si="35"/>
        <v>-0.23287671232876711</v>
      </c>
      <c r="CC37" s="451">
        <f t="shared" si="35"/>
        <v>-1.625</v>
      </c>
      <c r="CD37" s="451">
        <f t="shared" si="35"/>
        <v>0.4044943820224719</v>
      </c>
      <c r="CE37" s="451">
        <f t="shared" ref="CE37:CN37" si="36">(CE35-BZ35)/(CE12-BZ12)</f>
        <v>-0.90909090909090906</v>
      </c>
      <c r="CF37" s="1388">
        <f t="shared" si="36"/>
        <v>28.714285714285715</v>
      </c>
      <c r="CG37" s="451">
        <f t="shared" si="36"/>
        <v>0.66666666666666663</v>
      </c>
      <c r="CH37" s="451">
        <f t="shared" si="36"/>
        <v>-0.35294117647058826</v>
      </c>
      <c r="CI37" s="451">
        <f t="shared" si="36"/>
        <v>0.35454545454545455</v>
      </c>
      <c r="CJ37" s="451">
        <f t="shared" si="36"/>
        <v>2.717391304347826E-2</v>
      </c>
      <c r="CK37" s="1397">
        <f>(CK35-CF35)/(CK12-CF12)</f>
        <v>0.352112676056338</v>
      </c>
      <c r="CL37" s="451">
        <f t="shared" si="36"/>
        <v>-6.640625E-2</v>
      </c>
      <c r="CM37" s="451">
        <f t="shared" si="36"/>
        <v>-0.27205882352941174</v>
      </c>
      <c r="CN37" s="451">
        <f t="shared" si="36"/>
        <v>-0.10112359550561797</v>
      </c>
      <c r="CO37" s="451">
        <f>(CO35-CJ35)/(CO12-CJ12)</f>
        <v>-0.52941176470588236</v>
      </c>
      <c r="CP37" s="1397">
        <f>CP113</f>
        <v>-0.32709501279006059</v>
      </c>
      <c r="CQ37" s="1153">
        <f>IF(ISERROR((CQ35-CL35)/(CQ12-CL12)),"-",(CQ35-CL35)/(CQ12-CL12))</f>
        <v>-0.12941176470588237</v>
      </c>
      <c r="CR37" s="2215">
        <f>IF(ISERROR((CR35-CM35)/(CR12-CM12)),"-",(CR35-CM35)/(CR12-CM12))</f>
        <v>-0.17120622568093385</v>
      </c>
      <c r="CS37" s="1153">
        <f>IF(ISERROR((CS35-CN35)/(CS12-CN12)),"-",(CS35-CN35)/(CS12-CN12))</f>
        <v>2.4324324324324326E-2</v>
      </c>
      <c r="CT37" s="1153">
        <f>IF(ISERROR((CT35-CO35)/(CT12-CO12)),"-",(CT35-CO35)/(CT12-CO12))</f>
        <v>-0.35258818953321647</v>
      </c>
      <c r="CU37" s="1397">
        <f>CU113</f>
        <v>-0.12757373521220849</v>
      </c>
      <c r="CV37" s="2215">
        <f>IF(ISERROR((CV35-CQ35)/(CV12-CQ12)),"-",(CV35-CQ35)/(CV12-CQ12))</f>
        <v>-8.4304125276575465E-2</v>
      </c>
      <c r="CW37" s="2215">
        <f>IF(ISERROR((CW35-CR35)/(CW12-CR12)),"-",(CW35-CR35)/(CW12-CR12))</f>
        <v>-7.7841499456847832E-2</v>
      </c>
      <c r="CX37" s="2215">
        <f>IF(ISERROR((CX35-CS35)/(CX12-CS12)),"-",(CX35-CS35)/(CX12-CS12))</f>
        <v>0.9710327447133803</v>
      </c>
      <c r="CY37" s="2215">
        <f>IF(ISERROR((CY35-CT35)/(CY12-CT12)),"-",(CY35-CT35)/(CY12-CT12))</f>
        <v>-8.2346437029489211E-2</v>
      </c>
      <c r="CZ37" s="1397">
        <f>CZ113</f>
        <v>-9.0979812747500832E-2</v>
      </c>
      <c r="DA37" s="1397">
        <f>DA113</f>
        <v>0.37632500731684643</v>
      </c>
      <c r="DB37" s="1397">
        <f>DB113</f>
        <v>0.19101823622338746</v>
      </c>
      <c r="DC37" s="1397">
        <f>DC113</f>
        <v>7.753858491285795E-2</v>
      </c>
      <c r="DD37" s="1854"/>
      <c r="DF37" s="1178" t="s">
        <v>266</v>
      </c>
      <c r="DG37" s="1178">
        <v>75</v>
      </c>
      <c r="DH37" s="1178">
        <v>100</v>
      </c>
      <c r="DI37" s="1855">
        <f>CP100</f>
        <v>-58</v>
      </c>
      <c r="DJ37" s="1178">
        <v>50</v>
      </c>
      <c r="DK37" s="1855">
        <f>$CU$100</f>
        <v>-18.133078345393642</v>
      </c>
    </row>
    <row r="38" spans="1:116" s="1178" customFormat="1" ht="11.25">
      <c r="A38" s="1396"/>
      <c r="B38" s="1396"/>
      <c r="C38" s="1395"/>
      <c r="D38" s="1394" t="s">
        <v>282</v>
      </c>
      <c r="E38" s="1393"/>
      <c r="F38" s="1392"/>
      <c r="G38" s="1391"/>
      <c r="H38" s="1391"/>
      <c r="I38" s="1391"/>
      <c r="J38" s="1391"/>
      <c r="K38" s="1391"/>
      <c r="L38" s="1391"/>
      <c r="M38" s="1391"/>
      <c r="N38" s="1388"/>
      <c r="O38" s="1390"/>
      <c r="P38" s="1390"/>
      <c r="Q38" s="1390"/>
      <c r="R38" s="1390"/>
      <c r="S38" s="1388">
        <f t="shared" ref="S38:BI38" si="37">IF(ISERROR(S36/N36-1),"-",S36/N36-1)</f>
        <v>4.5571037895559385E-2</v>
      </c>
      <c r="T38" s="1390">
        <f t="shared" si="37"/>
        <v>-5.3739383952338682E-2</v>
      </c>
      <c r="U38" s="1390">
        <f t="shared" si="37"/>
        <v>-9.4881964117091711E-3</v>
      </c>
      <c r="V38" s="1390">
        <f t="shared" si="37"/>
        <v>-5.5689225112498519E-3</v>
      </c>
      <c r="W38" s="1390">
        <f t="shared" si="37"/>
        <v>2.4857954545454586E-2</v>
      </c>
      <c r="X38" s="1388">
        <f t="shared" si="37"/>
        <v>-1.551872763673956E-2</v>
      </c>
      <c r="Y38" s="1390">
        <f t="shared" si="37"/>
        <v>-7.742280064964091E-2</v>
      </c>
      <c r="Z38" s="1390">
        <f t="shared" si="37"/>
        <v>-0.22710625517177963</v>
      </c>
      <c r="AA38" s="1390">
        <f t="shared" si="37"/>
        <v>-0.14571591494668423</v>
      </c>
      <c r="AB38" s="1390">
        <f t="shared" si="37"/>
        <v>5.1731955646546313E-2</v>
      </c>
      <c r="AC38" s="1388">
        <f t="shared" si="37"/>
        <v>-9.0998096952525698E-2</v>
      </c>
      <c r="AD38" s="1390">
        <f t="shared" si="37"/>
        <v>-0.16872771711101642</v>
      </c>
      <c r="AE38" s="1390">
        <f t="shared" si="37"/>
        <v>0.10713468687446381</v>
      </c>
      <c r="AF38" s="1390">
        <f t="shared" si="37"/>
        <v>2.3851889510252411E-2</v>
      </c>
      <c r="AG38" s="1390">
        <f t="shared" si="37"/>
        <v>1.9347563107366739E-2</v>
      </c>
      <c r="AH38" s="1388">
        <f t="shared" si="37"/>
        <v>2.319734041702004E-2</v>
      </c>
      <c r="AI38" s="1390">
        <f t="shared" si="37"/>
        <v>0.31180401321372186</v>
      </c>
      <c r="AJ38" s="1390">
        <f t="shared" si="37"/>
        <v>6.4727578602517433E-2</v>
      </c>
      <c r="AK38" s="1390">
        <f t="shared" si="37"/>
        <v>2.517366643298713E-2</v>
      </c>
      <c r="AL38" s="1390">
        <f t="shared" si="37"/>
        <v>-4.250999338567274E-2</v>
      </c>
      <c r="AM38" s="1388">
        <f t="shared" si="37"/>
        <v>2.640511255895861E-2</v>
      </c>
      <c r="AN38" s="1390">
        <f t="shared" si="37"/>
        <v>-6.6064753004005272E-2</v>
      </c>
      <c r="AO38" s="1390">
        <f t="shared" si="37"/>
        <v>4.9780473542849757E-2</v>
      </c>
      <c r="AP38" s="1390">
        <f t="shared" si="37"/>
        <v>3.7210270867705786E-2</v>
      </c>
      <c r="AQ38" s="1390">
        <f t="shared" si="37"/>
        <v>-2.4144929266399884E-2</v>
      </c>
      <c r="AR38" s="1388">
        <f t="shared" si="37"/>
        <v>6.3164301694573766E-4</v>
      </c>
      <c r="AS38" s="1390">
        <f t="shared" si="37"/>
        <v>4.6038485438609777E-2</v>
      </c>
      <c r="AT38" s="1390">
        <f t="shared" si="37"/>
        <v>-3.9666429151407057E-3</v>
      </c>
      <c r="AU38" s="1390">
        <f t="shared" si="37"/>
        <v>3.0806491690358984E-2</v>
      </c>
      <c r="AV38" s="1390">
        <f t="shared" si="37"/>
        <v>9.465041454742229E-2</v>
      </c>
      <c r="AW38" s="1388">
        <f t="shared" si="37"/>
        <v>4.1736167658346757E-2</v>
      </c>
      <c r="AX38" s="1390">
        <f t="shared" si="37"/>
        <v>-8.2244115768267068E-2</v>
      </c>
      <c r="AY38" s="1390">
        <f t="shared" si="37"/>
        <v>-7.3197524789446744E-2</v>
      </c>
      <c r="AZ38" s="1390">
        <f t="shared" si="37"/>
        <v>-6.0843505135329101E-2</v>
      </c>
      <c r="BA38" s="1390">
        <f t="shared" si="37"/>
        <v>-2.7231232610133493E-2</v>
      </c>
      <c r="BB38" s="1388">
        <f t="shared" si="37"/>
        <v>-6.0630422255770977E-2</v>
      </c>
      <c r="BC38" s="1390">
        <f t="shared" si="37"/>
        <v>1.5645157507095497E-2</v>
      </c>
      <c r="BD38" s="1390">
        <f t="shared" si="37"/>
        <v>8.5958021664623852E-2</v>
      </c>
      <c r="BE38" s="1390">
        <f t="shared" si="37"/>
        <v>5.8145751787323841E-2</v>
      </c>
      <c r="BF38" s="1390">
        <f t="shared" si="37"/>
        <v>1.2684713033021433E-2</v>
      </c>
      <c r="BG38" s="1388">
        <f t="shared" si="37"/>
        <v>4.2465328424869275E-2</v>
      </c>
      <c r="BH38" s="1390">
        <f t="shared" si="37"/>
        <v>2.7100316789862688E-2</v>
      </c>
      <c r="BI38" s="1390">
        <f t="shared" si="37"/>
        <v>-5.46813635878588E-2</v>
      </c>
      <c r="BJ38" s="451">
        <f t="shared" ref="BJ38:CP38" si="38">IF(ISERROR(BJ35/BE35-1),"-",BJ35/BE35-1)</f>
        <v>0.11776447105788423</v>
      </c>
      <c r="BK38" s="1390">
        <f t="shared" si="38"/>
        <v>0.14171656686626743</v>
      </c>
      <c r="BL38" s="1388">
        <f t="shared" si="38"/>
        <v>4.9382716049382713E-2</v>
      </c>
      <c r="BM38" s="1390">
        <f t="shared" si="38"/>
        <v>-6.4935064935064957E-2</v>
      </c>
      <c r="BN38" s="1390">
        <f t="shared" si="38"/>
        <v>-0.15442561205273064</v>
      </c>
      <c r="BO38" s="1390">
        <f t="shared" si="38"/>
        <v>-0.1785714285714286</v>
      </c>
      <c r="BP38" s="1390">
        <f t="shared" si="38"/>
        <v>-6.1188811188811143E-2</v>
      </c>
      <c r="BQ38" s="1388">
        <f t="shared" si="38"/>
        <v>-0.1162352941176471</v>
      </c>
      <c r="BR38" s="1390">
        <f t="shared" si="38"/>
        <v>-1.388888888888884E-2</v>
      </c>
      <c r="BS38" s="1390">
        <f t="shared" si="38"/>
        <v>-1.1135857461024523E-2</v>
      </c>
      <c r="BT38" s="1390">
        <f t="shared" si="38"/>
        <v>-0.10434782608695647</v>
      </c>
      <c r="BU38" s="1390">
        <f t="shared" si="38"/>
        <v>-0.24953445065176905</v>
      </c>
      <c r="BV38" s="1388">
        <f t="shared" si="38"/>
        <v>-0.10276890308839193</v>
      </c>
      <c r="BW38" s="451">
        <f t="shared" si="38"/>
        <v>-3.0516431924882625E-2</v>
      </c>
      <c r="BX38" s="451">
        <f t="shared" si="38"/>
        <v>5.1801801801801828E-2</v>
      </c>
      <c r="BY38" s="451">
        <f t="shared" si="38"/>
        <v>0.17961165048543681</v>
      </c>
      <c r="BZ38" s="451">
        <f t="shared" si="38"/>
        <v>0.23076923076923084</v>
      </c>
      <c r="CA38" s="1388">
        <f t="shared" si="38"/>
        <v>0.10504451038575668</v>
      </c>
      <c r="CB38" s="451">
        <f t="shared" si="38"/>
        <v>4.1162227602905554E-2</v>
      </c>
      <c r="CC38" s="451">
        <f t="shared" si="38"/>
        <v>0.11134903640256955</v>
      </c>
      <c r="CD38" s="451">
        <f t="shared" si="38"/>
        <v>0.14814814814814814</v>
      </c>
      <c r="CE38" s="451">
        <f t="shared" si="38"/>
        <v>0.12096774193548376</v>
      </c>
      <c r="CF38" s="1388">
        <f t="shared" si="38"/>
        <v>0.10794844253490865</v>
      </c>
      <c r="CG38" s="451">
        <f t="shared" si="38"/>
        <v>4.6511627906977715E-3</v>
      </c>
      <c r="CH38" s="451">
        <f t="shared" si="38"/>
        <v>-5.7803468208092457E-2</v>
      </c>
      <c r="CI38" s="451">
        <f t="shared" si="38"/>
        <v>-0.20967741935483875</v>
      </c>
      <c r="CJ38" s="1431">
        <f t="shared" si="38"/>
        <v>-8.9928057553957386E-3</v>
      </c>
      <c r="CK38" s="1397">
        <f t="shared" si="38"/>
        <v>-7.2709646146388751E-2</v>
      </c>
      <c r="CL38" s="451">
        <f t="shared" si="38"/>
        <v>-3.935185185185186E-2</v>
      </c>
      <c r="CM38" s="451">
        <f t="shared" si="38"/>
        <v>-7.5664621676891586E-2</v>
      </c>
      <c r="CN38" s="451">
        <f t="shared" si="38"/>
        <v>-6.1224489795918324E-2</v>
      </c>
      <c r="CO38" s="1431">
        <f t="shared" si="38"/>
        <v>-0.14700544464609799</v>
      </c>
      <c r="CP38" s="1388">
        <f t="shared" si="38"/>
        <v>-8.4683742812336593E-2</v>
      </c>
      <c r="CQ38" s="1431">
        <f t="shared" ref="CQ38:CZ38" si="39">IF(ISERROR(CQ35/CL35-1),"-",CQ35/CL35-1)</f>
        <v>-5.3012048192771055E-2</v>
      </c>
      <c r="CR38" s="1431">
        <f t="shared" si="39"/>
        <v>-9.7345132743362872E-2</v>
      </c>
      <c r="CS38" s="1431">
        <f t="shared" si="39"/>
        <v>2.1739130434782705E-2</v>
      </c>
      <c r="CT38" s="1431">
        <f t="shared" si="39"/>
        <v>-0.14894857869709011</v>
      </c>
      <c r="CU38" s="1388">
        <f t="shared" si="39"/>
        <v>-7.2533313528059584E-2</v>
      </c>
      <c r="CV38" s="1431">
        <f t="shared" si="39"/>
        <v>-6.555153321397611E-2</v>
      </c>
      <c r="CW38" s="1431">
        <f t="shared" si="39"/>
        <v>-6.3141550375226951E-2</v>
      </c>
      <c r="CX38" s="1431">
        <f t="shared" si="39"/>
        <v>-6.0902488305183411E-2</v>
      </c>
      <c r="CY38" s="1431">
        <f t="shared" si="39"/>
        <v>-6.4405320410311884E-2</v>
      </c>
      <c r="CZ38" s="1388">
        <f t="shared" si="39"/>
        <v>-6.3452820362336348E-2</v>
      </c>
      <c r="DA38" s="1388">
        <f>IF(ISERROR(DA35/CZ35-1),"-",DA35/CZ35-1)</f>
        <v>0.30362776158810068</v>
      </c>
      <c r="DB38" s="1388">
        <f>IF(ISERROR(DB35/DA35-1),"-",DB35/DA35-1)</f>
        <v>0.14452259648910082</v>
      </c>
      <c r="DC38" s="1388">
        <f>IF(ISERROR(DC35/DB35-1),"-",DC35/DB35-1)</f>
        <v>3.5722962436234074E-2</v>
      </c>
      <c r="DD38" s="2008"/>
      <c r="DF38" s="1178" t="s">
        <v>1215</v>
      </c>
      <c r="DG38" s="1178">
        <v>0</v>
      </c>
      <c r="DH38" s="1178">
        <v>25</v>
      </c>
      <c r="DI38" s="1855">
        <f>CP101</f>
        <v>194.40666666666667</v>
      </c>
      <c r="DK38" s="1855">
        <f>$CU$101</f>
        <v>157.42662772739985</v>
      </c>
    </row>
    <row r="39" spans="1:116" s="1178" customFormat="1" ht="11.25">
      <c r="A39" s="1396"/>
      <c r="B39" s="1396"/>
      <c r="C39" s="1395"/>
      <c r="D39" s="1394"/>
      <c r="E39" s="1393"/>
      <c r="F39" s="1392"/>
      <c r="G39" s="1391"/>
      <c r="H39" s="1391"/>
      <c r="I39" s="1391"/>
      <c r="J39" s="1391"/>
      <c r="K39" s="1391"/>
      <c r="L39" s="1391"/>
      <c r="M39" s="1391"/>
      <c r="N39" s="1388"/>
      <c r="O39" s="1390"/>
      <c r="P39" s="1390"/>
      <c r="Q39" s="1390"/>
      <c r="R39" s="1390"/>
      <c r="S39" s="1388"/>
      <c r="T39" s="1390"/>
      <c r="U39" s="1390"/>
      <c r="V39" s="1390"/>
      <c r="W39" s="1390"/>
      <c r="X39" s="1388"/>
      <c r="Y39" s="1390"/>
      <c r="Z39" s="1390"/>
      <c r="AA39" s="1390"/>
      <c r="AB39" s="1390"/>
      <c r="AC39" s="1388"/>
      <c r="AD39" s="1390"/>
      <c r="AE39" s="1390"/>
      <c r="AF39" s="1390"/>
      <c r="AG39" s="1390"/>
      <c r="AH39" s="1388"/>
      <c r="AI39" s="1390"/>
      <c r="AJ39" s="1390"/>
      <c r="AK39" s="1390"/>
      <c r="AL39" s="1390"/>
      <c r="AM39" s="1388"/>
      <c r="AN39" s="1390"/>
      <c r="AO39" s="1390"/>
      <c r="AP39" s="1390"/>
      <c r="AQ39" s="1390"/>
      <c r="AR39" s="1388"/>
      <c r="AS39" s="1390"/>
      <c r="AT39" s="1390"/>
      <c r="AU39" s="1390"/>
      <c r="AV39" s="1390"/>
      <c r="AW39" s="1388"/>
      <c r="AX39" s="1390"/>
      <c r="AY39" s="1390"/>
      <c r="AZ39" s="1390"/>
      <c r="BA39" s="1390"/>
      <c r="BB39" s="1388"/>
      <c r="BC39" s="1390"/>
      <c r="BD39" s="1390"/>
      <c r="BE39" s="1390"/>
      <c r="BF39" s="1390"/>
      <c r="BG39" s="1388"/>
      <c r="BH39" s="1390"/>
      <c r="BI39" s="1390"/>
      <c r="BJ39" s="451"/>
      <c r="BK39" s="1390"/>
      <c r="BL39" s="1388"/>
      <c r="BM39" s="1390"/>
      <c r="BN39" s="1390"/>
      <c r="BO39" s="1390"/>
      <c r="BP39" s="1390"/>
      <c r="BQ39" s="1388"/>
      <c r="BR39" s="1390"/>
      <c r="BS39" s="1390"/>
      <c r="BT39" s="1390"/>
      <c r="BU39" s="1390"/>
      <c r="BV39" s="1388"/>
      <c r="BW39" s="451"/>
      <c r="BX39" s="451"/>
      <c r="BY39" s="1390"/>
      <c r="BZ39" s="1390"/>
      <c r="CA39" s="1388"/>
      <c r="CB39" s="1431"/>
      <c r="CC39" s="1431"/>
      <c r="CD39" s="1431"/>
      <c r="CE39" s="1431"/>
      <c r="CF39" s="1388"/>
      <c r="CG39" s="1431"/>
      <c r="CH39" s="1431"/>
      <c r="CI39" s="1431"/>
      <c r="CJ39" s="1431"/>
      <c r="CK39" s="1388"/>
      <c r="CL39" s="1909">
        <f>CL35-CG35</f>
        <v>-17</v>
      </c>
      <c r="CM39" s="1909">
        <f>CM35-CH35</f>
        <v>-37</v>
      </c>
      <c r="CN39" s="1909">
        <f>CN35-CI35</f>
        <v>-27</v>
      </c>
      <c r="CO39" s="1909">
        <f>CO35-CJ35</f>
        <v>-81</v>
      </c>
      <c r="CP39" s="1388"/>
      <c r="CQ39" s="1431"/>
      <c r="CR39" s="1431"/>
      <c r="CS39" s="1431"/>
      <c r="CT39" s="1431"/>
      <c r="CU39" s="1388"/>
      <c r="CV39" s="1431"/>
      <c r="CW39" s="1431"/>
      <c r="CX39" s="1431"/>
      <c r="CY39" s="1431"/>
      <c r="CZ39" s="1388"/>
      <c r="DA39" s="1388"/>
      <c r="DB39" s="1388"/>
      <c r="DC39" s="1388"/>
      <c r="DD39" s="2008"/>
      <c r="DF39" s="1178" t="s">
        <v>1270</v>
      </c>
      <c r="DG39" s="1178">
        <v>-225</v>
      </c>
      <c r="DH39" s="1178">
        <v>-225</v>
      </c>
      <c r="DI39" s="1855">
        <f>CP96+CP103+CP98</f>
        <v>-476.46202588156069</v>
      </c>
      <c r="DJ39" s="1855">
        <f>DI39-DH39</f>
        <v>-251.46202588156069</v>
      </c>
      <c r="DK39" s="1855">
        <f>CU96+CU103+CU98</f>
        <v>-291.19938136963856</v>
      </c>
    </row>
    <row r="40" spans="1:116" s="1178" customFormat="1" ht="12" customHeight="1">
      <c r="A40" s="1363"/>
      <c r="B40" s="1363"/>
      <c r="C40" s="1387" t="s">
        <v>222</v>
      </c>
      <c r="D40" s="1386"/>
      <c r="E40" s="1363"/>
      <c r="F40" s="1363"/>
      <c r="G40" s="1363"/>
      <c r="H40" s="1363"/>
      <c r="I40" s="1363"/>
      <c r="J40" s="1363"/>
      <c r="K40" s="1363"/>
      <c r="L40" s="1363"/>
      <c r="M40" s="1363"/>
      <c r="N40" s="1286"/>
      <c r="O40" s="1363"/>
      <c r="P40" s="1363"/>
      <c r="Q40" s="1363"/>
      <c r="R40" s="1363"/>
      <c r="S40" s="1286"/>
      <c r="T40" s="1363"/>
      <c r="U40" s="1363"/>
      <c r="V40" s="1363"/>
      <c r="W40" s="1363"/>
      <c r="X40" s="1286">
        <v>257</v>
      </c>
      <c r="Y40" s="1363"/>
      <c r="Z40" s="1363"/>
      <c r="AA40" s="1363"/>
      <c r="AB40" s="1363"/>
      <c r="AC40" s="1286">
        <v>192</v>
      </c>
      <c r="AD40" s="1363"/>
      <c r="AE40" s="1363"/>
      <c r="AF40" s="1363"/>
      <c r="AG40" s="1363"/>
      <c r="AH40" s="1286">
        <v>244</v>
      </c>
      <c r="AI40" s="1384">
        <v>40</v>
      </c>
      <c r="AJ40" s="1384">
        <v>40</v>
      </c>
      <c r="AK40" s="1384">
        <v>75.75</v>
      </c>
      <c r="AL40" s="1384">
        <v>147.25</v>
      </c>
      <c r="AM40" s="1286">
        <v>303</v>
      </c>
      <c r="AN40" s="1384">
        <v>50</v>
      </c>
      <c r="AO40" s="1384">
        <f>$AR40/4</f>
        <v>83.75</v>
      </c>
      <c r="AP40" s="1384">
        <f>$AR40/4</f>
        <v>83.75</v>
      </c>
      <c r="AQ40" s="1384">
        <f>AR40-AP40-AO40-AN40</f>
        <v>117.5</v>
      </c>
      <c r="AR40" s="1286">
        <v>335</v>
      </c>
      <c r="AS40" s="1384">
        <v>55</v>
      </c>
      <c r="AT40" s="1384">
        <f>$AW40/4</f>
        <v>96</v>
      </c>
      <c r="AU40" s="1384">
        <f>$AW40/4</f>
        <v>96</v>
      </c>
      <c r="AV40" s="1384">
        <f>AW40-AU40-AT40-AS40</f>
        <v>137</v>
      </c>
      <c r="AW40" s="1286">
        <v>384</v>
      </c>
      <c r="AX40" s="1384">
        <f>$BB40/4</f>
        <v>103</v>
      </c>
      <c r="AY40" s="1384">
        <f>$BB40/4</f>
        <v>103</v>
      </c>
      <c r="AZ40" s="1384">
        <f>$BB40/4</f>
        <v>103</v>
      </c>
      <c r="BA40" s="1384">
        <f>BB40-AZ40-AY40-AX40</f>
        <v>103</v>
      </c>
      <c r="BB40" s="1286">
        <v>412</v>
      </c>
      <c r="BC40" s="1384">
        <f>$BG40/4</f>
        <v>72</v>
      </c>
      <c r="BD40" s="1384">
        <f>$BG40/4</f>
        <v>72</v>
      </c>
      <c r="BE40" s="1384">
        <f>$BG40/4</f>
        <v>72</v>
      </c>
      <c r="BF40" s="1384">
        <f>BG40-BE40-BD40-BC40</f>
        <v>72</v>
      </c>
      <c r="BG40" s="1286">
        <v>288</v>
      </c>
      <c r="BH40" s="1384">
        <f>$BL40/4</f>
        <v>80.25</v>
      </c>
      <c r="BI40" s="1384">
        <f>$BL40/4</f>
        <v>80.25</v>
      </c>
      <c r="BJ40" s="1384">
        <f>$BL40/4</f>
        <v>80.25</v>
      </c>
      <c r="BK40" s="1384">
        <f>BL40-BJ40-BI40-BH40</f>
        <v>80.25</v>
      </c>
      <c r="BL40" s="1286">
        <v>321</v>
      </c>
      <c r="BM40" s="1384">
        <f>$BQ$40/4</f>
        <v>72.5</v>
      </c>
      <c r="BN40" s="1384">
        <f>$BQ$40/4</f>
        <v>72.5</v>
      </c>
      <c r="BO40" s="1384">
        <f>$BQ$40/4</f>
        <v>72.5</v>
      </c>
      <c r="BP40" s="1384">
        <f>$BQ$40/4</f>
        <v>72.5</v>
      </c>
      <c r="BQ40" s="1286">
        <v>290</v>
      </c>
      <c r="BR40" s="1384">
        <f>$BV$40/4</f>
        <v>115.5</v>
      </c>
      <c r="BS40" s="1384">
        <f>$BV$40/4</f>
        <v>115.5</v>
      </c>
      <c r="BT40" s="1384">
        <f>$BV$40/4</f>
        <v>115.5</v>
      </c>
      <c r="BU40" s="1384">
        <f>$BV$40/4</f>
        <v>115.5</v>
      </c>
      <c r="BV40" s="1286">
        <v>462</v>
      </c>
      <c r="BW40" s="1384">
        <f>$CA$40/4</f>
        <v>154.25</v>
      </c>
      <c r="BX40" s="1384">
        <f>$CA$40/4</f>
        <v>154.25</v>
      </c>
      <c r="BY40" s="1384">
        <f>$CA$40/4</f>
        <v>154.25</v>
      </c>
      <c r="BZ40" s="1384">
        <f>$CA$40/4</f>
        <v>154.25</v>
      </c>
      <c r="CA40" s="1286">
        <v>617</v>
      </c>
      <c r="CB40" s="1690">
        <f>$CF$40/4</f>
        <v>172.75</v>
      </c>
      <c r="CC40" s="1690">
        <f>$CF$40/4</f>
        <v>172.75</v>
      </c>
      <c r="CD40" s="1690">
        <f>$CF$40/4</f>
        <v>172.75</v>
      </c>
      <c r="CE40" s="1690">
        <f>$CF$40/4</f>
        <v>172.75</v>
      </c>
      <c r="CF40" s="1286">
        <v>691</v>
      </c>
      <c r="CG40" s="1690">
        <f>CK$40/4</f>
        <v>173</v>
      </c>
      <c r="CH40" s="1690">
        <f>+CG40</f>
        <v>173</v>
      </c>
      <c r="CI40" s="1690">
        <f>+CH40</f>
        <v>173</v>
      </c>
      <c r="CJ40" s="1767">
        <f>+CK40-SUM(CG40:CI40)</f>
        <v>173</v>
      </c>
      <c r="CK40" s="1286">
        <v>692</v>
      </c>
      <c r="CL40" s="1690">
        <f>CP$40/4</f>
        <v>181.25</v>
      </c>
      <c r="CM40" s="1690">
        <f>+CL40</f>
        <v>181.25</v>
      </c>
      <c r="CN40" s="1690">
        <f>+CM40</f>
        <v>181.25</v>
      </c>
      <c r="CO40" s="1767">
        <f>+CP40-SUM(CL40:CN40)</f>
        <v>181.25</v>
      </c>
      <c r="CP40" s="1286">
        <v>725</v>
      </c>
      <c r="CQ40" s="1690">
        <f>CU$40/4</f>
        <v>198.61935539340922</v>
      </c>
      <c r="CR40" s="1690">
        <f>+CQ40</f>
        <v>198.61935539340922</v>
      </c>
      <c r="CS40" s="1690">
        <f>+CR40</f>
        <v>198.61935539340922</v>
      </c>
      <c r="CT40" s="1767">
        <f>+CU40-SUM(CQ40:CS40)</f>
        <v>198.61935539340925</v>
      </c>
      <c r="CU40" s="1286">
        <f>CU41*CU12</f>
        <v>794.47742157363689</v>
      </c>
      <c r="CV40" s="1690">
        <f>CZ$40/4</f>
        <v>170.2218442071532</v>
      </c>
      <c r="CW40" s="1690">
        <f>+CV40</f>
        <v>170.2218442071532</v>
      </c>
      <c r="CX40" s="1690">
        <f>+CW40</f>
        <v>170.2218442071532</v>
      </c>
      <c r="CY40" s="1767">
        <f>+CZ40-SUM(CV40:CX40)</f>
        <v>170.2218442071532</v>
      </c>
      <c r="CZ40" s="1286">
        <f>CZ41*CZ12</f>
        <v>680.88737682861279</v>
      </c>
      <c r="DA40" s="1286">
        <f>DA41*DA12</f>
        <v>638.726197690091</v>
      </c>
      <c r="DB40" s="1286">
        <f>DB41*DB12</f>
        <v>592.48347259601201</v>
      </c>
      <c r="DC40" s="1286">
        <f>DC41*DC12</f>
        <v>623.84830334643459</v>
      </c>
      <c r="DD40" s="1384"/>
      <c r="DF40" s="1178" t="s">
        <v>1157</v>
      </c>
      <c r="DG40" s="1178">
        <v>-150</v>
      </c>
      <c r="DH40" s="1178">
        <v>-150</v>
      </c>
      <c r="DI40" s="1855">
        <f>CP102</f>
        <v>-151.24</v>
      </c>
      <c r="DK40" s="1855">
        <f>$CU$102</f>
        <v>56.600000000000009</v>
      </c>
    </row>
    <row r="41" spans="1:116" s="1178" customFormat="1" ht="12" customHeight="1" thickBot="1">
      <c r="A41" s="1156"/>
      <c r="B41" s="1156"/>
      <c r="C41" s="1382"/>
      <c r="D41" s="1382" t="s">
        <v>293</v>
      </c>
      <c r="E41" s="1381"/>
      <c r="F41" s="1381"/>
      <c r="G41" s="1381"/>
      <c r="H41" s="1381"/>
      <c r="I41" s="1381"/>
      <c r="J41" s="1381"/>
      <c r="K41" s="1381"/>
      <c r="L41" s="1381"/>
      <c r="M41" s="1381"/>
      <c r="N41" s="1376"/>
      <c r="O41" s="1381"/>
      <c r="P41" s="1381"/>
      <c r="Q41" s="1381"/>
      <c r="R41" s="1565"/>
      <c r="S41" s="1376"/>
      <c r="T41" s="1381"/>
      <c r="U41" s="1381"/>
      <c r="V41" s="1381"/>
      <c r="W41" s="1565"/>
      <c r="X41" s="1378">
        <v>3.3616742969260954E-2</v>
      </c>
      <c r="Y41" s="1381"/>
      <c r="Z41" s="1381"/>
      <c r="AA41" s="1381"/>
      <c r="AB41" s="1379"/>
      <c r="AC41" s="1378">
        <v>2.558294470353098E-2</v>
      </c>
      <c r="AD41" s="1379"/>
      <c r="AE41" s="1379"/>
      <c r="AF41" s="1379"/>
      <c r="AG41" s="1379"/>
      <c r="AH41" s="1378">
        <v>2.9386968565578705E-2</v>
      </c>
      <c r="AI41" s="1379">
        <v>1.987083954297069E-2</v>
      </c>
      <c r="AJ41" s="1379">
        <v>1.7597888253409591E-2</v>
      </c>
      <c r="AK41" s="1379">
        <v>3.1379453189726597E-2</v>
      </c>
      <c r="AL41" s="1379">
        <v>5.6743737957610792E-2</v>
      </c>
      <c r="AM41" s="1378">
        <v>3.2598171059709524E-2</v>
      </c>
      <c r="AN41" s="1379">
        <f t="shared" ref="AN41:BS41" si="40">AN40/AN12</f>
        <v>1.9470404984423675E-2</v>
      </c>
      <c r="AO41" s="1379">
        <f t="shared" si="40"/>
        <v>3.071140447378071E-2</v>
      </c>
      <c r="AP41" s="1379">
        <f t="shared" si="40"/>
        <v>3.0223745940093829E-2</v>
      </c>
      <c r="AQ41" s="1379">
        <f t="shared" si="40"/>
        <v>3.8575180564674981E-2</v>
      </c>
      <c r="AR41" s="1378">
        <f t="shared" si="40"/>
        <v>3.0147588192944566E-2</v>
      </c>
      <c r="AS41" s="1379">
        <f t="shared" si="40"/>
        <v>1.9877123238164075E-2</v>
      </c>
      <c r="AT41" s="1379">
        <f t="shared" si="40"/>
        <v>3.0888030888030889E-2</v>
      </c>
      <c r="AU41" s="1379">
        <f t="shared" si="40"/>
        <v>3.1620553359683792E-2</v>
      </c>
      <c r="AV41" s="1379">
        <f t="shared" si="40"/>
        <v>4.257302672467371E-2</v>
      </c>
      <c r="AW41" s="1378">
        <f t="shared" si="40"/>
        <v>3.1659658669304973E-2</v>
      </c>
      <c r="AX41" s="1379">
        <f t="shared" si="40"/>
        <v>2.9734411085450347E-2</v>
      </c>
      <c r="AY41" s="1379">
        <f t="shared" si="40"/>
        <v>2.885962454469039E-2</v>
      </c>
      <c r="AZ41" s="1379">
        <f t="shared" si="40"/>
        <v>3.0108155510084771E-2</v>
      </c>
      <c r="BA41" s="1379">
        <f t="shared" si="40"/>
        <v>2.8714803456927795E-2</v>
      </c>
      <c r="BB41" s="1378">
        <f t="shared" si="40"/>
        <v>2.9342639413147211E-2</v>
      </c>
      <c r="BC41" s="1379">
        <f t="shared" si="40"/>
        <v>2.2799240025332488E-2</v>
      </c>
      <c r="BD41" s="1379">
        <f t="shared" si="40"/>
        <v>2.3583360628889615E-2</v>
      </c>
      <c r="BE41" s="1379">
        <f t="shared" si="40"/>
        <v>2.4226110363391656E-2</v>
      </c>
      <c r="BF41" s="1379">
        <f t="shared" si="40"/>
        <v>2.2436896229354939E-2</v>
      </c>
      <c r="BG41" s="1378">
        <f t="shared" si="40"/>
        <v>2.3240800516462233E-2</v>
      </c>
      <c r="BH41" s="1379">
        <f t="shared" si="40"/>
        <v>2.8247096092925028E-2</v>
      </c>
      <c r="BI41" s="1379">
        <f t="shared" si="40"/>
        <v>2.4473924977127172E-2</v>
      </c>
      <c r="BJ41" s="1379">
        <f t="shared" si="40"/>
        <v>2.4845201238390093E-2</v>
      </c>
      <c r="BK41" s="1379">
        <f t="shared" si="40"/>
        <v>2.2384937238493725E-2</v>
      </c>
      <c r="BL41" s="1378">
        <f t="shared" si="40"/>
        <v>2.4816389640510243E-2</v>
      </c>
      <c r="BM41" s="1379">
        <f t="shared" si="40"/>
        <v>2.5234946049425687E-2</v>
      </c>
      <c r="BN41" s="1379">
        <f t="shared" si="40"/>
        <v>2.2130647130647132E-2</v>
      </c>
      <c r="BO41" s="1379">
        <f t="shared" si="40"/>
        <v>2.3531320999675431E-2</v>
      </c>
      <c r="BP41" s="1379">
        <f t="shared" si="40"/>
        <v>2.0827348463085319E-2</v>
      </c>
      <c r="BQ41" s="1378">
        <f t="shared" si="40"/>
        <v>2.2814884745496027E-2</v>
      </c>
      <c r="BR41" s="1380">
        <f t="shared" si="40"/>
        <v>3.7844036697247709E-2</v>
      </c>
      <c r="BS41" s="1380">
        <f t="shared" si="40"/>
        <v>3.3507397737162749E-2</v>
      </c>
      <c r="BT41" s="1380">
        <f t="shared" ref="BT41:CJ41" si="41">BT40/BT12</f>
        <v>3.2316731952993845E-2</v>
      </c>
      <c r="BU41" s="1380">
        <f t="shared" si="41"/>
        <v>2.9683885890516577E-2</v>
      </c>
      <c r="BV41" s="1378">
        <f t="shared" si="41"/>
        <v>3.3085075909481523E-2</v>
      </c>
      <c r="BW41" s="1379">
        <f t="shared" si="41"/>
        <v>4.5340975896531452E-2</v>
      </c>
      <c r="BX41" s="1379">
        <f t="shared" si="41"/>
        <v>4.2563465783664461E-2</v>
      </c>
      <c r="BY41" s="1379">
        <f t="shared" si="41"/>
        <v>4.5555227406969878E-2</v>
      </c>
      <c r="BZ41" s="1379">
        <f t="shared" si="41"/>
        <v>3.7723159696747374E-2</v>
      </c>
      <c r="CA41" s="1378">
        <f t="shared" si="41"/>
        <v>4.2548789738638716E-2</v>
      </c>
      <c r="CB41" s="1766">
        <f t="shared" si="41"/>
        <v>5.1892460198257738E-2</v>
      </c>
      <c r="CC41" s="1766">
        <f t="shared" si="41"/>
        <v>4.8092984409799554E-2</v>
      </c>
      <c r="CD41" s="1766">
        <f t="shared" si="41"/>
        <v>4.8470819304152639E-2</v>
      </c>
      <c r="CE41" s="1766">
        <f t="shared" si="41"/>
        <v>4.2940591598309721E-2</v>
      </c>
      <c r="CF41" s="1378">
        <f t="shared" si="41"/>
        <v>4.762889440308795E-2</v>
      </c>
      <c r="CG41" s="1766">
        <f t="shared" si="41"/>
        <v>5.192076830732293E-2</v>
      </c>
      <c r="CH41" s="1766">
        <f t="shared" si="41"/>
        <v>4.704922491161273E-2</v>
      </c>
      <c r="CI41" s="1766">
        <f t="shared" si="41"/>
        <v>5.3494124922696354E-2</v>
      </c>
      <c r="CJ41" s="1766">
        <f t="shared" si="41"/>
        <v>4.5063818702787181E-2</v>
      </c>
      <c r="CK41" s="1378">
        <f t="shared" ref="CK41:CT41" si="42">CK40/CK12</f>
        <v>4.9140747052975428E-2</v>
      </c>
      <c r="CL41" s="1766">
        <f t="shared" si="42"/>
        <v>5.0515607580824975E-2</v>
      </c>
      <c r="CM41" s="1766">
        <f t="shared" si="42"/>
        <v>4.7534749541043794E-2</v>
      </c>
      <c r="CN41" s="1766">
        <f t="shared" si="42"/>
        <v>5.1770922593544703E-2</v>
      </c>
      <c r="CO41" s="1766">
        <f t="shared" si="42"/>
        <v>4.5403306613226453E-2</v>
      </c>
      <c r="CP41" s="1378">
        <f t="shared" si="42"/>
        <v>4.8677319726064185E-2</v>
      </c>
      <c r="CQ41" s="1766">
        <f t="shared" si="42"/>
        <v>5.2852409631029593E-2</v>
      </c>
      <c r="CR41" s="1766">
        <f t="shared" si="42"/>
        <v>4.8800824420985066E-2</v>
      </c>
      <c r="CS41" s="1766">
        <f t="shared" si="42"/>
        <v>5.1309572563526022E-2</v>
      </c>
      <c r="CT41" s="1766">
        <f t="shared" si="42"/>
        <v>4.7396983626700612E-2</v>
      </c>
      <c r="CU41" s="1376">
        <v>0.05</v>
      </c>
      <c r="CV41" s="1766">
        <f>CV40/CV12</f>
        <v>4.1889613477905853E-2</v>
      </c>
      <c r="CW41" s="1766">
        <f>CW40/CW12</f>
        <v>3.8678419520877201E-2</v>
      </c>
      <c r="CX41" s="1766">
        <f>CX40/CX12</f>
        <v>4.4277067003133892E-2</v>
      </c>
      <c r="CY41" s="1766">
        <f>CY40/CY12</f>
        <v>3.7798564439335762E-2</v>
      </c>
      <c r="CZ41" s="1376">
        <v>0.04</v>
      </c>
      <c r="DA41" s="1376">
        <v>3.5000000000000003E-2</v>
      </c>
      <c r="DB41" s="1376">
        <v>0.03</v>
      </c>
      <c r="DC41" s="1376">
        <v>0.03</v>
      </c>
      <c r="DD41" s="1982"/>
      <c r="DF41" s="1178" t="s">
        <v>150</v>
      </c>
      <c r="DG41" s="1178">
        <v>75</v>
      </c>
      <c r="DH41" s="1178">
        <v>75</v>
      </c>
      <c r="DI41" s="1855">
        <f>CP106</f>
        <v>50.694208829364833</v>
      </c>
      <c r="DK41" s="1178">
        <v>0</v>
      </c>
      <c r="DL41" s="2325">
        <f>$CZ$106</f>
        <v>-25</v>
      </c>
    </row>
    <row r="42" spans="1:116" s="1178" customFormat="1" ht="12" customHeight="1">
      <c r="A42" s="1418"/>
      <c r="B42" s="1418"/>
      <c r="C42" s="1756"/>
      <c r="D42" s="1744"/>
      <c r="E42" s="1418"/>
      <c r="F42" s="1417"/>
      <c r="G42" s="1417"/>
      <c r="H42" s="1417"/>
      <c r="I42" s="1417"/>
      <c r="J42" s="1417"/>
      <c r="K42" s="1417"/>
      <c r="L42" s="1417"/>
      <c r="M42" s="1417"/>
      <c r="N42" s="1417"/>
      <c r="O42" s="1417"/>
      <c r="P42" s="1417"/>
      <c r="Q42" s="1417"/>
      <c r="R42" s="1417"/>
      <c r="S42" s="1417"/>
      <c r="T42" s="1417"/>
      <c r="U42" s="1417"/>
      <c r="V42" s="1417"/>
      <c r="W42" s="1417"/>
      <c r="X42" s="1417"/>
      <c r="Y42" s="1417"/>
      <c r="Z42" s="1417"/>
      <c r="AA42" s="1417"/>
      <c r="AB42" s="1417"/>
      <c r="AC42" s="1417"/>
      <c r="AD42" s="1417"/>
      <c r="AE42" s="1417"/>
      <c r="AF42" s="1417"/>
      <c r="AG42" s="1417"/>
      <c r="AH42" s="1417"/>
      <c r="AI42" s="1417"/>
      <c r="AJ42" s="1417"/>
      <c r="AK42" s="1417"/>
      <c r="AL42" s="1417"/>
      <c r="AM42" s="1417"/>
      <c r="AN42" s="1417"/>
      <c r="AO42" s="1417"/>
      <c r="AP42" s="1417"/>
      <c r="AQ42" s="1417"/>
      <c r="AR42" s="1417"/>
      <c r="AS42" s="1417"/>
      <c r="AT42" s="1417"/>
      <c r="AU42" s="1390"/>
      <c r="AV42" s="1390"/>
      <c r="AW42" s="1390"/>
      <c r="AX42" s="1422"/>
      <c r="AY42" s="1422"/>
      <c r="AZ42" s="1422"/>
      <c r="BA42" s="1422"/>
      <c r="BB42" s="1390"/>
      <c r="BC42" s="1422"/>
      <c r="BD42" s="1422"/>
      <c r="BE42" s="1422"/>
      <c r="BF42" s="1422"/>
      <c r="BG42" s="1417"/>
      <c r="BH42" s="1422"/>
      <c r="BI42" s="1422"/>
      <c r="BJ42" s="1425"/>
      <c r="BK42" s="1422"/>
      <c r="BL42" s="1417"/>
      <c r="BM42" s="1417"/>
      <c r="BN42" s="1417"/>
      <c r="BO42" s="1417"/>
      <c r="BP42" s="1417"/>
      <c r="BQ42" s="1743"/>
      <c r="BR42" s="1417"/>
      <c r="BS42" s="1417"/>
      <c r="BT42" s="1417"/>
      <c r="BU42" s="1417"/>
      <c r="BV42" s="1743"/>
      <c r="BW42" s="1417"/>
      <c r="BX42" s="1417"/>
      <c r="BY42" s="1705"/>
      <c r="BZ42" s="1417"/>
      <c r="CA42" s="1743"/>
      <c r="CB42" s="1432"/>
      <c r="CC42" s="1432"/>
      <c r="CD42" s="1432"/>
      <c r="CE42" s="1432"/>
      <c r="CF42" s="1743"/>
      <c r="CG42" s="1432"/>
      <c r="CH42" s="1432"/>
      <c r="CI42" s="1432"/>
      <c r="CJ42" s="1432"/>
      <c r="CK42" s="1743"/>
      <c r="CL42" s="1432"/>
      <c r="CM42" s="1432"/>
      <c r="CN42" s="1432"/>
      <c r="CO42" s="1432"/>
      <c r="CP42" s="1743"/>
      <c r="CQ42" s="1432"/>
      <c r="CR42" s="1432"/>
      <c r="CS42" s="1432"/>
      <c r="CT42" s="1432"/>
      <c r="CU42" s="1743"/>
      <c r="CV42" s="1432"/>
      <c r="CW42" s="1432"/>
      <c r="CX42" s="1432"/>
      <c r="CY42" s="1432"/>
      <c r="CZ42" s="1743"/>
      <c r="DA42" s="1743"/>
      <c r="DB42" s="1743"/>
      <c r="DC42" s="1743"/>
      <c r="DD42" s="1982"/>
      <c r="DF42" s="1178" t="s">
        <v>250</v>
      </c>
      <c r="DK42" s="1855">
        <f>CU104</f>
        <v>33.299999999999997</v>
      </c>
    </row>
    <row r="43" spans="1:116" s="1178" customFormat="1" ht="12" customHeight="1">
      <c r="A43" s="1418"/>
      <c r="B43" s="1418"/>
      <c r="C43" s="1756" t="s">
        <v>1009</v>
      </c>
      <c r="D43" s="1744"/>
      <c r="E43" s="1418"/>
      <c r="F43" s="1417"/>
      <c r="G43" s="1417"/>
      <c r="H43" s="1417"/>
      <c r="I43" s="1417"/>
      <c r="J43" s="1417"/>
      <c r="K43" s="1417"/>
      <c r="L43" s="1417"/>
      <c r="M43" s="1417"/>
      <c r="N43" s="1417"/>
      <c r="O43" s="1417"/>
      <c r="P43" s="1417"/>
      <c r="Q43" s="1417"/>
      <c r="R43" s="1417"/>
      <c r="S43" s="1417"/>
      <c r="T43" s="1417"/>
      <c r="U43" s="1417"/>
      <c r="V43" s="1417"/>
      <c r="W43" s="1417"/>
      <c r="X43" s="1417"/>
      <c r="Y43" s="1417"/>
      <c r="Z43" s="1417"/>
      <c r="AA43" s="1417"/>
      <c r="AB43" s="1417"/>
      <c r="AC43" s="1417"/>
      <c r="AD43" s="1417"/>
      <c r="AE43" s="1417"/>
      <c r="AF43" s="1417"/>
      <c r="AG43" s="1417"/>
      <c r="AH43" s="1417"/>
      <c r="AI43" s="1417"/>
      <c r="AJ43" s="1417"/>
      <c r="AK43" s="1417"/>
      <c r="AL43" s="1417"/>
      <c r="AM43" s="1417"/>
      <c r="AN43" s="1417"/>
      <c r="AO43" s="1417"/>
      <c r="AP43" s="1417"/>
      <c r="AQ43" s="1417"/>
      <c r="AR43" s="1417"/>
      <c r="AS43" s="1417"/>
      <c r="AT43" s="1417"/>
      <c r="AU43" s="1390"/>
      <c r="AV43" s="1390"/>
      <c r="AW43" s="1390"/>
      <c r="AX43" s="1422"/>
      <c r="AY43" s="1422"/>
      <c r="AZ43" s="1422"/>
      <c r="BA43" s="1422"/>
      <c r="BB43" s="1390"/>
      <c r="BC43" s="1422"/>
      <c r="BD43" s="1422"/>
      <c r="BE43" s="1422"/>
      <c r="BF43" s="1422"/>
      <c r="BG43" s="1417"/>
      <c r="BH43" s="1422"/>
      <c r="BI43" s="1422"/>
      <c r="BJ43" s="1425"/>
      <c r="BK43" s="1422"/>
      <c r="BL43" s="1417"/>
      <c r="BM43" s="1417"/>
      <c r="BN43" s="1417"/>
      <c r="BO43" s="1417"/>
      <c r="BP43" s="1417"/>
      <c r="BQ43" s="1743"/>
      <c r="BR43" s="1417"/>
      <c r="BS43" s="1417"/>
      <c r="BT43" s="1417"/>
      <c r="BU43" s="1417"/>
      <c r="BV43" s="1743"/>
      <c r="BW43" s="1417"/>
      <c r="BX43" s="1417"/>
      <c r="BY43" s="1705"/>
      <c r="BZ43" s="1417"/>
      <c r="CA43" s="1743"/>
      <c r="CB43" s="1432" t="s">
        <v>1252</v>
      </c>
      <c r="CC43" s="1432"/>
      <c r="CD43" s="1432"/>
      <c r="CE43" s="1432"/>
      <c r="CF43" s="1743"/>
      <c r="CG43" s="1432"/>
      <c r="CH43" s="1432"/>
      <c r="CI43" s="1432"/>
      <c r="CJ43" s="1432"/>
      <c r="CK43" s="1743"/>
      <c r="CL43" s="1432"/>
      <c r="CM43" s="1432"/>
      <c r="CN43" s="1432"/>
      <c r="CO43" s="1432"/>
      <c r="CP43" s="1743"/>
      <c r="CQ43" s="1432"/>
      <c r="CR43" s="1432"/>
      <c r="CS43" s="1432"/>
      <c r="CT43" s="1432"/>
      <c r="CU43" s="1743"/>
      <c r="CV43" s="1432"/>
      <c r="CW43" s="1432"/>
      <c r="CX43" s="1432"/>
      <c r="CY43" s="1432"/>
      <c r="CZ43" s="1743"/>
      <c r="DA43" s="1743"/>
      <c r="DB43" s="1743"/>
      <c r="DC43" s="1743"/>
      <c r="DD43" s="1982"/>
      <c r="DF43" s="1234" t="s">
        <v>1030</v>
      </c>
      <c r="DG43" s="1234" t="s">
        <v>288</v>
      </c>
      <c r="DH43" s="1234">
        <f>SUM(DH36:DH41)</f>
        <v>0</v>
      </c>
      <c r="DI43" s="1907">
        <f>SUM(DI36:DI41)</f>
        <v>-265.60115038552925</v>
      </c>
      <c r="DJ43" s="1907"/>
      <c r="DK43" s="1907">
        <f>SUM(DK36:DK42)</f>
        <v>-27.005831987632348</v>
      </c>
    </row>
    <row r="44" spans="1:116" s="1178" customFormat="1" ht="12" customHeight="1">
      <c r="A44" s="1418"/>
      <c r="B44" s="1418"/>
      <c r="C44" s="1756"/>
      <c r="D44" s="1744"/>
      <c r="E44" s="1418"/>
      <c r="F44" s="1417"/>
      <c r="G44" s="1417"/>
      <c r="H44" s="1417"/>
      <c r="I44" s="1417"/>
      <c r="J44" s="1417"/>
      <c r="K44" s="1417"/>
      <c r="L44" s="1417"/>
      <c r="M44" s="1417"/>
      <c r="N44" s="1417"/>
      <c r="O44" s="1417"/>
      <c r="P44" s="1417"/>
      <c r="Q44" s="1417"/>
      <c r="R44" s="1417"/>
      <c r="S44" s="1417"/>
      <c r="T44" s="1417"/>
      <c r="U44" s="1417"/>
      <c r="V44" s="1417"/>
      <c r="W44" s="1417"/>
      <c r="X44" s="1417"/>
      <c r="Y44" s="1417"/>
      <c r="Z44" s="1417"/>
      <c r="AA44" s="1417"/>
      <c r="AB44" s="1417"/>
      <c r="AC44" s="1417"/>
      <c r="AD44" s="1417"/>
      <c r="AE44" s="1417"/>
      <c r="AF44" s="1417"/>
      <c r="AG44" s="1417"/>
      <c r="AH44" s="1417"/>
      <c r="AI44" s="1417"/>
      <c r="AJ44" s="1417"/>
      <c r="AK44" s="1417"/>
      <c r="AL44" s="1417"/>
      <c r="AM44" s="1417"/>
      <c r="AN44" s="1417"/>
      <c r="AO44" s="1417"/>
      <c r="AP44" s="1417"/>
      <c r="AQ44" s="1417"/>
      <c r="AR44" s="1417"/>
      <c r="AS44" s="1417"/>
      <c r="AT44" s="1417"/>
      <c r="AU44" s="1390"/>
      <c r="AV44" s="1390"/>
      <c r="AW44" s="1390"/>
      <c r="AX44" s="1422"/>
      <c r="AY44" s="1422"/>
      <c r="AZ44" s="1422"/>
      <c r="BA44" s="1422"/>
      <c r="BB44" s="1390"/>
      <c r="BC44" s="1422"/>
      <c r="BD44" s="1422"/>
      <c r="BE44" s="1422"/>
      <c r="BF44" s="1422"/>
      <c r="BG44" s="1417"/>
      <c r="BH44" s="1422"/>
      <c r="BI44" s="1422"/>
      <c r="BJ44" s="1425"/>
      <c r="BK44" s="1422"/>
      <c r="BL44" s="1417"/>
      <c r="BM44" s="1417"/>
      <c r="BN44" s="1417"/>
      <c r="BO44" s="1417"/>
      <c r="BP44" s="1417"/>
      <c r="BQ44" s="1743"/>
      <c r="BR44" s="1417"/>
      <c r="BS44" s="1417"/>
      <c r="BT44" s="1417"/>
      <c r="BU44" s="1417"/>
      <c r="BV44" s="1743"/>
      <c r="BW44" s="1417"/>
      <c r="BX44" s="1417"/>
      <c r="BY44" s="1417"/>
      <c r="BZ44" s="1417"/>
      <c r="CA44" s="1765"/>
      <c r="CB44" s="1432"/>
      <c r="CC44" s="1432"/>
      <c r="CD44" s="1432"/>
      <c r="CE44" s="1432"/>
      <c r="CF44" s="1765"/>
      <c r="CG44" s="1432"/>
      <c r="CH44" s="1432"/>
      <c r="CI44" s="1432"/>
      <c r="CJ44" s="1432"/>
      <c r="CK44" s="1765"/>
      <c r="CL44" s="1432"/>
      <c r="CM44" s="1432"/>
      <c r="CN44" s="1432"/>
      <c r="CO44" s="1432"/>
      <c r="CP44" s="1765"/>
      <c r="CQ44" s="1432"/>
      <c r="CR44" s="1432"/>
      <c r="CS44" s="1432"/>
      <c r="CT44" s="1432"/>
      <c r="CU44" s="1765"/>
      <c r="CV44" s="1432"/>
      <c r="CW44" s="1432"/>
      <c r="CX44" s="1432"/>
      <c r="CY44" s="1432"/>
      <c r="CZ44" s="1765"/>
      <c r="DA44" s="1765"/>
      <c r="DB44" s="1765"/>
      <c r="DC44" s="1765"/>
      <c r="DD44" s="2009"/>
    </row>
    <row r="45" spans="1:116" s="1178" customFormat="1" ht="11.25">
      <c r="A45" s="1182"/>
      <c r="B45" s="1182"/>
      <c r="C45" s="1182" t="s">
        <v>1251</v>
      </c>
      <c r="D45" s="1182"/>
      <c r="E45" s="1182"/>
      <c r="F45" s="1182"/>
      <c r="G45" s="1182"/>
      <c r="H45" s="1182"/>
      <c r="I45" s="1182"/>
      <c r="J45" s="1182"/>
      <c r="K45" s="1182"/>
      <c r="L45" s="1182"/>
      <c r="M45" s="1182"/>
      <c r="N45" s="1356"/>
      <c r="O45" s="1356"/>
      <c r="P45" s="1356"/>
      <c r="Q45" s="1356"/>
      <c r="R45" s="1356"/>
      <c r="S45" s="1356"/>
      <c r="T45" s="1356"/>
      <c r="U45" s="1356"/>
      <c r="V45" s="1356"/>
      <c r="W45" s="1356"/>
      <c r="X45" s="1356"/>
      <c r="Y45" s="1356"/>
      <c r="Z45" s="1356"/>
      <c r="AA45" s="1356"/>
      <c r="AB45" s="1356"/>
      <c r="AC45" s="1356"/>
      <c r="AD45" s="1356"/>
      <c r="AE45" s="1356"/>
      <c r="AF45" s="1356"/>
      <c r="AG45" s="1356"/>
      <c r="AH45" s="1356">
        <v>2906.05</v>
      </c>
      <c r="AI45" s="1356"/>
      <c r="AJ45" s="1356"/>
      <c r="AK45" s="1356"/>
      <c r="AL45" s="1356"/>
      <c r="AM45" s="1356">
        <v>0</v>
      </c>
      <c r="AN45" s="1356"/>
      <c r="AO45" s="1356"/>
      <c r="AP45" s="1356"/>
      <c r="AQ45" s="1356"/>
      <c r="AR45" s="1356">
        <v>3951</v>
      </c>
      <c r="AS45" s="1356"/>
      <c r="AT45" s="1356"/>
      <c r="AU45" s="1356"/>
      <c r="AV45" s="1356"/>
      <c r="AW45" s="1356">
        <v>4184</v>
      </c>
      <c r="AX45" s="1356"/>
      <c r="AY45" s="1356"/>
      <c r="AZ45" s="1356"/>
      <c r="BA45" s="1356"/>
      <c r="BB45" s="1356">
        <f>4170+1076</f>
        <v>5246</v>
      </c>
      <c r="BC45" s="1356"/>
      <c r="BD45" s="1356"/>
      <c r="BE45" s="1356"/>
      <c r="BF45" s="1356"/>
      <c r="BG45" s="1356">
        <f>3425+878</f>
        <v>4303</v>
      </c>
      <c r="BH45" s="1356"/>
      <c r="BI45" s="1356"/>
      <c r="BJ45" s="1356"/>
      <c r="BK45" s="1356"/>
      <c r="BL45" s="1356">
        <v>5100</v>
      </c>
      <c r="BM45" s="1356"/>
      <c r="BN45" s="1356"/>
      <c r="BO45" s="1356"/>
      <c r="BP45" s="1356"/>
      <c r="BQ45" s="1316">
        <v>5000</v>
      </c>
      <c r="BR45" s="1705"/>
      <c r="BS45" s="1705"/>
      <c r="BT45" s="1705"/>
      <c r="BU45" s="1705"/>
      <c r="BV45" s="1316">
        <f>SUM(BV46:BV47)</f>
        <v>6000</v>
      </c>
      <c r="BW45" s="1764"/>
      <c r="BX45" s="1764"/>
      <c r="BY45" s="1764"/>
      <c r="BZ45" s="1764"/>
      <c r="CA45" s="1658">
        <f>0.5*CA74</f>
        <v>7250.5</v>
      </c>
      <c r="CB45" s="1741"/>
      <c r="CC45" s="1741"/>
      <c r="CD45" s="1741"/>
      <c r="CE45" s="1741"/>
      <c r="CF45" s="1658">
        <f>SUM(CF46:CF47)</f>
        <v>7563.7216000000008</v>
      </c>
      <c r="CG45" s="1737"/>
      <c r="CH45" s="1737"/>
      <c r="CI45" s="1741"/>
      <c r="CJ45" s="1741"/>
      <c r="CK45" s="1658">
        <f>SUM(CK46:CK47)</f>
        <v>7410.3010200000008</v>
      </c>
      <c r="CL45" s="1741"/>
      <c r="CM45" s="1741"/>
      <c r="CN45" s="1741"/>
      <c r="CO45" s="1741"/>
      <c r="CP45" s="1658">
        <f>SUM(CP46:CP47)</f>
        <v>8101.1340978750013</v>
      </c>
      <c r="CQ45" s="1741"/>
      <c r="CR45" s="1741"/>
      <c r="CS45" s="1741"/>
      <c r="CT45" s="1741"/>
      <c r="CU45" s="1658">
        <f>SUM(CU46:CU47)</f>
        <v>8768.7059857031254</v>
      </c>
      <c r="CV45" s="1741"/>
      <c r="CW45" s="1741"/>
      <c r="CX45" s="1741"/>
      <c r="CY45" s="1741"/>
      <c r="CZ45" s="1658">
        <f>SUM(CZ46:CZ47)</f>
        <v>9434.3609062378382</v>
      </c>
      <c r="DA45" s="1658">
        <f>SUM(DA46:DA47)</f>
        <v>10114.325853526349</v>
      </c>
      <c r="DB45" s="1658">
        <f>SUM(DB46:DB47)</f>
        <v>10966.625917063131</v>
      </c>
      <c r="DC45" s="1658">
        <f>SUM(DC46:DC47)</f>
        <v>11723.938439844689</v>
      </c>
      <c r="DD45" s="1705"/>
    </row>
    <row r="46" spans="1:116" s="1178" customFormat="1" ht="12" customHeight="1">
      <c r="A46" s="1762"/>
      <c r="B46" s="1762"/>
      <c r="C46" s="1763" t="s">
        <v>1230</v>
      </c>
      <c r="D46" s="1762"/>
      <c r="E46" s="1762"/>
      <c r="F46" s="1757"/>
      <c r="G46" s="1757"/>
      <c r="H46" s="1757"/>
      <c r="I46" s="1757"/>
      <c r="J46" s="1757"/>
      <c r="K46" s="1757"/>
      <c r="L46" s="1757"/>
      <c r="M46" s="1757"/>
      <c r="N46" s="1757"/>
      <c r="O46" s="1757"/>
      <c r="P46" s="1757"/>
      <c r="Q46" s="1757"/>
      <c r="R46" s="1757"/>
      <c r="S46" s="1757"/>
      <c r="T46" s="1757"/>
      <c r="U46" s="1757"/>
      <c r="V46" s="1757"/>
      <c r="W46" s="1757"/>
      <c r="X46" s="1757"/>
      <c r="Y46" s="1757"/>
      <c r="Z46" s="1757"/>
      <c r="AA46" s="1757"/>
      <c r="AB46" s="1757"/>
      <c r="AC46" s="1757"/>
      <c r="AD46" s="1757"/>
      <c r="AE46" s="1757"/>
      <c r="AF46" s="1757"/>
      <c r="AG46" s="1757"/>
      <c r="AH46" s="1757"/>
      <c r="AI46" s="1757"/>
      <c r="AJ46" s="1757"/>
      <c r="AK46" s="1757"/>
      <c r="AL46" s="1757"/>
      <c r="AM46" s="1757"/>
      <c r="AN46" s="1757"/>
      <c r="AO46" s="1757"/>
      <c r="AP46" s="1757"/>
      <c r="AQ46" s="1757"/>
      <c r="AR46" s="1735"/>
      <c r="AS46" s="1757"/>
      <c r="AT46" s="1757"/>
      <c r="AU46" s="1761"/>
      <c r="AV46" s="1761"/>
      <c r="AW46" s="1735">
        <v>1000</v>
      </c>
      <c r="AX46" s="1758"/>
      <c r="AY46" s="1758"/>
      <c r="AZ46" s="1758"/>
      <c r="BA46" s="1758"/>
      <c r="BB46" s="1735">
        <v>900</v>
      </c>
      <c r="BC46" s="1758"/>
      <c r="BD46" s="1758"/>
      <c r="BE46" s="1758"/>
      <c r="BF46" s="1758"/>
      <c r="BG46" s="1760">
        <v>900</v>
      </c>
      <c r="BH46" s="1758"/>
      <c r="BI46" s="1758"/>
      <c r="BJ46" s="1759"/>
      <c r="BK46" s="1758"/>
      <c r="BL46" s="1735">
        <f>BL45-BL47</f>
        <v>1020</v>
      </c>
      <c r="BM46" s="1757"/>
      <c r="BN46" s="1757"/>
      <c r="BO46" s="1757"/>
      <c r="BP46" s="1757"/>
      <c r="BQ46" s="1736">
        <f>BQ45-BQ47</f>
        <v>1000</v>
      </c>
      <c r="BR46" s="1757"/>
      <c r="BS46" s="1757"/>
      <c r="BT46" s="1757"/>
      <c r="BU46" s="1757"/>
      <c r="BV46" s="1736">
        <v>1800</v>
      </c>
      <c r="BW46" s="1757"/>
      <c r="BX46" s="1757"/>
      <c r="BY46" s="1757"/>
      <c r="BZ46" s="1757"/>
      <c r="CA46" s="1736">
        <f>CA45-CA47</f>
        <v>2465.17</v>
      </c>
      <c r="CB46" s="1732"/>
      <c r="CC46" s="1732"/>
      <c r="CD46" s="1732"/>
      <c r="CE46" s="1732"/>
      <c r="CF46" s="1736">
        <f>CA46*(1+CF50)</f>
        <v>2539.1251000000002</v>
      </c>
      <c r="CG46" s="1691" t="s">
        <v>1250</v>
      </c>
      <c r="CH46" s="1691">
        <v>-0.02</v>
      </c>
      <c r="CI46" s="1732" t="s">
        <v>1340</v>
      </c>
      <c r="CJ46" s="1691">
        <v>-0.15</v>
      </c>
      <c r="CK46" s="1736">
        <f>CF46*(1+CK50)</f>
        <v>2285.2125900000001</v>
      </c>
      <c r="CP46" s="1736">
        <f>CK46*(1+CP50)</f>
        <v>2399.4732195000001</v>
      </c>
      <c r="CQ46" s="1732"/>
      <c r="CR46" s="1732"/>
      <c r="CS46" s="1732"/>
      <c r="CT46" s="1732"/>
      <c r="CU46" s="1736">
        <f>CP46*(1+CU50)</f>
        <v>2639.4205414500002</v>
      </c>
      <c r="CV46" s="1732"/>
      <c r="CW46" s="1732"/>
      <c r="CX46" s="1732"/>
      <c r="CY46" s="1732"/>
      <c r="CZ46" s="1736">
        <f>CU46*(1+CZ50)</f>
        <v>3059.9040442145874</v>
      </c>
      <c r="DA46" s="1736">
        <f t="shared" ref="DA46:DC47" si="43">CZ46*(1+DA50)</f>
        <v>3484.8907170221687</v>
      </c>
      <c r="DB46" s="1736">
        <f t="shared" si="43"/>
        <v>4138.307726463825</v>
      </c>
      <c r="DC46" s="1736">
        <f t="shared" si="43"/>
        <v>4759.0538854333981</v>
      </c>
      <c r="DD46" s="2010"/>
    </row>
    <row r="47" spans="1:116" s="1178" customFormat="1" ht="12" customHeight="1">
      <c r="A47" s="1762"/>
      <c r="B47" s="1762"/>
      <c r="C47" s="1763" t="s">
        <v>650</v>
      </c>
      <c r="D47" s="1762"/>
      <c r="E47" s="1762"/>
      <c r="F47" s="1757"/>
      <c r="G47" s="1757"/>
      <c r="H47" s="1757"/>
      <c r="I47" s="1757"/>
      <c r="J47" s="1757"/>
      <c r="K47" s="1757"/>
      <c r="L47" s="1757"/>
      <c r="M47" s="1757"/>
      <c r="N47" s="1757"/>
      <c r="O47" s="1757"/>
      <c r="P47" s="1757"/>
      <c r="Q47" s="1757"/>
      <c r="R47" s="1757"/>
      <c r="S47" s="1757"/>
      <c r="T47" s="1757"/>
      <c r="U47" s="1757"/>
      <c r="V47" s="1757"/>
      <c r="W47" s="1757"/>
      <c r="X47" s="1757"/>
      <c r="Y47" s="1757"/>
      <c r="Z47" s="1757"/>
      <c r="AA47" s="1757"/>
      <c r="AB47" s="1757"/>
      <c r="AC47" s="1757"/>
      <c r="AD47" s="1757"/>
      <c r="AE47" s="1757"/>
      <c r="AF47" s="1757"/>
      <c r="AG47" s="1757"/>
      <c r="AH47" s="1757"/>
      <c r="AI47" s="1757"/>
      <c r="AJ47" s="1757"/>
      <c r="AK47" s="1757"/>
      <c r="AL47" s="1757"/>
      <c r="AM47" s="1757"/>
      <c r="AN47" s="1757"/>
      <c r="AO47" s="1757"/>
      <c r="AP47" s="1757"/>
      <c r="AQ47" s="1757"/>
      <c r="AR47" s="1735"/>
      <c r="AS47" s="1757"/>
      <c r="AT47" s="1757"/>
      <c r="AU47" s="1761"/>
      <c r="AV47" s="1761"/>
      <c r="AW47" s="1735">
        <v>3500</v>
      </c>
      <c r="AX47" s="1758"/>
      <c r="AY47" s="1758"/>
      <c r="AZ47" s="1758"/>
      <c r="BA47" s="1758"/>
      <c r="BB47" s="1735">
        <v>3400</v>
      </c>
      <c r="BC47" s="1758"/>
      <c r="BD47" s="1758"/>
      <c r="BE47" s="1758"/>
      <c r="BF47" s="1758"/>
      <c r="BG47" s="1760">
        <f>BG45-BG46</f>
        <v>3403</v>
      </c>
      <c r="BH47" s="1758"/>
      <c r="BI47" s="1758"/>
      <c r="BJ47" s="1759"/>
      <c r="BK47" s="1758"/>
      <c r="BL47" s="1735">
        <f>BL45*BL48</f>
        <v>4080</v>
      </c>
      <c r="BM47" s="1757"/>
      <c r="BN47" s="1757"/>
      <c r="BO47" s="1757"/>
      <c r="BP47" s="1757"/>
      <c r="BQ47" s="1736">
        <f>BQ45*BQ48</f>
        <v>4000</v>
      </c>
      <c r="BR47" s="1757"/>
      <c r="BS47" s="1757"/>
      <c r="BT47" s="1757"/>
      <c r="BU47" s="1757"/>
      <c r="BV47" s="1736">
        <v>4200</v>
      </c>
      <c r="BW47" s="1757"/>
      <c r="BX47" s="1757"/>
      <c r="BY47" s="1757"/>
      <c r="BZ47" s="1757"/>
      <c r="CA47" s="1736">
        <f>CA48*CA45</f>
        <v>4785.33</v>
      </c>
      <c r="CB47" s="1732"/>
      <c r="CC47" s="1732"/>
      <c r="CD47" s="1732"/>
      <c r="CE47" s="1732"/>
      <c r="CF47" s="1736">
        <f>CA47*(1+CF51)</f>
        <v>5024.5965000000006</v>
      </c>
      <c r="CG47" s="1691" t="s">
        <v>1249</v>
      </c>
      <c r="CH47" s="1691">
        <v>0.01</v>
      </c>
      <c r="CI47" s="1691">
        <v>0.08</v>
      </c>
      <c r="CJ47" s="1691">
        <v>0.11</v>
      </c>
      <c r="CK47" s="1736">
        <f>CF47*(1+CK51)</f>
        <v>5125.0884300000007</v>
      </c>
      <c r="CL47" s="1732"/>
      <c r="CM47" s="1732"/>
      <c r="CN47" s="1732"/>
      <c r="CO47" s="1732"/>
      <c r="CP47" s="1736">
        <f>CK47*(1+CP51)</f>
        <v>5701.6608783750007</v>
      </c>
      <c r="CQ47" s="1732"/>
      <c r="CR47" s="1732"/>
      <c r="CS47" s="1732"/>
      <c r="CT47" s="1732"/>
      <c r="CU47" s="1736">
        <f>CP47*(1+CU51)</f>
        <v>6129.2854442531252</v>
      </c>
      <c r="CV47" s="1732"/>
      <c r="CW47" s="1732"/>
      <c r="CX47" s="1732"/>
      <c r="CY47" s="1732"/>
      <c r="CZ47" s="1736">
        <f>CU47*(1+CZ51)</f>
        <v>6374.4568620232503</v>
      </c>
      <c r="DA47" s="1736">
        <f t="shared" si="43"/>
        <v>6629.4351365041803</v>
      </c>
      <c r="DB47" s="1736">
        <f t="shared" si="43"/>
        <v>6828.318190599306</v>
      </c>
      <c r="DC47" s="1736">
        <f t="shared" si="43"/>
        <v>6964.8845544112919</v>
      </c>
      <c r="DD47" s="2010"/>
      <c r="DI47" s="1178">
        <v>1913</v>
      </c>
    </row>
    <row r="48" spans="1:116" s="1178" customFormat="1" ht="12" customHeight="1">
      <c r="A48" s="1418"/>
      <c r="B48" s="1418"/>
      <c r="C48" s="1756"/>
      <c r="D48" s="1725" t="s">
        <v>1248</v>
      </c>
      <c r="E48" s="1418"/>
      <c r="F48" s="1417"/>
      <c r="G48" s="1417"/>
      <c r="H48" s="1417"/>
      <c r="I48" s="1417"/>
      <c r="J48" s="1417"/>
      <c r="K48" s="1417"/>
      <c r="L48" s="1417"/>
      <c r="M48" s="1417"/>
      <c r="N48" s="1417"/>
      <c r="O48" s="1417"/>
      <c r="P48" s="1417"/>
      <c r="Q48" s="1417"/>
      <c r="R48" s="1417"/>
      <c r="S48" s="1417"/>
      <c r="T48" s="1417"/>
      <c r="U48" s="1417"/>
      <c r="V48" s="1417"/>
      <c r="W48" s="1417"/>
      <c r="X48" s="1417"/>
      <c r="Y48" s="1417"/>
      <c r="Z48" s="1417"/>
      <c r="AA48" s="1417"/>
      <c r="AB48" s="1417"/>
      <c r="AC48" s="1417"/>
      <c r="AD48" s="1417"/>
      <c r="AE48" s="1417"/>
      <c r="AF48" s="1417"/>
      <c r="AG48" s="1417"/>
      <c r="AH48" s="1417"/>
      <c r="AI48" s="1417"/>
      <c r="AJ48" s="1417"/>
      <c r="AK48" s="1417"/>
      <c r="AL48" s="1417"/>
      <c r="AM48" s="1417"/>
      <c r="AN48" s="1417"/>
      <c r="AO48" s="1417"/>
      <c r="AP48" s="1417"/>
      <c r="AQ48" s="1417"/>
      <c r="AR48" s="1694"/>
      <c r="AS48" s="1417"/>
      <c r="AT48" s="1417"/>
      <c r="AU48" s="1390"/>
      <c r="AV48" s="1390"/>
      <c r="AW48" s="1696">
        <f>AW47/AW45</f>
        <v>0.83652007648183557</v>
      </c>
      <c r="AX48" s="1425"/>
      <c r="AY48" s="1425"/>
      <c r="AZ48" s="1425"/>
      <c r="BA48" s="1425"/>
      <c r="BB48" s="1696">
        <f>BB47/BB45</f>
        <v>0.64811284788410217</v>
      </c>
      <c r="BC48" s="1425"/>
      <c r="BD48" s="1425"/>
      <c r="BE48" s="1425"/>
      <c r="BF48" s="1425"/>
      <c r="BG48" s="1696">
        <f>BG47/BG45</f>
        <v>0.79084359749012312</v>
      </c>
      <c r="BH48" s="1422"/>
      <c r="BI48" s="1422"/>
      <c r="BJ48" s="1425"/>
      <c r="BK48" s="1422"/>
      <c r="BL48" s="1694">
        <v>0.8</v>
      </c>
      <c r="BM48" s="1417"/>
      <c r="BN48" s="1417"/>
      <c r="BO48" s="1417"/>
      <c r="BP48" s="1417"/>
      <c r="BQ48" s="1724">
        <v>0.8</v>
      </c>
      <c r="BR48" s="1417"/>
      <c r="BS48" s="1417"/>
      <c r="BT48" s="1417"/>
      <c r="BU48" s="1417"/>
      <c r="BV48" s="1724">
        <f>BV47/BV45</f>
        <v>0.7</v>
      </c>
      <c r="BW48" s="1417"/>
      <c r="BX48" s="1417"/>
      <c r="BY48" s="1417"/>
      <c r="BZ48" s="1755">
        <v>0.75</v>
      </c>
      <c r="CA48" s="1724">
        <v>0.66</v>
      </c>
      <c r="CB48" s="1432"/>
      <c r="CC48" s="1432"/>
      <c r="CD48" s="1432"/>
      <c r="CE48" s="1754">
        <v>0.75</v>
      </c>
      <c r="CF48" s="1727">
        <f>CF47/CF45</f>
        <v>0.66430214723926384</v>
      </c>
      <c r="CG48" s="1432"/>
      <c r="CH48" s="1432"/>
      <c r="CI48" s="1432"/>
      <c r="CJ48" s="1432"/>
      <c r="CK48" s="1727">
        <f>CK47/CK45</f>
        <v>0.69161676646706594</v>
      </c>
      <c r="CL48" s="1432"/>
      <c r="CM48" s="1432"/>
      <c r="CN48" s="1432"/>
      <c r="CO48" s="1432"/>
      <c r="CP48" s="1727">
        <f>CP47/CP45</f>
        <v>0.7038102084831056</v>
      </c>
      <c r="CQ48" s="1432"/>
      <c r="CR48" s="1432"/>
      <c r="CS48" s="1432"/>
      <c r="CT48" s="1432"/>
      <c r="CU48" s="1727">
        <f>CU47/CU45</f>
        <v>0.69899543378995432</v>
      </c>
      <c r="CV48" s="1432"/>
      <c r="CW48" s="1432"/>
      <c r="CX48" s="1432"/>
      <c r="CY48" s="1432"/>
      <c r="CZ48" s="1727">
        <f>CZ47/CZ45</f>
        <v>0.67566387648034198</v>
      </c>
      <c r="DA48" s="1727">
        <f>DA47/DA45</f>
        <v>0.6554500252918819</v>
      </c>
      <c r="DB48" s="1727">
        <f>DB47/DB45</f>
        <v>0.62264530970961884</v>
      </c>
      <c r="DC48" s="1727">
        <f>DC47/DC45</f>
        <v>0.59407379100018187</v>
      </c>
      <c r="DD48" s="2011"/>
      <c r="DI48" s="1178">
        <v>1751</v>
      </c>
    </row>
    <row r="49" spans="1:113" s="1178" customFormat="1" ht="11.25">
      <c r="A49" s="1418"/>
      <c r="B49" s="1418"/>
      <c r="C49" s="1753"/>
      <c r="D49" s="1744"/>
      <c r="E49" s="1418"/>
      <c r="F49" s="1417"/>
      <c r="G49" s="1417"/>
      <c r="H49" s="1417"/>
      <c r="I49" s="1417"/>
      <c r="J49" s="1417"/>
      <c r="K49" s="1417"/>
      <c r="L49" s="1417"/>
      <c r="M49" s="1417"/>
      <c r="N49" s="1417"/>
      <c r="O49" s="1417"/>
      <c r="P49" s="1417"/>
      <c r="Q49" s="1417"/>
      <c r="R49" s="1417"/>
      <c r="S49" s="1417"/>
      <c r="T49" s="1417"/>
      <c r="U49" s="1417"/>
      <c r="V49" s="1417"/>
      <c r="W49" s="1417"/>
      <c r="X49" s="1417"/>
      <c r="Y49" s="1417"/>
      <c r="Z49" s="1417"/>
      <c r="AA49" s="1417"/>
      <c r="AB49" s="1417"/>
      <c r="AC49" s="1417"/>
      <c r="AD49" s="1417"/>
      <c r="AE49" s="1417"/>
      <c r="AF49" s="1417"/>
      <c r="AG49" s="1417"/>
      <c r="AH49" s="1417"/>
      <c r="AI49" s="1417"/>
      <c r="AJ49" s="1417"/>
      <c r="AK49" s="1417"/>
      <c r="AL49" s="1417"/>
      <c r="AM49" s="1417"/>
      <c r="AN49" s="1417"/>
      <c r="AO49" s="1417"/>
      <c r="AP49" s="1417"/>
      <c r="AQ49" s="1417"/>
      <c r="AR49" s="1417"/>
      <c r="AS49" s="1417"/>
      <c r="AT49" s="1417"/>
      <c r="AU49" s="1390"/>
      <c r="AV49" s="1390"/>
      <c r="AW49" s="1390"/>
      <c r="AX49" s="1422"/>
      <c r="AY49" s="1422"/>
      <c r="AZ49" s="1422"/>
      <c r="BA49" s="1422"/>
      <c r="BB49" s="1390"/>
      <c r="BC49" s="1422"/>
      <c r="BD49" s="1422"/>
      <c r="BE49" s="1422"/>
      <c r="BF49" s="1422"/>
      <c r="BG49" s="1417"/>
      <c r="BH49" s="1422"/>
      <c r="BI49" s="1422"/>
      <c r="BJ49" s="1425"/>
      <c r="BK49" s="1422"/>
      <c r="BL49" s="1417"/>
      <c r="BM49" s="1417"/>
      <c r="BN49" s="1417"/>
      <c r="BO49" s="1417"/>
      <c r="BP49" s="1417"/>
      <c r="BQ49" s="1743"/>
      <c r="BR49" s="1417"/>
      <c r="BS49" s="1417"/>
      <c r="BT49" s="1417"/>
      <c r="BU49" s="1417"/>
      <c r="BV49" s="1743"/>
      <c r="BW49" s="1417"/>
      <c r="BX49" s="1417"/>
      <c r="BY49" s="1417"/>
      <c r="BZ49" s="1417"/>
      <c r="CA49" s="1743"/>
      <c r="CB49" s="1432"/>
      <c r="CC49" s="1432"/>
      <c r="CD49" s="1432"/>
      <c r="CE49" s="1432"/>
      <c r="CF49" s="1743"/>
      <c r="CG49" s="1432"/>
      <c r="CH49" s="1432"/>
      <c r="CI49" s="1432"/>
      <c r="CJ49" s="1432"/>
      <c r="CK49" s="1743"/>
      <c r="CL49" s="1432"/>
      <c r="CM49" s="1432"/>
      <c r="CN49" s="1432"/>
      <c r="CO49" s="1432"/>
      <c r="CP49" s="1743"/>
      <c r="CQ49" s="1432"/>
      <c r="CR49" s="1432"/>
      <c r="CS49" s="1432"/>
      <c r="CT49" s="1432"/>
      <c r="CU49" s="1743"/>
      <c r="CV49" s="1432"/>
      <c r="CW49" s="1432"/>
      <c r="CX49" s="1432"/>
      <c r="CY49" s="1432"/>
      <c r="CZ49" s="1743"/>
      <c r="DA49" s="1743"/>
      <c r="DB49" s="1743"/>
      <c r="DC49" s="1743"/>
      <c r="DD49" s="1982"/>
      <c r="DI49" s="1178">
        <f>DI48/DI47-1</f>
        <v>-8.4683742812336593E-2</v>
      </c>
    </row>
    <row r="50" spans="1:113" s="1178" customFormat="1" ht="12" customHeight="1">
      <c r="A50" s="1418"/>
      <c r="B50" s="1418"/>
      <c r="C50" s="1418"/>
      <c r="D50" s="1725" t="s">
        <v>1247</v>
      </c>
      <c r="E50" s="1418"/>
      <c r="F50" s="1417"/>
      <c r="G50" s="1417"/>
      <c r="H50" s="1417"/>
      <c r="I50" s="1417"/>
      <c r="J50" s="1417"/>
      <c r="K50" s="1417"/>
      <c r="L50" s="1417"/>
      <c r="M50" s="1417"/>
      <c r="N50" s="1417"/>
      <c r="O50" s="1417"/>
      <c r="P50" s="1417"/>
      <c r="Q50" s="1417"/>
      <c r="R50" s="1417"/>
      <c r="S50" s="1417"/>
      <c r="T50" s="1417"/>
      <c r="U50" s="1417"/>
      <c r="V50" s="1417"/>
      <c r="W50" s="1417"/>
      <c r="X50" s="1417"/>
      <c r="Y50" s="1417"/>
      <c r="Z50" s="1417"/>
      <c r="AA50" s="1417"/>
      <c r="AB50" s="1417"/>
      <c r="AC50" s="1417"/>
      <c r="AD50" s="1417"/>
      <c r="AE50" s="1417"/>
      <c r="AF50" s="1417"/>
      <c r="AG50" s="1417"/>
      <c r="AH50" s="1417"/>
      <c r="AI50" s="1417"/>
      <c r="AJ50" s="1417"/>
      <c r="AK50" s="1417"/>
      <c r="AL50" s="1417"/>
      <c r="AM50" s="1417"/>
      <c r="AN50" s="1417"/>
      <c r="AO50" s="1417"/>
      <c r="AP50" s="1417"/>
      <c r="AQ50" s="1417"/>
      <c r="AR50" s="1417"/>
      <c r="AS50" s="1417"/>
      <c r="AT50" s="1417"/>
      <c r="AU50" s="1390"/>
      <c r="AV50" s="1390"/>
      <c r="AW50" s="1390"/>
      <c r="AX50" s="1422"/>
      <c r="AY50" s="1422"/>
      <c r="AZ50" s="1422"/>
      <c r="BA50" s="1422"/>
      <c r="BB50" s="451">
        <f>BB46/AW46-1</f>
        <v>-9.9999999999999978E-2</v>
      </c>
      <c r="BC50" s="1422"/>
      <c r="BD50" s="1422"/>
      <c r="BE50" s="1422"/>
      <c r="BF50" s="1422"/>
      <c r="BG50" s="451">
        <f>BG46/BB46-1</f>
        <v>0</v>
      </c>
      <c r="BH50" s="1422"/>
      <c r="BI50" s="1422"/>
      <c r="BJ50" s="1425"/>
      <c r="BK50" s="1422"/>
      <c r="BL50" s="451">
        <f>BL46/BG46-1</f>
        <v>0.1333333333333333</v>
      </c>
      <c r="BM50" s="1417"/>
      <c r="BN50" s="1417"/>
      <c r="BO50" s="1417"/>
      <c r="BP50" s="1417"/>
      <c r="BQ50" s="1397">
        <f>BQ46/BL46-1</f>
        <v>-1.9607843137254943E-2</v>
      </c>
      <c r="BR50" s="1417"/>
      <c r="BS50" s="1417"/>
      <c r="BT50" s="1417"/>
      <c r="BU50" s="1417"/>
      <c r="BV50" s="1397">
        <f>BV46/BQ46-1</f>
        <v>0.8</v>
      </c>
      <c r="BW50" s="1694"/>
      <c r="BX50" s="1694">
        <v>0.7</v>
      </c>
      <c r="BY50" s="1694">
        <v>-0.15</v>
      </c>
      <c r="BZ50" s="1733" t="s">
        <v>1246</v>
      </c>
      <c r="CA50" s="1388">
        <f>CA46/BV46-1</f>
        <v>0.36953888888888886</v>
      </c>
      <c r="CB50" s="1432" t="s">
        <v>1041</v>
      </c>
      <c r="CC50" s="1432" t="s">
        <v>1240</v>
      </c>
      <c r="CD50" s="1481">
        <v>0.02</v>
      </c>
      <c r="CE50" s="1432" t="s">
        <v>994</v>
      </c>
      <c r="CF50" s="1743">
        <v>0.03</v>
      </c>
      <c r="CG50" s="1432"/>
      <c r="CH50" s="1432"/>
      <c r="CI50" s="1432"/>
      <c r="CJ50" s="1432"/>
      <c r="CK50" s="1743">
        <v>-0.1</v>
      </c>
      <c r="CL50" s="1691">
        <v>-0.15</v>
      </c>
      <c r="CM50" s="1691">
        <v>-0.13</v>
      </c>
      <c r="CN50" s="1691">
        <v>0.03</v>
      </c>
      <c r="CO50" s="1691">
        <v>0.16500000000000001</v>
      </c>
      <c r="CP50" s="1724">
        <v>0.05</v>
      </c>
      <c r="CQ50" s="1432">
        <v>0.04</v>
      </c>
      <c r="CR50" s="1432">
        <v>-0.1</v>
      </c>
      <c r="CS50" s="1432">
        <v>0.31</v>
      </c>
      <c r="CT50" s="1432">
        <v>0.15</v>
      </c>
      <c r="CU50" s="1743">
        <f>AVERAGE(CQ50:CT50)</f>
        <v>0.1</v>
      </c>
      <c r="CV50" s="1432"/>
      <c r="CW50" s="1432"/>
      <c r="CX50" s="1432"/>
      <c r="CY50" s="1432"/>
      <c r="CZ50" s="1743">
        <f>(CZ193/CU193-1)*0.5</f>
        <v>0.15930902111324374</v>
      </c>
      <c r="DA50" s="1743">
        <f>(DA165/CZ165-1)*0.75</f>
        <v>0.13888888888888884</v>
      </c>
      <c r="DB50" s="1743">
        <f t="shared" ref="DB50:DC50" si="44">(DB165/DA165-1)*0.75</f>
        <v>0.1875</v>
      </c>
      <c r="DC50" s="1743">
        <f t="shared" si="44"/>
        <v>0.14999999999999997</v>
      </c>
      <c r="DD50" s="1982"/>
    </row>
    <row r="51" spans="1:113" s="1178" customFormat="1" ht="12" customHeight="1">
      <c r="A51" s="1418"/>
      <c r="B51" s="1418"/>
      <c r="C51" s="1418"/>
      <c r="D51" s="1725" t="s">
        <v>1245</v>
      </c>
      <c r="E51" s="1418"/>
      <c r="F51" s="1417"/>
      <c r="G51" s="1417"/>
      <c r="H51" s="1417"/>
      <c r="I51" s="1417"/>
      <c r="J51" s="1417"/>
      <c r="K51" s="1417"/>
      <c r="L51" s="1417"/>
      <c r="M51" s="1417"/>
      <c r="N51" s="1417"/>
      <c r="O51" s="1417"/>
      <c r="P51" s="1417"/>
      <c r="Q51" s="1417"/>
      <c r="R51" s="1417"/>
      <c r="S51" s="1417"/>
      <c r="T51" s="1417"/>
      <c r="U51" s="1417"/>
      <c r="V51" s="1417"/>
      <c r="W51" s="1417"/>
      <c r="X51" s="1417"/>
      <c r="Y51" s="1417"/>
      <c r="Z51" s="1417"/>
      <c r="AA51" s="1417"/>
      <c r="AB51" s="1417"/>
      <c r="AC51" s="1417"/>
      <c r="AD51" s="1417"/>
      <c r="AE51" s="1417"/>
      <c r="AF51" s="1417"/>
      <c r="AG51" s="1417"/>
      <c r="AH51" s="1417"/>
      <c r="AI51" s="1417"/>
      <c r="AJ51" s="1417"/>
      <c r="AK51" s="1417"/>
      <c r="AL51" s="1417"/>
      <c r="AM51" s="1417"/>
      <c r="AN51" s="1417"/>
      <c r="AO51" s="1417"/>
      <c r="AP51" s="1417"/>
      <c r="AQ51" s="1417"/>
      <c r="AR51" s="1417"/>
      <c r="AS51" s="1417"/>
      <c r="AT51" s="1417"/>
      <c r="AU51" s="1390"/>
      <c r="AV51" s="1390"/>
      <c r="AW51" s="1390"/>
      <c r="AX51" s="1422"/>
      <c r="AY51" s="1422"/>
      <c r="AZ51" s="1422"/>
      <c r="BA51" s="1422"/>
      <c r="BB51" s="451">
        <f>BB47/AW47-1</f>
        <v>-2.8571428571428581E-2</v>
      </c>
      <c r="BC51" s="1422"/>
      <c r="BD51" s="1422"/>
      <c r="BE51" s="1422"/>
      <c r="BF51" s="1422"/>
      <c r="BG51" s="451">
        <f>BG47/BB47-1</f>
        <v>8.8235294117655627E-4</v>
      </c>
      <c r="BH51" s="1422"/>
      <c r="BI51" s="1422"/>
      <c r="BJ51" s="1425"/>
      <c r="BK51" s="1422"/>
      <c r="BL51" s="1417">
        <v>0.1</v>
      </c>
      <c r="BM51" s="1417"/>
      <c r="BN51" s="1417"/>
      <c r="BO51" s="1417"/>
      <c r="BP51" s="1417"/>
      <c r="BQ51" s="1397">
        <f>BQ47/BL47-1</f>
        <v>-1.9607843137254943E-2</v>
      </c>
      <c r="BR51" s="1417"/>
      <c r="BS51" s="1417"/>
      <c r="BT51" s="1417"/>
      <c r="BU51" s="1417"/>
      <c r="BV51" s="1397">
        <f>BV47/BQ47-1</f>
        <v>5.0000000000000044E-2</v>
      </c>
      <c r="BW51" s="1694"/>
      <c r="BX51" s="1694"/>
      <c r="BY51" s="1694"/>
      <c r="BZ51" s="1694">
        <v>0.45</v>
      </c>
      <c r="CA51" s="1388">
        <f>CA47/BV47-1</f>
        <v>0.13936428571428561</v>
      </c>
      <c r="CB51" s="1432">
        <v>0.1</v>
      </c>
      <c r="CC51" s="1432" t="s">
        <v>1244</v>
      </c>
      <c r="CD51" s="1432">
        <v>7.0000000000000007E-2</v>
      </c>
      <c r="CE51" s="1432">
        <v>-0.06</v>
      </c>
      <c r="CF51" s="1743">
        <v>0.05</v>
      </c>
      <c r="CG51" s="1432"/>
      <c r="CH51" s="1432"/>
      <c r="CI51" s="1432">
        <v>0.08</v>
      </c>
      <c r="CJ51" s="1432">
        <v>0.11</v>
      </c>
      <c r="CK51" s="1743">
        <v>0.02</v>
      </c>
      <c r="CL51" s="1432">
        <v>0.19</v>
      </c>
      <c r="CM51" s="1432">
        <v>0.2</v>
      </c>
      <c r="CN51" s="1432">
        <v>0.11</v>
      </c>
      <c r="CO51" s="1432">
        <v>-0.05</v>
      </c>
      <c r="CP51" s="1743">
        <f>AVERAGE(CL51:CO51)</f>
        <v>0.1125</v>
      </c>
      <c r="CQ51" s="1432">
        <v>7.0000000000000007E-2</v>
      </c>
      <c r="CR51" s="1432">
        <v>0.05</v>
      </c>
      <c r="CS51" s="1432">
        <v>0.11</v>
      </c>
      <c r="CT51" s="1432">
        <v>7.0000000000000007E-2</v>
      </c>
      <c r="CU51" s="1743">
        <f>AVERAGE(CQ51:CT51)</f>
        <v>7.5000000000000011E-2</v>
      </c>
      <c r="CV51" s="1432"/>
      <c r="CW51" s="1432"/>
      <c r="CX51" s="1432"/>
      <c r="CY51" s="1432"/>
      <c r="CZ51" s="1743">
        <v>0.04</v>
      </c>
      <c r="DA51" s="1743">
        <v>0.04</v>
      </c>
      <c r="DB51" s="1743">
        <v>0.03</v>
      </c>
      <c r="DC51" s="1743">
        <v>0.02</v>
      </c>
      <c r="DD51" s="1982"/>
    </row>
    <row r="52" spans="1:113" s="1178" customFormat="1" ht="11.25">
      <c r="A52" s="1418"/>
      <c r="B52" s="1418"/>
      <c r="C52" s="1753"/>
      <c r="D52" s="1752" t="s">
        <v>1243</v>
      </c>
      <c r="E52" s="1418"/>
      <c r="F52" s="1417"/>
      <c r="G52" s="1417"/>
      <c r="H52" s="1417"/>
      <c r="I52" s="1417"/>
      <c r="J52" s="1417"/>
      <c r="K52" s="1417"/>
      <c r="L52" s="1417"/>
      <c r="M52" s="1417"/>
      <c r="N52" s="1417"/>
      <c r="O52" s="1417"/>
      <c r="P52" s="1417"/>
      <c r="Q52" s="1417"/>
      <c r="R52" s="1417"/>
      <c r="S52" s="1417"/>
      <c r="T52" s="1417"/>
      <c r="U52" s="1417"/>
      <c r="V52" s="1417"/>
      <c r="W52" s="1417"/>
      <c r="X52" s="1417"/>
      <c r="Y52" s="1417"/>
      <c r="Z52" s="1417"/>
      <c r="AA52" s="1417"/>
      <c r="AB52" s="1417"/>
      <c r="AC52" s="1417"/>
      <c r="AD52" s="1417"/>
      <c r="AE52" s="1417"/>
      <c r="AF52" s="1417"/>
      <c r="AG52" s="1417"/>
      <c r="AH52" s="1417"/>
      <c r="AI52" s="1417"/>
      <c r="AJ52" s="1417"/>
      <c r="AK52" s="1417"/>
      <c r="AL52" s="1417"/>
      <c r="AM52" s="1417"/>
      <c r="AN52" s="1417"/>
      <c r="AO52" s="1417"/>
      <c r="AP52" s="1417"/>
      <c r="AQ52" s="1417"/>
      <c r="AR52" s="1417"/>
      <c r="AS52" s="1417"/>
      <c r="AT52" s="1417"/>
      <c r="AU52" s="1390"/>
      <c r="AV52" s="1390"/>
      <c r="AW52" s="1390"/>
      <c r="AX52" s="1422"/>
      <c r="AY52" s="1422"/>
      <c r="AZ52" s="1422"/>
      <c r="BA52" s="1422"/>
      <c r="BB52" s="1390"/>
      <c r="BC52" s="1422"/>
      <c r="BD52" s="1422"/>
      <c r="BE52" s="1422"/>
      <c r="BF52" s="1422"/>
      <c r="BG52" s="1417"/>
      <c r="BH52" s="1422"/>
      <c r="BI52" s="1422"/>
      <c r="BJ52" s="1425"/>
      <c r="BK52" s="1422"/>
      <c r="BL52" s="1417"/>
      <c r="BM52" s="1417"/>
      <c r="BN52" s="1417"/>
      <c r="BO52" s="1417"/>
      <c r="BP52" s="1417"/>
      <c r="BQ52" s="1743"/>
      <c r="BR52" s="1417"/>
      <c r="BS52" s="1417"/>
      <c r="BT52" s="1417"/>
      <c r="BU52" s="1417"/>
      <c r="BV52" s="1743"/>
      <c r="BW52" s="1694">
        <v>-0.03</v>
      </c>
      <c r="BX52" s="1694">
        <v>0.05</v>
      </c>
      <c r="BY52" s="1734">
        <v>0.22</v>
      </c>
      <c r="BZ52" s="1733" t="s">
        <v>1191</v>
      </c>
      <c r="CA52" s="1743"/>
      <c r="CB52" s="1432">
        <v>0.15</v>
      </c>
      <c r="CC52" s="1432">
        <v>0.1</v>
      </c>
      <c r="CD52" s="1481" t="s">
        <v>950</v>
      </c>
      <c r="CE52" s="1432" t="s">
        <v>1242</v>
      </c>
      <c r="CF52" s="1743">
        <v>0.05</v>
      </c>
      <c r="CG52" s="1432"/>
      <c r="CH52" s="1432">
        <v>0.04</v>
      </c>
      <c r="CI52" s="1432" t="s">
        <v>1341</v>
      </c>
      <c r="CJ52" s="1432"/>
      <c r="CK52" s="1743"/>
      <c r="CL52" s="1432"/>
      <c r="CM52" s="1432"/>
      <c r="CN52" s="1432"/>
      <c r="CO52" s="1432"/>
      <c r="CP52" s="1743"/>
      <c r="CQ52" s="1432"/>
      <c r="CR52" s="1432"/>
      <c r="CS52" s="1432"/>
      <c r="CT52" s="1432"/>
      <c r="CU52" s="1743"/>
      <c r="CV52" s="1432"/>
      <c r="CW52" s="1432"/>
      <c r="CX52" s="1432"/>
      <c r="CY52" s="1432"/>
      <c r="CZ52" s="1743"/>
      <c r="DA52" s="1743"/>
      <c r="DB52" s="1743"/>
      <c r="DC52" s="1743"/>
      <c r="DD52" s="1982"/>
    </row>
    <row r="53" spans="1:113" s="1178" customFormat="1" ht="12" customHeight="1">
      <c r="A53" s="1418"/>
      <c r="B53" s="1418"/>
      <c r="C53" s="1418"/>
      <c r="D53" s="1725"/>
      <c r="E53" s="1418"/>
      <c r="F53" s="1417"/>
      <c r="G53" s="1417"/>
      <c r="H53" s="1417"/>
      <c r="I53" s="1417"/>
      <c r="J53" s="1417"/>
      <c r="K53" s="1417"/>
      <c r="L53" s="1417"/>
      <c r="M53" s="1417"/>
      <c r="N53" s="1417"/>
      <c r="O53" s="1417"/>
      <c r="P53" s="1417"/>
      <c r="Q53" s="1417"/>
      <c r="R53" s="1417"/>
      <c r="S53" s="1417"/>
      <c r="T53" s="1417"/>
      <c r="U53" s="1417"/>
      <c r="V53" s="1417"/>
      <c r="W53" s="1417"/>
      <c r="X53" s="1417"/>
      <c r="Y53" s="1417"/>
      <c r="Z53" s="1417"/>
      <c r="AA53" s="1417"/>
      <c r="AB53" s="1417"/>
      <c r="AC53" s="1417"/>
      <c r="AD53" s="1417"/>
      <c r="AE53" s="1417"/>
      <c r="AF53" s="1417"/>
      <c r="AG53" s="1417"/>
      <c r="AH53" s="1417"/>
      <c r="AI53" s="1417"/>
      <c r="AJ53" s="1417"/>
      <c r="AK53" s="1417"/>
      <c r="AL53" s="1417"/>
      <c r="AM53" s="1417"/>
      <c r="AN53" s="1417"/>
      <c r="AO53" s="1417"/>
      <c r="AP53" s="1417"/>
      <c r="AQ53" s="1417"/>
      <c r="AR53" s="1417"/>
      <c r="AS53" s="1417"/>
      <c r="AT53" s="1417"/>
      <c r="AU53" s="1390"/>
      <c r="AV53" s="1390"/>
      <c r="AW53" s="1390"/>
      <c r="AX53" s="1422"/>
      <c r="AY53" s="1422"/>
      <c r="AZ53" s="1422"/>
      <c r="BA53" s="1422"/>
      <c r="BB53" s="451"/>
      <c r="BC53" s="1422"/>
      <c r="BD53" s="1422"/>
      <c r="BE53" s="1422"/>
      <c r="BF53" s="1422"/>
      <c r="BG53" s="451"/>
      <c r="BH53" s="1422"/>
      <c r="BI53" s="1422"/>
      <c r="BJ53" s="1425"/>
      <c r="BK53" s="1422"/>
      <c r="BL53" s="1417"/>
      <c r="BM53" s="1417"/>
      <c r="BN53" s="1417"/>
      <c r="BO53" s="1417"/>
      <c r="BP53" s="1417"/>
      <c r="BQ53" s="1397"/>
      <c r="BR53" s="1417"/>
      <c r="BS53" s="1417"/>
      <c r="BT53" s="1417"/>
      <c r="BU53" s="1417"/>
      <c r="BV53" s="1397"/>
      <c r="BW53" s="1694"/>
      <c r="BX53" s="1748"/>
      <c r="BY53" s="1694"/>
      <c r="BZ53" s="1694"/>
      <c r="CA53" s="1743"/>
      <c r="CB53" s="1432"/>
      <c r="CC53" s="1432"/>
      <c r="CD53" s="1432"/>
      <c r="CE53" s="1432"/>
      <c r="CF53" s="1743"/>
      <c r="CG53" s="1432"/>
      <c r="CH53" s="1432"/>
      <c r="CI53" s="1432"/>
      <c r="CJ53" s="1432"/>
      <c r="CK53" s="1419"/>
      <c r="CL53" s="1432"/>
      <c r="CM53" s="1432"/>
      <c r="CN53" s="1432"/>
      <c r="CO53" s="1432"/>
      <c r="CP53" s="1743"/>
      <c r="CQ53" s="1432"/>
      <c r="CR53" s="1432"/>
      <c r="CS53" s="1432"/>
      <c r="CT53" s="1432"/>
      <c r="CU53" s="1743"/>
      <c r="CV53" s="1432"/>
      <c r="CW53" s="1432"/>
      <c r="CX53" s="1432"/>
      <c r="CY53" s="1432"/>
      <c r="CZ53" s="1743"/>
      <c r="DA53" s="1743"/>
      <c r="DB53" s="1743"/>
      <c r="DC53" s="1743"/>
      <c r="DD53" s="1982"/>
    </row>
    <row r="54" spans="1:113" s="1178" customFormat="1" ht="12" customHeight="1">
      <c r="A54" s="1418"/>
      <c r="B54" s="1418"/>
      <c r="C54" s="1726" t="s">
        <v>1138</v>
      </c>
      <c r="D54" s="1744"/>
      <c r="E54" s="1418"/>
      <c r="F54" s="1417"/>
      <c r="G54" s="1417"/>
      <c r="H54" s="1417"/>
      <c r="I54" s="1417"/>
      <c r="J54" s="1417"/>
      <c r="K54" s="1417"/>
      <c r="L54" s="1417"/>
      <c r="M54" s="1417"/>
      <c r="N54" s="1417"/>
      <c r="O54" s="1417"/>
      <c r="P54" s="1417"/>
      <c r="Q54" s="1417"/>
      <c r="R54" s="1417"/>
      <c r="S54" s="1417"/>
      <c r="T54" s="1417"/>
      <c r="U54" s="1417"/>
      <c r="V54" s="1417"/>
      <c r="W54" s="1417"/>
      <c r="X54" s="1417"/>
      <c r="Y54" s="1417"/>
      <c r="Z54" s="1417"/>
      <c r="AA54" s="1417"/>
      <c r="AB54" s="1417"/>
      <c r="AC54" s="1417"/>
      <c r="AD54" s="1417"/>
      <c r="AE54" s="1417"/>
      <c r="AF54" s="1417"/>
      <c r="AG54" s="1417"/>
      <c r="AH54" s="1356">
        <v>2906.05</v>
      </c>
      <c r="AI54" s="1356"/>
      <c r="AJ54" s="1356"/>
      <c r="AK54" s="1356"/>
      <c r="AL54" s="1356"/>
      <c r="AM54" s="1356"/>
      <c r="AN54" s="1356"/>
      <c r="AO54" s="1356"/>
      <c r="AP54" s="1356"/>
      <c r="AQ54" s="1356"/>
      <c r="AR54" s="1356">
        <v>3241</v>
      </c>
      <c r="AS54" s="1356"/>
      <c r="AT54" s="1356"/>
      <c r="AU54" s="1356"/>
      <c r="AV54" s="1356"/>
      <c r="AW54" s="1356">
        <v>3246</v>
      </c>
      <c r="AX54" s="1356"/>
      <c r="AY54" s="1356"/>
      <c r="AZ54" s="1356"/>
      <c r="BA54" s="1356"/>
      <c r="BB54" s="1356">
        <v>3539</v>
      </c>
      <c r="BC54" s="1356"/>
      <c r="BD54" s="1356"/>
      <c r="BE54" s="1356"/>
      <c r="BF54" s="1356"/>
      <c r="BG54" s="1356">
        <v>3567</v>
      </c>
      <c r="BH54" s="1356"/>
      <c r="BI54" s="1356"/>
      <c r="BJ54" s="1356"/>
      <c r="BK54" s="1356"/>
      <c r="BL54" s="1356">
        <v>3500</v>
      </c>
      <c r="BM54" s="1356"/>
      <c r="BN54" s="1356"/>
      <c r="BO54" s="1356"/>
      <c r="BP54" s="1356"/>
      <c r="BQ54" s="1316">
        <v>3570.7654400000001</v>
      </c>
      <c r="BR54" s="1705"/>
      <c r="BS54" s="1705"/>
      <c r="BT54" s="1705"/>
      <c r="BU54" s="1705"/>
      <c r="BV54" s="1316">
        <v>4000</v>
      </c>
      <c r="BW54" s="1694"/>
      <c r="BX54" s="1748"/>
      <c r="BY54" s="1734"/>
      <c r="BZ54" s="1694"/>
      <c r="CA54" s="1740">
        <f>0.25*CA74</f>
        <v>3625.25</v>
      </c>
      <c r="CB54" s="1432"/>
      <c r="CC54" s="1432"/>
      <c r="CD54" s="1432"/>
      <c r="CE54" s="1432"/>
      <c r="CF54" s="1740">
        <f>CA54*(1+CF55)</f>
        <v>3625.25</v>
      </c>
      <c r="CG54" s="1737"/>
      <c r="CH54" s="1737"/>
      <c r="CI54" s="1432"/>
      <c r="CJ54" s="1749"/>
      <c r="CK54" s="1740">
        <f>CF54*(1+CK55)</f>
        <v>3371.4824999999996</v>
      </c>
      <c r="CL54" s="1749"/>
      <c r="CM54" s="1432"/>
      <c r="CN54" s="1432"/>
      <c r="CO54" s="1432"/>
      <c r="CP54" s="1740">
        <f>CK54*(1+CP55)</f>
        <v>3472.6269749999997</v>
      </c>
      <c r="CQ54" s="1749"/>
      <c r="CR54" s="1432"/>
      <c r="CS54" s="1432"/>
      <c r="CT54" s="1432"/>
      <c r="CU54" s="1740">
        <f>CP54*(1+CU55)</f>
        <v>3993.5210212499992</v>
      </c>
      <c r="CV54" s="1749"/>
      <c r="CW54" s="1432"/>
      <c r="CX54" s="1432"/>
      <c r="CY54" s="1432"/>
      <c r="CZ54" s="1740">
        <f>CU54+CZ211-CU211+(CU54-CU211)*0.03</f>
        <v>4443.2644993874983</v>
      </c>
      <c r="DA54" s="1740">
        <f>CZ54+DA211-CZ211+(CZ54-CZ211)*0.03</f>
        <v>4806.1802818691231</v>
      </c>
      <c r="DB54" s="1740">
        <f t="shared" ref="DB54:DC54" si="45">DA54+DB211-DA211+(DA54-DA211)*0.03</f>
        <v>5236.3565378251978</v>
      </c>
      <c r="DC54" s="1740">
        <f t="shared" si="45"/>
        <v>5379.2575564599529</v>
      </c>
      <c r="DD54" s="2012"/>
    </row>
    <row r="55" spans="1:113" s="1178" customFormat="1" ht="11.25">
      <c r="A55" s="1191"/>
      <c r="B55" s="1191"/>
      <c r="C55" s="1191"/>
      <c r="D55" s="1191" t="s">
        <v>1241</v>
      </c>
      <c r="E55" s="1191"/>
      <c r="F55" s="1191"/>
      <c r="G55" s="1191"/>
      <c r="H55" s="1191"/>
      <c r="I55" s="1191"/>
      <c r="J55" s="1191"/>
      <c r="K55" s="1191"/>
      <c r="L55" s="1191"/>
      <c r="M55" s="1191"/>
      <c r="N55" s="1231"/>
      <c r="O55" s="1231"/>
      <c r="P55" s="1231"/>
      <c r="Q55" s="1231"/>
      <c r="R55" s="1231"/>
      <c r="S55" s="1231"/>
      <c r="T55" s="1231"/>
      <c r="U55" s="1231"/>
      <c r="V55" s="1231"/>
      <c r="W55" s="1231"/>
      <c r="X55" s="1231"/>
      <c r="Y55" s="1231"/>
      <c r="Z55" s="1231"/>
      <c r="AA55" s="1231"/>
      <c r="AB55" s="1231"/>
      <c r="AC55" s="1231"/>
      <c r="AD55" s="1231"/>
      <c r="AE55" s="1231"/>
      <c r="AF55" s="1231"/>
      <c r="AG55" s="1231"/>
      <c r="AH55" s="1156"/>
      <c r="AI55" s="1156"/>
      <c r="AJ55" s="1156"/>
      <c r="AK55" s="1156"/>
      <c r="AL55" s="1156"/>
      <c r="AM55" s="1156"/>
      <c r="AN55" s="1156"/>
      <c r="AO55" s="1156"/>
      <c r="AP55" s="1156"/>
      <c r="AQ55" s="1156"/>
      <c r="AR55" s="1156"/>
      <c r="AS55" s="1156"/>
      <c r="AT55" s="1156"/>
      <c r="AU55" s="1156"/>
      <c r="AV55" s="1156"/>
      <c r="AW55" s="1156"/>
      <c r="AX55" s="1156"/>
      <c r="AY55" s="1156"/>
      <c r="AZ55" s="1156"/>
      <c r="BA55" s="1156"/>
      <c r="BB55" s="1570">
        <f>BB54/AW54-1</f>
        <v>9.0264941466420279E-2</v>
      </c>
      <c r="BC55" s="1156"/>
      <c r="BD55" s="1156"/>
      <c r="BE55" s="1156"/>
      <c r="BF55" s="1156"/>
      <c r="BG55" s="1570">
        <f>BG54/BB54-1</f>
        <v>7.9118395026844812E-3</v>
      </c>
      <c r="BH55" s="1156"/>
      <c r="BI55" s="1156"/>
      <c r="BJ55" s="1156"/>
      <c r="BK55" s="1156"/>
      <c r="BL55" s="1570">
        <f>BL54/BG54-1</f>
        <v>-1.8783291281188719E-2</v>
      </c>
      <c r="BM55" s="1156"/>
      <c r="BN55" s="1156"/>
      <c r="BO55" s="1156"/>
      <c r="BP55" s="1156"/>
      <c r="BQ55" s="1712">
        <f>BQ54/BL54-1</f>
        <v>2.0218697142857289E-2</v>
      </c>
      <c r="BR55" s="1156"/>
      <c r="BS55" s="1156"/>
      <c r="BT55" s="1156"/>
      <c r="BU55" s="1156"/>
      <c r="BV55" s="1712">
        <f>BV54/BQ54-1</f>
        <v>0.12020799663614978</v>
      </c>
      <c r="BW55" s="1748"/>
      <c r="BX55" s="1748"/>
      <c r="BY55" s="1748">
        <v>-0.12</v>
      </c>
      <c r="BZ55" s="1747" t="s">
        <v>1238</v>
      </c>
      <c r="CA55" s="1388">
        <f>CA54/BV54-1</f>
        <v>-9.3687500000000035E-2</v>
      </c>
      <c r="CB55" s="1745" t="s">
        <v>1240</v>
      </c>
      <c r="CC55" s="1745" t="s">
        <v>949</v>
      </c>
      <c r="CD55" s="1746" t="s">
        <v>950</v>
      </c>
      <c r="CE55" s="1746" t="s">
        <v>948</v>
      </c>
      <c r="CF55" s="1743">
        <v>0</v>
      </c>
      <c r="CG55" s="1745" t="s">
        <v>949</v>
      </c>
      <c r="CH55" s="1894">
        <v>0.11</v>
      </c>
      <c r="CI55" s="1749" t="s">
        <v>1334</v>
      </c>
      <c r="CJ55" s="1751">
        <v>-0.15</v>
      </c>
      <c r="CK55" s="1743">
        <v>-7.0000000000000007E-2</v>
      </c>
      <c r="CL55" s="2235">
        <f>CL56*0.5+CL57*0.5</f>
        <v>0.08</v>
      </c>
      <c r="CM55" s="2235">
        <f>CM56*0.5+CM57*0.5</f>
        <v>-0.06</v>
      </c>
      <c r="CN55" s="1894"/>
      <c r="CO55" s="1751">
        <v>0.1</v>
      </c>
      <c r="CP55" s="1743">
        <v>0.03</v>
      </c>
      <c r="CQ55" s="1745"/>
      <c r="CR55" s="1745"/>
      <c r="CS55" s="1894">
        <v>0.14000000000000001</v>
      </c>
      <c r="CT55" s="1751"/>
      <c r="CU55" s="1743">
        <v>0.15</v>
      </c>
      <c r="CV55" s="1745"/>
      <c r="CW55" s="1745"/>
      <c r="CX55" s="1745"/>
      <c r="CY55" s="1751"/>
      <c r="CZ55" s="1397">
        <f>CZ54/CU54-1</f>
        <v>0.11261828239900606</v>
      </c>
      <c r="DA55" s="1397">
        <f>DA54/CZ54-1</f>
        <v>8.1677735487422076E-2</v>
      </c>
      <c r="DB55" s="1397">
        <f t="shared" ref="DB55:DC55" si="46">DB54/DA54-1</f>
        <v>8.9504810624535969E-2</v>
      </c>
      <c r="DC55" s="1397">
        <f t="shared" si="46"/>
        <v>2.7290162081687663E-2</v>
      </c>
      <c r="DD55" s="1982"/>
    </row>
    <row r="56" spans="1:113" s="1178" customFormat="1" ht="11.25">
      <c r="A56" s="1191"/>
      <c r="B56" s="1191"/>
      <c r="C56" s="1191"/>
      <c r="D56" s="1191" t="s">
        <v>1239</v>
      </c>
      <c r="E56" s="1191"/>
      <c r="F56" s="1191"/>
      <c r="G56" s="1191"/>
      <c r="H56" s="1191"/>
      <c r="I56" s="1191"/>
      <c r="J56" s="1191"/>
      <c r="K56" s="1191"/>
      <c r="L56" s="1191"/>
      <c r="M56" s="1191"/>
      <c r="N56" s="1231"/>
      <c r="O56" s="1231"/>
      <c r="P56" s="1231"/>
      <c r="Q56" s="1231"/>
      <c r="R56" s="1231"/>
      <c r="S56" s="1231"/>
      <c r="T56" s="1231"/>
      <c r="U56" s="1231"/>
      <c r="V56" s="1231"/>
      <c r="W56" s="1231"/>
      <c r="X56" s="1231"/>
      <c r="Y56" s="1231"/>
      <c r="Z56" s="1231"/>
      <c r="AA56" s="1231"/>
      <c r="AB56" s="1231"/>
      <c r="AC56" s="1231"/>
      <c r="AD56" s="1231"/>
      <c r="AE56" s="1231"/>
      <c r="AF56" s="1231"/>
      <c r="AG56" s="1231"/>
      <c r="AH56" s="1156"/>
      <c r="AI56" s="1156"/>
      <c r="AJ56" s="1156"/>
      <c r="AK56" s="1156"/>
      <c r="AL56" s="1156"/>
      <c r="AM56" s="1156"/>
      <c r="AN56" s="1156"/>
      <c r="AO56" s="1156"/>
      <c r="AP56" s="1156"/>
      <c r="AQ56" s="1156"/>
      <c r="AR56" s="1156"/>
      <c r="AS56" s="1156"/>
      <c r="AT56" s="1156"/>
      <c r="AU56" s="1156"/>
      <c r="AV56" s="1156"/>
      <c r="AW56" s="1156"/>
      <c r="AX56" s="1156"/>
      <c r="AY56" s="1156"/>
      <c r="AZ56" s="1156"/>
      <c r="BA56" s="1156"/>
      <c r="BB56" s="1570"/>
      <c r="BC56" s="1156"/>
      <c r="BD56" s="1156"/>
      <c r="BE56" s="1156"/>
      <c r="BF56" s="1156"/>
      <c r="BG56" s="1570"/>
      <c r="BH56" s="1156"/>
      <c r="BI56" s="1156"/>
      <c r="BJ56" s="1156"/>
      <c r="BK56" s="1156"/>
      <c r="BL56" s="1570"/>
      <c r="BM56" s="1156"/>
      <c r="BN56" s="1156"/>
      <c r="BO56" s="1156"/>
      <c r="BP56" s="1156"/>
      <c r="BQ56" s="1712"/>
      <c r="BR56" s="1156"/>
      <c r="BS56" s="1156"/>
      <c r="BT56" s="1156"/>
      <c r="BU56" s="1156"/>
      <c r="BV56" s="1712">
        <v>0.25</v>
      </c>
      <c r="BW56" s="1748"/>
      <c r="BX56" s="1748">
        <v>-0.35</v>
      </c>
      <c r="BY56" s="1748">
        <v>-0.3</v>
      </c>
      <c r="BZ56" s="1747" t="s">
        <v>1238</v>
      </c>
      <c r="CA56" s="1743">
        <v>0.55000000000000004</v>
      </c>
      <c r="CB56" s="1745" t="s">
        <v>1237</v>
      </c>
      <c r="CC56" s="1745" t="s">
        <v>1236</v>
      </c>
      <c r="CD56" s="1746" t="s">
        <v>1235</v>
      </c>
      <c r="CE56" s="1746" t="s">
        <v>1234</v>
      </c>
      <c r="CF56" s="1743"/>
      <c r="CG56" s="1750"/>
      <c r="CH56" s="1750"/>
      <c r="CI56" s="1749" t="s">
        <v>1334</v>
      </c>
      <c r="CJ56" s="1749" t="s">
        <v>1360</v>
      </c>
      <c r="CK56" s="1743"/>
      <c r="CL56" s="1894">
        <v>0.16</v>
      </c>
      <c r="CM56" s="1894">
        <v>-0.04</v>
      </c>
      <c r="CN56" s="1894" t="s">
        <v>1422</v>
      </c>
      <c r="CO56" s="1894">
        <v>2.5000000000000001E-2</v>
      </c>
      <c r="CP56" s="1743"/>
      <c r="CQ56" s="1750">
        <v>0</v>
      </c>
      <c r="CR56" s="1894" t="s">
        <v>1462</v>
      </c>
      <c r="CS56" s="1894">
        <v>0.2</v>
      </c>
      <c r="CT56" s="1749"/>
      <c r="CU56" s="1743">
        <f>CU122/CP122-1</f>
        <v>0.19047619047619047</v>
      </c>
      <c r="CV56" s="1750"/>
      <c r="CW56" s="1745"/>
      <c r="CX56" s="1749"/>
      <c r="CY56" s="1749"/>
      <c r="CZ56" s="1743"/>
      <c r="DA56" s="1743"/>
      <c r="DB56" s="1743"/>
      <c r="DC56" s="1743"/>
      <c r="DD56" s="1982"/>
    </row>
    <row r="57" spans="1:113" s="1178" customFormat="1" ht="11.25">
      <c r="A57" s="1191"/>
      <c r="B57" s="1191"/>
      <c r="C57" s="1191"/>
      <c r="D57" s="1191" t="s">
        <v>1233</v>
      </c>
      <c r="E57" s="1191"/>
      <c r="F57" s="1191"/>
      <c r="G57" s="1191"/>
      <c r="H57" s="1191"/>
      <c r="I57" s="1191"/>
      <c r="J57" s="1191"/>
      <c r="K57" s="1191"/>
      <c r="L57" s="1191"/>
      <c r="M57" s="1191"/>
      <c r="N57" s="1231"/>
      <c r="O57" s="1231"/>
      <c r="P57" s="1231"/>
      <c r="Q57" s="1231"/>
      <c r="R57" s="1231"/>
      <c r="S57" s="1231"/>
      <c r="T57" s="1231"/>
      <c r="U57" s="1231"/>
      <c r="V57" s="1231"/>
      <c r="W57" s="1231"/>
      <c r="X57" s="1231"/>
      <c r="Y57" s="1231"/>
      <c r="Z57" s="1231"/>
      <c r="AA57" s="1231"/>
      <c r="AB57" s="1231"/>
      <c r="AC57" s="1231"/>
      <c r="AD57" s="1231"/>
      <c r="AE57" s="1231"/>
      <c r="AF57" s="1231"/>
      <c r="AG57" s="1231"/>
      <c r="AH57" s="1156"/>
      <c r="AI57" s="1156"/>
      <c r="AJ57" s="1156"/>
      <c r="AK57" s="1156"/>
      <c r="AL57" s="1156"/>
      <c r="AM57" s="1156"/>
      <c r="AN57" s="1156"/>
      <c r="AO57" s="1156"/>
      <c r="AP57" s="1156"/>
      <c r="AQ57" s="1156"/>
      <c r="AR57" s="1156"/>
      <c r="AS57" s="1156"/>
      <c r="AT57" s="1156"/>
      <c r="AU57" s="1156"/>
      <c r="AV57" s="1156"/>
      <c r="AW57" s="1156"/>
      <c r="AX57" s="1156"/>
      <c r="AY57" s="1156"/>
      <c r="AZ57" s="1156"/>
      <c r="BA57" s="1156"/>
      <c r="BB57" s="1570"/>
      <c r="BC57" s="1156"/>
      <c r="BD57" s="1156"/>
      <c r="BE57" s="1156"/>
      <c r="BF57" s="1156"/>
      <c r="BG57" s="1570"/>
      <c r="BH57" s="1156"/>
      <c r="BI57" s="1156"/>
      <c r="BJ57" s="1156"/>
      <c r="BK57" s="1156"/>
      <c r="BL57" s="1570"/>
      <c r="BM57" s="1156"/>
      <c r="BN57" s="1156"/>
      <c r="BO57" s="1156"/>
      <c r="BP57" s="1156"/>
      <c r="BQ57" s="1712"/>
      <c r="BR57" s="1156"/>
      <c r="BS57" s="1156"/>
      <c r="BT57" s="1156"/>
      <c r="BU57" s="1156"/>
      <c r="BV57" s="1712">
        <v>0.12</v>
      </c>
      <c r="BW57" s="1748"/>
      <c r="BX57" s="1748">
        <v>0.05</v>
      </c>
      <c r="BY57" s="1748">
        <v>0.12</v>
      </c>
      <c r="BZ57" s="1747" t="s">
        <v>954</v>
      </c>
      <c r="CA57" s="1743"/>
      <c r="CB57" s="1745" t="s">
        <v>956</v>
      </c>
      <c r="CC57" s="1745" t="s">
        <v>948</v>
      </c>
      <c r="CD57" s="1746" t="s">
        <v>1232</v>
      </c>
      <c r="CE57" s="1746" t="s">
        <v>1229</v>
      </c>
      <c r="CF57" s="1743"/>
      <c r="CG57" s="1745"/>
      <c r="CH57" s="1745"/>
      <c r="CI57" s="1749" t="s">
        <v>1334</v>
      </c>
      <c r="CJ57" s="1745" t="s">
        <v>1058</v>
      </c>
      <c r="CK57" s="1743"/>
      <c r="CL57" s="1894">
        <v>0</v>
      </c>
      <c r="CM57" s="1894">
        <v>-0.08</v>
      </c>
      <c r="CN57" s="1894" t="s">
        <v>1423</v>
      </c>
      <c r="CO57" s="1894">
        <v>0.05</v>
      </c>
      <c r="CP57" s="1743"/>
      <c r="CQ57" s="1745" t="s">
        <v>958</v>
      </c>
      <c r="CR57" s="1745" t="s">
        <v>1461</v>
      </c>
      <c r="CS57" s="1745" t="s">
        <v>958</v>
      </c>
      <c r="CT57" s="1745"/>
      <c r="CU57" s="1743">
        <v>0.1</v>
      </c>
      <c r="CV57" s="1745"/>
      <c r="CW57" s="1745"/>
      <c r="CX57" s="1745"/>
      <c r="CY57" s="1745"/>
      <c r="CZ57" s="1743"/>
      <c r="DA57" s="1743"/>
      <c r="DB57" s="1743"/>
      <c r="DC57" s="1743"/>
      <c r="DD57" s="1982"/>
    </row>
    <row r="58" spans="1:113" s="1178" customFormat="1" ht="12" customHeight="1">
      <c r="A58" s="1418"/>
      <c r="B58" s="1418"/>
      <c r="C58" s="1726"/>
      <c r="D58" s="1744"/>
      <c r="E58" s="1418"/>
      <c r="F58" s="1417"/>
      <c r="G58" s="1417"/>
      <c r="H58" s="1417"/>
      <c r="I58" s="1417"/>
      <c r="J58" s="1417"/>
      <c r="K58" s="1417"/>
      <c r="L58" s="1417"/>
      <c r="M58" s="1417"/>
      <c r="N58" s="1417"/>
      <c r="O58" s="1417"/>
      <c r="P58" s="1417"/>
      <c r="Q58" s="1417"/>
      <c r="R58" s="1417"/>
      <c r="S58" s="1417"/>
      <c r="T58" s="1417"/>
      <c r="U58" s="1417"/>
      <c r="V58" s="1417"/>
      <c r="W58" s="1417"/>
      <c r="X58" s="1417"/>
      <c r="Y58" s="1417"/>
      <c r="Z58" s="1417"/>
      <c r="AA58" s="1417"/>
      <c r="AB58" s="1417"/>
      <c r="AC58" s="1417"/>
      <c r="AD58" s="1417"/>
      <c r="AE58" s="1417"/>
      <c r="AF58" s="1417"/>
      <c r="AG58" s="1417"/>
      <c r="AH58" s="1417"/>
      <c r="AI58" s="1417"/>
      <c r="AJ58" s="1417"/>
      <c r="AK58" s="1417"/>
      <c r="AL58" s="1417"/>
      <c r="AM58" s="1417"/>
      <c r="AN58" s="1417"/>
      <c r="AO58" s="1417"/>
      <c r="AP58" s="1417"/>
      <c r="AQ58" s="1417"/>
      <c r="AR58" s="1417"/>
      <c r="AS58" s="1417"/>
      <c r="AT58" s="1417"/>
      <c r="AU58" s="1390"/>
      <c r="AV58" s="1390"/>
      <c r="AW58" s="1390"/>
      <c r="AX58" s="1422"/>
      <c r="AY58" s="1422"/>
      <c r="AZ58" s="1422"/>
      <c r="BA58" s="1422"/>
      <c r="BB58" s="1390"/>
      <c r="BC58" s="1422"/>
      <c r="BD58" s="1422"/>
      <c r="BE58" s="1422"/>
      <c r="BF58" s="1422"/>
      <c r="BG58" s="1417"/>
      <c r="BH58" s="1422"/>
      <c r="BI58" s="1422"/>
      <c r="BJ58" s="1425"/>
      <c r="BK58" s="1422"/>
      <c r="BL58" s="1417"/>
      <c r="BM58" s="1417"/>
      <c r="BN58" s="1417"/>
      <c r="BO58" s="1417"/>
      <c r="BP58" s="1417"/>
      <c r="BQ58" s="1743"/>
      <c r="BR58" s="1417"/>
      <c r="BS58" s="1417"/>
      <c r="BT58" s="1417"/>
      <c r="BU58" s="1417"/>
      <c r="BV58" s="1743"/>
      <c r="BW58" s="1694"/>
      <c r="BX58" s="1694"/>
      <c r="BY58" s="1694"/>
      <c r="BZ58" s="1694"/>
      <c r="CA58" s="1743"/>
      <c r="CB58" s="1432"/>
      <c r="CC58" s="1432"/>
      <c r="CD58" s="1432"/>
      <c r="CE58" s="1432"/>
      <c r="CF58" s="1743"/>
      <c r="CG58" s="1432"/>
      <c r="CH58" s="1432"/>
      <c r="CI58" s="1432"/>
      <c r="CJ58" s="1432"/>
      <c r="CK58" s="1743"/>
      <c r="CL58" s="1432"/>
      <c r="CM58" s="1432"/>
      <c r="CN58" s="1432"/>
      <c r="CO58" s="1432"/>
      <c r="CP58" s="1743"/>
      <c r="CQ58" s="1432"/>
      <c r="CR58" s="1432"/>
      <c r="CS58" s="1432"/>
      <c r="CT58" s="1432"/>
      <c r="CU58" s="1743"/>
      <c r="CV58" s="1432"/>
      <c r="CW58" s="1432"/>
      <c r="CX58" s="1432"/>
      <c r="CY58" s="1432"/>
      <c r="CZ58" s="1743"/>
      <c r="DA58" s="1743"/>
      <c r="DB58" s="1743"/>
      <c r="DC58" s="1743"/>
      <c r="DD58" s="1982"/>
    </row>
    <row r="59" spans="1:113" s="1178" customFormat="1" ht="11.25">
      <c r="A59" s="1182"/>
      <c r="B59" s="1182"/>
      <c r="C59" s="1182" t="s">
        <v>1131</v>
      </c>
      <c r="D59" s="1182"/>
      <c r="E59" s="1182"/>
      <c r="F59" s="1182"/>
      <c r="G59" s="1182"/>
      <c r="H59" s="1182"/>
      <c r="I59" s="1182"/>
      <c r="J59" s="1182"/>
      <c r="K59" s="1182"/>
      <c r="L59" s="1182"/>
      <c r="M59" s="1182"/>
      <c r="N59" s="1356"/>
      <c r="O59" s="1356"/>
      <c r="P59" s="1356"/>
      <c r="Q59" s="1356"/>
      <c r="R59" s="1356"/>
      <c r="S59" s="1356"/>
      <c r="T59" s="1356"/>
      <c r="U59" s="1356"/>
      <c r="V59" s="1356"/>
      <c r="W59" s="1356"/>
      <c r="X59" s="1356"/>
      <c r="Y59" s="1356"/>
      <c r="Z59" s="1356"/>
      <c r="AA59" s="1356"/>
      <c r="AB59" s="1356"/>
      <c r="AC59" s="1356"/>
      <c r="AD59" s="1356"/>
      <c r="AE59" s="1356"/>
      <c r="AF59" s="1356"/>
      <c r="AG59" s="1356"/>
      <c r="AH59" s="1356">
        <v>1909.69</v>
      </c>
      <c r="AI59" s="1356"/>
      <c r="AJ59" s="1356"/>
      <c r="AK59" s="1356"/>
      <c r="AL59" s="1356"/>
      <c r="AM59" s="1356"/>
      <c r="AN59" s="1356"/>
      <c r="AO59" s="1356"/>
      <c r="AP59" s="1356"/>
      <c r="AQ59" s="1356"/>
      <c r="AR59" s="1356">
        <v>2800</v>
      </c>
      <c r="AS59" s="1356"/>
      <c r="AT59" s="1356"/>
      <c r="AU59" s="1356"/>
      <c r="AV59" s="1356"/>
      <c r="AW59" s="1356">
        <v>3175</v>
      </c>
      <c r="AX59" s="1356"/>
      <c r="AY59" s="1356"/>
      <c r="AZ59" s="1356"/>
      <c r="BA59" s="1356"/>
      <c r="BB59" s="1356">
        <v>3900</v>
      </c>
      <c r="BC59" s="1356"/>
      <c r="BD59" s="1356"/>
      <c r="BE59" s="1356"/>
      <c r="BF59" s="1356"/>
      <c r="BG59" s="1356">
        <v>3022</v>
      </c>
      <c r="BH59" s="1356"/>
      <c r="BI59" s="1356"/>
      <c r="BJ59" s="1356"/>
      <c r="BK59" s="1356"/>
      <c r="BL59" s="1356">
        <v>3000</v>
      </c>
      <c r="BM59" s="1356"/>
      <c r="BN59" s="1356"/>
      <c r="BO59" s="1356"/>
      <c r="BP59" s="1356"/>
      <c r="BQ59" s="1316">
        <v>3000</v>
      </c>
      <c r="BR59" s="1705"/>
      <c r="BS59" s="1705"/>
      <c r="BT59" s="1705"/>
      <c r="BU59" s="1705"/>
      <c r="BV59" s="1316">
        <v>3300</v>
      </c>
      <c r="BW59" s="1742"/>
      <c r="BX59" s="1694"/>
      <c r="BY59" s="1742"/>
      <c r="BZ59" s="1737"/>
      <c r="CA59" s="1740">
        <f>0.24*CA74</f>
        <v>3480.24</v>
      </c>
      <c r="CB59" s="1741"/>
      <c r="CC59" s="1741"/>
      <c r="CD59" s="1741"/>
      <c r="CE59" s="1741"/>
      <c r="CF59" s="1740">
        <f>CF61+CF63</f>
        <v>3509.1431999999995</v>
      </c>
      <c r="CG59" s="1737"/>
      <c r="CH59" s="1737"/>
      <c r="CI59" s="1741"/>
      <c r="CJ59" s="1741"/>
      <c r="CK59" s="1740">
        <f>CK61+CK63</f>
        <v>3448.5153839999994</v>
      </c>
      <c r="CL59" s="1737"/>
      <c r="CM59" s="1741"/>
      <c r="CN59" s="1741"/>
      <c r="CO59" s="1741"/>
      <c r="CP59" s="1740">
        <f>CP61+CP63+CP66</f>
        <v>3468.2154027463935</v>
      </c>
      <c r="CQ59" s="1737"/>
      <c r="CR59" s="1741"/>
      <c r="CS59" s="1741"/>
      <c r="CT59" s="1741"/>
      <c r="CU59" s="1740">
        <f>CU61+CU63+CU66</f>
        <v>3289.3803285196118</v>
      </c>
      <c r="CV59" s="1737">
        <f>CU59/CU74</f>
        <v>0.20701534362073326</v>
      </c>
      <c r="CW59" s="1741"/>
      <c r="CX59" s="1741"/>
      <c r="CY59" s="1741"/>
      <c r="CZ59" s="1740">
        <f>CZ61+CZ63+CZ66</f>
        <v>3306.6179190899793</v>
      </c>
      <c r="DA59" s="1740">
        <f>DA61+DA63+DA66</f>
        <v>3490.8727026071228</v>
      </c>
      <c r="DB59" s="1740">
        <f>DB61+DB63+DB66</f>
        <v>3708.5255356454027</v>
      </c>
      <c r="DC59" s="1740">
        <f>DC61+DC63+DC66</f>
        <v>3853.8063525765101</v>
      </c>
      <c r="DD59" s="2012"/>
    </row>
    <row r="60" spans="1:113" s="1178" customFormat="1" ht="12" customHeight="1">
      <c r="A60" s="1418"/>
      <c r="B60" s="1418"/>
      <c r="C60" s="1726"/>
      <c r="D60" s="1725" t="s">
        <v>1231</v>
      </c>
      <c r="E60" s="1418"/>
      <c r="F60" s="1417"/>
      <c r="G60" s="1417"/>
      <c r="H60" s="1417"/>
      <c r="I60" s="1417"/>
      <c r="J60" s="1417"/>
      <c r="K60" s="1417"/>
      <c r="L60" s="1417"/>
      <c r="M60" s="1417"/>
      <c r="N60" s="1417"/>
      <c r="O60" s="1417"/>
      <c r="P60" s="1417"/>
      <c r="Q60" s="1417"/>
      <c r="R60" s="1417"/>
      <c r="S60" s="1417"/>
      <c r="T60" s="1417"/>
      <c r="U60" s="1417"/>
      <c r="V60" s="1417"/>
      <c r="W60" s="1417"/>
      <c r="X60" s="1417"/>
      <c r="Y60" s="1417"/>
      <c r="Z60" s="1417"/>
      <c r="AA60" s="1417"/>
      <c r="AB60" s="1417"/>
      <c r="AC60" s="1417"/>
      <c r="AD60" s="1417"/>
      <c r="AE60" s="1417"/>
      <c r="AF60" s="1417"/>
      <c r="AG60" s="1417"/>
      <c r="AH60" s="1417"/>
      <c r="AI60" s="1417"/>
      <c r="AJ60" s="1417"/>
      <c r="AK60" s="1417"/>
      <c r="AL60" s="1417"/>
      <c r="AM60" s="1417"/>
      <c r="AN60" s="1417"/>
      <c r="AO60" s="1417"/>
      <c r="AP60" s="1417"/>
      <c r="AQ60" s="1417"/>
      <c r="AR60" s="1417"/>
      <c r="AS60" s="1417"/>
      <c r="AT60" s="1417"/>
      <c r="AU60" s="1390"/>
      <c r="AV60" s="1390"/>
      <c r="AW60" s="1390"/>
      <c r="AX60" s="1422"/>
      <c r="AY60" s="1422"/>
      <c r="AZ60" s="1422"/>
      <c r="BA60" s="1422"/>
      <c r="BB60" s="1390">
        <f>BB59/AW59-1</f>
        <v>0.22834645669291342</v>
      </c>
      <c r="BC60" s="1422"/>
      <c r="BD60" s="1422"/>
      <c r="BE60" s="1422"/>
      <c r="BF60" s="1422"/>
      <c r="BG60" s="1390">
        <f>BG59/BB59-1</f>
        <v>-0.22512820512820508</v>
      </c>
      <c r="BH60" s="1422"/>
      <c r="BI60" s="1422"/>
      <c r="BJ60" s="1425"/>
      <c r="BK60" s="1422"/>
      <c r="BL60" s="1390">
        <f>BL59/BG59-1</f>
        <v>-7.2799470549305134E-3</v>
      </c>
      <c r="BM60" s="1417"/>
      <c r="BN60" s="1417"/>
      <c r="BO60" s="1417"/>
      <c r="BP60" s="1417"/>
      <c r="BQ60" s="1388">
        <f>BQ59/BL59-1</f>
        <v>0</v>
      </c>
      <c r="BR60" s="1417"/>
      <c r="BS60" s="1417"/>
      <c r="BT60" s="1417"/>
      <c r="BU60" s="1417"/>
      <c r="BV60" s="1388">
        <f>BV59/BQ59-1</f>
        <v>0.10000000000000009</v>
      </c>
      <c r="BW60" s="1694"/>
      <c r="BX60" s="1694">
        <v>0.03</v>
      </c>
      <c r="BY60" s="1734">
        <v>0.05</v>
      </c>
      <c r="BZ60" s="1733" t="s">
        <v>1084</v>
      </c>
      <c r="CA60" s="1712">
        <f>CA59/BV59-1</f>
        <v>5.4618181818181677E-2</v>
      </c>
      <c r="CB60" s="1432" t="s">
        <v>948</v>
      </c>
      <c r="CC60" s="1432" t="s">
        <v>948</v>
      </c>
      <c r="CD60" s="1481">
        <v>0.12</v>
      </c>
      <c r="CE60" s="1432" t="s">
        <v>949</v>
      </c>
      <c r="CF60" s="1712">
        <f>CF59/CA59-1</f>
        <v>8.3049444865870292E-3</v>
      </c>
      <c r="CG60" s="1432" t="s">
        <v>956</v>
      </c>
      <c r="CH60" s="1432" t="s">
        <v>956</v>
      </c>
      <c r="CI60" s="1432" t="s">
        <v>1229</v>
      </c>
      <c r="CJ60" s="1432" t="s">
        <v>1361</v>
      </c>
      <c r="CK60" s="1712">
        <v>0.04</v>
      </c>
      <c r="CL60" s="1691">
        <v>0.04</v>
      </c>
      <c r="CM60" s="1691">
        <v>-0.01</v>
      </c>
      <c r="CN60" s="1691">
        <f>CM60</f>
        <v>-0.01</v>
      </c>
      <c r="CO60" s="1691">
        <f>CN60</f>
        <v>-0.01</v>
      </c>
      <c r="CP60" s="1712">
        <f>CP59/CK59-1</f>
        <v>5.7126086308896262E-3</v>
      </c>
      <c r="CQ60" s="1432"/>
      <c r="CR60" s="1432"/>
      <c r="CS60" s="1432"/>
      <c r="CT60" s="1432"/>
      <c r="CU60" s="1712">
        <f>CU59/CP59-1</f>
        <v>-5.1564004382532502E-2</v>
      </c>
      <c r="CV60" s="1432"/>
      <c r="CW60" s="1432"/>
      <c r="CX60" s="1432"/>
      <c r="CY60" s="1432"/>
      <c r="CZ60" s="1712">
        <f>CZ59/CU59-1</f>
        <v>5.2403762559514178E-3</v>
      </c>
      <c r="DA60" s="1712">
        <f>DA59/CZ59-1</f>
        <v>5.5723034237911806E-2</v>
      </c>
      <c r="DB60" s="1712">
        <f>DB59/DA59-1</f>
        <v>6.2349117707938273E-2</v>
      </c>
      <c r="DC60" s="1712">
        <f>DC59/DB59-1</f>
        <v>3.9174819085025847E-2</v>
      </c>
      <c r="DD60" s="1541"/>
    </row>
    <row r="61" spans="1:113" s="1178" customFormat="1" ht="12" customHeight="1">
      <c r="A61" s="1418"/>
      <c r="B61" s="1418"/>
      <c r="C61" s="1726"/>
      <c r="D61" s="1725" t="s">
        <v>1230</v>
      </c>
      <c r="E61" s="1418"/>
      <c r="F61" s="1417"/>
      <c r="G61" s="1417"/>
      <c r="H61" s="1417"/>
      <c r="I61" s="1417"/>
      <c r="J61" s="1417"/>
      <c r="K61" s="1417"/>
      <c r="L61" s="1417"/>
      <c r="M61" s="1417"/>
      <c r="N61" s="1417"/>
      <c r="O61" s="1417"/>
      <c r="P61" s="1417"/>
      <c r="Q61" s="1417"/>
      <c r="R61" s="1417"/>
      <c r="S61" s="1417"/>
      <c r="T61" s="1417"/>
      <c r="U61" s="1417"/>
      <c r="V61" s="1417"/>
      <c r="W61" s="1417"/>
      <c r="X61" s="1417"/>
      <c r="Y61" s="1417"/>
      <c r="Z61" s="1417"/>
      <c r="AA61" s="1417"/>
      <c r="AB61" s="1417"/>
      <c r="AC61" s="1417"/>
      <c r="AD61" s="1417"/>
      <c r="AE61" s="1417"/>
      <c r="AF61" s="1417"/>
      <c r="AG61" s="1417"/>
      <c r="AH61" s="1417"/>
      <c r="AI61" s="1417"/>
      <c r="AJ61" s="1417"/>
      <c r="AK61" s="1417"/>
      <c r="AL61" s="1417"/>
      <c r="AM61" s="1417"/>
      <c r="AN61" s="1417"/>
      <c r="AO61" s="1417"/>
      <c r="AP61" s="1417"/>
      <c r="AQ61" s="1417"/>
      <c r="AR61" s="1417"/>
      <c r="AS61" s="1417"/>
      <c r="AT61" s="1417"/>
      <c r="AU61" s="1390"/>
      <c r="AV61" s="1390"/>
      <c r="AW61" s="1390"/>
      <c r="AX61" s="1422"/>
      <c r="AY61" s="1422"/>
      <c r="AZ61" s="1422"/>
      <c r="BA61" s="1422"/>
      <c r="BB61" s="1390"/>
      <c r="BC61" s="1422"/>
      <c r="BD61" s="1422"/>
      <c r="BE61" s="1422"/>
      <c r="BF61" s="1422"/>
      <c r="BG61" s="1735">
        <f>BG59-BG63</f>
        <v>1805.783783783784</v>
      </c>
      <c r="BH61" s="1422"/>
      <c r="BI61" s="1422"/>
      <c r="BJ61" s="1425"/>
      <c r="BK61" s="1422"/>
      <c r="BL61" s="1735">
        <f>BL59-BL63</f>
        <v>1650</v>
      </c>
      <c r="BM61" s="1417"/>
      <c r="BN61" s="1417"/>
      <c r="BO61" s="1417"/>
      <c r="BP61" s="1417"/>
      <c r="BQ61" s="1736">
        <f>BQ59-BQ63</f>
        <v>1650</v>
      </c>
      <c r="BR61" s="1735"/>
      <c r="BS61" s="1735"/>
      <c r="BT61" s="1735"/>
      <c r="BU61" s="1735"/>
      <c r="BV61" s="1736">
        <f>BV59-BV63</f>
        <v>1815</v>
      </c>
      <c r="BW61" s="1694"/>
      <c r="BX61" s="1694"/>
      <c r="BY61" s="1694"/>
      <c r="BZ61" s="1691"/>
      <c r="CA61" s="1736">
        <f>BV61*(1+CA62)</f>
        <v>1887.6000000000001</v>
      </c>
      <c r="CB61" s="1739">
        <v>0.55000000000000004</v>
      </c>
      <c r="CC61" s="1732"/>
      <c r="CD61" s="1738"/>
      <c r="CE61" s="1731"/>
      <c r="CF61" s="1736">
        <f>CA61*(1+CF62)</f>
        <v>1868.7240000000002</v>
      </c>
      <c r="CG61" s="1737"/>
      <c r="CH61" s="1737"/>
      <c r="CI61" s="1731"/>
      <c r="CJ61" s="1731"/>
      <c r="CK61" s="1736">
        <f>CF61*(1+CK62)</f>
        <v>1775.2878000000001</v>
      </c>
      <c r="CL61" s="2132">
        <v>-0.12</v>
      </c>
      <c r="CM61" s="1731"/>
      <c r="CN61" s="1731"/>
      <c r="CO61" s="1731"/>
      <c r="CP61" s="1736">
        <f>CK61*(1+CP62)</f>
        <v>1615.5118980000002</v>
      </c>
      <c r="CQ61" s="1731"/>
      <c r="CR61" s="1731"/>
      <c r="CS61" s="1731"/>
      <c r="CT61" s="1731"/>
      <c r="CU61" s="1736">
        <f>CP61*(1+CU62)</f>
        <v>1494.3485056500003</v>
      </c>
      <c r="CV61" s="1731"/>
      <c r="CW61" s="1731"/>
      <c r="CX61" s="1731"/>
      <c r="CY61" s="1731"/>
      <c r="CZ61" s="1736">
        <f>CU61*(1+CZ62)</f>
        <v>1494.3485056500003</v>
      </c>
      <c r="DA61" s="1736">
        <f>CZ61*(1+DA62)</f>
        <v>1643.7833562150006</v>
      </c>
      <c r="DB61" s="1736">
        <f>DA61*(1+DB62)</f>
        <v>1808.1616918365007</v>
      </c>
      <c r="DC61" s="1736">
        <f>DB61*(1+DC62)</f>
        <v>1898.5697764283259</v>
      </c>
      <c r="DD61" s="2010"/>
    </row>
    <row r="62" spans="1:113" s="1178" customFormat="1" ht="12" customHeight="1">
      <c r="A62" s="1418"/>
      <c r="B62" s="1418"/>
      <c r="C62" s="1726"/>
      <c r="D62" s="1725" t="s">
        <v>1063</v>
      </c>
      <c r="E62" s="1418"/>
      <c r="F62" s="1417"/>
      <c r="G62" s="1417"/>
      <c r="H62" s="1417"/>
      <c r="I62" s="1417"/>
      <c r="J62" s="1417"/>
      <c r="K62" s="1417"/>
      <c r="L62" s="1417"/>
      <c r="M62" s="1417"/>
      <c r="N62" s="1417"/>
      <c r="O62" s="1417"/>
      <c r="P62" s="1417"/>
      <c r="Q62" s="1417"/>
      <c r="R62" s="1417"/>
      <c r="S62" s="1417"/>
      <c r="T62" s="1417"/>
      <c r="U62" s="1417"/>
      <c r="V62" s="1417"/>
      <c r="W62" s="1417"/>
      <c r="X62" s="1417"/>
      <c r="Y62" s="1417"/>
      <c r="Z62" s="1417"/>
      <c r="AA62" s="1417"/>
      <c r="AB62" s="1417"/>
      <c r="AC62" s="1417"/>
      <c r="AD62" s="1417"/>
      <c r="AE62" s="1417"/>
      <c r="AF62" s="1417"/>
      <c r="AG62" s="1417"/>
      <c r="AH62" s="1417"/>
      <c r="AI62" s="1417"/>
      <c r="AJ62" s="1417"/>
      <c r="AK62" s="1417"/>
      <c r="AL62" s="1417"/>
      <c r="AM62" s="1417"/>
      <c r="AN62" s="1417"/>
      <c r="AO62" s="1417"/>
      <c r="AP62" s="1417"/>
      <c r="AQ62" s="1417"/>
      <c r="AR62" s="1417"/>
      <c r="AS62" s="1417"/>
      <c r="AT62" s="1417"/>
      <c r="AU62" s="1390"/>
      <c r="AV62" s="1390"/>
      <c r="AW62" s="1390"/>
      <c r="AX62" s="1422"/>
      <c r="AY62" s="1422"/>
      <c r="AZ62" s="1422"/>
      <c r="BA62" s="1422"/>
      <c r="BB62" s="1390"/>
      <c r="BC62" s="1422"/>
      <c r="BD62" s="1422"/>
      <c r="BE62" s="1422"/>
      <c r="BF62" s="1422"/>
      <c r="BG62" s="1570"/>
      <c r="BH62" s="1422"/>
      <c r="BI62" s="1422"/>
      <c r="BJ62" s="1425"/>
      <c r="BK62" s="1422"/>
      <c r="BL62" s="1570">
        <f>BL61/BG61-1</f>
        <v>-8.6269344748106769E-2</v>
      </c>
      <c r="BM62" s="1417"/>
      <c r="BN62" s="1417"/>
      <c r="BO62" s="1417"/>
      <c r="BP62" s="1417"/>
      <c r="BQ62" s="1712">
        <f>BQ61/BL61-1</f>
        <v>0</v>
      </c>
      <c r="BR62" s="1735"/>
      <c r="BS62" s="1735"/>
      <c r="BT62" s="1735"/>
      <c r="BU62" s="1735"/>
      <c r="BV62" s="1712">
        <f>BV61/BQ61-1</f>
        <v>0.10000000000000009</v>
      </c>
      <c r="BW62" s="1694"/>
      <c r="BX62" s="1694">
        <v>0.05</v>
      </c>
      <c r="BY62" s="1734">
        <v>-0.08</v>
      </c>
      <c r="BZ62" s="1733" t="s">
        <v>1082</v>
      </c>
      <c r="CA62" s="1730">
        <v>0.04</v>
      </c>
      <c r="CB62" s="1732" t="s">
        <v>956</v>
      </c>
      <c r="CC62" s="1732" t="s">
        <v>983</v>
      </c>
      <c r="CD62" s="1481">
        <v>0.11</v>
      </c>
      <c r="CE62" s="1432" t="s">
        <v>1229</v>
      </c>
      <c r="CF62" s="1730">
        <v>-0.01</v>
      </c>
      <c r="CG62" s="1731"/>
      <c r="CH62" s="1731"/>
      <c r="CI62" s="1731"/>
      <c r="CJ62" s="1731"/>
      <c r="CK62" s="1730">
        <v>-0.05</v>
      </c>
      <c r="CL62" s="2026"/>
      <c r="CM62" s="2026"/>
      <c r="CN62" s="2026"/>
      <c r="CO62" s="2026"/>
      <c r="CP62" s="1730">
        <v>-0.09</v>
      </c>
      <c r="CQ62" s="1731"/>
      <c r="CR62" s="1731"/>
      <c r="CS62" s="1731"/>
      <c r="CT62" s="1731"/>
      <c r="CU62" s="1730">
        <v>-7.4999999999999997E-2</v>
      </c>
      <c r="CV62" s="1731"/>
      <c r="CW62" s="1731"/>
      <c r="CX62" s="1731"/>
      <c r="CY62" s="1731"/>
      <c r="CZ62" s="1730">
        <v>0</v>
      </c>
      <c r="DA62" s="1730">
        <v>0.1</v>
      </c>
      <c r="DB62" s="1730">
        <v>0.1</v>
      </c>
      <c r="DC62" s="1730">
        <v>0.05</v>
      </c>
      <c r="DD62" s="2013"/>
    </row>
    <row r="63" spans="1:113" s="1178" customFormat="1" ht="12" customHeight="1">
      <c r="A63" s="1418"/>
      <c r="B63" s="1418"/>
      <c r="C63" s="1726"/>
      <c r="D63" s="1725" t="s">
        <v>650</v>
      </c>
      <c r="E63" s="1418"/>
      <c r="F63" s="1417"/>
      <c r="G63" s="1417"/>
      <c r="H63" s="1417"/>
      <c r="I63" s="1417"/>
      <c r="J63" s="1417"/>
      <c r="K63" s="1417"/>
      <c r="L63" s="1417"/>
      <c r="M63" s="1417"/>
      <c r="N63" s="1417"/>
      <c r="O63" s="1417"/>
      <c r="P63" s="1417"/>
      <c r="Q63" s="1417"/>
      <c r="R63" s="1417"/>
      <c r="S63" s="1417"/>
      <c r="T63" s="1417"/>
      <c r="U63" s="1417"/>
      <c r="V63" s="1417"/>
      <c r="W63" s="1417"/>
      <c r="X63" s="1417"/>
      <c r="Y63" s="1417"/>
      <c r="Z63" s="1417"/>
      <c r="AA63" s="1417"/>
      <c r="AB63" s="1417"/>
      <c r="AC63" s="1417"/>
      <c r="AD63" s="1417"/>
      <c r="AE63" s="1417"/>
      <c r="AF63" s="1417"/>
      <c r="AG63" s="1417"/>
      <c r="AH63" s="1417"/>
      <c r="AI63" s="1417"/>
      <c r="AJ63" s="1417"/>
      <c r="AK63" s="1417"/>
      <c r="AL63" s="1417"/>
      <c r="AM63" s="1417"/>
      <c r="AN63" s="1417"/>
      <c r="AO63" s="1417"/>
      <c r="AP63" s="1417"/>
      <c r="AQ63" s="1417"/>
      <c r="AR63" s="1417"/>
      <c r="AS63" s="1417"/>
      <c r="AT63" s="1417"/>
      <c r="AU63" s="1390"/>
      <c r="AV63" s="1390"/>
      <c r="AW63" s="1390"/>
      <c r="AX63" s="1422"/>
      <c r="AY63" s="1422"/>
      <c r="AZ63" s="1422"/>
      <c r="BA63" s="1422"/>
      <c r="BB63" s="1390"/>
      <c r="BC63" s="1422"/>
      <c r="BD63" s="1422"/>
      <c r="BE63" s="1422"/>
      <c r="BF63" s="1422"/>
      <c r="BG63" s="1735">
        <f>BL63/(1+0.11)</f>
        <v>1216.216216216216</v>
      </c>
      <c r="BH63" s="1422"/>
      <c r="BI63" s="1422"/>
      <c r="BJ63" s="1425"/>
      <c r="BK63" s="1422"/>
      <c r="BL63" s="1735">
        <v>1350</v>
      </c>
      <c r="BM63" s="1417"/>
      <c r="BN63" s="1417"/>
      <c r="BO63" s="1417"/>
      <c r="BP63" s="1417"/>
      <c r="BQ63" s="1736">
        <v>1350</v>
      </c>
      <c r="BR63" s="1735"/>
      <c r="BS63" s="1735"/>
      <c r="BT63" s="1735"/>
      <c r="BU63" s="1735"/>
      <c r="BV63" s="1736">
        <v>1485</v>
      </c>
      <c r="BW63" s="1694"/>
      <c r="BX63" s="1694"/>
      <c r="BY63" s="1694"/>
      <c r="BZ63" s="1691"/>
      <c r="CA63" s="1736">
        <f>CA59-CA61</f>
        <v>1592.6399999999996</v>
      </c>
      <c r="CB63" s="1732"/>
      <c r="CC63" s="1732"/>
      <c r="CD63" s="1738"/>
      <c r="CE63" s="1432"/>
      <c r="CF63" s="1736">
        <f>CA63*(1+CF64)</f>
        <v>1640.4191999999996</v>
      </c>
      <c r="CG63" s="1737"/>
      <c r="CH63" s="1737"/>
      <c r="CI63" s="1731"/>
      <c r="CJ63" s="1731"/>
      <c r="CK63" s="1736">
        <f>CF63*(1+CK64)</f>
        <v>1673.2275839999995</v>
      </c>
      <c r="CL63" s="1731"/>
      <c r="CM63" s="1731"/>
      <c r="CN63" s="1731"/>
      <c r="CO63" s="1731"/>
      <c r="CP63" s="1736">
        <f>CK63*(1+CP64)</f>
        <v>1706.6921356799996</v>
      </c>
      <c r="CQ63" s="1731"/>
      <c r="CR63" s="1731"/>
      <c r="CS63" s="1731"/>
      <c r="CT63" s="1731"/>
      <c r="CU63" s="1736">
        <f>CP63*(1+CU64)</f>
        <v>1723.7590570367997</v>
      </c>
      <c r="CV63" s="1731"/>
      <c r="CW63" s="1731"/>
      <c r="CX63" s="1731"/>
      <c r="CY63" s="1731"/>
      <c r="CZ63" s="1736">
        <f>CU63*(1+CZ64)</f>
        <v>1740.9966476071677</v>
      </c>
      <c r="DA63" s="1736">
        <f>CZ63*(1+DA64)</f>
        <v>1775.816580559311</v>
      </c>
      <c r="DB63" s="1736">
        <f>DA63*(1+DB64)</f>
        <v>1829.0910779760904</v>
      </c>
      <c r="DC63" s="1736">
        <f>DB63*(1+DC64)</f>
        <v>1883.9638103153732</v>
      </c>
      <c r="DD63" s="2010"/>
    </row>
    <row r="64" spans="1:113" s="1178" customFormat="1" ht="12" customHeight="1">
      <c r="A64" s="1418"/>
      <c r="B64" s="1418"/>
      <c r="C64" s="1726"/>
      <c r="D64" s="1725" t="s">
        <v>1063</v>
      </c>
      <c r="E64" s="1418"/>
      <c r="F64" s="1417"/>
      <c r="G64" s="1417"/>
      <c r="H64" s="1417"/>
      <c r="I64" s="1417"/>
      <c r="J64" s="1417"/>
      <c r="K64" s="1417"/>
      <c r="L64" s="1417"/>
      <c r="M64" s="1417"/>
      <c r="N64" s="1417"/>
      <c r="O64" s="1417"/>
      <c r="P64" s="1417"/>
      <c r="Q64" s="1417"/>
      <c r="R64" s="1417"/>
      <c r="S64" s="1417"/>
      <c r="T64" s="1417"/>
      <c r="U64" s="1417"/>
      <c r="V64" s="1417"/>
      <c r="W64" s="1417"/>
      <c r="X64" s="1417"/>
      <c r="Y64" s="1417"/>
      <c r="Z64" s="1417"/>
      <c r="AA64" s="1417"/>
      <c r="AB64" s="1417"/>
      <c r="AC64" s="1417"/>
      <c r="AD64" s="1417"/>
      <c r="AE64" s="1417"/>
      <c r="AF64" s="1417"/>
      <c r="AG64" s="1417"/>
      <c r="AH64" s="1417"/>
      <c r="AI64" s="1417"/>
      <c r="AJ64" s="1417"/>
      <c r="AK64" s="1417"/>
      <c r="AL64" s="1417"/>
      <c r="AM64" s="1417"/>
      <c r="AN64" s="1417"/>
      <c r="AO64" s="1417"/>
      <c r="AP64" s="1417"/>
      <c r="AQ64" s="1417"/>
      <c r="AR64" s="1417"/>
      <c r="AS64" s="1417"/>
      <c r="AT64" s="1417"/>
      <c r="AU64" s="1390"/>
      <c r="AV64" s="1390"/>
      <c r="AW64" s="1390"/>
      <c r="AX64" s="1422"/>
      <c r="AY64" s="1422"/>
      <c r="AZ64" s="1422"/>
      <c r="BA64" s="1422"/>
      <c r="BB64" s="1390"/>
      <c r="BC64" s="1422"/>
      <c r="BD64" s="1422"/>
      <c r="BE64" s="1422"/>
      <c r="BF64" s="1422"/>
      <c r="BG64" s="1735"/>
      <c r="BH64" s="1422"/>
      <c r="BI64" s="1422"/>
      <c r="BJ64" s="1425"/>
      <c r="BK64" s="1422"/>
      <c r="BL64" s="1570">
        <f>BL63/BG63-1</f>
        <v>0.1100000000000001</v>
      </c>
      <c r="BM64" s="1417"/>
      <c r="BN64" s="1417"/>
      <c r="BO64" s="1417"/>
      <c r="BP64" s="1417"/>
      <c r="BQ64" s="1712">
        <f>BQ63/BL63-1</f>
        <v>0</v>
      </c>
      <c r="BR64" s="1735"/>
      <c r="BS64" s="1735"/>
      <c r="BT64" s="1735"/>
      <c r="BU64" s="1735"/>
      <c r="BV64" s="1712">
        <f>BV63/BQ63-1</f>
        <v>0.10000000000000009</v>
      </c>
      <c r="BW64" s="1694"/>
      <c r="BX64" s="1694">
        <v>-7.0000000000000007E-2</v>
      </c>
      <c r="BY64" s="1734">
        <v>-0.03</v>
      </c>
      <c r="BZ64" s="1733" t="s">
        <v>1052</v>
      </c>
      <c r="CA64" s="1712">
        <f>CA63/BV63-1</f>
        <v>7.2484848484848152E-2</v>
      </c>
      <c r="CB64" s="1732" t="s">
        <v>1228</v>
      </c>
      <c r="CC64" s="1732" t="s">
        <v>948</v>
      </c>
      <c r="CD64" s="1481" t="s">
        <v>1227</v>
      </c>
      <c r="CE64" s="1432" t="s">
        <v>983</v>
      </c>
      <c r="CF64" s="1730">
        <v>0.03</v>
      </c>
      <c r="CG64" s="1731"/>
      <c r="CH64" s="1731"/>
      <c r="CI64" s="1731"/>
      <c r="CJ64" s="1731"/>
      <c r="CK64" s="1730">
        <v>0.02</v>
      </c>
      <c r="CL64" s="2026"/>
      <c r="CM64" s="2026"/>
      <c r="CN64" s="2026"/>
      <c r="CO64" s="2026"/>
      <c r="CP64" s="1730">
        <v>0.02</v>
      </c>
      <c r="CQ64" s="1731"/>
      <c r="CR64" s="1731"/>
      <c r="CS64" s="1731"/>
      <c r="CT64" s="1731"/>
      <c r="CU64" s="1730">
        <v>0.01</v>
      </c>
      <c r="CV64" s="1731"/>
      <c r="CW64" s="1731"/>
      <c r="CX64" s="1731"/>
      <c r="CY64" s="1731"/>
      <c r="CZ64" s="1730">
        <v>0.01</v>
      </c>
      <c r="DA64" s="1730">
        <v>0.02</v>
      </c>
      <c r="DB64" s="1730">
        <v>0.03</v>
      </c>
      <c r="DC64" s="1730">
        <v>0.03</v>
      </c>
      <c r="DD64" s="2013"/>
    </row>
    <row r="65" spans="1:108" s="1178" customFormat="1" ht="12" customHeight="1">
      <c r="A65" s="1393"/>
      <c r="B65" s="1393"/>
      <c r="C65" s="1726"/>
      <c r="D65" s="1394" t="s">
        <v>1226</v>
      </c>
      <c r="E65" s="1393"/>
      <c r="F65" s="1390"/>
      <c r="G65" s="1390"/>
      <c r="H65" s="1390"/>
      <c r="I65" s="1390"/>
      <c r="J65" s="1390"/>
      <c r="K65" s="1390"/>
      <c r="L65" s="1390"/>
      <c r="M65" s="1390"/>
      <c r="N65" s="1390"/>
      <c r="O65" s="1390"/>
      <c r="P65" s="1390"/>
      <c r="Q65" s="1390"/>
      <c r="R65" s="1390"/>
      <c r="S65" s="1390"/>
      <c r="T65" s="1390"/>
      <c r="U65" s="1390"/>
      <c r="V65" s="1390"/>
      <c r="W65" s="1390"/>
      <c r="X65" s="1390"/>
      <c r="Y65" s="1390"/>
      <c r="Z65" s="1390"/>
      <c r="AA65" s="1390"/>
      <c r="AB65" s="1390"/>
      <c r="AC65" s="1390"/>
      <c r="AD65" s="1390"/>
      <c r="AE65" s="1390"/>
      <c r="AF65" s="1390"/>
      <c r="AG65" s="1390"/>
      <c r="AH65" s="1390"/>
      <c r="AI65" s="1390"/>
      <c r="AJ65" s="1390"/>
      <c r="AK65" s="1390"/>
      <c r="AL65" s="1390"/>
      <c r="AM65" s="1390"/>
      <c r="AN65" s="1390"/>
      <c r="AO65" s="1390"/>
      <c r="AP65" s="1390"/>
      <c r="AQ65" s="1390"/>
      <c r="AR65" s="1390"/>
      <c r="AS65" s="1390"/>
      <c r="AT65" s="1390"/>
      <c r="AU65" s="1390"/>
      <c r="AV65" s="1390"/>
      <c r="AW65" s="1390"/>
      <c r="AX65" s="1424"/>
      <c r="AY65" s="1424"/>
      <c r="AZ65" s="1424"/>
      <c r="BA65" s="1424"/>
      <c r="BB65" s="1390"/>
      <c r="BC65" s="1424"/>
      <c r="BD65" s="1424"/>
      <c r="BE65" s="1424"/>
      <c r="BF65" s="1424"/>
      <c r="BG65" s="1729">
        <f>BG63/BG59</f>
        <v>0.40245407551827134</v>
      </c>
      <c r="BH65" s="1424"/>
      <c r="BI65" s="1424"/>
      <c r="BJ65" s="1424"/>
      <c r="BK65" s="1424"/>
      <c r="BL65" s="1729">
        <f>BL63/BL59</f>
        <v>0.45</v>
      </c>
      <c r="BM65" s="1729"/>
      <c r="BN65" s="1729"/>
      <c r="BO65" s="1729"/>
      <c r="BP65" s="1729"/>
      <c r="BQ65" s="1727">
        <f>BQ63/BQ59</f>
        <v>0.45</v>
      </c>
      <c r="BR65" s="1729"/>
      <c r="BS65" s="1729"/>
      <c r="BT65" s="1729"/>
      <c r="BU65" s="1729"/>
      <c r="BV65" s="1727">
        <f>BV63/BV59</f>
        <v>0.45</v>
      </c>
      <c r="BW65" s="1729"/>
      <c r="BX65" s="1694"/>
      <c r="BY65" s="1729"/>
      <c r="BZ65" s="1729"/>
      <c r="CA65" s="1727">
        <f>CA63/CA59</f>
        <v>0.45762361216467823</v>
      </c>
      <c r="CB65" s="1431"/>
      <c r="CC65" s="1431"/>
      <c r="CD65" s="1728"/>
      <c r="CE65" s="1431"/>
      <c r="CF65" s="1727">
        <v>0.45</v>
      </c>
      <c r="CG65" s="1431"/>
      <c r="CH65" s="1431"/>
      <c r="CI65" s="1431"/>
      <c r="CJ65" s="1431"/>
      <c r="CK65" s="1727">
        <v>0.45</v>
      </c>
      <c r="CL65" s="1431"/>
      <c r="CM65" s="1431"/>
      <c r="CN65" s="1431"/>
      <c r="CO65" s="1431"/>
      <c r="CP65" s="1727">
        <v>0.45</v>
      </c>
      <c r="CQ65" s="1431"/>
      <c r="CR65" s="1431"/>
      <c r="CS65" s="1431"/>
      <c r="CT65" s="1431"/>
      <c r="CU65" s="1727">
        <v>0.45</v>
      </c>
      <c r="CV65" s="1431"/>
      <c r="CW65" s="1431"/>
      <c r="CX65" s="1431"/>
      <c r="CY65" s="1431"/>
      <c r="CZ65" s="1727">
        <v>0.45</v>
      </c>
      <c r="DA65" s="1727">
        <v>0.45</v>
      </c>
      <c r="DB65" s="1727">
        <v>0.45</v>
      </c>
      <c r="DC65" s="1727">
        <v>0.45</v>
      </c>
      <c r="DD65" s="2011"/>
    </row>
    <row r="66" spans="1:108" s="1178" customFormat="1" ht="12" customHeight="1">
      <c r="A66" s="1393"/>
      <c r="B66" s="1393"/>
      <c r="C66" s="1726"/>
      <c r="D66" s="1394" t="s">
        <v>150</v>
      </c>
      <c r="E66" s="1393"/>
      <c r="F66" s="1390"/>
      <c r="G66" s="1390"/>
      <c r="H66" s="1390"/>
      <c r="I66" s="1390"/>
      <c r="J66" s="1390"/>
      <c r="K66" s="1390"/>
      <c r="L66" s="1390"/>
      <c r="M66" s="1390"/>
      <c r="N66" s="1390"/>
      <c r="O66" s="1390"/>
      <c r="P66" s="1390"/>
      <c r="Q66" s="1390"/>
      <c r="R66" s="1390"/>
      <c r="S66" s="1390"/>
      <c r="T66" s="1390"/>
      <c r="U66" s="1390"/>
      <c r="V66" s="1390"/>
      <c r="W66" s="1390"/>
      <c r="X66" s="1390"/>
      <c r="Y66" s="1390"/>
      <c r="Z66" s="1390"/>
      <c r="AA66" s="1390"/>
      <c r="AB66" s="1390"/>
      <c r="AC66" s="1390"/>
      <c r="AD66" s="1390"/>
      <c r="AE66" s="1390"/>
      <c r="AF66" s="1390"/>
      <c r="AG66" s="1390"/>
      <c r="AH66" s="1390"/>
      <c r="AI66" s="1390"/>
      <c r="AJ66" s="1390"/>
      <c r="AK66" s="1390"/>
      <c r="AL66" s="1390"/>
      <c r="AM66" s="1390"/>
      <c r="AN66" s="1390"/>
      <c r="AO66" s="1390"/>
      <c r="AP66" s="1390"/>
      <c r="AQ66" s="1390"/>
      <c r="AR66" s="1390"/>
      <c r="AS66" s="1390"/>
      <c r="AT66" s="1390"/>
      <c r="AU66" s="1390"/>
      <c r="AV66" s="1390"/>
      <c r="AW66" s="1390"/>
      <c r="AX66" s="1424"/>
      <c r="AY66" s="1424"/>
      <c r="AZ66" s="1424"/>
      <c r="BA66" s="1424"/>
      <c r="BB66" s="1390"/>
      <c r="BC66" s="1424"/>
      <c r="BD66" s="1424"/>
      <c r="BE66" s="1424"/>
      <c r="BF66" s="1424"/>
      <c r="BG66" s="1729"/>
      <c r="BH66" s="1424"/>
      <c r="BI66" s="1424"/>
      <c r="BJ66" s="1424"/>
      <c r="BK66" s="1424"/>
      <c r="BL66" s="1729"/>
      <c r="BM66" s="1729"/>
      <c r="BN66" s="1729"/>
      <c r="BO66" s="1729"/>
      <c r="BP66" s="1729"/>
      <c r="BQ66" s="1727"/>
      <c r="BR66" s="1729"/>
      <c r="BS66" s="1729"/>
      <c r="BT66" s="1729"/>
      <c r="BU66" s="1729"/>
      <c r="BV66" s="1727"/>
      <c r="BW66" s="1729"/>
      <c r="BX66" s="1694"/>
      <c r="BY66" s="1729"/>
      <c r="BZ66" s="1729"/>
      <c r="CA66" s="1727"/>
      <c r="CB66" s="1913"/>
      <c r="CC66" s="1913"/>
      <c r="CD66" s="1913"/>
      <c r="CE66" s="1913"/>
      <c r="CF66" s="1727"/>
      <c r="CG66" s="1913">
        <f>CG67*$CK$59/4</f>
        <v>118.03257906462846</v>
      </c>
      <c r="CH66" s="1913">
        <f>CH67*$CK$59/4</f>
        <v>119.72240639476637</v>
      </c>
      <c r="CI66" s="1913">
        <f>CI67*$CK$59/4</f>
        <v>189.26212539216195</v>
      </c>
      <c r="CJ66" s="1913">
        <f>CJ67*$CK$59/4</f>
        <v>169.98022201806512</v>
      </c>
      <c r="CK66" s="1914">
        <f>SUM(CG66:CJ66)</f>
        <v>596.99733286962191</v>
      </c>
      <c r="CL66" s="1913">
        <f>CL67*$CK$59/4</f>
        <v>112.35404855521269</v>
      </c>
      <c r="CM66" s="1913">
        <f t="shared" ref="CM66:CY66" si="47">CM67*$CK$59/4</f>
        <v>45.685405876513485</v>
      </c>
      <c r="CN66" s="1913">
        <f>CN67*$CK$59/4</f>
        <v>-7.9960201842105274</v>
      </c>
      <c r="CO66" s="1913">
        <f t="shared" si="47"/>
        <v>-4.0320651811222969</v>
      </c>
      <c r="CP66" s="1914">
        <f>SUM(CL66:CO66)</f>
        <v>146.01136906639334</v>
      </c>
      <c r="CQ66" s="1913">
        <f>CQ67*$CP$59*0.5/4</f>
        <v>-20.006691557308077</v>
      </c>
      <c r="CR66" s="1913">
        <f>CR67*$CP$59/4</f>
        <v>53.944119884093574</v>
      </c>
      <c r="CS66" s="1913">
        <f>-CS67*$CP$59/4</f>
        <v>-29.303821040821926</v>
      </c>
      <c r="CT66" s="1913">
        <f>-CT67*$CP$59/4</f>
        <v>66.639158546847938</v>
      </c>
      <c r="CU66" s="1912">
        <f>SUM(CQ66:CT66)</f>
        <v>71.272765832811501</v>
      </c>
      <c r="CV66" s="1913">
        <f t="shared" si="47"/>
        <v>-61.999893124213671</v>
      </c>
      <c r="CW66" s="1913">
        <f t="shared" si="47"/>
        <v>-79.71867559297209</v>
      </c>
      <c r="CX66" s="1913">
        <f t="shared" si="47"/>
        <v>-69.57279723238409</v>
      </c>
      <c r="CY66" s="1913">
        <f t="shared" si="47"/>
        <v>0</v>
      </c>
      <c r="CZ66" s="1912">
        <f>CU66</f>
        <v>71.272765832811501</v>
      </c>
      <c r="DA66" s="1912">
        <f>CZ66</f>
        <v>71.272765832811501</v>
      </c>
      <c r="DB66" s="1912">
        <f>DA66</f>
        <v>71.272765832811501</v>
      </c>
      <c r="DC66" s="1912">
        <f>DB66</f>
        <v>71.272765832811501</v>
      </c>
      <c r="DD66" s="2014"/>
    </row>
    <row r="67" spans="1:108" s="1551" customFormat="1" ht="12" customHeight="1">
      <c r="A67" s="1442"/>
      <c r="B67" s="1442"/>
      <c r="C67" s="1915"/>
      <c r="D67" s="1451" t="s">
        <v>1352</v>
      </c>
      <c r="E67" s="1442"/>
      <c r="F67" s="1916"/>
      <c r="G67" s="1916"/>
      <c r="H67" s="1916"/>
      <c r="I67" s="1916"/>
      <c r="J67" s="1916"/>
      <c r="K67" s="1916"/>
      <c r="L67" s="1916"/>
      <c r="M67" s="1916"/>
      <c r="N67" s="1916"/>
      <c r="O67" s="1916"/>
      <c r="P67" s="1916"/>
      <c r="Q67" s="1916"/>
      <c r="R67" s="1916"/>
      <c r="S67" s="1916"/>
      <c r="T67" s="1916"/>
      <c r="U67" s="1916"/>
      <c r="V67" s="1916"/>
      <c r="W67" s="1916"/>
      <c r="X67" s="1916"/>
      <c r="Y67" s="1916"/>
      <c r="Z67" s="1916"/>
      <c r="AA67" s="1916"/>
      <c r="AB67" s="1916"/>
      <c r="AC67" s="1916"/>
      <c r="AD67" s="1916"/>
      <c r="AE67" s="1916"/>
      <c r="AF67" s="1916"/>
      <c r="AG67" s="1916"/>
      <c r="AH67" s="1916"/>
      <c r="AI67" s="1916"/>
      <c r="AJ67" s="1916"/>
      <c r="AK67" s="1916"/>
      <c r="AL67" s="1916"/>
      <c r="AM67" s="1916"/>
      <c r="AN67" s="1916"/>
      <c r="AO67" s="1916"/>
      <c r="AP67" s="1916"/>
      <c r="AQ67" s="1916"/>
      <c r="AR67" s="1916"/>
      <c r="AS67" s="1916"/>
      <c r="AT67" s="1916"/>
      <c r="AU67" s="1916"/>
      <c r="AV67" s="1916"/>
      <c r="AW67" s="1916"/>
      <c r="AX67" s="1917"/>
      <c r="AY67" s="1917"/>
      <c r="AZ67" s="1917"/>
      <c r="BA67" s="1917"/>
      <c r="BB67" s="1916"/>
      <c r="BC67" s="1917"/>
      <c r="BD67" s="1917"/>
      <c r="BE67" s="1917"/>
      <c r="BF67" s="1917"/>
      <c r="BG67" s="1918"/>
      <c r="BH67" s="1917"/>
      <c r="BI67" s="1917"/>
      <c r="BJ67" s="1917"/>
      <c r="BK67" s="1917"/>
      <c r="BL67" s="1918"/>
      <c r="BM67" s="1918"/>
      <c r="BN67" s="1918"/>
      <c r="BO67" s="1918"/>
      <c r="BP67" s="1918"/>
      <c r="BQ67" s="1919"/>
      <c r="BR67" s="1918"/>
      <c r="BS67" s="1918"/>
      <c r="BT67" s="1918"/>
      <c r="BU67" s="1918"/>
      <c r="BV67" s="1919"/>
      <c r="BW67" s="1918"/>
      <c r="BX67" s="1920"/>
      <c r="BY67" s="1918"/>
      <c r="BZ67" s="1918"/>
      <c r="CA67" s="1919"/>
      <c r="CB67" s="1431"/>
      <c r="CC67" s="1431"/>
      <c r="CD67" s="1431"/>
      <c r="CE67" s="1431"/>
      <c r="CF67" s="1919"/>
      <c r="CG67" s="1431">
        <f>(1/CG68-1/CB68)</f>
        <v>0.13690828187951443</v>
      </c>
      <c r="CH67" s="1431">
        <f>(1/CH68-1/CC68)</f>
        <v>0.13886834543379423</v>
      </c>
      <c r="CI67" s="1431">
        <f>(1/CI68-1/CD68)</f>
        <v>0.21952881668474178</v>
      </c>
      <c r="CJ67" s="1431">
        <f>(1/CJ68-1/CE68)</f>
        <v>0.19716336230566767</v>
      </c>
      <c r="CK67" s="1727"/>
      <c r="CL67" s="1431">
        <f t="shared" ref="CL67:CU67" si="48">(1/CL68-1/CG68)</f>
        <v>0.13032164400541668</v>
      </c>
      <c r="CM67" s="1431">
        <f t="shared" si="48"/>
        <v>5.2991389962740554E-2</v>
      </c>
      <c r="CN67" s="1431">
        <f t="shared" si="48"/>
        <v>-9.2747391776872856E-3</v>
      </c>
      <c r="CO67" s="1431">
        <f t="shared" si="48"/>
        <v>-4.6768707482991445E-3</v>
      </c>
      <c r="CP67" s="1727">
        <f t="shared" si="48"/>
        <v>4.3033174955497078E-2</v>
      </c>
      <c r="CQ67" s="1431">
        <f>(1/CQ68-1/CL68)</f>
        <v>-4.6148671253729567E-2</v>
      </c>
      <c r="CR67" s="1431">
        <f t="shared" si="48"/>
        <v>6.2215420462496729E-2</v>
      </c>
      <c r="CS67" s="1431">
        <f t="shared" si="48"/>
        <v>3.3797002363367579E-2</v>
      </c>
      <c r="CT67" s="1431">
        <f t="shared" si="48"/>
        <v>-7.6857000858802538E-2</v>
      </c>
      <c r="CU67" s="1727">
        <f t="shared" si="48"/>
        <v>-6.9352518611203173E-3</v>
      </c>
      <c r="CV67" s="1431">
        <f>(1/CV68-1/CQ68)</f>
        <v>-7.1914880718668917E-2</v>
      </c>
      <c r="CW67" s="1431">
        <f>(1/CW68-1/CR68)</f>
        <v>-9.2467240787547089E-2</v>
      </c>
      <c r="CX67" s="1431">
        <f>(1/CX68-1/CS68)</f>
        <v>-8.0698839338434691E-2</v>
      </c>
      <c r="CY67" s="1431">
        <f>(1/CY68-1/CT68)</f>
        <v>0</v>
      </c>
      <c r="CZ67" s="1919"/>
      <c r="DA67" s="1919"/>
      <c r="DB67" s="1919"/>
      <c r="DC67" s="1919"/>
      <c r="DD67" s="2015"/>
    </row>
    <row r="68" spans="1:108" s="1178" customFormat="1" ht="12" customHeight="1">
      <c r="A68" s="1393"/>
      <c r="B68" s="1393"/>
      <c r="C68" s="1726"/>
      <c r="D68" s="1394" t="s">
        <v>1322</v>
      </c>
      <c r="E68" s="1393"/>
      <c r="F68" s="1390"/>
      <c r="G68" s="1390"/>
      <c r="H68" s="1390"/>
      <c r="I68" s="1390"/>
      <c r="J68" s="1390"/>
      <c r="K68" s="1390"/>
      <c r="L68" s="1390"/>
      <c r="M68" s="1390"/>
      <c r="N68" s="1390"/>
      <c r="O68" s="1390"/>
      <c r="P68" s="1390"/>
      <c r="Q68" s="1390"/>
      <c r="R68" s="1390"/>
      <c r="S68" s="1390"/>
      <c r="T68" s="1390"/>
      <c r="U68" s="1390"/>
      <c r="V68" s="1390"/>
      <c r="W68" s="1390"/>
      <c r="X68" s="1390"/>
      <c r="Y68" s="1390"/>
      <c r="Z68" s="1390"/>
      <c r="AA68" s="1390"/>
      <c r="AB68" s="1390"/>
      <c r="AC68" s="1390"/>
      <c r="AD68" s="1390"/>
      <c r="AE68" s="1390"/>
      <c r="AF68" s="1390"/>
      <c r="AG68" s="1390"/>
      <c r="AH68" s="1390"/>
      <c r="AI68" s="1390"/>
      <c r="AJ68" s="1390"/>
      <c r="AK68" s="1390"/>
      <c r="AL68" s="1390"/>
      <c r="AM68" s="1390"/>
      <c r="AN68" s="1390"/>
      <c r="AO68" s="1390"/>
      <c r="AP68" s="1390"/>
      <c r="AQ68" s="1390"/>
      <c r="AR68" s="1390"/>
      <c r="AS68" s="1390"/>
      <c r="AT68" s="1390"/>
      <c r="AU68" s="1390"/>
      <c r="AV68" s="1390"/>
      <c r="AW68" s="1390"/>
      <c r="AX68" s="1424"/>
      <c r="AY68" s="1424"/>
      <c r="AZ68" s="1424"/>
      <c r="BA68" s="1424"/>
      <c r="BB68" s="1390"/>
      <c r="BC68" s="1424"/>
      <c r="BD68" s="1424"/>
      <c r="BE68" s="1424"/>
      <c r="BF68" s="1424"/>
      <c r="BG68" s="1729"/>
      <c r="BH68" s="1424"/>
      <c r="BI68" s="1424"/>
      <c r="BJ68" s="1424"/>
      <c r="BK68" s="1424"/>
      <c r="BL68" s="1729"/>
      <c r="BM68" s="1729"/>
      <c r="BN68" s="1729"/>
      <c r="BO68" s="1729"/>
      <c r="BP68" s="1729"/>
      <c r="BQ68" s="1727"/>
      <c r="BR68" s="1729"/>
      <c r="BS68" s="1729"/>
      <c r="BT68" s="1729"/>
      <c r="BU68" s="1729"/>
      <c r="BV68" s="1727"/>
      <c r="BW68" s="1729"/>
      <c r="BX68" s="1694"/>
      <c r="BY68" s="1729"/>
      <c r="BZ68" s="1729"/>
      <c r="CA68" s="1727"/>
      <c r="CB68" s="2266">
        <v>0.90692000000000006</v>
      </c>
      <c r="CC68" s="2266">
        <v>0.91727000000000003</v>
      </c>
      <c r="CD68" s="2265">
        <v>0.91874000000000011</v>
      </c>
      <c r="CE68" s="1909">
        <v>0.8801500000000001</v>
      </c>
      <c r="CF68" s="1727"/>
      <c r="CG68" s="1909">
        <v>0.80675000000000008</v>
      </c>
      <c r="CH68" s="1909">
        <v>0.81363000000000008</v>
      </c>
      <c r="CI68" s="1909">
        <v>0.76454000000000011</v>
      </c>
      <c r="CJ68" s="1911">
        <v>0.75</v>
      </c>
      <c r="CK68" s="1910">
        <f>AVERAGE(CG68:CJ68)</f>
        <v>0.78373000000000004</v>
      </c>
      <c r="CL68" s="2098">
        <v>0.73</v>
      </c>
      <c r="CM68" s="2098">
        <v>0.78</v>
      </c>
      <c r="CN68" s="2105">
        <v>0.77</v>
      </c>
      <c r="CO68" s="2105">
        <v>0.75263999999999998</v>
      </c>
      <c r="CP68" s="1910">
        <f>AVERAGE(CL68:CO68)</f>
        <v>0.75816000000000006</v>
      </c>
      <c r="CQ68" s="1911">
        <v>0.75544999999999995</v>
      </c>
      <c r="CR68" s="1911">
        <v>0.74390000000000001</v>
      </c>
      <c r="CS68" s="1911">
        <f>'FX Model'!BM16</f>
        <v>0.75046999999999997</v>
      </c>
      <c r="CT68" s="1911">
        <f>'FX Model'!BN16</f>
        <v>0.79884999999999995</v>
      </c>
      <c r="CU68" s="1910">
        <f>AVERAGE(CQ68:CT68)</f>
        <v>0.76216749999999989</v>
      </c>
      <c r="CV68" s="1911">
        <f>CT68</f>
        <v>0.79884999999999995</v>
      </c>
      <c r="CW68" s="1911">
        <f>CV68</f>
        <v>0.79884999999999995</v>
      </c>
      <c r="CX68" s="1911">
        <f>CW68</f>
        <v>0.79884999999999995</v>
      </c>
      <c r="CY68" s="1911">
        <f>CX68</f>
        <v>0.79884999999999995</v>
      </c>
      <c r="CZ68" s="1727"/>
      <c r="DA68" s="1727"/>
      <c r="DB68" s="1727"/>
      <c r="DC68" s="1727"/>
      <c r="DD68" s="2011"/>
    </row>
    <row r="69" spans="1:108" s="1178" customFormat="1" ht="12" customHeight="1">
      <c r="A69" s="1418"/>
      <c r="B69" s="1418"/>
      <c r="C69" s="1726"/>
      <c r="D69" s="1725"/>
      <c r="E69" s="1418"/>
      <c r="F69" s="1417"/>
      <c r="G69" s="1417"/>
      <c r="H69" s="1417"/>
      <c r="I69" s="1417"/>
      <c r="J69" s="1417"/>
      <c r="K69" s="1417"/>
      <c r="L69" s="1417"/>
      <c r="M69" s="1417"/>
      <c r="N69" s="1417"/>
      <c r="O69" s="1417"/>
      <c r="P69" s="1417"/>
      <c r="Q69" s="1417"/>
      <c r="R69" s="1417"/>
      <c r="S69" s="1417"/>
      <c r="T69" s="1417"/>
      <c r="U69" s="1417"/>
      <c r="V69" s="1417"/>
      <c r="W69" s="1417"/>
      <c r="X69" s="1417"/>
      <c r="Y69" s="1417"/>
      <c r="Z69" s="1417"/>
      <c r="AA69" s="1417"/>
      <c r="AB69" s="1417"/>
      <c r="AC69" s="1417"/>
      <c r="AD69" s="1417"/>
      <c r="AE69" s="1417"/>
      <c r="AF69" s="1417"/>
      <c r="AG69" s="1417"/>
      <c r="AH69" s="1417"/>
      <c r="AI69" s="1417"/>
      <c r="AJ69" s="1417"/>
      <c r="AK69" s="1417"/>
      <c r="AL69" s="1417"/>
      <c r="AM69" s="1417"/>
      <c r="AN69" s="1417"/>
      <c r="AO69" s="1417"/>
      <c r="AP69" s="1417"/>
      <c r="AQ69" s="1417"/>
      <c r="AR69" s="1417"/>
      <c r="AS69" s="1417"/>
      <c r="AT69" s="1417"/>
      <c r="AU69" s="1390"/>
      <c r="AV69" s="1390"/>
      <c r="AW69" s="1390"/>
      <c r="AX69" s="1422"/>
      <c r="AY69" s="1422"/>
      <c r="AZ69" s="1422"/>
      <c r="BA69" s="1422"/>
      <c r="BB69" s="1390"/>
      <c r="BC69" s="1422"/>
      <c r="BD69" s="1422"/>
      <c r="BE69" s="1422"/>
      <c r="BF69" s="1422"/>
      <c r="BG69" s="1694"/>
      <c r="BH69" s="1422"/>
      <c r="BI69" s="1422"/>
      <c r="BJ69" s="1425"/>
      <c r="BK69" s="1422"/>
      <c r="BL69" s="1694"/>
      <c r="BM69" s="1694"/>
      <c r="BN69" s="1694"/>
      <c r="BO69" s="1694"/>
      <c r="BP69" s="1694"/>
      <c r="BQ69" s="1724"/>
      <c r="BR69" s="1694"/>
      <c r="BS69" s="1694"/>
      <c r="BT69" s="1694"/>
      <c r="BU69" s="1694"/>
      <c r="BV69" s="1724"/>
      <c r="BW69" s="1417"/>
      <c r="BX69" s="1417"/>
      <c r="BY69" s="1417"/>
      <c r="BZ69" s="1417"/>
      <c r="CA69" s="1724"/>
      <c r="CB69" s="1432"/>
      <c r="CC69" s="1432"/>
      <c r="CD69" s="1432"/>
      <c r="CE69" s="1432"/>
      <c r="CF69" s="1724"/>
      <c r="CG69" s="1432"/>
      <c r="CH69" s="1432"/>
      <c r="CI69" s="1432"/>
      <c r="CJ69" s="1432"/>
      <c r="CK69" s="1724"/>
      <c r="CL69" s="2298">
        <f>CL15/CL67</f>
        <v>-2.4318813127857157E-2</v>
      </c>
      <c r="CM69" s="2298">
        <f t="shared" ref="CM69:CS69" si="49">CM15/CM67</f>
        <v>-5.6864446906620562E-2</v>
      </c>
      <c r="CN69" s="2298">
        <f t="shared" si="49"/>
        <v>-1.0195200244200251</v>
      </c>
      <c r="CO69" s="2298">
        <f t="shared" si="49"/>
        <v>-2.106991877619746</v>
      </c>
      <c r="CP69" s="1724"/>
      <c r="CQ69" s="2298">
        <f t="shared" si="49"/>
        <v>-0.15992131247358107</v>
      </c>
      <c r="CR69" s="2309">
        <f t="shared" si="49"/>
        <v>0.11895759179305639</v>
      </c>
      <c r="CS69" s="2309">
        <f t="shared" si="49"/>
        <v>0.59176845878135964</v>
      </c>
      <c r="CT69" s="1432">
        <f t="shared" ref="CT69" si="50">CS69</f>
        <v>0.59176845878135964</v>
      </c>
      <c r="CU69" s="1724"/>
      <c r="CV69" s="1432"/>
      <c r="CW69" s="1432"/>
      <c r="CX69" s="1432"/>
      <c r="CY69" s="1432"/>
      <c r="CZ69" s="1724"/>
      <c r="DA69" s="1724"/>
      <c r="DB69" s="1724"/>
      <c r="DC69" s="1724"/>
      <c r="DD69" s="2016"/>
    </row>
    <row r="70" spans="1:108" s="1178" customFormat="1" ht="11.25" outlineLevel="1">
      <c r="A70" s="1191"/>
      <c r="B70" s="1191"/>
      <c r="C70" s="1191" t="s">
        <v>1136</v>
      </c>
      <c r="D70" s="1191"/>
      <c r="E70" s="1191"/>
      <c r="F70" s="1191"/>
      <c r="G70" s="1191"/>
      <c r="H70" s="1191"/>
      <c r="I70" s="1191"/>
      <c r="J70" s="1191"/>
      <c r="K70" s="1191"/>
      <c r="L70" s="1191"/>
      <c r="M70" s="1191"/>
      <c r="N70" s="1231"/>
      <c r="O70" s="1231"/>
      <c r="P70" s="1231"/>
      <c r="Q70" s="1231"/>
      <c r="R70" s="1231"/>
      <c r="S70" s="1231"/>
      <c r="T70" s="1231"/>
      <c r="U70" s="1231"/>
      <c r="V70" s="1231"/>
      <c r="W70" s="1231"/>
      <c r="X70" s="1231"/>
      <c r="Y70" s="1231"/>
      <c r="Z70" s="1231"/>
      <c r="AA70" s="1231"/>
      <c r="AB70" s="1231"/>
      <c r="AC70" s="1231"/>
      <c r="AD70" s="1231"/>
      <c r="AE70" s="1231"/>
      <c r="AF70" s="1231"/>
      <c r="AG70" s="1231"/>
      <c r="AH70" s="1231">
        <v>249.09</v>
      </c>
      <c r="AI70" s="1231"/>
      <c r="AJ70" s="1231"/>
      <c r="AK70" s="1231"/>
      <c r="AL70" s="1231"/>
      <c r="AM70" s="1231"/>
      <c r="AN70" s="1231"/>
      <c r="AO70" s="1231"/>
      <c r="AP70" s="1231"/>
      <c r="AQ70" s="1231"/>
      <c r="AR70" s="1231">
        <f>0.05*AR74</f>
        <v>555.6</v>
      </c>
      <c r="AS70" s="1231"/>
      <c r="AT70" s="1231"/>
      <c r="AU70" s="1231"/>
      <c r="AV70" s="1231"/>
      <c r="AW70" s="1231">
        <v>800</v>
      </c>
      <c r="AX70" s="1231"/>
      <c r="AY70" s="1231"/>
      <c r="AZ70" s="1231"/>
      <c r="BA70" s="1231"/>
      <c r="BB70" s="1231">
        <v>900</v>
      </c>
      <c r="BC70" s="1231"/>
      <c r="BD70" s="1231"/>
      <c r="BE70" s="1231"/>
      <c r="BF70" s="1231"/>
      <c r="BG70" s="1718">
        <v>750</v>
      </c>
      <c r="BH70" s="1231"/>
      <c r="BI70" s="1231"/>
      <c r="BJ70" s="1231"/>
      <c r="BK70" s="1231"/>
      <c r="BL70" s="1718">
        <v>600</v>
      </c>
      <c r="BM70" s="1231"/>
      <c r="BN70" s="1231"/>
      <c r="BO70" s="1231"/>
      <c r="BP70" s="1231"/>
      <c r="BQ70" s="1723">
        <v>700</v>
      </c>
      <c r="BR70" s="308"/>
      <c r="BS70" s="308"/>
      <c r="BT70" s="308"/>
      <c r="BU70" s="308"/>
      <c r="BV70" s="1723">
        <v>800</v>
      </c>
      <c r="BW70" s="1722">
        <v>200</v>
      </c>
      <c r="BX70" s="1722">
        <v>200</v>
      </c>
      <c r="BY70" s="1721"/>
      <c r="BZ70" s="308"/>
      <c r="CA70" s="1720">
        <f>BW70+BX70</f>
        <v>400</v>
      </c>
      <c r="CB70" s="1336"/>
      <c r="CC70" s="1336"/>
      <c r="CD70" s="1589"/>
      <c r="CE70" s="1589"/>
      <c r="CF70" s="1720"/>
      <c r="CG70" s="1336"/>
      <c r="CH70" s="1336"/>
      <c r="CI70" s="1589"/>
      <c r="CJ70" s="1589"/>
      <c r="CK70" s="1720"/>
      <c r="CL70" s="1336"/>
      <c r="CM70" s="1589"/>
      <c r="CN70" s="1589"/>
      <c r="CO70" s="1589"/>
      <c r="CP70" s="1720"/>
      <c r="CQ70" s="1336"/>
      <c r="CR70" s="1589"/>
      <c r="CS70" s="1589"/>
      <c r="CT70" s="1589"/>
      <c r="CU70" s="1720"/>
      <c r="CV70" s="1336"/>
      <c r="CW70" s="2124"/>
      <c r="CX70" s="2124"/>
      <c r="CY70" s="2124"/>
      <c r="CZ70" s="1720"/>
      <c r="DA70" s="1720"/>
      <c r="DB70" s="1720"/>
      <c r="DC70" s="1720"/>
      <c r="DD70" s="1992"/>
    </row>
    <row r="71" spans="1:108" s="1178" customFormat="1" ht="11.25" outlineLevel="1">
      <c r="A71" s="1191"/>
      <c r="B71" s="1191"/>
      <c r="C71" s="1191" t="s">
        <v>1225</v>
      </c>
      <c r="D71" s="1191"/>
      <c r="E71" s="1191"/>
      <c r="F71" s="1191"/>
      <c r="G71" s="1191"/>
      <c r="H71" s="1191"/>
      <c r="I71" s="1191"/>
      <c r="J71" s="1191"/>
      <c r="K71" s="1191"/>
      <c r="L71" s="1191"/>
      <c r="M71" s="1191"/>
      <c r="N71" s="1231"/>
      <c r="O71" s="1231"/>
      <c r="P71" s="1231"/>
      <c r="Q71" s="1231"/>
      <c r="R71" s="1231"/>
      <c r="S71" s="1231"/>
      <c r="T71" s="1231"/>
      <c r="U71" s="1231"/>
      <c r="V71" s="1231"/>
      <c r="W71" s="1231"/>
      <c r="X71" s="1231"/>
      <c r="Y71" s="1231"/>
      <c r="Z71" s="1231"/>
      <c r="AA71" s="1231"/>
      <c r="AB71" s="1231"/>
      <c r="AC71" s="1231"/>
      <c r="AD71" s="1231"/>
      <c r="AE71" s="1231"/>
      <c r="AF71" s="1231"/>
      <c r="AG71" s="1231"/>
      <c r="AH71" s="1231"/>
      <c r="AI71" s="1231"/>
      <c r="AJ71" s="1231"/>
      <c r="AK71" s="1231"/>
      <c r="AL71" s="1231"/>
      <c r="AM71" s="1231"/>
      <c r="AN71" s="1231"/>
      <c r="AO71" s="1231"/>
      <c r="AP71" s="1231"/>
      <c r="AQ71" s="1231"/>
      <c r="AR71" s="1231"/>
      <c r="AS71" s="1231"/>
      <c r="AT71" s="1231"/>
      <c r="AU71" s="1231"/>
      <c r="AV71" s="1231"/>
      <c r="AW71" s="1231"/>
      <c r="AX71" s="1231"/>
      <c r="AY71" s="1231"/>
      <c r="AZ71" s="1231"/>
      <c r="BA71" s="1231"/>
      <c r="BB71" s="1231">
        <f>BB12-12965</f>
        <v>1076</v>
      </c>
      <c r="BC71" s="1231"/>
      <c r="BD71" s="1231"/>
      <c r="BE71" s="1231"/>
      <c r="BF71" s="1231"/>
      <c r="BG71" s="1231">
        <f>BG74-BG70-BG72-BG59-BG54-BG45</f>
        <v>0</v>
      </c>
      <c r="BH71" s="1231"/>
      <c r="BI71" s="1231"/>
      <c r="BJ71" s="1231"/>
      <c r="BK71" s="1231"/>
      <c r="BL71" s="1231">
        <f>BL74-BL70-BL72-BL59-BL54-BL45</f>
        <v>-65</v>
      </c>
      <c r="BM71" s="1231"/>
      <c r="BN71" s="1231"/>
      <c r="BO71" s="1231"/>
      <c r="BP71" s="1231"/>
      <c r="BQ71" s="1590"/>
      <c r="BR71" s="308"/>
      <c r="BS71" s="308"/>
      <c r="BT71" s="308"/>
      <c r="BU71" s="308"/>
      <c r="BV71" s="1590"/>
      <c r="BW71" s="308"/>
      <c r="BX71" s="308"/>
      <c r="BY71" s="308"/>
      <c r="BZ71" s="308"/>
      <c r="CA71" s="1590"/>
      <c r="CB71" s="1589"/>
      <c r="CC71" s="1589"/>
      <c r="CD71" s="1589"/>
      <c r="CE71" s="1589"/>
      <c r="CF71" s="1590"/>
      <c r="CG71" s="1589"/>
      <c r="CH71" s="1589"/>
      <c r="CI71" s="1589"/>
      <c r="CJ71" s="1589"/>
      <c r="CK71" s="1590"/>
      <c r="CL71" s="1589"/>
      <c r="CM71" s="1589"/>
      <c r="CN71" s="1589"/>
      <c r="CO71" s="1589"/>
      <c r="CP71" s="1590"/>
      <c r="CQ71" s="1589"/>
      <c r="CR71" s="1589"/>
      <c r="CS71" s="1589"/>
      <c r="CT71" s="1589"/>
      <c r="CU71" s="1590"/>
      <c r="CV71" s="2124"/>
      <c r="CW71" s="2124"/>
      <c r="CX71" s="2124"/>
      <c r="CY71" s="2124"/>
      <c r="CZ71" s="1590"/>
      <c r="DA71" s="1590"/>
      <c r="DB71" s="2234"/>
      <c r="DC71" s="2234"/>
      <c r="DD71" s="308"/>
    </row>
    <row r="72" spans="1:108" s="1178" customFormat="1" ht="11.25" outlineLevel="1">
      <c r="A72" s="1198"/>
      <c r="B72" s="1198"/>
      <c r="C72" s="1191" t="s">
        <v>1224</v>
      </c>
      <c r="D72" s="1198"/>
      <c r="E72" s="1198"/>
      <c r="F72" s="1198"/>
      <c r="G72" s="1198"/>
      <c r="H72" s="1198"/>
      <c r="I72" s="1198"/>
      <c r="J72" s="1198"/>
      <c r="K72" s="1198"/>
      <c r="L72" s="1198"/>
      <c r="M72" s="1198"/>
      <c r="N72" s="1321"/>
      <c r="O72" s="1321"/>
      <c r="P72" s="1321"/>
      <c r="Q72" s="1321"/>
      <c r="R72" s="1321"/>
      <c r="S72" s="1321"/>
      <c r="T72" s="1321"/>
      <c r="U72" s="1321"/>
      <c r="V72" s="1321"/>
      <c r="W72" s="1321"/>
      <c r="X72" s="1321"/>
      <c r="Y72" s="1321"/>
      <c r="Z72" s="1321"/>
      <c r="AA72" s="1321"/>
      <c r="AB72" s="1321"/>
      <c r="AC72" s="1321"/>
      <c r="AD72" s="1321"/>
      <c r="AE72" s="1321"/>
      <c r="AF72" s="1321"/>
      <c r="AG72" s="1321"/>
      <c r="AH72" s="1231">
        <f>AH74-AH71-AH70-AH59-AH54-AH45</f>
        <v>332.11999999999898</v>
      </c>
      <c r="AI72" s="1231"/>
      <c r="AJ72" s="1231"/>
      <c r="AK72" s="1231"/>
      <c r="AL72" s="1231"/>
      <c r="AM72" s="1231"/>
      <c r="AN72" s="1231"/>
      <c r="AO72" s="1231"/>
      <c r="AP72" s="1231"/>
      <c r="AQ72" s="1231"/>
      <c r="AR72" s="1231">
        <f>AR74-AR71-AR70-AR59-AR54-AR45</f>
        <v>564.39999999999964</v>
      </c>
      <c r="AS72" s="1231"/>
      <c r="AT72" s="1231"/>
      <c r="AU72" s="1231"/>
      <c r="AV72" s="1231"/>
      <c r="AW72" s="1231">
        <f>AW74-AW71-AW70-AW59-AW54-AW45</f>
        <v>724</v>
      </c>
      <c r="AX72" s="1231"/>
      <c r="AY72" s="1231"/>
      <c r="AZ72" s="1231"/>
      <c r="BA72" s="1231"/>
      <c r="BB72" s="1231">
        <f>BB74-BB71-BB70-BB59-BB54-BB45</f>
        <v>-620</v>
      </c>
      <c r="BC72" s="1231"/>
      <c r="BD72" s="1231"/>
      <c r="BE72" s="1231"/>
      <c r="BF72" s="1231"/>
      <c r="BG72" s="1718">
        <v>750</v>
      </c>
      <c r="BH72" s="1231"/>
      <c r="BI72" s="1231"/>
      <c r="BJ72" s="1231"/>
      <c r="BK72" s="1231"/>
      <c r="BL72" s="1718">
        <v>800</v>
      </c>
      <c r="BM72" s="1231"/>
      <c r="BN72" s="1231"/>
      <c r="BO72" s="1231"/>
      <c r="BP72" s="1231"/>
      <c r="BQ72" s="1719">
        <v>800</v>
      </c>
      <c r="BR72" s="308"/>
      <c r="BS72" s="308"/>
      <c r="BT72" s="308"/>
      <c r="BU72" s="308"/>
      <c r="BV72" s="1719"/>
      <c r="BW72" s="1717"/>
      <c r="BX72" s="1717"/>
      <c r="BY72" s="1717"/>
      <c r="BZ72" s="1717"/>
      <c r="CA72" s="1715"/>
      <c r="CB72" s="1716"/>
      <c r="CC72" s="1716"/>
      <c r="CD72" s="1716"/>
      <c r="CE72" s="1716"/>
      <c r="CF72" s="1715"/>
      <c r="CG72" s="1716"/>
      <c r="CH72" s="1716"/>
      <c r="CI72" s="1716"/>
      <c r="CJ72" s="1716"/>
      <c r="CK72" s="1715"/>
      <c r="CL72" s="1716"/>
      <c r="CM72" s="1716"/>
      <c r="CN72" s="1716"/>
      <c r="CO72" s="1716"/>
      <c r="CP72" s="1715"/>
      <c r="CQ72" s="1716"/>
      <c r="CR72" s="1716"/>
      <c r="CS72" s="1716"/>
      <c r="CT72" s="1716"/>
      <c r="CU72" s="1715"/>
      <c r="CV72" s="1716"/>
      <c r="CW72" s="1716"/>
      <c r="CX72" s="1716"/>
      <c r="CY72" s="1716"/>
      <c r="CZ72" s="1715"/>
      <c r="DA72" s="1715"/>
      <c r="DB72" s="1715"/>
      <c r="DC72" s="1715"/>
      <c r="DD72" s="1717"/>
    </row>
    <row r="73" spans="1:108" s="1178" customFormat="1" ht="11.25" outlineLevel="1">
      <c r="A73" s="1198"/>
      <c r="B73" s="1198"/>
      <c r="C73" s="1191" t="s">
        <v>1223</v>
      </c>
      <c r="D73" s="1198"/>
      <c r="E73" s="1198"/>
      <c r="F73" s="1198"/>
      <c r="G73" s="1198"/>
      <c r="H73" s="1198"/>
      <c r="I73" s="1198"/>
      <c r="J73" s="1198"/>
      <c r="K73" s="1198"/>
      <c r="L73" s="1198"/>
      <c r="M73" s="1198"/>
      <c r="N73" s="1321"/>
      <c r="O73" s="1321"/>
      <c r="P73" s="1321"/>
      <c r="Q73" s="1321"/>
      <c r="R73" s="1321"/>
      <c r="S73" s="1321"/>
      <c r="T73" s="1321"/>
      <c r="U73" s="1321"/>
      <c r="V73" s="1321"/>
      <c r="W73" s="1321"/>
      <c r="X73" s="1321"/>
      <c r="Y73" s="1321"/>
      <c r="Z73" s="1321"/>
      <c r="AA73" s="1321"/>
      <c r="AB73" s="1321"/>
      <c r="AC73" s="1321"/>
      <c r="AD73" s="1321"/>
      <c r="AE73" s="1321"/>
      <c r="AF73" s="1321"/>
      <c r="AG73" s="1321"/>
      <c r="AH73" s="1231"/>
      <c r="AI73" s="1231"/>
      <c r="AJ73" s="1231"/>
      <c r="AK73" s="1231"/>
      <c r="AL73" s="1231"/>
      <c r="AM73" s="1231"/>
      <c r="AN73" s="1231"/>
      <c r="AO73" s="1231"/>
      <c r="AP73" s="1231"/>
      <c r="AQ73" s="1231"/>
      <c r="AR73" s="1231"/>
      <c r="AS73" s="1231"/>
      <c r="AT73" s="1231"/>
      <c r="AU73" s="1231"/>
      <c r="AV73" s="1231"/>
      <c r="AW73" s="1231"/>
      <c r="AX73" s="1231"/>
      <c r="AY73" s="1231"/>
      <c r="AZ73" s="1231"/>
      <c r="BA73" s="1231"/>
      <c r="BB73" s="1231"/>
      <c r="BC73" s="1231"/>
      <c r="BD73" s="1231"/>
      <c r="BE73" s="1231"/>
      <c r="BF73" s="1231"/>
      <c r="BG73" s="1718"/>
      <c r="BH73" s="1231"/>
      <c r="BI73" s="1231"/>
      <c r="BJ73" s="1231"/>
      <c r="BK73" s="1231"/>
      <c r="BL73" s="1718"/>
      <c r="BM73" s="1231"/>
      <c r="BN73" s="1231"/>
      <c r="BO73" s="1231"/>
      <c r="BP73" s="1231"/>
      <c r="BQ73" s="1322">
        <f>BQ74-BQ70-BQ72-BQ59-BQ54-BQ45</f>
        <v>-359.76544000000013</v>
      </c>
      <c r="BR73" s="308"/>
      <c r="BS73" s="308"/>
      <c r="BT73" s="308"/>
      <c r="BU73" s="308"/>
      <c r="BV73" s="1322">
        <f>BV74-BV70-BV72-BV59-BV54-BV45</f>
        <v>-136</v>
      </c>
      <c r="BW73" s="1717"/>
      <c r="BX73" s="1717"/>
      <c r="BY73" s="1717"/>
      <c r="BZ73" s="1717"/>
      <c r="CA73" s="1715">
        <f>CA74-CA70-CA59-CA54-CA45</f>
        <v>-254.98999999999978</v>
      </c>
      <c r="CB73" s="1716"/>
      <c r="CC73" s="1716"/>
      <c r="CD73" s="1716"/>
      <c r="CE73" s="1716"/>
      <c r="CF73" s="1715">
        <f>CF74-CF59-CF54-CF45</f>
        <v>-190.11479999999938</v>
      </c>
      <c r="CG73" s="1716"/>
      <c r="CH73" s="1716"/>
      <c r="CI73" s="1716"/>
      <c r="CJ73" s="1716"/>
      <c r="CK73" s="1715">
        <f>CK74-CK59-CK54-CK45</f>
        <v>-148.29890399999931</v>
      </c>
      <c r="CL73" s="1716"/>
      <c r="CM73" s="1716"/>
      <c r="CN73" s="1716"/>
      <c r="CO73" s="1716"/>
      <c r="CP73" s="1715">
        <f>CK73+CP15*CK12</f>
        <v>-101.52890399999903</v>
      </c>
      <c r="CQ73" s="1716"/>
      <c r="CR73" s="1716"/>
      <c r="CS73" s="1716"/>
      <c r="CT73" s="1716"/>
      <c r="CU73" s="1715">
        <f>CP73+(CU15+CU14)*CP12</f>
        <v>-162.05890399999936</v>
      </c>
      <c r="CV73" s="1716"/>
      <c r="CW73" s="1716"/>
      <c r="CX73" s="1716"/>
      <c r="CY73" s="1716"/>
      <c r="CZ73" s="1715">
        <f>CU73</f>
        <v>-162.05890399999936</v>
      </c>
      <c r="DA73" s="1715">
        <f>CZ73</f>
        <v>-162.05890399999936</v>
      </c>
      <c r="DB73" s="1715">
        <f>DA73</f>
        <v>-162.05890399999936</v>
      </c>
      <c r="DC73" s="1715">
        <f>DB73</f>
        <v>-162.05890399999936</v>
      </c>
      <c r="DD73" s="1717"/>
    </row>
    <row r="74" spans="1:108" s="1178" customFormat="1" ht="11.25" outlineLevel="1" collapsed="1">
      <c r="A74" s="1182"/>
      <c r="B74" s="1182"/>
      <c r="C74" s="1182" t="s">
        <v>1222</v>
      </c>
      <c r="D74" s="1182"/>
      <c r="E74" s="1182"/>
      <c r="F74" s="1182"/>
      <c r="G74" s="1182"/>
      <c r="H74" s="1182"/>
      <c r="I74" s="1182"/>
      <c r="J74" s="1182"/>
      <c r="K74" s="1182"/>
      <c r="L74" s="1182"/>
      <c r="M74" s="1182"/>
      <c r="N74" s="1356"/>
      <c r="O74" s="1356"/>
      <c r="P74" s="1356"/>
      <c r="Q74" s="1356"/>
      <c r="R74" s="1356"/>
      <c r="S74" s="1356"/>
      <c r="T74" s="1356"/>
      <c r="U74" s="1356"/>
      <c r="V74" s="1356"/>
      <c r="W74" s="1356"/>
      <c r="X74" s="1356"/>
      <c r="Y74" s="1356"/>
      <c r="Z74" s="1356"/>
      <c r="AA74" s="1356"/>
      <c r="AB74" s="1356"/>
      <c r="AC74" s="1356"/>
      <c r="AD74" s="1356"/>
      <c r="AE74" s="1356"/>
      <c r="AF74" s="1356"/>
      <c r="AG74" s="1356"/>
      <c r="AH74" s="1356">
        <f>AH12</f>
        <v>8303</v>
      </c>
      <c r="AI74" s="1356"/>
      <c r="AJ74" s="1356"/>
      <c r="AK74" s="1356"/>
      <c r="AL74" s="1356"/>
      <c r="AM74" s="1356"/>
      <c r="AN74" s="1356"/>
      <c r="AO74" s="1356"/>
      <c r="AP74" s="1356"/>
      <c r="AQ74" s="1356"/>
      <c r="AR74" s="1356">
        <f>AR12</f>
        <v>11112</v>
      </c>
      <c r="AS74" s="1356"/>
      <c r="AT74" s="1356"/>
      <c r="AU74" s="1356"/>
      <c r="AV74" s="1356"/>
      <c r="AW74" s="1356">
        <f>AW12</f>
        <v>12129</v>
      </c>
      <c r="AX74" s="1356"/>
      <c r="AY74" s="1356"/>
      <c r="AZ74" s="1356"/>
      <c r="BA74" s="1356"/>
      <c r="BB74" s="1356">
        <f>BB12</f>
        <v>14041</v>
      </c>
      <c r="BC74" s="1356"/>
      <c r="BD74" s="1356"/>
      <c r="BE74" s="1356"/>
      <c r="BF74" s="1356"/>
      <c r="BG74" s="1356">
        <f>BG12</f>
        <v>12392</v>
      </c>
      <c r="BH74" s="1356"/>
      <c r="BI74" s="1356"/>
      <c r="BJ74" s="1356"/>
      <c r="BK74" s="1356"/>
      <c r="BL74" s="1356">
        <f>BL12</f>
        <v>12935</v>
      </c>
      <c r="BM74" s="1356"/>
      <c r="BN74" s="1356"/>
      <c r="BO74" s="1356"/>
      <c r="BP74" s="1356"/>
      <c r="BQ74" s="1316">
        <f>BQ12</f>
        <v>12711</v>
      </c>
      <c r="BR74" s="1705"/>
      <c r="BS74" s="1705"/>
      <c r="BT74" s="1705"/>
      <c r="BU74" s="1705"/>
      <c r="BV74" s="1316">
        <f>BV12</f>
        <v>13964</v>
      </c>
      <c r="BW74" s="1705"/>
      <c r="BX74" s="1705"/>
      <c r="BY74" s="1705"/>
      <c r="BZ74" s="1705"/>
      <c r="CA74" s="1658">
        <f>CA12</f>
        <v>14501</v>
      </c>
      <c r="CB74" s="1662"/>
      <c r="CC74" s="1662"/>
      <c r="CD74" s="1662"/>
      <c r="CE74" s="1662"/>
      <c r="CF74" s="1658">
        <f>CF12</f>
        <v>14508</v>
      </c>
      <c r="CG74" s="1662"/>
      <c r="CH74" s="1662"/>
      <c r="CI74" s="1662"/>
      <c r="CJ74" s="1662"/>
      <c r="CK74" s="1658">
        <f>CK12</f>
        <v>14082</v>
      </c>
      <c r="CL74" s="1662"/>
      <c r="CM74" s="1662"/>
      <c r="CN74" s="1662"/>
      <c r="CO74" s="1662"/>
      <c r="CP74" s="1658">
        <f>CP45+CP54+CP59+CP73+CP70</f>
        <v>14940.447571621395</v>
      </c>
      <c r="CQ74" s="1662"/>
      <c r="CR74" s="1662"/>
      <c r="CS74" s="1662"/>
      <c r="CT74" s="1662"/>
      <c r="CU74" s="1658">
        <f>CU45+CU54+CU59+CU73+CU70</f>
        <v>15889.548431472736</v>
      </c>
      <c r="CV74" s="1662"/>
      <c r="CW74" s="1662"/>
      <c r="CX74" s="1662"/>
      <c r="CY74" s="1662"/>
      <c r="CZ74" s="1658">
        <f>CZ45+CZ54+CZ59+CZ73+CZ70</f>
        <v>17022.184420715319</v>
      </c>
      <c r="DA74" s="1658">
        <f>DA45+DA54+DA59+DA73+DA70</f>
        <v>18249.319934002597</v>
      </c>
      <c r="DB74" s="1658">
        <f>DB45+DB54+DB59+DB73+DB70</f>
        <v>19749.449086533736</v>
      </c>
      <c r="DC74" s="1658">
        <f>DC45+DC54+DC59+DC73+DC70</f>
        <v>20794.943444881155</v>
      </c>
      <c r="DD74" s="1705"/>
    </row>
    <row r="75" spans="1:108" s="1178" customFormat="1" ht="11.25" outlineLevel="1">
      <c r="A75" s="1182"/>
      <c r="B75" s="1182"/>
      <c r="C75" s="1182"/>
      <c r="D75" s="1182"/>
      <c r="E75" s="1182"/>
      <c r="F75" s="1182"/>
      <c r="G75" s="1182"/>
      <c r="H75" s="1182"/>
      <c r="I75" s="1182"/>
      <c r="J75" s="1182"/>
      <c r="K75" s="1182"/>
      <c r="L75" s="1182"/>
      <c r="M75" s="1182"/>
      <c r="N75" s="1356"/>
      <c r="O75" s="1356"/>
      <c r="P75" s="1356"/>
      <c r="Q75" s="1356"/>
      <c r="R75" s="1356"/>
      <c r="S75" s="1356"/>
      <c r="T75" s="1356"/>
      <c r="U75" s="1356"/>
      <c r="V75" s="1356"/>
      <c r="W75" s="1356"/>
      <c r="X75" s="1356"/>
      <c r="Y75" s="1356"/>
      <c r="Z75" s="1356"/>
      <c r="AA75" s="1356"/>
      <c r="AB75" s="1356"/>
      <c r="AC75" s="1356"/>
      <c r="AD75" s="1356"/>
      <c r="AE75" s="1356"/>
      <c r="AF75" s="1356"/>
      <c r="AG75" s="1356"/>
      <c r="AH75" s="1356"/>
      <c r="AI75" s="1356"/>
      <c r="AJ75" s="1356"/>
      <c r="AK75" s="1356"/>
      <c r="AL75" s="1356"/>
      <c r="AM75" s="1356"/>
      <c r="AN75" s="1356"/>
      <c r="AO75" s="1356"/>
      <c r="AP75" s="1356"/>
      <c r="AQ75" s="1356"/>
      <c r="AR75" s="1356"/>
      <c r="AS75" s="1356"/>
      <c r="AT75" s="1356"/>
      <c r="AU75" s="1356"/>
      <c r="AV75" s="1356"/>
      <c r="AW75" s="1356"/>
      <c r="AX75" s="1356"/>
      <c r="AY75" s="1356"/>
      <c r="AZ75" s="1356"/>
      <c r="BA75" s="1356"/>
      <c r="BB75" s="1356"/>
      <c r="BC75" s="1356"/>
      <c r="BD75" s="1356"/>
      <c r="BE75" s="1356"/>
      <c r="BF75" s="1356"/>
      <c r="BG75" s="1356"/>
      <c r="BH75" s="1356"/>
      <c r="BI75" s="1356"/>
      <c r="BJ75" s="1356"/>
      <c r="BK75" s="1356"/>
      <c r="BL75" s="1356"/>
      <c r="BM75" s="1356"/>
      <c r="BN75" s="1356"/>
      <c r="BO75" s="1356"/>
      <c r="BP75" s="1356"/>
      <c r="BQ75" s="1316"/>
      <c r="BR75" s="1705"/>
      <c r="BS75" s="1705"/>
      <c r="BT75" s="1705"/>
      <c r="BU75" s="1705"/>
      <c r="BV75" s="1316"/>
      <c r="BW75" s="1705"/>
      <c r="BX75" s="1705"/>
      <c r="BY75" s="1705"/>
      <c r="BZ75" s="1705"/>
      <c r="CA75" s="1658"/>
      <c r="CB75" s="1662"/>
      <c r="CC75" s="1662"/>
      <c r="CD75" s="1662"/>
      <c r="CE75" s="1662"/>
      <c r="CF75" s="1714">
        <f>CF74/CA74-1</f>
        <v>4.8272532928761436E-4</v>
      </c>
      <c r="CG75" s="1662"/>
      <c r="CH75" s="1662"/>
      <c r="CI75" s="1662"/>
      <c r="CJ75" s="1662"/>
      <c r="CK75" s="1714">
        <f>CK74/CF12-1</f>
        <v>-2.9363110008271298E-2</v>
      </c>
      <c r="CL75" s="2258">
        <f>$CG$82*CL50+CL51*$CG$83+CL55*$CF$84+CL60*$CG$87</f>
        <v>6.8333333333333343E-2</v>
      </c>
      <c r="CM75" s="2258">
        <f>$CG$82*CM50+CM51*$CG$83+CM55*$CF$84+CM60*$CG$87</f>
        <v>2.7500000000000014E-2</v>
      </c>
      <c r="CN75" s="2258">
        <f>$CG$82*CN50+CN51*$CG$83+CN55*$CF$84+CN60*$CG$87</f>
        <v>3.9166666666666669E-2</v>
      </c>
      <c r="CO75" s="2257">
        <f>$CG$82*CO50+CO51*$CG$83+CO55*$CF$84+CO60*$CG$87</f>
        <v>3.3333333333333326E-2</v>
      </c>
      <c r="CP75" s="1714">
        <f>CP74/CK12-1</f>
        <v>6.0960628577005682E-2</v>
      </c>
      <c r="CQ75" s="1662"/>
      <c r="CR75" s="1662"/>
      <c r="CS75" s="1662"/>
      <c r="CT75" s="1662"/>
      <c r="CU75" s="1714">
        <f>CU74/CP12-1</f>
        <v>6.6842247312524306E-2</v>
      </c>
      <c r="CV75" s="1662"/>
      <c r="CW75" s="1662"/>
      <c r="CX75" s="1662"/>
      <c r="CY75" s="1662"/>
      <c r="CZ75" s="1714">
        <f>CZ74/CU12-1</f>
        <v>7.1281823654544496E-2</v>
      </c>
      <c r="DA75" s="1714">
        <f>DA74/CZ12-1</f>
        <v>7.2090366486330826E-2</v>
      </c>
      <c r="DB75" s="1714">
        <f>DB74/DA12-1</f>
        <v>8.220192083629696E-2</v>
      </c>
      <c r="DC75" s="1714">
        <f>DC74/DB12-1</f>
        <v>5.2937899875915795E-2</v>
      </c>
      <c r="DD75" s="1993"/>
    </row>
    <row r="76" spans="1:108" s="1178" customFormat="1" ht="11.25" outlineLevel="1">
      <c r="A76" s="1182"/>
      <c r="B76" s="1182"/>
      <c r="C76" s="1182" t="s">
        <v>248</v>
      </c>
      <c r="D76" s="1182"/>
      <c r="E76" s="1182"/>
      <c r="F76" s="1182"/>
      <c r="G76" s="1182"/>
      <c r="H76" s="1182"/>
      <c r="I76" s="1182"/>
      <c r="J76" s="1182"/>
      <c r="K76" s="1182"/>
      <c r="L76" s="1182"/>
      <c r="M76" s="1182"/>
      <c r="N76" s="1356"/>
      <c r="O76" s="1356"/>
      <c r="P76" s="1356"/>
      <c r="Q76" s="1356"/>
      <c r="R76" s="1356"/>
      <c r="S76" s="1356"/>
      <c r="T76" s="1356"/>
      <c r="U76" s="1356"/>
      <c r="V76" s="1356"/>
      <c r="W76" s="1356"/>
      <c r="X76" s="1356"/>
      <c r="Y76" s="1356"/>
      <c r="Z76" s="1356"/>
      <c r="AA76" s="1356"/>
      <c r="AB76" s="1356"/>
      <c r="AC76" s="1356"/>
      <c r="AD76" s="1356"/>
      <c r="AE76" s="1356"/>
      <c r="AF76" s="1356"/>
      <c r="AG76" s="1356"/>
      <c r="AH76" s="1356"/>
      <c r="AI76" s="1356"/>
      <c r="AJ76" s="1356"/>
      <c r="AK76" s="1356"/>
      <c r="AL76" s="1356"/>
      <c r="AM76" s="1356"/>
      <c r="AN76" s="1356"/>
      <c r="AO76" s="1356"/>
      <c r="AP76" s="1356"/>
      <c r="AQ76" s="1356"/>
      <c r="AR76" s="1356"/>
      <c r="AS76" s="1356"/>
      <c r="AT76" s="1356"/>
      <c r="AU76" s="1356"/>
      <c r="AV76" s="1356"/>
      <c r="AW76" s="1356"/>
      <c r="AX76" s="1356"/>
      <c r="AY76" s="1356"/>
      <c r="AZ76" s="1356"/>
      <c r="BA76" s="1356"/>
      <c r="BB76" s="1356"/>
      <c r="BC76" s="1356"/>
      <c r="BD76" s="1356"/>
      <c r="BE76" s="1356"/>
      <c r="BF76" s="1356"/>
      <c r="BG76" s="1356"/>
      <c r="BH76" s="1356"/>
      <c r="BI76" s="1356"/>
      <c r="BJ76" s="1356"/>
      <c r="BK76" s="1356"/>
      <c r="BL76" s="1356"/>
      <c r="BM76" s="1356"/>
      <c r="BN76" s="1356"/>
      <c r="BO76" s="1356"/>
      <c r="BP76" s="1356"/>
      <c r="BQ76" s="1316"/>
      <c r="BR76" s="1705"/>
      <c r="BS76" s="1705"/>
      <c r="BT76" s="1705"/>
      <c r="BU76" s="1705"/>
      <c r="BV76" s="1316"/>
      <c r="BW76" s="1705"/>
      <c r="BX76" s="1705"/>
      <c r="BY76" s="1705"/>
      <c r="BZ76" s="1705"/>
      <c r="CA76" s="1658"/>
      <c r="CB76" s="1662"/>
      <c r="CC76" s="1662"/>
      <c r="CD76" s="1662"/>
      <c r="CE76" s="1662"/>
      <c r="CF76" s="1714">
        <f>CF16+CF14</f>
        <v>3.9493828011860979E-3</v>
      </c>
      <c r="CG76" s="1662"/>
      <c r="CH76" s="1662"/>
      <c r="CI76" s="1662"/>
      <c r="CJ76" s="1662"/>
      <c r="CK76" s="1658"/>
      <c r="CL76" s="2258"/>
      <c r="CM76" s="2258"/>
      <c r="CN76" s="2258"/>
      <c r="CO76" s="2258"/>
      <c r="CP76" s="1658"/>
      <c r="CQ76" s="1662"/>
      <c r="CR76" s="1662"/>
      <c r="CS76" s="1662"/>
      <c r="CT76" s="1662"/>
      <c r="CU76" s="1658"/>
      <c r="CV76" s="1662"/>
      <c r="CW76" s="1662"/>
      <c r="CX76" s="1662"/>
      <c r="CY76" s="1662"/>
      <c r="CZ76" s="1658"/>
      <c r="DA76" s="1658"/>
      <c r="DB76" s="1658"/>
      <c r="DC76" s="1658"/>
      <c r="DD76" s="1705"/>
    </row>
    <row r="77" spans="1:108" s="1178" customFormat="1" ht="11.25" outlineLevel="1">
      <c r="A77" s="1191"/>
      <c r="B77" s="1191"/>
      <c r="C77" s="1191" t="s">
        <v>1221</v>
      </c>
      <c r="D77" s="1191"/>
      <c r="E77" s="1191"/>
      <c r="F77" s="1191"/>
      <c r="G77" s="1191"/>
      <c r="H77" s="1191"/>
      <c r="I77" s="1191"/>
      <c r="J77" s="1191"/>
      <c r="K77" s="1191"/>
      <c r="L77" s="1191"/>
      <c r="M77" s="1191"/>
      <c r="N77" s="1231"/>
      <c r="O77" s="1231"/>
      <c r="P77" s="1231"/>
      <c r="Q77" s="1231"/>
      <c r="R77" s="1231"/>
      <c r="S77" s="1231"/>
      <c r="T77" s="1231"/>
      <c r="U77" s="1231"/>
      <c r="V77" s="1231"/>
      <c r="W77" s="1231"/>
      <c r="X77" s="1231"/>
      <c r="Y77" s="1231"/>
      <c r="Z77" s="1231"/>
      <c r="AA77" s="1231"/>
      <c r="AB77" s="1231"/>
      <c r="AC77" s="1231"/>
      <c r="AD77" s="1231"/>
      <c r="AE77" s="1231"/>
      <c r="AF77" s="1231"/>
      <c r="AG77" s="1231"/>
      <c r="AH77" s="1231"/>
      <c r="AI77" s="1231"/>
      <c r="AJ77" s="1231"/>
      <c r="AK77" s="1231"/>
      <c r="AL77" s="1231"/>
      <c r="AM77" s="1231"/>
      <c r="AN77" s="1231"/>
      <c r="AO77" s="1231"/>
      <c r="AP77" s="1231"/>
      <c r="AQ77" s="1231"/>
      <c r="AR77" s="1231"/>
      <c r="AS77" s="1231"/>
      <c r="AT77" s="1231"/>
      <c r="AU77" s="1231"/>
      <c r="AV77" s="1231"/>
      <c r="AW77" s="1231">
        <f>AW46*AW116</f>
        <v>0</v>
      </c>
      <c r="AX77" s="1231"/>
      <c r="AY77" s="1231"/>
      <c r="AZ77" s="1231"/>
      <c r="BA77" s="1231"/>
      <c r="BB77" s="1231">
        <f>BB46*BB116</f>
        <v>0</v>
      </c>
      <c r="BC77" s="1231"/>
      <c r="BD77" s="1231"/>
      <c r="BE77" s="1231"/>
      <c r="BF77" s="1231"/>
      <c r="BG77" s="1231">
        <f>BG46*BG116</f>
        <v>-36</v>
      </c>
      <c r="BH77" s="1231"/>
      <c r="BI77" s="1231"/>
      <c r="BJ77" s="1231"/>
      <c r="BK77" s="1231"/>
      <c r="BL77" s="1231">
        <f>BL46*BL116</f>
        <v>-40.800000000000004</v>
      </c>
      <c r="BM77" s="1231"/>
      <c r="BN77" s="1231"/>
      <c r="BO77" s="1231"/>
      <c r="BP77" s="1231"/>
      <c r="BQ77" s="1322">
        <f>BQ46*BQ116</f>
        <v>-40</v>
      </c>
      <c r="BR77" s="308"/>
      <c r="BS77" s="308"/>
      <c r="BT77" s="308"/>
      <c r="BU77" s="308"/>
      <c r="BV77" s="1322">
        <f>BV46*BV116</f>
        <v>-72</v>
      </c>
      <c r="BW77" s="308"/>
      <c r="BX77" s="308"/>
      <c r="BY77" s="308"/>
      <c r="BZ77" s="308"/>
      <c r="CA77" s="1590"/>
      <c r="CB77" s="1589"/>
      <c r="CC77" s="1589"/>
      <c r="CD77" s="1589"/>
      <c r="CE77" s="1589"/>
      <c r="CF77" s="1590"/>
      <c r="CG77" s="1589"/>
      <c r="CH77" s="1589"/>
      <c r="CI77" s="1589"/>
      <c r="CJ77" s="1589"/>
      <c r="CK77" s="1590"/>
      <c r="CL77" s="1589"/>
      <c r="CM77" s="1589"/>
      <c r="CN77" s="1589"/>
      <c r="CO77" s="1589"/>
      <c r="CP77" s="1590"/>
      <c r="CQ77" s="1589"/>
      <c r="CR77" s="1589"/>
      <c r="CS77" s="1589"/>
      <c r="CT77" s="1589"/>
      <c r="CU77" s="1590"/>
      <c r="CV77" s="2124"/>
      <c r="CW77" s="2124"/>
      <c r="CX77" s="2124"/>
      <c r="CY77" s="2124"/>
      <c r="CZ77" s="1590"/>
      <c r="DA77" s="1590"/>
      <c r="DB77" s="2234"/>
      <c r="DC77" s="2234"/>
      <c r="DD77" s="308"/>
    </row>
    <row r="78" spans="1:108" s="1178" customFormat="1" ht="11.25" outlineLevel="1">
      <c r="A78" s="1191"/>
      <c r="B78" s="1191"/>
      <c r="C78" s="1191" t="s">
        <v>1204</v>
      </c>
      <c r="D78" s="1191"/>
      <c r="E78" s="1191"/>
      <c r="F78" s="1191"/>
      <c r="G78" s="1191"/>
      <c r="H78" s="1191"/>
      <c r="I78" s="1191"/>
      <c r="J78" s="1191"/>
      <c r="K78" s="1191"/>
      <c r="L78" s="1191"/>
      <c r="M78" s="1191"/>
      <c r="N78" s="1231"/>
      <c r="O78" s="1231"/>
      <c r="P78" s="1231"/>
      <c r="Q78" s="1231"/>
      <c r="R78" s="1231"/>
      <c r="S78" s="1231"/>
      <c r="T78" s="1231"/>
      <c r="U78" s="1231"/>
      <c r="V78" s="1231"/>
      <c r="W78" s="1231"/>
      <c r="X78" s="1231"/>
      <c r="Y78" s="1231"/>
      <c r="Z78" s="1231"/>
      <c r="AA78" s="1231"/>
      <c r="AB78" s="1231"/>
      <c r="AC78" s="1231"/>
      <c r="AD78" s="1231"/>
      <c r="AE78" s="1231"/>
      <c r="AF78" s="1231"/>
      <c r="AG78" s="1231"/>
      <c r="AH78" s="1231"/>
      <c r="AI78" s="1231"/>
      <c r="AJ78" s="1231"/>
      <c r="AK78" s="1231"/>
      <c r="AL78" s="1231"/>
      <c r="AM78" s="1231"/>
      <c r="AN78" s="1231"/>
      <c r="AO78" s="1231"/>
      <c r="AP78" s="1231"/>
      <c r="AQ78" s="1231"/>
      <c r="AR78" s="1231"/>
      <c r="AS78" s="1231"/>
      <c r="AT78" s="1231"/>
      <c r="AU78" s="1231"/>
      <c r="AV78" s="1231"/>
      <c r="AW78" s="1231">
        <f>AW47*AW117</f>
        <v>1225</v>
      </c>
      <c r="AX78" s="1231"/>
      <c r="AY78" s="1231"/>
      <c r="AZ78" s="1231"/>
      <c r="BA78" s="1231"/>
      <c r="BB78" s="1231">
        <f>BB47*BB117</f>
        <v>1190</v>
      </c>
      <c r="BC78" s="1231"/>
      <c r="BD78" s="1231"/>
      <c r="BE78" s="1231"/>
      <c r="BF78" s="1231"/>
      <c r="BG78" s="1231">
        <f>BG47*BG117</f>
        <v>1191.05</v>
      </c>
      <c r="BH78" s="1231"/>
      <c r="BI78" s="1231"/>
      <c r="BJ78" s="1231"/>
      <c r="BK78" s="1231"/>
      <c r="BL78" s="1231">
        <f>BL47*BL117</f>
        <v>1428</v>
      </c>
      <c r="BM78" s="1231"/>
      <c r="BN78" s="1231"/>
      <c r="BO78" s="1231"/>
      <c r="BP78" s="1231"/>
      <c r="BQ78" s="1322">
        <f>BQ47*BQ117</f>
        <v>1400</v>
      </c>
      <c r="BR78" s="308"/>
      <c r="BS78" s="308"/>
      <c r="BT78" s="308"/>
      <c r="BU78" s="308"/>
      <c r="BV78" s="1322">
        <f>BV47*BV117</f>
        <v>1470</v>
      </c>
      <c r="BW78" s="308"/>
      <c r="BX78" s="308"/>
      <c r="BY78" s="308"/>
      <c r="BZ78" s="308"/>
      <c r="CA78" s="1590"/>
      <c r="CB78" s="1589"/>
      <c r="CC78" s="1589"/>
      <c r="CD78" s="1589"/>
      <c r="CE78" s="1589"/>
      <c r="CF78" s="1590"/>
      <c r="CG78" s="1589"/>
      <c r="CH78" s="1589"/>
      <c r="CI78" s="1589"/>
      <c r="CJ78" s="1589"/>
      <c r="CK78" s="1590"/>
      <c r="CL78" s="1589"/>
      <c r="CM78" s="1589"/>
      <c r="CN78" s="1589"/>
      <c r="CO78" s="1589"/>
      <c r="CP78" s="1590"/>
      <c r="CQ78" s="1589"/>
      <c r="CR78" s="1589"/>
      <c r="CS78" s="1589"/>
      <c r="CT78" s="1589"/>
      <c r="CU78" s="1590"/>
      <c r="CV78" s="2124"/>
      <c r="CW78" s="2124"/>
      <c r="CX78" s="2124"/>
      <c r="CY78" s="2124"/>
      <c r="CZ78" s="1590"/>
      <c r="DA78" s="1590"/>
      <c r="DB78" s="2234"/>
      <c r="DC78" s="2234"/>
      <c r="DD78" s="308"/>
    </row>
    <row r="79" spans="1:108" s="1178" customFormat="1" ht="11.25" outlineLevel="1">
      <c r="A79" s="1191"/>
      <c r="B79" s="1191"/>
      <c r="C79" s="1191" t="s">
        <v>8</v>
      </c>
      <c r="D79" s="1191"/>
      <c r="E79" s="1191"/>
      <c r="F79" s="1191"/>
      <c r="G79" s="1191"/>
      <c r="H79" s="1191"/>
      <c r="I79" s="1191"/>
      <c r="J79" s="1191"/>
      <c r="K79" s="1191"/>
      <c r="L79" s="1191"/>
      <c r="M79" s="1191"/>
      <c r="N79" s="1231"/>
      <c r="O79" s="1231"/>
      <c r="P79" s="1231"/>
      <c r="Q79" s="1231"/>
      <c r="R79" s="1231"/>
      <c r="S79" s="1231"/>
      <c r="T79" s="1231"/>
      <c r="U79" s="1231"/>
      <c r="V79" s="1231"/>
      <c r="W79" s="1231"/>
      <c r="X79" s="1231"/>
      <c r="Y79" s="1231"/>
      <c r="Z79" s="1231"/>
      <c r="AA79" s="1231"/>
      <c r="AB79" s="1231"/>
      <c r="AC79" s="1231"/>
      <c r="AD79" s="1231"/>
      <c r="AE79" s="1231"/>
      <c r="AF79" s="1231"/>
      <c r="AG79" s="1231"/>
      <c r="AH79" s="1231"/>
      <c r="AI79" s="1231"/>
      <c r="AJ79" s="1231"/>
      <c r="AK79" s="1231"/>
      <c r="AL79" s="1231"/>
      <c r="AM79" s="1231"/>
      <c r="AN79" s="1231"/>
      <c r="AO79" s="1231"/>
      <c r="AP79" s="1231"/>
      <c r="AQ79" s="1231"/>
      <c r="AR79" s="1231"/>
      <c r="AS79" s="1231"/>
      <c r="AT79" s="1231"/>
      <c r="AU79" s="1231"/>
      <c r="AV79" s="1231"/>
      <c r="AW79" s="1231">
        <f>AW35-AW78-AW77</f>
        <v>799</v>
      </c>
      <c r="AX79" s="1231"/>
      <c r="AY79" s="1231"/>
      <c r="AZ79" s="1231"/>
      <c r="BA79" s="1231"/>
      <c r="BB79" s="1231">
        <f>BB35-BB78-BB77</f>
        <v>1011</v>
      </c>
      <c r="BC79" s="1231"/>
      <c r="BD79" s="1231"/>
      <c r="BE79" s="1231"/>
      <c r="BF79" s="1231"/>
      <c r="BG79" s="1231">
        <f>BG35-BG78-BG77</f>
        <v>869.95</v>
      </c>
      <c r="BH79" s="1231"/>
      <c r="BI79" s="1231"/>
      <c r="BJ79" s="1231"/>
      <c r="BK79" s="1231"/>
      <c r="BL79" s="1231">
        <f>BL35-BL78-BL77</f>
        <v>737.8</v>
      </c>
      <c r="BM79" s="1231"/>
      <c r="BN79" s="1231"/>
      <c r="BO79" s="1231"/>
      <c r="BP79" s="1231"/>
      <c r="BQ79" s="1322">
        <f>BQ35-BQ78-BQ77</f>
        <v>518</v>
      </c>
      <c r="BR79" s="308"/>
      <c r="BS79" s="308"/>
      <c r="BT79" s="308"/>
      <c r="BU79" s="308"/>
      <c r="BV79" s="1322">
        <f>BV35-BV78-BV77</f>
        <v>287</v>
      </c>
      <c r="BW79" s="308"/>
      <c r="BX79" s="308"/>
      <c r="BY79" s="308"/>
      <c r="BZ79" s="308"/>
      <c r="CA79" s="1590"/>
      <c r="CB79" s="1589"/>
      <c r="CC79" s="1589"/>
      <c r="CD79" s="1589"/>
      <c r="CE79" s="1589"/>
      <c r="CF79" s="1590"/>
      <c r="CG79" s="1589"/>
      <c r="CH79" s="1589"/>
      <c r="CI79" s="1589"/>
      <c r="CJ79" s="1589"/>
      <c r="CK79" s="1590"/>
      <c r="CL79" s="1589"/>
      <c r="CM79" s="1589"/>
      <c r="CN79" s="1589"/>
      <c r="CO79" s="1589"/>
      <c r="CP79" s="1590"/>
      <c r="CQ79" s="1589"/>
      <c r="CR79" s="1589"/>
      <c r="CS79" s="1589"/>
      <c r="CT79" s="1589"/>
      <c r="CU79" s="1590"/>
      <c r="CV79" s="2124"/>
      <c r="CW79" s="2124"/>
      <c r="CX79" s="2124"/>
      <c r="CY79" s="2124"/>
      <c r="CZ79" s="1590"/>
      <c r="DA79" s="1590"/>
      <c r="DB79" s="2234"/>
      <c r="DC79" s="2234"/>
      <c r="DD79" s="308"/>
    </row>
    <row r="80" spans="1:108" s="1178" customFormat="1" ht="11.25">
      <c r="A80" s="1182"/>
      <c r="B80" s="1182"/>
      <c r="C80" s="1182" t="s">
        <v>1029</v>
      </c>
      <c r="D80" s="1182"/>
      <c r="E80" s="1182"/>
      <c r="F80" s="1182"/>
      <c r="G80" s="1182"/>
      <c r="H80" s="1182"/>
      <c r="I80" s="1182"/>
      <c r="J80" s="1182"/>
      <c r="K80" s="1182"/>
      <c r="L80" s="1182"/>
      <c r="M80" s="1182"/>
      <c r="N80" s="1356"/>
      <c r="O80" s="1356"/>
      <c r="P80" s="1356"/>
      <c r="Q80" s="1356"/>
      <c r="R80" s="1356"/>
      <c r="S80" s="1356"/>
      <c r="T80" s="1356"/>
      <c r="U80" s="1356"/>
      <c r="V80" s="1356"/>
      <c r="W80" s="1356"/>
      <c r="X80" s="1356"/>
      <c r="Y80" s="1356"/>
      <c r="Z80" s="1356"/>
      <c r="AA80" s="1356"/>
      <c r="AB80" s="1356"/>
      <c r="AC80" s="1356"/>
      <c r="AD80" s="1356"/>
      <c r="AE80" s="1356"/>
      <c r="AF80" s="1356"/>
      <c r="AG80" s="1356"/>
      <c r="AH80" s="1356"/>
      <c r="AI80" s="1356"/>
      <c r="AJ80" s="1356"/>
      <c r="AK80" s="1356"/>
      <c r="AL80" s="1356"/>
      <c r="AM80" s="1356"/>
      <c r="AN80" s="1356"/>
      <c r="AO80" s="1356"/>
      <c r="AP80" s="1356"/>
      <c r="AQ80" s="1356"/>
      <c r="AR80" s="1356"/>
      <c r="AS80" s="1356"/>
      <c r="AT80" s="1356"/>
      <c r="AU80" s="1356"/>
      <c r="AV80" s="1356"/>
      <c r="AW80" s="1356"/>
      <c r="AX80" s="1356"/>
      <c r="AY80" s="1356"/>
      <c r="AZ80" s="1356"/>
      <c r="BA80" s="1356"/>
      <c r="BB80" s="1356"/>
      <c r="BC80" s="1356"/>
      <c r="BD80" s="1356"/>
      <c r="BE80" s="1356"/>
      <c r="BF80" s="1356"/>
      <c r="BG80" s="1356"/>
      <c r="BH80" s="1356"/>
      <c r="BI80" s="1356"/>
      <c r="BJ80" s="1356"/>
      <c r="BK80" s="1356"/>
      <c r="BL80" s="1356"/>
      <c r="BM80" s="1356"/>
      <c r="BN80" s="1356"/>
      <c r="BO80" s="1356"/>
      <c r="BP80" s="1356"/>
      <c r="BQ80" s="1658"/>
      <c r="BR80" s="1705"/>
      <c r="BS80" s="1705"/>
      <c r="BT80" s="1705"/>
      <c r="BU80" s="1705"/>
      <c r="BV80" s="1658"/>
      <c r="BW80" s="1705"/>
      <c r="BX80" s="1705"/>
      <c r="BY80" s="1705"/>
      <c r="BZ80" s="1705"/>
      <c r="CA80" s="1658"/>
      <c r="CB80" s="1662"/>
      <c r="CC80" s="1662"/>
      <c r="CD80" s="1662"/>
      <c r="CE80" s="1662"/>
      <c r="CF80" s="1658"/>
      <c r="CG80" s="1662"/>
      <c r="CH80" s="1662"/>
      <c r="CI80" s="1662"/>
      <c r="CJ80" s="1662"/>
      <c r="CK80" s="1658"/>
      <c r="CL80" s="1662"/>
      <c r="CM80" s="1662"/>
      <c r="CN80" s="1662"/>
      <c r="CO80" s="1662"/>
      <c r="CP80" s="1658"/>
      <c r="CQ80" s="1662"/>
      <c r="CR80" s="1662"/>
      <c r="CS80" s="1662"/>
      <c r="CT80" s="1662"/>
      <c r="CU80" s="1658"/>
      <c r="CV80" s="1662"/>
      <c r="CW80" s="1662"/>
      <c r="CX80" s="1662"/>
      <c r="CY80" s="1662"/>
      <c r="CZ80" s="1658"/>
      <c r="DA80" s="1658"/>
      <c r="DB80" s="1658"/>
      <c r="DC80" s="1658"/>
      <c r="DD80" s="1705"/>
    </row>
    <row r="81" spans="1:110" s="1178" customFormat="1" ht="11.25">
      <c r="A81" s="1182"/>
      <c r="B81" s="1182"/>
      <c r="C81" s="1182"/>
      <c r="D81" s="1182" t="s">
        <v>1220</v>
      </c>
      <c r="E81" s="1182"/>
      <c r="F81" s="1182"/>
      <c r="G81" s="1182"/>
      <c r="H81" s="1182"/>
      <c r="I81" s="1182"/>
      <c r="J81" s="1182"/>
      <c r="K81" s="1182"/>
      <c r="L81" s="1182"/>
      <c r="M81" s="1182"/>
      <c r="N81" s="1356"/>
      <c r="O81" s="1356"/>
      <c r="P81" s="1356"/>
      <c r="Q81" s="1356"/>
      <c r="R81" s="1356"/>
      <c r="S81" s="1356"/>
      <c r="T81" s="1356"/>
      <c r="U81" s="1356"/>
      <c r="V81" s="1356"/>
      <c r="W81" s="1356"/>
      <c r="X81" s="1356"/>
      <c r="Y81" s="1356"/>
      <c r="Z81" s="1356"/>
      <c r="AA81" s="1356"/>
      <c r="AB81" s="1356"/>
      <c r="AC81" s="1356"/>
      <c r="AD81" s="1356"/>
      <c r="AE81" s="1356"/>
      <c r="AF81" s="1356"/>
      <c r="AG81" s="1356"/>
      <c r="AH81" s="1356"/>
      <c r="AI81" s="1356"/>
      <c r="AJ81" s="1356"/>
      <c r="AK81" s="1356"/>
      <c r="AL81" s="1356"/>
      <c r="AM81" s="1356"/>
      <c r="AN81" s="1356"/>
      <c r="AO81" s="1356"/>
      <c r="AP81" s="1356"/>
      <c r="AQ81" s="1356"/>
      <c r="AR81" s="1356"/>
      <c r="AS81" s="1356"/>
      <c r="AT81" s="1356"/>
      <c r="AU81" s="1356"/>
      <c r="AV81" s="1356"/>
      <c r="AW81" s="1356"/>
      <c r="AX81" s="1356"/>
      <c r="AY81" s="1356"/>
      <c r="AZ81" s="1356"/>
      <c r="BA81" s="1356"/>
      <c r="BB81" s="1356"/>
      <c r="BC81" s="1356"/>
      <c r="BD81" s="1356"/>
      <c r="BE81" s="1356"/>
      <c r="BF81" s="1356"/>
      <c r="BG81" s="1356"/>
      <c r="BH81" s="1356"/>
      <c r="BI81" s="1356"/>
      <c r="BJ81" s="1356"/>
      <c r="BK81" s="1356"/>
      <c r="BL81" s="1356"/>
      <c r="BM81" s="1356"/>
      <c r="BN81" s="1356"/>
      <c r="BO81" s="1356"/>
      <c r="BP81" s="1356"/>
      <c r="BQ81" s="1658"/>
      <c r="BR81" s="1705"/>
      <c r="BS81" s="1705"/>
      <c r="BT81" s="1705"/>
      <c r="BU81" s="1705"/>
      <c r="BV81" s="1658"/>
      <c r="BW81" s="1705"/>
      <c r="BX81" s="1705"/>
      <c r="BY81" s="1705"/>
      <c r="BZ81" s="1705"/>
      <c r="CA81" s="1658"/>
      <c r="CB81" s="1662"/>
      <c r="CC81" s="1662"/>
      <c r="CD81" s="1662"/>
      <c r="CE81" s="1662"/>
      <c r="CF81" s="1713">
        <v>0.5</v>
      </c>
      <c r="CG81" s="2027" t="s">
        <v>1385</v>
      </c>
      <c r="CH81" s="1589"/>
      <c r="CI81" s="1589"/>
      <c r="CJ81" s="1589"/>
      <c r="CK81" s="1951"/>
      <c r="CL81" s="1662"/>
      <c r="CM81" s="1662"/>
      <c r="CN81" s="1662"/>
      <c r="CO81" s="1662"/>
      <c r="CP81" s="1658"/>
      <c r="CQ81" s="1662"/>
      <c r="CR81" s="1662"/>
      <c r="CS81" s="1662"/>
      <c r="CT81" s="1662"/>
      <c r="CU81" s="1658"/>
      <c r="CV81" s="1662"/>
      <c r="CW81" s="1662"/>
      <c r="CX81" s="1662"/>
      <c r="CY81" s="1662"/>
      <c r="CZ81" s="1658"/>
      <c r="DA81" s="1658"/>
      <c r="DB81" s="1658"/>
      <c r="DC81" s="1658"/>
      <c r="DD81" s="1705"/>
    </row>
    <row r="82" spans="1:110" s="1178" customFormat="1" ht="11.25">
      <c r="A82" s="1191"/>
      <c r="B82" s="1191"/>
      <c r="C82" s="1191"/>
      <c r="D82" s="1191" t="s">
        <v>1219</v>
      </c>
      <c r="E82" s="1191"/>
      <c r="F82" s="1191"/>
      <c r="G82" s="1191"/>
      <c r="H82" s="1191"/>
      <c r="I82" s="1191"/>
      <c r="J82" s="1191"/>
      <c r="K82" s="1191"/>
      <c r="L82" s="1191"/>
      <c r="M82" s="1191"/>
      <c r="N82" s="1231"/>
      <c r="O82" s="1231"/>
      <c r="P82" s="1231"/>
      <c r="Q82" s="1231"/>
      <c r="R82" s="1231"/>
      <c r="S82" s="1231"/>
      <c r="T82" s="1231"/>
      <c r="U82" s="1231"/>
      <c r="V82" s="1231"/>
      <c r="W82" s="1231"/>
      <c r="X82" s="1231"/>
      <c r="Y82" s="1231"/>
      <c r="Z82" s="1231"/>
      <c r="AA82" s="1231"/>
      <c r="AB82" s="1231"/>
      <c r="AC82" s="1231"/>
      <c r="AD82" s="1231"/>
      <c r="AE82" s="1231"/>
      <c r="AF82" s="1231"/>
      <c r="AG82" s="1231"/>
      <c r="AH82" s="1231"/>
      <c r="AI82" s="1231"/>
      <c r="AJ82" s="1231"/>
      <c r="AK82" s="1231"/>
      <c r="AL82" s="1231"/>
      <c r="AM82" s="1231"/>
      <c r="AN82" s="1231"/>
      <c r="AO82" s="1231"/>
      <c r="AP82" s="1231"/>
      <c r="AQ82" s="1231"/>
      <c r="AR82" s="1231"/>
      <c r="AS82" s="1231"/>
      <c r="AT82" s="1231"/>
      <c r="AU82" s="1231"/>
      <c r="AV82" s="1231"/>
      <c r="AW82" s="1231"/>
      <c r="AX82" s="1231"/>
      <c r="AY82" s="1231"/>
      <c r="AZ82" s="1231"/>
      <c r="BA82" s="1231"/>
      <c r="BB82" s="1231"/>
      <c r="BC82" s="1231"/>
      <c r="BD82" s="1231"/>
      <c r="BE82" s="1231"/>
      <c r="BF82" s="1231"/>
      <c r="BG82" s="1231"/>
      <c r="BH82" s="1231"/>
      <c r="BI82" s="1231"/>
      <c r="BJ82" s="1231"/>
      <c r="BK82" s="1231"/>
      <c r="BL82" s="1231"/>
      <c r="BM82" s="1231"/>
      <c r="BN82" s="1231"/>
      <c r="BO82" s="1231"/>
      <c r="BP82" s="1231"/>
      <c r="BQ82" s="1590"/>
      <c r="BR82" s="308"/>
      <c r="BS82" s="308"/>
      <c r="BT82" s="308"/>
      <c r="BU82" s="308"/>
      <c r="BV82" s="1590"/>
      <c r="BW82" s="308"/>
      <c r="BX82" s="308"/>
      <c r="BY82" s="308"/>
      <c r="BZ82" s="308"/>
      <c r="CA82" s="1590"/>
      <c r="CB82" s="1589"/>
      <c r="CC82" s="1589"/>
      <c r="CD82" s="1589"/>
      <c r="CE82" s="1589"/>
      <c r="CF82" s="1712">
        <f>1/3</f>
        <v>0.33333333333333331</v>
      </c>
      <c r="CG82" s="1941">
        <f>CF82*CF81</f>
        <v>0.16666666666666666</v>
      </c>
      <c r="CH82" s="1589"/>
      <c r="CI82" s="1589"/>
      <c r="CJ82" s="1589"/>
      <c r="CK82" s="1951"/>
      <c r="CL82" s="1589"/>
      <c r="CM82" s="1589"/>
      <c r="CN82" s="1589"/>
      <c r="CO82" s="1589"/>
      <c r="CP82" s="1590"/>
      <c r="CQ82" s="1589"/>
      <c r="CR82" s="1589"/>
      <c r="CS82" s="1589"/>
      <c r="CT82" s="1589"/>
      <c r="CU82" s="1590"/>
      <c r="CV82" s="2124"/>
      <c r="CW82" s="2124"/>
      <c r="CX82" s="2124"/>
      <c r="CY82" s="2124"/>
      <c r="CZ82" s="1590"/>
      <c r="DA82" s="1590"/>
      <c r="DB82" s="2234"/>
      <c r="DC82" s="2234"/>
      <c r="DD82" s="308"/>
    </row>
    <row r="83" spans="1:110" s="1178" customFormat="1" ht="11.25">
      <c r="A83" s="1191"/>
      <c r="B83" s="1191"/>
      <c r="C83" s="1191"/>
      <c r="D83" s="1191" t="s">
        <v>1218</v>
      </c>
      <c r="E83" s="1191"/>
      <c r="F83" s="1191"/>
      <c r="G83" s="1191"/>
      <c r="H83" s="1191"/>
      <c r="I83" s="1191"/>
      <c r="J83" s="1191"/>
      <c r="K83" s="1191"/>
      <c r="L83" s="1191"/>
      <c r="M83" s="1191"/>
      <c r="N83" s="1231"/>
      <c r="O83" s="1231"/>
      <c r="P83" s="1231"/>
      <c r="Q83" s="1231"/>
      <c r="R83" s="1231"/>
      <c r="S83" s="1231"/>
      <c r="T83" s="1231"/>
      <c r="U83" s="1231"/>
      <c r="V83" s="1231"/>
      <c r="W83" s="1231"/>
      <c r="X83" s="1231"/>
      <c r="Y83" s="1231"/>
      <c r="Z83" s="1231"/>
      <c r="AA83" s="1231"/>
      <c r="AB83" s="1231"/>
      <c r="AC83" s="1231"/>
      <c r="AD83" s="1231"/>
      <c r="AE83" s="1231"/>
      <c r="AF83" s="1231"/>
      <c r="AG83" s="1231"/>
      <c r="AH83" s="1231"/>
      <c r="AI83" s="1231"/>
      <c r="AJ83" s="1231"/>
      <c r="AK83" s="1231"/>
      <c r="AL83" s="1231"/>
      <c r="AM83" s="1231"/>
      <c r="AN83" s="1231"/>
      <c r="AO83" s="1231"/>
      <c r="AP83" s="1231"/>
      <c r="AQ83" s="1231"/>
      <c r="AR83" s="1231"/>
      <c r="AS83" s="1231"/>
      <c r="AT83" s="1231"/>
      <c r="AU83" s="1231"/>
      <c r="AV83" s="1231"/>
      <c r="AW83" s="1231"/>
      <c r="AX83" s="1231"/>
      <c r="AY83" s="1231"/>
      <c r="AZ83" s="1231"/>
      <c r="BA83" s="1231"/>
      <c r="BB83" s="1231"/>
      <c r="BC83" s="1231"/>
      <c r="BD83" s="1231"/>
      <c r="BE83" s="1231"/>
      <c r="BF83" s="1231"/>
      <c r="BG83" s="1231"/>
      <c r="BH83" s="1231"/>
      <c r="BI83" s="1231"/>
      <c r="BJ83" s="1231"/>
      <c r="BK83" s="1231"/>
      <c r="BL83" s="1231"/>
      <c r="BM83" s="1231"/>
      <c r="BN83" s="1231"/>
      <c r="BO83" s="1231"/>
      <c r="BP83" s="1231"/>
      <c r="BQ83" s="1590"/>
      <c r="BR83" s="308"/>
      <c r="BS83" s="308"/>
      <c r="BT83" s="308"/>
      <c r="BU83" s="308"/>
      <c r="BV83" s="1590"/>
      <c r="BW83" s="308"/>
      <c r="BX83" s="308"/>
      <c r="BY83" s="308"/>
      <c r="BZ83" s="308"/>
      <c r="CA83" s="1590"/>
      <c r="CB83" s="1589"/>
      <c r="CC83" s="1589"/>
      <c r="CD83" s="1589"/>
      <c r="CE83" s="1589"/>
      <c r="CF83" s="1712">
        <f>1-CF82</f>
        <v>0.66666666666666674</v>
      </c>
      <c r="CG83" s="1941">
        <f>CF83*CF81</f>
        <v>0.33333333333333337</v>
      </c>
      <c r="CH83" s="1589"/>
      <c r="CI83" s="1589"/>
      <c r="CJ83" s="1589"/>
      <c r="CK83" s="1951"/>
      <c r="CL83" s="1589"/>
      <c r="CM83" s="1589"/>
      <c r="CN83" s="1589"/>
      <c r="CO83" s="1589"/>
      <c r="CP83" s="1590"/>
      <c r="CQ83" s="1589"/>
      <c r="CR83" s="1589"/>
      <c r="CS83" s="1589"/>
      <c r="CT83" s="1589"/>
      <c r="CU83" s="1590"/>
      <c r="CV83" s="2124"/>
      <c r="CW83" s="2124"/>
      <c r="CX83" s="2124"/>
      <c r="CY83" s="2124"/>
      <c r="CZ83" s="1590"/>
      <c r="DA83" s="1590"/>
      <c r="DB83" s="2234"/>
      <c r="DC83" s="2234"/>
      <c r="DD83" s="308"/>
    </row>
    <row r="84" spans="1:110" s="1178" customFormat="1" ht="11.25">
      <c r="A84" s="1182"/>
      <c r="B84" s="1182"/>
      <c r="C84" s="1182"/>
      <c r="D84" s="1182" t="s">
        <v>1157</v>
      </c>
      <c r="E84" s="1182"/>
      <c r="F84" s="1182"/>
      <c r="G84" s="1182"/>
      <c r="H84" s="1182"/>
      <c r="I84" s="1182"/>
      <c r="J84" s="1182"/>
      <c r="K84" s="1182"/>
      <c r="L84" s="1182"/>
      <c r="M84" s="1182"/>
      <c r="N84" s="1356"/>
      <c r="O84" s="1356"/>
      <c r="P84" s="1356"/>
      <c r="Q84" s="1356"/>
      <c r="R84" s="1356"/>
      <c r="S84" s="1356"/>
      <c r="T84" s="1356"/>
      <c r="U84" s="1356"/>
      <c r="V84" s="1356"/>
      <c r="W84" s="1356"/>
      <c r="X84" s="1356"/>
      <c r="Y84" s="1356"/>
      <c r="Z84" s="1356"/>
      <c r="AA84" s="1356"/>
      <c r="AB84" s="1356"/>
      <c r="AC84" s="1356"/>
      <c r="AD84" s="1356"/>
      <c r="AE84" s="1356"/>
      <c r="AF84" s="1356"/>
      <c r="AG84" s="1356"/>
      <c r="AH84" s="1356"/>
      <c r="AI84" s="1356"/>
      <c r="AJ84" s="1356"/>
      <c r="AK84" s="1356"/>
      <c r="AL84" s="1356"/>
      <c r="AM84" s="1356"/>
      <c r="AN84" s="1356"/>
      <c r="AO84" s="1356"/>
      <c r="AP84" s="1356"/>
      <c r="AQ84" s="1356"/>
      <c r="AR84" s="1356"/>
      <c r="AS84" s="1356"/>
      <c r="AT84" s="1356"/>
      <c r="AU84" s="1356"/>
      <c r="AV84" s="1356"/>
      <c r="AW84" s="1356"/>
      <c r="AX84" s="1356"/>
      <c r="AY84" s="1356"/>
      <c r="AZ84" s="1356"/>
      <c r="BA84" s="1356"/>
      <c r="BB84" s="1356"/>
      <c r="BC84" s="1356"/>
      <c r="BD84" s="1356"/>
      <c r="BE84" s="1356"/>
      <c r="BF84" s="1356"/>
      <c r="BG84" s="1356"/>
      <c r="BH84" s="1356"/>
      <c r="BI84" s="1356"/>
      <c r="BJ84" s="1356"/>
      <c r="BK84" s="1356"/>
      <c r="BL84" s="1356"/>
      <c r="BM84" s="1356"/>
      <c r="BN84" s="1356"/>
      <c r="BO84" s="1356"/>
      <c r="BP84" s="1356"/>
      <c r="BQ84" s="1658"/>
      <c r="BR84" s="1705"/>
      <c r="BS84" s="1705"/>
      <c r="BT84" s="1705"/>
      <c r="BU84" s="1705"/>
      <c r="BV84" s="1658"/>
      <c r="BW84" s="1705"/>
      <c r="BX84" s="1705"/>
      <c r="BY84" s="1705"/>
      <c r="BZ84" s="1705"/>
      <c r="CA84" s="1658"/>
      <c r="CB84" s="1662"/>
      <c r="CC84" s="1662"/>
      <c r="CD84" s="1662"/>
      <c r="CE84" s="1662"/>
      <c r="CF84" s="1713">
        <v>0.25</v>
      </c>
      <c r="CG84" s="1662"/>
      <c r="CH84" s="1589"/>
      <c r="CI84" s="1589"/>
      <c r="CJ84" s="1589"/>
      <c r="CK84" s="1951"/>
      <c r="CL84" s="1662"/>
      <c r="CM84" s="1662"/>
      <c r="CN84" s="1662"/>
      <c r="CO84" s="1662"/>
      <c r="CP84" s="1658"/>
      <c r="CQ84" s="1662"/>
      <c r="CR84" s="1662"/>
      <c r="CS84" s="1662"/>
      <c r="CT84" s="1662"/>
      <c r="CU84" s="1658"/>
      <c r="CV84" s="1662"/>
      <c r="CW84" s="1662"/>
      <c r="CX84" s="1662"/>
      <c r="CY84" s="1662"/>
      <c r="CZ84" s="1658"/>
      <c r="DA84" s="1658"/>
      <c r="DB84" s="1658"/>
      <c r="DC84" s="1658"/>
      <c r="DD84" s="1705"/>
    </row>
    <row r="85" spans="1:110" s="1178" customFormat="1" ht="11.25">
      <c r="A85" s="1191"/>
      <c r="B85" s="1191"/>
      <c r="C85" s="1191"/>
      <c r="D85" s="1191" t="s">
        <v>1219</v>
      </c>
      <c r="E85" s="1191"/>
      <c r="F85" s="1191"/>
      <c r="G85" s="1191"/>
      <c r="H85" s="1191"/>
      <c r="I85" s="1191"/>
      <c r="J85" s="1191"/>
      <c r="K85" s="1191"/>
      <c r="L85" s="1191"/>
      <c r="M85" s="1191"/>
      <c r="N85" s="1231"/>
      <c r="O85" s="1231"/>
      <c r="P85" s="1231"/>
      <c r="Q85" s="1231"/>
      <c r="R85" s="1231"/>
      <c r="S85" s="1231"/>
      <c r="T85" s="1231"/>
      <c r="U85" s="1231"/>
      <c r="V85" s="1231"/>
      <c r="W85" s="1231"/>
      <c r="X85" s="1231"/>
      <c r="Y85" s="1231"/>
      <c r="Z85" s="1231"/>
      <c r="AA85" s="1231"/>
      <c r="AB85" s="1231"/>
      <c r="AC85" s="1231"/>
      <c r="AD85" s="1231"/>
      <c r="AE85" s="1231"/>
      <c r="AF85" s="1231"/>
      <c r="AG85" s="1231"/>
      <c r="AH85" s="1231"/>
      <c r="AI85" s="1231"/>
      <c r="AJ85" s="1231"/>
      <c r="AK85" s="1231"/>
      <c r="AL85" s="1231"/>
      <c r="AM85" s="1231"/>
      <c r="AN85" s="1231"/>
      <c r="AO85" s="1231"/>
      <c r="AP85" s="1231"/>
      <c r="AQ85" s="1231"/>
      <c r="AR85" s="1231"/>
      <c r="AS85" s="1231"/>
      <c r="AT85" s="1231"/>
      <c r="AU85" s="1231"/>
      <c r="AV85" s="1231"/>
      <c r="AW85" s="1231"/>
      <c r="AX85" s="1231"/>
      <c r="AY85" s="1231"/>
      <c r="AZ85" s="1231"/>
      <c r="BA85" s="1231"/>
      <c r="BB85" s="1231"/>
      <c r="BC85" s="1231"/>
      <c r="BD85" s="1231"/>
      <c r="BE85" s="1231"/>
      <c r="BF85" s="1231"/>
      <c r="BG85" s="1231"/>
      <c r="BH85" s="1231"/>
      <c r="BI85" s="1231"/>
      <c r="BJ85" s="1231"/>
      <c r="BK85" s="1231"/>
      <c r="BL85" s="1231"/>
      <c r="BM85" s="1231"/>
      <c r="BN85" s="1231"/>
      <c r="BO85" s="1231"/>
      <c r="BP85" s="1231"/>
      <c r="BQ85" s="1590"/>
      <c r="BR85" s="308"/>
      <c r="BS85" s="308"/>
      <c r="BT85" s="308"/>
      <c r="BU85" s="308"/>
      <c r="BV85" s="1590"/>
      <c r="BW85" s="308"/>
      <c r="BX85" s="308"/>
      <c r="BY85" s="308"/>
      <c r="BZ85" s="308"/>
      <c r="CA85" s="1590"/>
      <c r="CB85" s="1589"/>
      <c r="CC85" s="1589"/>
      <c r="CD85" s="1589"/>
      <c r="CE85" s="1589"/>
      <c r="CF85" s="1712">
        <v>0.5</v>
      </c>
      <c r="CG85" s="1941"/>
      <c r="CH85" s="1589"/>
      <c r="CI85" s="1589"/>
      <c r="CJ85" s="1589"/>
      <c r="CK85" s="1590"/>
      <c r="CL85" s="1589"/>
      <c r="CM85" s="1589"/>
      <c r="CN85" s="1589"/>
      <c r="CO85" s="1589"/>
      <c r="CP85" s="1590"/>
      <c r="CQ85" s="1589"/>
      <c r="CR85" s="1589"/>
      <c r="CS85" s="1589"/>
      <c r="CT85" s="1589"/>
      <c r="CU85" s="1590"/>
      <c r="CV85" s="2124"/>
      <c r="CW85" s="2124"/>
      <c r="CX85" s="2124"/>
      <c r="CY85" s="2124"/>
      <c r="CZ85" s="1590"/>
      <c r="DA85" s="1590"/>
      <c r="DB85" s="2234"/>
      <c r="DC85" s="2234"/>
      <c r="DD85" s="308"/>
    </row>
    <row r="86" spans="1:110" s="1178" customFormat="1" ht="11.25">
      <c r="A86" s="1191"/>
      <c r="B86" s="1191"/>
      <c r="C86" s="1191"/>
      <c r="D86" s="1191" t="s">
        <v>1218</v>
      </c>
      <c r="E86" s="1191"/>
      <c r="F86" s="1191"/>
      <c r="G86" s="1191"/>
      <c r="H86" s="1191"/>
      <c r="I86" s="1191"/>
      <c r="J86" s="1191"/>
      <c r="K86" s="1191"/>
      <c r="L86" s="1191"/>
      <c r="M86" s="1191"/>
      <c r="N86" s="1231"/>
      <c r="O86" s="1231"/>
      <c r="P86" s="1231"/>
      <c r="Q86" s="1231"/>
      <c r="R86" s="1231"/>
      <c r="S86" s="1231"/>
      <c r="T86" s="1231"/>
      <c r="U86" s="1231"/>
      <c r="V86" s="1231"/>
      <c r="W86" s="1231"/>
      <c r="X86" s="1231"/>
      <c r="Y86" s="1231"/>
      <c r="Z86" s="1231"/>
      <c r="AA86" s="1231"/>
      <c r="AB86" s="1231"/>
      <c r="AC86" s="1231"/>
      <c r="AD86" s="1231"/>
      <c r="AE86" s="1231"/>
      <c r="AF86" s="1231"/>
      <c r="AG86" s="1231"/>
      <c r="AH86" s="1231"/>
      <c r="AI86" s="1231"/>
      <c r="AJ86" s="1231"/>
      <c r="AK86" s="1231"/>
      <c r="AL86" s="1231"/>
      <c r="AM86" s="1231"/>
      <c r="AN86" s="1231"/>
      <c r="AO86" s="1231"/>
      <c r="AP86" s="1231"/>
      <c r="AQ86" s="1231"/>
      <c r="AR86" s="1231"/>
      <c r="AS86" s="1231"/>
      <c r="AT86" s="1231"/>
      <c r="AU86" s="1231"/>
      <c r="AV86" s="1231"/>
      <c r="AW86" s="1231"/>
      <c r="AX86" s="1231"/>
      <c r="AY86" s="1231"/>
      <c r="AZ86" s="1231"/>
      <c r="BA86" s="1231"/>
      <c r="BB86" s="1231"/>
      <c r="BC86" s="1231"/>
      <c r="BD86" s="1231"/>
      <c r="BE86" s="1231"/>
      <c r="BF86" s="1231"/>
      <c r="BG86" s="1231"/>
      <c r="BH86" s="1231"/>
      <c r="BI86" s="1231"/>
      <c r="BJ86" s="1231"/>
      <c r="BK86" s="1231"/>
      <c r="BL86" s="1231"/>
      <c r="BM86" s="1231"/>
      <c r="BN86" s="1231"/>
      <c r="BO86" s="1231"/>
      <c r="BP86" s="1231"/>
      <c r="BQ86" s="1590"/>
      <c r="BR86" s="308"/>
      <c r="BS86" s="308"/>
      <c r="BT86" s="308"/>
      <c r="BU86" s="308"/>
      <c r="BV86" s="1590"/>
      <c r="BW86" s="308"/>
      <c r="BX86" s="308"/>
      <c r="BY86" s="308"/>
      <c r="BZ86" s="308"/>
      <c r="CA86" s="1590"/>
      <c r="CB86" s="1589"/>
      <c r="CC86" s="1589"/>
      <c r="CD86" s="1589"/>
      <c r="CE86" s="1589"/>
      <c r="CF86" s="1712">
        <v>0.5</v>
      </c>
      <c r="CG86" s="1941"/>
      <c r="CH86" s="1589"/>
      <c r="CI86" s="1589"/>
      <c r="CJ86" s="1589"/>
      <c r="CK86" s="1590"/>
      <c r="CL86" s="1589"/>
      <c r="CM86" s="1589"/>
      <c r="CN86" s="1589"/>
      <c r="CO86" s="1589"/>
      <c r="CP86" s="1590"/>
      <c r="CQ86" s="1589"/>
      <c r="CR86" s="1589"/>
      <c r="CS86" s="1589"/>
      <c r="CT86" s="1589"/>
      <c r="CU86" s="1590"/>
      <c r="CV86" s="2124"/>
      <c r="CW86" s="2124"/>
      <c r="CX86" s="2124"/>
      <c r="CY86" s="2124"/>
      <c r="CZ86" s="1590"/>
      <c r="DA86" s="1590"/>
      <c r="DB86" s="2234"/>
      <c r="DC86" s="2234"/>
      <c r="DD86" s="308"/>
    </row>
    <row r="87" spans="1:110" s="1178" customFormat="1" ht="11.25">
      <c r="A87" s="1182"/>
      <c r="B87" s="1182"/>
      <c r="C87" s="1182"/>
      <c r="D87" s="1182" t="s">
        <v>1203</v>
      </c>
      <c r="E87" s="1182"/>
      <c r="F87" s="1182"/>
      <c r="G87" s="1182"/>
      <c r="H87" s="1182"/>
      <c r="I87" s="1182"/>
      <c r="J87" s="1182"/>
      <c r="K87" s="1182"/>
      <c r="L87" s="1182"/>
      <c r="M87" s="1182"/>
      <c r="N87" s="1356"/>
      <c r="O87" s="1356"/>
      <c r="P87" s="1356"/>
      <c r="Q87" s="1356"/>
      <c r="R87" s="1356"/>
      <c r="S87" s="1356"/>
      <c r="T87" s="1356"/>
      <c r="U87" s="1356"/>
      <c r="V87" s="1356"/>
      <c r="W87" s="1356"/>
      <c r="X87" s="1356"/>
      <c r="Y87" s="1356"/>
      <c r="Z87" s="1356"/>
      <c r="AA87" s="1356"/>
      <c r="AB87" s="1356"/>
      <c r="AC87" s="1356"/>
      <c r="AD87" s="1356"/>
      <c r="AE87" s="1356"/>
      <c r="AF87" s="1356"/>
      <c r="AG87" s="1356"/>
      <c r="AH87" s="1356"/>
      <c r="AI87" s="1356"/>
      <c r="AJ87" s="1356"/>
      <c r="AK87" s="1356"/>
      <c r="AL87" s="1356"/>
      <c r="AM87" s="1356"/>
      <c r="AN87" s="1356"/>
      <c r="AO87" s="1356"/>
      <c r="AP87" s="1356"/>
      <c r="AQ87" s="1356"/>
      <c r="AR87" s="1356"/>
      <c r="AS87" s="1356"/>
      <c r="AT87" s="1356"/>
      <c r="AU87" s="1356"/>
      <c r="AV87" s="1356"/>
      <c r="AW87" s="1356"/>
      <c r="AX87" s="1356"/>
      <c r="AY87" s="1356"/>
      <c r="AZ87" s="1356"/>
      <c r="BA87" s="1356"/>
      <c r="BB87" s="1356"/>
      <c r="BC87" s="1356"/>
      <c r="BD87" s="1356"/>
      <c r="BE87" s="1356"/>
      <c r="BF87" s="1356"/>
      <c r="BG87" s="1356"/>
      <c r="BH87" s="1356"/>
      <c r="BI87" s="1356"/>
      <c r="BJ87" s="1356"/>
      <c r="BK87" s="1356"/>
      <c r="BL87" s="1356"/>
      <c r="BM87" s="1356"/>
      <c r="BN87" s="1356"/>
      <c r="BO87" s="1356"/>
      <c r="BP87" s="1356"/>
      <c r="BQ87" s="1658"/>
      <c r="BR87" s="1705"/>
      <c r="BS87" s="1705"/>
      <c r="BT87" s="1705"/>
      <c r="BU87" s="1705"/>
      <c r="BV87" s="1658"/>
      <c r="BW87" s="1705"/>
      <c r="BX87" s="1705"/>
      <c r="BY87" s="1705"/>
      <c r="BZ87" s="1705"/>
      <c r="CA87" s="1658"/>
      <c r="CB87" s="1662"/>
      <c r="CC87" s="1662"/>
      <c r="CD87" s="1662"/>
      <c r="CE87" s="1662"/>
      <c r="CF87" s="1713">
        <v>0.25</v>
      </c>
      <c r="CG87" s="1941">
        <f>CF87</f>
        <v>0.25</v>
      </c>
      <c r="CH87" s="1662"/>
      <c r="CI87" s="1662"/>
      <c r="CJ87" s="1662"/>
      <c r="CK87" s="1658"/>
      <c r="CL87" s="1662"/>
      <c r="CM87" s="1662"/>
      <c r="CN87" s="1662"/>
      <c r="CO87" s="1662"/>
      <c r="CP87" s="1658"/>
      <c r="CQ87" s="1662"/>
      <c r="CR87" s="1662"/>
      <c r="CS87" s="1662"/>
      <c r="CT87" s="1662"/>
      <c r="CU87" s="1658"/>
      <c r="CV87" s="1662"/>
      <c r="CW87" s="1662"/>
      <c r="CX87" s="1662"/>
      <c r="CY87" s="1662"/>
      <c r="CZ87" s="1658"/>
      <c r="DA87" s="1658"/>
      <c r="DB87" s="1658"/>
      <c r="DC87" s="1658"/>
      <c r="DD87" s="1705"/>
    </row>
    <row r="88" spans="1:110" s="1178" customFormat="1" ht="11.25">
      <c r="A88" s="1191"/>
      <c r="B88" s="1191"/>
      <c r="C88" s="1191"/>
      <c r="D88" s="1191" t="s">
        <v>1219</v>
      </c>
      <c r="E88" s="1191"/>
      <c r="F88" s="1191"/>
      <c r="G88" s="1191"/>
      <c r="H88" s="1191"/>
      <c r="I88" s="1191"/>
      <c r="J88" s="1191"/>
      <c r="K88" s="1191"/>
      <c r="L88" s="1191"/>
      <c r="M88" s="1191"/>
      <c r="N88" s="1231"/>
      <c r="O88" s="1231"/>
      <c r="P88" s="1231"/>
      <c r="Q88" s="1231"/>
      <c r="R88" s="1231"/>
      <c r="S88" s="1231"/>
      <c r="T88" s="1231"/>
      <c r="U88" s="1231"/>
      <c r="V88" s="1231"/>
      <c r="W88" s="1231"/>
      <c r="X88" s="1231"/>
      <c r="Y88" s="1231"/>
      <c r="Z88" s="1231"/>
      <c r="AA88" s="1231"/>
      <c r="AB88" s="1231"/>
      <c r="AC88" s="1231"/>
      <c r="AD88" s="1231"/>
      <c r="AE88" s="1231"/>
      <c r="AF88" s="1231"/>
      <c r="AG88" s="1231"/>
      <c r="AH88" s="1231"/>
      <c r="AI88" s="1231"/>
      <c r="AJ88" s="1231"/>
      <c r="AK88" s="1231"/>
      <c r="AL88" s="1231"/>
      <c r="AM88" s="1231"/>
      <c r="AN88" s="1231"/>
      <c r="AO88" s="1231"/>
      <c r="AP88" s="1231"/>
      <c r="AQ88" s="1231"/>
      <c r="AR88" s="1231"/>
      <c r="AS88" s="1231"/>
      <c r="AT88" s="1231"/>
      <c r="AU88" s="1231"/>
      <c r="AV88" s="1231"/>
      <c r="AW88" s="1231"/>
      <c r="AX88" s="1231"/>
      <c r="AY88" s="1231"/>
      <c r="AZ88" s="1231"/>
      <c r="BA88" s="1231"/>
      <c r="BB88" s="1231"/>
      <c r="BC88" s="1231"/>
      <c r="BD88" s="1231"/>
      <c r="BE88" s="1231"/>
      <c r="BF88" s="1231"/>
      <c r="BG88" s="1231"/>
      <c r="BH88" s="1231"/>
      <c r="BI88" s="1231"/>
      <c r="BJ88" s="1231"/>
      <c r="BK88" s="1231"/>
      <c r="BL88" s="1231"/>
      <c r="BM88" s="1231"/>
      <c r="BN88" s="1231"/>
      <c r="BO88" s="1231"/>
      <c r="BP88" s="1231"/>
      <c r="BQ88" s="1590"/>
      <c r="BR88" s="308"/>
      <c r="BS88" s="308"/>
      <c r="BT88" s="308"/>
      <c r="BU88" s="308"/>
      <c r="BV88" s="1590"/>
      <c r="BW88" s="308"/>
      <c r="BX88" s="308"/>
      <c r="BY88" s="308"/>
      <c r="BZ88" s="308"/>
      <c r="CA88" s="1590"/>
      <c r="CB88" s="1589"/>
      <c r="CC88" s="1589"/>
      <c r="CD88" s="1589"/>
      <c r="CE88" s="1589"/>
      <c r="CF88" s="1712">
        <v>0.55000000000000004</v>
      </c>
      <c r="CG88" s="1589"/>
      <c r="CH88" s="1589"/>
      <c r="CI88" s="1589"/>
      <c r="CJ88" s="1589"/>
      <c r="CK88" s="1590"/>
      <c r="CL88" s="1589"/>
      <c r="CM88" s="1589"/>
      <c r="CN88" s="1589"/>
      <c r="CO88" s="1589"/>
      <c r="CP88" s="1590"/>
      <c r="CQ88" s="1589"/>
      <c r="CR88" s="1589"/>
      <c r="CS88" s="1589"/>
      <c r="CT88" s="1589"/>
      <c r="CU88" s="1590"/>
      <c r="CV88" s="2124"/>
      <c r="CW88" s="2124"/>
      <c r="CX88" s="2124"/>
      <c r="CY88" s="2124"/>
      <c r="CZ88" s="1590"/>
      <c r="DA88" s="1590"/>
      <c r="DB88" s="2234"/>
      <c r="DC88" s="2234"/>
      <c r="DD88" s="308"/>
    </row>
    <row r="89" spans="1:110" s="1178" customFormat="1" ht="11.25">
      <c r="A89" s="1191"/>
      <c r="B89" s="1191"/>
      <c r="C89" s="1191"/>
      <c r="D89" s="1191" t="s">
        <v>1218</v>
      </c>
      <c r="E89" s="1191"/>
      <c r="F89" s="1191"/>
      <c r="G89" s="1191"/>
      <c r="H89" s="1191"/>
      <c r="I89" s="1191"/>
      <c r="J89" s="1191"/>
      <c r="K89" s="1191"/>
      <c r="L89" s="1191"/>
      <c r="M89" s="1191"/>
      <c r="N89" s="1231"/>
      <c r="O89" s="1231"/>
      <c r="P89" s="1231"/>
      <c r="Q89" s="1231"/>
      <c r="R89" s="1231"/>
      <c r="S89" s="1231"/>
      <c r="T89" s="1231"/>
      <c r="U89" s="1231"/>
      <c r="V89" s="1231"/>
      <c r="W89" s="1231"/>
      <c r="X89" s="1231"/>
      <c r="Y89" s="1231"/>
      <c r="Z89" s="1231"/>
      <c r="AA89" s="1231"/>
      <c r="AB89" s="1231"/>
      <c r="AC89" s="1231"/>
      <c r="AD89" s="1231"/>
      <c r="AE89" s="1231"/>
      <c r="AF89" s="1231"/>
      <c r="AG89" s="1231"/>
      <c r="AH89" s="1231"/>
      <c r="AI89" s="1231"/>
      <c r="AJ89" s="1231"/>
      <c r="AK89" s="1231"/>
      <c r="AL89" s="1231"/>
      <c r="AM89" s="1231"/>
      <c r="AN89" s="1231"/>
      <c r="AO89" s="1231"/>
      <c r="AP89" s="1231"/>
      <c r="AQ89" s="1231"/>
      <c r="AR89" s="1231"/>
      <c r="AS89" s="1231"/>
      <c r="AT89" s="1231"/>
      <c r="AU89" s="1231"/>
      <c r="AV89" s="1231"/>
      <c r="AW89" s="1231"/>
      <c r="AX89" s="1231"/>
      <c r="AY89" s="1231"/>
      <c r="AZ89" s="1231"/>
      <c r="BA89" s="1231"/>
      <c r="BB89" s="1231"/>
      <c r="BC89" s="1231"/>
      <c r="BD89" s="1231"/>
      <c r="BE89" s="1231"/>
      <c r="BF89" s="1231"/>
      <c r="BG89" s="1231"/>
      <c r="BH89" s="1231"/>
      <c r="BI89" s="1231"/>
      <c r="BJ89" s="1231"/>
      <c r="BK89" s="1231"/>
      <c r="BL89" s="1231"/>
      <c r="BM89" s="1231"/>
      <c r="BN89" s="1231"/>
      <c r="BO89" s="1231"/>
      <c r="BP89" s="1231"/>
      <c r="BQ89" s="1590"/>
      <c r="BR89" s="308"/>
      <c r="BS89" s="308"/>
      <c r="BT89" s="308"/>
      <c r="BU89" s="308"/>
      <c r="BV89" s="1590"/>
      <c r="BW89" s="308"/>
      <c r="BX89" s="308"/>
      <c r="BY89" s="308"/>
      <c r="BZ89" s="308"/>
      <c r="CA89" s="1590"/>
      <c r="CB89" s="1589"/>
      <c r="CC89" s="1589"/>
      <c r="CD89" s="1589"/>
      <c r="CE89" s="1589"/>
      <c r="CF89" s="1712">
        <v>0.45</v>
      </c>
      <c r="CG89" s="1589"/>
      <c r="CH89" s="1589"/>
      <c r="CI89" s="1589"/>
      <c r="CJ89" s="1589"/>
      <c r="CK89" s="1590"/>
      <c r="CL89" s="1589"/>
      <c r="CM89" s="1589"/>
      <c r="CN89" s="1589"/>
      <c r="CO89" s="1589"/>
      <c r="CP89" s="1590"/>
      <c r="CQ89" s="1589"/>
      <c r="CR89" s="1589"/>
      <c r="CS89" s="1589"/>
      <c r="CT89" s="1589"/>
      <c r="CU89" s="1590"/>
      <c r="CV89" s="2124"/>
      <c r="CW89" s="2124"/>
      <c r="CX89" s="2124"/>
      <c r="CY89" s="2124"/>
      <c r="CZ89" s="1590"/>
      <c r="DA89" s="1590"/>
      <c r="DB89" s="2234"/>
      <c r="DC89" s="2234"/>
      <c r="DD89" s="308"/>
    </row>
    <row r="90" spans="1:110" s="1178" customFormat="1" ht="11.25">
      <c r="A90" s="1182"/>
      <c r="B90" s="1182"/>
      <c r="C90" s="1182"/>
      <c r="D90" s="1182"/>
      <c r="E90" s="1182"/>
      <c r="F90" s="1182"/>
      <c r="G90" s="1182"/>
      <c r="H90" s="1182"/>
      <c r="I90" s="1182"/>
      <c r="J90" s="1182"/>
      <c r="K90" s="1182"/>
      <c r="L90" s="1182"/>
      <c r="M90" s="1182"/>
      <c r="N90" s="1356"/>
      <c r="O90" s="1356"/>
      <c r="P90" s="1356"/>
      <c r="Q90" s="1356"/>
      <c r="R90" s="1356"/>
      <c r="S90" s="1356"/>
      <c r="T90" s="1356"/>
      <c r="U90" s="1356"/>
      <c r="V90" s="1356"/>
      <c r="W90" s="1356"/>
      <c r="X90" s="1356"/>
      <c r="Y90" s="1356"/>
      <c r="Z90" s="1356"/>
      <c r="AA90" s="1356"/>
      <c r="AB90" s="1356"/>
      <c r="AC90" s="1356"/>
      <c r="AD90" s="1356"/>
      <c r="AE90" s="1356"/>
      <c r="AF90" s="1356"/>
      <c r="AG90" s="1356"/>
      <c r="AH90" s="1356"/>
      <c r="AI90" s="1356"/>
      <c r="AJ90" s="1356"/>
      <c r="AK90" s="1356"/>
      <c r="AL90" s="1356"/>
      <c r="AM90" s="1356"/>
      <c r="AN90" s="1356"/>
      <c r="AO90" s="1356"/>
      <c r="AP90" s="1356"/>
      <c r="AQ90" s="1356"/>
      <c r="AR90" s="1356"/>
      <c r="AS90" s="1356"/>
      <c r="AT90" s="1356"/>
      <c r="AU90" s="1356"/>
      <c r="AV90" s="1356"/>
      <c r="AW90" s="1356"/>
      <c r="AX90" s="1356"/>
      <c r="AY90" s="1356"/>
      <c r="AZ90" s="1356"/>
      <c r="BA90" s="1356"/>
      <c r="BB90" s="1356"/>
      <c r="BC90" s="1356"/>
      <c r="BD90" s="1356"/>
      <c r="BE90" s="1356"/>
      <c r="BF90" s="1356"/>
      <c r="BG90" s="1356"/>
      <c r="BH90" s="1356"/>
      <c r="BI90" s="1356"/>
      <c r="BJ90" s="1356"/>
      <c r="BK90" s="1356"/>
      <c r="BL90" s="1356"/>
      <c r="BM90" s="1356"/>
      <c r="BN90" s="1356"/>
      <c r="BO90" s="1356"/>
      <c r="BP90" s="1356"/>
      <c r="BQ90" s="1658"/>
      <c r="BR90" s="1705"/>
      <c r="BS90" s="1705"/>
      <c r="BT90" s="1705"/>
      <c r="BU90" s="1705"/>
      <c r="BV90" s="1658"/>
      <c r="BW90" s="1705"/>
      <c r="BX90" s="1705"/>
      <c r="BY90" s="1705"/>
      <c r="BZ90" s="1705"/>
      <c r="CA90" s="1658"/>
      <c r="CB90" s="1662"/>
      <c r="CC90" s="1662"/>
      <c r="CD90" s="1662"/>
      <c r="CE90" s="1662"/>
      <c r="CF90" s="1658"/>
      <c r="CG90" s="1662"/>
      <c r="CH90" s="1662"/>
      <c r="CI90" s="1662"/>
      <c r="CJ90" s="1662"/>
      <c r="CK90" s="1658"/>
      <c r="CL90" s="1662"/>
      <c r="CM90" s="1662"/>
      <c r="CN90" s="1662"/>
      <c r="CO90" s="1662"/>
      <c r="CP90" s="1658"/>
      <c r="CQ90" s="1662"/>
      <c r="CR90" s="1662"/>
      <c r="CS90" s="1662"/>
      <c r="CT90" s="1662"/>
      <c r="CU90" s="1658"/>
      <c r="CV90" s="1662"/>
      <c r="CW90" s="1662"/>
      <c r="CX90" s="1662"/>
      <c r="CY90" s="1662"/>
      <c r="CZ90" s="1658"/>
      <c r="DA90" s="1658"/>
      <c r="DB90" s="1658"/>
      <c r="DC90" s="1658"/>
      <c r="DD90" s="1705"/>
    </row>
    <row r="91" spans="1:110" s="1178" customFormat="1" ht="11.25">
      <c r="A91" s="1220"/>
      <c r="B91" s="1219"/>
      <c r="C91" s="1219" t="s">
        <v>1217</v>
      </c>
      <c r="D91" s="1220"/>
      <c r="E91" s="1220"/>
      <c r="F91" s="1220"/>
      <c r="G91" s="1220"/>
      <c r="H91" s="1220"/>
      <c r="I91" s="1220"/>
      <c r="J91" s="1220"/>
      <c r="K91" s="1220"/>
      <c r="L91" s="1220"/>
      <c r="M91" s="1220"/>
      <c r="N91" s="1219"/>
      <c r="O91" s="1220"/>
      <c r="P91" s="1220"/>
      <c r="Q91" s="1220"/>
      <c r="R91" s="1220"/>
      <c r="S91" s="1219"/>
      <c r="T91" s="1220"/>
      <c r="U91" s="1220"/>
      <c r="V91" s="1220"/>
      <c r="W91" s="1220"/>
      <c r="X91" s="1219"/>
      <c r="Y91" s="1220"/>
      <c r="Z91" s="1220"/>
      <c r="AA91" s="1220"/>
      <c r="AB91" s="1220"/>
      <c r="AC91" s="1219"/>
      <c r="AD91" s="1220"/>
      <c r="AE91" s="1220"/>
      <c r="AF91" s="1220"/>
      <c r="AG91" s="1220"/>
      <c r="AH91" s="1219"/>
      <c r="AI91" s="1220"/>
      <c r="AJ91" s="1220"/>
      <c r="AK91" s="1220"/>
      <c r="AL91" s="1220"/>
      <c r="AM91" s="1219"/>
      <c r="AN91" s="1220"/>
      <c r="AO91" s="1220"/>
      <c r="AP91" s="1220"/>
      <c r="AQ91" s="1220"/>
      <c r="AR91" s="1219"/>
      <c r="AS91" s="1219"/>
      <c r="AT91" s="1219"/>
      <c r="AU91" s="1219"/>
      <c r="AV91" s="1219"/>
      <c r="AW91" s="1219"/>
      <c r="AX91" s="1219"/>
      <c r="AY91" s="1219"/>
      <c r="AZ91" s="1219"/>
      <c r="BA91" s="1219"/>
      <c r="BB91" s="1219"/>
      <c r="BC91" s="1219"/>
      <c r="BD91" s="1219"/>
      <c r="BE91" s="1219"/>
      <c r="BF91" s="1219"/>
      <c r="BG91" s="1219"/>
      <c r="BH91" s="1219"/>
      <c r="BI91" s="1219"/>
      <c r="BJ91" s="1219"/>
      <c r="BK91" s="1219"/>
      <c r="BL91" s="1219"/>
      <c r="BM91" s="1219"/>
      <c r="BN91" s="1219"/>
      <c r="BO91" s="1219"/>
      <c r="BP91" s="1219"/>
      <c r="BQ91" s="1218"/>
      <c r="BR91" s="1218"/>
      <c r="BS91" s="1218"/>
      <c r="BT91" s="1218"/>
      <c r="BU91" s="1218"/>
      <c r="BV91" s="1218"/>
      <c r="BW91" s="1218"/>
      <c r="BX91" s="1218"/>
      <c r="BY91" s="1218"/>
      <c r="BZ91" s="1218"/>
      <c r="CA91" s="1218"/>
      <c r="CB91" s="1655"/>
      <c r="CC91" s="1655"/>
      <c r="CD91" s="1655"/>
      <c r="CE91" s="1655"/>
      <c r="CF91" s="1218"/>
      <c r="CG91" s="1655"/>
      <c r="CH91" s="1655"/>
      <c r="CI91" s="1655"/>
      <c r="CJ91" s="1655"/>
      <c r="CK91" s="1217"/>
      <c r="CL91" s="1655"/>
      <c r="CM91" s="1655"/>
      <c r="CN91" s="1655"/>
      <c r="CO91" s="1655"/>
      <c r="CP91" s="1217"/>
      <c r="CQ91" s="1655"/>
      <c r="CR91" s="1655"/>
      <c r="CS91" s="1655"/>
      <c r="CT91" s="1655"/>
      <c r="CU91" s="1217"/>
      <c r="CV91" s="1655"/>
      <c r="CW91" s="1655"/>
      <c r="CX91" s="1655"/>
      <c r="CY91" s="1655"/>
      <c r="CZ91" s="1217"/>
      <c r="DA91" s="1217"/>
      <c r="DB91" s="1217"/>
      <c r="DC91" s="1217"/>
      <c r="DD91" s="1994"/>
      <c r="DE91" s="1906"/>
      <c r="DF91" s="1906"/>
    </row>
    <row r="92" spans="1:110">
      <c r="C92" s="1191" t="s">
        <v>1216</v>
      </c>
      <c r="BQ92" s="1354"/>
      <c r="BV92" s="1354"/>
      <c r="CA92" s="1354"/>
      <c r="CF92" s="1354"/>
      <c r="CK92" s="1590">
        <f>-CK192</f>
        <v>8.3190789473684212</v>
      </c>
      <c r="CL92" s="1589">
        <f>CP92/4</f>
        <v>1.3865131578947367</v>
      </c>
      <c r="CM92" s="1589">
        <f>CL92</f>
        <v>1.3865131578947367</v>
      </c>
      <c r="CN92" s="2124">
        <f>CM92</f>
        <v>1.3865131578947367</v>
      </c>
      <c r="CO92" s="2124">
        <f>CP92-SUM(CL92:CN92)</f>
        <v>1.3865131578947363</v>
      </c>
      <c r="CP92" s="2234">
        <f>-CP192</f>
        <v>5.5460526315789469</v>
      </c>
      <c r="CQ92" s="2300">
        <f>CU92/4</f>
        <v>0</v>
      </c>
      <c r="CR92" s="2300">
        <f>CQ92</f>
        <v>0</v>
      </c>
      <c r="CS92" s="2300">
        <f>CR92</f>
        <v>0</v>
      </c>
      <c r="CT92" s="1937">
        <f>CU92-SUM(CQ92:CS92)</f>
        <v>0</v>
      </c>
      <c r="CU92" s="2234">
        <f>-CU192</f>
        <v>0</v>
      </c>
      <c r="CV92" s="2300">
        <f>CZ92/4</f>
        <v>0</v>
      </c>
      <c r="CW92" s="2300">
        <f>CV92</f>
        <v>0</v>
      </c>
      <c r="CX92" s="2300">
        <f>CW92</f>
        <v>0</v>
      </c>
      <c r="CY92" s="1937">
        <f>CZ92-SUM(CV92:CX92)</f>
        <v>0</v>
      </c>
      <c r="CZ92" s="2234">
        <f>-CZ192</f>
        <v>0</v>
      </c>
      <c r="DA92" s="2234">
        <f>-DA192</f>
        <v>0</v>
      </c>
      <c r="DB92" s="2234">
        <f>-DB192</f>
        <v>0</v>
      </c>
      <c r="DC92" s="2234">
        <f>-DC192</f>
        <v>0</v>
      </c>
      <c r="DD92" s="308"/>
      <c r="DE92" s="1709"/>
    </row>
    <row r="93" spans="1:110" s="1178" customFormat="1" outlineLevel="1">
      <c r="A93" s="1182"/>
      <c r="B93" s="1182"/>
      <c r="C93" s="1191" t="s">
        <v>1214</v>
      </c>
      <c r="D93" s="1182"/>
      <c r="E93" s="1182"/>
      <c r="F93" s="1182"/>
      <c r="G93" s="1182"/>
      <c r="H93" s="1182"/>
      <c r="I93" s="1182"/>
      <c r="J93" s="1182"/>
      <c r="K93" s="1182"/>
      <c r="L93" s="1182"/>
      <c r="M93" s="1182"/>
      <c r="N93" s="1356"/>
      <c r="O93" s="1356"/>
      <c r="P93" s="1356"/>
      <c r="Q93" s="1356"/>
      <c r="R93" s="1356"/>
      <c r="S93" s="1356"/>
      <c r="T93" s="1356"/>
      <c r="U93" s="1356"/>
      <c r="V93" s="1356"/>
      <c r="W93" s="1356"/>
      <c r="X93" s="1356"/>
      <c r="Y93" s="1356"/>
      <c r="Z93" s="1356"/>
      <c r="AA93" s="1356"/>
      <c r="AB93" s="1356"/>
      <c r="AC93" s="1356"/>
      <c r="AD93" s="1356"/>
      <c r="AE93" s="1356"/>
      <c r="AF93" s="1356"/>
      <c r="AG93" s="1356"/>
      <c r="AH93" s="1356"/>
      <c r="AI93" s="1356"/>
      <c r="AJ93" s="1356"/>
      <c r="AK93" s="1356"/>
      <c r="AL93" s="1356"/>
      <c r="AM93" s="1356"/>
      <c r="AN93" s="1356"/>
      <c r="AO93" s="1356"/>
      <c r="AP93" s="1356"/>
      <c r="AQ93" s="1356"/>
      <c r="AR93" s="1356"/>
      <c r="AS93" s="1356"/>
      <c r="AT93" s="1356"/>
      <c r="AU93" s="1356"/>
      <c r="AV93" s="1356"/>
      <c r="AW93" s="1356"/>
      <c r="AX93" s="1356"/>
      <c r="AY93" s="1356"/>
      <c r="AZ93" s="1356"/>
      <c r="BA93" s="1356"/>
      <c r="BB93" s="1356"/>
      <c r="BC93" s="1356"/>
      <c r="BD93" s="1356"/>
      <c r="BE93" s="1356"/>
      <c r="BF93" s="1356"/>
      <c r="BG93" s="1356"/>
      <c r="BH93" s="1356"/>
      <c r="BI93" s="1356"/>
      <c r="BJ93" s="1356"/>
      <c r="BK93" s="1356"/>
      <c r="BL93" s="1356"/>
      <c r="BM93" s="1356"/>
      <c r="BN93" s="1356"/>
      <c r="BO93" s="1356"/>
      <c r="BP93" s="1356"/>
      <c r="BQ93" s="1658"/>
      <c r="BR93" s="1705"/>
      <c r="BS93" s="1705"/>
      <c r="BT93" s="1705"/>
      <c r="BU93" s="1705"/>
      <c r="BV93" s="1658"/>
      <c r="BW93" s="1705"/>
      <c r="BX93" s="1705"/>
      <c r="BY93" s="1705"/>
      <c r="BZ93" s="1705"/>
      <c r="CA93" s="1658"/>
      <c r="CB93" s="1662"/>
      <c r="CC93" s="1662"/>
      <c r="CD93" s="1662"/>
      <c r="CE93" s="1662"/>
      <c r="CF93" s="1658"/>
      <c r="CG93" s="1662"/>
      <c r="CH93" s="1662"/>
      <c r="CI93" s="1662"/>
      <c r="CJ93" s="1662"/>
      <c r="CK93" s="1590">
        <f>-CK153</f>
        <v>-16.39166666666668</v>
      </c>
      <c r="CL93" s="1589">
        <f>CL96-SUM(CL94:CL95,CL92)</f>
        <v>-24.410197665896689</v>
      </c>
      <c r="CM93" s="2124">
        <f>CM96-SUM(CM94:CM95,CM92)</f>
        <v>-33.2451602418978</v>
      </c>
      <c r="CN93" s="2124">
        <f>CN96-SUM(CN94:CN95,CN92)</f>
        <v>34.938673962099699</v>
      </c>
      <c r="CO93" s="2124">
        <f>CP93-SUM(CL93:CN93)</f>
        <v>-34.706862225963796</v>
      </c>
      <c r="CP93" s="2234">
        <f>-CP153</f>
        <v>-57.423546171658586</v>
      </c>
      <c r="CQ93" s="2300">
        <f>-CQ153</f>
        <v>12.886182595546231</v>
      </c>
      <c r="CR93" s="2300">
        <f>-CR153</f>
        <v>-1.353307536032716</v>
      </c>
      <c r="CS93" s="2300">
        <f>-CS153</f>
        <v>54.190409569230447</v>
      </c>
      <c r="CT93" s="2300">
        <f t="shared" ref="CT93" si="51">-CT153</f>
        <v>48.269998385019917</v>
      </c>
      <c r="CU93" s="2234">
        <f>-CU153</f>
        <v>113.99328301376387</v>
      </c>
      <c r="CV93" s="2300">
        <f>CZ93/4</f>
        <v>43.397861842105272</v>
      </c>
      <c r="CW93" s="2300">
        <f>CV93</f>
        <v>43.397861842105272</v>
      </c>
      <c r="CX93" s="2300">
        <f>CW93</f>
        <v>43.397861842105272</v>
      </c>
      <c r="CY93" s="1937">
        <f>CZ93-SUM(CV93:CX93)</f>
        <v>43.397861842105272</v>
      </c>
      <c r="CZ93" s="2234">
        <f>-CZ153</f>
        <v>173.59144736842109</v>
      </c>
      <c r="DA93" s="2234">
        <f>-DA153</f>
        <v>2.9948684210526331</v>
      </c>
      <c r="DB93" s="2234">
        <f>-DB153</f>
        <v>0</v>
      </c>
      <c r="DC93" s="2234">
        <f>-DC153</f>
        <v>0</v>
      </c>
      <c r="DD93" s="308"/>
      <c r="DE93" s="1709"/>
    </row>
    <row r="94" spans="1:110" s="1178" customFormat="1" outlineLevel="1">
      <c r="A94" s="1182"/>
      <c r="B94" s="1182"/>
      <c r="C94" s="1191" t="s">
        <v>1213</v>
      </c>
      <c r="D94" s="1182"/>
      <c r="E94" s="1182"/>
      <c r="F94" s="1182"/>
      <c r="G94" s="1182"/>
      <c r="H94" s="1182"/>
      <c r="I94" s="1182"/>
      <c r="J94" s="1182"/>
      <c r="K94" s="1182"/>
      <c r="L94" s="1182"/>
      <c r="M94" s="1182"/>
      <c r="N94" s="1356"/>
      <c r="O94" s="1356"/>
      <c r="P94" s="1356"/>
      <c r="Q94" s="1356"/>
      <c r="R94" s="1356"/>
      <c r="S94" s="1356"/>
      <c r="T94" s="1356"/>
      <c r="U94" s="1356"/>
      <c r="V94" s="1356"/>
      <c r="W94" s="1356"/>
      <c r="X94" s="1356"/>
      <c r="Y94" s="1356"/>
      <c r="Z94" s="1356"/>
      <c r="AA94" s="1356"/>
      <c r="AB94" s="1356"/>
      <c r="AC94" s="1356"/>
      <c r="AD94" s="1356"/>
      <c r="AE94" s="1356"/>
      <c r="AF94" s="1356"/>
      <c r="AG94" s="1356"/>
      <c r="AH94" s="1356"/>
      <c r="AI94" s="1356"/>
      <c r="AJ94" s="1356"/>
      <c r="AK94" s="1356"/>
      <c r="AL94" s="1356"/>
      <c r="AM94" s="1356"/>
      <c r="AN94" s="1356"/>
      <c r="AO94" s="1356"/>
      <c r="AP94" s="1356"/>
      <c r="AQ94" s="1356"/>
      <c r="AR94" s="1356"/>
      <c r="AS94" s="1356"/>
      <c r="AT94" s="1356"/>
      <c r="AU94" s="1356"/>
      <c r="AV94" s="1356"/>
      <c r="AW94" s="1356"/>
      <c r="AX94" s="1356"/>
      <c r="AY94" s="1356"/>
      <c r="AZ94" s="1356"/>
      <c r="BA94" s="1356"/>
      <c r="BB94" s="1356"/>
      <c r="BC94" s="1356"/>
      <c r="BD94" s="1356"/>
      <c r="BE94" s="1356"/>
      <c r="BF94" s="1356"/>
      <c r="BG94" s="1356"/>
      <c r="BH94" s="1356"/>
      <c r="BI94" s="1356"/>
      <c r="BJ94" s="1356"/>
      <c r="BK94" s="1356"/>
      <c r="BL94" s="1356"/>
      <c r="BM94" s="1356"/>
      <c r="BN94" s="1356"/>
      <c r="BO94" s="1356"/>
      <c r="BP94" s="1356"/>
      <c r="BQ94" s="1658"/>
      <c r="BR94" s="1705"/>
      <c r="BS94" s="1705"/>
      <c r="BT94" s="1705"/>
      <c r="BU94" s="1705"/>
      <c r="BV94" s="1658"/>
      <c r="BW94" s="1705"/>
      <c r="BX94" s="1705"/>
      <c r="BY94" s="1705"/>
      <c r="BZ94" s="1705"/>
      <c r="CA94" s="1658"/>
      <c r="CB94" s="1662"/>
      <c r="CC94" s="1662"/>
      <c r="CD94" s="1662"/>
      <c r="CE94" s="1662"/>
      <c r="CF94" s="1658"/>
      <c r="CG94" s="1662"/>
      <c r="CH94" s="1662"/>
      <c r="CI94" s="1662"/>
      <c r="CJ94" s="1662"/>
      <c r="CK94" s="1590">
        <f>-CK176</f>
        <v>-53.690000000000005</v>
      </c>
      <c r="CL94" s="1589">
        <f>$CP$94*CL165/$CP$165</f>
        <v>-16.476315491998054</v>
      </c>
      <c r="CM94" s="1589">
        <f>$CP$94*CM165/$CP$165</f>
        <v>-25.89135291599694</v>
      </c>
      <c r="CN94" s="2124">
        <f>$CP$94*CN165/$CP$165</f>
        <v>-47.075187119994432</v>
      </c>
      <c r="CO94" s="2124">
        <f>$CP$94*CO165/$CP$165</f>
        <v>-72.966540035991372</v>
      </c>
      <c r="CP94" s="2234">
        <f>CK176-CP176</f>
        <v>-162.40939556398081</v>
      </c>
      <c r="CQ94" s="2124">
        <f>-CQ177</f>
        <v>-74.050226712196178</v>
      </c>
      <c r="CR94" s="2124">
        <f t="shared" ref="CR94:CT94" si="52">-CR177</f>
        <v>-53.2964380516473</v>
      </c>
      <c r="CS94" s="2124">
        <f>-CS177</f>
        <v>-101.88824340810663</v>
      </c>
      <c r="CT94" s="2124">
        <f t="shared" si="52"/>
        <v>-68.808663041196525</v>
      </c>
      <c r="CU94" s="2234">
        <f>CP176-CU176</f>
        <v>-298.04357121314661</v>
      </c>
      <c r="CV94" s="2124">
        <f>CZ94/4</f>
        <v>-81.966377061037605</v>
      </c>
      <c r="CW94" s="2124">
        <f>CV94</f>
        <v>-81.966377061037605</v>
      </c>
      <c r="CX94" s="2124">
        <f>(CZ94-CW94-CV94)/2</f>
        <v>-81.966377061037605</v>
      </c>
      <c r="CY94" s="2124">
        <f>CX94</f>
        <v>-81.966377061037605</v>
      </c>
      <c r="CZ94" s="2234">
        <f>CU176-CZ176</f>
        <v>-327.86550824415042</v>
      </c>
      <c r="DA94" s="2234">
        <f>CZ176-DA176</f>
        <v>158.79517534216063</v>
      </c>
      <c r="DB94" s="2234">
        <f>DA176-DB176</f>
        <v>-18.760639842004593</v>
      </c>
      <c r="DC94" s="2234">
        <f>DB176-DC176</f>
        <v>36.933939521121715</v>
      </c>
      <c r="DD94" s="308"/>
      <c r="DE94" s="1709"/>
    </row>
    <row r="95" spans="1:110" s="1178" customFormat="1" outlineLevel="1">
      <c r="A95" s="1182"/>
      <c r="B95" s="1182"/>
      <c r="C95" s="1191" t="s">
        <v>1212</v>
      </c>
      <c r="D95" s="1182"/>
      <c r="E95" s="1182"/>
      <c r="F95" s="1182"/>
      <c r="G95" s="1182"/>
      <c r="H95" s="1182"/>
      <c r="I95" s="1182"/>
      <c r="J95" s="1182"/>
      <c r="K95" s="1182"/>
      <c r="L95" s="1182"/>
      <c r="M95" s="1182"/>
      <c r="N95" s="1356"/>
      <c r="O95" s="1356"/>
      <c r="P95" s="1356"/>
      <c r="Q95" s="1356"/>
      <c r="R95" s="1356"/>
      <c r="S95" s="1356"/>
      <c r="T95" s="1356"/>
      <c r="U95" s="1356"/>
      <c r="V95" s="1356"/>
      <c r="W95" s="1356"/>
      <c r="X95" s="1356"/>
      <c r="Y95" s="1356"/>
      <c r="Z95" s="1356"/>
      <c r="AA95" s="1356"/>
      <c r="AB95" s="1356"/>
      <c r="AC95" s="1356"/>
      <c r="AD95" s="1356"/>
      <c r="AE95" s="1356"/>
      <c r="AF95" s="1356"/>
      <c r="AG95" s="1356"/>
      <c r="AH95" s="1356"/>
      <c r="AI95" s="1356"/>
      <c r="AJ95" s="1356"/>
      <c r="AK95" s="1356"/>
      <c r="AL95" s="1356"/>
      <c r="AM95" s="1356"/>
      <c r="AN95" s="1356"/>
      <c r="AO95" s="1356"/>
      <c r="AP95" s="1356"/>
      <c r="AQ95" s="1356"/>
      <c r="AR95" s="1356"/>
      <c r="AS95" s="1356"/>
      <c r="AT95" s="1356"/>
      <c r="AU95" s="1356"/>
      <c r="AV95" s="1356"/>
      <c r="AW95" s="1356"/>
      <c r="AX95" s="1356"/>
      <c r="AY95" s="1356"/>
      <c r="AZ95" s="1356"/>
      <c r="BA95" s="1356"/>
      <c r="BB95" s="1356"/>
      <c r="BC95" s="1356"/>
      <c r="BD95" s="1356"/>
      <c r="BE95" s="1356"/>
      <c r="BF95" s="1356"/>
      <c r="BG95" s="1356"/>
      <c r="BH95" s="1356"/>
      <c r="BI95" s="1356"/>
      <c r="BJ95" s="1356"/>
      <c r="BK95" s="1356"/>
      <c r="BL95" s="1356"/>
      <c r="BM95" s="1356"/>
      <c r="BN95" s="1356"/>
      <c r="BO95" s="1356"/>
      <c r="BP95" s="1356"/>
      <c r="BQ95" s="1658"/>
      <c r="BR95" s="1705"/>
      <c r="BS95" s="1705"/>
      <c r="BT95" s="1705"/>
      <c r="BU95" s="1705"/>
      <c r="BV95" s="1658"/>
      <c r="BW95" s="1705"/>
      <c r="BX95" s="1705"/>
      <c r="BY95" s="1705"/>
      <c r="BZ95" s="1705"/>
      <c r="CA95" s="1658"/>
      <c r="CB95" s="1662"/>
      <c r="CC95" s="1662"/>
      <c r="CD95" s="1662"/>
      <c r="CE95" s="1662"/>
      <c r="CF95" s="1658"/>
      <c r="CG95" s="1662"/>
      <c r="CH95" s="1662"/>
      <c r="CI95" s="1662"/>
      <c r="CJ95" s="1662"/>
      <c r="CK95" s="1663">
        <f>CK160-CF160</f>
        <v>-19</v>
      </c>
      <c r="CL95" s="1939">
        <f>CP95/4</f>
        <v>-29.25</v>
      </c>
      <c r="CM95" s="1939">
        <f>CL95</f>
        <v>-29.25</v>
      </c>
      <c r="CN95" s="2301">
        <f>CM95</f>
        <v>-29.25</v>
      </c>
      <c r="CO95" s="1938">
        <f>CP95-SUM(CL95:CN95)</f>
        <v>-29.25</v>
      </c>
      <c r="CP95" s="1663">
        <f>CP160</f>
        <v>-117</v>
      </c>
      <c r="CQ95" s="2301">
        <f>CU95/4</f>
        <v>-14.625</v>
      </c>
      <c r="CR95" s="2301">
        <f>CQ95</f>
        <v>-14.625</v>
      </c>
      <c r="CS95" s="2301">
        <f>CR95</f>
        <v>-14.625</v>
      </c>
      <c r="CT95" s="1938">
        <f>CU95-SUM(CQ95:CS95)</f>
        <v>-14.625</v>
      </c>
      <c r="CU95" s="1663">
        <f>CU160-CP160</f>
        <v>-58.5</v>
      </c>
      <c r="CV95" s="2301">
        <f>CZ95/4</f>
        <v>-10.96875</v>
      </c>
      <c r="CW95" s="2301">
        <f>CV95</f>
        <v>-10.96875</v>
      </c>
      <c r="CX95" s="2301">
        <f>CW95</f>
        <v>-10.96875</v>
      </c>
      <c r="CY95" s="1938">
        <f>CZ95-SUM(CV95:CX95)</f>
        <v>-10.96875</v>
      </c>
      <c r="CZ95" s="1663">
        <f>CZ160-CU160</f>
        <v>-43.875</v>
      </c>
      <c r="DA95" s="1663">
        <f>DA160-CZ160</f>
        <v>-21.937500000000028</v>
      </c>
      <c r="DB95" s="1663">
        <f t="shared" ref="DB95:DC95" si="53">DB160-DA160</f>
        <v>-24.131250000000051</v>
      </c>
      <c r="DC95" s="1663">
        <f t="shared" si="53"/>
        <v>-26.544375000000059</v>
      </c>
      <c r="DD95" s="308"/>
      <c r="DE95" s="1709"/>
    </row>
    <row r="96" spans="1:110" s="1178" customFormat="1" outlineLevel="1">
      <c r="A96" s="1182"/>
      <c r="B96" s="1182"/>
      <c r="C96" s="1191" t="s">
        <v>1211</v>
      </c>
      <c r="D96" s="1182"/>
      <c r="E96" s="1182"/>
      <c r="F96" s="1182"/>
      <c r="G96" s="1182"/>
      <c r="H96" s="1182"/>
      <c r="I96" s="1182"/>
      <c r="J96" s="1182"/>
      <c r="K96" s="1182"/>
      <c r="L96" s="1182"/>
      <c r="M96" s="1182"/>
      <c r="N96" s="1356"/>
      <c r="O96" s="1356"/>
      <c r="P96" s="1356"/>
      <c r="Q96" s="1356"/>
      <c r="R96" s="1356"/>
      <c r="S96" s="1356"/>
      <c r="T96" s="1356"/>
      <c r="U96" s="1356"/>
      <c r="V96" s="1356"/>
      <c r="W96" s="1356"/>
      <c r="X96" s="1356"/>
      <c r="Y96" s="1356"/>
      <c r="Z96" s="1356"/>
      <c r="AA96" s="1356"/>
      <c r="AB96" s="1356"/>
      <c r="AC96" s="1356"/>
      <c r="AD96" s="1356"/>
      <c r="AE96" s="1356"/>
      <c r="AF96" s="1356"/>
      <c r="AG96" s="1356"/>
      <c r="AH96" s="1356"/>
      <c r="AI96" s="1356"/>
      <c r="AJ96" s="1356"/>
      <c r="AK96" s="1356"/>
      <c r="AL96" s="1356"/>
      <c r="AM96" s="1356"/>
      <c r="AN96" s="1356"/>
      <c r="AO96" s="1356"/>
      <c r="AP96" s="1356"/>
      <c r="AQ96" s="1356"/>
      <c r="AR96" s="1356"/>
      <c r="AS96" s="1356"/>
      <c r="AT96" s="1356"/>
      <c r="AU96" s="1356"/>
      <c r="AV96" s="1356"/>
      <c r="AW96" s="1356"/>
      <c r="AX96" s="1356"/>
      <c r="AY96" s="1356"/>
      <c r="AZ96" s="1356"/>
      <c r="BA96" s="1356"/>
      <c r="BB96" s="1356"/>
      <c r="BC96" s="1356"/>
      <c r="BD96" s="1356"/>
      <c r="BE96" s="1356"/>
      <c r="BF96" s="1356"/>
      <c r="BG96" s="1356"/>
      <c r="BH96" s="1356"/>
      <c r="BI96" s="1356"/>
      <c r="BJ96" s="1356"/>
      <c r="BK96" s="1356"/>
      <c r="BL96" s="1356"/>
      <c r="BM96" s="1356"/>
      <c r="BN96" s="1356"/>
      <c r="BO96" s="1356"/>
      <c r="BP96" s="1356"/>
      <c r="BQ96" s="1658"/>
      <c r="BR96" s="1705"/>
      <c r="BS96" s="1705"/>
      <c r="BT96" s="1705"/>
      <c r="BU96" s="1705"/>
      <c r="BV96" s="1658"/>
      <c r="BW96" s="1705"/>
      <c r="BX96" s="1705"/>
      <c r="BY96" s="1705"/>
      <c r="BZ96" s="1705"/>
      <c r="CA96" s="1658"/>
      <c r="CB96" s="1662"/>
      <c r="CC96" s="1662"/>
      <c r="CD96" s="1662"/>
      <c r="CE96" s="1662"/>
      <c r="CF96" s="1658"/>
      <c r="CG96" s="1662"/>
      <c r="CH96" s="1662"/>
      <c r="CI96" s="1662"/>
      <c r="CJ96" s="1711"/>
      <c r="CK96" s="1710">
        <f>SUM(CK92:CK95)</f>
        <v>-80.762587719298267</v>
      </c>
      <c r="CL96" s="2097">
        <f>CL107-CL97-SUM(CL100:CL106)</f>
        <v>-68.75</v>
      </c>
      <c r="CM96" s="1589">
        <f>CM107-CM97-SUM(CM100:CM106)-CM98</f>
        <v>-87</v>
      </c>
      <c r="CN96" s="2124">
        <f>-80-CN98</f>
        <v>-40</v>
      </c>
      <c r="CO96" s="1589">
        <f t="shared" ref="CO96:DA96" si="54">SUM(CO92:CO95)</f>
        <v>-135.53688910406044</v>
      </c>
      <c r="CP96" s="2226">
        <f t="shared" si="54"/>
        <v>-331.28688910406044</v>
      </c>
      <c r="CQ96" s="1662">
        <f>SUM(CQ92:CQ95)</f>
        <v>-75.789044116649947</v>
      </c>
      <c r="CR96" s="1589">
        <f t="shared" si="54"/>
        <v>-69.274745587680016</v>
      </c>
      <c r="CS96" s="1589">
        <f t="shared" si="54"/>
        <v>-62.322833838876186</v>
      </c>
      <c r="CT96" s="1589">
        <f t="shared" si="54"/>
        <v>-35.163664656176607</v>
      </c>
      <c r="CU96" s="2244">
        <f t="shared" si="54"/>
        <v>-242.55028819938275</v>
      </c>
      <c r="CV96" s="2124">
        <f>SUM(CV92:CV95)</f>
        <v>-49.537265218932333</v>
      </c>
      <c r="CW96" s="2124">
        <f>SUM(CW92:CW95)</f>
        <v>-49.537265218932333</v>
      </c>
      <c r="CX96" s="2124">
        <f>SUM(CX92:CX95)</f>
        <v>-49.537265218932333</v>
      </c>
      <c r="CY96" s="2124">
        <f>SUM(CY92:CY95)</f>
        <v>-49.537265218932333</v>
      </c>
      <c r="CZ96" s="1710">
        <f>SUM(CZ92:CZ95)</f>
        <v>-198.14906087572933</v>
      </c>
      <c r="DA96" s="1710">
        <f t="shared" si="54"/>
        <v>139.85254376321325</v>
      </c>
      <c r="DB96" s="1710">
        <f>SUM(DB92:DB95)</f>
        <v>-42.891889842004645</v>
      </c>
      <c r="DC96" s="1710">
        <f>SUM(DC92:DC95)</f>
        <v>10.389564521121656</v>
      </c>
      <c r="DD96" s="308"/>
      <c r="DE96" s="1709"/>
    </row>
    <row r="97" spans="1:109" s="1178" customFormat="1" outlineLevel="1">
      <c r="A97" s="1182"/>
      <c r="B97" s="1182"/>
      <c r="C97" s="1191" t="s">
        <v>1210</v>
      </c>
      <c r="D97" s="1182"/>
      <c r="E97" s="1182"/>
      <c r="F97" s="1182"/>
      <c r="G97" s="1182"/>
      <c r="H97" s="1182"/>
      <c r="I97" s="1182"/>
      <c r="J97" s="1182"/>
      <c r="K97" s="1182"/>
      <c r="L97" s="1182"/>
      <c r="M97" s="1182"/>
      <c r="N97" s="1356"/>
      <c r="O97" s="1356"/>
      <c r="P97" s="1356"/>
      <c r="Q97" s="1356"/>
      <c r="R97" s="1356"/>
      <c r="S97" s="1356"/>
      <c r="T97" s="1356"/>
      <c r="U97" s="1356"/>
      <c r="V97" s="1356"/>
      <c r="W97" s="1356"/>
      <c r="X97" s="1356"/>
      <c r="Y97" s="1356"/>
      <c r="Z97" s="1356"/>
      <c r="AA97" s="1356"/>
      <c r="AB97" s="1356"/>
      <c r="AC97" s="1356"/>
      <c r="AD97" s="1356"/>
      <c r="AE97" s="1356"/>
      <c r="AF97" s="1356"/>
      <c r="AG97" s="1356"/>
      <c r="AH97" s="1356"/>
      <c r="AI97" s="1356"/>
      <c r="AJ97" s="1356"/>
      <c r="AK97" s="1356"/>
      <c r="AL97" s="1356"/>
      <c r="AM97" s="1356"/>
      <c r="AN97" s="1356"/>
      <c r="AO97" s="1356"/>
      <c r="AP97" s="1356"/>
      <c r="AQ97" s="1356"/>
      <c r="AR97" s="1356"/>
      <c r="AS97" s="1356"/>
      <c r="AT97" s="1356"/>
      <c r="AU97" s="1356"/>
      <c r="AV97" s="1356"/>
      <c r="AW97" s="1356"/>
      <c r="AX97" s="1356"/>
      <c r="AY97" s="1356"/>
      <c r="AZ97" s="1356"/>
      <c r="BA97" s="1356"/>
      <c r="BB97" s="1356"/>
      <c r="BC97" s="1356"/>
      <c r="BD97" s="1356"/>
      <c r="BE97" s="1356"/>
      <c r="BF97" s="1356"/>
      <c r="BG97" s="1356"/>
      <c r="BH97" s="1356"/>
      <c r="BI97" s="1356"/>
      <c r="BJ97" s="1356"/>
      <c r="BK97" s="1356"/>
      <c r="BL97" s="1356"/>
      <c r="BM97" s="1356"/>
      <c r="BN97" s="1356"/>
      <c r="BO97" s="1356"/>
      <c r="BP97" s="1356"/>
      <c r="BQ97" s="1658"/>
      <c r="BR97" s="1705"/>
      <c r="BS97" s="1705"/>
      <c r="BT97" s="1705"/>
      <c r="BU97" s="1705"/>
      <c r="BV97" s="1658"/>
      <c r="BW97" s="1705"/>
      <c r="BX97" s="1705"/>
      <c r="BY97" s="1705"/>
      <c r="BZ97" s="1705"/>
      <c r="CA97" s="1658"/>
      <c r="CB97" s="1662"/>
      <c r="CC97" s="1662"/>
      <c r="CD97" s="1662"/>
      <c r="CE97" s="1662"/>
      <c r="CF97" s="1658"/>
      <c r="CG97" s="1662"/>
      <c r="CH97" s="1662"/>
      <c r="CI97" s="1662"/>
      <c r="CJ97" s="1662"/>
      <c r="CK97" s="1179">
        <f>'Divisional Summary'!CH210</f>
        <v>-100</v>
      </c>
      <c r="CL97" s="2097">
        <f>CP97/4</f>
        <v>43.75</v>
      </c>
      <c r="CM97" s="2097">
        <f>CL97</f>
        <v>43.75</v>
      </c>
      <c r="CN97" s="1589">
        <f>CM97</f>
        <v>43.75</v>
      </c>
      <c r="CO97" s="1589">
        <f>CP97-SUM(CL97:CN97)</f>
        <v>43.75</v>
      </c>
      <c r="CP97" s="2227">
        <f>'Divisional Summary'!CL210</f>
        <v>175</v>
      </c>
      <c r="CQ97" s="1589">
        <f>CU97/4</f>
        <v>8.75</v>
      </c>
      <c r="CR97" s="1589">
        <f>CQ97</f>
        <v>8.75</v>
      </c>
      <c r="CS97" s="1589">
        <f>CR97</f>
        <v>8.75</v>
      </c>
      <c r="CT97" s="1589">
        <f>CU97-SUM(CQ97:CS97)</f>
        <v>8.75</v>
      </c>
      <c r="CU97" s="2259">
        <f>'Divisional Summary'!CQ210</f>
        <v>35</v>
      </c>
      <c r="CV97" s="2124">
        <f>CZ97/4</f>
        <v>12.03125</v>
      </c>
      <c r="CW97" s="2124">
        <f>CV97</f>
        <v>12.03125</v>
      </c>
      <c r="CX97" s="2124">
        <f>CW97</f>
        <v>12.03125</v>
      </c>
      <c r="CY97" s="2124">
        <f>CZ97-SUM(CV97:CX97)</f>
        <v>12.03125</v>
      </c>
      <c r="CZ97" s="2322">
        <f>'Divisional Summary'!CV210</f>
        <v>48.125</v>
      </c>
      <c r="DA97" s="1708">
        <v>0</v>
      </c>
      <c r="DB97" s="1708">
        <v>0</v>
      </c>
      <c r="DC97" s="1708">
        <v>0</v>
      </c>
      <c r="DD97" s="1858"/>
      <c r="DE97" s="1709"/>
    </row>
    <row r="98" spans="1:109">
      <c r="C98" s="1191" t="s">
        <v>1425</v>
      </c>
      <c r="BQ98" s="1354"/>
      <c r="BV98" s="1354"/>
      <c r="CA98" s="1354"/>
      <c r="CF98" s="1354"/>
      <c r="CK98" s="1179"/>
      <c r="CM98" s="1166">
        <f>-50-CM103</f>
        <v>-38</v>
      </c>
      <c r="CN98" s="2261">
        <v>-40</v>
      </c>
      <c r="CO98" s="2261">
        <v>-35</v>
      </c>
      <c r="CP98" s="2232">
        <f>SUM(CL98:CO98)</f>
        <v>-113</v>
      </c>
      <c r="CQ98" s="2097">
        <f>CQ99-CQ97-CQ96</f>
        <v>49.924505842172216</v>
      </c>
      <c r="CR98" s="2256">
        <f>CR99-CR97-CR96</f>
        <v>-7.4564593534643819</v>
      </c>
      <c r="CS98" s="2256">
        <f>CS99-CS97-CS96</f>
        <v>8.5916288977317876</v>
      </c>
      <c r="CT98" s="2256">
        <v>-55</v>
      </c>
      <c r="CU98" s="2260">
        <f>SUM(CQ98:CT98)</f>
        <v>-3.940324613560378</v>
      </c>
      <c r="CV98" s="2256">
        <f>CZ98/4</f>
        <v>-12.5</v>
      </c>
      <c r="CW98" s="2256">
        <f>CV98</f>
        <v>-12.5</v>
      </c>
      <c r="CX98" s="2256">
        <f>CW98</f>
        <v>-12.5</v>
      </c>
      <c r="CY98" s="2256">
        <f>CX98</f>
        <v>-12.5</v>
      </c>
      <c r="CZ98" s="1708">
        <v>-50</v>
      </c>
      <c r="DA98" s="1708"/>
      <c r="DB98" s="1708"/>
      <c r="DC98" s="1708"/>
      <c r="DD98" s="1858"/>
    </row>
    <row r="99" spans="1:109" s="1234" customFormat="1" ht="11.25" outlineLevel="1">
      <c r="A99" s="1182"/>
      <c r="B99" s="1182"/>
      <c r="C99" s="1182" t="s">
        <v>1209</v>
      </c>
      <c r="D99" s="1182"/>
      <c r="E99" s="1182"/>
      <c r="F99" s="1182"/>
      <c r="G99" s="1182"/>
      <c r="H99" s="1182"/>
      <c r="I99" s="1182"/>
      <c r="J99" s="1182"/>
      <c r="K99" s="1182"/>
      <c r="L99" s="1182"/>
      <c r="M99" s="1182"/>
      <c r="N99" s="1356"/>
      <c r="O99" s="1356"/>
      <c r="P99" s="1356"/>
      <c r="Q99" s="1356"/>
      <c r="R99" s="1356"/>
      <c r="S99" s="1356"/>
      <c r="T99" s="1356"/>
      <c r="U99" s="1356"/>
      <c r="V99" s="1356"/>
      <c r="W99" s="1356"/>
      <c r="X99" s="1356"/>
      <c r="Y99" s="1356"/>
      <c r="Z99" s="1356"/>
      <c r="AA99" s="1356"/>
      <c r="AB99" s="1356"/>
      <c r="AC99" s="1356"/>
      <c r="AD99" s="1356"/>
      <c r="AE99" s="1356"/>
      <c r="AF99" s="1356"/>
      <c r="AG99" s="1356"/>
      <c r="AH99" s="1356"/>
      <c r="AI99" s="1356"/>
      <c r="AJ99" s="1356"/>
      <c r="AK99" s="1356"/>
      <c r="AL99" s="1356"/>
      <c r="AM99" s="1356"/>
      <c r="AN99" s="1356"/>
      <c r="AO99" s="1356"/>
      <c r="AP99" s="1356"/>
      <c r="AQ99" s="1356"/>
      <c r="AR99" s="1356"/>
      <c r="AS99" s="1356"/>
      <c r="AT99" s="1356"/>
      <c r="AU99" s="1356"/>
      <c r="AV99" s="1356"/>
      <c r="AW99" s="1356"/>
      <c r="AX99" s="1356"/>
      <c r="AY99" s="1356"/>
      <c r="AZ99" s="1356"/>
      <c r="BA99" s="1356"/>
      <c r="BB99" s="1356"/>
      <c r="BC99" s="1356"/>
      <c r="BD99" s="1356"/>
      <c r="BE99" s="1356"/>
      <c r="BF99" s="1356"/>
      <c r="BG99" s="1356"/>
      <c r="BH99" s="1356"/>
      <c r="BI99" s="1356"/>
      <c r="BJ99" s="1356"/>
      <c r="BK99" s="1356"/>
      <c r="BL99" s="1356"/>
      <c r="BM99" s="1356"/>
      <c r="BN99" s="1356"/>
      <c r="BO99" s="1356"/>
      <c r="BP99" s="1356"/>
      <c r="BQ99" s="1658"/>
      <c r="BR99" s="1705"/>
      <c r="BS99" s="1705"/>
      <c r="BT99" s="1705"/>
      <c r="BU99" s="1705"/>
      <c r="BV99" s="1658"/>
      <c r="BW99" s="1705"/>
      <c r="BX99" s="1705"/>
      <c r="BY99" s="1705"/>
      <c r="BZ99" s="1705"/>
      <c r="CA99" s="1658"/>
      <c r="CB99" s="1662"/>
      <c r="CC99" s="1662"/>
      <c r="CD99" s="1662"/>
      <c r="CE99" s="1662"/>
      <c r="CF99" s="1658"/>
      <c r="CG99" s="1662"/>
      <c r="CH99" s="1662"/>
      <c r="CI99" s="1662"/>
      <c r="CJ99" s="1662"/>
      <c r="CK99" s="1658">
        <f t="shared" ref="CK99:CU99" si="55">SUM(CK96:CK98)</f>
        <v>-180.76258771929827</v>
      </c>
      <c r="CL99" s="1940">
        <f t="shared" si="55"/>
        <v>-25</v>
      </c>
      <c r="CM99" s="1940">
        <f t="shared" si="55"/>
        <v>-81.25</v>
      </c>
      <c r="CN99" s="1940">
        <f t="shared" si="55"/>
        <v>-36.25</v>
      </c>
      <c r="CO99" s="1940">
        <f t="shared" si="55"/>
        <v>-126.78688910406044</v>
      </c>
      <c r="CP99" s="2228">
        <f t="shared" si="55"/>
        <v>-269.28688910406044</v>
      </c>
      <c r="CQ99" s="2294">
        <f>CQ107-SUM(CQ100:CQ106)</f>
        <v>-17.114538274477731</v>
      </c>
      <c r="CR99" s="2294">
        <f>CR107-SUM(CR100:CR106)</f>
        <v>-67.981204941144398</v>
      </c>
      <c r="CS99" s="2294">
        <f>CS107-SUM(CS100:CS106)</f>
        <v>-44.981204941144398</v>
      </c>
      <c r="CT99" s="2294">
        <f t="shared" si="55"/>
        <v>-81.413664656176607</v>
      </c>
      <c r="CU99" s="1658">
        <f t="shared" si="55"/>
        <v>-211.49061281294314</v>
      </c>
      <c r="CV99" s="1940">
        <f t="shared" ref="CV99:DC99" si="56">SUM(CV96:CV98)</f>
        <v>-50.006015218932333</v>
      </c>
      <c r="CW99" s="1940">
        <f t="shared" si="56"/>
        <v>-50.006015218932333</v>
      </c>
      <c r="CX99" s="1940">
        <f t="shared" si="56"/>
        <v>-50.006015218932333</v>
      </c>
      <c r="CY99" s="1940">
        <f t="shared" si="56"/>
        <v>-50.006015218932333</v>
      </c>
      <c r="CZ99" s="1658">
        <f t="shared" si="56"/>
        <v>-200.02406087572933</v>
      </c>
      <c r="DA99" s="1658">
        <f t="shared" si="56"/>
        <v>139.85254376321325</v>
      </c>
      <c r="DB99" s="1658">
        <f t="shared" si="56"/>
        <v>-42.891889842004645</v>
      </c>
      <c r="DC99" s="1658">
        <f t="shared" si="56"/>
        <v>10.389564521121656</v>
      </c>
      <c r="DD99" s="1705"/>
    </row>
    <row r="100" spans="1:109" s="1178" customFormat="1" ht="11.25" outlineLevel="1">
      <c r="A100" s="1182"/>
      <c r="B100" s="1182"/>
      <c r="C100" s="1191" t="s">
        <v>1208</v>
      </c>
      <c r="D100" s="1182"/>
      <c r="E100" s="1182"/>
      <c r="F100" s="1182"/>
      <c r="G100" s="1182"/>
      <c r="H100" s="1182"/>
      <c r="I100" s="1182"/>
      <c r="J100" s="1182"/>
      <c r="K100" s="1182"/>
      <c r="L100" s="1182"/>
      <c r="M100" s="1182"/>
      <c r="N100" s="1356"/>
      <c r="O100" s="1356"/>
      <c r="P100" s="1356"/>
      <c r="Q100" s="1356"/>
      <c r="R100" s="1356"/>
      <c r="S100" s="1356"/>
      <c r="T100" s="1356"/>
      <c r="U100" s="1356"/>
      <c r="V100" s="1356"/>
      <c r="W100" s="1356"/>
      <c r="X100" s="1356"/>
      <c r="Y100" s="1356"/>
      <c r="Z100" s="1356"/>
      <c r="AA100" s="1356"/>
      <c r="AB100" s="1356"/>
      <c r="AC100" s="1356"/>
      <c r="AD100" s="1356"/>
      <c r="AE100" s="1356"/>
      <c r="AF100" s="1356"/>
      <c r="AG100" s="1356"/>
      <c r="AH100" s="1356"/>
      <c r="AI100" s="1356"/>
      <c r="AJ100" s="1356"/>
      <c r="AK100" s="1356"/>
      <c r="AL100" s="1356"/>
      <c r="AM100" s="1356"/>
      <c r="AN100" s="1356"/>
      <c r="AO100" s="1356"/>
      <c r="AP100" s="1356"/>
      <c r="AQ100" s="1356"/>
      <c r="AR100" s="1356"/>
      <c r="AS100" s="1356"/>
      <c r="AT100" s="1356"/>
      <c r="AU100" s="1356"/>
      <c r="AV100" s="1356"/>
      <c r="AW100" s="1356"/>
      <c r="AX100" s="1356"/>
      <c r="AY100" s="1356"/>
      <c r="AZ100" s="1356"/>
      <c r="BA100" s="1356"/>
      <c r="BB100" s="1356"/>
      <c r="BC100" s="1356"/>
      <c r="BD100" s="1356"/>
      <c r="BE100" s="1356"/>
      <c r="BF100" s="1356"/>
      <c r="BG100" s="1356"/>
      <c r="BH100" s="1356"/>
      <c r="BI100" s="1356"/>
      <c r="BJ100" s="1356"/>
      <c r="BK100" s="1356"/>
      <c r="BL100" s="1356"/>
      <c r="BM100" s="1356"/>
      <c r="BN100" s="1356"/>
      <c r="BO100" s="1356"/>
      <c r="BP100" s="1356"/>
      <c r="BQ100" s="1658"/>
      <c r="BR100" s="1705"/>
      <c r="BS100" s="1705"/>
      <c r="BT100" s="1705"/>
      <c r="BU100" s="1705"/>
      <c r="BV100" s="1658"/>
      <c r="BW100" s="1705"/>
      <c r="BX100" s="1705"/>
      <c r="BY100" s="1705"/>
      <c r="BZ100" s="1705"/>
      <c r="CA100" s="1658"/>
      <c r="CB100" s="1662"/>
      <c r="CC100" s="1662"/>
      <c r="CD100" s="1662"/>
      <c r="CE100" s="1662"/>
      <c r="CF100" s="1658"/>
      <c r="CG100" s="1662"/>
      <c r="CH100" s="1662"/>
      <c r="CI100" s="1662"/>
      <c r="CJ100" s="1662"/>
      <c r="CK100" s="1590">
        <v>75</v>
      </c>
      <c r="CL100" s="2097">
        <v>-25</v>
      </c>
      <c r="CM100" s="1589">
        <v>-35</v>
      </c>
      <c r="CN100" s="1589">
        <v>-30</v>
      </c>
      <c r="CO100" s="1589">
        <f>CP100-SUM(CL100:CN100)</f>
        <v>32</v>
      </c>
      <c r="CP100" s="2226">
        <f>-'Divisional Summary'!CL186</f>
        <v>-58</v>
      </c>
      <c r="CQ100" s="1589">
        <f t="shared" ref="CQ100:CQ105" si="57">CU100/4</f>
        <v>-4.5332695863484105</v>
      </c>
      <c r="CR100" s="1589">
        <f t="shared" ref="CR100:CR105" si="58">CQ100</f>
        <v>-4.5332695863484105</v>
      </c>
      <c r="CS100" s="1589">
        <f>CR100</f>
        <v>-4.5332695863484105</v>
      </c>
      <c r="CT100" s="1589">
        <f>CS100</f>
        <v>-4.5332695863484105</v>
      </c>
      <c r="CU100" s="2243">
        <f>-'Divisional Summary'!CQ186</f>
        <v>-18.133078345393642</v>
      </c>
      <c r="CV100" s="2124">
        <f t="shared" ref="CV100:CV105" si="59">CZ100/4</f>
        <v>-4.3864941141949885</v>
      </c>
      <c r="CW100" s="2124">
        <f t="shared" ref="CW100:CW105" si="60">CV100</f>
        <v>-4.3864941141949885</v>
      </c>
      <c r="CX100" s="2124">
        <f>CW100</f>
        <v>-4.3864941141949885</v>
      </c>
      <c r="CY100" s="2124">
        <f>CX100</f>
        <v>-4.3864941141949885</v>
      </c>
      <c r="CZ100" s="1590">
        <f>-'Divisional Summary'!CV186</f>
        <v>-17.545976456779954</v>
      </c>
      <c r="DA100" s="2234">
        <f>-'Divisional Summary'!CW186</f>
        <v>119.82711019558656</v>
      </c>
      <c r="DB100" s="2234">
        <f>-'Divisional Summary'!CX186</f>
        <v>133.28193552493826</v>
      </c>
      <c r="DC100" s="2234">
        <f>-'Divisional Summary'!CY186</f>
        <v>-55.296103966233431</v>
      </c>
      <c r="DD100" s="308"/>
    </row>
    <row r="101" spans="1:109" s="1178" customFormat="1" ht="11.25" outlineLevel="1">
      <c r="A101" s="1191"/>
      <c r="B101" s="1191"/>
      <c r="C101" s="1191" t="s">
        <v>1204</v>
      </c>
      <c r="D101" s="1191"/>
      <c r="E101" s="1191"/>
      <c r="F101" s="1191"/>
      <c r="G101" s="1191"/>
      <c r="H101" s="1191"/>
      <c r="I101" s="1191"/>
      <c r="J101" s="1191"/>
      <c r="K101" s="1191"/>
      <c r="L101" s="1191"/>
      <c r="M101" s="1191"/>
      <c r="N101" s="1231"/>
      <c r="O101" s="1231"/>
      <c r="P101" s="1231"/>
      <c r="Q101" s="1231"/>
      <c r="R101" s="1231"/>
      <c r="S101" s="1231"/>
      <c r="T101" s="1231"/>
      <c r="U101" s="1231"/>
      <c r="V101" s="1231"/>
      <c r="W101" s="1231"/>
      <c r="X101" s="1231"/>
      <c r="Y101" s="1231"/>
      <c r="Z101" s="1231"/>
      <c r="AA101" s="1231"/>
      <c r="AB101" s="1231"/>
      <c r="AC101" s="1231"/>
      <c r="AD101" s="1231"/>
      <c r="AE101" s="1231"/>
      <c r="AF101" s="1231"/>
      <c r="AG101" s="1231"/>
      <c r="AH101" s="1231"/>
      <c r="AI101" s="1231"/>
      <c r="AJ101" s="1231"/>
      <c r="AK101" s="1231"/>
      <c r="AL101" s="1231"/>
      <c r="AM101" s="1231"/>
      <c r="AN101" s="1231"/>
      <c r="AO101" s="1231"/>
      <c r="AP101" s="1231"/>
      <c r="AQ101" s="1231"/>
      <c r="AR101" s="1231"/>
      <c r="AS101" s="1231"/>
      <c r="AT101" s="1231"/>
      <c r="AU101" s="1231"/>
      <c r="AV101" s="1231"/>
      <c r="AW101" s="1231"/>
      <c r="AX101" s="1231"/>
      <c r="AY101" s="1231"/>
      <c r="AZ101" s="1231"/>
      <c r="BA101" s="1231"/>
      <c r="BB101" s="1231"/>
      <c r="BC101" s="1231"/>
      <c r="BD101" s="1231"/>
      <c r="BE101" s="1231"/>
      <c r="BF101" s="1231"/>
      <c r="BG101" s="1231"/>
      <c r="BH101" s="1231"/>
      <c r="BI101" s="1231"/>
      <c r="BJ101" s="1231"/>
      <c r="BK101" s="1231"/>
      <c r="BL101" s="1231"/>
      <c r="BM101" s="1231"/>
      <c r="BN101" s="1231"/>
      <c r="BO101" s="1231"/>
      <c r="BP101" s="1231"/>
      <c r="BQ101" s="1590"/>
      <c r="BR101" s="308"/>
      <c r="BS101" s="308"/>
      <c r="BT101" s="308"/>
      <c r="BU101" s="308"/>
      <c r="BV101" s="1590"/>
      <c r="BW101" s="308"/>
      <c r="BX101" s="308"/>
      <c r="BY101" s="308"/>
      <c r="BZ101" s="308"/>
      <c r="CA101" s="1590"/>
      <c r="CB101" s="1589"/>
      <c r="CC101" s="1589"/>
      <c r="CD101" s="1589"/>
      <c r="CE101" s="1589"/>
      <c r="CF101" s="1590"/>
      <c r="CG101" s="1589"/>
      <c r="CH101" s="1589"/>
      <c r="CI101" s="1589"/>
      <c r="CJ101" s="1589"/>
      <c r="CK101" s="1590">
        <f>CK51*CF47*CK110</f>
        <v>45.221368500000004</v>
      </c>
      <c r="CL101" s="2097">
        <v>80</v>
      </c>
      <c r="CM101" s="2097">
        <v>120</v>
      </c>
      <c r="CN101" s="1589">
        <v>20</v>
      </c>
      <c r="CO101" s="2256">
        <f>CO51*CJ12*CG83*CO110</f>
        <v>-25.593333333333341</v>
      </c>
      <c r="CP101" s="2226">
        <f>SUM(CL101:CO101)</f>
        <v>194.40666666666667</v>
      </c>
      <c r="CQ101" s="1589">
        <v>30</v>
      </c>
      <c r="CR101" s="1589">
        <v>40</v>
      </c>
      <c r="CS101" s="1589">
        <v>60</v>
      </c>
      <c r="CT101" s="1589">
        <f>CU101-SUM(CQ101:CS101)</f>
        <v>27.426627727399847</v>
      </c>
      <c r="CU101" s="1590">
        <f>CU51*CP47*CU110</f>
        <v>157.42662772739985</v>
      </c>
      <c r="CV101" s="2124">
        <f t="shared" si="59"/>
        <v>22.984820415949219</v>
      </c>
      <c r="CW101" s="2124">
        <f t="shared" si="60"/>
        <v>22.984820415949219</v>
      </c>
      <c r="CX101" s="2124">
        <f>(CZ101-SUM(CV101:CW101))/2</f>
        <v>22.984820415949219</v>
      </c>
      <c r="CY101" s="2124">
        <f>CZ101-SUM(CV101:CX101)</f>
        <v>22.984820415949216</v>
      </c>
      <c r="CZ101" s="1590">
        <f>CZ51*CU47*CZ110</f>
        <v>91.939281663796876</v>
      </c>
      <c r="DA101" s="1590">
        <f>DA51*CZ47*DA110</f>
        <v>95.616852930348756</v>
      </c>
      <c r="DB101" s="2234">
        <f>DB51*DA47*DB110</f>
        <v>74.581145285672022</v>
      </c>
      <c r="DC101" s="2234">
        <f>DC51*DB47*DC110</f>
        <v>51.212386429494799</v>
      </c>
      <c r="DD101" s="308"/>
    </row>
    <row r="102" spans="1:109" s="1178" customFormat="1" ht="11.25" outlineLevel="1">
      <c r="A102" s="1182"/>
      <c r="B102" s="1182"/>
      <c r="C102" s="1191" t="s">
        <v>1157</v>
      </c>
      <c r="D102" s="1182"/>
      <c r="E102" s="1182"/>
      <c r="F102" s="1182"/>
      <c r="G102" s="1182"/>
      <c r="H102" s="1182"/>
      <c r="I102" s="1182"/>
      <c r="J102" s="1182"/>
      <c r="K102" s="1182"/>
      <c r="L102" s="1182"/>
      <c r="M102" s="1182"/>
      <c r="N102" s="1356"/>
      <c r="O102" s="1356"/>
      <c r="P102" s="1356"/>
      <c r="Q102" s="1356"/>
      <c r="R102" s="1356"/>
      <c r="S102" s="1356"/>
      <c r="T102" s="1356"/>
      <c r="U102" s="1356"/>
      <c r="V102" s="1356"/>
      <c r="W102" s="1356"/>
      <c r="X102" s="1356"/>
      <c r="Y102" s="1356"/>
      <c r="Z102" s="1356"/>
      <c r="AA102" s="1356"/>
      <c r="AB102" s="1356"/>
      <c r="AC102" s="1356"/>
      <c r="AD102" s="1356"/>
      <c r="AE102" s="1356"/>
      <c r="AF102" s="1356"/>
      <c r="AG102" s="1356"/>
      <c r="AH102" s="1356"/>
      <c r="AI102" s="1356"/>
      <c r="AJ102" s="1356"/>
      <c r="AK102" s="1356"/>
      <c r="AL102" s="1356"/>
      <c r="AM102" s="1356"/>
      <c r="AN102" s="1356"/>
      <c r="AO102" s="1356"/>
      <c r="AP102" s="1356"/>
      <c r="AQ102" s="1356"/>
      <c r="AR102" s="1356"/>
      <c r="AS102" s="1356"/>
      <c r="AT102" s="1356"/>
      <c r="AU102" s="1356"/>
      <c r="AV102" s="1356"/>
      <c r="AW102" s="1356"/>
      <c r="AX102" s="1356"/>
      <c r="AY102" s="1356"/>
      <c r="AZ102" s="1356"/>
      <c r="BA102" s="1356"/>
      <c r="BB102" s="1356"/>
      <c r="BC102" s="1356"/>
      <c r="BD102" s="1356"/>
      <c r="BE102" s="1356"/>
      <c r="BF102" s="1356"/>
      <c r="BG102" s="1356"/>
      <c r="BH102" s="1356"/>
      <c r="BI102" s="1356"/>
      <c r="BJ102" s="1356"/>
      <c r="BK102" s="1356"/>
      <c r="BL102" s="1356"/>
      <c r="BM102" s="1356"/>
      <c r="BN102" s="1356"/>
      <c r="BO102" s="1356"/>
      <c r="BP102" s="1356"/>
      <c r="BQ102" s="1658"/>
      <c r="BR102" s="1705"/>
      <c r="BS102" s="1705"/>
      <c r="BT102" s="1705"/>
      <c r="BU102" s="1705"/>
      <c r="BV102" s="1658"/>
      <c r="BW102" s="1705"/>
      <c r="BX102" s="1705"/>
      <c r="BY102" s="1705"/>
      <c r="BZ102" s="1705"/>
      <c r="CA102" s="1658"/>
      <c r="CB102" s="1662"/>
      <c r="CC102" s="1662"/>
      <c r="CD102" s="1662"/>
      <c r="CE102" s="1662"/>
      <c r="CF102" s="1658"/>
      <c r="CG102" s="1662"/>
      <c r="CH102" s="1662"/>
      <c r="CI102" s="1662"/>
      <c r="CJ102" s="1662"/>
      <c r="CK102" s="1590">
        <f>-150</f>
        <v>-150</v>
      </c>
      <c r="CL102" s="2093">
        <v>-50</v>
      </c>
      <c r="CM102" s="2093">
        <v>-40</v>
      </c>
      <c r="CN102" s="1937">
        <f>CN107-SUM(CN103,CN106,CN99:CN101)</f>
        <v>7.0875683887501424</v>
      </c>
      <c r="CO102" s="1589">
        <f>CP102-SUM(CL102:CN102)</f>
        <v>-68.327568388750151</v>
      </c>
      <c r="CP102" s="2226">
        <f>$CP$216</f>
        <v>-151.24</v>
      </c>
      <c r="CQ102" s="1937">
        <v>0</v>
      </c>
      <c r="CR102" s="1937">
        <f>CU102/3</f>
        <v>18.866666666666671</v>
      </c>
      <c r="CS102" s="1937">
        <f t="shared" ref="CS102:CT105" si="61">CR102</f>
        <v>18.866666666666671</v>
      </c>
      <c r="CT102" s="1937">
        <f t="shared" si="61"/>
        <v>18.866666666666671</v>
      </c>
      <c r="CU102" s="2243">
        <f>CU216</f>
        <v>56.600000000000009</v>
      </c>
      <c r="CV102" s="1937">
        <f t="shared" si="59"/>
        <v>11.243586953437479</v>
      </c>
      <c r="CW102" s="1937">
        <f t="shared" si="60"/>
        <v>11.243586953437479</v>
      </c>
      <c r="CX102" s="1937">
        <f t="shared" ref="CX102:CY106" si="62">CW102</f>
        <v>11.243586953437479</v>
      </c>
      <c r="CY102" s="1937">
        <f t="shared" si="62"/>
        <v>11.243586953437479</v>
      </c>
      <c r="CZ102" s="1590">
        <f>CZ216</f>
        <v>44.974347813749915</v>
      </c>
      <c r="DA102" s="1590">
        <f>DA216</f>
        <v>36.29157824816248</v>
      </c>
      <c r="DB102" s="2234">
        <f>DB216</f>
        <v>43.017625595607484</v>
      </c>
      <c r="DC102" s="2234">
        <f>DC216</f>
        <v>14.290101863475503</v>
      </c>
      <c r="DD102" s="308"/>
    </row>
    <row r="103" spans="1:109" s="2109" customFormat="1" ht="11.25" outlineLevel="1">
      <c r="A103" s="1191"/>
      <c r="B103" s="1191"/>
      <c r="C103" s="1191" t="s">
        <v>1203</v>
      </c>
      <c r="D103" s="1191"/>
      <c r="E103" s="1191"/>
      <c r="F103" s="1191"/>
      <c r="G103" s="1191"/>
      <c r="H103" s="1191"/>
      <c r="I103" s="1191"/>
      <c r="J103" s="1191"/>
      <c r="K103" s="1191"/>
      <c r="L103" s="1191"/>
      <c r="M103" s="1191"/>
      <c r="N103" s="1231"/>
      <c r="O103" s="1231"/>
      <c r="P103" s="1231"/>
      <c r="Q103" s="1231"/>
      <c r="R103" s="1231"/>
      <c r="S103" s="1231"/>
      <c r="T103" s="1231"/>
      <c r="U103" s="1231"/>
      <c r="V103" s="1231"/>
      <c r="W103" s="1231"/>
      <c r="X103" s="1231"/>
      <c r="Y103" s="1231"/>
      <c r="Z103" s="1231"/>
      <c r="AA103" s="1231"/>
      <c r="AB103" s="1231"/>
      <c r="AC103" s="1231"/>
      <c r="AD103" s="1231"/>
      <c r="AE103" s="1231"/>
      <c r="AF103" s="1231"/>
      <c r="AG103" s="1231"/>
      <c r="AH103" s="1231"/>
      <c r="AI103" s="1231"/>
      <c r="AJ103" s="1231"/>
      <c r="AK103" s="1231"/>
      <c r="AL103" s="1231"/>
      <c r="AM103" s="1231"/>
      <c r="AN103" s="1231"/>
      <c r="AO103" s="1231"/>
      <c r="AP103" s="1231"/>
      <c r="AQ103" s="1231"/>
      <c r="AR103" s="1231"/>
      <c r="AS103" s="1231"/>
      <c r="AT103" s="1231"/>
      <c r="AU103" s="1231"/>
      <c r="AV103" s="1231"/>
      <c r="AW103" s="1231"/>
      <c r="AX103" s="1231"/>
      <c r="AY103" s="1231"/>
      <c r="AZ103" s="1231"/>
      <c r="BA103" s="1231"/>
      <c r="BB103" s="1231"/>
      <c r="BC103" s="1231"/>
      <c r="BD103" s="1231"/>
      <c r="BE103" s="1231"/>
      <c r="BF103" s="1231"/>
      <c r="BG103" s="1231"/>
      <c r="BH103" s="1231"/>
      <c r="BI103" s="1231"/>
      <c r="BJ103" s="1231"/>
      <c r="BK103" s="1231"/>
      <c r="BL103" s="1231"/>
      <c r="BM103" s="1231"/>
      <c r="BN103" s="1231"/>
      <c r="BO103" s="1231"/>
      <c r="BP103" s="1231"/>
      <c r="BQ103" s="2234"/>
      <c r="BR103" s="308"/>
      <c r="BS103" s="308"/>
      <c r="BT103" s="308"/>
      <c r="BU103" s="308"/>
      <c r="BV103" s="2234"/>
      <c r="BW103" s="308"/>
      <c r="BX103" s="308"/>
      <c r="BY103" s="308"/>
      <c r="BZ103" s="308"/>
      <c r="CA103" s="2234"/>
      <c r="CB103" s="2124"/>
      <c r="CC103" s="2124"/>
      <c r="CD103" s="2124"/>
      <c r="CE103" s="2124"/>
      <c r="CF103" s="2234"/>
      <c r="CG103" s="2124"/>
      <c r="CH103" s="2124"/>
      <c r="CI103" s="2124"/>
      <c r="CJ103" s="2124"/>
      <c r="CK103" s="2234">
        <f>CK60*CF59*CK112</f>
        <v>49.128004799999992</v>
      </c>
      <c r="CL103" s="2124">
        <v>-12</v>
      </c>
      <c r="CM103" s="2124">
        <f>CL103</f>
        <v>-12</v>
      </c>
      <c r="CN103" s="2124">
        <f>(CP103-SUM(CL103:CM103))/2</f>
        <v>-4.0875683887501388</v>
      </c>
      <c r="CO103" s="2124">
        <f>CN103</f>
        <v>-4.0875683887501388</v>
      </c>
      <c r="CP103" s="2226">
        <f>(CP60-CP67)*CK59*CP112</f>
        <v>-32.175136777500278</v>
      </c>
      <c r="CQ103" s="2124">
        <f t="shared" si="57"/>
        <v>-11.17719213917386</v>
      </c>
      <c r="CR103" s="2124">
        <f t="shared" si="58"/>
        <v>-11.17719213917386</v>
      </c>
      <c r="CS103" s="2124">
        <f t="shared" si="61"/>
        <v>-11.17719213917386</v>
      </c>
      <c r="CT103" s="2124">
        <f t="shared" si="61"/>
        <v>-11.17719213917386</v>
      </c>
      <c r="CU103" s="2243">
        <f>CU60*CP59*CU112</f>
        <v>-44.708768556695439</v>
      </c>
      <c r="CV103" s="2124">
        <f t="shared" si="59"/>
        <v>1.0773494106479904</v>
      </c>
      <c r="CW103" s="2124">
        <f t="shared" si="60"/>
        <v>1.0773494106479904</v>
      </c>
      <c r="CX103" s="2124">
        <f t="shared" si="62"/>
        <v>1.0773494106479904</v>
      </c>
      <c r="CY103" s="2124">
        <f t="shared" si="62"/>
        <v>1.0773494106479904</v>
      </c>
      <c r="CZ103" s="2234">
        <f>CZ60*CU59*CZ112</f>
        <v>4.3093976425919616</v>
      </c>
      <c r="DA103" s="2234">
        <f>DA60*CZ59*DA112</f>
        <v>46.063695879285902</v>
      </c>
      <c r="DB103" s="2234">
        <f>DB60*DA59*DB112</f>
        <v>54.413208259570027</v>
      </c>
      <c r="DC103" s="2234">
        <f>DC60*DB59*DC112</f>
        <v>36.320204232776803</v>
      </c>
      <c r="DD103" s="308"/>
    </row>
    <row r="104" spans="1:109" s="2109" customFormat="1" ht="11.25" outlineLevel="1">
      <c r="A104" s="1191"/>
      <c r="B104" s="1191"/>
      <c r="C104" s="1191" t="s">
        <v>1207</v>
      </c>
      <c r="D104" s="1191"/>
      <c r="E104" s="1191"/>
      <c r="F104" s="1191"/>
      <c r="G104" s="1191"/>
      <c r="H104" s="1191"/>
      <c r="I104" s="1191"/>
      <c r="J104" s="1191"/>
      <c r="K104" s="1191"/>
      <c r="L104" s="1191"/>
      <c r="M104" s="1191"/>
      <c r="N104" s="1231"/>
      <c r="O104" s="1231"/>
      <c r="P104" s="1231"/>
      <c r="Q104" s="1231"/>
      <c r="R104" s="1231"/>
      <c r="S104" s="1231"/>
      <c r="T104" s="1231"/>
      <c r="U104" s="1231"/>
      <c r="V104" s="1231"/>
      <c r="W104" s="1231"/>
      <c r="X104" s="1231"/>
      <c r="Y104" s="1231"/>
      <c r="Z104" s="1231"/>
      <c r="AA104" s="1231"/>
      <c r="AB104" s="1231"/>
      <c r="AC104" s="1231"/>
      <c r="AD104" s="1231"/>
      <c r="AE104" s="1231"/>
      <c r="AF104" s="1231"/>
      <c r="AG104" s="1231"/>
      <c r="AH104" s="1231"/>
      <c r="AI104" s="1231"/>
      <c r="AJ104" s="1231"/>
      <c r="AK104" s="1231"/>
      <c r="AL104" s="1231"/>
      <c r="AM104" s="1231"/>
      <c r="AN104" s="1231"/>
      <c r="AO104" s="1231"/>
      <c r="AP104" s="1231"/>
      <c r="AQ104" s="1231"/>
      <c r="AR104" s="1231"/>
      <c r="AS104" s="1231"/>
      <c r="AT104" s="1231"/>
      <c r="AU104" s="1231"/>
      <c r="AV104" s="1231"/>
      <c r="AW104" s="1231"/>
      <c r="AX104" s="1231"/>
      <c r="AY104" s="1231"/>
      <c r="AZ104" s="1231"/>
      <c r="BA104" s="1231"/>
      <c r="BB104" s="1231"/>
      <c r="BC104" s="1231"/>
      <c r="BD104" s="1231"/>
      <c r="BE104" s="1231"/>
      <c r="BF104" s="1231"/>
      <c r="BG104" s="1231"/>
      <c r="BH104" s="1231"/>
      <c r="BI104" s="1231"/>
      <c r="BJ104" s="1231"/>
      <c r="BK104" s="1231"/>
      <c r="BL104" s="1231"/>
      <c r="BM104" s="1231"/>
      <c r="BN104" s="1231"/>
      <c r="BO104" s="1231"/>
      <c r="BP104" s="1231"/>
      <c r="BQ104" s="2234"/>
      <c r="BR104" s="308"/>
      <c r="BS104" s="308"/>
      <c r="BT104" s="308"/>
      <c r="BU104" s="308"/>
      <c r="BV104" s="2234"/>
      <c r="BW104" s="308"/>
      <c r="BX104" s="308"/>
      <c r="BY104" s="308"/>
      <c r="BZ104" s="308"/>
      <c r="CA104" s="2234"/>
      <c r="CB104" s="2124"/>
      <c r="CC104" s="2124"/>
      <c r="CD104" s="2124"/>
      <c r="CE104" s="2124"/>
      <c r="CF104" s="2234"/>
      <c r="CG104" s="2124"/>
      <c r="CH104" s="2124"/>
      <c r="CI104" s="2124"/>
      <c r="CJ104" s="2124"/>
      <c r="CK104" s="2234">
        <v>75</v>
      </c>
      <c r="CL104" s="2124"/>
      <c r="CM104" s="2124"/>
      <c r="CN104" s="2124"/>
      <c r="CO104" s="2124"/>
      <c r="CP104" s="2226">
        <v>0</v>
      </c>
      <c r="CQ104" s="2124">
        <f t="shared" si="57"/>
        <v>8.3249999999999993</v>
      </c>
      <c r="CR104" s="2124">
        <f t="shared" si="58"/>
        <v>8.3249999999999993</v>
      </c>
      <c r="CS104" s="2124">
        <f t="shared" si="61"/>
        <v>8.3249999999999993</v>
      </c>
      <c r="CT104" s="2124">
        <f t="shared" si="61"/>
        <v>8.3249999999999993</v>
      </c>
      <c r="CU104" s="2234">
        <f>9/15*CP27/2</f>
        <v>33.299999999999997</v>
      </c>
      <c r="CV104" s="2124">
        <f t="shared" si="59"/>
        <v>12.074999999999999</v>
      </c>
      <c r="CW104" s="2124">
        <f t="shared" si="60"/>
        <v>12.074999999999999</v>
      </c>
      <c r="CX104" s="2124">
        <f t="shared" si="62"/>
        <v>12.074999999999999</v>
      </c>
      <c r="CY104" s="2124">
        <f t="shared" si="62"/>
        <v>12.074999999999999</v>
      </c>
      <c r="CZ104" s="2234">
        <f>CU104+CU27/2</f>
        <v>48.3</v>
      </c>
      <c r="DA104" s="2234">
        <f>CZ104/2</f>
        <v>24.15</v>
      </c>
      <c r="DB104" s="2234">
        <f>DA104</f>
        <v>24.15</v>
      </c>
      <c r="DC104" s="2234">
        <f>DB104</f>
        <v>24.15</v>
      </c>
      <c r="DD104" s="308"/>
    </row>
    <row r="105" spans="1:109" s="1178" customFormat="1" ht="11.25" outlineLevel="1">
      <c r="A105" s="1182"/>
      <c r="B105" s="1182"/>
      <c r="C105" s="1191" t="s">
        <v>8</v>
      </c>
      <c r="D105" s="1182"/>
      <c r="E105" s="1182"/>
      <c r="F105" s="1182"/>
      <c r="G105" s="1182"/>
      <c r="H105" s="1182"/>
      <c r="I105" s="1182"/>
      <c r="J105" s="1182"/>
      <c r="K105" s="1182"/>
      <c r="L105" s="1182"/>
      <c r="M105" s="1182"/>
      <c r="N105" s="1356"/>
      <c r="O105" s="1356"/>
      <c r="P105" s="1356"/>
      <c r="Q105" s="1356"/>
      <c r="R105" s="1356"/>
      <c r="S105" s="1356"/>
      <c r="T105" s="1356"/>
      <c r="U105" s="1356"/>
      <c r="V105" s="1356"/>
      <c r="W105" s="1356"/>
      <c r="X105" s="1356"/>
      <c r="Y105" s="1356"/>
      <c r="Z105" s="1356"/>
      <c r="AA105" s="1356"/>
      <c r="AB105" s="1356"/>
      <c r="AC105" s="1356"/>
      <c r="AD105" s="1356"/>
      <c r="AE105" s="1356"/>
      <c r="AF105" s="1356"/>
      <c r="AG105" s="1356"/>
      <c r="AH105" s="1356"/>
      <c r="AI105" s="1356"/>
      <c r="AJ105" s="1356"/>
      <c r="AK105" s="1356"/>
      <c r="AL105" s="1356"/>
      <c r="AM105" s="1356"/>
      <c r="AN105" s="1356"/>
      <c r="AO105" s="1356"/>
      <c r="AP105" s="1356"/>
      <c r="AQ105" s="1356"/>
      <c r="AR105" s="1356"/>
      <c r="AS105" s="1356"/>
      <c r="AT105" s="1356"/>
      <c r="AU105" s="1356"/>
      <c r="AV105" s="1356"/>
      <c r="AW105" s="1356"/>
      <c r="AX105" s="1356"/>
      <c r="AY105" s="1356"/>
      <c r="AZ105" s="1356"/>
      <c r="BA105" s="1356"/>
      <c r="BB105" s="1356"/>
      <c r="BC105" s="1356"/>
      <c r="BD105" s="1356"/>
      <c r="BE105" s="1356"/>
      <c r="BF105" s="1356"/>
      <c r="BG105" s="1356"/>
      <c r="BH105" s="1356"/>
      <c r="BI105" s="1356"/>
      <c r="BJ105" s="1356"/>
      <c r="BK105" s="1356"/>
      <c r="BL105" s="1356"/>
      <c r="BM105" s="1356"/>
      <c r="BN105" s="1356"/>
      <c r="BO105" s="1356"/>
      <c r="BP105" s="1356"/>
      <c r="BQ105" s="1658"/>
      <c r="BR105" s="1705"/>
      <c r="BS105" s="1705"/>
      <c r="BT105" s="1705"/>
      <c r="BU105" s="1705"/>
      <c r="BV105" s="1658"/>
      <c r="BW105" s="1705"/>
      <c r="BX105" s="1705"/>
      <c r="BY105" s="1705"/>
      <c r="BZ105" s="1705"/>
      <c r="CA105" s="1658"/>
      <c r="CB105" s="1662"/>
      <c r="CC105" s="1662"/>
      <c r="CD105" s="1662"/>
      <c r="CE105" s="1662"/>
      <c r="CF105" s="1658"/>
      <c r="CG105" s="1662"/>
      <c r="CH105" s="1662"/>
      <c r="CI105" s="1662"/>
      <c r="CJ105" s="1662"/>
      <c r="CK105" s="1590"/>
      <c r="CL105" s="1589"/>
      <c r="CM105" s="1589">
        <v>0</v>
      </c>
      <c r="CN105" s="1589">
        <v>0</v>
      </c>
      <c r="CO105" s="1589">
        <f>CP105/2</f>
        <v>0</v>
      </c>
      <c r="CP105" s="2229">
        <v>0</v>
      </c>
      <c r="CQ105" s="1589">
        <f t="shared" si="57"/>
        <v>-37.5</v>
      </c>
      <c r="CR105" s="1589">
        <f t="shared" si="58"/>
        <v>-37.5</v>
      </c>
      <c r="CS105" s="1589">
        <f t="shared" si="61"/>
        <v>-37.5</v>
      </c>
      <c r="CT105" s="2124">
        <f>CU105-SUM(CQ105:CS105)</f>
        <v>-37.5</v>
      </c>
      <c r="CU105" s="1928">
        <v>-150</v>
      </c>
      <c r="CV105" s="2124">
        <f t="shared" si="59"/>
        <v>-12.5</v>
      </c>
      <c r="CW105" s="2124">
        <f t="shared" si="60"/>
        <v>-12.5</v>
      </c>
      <c r="CX105" s="2124">
        <f t="shared" si="62"/>
        <v>-12.5</v>
      </c>
      <c r="CY105" s="2124">
        <f t="shared" si="62"/>
        <v>-12.5</v>
      </c>
      <c r="CZ105" s="1928">
        <v>-50</v>
      </c>
      <c r="DA105" s="1928">
        <v>0</v>
      </c>
      <c r="DB105" s="1928">
        <v>0</v>
      </c>
      <c r="DC105" s="1928">
        <v>0</v>
      </c>
      <c r="DD105" s="1995"/>
    </row>
    <row r="106" spans="1:109" s="1178" customFormat="1" ht="11.25" outlineLevel="1">
      <c r="A106" s="1182"/>
      <c r="B106" s="1182"/>
      <c r="C106" s="1191" t="s">
        <v>150</v>
      </c>
      <c r="D106" s="1182"/>
      <c r="E106" s="1182"/>
      <c r="F106" s="1182"/>
      <c r="G106" s="1182"/>
      <c r="H106" s="1182"/>
      <c r="I106" s="1182"/>
      <c r="J106" s="1182"/>
      <c r="K106" s="1182"/>
      <c r="L106" s="1182"/>
      <c r="M106" s="1182"/>
      <c r="N106" s="1356"/>
      <c r="O106" s="1356"/>
      <c r="P106" s="1356"/>
      <c r="Q106" s="1356"/>
      <c r="R106" s="1356"/>
      <c r="S106" s="1356"/>
      <c r="T106" s="1356"/>
      <c r="U106" s="1356"/>
      <c r="V106" s="1356"/>
      <c r="W106" s="1356"/>
      <c r="X106" s="1356"/>
      <c r="Y106" s="1356"/>
      <c r="Z106" s="1356"/>
      <c r="AA106" s="1356"/>
      <c r="AB106" s="1356"/>
      <c r="AC106" s="1356"/>
      <c r="AD106" s="1356"/>
      <c r="AE106" s="1356"/>
      <c r="AF106" s="1356"/>
      <c r="AG106" s="1356"/>
      <c r="AH106" s="1356"/>
      <c r="AI106" s="1356"/>
      <c r="AJ106" s="1356"/>
      <c r="AK106" s="1356"/>
      <c r="AL106" s="1356"/>
      <c r="AM106" s="1356"/>
      <c r="AN106" s="1356"/>
      <c r="AO106" s="1356"/>
      <c r="AP106" s="1356"/>
      <c r="AQ106" s="1356"/>
      <c r="AR106" s="1356"/>
      <c r="AS106" s="1356"/>
      <c r="AT106" s="1356"/>
      <c r="AU106" s="1356"/>
      <c r="AV106" s="1356"/>
      <c r="AW106" s="1356"/>
      <c r="AX106" s="1356"/>
      <c r="AY106" s="1356"/>
      <c r="AZ106" s="1356"/>
      <c r="BA106" s="1356"/>
      <c r="BB106" s="1356"/>
      <c r="BC106" s="1356"/>
      <c r="BD106" s="1356"/>
      <c r="BE106" s="1356"/>
      <c r="BF106" s="1356"/>
      <c r="BG106" s="1356"/>
      <c r="BH106" s="1356"/>
      <c r="BI106" s="1356"/>
      <c r="BJ106" s="1356"/>
      <c r="BK106" s="1356"/>
      <c r="BL106" s="1356"/>
      <c r="BM106" s="1356"/>
      <c r="BN106" s="1356"/>
      <c r="BO106" s="1356"/>
      <c r="BP106" s="1356"/>
      <c r="BQ106" s="1658"/>
      <c r="BR106" s="1705"/>
      <c r="BS106" s="1705"/>
      <c r="BT106" s="1705"/>
      <c r="BU106" s="1705"/>
      <c r="BV106" s="1658"/>
      <c r="BW106" s="1705"/>
      <c r="BX106" s="1705"/>
      <c r="BY106" s="1705"/>
      <c r="BZ106" s="1705"/>
      <c r="CA106" s="1658"/>
      <c r="CB106" s="1662"/>
      <c r="CC106" s="1662"/>
      <c r="CD106" s="1662"/>
      <c r="CE106" s="1662"/>
      <c r="CF106" s="1658"/>
      <c r="CG106" s="1662"/>
      <c r="CH106" s="1662"/>
      <c r="CI106" s="1662"/>
      <c r="CJ106" s="1662"/>
      <c r="CK106" s="1590"/>
      <c r="CL106" s="2097">
        <v>15</v>
      </c>
      <c r="CM106" s="2097">
        <f>55-CM97</f>
        <v>11.25</v>
      </c>
      <c r="CN106" s="2097">
        <f>60-CN97</f>
        <v>16.25</v>
      </c>
      <c r="CO106" s="2124">
        <f>CN106*CO66/CN66</f>
        <v>8.1942088293648325</v>
      </c>
      <c r="CP106" s="2230">
        <f>SUM(CL106:CO106)</f>
        <v>50.694208829364833</v>
      </c>
      <c r="CQ106" s="1937">
        <f>CU106/5</f>
        <v>10</v>
      </c>
      <c r="CR106" s="1937">
        <f>CQ106</f>
        <v>10</v>
      </c>
      <c r="CS106" s="1937">
        <f>CR106*2</f>
        <v>20</v>
      </c>
      <c r="CT106" s="1937">
        <f>CU106-SUM(CQ106:CS106)</f>
        <v>10</v>
      </c>
      <c r="CU106" s="2234">
        <v>50</v>
      </c>
      <c r="CV106" s="1937">
        <f>CZ106/4</f>
        <v>-6.25</v>
      </c>
      <c r="CW106" s="1937">
        <f>CV106</f>
        <v>-6.25</v>
      </c>
      <c r="CX106" s="1937">
        <f t="shared" si="62"/>
        <v>-6.25</v>
      </c>
      <c r="CY106" s="1937">
        <f t="shared" si="62"/>
        <v>-6.25</v>
      </c>
      <c r="CZ106" s="1928">
        <v>-25</v>
      </c>
      <c r="DA106" s="1590">
        <v>0</v>
      </c>
      <c r="DB106" s="2234">
        <v>0</v>
      </c>
      <c r="DC106" s="2234">
        <v>0</v>
      </c>
      <c r="DD106" s="308"/>
    </row>
    <row r="107" spans="1:109" s="1234" customFormat="1" ht="11.25" outlineLevel="1">
      <c r="A107" s="1182"/>
      <c r="B107" s="1182"/>
      <c r="C107" s="1182" t="s">
        <v>1206</v>
      </c>
      <c r="D107" s="1182"/>
      <c r="E107" s="1182"/>
      <c r="F107" s="1182"/>
      <c r="G107" s="1182"/>
      <c r="H107" s="1182"/>
      <c r="I107" s="1182"/>
      <c r="J107" s="1182"/>
      <c r="K107" s="1182"/>
      <c r="L107" s="1182"/>
      <c r="M107" s="1182"/>
      <c r="N107" s="1356"/>
      <c r="O107" s="1356"/>
      <c r="P107" s="1356"/>
      <c r="Q107" s="1356"/>
      <c r="R107" s="1356"/>
      <c r="S107" s="1356"/>
      <c r="T107" s="1356"/>
      <c r="U107" s="1356"/>
      <c r="V107" s="1356"/>
      <c r="W107" s="1356"/>
      <c r="X107" s="1356"/>
      <c r="Y107" s="1356"/>
      <c r="Z107" s="1356"/>
      <c r="AA107" s="1356"/>
      <c r="AB107" s="1356"/>
      <c r="AC107" s="1356"/>
      <c r="AD107" s="1356"/>
      <c r="AE107" s="1356"/>
      <c r="AF107" s="1356"/>
      <c r="AG107" s="1356"/>
      <c r="AH107" s="1356"/>
      <c r="AI107" s="1356"/>
      <c r="AJ107" s="1356"/>
      <c r="AK107" s="1356"/>
      <c r="AL107" s="1356"/>
      <c r="AM107" s="1356"/>
      <c r="AN107" s="1356"/>
      <c r="AO107" s="1356"/>
      <c r="AP107" s="1356"/>
      <c r="AQ107" s="1356"/>
      <c r="AR107" s="1356"/>
      <c r="AS107" s="1356"/>
      <c r="AT107" s="1356"/>
      <c r="AU107" s="1356"/>
      <c r="AV107" s="1356"/>
      <c r="AW107" s="1356"/>
      <c r="AX107" s="1356"/>
      <c r="AY107" s="1356"/>
      <c r="AZ107" s="1356"/>
      <c r="BA107" s="1356"/>
      <c r="BB107" s="1356"/>
      <c r="BC107" s="1356"/>
      <c r="BD107" s="1356"/>
      <c r="BE107" s="1356"/>
      <c r="BF107" s="1356"/>
      <c r="BG107" s="1356"/>
      <c r="BH107" s="1356"/>
      <c r="BI107" s="1356"/>
      <c r="BJ107" s="1356"/>
      <c r="BK107" s="1356"/>
      <c r="BL107" s="1356"/>
      <c r="BM107" s="1356"/>
      <c r="BN107" s="1356"/>
      <c r="BO107" s="1356"/>
      <c r="BP107" s="1356"/>
      <c r="BQ107" s="1658"/>
      <c r="BR107" s="1705"/>
      <c r="BS107" s="1705"/>
      <c r="BT107" s="1705"/>
      <c r="BU107" s="1705"/>
      <c r="BV107" s="1658"/>
      <c r="BW107" s="1705"/>
      <c r="BX107" s="1705"/>
      <c r="BY107" s="1705"/>
      <c r="BZ107" s="1705"/>
      <c r="CA107" s="1658"/>
      <c r="CB107" s="1662"/>
      <c r="CC107" s="1662"/>
      <c r="CD107" s="1662"/>
      <c r="CE107" s="1662"/>
      <c r="CF107" s="1658"/>
      <c r="CG107" s="1662"/>
      <c r="CH107" s="1662"/>
      <c r="CI107" s="1662"/>
      <c r="CJ107" s="1662"/>
      <c r="CK107" s="1658">
        <f>SUM(CK99:CK106)</f>
        <v>-86.413214419298271</v>
      </c>
      <c r="CL107" s="2099">
        <f>CL35-CG35</f>
        <v>-17</v>
      </c>
      <c r="CM107" s="2099">
        <f>CM35-CH35</f>
        <v>-37</v>
      </c>
      <c r="CN107" s="2099">
        <f>CN35-CI35</f>
        <v>-27</v>
      </c>
      <c r="CO107" s="1662">
        <f t="shared" ref="CO107:DA107" si="63">SUM(CO99:CO106)</f>
        <v>-184.60115038552922</v>
      </c>
      <c r="CP107" s="2228">
        <f t="shared" si="63"/>
        <v>-265.60115038552919</v>
      </c>
      <c r="CQ107" s="2099">
        <f>CQ35-CL35</f>
        <v>-22</v>
      </c>
      <c r="CR107" s="2099">
        <f>CR35-CM35</f>
        <v>-44</v>
      </c>
      <c r="CS107" s="2099">
        <f>CS35-CN35</f>
        <v>9</v>
      </c>
      <c r="CT107" s="1662">
        <f t="shared" si="63"/>
        <v>-70.005831987632362</v>
      </c>
      <c r="CU107" s="1658">
        <f t="shared" si="63"/>
        <v>-127.00583198763238</v>
      </c>
      <c r="CV107" s="1662">
        <f>SUM(CV99:CV106)</f>
        <v>-25.761752553092634</v>
      </c>
      <c r="CW107" s="1662">
        <f>SUM(CW99:CW106)</f>
        <v>-25.761752553092634</v>
      </c>
      <c r="CX107" s="1662">
        <f>SUM(CX99:CX106)</f>
        <v>-25.761752553092634</v>
      </c>
      <c r="CY107" s="1662">
        <f>SUM(CY99:CY106)</f>
        <v>-25.761752553092638</v>
      </c>
      <c r="CZ107" s="1658">
        <f t="shared" si="63"/>
        <v>-103.04701021237054</v>
      </c>
      <c r="DA107" s="1658">
        <f t="shared" si="63"/>
        <v>461.80178101659686</v>
      </c>
      <c r="DB107" s="1658">
        <f>SUM(DB99:DB106)</f>
        <v>286.55202482378314</v>
      </c>
      <c r="DC107" s="1658">
        <f>SUM(DC99:DC106)</f>
        <v>81.066153080635331</v>
      </c>
      <c r="DD107" s="1705"/>
    </row>
    <row r="108" spans="1:109" s="1234" customFormat="1" ht="11.25" outlineLevel="1">
      <c r="A108" s="1182"/>
      <c r="B108" s="1182"/>
      <c r="C108" s="1182"/>
      <c r="D108" s="1182"/>
      <c r="E108" s="1182"/>
      <c r="F108" s="1182"/>
      <c r="G108" s="1182"/>
      <c r="H108" s="1182"/>
      <c r="I108" s="1182"/>
      <c r="J108" s="1182"/>
      <c r="K108" s="1182"/>
      <c r="L108" s="1182"/>
      <c r="M108" s="1182"/>
      <c r="N108" s="1356"/>
      <c r="O108" s="1356"/>
      <c r="P108" s="1356"/>
      <c r="Q108" s="1356"/>
      <c r="R108" s="1356"/>
      <c r="S108" s="1356"/>
      <c r="T108" s="1356"/>
      <c r="U108" s="1356"/>
      <c r="V108" s="1356"/>
      <c r="W108" s="1356"/>
      <c r="X108" s="1356"/>
      <c r="Y108" s="1356"/>
      <c r="Z108" s="1356"/>
      <c r="AA108" s="1356"/>
      <c r="AB108" s="1356"/>
      <c r="AC108" s="1356"/>
      <c r="AD108" s="1356"/>
      <c r="AE108" s="1356"/>
      <c r="AF108" s="1356"/>
      <c r="AG108" s="1356"/>
      <c r="AH108" s="1356"/>
      <c r="AI108" s="1356"/>
      <c r="AJ108" s="1356"/>
      <c r="AK108" s="1356"/>
      <c r="AL108" s="1356"/>
      <c r="AM108" s="1356"/>
      <c r="AN108" s="1356"/>
      <c r="AO108" s="1356"/>
      <c r="AP108" s="1356"/>
      <c r="AQ108" s="1356"/>
      <c r="AR108" s="1356"/>
      <c r="AS108" s="1356"/>
      <c r="AT108" s="1356"/>
      <c r="AU108" s="1356"/>
      <c r="AV108" s="1356"/>
      <c r="AW108" s="1356"/>
      <c r="AX108" s="1356"/>
      <c r="AY108" s="1356"/>
      <c r="AZ108" s="1356"/>
      <c r="BA108" s="1356"/>
      <c r="BB108" s="1356"/>
      <c r="BC108" s="1356"/>
      <c r="BD108" s="1356"/>
      <c r="BE108" s="1356"/>
      <c r="BF108" s="1356"/>
      <c r="BG108" s="1356"/>
      <c r="BH108" s="1356"/>
      <c r="BI108" s="1356"/>
      <c r="BJ108" s="1356"/>
      <c r="BK108" s="1356"/>
      <c r="BL108" s="1356"/>
      <c r="BM108" s="1356"/>
      <c r="BN108" s="1356"/>
      <c r="BO108" s="1356"/>
      <c r="BP108" s="1356"/>
      <c r="BQ108" s="1658"/>
      <c r="BR108" s="1705"/>
      <c r="BS108" s="1705"/>
      <c r="BT108" s="1705"/>
      <c r="BU108" s="1705"/>
      <c r="BV108" s="1658"/>
      <c r="BW108" s="1705"/>
      <c r="BX108" s="1705"/>
      <c r="BY108" s="1705"/>
      <c r="BZ108" s="1705"/>
      <c r="CA108" s="1658"/>
      <c r="CB108" s="1662"/>
      <c r="CC108" s="1662"/>
      <c r="CD108" s="1662"/>
      <c r="CE108" s="1662"/>
      <c r="CF108" s="1658"/>
      <c r="CG108" s="1662"/>
      <c r="CH108" s="1662"/>
      <c r="CI108" s="1662"/>
      <c r="CJ108" s="1662"/>
      <c r="CK108" s="1590"/>
      <c r="CL108" s="1662"/>
      <c r="CM108" s="1662"/>
      <c r="CN108" s="1662"/>
      <c r="CO108" s="1662"/>
      <c r="CP108" s="2226"/>
      <c r="CQ108" s="1662"/>
      <c r="CR108" s="1662"/>
      <c r="CS108" s="1662"/>
      <c r="CT108" s="1662"/>
      <c r="CU108" s="1590"/>
      <c r="CV108" s="1662"/>
      <c r="CW108" s="1662"/>
      <c r="CX108" s="1662"/>
      <c r="CY108" s="1662"/>
      <c r="CZ108" s="1590"/>
      <c r="DA108" s="1590"/>
      <c r="DB108" s="2234"/>
      <c r="DC108" s="2234"/>
      <c r="DD108" s="308"/>
    </row>
    <row r="109" spans="1:109" s="1178" customFormat="1" ht="11.25" outlineLevel="1">
      <c r="A109" s="1182"/>
      <c r="B109" s="1182"/>
      <c r="C109" s="1182" t="s">
        <v>1205</v>
      </c>
      <c r="D109" s="1182"/>
      <c r="E109" s="1182"/>
      <c r="F109" s="1182"/>
      <c r="G109" s="1182"/>
      <c r="H109" s="1182"/>
      <c r="I109" s="1182"/>
      <c r="J109" s="1182"/>
      <c r="K109" s="1182"/>
      <c r="L109" s="1182"/>
      <c r="M109" s="1182"/>
      <c r="N109" s="1356"/>
      <c r="O109" s="1356"/>
      <c r="P109" s="1356"/>
      <c r="Q109" s="1356"/>
      <c r="R109" s="1356"/>
      <c r="S109" s="1356"/>
      <c r="T109" s="1356"/>
      <c r="U109" s="1356"/>
      <c r="V109" s="1356"/>
      <c r="W109" s="1356"/>
      <c r="X109" s="1356"/>
      <c r="Y109" s="1356"/>
      <c r="Z109" s="1356"/>
      <c r="AA109" s="1356"/>
      <c r="AB109" s="1356"/>
      <c r="AC109" s="1356"/>
      <c r="AD109" s="1356"/>
      <c r="AE109" s="1356"/>
      <c r="AF109" s="1356"/>
      <c r="AG109" s="1356"/>
      <c r="AH109" s="1356"/>
      <c r="AI109" s="1356"/>
      <c r="AJ109" s="1356"/>
      <c r="AK109" s="1356"/>
      <c r="AL109" s="1356"/>
      <c r="AM109" s="1356"/>
      <c r="AN109" s="1356"/>
      <c r="AO109" s="1356"/>
      <c r="AP109" s="1356"/>
      <c r="AQ109" s="1356"/>
      <c r="AR109" s="1356"/>
      <c r="AS109" s="1356"/>
      <c r="AT109" s="1356"/>
      <c r="AU109" s="1356"/>
      <c r="AV109" s="1356"/>
      <c r="AW109" s="1356"/>
      <c r="AX109" s="1356"/>
      <c r="AY109" s="1356"/>
      <c r="AZ109" s="1356"/>
      <c r="BA109" s="1356"/>
      <c r="BB109" s="1356"/>
      <c r="BC109" s="1356"/>
      <c r="BD109" s="1356"/>
      <c r="BE109" s="1356"/>
      <c r="BF109" s="1356"/>
      <c r="BG109" s="1356"/>
      <c r="BH109" s="1356"/>
      <c r="BI109" s="1356"/>
      <c r="BJ109" s="1356"/>
      <c r="BK109" s="1356"/>
      <c r="BL109" s="1356"/>
      <c r="BM109" s="1356"/>
      <c r="BN109" s="1356"/>
      <c r="BO109" s="1356"/>
      <c r="BP109" s="1356"/>
      <c r="BQ109" s="1658"/>
      <c r="BR109" s="1705"/>
      <c r="BS109" s="1705"/>
      <c r="BT109" s="1705"/>
      <c r="BU109" s="1705"/>
      <c r="BV109" s="1658"/>
      <c r="BW109" s="1705"/>
      <c r="BX109" s="1705"/>
      <c r="BY109" s="1705"/>
      <c r="BZ109" s="1705"/>
      <c r="CA109" s="1658"/>
      <c r="CB109" s="1662"/>
      <c r="CC109" s="1662"/>
      <c r="CD109" s="1662"/>
      <c r="CE109" s="1662"/>
      <c r="CF109" s="1658"/>
      <c r="CG109" s="1662"/>
      <c r="CH109" s="1662"/>
      <c r="CI109" s="1662"/>
      <c r="CJ109" s="1662"/>
      <c r="CK109" s="1590"/>
      <c r="CL109" s="1662"/>
      <c r="CM109" s="1662"/>
      <c r="CN109" s="1662"/>
      <c r="CO109" s="1662"/>
      <c r="CP109" s="1590"/>
      <c r="CQ109" s="1662"/>
      <c r="CR109" s="1662"/>
      <c r="CS109" s="1662"/>
      <c r="CT109" s="1662"/>
      <c r="CU109" s="1590"/>
      <c r="CV109" s="1662"/>
      <c r="CW109" s="1662"/>
      <c r="CX109" s="1662"/>
      <c r="CY109" s="1662"/>
      <c r="CZ109" s="1590"/>
      <c r="DA109" s="1590"/>
      <c r="DB109" s="2234"/>
      <c r="DC109" s="2234"/>
      <c r="DD109" s="308"/>
    </row>
    <row r="110" spans="1:109" s="1178" customFormat="1" ht="11.25" outlineLevel="1">
      <c r="A110" s="1182"/>
      <c r="B110" s="1182"/>
      <c r="C110" s="1191" t="s">
        <v>1204</v>
      </c>
      <c r="D110" s="1182"/>
      <c r="E110" s="1182"/>
      <c r="F110" s="1182"/>
      <c r="G110" s="1182"/>
      <c r="H110" s="1182"/>
      <c r="I110" s="1182"/>
      <c r="J110" s="1182"/>
      <c r="K110" s="1182"/>
      <c r="L110" s="1182"/>
      <c r="M110" s="1182"/>
      <c r="N110" s="1356"/>
      <c r="O110" s="1356"/>
      <c r="P110" s="1356"/>
      <c r="Q110" s="1356"/>
      <c r="R110" s="1356"/>
      <c r="S110" s="1356"/>
      <c r="T110" s="1356"/>
      <c r="U110" s="1356"/>
      <c r="V110" s="1356"/>
      <c r="W110" s="1356"/>
      <c r="X110" s="1356"/>
      <c r="Y110" s="1356"/>
      <c r="Z110" s="1356"/>
      <c r="AA110" s="1356"/>
      <c r="AB110" s="1356"/>
      <c r="AC110" s="1356"/>
      <c r="AD110" s="1356"/>
      <c r="AE110" s="1356"/>
      <c r="AF110" s="1356"/>
      <c r="AG110" s="1356"/>
      <c r="AH110" s="1356"/>
      <c r="AI110" s="1356"/>
      <c r="AJ110" s="1356"/>
      <c r="AK110" s="1356"/>
      <c r="AL110" s="1356"/>
      <c r="AM110" s="1356"/>
      <c r="AN110" s="1356"/>
      <c r="AO110" s="1356"/>
      <c r="AP110" s="1356"/>
      <c r="AQ110" s="1356"/>
      <c r="AR110" s="1356"/>
      <c r="AS110" s="1356"/>
      <c r="AT110" s="1356"/>
      <c r="AU110" s="1356"/>
      <c r="AV110" s="1356"/>
      <c r="AW110" s="1356"/>
      <c r="AX110" s="1356"/>
      <c r="AY110" s="1356"/>
      <c r="AZ110" s="1356"/>
      <c r="BA110" s="1356"/>
      <c r="BB110" s="1356"/>
      <c r="BC110" s="1356"/>
      <c r="BD110" s="1356"/>
      <c r="BE110" s="1356"/>
      <c r="BF110" s="1356"/>
      <c r="BG110" s="1356"/>
      <c r="BH110" s="1356"/>
      <c r="BI110" s="1356"/>
      <c r="BJ110" s="1356"/>
      <c r="BK110" s="1356"/>
      <c r="BL110" s="1356"/>
      <c r="BM110" s="1356"/>
      <c r="BN110" s="1356"/>
      <c r="BO110" s="1356"/>
      <c r="BP110" s="1356"/>
      <c r="BQ110" s="1658"/>
      <c r="BR110" s="1705"/>
      <c r="BS110" s="1705"/>
      <c r="BT110" s="1705"/>
      <c r="BU110" s="1705"/>
      <c r="BV110" s="1658"/>
      <c r="BW110" s="1705"/>
      <c r="BX110" s="1705"/>
      <c r="BY110" s="1705"/>
      <c r="BZ110" s="1705"/>
      <c r="CA110" s="1658"/>
      <c r="CB110" s="1662"/>
      <c r="CC110" s="1662"/>
      <c r="CD110" s="1662"/>
      <c r="CE110" s="1662"/>
      <c r="CF110" s="1658"/>
      <c r="CG110" s="1662"/>
      <c r="CH110" s="1662"/>
      <c r="CI110" s="1662"/>
      <c r="CJ110" s="1662"/>
      <c r="CK110" s="1346">
        <v>0.45</v>
      </c>
      <c r="CL110" s="1941">
        <f>CL101/(CG12*CL51*CG83)</f>
        <v>0.37909900802426227</v>
      </c>
      <c r="CM110" s="1941">
        <f>CM101/(CH12*CM51*$CG$83)</f>
        <v>0.48952950775088377</v>
      </c>
      <c r="CN110" s="1941">
        <f>CN101/(CI12*CN51*$CG$83)</f>
        <v>0.16866250632484397</v>
      </c>
      <c r="CO110" s="2096">
        <v>0.4</v>
      </c>
      <c r="CP110" s="1346">
        <f>CP101/(CK12*CP51*$CG$83)</f>
        <v>0.36814215152519358</v>
      </c>
      <c r="CQ110" s="1941"/>
      <c r="CR110" s="1941"/>
      <c r="CS110" s="1941"/>
      <c r="CT110" s="1941"/>
      <c r="CU110" s="1305">
        <f>CP110</f>
        <v>0.36814215152519358</v>
      </c>
      <c r="CV110" s="2096"/>
      <c r="CW110" s="2096"/>
      <c r="CX110" s="2096"/>
      <c r="CY110" s="2096"/>
      <c r="CZ110" s="1305">
        <v>0.375</v>
      </c>
      <c r="DA110" s="2302">
        <f>CZ110</f>
        <v>0.375</v>
      </c>
      <c r="DB110" s="2302">
        <f t="shared" ref="DB110:DC112" si="64">DA110</f>
        <v>0.375</v>
      </c>
      <c r="DC110" s="2302">
        <f t="shared" si="64"/>
        <v>0.375</v>
      </c>
      <c r="DD110" s="1335"/>
    </row>
    <row r="111" spans="1:109" s="1178" customFormat="1" ht="11.25" outlineLevel="1">
      <c r="A111" s="1182"/>
      <c r="B111" s="1182"/>
      <c r="C111" s="1191" t="s">
        <v>1157</v>
      </c>
      <c r="D111" s="1182"/>
      <c r="E111" s="1182"/>
      <c r="F111" s="1182"/>
      <c r="G111" s="1182"/>
      <c r="H111" s="1182"/>
      <c r="I111" s="1182"/>
      <c r="J111" s="1182"/>
      <c r="K111" s="1182"/>
      <c r="L111" s="1182"/>
      <c r="M111" s="1182"/>
      <c r="N111" s="1356"/>
      <c r="O111" s="1356"/>
      <c r="P111" s="1356"/>
      <c r="Q111" s="1356"/>
      <c r="R111" s="1356"/>
      <c r="S111" s="1356"/>
      <c r="T111" s="1356"/>
      <c r="U111" s="1356"/>
      <c r="V111" s="1356"/>
      <c r="W111" s="1356"/>
      <c r="X111" s="1356"/>
      <c r="Y111" s="1356"/>
      <c r="Z111" s="1356"/>
      <c r="AA111" s="1356"/>
      <c r="AB111" s="1356"/>
      <c r="AC111" s="1356"/>
      <c r="AD111" s="1356"/>
      <c r="AE111" s="1356"/>
      <c r="AF111" s="1356"/>
      <c r="AG111" s="1356"/>
      <c r="AH111" s="1356"/>
      <c r="AI111" s="1356"/>
      <c r="AJ111" s="1356"/>
      <c r="AK111" s="1356"/>
      <c r="AL111" s="1356"/>
      <c r="AM111" s="1356"/>
      <c r="AN111" s="1356"/>
      <c r="AO111" s="1356"/>
      <c r="AP111" s="1356"/>
      <c r="AQ111" s="1356"/>
      <c r="AR111" s="1356"/>
      <c r="AS111" s="1356"/>
      <c r="AT111" s="1356"/>
      <c r="AU111" s="1356"/>
      <c r="AV111" s="1356"/>
      <c r="AW111" s="1356"/>
      <c r="AX111" s="1356"/>
      <c r="AY111" s="1356"/>
      <c r="AZ111" s="1356"/>
      <c r="BA111" s="1356"/>
      <c r="BB111" s="1356"/>
      <c r="BC111" s="1356"/>
      <c r="BD111" s="1356"/>
      <c r="BE111" s="1356"/>
      <c r="BF111" s="1356"/>
      <c r="BG111" s="1356"/>
      <c r="BH111" s="1356"/>
      <c r="BI111" s="1356"/>
      <c r="BJ111" s="1356"/>
      <c r="BK111" s="1356"/>
      <c r="BL111" s="1356"/>
      <c r="BM111" s="1356"/>
      <c r="BN111" s="1356"/>
      <c r="BO111" s="1356"/>
      <c r="BP111" s="1356"/>
      <c r="BQ111" s="1658"/>
      <c r="BR111" s="1705"/>
      <c r="BS111" s="1705"/>
      <c r="BT111" s="1705"/>
      <c r="BU111" s="1705"/>
      <c r="BV111" s="1658"/>
      <c r="BW111" s="1705"/>
      <c r="BX111" s="1705"/>
      <c r="BY111" s="1705"/>
      <c r="BZ111" s="1705"/>
      <c r="CA111" s="1658"/>
      <c r="CB111" s="1662"/>
      <c r="CC111" s="1662"/>
      <c r="CD111" s="1662"/>
      <c r="CE111" s="1662"/>
      <c r="CF111" s="1658"/>
      <c r="CG111" s="1662"/>
      <c r="CH111" s="1662"/>
      <c r="CI111" s="1662"/>
      <c r="CJ111" s="1662"/>
      <c r="CK111" s="1346">
        <v>0.3</v>
      </c>
      <c r="CL111" s="1662"/>
      <c r="CM111" s="1662"/>
      <c r="CN111" s="1662"/>
      <c r="CO111" s="1662"/>
      <c r="CP111" s="1334" t="s">
        <v>1036</v>
      </c>
      <c r="CQ111" s="1662"/>
      <c r="CR111" s="1662"/>
      <c r="CS111" s="1662"/>
      <c r="CT111" s="1662"/>
      <c r="CU111" s="1595" t="s">
        <v>1036</v>
      </c>
      <c r="CV111" s="1662"/>
      <c r="CW111" s="1662"/>
      <c r="CX111" s="1662"/>
      <c r="CY111" s="1662"/>
      <c r="CZ111" s="1595" t="str">
        <f>CU111</f>
        <v>NM</v>
      </c>
      <c r="DA111" s="1595" t="str">
        <f>CZ111</f>
        <v>NM</v>
      </c>
      <c r="DB111" s="1595" t="str">
        <f t="shared" si="64"/>
        <v>NM</v>
      </c>
      <c r="DC111" s="1595" t="str">
        <f t="shared" si="64"/>
        <v>NM</v>
      </c>
      <c r="DD111" s="1336"/>
    </row>
    <row r="112" spans="1:109" s="1178" customFormat="1" ht="11.25" outlineLevel="1">
      <c r="A112" s="1182"/>
      <c r="B112" s="1182"/>
      <c r="C112" s="1191" t="s">
        <v>1203</v>
      </c>
      <c r="D112" s="1182"/>
      <c r="E112" s="1182"/>
      <c r="F112" s="1182"/>
      <c r="G112" s="1182"/>
      <c r="H112" s="1182"/>
      <c r="I112" s="1182"/>
      <c r="J112" s="1182"/>
      <c r="K112" s="1182"/>
      <c r="L112" s="1182"/>
      <c r="M112" s="1182"/>
      <c r="N112" s="1356"/>
      <c r="O112" s="1356"/>
      <c r="P112" s="1356"/>
      <c r="Q112" s="1356"/>
      <c r="R112" s="1356"/>
      <c r="S112" s="1356"/>
      <c r="T112" s="1356"/>
      <c r="U112" s="1356"/>
      <c r="V112" s="1356"/>
      <c r="W112" s="1356"/>
      <c r="X112" s="1356"/>
      <c r="Y112" s="1356"/>
      <c r="Z112" s="1356"/>
      <c r="AA112" s="1356"/>
      <c r="AB112" s="1356"/>
      <c r="AC112" s="1356"/>
      <c r="AD112" s="1356"/>
      <c r="AE112" s="1356"/>
      <c r="AF112" s="1356"/>
      <c r="AG112" s="1356"/>
      <c r="AH112" s="1356"/>
      <c r="AI112" s="1356"/>
      <c r="AJ112" s="1356"/>
      <c r="AK112" s="1356"/>
      <c r="AL112" s="1356"/>
      <c r="AM112" s="1356"/>
      <c r="AN112" s="1356"/>
      <c r="AO112" s="1356"/>
      <c r="AP112" s="1356"/>
      <c r="AQ112" s="1356"/>
      <c r="AR112" s="1356"/>
      <c r="AS112" s="1356"/>
      <c r="AT112" s="1356"/>
      <c r="AU112" s="1356"/>
      <c r="AV112" s="1356"/>
      <c r="AW112" s="1356"/>
      <c r="AX112" s="1356"/>
      <c r="AY112" s="1356"/>
      <c r="AZ112" s="1356"/>
      <c r="BA112" s="1356"/>
      <c r="BB112" s="1356"/>
      <c r="BC112" s="1356"/>
      <c r="BD112" s="1356"/>
      <c r="BE112" s="1356"/>
      <c r="BF112" s="1356"/>
      <c r="BG112" s="1356"/>
      <c r="BH112" s="1356"/>
      <c r="BI112" s="1356"/>
      <c r="BJ112" s="1356"/>
      <c r="BK112" s="1356"/>
      <c r="BL112" s="1356"/>
      <c r="BM112" s="1356"/>
      <c r="BN112" s="1356"/>
      <c r="BO112" s="1356"/>
      <c r="BP112" s="1356"/>
      <c r="BQ112" s="1658"/>
      <c r="BR112" s="1705"/>
      <c r="BS112" s="1705"/>
      <c r="BT112" s="1705"/>
      <c r="BU112" s="1705"/>
      <c r="BV112" s="1658"/>
      <c r="BW112" s="1705"/>
      <c r="BX112" s="1705"/>
      <c r="BY112" s="1705"/>
      <c r="BZ112" s="1705"/>
      <c r="CA112" s="1658"/>
      <c r="CB112" s="1662"/>
      <c r="CC112" s="1662"/>
      <c r="CD112" s="1662"/>
      <c r="CE112" s="1662"/>
      <c r="CF112" s="1658"/>
      <c r="CG112" s="1662"/>
      <c r="CH112" s="1662"/>
      <c r="CI112" s="1662"/>
      <c r="CJ112" s="1662"/>
      <c r="CK112" s="1346">
        <v>0.35</v>
      </c>
      <c r="CL112" s="1662"/>
      <c r="CM112" s="1662"/>
      <c r="CN112" s="1662"/>
      <c r="CO112" s="1662"/>
      <c r="CP112" s="1346">
        <v>0.25</v>
      </c>
      <c r="CQ112" s="1662"/>
      <c r="CR112" s="1662"/>
      <c r="CS112" s="1662"/>
      <c r="CT112" s="1662"/>
      <c r="CU112" s="1305">
        <v>0.25</v>
      </c>
      <c r="CV112" s="1662"/>
      <c r="CW112" s="1662"/>
      <c r="CX112" s="1662"/>
      <c r="CY112" s="1662"/>
      <c r="CZ112" s="1305">
        <f>CU112</f>
        <v>0.25</v>
      </c>
      <c r="DA112" s="2302">
        <f>CZ112</f>
        <v>0.25</v>
      </c>
      <c r="DB112" s="2302">
        <f t="shared" si="64"/>
        <v>0.25</v>
      </c>
      <c r="DC112" s="2302">
        <f t="shared" si="64"/>
        <v>0.25</v>
      </c>
      <c r="DD112" s="1335"/>
    </row>
    <row r="113" spans="1:113" s="1178" customFormat="1" ht="11.25" outlineLevel="1">
      <c r="A113" s="1182"/>
      <c r="B113" s="1182"/>
      <c r="C113" s="1182" t="s">
        <v>1202</v>
      </c>
      <c r="D113" s="1182"/>
      <c r="E113" s="1182"/>
      <c r="F113" s="1182"/>
      <c r="G113" s="1182"/>
      <c r="H113" s="1182"/>
      <c r="I113" s="1182"/>
      <c r="J113" s="1182"/>
      <c r="K113" s="1182"/>
      <c r="L113" s="1182"/>
      <c r="M113" s="1182"/>
      <c r="N113" s="1356"/>
      <c r="O113" s="1356"/>
      <c r="P113" s="1356"/>
      <c r="Q113" s="1356"/>
      <c r="R113" s="1356"/>
      <c r="S113" s="1356"/>
      <c r="T113" s="1356"/>
      <c r="U113" s="1356"/>
      <c r="V113" s="1356"/>
      <c r="W113" s="1356"/>
      <c r="X113" s="1356"/>
      <c r="Y113" s="1356"/>
      <c r="Z113" s="1356"/>
      <c r="AA113" s="1356"/>
      <c r="AB113" s="1356"/>
      <c r="AC113" s="1356"/>
      <c r="AD113" s="1356"/>
      <c r="AE113" s="1356"/>
      <c r="AF113" s="1356"/>
      <c r="AG113" s="1356"/>
      <c r="AH113" s="1356"/>
      <c r="AI113" s="1356"/>
      <c r="AJ113" s="1356"/>
      <c r="AK113" s="1356"/>
      <c r="AL113" s="1356"/>
      <c r="AM113" s="1356"/>
      <c r="AN113" s="1356"/>
      <c r="AO113" s="1356"/>
      <c r="AP113" s="1356"/>
      <c r="AQ113" s="1356"/>
      <c r="AR113" s="1356"/>
      <c r="AS113" s="1356"/>
      <c r="AT113" s="1356"/>
      <c r="AU113" s="1356"/>
      <c r="AV113" s="1356"/>
      <c r="AW113" s="1356"/>
      <c r="AX113" s="1356"/>
      <c r="AY113" s="1356"/>
      <c r="AZ113" s="1356"/>
      <c r="BA113" s="1356"/>
      <c r="BB113" s="1356"/>
      <c r="BC113" s="1356"/>
      <c r="BD113" s="1356"/>
      <c r="BE113" s="1356"/>
      <c r="BF113" s="1356"/>
      <c r="BG113" s="1356"/>
      <c r="BH113" s="1356"/>
      <c r="BI113" s="1356"/>
      <c r="BJ113" s="1356"/>
      <c r="BK113" s="1356"/>
      <c r="BL113" s="1356"/>
      <c r="BM113" s="1356"/>
      <c r="BN113" s="1356"/>
      <c r="BO113" s="1356"/>
      <c r="BP113" s="1356"/>
      <c r="BQ113" s="1658"/>
      <c r="BR113" s="1705"/>
      <c r="BS113" s="1705"/>
      <c r="BT113" s="1705"/>
      <c r="BU113" s="1705"/>
      <c r="BV113" s="1658"/>
      <c r="BW113" s="1705"/>
      <c r="BX113" s="1705"/>
      <c r="BY113" s="1705"/>
      <c r="BZ113" s="1705"/>
      <c r="CA113" s="1658"/>
      <c r="CB113" s="1662"/>
      <c r="CC113" s="1662"/>
      <c r="CD113" s="1662"/>
      <c r="CE113" s="1662"/>
      <c r="CF113" s="1658"/>
      <c r="CG113" s="1662"/>
      <c r="CH113" s="1662"/>
      <c r="CI113" s="1662"/>
      <c r="CJ113" s="1662"/>
      <c r="CK113" s="1707">
        <f>CK107/(CK12-CF12)</f>
        <v>0.20284792117206166</v>
      </c>
      <c r="CL113" s="1662"/>
      <c r="CM113" s="1662"/>
      <c r="CN113" s="1662"/>
      <c r="CO113" s="1662"/>
      <c r="CP113" s="1707">
        <f>CP107/(CP12-CK12)</f>
        <v>-0.32709501279006059</v>
      </c>
      <c r="CQ113" s="1662"/>
      <c r="CR113" s="1662"/>
      <c r="CS113" s="1662"/>
      <c r="CT113" s="1662"/>
      <c r="CU113" s="1305">
        <f>CU107/(CU12-CP12)</f>
        <v>-0.12757373521220849</v>
      </c>
      <c r="CV113" s="1662"/>
      <c r="CW113" s="1662"/>
      <c r="CX113" s="1662"/>
      <c r="CY113" s="1662"/>
      <c r="CZ113" s="1305">
        <f>CZ107/(CZ12-CU12)</f>
        <v>-9.0979812747500832E-2</v>
      </c>
      <c r="DA113" s="1305">
        <f>DA107/(DA12-CZ12)</f>
        <v>0.37632500731684643</v>
      </c>
      <c r="DB113" s="2159">
        <f>DB107/(DB12-DA12)</f>
        <v>0.19101823622338746</v>
      </c>
      <c r="DC113" s="2159">
        <f>DC107/(DC12-DB12)</f>
        <v>7.753858491285795E-2</v>
      </c>
      <c r="DD113" s="1335"/>
    </row>
    <row r="114" spans="1:113" s="1178" customFormat="1" ht="11.25" outlineLevel="1">
      <c r="A114" s="1182"/>
      <c r="B114" s="1182"/>
      <c r="C114" s="1182"/>
      <c r="D114" s="1182"/>
      <c r="E114" s="1182"/>
      <c r="F114" s="1182"/>
      <c r="G114" s="1182"/>
      <c r="H114" s="1182"/>
      <c r="I114" s="1182"/>
      <c r="J114" s="1182"/>
      <c r="K114" s="1182"/>
      <c r="L114" s="1182"/>
      <c r="M114" s="1182"/>
      <c r="N114" s="1356"/>
      <c r="O114" s="1356"/>
      <c r="P114" s="1356"/>
      <c r="Q114" s="1356"/>
      <c r="R114" s="1356"/>
      <c r="S114" s="1356"/>
      <c r="T114" s="1356"/>
      <c r="U114" s="1356"/>
      <c r="V114" s="1356"/>
      <c r="W114" s="1356"/>
      <c r="X114" s="1356"/>
      <c r="Y114" s="1356"/>
      <c r="Z114" s="1356"/>
      <c r="AA114" s="1356"/>
      <c r="AB114" s="1356"/>
      <c r="AC114" s="1356"/>
      <c r="AD114" s="1356"/>
      <c r="AE114" s="1356"/>
      <c r="AF114" s="1356"/>
      <c r="AG114" s="1356"/>
      <c r="AH114" s="1356"/>
      <c r="AI114" s="1356"/>
      <c r="AJ114" s="1356"/>
      <c r="AK114" s="1356"/>
      <c r="AL114" s="1356"/>
      <c r="AM114" s="1356"/>
      <c r="AN114" s="1356"/>
      <c r="AO114" s="1356"/>
      <c r="AP114" s="1356"/>
      <c r="AQ114" s="1356"/>
      <c r="AR114" s="1356"/>
      <c r="AS114" s="1356"/>
      <c r="AT114" s="1356"/>
      <c r="AU114" s="1356"/>
      <c r="AV114" s="1356"/>
      <c r="AW114" s="1356"/>
      <c r="AX114" s="1356"/>
      <c r="AY114" s="1356"/>
      <c r="AZ114" s="1356"/>
      <c r="BA114" s="1356"/>
      <c r="BB114" s="1356"/>
      <c r="BC114" s="1356"/>
      <c r="BD114" s="1356"/>
      <c r="BE114" s="1356"/>
      <c r="BF114" s="1356"/>
      <c r="BG114" s="1356"/>
      <c r="BH114" s="1356"/>
      <c r="BI114" s="1356"/>
      <c r="BJ114" s="1356"/>
      <c r="BK114" s="1356"/>
      <c r="BL114" s="1356"/>
      <c r="BM114" s="1356"/>
      <c r="BN114" s="1356"/>
      <c r="BO114" s="1356"/>
      <c r="BP114" s="1356"/>
      <c r="BQ114" s="1658"/>
      <c r="BR114" s="1705"/>
      <c r="BS114" s="1705"/>
      <c r="BT114" s="1705"/>
      <c r="BU114" s="1705"/>
      <c r="BV114" s="1658"/>
      <c r="BW114" s="1705"/>
      <c r="BX114" s="1705"/>
      <c r="BY114" s="1705"/>
      <c r="BZ114" s="1705"/>
      <c r="CA114" s="1658"/>
      <c r="CB114" s="1662"/>
      <c r="CC114" s="1662"/>
      <c r="CD114" s="1662"/>
      <c r="CE114" s="1662"/>
      <c r="CF114" s="1658"/>
      <c r="CG114" s="1662"/>
      <c r="CH114" s="1662"/>
      <c r="CI114" s="1662"/>
      <c r="CJ114" s="1662"/>
      <c r="CK114" s="1657"/>
      <c r="CL114" s="1662"/>
      <c r="CM114" s="1662"/>
      <c r="CN114" s="1662"/>
      <c r="CO114" s="1662"/>
      <c r="CP114" s="1657"/>
      <c r="CQ114" s="1662"/>
      <c r="CR114" s="1662"/>
      <c r="CS114" s="1662"/>
      <c r="CT114" s="1662"/>
      <c r="CU114" s="1657"/>
      <c r="CV114" s="1662"/>
      <c r="CW114" s="1662"/>
      <c r="CX114" s="1662"/>
      <c r="CY114" s="1662"/>
      <c r="CZ114" s="1657"/>
      <c r="DA114" s="1657"/>
      <c r="DB114" s="1657"/>
      <c r="DC114" s="1657"/>
      <c r="DD114" s="1996"/>
    </row>
    <row r="115" spans="1:113" s="1178" customFormat="1" ht="11.25" outlineLevel="1">
      <c r="A115" s="1182"/>
      <c r="B115" s="1182"/>
      <c r="C115" s="1182" t="s">
        <v>147</v>
      </c>
      <c r="D115" s="1182"/>
      <c r="E115" s="1182"/>
      <c r="F115" s="1182"/>
      <c r="G115" s="1182"/>
      <c r="H115" s="1182"/>
      <c r="I115" s="1182"/>
      <c r="J115" s="1182"/>
      <c r="K115" s="1182"/>
      <c r="L115" s="1182"/>
      <c r="M115" s="1182"/>
      <c r="N115" s="1356"/>
      <c r="O115" s="1356"/>
      <c r="P115" s="1356"/>
      <c r="Q115" s="1356"/>
      <c r="R115" s="1356"/>
      <c r="S115" s="1356"/>
      <c r="T115" s="1356"/>
      <c r="U115" s="1356"/>
      <c r="V115" s="1356"/>
      <c r="W115" s="1356"/>
      <c r="X115" s="1356"/>
      <c r="Y115" s="1356"/>
      <c r="Z115" s="1356"/>
      <c r="AA115" s="1356"/>
      <c r="AB115" s="1356"/>
      <c r="AC115" s="1356"/>
      <c r="AD115" s="1356"/>
      <c r="AE115" s="1356"/>
      <c r="AF115" s="1356"/>
      <c r="AG115" s="1356"/>
      <c r="AH115" s="1356"/>
      <c r="AI115" s="1356"/>
      <c r="AJ115" s="1356"/>
      <c r="AK115" s="1356"/>
      <c r="AL115" s="1356"/>
      <c r="AM115" s="1356"/>
      <c r="AN115" s="1356"/>
      <c r="AO115" s="1356"/>
      <c r="AP115" s="1356"/>
      <c r="AQ115" s="1356"/>
      <c r="AR115" s="1356"/>
      <c r="AS115" s="1356"/>
      <c r="AT115" s="1356"/>
      <c r="AU115" s="1356"/>
      <c r="AV115" s="1356"/>
      <c r="AW115" s="1356"/>
      <c r="AX115" s="1356"/>
      <c r="AY115" s="1356"/>
      <c r="AZ115" s="1356"/>
      <c r="BA115" s="1356"/>
      <c r="BB115" s="1356"/>
      <c r="BC115" s="1356"/>
      <c r="BD115" s="1356"/>
      <c r="BE115" s="1356"/>
      <c r="BF115" s="1356"/>
      <c r="BG115" s="1356"/>
      <c r="BH115" s="1356"/>
      <c r="BI115" s="1356"/>
      <c r="BJ115" s="1356"/>
      <c r="BK115" s="1356"/>
      <c r="BL115" s="1356"/>
      <c r="BM115" s="1356"/>
      <c r="BN115" s="1356"/>
      <c r="BO115" s="1356"/>
      <c r="BP115" s="1356"/>
      <c r="BQ115" s="1658"/>
      <c r="BR115" s="1705"/>
      <c r="BS115" s="1705"/>
      <c r="BT115" s="1705"/>
      <c r="BU115" s="1705"/>
      <c r="BV115" s="1658"/>
      <c r="BW115" s="1705"/>
      <c r="BX115" s="1705"/>
      <c r="BY115" s="1705"/>
      <c r="BZ115" s="1705"/>
      <c r="CA115" s="1658"/>
      <c r="CB115" s="1662"/>
      <c r="CC115" s="1662"/>
      <c r="CD115" s="1662"/>
      <c r="CE115" s="1662"/>
      <c r="CF115" s="1658"/>
      <c r="CG115" s="1662"/>
      <c r="CH115" s="1662"/>
      <c r="CI115" s="1662"/>
      <c r="CJ115" s="1662"/>
      <c r="CK115" s="1658"/>
      <c r="CL115" s="1662"/>
      <c r="CM115" s="1662"/>
      <c r="CN115" s="1662"/>
      <c r="CO115" s="1662"/>
      <c r="CP115" s="1658"/>
      <c r="CQ115" s="1662"/>
      <c r="CR115" s="1662"/>
      <c r="CS115" s="1662"/>
      <c r="CT115" s="1662"/>
      <c r="CU115" s="1658"/>
      <c r="CV115" s="1662"/>
      <c r="CW115" s="1662"/>
      <c r="CX115" s="1662"/>
      <c r="CY115" s="1662"/>
      <c r="CZ115" s="1658"/>
      <c r="DA115" s="1658"/>
      <c r="DB115" s="1658"/>
      <c r="DC115" s="1658"/>
      <c r="DD115" s="1705"/>
    </row>
    <row r="116" spans="1:113" s="1178" customFormat="1" ht="11.25" outlineLevel="1">
      <c r="A116" s="1182"/>
      <c r="B116" s="1182"/>
      <c r="C116" s="1191" t="s">
        <v>1201</v>
      </c>
      <c r="D116" s="1182"/>
      <c r="E116" s="1182"/>
      <c r="F116" s="1182"/>
      <c r="G116" s="1182"/>
      <c r="H116" s="1182"/>
      <c r="I116" s="1182"/>
      <c r="J116" s="1182"/>
      <c r="K116" s="1182"/>
      <c r="L116" s="1182"/>
      <c r="M116" s="1182"/>
      <c r="N116" s="1356"/>
      <c r="O116" s="1356"/>
      <c r="P116" s="1356"/>
      <c r="Q116" s="1356"/>
      <c r="R116" s="1356"/>
      <c r="S116" s="1356"/>
      <c r="T116" s="1356"/>
      <c r="U116" s="1356"/>
      <c r="V116" s="1356"/>
      <c r="W116" s="1356"/>
      <c r="X116" s="1356"/>
      <c r="Y116" s="1356"/>
      <c r="Z116" s="1356"/>
      <c r="AA116" s="1356"/>
      <c r="AB116" s="1356"/>
      <c r="AC116" s="1356"/>
      <c r="AD116" s="1356"/>
      <c r="AE116" s="1356"/>
      <c r="AF116" s="1356"/>
      <c r="AG116" s="1356"/>
      <c r="AH116" s="1356"/>
      <c r="AI116" s="1356"/>
      <c r="AJ116" s="1356"/>
      <c r="AK116" s="1356"/>
      <c r="AL116" s="1356"/>
      <c r="AM116" s="1356"/>
      <c r="AN116" s="1356"/>
      <c r="AO116" s="1356"/>
      <c r="AP116" s="1356"/>
      <c r="AQ116" s="1356"/>
      <c r="AR116" s="1356"/>
      <c r="AS116" s="1356"/>
      <c r="AT116" s="1356"/>
      <c r="AU116" s="1356"/>
      <c r="AV116" s="1356"/>
      <c r="AW116" s="1356">
        <v>0</v>
      </c>
      <c r="AX116" s="1356"/>
      <c r="AY116" s="1356"/>
      <c r="AZ116" s="1356"/>
      <c r="BA116" s="1356"/>
      <c r="BB116" s="1339">
        <v>0</v>
      </c>
      <c r="BC116" s="1339"/>
      <c r="BD116" s="1339"/>
      <c r="BE116" s="1339"/>
      <c r="BF116" s="1339"/>
      <c r="BG116" s="1339">
        <v>-0.04</v>
      </c>
      <c r="BH116" s="1339"/>
      <c r="BI116" s="1339"/>
      <c r="BJ116" s="1339"/>
      <c r="BK116" s="1339"/>
      <c r="BL116" s="1339">
        <v>-0.04</v>
      </c>
      <c r="BM116" s="1356"/>
      <c r="BN116" s="1356"/>
      <c r="BO116" s="1356"/>
      <c r="BP116" s="1356"/>
      <c r="BQ116" s="1307">
        <v>-0.04</v>
      </c>
      <c r="BR116" s="1705"/>
      <c r="BS116" s="1705"/>
      <c r="BT116" s="1705"/>
      <c r="BU116" s="1705"/>
      <c r="BV116" s="1307">
        <v>-0.04</v>
      </c>
      <c r="BW116" s="1705"/>
      <c r="BX116" s="1705"/>
      <c r="BY116" s="1705"/>
      <c r="BZ116" s="1705"/>
      <c r="CA116" s="1658"/>
      <c r="CB116" s="1662"/>
      <c r="CC116" s="1662"/>
      <c r="CD116" s="1662"/>
      <c r="CE116" s="1662"/>
      <c r="CF116" s="1658"/>
      <c r="CG116" s="1662"/>
      <c r="CH116" s="1662"/>
      <c r="CI116" s="1662"/>
      <c r="CJ116" s="1662"/>
      <c r="CK116" s="1658"/>
      <c r="CL116" s="1662"/>
      <c r="CM116" s="1662"/>
      <c r="CN116" s="1662"/>
      <c r="CO116" s="1662"/>
      <c r="CP116" s="1658"/>
      <c r="CQ116" s="1662"/>
      <c r="CR116" s="1662"/>
      <c r="CS116" s="1662"/>
      <c r="CT116" s="1662"/>
      <c r="CU116" s="1658"/>
      <c r="CV116" s="1662"/>
      <c r="CW116" s="1662"/>
      <c r="CX116" s="1662"/>
      <c r="CY116" s="1662"/>
      <c r="CZ116" s="1658"/>
      <c r="DA116" s="1658"/>
      <c r="DB116" s="1658"/>
      <c r="DC116" s="1658"/>
      <c r="DD116" s="1705"/>
    </row>
    <row r="117" spans="1:113" s="1178" customFormat="1" ht="11.25" outlineLevel="1">
      <c r="A117" s="1182"/>
      <c r="B117" s="1182"/>
      <c r="C117" s="1191" t="s">
        <v>1200</v>
      </c>
      <c r="D117" s="1182"/>
      <c r="E117" s="1182"/>
      <c r="F117" s="1182"/>
      <c r="G117" s="1182"/>
      <c r="H117" s="1182"/>
      <c r="I117" s="1182"/>
      <c r="J117" s="1182"/>
      <c r="K117" s="1182"/>
      <c r="L117" s="1182"/>
      <c r="M117" s="1182"/>
      <c r="N117" s="1356"/>
      <c r="O117" s="1356"/>
      <c r="P117" s="1356"/>
      <c r="Q117" s="1356"/>
      <c r="R117" s="1356"/>
      <c r="S117" s="1356"/>
      <c r="T117" s="1356"/>
      <c r="U117" s="1356"/>
      <c r="V117" s="1356"/>
      <c r="W117" s="1356"/>
      <c r="X117" s="1356"/>
      <c r="Y117" s="1356"/>
      <c r="Z117" s="1356"/>
      <c r="AA117" s="1356"/>
      <c r="AB117" s="1356"/>
      <c r="AC117" s="1356"/>
      <c r="AD117" s="1356"/>
      <c r="AE117" s="1356"/>
      <c r="AF117" s="1356"/>
      <c r="AG117" s="1356"/>
      <c r="AH117" s="1356"/>
      <c r="AI117" s="1356"/>
      <c r="AJ117" s="1356"/>
      <c r="AK117" s="1356"/>
      <c r="AL117" s="1356"/>
      <c r="AM117" s="1356"/>
      <c r="AN117" s="1356"/>
      <c r="AO117" s="1356"/>
      <c r="AP117" s="1356"/>
      <c r="AQ117" s="1356"/>
      <c r="AR117" s="1356"/>
      <c r="AS117" s="1356"/>
      <c r="AT117" s="1356"/>
      <c r="AU117" s="1356"/>
      <c r="AV117" s="1356"/>
      <c r="AW117" s="1339">
        <v>0.35</v>
      </c>
      <c r="AX117" s="1356"/>
      <c r="AY117" s="1356"/>
      <c r="AZ117" s="1356"/>
      <c r="BA117" s="1356"/>
      <c r="BB117" s="1339">
        <v>0.35</v>
      </c>
      <c r="BC117" s="1356"/>
      <c r="BD117" s="1356"/>
      <c r="BE117" s="1356"/>
      <c r="BF117" s="1356"/>
      <c r="BG117" s="1339">
        <v>0.35</v>
      </c>
      <c r="BH117" s="1356"/>
      <c r="BI117" s="1356"/>
      <c r="BJ117" s="1356"/>
      <c r="BK117" s="1356"/>
      <c r="BL117" s="1339">
        <v>0.35</v>
      </c>
      <c r="BM117" s="1356"/>
      <c r="BN117" s="1356"/>
      <c r="BO117" s="1356"/>
      <c r="BP117" s="1356"/>
      <c r="BQ117" s="1706">
        <v>0.35</v>
      </c>
      <c r="BR117" s="1705"/>
      <c r="BS117" s="1705"/>
      <c r="BT117" s="1705"/>
      <c r="BU117" s="1705"/>
      <c r="BV117" s="1706">
        <v>0.35</v>
      </c>
      <c r="BW117" s="1705"/>
      <c r="BX117" s="1705"/>
      <c r="BY117" s="1705"/>
      <c r="BZ117" s="1705"/>
      <c r="CA117" s="1658"/>
      <c r="CB117" s="1662"/>
      <c r="CC117" s="1662"/>
      <c r="CD117" s="1662"/>
      <c r="CE117" s="1662"/>
      <c r="CF117" s="1658"/>
      <c r="CG117" s="1662"/>
      <c r="CH117" s="1662"/>
      <c r="CI117" s="1662"/>
      <c r="CJ117" s="1662"/>
      <c r="CK117" s="1658"/>
      <c r="CL117" s="1662"/>
      <c r="CM117" s="1662"/>
      <c r="CN117" s="1662"/>
      <c r="CO117" s="1662"/>
      <c r="CP117" s="1658"/>
      <c r="CQ117" s="1662"/>
      <c r="CR117" s="1662"/>
      <c r="CS117" s="1662"/>
      <c r="CT117" s="1662"/>
      <c r="CU117" s="1658"/>
      <c r="CV117" s="1662"/>
      <c r="CW117" s="1662"/>
      <c r="CX117" s="1662"/>
      <c r="CY117" s="1662"/>
      <c r="CZ117" s="1658"/>
      <c r="DA117" s="1658"/>
      <c r="DB117" s="1658"/>
      <c r="DC117" s="1658"/>
      <c r="DD117" s="1705"/>
    </row>
    <row r="118" spans="1:113" s="1178" customFormat="1" ht="11.25" outlineLevel="1">
      <c r="A118" s="1182"/>
      <c r="B118" s="1182"/>
      <c r="C118" s="1191" t="s">
        <v>8</v>
      </c>
      <c r="D118" s="1182"/>
      <c r="E118" s="1182"/>
      <c r="F118" s="1182"/>
      <c r="G118" s="1182"/>
      <c r="H118" s="1182"/>
      <c r="I118" s="1182"/>
      <c r="J118" s="1182"/>
      <c r="K118" s="1182"/>
      <c r="L118" s="1182"/>
      <c r="M118" s="1182"/>
      <c r="N118" s="1356"/>
      <c r="O118" s="1356"/>
      <c r="P118" s="1356"/>
      <c r="Q118" s="1356"/>
      <c r="R118" s="1356"/>
      <c r="S118" s="1356"/>
      <c r="T118" s="1356"/>
      <c r="U118" s="1356"/>
      <c r="V118" s="1356"/>
      <c r="W118" s="1356"/>
      <c r="X118" s="1356"/>
      <c r="Y118" s="1356"/>
      <c r="Z118" s="1356"/>
      <c r="AA118" s="1356"/>
      <c r="AB118" s="1356"/>
      <c r="AC118" s="1356"/>
      <c r="AD118" s="1356"/>
      <c r="AE118" s="1356"/>
      <c r="AF118" s="1356"/>
      <c r="AG118" s="1356"/>
      <c r="AH118" s="1356"/>
      <c r="AI118" s="1356"/>
      <c r="AJ118" s="1356"/>
      <c r="AK118" s="1356"/>
      <c r="AL118" s="1356"/>
      <c r="AM118" s="1356"/>
      <c r="AN118" s="1356"/>
      <c r="AO118" s="1356"/>
      <c r="AP118" s="1356"/>
      <c r="AQ118" s="1356"/>
      <c r="AR118" s="1356"/>
      <c r="AS118" s="1356"/>
      <c r="AT118" s="1356"/>
      <c r="AU118" s="1356"/>
      <c r="AV118" s="1356"/>
      <c r="AW118" s="1356"/>
      <c r="AX118" s="1356"/>
      <c r="AY118" s="1356"/>
      <c r="AZ118" s="1356"/>
      <c r="BA118" s="1356"/>
      <c r="BB118" s="1356"/>
      <c r="BC118" s="1356"/>
      <c r="BD118" s="1356"/>
      <c r="BE118" s="1356"/>
      <c r="BF118" s="1356"/>
      <c r="BG118" s="1356"/>
      <c r="BH118" s="1356"/>
      <c r="BI118" s="1356"/>
      <c r="BJ118" s="1356"/>
      <c r="BK118" s="1356"/>
      <c r="BL118" s="1356"/>
      <c r="BM118" s="1356"/>
      <c r="BN118" s="1356"/>
      <c r="BO118" s="1356"/>
      <c r="BP118" s="1356"/>
      <c r="BQ118" s="1658"/>
      <c r="BR118" s="1705"/>
      <c r="BS118" s="1705"/>
      <c r="BT118" s="1705"/>
      <c r="BU118" s="1705"/>
      <c r="BV118" s="1658"/>
      <c r="BW118" s="1705"/>
      <c r="BX118" s="1705"/>
      <c r="BY118" s="1705"/>
      <c r="BZ118" s="1705"/>
      <c r="CA118" s="1658"/>
      <c r="CB118" s="1662"/>
      <c r="CC118" s="1662"/>
      <c r="CD118" s="1662"/>
      <c r="CE118" s="1662"/>
      <c r="CF118" s="1658"/>
      <c r="CG118" s="1662"/>
      <c r="CH118" s="1662"/>
      <c r="CI118" s="1662"/>
      <c r="CJ118" s="1662"/>
      <c r="CK118" s="1658"/>
      <c r="CL118" s="1662"/>
      <c r="CM118" s="1662"/>
      <c r="CN118" s="1662"/>
      <c r="CO118" s="1662"/>
      <c r="CP118" s="1658"/>
      <c r="CQ118" s="1662"/>
      <c r="CR118" s="1662"/>
      <c r="CS118" s="1662"/>
      <c r="CT118" s="1662"/>
      <c r="CU118" s="1658"/>
      <c r="CV118" s="1662"/>
      <c r="CW118" s="1662"/>
      <c r="CX118" s="1662"/>
      <c r="CY118" s="1662"/>
      <c r="CZ118" s="1658"/>
      <c r="DA118" s="1658"/>
      <c r="DB118" s="1658"/>
      <c r="DC118" s="1658"/>
      <c r="DD118" s="1705"/>
    </row>
    <row r="119" spans="1:113" s="1178" customFormat="1" ht="11.25" outlineLevel="1" collapsed="1">
      <c r="A119" s="1191"/>
      <c r="B119" s="1191"/>
      <c r="C119" s="1191"/>
      <c r="D119" s="1191"/>
      <c r="E119" s="1191"/>
      <c r="F119" s="1191"/>
      <c r="G119" s="1191"/>
      <c r="H119" s="1191"/>
      <c r="I119" s="1191"/>
      <c r="J119" s="1191"/>
      <c r="K119" s="1191"/>
      <c r="L119" s="1191"/>
      <c r="M119" s="1191"/>
      <c r="N119" s="1182"/>
      <c r="O119" s="1191"/>
      <c r="P119" s="1191"/>
      <c r="Q119" s="1191"/>
      <c r="R119" s="1191"/>
      <c r="S119" s="1182"/>
      <c r="T119" s="1191"/>
      <c r="U119" s="1191"/>
      <c r="V119" s="1191"/>
      <c r="W119" s="1191"/>
      <c r="X119" s="1182"/>
      <c r="Y119" s="1191"/>
      <c r="Z119" s="1191"/>
      <c r="AA119" s="1191"/>
      <c r="AB119" s="1191"/>
      <c r="AC119" s="1182"/>
      <c r="AD119" s="1191"/>
      <c r="AE119" s="1191"/>
      <c r="AF119" s="1191"/>
      <c r="AG119" s="1191"/>
      <c r="AH119" s="1182"/>
      <c r="AI119" s="1191"/>
      <c r="AJ119" s="1191"/>
      <c r="AK119" s="1191"/>
      <c r="AL119" s="1191"/>
      <c r="AM119" s="1182"/>
      <c r="AN119" s="1191"/>
      <c r="AO119" s="1191"/>
      <c r="AP119" s="1191"/>
      <c r="AQ119" s="1191"/>
      <c r="AR119" s="1182"/>
      <c r="AS119" s="1182"/>
      <c r="AT119" s="1182"/>
      <c r="AU119" s="1182"/>
      <c r="AV119" s="1182"/>
      <c r="AW119" s="1182"/>
      <c r="AX119" s="1182"/>
      <c r="AY119" s="1182"/>
      <c r="AZ119" s="1182"/>
      <c r="BA119" s="1182"/>
      <c r="BB119" s="1182"/>
      <c r="BC119" s="1182"/>
      <c r="BD119" s="1182"/>
      <c r="BE119" s="1182"/>
      <c r="BF119" s="1182"/>
      <c r="BG119" s="1182"/>
      <c r="BH119" s="1182"/>
      <c r="BI119" s="1182"/>
      <c r="BJ119" s="1182"/>
      <c r="BK119" s="1182"/>
      <c r="BL119" s="1182"/>
      <c r="BM119" s="1182"/>
      <c r="BN119" s="1182"/>
      <c r="BO119" s="1182"/>
      <c r="BP119" s="1182"/>
      <c r="BQ119" s="1223"/>
      <c r="BR119" s="1190"/>
      <c r="BS119" s="1190"/>
      <c r="BT119" s="1190"/>
      <c r="BU119" s="1190"/>
      <c r="BV119" s="1223"/>
      <c r="BW119" s="1190"/>
      <c r="BX119" s="1190"/>
      <c r="BY119" s="1190"/>
      <c r="BZ119" s="1190"/>
      <c r="CA119" s="1223"/>
      <c r="CB119" s="1240"/>
      <c r="CC119" s="1240"/>
      <c r="CD119" s="1240"/>
      <c r="CE119" s="1240"/>
      <c r="CF119" s="1223"/>
      <c r="CG119" s="1240"/>
      <c r="CH119" s="1240"/>
      <c r="CI119" s="1240"/>
      <c r="CJ119" s="1254">
        <f>CJ125/CE125-1</f>
        <v>-2.8378378378378422E-2</v>
      </c>
      <c r="CK119" s="1223"/>
      <c r="CL119" s="1240"/>
      <c r="CM119" s="1240"/>
      <c r="CN119" s="1240"/>
      <c r="CO119" s="1240"/>
      <c r="CP119" s="1223"/>
      <c r="CQ119" s="1240"/>
      <c r="CR119" s="1240"/>
      <c r="CS119" s="1240"/>
      <c r="CT119" s="1240"/>
      <c r="CU119" s="1223"/>
      <c r="CV119" s="1240"/>
      <c r="CW119" s="1240"/>
      <c r="CX119" s="1240"/>
      <c r="CY119" s="1240"/>
      <c r="CZ119" s="1223"/>
      <c r="DA119" s="1223"/>
      <c r="DB119" s="1223"/>
      <c r="DC119" s="1223"/>
      <c r="DD119" s="1190"/>
      <c r="DE119" s="1234" t="s">
        <v>1380</v>
      </c>
    </row>
    <row r="120" spans="1:113" s="1178" customFormat="1" ht="11.25">
      <c r="A120" s="1220"/>
      <c r="B120" s="1219"/>
      <c r="C120" s="1219" t="s">
        <v>1199</v>
      </c>
      <c r="D120" s="1220"/>
      <c r="E120" s="1220"/>
      <c r="F120" s="1220"/>
      <c r="G120" s="1220"/>
      <c r="H120" s="1220"/>
      <c r="I120" s="1220"/>
      <c r="J120" s="1220"/>
      <c r="K120" s="1220"/>
      <c r="L120" s="1220"/>
      <c r="M120" s="1220"/>
      <c r="N120" s="1219"/>
      <c r="O120" s="1220"/>
      <c r="P120" s="1220"/>
      <c r="Q120" s="1220"/>
      <c r="R120" s="1220"/>
      <c r="S120" s="1219"/>
      <c r="T120" s="1220"/>
      <c r="U120" s="1220"/>
      <c r="V120" s="1220"/>
      <c r="W120" s="1220"/>
      <c r="X120" s="1219"/>
      <c r="Y120" s="1220"/>
      <c r="Z120" s="1220"/>
      <c r="AA120" s="1220"/>
      <c r="AB120" s="1220"/>
      <c r="AC120" s="1219"/>
      <c r="AD120" s="1220"/>
      <c r="AE120" s="1220"/>
      <c r="AF120" s="1220"/>
      <c r="AG120" s="1220"/>
      <c r="AH120" s="1219"/>
      <c r="AI120" s="1220"/>
      <c r="AJ120" s="1220"/>
      <c r="AK120" s="1220"/>
      <c r="AL120" s="1220"/>
      <c r="AM120" s="1219"/>
      <c r="AN120" s="1220"/>
      <c r="AO120" s="1220"/>
      <c r="AP120" s="1220"/>
      <c r="AQ120" s="1220"/>
      <c r="AR120" s="1219"/>
      <c r="AS120" s="1219"/>
      <c r="AT120" s="1219"/>
      <c r="AU120" s="1219"/>
      <c r="AV120" s="1219"/>
      <c r="AW120" s="1219"/>
      <c r="AX120" s="1219"/>
      <c r="AY120" s="1219"/>
      <c r="AZ120" s="1219"/>
      <c r="BA120" s="1219"/>
      <c r="BB120" s="1219"/>
      <c r="BC120" s="1219"/>
      <c r="BD120" s="1219"/>
      <c r="BE120" s="1219"/>
      <c r="BF120" s="1219"/>
      <c r="BG120" s="1219"/>
      <c r="BH120" s="1219"/>
      <c r="BI120" s="1219"/>
      <c r="BJ120" s="1219"/>
      <c r="BK120" s="1219"/>
      <c r="BL120" s="1219"/>
      <c r="BM120" s="1219"/>
      <c r="BN120" s="1219"/>
      <c r="BO120" s="1219"/>
      <c r="BP120" s="1219"/>
      <c r="BQ120" s="1218"/>
      <c r="BR120" s="1218"/>
      <c r="BS120" s="1218"/>
      <c r="BT120" s="1218"/>
      <c r="BU120" s="1218"/>
      <c r="BV120" s="1218"/>
      <c r="BW120" s="1218"/>
      <c r="BX120" s="1218"/>
      <c r="BY120" s="1218"/>
      <c r="BZ120" s="1218"/>
      <c r="CA120" s="1218"/>
      <c r="CB120" s="1655"/>
      <c r="CC120" s="1655"/>
      <c r="CD120" s="1655"/>
      <c r="CE120" s="1655"/>
      <c r="CF120" s="1218"/>
      <c r="CG120" s="1655"/>
      <c r="CH120" s="1655"/>
      <c r="CI120" s="1655"/>
      <c r="CJ120" s="1655"/>
      <c r="CK120" s="1217"/>
      <c r="CL120" s="1655"/>
      <c r="CM120" s="1655"/>
      <c r="CN120" s="1655"/>
      <c r="CO120" s="1655"/>
      <c r="CP120" s="1217"/>
      <c r="CQ120" s="1655"/>
      <c r="CR120" s="1655"/>
      <c r="CS120" s="1655"/>
      <c r="CT120" s="1655"/>
      <c r="CU120" s="1217"/>
      <c r="CV120" s="1655"/>
      <c r="CW120" s="1655"/>
      <c r="CX120" s="1655"/>
      <c r="CY120" s="1655"/>
      <c r="CZ120" s="1217"/>
      <c r="DA120" s="1217"/>
      <c r="DB120" s="1217"/>
      <c r="DC120" s="1217"/>
      <c r="DD120" s="1234" t="s">
        <v>1030</v>
      </c>
      <c r="DE120" s="2020">
        <v>185</v>
      </c>
      <c r="DF120" s="2020">
        <v>220</v>
      </c>
      <c r="DG120" s="2020">
        <v>190</v>
      </c>
      <c r="DH120" s="2020">
        <v>190</v>
      </c>
      <c r="DI120" s="1234">
        <f>SUM(DE120:DH120)</f>
        <v>785</v>
      </c>
    </row>
    <row r="121" spans="1:113" s="1178" customFormat="1" ht="11.25">
      <c r="A121" s="1191"/>
      <c r="B121" s="1191"/>
      <c r="C121" s="1191" t="s">
        <v>1198</v>
      </c>
      <c r="D121" s="1191"/>
      <c r="E121" s="1191"/>
      <c r="F121" s="1191"/>
      <c r="G121" s="1191"/>
      <c r="H121" s="1191"/>
      <c r="I121" s="1191"/>
      <c r="J121" s="1191"/>
      <c r="K121" s="1191"/>
      <c r="L121" s="1191"/>
      <c r="M121" s="1191"/>
      <c r="N121" s="1704" t="s">
        <v>946</v>
      </c>
      <c r="O121" s="1704" t="s">
        <v>946</v>
      </c>
      <c r="P121" s="1704" t="s">
        <v>946</v>
      </c>
      <c r="Q121" s="1191">
        <v>116</v>
      </c>
      <c r="R121" s="1704" t="s">
        <v>946</v>
      </c>
      <c r="S121" s="1704" t="s">
        <v>946</v>
      </c>
      <c r="T121" s="1191">
        <v>101</v>
      </c>
      <c r="U121" s="1191">
        <v>88</v>
      </c>
      <c r="V121" s="1191">
        <v>70</v>
      </c>
      <c r="W121" s="1704" t="s">
        <v>946</v>
      </c>
      <c r="X121" s="1704" t="s">
        <v>946</v>
      </c>
      <c r="Y121" s="1191">
        <v>91</v>
      </c>
      <c r="Z121" s="1191">
        <v>80</v>
      </c>
      <c r="AA121" s="1191">
        <v>72</v>
      </c>
      <c r="AB121" s="1191">
        <v>70</v>
      </c>
      <c r="AC121" s="1698">
        <f>SUM(Y121:AB121)</f>
        <v>313</v>
      </c>
      <c r="AD121" s="1191">
        <v>75</v>
      </c>
      <c r="AE121" s="1191">
        <v>86</v>
      </c>
      <c r="AF121" s="1191">
        <v>82</v>
      </c>
      <c r="AG121" s="1191">
        <v>81</v>
      </c>
      <c r="AH121" s="1698">
        <f>SUM(AD121:AG121)</f>
        <v>324</v>
      </c>
      <c r="AI121" s="1231">
        <v>83</v>
      </c>
      <c r="AJ121" s="1231">
        <v>108</v>
      </c>
      <c r="AK121" s="1231">
        <v>90</v>
      </c>
      <c r="AL121" s="1231">
        <v>129</v>
      </c>
      <c r="AM121" s="1698">
        <f>SUM(AI121:AL121)</f>
        <v>410</v>
      </c>
      <c r="AN121" s="1231">
        <v>105</v>
      </c>
      <c r="AO121" s="1231">
        <v>96</v>
      </c>
      <c r="AP121" s="1702">
        <v>85</v>
      </c>
      <c r="AQ121" s="1191">
        <v>110</v>
      </c>
      <c r="AR121" s="1700">
        <f>SUM(AN121:AQ121)</f>
        <v>396</v>
      </c>
      <c r="AS121" s="1206">
        <v>79</v>
      </c>
      <c r="AT121" s="1206">
        <v>98</v>
      </c>
      <c r="AU121" s="1206">
        <v>94</v>
      </c>
      <c r="AV121" s="1206">
        <v>111</v>
      </c>
      <c r="AW121" s="1700">
        <f>SUM(AS121:AV121)</f>
        <v>382</v>
      </c>
      <c r="AX121" s="1701">
        <v>109</v>
      </c>
      <c r="AY121" s="1701">
        <v>122</v>
      </c>
      <c r="AZ121" s="1701">
        <v>99</v>
      </c>
      <c r="BA121" s="1701">
        <v>132</v>
      </c>
      <c r="BB121" s="1700">
        <f>SUM(AX121:BA121)</f>
        <v>462</v>
      </c>
      <c r="BC121" s="1701">
        <v>114</v>
      </c>
      <c r="BD121" s="1700">
        <v>98</v>
      </c>
      <c r="BE121" s="1700">
        <v>95</v>
      </c>
      <c r="BF121" s="1700">
        <v>101</v>
      </c>
      <c r="BG121" s="1700">
        <f>SUM(BC121:BF121)</f>
        <v>408</v>
      </c>
      <c r="BH121" s="1700">
        <v>112</v>
      </c>
      <c r="BI121" s="1206">
        <v>120</v>
      </c>
      <c r="BJ121" s="1206">
        <v>98</v>
      </c>
      <c r="BK121" s="1700">
        <v>110</v>
      </c>
      <c r="BL121" s="1700">
        <f>SUM(BH121:BK121)</f>
        <v>440</v>
      </c>
      <c r="BM121" s="1700">
        <v>123</v>
      </c>
      <c r="BN121" s="1700">
        <v>120</v>
      </c>
      <c r="BO121" s="1700">
        <v>133</v>
      </c>
      <c r="BP121" s="1700">
        <v>154</v>
      </c>
      <c r="BQ121" s="1323">
        <f>SUM(BM121:BP121)</f>
        <v>530</v>
      </c>
      <c r="BR121" s="1698">
        <v>116</v>
      </c>
      <c r="BS121" s="1698">
        <v>142</v>
      </c>
      <c r="BT121" s="1698">
        <v>152</v>
      </c>
      <c r="BU121" s="1698">
        <v>143</v>
      </c>
      <c r="BV121" s="1323">
        <f>SUM(BR121:BU121)</f>
        <v>553</v>
      </c>
      <c r="BW121" s="1190">
        <v>146</v>
      </c>
      <c r="BX121" s="1190">
        <v>185</v>
      </c>
      <c r="BY121" s="1190">
        <v>139</v>
      </c>
      <c r="BZ121" s="1190">
        <v>156</v>
      </c>
      <c r="CA121" s="1590">
        <f>SUM(BW121:BZ121)</f>
        <v>626</v>
      </c>
      <c r="CB121" s="1190">
        <v>167</v>
      </c>
      <c r="CC121" s="1190">
        <v>173</v>
      </c>
      <c r="CD121" s="1190">
        <v>145</v>
      </c>
      <c r="CE121" s="1240">
        <v>136</v>
      </c>
      <c r="CF121" s="1590">
        <f>SUM(CB121:CE121)</f>
        <v>621</v>
      </c>
      <c r="CG121" s="1240">
        <v>166</v>
      </c>
      <c r="CH121" s="1240">
        <v>148</v>
      </c>
      <c r="CI121" s="1240">
        <v>96</v>
      </c>
      <c r="CJ121" s="1240">
        <v>148</v>
      </c>
      <c r="CK121" s="1590">
        <f>SUM(CG121:CJ121)</f>
        <v>558</v>
      </c>
      <c r="CL121" s="2094">
        <v>148</v>
      </c>
      <c r="CM121" s="1855">
        <v>149</v>
      </c>
      <c r="CN121" s="1855">
        <v>113</v>
      </c>
      <c r="CO121" s="1567">
        <f>CP121-SUM(CL121:CN121)</f>
        <v>128</v>
      </c>
      <c r="CP121" s="1590">
        <v>538</v>
      </c>
      <c r="CQ121" s="1240">
        <v>139</v>
      </c>
      <c r="CR121" s="1240">
        <v>139</v>
      </c>
      <c r="CS121" s="1240"/>
      <c r="CT121" s="1240"/>
      <c r="CU121" s="1590"/>
      <c r="CV121" s="1240"/>
      <c r="CW121" s="1240"/>
      <c r="CX121" s="1240"/>
      <c r="CY121" s="1240"/>
      <c r="CZ121" s="1590"/>
      <c r="DA121" s="1590"/>
      <c r="DB121" s="2234"/>
      <c r="DC121" s="2234"/>
      <c r="DD121" s="308" t="s">
        <v>1384</v>
      </c>
      <c r="DE121" s="1896">
        <f>DI121/4</f>
        <v>18.75</v>
      </c>
      <c r="DF121" s="1896">
        <f t="shared" ref="DF121:DH122" si="65">DE121</f>
        <v>18.75</v>
      </c>
      <c r="DG121" s="1896">
        <f t="shared" si="65"/>
        <v>18.75</v>
      </c>
      <c r="DH121" s="1896">
        <f t="shared" si="65"/>
        <v>18.75</v>
      </c>
      <c r="DI121" s="1178">
        <v>75</v>
      </c>
    </row>
    <row r="122" spans="1:113" s="1178" customFormat="1" ht="11.25">
      <c r="A122" s="1191"/>
      <c r="B122" s="1191"/>
      <c r="C122" s="1191" t="s">
        <v>1157</v>
      </c>
      <c r="D122" s="1191"/>
      <c r="E122" s="1191"/>
      <c r="F122" s="1191"/>
      <c r="G122" s="1191"/>
      <c r="H122" s="1191"/>
      <c r="I122" s="1191"/>
      <c r="J122" s="1191"/>
      <c r="K122" s="1191"/>
      <c r="L122" s="1191"/>
      <c r="M122" s="1191"/>
      <c r="N122" s="1197" t="s">
        <v>946</v>
      </c>
      <c r="O122" s="1197" t="s">
        <v>946</v>
      </c>
      <c r="P122" s="1197" t="s">
        <v>946</v>
      </c>
      <c r="Q122" s="1191">
        <v>25</v>
      </c>
      <c r="R122" s="1197" t="s">
        <v>946</v>
      </c>
      <c r="S122" s="1197" t="s">
        <v>946</v>
      </c>
      <c r="T122" s="1191">
        <v>25</v>
      </c>
      <c r="U122" s="1191">
        <v>51</v>
      </c>
      <c r="V122" s="1191">
        <v>40</v>
      </c>
      <c r="W122" s="1197" t="s">
        <v>946</v>
      </c>
      <c r="X122" s="1197" t="s">
        <v>946</v>
      </c>
      <c r="Y122" s="1191">
        <v>38</v>
      </c>
      <c r="Z122" s="1191">
        <v>54</v>
      </c>
      <c r="AA122" s="1191">
        <v>33</v>
      </c>
      <c r="AB122" s="1191">
        <v>36</v>
      </c>
      <c r="AC122" s="1698">
        <f>SUM(Y122:AB122)</f>
        <v>161</v>
      </c>
      <c r="AD122" s="1191">
        <v>29</v>
      </c>
      <c r="AE122" s="1191">
        <v>40</v>
      </c>
      <c r="AF122" s="1191">
        <v>52</v>
      </c>
      <c r="AG122" s="1191">
        <v>36</v>
      </c>
      <c r="AH122" s="1698">
        <f>SUM(AD122:AG122)</f>
        <v>157</v>
      </c>
      <c r="AI122" s="1231">
        <v>35</v>
      </c>
      <c r="AJ122" s="1231">
        <v>40</v>
      </c>
      <c r="AK122" s="1231">
        <v>38</v>
      </c>
      <c r="AL122" s="1231">
        <v>44</v>
      </c>
      <c r="AM122" s="1698">
        <f>SUM(AI122:AL122)</f>
        <v>157</v>
      </c>
      <c r="AN122" s="1231">
        <v>41</v>
      </c>
      <c r="AO122" s="1231">
        <v>41</v>
      </c>
      <c r="AP122" s="1702">
        <v>42</v>
      </c>
      <c r="AQ122" s="1191">
        <v>52</v>
      </c>
      <c r="AR122" s="1700">
        <f>SUM(AN122:AQ122)</f>
        <v>176</v>
      </c>
      <c r="AS122" s="1206">
        <v>32</v>
      </c>
      <c r="AT122" s="1206">
        <v>44</v>
      </c>
      <c r="AU122" s="1206">
        <v>46</v>
      </c>
      <c r="AV122" s="1206">
        <v>40</v>
      </c>
      <c r="AW122" s="1700">
        <f>SUM(AS122:AV122)</f>
        <v>162</v>
      </c>
      <c r="AX122" s="1701">
        <v>41</v>
      </c>
      <c r="AY122" s="1701">
        <v>34</v>
      </c>
      <c r="AZ122" s="1701">
        <v>36</v>
      </c>
      <c r="BA122" s="1701">
        <v>36</v>
      </c>
      <c r="BB122" s="1700">
        <f>SUM(AX122:BA122)</f>
        <v>147</v>
      </c>
      <c r="BC122" s="1701">
        <v>44</v>
      </c>
      <c r="BD122" s="1700">
        <v>35</v>
      </c>
      <c r="BE122" s="1700">
        <v>43</v>
      </c>
      <c r="BF122" s="1700">
        <v>49</v>
      </c>
      <c r="BG122" s="1700">
        <f>SUM(BC122:BF122)</f>
        <v>171</v>
      </c>
      <c r="BH122" s="1700">
        <v>40</v>
      </c>
      <c r="BI122" s="1206">
        <v>44</v>
      </c>
      <c r="BJ122" s="1206">
        <v>47</v>
      </c>
      <c r="BK122" s="1206">
        <v>49</v>
      </c>
      <c r="BL122" s="1700">
        <f>SUM(BH122:BK122)</f>
        <v>180</v>
      </c>
      <c r="BM122" s="1700">
        <v>30</v>
      </c>
      <c r="BN122" s="1700">
        <v>44</v>
      </c>
      <c r="BO122" s="1700">
        <v>38</v>
      </c>
      <c r="BP122" s="1700">
        <v>49</v>
      </c>
      <c r="BQ122" s="1323">
        <f>SUM(BM122:BP122)</f>
        <v>161</v>
      </c>
      <c r="BR122" s="1698">
        <v>37</v>
      </c>
      <c r="BS122" s="1698">
        <v>41</v>
      </c>
      <c r="BT122" s="1698">
        <v>39</v>
      </c>
      <c r="BU122" s="1698">
        <v>31</v>
      </c>
      <c r="BV122" s="1323">
        <f>SUM(BR122:BU122)</f>
        <v>148</v>
      </c>
      <c r="BW122" s="1190">
        <v>25</v>
      </c>
      <c r="BX122" s="1190">
        <v>28</v>
      </c>
      <c r="BY122" s="1190">
        <v>25</v>
      </c>
      <c r="BZ122" s="1190">
        <v>36</v>
      </c>
      <c r="CA122" s="1590">
        <f>SUM(BW122:BZ122)</f>
        <v>114</v>
      </c>
      <c r="CB122" s="1190">
        <v>25</v>
      </c>
      <c r="CC122" s="1190">
        <v>21</v>
      </c>
      <c r="CD122" s="1240">
        <v>19</v>
      </c>
      <c r="CE122" s="1240">
        <v>45</v>
      </c>
      <c r="CF122" s="1590">
        <f>SUM(CB122:CE122)</f>
        <v>110</v>
      </c>
      <c r="CG122" s="1240">
        <v>19</v>
      </c>
      <c r="CH122" s="1240">
        <v>29</v>
      </c>
      <c r="CI122" s="1240">
        <v>13</v>
      </c>
      <c r="CJ122" s="1240">
        <v>35</v>
      </c>
      <c r="CK122" s="1590">
        <f>SUM(CG122:CJ122)</f>
        <v>96</v>
      </c>
      <c r="CL122" s="2095">
        <v>30</v>
      </c>
      <c r="CM122" s="1567">
        <v>19</v>
      </c>
      <c r="CN122" s="1567">
        <v>26</v>
      </c>
      <c r="CO122" s="1567">
        <f>CP122-SUM(CL122:CN122)</f>
        <v>30</v>
      </c>
      <c r="CP122" s="1590">
        <v>105</v>
      </c>
      <c r="CQ122" s="1240">
        <v>23</v>
      </c>
      <c r="CR122" s="1240">
        <v>28</v>
      </c>
      <c r="CS122" s="1567">
        <f>CR122-CM122+CN122</f>
        <v>35</v>
      </c>
      <c r="CT122" s="1567">
        <f>CS122-CN122+CO122</f>
        <v>39</v>
      </c>
      <c r="CU122" s="1590">
        <f>SUM(CQ122:CT122)</f>
        <v>125</v>
      </c>
      <c r="CV122" s="1240"/>
      <c r="CW122" s="1240"/>
      <c r="CX122" s="1240"/>
      <c r="CY122" s="1240"/>
      <c r="CZ122" s="1590"/>
      <c r="DA122" s="1590"/>
      <c r="DB122" s="2234"/>
      <c r="DC122" s="2234"/>
      <c r="DD122" s="308" t="s">
        <v>1381</v>
      </c>
      <c r="DE122" s="1178">
        <f>DI122/4</f>
        <v>15</v>
      </c>
      <c r="DF122" s="1178">
        <f t="shared" si="65"/>
        <v>15</v>
      </c>
      <c r="DG122" s="1178">
        <f t="shared" si="65"/>
        <v>15</v>
      </c>
      <c r="DH122" s="1178">
        <f t="shared" si="65"/>
        <v>15</v>
      </c>
      <c r="DI122" s="1178">
        <v>60</v>
      </c>
    </row>
    <row r="123" spans="1:113" s="1234" customFormat="1" ht="11.25">
      <c r="A123" s="1182"/>
      <c r="B123" s="1182"/>
      <c r="C123" s="1182" t="s">
        <v>1379</v>
      </c>
      <c r="D123" s="1182"/>
      <c r="E123" s="1182"/>
      <c r="F123" s="1182"/>
      <c r="G123" s="1182"/>
      <c r="H123" s="1182"/>
      <c r="I123" s="1182"/>
      <c r="J123" s="1182"/>
      <c r="K123" s="1182"/>
      <c r="L123" s="1182"/>
      <c r="M123" s="1182"/>
      <c r="N123" s="1200"/>
      <c r="O123" s="1200"/>
      <c r="P123" s="1200"/>
      <c r="Q123" s="1182"/>
      <c r="R123" s="1200"/>
      <c r="S123" s="1200"/>
      <c r="T123" s="1182"/>
      <c r="U123" s="1182"/>
      <c r="V123" s="1182"/>
      <c r="W123" s="1200"/>
      <c r="X123" s="1200"/>
      <c r="Y123" s="1182"/>
      <c r="Z123" s="1182"/>
      <c r="AA123" s="1182"/>
      <c r="AB123" s="1182"/>
      <c r="AC123" s="1697"/>
      <c r="AD123" s="1182"/>
      <c r="AE123" s="1182"/>
      <c r="AF123" s="1182"/>
      <c r="AG123" s="1182"/>
      <c r="AH123" s="1697"/>
      <c r="AI123" s="1356"/>
      <c r="AJ123" s="1356"/>
      <c r="AK123" s="1356"/>
      <c r="AL123" s="1356"/>
      <c r="AM123" s="1697"/>
      <c r="AN123" s="1356"/>
      <c r="AO123" s="1356"/>
      <c r="AP123" s="2018"/>
      <c r="AQ123" s="1182"/>
      <c r="AR123" s="2019"/>
      <c r="AS123" s="1291"/>
      <c r="AT123" s="1291"/>
      <c r="AU123" s="1291"/>
      <c r="AV123" s="1291"/>
      <c r="AW123" s="2019"/>
      <c r="AX123" s="1317"/>
      <c r="AY123" s="1317"/>
      <c r="AZ123" s="1317"/>
      <c r="BA123" s="1317"/>
      <c r="BB123" s="2019"/>
      <c r="BC123" s="1317"/>
      <c r="BD123" s="2019"/>
      <c r="BE123" s="2019"/>
      <c r="BF123" s="2019"/>
      <c r="BG123" s="2019"/>
      <c r="BH123" s="2019"/>
      <c r="BI123" s="1291"/>
      <c r="BJ123" s="1291"/>
      <c r="BK123" s="1291"/>
      <c r="BL123" s="2019"/>
      <c r="BM123" s="2019"/>
      <c r="BN123" s="2019"/>
      <c r="BO123" s="2019"/>
      <c r="BP123" s="2019"/>
      <c r="BQ123" s="1287"/>
      <c r="BR123" s="1697"/>
      <c r="BS123" s="1697"/>
      <c r="BT123" s="1697"/>
      <c r="BU123" s="1697"/>
      <c r="BV123" s="1287"/>
      <c r="BW123" s="1357"/>
      <c r="BX123" s="1357"/>
      <c r="BY123" s="1357"/>
      <c r="BZ123" s="1357"/>
      <c r="CA123" s="1658"/>
      <c r="CB123" s="1357"/>
      <c r="CC123" s="1357"/>
      <c r="CD123" s="1243"/>
      <c r="CE123" s="1243"/>
      <c r="CF123" s="1658"/>
      <c r="CG123" s="1243">
        <f>SUM(CG121:CG122)</f>
        <v>185</v>
      </c>
      <c r="CH123" s="1243">
        <f>SUM(CH121:CH122)</f>
        <v>177</v>
      </c>
      <c r="CI123" s="1243">
        <f>SUM(CI121:CI122)</f>
        <v>109</v>
      </c>
      <c r="CJ123" s="1243">
        <f>SUM(CJ121:CJ122)</f>
        <v>183</v>
      </c>
      <c r="CK123" s="1658">
        <f>SUM(CG123:CJ123)</f>
        <v>654</v>
      </c>
      <c r="CL123" s="1904">
        <f t="shared" ref="CL123:CR123" si="66">SUM(CL121:CL122)</f>
        <v>178</v>
      </c>
      <c r="CM123" s="1904">
        <f t="shared" si="66"/>
        <v>168</v>
      </c>
      <c r="CN123" s="1904">
        <f t="shared" si="66"/>
        <v>139</v>
      </c>
      <c r="CO123" s="1904">
        <f t="shared" si="66"/>
        <v>158</v>
      </c>
      <c r="CP123" s="1658">
        <f t="shared" si="66"/>
        <v>643</v>
      </c>
      <c r="CQ123" s="1904">
        <f t="shared" si="66"/>
        <v>162</v>
      </c>
      <c r="CR123" s="1904">
        <f t="shared" si="66"/>
        <v>167</v>
      </c>
      <c r="CS123" s="1243"/>
      <c r="CT123" s="1243"/>
      <c r="CU123" s="1658"/>
      <c r="CV123" s="2113"/>
      <c r="CW123" s="2113"/>
      <c r="CX123" s="2113"/>
      <c r="CY123" s="2113"/>
      <c r="CZ123" s="1658"/>
      <c r="DA123" s="1658"/>
      <c r="DB123" s="1658"/>
      <c r="DC123" s="1658"/>
      <c r="DD123" s="1705" t="s">
        <v>1220</v>
      </c>
      <c r="DE123" s="1897">
        <f>DE120-DE122-DE121</f>
        <v>151.25</v>
      </c>
      <c r="DF123" s="1897">
        <f>DF120-DF122-DF121</f>
        <v>186.25</v>
      </c>
      <c r="DG123" s="1897">
        <f>DG120-DG122-DG121</f>
        <v>156.25</v>
      </c>
      <c r="DH123" s="1897">
        <f>DH120-DH122-DH121</f>
        <v>156.25</v>
      </c>
      <c r="DI123" s="1897">
        <f>DI120-DI122-DI121</f>
        <v>650</v>
      </c>
    </row>
    <row r="124" spans="1:113" s="1234" customFormat="1" ht="11.25">
      <c r="A124" s="1182"/>
      <c r="B124" s="1182"/>
      <c r="C124" s="1182"/>
      <c r="D124" s="1182"/>
      <c r="E124" s="1182"/>
      <c r="F124" s="1182"/>
      <c r="G124" s="1182"/>
      <c r="H124" s="1182"/>
      <c r="I124" s="1182"/>
      <c r="J124" s="1182"/>
      <c r="K124" s="1182"/>
      <c r="L124" s="1182"/>
      <c r="M124" s="1182"/>
      <c r="N124" s="1200"/>
      <c r="O124" s="1200"/>
      <c r="P124" s="1200"/>
      <c r="Q124" s="1182"/>
      <c r="R124" s="1200"/>
      <c r="S124" s="1200"/>
      <c r="T124" s="1182"/>
      <c r="U124" s="1182"/>
      <c r="V124" s="1182"/>
      <c r="W124" s="1200"/>
      <c r="X124" s="1200"/>
      <c r="Y124" s="1182"/>
      <c r="Z124" s="1182"/>
      <c r="AA124" s="1182"/>
      <c r="AB124" s="1182"/>
      <c r="AC124" s="1697"/>
      <c r="AD124" s="1182"/>
      <c r="AE124" s="1182"/>
      <c r="AF124" s="1182"/>
      <c r="AG124" s="1182"/>
      <c r="AH124" s="1697"/>
      <c r="AI124" s="1356"/>
      <c r="AJ124" s="1356"/>
      <c r="AK124" s="1356"/>
      <c r="AL124" s="1356"/>
      <c r="AM124" s="1697"/>
      <c r="AN124" s="1356"/>
      <c r="AO124" s="1356"/>
      <c r="AP124" s="2018"/>
      <c r="AQ124" s="1182"/>
      <c r="AR124" s="2019"/>
      <c r="AS124" s="1291"/>
      <c r="AT124" s="1291"/>
      <c r="AU124" s="1291"/>
      <c r="AV124" s="1291"/>
      <c r="AW124" s="2019"/>
      <c r="AX124" s="1317"/>
      <c r="AY124" s="1317"/>
      <c r="AZ124" s="1317"/>
      <c r="BA124" s="1317"/>
      <c r="BB124" s="2019"/>
      <c r="BC124" s="1317"/>
      <c r="BD124" s="2019"/>
      <c r="BE124" s="2019"/>
      <c r="BF124" s="2019"/>
      <c r="BG124" s="2019"/>
      <c r="BH124" s="2019"/>
      <c r="BI124" s="1291"/>
      <c r="BJ124" s="1291"/>
      <c r="BK124" s="1291"/>
      <c r="BL124" s="2019"/>
      <c r="BM124" s="2019"/>
      <c r="BN124" s="2019"/>
      <c r="BO124" s="2019"/>
      <c r="BP124" s="2019"/>
      <c r="BQ124" s="1287"/>
      <c r="BR124" s="1697"/>
      <c r="BS124" s="1697"/>
      <c r="BT124" s="1697"/>
      <c r="BU124" s="1697"/>
      <c r="BV124" s="1287"/>
      <c r="BW124" s="1357"/>
      <c r="BX124" s="1357"/>
      <c r="BY124" s="1357"/>
      <c r="BZ124" s="1357"/>
      <c r="CA124" s="1658"/>
      <c r="CB124" s="1357"/>
      <c r="CC124" s="1357"/>
      <c r="CD124" s="1243"/>
      <c r="CE124" s="1243"/>
      <c r="CF124" s="1658"/>
      <c r="CG124" s="1243"/>
      <c r="CH124" s="1243"/>
      <c r="CI124" s="1243"/>
      <c r="CJ124" s="1243"/>
      <c r="CK124" s="1658"/>
      <c r="CL124" s="1473">
        <f t="shared" ref="CL124:CR124" si="67">CL123/CG123-1</f>
        <v>-3.7837837837837784E-2</v>
      </c>
      <c r="CM124" s="1473">
        <f t="shared" si="67"/>
        <v>-5.084745762711862E-2</v>
      </c>
      <c r="CN124" s="1473">
        <f t="shared" si="67"/>
        <v>0.27522935779816504</v>
      </c>
      <c r="CO124" s="1473">
        <f t="shared" si="67"/>
        <v>-0.13661202185792354</v>
      </c>
      <c r="CP124" s="2021">
        <f t="shared" si="67"/>
        <v>-1.6819571865443472E-2</v>
      </c>
      <c r="CQ124" s="1473">
        <f t="shared" si="67"/>
        <v>-8.98876404494382E-2</v>
      </c>
      <c r="CR124" s="1473">
        <f t="shared" si="67"/>
        <v>-5.9523809523809312E-3</v>
      </c>
      <c r="CS124" s="1243"/>
      <c r="CT124" s="1243"/>
      <c r="CU124" s="1658"/>
      <c r="CV124" s="2113"/>
      <c r="CW124" s="2113"/>
      <c r="CX124" s="2113"/>
      <c r="CY124" s="2113"/>
      <c r="CZ124" s="1658"/>
      <c r="DA124" s="1658"/>
      <c r="DB124" s="1658"/>
      <c r="DC124" s="1658"/>
      <c r="DD124" s="1705"/>
    </row>
    <row r="125" spans="1:113" s="1178" customFormat="1" ht="11.25">
      <c r="A125" s="1191"/>
      <c r="B125" s="1191"/>
      <c r="C125" s="1699" t="s">
        <v>1197</v>
      </c>
      <c r="D125" s="1191"/>
      <c r="E125" s="1191"/>
      <c r="F125" s="1191"/>
      <c r="G125" s="1191"/>
      <c r="H125" s="1191"/>
      <c r="I125" s="1191"/>
      <c r="J125" s="1191"/>
      <c r="K125" s="1191"/>
      <c r="L125" s="1191"/>
      <c r="M125" s="1191"/>
      <c r="N125" s="1197" t="s">
        <v>946</v>
      </c>
      <c r="O125" s="1197" t="s">
        <v>946</v>
      </c>
      <c r="P125" s="1197" t="s">
        <v>946</v>
      </c>
      <c r="Q125" s="1191">
        <v>527</v>
      </c>
      <c r="R125" s="1197" t="s">
        <v>946</v>
      </c>
      <c r="S125" s="1197" t="s">
        <v>946</v>
      </c>
      <c r="T125" s="1191">
        <v>382</v>
      </c>
      <c r="U125" s="1191">
        <v>401</v>
      </c>
      <c r="V125" s="1191">
        <v>360</v>
      </c>
      <c r="W125" s="1197" t="s">
        <v>946</v>
      </c>
      <c r="X125" s="1197" t="s">
        <v>946</v>
      </c>
      <c r="Y125" s="1191">
        <v>295</v>
      </c>
      <c r="Z125" s="1191">
        <v>281</v>
      </c>
      <c r="AA125" s="1703">
        <v>272</v>
      </c>
      <c r="AB125" s="1191">
        <v>350</v>
      </c>
      <c r="AC125" s="1698">
        <f>SUM(Y125:AB125)</f>
        <v>1198</v>
      </c>
      <c r="AD125" s="1191">
        <v>336</v>
      </c>
      <c r="AE125" s="1191">
        <v>425</v>
      </c>
      <c r="AF125" s="1191">
        <v>436</v>
      </c>
      <c r="AG125" s="1191">
        <v>500</v>
      </c>
      <c r="AH125" s="1698">
        <f>SUM(AD125:AG125)</f>
        <v>1697</v>
      </c>
      <c r="AI125" s="1231">
        <v>426</v>
      </c>
      <c r="AJ125" s="1231">
        <v>530</v>
      </c>
      <c r="AK125" s="1231">
        <v>513</v>
      </c>
      <c r="AL125" s="1231">
        <v>591</v>
      </c>
      <c r="AM125" s="1698">
        <f>SUM(AI125:AL125)</f>
        <v>2060</v>
      </c>
      <c r="AN125" s="1231">
        <v>526</v>
      </c>
      <c r="AO125" s="1231">
        <v>593</v>
      </c>
      <c r="AP125" s="1702">
        <v>573</v>
      </c>
      <c r="AQ125" s="1191">
        <v>744</v>
      </c>
      <c r="AR125" s="1700">
        <f>SUM(AN125:AQ125)</f>
        <v>2436</v>
      </c>
      <c r="AS125" s="1206">
        <v>607</v>
      </c>
      <c r="AT125" s="1206">
        <v>728</v>
      </c>
      <c r="AU125" s="1206">
        <v>731</v>
      </c>
      <c r="AV125" s="1206">
        <v>922</v>
      </c>
      <c r="AW125" s="1700">
        <f>SUM(AS125:AV125)</f>
        <v>2988</v>
      </c>
      <c r="AX125" s="1701">
        <v>878</v>
      </c>
      <c r="AY125" s="1701">
        <v>1057</v>
      </c>
      <c r="AZ125" s="1701">
        <v>1015</v>
      </c>
      <c r="BA125" s="1701">
        <v>1050</v>
      </c>
      <c r="BB125" s="2019">
        <f>SUM(AX125:BA125)</f>
        <v>4000</v>
      </c>
      <c r="BC125" s="1317">
        <v>969</v>
      </c>
      <c r="BD125" s="2019">
        <v>781</v>
      </c>
      <c r="BE125" s="2019">
        <v>695</v>
      </c>
      <c r="BF125" s="2019">
        <v>699</v>
      </c>
      <c r="BG125" s="2019">
        <f>SUM(BC125:BF125)</f>
        <v>3144</v>
      </c>
      <c r="BH125" s="2019">
        <v>633</v>
      </c>
      <c r="BI125" s="1291">
        <v>683</v>
      </c>
      <c r="BJ125" s="1291">
        <v>715</v>
      </c>
      <c r="BK125" s="2019">
        <v>737</v>
      </c>
      <c r="BL125" s="2019">
        <f>SUM(BH125:BK125)</f>
        <v>2768</v>
      </c>
      <c r="BM125" s="2019">
        <v>606</v>
      </c>
      <c r="BN125" s="2019">
        <v>650</v>
      </c>
      <c r="BO125" s="2019">
        <v>683</v>
      </c>
      <c r="BP125" s="2019">
        <v>724</v>
      </c>
      <c r="BQ125" s="1287">
        <f>SUM(BM125:BP125)</f>
        <v>2663</v>
      </c>
      <c r="BR125" s="1697">
        <v>658</v>
      </c>
      <c r="BS125" s="1697">
        <v>697</v>
      </c>
      <c r="BT125" s="1697">
        <v>701</v>
      </c>
      <c r="BU125" s="1697">
        <v>811</v>
      </c>
      <c r="BV125" s="1287">
        <f>SUM(BR125:BU125)</f>
        <v>2867</v>
      </c>
      <c r="BW125" s="1357">
        <v>666</v>
      </c>
      <c r="BX125" s="1357">
        <v>720</v>
      </c>
      <c r="BY125" s="1357">
        <v>691</v>
      </c>
      <c r="BZ125" s="1357">
        <v>808</v>
      </c>
      <c r="CA125" s="1658">
        <f>SUM(BW125:BZ125)</f>
        <v>2885</v>
      </c>
      <c r="CB125" s="1357">
        <v>681</v>
      </c>
      <c r="CC125" s="1357">
        <v>668</v>
      </c>
      <c r="CD125" s="1357">
        <v>768</v>
      </c>
      <c r="CE125" s="2113">
        <v>740</v>
      </c>
      <c r="CF125" s="1658">
        <f>SUM(CB125:CE125)</f>
        <v>2857</v>
      </c>
      <c r="CG125" s="2113">
        <v>616</v>
      </c>
      <c r="CH125" s="2113">
        <v>647</v>
      </c>
      <c r="CI125" s="2113">
        <v>550</v>
      </c>
      <c r="CJ125" s="2113">
        <v>719</v>
      </c>
      <c r="CK125" s="1658">
        <f>SUM(CG125:CJ125)</f>
        <v>2532</v>
      </c>
      <c r="CL125" s="2113">
        <v>515</v>
      </c>
      <c r="CM125" s="2113">
        <v>596</v>
      </c>
      <c r="CN125" s="2113">
        <v>524</v>
      </c>
      <c r="CO125" s="2113">
        <v>662</v>
      </c>
      <c r="CP125" s="1658">
        <f>SUM(CL125:CO125)</f>
        <v>2297</v>
      </c>
      <c r="CQ125" s="2113">
        <v>454</v>
      </c>
      <c r="CR125" s="1240">
        <v>485</v>
      </c>
      <c r="CS125" s="1240"/>
      <c r="CT125" s="1240"/>
      <c r="CU125" s="1590"/>
      <c r="CV125" s="1240"/>
      <c r="CW125" s="1240"/>
      <c r="CX125" s="1240"/>
      <c r="CY125" s="1240"/>
      <c r="CZ125" s="1590"/>
      <c r="DA125" s="1590"/>
      <c r="DB125" s="2234"/>
      <c r="DC125" s="2234"/>
      <c r="DD125" s="308"/>
    </row>
    <row r="126" spans="1:113" s="1178" customFormat="1" ht="11.25">
      <c r="A126" s="1191"/>
      <c r="B126" s="1191"/>
      <c r="C126" s="1699" t="s">
        <v>1196</v>
      </c>
      <c r="D126" s="1191"/>
      <c r="E126" s="1191"/>
      <c r="F126" s="1191"/>
      <c r="G126" s="1191"/>
      <c r="H126" s="1191"/>
      <c r="I126" s="1191"/>
      <c r="J126" s="1191"/>
      <c r="K126" s="1191"/>
      <c r="L126" s="1191"/>
      <c r="M126" s="1191"/>
      <c r="N126" s="1191"/>
      <c r="O126" s="1191"/>
      <c r="P126" s="1191"/>
      <c r="Q126" s="1191"/>
      <c r="R126" s="1191"/>
      <c r="S126" s="1191"/>
      <c r="T126" s="1191"/>
      <c r="U126" s="1191"/>
      <c r="V126" s="1191"/>
      <c r="W126" s="1191"/>
      <c r="X126" s="1191"/>
      <c r="Y126" s="1191"/>
      <c r="Z126" s="1191"/>
      <c r="AA126" s="1191"/>
      <c r="AB126" s="1191"/>
      <c r="AC126" s="1191"/>
      <c r="AD126" s="1191"/>
      <c r="AE126" s="1191"/>
      <c r="AF126" s="1191"/>
      <c r="AG126" s="1191"/>
      <c r="AH126" s="1231"/>
      <c r="AI126" s="1231"/>
      <c r="AJ126" s="1231"/>
      <c r="AK126" s="1231"/>
      <c r="AL126" s="1231"/>
      <c r="AM126" s="1231"/>
      <c r="AN126" s="1231"/>
      <c r="AO126" s="1231"/>
      <c r="AP126" s="1231"/>
      <c r="AQ126" s="1156"/>
      <c r="AR126" s="1698">
        <v>8</v>
      </c>
      <c r="AS126" s="1191"/>
      <c r="AT126" s="1191"/>
      <c r="AU126" s="1191"/>
      <c r="AV126" s="1191"/>
      <c r="AW126" s="1698">
        <v>19</v>
      </c>
      <c r="AX126" s="1231"/>
      <c r="AY126" s="1231"/>
      <c r="AZ126" s="1231"/>
      <c r="BA126" s="1231"/>
      <c r="BB126" s="1698"/>
      <c r="BC126" s="1231"/>
      <c r="BD126" s="1698"/>
      <c r="BE126" s="1698"/>
      <c r="BF126" s="1698"/>
      <c r="BG126" s="1698"/>
      <c r="BH126" s="1698"/>
      <c r="BI126" s="1191"/>
      <c r="BJ126" s="1191"/>
      <c r="BK126" s="1698"/>
      <c r="BL126" s="1698"/>
      <c r="BM126" s="1698">
        <v>2</v>
      </c>
      <c r="BN126" s="1698">
        <v>11</v>
      </c>
      <c r="BO126" s="1698">
        <v>4</v>
      </c>
      <c r="BP126" s="1698">
        <v>11</v>
      </c>
      <c r="BQ126" s="1323">
        <f>SUM(BM126:BP126)</f>
        <v>28</v>
      </c>
      <c r="BR126" s="1698">
        <v>5</v>
      </c>
      <c r="BS126" s="1698">
        <v>6</v>
      </c>
      <c r="BT126" s="1698">
        <v>7</v>
      </c>
      <c r="BU126" s="1698">
        <v>12</v>
      </c>
      <c r="BV126" s="1323">
        <f>SUM(BR126:BU126)</f>
        <v>30</v>
      </c>
      <c r="BW126" s="1190">
        <v>7</v>
      </c>
      <c r="BX126" s="1190">
        <v>1</v>
      </c>
      <c r="BY126" s="1190">
        <v>0</v>
      </c>
      <c r="BZ126" s="1190"/>
      <c r="CA126" s="1223">
        <f>SUM(BW126:BZ126)</f>
        <v>8</v>
      </c>
      <c r="CB126" s="1190"/>
      <c r="CC126" s="1190"/>
      <c r="CD126" s="1240"/>
      <c r="CE126" s="1240"/>
      <c r="CF126" s="1223"/>
      <c r="CG126" s="1240"/>
      <c r="CH126" s="1240"/>
      <c r="CI126" s="1240"/>
      <c r="CJ126" s="1240"/>
      <c r="CK126" s="1223"/>
      <c r="CL126" s="1254">
        <f>$CP$126</f>
        <v>-0.23560732113144756</v>
      </c>
      <c r="CM126" s="1254">
        <f>CL126</f>
        <v>-0.23560732113144756</v>
      </c>
      <c r="CN126" s="1254">
        <f>CM126</f>
        <v>-0.23560732113144756</v>
      </c>
      <c r="CO126" s="1254">
        <f>CN126</f>
        <v>-0.23560732113144756</v>
      </c>
      <c r="CP126" s="2021">
        <f>CP125/3005-1</f>
        <v>-0.23560732113144756</v>
      </c>
      <c r="CQ126" s="2115">
        <f>CP126</f>
        <v>-0.23560732113144756</v>
      </c>
      <c r="CR126" s="2115">
        <f>CQ126</f>
        <v>-0.23560732113144756</v>
      </c>
      <c r="CS126" s="1240"/>
      <c r="CT126" s="1240"/>
      <c r="CU126" s="1223"/>
      <c r="CV126" s="1240"/>
      <c r="CW126" s="1240"/>
      <c r="CX126" s="1240"/>
      <c r="CY126" s="1240"/>
      <c r="CZ126" s="1223"/>
      <c r="DA126" s="1223"/>
      <c r="DB126" s="1223"/>
      <c r="DC126" s="1223"/>
      <c r="DD126" s="1190"/>
    </row>
    <row r="127" spans="1:113" s="1178" customFormat="1" ht="11.25">
      <c r="A127" s="1182"/>
      <c r="B127" s="1182"/>
      <c r="C127" s="1182" t="s">
        <v>1030</v>
      </c>
      <c r="D127" s="1182"/>
      <c r="E127" s="1182"/>
      <c r="F127" s="1182"/>
      <c r="G127" s="1182"/>
      <c r="H127" s="1182"/>
      <c r="I127" s="1182"/>
      <c r="J127" s="1182"/>
      <c r="K127" s="1182"/>
      <c r="L127" s="1182"/>
      <c r="M127" s="1182"/>
      <c r="N127" s="1200" t="s">
        <v>946</v>
      </c>
      <c r="O127" s="1200" t="s">
        <v>946</v>
      </c>
      <c r="P127" s="1200" t="s">
        <v>946</v>
      </c>
      <c r="Q127" s="1697">
        <f>SUM(Q121:Q125)</f>
        <v>668</v>
      </c>
      <c r="R127" s="1200" t="s">
        <v>946</v>
      </c>
      <c r="S127" s="1200" t="s">
        <v>946</v>
      </c>
      <c r="T127" s="1697">
        <f>SUM(T121:T125)</f>
        <v>508</v>
      </c>
      <c r="U127" s="1697">
        <f>SUM(U121:U125)</f>
        <v>540</v>
      </c>
      <c r="V127" s="1697">
        <f>SUM(V121:V125)</f>
        <v>470</v>
      </c>
      <c r="W127" s="1200" t="s">
        <v>946</v>
      </c>
      <c r="X127" s="1200" t="s">
        <v>946</v>
      </c>
      <c r="Y127" s="1697">
        <f t="shared" ref="Y127:BF127" si="68">SUM(Y121:Y125)</f>
        <v>424</v>
      </c>
      <c r="Z127" s="1697">
        <f t="shared" si="68"/>
        <v>415</v>
      </c>
      <c r="AA127" s="1697">
        <f t="shared" si="68"/>
        <v>377</v>
      </c>
      <c r="AB127" s="1697">
        <f t="shared" si="68"/>
        <v>456</v>
      </c>
      <c r="AC127" s="1697">
        <f t="shared" si="68"/>
        <v>1672</v>
      </c>
      <c r="AD127" s="1697">
        <f t="shared" si="68"/>
        <v>440</v>
      </c>
      <c r="AE127" s="1697">
        <f t="shared" si="68"/>
        <v>551</v>
      </c>
      <c r="AF127" s="1697">
        <f t="shared" si="68"/>
        <v>570</v>
      </c>
      <c r="AG127" s="1697">
        <f t="shared" si="68"/>
        <v>617</v>
      </c>
      <c r="AH127" s="1697">
        <f t="shared" si="68"/>
        <v>2178</v>
      </c>
      <c r="AI127" s="1697">
        <f t="shared" si="68"/>
        <v>544</v>
      </c>
      <c r="AJ127" s="1697">
        <f t="shared" si="68"/>
        <v>678</v>
      </c>
      <c r="AK127" s="1697">
        <f t="shared" si="68"/>
        <v>641</v>
      </c>
      <c r="AL127" s="1697">
        <f t="shared" si="68"/>
        <v>764</v>
      </c>
      <c r="AM127" s="1697">
        <f t="shared" si="68"/>
        <v>2627</v>
      </c>
      <c r="AN127" s="1697">
        <f t="shared" si="68"/>
        <v>672</v>
      </c>
      <c r="AO127" s="1697">
        <f t="shared" si="68"/>
        <v>730</v>
      </c>
      <c r="AP127" s="1697">
        <f t="shared" si="68"/>
        <v>700</v>
      </c>
      <c r="AQ127" s="1697">
        <f t="shared" si="68"/>
        <v>906</v>
      </c>
      <c r="AR127" s="1697">
        <f t="shared" si="68"/>
        <v>3008</v>
      </c>
      <c r="AS127" s="1697">
        <f t="shared" si="68"/>
        <v>718</v>
      </c>
      <c r="AT127" s="1697">
        <f t="shared" si="68"/>
        <v>870</v>
      </c>
      <c r="AU127" s="1697">
        <f t="shared" si="68"/>
        <v>871</v>
      </c>
      <c r="AV127" s="1697">
        <f t="shared" si="68"/>
        <v>1073</v>
      </c>
      <c r="AW127" s="1697">
        <f t="shared" si="68"/>
        <v>3532</v>
      </c>
      <c r="AX127" s="1356">
        <f t="shared" si="68"/>
        <v>1028</v>
      </c>
      <c r="AY127" s="1356">
        <f t="shared" si="68"/>
        <v>1213</v>
      </c>
      <c r="AZ127" s="1356">
        <f t="shared" si="68"/>
        <v>1150</v>
      </c>
      <c r="BA127" s="1356">
        <f t="shared" si="68"/>
        <v>1218</v>
      </c>
      <c r="BB127" s="1697">
        <f t="shared" si="68"/>
        <v>4609</v>
      </c>
      <c r="BC127" s="1356">
        <f t="shared" si="68"/>
        <v>1127</v>
      </c>
      <c r="BD127" s="1697">
        <f t="shared" si="68"/>
        <v>914</v>
      </c>
      <c r="BE127" s="1697">
        <f t="shared" si="68"/>
        <v>833</v>
      </c>
      <c r="BF127" s="1697">
        <f t="shared" si="68"/>
        <v>849</v>
      </c>
      <c r="BG127" s="1697">
        <f>SUM(BC127:BF127)</f>
        <v>3723</v>
      </c>
      <c r="BH127" s="1697">
        <f>SUM(BH121:BH125)</f>
        <v>785</v>
      </c>
      <c r="BI127" s="1697">
        <f>SUM(BI121:BI125)</f>
        <v>847</v>
      </c>
      <c r="BJ127" s="1697">
        <f>SUM(BJ121:BJ125)</f>
        <v>860</v>
      </c>
      <c r="BK127" s="1697">
        <f>SUM(BK121:BK125)</f>
        <v>896</v>
      </c>
      <c r="BL127" s="1697">
        <f>SUM(BL121:BL125)</f>
        <v>3388</v>
      </c>
      <c r="BM127" s="1697">
        <f t="shared" ref="BM127:BZ127" si="69">SUM(BM121:BM126)</f>
        <v>761</v>
      </c>
      <c r="BN127" s="1697">
        <f t="shared" si="69"/>
        <v>825</v>
      </c>
      <c r="BO127" s="1697">
        <f t="shared" si="69"/>
        <v>858</v>
      </c>
      <c r="BP127" s="1697">
        <f t="shared" si="69"/>
        <v>938</v>
      </c>
      <c r="BQ127" s="1287">
        <f t="shared" si="69"/>
        <v>3382</v>
      </c>
      <c r="BR127" s="1697">
        <f t="shared" si="69"/>
        <v>816</v>
      </c>
      <c r="BS127" s="1697">
        <f t="shared" si="69"/>
        <v>886</v>
      </c>
      <c r="BT127" s="1697">
        <f t="shared" si="69"/>
        <v>899</v>
      </c>
      <c r="BU127" s="1697">
        <f t="shared" si="69"/>
        <v>997</v>
      </c>
      <c r="BV127" s="1287">
        <f t="shared" si="69"/>
        <v>3598</v>
      </c>
      <c r="BW127" s="1697">
        <f t="shared" si="69"/>
        <v>844</v>
      </c>
      <c r="BX127" s="1357">
        <f t="shared" si="69"/>
        <v>934</v>
      </c>
      <c r="BY127" s="1357">
        <f t="shared" si="69"/>
        <v>855</v>
      </c>
      <c r="BZ127" s="1357">
        <f t="shared" si="69"/>
        <v>1000</v>
      </c>
      <c r="CA127" s="1673">
        <f>SUM(BW127:BZ127)</f>
        <v>3633</v>
      </c>
      <c r="CB127" s="1357">
        <f>SUM(CB121:CB126)</f>
        <v>873</v>
      </c>
      <c r="CC127" s="1357">
        <f>SUM(CC121:CC126)</f>
        <v>862</v>
      </c>
      <c r="CD127" s="1357">
        <f>SUM(CD121:CD126)</f>
        <v>932</v>
      </c>
      <c r="CE127" s="1243"/>
      <c r="CF127" s="1673"/>
      <c r="CG127" s="1243"/>
      <c r="CH127" s="1243"/>
      <c r="CI127" s="1243"/>
      <c r="CJ127" s="1243"/>
      <c r="CK127" s="1673"/>
      <c r="CL127" s="1243"/>
      <c r="CM127" s="1243"/>
      <c r="CN127" s="1243"/>
      <c r="CO127" s="1243"/>
      <c r="CP127" s="1673"/>
      <c r="CQ127" s="1243"/>
      <c r="CR127" s="1243"/>
      <c r="CS127" s="1243"/>
      <c r="CT127" s="1243"/>
      <c r="CU127" s="1673"/>
      <c r="CV127" s="2113"/>
      <c r="CW127" s="2113"/>
      <c r="CX127" s="2113"/>
      <c r="CY127" s="2113"/>
      <c r="CZ127" s="1673"/>
      <c r="DA127" s="1673"/>
      <c r="DB127" s="1673"/>
      <c r="DC127" s="1673"/>
      <c r="DD127" s="1672"/>
      <c r="DE127" s="1533">
        <v>2016</v>
      </c>
      <c r="DF127" s="1533" t="s">
        <v>1318</v>
      </c>
      <c r="DG127" s="1533" t="s">
        <v>1443</v>
      </c>
      <c r="DH127" s="1533" t="s">
        <v>1444</v>
      </c>
    </row>
    <row r="128" spans="1:113" s="1178" customFormat="1" ht="11.25">
      <c r="A128" s="1182"/>
      <c r="B128" s="1182"/>
      <c r="C128" s="1182"/>
      <c r="D128" s="1182"/>
      <c r="E128" s="1182"/>
      <c r="F128" s="1182"/>
      <c r="G128" s="1182"/>
      <c r="H128" s="1182"/>
      <c r="I128" s="1182"/>
      <c r="J128" s="1182"/>
      <c r="K128" s="1182"/>
      <c r="L128" s="1182"/>
      <c r="M128" s="1182"/>
      <c r="N128" s="1182"/>
      <c r="O128" s="1182"/>
      <c r="P128" s="1182"/>
      <c r="Q128" s="1182"/>
      <c r="R128" s="1182"/>
      <c r="S128" s="1182"/>
      <c r="T128" s="1182"/>
      <c r="U128" s="1182"/>
      <c r="V128" s="1182"/>
      <c r="W128" s="1182"/>
      <c r="X128" s="1182"/>
      <c r="Y128" s="1182"/>
      <c r="Z128" s="1182"/>
      <c r="AA128" s="1182"/>
      <c r="AB128" s="1182"/>
      <c r="AC128" s="1182"/>
      <c r="AD128" s="1182"/>
      <c r="AE128" s="1182"/>
      <c r="AF128" s="1182"/>
      <c r="AG128" s="1182"/>
      <c r="AH128" s="1697"/>
      <c r="AI128" s="1697"/>
      <c r="AJ128" s="1697"/>
      <c r="AK128" s="1697"/>
      <c r="AL128" s="1697"/>
      <c r="AM128" s="1697"/>
      <c r="AN128" s="1697"/>
      <c r="AO128" s="1697"/>
      <c r="AP128" s="1697"/>
      <c r="AQ128" s="1697"/>
      <c r="AR128" s="1697"/>
      <c r="AS128" s="1697"/>
      <c r="AT128" s="1697"/>
      <c r="AU128" s="1697"/>
      <c r="AV128" s="1697"/>
      <c r="AW128" s="1697"/>
      <c r="AX128" s="1356"/>
      <c r="AY128" s="1356"/>
      <c r="AZ128" s="1356"/>
      <c r="BA128" s="1356"/>
      <c r="BB128" s="1697"/>
      <c r="BC128" s="1356"/>
      <c r="BD128" s="1697"/>
      <c r="BE128" s="1697"/>
      <c r="BF128" s="1697"/>
      <c r="BG128" s="1697"/>
      <c r="BH128" s="1697"/>
      <c r="BI128" s="1697"/>
      <c r="BJ128" s="1697"/>
      <c r="BK128" s="1697"/>
      <c r="BL128" s="1697"/>
      <c r="BM128" s="1697"/>
      <c r="BN128" s="1182"/>
      <c r="BO128" s="1182"/>
      <c r="BP128" s="1182"/>
      <c r="BQ128" s="1239"/>
      <c r="BR128" s="1357"/>
      <c r="BS128" s="1357"/>
      <c r="BT128" s="1357"/>
      <c r="BU128" s="1357"/>
      <c r="BV128" s="1239"/>
      <c r="BW128" s="1357"/>
      <c r="BX128" s="1357"/>
      <c r="BY128" s="1357"/>
      <c r="BZ128" s="1357"/>
      <c r="CA128" s="1239"/>
      <c r="CB128" s="1243"/>
      <c r="CC128" s="1243"/>
      <c r="CD128" s="1243"/>
      <c r="CE128" s="1243"/>
      <c r="CF128" s="1239"/>
      <c r="CG128" s="1243"/>
      <c r="CH128" s="1243"/>
      <c r="CI128" s="1243"/>
      <c r="CJ128" s="1243"/>
      <c r="CK128" s="1239"/>
      <c r="CL128" s="1243"/>
      <c r="CM128" s="1243"/>
      <c r="CN128" s="1243"/>
      <c r="CO128" s="1243"/>
      <c r="CP128" s="1239"/>
      <c r="CQ128" s="1243"/>
      <c r="CR128" s="1243"/>
      <c r="CS128" s="1243"/>
      <c r="CT128" s="1243"/>
      <c r="CU128" s="1239"/>
      <c r="CV128" s="2113"/>
      <c r="CW128" s="2113"/>
      <c r="CX128" s="2113"/>
      <c r="CY128" s="2113"/>
      <c r="CZ128" s="1239"/>
      <c r="DA128" s="1239"/>
      <c r="DB128" s="1239"/>
      <c r="DC128" s="1239"/>
      <c r="DD128" s="1357" t="s">
        <v>1220</v>
      </c>
      <c r="DE128" s="1855">
        <f>CP121</f>
        <v>538</v>
      </c>
    </row>
    <row r="129" spans="1:117" s="1178" customFormat="1" ht="11.25">
      <c r="A129" s="1182"/>
      <c r="B129" s="1182"/>
      <c r="C129" s="1373" t="s">
        <v>1195</v>
      </c>
      <c r="D129" s="1182"/>
      <c r="E129" s="1182"/>
      <c r="F129" s="1182"/>
      <c r="G129" s="1182"/>
      <c r="H129" s="1182"/>
      <c r="I129" s="1182"/>
      <c r="J129" s="1182"/>
      <c r="K129" s="1182"/>
      <c r="L129" s="1182"/>
      <c r="M129" s="1182"/>
      <c r="N129" s="1182"/>
      <c r="O129" s="1182"/>
      <c r="P129" s="1182"/>
      <c r="Q129" s="1182"/>
      <c r="R129" s="1182"/>
      <c r="S129" s="1182"/>
      <c r="T129" s="1182"/>
      <c r="U129" s="1182"/>
      <c r="V129" s="1182"/>
      <c r="W129" s="1182"/>
      <c r="X129" s="1182"/>
      <c r="Y129" s="1182"/>
      <c r="Z129" s="1182"/>
      <c r="AA129" s="1182"/>
      <c r="AB129" s="1182"/>
      <c r="AC129" s="1182"/>
      <c r="AD129" s="1182"/>
      <c r="AE129" s="1182"/>
      <c r="AF129" s="1182"/>
      <c r="AG129" s="1182"/>
      <c r="AH129" s="1697"/>
      <c r="AI129" s="1697"/>
      <c r="AJ129" s="1697"/>
      <c r="AK129" s="1697"/>
      <c r="AL129" s="1697"/>
      <c r="AM129" s="1697"/>
      <c r="AN129" s="1697"/>
      <c r="AO129" s="1697"/>
      <c r="AP129" s="1697"/>
      <c r="AQ129" s="1697"/>
      <c r="AR129" s="1697"/>
      <c r="AS129" s="1697"/>
      <c r="AT129" s="1697"/>
      <c r="AU129" s="1697"/>
      <c r="AV129" s="1697"/>
      <c r="AW129" s="1697"/>
      <c r="AX129" s="1356"/>
      <c r="AY129" s="1356"/>
      <c r="AZ129" s="1356"/>
      <c r="BA129" s="1356"/>
      <c r="BB129" s="1697"/>
      <c r="BC129" s="1356"/>
      <c r="BD129" s="1697"/>
      <c r="BE129" s="1697"/>
      <c r="BF129" s="1697"/>
      <c r="BG129" s="1697"/>
      <c r="BH129" s="1697"/>
      <c r="BI129" s="1697"/>
      <c r="BJ129" s="1697"/>
      <c r="BK129" s="1697"/>
      <c r="BL129" s="1697"/>
      <c r="BM129" s="1697"/>
      <c r="BN129" s="1182"/>
      <c r="BO129" s="1182"/>
      <c r="BP129" s="1182"/>
      <c r="BQ129" s="1239"/>
      <c r="BR129" s="1357"/>
      <c r="BS129" s="1357"/>
      <c r="BT129" s="1357"/>
      <c r="BU129" s="1357"/>
      <c r="BV129" s="1239"/>
      <c r="BW129" s="1357"/>
      <c r="BX129" s="1357"/>
      <c r="BY129" s="1357"/>
      <c r="BZ129" s="1357"/>
      <c r="CA129" s="1239"/>
      <c r="CB129" s="1243"/>
      <c r="CC129" s="1243"/>
      <c r="CD129" s="1243"/>
      <c r="CE129" s="1243"/>
      <c r="CF129" s="1239"/>
      <c r="CG129" s="1243"/>
      <c r="CH129" s="1243"/>
      <c r="CI129" s="1243"/>
      <c r="CJ129" s="1243"/>
      <c r="CK129" s="1239"/>
      <c r="CL129" s="1243"/>
      <c r="CM129" s="1243"/>
      <c r="CN129" s="1243"/>
      <c r="CO129" s="1243"/>
      <c r="CP129" s="1239"/>
      <c r="CQ129" s="1243"/>
      <c r="CR129" s="1243"/>
      <c r="CS129" s="1243"/>
      <c r="CT129" s="1243"/>
      <c r="CU129" s="1239"/>
      <c r="CV129" s="2113"/>
      <c r="CW129" s="2113"/>
      <c r="CX129" s="2113"/>
      <c r="CY129" s="2113"/>
      <c r="CZ129" s="1239"/>
      <c r="DA129" s="1239"/>
      <c r="DB129" s="1239"/>
      <c r="DC129" s="1239"/>
      <c r="DD129" s="1357"/>
    </row>
    <row r="130" spans="1:117" s="1178" customFormat="1" ht="11.25">
      <c r="A130" s="1182"/>
      <c r="B130" s="1182"/>
      <c r="C130" s="1191" t="s">
        <v>1194</v>
      </c>
      <c r="D130" s="1182"/>
      <c r="E130" s="1182"/>
      <c r="F130" s="1182"/>
      <c r="G130" s="1182"/>
      <c r="H130" s="1182"/>
      <c r="I130" s="1182"/>
      <c r="J130" s="1182"/>
      <c r="K130" s="1182"/>
      <c r="L130" s="1182"/>
      <c r="M130" s="1182"/>
      <c r="N130" s="1153" t="s">
        <v>946</v>
      </c>
      <c r="O130" s="1153" t="s">
        <v>946</v>
      </c>
      <c r="P130" s="1153" t="s">
        <v>946</v>
      </c>
      <c r="Q130" s="1153" t="s">
        <v>946</v>
      </c>
      <c r="R130" s="1153" t="s">
        <v>946</v>
      </c>
      <c r="S130" s="1153" t="s">
        <v>946</v>
      </c>
      <c r="T130" s="1153">
        <v>-0.2</v>
      </c>
      <c r="U130" s="1153" t="s">
        <v>946</v>
      </c>
      <c r="V130" s="1153" t="s">
        <v>946</v>
      </c>
      <c r="W130" s="1153" t="s">
        <v>946</v>
      </c>
      <c r="X130" s="1153">
        <v>-0.1</v>
      </c>
      <c r="Y130" s="1153">
        <v>-0.2</v>
      </c>
      <c r="Z130" s="1153">
        <v>-0.3</v>
      </c>
      <c r="AA130" s="1153" t="s">
        <v>946</v>
      </c>
      <c r="AB130" s="1153" t="s">
        <v>946</v>
      </c>
      <c r="AC130" s="1153" t="s">
        <v>946</v>
      </c>
      <c r="AD130" s="1153" t="s">
        <v>946</v>
      </c>
      <c r="AE130" s="1153" t="s">
        <v>946</v>
      </c>
      <c r="AF130" s="1153" t="s">
        <v>946</v>
      </c>
      <c r="AG130" s="1153" t="s">
        <v>946</v>
      </c>
      <c r="AH130" s="1153" t="s">
        <v>946</v>
      </c>
      <c r="AI130" s="1153" t="s">
        <v>946</v>
      </c>
      <c r="AJ130" s="1153">
        <v>0.1</v>
      </c>
      <c r="AK130" s="1153">
        <v>0.1</v>
      </c>
      <c r="AL130" s="1153" t="s">
        <v>946</v>
      </c>
      <c r="AM130" s="1153" t="s">
        <v>946</v>
      </c>
      <c r="AN130" s="1153" t="s">
        <v>946</v>
      </c>
      <c r="AO130" s="1153" t="s">
        <v>946</v>
      </c>
      <c r="AP130" s="1153" t="s">
        <v>946</v>
      </c>
      <c r="AQ130" s="1153" t="s">
        <v>946</v>
      </c>
      <c r="AR130" s="1153" t="s">
        <v>946</v>
      </c>
      <c r="AS130" s="1153" t="s">
        <v>946</v>
      </c>
      <c r="AT130" s="1153" t="s">
        <v>946</v>
      </c>
      <c r="AU130" s="1153" t="s">
        <v>946</v>
      </c>
      <c r="AV130" s="1153" t="s">
        <v>946</v>
      </c>
      <c r="AW130" s="1153" t="s">
        <v>946</v>
      </c>
      <c r="AX130" s="1153" t="s">
        <v>946</v>
      </c>
      <c r="AY130" s="1153" t="s">
        <v>946</v>
      </c>
      <c r="AZ130" s="1153" t="s">
        <v>946</v>
      </c>
      <c r="BA130" s="1153" t="s">
        <v>946</v>
      </c>
      <c r="BB130" s="1153" t="s">
        <v>946</v>
      </c>
      <c r="BC130" s="1153" t="s">
        <v>946</v>
      </c>
      <c r="BD130" s="1153" t="s">
        <v>946</v>
      </c>
      <c r="BE130" s="1153" t="s">
        <v>946</v>
      </c>
      <c r="BF130" s="1153" t="s">
        <v>946</v>
      </c>
      <c r="BG130" s="1153" t="s">
        <v>946</v>
      </c>
      <c r="BH130" s="1153" t="s">
        <v>946</v>
      </c>
      <c r="BI130" s="1153">
        <v>0.08</v>
      </c>
      <c r="BJ130" s="1153">
        <v>0.35</v>
      </c>
      <c r="BK130" s="1153">
        <v>0.45</v>
      </c>
      <c r="BL130" s="1153">
        <v>0.18</v>
      </c>
      <c r="BM130" s="1153">
        <v>0.33</v>
      </c>
      <c r="BN130" s="1153">
        <v>0.23</v>
      </c>
      <c r="BO130" s="1153">
        <v>0.03</v>
      </c>
      <c r="BP130" s="1153">
        <v>-0.16</v>
      </c>
      <c r="BQ130" s="1398">
        <v>0.08</v>
      </c>
      <c r="BR130" s="1153">
        <v>-0.03</v>
      </c>
      <c r="BS130" s="1153">
        <v>-0.15</v>
      </c>
      <c r="BT130" s="1153">
        <v>-0.21</v>
      </c>
      <c r="BU130" s="1153">
        <v>-0.08</v>
      </c>
      <c r="BV130" s="1398">
        <v>-0.12</v>
      </c>
      <c r="BW130" s="1210">
        <v>0.14000000000000001</v>
      </c>
      <c r="BX130" s="1694">
        <v>0.15</v>
      </c>
      <c r="BY130" s="1694">
        <v>0.17</v>
      </c>
      <c r="BZ130" s="1694">
        <v>0.2</v>
      </c>
      <c r="CA130" s="1239"/>
      <c r="CB130" s="1696">
        <v>0.11</v>
      </c>
      <c r="CC130" s="1696">
        <v>-0.06</v>
      </c>
      <c r="CD130" s="1254">
        <v>0.01</v>
      </c>
      <c r="CE130" s="1254">
        <v>-0.08</v>
      </c>
      <c r="CF130" s="1239"/>
      <c r="CG130" s="1243"/>
      <c r="CH130" s="1243"/>
      <c r="CI130" s="1243"/>
      <c r="CJ130" s="1243"/>
      <c r="CK130" s="1239"/>
      <c r="CL130" s="1243"/>
      <c r="CM130" s="1243"/>
      <c r="CN130" s="1243"/>
      <c r="CO130" s="1243"/>
      <c r="CP130" s="1239"/>
      <c r="CQ130" s="1243"/>
      <c r="CR130" s="1243"/>
      <c r="CS130" s="1243"/>
      <c r="CT130" s="1243"/>
      <c r="CU130" s="1239"/>
      <c r="CV130" s="2113"/>
      <c r="CW130" s="2113"/>
      <c r="CX130" s="2113"/>
      <c r="CY130" s="2113"/>
      <c r="CZ130" s="1239"/>
      <c r="DA130" s="1239"/>
      <c r="DB130" s="1239"/>
      <c r="DC130" s="1239"/>
      <c r="DD130" s="1357" t="s">
        <v>1445</v>
      </c>
      <c r="DE130" s="1178">
        <v>30</v>
      </c>
    </row>
    <row r="131" spans="1:117" s="1178" customFormat="1" ht="11.25">
      <c r="A131" s="1191"/>
      <c r="B131" s="1191"/>
      <c r="C131" s="1693" t="s">
        <v>1193</v>
      </c>
      <c r="D131" s="1191"/>
      <c r="E131" s="1191"/>
      <c r="F131" s="1191"/>
      <c r="G131" s="1191"/>
      <c r="H131" s="1191"/>
      <c r="I131" s="1191"/>
      <c r="J131" s="1191"/>
      <c r="K131" s="1191"/>
      <c r="L131" s="1191"/>
      <c r="M131" s="1191"/>
      <c r="N131" s="1153"/>
      <c r="O131" s="1153"/>
      <c r="P131" s="1153"/>
      <c r="Q131" s="1153"/>
      <c r="R131" s="1153"/>
      <c r="S131" s="1153"/>
      <c r="T131" s="1153"/>
      <c r="U131" s="1153"/>
      <c r="V131" s="1153"/>
      <c r="W131" s="1153"/>
      <c r="X131" s="1153"/>
      <c r="Y131" s="1153"/>
      <c r="Z131" s="1153"/>
      <c r="AA131" s="1153"/>
      <c r="AB131" s="1153"/>
      <c r="AC131" s="1153"/>
      <c r="AD131" s="1153"/>
      <c r="AE131" s="1153"/>
      <c r="AF131" s="1153"/>
      <c r="AG131" s="1153"/>
      <c r="AH131" s="1153"/>
      <c r="AI131" s="1153"/>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398"/>
      <c r="BR131" s="1153"/>
      <c r="BS131" s="1153"/>
      <c r="BT131" s="1153"/>
      <c r="BU131" s="1153"/>
      <c r="BV131" s="1398"/>
      <c r="BW131" s="1210">
        <v>-0.28000000000000003</v>
      </c>
      <c r="BX131" s="1694">
        <v>0.15</v>
      </c>
      <c r="BY131" s="1694">
        <v>0.1</v>
      </c>
      <c r="BZ131" s="1190"/>
      <c r="CA131" s="1223"/>
      <c r="CB131" s="1240"/>
      <c r="CC131" s="1240"/>
      <c r="CD131" s="1240"/>
      <c r="CE131" s="1240"/>
      <c r="CF131" s="1223"/>
      <c r="CG131" s="1240"/>
      <c r="CH131" s="1240"/>
      <c r="CI131" s="1240"/>
      <c r="CJ131" s="1240"/>
      <c r="CK131" s="1223"/>
      <c r="CL131" s="1240"/>
      <c r="CM131" s="1240"/>
      <c r="CN131" s="1240"/>
      <c r="CO131" s="1240"/>
      <c r="CP131" s="1223"/>
      <c r="CQ131" s="1240"/>
      <c r="CR131" s="1240"/>
      <c r="CS131" s="1240"/>
      <c r="CT131" s="1240"/>
      <c r="CU131" s="1223"/>
      <c r="CV131" s="1240"/>
      <c r="CW131" s="1240"/>
      <c r="CX131" s="1240"/>
      <c r="CY131" s="1240"/>
      <c r="CZ131" s="1223"/>
      <c r="DA131" s="1223"/>
      <c r="DB131" s="1223"/>
      <c r="DC131" s="1223"/>
      <c r="DD131" s="1190"/>
      <c r="DK131" s="1178">
        <v>2338</v>
      </c>
      <c r="DM131" s="1178">
        <v>1913</v>
      </c>
    </row>
    <row r="132" spans="1:117" s="1178" customFormat="1" ht="11.25">
      <c r="A132" s="1191"/>
      <c r="B132" s="1191"/>
      <c r="C132" s="1693"/>
      <c r="D132" s="1695" t="s">
        <v>1192</v>
      </c>
      <c r="E132" s="1191"/>
      <c r="F132" s="1191"/>
      <c r="G132" s="1191"/>
      <c r="H132" s="1191"/>
      <c r="I132" s="1191"/>
      <c r="J132" s="1191"/>
      <c r="K132" s="1191"/>
      <c r="L132" s="1191"/>
      <c r="M132" s="1191"/>
      <c r="N132" s="1153"/>
      <c r="O132" s="1153"/>
      <c r="P132" s="1153"/>
      <c r="Q132" s="1153"/>
      <c r="R132" s="1153"/>
      <c r="S132" s="1153"/>
      <c r="T132" s="1153"/>
      <c r="U132" s="1153"/>
      <c r="V132" s="1153"/>
      <c r="W132" s="1153"/>
      <c r="X132" s="1153"/>
      <c r="Y132" s="1153"/>
      <c r="Z132" s="1153"/>
      <c r="AA132" s="1153"/>
      <c r="AB132" s="1153"/>
      <c r="AC132" s="1153"/>
      <c r="AD132" s="1153"/>
      <c r="AE132" s="1153"/>
      <c r="AF132" s="1153"/>
      <c r="AG132" s="1153"/>
      <c r="AH132" s="1153"/>
      <c r="AI132" s="1153"/>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398"/>
      <c r="BR132" s="1153"/>
      <c r="BS132" s="1153"/>
      <c r="BT132" s="1153"/>
      <c r="BU132" s="1153"/>
      <c r="BV132" s="1398"/>
      <c r="BW132" s="1210"/>
      <c r="BX132" s="1694"/>
      <c r="BY132" s="1694"/>
      <c r="BZ132" s="1259" t="s">
        <v>1191</v>
      </c>
      <c r="CA132" s="1223"/>
      <c r="CB132" s="1240" t="s">
        <v>1188</v>
      </c>
      <c r="CC132" s="1336">
        <v>-0.1</v>
      </c>
      <c r="CD132" s="1240"/>
      <c r="CE132" s="1254">
        <v>-0.2</v>
      </c>
      <c r="CF132" s="1223"/>
      <c r="CG132" s="1240"/>
      <c r="CH132" s="1240"/>
      <c r="CI132" s="1240"/>
      <c r="CJ132" s="1240"/>
      <c r="CK132" s="1223"/>
      <c r="CL132" s="1240"/>
      <c r="CM132" s="1240"/>
      <c r="CN132" s="1240"/>
      <c r="CO132" s="1240"/>
      <c r="CP132" s="1223"/>
      <c r="CQ132" s="1240"/>
      <c r="CR132" s="1240"/>
      <c r="CS132" s="1240"/>
      <c r="CT132" s="1240"/>
      <c r="CU132" s="1223"/>
      <c r="CV132" s="1240"/>
      <c r="CW132" s="1240"/>
      <c r="CX132" s="1240"/>
      <c r="CY132" s="1240"/>
      <c r="CZ132" s="1223"/>
      <c r="DA132" s="1223"/>
      <c r="DB132" s="1223"/>
      <c r="DC132" s="1223"/>
      <c r="DD132" s="1190"/>
      <c r="DE132" s="1855">
        <f>DE128-DE130</f>
        <v>508</v>
      </c>
      <c r="DK132" s="1178">
        <v>2147</v>
      </c>
      <c r="DM132" s="1178">
        <f>DM131*0.92</f>
        <v>1759.96</v>
      </c>
    </row>
    <row r="133" spans="1:117" s="1178" customFormat="1" ht="11.25">
      <c r="A133" s="1191"/>
      <c r="B133" s="1191"/>
      <c r="C133" s="1693"/>
      <c r="D133" s="1695" t="s">
        <v>1190</v>
      </c>
      <c r="E133" s="1191"/>
      <c r="F133" s="1191"/>
      <c r="G133" s="1191"/>
      <c r="H133" s="1191"/>
      <c r="I133" s="1191"/>
      <c r="J133" s="1191"/>
      <c r="K133" s="1191"/>
      <c r="L133" s="1191"/>
      <c r="M133" s="1191"/>
      <c r="N133" s="1153"/>
      <c r="O133" s="1153"/>
      <c r="P133" s="1153"/>
      <c r="Q133" s="1153"/>
      <c r="R133" s="1153"/>
      <c r="S133" s="1153"/>
      <c r="T133" s="1153"/>
      <c r="U133" s="1153"/>
      <c r="V133" s="1153"/>
      <c r="W133" s="1153"/>
      <c r="X133" s="1153"/>
      <c r="Y133" s="1153"/>
      <c r="Z133" s="1153"/>
      <c r="AA133" s="1153"/>
      <c r="AB133" s="1153"/>
      <c r="AC133" s="1153"/>
      <c r="AD133" s="1153"/>
      <c r="AE133" s="1153"/>
      <c r="AF133" s="1153"/>
      <c r="AG133" s="1153"/>
      <c r="AH133" s="1153"/>
      <c r="AI133" s="1153"/>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398"/>
      <c r="BR133" s="1153"/>
      <c r="BS133" s="1153"/>
      <c r="BT133" s="1153"/>
      <c r="BU133" s="1153"/>
      <c r="BV133" s="1398"/>
      <c r="BW133" s="1210"/>
      <c r="BX133" s="1694"/>
      <c r="BY133" s="1694"/>
      <c r="BZ133" s="1240" t="s">
        <v>1189</v>
      </c>
      <c r="CA133" s="1223"/>
      <c r="CB133" s="1240" t="s">
        <v>951</v>
      </c>
      <c r="CC133" s="1336">
        <v>-0.7</v>
      </c>
      <c r="CD133" s="1240"/>
      <c r="CE133" s="1240" t="s">
        <v>958</v>
      </c>
      <c r="CF133" s="1223"/>
      <c r="CG133" s="1240"/>
      <c r="CH133" s="1240"/>
      <c r="CI133" s="1240"/>
      <c r="CJ133" s="1240"/>
      <c r="CK133" s="1223"/>
      <c r="CL133" s="1240"/>
      <c r="CM133" s="1240"/>
      <c r="CN133" s="1240"/>
      <c r="CO133" s="1240"/>
      <c r="CP133" s="1223"/>
      <c r="CQ133" s="1240"/>
      <c r="CR133" s="1240"/>
      <c r="CS133" s="1240"/>
      <c r="CT133" s="1240"/>
      <c r="CU133" s="1223"/>
      <c r="CV133" s="1240"/>
      <c r="CW133" s="1240"/>
      <c r="CX133" s="1240"/>
      <c r="CY133" s="1240"/>
      <c r="CZ133" s="1223"/>
      <c r="DA133" s="1223"/>
      <c r="DB133" s="1223"/>
      <c r="DC133" s="1223"/>
      <c r="DD133" s="1190"/>
      <c r="DE133" s="1178">
        <v>600</v>
      </c>
      <c r="DK133" s="2274">
        <f>DK132/DK131-1</f>
        <v>-8.1693755346449959E-2</v>
      </c>
    </row>
    <row r="134" spans="1:117" s="1178" customFormat="1" ht="11.25">
      <c r="A134" s="1191"/>
      <c r="B134" s="1191"/>
      <c r="C134" s="1693" t="s">
        <v>1182</v>
      </c>
      <c r="D134" s="1191"/>
      <c r="E134" s="1191"/>
      <c r="F134" s="1191"/>
      <c r="G134" s="1191"/>
      <c r="H134" s="1191"/>
      <c r="I134" s="1191"/>
      <c r="J134" s="1191"/>
      <c r="K134" s="1191"/>
      <c r="L134" s="1191"/>
      <c r="M134" s="1191"/>
      <c r="N134" s="1432"/>
      <c r="O134" s="1432"/>
      <c r="P134" s="1432"/>
      <c r="Q134" s="1432"/>
      <c r="R134" s="1432"/>
      <c r="S134" s="1432"/>
      <c r="T134" s="1432"/>
      <c r="U134" s="1432"/>
      <c r="V134" s="1432"/>
      <c r="W134" s="1432"/>
      <c r="X134" s="1432"/>
      <c r="Y134" s="1432"/>
      <c r="Z134" s="1432"/>
      <c r="AA134" s="1432"/>
      <c r="AB134" s="1432"/>
      <c r="AC134" s="1432"/>
      <c r="AD134" s="1432"/>
      <c r="AE134" s="1432"/>
      <c r="AF134" s="1432"/>
      <c r="AG134" s="1432"/>
      <c r="AH134" s="1432"/>
      <c r="AI134" s="1432"/>
      <c r="AJ134" s="1432"/>
      <c r="AK134" s="1432"/>
      <c r="AL134" s="1432"/>
      <c r="AM134" s="1432"/>
      <c r="AN134" s="1432"/>
      <c r="AO134" s="1432"/>
      <c r="AP134" s="1432"/>
      <c r="AQ134" s="1432"/>
      <c r="AR134" s="1432"/>
      <c r="AS134" s="1432"/>
      <c r="AT134" s="1432"/>
      <c r="AU134" s="1432"/>
      <c r="AV134" s="1432"/>
      <c r="AW134" s="1432"/>
      <c r="AX134" s="1432"/>
      <c r="AY134" s="1432"/>
      <c r="AZ134" s="1432"/>
      <c r="BA134" s="1432"/>
      <c r="BB134" s="1432"/>
      <c r="BC134" s="1432"/>
      <c r="BD134" s="1432"/>
      <c r="BE134" s="1432"/>
      <c r="BF134" s="1432"/>
      <c r="BG134" s="1432"/>
      <c r="BH134" s="1432"/>
      <c r="BI134" s="1432"/>
      <c r="BJ134" s="1432"/>
      <c r="BK134" s="1432"/>
      <c r="BL134" s="1432"/>
      <c r="BM134" s="1432"/>
      <c r="BN134" s="1432"/>
      <c r="BO134" s="1432"/>
      <c r="BP134" s="1432"/>
      <c r="BQ134" s="1484"/>
      <c r="BR134" s="1432"/>
      <c r="BS134" s="1432"/>
      <c r="BT134" s="1432"/>
      <c r="BU134" s="1432"/>
      <c r="BV134" s="1484"/>
      <c r="BW134" s="1190"/>
      <c r="BX134" s="1190"/>
      <c r="BY134" s="1538">
        <v>0.15</v>
      </c>
      <c r="BZ134" s="1259" t="s">
        <v>1082</v>
      </c>
      <c r="CA134" s="1223"/>
      <c r="CB134" s="1240" t="s">
        <v>1188</v>
      </c>
      <c r="CC134" s="1178" t="s">
        <v>1042</v>
      </c>
      <c r="CD134" s="1240"/>
      <c r="CE134" s="1240" t="s">
        <v>1187</v>
      </c>
      <c r="CF134" s="1223"/>
      <c r="CG134" s="1240"/>
      <c r="CH134" s="1240"/>
      <c r="CI134" s="1240"/>
      <c r="CJ134" s="1240"/>
      <c r="CK134" s="1223"/>
      <c r="CL134" s="1240"/>
      <c r="CM134" s="1240"/>
      <c r="CN134" s="1240"/>
      <c r="CO134" s="1240"/>
      <c r="CP134" s="1223"/>
      <c r="CQ134" s="1240"/>
      <c r="CR134" s="1240"/>
      <c r="CS134" s="1240"/>
      <c r="CT134" s="1240"/>
      <c r="CU134" s="1223"/>
      <c r="CV134" s="1240"/>
      <c r="CW134" s="1240"/>
      <c r="CX134" s="1240"/>
      <c r="CY134" s="1240"/>
      <c r="CZ134" s="1223"/>
      <c r="DA134" s="1223"/>
      <c r="DB134" s="1223"/>
      <c r="DC134" s="1223"/>
      <c r="DD134" s="1190"/>
      <c r="DE134" s="1856">
        <f>DE133/DE132</f>
        <v>1.1811023622047243</v>
      </c>
    </row>
    <row r="135" spans="1:117" s="1178" customFormat="1" ht="11.25">
      <c r="A135" s="1182"/>
      <c r="B135" s="1182"/>
      <c r="C135" s="1191"/>
      <c r="D135" s="1182"/>
      <c r="E135" s="1182"/>
      <c r="F135" s="1182"/>
      <c r="G135" s="1182"/>
      <c r="H135" s="1182"/>
      <c r="I135" s="1182"/>
      <c r="J135" s="1182"/>
      <c r="K135" s="1182"/>
      <c r="L135" s="1182"/>
      <c r="M135" s="1182"/>
      <c r="N135" s="1432"/>
      <c r="O135" s="1432"/>
      <c r="P135" s="1432"/>
      <c r="Q135" s="1432"/>
      <c r="R135" s="1432"/>
      <c r="S135" s="1432"/>
      <c r="T135" s="1432"/>
      <c r="U135" s="1432"/>
      <c r="V135" s="1432"/>
      <c r="W135" s="1432"/>
      <c r="X135" s="1432"/>
      <c r="Y135" s="1432"/>
      <c r="Z135" s="1432"/>
      <c r="AA135" s="1432"/>
      <c r="AB135" s="1432"/>
      <c r="AC135" s="1432"/>
      <c r="AD135" s="1432"/>
      <c r="AE135" s="1432"/>
      <c r="AF135" s="1432"/>
      <c r="AG135" s="1432"/>
      <c r="AH135" s="1432"/>
      <c r="AI135" s="1432"/>
      <c r="AJ135" s="1432"/>
      <c r="AK135" s="1432"/>
      <c r="AL135" s="1432"/>
      <c r="AM135" s="1432"/>
      <c r="AN135" s="1432"/>
      <c r="AO135" s="1432"/>
      <c r="AP135" s="1432"/>
      <c r="AQ135" s="1432"/>
      <c r="AR135" s="1432"/>
      <c r="AS135" s="1432"/>
      <c r="AT135" s="1432"/>
      <c r="AU135" s="1432"/>
      <c r="AV135" s="1432"/>
      <c r="AW135" s="1432"/>
      <c r="AX135" s="1432"/>
      <c r="AY135" s="1432"/>
      <c r="AZ135" s="1432"/>
      <c r="BA135" s="1432"/>
      <c r="BB135" s="1432"/>
      <c r="BC135" s="1432"/>
      <c r="BD135" s="1432"/>
      <c r="BE135" s="1432"/>
      <c r="BF135" s="1432"/>
      <c r="BG135" s="1432"/>
      <c r="BH135" s="1432"/>
      <c r="BI135" s="1432"/>
      <c r="BJ135" s="1432"/>
      <c r="BK135" s="1432"/>
      <c r="BL135" s="1432"/>
      <c r="BM135" s="1432"/>
      <c r="BN135" s="1432"/>
      <c r="BO135" s="1432"/>
      <c r="BP135" s="1432"/>
      <c r="BQ135" s="1484"/>
      <c r="BR135" s="1432"/>
      <c r="BS135" s="1432"/>
      <c r="BT135" s="1432"/>
      <c r="BU135" s="1432"/>
      <c r="BV135" s="1484"/>
      <c r="BW135" s="1357"/>
      <c r="BX135" s="1357"/>
      <c r="BY135" s="1259"/>
      <c r="BZ135" s="1246"/>
      <c r="CA135" s="1239"/>
      <c r="CB135" s="1243"/>
      <c r="CC135" s="1243"/>
      <c r="CD135" s="1243"/>
      <c r="CE135" s="1243"/>
      <c r="CF135" s="1239"/>
      <c r="CG135" s="1243"/>
      <c r="CH135" s="1243"/>
      <c r="CI135" s="1243"/>
      <c r="CJ135" s="1243"/>
      <c r="CK135" s="1239"/>
      <c r="CL135" s="1243"/>
      <c r="CM135" s="1243"/>
      <c r="CN135" s="1243"/>
      <c r="CO135" s="1243"/>
      <c r="CP135" s="1239"/>
      <c r="CQ135" s="1243"/>
      <c r="CR135" s="1243"/>
      <c r="CS135" s="1243"/>
      <c r="CT135" s="1243"/>
      <c r="CU135" s="1239"/>
      <c r="CV135" s="2113"/>
      <c r="CW135" s="2113"/>
      <c r="CX135" s="2113"/>
      <c r="CY135" s="2113"/>
      <c r="CZ135" s="1239"/>
      <c r="DA135" s="1239"/>
      <c r="DB135" s="1239"/>
      <c r="DC135" s="1239"/>
      <c r="DD135" s="1357"/>
    </row>
    <row r="136" spans="1:117" s="1178" customFormat="1" ht="11.25">
      <c r="A136" s="1182"/>
      <c r="B136" s="1182"/>
      <c r="C136" s="1373" t="s">
        <v>1186</v>
      </c>
      <c r="D136" s="1182"/>
      <c r="E136" s="1182"/>
      <c r="F136" s="1182"/>
      <c r="G136" s="1182"/>
      <c r="H136" s="1182"/>
      <c r="I136" s="1182"/>
      <c r="J136" s="1182"/>
      <c r="K136" s="1182"/>
      <c r="L136" s="1182"/>
      <c r="M136" s="1182"/>
      <c r="N136" s="1432"/>
      <c r="O136" s="1432"/>
      <c r="P136" s="1432"/>
      <c r="Q136" s="1432"/>
      <c r="R136" s="1432"/>
      <c r="S136" s="1432"/>
      <c r="T136" s="1432"/>
      <c r="U136" s="1432"/>
      <c r="V136" s="1432"/>
      <c r="W136" s="1432"/>
      <c r="X136" s="1432"/>
      <c r="Y136" s="1432"/>
      <c r="Z136" s="1432"/>
      <c r="AA136" s="1432"/>
      <c r="AB136" s="1432"/>
      <c r="AC136" s="1432"/>
      <c r="AD136" s="1432"/>
      <c r="AE136" s="1432"/>
      <c r="AF136" s="1432"/>
      <c r="AG136" s="1432"/>
      <c r="AH136" s="1432"/>
      <c r="AI136" s="1432"/>
      <c r="AJ136" s="1432"/>
      <c r="AK136" s="1432"/>
      <c r="AL136" s="1432"/>
      <c r="AM136" s="1432"/>
      <c r="AN136" s="1432"/>
      <c r="AO136" s="1432"/>
      <c r="AP136" s="1432"/>
      <c r="AQ136" s="1432"/>
      <c r="AR136" s="1432"/>
      <c r="AS136" s="1432"/>
      <c r="AT136" s="1432"/>
      <c r="AU136" s="1432"/>
      <c r="AV136" s="1432"/>
      <c r="AW136" s="1432"/>
      <c r="AX136" s="1432"/>
      <c r="AY136" s="1432"/>
      <c r="AZ136" s="1432"/>
      <c r="BA136" s="1432"/>
      <c r="BB136" s="1432"/>
      <c r="BC136" s="1432"/>
      <c r="BD136" s="1432"/>
      <c r="BE136" s="1432"/>
      <c r="BF136" s="1432"/>
      <c r="BG136" s="1432"/>
      <c r="BH136" s="1432"/>
      <c r="BI136" s="1432"/>
      <c r="BJ136" s="1432"/>
      <c r="BK136" s="1432"/>
      <c r="BL136" s="1432"/>
      <c r="BM136" s="1432"/>
      <c r="BN136" s="1432"/>
      <c r="BO136" s="1432"/>
      <c r="BP136" s="1432"/>
      <c r="BQ136" s="1484"/>
      <c r="BR136" s="1432"/>
      <c r="BS136" s="1432"/>
      <c r="BT136" s="1432"/>
      <c r="BU136" s="1432"/>
      <c r="BV136" s="1484"/>
      <c r="BW136" s="1357"/>
      <c r="BX136" s="1357"/>
      <c r="BY136" s="1357"/>
      <c r="BZ136" s="1357"/>
      <c r="CA136" s="1239"/>
      <c r="CB136" s="1243"/>
      <c r="CC136" s="1243"/>
      <c r="CD136" s="1243"/>
      <c r="CE136" s="1243"/>
      <c r="CF136" s="1239"/>
      <c r="CG136" s="1243"/>
      <c r="CH136" s="1243"/>
      <c r="CI136" s="1243"/>
      <c r="CJ136" s="1243"/>
      <c r="CK136" s="1239"/>
      <c r="CL136" s="1243"/>
      <c r="CM136" s="1243"/>
      <c r="CN136" s="1243"/>
      <c r="CO136" s="1243"/>
      <c r="CP136" s="1239"/>
      <c r="CQ136" s="1243"/>
      <c r="CR136" s="1243"/>
      <c r="CS136" s="1243"/>
      <c r="CT136" s="1243"/>
      <c r="CU136" s="1239"/>
      <c r="CV136" s="2113"/>
      <c r="CW136" s="2113"/>
      <c r="CX136" s="2113"/>
      <c r="CY136" s="2113"/>
      <c r="CZ136" s="1239"/>
      <c r="DA136" s="1239"/>
      <c r="DB136" s="1239"/>
      <c r="DC136" s="1239"/>
      <c r="DD136" s="1357"/>
    </row>
    <row r="137" spans="1:117" s="1178" customFormat="1" ht="11.25">
      <c r="A137" s="1182"/>
      <c r="B137" s="1182"/>
      <c r="C137" s="1191" t="s">
        <v>1182</v>
      </c>
      <c r="D137" s="1182"/>
      <c r="E137" s="1182"/>
      <c r="F137" s="1182"/>
      <c r="G137" s="1182"/>
      <c r="H137" s="1182"/>
      <c r="I137" s="1182"/>
      <c r="J137" s="1182"/>
      <c r="K137" s="1182"/>
      <c r="L137" s="1182"/>
      <c r="M137" s="1182"/>
      <c r="N137" s="1691">
        <v>0.05</v>
      </c>
      <c r="O137" s="1432"/>
      <c r="P137" s="1432"/>
      <c r="Q137" s="1432"/>
      <c r="R137" s="1432"/>
      <c r="S137" s="1432"/>
      <c r="T137" s="1432"/>
      <c r="U137" s="1432"/>
      <c r="V137" s="1432"/>
      <c r="W137" s="1432"/>
      <c r="X137" s="1432"/>
      <c r="Y137" s="1432"/>
      <c r="Z137" s="1432"/>
      <c r="AA137" s="1432"/>
      <c r="AB137" s="1432"/>
      <c r="AC137" s="1432"/>
      <c r="AD137" s="1432"/>
      <c r="AE137" s="1432"/>
      <c r="AF137" s="1432"/>
      <c r="AG137" s="1432"/>
      <c r="AH137" s="1432"/>
      <c r="AI137" s="1432"/>
      <c r="AJ137" s="1432"/>
      <c r="AK137" s="1432"/>
      <c r="AL137" s="1432"/>
      <c r="AM137" s="1432"/>
      <c r="AN137" s="1432"/>
      <c r="AO137" s="1432"/>
      <c r="AP137" s="1432"/>
      <c r="AQ137" s="1432"/>
      <c r="AR137" s="1432"/>
      <c r="AS137" s="1432"/>
      <c r="AT137" s="1432"/>
      <c r="AU137" s="1432"/>
      <c r="AV137" s="1432"/>
      <c r="AW137" s="1432"/>
      <c r="AX137" s="1432"/>
      <c r="AY137" s="1432"/>
      <c r="AZ137" s="1432"/>
      <c r="BA137" s="1432"/>
      <c r="BB137" s="1432"/>
      <c r="BC137" s="1432"/>
      <c r="BD137" s="1432"/>
      <c r="BE137" s="1432"/>
      <c r="BF137" s="1432"/>
      <c r="BG137" s="1432"/>
      <c r="BH137" s="1432"/>
      <c r="BI137" s="1432"/>
      <c r="BJ137" s="1432"/>
      <c r="BK137" s="1432"/>
      <c r="BL137" s="1432"/>
      <c r="BM137" s="1432"/>
      <c r="BN137" s="1432"/>
      <c r="BO137" s="1432"/>
      <c r="BP137" s="1432"/>
      <c r="BQ137" s="1692"/>
      <c r="BR137" s="1432"/>
      <c r="BS137" s="1432"/>
      <c r="BT137" s="1432"/>
      <c r="BU137" s="1432"/>
      <c r="BV137" s="1692">
        <v>0.5</v>
      </c>
      <c r="BW137" s="1357"/>
      <c r="BX137" s="1357"/>
      <c r="BY137" s="1357"/>
      <c r="BZ137" s="1357"/>
      <c r="CA137" s="1239"/>
      <c r="CB137" s="1243"/>
      <c r="CC137" s="1243"/>
      <c r="CD137" s="1243"/>
      <c r="CE137" s="1243"/>
      <c r="CF137" s="1239"/>
      <c r="CG137" s="1243"/>
      <c r="CH137" s="1243"/>
      <c r="CI137" s="1243"/>
      <c r="CJ137" s="1243"/>
      <c r="CK137" s="1239"/>
      <c r="CL137" s="1243"/>
      <c r="CM137" s="1243"/>
      <c r="CN137" s="1243"/>
      <c r="CO137" s="1243"/>
      <c r="CP137" s="1239"/>
      <c r="CQ137" s="1243"/>
      <c r="CR137" s="1243"/>
      <c r="CS137" s="1243"/>
      <c r="CT137" s="1243"/>
      <c r="CU137" s="1239"/>
      <c r="CV137" s="2113"/>
      <c r="CW137" s="2113"/>
      <c r="CX137" s="2113"/>
      <c r="CY137" s="2113"/>
      <c r="CZ137" s="1239"/>
      <c r="DA137" s="1239"/>
      <c r="DB137" s="1239"/>
      <c r="DC137" s="1239"/>
      <c r="DD137" s="1357"/>
    </row>
    <row r="138" spans="1:117" s="1178" customFormat="1" ht="11.25">
      <c r="A138" s="1182"/>
      <c r="B138" s="1182"/>
      <c r="C138" s="1191" t="s">
        <v>1185</v>
      </c>
      <c r="D138" s="1182"/>
      <c r="E138" s="1182"/>
      <c r="F138" s="1182"/>
      <c r="G138" s="1182"/>
      <c r="H138" s="1182"/>
      <c r="I138" s="1182"/>
      <c r="J138" s="1182"/>
      <c r="K138" s="1182"/>
      <c r="L138" s="1182"/>
      <c r="M138" s="1182"/>
      <c r="N138" s="1691">
        <f>1-N137-N139</f>
        <v>0.39999999999999991</v>
      </c>
      <c r="O138" s="1432"/>
      <c r="P138" s="1432"/>
      <c r="Q138" s="1432"/>
      <c r="R138" s="1432"/>
      <c r="S138" s="1432"/>
      <c r="T138" s="1432"/>
      <c r="U138" s="1432"/>
      <c r="V138" s="1432"/>
      <c r="W138" s="1432"/>
      <c r="X138" s="1432"/>
      <c r="Y138" s="1432"/>
      <c r="Z138" s="1432"/>
      <c r="AA138" s="1432"/>
      <c r="AB138" s="1432"/>
      <c r="AC138" s="1432"/>
      <c r="AD138" s="1432"/>
      <c r="AE138" s="1432"/>
      <c r="AF138" s="1432"/>
      <c r="AG138" s="1432"/>
      <c r="AH138" s="1432"/>
      <c r="AI138" s="1432"/>
      <c r="AJ138" s="1432"/>
      <c r="AK138" s="1432"/>
      <c r="AL138" s="1432"/>
      <c r="AM138" s="1432"/>
      <c r="AN138" s="1432"/>
      <c r="AO138" s="1432"/>
      <c r="AP138" s="1432"/>
      <c r="AQ138" s="1432"/>
      <c r="AR138" s="1432"/>
      <c r="AS138" s="1432"/>
      <c r="AT138" s="1432"/>
      <c r="AU138" s="1432"/>
      <c r="AV138" s="1432"/>
      <c r="AW138" s="1432"/>
      <c r="AX138" s="1432"/>
      <c r="AY138" s="1432"/>
      <c r="AZ138" s="1432"/>
      <c r="BA138" s="1432"/>
      <c r="BB138" s="1432"/>
      <c r="BC138" s="1432"/>
      <c r="BD138" s="1432"/>
      <c r="BE138" s="1432"/>
      <c r="BF138" s="1432"/>
      <c r="BG138" s="1432"/>
      <c r="BH138" s="1432"/>
      <c r="BI138" s="1432"/>
      <c r="BJ138" s="1432"/>
      <c r="BK138" s="1432"/>
      <c r="BL138" s="1432"/>
      <c r="BM138" s="1432"/>
      <c r="BN138" s="1432"/>
      <c r="BO138" s="1432"/>
      <c r="BP138" s="1432"/>
      <c r="BQ138" s="1692"/>
      <c r="BR138" s="1432"/>
      <c r="BS138" s="1432"/>
      <c r="BT138" s="1432"/>
      <c r="BU138" s="1432"/>
      <c r="BV138" s="1692">
        <v>0.47</v>
      </c>
      <c r="BW138" s="1357"/>
      <c r="BX138" s="1357"/>
      <c r="BY138" s="1357"/>
      <c r="BZ138" s="1357"/>
      <c r="CA138" s="1239"/>
      <c r="CB138" s="1243"/>
      <c r="CC138" s="1243"/>
      <c r="CD138" s="1243"/>
      <c r="CE138" s="1243"/>
      <c r="CF138" s="1239"/>
      <c r="CG138" s="1243"/>
      <c r="CH138" s="1243"/>
      <c r="CI138" s="1243"/>
      <c r="CJ138" s="1243"/>
      <c r="CK138" s="1239"/>
      <c r="CL138" s="1243"/>
      <c r="CM138" s="1243"/>
      <c r="CN138" s="1243"/>
      <c r="CO138" s="1243"/>
      <c r="CP138" s="1239"/>
      <c r="CQ138" s="1243"/>
      <c r="CR138" s="1243"/>
      <c r="CS138" s="1243"/>
      <c r="CT138" s="1243"/>
      <c r="CU138" s="1239"/>
      <c r="CV138" s="2113"/>
      <c r="CW138" s="2113"/>
      <c r="CX138" s="2113"/>
      <c r="CY138" s="2113"/>
      <c r="CZ138" s="1239"/>
      <c r="DA138" s="1239"/>
      <c r="DB138" s="1239"/>
      <c r="DC138" s="1239"/>
      <c r="DD138" s="1357"/>
      <c r="DH138" s="1178">
        <v>38</v>
      </c>
      <c r="DI138" s="1178">
        <v>33</v>
      </c>
    </row>
    <row r="139" spans="1:117" s="1178" customFormat="1" ht="11.25">
      <c r="A139" s="1191"/>
      <c r="B139" s="1191"/>
      <c r="C139" s="1191" t="s">
        <v>1184</v>
      </c>
      <c r="D139" s="1191"/>
      <c r="E139" s="1191"/>
      <c r="F139" s="1191"/>
      <c r="G139" s="1191"/>
      <c r="H139" s="1191"/>
      <c r="I139" s="1191"/>
      <c r="J139" s="1191"/>
      <c r="K139" s="1191"/>
      <c r="L139" s="1191"/>
      <c r="M139" s="1191"/>
      <c r="N139" s="1691">
        <v>0.55000000000000004</v>
      </c>
      <c r="O139" s="1197"/>
      <c r="P139" s="1197"/>
      <c r="Q139" s="1197"/>
      <c r="R139" s="1197"/>
      <c r="S139" s="1200"/>
      <c r="T139" s="1197"/>
      <c r="U139" s="1197"/>
      <c r="V139" s="1197"/>
      <c r="W139" s="1197"/>
      <c r="X139" s="1200"/>
      <c r="Y139" s="1197"/>
      <c r="Z139" s="1197"/>
      <c r="AA139" s="1197"/>
      <c r="AB139" s="1197"/>
      <c r="AC139" s="1200"/>
      <c r="AD139" s="1197"/>
      <c r="AE139" s="1197"/>
      <c r="AF139" s="1197"/>
      <c r="AG139" s="1197"/>
      <c r="AH139" s="1200"/>
      <c r="AI139" s="1197"/>
      <c r="AJ139" s="1197"/>
      <c r="AK139" s="1197"/>
      <c r="AL139" s="1197"/>
      <c r="AM139" s="1200"/>
      <c r="AN139" s="1197"/>
      <c r="AO139" s="1197"/>
      <c r="AP139" s="1197"/>
      <c r="AQ139" s="1197"/>
      <c r="AR139" s="1200"/>
      <c r="AS139" s="1200"/>
      <c r="AT139" s="1200"/>
      <c r="AU139" s="1200"/>
      <c r="AV139" s="1200"/>
      <c r="AW139" s="1200"/>
      <c r="AX139" s="1200"/>
      <c r="AY139" s="1200"/>
      <c r="AZ139" s="1200"/>
      <c r="BA139" s="1200"/>
      <c r="BB139" s="1200"/>
      <c r="BC139" s="1200"/>
      <c r="BD139" s="1200"/>
      <c r="BE139" s="1200"/>
      <c r="BF139" s="1200"/>
      <c r="BG139" s="1200"/>
      <c r="BH139" s="1200"/>
      <c r="BI139" s="1200"/>
      <c r="BJ139" s="1200"/>
      <c r="BK139" s="1200"/>
      <c r="BL139" s="1200"/>
      <c r="BM139" s="1200"/>
      <c r="BN139" s="1200"/>
      <c r="BO139" s="1200"/>
      <c r="BP139" s="1200"/>
      <c r="BQ139" s="1581"/>
      <c r="BR139" s="1240"/>
      <c r="BS139" s="1240"/>
      <c r="BT139" s="1240"/>
      <c r="BU139" s="1240"/>
      <c r="BV139" s="1581">
        <v>0.03</v>
      </c>
      <c r="BW139" s="1190"/>
      <c r="BX139" s="1190"/>
      <c r="BY139" s="1190"/>
      <c r="BZ139" s="1190"/>
      <c r="CA139" s="1223"/>
      <c r="CB139" s="1240"/>
      <c r="CC139" s="1240"/>
      <c r="CD139" s="1240"/>
      <c r="CE139" s="1240"/>
      <c r="CF139" s="1223"/>
      <c r="CG139" s="1240"/>
      <c r="CH139" s="1240"/>
      <c r="CI139" s="1240"/>
      <c r="CJ139" s="1240"/>
      <c r="CK139" s="1223"/>
      <c r="CL139" s="1240"/>
      <c r="CM139" s="1240"/>
      <c r="CN139" s="1240"/>
      <c r="CO139" s="1240"/>
      <c r="CP139" s="1223"/>
      <c r="CQ139" s="1240"/>
      <c r="CR139" s="1240"/>
      <c r="CS139" s="1240"/>
      <c r="CT139" s="1240"/>
      <c r="CU139" s="1223"/>
      <c r="CV139" s="1240"/>
      <c r="CW139" s="1240"/>
      <c r="CX139" s="1240"/>
      <c r="CY139" s="1240"/>
      <c r="CZ139" s="1223"/>
      <c r="DA139" s="1223"/>
      <c r="DB139" s="1223"/>
      <c r="DC139" s="1223"/>
      <c r="DD139" s="1190"/>
      <c r="DH139" s="1178">
        <v>6</v>
      </c>
      <c r="DI139" s="1178">
        <v>3</v>
      </c>
    </row>
    <row r="140" spans="1:117" s="1178" customFormat="1" ht="11.25">
      <c r="A140" s="1191"/>
      <c r="B140" s="1191"/>
      <c r="C140" s="1191"/>
      <c r="D140" s="1191"/>
      <c r="E140" s="1191"/>
      <c r="F140" s="1191"/>
      <c r="G140" s="1191"/>
      <c r="H140" s="1191"/>
      <c r="I140" s="1191"/>
      <c r="J140" s="1191"/>
      <c r="K140" s="1191"/>
      <c r="L140" s="1191"/>
      <c r="M140" s="1191"/>
      <c r="N140" s="1182"/>
      <c r="O140" s="1191"/>
      <c r="P140" s="1191"/>
      <c r="Q140" s="1191"/>
      <c r="R140" s="1191"/>
      <c r="S140" s="1182"/>
      <c r="T140" s="1191"/>
      <c r="U140" s="1191"/>
      <c r="V140" s="1191"/>
      <c r="W140" s="1191"/>
      <c r="X140" s="1182"/>
      <c r="Y140" s="1191"/>
      <c r="Z140" s="1191"/>
      <c r="AA140" s="1191"/>
      <c r="AB140" s="1191"/>
      <c r="AC140" s="1182"/>
      <c r="AD140" s="1191"/>
      <c r="AE140" s="1191"/>
      <c r="AF140" s="1191"/>
      <c r="AG140" s="1191"/>
      <c r="AH140" s="1182"/>
      <c r="AI140" s="1191"/>
      <c r="AJ140" s="1191"/>
      <c r="AK140" s="1191"/>
      <c r="AL140" s="1191"/>
      <c r="AM140" s="1182"/>
      <c r="AN140" s="1191"/>
      <c r="AO140" s="1191"/>
      <c r="AP140" s="1191"/>
      <c r="AQ140" s="1191"/>
      <c r="AR140" s="1182"/>
      <c r="AS140" s="1182"/>
      <c r="AT140" s="1182"/>
      <c r="AU140" s="1182"/>
      <c r="AV140" s="1182"/>
      <c r="AW140" s="1182"/>
      <c r="AX140" s="1182"/>
      <c r="AY140" s="1182"/>
      <c r="AZ140" s="1182"/>
      <c r="BA140" s="1182"/>
      <c r="BB140" s="1182"/>
      <c r="BC140" s="1182"/>
      <c r="BD140" s="1182"/>
      <c r="BE140" s="1182"/>
      <c r="BF140" s="1182"/>
      <c r="BG140" s="1182"/>
      <c r="BH140" s="1182"/>
      <c r="BI140" s="1182"/>
      <c r="BJ140" s="1182"/>
      <c r="BK140" s="1182"/>
      <c r="BL140" s="1182"/>
      <c r="BM140" s="1182"/>
      <c r="BN140" s="1182"/>
      <c r="BO140" s="1182"/>
      <c r="BP140" s="1182"/>
      <c r="BQ140" s="1223"/>
      <c r="BR140" s="1190"/>
      <c r="BS140" s="1190"/>
      <c r="BT140" s="1190"/>
      <c r="BU140" s="1190"/>
      <c r="BV140" s="1223"/>
      <c r="BW140" s="1190"/>
      <c r="BX140" s="1190"/>
      <c r="BY140" s="1190"/>
      <c r="BZ140" s="1190"/>
      <c r="CA140" s="1223"/>
      <c r="CB140" s="1240"/>
      <c r="CD140" s="1240"/>
      <c r="CE140" s="1240"/>
      <c r="CF140" s="1223"/>
      <c r="CG140" s="1240"/>
      <c r="CH140" s="1240"/>
      <c r="CI140" s="1240"/>
      <c r="CJ140" s="1240"/>
      <c r="CK140" s="1223"/>
      <c r="CL140" s="1240"/>
      <c r="CM140" s="1240"/>
      <c r="CN140" s="1240"/>
      <c r="CO140" s="1240"/>
      <c r="CP140" s="1223"/>
      <c r="CQ140" s="1240"/>
      <c r="CR140" s="1240"/>
      <c r="CS140" s="1240"/>
      <c r="CT140" s="1240"/>
      <c r="CU140" s="1223"/>
      <c r="CV140" s="1240"/>
      <c r="CW140" s="1240"/>
      <c r="CX140" s="1240"/>
      <c r="CY140" s="1240"/>
      <c r="CZ140" s="1223"/>
      <c r="DA140" s="1223"/>
      <c r="DB140" s="1223"/>
      <c r="DC140" s="1223"/>
      <c r="DD140" s="1190"/>
      <c r="DH140" s="1178">
        <v>8</v>
      </c>
    </row>
    <row r="141" spans="1:117" s="1178" customFormat="1" ht="11.25">
      <c r="A141" s="1220"/>
      <c r="B141" s="1219" t="s">
        <v>1183</v>
      </c>
      <c r="C141" s="1220"/>
      <c r="D141" s="1220"/>
      <c r="E141" s="1220"/>
      <c r="F141" s="1220"/>
      <c r="G141" s="1220"/>
      <c r="H141" s="1220"/>
      <c r="I141" s="1220"/>
      <c r="J141" s="1220"/>
      <c r="K141" s="1220"/>
      <c r="L141" s="1220"/>
      <c r="M141" s="1220"/>
      <c r="N141" s="1219"/>
      <c r="O141" s="1220"/>
      <c r="P141" s="1220"/>
      <c r="Q141" s="1220"/>
      <c r="R141" s="1220"/>
      <c r="S141" s="1219"/>
      <c r="T141" s="1220"/>
      <c r="U141" s="1220"/>
      <c r="V141" s="1220"/>
      <c r="W141" s="1220"/>
      <c r="X141" s="1219"/>
      <c r="Y141" s="1220"/>
      <c r="Z141" s="1220"/>
      <c r="AA141" s="1220"/>
      <c r="AB141" s="1220"/>
      <c r="AC141" s="1219"/>
      <c r="AD141" s="1220"/>
      <c r="AE141" s="1220"/>
      <c r="AF141" s="1220"/>
      <c r="AG141" s="1220"/>
      <c r="AH141" s="1219"/>
      <c r="AI141" s="1220"/>
      <c r="AJ141" s="1220"/>
      <c r="AK141" s="1220"/>
      <c r="AL141" s="1220"/>
      <c r="AM141" s="1219"/>
      <c r="AN141" s="1220"/>
      <c r="AO141" s="1220"/>
      <c r="AP141" s="1220"/>
      <c r="AQ141" s="1220"/>
      <c r="AR141" s="1219"/>
      <c r="AS141" s="1219"/>
      <c r="AT141" s="1219"/>
      <c r="AU141" s="1219"/>
      <c r="AV141" s="1219"/>
      <c r="AW141" s="1219"/>
      <c r="AX141" s="1219"/>
      <c r="AY141" s="1219"/>
      <c r="AZ141" s="1219"/>
      <c r="BA141" s="1219"/>
      <c r="BB141" s="1219"/>
      <c r="BC141" s="1219"/>
      <c r="BD141" s="1219"/>
      <c r="BE141" s="1219"/>
      <c r="BF141" s="1219"/>
      <c r="BG141" s="1219"/>
      <c r="BH141" s="1219"/>
      <c r="BI141" s="1219"/>
      <c r="BJ141" s="1219"/>
      <c r="BK141" s="1219"/>
      <c r="BL141" s="1219"/>
      <c r="BM141" s="1219"/>
      <c r="BN141" s="1219"/>
      <c r="BO141" s="1219"/>
      <c r="BP141" s="1219"/>
      <c r="BQ141" s="1218"/>
      <c r="BR141" s="1218"/>
      <c r="BS141" s="1218"/>
      <c r="BT141" s="1218"/>
      <c r="BU141" s="1218"/>
      <c r="BV141" s="1218"/>
      <c r="BW141" s="1218"/>
      <c r="BX141" s="1218"/>
      <c r="BY141" s="1218"/>
      <c r="BZ141" s="1218"/>
      <c r="CA141" s="1218"/>
      <c r="CB141" s="1655"/>
      <c r="CC141" s="1655"/>
      <c r="CD141" s="1655"/>
      <c r="CE141" s="1655"/>
      <c r="CF141" s="1218"/>
      <c r="CG141" s="1655"/>
      <c r="CH141" s="1655"/>
      <c r="CI141" s="1655"/>
      <c r="CJ141" s="1655"/>
      <c r="CK141" s="1217"/>
      <c r="CL141" s="1655"/>
      <c r="CM141" s="1655"/>
      <c r="CN141" s="1655"/>
      <c r="CO141" s="1655"/>
      <c r="CP141" s="1217"/>
      <c r="CQ141" s="1655"/>
      <c r="CR141" s="1655"/>
      <c r="CS141" s="1655"/>
      <c r="CT141" s="1655"/>
      <c r="CU141" s="1217"/>
      <c r="CV141" s="1655"/>
      <c r="CW141" s="1655"/>
      <c r="CX141" s="1655"/>
      <c r="CY141" s="1655"/>
      <c r="CZ141" s="1217"/>
      <c r="DA141" s="1217"/>
      <c r="DB141" s="1217"/>
      <c r="DC141" s="1217"/>
      <c r="DD141" s="1994"/>
      <c r="DH141" s="1178">
        <v>3</v>
      </c>
    </row>
    <row r="142" spans="1:117" s="1178" customFormat="1" ht="11.25">
      <c r="A142" s="1191"/>
      <c r="B142" s="1191"/>
      <c r="C142" s="1373" t="s">
        <v>1182</v>
      </c>
      <c r="D142" s="1191"/>
      <c r="E142" s="1191"/>
      <c r="F142" s="1191"/>
      <c r="G142" s="1191"/>
      <c r="H142" s="1191"/>
      <c r="I142" s="1191"/>
      <c r="J142" s="1191"/>
      <c r="K142" s="1191"/>
      <c r="L142" s="1191"/>
      <c r="M142" s="1191"/>
      <c r="N142" s="1182"/>
      <c r="O142" s="1191"/>
      <c r="P142" s="1191"/>
      <c r="Q142" s="1191"/>
      <c r="R142" s="1191"/>
      <c r="S142" s="1182"/>
      <c r="T142" s="1191"/>
      <c r="U142" s="1191"/>
      <c r="V142" s="1191"/>
      <c r="W142" s="1191"/>
      <c r="X142" s="1182"/>
      <c r="Y142" s="1191"/>
      <c r="Z142" s="1191"/>
      <c r="AA142" s="1191"/>
      <c r="AB142" s="1191"/>
      <c r="AC142" s="1182"/>
      <c r="AD142" s="1191"/>
      <c r="AE142" s="1191"/>
      <c r="AF142" s="1191"/>
      <c r="AG142" s="1191"/>
      <c r="AH142" s="1182"/>
      <c r="AI142" s="1191"/>
      <c r="AJ142" s="1191"/>
      <c r="AK142" s="1191"/>
      <c r="AL142" s="1191"/>
      <c r="AM142" s="1182"/>
      <c r="AN142" s="1191"/>
      <c r="AO142" s="1191"/>
      <c r="AP142" s="1191"/>
      <c r="AQ142" s="1191"/>
      <c r="AR142" s="1182"/>
      <c r="AS142" s="1182"/>
      <c r="AT142" s="1182"/>
      <c r="AU142" s="1182"/>
      <c r="AV142" s="1182"/>
      <c r="AW142" s="1182"/>
      <c r="AX142" s="1182"/>
      <c r="AY142" s="1182"/>
      <c r="AZ142" s="1182"/>
      <c r="BA142" s="1182"/>
      <c r="BB142" s="1182"/>
      <c r="BC142" s="1182"/>
      <c r="BD142" s="1182"/>
      <c r="BE142" s="1182"/>
      <c r="BF142" s="1182"/>
      <c r="BG142" s="1182"/>
      <c r="BH142" s="1182"/>
      <c r="BI142" s="1182"/>
      <c r="BJ142" s="1182"/>
      <c r="BK142" s="1182"/>
      <c r="BL142" s="1182"/>
      <c r="BM142" s="1182"/>
      <c r="BN142" s="1182"/>
      <c r="BO142" s="1182"/>
      <c r="BP142" s="1182"/>
      <c r="BQ142" s="1223"/>
      <c r="BR142" s="1190"/>
      <c r="BS142" s="1190"/>
      <c r="BT142" s="1190"/>
      <c r="BU142" s="1190"/>
      <c r="BV142" s="1223"/>
      <c r="BW142" s="1190"/>
      <c r="BX142" s="1190"/>
      <c r="BY142" s="1190"/>
      <c r="BZ142" s="1190"/>
      <c r="CA142" s="1223"/>
      <c r="CB142" s="1240"/>
      <c r="CD142" s="1240"/>
      <c r="CE142" s="1240"/>
      <c r="CF142" s="1223"/>
      <c r="CG142" s="1240"/>
      <c r="CH142" s="1240"/>
      <c r="CI142" s="1240"/>
      <c r="CJ142" s="1240"/>
      <c r="CK142" s="1223"/>
      <c r="CL142" s="1240"/>
      <c r="CM142" s="1240"/>
      <c r="CN142" s="1240"/>
      <c r="CO142" s="1240"/>
      <c r="CP142" s="1223"/>
      <c r="CQ142" s="1240"/>
      <c r="CR142" s="1240"/>
      <c r="CS142" s="1240"/>
      <c r="CT142" s="1240"/>
      <c r="CU142" s="1223"/>
      <c r="CV142" s="1240"/>
      <c r="CW142" s="1240"/>
      <c r="CX142" s="1240"/>
      <c r="CY142" s="1240"/>
      <c r="CZ142" s="1223"/>
      <c r="DA142" s="1223"/>
      <c r="DB142" s="1223"/>
      <c r="DC142" s="1223"/>
      <c r="DD142" s="1190"/>
      <c r="DH142" s="1178">
        <v>5</v>
      </c>
    </row>
    <row r="143" spans="1:117" s="1178" customFormat="1" ht="11.25">
      <c r="A143" s="1191"/>
      <c r="B143" s="1191"/>
      <c r="C143" s="1191"/>
      <c r="D143" s="1191"/>
      <c r="E143" s="1191"/>
      <c r="F143" s="1191"/>
      <c r="G143" s="1191"/>
      <c r="H143" s="1191"/>
      <c r="I143" s="1191"/>
      <c r="J143" s="1191"/>
      <c r="K143" s="1191"/>
      <c r="L143" s="1191"/>
      <c r="M143" s="1191"/>
      <c r="N143" s="1182"/>
      <c r="O143" s="1191"/>
      <c r="P143" s="1191"/>
      <c r="Q143" s="1191"/>
      <c r="R143" s="1191"/>
      <c r="S143" s="1182"/>
      <c r="T143" s="1191"/>
      <c r="U143" s="1191"/>
      <c r="V143" s="1191"/>
      <c r="W143" s="1191"/>
      <c r="X143" s="1182"/>
      <c r="Y143" s="1191"/>
      <c r="Z143" s="1191"/>
      <c r="AA143" s="1191"/>
      <c r="AB143" s="1191"/>
      <c r="AC143" s="1182"/>
      <c r="AD143" s="1191"/>
      <c r="AE143" s="1191"/>
      <c r="AF143" s="1191"/>
      <c r="AG143" s="1191"/>
      <c r="AH143" s="1182"/>
      <c r="AI143" s="1191"/>
      <c r="AJ143" s="1191"/>
      <c r="AK143" s="1191"/>
      <c r="AL143" s="1191"/>
      <c r="AM143" s="1182"/>
      <c r="AN143" s="1191"/>
      <c r="AO143" s="1191"/>
      <c r="AP143" s="1191"/>
      <c r="AQ143" s="1191"/>
      <c r="AR143" s="1182"/>
      <c r="AS143" s="1182"/>
      <c r="AT143" s="1182"/>
      <c r="AU143" s="1182"/>
      <c r="AV143" s="1182"/>
      <c r="AW143" s="1182"/>
      <c r="AX143" s="1182"/>
      <c r="AY143" s="1182"/>
      <c r="AZ143" s="1182"/>
      <c r="BA143" s="1182"/>
      <c r="BB143" s="1182"/>
      <c r="BC143" s="1182"/>
      <c r="BD143" s="1182"/>
      <c r="BE143" s="1182"/>
      <c r="BF143" s="1182"/>
      <c r="BG143" s="1182"/>
      <c r="BH143" s="1182"/>
      <c r="BI143" s="1182"/>
      <c r="BJ143" s="1182"/>
      <c r="BK143" s="1182"/>
      <c r="BL143" s="1182"/>
      <c r="BM143" s="1182"/>
      <c r="BN143" s="1182"/>
      <c r="BO143" s="1182"/>
      <c r="BP143" s="1182"/>
      <c r="BQ143" s="1223"/>
      <c r="BR143" s="1190"/>
      <c r="BS143" s="1190"/>
      <c r="BT143" s="1190"/>
      <c r="BU143" s="1190"/>
      <c r="BV143" s="1223"/>
      <c r="BW143" s="1190"/>
      <c r="BX143" s="1190"/>
      <c r="BY143" s="1190"/>
      <c r="BZ143" s="1190"/>
      <c r="CA143" s="1223"/>
      <c r="CB143" s="1240"/>
      <c r="CD143" s="1240"/>
      <c r="CE143" s="1240"/>
      <c r="CF143" s="1223"/>
      <c r="CG143" s="1240"/>
      <c r="CH143" s="1240"/>
      <c r="CI143" s="1240"/>
      <c r="CJ143" s="1254"/>
      <c r="CK143" s="1223"/>
      <c r="CL143" s="1240"/>
      <c r="CM143" s="1240"/>
      <c r="CN143" s="1240"/>
      <c r="CO143" s="1254"/>
      <c r="CP143" s="1223"/>
      <c r="CQ143" s="1240"/>
      <c r="CR143" s="1240"/>
      <c r="CS143" s="1240"/>
      <c r="CT143" s="1254"/>
      <c r="CU143" s="1223"/>
      <c r="CV143" s="1240"/>
      <c r="CW143" s="1240"/>
      <c r="CX143" s="1240"/>
      <c r="CY143" s="2115"/>
      <c r="CZ143" s="1223"/>
      <c r="DA143" s="1223"/>
      <c r="DB143" s="1223"/>
      <c r="DC143" s="1223"/>
      <c r="DD143" s="1190"/>
      <c r="DH143" s="1178">
        <v>1</v>
      </c>
      <c r="DI143" s="2109"/>
    </row>
    <row r="144" spans="1:117" s="1178" customFormat="1" ht="11.25">
      <c r="A144" s="1191"/>
      <c r="B144" s="1191"/>
      <c r="C144" s="1191" t="s">
        <v>1162</v>
      </c>
      <c r="D144" s="1191"/>
      <c r="E144" s="1191"/>
      <c r="F144" s="1191"/>
      <c r="G144" s="1191"/>
      <c r="H144" s="1191"/>
      <c r="I144" s="1191"/>
      <c r="J144" s="1191"/>
      <c r="K144" s="1191"/>
      <c r="L144" s="1191"/>
      <c r="M144" s="1191"/>
      <c r="N144" s="1182"/>
      <c r="O144" s="1191"/>
      <c r="P144" s="1191"/>
      <c r="Q144" s="1191"/>
      <c r="R144" s="1191"/>
      <c r="S144" s="1182"/>
      <c r="T144" s="1191"/>
      <c r="U144" s="1191"/>
      <c r="V144" s="1191"/>
      <c r="W144" s="1191"/>
      <c r="X144" s="1182"/>
      <c r="Y144" s="1191"/>
      <c r="Z144" s="1191"/>
      <c r="AA144" s="1191"/>
      <c r="AB144" s="1191"/>
      <c r="AC144" s="1182"/>
      <c r="AD144" s="1191"/>
      <c r="AE144" s="1191"/>
      <c r="AF144" s="1191"/>
      <c r="AG144" s="1191"/>
      <c r="AH144" s="1182"/>
      <c r="AI144" s="1191"/>
      <c r="AJ144" s="1191"/>
      <c r="AK144" s="1191"/>
      <c r="AL144" s="1191"/>
      <c r="AM144" s="1182"/>
      <c r="AN144" s="1191"/>
      <c r="AO144" s="1191"/>
      <c r="AP144" s="1191"/>
      <c r="AQ144" s="1191"/>
      <c r="AR144" s="1182"/>
      <c r="AS144" s="1182"/>
      <c r="AT144" s="1182"/>
      <c r="AU144" s="1182"/>
      <c r="AV144" s="1182"/>
      <c r="AW144" s="1182"/>
      <c r="AX144" s="1182"/>
      <c r="AY144" s="1182"/>
      <c r="AZ144" s="1182"/>
      <c r="BA144" s="1182"/>
      <c r="BB144" s="1182"/>
      <c r="BC144" s="1182"/>
      <c r="BD144" s="1182"/>
      <c r="BE144" s="1182"/>
      <c r="BF144" s="1182"/>
      <c r="BG144" s="1182"/>
      <c r="BH144" s="1182"/>
      <c r="BI144" s="1182"/>
      <c r="BJ144" s="1182"/>
      <c r="BK144" s="1182"/>
      <c r="BL144" s="1182"/>
      <c r="BM144" s="1182"/>
      <c r="BN144" s="1182"/>
      <c r="BO144" s="1182"/>
      <c r="BP144" s="1182"/>
      <c r="BQ144" s="1223"/>
      <c r="BR144" s="1190"/>
      <c r="BS144" s="1190"/>
      <c r="BT144" s="1190"/>
      <c r="BU144" s="1190"/>
      <c r="BV144" s="1223"/>
      <c r="BW144" s="1190"/>
      <c r="BX144" s="1190"/>
      <c r="BY144" s="1190"/>
      <c r="BZ144" s="1190"/>
      <c r="CA144" s="1239">
        <v>428</v>
      </c>
      <c r="CB144" s="1243"/>
      <c r="CC144" s="1243"/>
      <c r="CD144" s="1243"/>
      <c r="CE144" s="1243"/>
      <c r="CF144" s="1239">
        <v>456</v>
      </c>
      <c r="CG144" s="1243">
        <f>CG121-CG165-CG186</f>
        <v>163</v>
      </c>
      <c r="CH144" s="2113">
        <f>CH121-CH165-CH186</f>
        <v>145</v>
      </c>
      <c r="CI144" s="2113">
        <f>CI121-CI165-CI186</f>
        <v>83</v>
      </c>
      <c r="CJ144" s="2113">
        <f>CJ121-CJ165-CJ186</f>
        <v>129</v>
      </c>
      <c r="CK144" s="1239">
        <v>420</v>
      </c>
      <c r="CL144" s="2295">
        <f>CL121-CL148-CL165</f>
        <v>129.42450657894736</v>
      </c>
      <c r="CM144" s="2295">
        <f>CM121-CM148-CM165</f>
        <v>122.42450657894736</v>
      </c>
      <c r="CN144" s="2295">
        <f>CN121-CN148-CN165</f>
        <v>68.424506578947373</v>
      </c>
      <c r="CO144" s="2295">
        <f>CO121-CO148-CO165</f>
        <v>61.424506578947373</v>
      </c>
      <c r="CP144" s="1673">
        <f>SUM(CL144:CO144)</f>
        <v>381.69802631578949</v>
      </c>
      <c r="CQ144" s="2127">
        <f>CQ121-CQ165</f>
        <v>69</v>
      </c>
      <c r="CR144" s="2127">
        <f>CR121-CR165</f>
        <v>75</v>
      </c>
      <c r="CS144" s="1243"/>
      <c r="CT144" s="1243"/>
      <c r="CU144" s="1239">
        <v>146</v>
      </c>
      <c r="CV144" s="2113"/>
      <c r="CW144" s="1690"/>
      <c r="CX144" s="2113"/>
      <c r="CY144" s="2113"/>
      <c r="CZ144" s="1681">
        <v>12</v>
      </c>
      <c r="DA144" s="1681">
        <v>10.199999999999999</v>
      </c>
      <c r="DB144" s="1681">
        <v>10.199999999999999</v>
      </c>
      <c r="DC144" s="1681">
        <v>10.199999999999999</v>
      </c>
      <c r="DD144" s="1997"/>
      <c r="DH144" s="1178">
        <f>SUM(DH138:DH143)</f>
        <v>61</v>
      </c>
      <c r="DI144" s="2109">
        <f>SUM(DI138:DI143)</f>
        <v>36</v>
      </c>
    </row>
    <row r="145" spans="1:113" s="1178" customFormat="1" ht="11.25">
      <c r="A145" s="1191"/>
      <c r="B145" s="1191"/>
      <c r="C145" s="1191"/>
      <c r="D145" s="1191" t="s">
        <v>1181</v>
      </c>
      <c r="E145" s="1191"/>
      <c r="F145" s="1191"/>
      <c r="G145" s="1191"/>
      <c r="H145" s="1191"/>
      <c r="I145" s="1191"/>
      <c r="J145" s="1191"/>
      <c r="K145" s="1191"/>
      <c r="L145" s="1191"/>
      <c r="M145" s="1191"/>
      <c r="N145" s="1182"/>
      <c r="O145" s="1191"/>
      <c r="P145" s="1191"/>
      <c r="Q145" s="1191"/>
      <c r="R145" s="1191"/>
      <c r="S145" s="1182"/>
      <c r="T145" s="1191"/>
      <c r="U145" s="1191"/>
      <c r="V145" s="1191"/>
      <c r="W145" s="1191"/>
      <c r="X145" s="1182"/>
      <c r="Y145" s="1191"/>
      <c r="Z145" s="1191"/>
      <c r="AA145" s="1191"/>
      <c r="AB145" s="1191"/>
      <c r="AC145" s="1182"/>
      <c r="AD145" s="1191"/>
      <c r="AE145" s="1191"/>
      <c r="AF145" s="1191"/>
      <c r="AG145" s="1191"/>
      <c r="AH145" s="1182"/>
      <c r="AI145" s="1191"/>
      <c r="AJ145" s="1191"/>
      <c r="AK145" s="1191"/>
      <c r="AL145" s="1191"/>
      <c r="AM145" s="1182"/>
      <c r="AN145" s="1191"/>
      <c r="AO145" s="1191"/>
      <c r="AP145" s="1191"/>
      <c r="AQ145" s="1191"/>
      <c r="AR145" s="1182"/>
      <c r="AS145" s="1182"/>
      <c r="AT145" s="1182"/>
      <c r="AU145" s="1182"/>
      <c r="AV145" s="1182"/>
      <c r="AW145" s="1182"/>
      <c r="AX145" s="1182"/>
      <c r="AY145" s="1182"/>
      <c r="AZ145" s="1182"/>
      <c r="BA145" s="1182"/>
      <c r="BB145" s="1182"/>
      <c r="BC145" s="1182"/>
      <c r="BD145" s="1182"/>
      <c r="BE145" s="1182"/>
      <c r="BF145" s="1182"/>
      <c r="BG145" s="1182"/>
      <c r="BH145" s="1182"/>
      <c r="BI145" s="1182"/>
      <c r="BJ145" s="1182"/>
      <c r="BK145" s="1182"/>
      <c r="BL145" s="1182"/>
      <c r="BM145" s="1182"/>
      <c r="BN145" s="1182"/>
      <c r="BO145" s="1182"/>
      <c r="BP145" s="1182"/>
      <c r="BQ145" s="1223"/>
      <c r="BR145" s="1190"/>
      <c r="BS145" s="1190"/>
      <c r="BT145" s="1190"/>
      <c r="BU145" s="1190"/>
      <c r="BV145" s="1223"/>
      <c r="BW145" s="1190"/>
      <c r="BX145" s="1190"/>
      <c r="BY145" s="1190"/>
      <c r="BZ145" s="1190"/>
      <c r="CA145" s="1223">
        <v>374</v>
      </c>
      <c r="CB145" s="1240"/>
      <c r="CC145" s="1240"/>
      <c r="CD145" s="1240"/>
      <c r="CE145" s="1240"/>
      <c r="CF145" s="1312">
        <v>304</v>
      </c>
      <c r="CG145" s="1260"/>
      <c r="CH145" s="1260"/>
      <c r="CI145" s="1260"/>
      <c r="CJ145" s="1260"/>
      <c r="CK145" s="1312">
        <v>180</v>
      </c>
      <c r="CL145" s="2296">
        <f>CP145/4</f>
        <v>5.5</v>
      </c>
      <c r="CM145" s="2297">
        <f>CL145</f>
        <v>5.5</v>
      </c>
      <c r="CN145" s="2297">
        <f t="shared" ref="CN145:CO145" si="70">CM145</f>
        <v>5.5</v>
      </c>
      <c r="CO145" s="2297">
        <f t="shared" si="70"/>
        <v>5.5</v>
      </c>
      <c r="CP145" s="1312">
        <v>22</v>
      </c>
      <c r="CQ145" s="1260">
        <f>CU145/4</f>
        <v>2</v>
      </c>
      <c r="CR145" s="1260">
        <f>CQ145</f>
        <v>2</v>
      </c>
      <c r="CS145" s="1260"/>
      <c r="CT145" s="1260"/>
      <c r="CU145" s="1312">
        <v>8</v>
      </c>
      <c r="CV145" s="1260"/>
      <c r="CW145" s="1689"/>
      <c r="CX145" s="1260"/>
      <c r="CY145" s="1260"/>
      <c r="CZ145" s="1312">
        <v>0</v>
      </c>
      <c r="DA145" s="1312">
        <v>0</v>
      </c>
      <c r="DB145" s="1312">
        <v>0</v>
      </c>
      <c r="DC145" s="1312">
        <v>0</v>
      </c>
      <c r="DD145" s="1311"/>
      <c r="DI145" s="1178">
        <f>DH144-DI144</f>
        <v>25</v>
      </c>
    </row>
    <row r="146" spans="1:113" s="1178" customFormat="1" ht="11.25">
      <c r="A146" s="1191"/>
      <c r="B146" s="1191"/>
      <c r="C146" s="1191"/>
      <c r="D146" s="1191" t="s">
        <v>1180</v>
      </c>
      <c r="E146" s="1191"/>
      <c r="F146" s="1191"/>
      <c r="G146" s="1191"/>
      <c r="H146" s="1191"/>
      <c r="I146" s="1191"/>
      <c r="J146" s="1191"/>
      <c r="K146" s="1191"/>
      <c r="L146" s="1191"/>
      <c r="M146" s="1191"/>
      <c r="N146" s="1182"/>
      <c r="O146" s="1191"/>
      <c r="P146" s="1191"/>
      <c r="Q146" s="1191"/>
      <c r="R146" s="1191"/>
      <c r="S146" s="1182"/>
      <c r="T146" s="1191"/>
      <c r="U146" s="1191"/>
      <c r="V146" s="1191"/>
      <c r="W146" s="1191"/>
      <c r="X146" s="1182"/>
      <c r="Y146" s="1191"/>
      <c r="Z146" s="1191"/>
      <c r="AA146" s="1191"/>
      <c r="AB146" s="1191"/>
      <c r="AC146" s="1182"/>
      <c r="AD146" s="1191"/>
      <c r="AE146" s="1191"/>
      <c r="AF146" s="1191"/>
      <c r="AG146" s="1191"/>
      <c r="AH146" s="1182"/>
      <c r="AI146" s="1191"/>
      <c r="AJ146" s="1191"/>
      <c r="AK146" s="1191"/>
      <c r="AL146" s="1191"/>
      <c r="AM146" s="1182"/>
      <c r="AN146" s="1191"/>
      <c r="AO146" s="1191"/>
      <c r="AP146" s="1191"/>
      <c r="AQ146" s="1191"/>
      <c r="AR146" s="1182"/>
      <c r="AS146" s="1182"/>
      <c r="AT146" s="1182"/>
      <c r="AU146" s="1182"/>
      <c r="AV146" s="1182"/>
      <c r="AW146" s="1182"/>
      <c r="AX146" s="1182"/>
      <c r="AY146" s="1182"/>
      <c r="AZ146" s="1182"/>
      <c r="BA146" s="1182"/>
      <c r="BB146" s="1182"/>
      <c r="BC146" s="1182"/>
      <c r="BD146" s="1182"/>
      <c r="BE146" s="1182"/>
      <c r="BF146" s="1182"/>
      <c r="BG146" s="1182"/>
      <c r="BH146" s="1182"/>
      <c r="BI146" s="1182"/>
      <c r="BJ146" s="1182"/>
      <c r="BK146" s="1182"/>
      <c r="BL146" s="1182"/>
      <c r="BM146" s="1182"/>
      <c r="BN146" s="1182"/>
      <c r="BO146" s="1182"/>
      <c r="BP146" s="1182"/>
      <c r="BQ146" s="1223"/>
      <c r="BR146" s="1190"/>
      <c r="BS146" s="1190"/>
      <c r="BT146" s="1190"/>
      <c r="BU146" s="1190"/>
      <c r="BV146" s="1223"/>
      <c r="BW146" s="1190"/>
      <c r="BX146" s="1190"/>
      <c r="BY146" s="1190"/>
      <c r="BZ146" s="1190"/>
      <c r="CA146" s="1223">
        <f>CA144-CA145</f>
        <v>54</v>
      </c>
      <c r="CB146" s="1240"/>
      <c r="CC146" s="1240"/>
      <c r="CD146" s="1240"/>
      <c r="CE146" s="1240"/>
      <c r="CF146" s="1312">
        <f>CF144-CF145</f>
        <v>152</v>
      </c>
      <c r="CG146" s="1260"/>
      <c r="CH146" s="1260"/>
      <c r="CI146" s="1260"/>
      <c r="CJ146" s="1260"/>
      <c r="CK146" s="1312">
        <f>CK144-CK145</f>
        <v>240</v>
      </c>
      <c r="CL146" s="2295">
        <f>CL144-CL145</f>
        <v>123.92450657894736</v>
      </c>
      <c r="CM146" s="2295">
        <f>CM144-CM145</f>
        <v>116.92450657894736</v>
      </c>
      <c r="CN146" s="2295">
        <f t="shared" ref="CN146:CO146" si="71">CN144-CN145</f>
        <v>62.924506578947373</v>
      </c>
      <c r="CO146" s="2295">
        <f t="shared" si="71"/>
        <v>55.924506578947373</v>
      </c>
      <c r="CP146" s="1688">
        <f>CP144-CP145</f>
        <v>359.69802631578949</v>
      </c>
      <c r="CQ146" s="2126">
        <f>CQ144-CQ145</f>
        <v>67</v>
      </c>
      <c r="CR146" s="2126">
        <f>CR144-CR145</f>
        <v>73</v>
      </c>
      <c r="CS146" s="2126">
        <v>0</v>
      </c>
      <c r="CT146" s="2126">
        <f>CS146</f>
        <v>0</v>
      </c>
      <c r="CU146" s="1312">
        <f>CU144-CU145</f>
        <v>138</v>
      </c>
      <c r="CV146" s="1260"/>
      <c r="CW146" s="1260"/>
      <c r="CX146" s="1260"/>
      <c r="CY146" s="1260"/>
      <c r="CZ146" s="1688">
        <f>CZ144-CZ145</f>
        <v>12</v>
      </c>
      <c r="DA146" s="1688">
        <f>DA144-DA145</f>
        <v>10.199999999999999</v>
      </c>
      <c r="DB146" s="1688">
        <f>DB144-DB145</f>
        <v>10.199999999999999</v>
      </c>
      <c r="DC146" s="1688">
        <f>DC144-DC145</f>
        <v>10.199999999999999</v>
      </c>
      <c r="DD146" s="1998"/>
    </row>
    <row r="147" spans="1:113" s="1178" customFormat="1" ht="11.25">
      <c r="A147" s="1191"/>
      <c r="B147" s="1191"/>
      <c r="C147" s="1191"/>
      <c r="D147" s="1191"/>
      <c r="E147" s="1191"/>
      <c r="F147" s="1191"/>
      <c r="G147" s="1191"/>
      <c r="H147" s="1191"/>
      <c r="I147" s="1191"/>
      <c r="J147" s="1191"/>
      <c r="K147" s="1191"/>
      <c r="L147" s="1191"/>
      <c r="M147" s="1191"/>
      <c r="N147" s="1182"/>
      <c r="O147" s="1191"/>
      <c r="P147" s="1191"/>
      <c r="Q147" s="1191"/>
      <c r="R147" s="1191"/>
      <c r="S147" s="1182"/>
      <c r="T147" s="1191"/>
      <c r="U147" s="1191"/>
      <c r="V147" s="1191"/>
      <c r="W147" s="1191"/>
      <c r="X147" s="1182"/>
      <c r="Y147" s="1191"/>
      <c r="Z147" s="1191"/>
      <c r="AA147" s="1191"/>
      <c r="AB147" s="1191"/>
      <c r="AC147" s="1182"/>
      <c r="AD147" s="1191"/>
      <c r="AE147" s="1191"/>
      <c r="AF147" s="1191"/>
      <c r="AG147" s="1191"/>
      <c r="AH147" s="1182"/>
      <c r="AI147" s="1191"/>
      <c r="AJ147" s="1191"/>
      <c r="AK147" s="1191"/>
      <c r="AL147" s="1191"/>
      <c r="AM147" s="1182"/>
      <c r="AN147" s="1191"/>
      <c r="AO147" s="1191"/>
      <c r="AP147" s="1191"/>
      <c r="AQ147" s="1191"/>
      <c r="AR147" s="1182"/>
      <c r="AS147" s="1182"/>
      <c r="AT147" s="1182"/>
      <c r="AU147" s="1182"/>
      <c r="AV147" s="1182"/>
      <c r="AW147" s="1182"/>
      <c r="AX147" s="1182"/>
      <c r="AY147" s="1182"/>
      <c r="AZ147" s="1182"/>
      <c r="BA147" s="1182"/>
      <c r="BB147" s="1182"/>
      <c r="BC147" s="1182"/>
      <c r="BD147" s="1182"/>
      <c r="BE147" s="1182"/>
      <c r="BF147" s="1182"/>
      <c r="BG147" s="1182"/>
      <c r="BH147" s="1182"/>
      <c r="BI147" s="1182"/>
      <c r="BJ147" s="1182"/>
      <c r="BK147" s="1182"/>
      <c r="BL147" s="1182"/>
      <c r="BM147" s="1182"/>
      <c r="BN147" s="1182"/>
      <c r="BO147" s="1182"/>
      <c r="BP147" s="1182"/>
      <c r="BQ147" s="1223"/>
      <c r="BR147" s="1190"/>
      <c r="BS147" s="1190"/>
      <c r="BT147" s="1190"/>
      <c r="BU147" s="1190"/>
      <c r="BV147" s="1223"/>
      <c r="BW147" s="1190"/>
      <c r="BX147" s="1190"/>
      <c r="BY147" s="1190"/>
      <c r="BZ147" s="1190"/>
      <c r="CA147" s="1239"/>
      <c r="CB147" s="1243"/>
      <c r="CC147" s="1243"/>
      <c r="CD147" s="1243"/>
      <c r="CE147" s="1243"/>
      <c r="CF147" s="1239"/>
      <c r="CG147" s="1243"/>
      <c r="CH147" s="1243"/>
      <c r="CI147" s="1243"/>
      <c r="CJ147" s="1243"/>
      <c r="CK147" s="1239"/>
      <c r="CL147" s="1243"/>
      <c r="CM147" s="1243"/>
      <c r="CN147" s="1243"/>
      <c r="CO147" s="1243"/>
      <c r="CP147" s="1239"/>
      <c r="CQ147" s="1243"/>
      <c r="CR147" s="1243"/>
      <c r="CS147" s="1243"/>
      <c r="CT147" s="1243"/>
      <c r="CU147" s="1239"/>
      <c r="CV147" s="2113"/>
      <c r="CW147" s="2113"/>
      <c r="CX147" s="2113"/>
      <c r="CY147" s="2113"/>
      <c r="CZ147" s="1239"/>
      <c r="DA147" s="1239"/>
      <c r="DB147" s="1239"/>
      <c r="DC147" s="1239"/>
      <c r="DD147" s="1357"/>
    </row>
    <row r="148" spans="1:113" s="1178" customFormat="1" ht="11.25">
      <c r="A148" s="1191"/>
      <c r="B148" s="1191"/>
      <c r="C148" s="1191"/>
      <c r="D148" s="1191" t="s">
        <v>1179</v>
      </c>
      <c r="E148" s="1191"/>
      <c r="F148" s="1191"/>
      <c r="G148" s="1191"/>
      <c r="H148" s="1191"/>
      <c r="I148" s="1191"/>
      <c r="J148" s="1191"/>
      <c r="K148" s="1191"/>
      <c r="L148" s="1191"/>
      <c r="M148" s="1191"/>
      <c r="N148" s="1182"/>
      <c r="O148" s="1191"/>
      <c r="P148" s="1191"/>
      <c r="Q148" s="1191"/>
      <c r="R148" s="1191"/>
      <c r="S148" s="1182"/>
      <c r="T148" s="1191"/>
      <c r="U148" s="1191"/>
      <c r="V148" s="1191"/>
      <c r="W148" s="1191"/>
      <c r="X148" s="1182"/>
      <c r="Y148" s="1191"/>
      <c r="Z148" s="1191"/>
      <c r="AA148" s="1191"/>
      <c r="AB148" s="1191"/>
      <c r="AC148" s="1182"/>
      <c r="AD148" s="1191"/>
      <c r="AE148" s="1191"/>
      <c r="AF148" s="1191"/>
      <c r="AG148" s="1191"/>
      <c r="AH148" s="1182"/>
      <c r="AI148" s="1191"/>
      <c r="AJ148" s="1191"/>
      <c r="AK148" s="1191"/>
      <c r="AL148" s="1191"/>
      <c r="AM148" s="1182"/>
      <c r="AN148" s="1191"/>
      <c r="AO148" s="1191"/>
      <c r="AP148" s="1191"/>
      <c r="AQ148" s="1191"/>
      <c r="AR148" s="1182"/>
      <c r="AS148" s="1182"/>
      <c r="AT148" s="1182"/>
      <c r="AU148" s="1182"/>
      <c r="AV148" s="1182"/>
      <c r="AW148" s="1182"/>
      <c r="AX148" s="1182"/>
      <c r="AY148" s="1182"/>
      <c r="AZ148" s="1182"/>
      <c r="BA148" s="1182"/>
      <c r="BB148" s="1182"/>
      <c r="BC148" s="1182"/>
      <c r="BD148" s="1182"/>
      <c r="BE148" s="1182"/>
      <c r="BF148" s="1182"/>
      <c r="BG148" s="1182"/>
      <c r="BH148" s="1182"/>
      <c r="BI148" s="1182"/>
      <c r="BJ148" s="1182"/>
      <c r="BK148" s="1182"/>
      <c r="BL148" s="1182"/>
      <c r="BM148" s="1182"/>
      <c r="BN148" s="1182"/>
      <c r="BO148" s="1182"/>
      <c r="BP148" s="1182"/>
      <c r="BQ148" s="1223"/>
      <c r="BR148" s="1190"/>
      <c r="BS148" s="1190"/>
      <c r="BT148" s="1190"/>
      <c r="BU148" s="1190"/>
      <c r="BV148" s="1223"/>
      <c r="BW148" s="1190"/>
      <c r="BX148" s="1190"/>
      <c r="BY148" s="1190"/>
      <c r="BZ148" s="1190"/>
      <c r="CA148" s="1239">
        <f>CA159-CA155</f>
        <v>302</v>
      </c>
      <c r="CB148" s="1687">
        <f>CB159-CB155</f>
        <v>72</v>
      </c>
      <c r="CC148" s="1687">
        <f>CC159-CC155</f>
        <v>84</v>
      </c>
      <c r="CD148" s="1687">
        <f>CD159-CD155</f>
        <v>67</v>
      </c>
      <c r="CE148" s="1687">
        <f>CE159-CE155</f>
        <v>58</v>
      </c>
      <c r="CF148" s="1658">
        <f>SUM(CB148:CE148)</f>
        <v>281</v>
      </c>
      <c r="CG148" s="1679">
        <f>CK148/4</f>
        <v>37.435855263157897</v>
      </c>
      <c r="CH148" s="1679">
        <f>CG148</f>
        <v>37.435855263157897</v>
      </c>
      <c r="CI148" s="1679">
        <f>CH148</f>
        <v>37.435855263157897</v>
      </c>
      <c r="CJ148" s="1679">
        <f>CI148</f>
        <v>37.435855263157897</v>
      </c>
      <c r="CK148" s="1658">
        <f>CK145*CK149*0.6</f>
        <v>149.74342105263159</v>
      </c>
      <c r="CL148" s="1679">
        <f>CP148/4</f>
        <v>4.5754934210526317</v>
      </c>
      <c r="CM148" s="1679">
        <f>CL148</f>
        <v>4.5754934210526317</v>
      </c>
      <c r="CN148" s="1679">
        <f>CM148</f>
        <v>4.5754934210526317</v>
      </c>
      <c r="CO148" s="1679">
        <f>CN148</f>
        <v>4.5754934210526317</v>
      </c>
      <c r="CP148" s="1658">
        <f>CP145*CP149*0.6</f>
        <v>18.301973684210527</v>
      </c>
      <c r="CQ148" s="1679">
        <f>CU148/4</f>
        <v>1.6638157894736842</v>
      </c>
      <c r="CR148" s="1679">
        <f>CQ148</f>
        <v>1.6638157894736842</v>
      </c>
      <c r="CS148" s="1679">
        <f>CR148</f>
        <v>1.6638157894736842</v>
      </c>
      <c r="CT148" s="1679">
        <f>CS148</f>
        <v>1.6638157894736842</v>
      </c>
      <c r="CU148" s="1658">
        <f>CU145*CU149*0.6</f>
        <v>6.655263157894737</v>
      </c>
      <c r="CV148" s="2126">
        <f>CZ148/4</f>
        <v>0</v>
      </c>
      <c r="CW148" s="2126">
        <f>CV148</f>
        <v>0</v>
      </c>
      <c r="CX148" s="2126">
        <f>CW148</f>
        <v>0</v>
      </c>
      <c r="CY148" s="2126">
        <f>CX148</f>
        <v>0</v>
      </c>
      <c r="CZ148" s="1658">
        <f>CZ145*CZ149*0.6</f>
        <v>0</v>
      </c>
      <c r="DA148" s="1658">
        <f>DA145*DA149*0.6</f>
        <v>0</v>
      </c>
      <c r="DB148" s="1658">
        <f>DB145*DB149*0.6</f>
        <v>0</v>
      </c>
      <c r="DC148" s="1658">
        <f>DC145*DC149*0.6</f>
        <v>0</v>
      </c>
      <c r="DD148" s="1705"/>
    </row>
    <row r="149" spans="1:113" s="1178" customFormat="1" ht="11.25">
      <c r="A149" s="1191"/>
      <c r="B149" s="1191"/>
      <c r="C149" s="1191"/>
      <c r="D149" s="1191" t="s">
        <v>1178</v>
      </c>
      <c r="E149" s="1191"/>
      <c r="F149" s="1191"/>
      <c r="G149" s="1191"/>
      <c r="H149" s="1191"/>
      <c r="I149" s="1191"/>
      <c r="J149" s="1191"/>
      <c r="K149" s="1191"/>
      <c r="L149" s="1191"/>
      <c r="M149" s="1191"/>
      <c r="N149" s="1182"/>
      <c r="O149" s="1191"/>
      <c r="P149" s="1191"/>
      <c r="Q149" s="1191"/>
      <c r="R149" s="1191"/>
      <c r="S149" s="1182"/>
      <c r="T149" s="1191"/>
      <c r="U149" s="1191"/>
      <c r="V149" s="1191"/>
      <c r="W149" s="1191"/>
      <c r="X149" s="1182"/>
      <c r="Y149" s="1191"/>
      <c r="Z149" s="1191"/>
      <c r="AA149" s="1191"/>
      <c r="AB149" s="1191"/>
      <c r="AC149" s="1182"/>
      <c r="AD149" s="1191"/>
      <c r="AE149" s="1191"/>
      <c r="AF149" s="1191"/>
      <c r="AG149" s="1191"/>
      <c r="AH149" s="1182"/>
      <c r="AI149" s="1191"/>
      <c r="AJ149" s="1191"/>
      <c r="AK149" s="1191"/>
      <c r="AL149" s="1191"/>
      <c r="AM149" s="1182"/>
      <c r="AN149" s="1191"/>
      <c r="AO149" s="1191"/>
      <c r="AP149" s="1191"/>
      <c r="AQ149" s="1191"/>
      <c r="AR149" s="1182"/>
      <c r="AS149" s="1182"/>
      <c r="AT149" s="1182"/>
      <c r="AU149" s="1182"/>
      <c r="AV149" s="1182"/>
      <c r="AW149" s="1182"/>
      <c r="AX149" s="1182"/>
      <c r="AY149" s="1182"/>
      <c r="AZ149" s="1182"/>
      <c r="BA149" s="1182"/>
      <c r="BB149" s="1182"/>
      <c r="BC149" s="1182"/>
      <c r="BD149" s="1182"/>
      <c r="BE149" s="1182"/>
      <c r="BF149" s="1182"/>
      <c r="BG149" s="1182"/>
      <c r="BH149" s="1182"/>
      <c r="BI149" s="1182"/>
      <c r="BJ149" s="1182"/>
      <c r="BK149" s="1182"/>
      <c r="BL149" s="1182"/>
      <c r="BM149" s="1182"/>
      <c r="BN149" s="1182"/>
      <c r="BO149" s="1182"/>
      <c r="BP149" s="1182"/>
      <c r="BQ149" s="1223"/>
      <c r="BR149" s="1190"/>
      <c r="BS149" s="1190"/>
      <c r="BT149" s="1190"/>
      <c r="BU149" s="1190"/>
      <c r="BV149" s="1223"/>
      <c r="BW149" s="1190"/>
      <c r="BX149" s="1190"/>
      <c r="BY149" s="1190"/>
      <c r="BZ149" s="1190"/>
      <c r="CA149" s="1686">
        <f>CA148/CA145/0.6</f>
        <v>1.3458110516934048</v>
      </c>
      <c r="CB149" s="1243"/>
      <c r="CC149" s="1243"/>
      <c r="CD149" s="1243"/>
      <c r="CE149" s="1683"/>
      <c r="CF149" s="1686">
        <f>CF148/CF145/0.6</f>
        <v>1.5405701754385965</v>
      </c>
      <c r="CG149" s="1683"/>
      <c r="CH149" s="1683"/>
      <c r="CI149" s="1683"/>
      <c r="CJ149" s="1683"/>
      <c r="CK149" s="1685">
        <f>CF149*0.9</f>
        <v>1.3865131578947369</v>
      </c>
      <c r="CL149" s="1683"/>
      <c r="CM149" s="1683"/>
      <c r="CN149" s="1683"/>
      <c r="CO149" s="1683"/>
      <c r="CP149" s="1685">
        <f>CK149</f>
        <v>1.3865131578947369</v>
      </c>
      <c r="CQ149" s="1683"/>
      <c r="CR149" s="1683"/>
      <c r="CS149" s="1683"/>
      <c r="CT149" s="1683"/>
      <c r="CU149" s="1685">
        <f>CP149</f>
        <v>1.3865131578947369</v>
      </c>
      <c r="CV149" s="1683"/>
      <c r="CW149" s="1683"/>
      <c r="CX149" s="1683"/>
      <c r="CY149" s="1683"/>
      <c r="CZ149" s="1685">
        <f>CU149</f>
        <v>1.3865131578947369</v>
      </c>
      <c r="DA149" s="1685">
        <f>CZ149</f>
        <v>1.3865131578947369</v>
      </c>
      <c r="DB149" s="1685">
        <f>DA149</f>
        <v>1.3865131578947369</v>
      </c>
      <c r="DC149" s="1685">
        <f>DB149</f>
        <v>1.3865131578947369</v>
      </c>
      <c r="DD149" s="1999"/>
    </row>
    <row r="150" spans="1:113" s="1178" customFormat="1" ht="11.25">
      <c r="A150" s="1191"/>
      <c r="B150" s="1191"/>
      <c r="C150" s="1191"/>
      <c r="D150" s="1191"/>
      <c r="E150" s="1191"/>
      <c r="F150" s="1191"/>
      <c r="G150" s="1191"/>
      <c r="H150" s="1191"/>
      <c r="I150" s="1191"/>
      <c r="J150" s="1191"/>
      <c r="K150" s="1191"/>
      <c r="L150" s="1191"/>
      <c r="M150" s="1191"/>
      <c r="N150" s="1182"/>
      <c r="O150" s="1191"/>
      <c r="P150" s="1191"/>
      <c r="Q150" s="1191"/>
      <c r="R150" s="1191"/>
      <c r="S150" s="1182"/>
      <c r="T150" s="1191"/>
      <c r="U150" s="1191"/>
      <c r="V150" s="1191"/>
      <c r="W150" s="1191"/>
      <c r="X150" s="1182"/>
      <c r="Y150" s="1191"/>
      <c r="Z150" s="1191"/>
      <c r="AA150" s="1191"/>
      <c r="AB150" s="1191"/>
      <c r="AC150" s="1182"/>
      <c r="AD150" s="1191"/>
      <c r="AE150" s="1191"/>
      <c r="AF150" s="1191"/>
      <c r="AG150" s="1191"/>
      <c r="AH150" s="1182"/>
      <c r="AI150" s="1191"/>
      <c r="AJ150" s="1191"/>
      <c r="AK150" s="1191"/>
      <c r="AL150" s="1191"/>
      <c r="AM150" s="1182"/>
      <c r="AN150" s="1191"/>
      <c r="AO150" s="1191"/>
      <c r="AP150" s="1191"/>
      <c r="AQ150" s="1191"/>
      <c r="AR150" s="1182"/>
      <c r="AS150" s="1182"/>
      <c r="AT150" s="1182"/>
      <c r="AU150" s="1182"/>
      <c r="AV150" s="1182"/>
      <c r="AW150" s="1182"/>
      <c r="AX150" s="1182"/>
      <c r="AY150" s="1182"/>
      <c r="AZ150" s="1182"/>
      <c r="BA150" s="1182"/>
      <c r="BB150" s="1182"/>
      <c r="BC150" s="1182"/>
      <c r="BD150" s="1182"/>
      <c r="BE150" s="1182"/>
      <c r="BF150" s="1182"/>
      <c r="BG150" s="1182"/>
      <c r="BH150" s="1182"/>
      <c r="BI150" s="1182"/>
      <c r="BJ150" s="1182"/>
      <c r="BK150" s="1182"/>
      <c r="BL150" s="1182"/>
      <c r="BM150" s="1182"/>
      <c r="BN150" s="1182"/>
      <c r="BO150" s="1182"/>
      <c r="BP150" s="1182"/>
      <c r="BQ150" s="1223"/>
      <c r="BR150" s="1190"/>
      <c r="BS150" s="1190"/>
      <c r="BT150" s="1190"/>
      <c r="BU150" s="1190"/>
      <c r="BV150" s="1223"/>
      <c r="BW150" s="1190"/>
      <c r="BX150" s="1190"/>
      <c r="BY150" s="1190"/>
      <c r="BZ150" s="1190"/>
      <c r="CA150" s="1239"/>
      <c r="CB150" s="1243"/>
      <c r="CC150" s="1243"/>
      <c r="CD150" s="1243"/>
      <c r="CE150" s="1683"/>
      <c r="CF150" s="1239"/>
      <c r="CG150" s="1243"/>
      <c r="CH150" s="1243"/>
      <c r="CI150" s="1243"/>
      <c r="CJ150" s="1243"/>
      <c r="CK150" s="1239"/>
      <c r="CL150" s="1243"/>
      <c r="CM150" s="1243"/>
      <c r="CN150" s="1243"/>
      <c r="CO150" s="1243"/>
      <c r="CP150" s="1239"/>
      <c r="CQ150" s="1243"/>
      <c r="CR150" s="1243"/>
      <c r="CS150" s="1243"/>
      <c r="CT150" s="1243"/>
      <c r="CU150" s="1239"/>
      <c r="CV150" s="2113"/>
      <c r="CW150" s="2113"/>
      <c r="CX150" s="2113"/>
      <c r="CY150" s="2113"/>
      <c r="CZ150" s="1239"/>
      <c r="DA150" s="1239"/>
      <c r="DB150" s="1239"/>
      <c r="DC150" s="1239"/>
      <c r="DD150" s="1357"/>
    </row>
    <row r="151" spans="1:113" s="1178" customFormat="1" ht="11.25">
      <c r="A151" s="1191"/>
      <c r="B151" s="1191"/>
      <c r="C151" s="1191"/>
      <c r="D151" s="1191" t="s">
        <v>1177</v>
      </c>
      <c r="E151" s="1191"/>
      <c r="F151" s="1191"/>
      <c r="G151" s="1191"/>
      <c r="H151" s="1191"/>
      <c r="I151" s="1191"/>
      <c r="J151" s="1191"/>
      <c r="K151" s="1191"/>
      <c r="L151" s="1191"/>
      <c r="M151" s="1191"/>
      <c r="N151" s="1182"/>
      <c r="O151" s="1191"/>
      <c r="P151" s="1191"/>
      <c r="Q151" s="1191"/>
      <c r="R151" s="1191"/>
      <c r="S151" s="1182"/>
      <c r="T151" s="1191"/>
      <c r="U151" s="1191"/>
      <c r="V151" s="1191"/>
      <c r="W151" s="1191"/>
      <c r="X151" s="1182"/>
      <c r="Y151" s="1191"/>
      <c r="Z151" s="1191"/>
      <c r="AA151" s="1191"/>
      <c r="AB151" s="1191"/>
      <c r="AC151" s="1182"/>
      <c r="AD151" s="1191"/>
      <c r="AE151" s="1191"/>
      <c r="AF151" s="1191"/>
      <c r="AG151" s="1191"/>
      <c r="AH151" s="1182"/>
      <c r="AI151" s="1191"/>
      <c r="AJ151" s="1191"/>
      <c r="AK151" s="1191"/>
      <c r="AL151" s="1191"/>
      <c r="AM151" s="1182"/>
      <c r="AN151" s="1191"/>
      <c r="AO151" s="1191"/>
      <c r="AP151" s="1191"/>
      <c r="AQ151" s="1191"/>
      <c r="AR151" s="1182"/>
      <c r="AS151" s="1182"/>
      <c r="AT151" s="1182"/>
      <c r="AU151" s="1182"/>
      <c r="AV151" s="1182"/>
      <c r="AW151" s="1182"/>
      <c r="AX151" s="1182"/>
      <c r="AY151" s="1182"/>
      <c r="AZ151" s="1182"/>
      <c r="BA151" s="1182"/>
      <c r="BB151" s="1182"/>
      <c r="BC151" s="1182"/>
      <c r="BD151" s="1182"/>
      <c r="BE151" s="1182"/>
      <c r="BF151" s="1182"/>
      <c r="BG151" s="1182"/>
      <c r="BH151" s="1182"/>
      <c r="BI151" s="1182"/>
      <c r="BJ151" s="1182"/>
      <c r="BK151" s="1182"/>
      <c r="BL151" s="1182"/>
      <c r="BM151" s="1182"/>
      <c r="BN151" s="1182"/>
      <c r="BO151" s="1182"/>
      <c r="BP151" s="1182"/>
      <c r="BQ151" s="1223"/>
      <c r="BR151" s="1190"/>
      <c r="BS151" s="1190"/>
      <c r="BT151" s="1190"/>
      <c r="BU151" s="1190"/>
      <c r="BV151" s="1223"/>
      <c r="BW151" s="1190"/>
      <c r="BX151" s="1190"/>
      <c r="BY151" s="1190"/>
      <c r="BZ151" s="1190"/>
      <c r="CA151" s="1658">
        <f>CA145*CA149*0.2</f>
        <v>100.66666666666669</v>
      </c>
      <c r="CB151" s="1243"/>
      <c r="CC151" s="1243"/>
      <c r="CD151" s="1243"/>
      <c r="CE151" s="1683"/>
      <c r="CF151" s="1658">
        <f>CF145*CF149*0.2</f>
        <v>93.666666666666686</v>
      </c>
      <c r="CG151" s="1243"/>
      <c r="CH151" s="1243"/>
      <c r="CI151" s="1243"/>
      <c r="CJ151" s="1243"/>
      <c r="CK151" s="1658">
        <f>CK145*CK149*0.2</f>
        <v>49.914473684210535</v>
      </c>
      <c r="CL151" s="1567">
        <f>CP151/4</f>
        <v>1.5251644736842107</v>
      </c>
      <c r="CM151" s="1567">
        <f>CL151</f>
        <v>1.5251644736842107</v>
      </c>
      <c r="CN151" s="1567">
        <f t="shared" ref="CN151:CO151" si="72">CM151</f>
        <v>1.5251644736842107</v>
      </c>
      <c r="CO151" s="1567">
        <f t="shared" si="72"/>
        <v>1.5251644736842107</v>
      </c>
      <c r="CP151" s="2234">
        <f>CP145*CP149*0.2</f>
        <v>6.1006578947368428</v>
      </c>
      <c r="CQ151" s="1567">
        <f>CU151/4</f>
        <v>0.55460526315789482</v>
      </c>
      <c r="CR151" s="1567">
        <f>CQ151</f>
        <v>0.55460526315789482</v>
      </c>
      <c r="CS151" s="1567">
        <f t="shared" ref="CS151:CT151" si="73">CR151</f>
        <v>0.55460526315789482</v>
      </c>
      <c r="CT151" s="1567">
        <f t="shared" si="73"/>
        <v>0.55460526315789482</v>
      </c>
      <c r="CU151" s="2234">
        <f>CU145*CU149*0.2</f>
        <v>2.2184210526315793</v>
      </c>
      <c r="CV151" s="2113"/>
      <c r="CW151" s="2113"/>
      <c r="CX151" s="2113"/>
      <c r="CY151" s="2113"/>
      <c r="CZ151" s="1658">
        <f>CZ145*CZ149*0.2</f>
        <v>0</v>
      </c>
      <c r="DA151" s="1658">
        <f>DA145*DA149*0.2</f>
        <v>0</v>
      </c>
      <c r="DB151" s="1658">
        <f>DB145*DB149*0.2</f>
        <v>0</v>
      </c>
      <c r="DC151" s="1658">
        <f>DC145*DC149*0.2</f>
        <v>0</v>
      </c>
      <c r="DD151" s="1705"/>
    </row>
    <row r="152" spans="1:113" s="1178" customFormat="1" ht="11.25">
      <c r="A152" s="1191"/>
      <c r="B152" s="1191"/>
      <c r="C152" s="1191"/>
      <c r="D152" s="1191" t="s">
        <v>1176</v>
      </c>
      <c r="E152" s="1191"/>
      <c r="F152" s="1191"/>
      <c r="G152" s="1191"/>
      <c r="H152" s="1191"/>
      <c r="I152" s="1191"/>
      <c r="J152" s="1191"/>
      <c r="K152" s="1191"/>
      <c r="L152" s="1191"/>
      <c r="M152" s="1191"/>
      <c r="N152" s="1182"/>
      <c r="O152" s="1191"/>
      <c r="P152" s="1191"/>
      <c r="Q152" s="1191"/>
      <c r="R152" s="1191"/>
      <c r="S152" s="1182"/>
      <c r="T152" s="1191"/>
      <c r="U152" s="1191"/>
      <c r="V152" s="1191"/>
      <c r="W152" s="1191"/>
      <c r="X152" s="1182"/>
      <c r="Y152" s="1191"/>
      <c r="Z152" s="1191"/>
      <c r="AA152" s="1191"/>
      <c r="AB152" s="1191"/>
      <c r="AC152" s="1182"/>
      <c r="AD152" s="1191"/>
      <c r="AE152" s="1191"/>
      <c r="AF152" s="1191"/>
      <c r="AG152" s="1191"/>
      <c r="AH152" s="1182"/>
      <c r="AI152" s="1191"/>
      <c r="AJ152" s="1191"/>
      <c r="AK152" s="1191"/>
      <c r="AL152" s="1191"/>
      <c r="AM152" s="1182"/>
      <c r="AN152" s="1191"/>
      <c r="AO152" s="1191"/>
      <c r="AP152" s="1191"/>
      <c r="AQ152" s="1191"/>
      <c r="AR152" s="1182"/>
      <c r="AS152" s="1182"/>
      <c r="AT152" s="1182"/>
      <c r="AU152" s="1182"/>
      <c r="AV152" s="1182"/>
      <c r="AW152" s="1182"/>
      <c r="AX152" s="1182"/>
      <c r="AY152" s="1182"/>
      <c r="AZ152" s="1182"/>
      <c r="BA152" s="1182"/>
      <c r="BB152" s="1182"/>
      <c r="BC152" s="1182"/>
      <c r="BD152" s="1182"/>
      <c r="BE152" s="1182"/>
      <c r="BF152" s="1182"/>
      <c r="BG152" s="1182"/>
      <c r="BH152" s="1182"/>
      <c r="BI152" s="1182"/>
      <c r="BJ152" s="1182"/>
      <c r="BK152" s="1182"/>
      <c r="BL152" s="1182"/>
      <c r="BM152" s="1182"/>
      <c r="BN152" s="1182"/>
      <c r="BO152" s="1182"/>
      <c r="BP152" s="1182"/>
      <c r="BQ152" s="1223"/>
      <c r="BR152" s="1190"/>
      <c r="BS152" s="1190"/>
      <c r="BT152" s="1190"/>
      <c r="BU152" s="1190"/>
      <c r="BV152" s="1223"/>
      <c r="BW152" s="1190"/>
      <c r="BX152" s="1190"/>
      <c r="BY152" s="1190"/>
      <c r="BZ152" s="1190"/>
      <c r="CA152" s="1681">
        <f>CA146*CA149*0.61</f>
        <v>44.331016042780753</v>
      </c>
      <c r="CB152" s="1243"/>
      <c r="CC152" s="1243"/>
      <c r="CD152" s="1243"/>
      <c r="CE152" s="1683"/>
      <c r="CF152" s="1681">
        <f>CF146*CF149*0.61</f>
        <v>142.84166666666667</v>
      </c>
      <c r="CG152" s="1243"/>
      <c r="CH152" s="1243"/>
      <c r="CI152" s="1243"/>
      <c r="CJ152" s="1684"/>
      <c r="CK152" s="1681">
        <f>CK146*CK149*0.61</f>
        <v>202.98552631578949</v>
      </c>
      <c r="CL152" s="1567">
        <f>CL146*$CP$149*0.61</f>
        <v>104.81200496396728</v>
      </c>
      <c r="CM152" s="1567">
        <f t="shared" ref="CM152:CO152" si="74">CM146*$CP$149*0.61</f>
        <v>98.891593779756761</v>
      </c>
      <c r="CN152" s="1567">
        <f t="shared" si="74"/>
        <v>53.219850358704129</v>
      </c>
      <c r="CO152" s="1567">
        <f t="shared" si="74"/>
        <v>47.2994391744936</v>
      </c>
      <c r="CP152" s="1681">
        <f>CP146*CP149*0.61</f>
        <v>304.22288827692176</v>
      </c>
      <c r="CQ152" s="1567">
        <f>CQ146*$CU$149</f>
        <v>92.89638157894737</v>
      </c>
      <c r="CR152" s="1567">
        <f t="shared" ref="CR152:CT152" si="75">CR146*$CU$149</f>
        <v>101.21546052631579</v>
      </c>
      <c r="CS152" s="1567">
        <f t="shared" si="75"/>
        <v>0</v>
      </c>
      <c r="CT152" s="1567">
        <f t="shared" si="75"/>
        <v>0</v>
      </c>
      <c r="CU152" s="1681">
        <f>CU146*CU149*1</f>
        <v>191.3388157894737</v>
      </c>
      <c r="CV152" s="2113"/>
      <c r="CW152" s="2113"/>
      <c r="CX152" s="2113"/>
      <c r="CY152" s="2127"/>
      <c r="CZ152" s="1681">
        <f>CZ146*CZ149*1.2</f>
        <v>19.965789473684211</v>
      </c>
      <c r="DA152" s="1681">
        <f>DA146*DA149*1.2</f>
        <v>16.970921052631578</v>
      </c>
      <c r="DB152" s="1681">
        <f>DB146*DB149*1.2</f>
        <v>16.970921052631578</v>
      </c>
      <c r="DC152" s="1681">
        <f>DC146*DC149*1.2</f>
        <v>16.970921052631578</v>
      </c>
      <c r="DD152" s="1997"/>
    </row>
    <row r="153" spans="1:113" s="1178" customFormat="1" ht="11.25">
      <c r="A153" s="1191"/>
      <c r="B153" s="1191"/>
      <c r="C153" s="1191"/>
      <c r="D153" s="1191" t="s">
        <v>1063</v>
      </c>
      <c r="E153" s="1191"/>
      <c r="F153" s="1191"/>
      <c r="G153" s="1191"/>
      <c r="H153" s="1191"/>
      <c r="I153" s="1191"/>
      <c r="J153" s="1191"/>
      <c r="K153" s="1191"/>
      <c r="L153" s="1191"/>
      <c r="M153" s="1191"/>
      <c r="N153" s="1182"/>
      <c r="O153" s="1191"/>
      <c r="P153" s="1191"/>
      <c r="Q153" s="1191"/>
      <c r="R153" s="1191"/>
      <c r="S153" s="1182"/>
      <c r="T153" s="1191"/>
      <c r="U153" s="1191"/>
      <c r="V153" s="1191"/>
      <c r="W153" s="1191"/>
      <c r="X153" s="1182"/>
      <c r="Y153" s="1191"/>
      <c r="Z153" s="1191"/>
      <c r="AA153" s="1191"/>
      <c r="AB153" s="1191"/>
      <c r="AC153" s="1182"/>
      <c r="AD153" s="1191"/>
      <c r="AE153" s="1191"/>
      <c r="AF153" s="1191"/>
      <c r="AG153" s="1191"/>
      <c r="AH153" s="1182"/>
      <c r="AI153" s="1191"/>
      <c r="AJ153" s="1191"/>
      <c r="AK153" s="1191"/>
      <c r="AL153" s="1191"/>
      <c r="AM153" s="1182"/>
      <c r="AN153" s="1191"/>
      <c r="AO153" s="1191"/>
      <c r="AP153" s="1191"/>
      <c r="AQ153" s="1191"/>
      <c r="AR153" s="1182"/>
      <c r="AS153" s="1182"/>
      <c r="AT153" s="1182"/>
      <c r="AU153" s="1182"/>
      <c r="AV153" s="1182"/>
      <c r="AW153" s="1182"/>
      <c r="AX153" s="1182"/>
      <c r="AY153" s="1182"/>
      <c r="AZ153" s="1182"/>
      <c r="BA153" s="1182"/>
      <c r="BB153" s="1182"/>
      <c r="BC153" s="1182"/>
      <c r="BD153" s="1182"/>
      <c r="BE153" s="1182"/>
      <c r="BF153" s="1182"/>
      <c r="BG153" s="1182"/>
      <c r="BH153" s="1182"/>
      <c r="BI153" s="1182"/>
      <c r="BJ153" s="1182"/>
      <c r="BK153" s="1182"/>
      <c r="BL153" s="1182"/>
      <c r="BM153" s="1182"/>
      <c r="BN153" s="1182"/>
      <c r="BO153" s="1182"/>
      <c r="BP153" s="1182"/>
      <c r="BQ153" s="1223"/>
      <c r="BR153" s="1190"/>
      <c r="BS153" s="1190"/>
      <c r="BT153" s="1190"/>
      <c r="BU153" s="1190"/>
      <c r="BV153" s="1223"/>
      <c r="BW153" s="1190"/>
      <c r="BX153" s="1190"/>
      <c r="BY153" s="1190"/>
      <c r="BZ153" s="1190"/>
      <c r="CA153" s="1239"/>
      <c r="CB153" s="1243"/>
      <c r="CC153" s="1243"/>
      <c r="CD153" s="1243"/>
      <c r="CE153" s="1683"/>
      <c r="CF153" s="1670">
        <f>SUM(CF151:CF152)-SUM(CA151:CA152)</f>
        <v>91.510650623885908</v>
      </c>
      <c r="CG153" s="1243"/>
      <c r="CH153" s="1243"/>
      <c r="CI153" s="1243"/>
      <c r="CJ153" s="1243"/>
      <c r="CK153" s="1670">
        <f>SUM(CK151:CK152)-SUM(CF151:CF152)</f>
        <v>16.39166666666668</v>
      </c>
      <c r="CL153" s="1243"/>
      <c r="CM153" s="1243"/>
      <c r="CN153" s="1243"/>
      <c r="CO153" s="1243"/>
      <c r="CP153" s="1670">
        <f>SUM(CP151:CP152)-SUM(CK151:CK152)</f>
        <v>57.423546171658586</v>
      </c>
      <c r="CQ153" s="1669">
        <f>SUM(CQ151:CQ152)-SUM(CL151:CL152)</f>
        <v>-12.886182595546231</v>
      </c>
      <c r="CR153" s="1669">
        <f t="shared" ref="CR153:CT153" si="76">SUM(CR151:CR152)-SUM(CM151:CM152)</f>
        <v>1.353307536032716</v>
      </c>
      <c r="CS153" s="1669">
        <f t="shared" si="76"/>
        <v>-54.190409569230447</v>
      </c>
      <c r="CT153" s="1669">
        <f t="shared" si="76"/>
        <v>-48.269998385019917</v>
      </c>
      <c r="CU153" s="1670">
        <f>SUM(CQ153:CT153)</f>
        <v>-113.99328301376387</v>
      </c>
      <c r="CV153" s="2113"/>
      <c r="CW153" s="2113"/>
      <c r="CX153" s="2113"/>
      <c r="CY153" s="2113"/>
      <c r="CZ153" s="1670">
        <f>SUM(CZ151:CZ152)-SUM(CU151:CU152)</f>
        <v>-173.59144736842109</v>
      </c>
      <c r="DA153" s="1670">
        <f>SUM(DA151:DA152)-SUM(CZ151:CZ152)</f>
        <v>-2.9948684210526331</v>
      </c>
      <c r="DB153" s="1670">
        <f>SUM(DB151:DB152)-SUM(DA151:DA152)</f>
        <v>0</v>
      </c>
      <c r="DC153" s="1670">
        <f>SUM(DC151:DC152)-SUM(DB151:DB152)</f>
        <v>0</v>
      </c>
      <c r="DD153" s="1669"/>
    </row>
    <row r="154" spans="1:113" s="1178" customFormat="1" ht="11.25">
      <c r="A154" s="1191"/>
      <c r="B154" s="1191"/>
      <c r="C154" s="1191"/>
      <c r="E154" s="1191"/>
      <c r="F154" s="1191"/>
      <c r="G154" s="1191"/>
      <c r="H154" s="1191"/>
      <c r="I154" s="1191"/>
      <c r="J154" s="1191"/>
      <c r="K154" s="1191"/>
      <c r="L154" s="1191"/>
      <c r="M154" s="1191"/>
      <c r="N154" s="1182"/>
      <c r="O154" s="1191"/>
      <c r="P154" s="1191"/>
      <c r="Q154" s="1191"/>
      <c r="R154" s="1191"/>
      <c r="S154" s="1182"/>
      <c r="T154" s="1191"/>
      <c r="U154" s="1191"/>
      <c r="V154" s="1191"/>
      <c r="W154" s="1191"/>
      <c r="X154" s="1182"/>
      <c r="Y154" s="1191"/>
      <c r="Z154" s="1191"/>
      <c r="AA154" s="1191"/>
      <c r="AB154" s="1191"/>
      <c r="AC154" s="1182"/>
      <c r="AD154" s="1191"/>
      <c r="AE154" s="1191"/>
      <c r="AF154" s="1191"/>
      <c r="AG154" s="1191"/>
      <c r="AH154" s="1182"/>
      <c r="AI154" s="1191"/>
      <c r="AJ154" s="1191"/>
      <c r="AK154" s="1191"/>
      <c r="AL154" s="1191"/>
      <c r="AM154" s="1182"/>
      <c r="AN154" s="1191"/>
      <c r="AO154" s="1191"/>
      <c r="AP154" s="1191"/>
      <c r="AQ154" s="1191"/>
      <c r="AR154" s="1182"/>
      <c r="AS154" s="1182"/>
      <c r="AT154" s="1182"/>
      <c r="AU154" s="1182"/>
      <c r="AV154" s="1182"/>
      <c r="AW154" s="1182"/>
      <c r="AX154" s="1182"/>
      <c r="AY154" s="1182"/>
      <c r="AZ154" s="1182"/>
      <c r="BA154" s="1182"/>
      <c r="BB154" s="1182"/>
      <c r="BC154" s="1182"/>
      <c r="BD154" s="1182"/>
      <c r="BE154" s="1182"/>
      <c r="BF154" s="1182"/>
      <c r="BG154" s="1182"/>
      <c r="BH154" s="1182"/>
      <c r="BI154" s="1182"/>
      <c r="BJ154" s="1182"/>
      <c r="BK154" s="1182"/>
      <c r="BL154" s="1182"/>
      <c r="BM154" s="1182"/>
      <c r="BN154" s="1182"/>
      <c r="BO154" s="1182"/>
      <c r="BP154" s="1182"/>
      <c r="BQ154" s="1223"/>
      <c r="BR154" s="1190"/>
      <c r="BS154" s="1190"/>
      <c r="BT154" s="1190"/>
      <c r="BU154" s="1190"/>
      <c r="BV154" s="1223"/>
      <c r="BW154" s="1190"/>
      <c r="BX154" s="1190"/>
      <c r="BY154" s="1190"/>
      <c r="BZ154" s="1190"/>
      <c r="CA154" s="1239"/>
      <c r="CB154" s="1243"/>
      <c r="CC154" s="1243"/>
      <c r="CD154" s="1243"/>
      <c r="CE154" s="1683"/>
      <c r="CF154" s="1239"/>
      <c r="CG154" s="1243"/>
      <c r="CH154" s="1243"/>
      <c r="CI154" s="1243"/>
      <c r="CJ154" s="1243"/>
      <c r="CK154" s="1239"/>
      <c r="CL154" s="1243"/>
      <c r="CM154" s="1243"/>
      <c r="CN154" s="1243"/>
      <c r="CO154" s="1243"/>
      <c r="CP154" s="1239"/>
      <c r="CQ154" s="1243"/>
      <c r="CR154" s="1243"/>
      <c r="CS154" s="1243"/>
      <c r="CT154" s="1243"/>
      <c r="CU154" s="1239"/>
      <c r="CV154" s="2113"/>
      <c r="CW154" s="2113"/>
      <c r="CX154" s="2113"/>
      <c r="CY154" s="2113"/>
      <c r="CZ154" s="1239"/>
      <c r="DA154" s="1239"/>
      <c r="DB154" s="1239"/>
      <c r="DC154" s="1239"/>
      <c r="DD154" s="1357"/>
    </row>
    <row r="155" spans="1:113" s="1178" customFormat="1" ht="11.25">
      <c r="A155" s="1191"/>
      <c r="B155" s="1191"/>
      <c r="C155" s="1191" t="s">
        <v>1175</v>
      </c>
      <c r="E155" s="1191"/>
      <c r="F155" s="1191"/>
      <c r="G155" s="1191"/>
      <c r="H155" s="1191"/>
      <c r="I155" s="1191"/>
      <c r="J155" s="1191"/>
      <c r="K155" s="1191"/>
      <c r="L155" s="1191"/>
      <c r="M155" s="1191"/>
      <c r="N155" s="1182"/>
      <c r="O155" s="1191"/>
      <c r="P155" s="1191"/>
      <c r="Q155" s="1191"/>
      <c r="R155" s="1191"/>
      <c r="S155" s="1182"/>
      <c r="T155" s="1191"/>
      <c r="U155" s="1191"/>
      <c r="V155" s="1191"/>
      <c r="W155" s="1191"/>
      <c r="X155" s="1182"/>
      <c r="Y155" s="1191"/>
      <c r="Z155" s="1191"/>
      <c r="AA155" s="1191"/>
      <c r="AB155" s="1191"/>
      <c r="AC155" s="1182"/>
      <c r="AD155" s="1191"/>
      <c r="AE155" s="1191"/>
      <c r="AF155" s="1191"/>
      <c r="AG155" s="1191"/>
      <c r="AH155" s="1182"/>
      <c r="AI155" s="1191"/>
      <c r="AJ155" s="1191"/>
      <c r="AK155" s="1191"/>
      <c r="AL155" s="1191"/>
      <c r="AM155" s="1182"/>
      <c r="AN155" s="1191"/>
      <c r="AO155" s="1191"/>
      <c r="AP155" s="1191"/>
      <c r="AQ155" s="1191"/>
      <c r="AR155" s="1182"/>
      <c r="AS155" s="1182"/>
      <c r="AT155" s="1182"/>
      <c r="AU155" s="1182"/>
      <c r="AV155" s="1182"/>
      <c r="AW155" s="1182"/>
      <c r="AX155" s="1182"/>
      <c r="AY155" s="1182"/>
      <c r="AZ155" s="1182"/>
      <c r="BA155" s="1182"/>
      <c r="BB155" s="1182"/>
      <c r="BC155" s="1182"/>
      <c r="BD155" s="1182"/>
      <c r="BE155" s="1182"/>
      <c r="BF155" s="1182"/>
      <c r="BG155" s="1182"/>
      <c r="BH155" s="1182"/>
      <c r="BI155" s="1182"/>
      <c r="BJ155" s="1182"/>
      <c r="BK155" s="1182"/>
      <c r="BL155" s="1182"/>
      <c r="BM155" s="1182"/>
      <c r="BN155" s="1182"/>
      <c r="BO155" s="1182"/>
      <c r="BP155" s="1182"/>
      <c r="BQ155" s="1223"/>
      <c r="BR155" s="1190"/>
      <c r="BS155" s="1190"/>
      <c r="BT155" s="1190"/>
      <c r="BU155" s="1190"/>
      <c r="BV155" s="1223"/>
      <c r="BW155" s="1583">
        <v>157</v>
      </c>
      <c r="BX155" s="1583">
        <f>157-BW155</f>
        <v>0</v>
      </c>
      <c r="BY155" s="1583">
        <f>335-SUM(BW155:BX155)</f>
        <v>178</v>
      </c>
      <c r="BZ155" s="1583">
        <f>CA155-SUM(BW155:BY155)</f>
        <v>85</v>
      </c>
      <c r="CA155" s="1656">
        <v>420</v>
      </c>
      <c r="CB155" s="1240">
        <v>70</v>
      </c>
      <c r="CC155" s="1240">
        <f>151-CB155</f>
        <v>81</v>
      </c>
      <c r="CD155" s="1240">
        <f>236-SUM(CB155:CC155)</f>
        <v>85</v>
      </c>
      <c r="CE155" s="1682">
        <f>312-SUM(CB155:CD155)</f>
        <v>76</v>
      </c>
      <c r="CF155" s="1681">
        <f>SUM(CB155:CE155)</f>
        <v>312</v>
      </c>
      <c r="CG155" s="1662">
        <f>CK155/4</f>
        <v>71.81414473684211</v>
      </c>
      <c r="CH155" s="1662">
        <f>CG155</f>
        <v>71.81414473684211</v>
      </c>
      <c r="CI155" s="1662">
        <f>CH155</f>
        <v>71.81414473684211</v>
      </c>
      <c r="CJ155" s="1662">
        <f>CK155-CI155-CH155-CG155</f>
        <v>71.81414473684211</v>
      </c>
      <c r="CK155" s="1658">
        <f>CK159-CK148</f>
        <v>287.25657894736844</v>
      </c>
      <c r="CL155" s="1662">
        <f>CP155/4</f>
        <v>73.968569078947368</v>
      </c>
      <c r="CM155" s="1662">
        <f>CL155</f>
        <v>73.968569078947368</v>
      </c>
      <c r="CN155" s="1662">
        <f>CM155</f>
        <v>73.968569078947368</v>
      </c>
      <c r="CO155" s="1662">
        <f>CP155-CN155-CM155-CL155</f>
        <v>73.96856907894734</v>
      </c>
      <c r="CP155" s="1658">
        <f>CK155*(1+CP156)</f>
        <v>295.87427631578947</v>
      </c>
      <c r="CQ155" s="1662">
        <f>CQ159-CQ148</f>
        <v>99.336184210526312</v>
      </c>
      <c r="CR155" s="1662">
        <f>CR159-CR148</f>
        <v>92.336184210526312</v>
      </c>
      <c r="CS155" s="1662">
        <f>CS159-CS148</f>
        <v>93.336184210526312</v>
      </c>
      <c r="CT155" s="1662">
        <f>CS155</f>
        <v>93.336184210526312</v>
      </c>
      <c r="CU155" s="1658">
        <f>SUM(CQ155:CT155)</f>
        <v>378.34473684210525</v>
      </c>
      <c r="CV155" s="1662">
        <f>CZ155/4</f>
        <v>96.477907894736845</v>
      </c>
      <c r="CW155" s="1662">
        <f>CV155</f>
        <v>96.477907894736845</v>
      </c>
      <c r="CX155" s="1662">
        <f>CW155</f>
        <v>96.477907894736845</v>
      </c>
      <c r="CY155" s="1662">
        <f>CZ155-CX155-CW155-CV155</f>
        <v>96.477907894736816</v>
      </c>
      <c r="CZ155" s="1658">
        <f>CU155*(1+CZ156)</f>
        <v>385.91163157894738</v>
      </c>
      <c r="DA155" s="1658">
        <f>CZ155*(1+DA156)</f>
        <v>385.91163157894738</v>
      </c>
      <c r="DB155" s="1658">
        <f>DA155*(1+DB156)</f>
        <v>382.05251526315789</v>
      </c>
      <c r="DC155" s="1658">
        <f>DB155*(1+DC156)</f>
        <v>370.59093980526313</v>
      </c>
      <c r="DD155" s="1705"/>
    </row>
    <row r="156" spans="1:113" s="1178" customFormat="1" ht="11.25">
      <c r="A156" s="1191"/>
      <c r="B156" s="1191"/>
      <c r="C156" s="1191"/>
      <c r="E156" s="1191"/>
      <c r="F156" s="1191"/>
      <c r="G156" s="1191"/>
      <c r="H156" s="1191"/>
      <c r="I156" s="1191"/>
      <c r="J156" s="1191"/>
      <c r="K156" s="1191"/>
      <c r="L156" s="1191"/>
      <c r="M156" s="1191"/>
      <c r="N156" s="1182"/>
      <c r="O156" s="1191"/>
      <c r="P156" s="1191"/>
      <c r="Q156" s="1191"/>
      <c r="R156" s="1191"/>
      <c r="S156" s="1182"/>
      <c r="T156" s="1191"/>
      <c r="U156" s="1191"/>
      <c r="V156" s="1191"/>
      <c r="W156" s="1191"/>
      <c r="X156" s="1182"/>
      <c r="Y156" s="1191"/>
      <c r="Z156" s="1191"/>
      <c r="AA156" s="1191"/>
      <c r="AB156" s="1191"/>
      <c r="AC156" s="1182"/>
      <c r="AD156" s="1191"/>
      <c r="AE156" s="1191"/>
      <c r="AF156" s="1191"/>
      <c r="AG156" s="1191"/>
      <c r="AH156" s="1182"/>
      <c r="AI156" s="1191"/>
      <c r="AJ156" s="1191"/>
      <c r="AK156" s="1191"/>
      <c r="AL156" s="1191"/>
      <c r="AM156" s="1182"/>
      <c r="AN156" s="1191"/>
      <c r="AO156" s="1191"/>
      <c r="AP156" s="1191"/>
      <c r="AQ156" s="1191"/>
      <c r="AR156" s="1182"/>
      <c r="AS156" s="1182"/>
      <c r="AT156" s="1182"/>
      <c r="AU156" s="1182"/>
      <c r="AV156" s="1182"/>
      <c r="AW156" s="1182"/>
      <c r="AX156" s="1182"/>
      <c r="AY156" s="1182"/>
      <c r="AZ156" s="1182"/>
      <c r="BA156" s="1182"/>
      <c r="BB156" s="1182"/>
      <c r="BC156" s="1182"/>
      <c r="BD156" s="1182"/>
      <c r="BE156" s="1182"/>
      <c r="BF156" s="1182"/>
      <c r="BG156" s="1182"/>
      <c r="BH156" s="1182"/>
      <c r="BI156" s="1182"/>
      <c r="BJ156" s="1182"/>
      <c r="BK156" s="1182"/>
      <c r="BL156" s="1182"/>
      <c r="BM156" s="1182"/>
      <c r="BN156" s="1182"/>
      <c r="BO156" s="1182"/>
      <c r="BP156" s="1182"/>
      <c r="BQ156" s="1223"/>
      <c r="BR156" s="1190"/>
      <c r="BS156" s="1190"/>
      <c r="BT156" s="1190"/>
      <c r="BU156" s="1190"/>
      <c r="BV156" s="1223"/>
      <c r="BW156" s="1190"/>
      <c r="BX156" s="1190"/>
      <c r="BY156" s="1190"/>
      <c r="BZ156" s="1190"/>
      <c r="CA156" s="1239"/>
      <c r="CB156" s="1240"/>
      <c r="CC156" s="1254"/>
      <c r="CD156" s="1254"/>
      <c r="CE156" s="1254"/>
      <c r="CF156" s="1239"/>
      <c r="CG156" s="1243"/>
      <c r="CH156" s="1243"/>
      <c r="CI156" s="1243"/>
      <c r="CJ156" s="1243"/>
      <c r="CK156" s="1680">
        <f>CK155/CF155-1</f>
        <v>-7.9305836707152411E-2</v>
      </c>
      <c r="CL156" s="1243"/>
      <c r="CM156" s="1243"/>
      <c r="CN156" s="1243"/>
      <c r="CO156" s="1243"/>
      <c r="CP156" s="1680">
        <v>0.03</v>
      </c>
      <c r="CQ156" s="1243"/>
      <c r="CR156" s="1243"/>
      <c r="CS156" s="1243"/>
      <c r="CT156" s="1243"/>
      <c r="CU156" s="1857">
        <f>CU155/CP155-1</f>
        <v>0.27873481112732579</v>
      </c>
      <c r="CV156" s="2113"/>
      <c r="CW156" s="2113"/>
      <c r="CX156" s="2113"/>
      <c r="CY156" s="2113"/>
      <c r="CZ156" s="1680">
        <v>0.02</v>
      </c>
      <c r="DA156" s="1680">
        <v>0</v>
      </c>
      <c r="DB156" s="1680">
        <v>-0.01</v>
      </c>
      <c r="DC156" s="1680">
        <v>-0.03</v>
      </c>
      <c r="DD156" s="1331"/>
    </row>
    <row r="157" spans="1:113" s="1178" customFormat="1" ht="11.25">
      <c r="A157" s="1191"/>
      <c r="B157" s="1191"/>
      <c r="C157" s="1191"/>
      <c r="E157" s="1191"/>
      <c r="F157" s="1191"/>
      <c r="G157" s="1191"/>
      <c r="H157" s="1191"/>
      <c r="I157" s="1191"/>
      <c r="J157" s="1191"/>
      <c r="K157" s="1191"/>
      <c r="L157" s="1191"/>
      <c r="M157" s="1191"/>
      <c r="N157" s="1182"/>
      <c r="O157" s="1191"/>
      <c r="P157" s="1191"/>
      <c r="Q157" s="1191"/>
      <c r="R157" s="1191"/>
      <c r="S157" s="1182"/>
      <c r="T157" s="1191"/>
      <c r="U157" s="1191"/>
      <c r="V157" s="1191"/>
      <c r="W157" s="1191"/>
      <c r="X157" s="1182"/>
      <c r="Y157" s="1191"/>
      <c r="Z157" s="1191"/>
      <c r="AA157" s="1191"/>
      <c r="AB157" s="1191"/>
      <c r="AC157" s="1182"/>
      <c r="AD157" s="1191"/>
      <c r="AE157" s="1191"/>
      <c r="AF157" s="1191"/>
      <c r="AG157" s="1191"/>
      <c r="AH157" s="1182"/>
      <c r="AI157" s="1191"/>
      <c r="AJ157" s="1191"/>
      <c r="AK157" s="1191"/>
      <c r="AL157" s="1191"/>
      <c r="AM157" s="1182"/>
      <c r="AN157" s="1191"/>
      <c r="AO157" s="1191"/>
      <c r="AP157" s="1191"/>
      <c r="AQ157" s="1191"/>
      <c r="AR157" s="1182"/>
      <c r="AS157" s="1182"/>
      <c r="AT157" s="1182"/>
      <c r="AU157" s="1182"/>
      <c r="AV157" s="1182"/>
      <c r="AW157" s="1182"/>
      <c r="AX157" s="1182"/>
      <c r="AY157" s="1182"/>
      <c r="AZ157" s="1182"/>
      <c r="BA157" s="1182"/>
      <c r="BB157" s="1182"/>
      <c r="BC157" s="1182"/>
      <c r="BD157" s="1182"/>
      <c r="BE157" s="1182"/>
      <c r="BF157" s="1182"/>
      <c r="BG157" s="1182"/>
      <c r="BH157" s="1182"/>
      <c r="BI157" s="1182"/>
      <c r="BJ157" s="1182"/>
      <c r="BK157" s="1182"/>
      <c r="BL157" s="1182"/>
      <c r="BM157" s="1182"/>
      <c r="BN157" s="1182"/>
      <c r="BO157" s="1182"/>
      <c r="BP157" s="1182"/>
      <c r="BQ157" s="1223"/>
      <c r="BR157" s="1190"/>
      <c r="BS157" s="1190"/>
      <c r="BT157" s="1190"/>
      <c r="BU157" s="1190"/>
      <c r="BV157" s="1223"/>
      <c r="BW157" s="1190"/>
      <c r="BX157" s="1190"/>
      <c r="BY157" s="1190"/>
      <c r="BZ157" s="1190"/>
      <c r="CA157" s="1239"/>
      <c r="CB157" s="1243"/>
      <c r="CC157" s="1243"/>
      <c r="CD157" s="1243"/>
      <c r="CE157" s="1243"/>
      <c r="CF157" s="1239"/>
      <c r="CG157" s="1243"/>
      <c r="CH157" s="1243"/>
      <c r="CI157" s="1243"/>
      <c r="CJ157" s="1243"/>
      <c r="CK157" s="1673"/>
      <c r="CL157" s="1243"/>
      <c r="CM157" s="1243"/>
      <c r="CN157" s="1243"/>
      <c r="CO157" s="1243"/>
      <c r="CP157" s="1673"/>
      <c r="CQ157" s="1243"/>
      <c r="CR157" s="1243"/>
      <c r="CS157" s="1243"/>
      <c r="CT157" s="1243"/>
      <c r="CU157" s="1673"/>
      <c r="CV157" s="2113"/>
      <c r="CW157" s="2113"/>
      <c r="CX157" s="2113"/>
      <c r="CY157" s="2113"/>
      <c r="CZ157" s="1673"/>
      <c r="DA157" s="1673"/>
      <c r="DB157" s="1673"/>
      <c r="DC157" s="1673"/>
      <c r="DD157" s="1672"/>
    </row>
    <row r="158" spans="1:113" s="1178" customFormat="1" ht="11.25">
      <c r="A158" s="1191"/>
      <c r="B158" s="1191"/>
      <c r="C158" s="1191" t="s">
        <v>1174</v>
      </c>
      <c r="E158" s="1191"/>
      <c r="F158" s="1191"/>
      <c r="G158" s="1191"/>
      <c r="H158" s="1191"/>
      <c r="I158" s="1191"/>
      <c r="J158" s="1191"/>
      <c r="K158" s="1191"/>
      <c r="L158" s="1191"/>
      <c r="M158" s="1191"/>
      <c r="N158" s="1182"/>
      <c r="O158" s="1191"/>
      <c r="P158" s="1191"/>
      <c r="Q158" s="1191"/>
      <c r="R158" s="1191"/>
      <c r="S158" s="1182"/>
      <c r="T158" s="1191"/>
      <c r="U158" s="1191"/>
      <c r="V158" s="1191"/>
      <c r="W158" s="1191"/>
      <c r="X158" s="1182"/>
      <c r="Y158" s="1191"/>
      <c r="Z158" s="1191"/>
      <c r="AA158" s="1191"/>
      <c r="AB158" s="1191"/>
      <c r="AC158" s="1182"/>
      <c r="AD158" s="1191"/>
      <c r="AE158" s="1191"/>
      <c r="AF158" s="1191"/>
      <c r="AG158" s="1191"/>
      <c r="AH158" s="1182"/>
      <c r="AI158" s="1191"/>
      <c r="AJ158" s="1191"/>
      <c r="AK158" s="1191"/>
      <c r="AL158" s="1191"/>
      <c r="AM158" s="1182"/>
      <c r="AN158" s="1191"/>
      <c r="AO158" s="1191"/>
      <c r="AP158" s="1191"/>
      <c r="AQ158" s="1191"/>
      <c r="AR158" s="1182"/>
      <c r="AS158" s="1182"/>
      <c r="AT158" s="1182"/>
      <c r="AU158" s="1182"/>
      <c r="AV158" s="1182"/>
      <c r="AW158" s="1182"/>
      <c r="AX158" s="1182"/>
      <c r="AY158" s="1182"/>
      <c r="AZ158" s="1182"/>
      <c r="BA158" s="1182"/>
      <c r="BB158" s="1182"/>
      <c r="BC158" s="1182"/>
      <c r="BD158" s="1182"/>
      <c r="BE158" s="1182"/>
      <c r="BF158" s="1182"/>
      <c r="BG158" s="1182"/>
      <c r="BH158" s="1182"/>
      <c r="BI158" s="1182"/>
      <c r="BJ158" s="1182"/>
      <c r="BK158" s="1182"/>
      <c r="BL158" s="1182"/>
      <c r="BM158" s="1182"/>
      <c r="BN158" s="1182"/>
      <c r="BO158" s="1182"/>
      <c r="BP158" s="1182"/>
      <c r="BQ158" s="1223"/>
      <c r="BR158" s="1190"/>
      <c r="BS158" s="1190"/>
      <c r="BT158" s="1190"/>
      <c r="BU158" s="1190"/>
      <c r="BV158" s="1223"/>
      <c r="BW158" s="1190"/>
      <c r="BX158" s="1190"/>
      <c r="BY158" s="1190"/>
      <c r="BZ158" s="1190"/>
      <c r="CA158" s="1239"/>
      <c r="CB158" s="1243">
        <f>CA162</f>
        <v>2273</v>
      </c>
      <c r="CC158" s="1243">
        <f>CB162</f>
        <v>2416</v>
      </c>
      <c r="CD158" s="1243">
        <f>CC162</f>
        <v>2578</v>
      </c>
      <c r="CE158" s="1243">
        <f>CD162</f>
        <v>2723</v>
      </c>
      <c r="CF158" s="1658">
        <f>CA162</f>
        <v>2273</v>
      </c>
      <c r="CG158" s="1662">
        <f>CF162</f>
        <v>2852</v>
      </c>
      <c r="CH158" s="1662">
        <f>CG162</f>
        <v>2971</v>
      </c>
      <c r="CI158" s="1662">
        <f>CH162</f>
        <v>3073</v>
      </c>
      <c r="CJ158" s="1662">
        <f>CI162</f>
        <v>3163</v>
      </c>
      <c r="CK158" s="1658">
        <f>CF162</f>
        <v>2852</v>
      </c>
      <c r="CL158" s="1662">
        <f>CJ162</f>
        <v>3250</v>
      </c>
      <c r="CM158" s="1662">
        <f>CL162</f>
        <v>3320</v>
      </c>
      <c r="CN158" s="1662">
        <f>CM162</f>
        <v>3391</v>
      </c>
      <c r="CO158" s="1662">
        <f>CN162</f>
        <v>3461</v>
      </c>
      <c r="CP158" s="1673">
        <f>CK162</f>
        <v>3250</v>
      </c>
      <c r="CQ158" s="1662">
        <f>CO162</f>
        <v>3513</v>
      </c>
      <c r="CR158" s="1662">
        <f>CQ162</f>
        <v>3570</v>
      </c>
      <c r="CS158" s="1662">
        <f>CR162</f>
        <v>3624</v>
      </c>
      <c r="CT158" s="1662">
        <f>CS162</f>
        <v>3677</v>
      </c>
      <c r="CU158" s="1673">
        <f>CP162</f>
        <v>3513</v>
      </c>
      <c r="CV158" s="1662">
        <f>CT162</f>
        <v>3722.5</v>
      </c>
      <c r="CW158" s="1662">
        <f>CV162</f>
        <v>3764.1341578947367</v>
      </c>
      <c r="CX158" s="1662">
        <f>CW162</f>
        <v>3805.7683157894735</v>
      </c>
      <c r="CY158" s="1662">
        <f>CX162</f>
        <v>3847.4024736842102</v>
      </c>
      <c r="CZ158" s="1673">
        <f>CU162</f>
        <v>3722.5</v>
      </c>
      <c r="DA158" s="1673">
        <f>CZ162</f>
        <v>3889.036631578947</v>
      </c>
      <c r="DB158" s="1673">
        <f>DA162</f>
        <v>4033.635763157894</v>
      </c>
      <c r="DC158" s="1673">
        <f>DB162</f>
        <v>4150.2445284210517</v>
      </c>
      <c r="DD158" s="1672"/>
    </row>
    <row r="159" spans="1:113" s="1178" customFormat="1" ht="11.25">
      <c r="A159" s="1191"/>
      <c r="B159" s="1191"/>
      <c r="C159" s="1191" t="s">
        <v>1173</v>
      </c>
      <c r="E159" s="1191"/>
      <c r="F159" s="1191"/>
      <c r="G159" s="1191"/>
      <c r="H159" s="1191"/>
      <c r="I159" s="1191"/>
      <c r="J159" s="1191"/>
      <c r="K159" s="1191"/>
      <c r="L159" s="1191"/>
      <c r="M159" s="1191"/>
      <c r="N159" s="1182"/>
      <c r="O159" s="1191"/>
      <c r="P159" s="1191"/>
      <c r="Q159" s="1191"/>
      <c r="R159" s="1191"/>
      <c r="S159" s="1182"/>
      <c r="T159" s="1191"/>
      <c r="U159" s="1191"/>
      <c r="V159" s="1191"/>
      <c r="W159" s="1191"/>
      <c r="X159" s="1182"/>
      <c r="Y159" s="1191"/>
      <c r="Z159" s="1191"/>
      <c r="AA159" s="1191"/>
      <c r="AB159" s="1191"/>
      <c r="AC159" s="1182"/>
      <c r="AD159" s="1191"/>
      <c r="AE159" s="1191"/>
      <c r="AF159" s="1191"/>
      <c r="AG159" s="1191"/>
      <c r="AH159" s="1182"/>
      <c r="AI159" s="1191"/>
      <c r="AJ159" s="1191"/>
      <c r="AK159" s="1191"/>
      <c r="AL159" s="1191"/>
      <c r="AM159" s="1182"/>
      <c r="AN159" s="1191"/>
      <c r="AO159" s="1191"/>
      <c r="AP159" s="1191"/>
      <c r="AQ159" s="1191"/>
      <c r="AR159" s="1182"/>
      <c r="AS159" s="1182"/>
      <c r="AT159" s="1182"/>
      <c r="AU159" s="1182"/>
      <c r="AV159" s="1182"/>
      <c r="AW159" s="1182"/>
      <c r="AX159" s="1182"/>
      <c r="AY159" s="1182"/>
      <c r="AZ159" s="1182"/>
      <c r="BA159" s="1182"/>
      <c r="BB159" s="1182"/>
      <c r="BC159" s="1182"/>
      <c r="BD159" s="1182"/>
      <c r="BE159" s="1182"/>
      <c r="BF159" s="1182"/>
      <c r="BG159" s="1182"/>
      <c r="BH159" s="1182"/>
      <c r="BI159" s="1182"/>
      <c r="BJ159" s="1182"/>
      <c r="BK159" s="1182"/>
      <c r="BL159" s="1182"/>
      <c r="BM159" s="1182"/>
      <c r="BN159" s="1182"/>
      <c r="BO159" s="1182"/>
      <c r="BP159" s="1182"/>
      <c r="BQ159" s="1223"/>
      <c r="BR159" s="1190"/>
      <c r="BS159" s="1190"/>
      <c r="BT159" s="1190"/>
      <c r="BU159" s="1190"/>
      <c r="BV159" s="1223"/>
      <c r="BW159" s="1190"/>
      <c r="BX159" s="1190"/>
      <c r="BY159" s="1190"/>
      <c r="BZ159" s="1190"/>
      <c r="CA159" s="1239">
        <f>-CF!BI28</f>
        <v>722</v>
      </c>
      <c r="CB159" s="1589">
        <f>-CF!BJ28</f>
        <v>142</v>
      </c>
      <c r="CC159" s="1589">
        <f>-CF!BK28</f>
        <v>165</v>
      </c>
      <c r="CD159" s="1589">
        <f>-CF!BL28</f>
        <v>152</v>
      </c>
      <c r="CE159" s="1589">
        <f>-CF!BM28</f>
        <v>134</v>
      </c>
      <c r="CF159" s="1670">
        <f>SUM(CB159:CE159)</f>
        <v>593</v>
      </c>
      <c r="CG159" s="1589">
        <f>-CF!BO28</f>
        <v>132</v>
      </c>
      <c r="CH159" s="1589">
        <f>-CF!BP28</f>
        <v>115</v>
      </c>
      <c r="CI159" s="1589">
        <f>-CF!BQ28</f>
        <v>84</v>
      </c>
      <c r="CJ159" s="1589">
        <f>-CF!BR28</f>
        <v>106</v>
      </c>
      <c r="CK159" s="1670">
        <f>SUM(CG159:CJ159)</f>
        <v>437</v>
      </c>
      <c r="CL159" s="1589">
        <f>-CF!BT28</f>
        <v>98</v>
      </c>
      <c r="CM159" s="2124">
        <f>-CF!BU28</f>
        <v>101</v>
      </c>
      <c r="CN159" s="2124">
        <f>-CF!BV28</f>
        <v>102</v>
      </c>
      <c r="CO159" s="2124">
        <f>-CF!BW28</f>
        <v>79</v>
      </c>
      <c r="CP159" s="1670">
        <f>SUM(CL159:CO159)</f>
        <v>380</v>
      </c>
      <c r="CQ159" s="2124">
        <f>-CF!BY28</f>
        <v>101</v>
      </c>
      <c r="CR159" s="2124">
        <f>-CF!BZ28</f>
        <v>94</v>
      </c>
      <c r="CS159" s="2124">
        <f>-CF!CA28</f>
        <v>95</v>
      </c>
      <c r="CT159" s="2124">
        <f>CT155+CT148</f>
        <v>95</v>
      </c>
      <c r="CU159" s="1670">
        <f>SUM(CQ159:CT159)</f>
        <v>385</v>
      </c>
      <c r="CV159" s="2124">
        <f>CV155+CV148</f>
        <v>96.477907894736845</v>
      </c>
      <c r="CW159" s="2124">
        <f>CW155+CW148</f>
        <v>96.477907894736845</v>
      </c>
      <c r="CX159" s="2124">
        <f>CX155+CX148</f>
        <v>96.477907894736845</v>
      </c>
      <c r="CY159" s="1567">
        <f>CY155+CY148</f>
        <v>96.477907894736816</v>
      </c>
      <c r="CZ159" s="1670">
        <f t="shared" ref="CZ159:DA159" si="77">CZ155+CZ148</f>
        <v>385.91163157894738</v>
      </c>
      <c r="DA159" s="1670">
        <f t="shared" si="77"/>
        <v>385.91163157894738</v>
      </c>
      <c r="DB159" s="1670">
        <f>DB155+DB148</f>
        <v>382.05251526315789</v>
      </c>
      <c r="DC159" s="1670">
        <f>DC155+DC148</f>
        <v>370.59093980526313</v>
      </c>
      <c r="DD159" s="1669"/>
    </row>
    <row r="160" spans="1:113" s="1178" customFormat="1" ht="11.25">
      <c r="A160" s="1191"/>
      <c r="B160" s="1191"/>
      <c r="C160" s="1191" t="s">
        <v>418</v>
      </c>
      <c r="D160" s="1191"/>
      <c r="E160" s="1191"/>
      <c r="F160" s="1191"/>
      <c r="G160" s="1191"/>
      <c r="H160" s="1191"/>
      <c r="I160" s="1191"/>
      <c r="J160" s="1191"/>
      <c r="K160" s="1191"/>
      <c r="L160" s="1191"/>
      <c r="M160" s="1191"/>
      <c r="N160" s="1182"/>
      <c r="O160" s="1191"/>
      <c r="P160" s="1191"/>
      <c r="Q160" s="1191"/>
      <c r="R160" s="1191"/>
      <c r="S160" s="1182"/>
      <c r="T160" s="1191"/>
      <c r="U160" s="1191"/>
      <c r="V160" s="1191"/>
      <c r="W160" s="1191"/>
      <c r="X160" s="1182"/>
      <c r="Y160" s="1191"/>
      <c r="Z160" s="1191"/>
      <c r="AA160" s="1191"/>
      <c r="AB160" s="1191"/>
      <c r="AC160" s="1182"/>
      <c r="AD160" s="1191"/>
      <c r="AE160" s="1191"/>
      <c r="AF160" s="1191"/>
      <c r="AG160" s="1191"/>
      <c r="AH160" s="1182"/>
      <c r="AI160" s="1191"/>
      <c r="AJ160" s="1191"/>
      <c r="AK160" s="1191"/>
      <c r="AL160" s="1191"/>
      <c r="AM160" s="1182"/>
      <c r="AN160" s="1191"/>
      <c r="AO160" s="1191"/>
      <c r="AP160" s="1191"/>
      <c r="AQ160" s="1191"/>
      <c r="AR160" s="1182"/>
      <c r="AS160" s="1182"/>
      <c r="AT160" s="1182"/>
      <c r="AU160" s="1182"/>
      <c r="AV160" s="1182"/>
      <c r="AW160" s="1182"/>
      <c r="AX160" s="1182"/>
      <c r="AY160" s="1182"/>
      <c r="AZ160" s="1182"/>
      <c r="BA160" s="1182"/>
      <c r="BB160" s="1182"/>
      <c r="BC160" s="1182"/>
      <c r="BD160" s="1182"/>
      <c r="BE160" s="1182"/>
      <c r="BF160" s="1182"/>
      <c r="BG160" s="1182"/>
      <c r="BH160" s="1182"/>
      <c r="BI160" s="1182"/>
      <c r="BJ160" s="1182"/>
      <c r="BK160" s="1182"/>
      <c r="BL160" s="1182"/>
      <c r="BM160" s="1182"/>
      <c r="BN160" s="1182"/>
      <c r="BO160" s="1182"/>
      <c r="BP160" s="1182"/>
      <c r="BQ160" s="1223"/>
      <c r="BR160" s="1190"/>
      <c r="BS160" s="1190"/>
      <c r="BT160" s="1190"/>
      <c r="BU160" s="1190"/>
      <c r="BV160" s="1223"/>
      <c r="BW160" s="1190"/>
      <c r="BX160" s="1190"/>
      <c r="BY160" s="1190"/>
      <c r="BZ160" s="1190"/>
      <c r="CA160" s="1239"/>
      <c r="CB160" s="1589">
        <v>-5</v>
      </c>
      <c r="CC160" s="1567">
        <f>-10-CB160</f>
        <v>-5</v>
      </c>
      <c r="CD160" s="1567">
        <v>-5</v>
      </c>
      <c r="CE160" s="1679">
        <v>-5</v>
      </c>
      <c r="CF160" s="1670">
        <f>SUM(CB160:CE160)</f>
        <v>-20</v>
      </c>
      <c r="CG160" s="1589">
        <f>CG162-CG158-CG159</f>
        <v>-13</v>
      </c>
      <c r="CH160" s="1589">
        <f>CH162-CH158-CH159</f>
        <v>-13</v>
      </c>
      <c r="CI160" s="1589">
        <f>CI162-CI158-CI159</f>
        <v>6</v>
      </c>
      <c r="CJ160" s="1589">
        <f>CJ162-CJ158-CJ159</f>
        <v>-19</v>
      </c>
      <c r="CK160" s="1670">
        <f>SUM(CG160:CJ160)</f>
        <v>-39</v>
      </c>
      <c r="CL160" s="2124">
        <f>CL162-CL158-CL159</f>
        <v>-28</v>
      </c>
      <c r="CM160" s="2124">
        <f>CM162-CM158-CM159</f>
        <v>-30</v>
      </c>
      <c r="CN160" s="2124">
        <f>CN162-CN158-CN159</f>
        <v>-32</v>
      </c>
      <c r="CO160" s="2124">
        <f>CO162-CO158-CO159</f>
        <v>-27</v>
      </c>
      <c r="CP160" s="1678">
        <f>SUM(CL160:CO160)</f>
        <v>-117</v>
      </c>
      <c r="CQ160" s="2124">
        <f>CQ162-CQ158-CQ159</f>
        <v>-44</v>
      </c>
      <c r="CR160" s="2124">
        <f>CR162-CR158-CR159</f>
        <v>-40</v>
      </c>
      <c r="CS160" s="1567">
        <f>AVERAGE(CQ160:CR160)</f>
        <v>-42</v>
      </c>
      <c r="CT160" s="1679">
        <f>CU160-CS160-CR160-CQ160</f>
        <v>-49.5</v>
      </c>
      <c r="CU160" s="1678">
        <f>CP160*1.5</f>
        <v>-175.5</v>
      </c>
      <c r="CV160" s="2124">
        <f>CZ160/4</f>
        <v>-54.84375</v>
      </c>
      <c r="CW160" s="1567">
        <f>CV160</f>
        <v>-54.84375</v>
      </c>
      <c r="CX160" s="1567">
        <f>CW160</f>
        <v>-54.84375</v>
      </c>
      <c r="CY160" s="2126">
        <f>CZ160-CX160-CW160-CV160</f>
        <v>-54.84375</v>
      </c>
      <c r="CZ160" s="1678">
        <f>CU160*1.25</f>
        <v>-219.375</v>
      </c>
      <c r="DA160" s="1678">
        <f>CZ160*1.1</f>
        <v>-241.31250000000003</v>
      </c>
      <c r="DB160" s="1678">
        <f>DA160*1.1</f>
        <v>-265.44375000000008</v>
      </c>
      <c r="DC160" s="1678">
        <f>DB160*1.1</f>
        <v>-291.98812500000014</v>
      </c>
      <c r="DD160" s="2000"/>
    </row>
    <row r="161" spans="1:111" s="1178" customFormat="1" ht="11.25">
      <c r="A161" s="1191"/>
      <c r="B161" s="1191"/>
      <c r="C161" s="1191" t="s">
        <v>8</v>
      </c>
      <c r="D161" s="1191"/>
      <c r="E161" s="1191"/>
      <c r="F161" s="1191"/>
      <c r="G161" s="1191"/>
      <c r="H161" s="1191"/>
      <c r="I161" s="1191"/>
      <c r="J161" s="1191"/>
      <c r="K161" s="1191"/>
      <c r="L161" s="1191"/>
      <c r="M161" s="1191"/>
      <c r="N161" s="1182"/>
      <c r="O161" s="1191"/>
      <c r="P161" s="1191"/>
      <c r="Q161" s="1191"/>
      <c r="R161" s="1191"/>
      <c r="S161" s="1182"/>
      <c r="T161" s="1191"/>
      <c r="U161" s="1191"/>
      <c r="V161" s="1191"/>
      <c r="W161" s="1191"/>
      <c r="X161" s="1182"/>
      <c r="Y161" s="1191"/>
      <c r="Z161" s="1191"/>
      <c r="AA161" s="1191"/>
      <c r="AB161" s="1191"/>
      <c r="AC161" s="1182"/>
      <c r="AD161" s="1191"/>
      <c r="AE161" s="1191"/>
      <c r="AF161" s="1191"/>
      <c r="AG161" s="1191"/>
      <c r="AH161" s="1182"/>
      <c r="AI161" s="1191"/>
      <c r="AJ161" s="1191"/>
      <c r="AK161" s="1191"/>
      <c r="AL161" s="1191"/>
      <c r="AM161" s="1182"/>
      <c r="AN161" s="1191"/>
      <c r="AO161" s="1191"/>
      <c r="AP161" s="1191"/>
      <c r="AQ161" s="1191"/>
      <c r="AR161" s="1182"/>
      <c r="AS161" s="1182"/>
      <c r="AT161" s="1182"/>
      <c r="AU161" s="1182"/>
      <c r="AV161" s="1182"/>
      <c r="AW161" s="1182"/>
      <c r="AX161" s="1182"/>
      <c r="AY161" s="1182"/>
      <c r="AZ161" s="1182"/>
      <c r="BA161" s="1182"/>
      <c r="BB161" s="1182"/>
      <c r="BC161" s="1182"/>
      <c r="BD161" s="1182"/>
      <c r="BE161" s="1182"/>
      <c r="BF161" s="1182"/>
      <c r="BG161" s="1182"/>
      <c r="BH161" s="1182"/>
      <c r="BI161" s="1182"/>
      <c r="BJ161" s="1182"/>
      <c r="BK161" s="1182"/>
      <c r="BL161" s="1182"/>
      <c r="BM161" s="1182"/>
      <c r="BN161" s="1182"/>
      <c r="BO161" s="1182"/>
      <c r="BP161" s="1182"/>
      <c r="BQ161" s="1223"/>
      <c r="BR161" s="1190"/>
      <c r="BS161" s="1190"/>
      <c r="BT161" s="1190"/>
      <c r="BU161" s="1190"/>
      <c r="BV161" s="1223"/>
      <c r="BW161" s="1190"/>
      <c r="BX161" s="1190"/>
      <c r="BY161" s="1190"/>
      <c r="BZ161" s="1190"/>
      <c r="CA161" s="1239"/>
      <c r="CB161" s="1589">
        <f>CB162-CB158-CB160-CB159</f>
        <v>6</v>
      </c>
      <c r="CC161" s="1589">
        <f>CC162-CC158-CC160-CC159</f>
        <v>2</v>
      </c>
      <c r="CD161" s="1589">
        <f>CD162-CD158-CD160-CD159</f>
        <v>-2</v>
      </c>
      <c r="CE161" s="1589">
        <v>0</v>
      </c>
      <c r="CF161" s="1670">
        <f>SUM(CB161:CE161)</f>
        <v>6</v>
      </c>
      <c r="CG161" s="1589"/>
      <c r="CH161" s="1589"/>
      <c r="CI161" s="1589"/>
      <c r="CJ161" s="1589"/>
      <c r="CK161" s="1670">
        <v>0</v>
      </c>
      <c r="CL161" s="1589"/>
      <c r="CM161" s="1589"/>
      <c r="CN161" s="1589"/>
      <c r="CO161" s="1589"/>
      <c r="CP161" s="1670">
        <v>0</v>
      </c>
      <c r="CQ161" s="1589"/>
      <c r="CR161" s="1589"/>
      <c r="CS161" s="1589"/>
      <c r="CT161" s="1589"/>
      <c r="CU161" s="1670">
        <v>0</v>
      </c>
      <c r="CV161" s="2124"/>
      <c r="CW161" s="2124"/>
      <c r="CX161" s="2124"/>
      <c r="CY161" s="2124"/>
      <c r="CZ161" s="1670"/>
      <c r="DA161" s="1670"/>
      <c r="DB161" s="1670"/>
      <c r="DC161" s="1670"/>
      <c r="DD161" s="1669"/>
    </row>
    <row r="162" spans="1:111" s="1234" customFormat="1" ht="11.25">
      <c r="A162" s="1182"/>
      <c r="B162" s="1182"/>
      <c r="C162" s="1182" t="s">
        <v>1172</v>
      </c>
      <c r="D162" s="1182"/>
      <c r="E162" s="1182"/>
      <c r="F162" s="1182"/>
      <c r="G162" s="1182"/>
      <c r="H162" s="1182"/>
      <c r="I162" s="1182"/>
      <c r="J162" s="1182"/>
      <c r="K162" s="1182"/>
      <c r="L162" s="1182"/>
      <c r="M162" s="1182"/>
      <c r="N162" s="1182"/>
      <c r="O162" s="1182"/>
      <c r="P162" s="1182"/>
      <c r="Q162" s="1182"/>
      <c r="R162" s="1182"/>
      <c r="S162" s="1182"/>
      <c r="T162" s="1182"/>
      <c r="U162" s="1182"/>
      <c r="V162" s="1182"/>
      <c r="W162" s="1182"/>
      <c r="X162" s="1182"/>
      <c r="Y162" s="1182"/>
      <c r="Z162" s="1182"/>
      <c r="AA162" s="1182"/>
      <c r="AB162" s="1182"/>
      <c r="AC162" s="1182"/>
      <c r="AD162" s="1182"/>
      <c r="AE162" s="1182"/>
      <c r="AF162" s="1182"/>
      <c r="AG162" s="1182"/>
      <c r="AH162" s="1182"/>
      <c r="AI162" s="1182"/>
      <c r="AJ162" s="1182"/>
      <c r="AK162" s="1182"/>
      <c r="AL162" s="1182"/>
      <c r="AM162" s="1182"/>
      <c r="AN162" s="1182"/>
      <c r="AO162" s="1182"/>
      <c r="AP162" s="1182"/>
      <c r="AQ162" s="1182"/>
      <c r="AR162" s="1182"/>
      <c r="AS162" s="1182"/>
      <c r="AT162" s="1182"/>
      <c r="AU162" s="1182"/>
      <c r="AV162" s="1182"/>
      <c r="AW162" s="1182"/>
      <c r="AX162" s="1182"/>
      <c r="AY162" s="1182"/>
      <c r="AZ162" s="1182"/>
      <c r="BA162" s="1182"/>
      <c r="BB162" s="1182"/>
      <c r="BC162" s="1182"/>
      <c r="BD162" s="1182"/>
      <c r="BE162" s="1182"/>
      <c r="BF162" s="1182"/>
      <c r="BG162" s="1182"/>
      <c r="BH162" s="1182"/>
      <c r="BI162" s="1182"/>
      <c r="BJ162" s="1182"/>
      <c r="BK162" s="1182"/>
      <c r="BL162" s="1182"/>
      <c r="BM162" s="1182"/>
      <c r="BN162" s="1182"/>
      <c r="BO162" s="1182"/>
      <c r="BP162" s="1182"/>
      <c r="BQ162" s="1239"/>
      <c r="BR162" s="1357"/>
      <c r="BS162" s="1357"/>
      <c r="BT162" s="1357"/>
      <c r="BU162" s="1357"/>
      <c r="BV162" s="1239"/>
      <c r="BW162" s="1357"/>
      <c r="BX162" s="1357"/>
      <c r="BY162" s="1357"/>
      <c r="BZ162" s="1357"/>
      <c r="CA162" s="1239">
        <v>2273</v>
      </c>
      <c r="CB162" s="1662">
        <f>2421-5</f>
        <v>2416</v>
      </c>
      <c r="CC162" s="1662">
        <f>2588-10</f>
        <v>2578</v>
      </c>
      <c r="CD162" s="1662">
        <f>2738-15</f>
        <v>2723</v>
      </c>
      <c r="CE162" s="1662">
        <f>SUM(CE158:CE161)</f>
        <v>2852</v>
      </c>
      <c r="CF162" s="1658">
        <f>SUM(CF158:CF161)</f>
        <v>2852</v>
      </c>
      <c r="CG162" s="1662">
        <f>BS!BP26</f>
        <v>2971</v>
      </c>
      <c r="CH162" s="1662">
        <f>BS!BQ26</f>
        <v>3073</v>
      </c>
      <c r="CI162" s="1662">
        <f>BS!BR26</f>
        <v>3163</v>
      </c>
      <c r="CJ162" s="1662">
        <f>BS!BS26</f>
        <v>3250</v>
      </c>
      <c r="CK162" s="1658">
        <f>SUM(CK158:CK161)</f>
        <v>3250</v>
      </c>
      <c r="CL162" s="1662">
        <f>BS!BU26</f>
        <v>3320</v>
      </c>
      <c r="CM162" s="1662">
        <f>BS!BV26</f>
        <v>3391</v>
      </c>
      <c r="CN162" s="1662">
        <f>BS!BW26</f>
        <v>3461</v>
      </c>
      <c r="CO162" s="1662">
        <f>BS!BX26</f>
        <v>3513</v>
      </c>
      <c r="CP162" s="1658">
        <f t="shared" ref="CP162:DC162" si="78">SUM(CP158:CP161)</f>
        <v>3513</v>
      </c>
      <c r="CQ162" s="1662">
        <f>BS!BZ26</f>
        <v>3570</v>
      </c>
      <c r="CR162" s="1662">
        <f>BS!CA26</f>
        <v>3624</v>
      </c>
      <c r="CS162" s="1662">
        <f t="shared" si="78"/>
        <v>3677</v>
      </c>
      <c r="CT162" s="1662">
        <f t="shared" si="78"/>
        <v>3722.5</v>
      </c>
      <c r="CU162" s="1658">
        <f t="shared" si="78"/>
        <v>3722.5</v>
      </c>
      <c r="CV162" s="1662">
        <f t="shared" si="78"/>
        <v>3764.1341578947367</v>
      </c>
      <c r="CW162" s="1662">
        <f t="shared" si="78"/>
        <v>3805.7683157894735</v>
      </c>
      <c r="CX162" s="1662">
        <f t="shared" si="78"/>
        <v>3847.4024736842102</v>
      </c>
      <c r="CY162" s="1662">
        <f t="shared" si="78"/>
        <v>3889.036631578947</v>
      </c>
      <c r="CZ162" s="1658">
        <f t="shared" si="78"/>
        <v>3889.036631578947</v>
      </c>
      <c r="DA162" s="1658">
        <f t="shared" si="78"/>
        <v>4033.635763157894</v>
      </c>
      <c r="DB162" s="1658">
        <f t="shared" si="78"/>
        <v>4150.2445284210517</v>
      </c>
      <c r="DC162" s="1658">
        <f t="shared" si="78"/>
        <v>4228.8473432263145</v>
      </c>
      <c r="DD162" s="1705"/>
    </row>
    <row r="163" spans="1:111" s="1178" customFormat="1" ht="11.25">
      <c r="A163" s="1191"/>
      <c r="B163" s="1191"/>
      <c r="C163" s="1191"/>
      <c r="D163" s="1191"/>
      <c r="E163" s="1191"/>
      <c r="F163" s="1191"/>
      <c r="G163" s="1191"/>
      <c r="H163" s="1191"/>
      <c r="I163" s="1191"/>
      <c r="J163" s="1191"/>
      <c r="K163" s="1191"/>
      <c r="L163" s="1191"/>
      <c r="M163" s="1191"/>
      <c r="N163" s="1182"/>
      <c r="O163" s="1191"/>
      <c r="P163" s="1191"/>
      <c r="Q163" s="1191"/>
      <c r="R163" s="1191"/>
      <c r="S163" s="1182"/>
      <c r="T163" s="1191"/>
      <c r="U163" s="1191"/>
      <c r="V163" s="1191"/>
      <c r="W163" s="1191"/>
      <c r="X163" s="1182"/>
      <c r="Y163" s="1191"/>
      <c r="Z163" s="1191"/>
      <c r="AA163" s="1191"/>
      <c r="AB163" s="1191"/>
      <c r="AC163" s="1182"/>
      <c r="AD163" s="1191"/>
      <c r="AE163" s="1191"/>
      <c r="AF163" s="1191"/>
      <c r="AG163" s="1191"/>
      <c r="AH163" s="1182"/>
      <c r="AI163" s="1191"/>
      <c r="AJ163" s="1191"/>
      <c r="AK163" s="1191"/>
      <c r="AL163" s="1191"/>
      <c r="AM163" s="1182"/>
      <c r="AN163" s="1191"/>
      <c r="AO163" s="1191"/>
      <c r="AP163" s="1191"/>
      <c r="AQ163" s="1191"/>
      <c r="AR163" s="1182"/>
      <c r="AS163" s="1182"/>
      <c r="AT163" s="1182"/>
      <c r="AU163" s="1182"/>
      <c r="AV163" s="1182"/>
      <c r="AW163" s="1182"/>
      <c r="AX163" s="1182"/>
      <c r="AY163" s="1182"/>
      <c r="AZ163" s="1182"/>
      <c r="BA163" s="1182"/>
      <c r="BB163" s="1182"/>
      <c r="BC163" s="1182"/>
      <c r="BD163" s="1182"/>
      <c r="BE163" s="1182"/>
      <c r="BF163" s="1182"/>
      <c r="BG163" s="1182"/>
      <c r="BH163" s="1182"/>
      <c r="BI163" s="1182"/>
      <c r="BJ163" s="1182"/>
      <c r="BK163" s="1182"/>
      <c r="BL163" s="1182"/>
      <c r="BM163" s="1182"/>
      <c r="BN163" s="1182"/>
      <c r="BO163" s="1182"/>
      <c r="BP163" s="1182"/>
      <c r="BQ163" s="1223"/>
      <c r="BR163" s="1190"/>
      <c r="BS163" s="1190"/>
      <c r="BT163" s="1190"/>
      <c r="BU163" s="1190"/>
      <c r="BV163" s="1223"/>
      <c r="BW163" s="1190"/>
      <c r="BX163" s="1190"/>
      <c r="BY163" s="1190"/>
      <c r="BZ163" s="1190"/>
      <c r="CA163" s="1239"/>
      <c r="CB163" s="1662"/>
      <c r="CC163" s="1662"/>
      <c r="CD163" s="1662"/>
      <c r="CE163" s="1662"/>
      <c r="CF163" s="1658"/>
      <c r="CG163" s="1243"/>
      <c r="CH163" s="1243"/>
      <c r="CI163" s="1243"/>
      <c r="CJ163" s="1243"/>
      <c r="CK163" s="1658"/>
      <c r="CL163" s="1243"/>
      <c r="CM163" s="1243"/>
      <c r="CN163" s="1243"/>
      <c r="CO163" s="1243"/>
      <c r="CP163" s="1658"/>
      <c r="CQ163" s="1243"/>
      <c r="CR163" s="1243"/>
      <c r="CS163" s="1243"/>
      <c r="CT163" s="1243"/>
      <c r="CU163" s="1658"/>
      <c r="CV163" s="2113"/>
      <c r="CW163" s="2113"/>
      <c r="CX163" s="2113"/>
      <c r="CY163" s="2113"/>
      <c r="CZ163" s="1658"/>
      <c r="DA163" s="1658"/>
      <c r="DB163" s="1658"/>
      <c r="DC163" s="1658"/>
    </row>
    <row r="164" spans="1:111" s="1178" customFormat="1" ht="11.25">
      <c r="A164" s="1191"/>
      <c r="B164" s="1191"/>
      <c r="C164" s="1373" t="s">
        <v>1171</v>
      </c>
      <c r="D164" s="1191"/>
      <c r="E164" s="1191"/>
      <c r="F164" s="1191"/>
      <c r="G164" s="1191"/>
      <c r="H164" s="1191"/>
      <c r="I164" s="1191"/>
      <c r="J164" s="1191"/>
      <c r="K164" s="1191"/>
      <c r="L164" s="1191"/>
      <c r="M164" s="1191"/>
      <c r="N164" s="1182"/>
      <c r="O164" s="1191"/>
      <c r="P164" s="1191"/>
      <c r="Q164" s="1191"/>
      <c r="R164" s="1191"/>
      <c r="S164" s="1182"/>
      <c r="T164" s="1191"/>
      <c r="U164" s="1191"/>
      <c r="V164" s="1191"/>
      <c r="W164" s="1191"/>
      <c r="X164" s="1182"/>
      <c r="Y164" s="1191"/>
      <c r="Z164" s="1191"/>
      <c r="AA164" s="1191"/>
      <c r="AB164" s="1191"/>
      <c r="AC164" s="1182"/>
      <c r="AD164" s="1191"/>
      <c r="AE164" s="1191"/>
      <c r="AF164" s="1191"/>
      <c r="AG164" s="1191"/>
      <c r="AH164" s="1182"/>
      <c r="AI164" s="1191"/>
      <c r="AJ164" s="1191"/>
      <c r="AK164" s="1191"/>
      <c r="AL164" s="1191"/>
      <c r="AM164" s="1182"/>
      <c r="AN164" s="1191"/>
      <c r="AO164" s="1191"/>
      <c r="AP164" s="1191"/>
      <c r="AQ164" s="1191"/>
      <c r="AR164" s="1182"/>
      <c r="AS164" s="1182"/>
      <c r="AT164" s="1182"/>
      <c r="AU164" s="1182"/>
      <c r="AV164" s="1182"/>
      <c r="AW164" s="1182"/>
      <c r="AX164" s="1182"/>
      <c r="AY164" s="1182"/>
      <c r="AZ164" s="1182"/>
      <c r="BA164" s="1182"/>
      <c r="BB164" s="1182"/>
      <c r="BC164" s="1182"/>
      <c r="BD164" s="1182"/>
      <c r="BE164" s="1182"/>
      <c r="BF164" s="1182"/>
      <c r="BG164" s="1182"/>
      <c r="BH164" s="1182"/>
      <c r="BI164" s="1182"/>
      <c r="BJ164" s="1182"/>
      <c r="BK164" s="1182"/>
      <c r="BL164" s="1182"/>
      <c r="BM164" s="1182"/>
      <c r="BN164" s="1182"/>
      <c r="BO164" s="1182"/>
      <c r="BP164" s="1182"/>
      <c r="BQ164" s="1223"/>
      <c r="BR164" s="1190"/>
      <c r="BS164" s="1190"/>
      <c r="BT164" s="1190"/>
      <c r="BU164" s="1190"/>
      <c r="BV164" s="1223"/>
      <c r="BW164" s="1190"/>
      <c r="BX164" s="1190"/>
      <c r="BY164" s="1190"/>
      <c r="BZ164" s="1190"/>
      <c r="CA164" s="1239"/>
      <c r="CB164" s="1662"/>
      <c r="CC164" s="1662"/>
      <c r="CD164" s="1662"/>
      <c r="CE164" s="1662"/>
      <c r="CF164" s="1658"/>
      <c r="CG164" s="1243"/>
      <c r="CH164" s="1243"/>
      <c r="CI164" s="1243"/>
      <c r="CJ164" s="1243"/>
      <c r="CK164" s="1658"/>
      <c r="CL164" s="1243"/>
      <c r="CM164" s="1243"/>
      <c r="CN164" s="1243"/>
      <c r="CO164" s="1243"/>
      <c r="CP164" s="1658"/>
      <c r="CQ164" s="1243"/>
      <c r="CR164" s="1243"/>
      <c r="CS164" s="1243"/>
      <c r="CT164" s="1243"/>
      <c r="CU164" s="1658"/>
      <c r="CV164" s="2113"/>
      <c r="CW164" s="2113"/>
      <c r="CX164" s="2113"/>
      <c r="CY164" s="2113"/>
      <c r="CZ164" s="1658"/>
      <c r="DA164" s="1658"/>
      <c r="DB164" s="1658"/>
      <c r="DC164" s="1658"/>
    </row>
    <row r="165" spans="1:111" s="1178" customFormat="1" ht="11.25">
      <c r="A165" s="1191"/>
      <c r="B165" s="1191"/>
      <c r="C165" s="1191" t="s">
        <v>1162</v>
      </c>
      <c r="D165" s="1191"/>
      <c r="E165" s="1191"/>
      <c r="F165" s="1191"/>
      <c r="G165" s="1191"/>
      <c r="H165" s="1191"/>
      <c r="I165" s="1191"/>
      <c r="J165" s="1191"/>
      <c r="K165" s="1191"/>
      <c r="L165" s="1191"/>
      <c r="M165" s="1191"/>
      <c r="N165" s="1182"/>
      <c r="O165" s="1191"/>
      <c r="P165" s="1191"/>
      <c r="Q165" s="1191"/>
      <c r="R165" s="1191"/>
      <c r="S165" s="1182"/>
      <c r="T165" s="1191"/>
      <c r="U165" s="1191"/>
      <c r="V165" s="1191"/>
      <c r="W165" s="1191"/>
      <c r="X165" s="1182"/>
      <c r="Y165" s="1191"/>
      <c r="Z165" s="1191"/>
      <c r="AA165" s="1191"/>
      <c r="AB165" s="1191"/>
      <c r="AC165" s="1182"/>
      <c r="AD165" s="1191"/>
      <c r="AE165" s="1191"/>
      <c r="AF165" s="1191"/>
      <c r="AG165" s="1191"/>
      <c r="AH165" s="1182"/>
      <c r="AI165" s="1191"/>
      <c r="AJ165" s="1191"/>
      <c r="AK165" s="1191"/>
      <c r="AL165" s="1191"/>
      <c r="AM165" s="1182"/>
      <c r="AN165" s="1191"/>
      <c r="AO165" s="1191"/>
      <c r="AP165" s="1191"/>
      <c r="AQ165" s="1191"/>
      <c r="AR165" s="1182"/>
      <c r="AS165" s="1182"/>
      <c r="AT165" s="1182"/>
      <c r="AU165" s="1182"/>
      <c r="AV165" s="1182"/>
      <c r="AW165" s="1182"/>
      <c r="AX165" s="1182"/>
      <c r="AY165" s="1182"/>
      <c r="AZ165" s="1182"/>
      <c r="BA165" s="1182"/>
      <c r="BB165" s="1182"/>
      <c r="BC165" s="1182"/>
      <c r="BD165" s="1182"/>
      <c r="BE165" s="1182"/>
      <c r="BF165" s="1182"/>
      <c r="BG165" s="1182"/>
      <c r="BH165" s="1182"/>
      <c r="BI165" s="1182"/>
      <c r="BJ165" s="1182"/>
      <c r="BK165" s="1182"/>
      <c r="BL165" s="1182"/>
      <c r="BM165" s="1182"/>
      <c r="BN165" s="1182"/>
      <c r="BO165" s="1182"/>
      <c r="BP165" s="1182"/>
      <c r="BQ165" s="1223"/>
      <c r="BR165" s="1190"/>
      <c r="BS165" s="1190"/>
      <c r="BT165" s="1190"/>
      <c r="BU165" s="1190"/>
      <c r="BV165" s="1223"/>
      <c r="BW165" s="1190"/>
      <c r="BX165" s="1190"/>
      <c r="BY165" s="1190"/>
      <c r="BZ165" s="1190"/>
      <c r="CA165" s="1239"/>
      <c r="CB165" s="1662"/>
      <c r="CC165" s="1662"/>
      <c r="CD165" s="1662"/>
      <c r="CE165" s="1662"/>
      <c r="CF165" s="1658"/>
      <c r="CG165" s="1243">
        <v>0</v>
      </c>
      <c r="CH165" s="1243">
        <v>0</v>
      </c>
      <c r="CI165" s="1243">
        <v>10</v>
      </c>
      <c r="CJ165" s="2127">
        <f>CK165-CI165</f>
        <v>16</v>
      </c>
      <c r="CK165" s="1658">
        <f>SUM(CK166:CK170)</f>
        <v>26</v>
      </c>
      <c r="CL165" s="2248">
        <v>14</v>
      </c>
      <c r="CM165" s="2248">
        <f>36-CL165</f>
        <v>22</v>
      </c>
      <c r="CN165" s="2248">
        <f>76-SUM(CL165:CM165)</f>
        <v>40</v>
      </c>
      <c r="CO165" s="2248">
        <v>62</v>
      </c>
      <c r="CP165" s="1658">
        <f>SUM(CL165:CO165)</f>
        <v>138</v>
      </c>
      <c r="CQ165" s="1684">
        <v>70</v>
      </c>
      <c r="CR165" s="1684">
        <f>134-CQ165</f>
        <v>64</v>
      </c>
      <c r="CS165" s="1684">
        <v>120</v>
      </c>
      <c r="CT165" s="1684">
        <f>CU165-CS165-CR165-CQ165</f>
        <v>121</v>
      </c>
      <c r="CU165" s="2249">
        <v>375</v>
      </c>
      <c r="CV165" s="2127">
        <v>125</v>
      </c>
      <c r="CW165" s="2127">
        <f>CV165+25</f>
        <v>150</v>
      </c>
      <c r="CX165" s="2127">
        <f>CW165+25</f>
        <v>175</v>
      </c>
      <c r="CY165" s="2127">
        <f>CZ165-CX165-CW165-CV165</f>
        <v>225</v>
      </c>
      <c r="CZ165" s="2249">
        <v>675</v>
      </c>
      <c r="DA165" s="2249">
        <v>800</v>
      </c>
      <c r="DB165" s="2249">
        <v>1000</v>
      </c>
      <c r="DC165" s="2249">
        <v>1200</v>
      </c>
      <c r="DD165" s="1234">
        <f>SUM(DD166:DD170)</f>
        <v>684</v>
      </c>
    </row>
    <row r="166" spans="1:111" s="1178" customFormat="1" ht="11.25">
      <c r="A166" s="1191"/>
      <c r="B166" s="1191"/>
      <c r="C166" s="1191"/>
      <c r="D166" s="1191" t="s">
        <v>1168</v>
      </c>
      <c r="E166" s="1191"/>
      <c r="F166" s="1191"/>
      <c r="G166" s="1191"/>
      <c r="H166" s="1191"/>
      <c r="I166" s="1191"/>
      <c r="J166" s="1191"/>
      <c r="K166" s="1191"/>
      <c r="L166" s="1191"/>
      <c r="M166" s="1191"/>
      <c r="N166" s="1182"/>
      <c r="O166" s="1191"/>
      <c r="P166" s="1191"/>
      <c r="Q166" s="1191"/>
      <c r="R166" s="1191"/>
      <c r="S166" s="1182"/>
      <c r="T166" s="1191"/>
      <c r="U166" s="1191"/>
      <c r="V166" s="1191"/>
      <c r="W166" s="1191"/>
      <c r="X166" s="1182"/>
      <c r="Y166" s="1191"/>
      <c r="Z166" s="1191"/>
      <c r="AA166" s="1191"/>
      <c r="AB166" s="1191"/>
      <c r="AC166" s="1182"/>
      <c r="AD166" s="1191"/>
      <c r="AE166" s="1191"/>
      <c r="AF166" s="1191"/>
      <c r="AG166" s="1191"/>
      <c r="AH166" s="1182"/>
      <c r="AI166" s="1191"/>
      <c r="AJ166" s="1191"/>
      <c r="AK166" s="1191"/>
      <c r="AL166" s="1191"/>
      <c r="AM166" s="1182"/>
      <c r="AN166" s="1191"/>
      <c r="AO166" s="1191"/>
      <c r="AP166" s="1191"/>
      <c r="AQ166" s="1191"/>
      <c r="AR166" s="1182"/>
      <c r="AS166" s="1182"/>
      <c r="AT166" s="1182"/>
      <c r="AU166" s="1182"/>
      <c r="AV166" s="1182"/>
      <c r="AW166" s="1182"/>
      <c r="AX166" s="1182"/>
      <c r="AY166" s="1182"/>
      <c r="AZ166" s="1182"/>
      <c r="BA166" s="1182"/>
      <c r="BB166" s="1182"/>
      <c r="BC166" s="1182"/>
      <c r="BD166" s="1182"/>
      <c r="BE166" s="1182"/>
      <c r="BF166" s="1182"/>
      <c r="BG166" s="1182"/>
      <c r="BH166" s="1182"/>
      <c r="BI166" s="1182"/>
      <c r="BJ166" s="1182"/>
      <c r="BK166" s="1182"/>
      <c r="BL166" s="1182"/>
      <c r="BM166" s="1182"/>
      <c r="BN166" s="1182"/>
      <c r="BO166" s="1182"/>
      <c r="BP166" s="1182"/>
      <c r="BQ166" s="1223"/>
      <c r="BR166" s="1190"/>
      <c r="BS166" s="1190"/>
      <c r="BT166" s="1190"/>
      <c r="BU166" s="1190"/>
      <c r="BV166" s="1223"/>
      <c r="BW166" s="1190"/>
      <c r="BX166" s="1190"/>
      <c r="BY166" s="1190"/>
      <c r="BZ166" s="1190"/>
      <c r="CA166" s="1239"/>
      <c r="CB166" s="1662"/>
      <c r="CC166" s="1662"/>
      <c r="CD166" s="1662"/>
      <c r="CE166" s="1662"/>
      <c r="CF166" s="1658"/>
      <c r="CG166" s="1243"/>
      <c r="CH166" s="1243"/>
      <c r="CI166" s="1243"/>
      <c r="CJ166" s="1243"/>
      <c r="CK166" s="1677">
        <v>26</v>
      </c>
      <c r="CL166" s="1243"/>
      <c r="CM166" s="1243"/>
      <c r="CN166" s="1243"/>
      <c r="CO166" s="1243"/>
      <c r="CP166" s="1715">
        <f>CP165-CP167</f>
        <v>118</v>
      </c>
      <c r="CQ166" s="1243"/>
      <c r="CR166" s="1243"/>
      <c r="CS166" s="1243"/>
      <c r="CT166" s="1243"/>
      <c r="CU166" s="1715">
        <f>CU165-CU167-CU168-CU169-CU170</f>
        <v>317</v>
      </c>
      <c r="CV166" s="2113"/>
      <c r="CW166" s="2113"/>
      <c r="CX166" s="2113"/>
      <c r="CY166" s="2113"/>
      <c r="CZ166" s="1715">
        <f>CZ165-CZ167-CZ168-CZ169-CZ170</f>
        <v>523</v>
      </c>
      <c r="DA166" s="1715">
        <f>DA165-DA167-DA168-DA169-DA170</f>
        <v>574</v>
      </c>
      <c r="DB166" s="1715">
        <f>DB165-DB167-DB168-DB169-DB170</f>
        <v>716</v>
      </c>
      <c r="DC166" s="1715">
        <f>DC165-DC167-DC168-DC169-DC170</f>
        <v>912</v>
      </c>
      <c r="DD166" s="1178">
        <v>424</v>
      </c>
    </row>
    <row r="167" spans="1:111" s="1178" customFormat="1" ht="11.25">
      <c r="A167" s="1191"/>
      <c r="B167" s="1191"/>
      <c r="C167" s="1191"/>
      <c r="D167" s="1191" t="s">
        <v>1167</v>
      </c>
      <c r="E167" s="1191"/>
      <c r="F167" s="1191"/>
      <c r="G167" s="1191"/>
      <c r="H167" s="1191"/>
      <c r="I167" s="1191"/>
      <c r="J167" s="1191"/>
      <c r="K167" s="1191"/>
      <c r="L167" s="1191"/>
      <c r="M167" s="1191"/>
      <c r="N167" s="1182"/>
      <c r="O167" s="1191"/>
      <c r="P167" s="1191"/>
      <c r="Q167" s="1191"/>
      <c r="R167" s="1191"/>
      <c r="S167" s="1182"/>
      <c r="T167" s="1191"/>
      <c r="U167" s="1191"/>
      <c r="V167" s="1191"/>
      <c r="W167" s="1191"/>
      <c r="X167" s="1182"/>
      <c r="Y167" s="1191"/>
      <c r="Z167" s="1191"/>
      <c r="AA167" s="1191"/>
      <c r="AB167" s="1191"/>
      <c r="AC167" s="1182"/>
      <c r="AD167" s="1191"/>
      <c r="AE167" s="1191"/>
      <c r="AF167" s="1191"/>
      <c r="AG167" s="1191"/>
      <c r="AH167" s="1182"/>
      <c r="AI167" s="1191"/>
      <c r="AJ167" s="1191"/>
      <c r="AK167" s="1191"/>
      <c r="AL167" s="1191"/>
      <c r="AM167" s="1182"/>
      <c r="AN167" s="1191"/>
      <c r="AO167" s="1191"/>
      <c r="AP167" s="1191"/>
      <c r="AQ167" s="1191"/>
      <c r="AR167" s="1182"/>
      <c r="AS167" s="1182"/>
      <c r="AT167" s="1182"/>
      <c r="AU167" s="1182"/>
      <c r="AV167" s="1182"/>
      <c r="AW167" s="1182"/>
      <c r="AX167" s="1182"/>
      <c r="AY167" s="1182"/>
      <c r="AZ167" s="1182"/>
      <c r="BA167" s="1182"/>
      <c r="BB167" s="1182"/>
      <c r="BC167" s="1182"/>
      <c r="BD167" s="1182"/>
      <c r="BE167" s="1182"/>
      <c r="BF167" s="1182"/>
      <c r="BG167" s="1182"/>
      <c r="BH167" s="1182"/>
      <c r="BI167" s="1182"/>
      <c r="BJ167" s="1182"/>
      <c r="BK167" s="1182"/>
      <c r="BL167" s="1182"/>
      <c r="BM167" s="1182"/>
      <c r="BN167" s="1182"/>
      <c r="BO167" s="1182"/>
      <c r="BP167" s="1182"/>
      <c r="BQ167" s="1223"/>
      <c r="BR167" s="1190"/>
      <c r="BS167" s="1190"/>
      <c r="BT167" s="1190"/>
      <c r="BU167" s="1190"/>
      <c r="BV167" s="1223"/>
      <c r="BW167" s="1190"/>
      <c r="BX167" s="1190"/>
      <c r="BY167" s="1190"/>
      <c r="BZ167" s="1190"/>
      <c r="CA167" s="1239"/>
      <c r="CB167" s="1662"/>
      <c r="CC167" s="1662"/>
      <c r="CD167" s="1662"/>
      <c r="CE167" s="1662"/>
      <c r="CF167" s="1658"/>
      <c r="CG167" s="1243"/>
      <c r="CH167" s="1243"/>
      <c r="CI167" s="1243"/>
      <c r="CJ167" s="1243"/>
      <c r="CK167" s="1676">
        <v>0</v>
      </c>
      <c r="CL167" s="1243"/>
      <c r="CM167" s="1243"/>
      <c r="CN167" s="1243"/>
      <c r="CO167" s="1243"/>
      <c r="CP167" s="1676">
        <v>20</v>
      </c>
      <c r="CQ167" s="1243"/>
      <c r="CR167" s="1243"/>
      <c r="CS167" s="1243"/>
      <c r="CT167" s="1243"/>
      <c r="CU167" s="1676">
        <v>40</v>
      </c>
      <c r="CV167" s="2113"/>
      <c r="CW167" s="2113"/>
      <c r="CX167" s="2113"/>
      <c r="CY167" s="2113"/>
      <c r="CZ167" s="1676">
        <v>60</v>
      </c>
      <c r="DA167" s="1676">
        <v>90</v>
      </c>
      <c r="DB167" s="1676">
        <v>90</v>
      </c>
      <c r="DC167" s="1676">
        <v>90</v>
      </c>
      <c r="DD167" s="1178">
        <v>30</v>
      </c>
    </row>
    <row r="168" spans="1:111" s="1178" customFormat="1" ht="11.25">
      <c r="A168" s="1191"/>
      <c r="B168" s="1191"/>
      <c r="C168" s="1191"/>
      <c r="D168" s="1191" t="s">
        <v>1166</v>
      </c>
      <c r="E168" s="1191"/>
      <c r="F168" s="1191"/>
      <c r="G168" s="1191"/>
      <c r="H168" s="1191"/>
      <c r="I168" s="1191"/>
      <c r="J168" s="1191"/>
      <c r="K168" s="1191"/>
      <c r="L168" s="1191"/>
      <c r="M168" s="1191"/>
      <c r="N168" s="1182"/>
      <c r="O168" s="1191"/>
      <c r="P168" s="1191"/>
      <c r="Q168" s="1191"/>
      <c r="R168" s="1191"/>
      <c r="S168" s="1182"/>
      <c r="T168" s="1191"/>
      <c r="U168" s="1191"/>
      <c r="V168" s="1191"/>
      <c r="W168" s="1191"/>
      <c r="X168" s="1182"/>
      <c r="Y168" s="1191"/>
      <c r="Z168" s="1191"/>
      <c r="AA168" s="1191"/>
      <c r="AB168" s="1191"/>
      <c r="AC168" s="1182"/>
      <c r="AD168" s="1191"/>
      <c r="AE168" s="1191"/>
      <c r="AF168" s="1191"/>
      <c r="AG168" s="1191"/>
      <c r="AH168" s="1182"/>
      <c r="AI168" s="1191"/>
      <c r="AJ168" s="1191"/>
      <c r="AK168" s="1191"/>
      <c r="AL168" s="1191"/>
      <c r="AM168" s="1182"/>
      <c r="AN168" s="1191"/>
      <c r="AO168" s="1191"/>
      <c r="AP168" s="1191"/>
      <c r="AQ168" s="1191"/>
      <c r="AR168" s="1182"/>
      <c r="AS168" s="1182"/>
      <c r="AT168" s="1182"/>
      <c r="AU168" s="1182"/>
      <c r="AV168" s="1182"/>
      <c r="AW168" s="1182"/>
      <c r="AX168" s="1182"/>
      <c r="AY168" s="1182"/>
      <c r="AZ168" s="1182"/>
      <c r="BA168" s="1182"/>
      <c r="BB168" s="1182"/>
      <c r="BC168" s="1182"/>
      <c r="BD168" s="1182"/>
      <c r="BE168" s="1182"/>
      <c r="BF168" s="1182"/>
      <c r="BG168" s="1182"/>
      <c r="BH168" s="1182"/>
      <c r="BI168" s="1182"/>
      <c r="BJ168" s="1182"/>
      <c r="BK168" s="1182"/>
      <c r="BL168" s="1182"/>
      <c r="BM168" s="1182"/>
      <c r="BN168" s="1182"/>
      <c r="BO168" s="1182"/>
      <c r="BP168" s="1182"/>
      <c r="BQ168" s="1223"/>
      <c r="BR168" s="1190"/>
      <c r="BS168" s="1190"/>
      <c r="BT168" s="1190"/>
      <c r="BU168" s="1190"/>
      <c r="BV168" s="1223"/>
      <c r="BW168" s="1190"/>
      <c r="BX168" s="1190"/>
      <c r="BY168" s="1190"/>
      <c r="BZ168" s="1190"/>
      <c r="CA168" s="1239"/>
      <c r="CB168" s="1662"/>
      <c r="CC168" s="1662"/>
      <c r="CD168" s="1662"/>
      <c r="CE168" s="1662"/>
      <c r="CF168" s="1658"/>
      <c r="CG168" s="1243"/>
      <c r="CH168" s="1243"/>
      <c r="CI168" s="1243"/>
      <c r="CJ168" s="1243"/>
      <c r="CK168" s="1676"/>
      <c r="CL168" s="1243"/>
      <c r="CM168" s="1243"/>
      <c r="CN168" s="1243"/>
      <c r="CO168" s="1243"/>
      <c r="CP168" s="1676">
        <v>0</v>
      </c>
      <c r="CQ168" s="1243"/>
      <c r="CR168" s="1243"/>
      <c r="CS168" s="1243"/>
      <c r="CT168" s="1243"/>
      <c r="CU168" s="1676">
        <v>0</v>
      </c>
      <c r="CV168" s="2113"/>
      <c r="CW168" s="2113"/>
      <c r="CX168" s="2113"/>
      <c r="CY168" s="2113"/>
      <c r="CZ168" s="1676">
        <v>46</v>
      </c>
      <c r="DA168" s="1676">
        <v>64</v>
      </c>
      <c r="DB168" s="1676">
        <v>100</v>
      </c>
      <c r="DC168" s="1676">
        <v>82</v>
      </c>
      <c r="DD168" s="1178">
        <v>100</v>
      </c>
    </row>
    <row r="169" spans="1:111" s="1178" customFormat="1" ht="11.25">
      <c r="A169" s="1191"/>
      <c r="B169" s="1191"/>
      <c r="C169" s="1191"/>
      <c r="D169" s="1191" t="s">
        <v>1165</v>
      </c>
      <c r="E169" s="1191"/>
      <c r="F169" s="1191"/>
      <c r="G169" s="1191"/>
      <c r="H169" s="1191"/>
      <c r="I169" s="1191"/>
      <c r="J169" s="1191"/>
      <c r="K169" s="1191"/>
      <c r="L169" s="1191"/>
      <c r="M169" s="1191"/>
      <c r="N169" s="1182"/>
      <c r="O169" s="1191"/>
      <c r="P169" s="1191"/>
      <c r="Q169" s="1191"/>
      <c r="R169" s="1191"/>
      <c r="S169" s="1182"/>
      <c r="T169" s="1191"/>
      <c r="U169" s="1191"/>
      <c r="V169" s="1191"/>
      <c r="W169" s="1191"/>
      <c r="X169" s="1182"/>
      <c r="Y169" s="1191"/>
      <c r="Z169" s="1191"/>
      <c r="AA169" s="1191"/>
      <c r="AB169" s="1191"/>
      <c r="AC169" s="1182"/>
      <c r="AD169" s="1191"/>
      <c r="AE169" s="1191"/>
      <c r="AF169" s="1191"/>
      <c r="AG169" s="1191"/>
      <c r="AH169" s="1182"/>
      <c r="AI169" s="1191"/>
      <c r="AJ169" s="1191"/>
      <c r="AK169" s="1191"/>
      <c r="AL169" s="1191"/>
      <c r="AM169" s="1182"/>
      <c r="AN169" s="1191"/>
      <c r="AO169" s="1191"/>
      <c r="AP169" s="1191"/>
      <c r="AQ169" s="1191"/>
      <c r="AR169" s="1182"/>
      <c r="AS169" s="1182"/>
      <c r="AT169" s="1182"/>
      <c r="AU169" s="1182"/>
      <c r="AV169" s="1182"/>
      <c r="AW169" s="1182"/>
      <c r="AX169" s="1182"/>
      <c r="AY169" s="1182"/>
      <c r="AZ169" s="1182"/>
      <c r="BA169" s="1182"/>
      <c r="BB169" s="1182"/>
      <c r="BC169" s="1182"/>
      <c r="BD169" s="1182"/>
      <c r="BE169" s="1182"/>
      <c r="BF169" s="1182"/>
      <c r="BG169" s="1182"/>
      <c r="BH169" s="1182"/>
      <c r="BI169" s="1182"/>
      <c r="BJ169" s="1182"/>
      <c r="BK169" s="1182"/>
      <c r="BL169" s="1182"/>
      <c r="BM169" s="1182"/>
      <c r="BN169" s="1182"/>
      <c r="BO169" s="1182"/>
      <c r="BP169" s="1182"/>
      <c r="BQ169" s="1223"/>
      <c r="BR169" s="1190"/>
      <c r="BS169" s="1190"/>
      <c r="BT169" s="1190"/>
      <c r="BU169" s="1190"/>
      <c r="BV169" s="1223"/>
      <c r="BW169" s="1190"/>
      <c r="BX169" s="1190"/>
      <c r="BY169" s="1190"/>
      <c r="BZ169" s="1190"/>
      <c r="CA169" s="1239"/>
      <c r="CB169" s="1662"/>
      <c r="CC169" s="1662"/>
      <c r="CD169" s="1662"/>
      <c r="CE169" s="1662"/>
      <c r="CF169" s="1658"/>
      <c r="CG169" s="1243"/>
      <c r="CH169" s="1243"/>
      <c r="CI169" s="1243"/>
      <c r="CJ169" s="1243">
        <f>106/6.9</f>
        <v>15.362318840579709</v>
      </c>
      <c r="CK169" s="1676"/>
      <c r="CL169" s="1243"/>
      <c r="CM169" s="1243"/>
      <c r="CN169" s="1243"/>
      <c r="CO169" s="1243"/>
      <c r="CP169" s="1676"/>
      <c r="CQ169" s="1243"/>
      <c r="CR169" s="1243"/>
      <c r="CS169" s="1243"/>
      <c r="CT169" s="1243"/>
      <c r="CU169" s="1676">
        <v>8</v>
      </c>
      <c r="CV169" s="2113"/>
      <c r="CW169" s="2113"/>
      <c r="CX169" s="2113"/>
      <c r="CY169" s="2113"/>
      <c r="CZ169" s="1676">
        <v>36</v>
      </c>
      <c r="DA169" s="1676">
        <v>52</v>
      </c>
      <c r="DB169" s="1676">
        <v>54</v>
      </c>
      <c r="DC169" s="1676">
        <v>46</v>
      </c>
      <c r="DD169" s="1178">
        <v>54</v>
      </c>
    </row>
    <row r="170" spans="1:111" s="1178" customFormat="1" ht="11.25">
      <c r="A170" s="1191"/>
      <c r="B170" s="1191"/>
      <c r="C170" s="1191"/>
      <c r="D170" s="1191" t="s">
        <v>1164</v>
      </c>
      <c r="E170" s="1191"/>
      <c r="F170" s="1191"/>
      <c r="G170" s="1191"/>
      <c r="H170" s="1191"/>
      <c r="I170" s="1191"/>
      <c r="J170" s="1191"/>
      <c r="K170" s="1191"/>
      <c r="L170" s="1191"/>
      <c r="M170" s="1191"/>
      <c r="N170" s="1182"/>
      <c r="O170" s="1191"/>
      <c r="P170" s="1191"/>
      <c r="Q170" s="1191"/>
      <c r="R170" s="1191"/>
      <c r="S170" s="1182"/>
      <c r="T170" s="1191"/>
      <c r="U170" s="1191"/>
      <c r="V170" s="1191"/>
      <c r="W170" s="1191"/>
      <c r="X170" s="1182"/>
      <c r="Y170" s="1191"/>
      <c r="Z170" s="1191"/>
      <c r="AA170" s="1191"/>
      <c r="AB170" s="1191"/>
      <c r="AC170" s="1182"/>
      <c r="AD170" s="1191"/>
      <c r="AE170" s="1191"/>
      <c r="AF170" s="1191"/>
      <c r="AG170" s="1191"/>
      <c r="AH170" s="1182"/>
      <c r="AI170" s="1191"/>
      <c r="AJ170" s="1191"/>
      <c r="AK170" s="1191"/>
      <c r="AL170" s="1191"/>
      <c r="AM170" s="1182"/>
      <c r="AN170" s="1191"/>
      <c r="AO170" s="1191"/>
      <c r="AP170" s="1191"/>
      <c r="AQ170" s="1191"/>
      <c r="AR170" s="1182"/>
      <c r="AS170" s="1182"/>
      <c r="AT170" s="1182"/>
      <c r="AU170" s="1182"/>
      <c r="AV170" s="1182"/>
      <c r="AW170" s="1182"/>
      <c r="AX170" s="1182"/>
      <c r="AY170" s="1182"/>
      <c r="AZ170" s="1182"/>
      <c r="BA170" s="1182"/>
      <c r="BB170" s="1182"/>
      <c r="BC170" s="1182"/>
      <c r="BD170" s="1182"/>
      <c r="BE170" s="1182"/>
      <c r="BF170" s="1182"/>
      <c r="BG170" s="1182"/>
      <c r="BH170" s="1182"/>
      <c r="BI170" s="1182"/>
      <c r="BJ170" s="1182"/>
      <c r="BK170" s="1182"/>
      <c r="BL170" s="1182"/>
      <c r="BM170" s="1182"/>
      <c r="BN170" s="1182"/>
      <c r="BO170" s="1182"/>
      <c r="BP170" s="1182"/>
      <c r="BQ170" s="1223"/>
      <c r="BR170" s="1190"/>
      <c r="BS170" s="1190"/>
      <c r="BT170" s="1190"/>
      <c r="BU170" s="1190"/>
      <c r="BV170" s="1223"/>
      <c r="BW170" s="1190"/>
      <c r="BX170" s="1190"/>
      <c r="BY170" s="1190"/>
      <c r="BZ170" s="1190"/>
      <c r="CA170" s="1239"/>
      <c r="CB170" s="1662"/>
      <c r="CC170" s="1662"/>
      <c r="CD170" s="1662"/>
      <c r="CE170" s="1662"/>
      <c r="CF170" s="1658"/>
      <c r="CG170" s="1243"/>
      <c r="CH170" s="1243"/>
      <c r="CI170" s="1243"/>
      <c r="CJ170" s="1243"/>
      <c r="CK170" s="1676"/>
      <c r="CL170" s="1243"/>
      <c r="CM170" s="1243"/>
      <c r="CN170" s="1243"/>
      <c r="CO170" s="1243"/>
      <c r="CP170" s="1676"/>
      <c r="CQ170" s="1243"/>
      <c r="CR170" s="1243"/>
      <c r="CS170" s="1243"/>
      <c r="CT170" s="1243"/>
      <c r="CU170" s="1676">
        <v>10</v>
      </c>
      <c r="CV170" s="2113"/>
      <c r="CW170" s="2113"/>
      <c r="CX170" s="2113"/>
      <c r="CY170" s="2113"/>
      <c r="CZ170" s="1676">
        <v>10</v>
      </c>
      <c r="DA170" s="1676">
        <v>20</v>
      </c>
      <c r="DB170" s="1676">
        <v>40</v>
      </c>
      <c r="DC170" s="1676">
        <v>70</v>
      </c>
      <c r="DD170" s="1178">
        <v>76</v>
      </c>
    </row>
    <row r="171" spans="1:111" s="1178" customFormat="1" ht="11.25">
      <c r="A171" s="1191"/>
      <c r="B171" s="1191"/>
      <c r="C171" s="1191"/>
      <c r="D171" s="1191"/>
      <c r="E171" s="1191"/>
      <c r="F171" s="1191"/>
      <c r="G171" s="1191"/>
      <c r="H171" s="1191"/>
      <c r="I171" s="1191"/>
      <c r="J171" s="1191"/>
      <c r="K171" s="1191"/>
      <c r="L171" s="1191"/>
      <c r="M171" s="1191"/>
      <c r="N171" s="1182"/>
      <c r="O171" s="1191"/>
      <c r="P171" s="1191"/>
      <c r="Q171" s="1191"/>
      <c r="R171" s="1191"/>
      <c r="S171" s="1182"/>
      <c r="T171" s="1191"/>
      <c r="U171" s="1191"/>
      <c r="V171" s="1191"/>
      <c r="W171" s="1191"/>
      <c r="X171" s="1182"/>
      <c r="Y171" s="1191"/>
      <c r="Z171" s="1191"/>
      <c r="AA171" s="1191"/>
      <c r="AB171" s="1191"/>
      <c r="AC171" s="1182"/>
      <c r="AD171" s="1191"/>
      <c r="AE171" s="1191"/>
      <c r="AF171" s="1191"/>
      <c r="AG171" s="1191"/>
      <c r="AH171" s="1182"/>
      <c r="AI171" s="1191"/>
      <c r="AJ171" s="1191"/>
      <c r="AK171" s="1191"/>
      <c r="AL171" s="1191"/>
      <c r="AM171" s="1182"/>
      <c r="AN171" s="1191"/>
      <c r="AO171" s="1191"/>
      <c r="AP171" s="1191"/>
      <c r="AQ171" s="1191"/>
      <c r="AR171" s="1182"/>
      <c r="AS171" s="1182"/>
      <c r="AT171" s="1182"/>
      <c r="AU171" s="1182"/>
      <c r="AV171" s="1182"/>
      <c r="AW171" s="1182"/>
      <c r="AX171" s="1182"/>
      <c r="AY171" s="1182"/>
      <c r="AZ171" s="1182"/>
      <c r="BA171" s="1182"/>
      <c r="BB171" s="1182"/>
      <c r="BC171" s="1182"/>
      <c r="BD171" s="1182"/>
      <c r="BE171" s="1182"/>
      <c r="BF171" s="1182"/>
      <c r="BG171" s="1182"/>
      <c r="BH171" s="1182"/>
      <c r="BI171" s="1182"/>
      <c r="BJ171" s="1182"/>
      <c r="BK171" s="1182"/>
      <c r="BL171" s="1182"/>
      <c r="BM171" s="1182"/>
      <c r="BN171" s="1182"/>
      <c r="BO171" s="1182"/>
      <c r="BP171" s="1182"/>
      <c r="BQ171" s="1223"/>
      <c r="BR171" s="1190"/>
      <c r="BS171" s="1190"/>
      <c r="BT171" s="1190"/>
      <c r="BU171" s="1190"/>
      <c r="BV171" s="1223"/>
      <c r="BW171" s="1190"/>
      <c r="BX171" s="1190"/>
      <c r="BY171" s="1190"/>
      <c r="BZ171" s="1190"/>
      <c r="CA171" s="1239"/>
      <c r="CB171" s="1662"/>
      <c r="CC171" s="1662"/>
      <c r="CD171" s="1662"/>
      <c r="CE171" s="1662"/>
      <c r="CF171" s="1658"/>
      <c r="CG171" s="1243"/>
      <c r="CH171" s="1243"/>
      <c r="CI171" s="1243"/>
      <c r="CJ171" s="1243"/>
      <c r="CK171" s="1676"/>
      <c r="CL171" s="1243"/>
      <c r="CM171" s="1243"/>
      <c r="CN171" s="1243"/>
      <c r="CO171" s="1243"/>
      <c r="CP171" s="1676"/>
      <c r="CQ171" s="1243"/>
      <c r="CR171" s="1243"/>
      <c r="CS171" s="1243"/>
      <c r="CT171" s="1243"/>
      <c r="CU171" s="1676"/>
      <c r="CV171" s="2113"/>
      <c r="CW171" s="2113"/>
      <c r="CX171" s="2113"/>
      <c r="CY171" s="2113"/>
      <c r="CZ171" s="1676"/>
      <c r="DA171" s="1676"/>
      <c r="DB171" s="1676"/>
      <c r="DC171" s="1676"/>
    </row>
    <row r="172" spans="1:111" s="1178" customFormat="1" ht="11.25">
      <c r="A172" s="1191"/>
      <c r="B172" s="1191"/>
      <c r="C172" s="1182" t="s">
        <v>1170</v>
      </c>
      <c r="D172" s="1191"/>
      <c r="E172" s="1191"/>
      <c r="F172" s="1191"/>
      <c r="G172" s="1191"/>
      <c r="H172" s="1191"/>
      <c r="I172" s="1191"/>
      <c r="J172" s="1191"/>
      <c r="K172" s="1191"/>
      <c r="L172" s="1191"/>
      <c r="M172" s="1191"/>
      <c r="N172" s="1182"/>
      <c r="O172" s="1191"/>
      <c r="P172" s="1191"/>
      <c r="Q172" s="1191"/>
      <c r="R172" s="1191"/>
      <c r="S172" s="1182"/>
      <c r="T172" s="1191"/>
      <c r="U172" s="1191"/>
      <c r="V172" s="1191"/>
      <c r="W172" s="1191"/>
      <c r="X172" s="1182"/>
      <c r="Y172" s="1191"/>
      <c r="Z172" s="1191"/>
      <c r="AA172" s="1191"/>
      <c r="AB172" s="1191"/>
      <c r="AC172" s="1182"/>
      <c r="AD172" s="1191"/>
      <c r="AE172" s="1191"/>
      <c r="AF172" s="1191"/>
      <c r="AG172" s="1191"/>
      <c r="AH172" s="1182"/>
      <c r="AI172" s="1191"/>
      <c r="AJ172" s="1191"/>
      <c r="AK172" s="1191"/>
      <c r="AL172" s="1191"/>
      <c r="AM172" s="1182"/>
      <c r="AN172" s="1191"/>
      <c r="AO172" s="1191"/>
      <c r="AP172" s="1191"/>
      <c r="AQ172" s="1191"/>
      <c r="AR172" s="1182"/>
      <c r="AS172" s="1182"/>
      <c r="AT172" s="1182"/>
      <c r="AU172" s="1182"/>
      <c r="AV172" s="1182"/>
      <c r="AW172" s="1182"/>
      <c r="AX172" s="1182"/>
      <c r="AY172" s="1182"/>
      <c r="AZ172" s="1182"/>
      <c r="BA172" s="1182"/>
      <c r="BB172" s="1182"/>
      <c r="BC172" s="1182"/>
      <c r="BD172" s="1182"/>
      <c r="BE172" s="1182"/>
      <c r="BF172" s="1182"/>
      <c r="BG172" s="1182"/>
      <c r="BH172" s="1182"/>
      <c r="BI172" s="1182"/>
      <c r="BJ172" s="1182"/>
      <c r="BK172" s="1182"/>
      <c r="BL172" s="1182"/>
      <c r="BM172" s="1182"/>
      <c r="BN172" s="1182"/>
      <c r="BO172" s="1182"/>
      <c r="BP172" s="1182"/>
      <c r="BQ172" s="1223"/>
      <c r="BR172" s="1190"/>
      <c r="BS172" s="1190"/>
      <c r="BT172" s="1190"/>
      <c r="BU172" s="1190"/>
      <c r="BV172" s="1223"/>
      <c r="BW172" s="1190"/>
      <c r="BX172" s="1190"/>
      <c r="BY172" s="1190"/>
      <c r="BZ172" s="1190"/>
      <c r="CA172" s="1239"/>
      <c r="CB172" s="1662"/>
      <c r="CC172" s="1662"/>
      <c r="CD172" s="1662"/>
      <c r="CE172" s="1662"/>
      <c r="CF172" s="1658"/>
      <c r="CG172" s="1243"/>
      <c r="CH172" s="1243"/>
      <c r="CI172" s="1243"/>
      <c r="CJ172" s="1243"/>
      <c r="CK172" s="1658"/>
      <c r="CL172" s="1243"/>
      <c r="CM172" s="1243"/>
      <c r="CN172" s="1243"/>
      <c r="CO172" s="1243"/>
      <c r="CP172" s="1908"/>
      <c r="CQ172" s="1243"/>
      <c r="CR172" s="1243"/>
      <c r="CS172" s="1243"/>
      <c r="CT172" s="1243"/>
      <c r="CU172" s="1658"/>
      <c r="CV172" s="2113"/>
      <c r="CW172" s="2113"/>
      <c r="CX172" s="2113"/>
      <c r="CY172" s="2113"/>
      <c r="CZ172" s="1658"/>
      <c r="DA172" s="1658"/>
      <c r="DB172" s="1658"/>
      <c r="DC172" s="1658"/>
    </row>
    <row r="173" spans="1:111" s="1178" customFormat="1" ht="11.25">
      <c r="A173" s="1191"/>
      <c r="B173" s="1191"/>
      <c r="C173" s="1191"/>
      <c r="D173" s="1191" t="s">
        <v>1168</v>
      </c>
      <c r="E173" s="1191"/>
      <c r="F173" s="1191"/>
      <c r="G173" s="1191"/>
      <c r="H173" s="1191"/>
      <c r="I173" s="1191"/>
      <c r="J173" s="1191"/>
      <c r="K173" s="1191"/>
      <c r="L173" s="1191"/>
      <c r="M173" s="1191"/>
      <c r="N173" s="1182"/>
      <c r="O173" s="1191"/>
      <c r="P173" s="1191"/>
      <c r="Q173" s="1191"/>
      <c r="R173" s="1191"/>
      <c r="S173" s="1182"/>
      <c r="T173" s="1191"/>
      <c r="U173" s="1191"/>
      <c r="V173" s="1191"/>
      <c r="W173" s="1191"/>
      <c r="X173" s="1182"/>
      <c r="Y173" s="1191"/>
      <c r="Z173" s="1191"/>
      <c r="AA173" s="1191"/>
      <c r="AB173" s="1191"/>
      <c r="AC173" s="1182"/>
      <c r="AD173" s="1191"/>
      <c r="AE173" s="1191"/>
      <c r="AF173" s="1191"/>
      <c r="AG173" s="1191"/>
      <c r="AH173" s="1182"/>
      <c r="AI173" s="1191"/>
      <c r="AJ173" s="1191"/>
      <c r="AK173" s="1191"/>
      <c r="AL173" s="1191"/>
      <c r="AM173" s="1182"/>
      <c r="AN173" s="1191"/>
      <c r="AO173" s="1191"/>
      <c r="AP173" s="1191"/>
      <c r="AQ173" s="1191"/>
      <c r="AR173" s="1182"/>
      <c r="AS173" s="1182"/>
      <c r="AT173" s="1182"/>
      <c r="AU173" s="1182"/>
      <c r="AV173" s="1182"/>
      <c r="AW173" s="1182"/>
      <c r="AX173" s="1182"/>
      <c r="AY173" s="1182"/>
      <c r="AZ173" s="1182"/>
      <c r="BA173" s="1182"/>
      <c r="BB173" s="1182"/>
      <c r="BC173" s="1182"/>
      <c r="BD173" s="1182"/>
      <c r="BE173" s="1182"/>
      <c r="BF173" s="1182"/>
      <c r="BG173" s="1182"/>
      <c r="BH173" s="1182"/>
      <c r="BI173" s="1182"/>
      <c r="BJ173" s="1182"/>
      <c r="BK173" s="1182"/>
      <c r="BL173" s="1182"/>
      <c r="BM173" s="1182"/>
      <c r="BN173" s="1182"/>
      <c r="BO173" s="1182"/>
      <c r="BP173" s="1182"/>
      <c r="BQ173" s="1223"/>
      <c r="BR173" s="1190"/>
      <c r="BS173" s="1190"/>
      <c r="BT173" s="1190"/>
      <c r="BU173" s="1190"/>
      <c r="BV173" s="1223"/>
      <c r="BW173" s="1190"/>
      <c r="BX173" s="1190"/>
      <c r="BY173" s="1190"/>
      <c r="BZ173" s="1190"/>
      <c r="CA173" s="1239"/>
      <c r="CB173" s="1662"/>
      <c r="CC173" s="1662"/>
      <c r="CD173" s="1662"/>
      <c r="CE173" s="1662"/>
      <c r="CF173" s="1658"/>
      <c r="CG173" s="1243"/>
      <c r="CH173" s="1243"/>
      <c r="CI173" s="1243"/>
      <c r="CJ173" s="1243"/>
      <c r="CK173" s="1675">
        <v>3.5</v>
      </c>
      <c r="CL173" s="1243"/>
      <c r="CM173" s="1243"/>
      <c r="CN173" s="1243"/>
      <c r="CO173" s="1243"/>
      <c r="CP173" s="1675">
        <f>CK173*(0.89^(CP166/CK166/2))</f>
        <v>2.68671926980725</v>
      </c>
      <c r="CQ173" s="1243"/>
      <c r="CR173" s="1243"/>
      <c r="CS173" s="1243"/>
      <c r="CT173" s="1243"/>
      <c r="CU173" s="1675">
        <f>CP173*(0.89^(CU166/CP166/2))</f>
        <v>2.2974280424377231</v>
      </c>
      <c r="CV173" s="2113"/>
      <c r="CW173" s="2113"/>
      <c r="CX173" s="2113"/>
      <c r="CY173" s="2113"/>
      <c r="CZ173" s="1675">
        <f>CU173*(0.89^(CZ166/CU166/2))</f>
        <v>2.0868568756826185</v>
      </c>
      <c r="DA173" s="1675">
        <f>-(CZ173-DD173)/3+CZ173</f>
        <v>1.724571250455079</v>
      </c>
      <c r="DB173" s="1675">
        <f>-(CZ173-DD173)/3+DA173</f>
        <v>1.3622856252275395</v>
      </c>
      <c r="DC173" s="1675">
        <v>1</v>
      </c>
      <c r="DD173" s="1674">
        <v>1</v>
      </c>
    </row>
    <row r="174" spans="1:111" s="1178" customFormat="1" ht="11.25">
      <c r="A174" s="1191"/>
      <c r="B174" s="1191"/>
      <c r="C174" s="1191"/>
      <c r="D174" s="1191" t="s">
        <v>102</v>
      </c>
      <c r="E174" s="1191"/>
      <c r="F174" s="1191"/>
      <c r="G174" s="1191"/>
      <c r="H174" s="1191"/>
      <c r="I174" s="1191"/>
      <c r="J174" s="1191"/>
      <c r="K174" s="1191"/>
      <c r="L174" s="1191"/>
      <c r="M174" s="1191"/>
      <c r="N174" s="1182"/>
      <c r="O174" s="1191"/>
      <c r="P174" s="1191"/>
      <c r="Q174" s="1191"/>
      <c r="R174" s="1191"/>
      <c r="S174" s="1182"/>
      <c r="T174" s="1191"/>
      <c r="U174" s="1191"/>
      <c r="V174" s="1191"/>
      <c r="W174" s="1191"/>
      <c r="X174" s="1182"/>
      <c r="Y174" s="1191"/>
      <c r="Z174" s="1191"/>
      <c r="AA174" s="1191"/>
      <c r="AB174" s="1191"/>
      <c r="AC174" s="1182"/>
      <c r="AD174" s="1191"/>
      <c r="AE174" s="1191"/>
      <c r="AF174" s="1191"/>
      <c r="AG174" s="1191"/>
      <c r="AH174" s="1182"/>
      <c r="AI174" s="1191"/>
      <c r="AJ174" s="1191"/>
      <c r="AK174" s="1191"/>
      <c r="AL174" s="1191"/>
      <c r="AM174" s="1182"/>
      <c r="AN174" s="1191"/>
      <c r="AO174" s="1191"/>
      <c r="AP174" s="1191"/>
      <c r="AQ174" s="1191"/>
      <c r="AR174" s="1182"/>
      <c r="AS174" s="1182"/>
      <c r="AT174" s="1182"/>
      <c r="AU174" s="1182"/>
      <c r="AV174" s="1182"/>
      <c r="AW174" s="1182"/>
      <c r="AX174" s="1182"/>
      <c r="AY174" s="1182"/>
      <c r="AZ174" s="1182"/>
      <c r="BA174" s="1182"/>
      <c r="BB174" s="1182"/>
      <c r="BC174" s="1182"/>
      <c r="BD174" s="1182"/>
      <c r="BE174" s="1182"/>
      <c r="BF174" s="1182"/>
      <c r="BG174" s="1182"/>
      <c r="BH174" s="1182"/>
      <c r="BI174" s="1182"/>
      <c r="BJ174" s="1182"/>
      <c r="BK174" s="1182"/>
      <c r="BL174" s="1182"/>
      <c r="BM174" s="1182"/>
      <c r="BN174" s="1182"/>
      <c r="BO174" s="1182"/>
      <c r="BP174" s="1182"/>
      <c r="BQ174" s="1223"/>
      <c r="BR174" s="1190"/>
      <c r="BS174" s="1190"/>
      <c r="BT174" s="1190"/>
      <c r="BU174" s="1190"/>
      <c r="BV174" s="1223"/>
      <c r="BW174" s="1190"/>
      <c r="BX174" s="1190"/>
      <c r="BY174" s="1190"/>
      <c r="BZ174" s="1190"/>
      <c r="CA174" s="1239"/>
      <c r="CB174" s="1662"/>
      <c r="CC174" s="1662"/>
      <c r="CD174" s="1662"/>
      <c r="CE174" s="1662"/>
      <c r="CF174" s="1658"/>
      <c r="CG174" s="1243"/>
      <c r="CH174" s="1243"/>
      <c r="CI174" s="1243"/>
      <c r="CJ174" s="1243"/>
      <c r="CK174" s="1675"/>
      <c r="CL174" s="1243"/>
      <c r="CM174" s="1243"/>
      <c r="CN174" s="1243"/>
      <c r="CO174" s="1243"/>
      <c r="CP174" s="1675">
        <v>1.75</v>
      </c>
      <c r="CQ174" s="1243"/>
      <c r="CR174" s="1243"/>
      <c r="CS174" s="1243"/>
      <c r="CT174" s="1243"/>
      <c r="CU174" s="1675">
        <f>CP174</f>
        <v>1.75</v>
      </c>
      <c r="CV174" s="2113"/>
      <c r="CW174" s="2113"/>
      <c r="CX174" s="2113"/>
      <c r="CY174" s="2113"/>
      <c r="CZ174" s="1675">
        <f>CU174*(0.88^((CZ167+CZ170+CZ169+CZ168)/(CU167+CU170+CU169+CU168)/2))</f>
        <v>1.4801004998646856</v>
      </c>
      <c r="DA174" s="1675">
        <v>0.5</v>
      </c>
      <c r="DB174" s="1675">
        <v>0.5</v>
      </c>
      <c r="DC174" s="1675">
        <v>0.5</v>
      </c>
      <c r="DD174" s="1674">
        <v>0.5</v>
      </c>
    </row>
    <row r="175" spans="1:111" s="1178" customFormat="1" ht="11.25">
      <c r="A175" s="1191"/>
      <c r="B175" s="1191"/>
      <c r="C175" s="1191"/>
      <c r="D175" s="1191"/>
      <c r="E175" s="1191"/>
      <c r="F175" s="1191"/>
      <c r="G175" s="1191"/>
      <c r="H175" s="1191"/>
      <c r="I175" s="1191"/>
      <c r="J175" s="1191"/>
      <c r="K175" s="1191"/>
      <c r="L175" s="1191"/>
      <c r="M175" s="1191"/>
      <c r="N175" s="1182"/>
      <c r="O175" s="1191"/>
      <c r="P175" s="1191"/>
      <c r="Q175" s="1191"/>
      <c r="R175" s="1191"/>
      <c r="S175" s="1182"/>
      <c r="T175" s="1191"/>
      <c r="U175" s="1191"/>
      <c r="V175" s="1191"/>
      <c r="W175" s="1191"/>
      <c r="X175" s="1182"/>
      <c r="Y175" s="1191"/>
      <c r="Z175" s="1191"/>
      <c r="AA175" s="1191"/>
      <c r="AB175" s="1191"/>
      <c r="AC175" s="1182"/>
      <c r="AD175" s="1191"/>
      <c r="AE175" s="1191"/>
      <c r="AF175" s="1191"/>
      <c r="AG175" s="1191"/>
      <c r="AH175" s="1182"/>
      <c r="AI175" s="1191"/>
      <c r="AJ175" s="1191"/>
      <c r="AK175" s="1191"/>
      <c r="AL175" s="1191"/>
      <c r="AM175" s="1182"/>
      <c r="AN175" s="1191"/>
      <c r="AO175" s="1191"/>
      <c r="AP175" s="1191"/>
      <c r="AQ175" s="1191"/>
      <c r="AR175" s="1182"/>
      <c r="AS175" s="1182"/>
      <c r="AT175" s="1182"/>
      <c r="AU175" s="1182"/>
      <c r="AV175" s="1182"/>
      <c r="AW175" s="1182"/>
      <c r="AX175" s="1182"/>
      <c r="AY175" s="1182"/>
      <c r="AZ175" s="1182"/>
      <c r="BA175" s="1182"/>
      <c r="BB175" s="1182"/>
      <c r="BC175" s="1182"/>
      <c r="BD175" s="1182"/>
      <c r="BE175" s="1182"/>
      <c r="BF175" s="1182"/>
      <c r="BG175" s="1182"/>
      <c r="BH175" s="1182"/>
      <c r="BI175" s="1182"/>
      <c r="BJ175" s="1182"/>
      <c r="BK175" s="1182"/>
      <c r="BL175" s="1182"/>
      <c r="BM175" s="1182"/>
      <c r="BN175" s="1182"/>
      <c r="BO175" s="1182"/>
      <c r="BP175" s="1182"/>
      <c r="BQ175" s="1223"/>
      <c r="BR175" s="1190"/>
      <c r="BS175" s="1190"/>
      <c r="BT175" s="1190"/>
      <c r="BU175" s="1190"/>
      <c r="BV175" s="1223"/>
      <c r="BW175" s="1190"/>
      <c r="BX175" s="1190"/>
      <c r="BY175" s="1190"/>
      <c r="BZ175" s="1190"/>
      <c r="CA175" s="1239"/>
      <c r="CB175" s="1243"/>
      <c r="CC175" s="1243"/>
      <c r="CD175" s="1243"/>
      <c r="CE175" s="1243"/>
      <c r="CF175" s="1239"/>
      <c r="CG175" s="1243"/>
      <c r="CH175" s="1243"/>
      <c r="CI175" s="1243"/>
      <c r="CJ175" s="1243"/>
      <c r="CK175" s="1239"/>
      <c r="CL175" s="1243"/>
      <c r="CM175" s="1243"/>
      <c r="CN175" s="1243"/>
      <c r="CO175" s="1243"/>
      <c r="CP175" s="1239"/>
      <c r="CQ175" s="1243"/>
      <c r="CR175" s="1243"/>
      <c r="CS175" s="1243"/>
      <c r="CT175" s="1243"/>
      <c r="CU175" s="1239"/>
      <c r="CV175" s="2113"/>
      <c r="CW175" s="2113"/>
      <c r="CX175" s="2113"/>
      <c r="CY175" s="2113"/>
      <c r="CZ175" s="1239"/>
      <c r="DA175" s="1239"/>
      <c r="DB175" s="1239"/>
      <c r="DC175" s="1239"/>
    </row>
    <row r="176" spans="1:111" s="1178" customFormat="1" ht="14.25">
      <c r="A176" s="1191"/>
      <c r="B176" s="1191"/>
      <c r="C176" s="1182" t="s">
        <v>1161</v>
      </c>
      <c r="D176" s="1191"/>
      <c r="E176" s="1191"/>
      <c r="F176" s="1191"/>
      <c r="G176" s="1191"/>
      <c r="H176" s="1191"/>
      <c r="I176" s="1191"/>
      <c r="J176" s="1191"/>
      <c r="K176" s="1191"/>
      <c r="L176" s="1191"/>
      <c r="M176" s="1191"/>
      <c r="N176" s="1182"/>
      <c r="O176" s="1191"/>
      <c r="P176" s="1191"/>
      <c r="Q176" s="1191"/>
      <c r="R176" s="1191"/>
      <c r="S176" s="1182"/>
      <c r="T176" s="1191"/>
      <c r="U176" s="1191"/>
      <c r="V176" s="1191"/>
      <c r="W176" s="1191"/>
      <c r="X176" s="1182"/>
      <c r="Y176" s="1191"/>
      <c r="Z176" s="1191"/>
      <c r="AA176" s="1191"/>
      <c r="AB176" s="1191"/>
      <c r="AC176" s="1182"/>
      <c r="AD176" s="1191"/>
      <c r="AE176" s="1191"/>
      <c r="AF176" s="1191"/>
      <c r="AG176" s="1191"/>
      <c r="AH176" s="1182"/>
      <c r="AI176" s="1191"/>
      <c r="AJ176" s="1191"/>
      <c r="AK176" s="1191"/>
      <c r="AL176" s="1191"/>
      <c r="AM176" s="1182"/>
      <c r="AN176" s="1191"/>
      <c r="AO176" s="1191"/>
      <c r="AP176" s="1191"/>
      <c r="AQ176" s="1191"/>
      <c r="AR176" s="1182"/>
      <c r="AS176" s="1182"/>
      <c r="AT176" s="1182"/>
      <c r="AU176" s="1182"/>
      <c r="AV176" s="1182"/>
      <c r="AW176" s="1182"/>
      <c r="AX176" s="1182"/>
      <c r="AY176" s="1182"/>
      <c r="AZ176" s="1182"/>
      <c r="BA176" s="1182"/>
      <c r="BB176" s="1182"/>
      <c r="BC176" s="1182"/>
      <c r="BD176" s="1182"/>
      <c r="BE176" s="1182"/>
      <c r="BF176" s="1182"/>
      <c r="BG176" s="1182"/>
      <c r="BH176" s="1182"/>
      <c r="BI176" s="1182"/>
      <c r="BJ176" s="1182"/>
      <c r="BK176" s="1182"/>
      <c r="BL176" s="1182"/>
      <c r="BM176" s="1182"/>
      <c r="BN176" s="1182"/>
      <c r="BO176" s="1182"/>
      <c r="BP176" s="1182"/>
      <c r="BQ176" s="1223"/>
      <c r="BR176" s="1190"/>
      <c r="BS176" s="1190"/>
      <c r="BT176" s="1190"/>
      <c r="BU176" s="1190"/>
      <c r="BV176" s="1223"/>
      <c r="BW176" s="1190"/>
      <c r="BX176" s="1190"/>
      <c r="BY176" s="1190"/>
      <c r="BZ176" s="1190"/>
      <c r="CA176" s="1239"/>
      <c r="CB176" s="1243"/>
      <c r="CC176" s="1243"/>
      <c r="CD176" s="1243"/>
      <c r="CE176" s="1243"/>
      <c r="CF176" s="1239"/>
      <c r="CG176" s="1243"/>
      <c r="CH176" s="1243"/>
      <c r="CI176" s="1243"/>
      <c r="CJ176" s="1243"/>
      <c r="CK176" s="1673">
        <f>SUM(CK177:CK181)</f>
        <v>53.690000000000005</v>
      </c>
      <c r="CL176" s="1977">
        <f>CL165/$CP$165*$CP$176</f>
        <v>21.923127086200953</v>
      </c>
      <c r="CM176" s="1977">
        <f t="shared" ref="CM176:CO176" si="79">CM165/$CP$165*$CP$176</f>
        <v>34.450628278315776</v>
      </c>
      <c r="CN176" s="1977">
        <f t="shared" si="79"/>
        <v>62.637505960574146</v>
      </c>
      <c r="CO176" s="1977">
        <f t="shared" si="79"/>
        <v>97.088134238889921</v>
      </c>
      <c r="CP176" s="1673">
        <f>SUM(CP177:CP181)</f>
        <v>216.09939556398081</v>
      </c>
      <c r="CQ176" s="1977">
        <f>CQ165/$CU$165*$CU$176</f>
        <v>95.973353798397127</v>
      </c>
      <c r="CR176" s="1977">
        <f t="shared" ref="CR176:CT176" si="80">CR165/$CU$165*$CU$176</f>
        <v>87.747066329963076</v>
      </c>
      <c r="CS176" s="1977">
        <f t="shared" si="80"/>
        <v>164.52574936868078</v>
      </c>
      <c r="CT176" s="1977">
        <f t="shared" si="80"/>
        <v>165.89679728008645</v>
      </c>
      <c r="CU176" s="1673">
        <f>SUM(CU177:CU181)</f>
        <v>514.14296677712741</v>
      </c>
      <c r="CV176" s="2113"/>
      <c r="CW176" s="2113"/>
      <c r="CX176" s="2113"/>
      <c r="CY176" s="2127"/>
      <c r="CZ176" s="1673">
        <f>SUM(CZ177:CZ181)</f>
        <v>842.00847502127783</v>
      </c>
      <c r="DA176" s="1673">
        <f>SUM(DA177:DA181)</f>
        <v>683.2132996791172</v>
      </c>
      <c r="DB176" s="1673">
        <f>SUM(DB177:DB181)</f>
        <v>701.97393952112179</v>
      </c>
      <c r="DC176" s="1673">
        <f>SUM(DC177:DC181)</f>
        <v>665.04000000000008</v>
      </c>
      <c r="DD176" s="1672">
        <f>SUM(DD177:DD181)</f>
        <v>367.05</v>
      </c>
      <c r="DF176" s="1373" t="s">
        <v>1169</v>
      </c>
      <c r="DG176" s="1671"/>
    </row>
    <row r="177" spans="1:113" s="1178" customFormat="1">
      <c r="A177" s="1191"/>
      <c r="B177" s="1191"/>
      <c r="C177" s="1191"/>
      <c r="D177" s="1191" t="s">
        <v>1168</v>
      </c>
      <c r="E177" s="1191"/>
      <c r="F177" s="1191"/>
      <c r="G177" s="1191"/>
      <c r="H177" s="1191"/>
      <c r="I177" s="1191"/>
      <c r="J177" s="1191"/>
      <c r="K177" s="1191"/>
      <c r="L177" s="1191"/>
      <c r="M177" s="1191"/>
      <c r="N177" s="1182"/>
      <c r="O177" s="1191"/>
      <c r="P177" s="1191"/>
      <c r="Q177" s="1191"/>
      <c r="R177" s="1191"/>
      <c r="S177" s="1182"/>
      <c r="T177" s="1191"/>
      <c r="U177" s="1191"/>
      <c r="V177" s="1191"/>
      <c r="W177" s="1191"/>
      <c r="X177" s="1182"/>
      <c r="Y177" s="1191"/>
      <c r="Z177" s="1191"/>
      <c r="AA177" s="1191"/>
      <c r="AB177" s="1191"/>
      <c r="AC177" s="1182"/>
      <c r="AD177" s="1191"/>
      <c r="AE177" s="1191"/>
      <c r="AF177" s="1191"/>
      <c r="AG177" s="1191"/>
      <c r="AH177" s="1182"/>
      <c r="AI177" s="1191"/>
      <c r="AJ177" s="1191"/>
      <c r="AK177" s="1191"/>
      <c r="AL177" s="1191"/>
      <c r="AM177" s="1182"/>
      <c r="AN177" s="1191"/>
      <c r="AO177" s="1191"/>
      <c r="AP177" s="1191"/>
      <c r="AQ177" s="1191"/>
      <c r="AR177" s="1182"/>
      <c r="AS177" s="1182"/>
      <c r="AT177" s="1182"/>
      <c r="AU177" s="1182"/>
      <c r="AV177" s="1182"/>
      <c r="AW177" s="1182"/>
      <c r="AX177" s="1182"/>
      <c r="AY177" s="1182"/>
      <c r="AZ177" s="1182"/>
      <c r="BA177" s="1182"/>
      <c r="BB177" s="1182"/>
      <c r="BC177" s="1182"/>
      <c r="BD177" s="1182"/>
      <c r="BE177" s="1182"/>
      <c r="BF177" s="1182"/>
      <c r="BG177" s="1182"/>
      <c r="BH177" s="1182"/>
      <c r="BI177" s="1182"/>
      <c r="BJ177" s="1182"/>
      <c r="BK177" s="1182"/>
      <c r="BL177" s="1182"/>
      <c r="BM177" s="1182"/>
      <c r="BN177" s="1182"/>
      <c r="BO177" s="1182"/>
      <c r="BP177" s="1182"/>
      <c r="BQ177" s="1223"/>
      <c r="BR177" s="1190"/>
      <c r="BS177" s="1190"/>
      <c r="BT177" s="1190"/>
      <c r="BU177" s="1190"/>
      <c r="BV177" s="1223"/>
      <c r="BW177" s="1190"/>
      <c r="BX177" s="1190"/>
      <c r="BY177" s="1190"/>
      <c r="BZ177" s="1190"/>
      <c r="CA177" s="1239"/>
      <c r="CB177" s="1243"/>
      <c r="CC177" s="1243"/>
      <c r="CD177" s="1243"/>
      <c r="CE177" s="1243"/>
      <c r="CF177" s="1239"/>
      <c r="CG177" s="1243"/>
      <c r="CH177" s="1243"/>
      <c r="CI177" s="1243"/>
      <c r="CJ177" s="1243"/>
      <c r="CK177" s="1670">
        <f>CK166*CK173*DG177</f>
        <v>53.690000000000005</v>
      </c>
      <c r="CL177" s="1243"/>
      <c r="CM177" s="1243"/>
      <c r="CN177" s="1243"/>
      <c r="CO177" s="1243"/>
      <c r="CP177" s="1670">
        <f>CP173*CP166*$DG$177</f>
        <v>187.0493955639808</v>
      </c>
      <c r="CQ177" s="2127">
        <f>CQ176-CL176</f>
        <v>74.050226712196178</v>
      </c>
      <c r="CR177" s="2127">
        <f t="shared" ref="CR177:CT177" si="81">CR176-CM176</f>
        <v>53.2964380516473</v>
      </c>
      <c r="CS177" s="2127">
        <f t="shared" si="81"/>
        <v>101.88824340810663</v>
      </c>
      <c r="CT177" s="2127">
        <f t="shared" si="81"/>
        <v>68.808663041196525</v>
      </c>
      <c r="CU177" s="1670">
        <f>CU173*CU166*$DG$177</f>
        <v>429.68796677712743</v>
      </c>
      <c r="CV177" s="2113"/>
      <c r="CW177" s="2113"/>
      <c r="CX177" s="2113"/>
      <c r="CY177" s="2113"/>
      <c r="CZ177" s="1670">
        <f>CZ173*CZ166*$DG$177</f>
        <v>643.94142612938572</v>
      </c>
      <c r="DA177" s="1670">
        <f>DA173*DA166*$DG$177</f>
        <v>584.04329967911713</v>
      </c>
      <c r="DB177" s="1670">
        <f>DB173*DB166*$DG$177</f>
        <v>575.48393952112178</v>
      </c>
      <c r="DC177" s="1670">
        <f>DC173*DC166*$DG$177</f>
        <v>538.08000000000004</v>
      </c>
      <c r="DD177" s="1669">
        <f>DD173*DD166*$DG$177</f>
        <v>250.16000000000003</v>
      </c>
      <c r="DF177" s="1191" t="s">
        <v>1168</v>
      </c>
      <c r="DG177" s="1668">
        <v>0.59000000000000008</v>
      </c>
    </row>
    <row r="178" spans="1:113" s="1178" customFormat="1">
      <c r="A178" s="1191"/>
      <c r="B178" s="1191"/>
      <c r="C178" s="1191"/>
      <c r="D178" s="1191" t="s">
        <v>1167</v>
      </c>
      <c r="E178" s="1191"/>
      <c r="F178" s="1191"/>
      <c r="G178" s="1191"/>
      <c r="H178" s="1191"/>
      <c r="I178" s="1191"/>
      <c r="J178" s="1191"/>
      <c r="K178" s="1191"/>
      <c r="L178" s="1191"/>
      <c r="M178" s="1191"/>
      <c r="N178" s="1182"/>
      <c r="O178" s="1191"/>
      <c r="P178" s="1191"/>
      <c r="Q178" s="1191"/>
      <c r="R178" s="1191"/>
      <c r="S178" s="1182"/>
      <c r="T178" s="1191"/>
      <c r="U178" s="1191"/>
      <c r="V178" s="1191"/>
      <c r="W178" s="1191"/>
      <c r="X178" s="1182"/>
      <c r="Y178" s="1191"/>
      <c r="Z178" s="1191"/>
      <c r="AA178" s="1191"/>
      <c r="AB178" s="1191"/>
      <c r="AC178" s="1182"/>
      <c r="AD178" s="1191"/>
      <c r="AE178" s="1191"/>
      <c r="AF178" s="1191"/>
      <c r="AG178" s="1191"/>
      <c r="AH178" s="1182"/>
      <c r="AI178" s="1191"/>
      <c r="AJ178" s="1191"/>
      <c r="AK178" s="1191"/>
      <c r="AL178" s="1191"/>
      <c r="AM178" s="1182"/>
      <c r="AN178" s="1191"/>
      <c r="AO178" s="1191"/>
      <c r="AP178" s="1191"/>
      <c r="AQ178" s="1191"/>
      <c r="AR178" s="1182"/>
      <c r="AS178" s="1182"/>
      <c r="AT178" s="1182"/>
      <c r="AU178" s="1182"/>
      <c r="AV178" s="1182"/>
      <c r="AW178" s="1182"/>
      <c r="AX178" s="1182"/>
      <c r="AY178" s="1182"/>
      <c r="AZ178" s="1182"/>
      <c r="BA178" s="1182"/>
      <c r="BB178" s="1182"/>
      <c r="BC178" s="1182"/>
      <c r="BD178" s="1182"/>
      <c r="BE178" s="1182"/>
      <c r="BF178" s="1182"/>
      <c r="BG178" s="1182"/>
      <c r="BH178" s="1182"/>
      <c r="BI178" s="1182"/>
      <c r="BJ178" s="1182"/>
      <c r="BK178" s="1182"/>
      <c r="BL178" s="1182"/>
      <c r="BM178" s="1182"/>
      <c r="BN178" s="1182"/>
      <c r="BO178" s="1182"/>
      <c r="BP178" s="1182"/>
      <c r="BQ178" s="1223"/>
      <c r="BR178" s="1190"/>
      <c r="BS178" s="1190"/>
      <c r="BT178" s="1190"/>
      <c r="BU178" s="1190"/>
      <c r="BV178" s="1223"/>
      <c r="BW178" s="1190"/>
      <c r="BX178" s="1190"/>
      <c r="BY178" s="1190"/>
      <c r="BZ178" s="1190"/>
      <c r="CA178" s="1239"/>
      <c r="CB178" s="1243"/>
      <c r="CC178" s="1243"/>
      <c r="CD178" s="1243"/>
      <c r="CE178" s="1243"/>
      <c r="CF178" s="1239"/>
      <c r="CG178" s="1243"/>
      <c r="CH178" s="1243"/>
      <c r="CI178" s="1243"/>
      <c r="CJ178" s="1243"/>
      <c r="CK178" s="1670">
        <v>0</v>
      </c>
      <c r="CL178" s="1243"/>
      <c r="CM178" s="1243"/>
      <c r="CN178" s="1243"/>
      <c r="CO178" s="1243"/>
      <c r="CP178" s="1670">
        <f>CP174*CP167*$DG$178</f>
        <v>29.049999999999997</v>
      </c>
      <c r="CQ178" s="1243"/>
      <c r="CR178" s="1243"/>
      <c r="CS178" s="1243"/>
      <c r="CT178" s="1243"/>
      <c r="CU178" s="1670">
        <f>CU174*CU167*$DG$178</f>
        <v>58.099999999999994</v>
      </c>
      <c r="CV178" s="2113"/>
      <c r="CW178" s="2113"/>
      <c r="CX178" s="2113"/>
      <c r="CY178" s="2113"/>
      <c r="CZ178" s="1670">
        <f>CZ174*CZ167*$DG$178</f>
        <v>73.709004893261337</v>
      </c>
      <c r="DA178" s="1670">
        <f>DA174*DA167*$DG$178</f>
        <v>37.35</v>
      </c>
      <c r="DB178" s="1670">
        <f>DB174*DB167*$DG$178</f>
        <v>37.35</v>
      </c>
      <c r="DC178" s="1670">
        <f>DC174*DC167*$DG$178</f>
        <v>37.35</v>
      </c>
      <c r="DD178" s="1669">
        <f>DD174*DD167*$DG$178</f>
        <v>12.45</v>
      </c>
      <c r="DF178" s="1191" t="s">
        <v>1167</v>
      </c>
      <c r="DG178" s="1668">
        <v>0.83</v>
      </c>
    </row>
    <row r="179" spans="1:113" s="1178" customFormat="1">
      <c r="A179" s="1191"/>
      <c r="B179" s="1191"/>
      <c r="C179" s="1191"/>
      <c r="D179" s="1191" t="s">
        <v>1166</v>
      </c>
      <c r="E179" s="1191"/>
      <c r="F179" s="1191"/>
      <c r="G179" s="1191"/>
      <c r="H179" s="1191"/>
      <c r="I179" s="1191"/>
      <c r="J179" s="1191"/>
      <c r="K179" s="1191"/>
      <c r="L179" s="1191"/>
      <c r="M179" s="1191"/>
      <c r="N179" s="1182"/>
      <c r="O179" s="1191"/>
      <c r="P179" s="1191"/>
      <c r="Q179" s="1191"/>
      <c r="R179" s="1191"/>
      <c r="S179" s="1182"/>
      <c r="T179" s="1191"/>
      <c r="U179" s="1191"/>
      <c r="V179" s="1191"/>
      <c r="W179" s="1191"/>
      <c r="X179" s="1182"/>
      <c r="Y179" s="1191"/>
      <c r="Z179" s="1191"/>
      <c r="AA179" s="1191"/>
      <c r="AB179" s="1191"/>
      <c r="AC179" s="1182"/>
      <c r="AD179" s="1191"/>
      <c r="AE179" s="1191"/>
      <c r="AF179" s="1191"/>
      <c r="AG179" s="1191"/>
      <c r="AH179" s="1182"/>
      <c r="AI179" s="1191"/>
      <c r="AJ179" s="1191"/>
      <c r="AK179" s="1191"/>
      <c r="AL179" s="1191"/>
      <c r="AM179" s="1182"/>
      <c r="AN179" s="1191"/>
      <c r="AO179" s="1191"/>
      <c r="AP179" s="1191"/>
      <c r="AQ179" s="1191"/>
      <c r="AR179" s="1182"/>
      <c r="AS179" s="1182"/>
      <c r="AT179" s="1182"/>
      <c r="AU179" s="1182"/>
      <c r="AV179" s="1182"/>
      <c r="AW179" s="1182"/>
      <c r="AX179" s="1182"/>
      <c r="AY179" s="1182"/>
      <c r="AZ179" s="1182"/>
      <c r="BA179" s="1182"/>
      <c r="BB179" s="1182"/>
      <c r="BC179" s="1182"/>
      <c r="BD179" s="1182"/>
      <c r="BE179" s="1182"/>
      <c r="BF179" s="1182"/>
      <c r="BG179" s="1182"/>
      <c r="BH179" s="1182"/>
      <c r="BI179" s="1182"/>
      <c r="BJ179" s="1182"/>
      <c r="BK179" s="1182"/>
      <c r="BL179" s="1182"/>
      <c r="BM179" s="1182"/>
      <c r="BN179" s="1182"/>
      <c r="BO179" s="1182"/>
      <c r="BP179" s="1182"/>
      <c r="BQ179" s="1223"/>
      <c r="BR179" s="1190"/>
      <c r="BS179" s="1190"/>
      <c r="BT179" s="1190"/>
      <c r="BU179" s="1190"/>
      <c r="BV179" s="1223"/>
      <c r="BW179" s="1190"/>
      <c r="BX179" s="1190"/>
      <c r="BY179" s="1190"/>
      <c r="BZ179" s="1190"/>
      <c r="CA179" s="1239"/>
      <c r="CB179" s="1243"/>
      <c r="CC179" s="1243"/>
      <c r="CD179" s="1243"/>
      <c r="CE179" s="1243"/>
      <c r="CF179" s="1239"/>
      <c r="CG179" s="1243"/>
      <c r="CH179" s="1243"/>
      <c r="CI179" s="1243"/>
      <c r="CJ179" s="1243"/>
      <c r="CK179" s="1670">
        <v>0</v>
      </c>
      <c r="CL179" s="1243"/>
      <c r="CM179" s="1243"/>
      <c r="CN179" s="1243"/>
      <c r="CO179" s="1243"/>
      <c r="CP179" s="1670">
        <v>0</v>
      </c>
      <c r="CQ179" s="1243"/>
      <c r="CR179" s="1243"/>
      <c r="CS179" s="1243"/>
      <c r="CT179" s="1243"/>
      <c r="CU179" s="1670">
        <f>CU174*CU168*$DG$179</f>
        <v>0</v>
      </c>
      <c r="CV179" s="2113"/>
      <c r="CW179" s="2113"/>
      <c r="CX179" s="2113"/>
      <c r="CY179" s="2113"/>
      <c r="CZ179" s="1670">
        <f>CZ174*CZ168*$DG$179</f>
        <v>68.08462299377554</v>
      </c>
      <c r="DA179" s="1670">
        <f>DA174*DA168*$DG$179</f>
        <v>32</v>
      </c>
      <c r="DB179" s="1670">
        <f>DB174*DB168*$DG$179</f>
        <v>50</v>
      </c>
      <c r="DC179" s="1670">
        <f>DC174*DC168*$DG$179</f>
        <v>41</v>
      </c>
      <c r="DD179" s="1669">
        <f>DD174*DD168*$DG$179</f>
        <v>50</v>
      </c>
      <c r="DF179" s="1191" t="s">
        <v>1166</v>
      </c>
      <c r="DG179" s="1668">
        <v>1</v>
      </c>
    </row>
    <row r="180" spans="1:113" s="1178" customFormat="1">
      <c r="A180" s="1191"/>
      <c r="B180" s="1191"/>
      <c r="C180" s="1191"/>
      <c r="D180" s="1191" t="s">
        <v>1165</v>
      </c>
      <c r="E180" s="1191"/>
      <c r="F180" s="1191"/>
      <c r="G180" s="1191"/>
      <c r="H180" s="1191"/>
      <c r="I180" s="1191"/>
      <c r="J180" s="1191"/>
      <c r="K180" s="1191"/>
      <c r="L180" s="1191"/>
      <c r="M180" s="1191"/>
      <c r="N180" s="1182"/>
      <c r="O180" s="1191"/>
      <c r="P180" s="1191"/>
      <c r="Q180" s="1191"/>
      <c r="R180" s="1191"/>
      <c r="S180" s="1182"/>
      <c r="T180" s="1191"/>
      <c r="U180" s="1191"/>
      <c r="V180" s="1191"/>
      <c r="W180" s="1191"/>
      <c r="X180" s="1182"/>
      <c r="Y180" s="1191"/>
      <c r="Z180" s="1191"/>
      <c r="AA180" s="1191"/>
      <c r="AB180" s="1191"/>
      <c r="AC180" s="1182"/>
      <c r="AD180" s="1191"/>
      <c r="AE180" s="1191"/>
      <c r="AF180" s="1191"/>
      <c r="AG180" s="1191"/>
      <c r="AH180" s="1182"/>
      <c r="AI180" s="1191"/>
      <c r="AJ180" s="1191"/>
      <c r="AK180" s="1191"/>
      <c r="AL180" s="1191"/>
      <c r="AM180" s="1182"/>
      <c r="AN180" s="1191"/>
      <c r="AO180" s="1191"/>
      <c r="AP180" s="1191"/>
      <c r="AQ180" s="1191"/>
      <c r="AR180" s="1182"/>
      <c r="AS180" s="1182"/>
      <c r="AT180" s="1182"/>
      <c r="AU180" s="1182"/>
      <c r="AV180" s="1182"/>
      <c r="AW180" s="1182"/>
      <c r="AX180" s="1182"/>
      <c r="AY180" s="1182"/>
      <c r="AZ180" s="1182"/>
      <c r="BA180" s="1182"/>
      <c r="BB180" s="1182"/>
      <c r="BC180" s="1182"/>
      <c r="BD180" s="1182"/>
      <c r="BE180" s="1182"/>
      <c r="BF180" s="1182"/>
      <c r="BG180" s="1182"/>
      <c r="BH180" s="1182"/>
      <c r="BI180" s="1182"/>
      <c r="BJ180" s="1182"/>
      <c r="BK180" s="1182"/>
      <c r="BL180" s="1182"/>
      <c r="BM180" s="1182"/>
      <c r="BN180" s="1182"/>
      <c r="BO180" s="1182"/>
      <c r="BP180" s="1182"/>
      <c r="BQ180" s="1223"/>
      <c r="BR180" s="1190"/>
      <c r="BS180" s="1190"/>
      <c r="BT180" s="1190"/>
      <c r="BU180" s="1190"/>
      <c r="BV180" s="1223"/>
      <c r="BW180" s="1190"/>
      <c r="BX180" s="1190"/>
      <c r="BY180" s="1190"/>
      <c r="BZ180" s="1190"/>
      <c r="CA180" s="1239"/>
      <c r="CB180" s="1243"/>
      <c r="CC180" s="1243"/>
      <c r="CD180" s="1243"/>
      <c r="CE180" s="1243"/>
      <c r="CF180" s="1239"/>
      <c r="CG180" s="1243"/>
      <c r="CH180" s="1243"/>
      <c r="CI180" s="1243"/>
      <c r="CJ180" s="1243"/>
      <c r="CK180" s="1670">
        <v>0</v>
      </c>
      <c r="CL180" s="1243"/>
      <c r="CM180" s="1243"/>
      <c r="CN180" s="1243"/>
      <c r="CO180" s="1243"/>
      <c r="CP180" s="1670">
        <v>0</v>
      </c>
      <c r="CQ180" s="1243"/>
      <c r="CR180" s="1243"/>
      <c r="CS180" s="1243"/>
      <c r="CT180" s="1243"/>
      <c r="CU180" s="1670">
        <f>CU174*CU169*$DG$180</f>
        <v>11.48</v>
      </c>
      <c r="CV180" s="2113"/>
      <c r="CW180" s="2113"/>
      <c r="CX180" s="2113"/>
      <c r="CY180" s="2113"/>
      <c r="CZ180" s="1670">
        <f>CZ174*CZ169*$DG$180</f>
        <v>43.692566756005519</v>
      </c>
      <c r="DA180" s="1670">
        <f>DA174*DA169*$DG$180</f>
        <v>21.32</v>
      </c>
      <c r="DB180" s="1670">
        <f>DB174*DB169*$DG$180</f>
        <v>22.14</v>
      </c>
      <c r="DC180" s="1670">
        <f>DC174*DC169*$DG$180</f>
        <v>18.860000000000003</v>
      </c>
      <c r="DD180" s="1669">
        <f>DD174*DD169*$DG$180</f>
        <v>22.14</v>
      </c>
      <c r="DF180" s="1191" t="s">
        <v>1165</v>
      </c>
      <c r="DG180" s="1668">
        <v>0.82000000000000006</v>
      </c>
    </row>
    <row r="181" spans="1:113" s="1178" customFormat="1">
      <c r="A181" s="1191"/>
      <c r="B181" s="1191"/>
      <c r="C181" s="1191"/>
      <c r="D181" s="1191" t="s">
        <v>1164</v>
      </c>
      <c r="E181" s="1191"/>
      <c r="F181" s="1191"/>
      <c r="G181" s="1191"/>
      <c r="H181" s="1191"/>
      <c r="I181" s="1191"/>
      <c r="J181" s="1191"/>
      <c r="K181" s="1191"/>
      <c r="L181" s="1191"/>
      <c r="M181" s="1191"/>
      <c r="N181" s="1182"/>
      <c r="O181" s="1191"/>
      <c r="P181" s="1191"/>
      <c r="Q181" s="1191"/>
      <c r="R181" s="1191"/>
      <c r="S181" s="1182"/>
      <c r="T181" s="1191"/>
      <c r="U181" s="1191"/>
      <c r="V181" s="1191"/>
      <c r="W181" s="1191"/>
      <c r="X181" s="1182"/>
      <c r="Y181" s="1191"/>
      <c r="Z181" s="1191"/>
      <c r="AA181" s="1191"/>
      <c r="AB181" s="1191"/>
      <c r="AC181" s="1182"/>
      <c r="AD181" s="1191"/>
      <c r="AE181" s="1191"/>
      <c r="AF181" s="1191"/>
      <c r="AG181" s="1191"/>
      <c r="AH181" s="1182"/>
      <c r="AI181" s="1191"/>
      <c r="AJ181" s="1191"/>
      <c r="AK181" s="1191"/>
      <c r="AL181" s="1191"/>
      <c r="AM181" s="1182"/>
      <c r="AN181" s="1191"/>
      <c r="AO181" s="1191"/>
      <c r="AP181" s="1191"/>
      <c r="AQ181" s="1191"/>
      <c r="AR181" s="1182"/>
      <c r="AS181" s="1182"/>
      <c r="AT181" s="1182"/>
      <c r="AU181" s="1182"/>
      <c r="AV181" s="1182"/>
      <c r="AW181" s="1182"/>
      <c r="AX181" s="1182"/>
      <c r="AY181" s="1182"/>
      <c r="AZ181" s="1182"/>
      <c r="BA181" s="1182"/>
      <c r="BB181" s="1182"/>
      <c r="BC181" s="1182"/>
      <c r="BD181" s="1182"/>
      <c r="BE181" s="1182"/>
      <c r="BF181" s="1182"/>
      <c r="BG181" s="1182"/>
      <c r="BH181" s="1182"/>
      <c r="BI181" s="1182"/>
      <c r="BJ181" s="1182"/>
      <c r="BK181" s="1182"/>
      <c r="BL181" s="1182"/>
      <c r="BM181" s="1182"/>
      <c r="BN181" s="1182"/>
      <c r="BO181" s="1182"/>
      <c r="BP181" s="1182"/>
      <c r="BQ181" s="1223"/>
      <c r="BR181" s="1190"/>
      <c r="BS181" s="1190"/>
      <c r="BT181" s="1190"/>
      <c r="BU181" s="1190"/>
      <c r="BV181" s="1223"/>
      <c r="BW181" s="1190"/>
      <c r="BX181" s="1190"/>
      <c r="BY181" s="1190"/>
      <c r="BZ181" s="1190"/>
      <c r="CA181" s="1239"/>
      <c r="CB181" s="1243"/>
      <c r="CC181" s="1243"/>
      <c r="CD181" s="1243"/>
      <c r="CE181" s="1243"/>
      <c r="CF181" s="1239"/>
      <c r="CG181" s="1243"/>
      <c r="CH181" s="1243"/>
      <c r="CI181" s="1243"/>
      <c r="CJ181" s="1243"/>
      <c r="CK181" s="1670">
        <v>0</v>
      </c>
      <c r="CL181" s="1243"/>
      <c r="CM181" s="1243"/>
      <c r="CN181" s="1243"/>
      <c r="CO181" s="1243"/>
      <c r="CP181" s="1670">
        <v>0</v>
      </c>
      <c r="CQ181" s="1243"/>
      <c r="CR181" s="1243"/>
      <c r="CS181" s="1243"/>
      <c r="CT181" s="1243"/>
      <c r="CU181" s="1670">
        <f>CU174*CU170*$DG$181</f>
        <v>14.875</v>
      </c>
      <c r="CV181" s="2113"/>
      <c r="CW181" s="2113"/>
      <c r="CX181" s="2113"/>
      <c r="CY181" s="2113"/>
      <c r="CZ181" s="1670">
        <f>CZ174*CZ170*$DG$181</f>
        <v>12.580854248849828</v>
      </c>
      <c r="DA181" s="1670">
        <f>DA174*DA170*$DG$181</f>
        <v>8.5</v>
      </c>
      <c r="DB181" s="1670">
        <f>DB174*DB170*$DG$181</f>
        <v>17</v>
      </c>
      <c r="DC181" s="1670">
        <f>DC174*DC170*$DG$181</f>
        <v>29.75</v>
      </c>
      <c r="DD181" s="1669">
        <f>DD174*DD170*$DG$181</f>
        <v>32.299999999999997</v>
      </c>
      <c r="DF181" s="1191" t="s">
        <v>1164</v>
      </c>
      <c r="DG181" s="1668">
        <v>0.85</v>
      </c>
    </row>
    <row r="182" spans="1:113" s="1178" customFormat="1" ht="11.25">
      <c r="A182" s="1191"/>
      <c r="B182" s="1191"/>
      <c r="C182" s="1191"/>
      <c r="D182" s="1191"/>
      <c r="E182" s="1191"/>
      <c r="F182" s="1191"/>
      <c r="G182" s="1191"/>
      <c r="H182" s="1191"/>
      <c r="I182" s="1191"/>
      <c r="J182" s="1191"/>
      <c r="K182" s="1191"/>
      <c r="L182" s="1191"/>
      <c r="M182" s="1191"/>
      <c r="N182" s="1182"/>
      <c r="O182" s="1191"/>
      <c r="P182" s="1191"/>
      <c r="Q182" s="1191"/>
      <c r="R182" s="1191"/>
      <c r="S182" s="1182"/>
      <c r="T182" s="1191"/>
      <c r="U182" s="1191"/>
      <c r="V182" s="1191"/>
      <c r="W182" s="1191"/>
      <c r="X182" s="1182"/>
      <c r="Y182" s="1191"/>
      <c r="Z182" s="1191"/>
      <c r="AA182" s="1191"/>
      <c r="AB182" s="1191"/>
      <c r="AC182" s="1182"/>
      <c r="AD182" s="1191"/>
      <c r="AE182" s="1191"/>
      <c r="AF182" s="1191"/>
      <c r="AG182" s="1191"/>
      <c r="AH182" s="1182"/>
      <c r="AI182" s="1191"/>
      <c r="AJ182" s="1191"/>
      <c r="AK182" s="1191"/>
      <c r="AL182" s="1191"/>
      <c r="AM182" s="1182"/>
      <c r="AN182" s="1191"/>
      <c r="AO182" s="1191"/>
      <c r="AP182" s="1191"/>
      <c r="AQ182" s="1191"/>
      <c r="AR182" s="1182"/>
      <c r="AS182" s="1182"/>
      <c r="AT182" s="1182"/>
      <c r="AU182" s="1182"/>
      <c r="AV182" s="1182"/>
      <c r="AW182" s="1182"/>
      <c r="AX182" s="1182"/>
      <c r="AY182" s="1182"/>
      <c r="AZ182" s="1182"/>
      <c r="BA182" s="1182"/>
      <c r="BB182" s="1182"/>
      <c r="BC182" s="1182"/>
      <c r="BD182" s="1182"/>
      <c r="BE182" s="1182"/>
      <c r="BF182" s="1182"/>
      <c r="BG182" s="1182"/>
      <c r="BH182" s="1182"/>
      <c r="BI182" s="1182"/>
      <c r="BJ182" s="1182"/>
      <c r="BK182" s="1182"/>
      <c r="BL182" s="1182"/>
      <c r="BM182" s="1182"/>
      <c r="BN182" s="1182"/>
      <c r="BO182" s="1182"/>
      <c r="BP182" s="1182"/>
      <c r="BQ182" s="1223"/>
      <c r="BR182" s="1190"/>
      <c r="BS182" s="1190"/>
      <c r="BT182" s="1190"/>
      <c r="BU182" s="1190"/>
      <c r="BV182" s="1223"/>
      <c r="BW182" s="1190"/>
      <c r="BX182" s="1190"/>
      <c r="BY182" s="1190"/>
      <c r="BZ182" s="1190"/>
      <c r="CA182" s="1239"/>
      <c r="CB182" s="1243"/>
      <c r="CC182" s="1243"/>
      <c r="CD182" s="1243"/>
      <c r="CE182" s="1243"/>
      <c r="CF182" s="1239"/>
      <c r="CG182" s="1243"/>
      <c r="CH182" s="1243"/>
      <c r="CI182" s="1243"/>
      <c r="CJ182" s="1243"/>
      <c r="CK182" s="1239"/>
      <c r="CL182" s="1243"/>
      <c r="CM182" s="1243"/>
      <c r="CN182" s="1243"/>
      <c r="CO182" s="1243"/>
      <c r="CP182" s="1239"/>
      <c r="CQ182" s="1243"/>
      <c r="CR182" s="1243"/>
      <c r="CS182" s="1243"/>
      <c r="CT182" s="1243"/>
      <c r="CU182" s="1239"/>
      <c r="CV182" s="2113"/>
      <c r="CW182" s="2113"/>
      <c r="CX182" s="2113"/>
      <c r="CY182" s="2113"/>
      <c r="CZ182" s="1239"/>
      <c r="DA182" s="1239"/>
      <c r="DB182" s="1239"/>
      <c r="DC182" s="1239"/>
    </row>
    <row r="183" spans="1:113" s="1178" customFormat="1" ht="11.25">
      <c r="A183" s="1661"/>
      <c r="B183" s="1661"/>
      <c r="C183" s="1665" t="s">
        <v>1163</v>
      </c>
      <c r="D183" s="1661"/>
      <c r="E183" s="1661"/>
      <c r="F183" s="1661"/>
      <c r="G183" s="1661"/>
      <c r="H183" s="1661"/>
      <c r="I183" s="1661"/>
      <c r="J183" s="1661"/>
      <c r="K183" s="1661"/>
      <c r="L183" s="1661"/>
      <c r="M183" s="1661"/>
      <c r="N183" s="1660"/>
      <c r="O183" s="1661"/>
      <c r="P183" s="1661"/>
      <c r="Q183" s="1661"/>
      <c r="R183" s="1661"/>
      <c r="S183" s="1660"/>
      <c r="T183" s="1661"/>
      <c r="U183" s="1661"/>
      <c r="V183" s="1661"/>
      <c r="W183" s="1661"/>
      <c r="X183" s="1660"/>
      <c r="Y183" s="1661"/>
      <c r="Z183" s="1661"/>
      <c r="AA183" s="1661"/>
      <c r="AB183" s="1661"/>
      <c r="AC183" s="1660"/>
      <c r="AD183" s="1661"/>
      <c r="AE183" s="1661"/>
      <c r="AF183" s="1661"/>
      <c r="AG183" s="1661"/>
      <c r="AH183" s="1660"/>
      <c r="AI183" s="1661"/>
      <c r="AJ183" s="1661"/>
      <c r="AK183" s="1661"/>
      <c r="AL183" s="1661"/>
      <c r="AM183" s="1660"/>
      <c r="AN183" s="1661"/>
      <c r="AO183" s="1661"/>
      <c r="AP183" s="1661"/>
      <c r="AQ183" s="1661"/>
      <c r="AR183" s="1660"/>
      <c r="AS183" s="1660"/>
      <c r="AT183" s="1660"/>
      <c r="AU183" s="1660"/>
      <c r="AV183" s="1660"/>
      <c r="AW183" s="1660"/>
      <c r="AX183" s="1660"/>
      <c r="AY183" s="1660"/>
      <c r="AZ183" s="1660"/>
      <c r="BA183" s="1660"/>
      <c r="BB183" s="1660"/>
      <c r="BC183" s="1660"/>
      <c r="BD183" s="1660"/>
      <c r="BE183" s="1660"/>
      <c r="BF183" s="1660"/>
      <c r="BG183" s="1660"/>
      <c r="BH183" s="1660"/>
      <c r="BI183" s="1660"/>
      <c r="BJ183" s="1660"/>
      <c r="BK183" s="1660"/>
      <c r="BL183" s="1659"/>
      <c r="BM183" s="1660"/>
      <c r="BN183" s="1660"/>
      <c r="BO183" s="1660"/>
      <c r="BP183" s="1660"/>
      <c r="BQ183" s="1659"/>
      <c r="BR183" s="1583"/>
      <c r="BS183" s="1583"/>
      <c r="BT183" s="1583"/>
      <c r="BU183" s="1583"/>
      <c r="BV183" s="1659"/>
      <c r="BW183" s="1583"/>
      <c r="BX183" s="1583"/>
      <c r="BY183" s="1583"/>
      <c r="BZ183" s="1583"/>
      <c r="CA183" s="1656"/>
      <c r="CB183" s="1578"/>
      <c r="CC183" s="1578"/>
      <c r="CD183" s="1578"/>
      <c r="CE183" s="1578"/>
      <c r="CF183" s="1656"/>
      <c r="CG183" s="1578"/>
      <c r="CH183" s="1578"/>
      <c r="CI183" s="1578"/>
      <c r="CJ183" s="1578"/>
      <c r="CK183" s="1667"/>
      <c r="CL183" s="1578"/>
      <c r="CM183" s="1578"/>
      <c r="CN183" s="1578"/>
      <c r="CO183" s="1578"/>
      <c r="CP183" s="1667"/>
      <c r="CQ183" s="1578"/>
      <c r="CR183" s="1578"/>
      <c r="CS183" s="1578"/>
      <c r="CT183" s="1578"/>
      <c r="CU183" s="1667"/>
      <c r="CV183" s="2123"/>
      <c r="CW183" s="2123"/>
      <c r="CX183" s="2123"/>
      <c r="CY183" s="2123"/>
      <c r="CZ183" s="1667"/>
      <c r="DA183" s="1667"/>
      <c r="DB183" s="1667"/>
      <c r="DC183" s="1667"/>
      <c r="DD183" s="1666"/>
    </row>
    <row r="184" spans="1:113" s="1178" customFormat="1" ht="11.25">
      <c r="A184" s="1661"/>
      <c r="B184" s="1661"/>
      <c r="C184" s="1661" t="s">
        <v>1162</v>
      </c>
      <c r="D184" s="1661"/>
      <c r="E184" s="1661"/>
      <c r="F184" s="1661"/>
      <c r="G184" s="1661"/>
      <c r="H184" s="1661"/>
      <c r="I184" s="1661"/>
      <c r="J184" s="1661"/>
      <c r="K184" s="1661"/>
      <c r="L184" s="1661"/>
      <c r="M184" s="1661"/>
      <c r="N184" s="1660"/>
      <c r="O184" s="1661"/>
      <c r="P184" s="1661"/>
      <c r="Q184" s="1661"/>
      <c r="R184" s="1661"/>
      <c r="S184" s="1660"/>
      <c r="T184" s="1661"/>
      <c r="U184" s="1661"/>
      <c r="V184" s="1661"/>
      <c r="W184" s="1661"/>
      <c r="X184" s="1660"/>
      <c r="Y184" s="1661"/>
      <c r="Z184" s="1661"/>
      <c r="AA184" s="1661"/>
      <c r="AB184" s="1661"/>
      <c r="AC184" s="1660"/>
      <c r="AD184" s="1661"/>
      <c r="AE184" s="1661"/>
      <c r="AF184" s="1661"/>
      <c r="AG184" s="1661"/>
      <c r="AH184" s="1660"/>
      <c r="AI184" s="1661"/>
      <c r="AJ184" s="1661"/>
      <c r="AK184" s="1661"/>
      <c r="AL184" s="1661"/>
      <c r="AM184" s="1660"/>
      <c r="AN184" s="1661"/>
      <c r="AO184" s="1661"/>
      <c r="AP184" s="1661"/>
      <c r="AQ184" s="1661"/>
      <c r="AR184" s="1660"/>
      <c r="AS184" s="1660"/>
      <c r="AT184" s="1660"/>
      <c r="AU184" s="1660"/>
      <c r="AV184" s="1660"/>
      <c r="AW184" s="1660"/>
      <c r="AX184" s="1660"/>
      <c r="AY184" s="1660"/>
      <c r="AZ184" s="1660"/>
      <c r="BA184" s="1660"/>
      <c r="BB184" s="1660"/>
      <c r="BC184" s="1660"/>
      <c r="BD184" s="1660"/>
      <c r="BE184" s="1660"/>
      <c r="BF184" s="1660"/>
      <c r="BG184" s="1660"/>
      <c r="BH184" s="1660"/>
      <c r="BI184" s="1660"/>
      <c r="BJ184" s="1660"/>
      <c r="BK184" s="1660"/>
      <c r="BL184" s="1659"/>
      <c r="BM184" s="1660"/>
      <c r="BN184" s="1660"/>
      <c r="BO184" s="1660"/>
      <c r="BP184" s="1660"/>
      <c r="BQ184" s="1656"/>
      <c r="BR184" s="1583"/>
      <c r="BS184" s="1583"/>
      <c r="BT184" s="1583"/>
      <c r="BU184" s="1583"/>
      <c r="BV184" s="1656">
        <f>BV185+BV186</f>
        <v>72</v>
      </c>
      <c r="BW184" s="1583"/>
      <c r="BX184" s="1583"/>
      <c r="BY184" s="1583"/>
      <c r="BZ184" s="1583"/>
      <c r="CA184" s="1656">
        <f>CA185+CA186</f>
        <v>78</v>
      </c>
      <c r="CB184" s="1578"/>
      <c r="CC184" s="1578"/>
      <c r="CD184" s="1578"/>
      <c r="CE184" s="1578"/>
      <c r="CF184" s="1656">
        <f>CF185+CF186</f>
        <v>66</v>
      </c>
      <c r="CG184" s="1578"/>
      <c r="CH184" s="1578"/>
      <c r="CI184" s="1578"/>
      <c r="CJ184" s="1578"/>
      <c r="CK184" s="2022">
        <f>CK195-CK144-CK165</f>
        <v>112</v>
      </c>
      <c r="CL184" s="2025"/>
      <c r="CM184" s="2025"/>
      <c r="CN184" s="2025"/>
      <c r="CO184" s="2025"/>
      <c r="CP184" s="2022">
        <f>CP195-CP144-CP165</f>
        <v>18.301973684210509</v>
      </c>
      <c r="CQ184" s="1578"/>
      <c r="CR184" s="1578"/>
      <c r="CS184" s="1578"/>
      <c r="CT184" s="1578"/>
      <c r="CU184" s="1667"/>
      <c r="CV184" s="2123"/>
      <c r="CW184" s="2123"/>
      <c r="CX184" s="2123"/>
      <c r="CY184" s="2123"/>
      <c r="CZ184" s="1667"/>
      <c r="DA184" s="1667"/>
      <c r="DB184" s="1667"/>
      <c r="DC184" s="1667"/>
      <c r="DD184" s="1666"/>
      <c r="DF184" s="1817"/>
    </row>
    <row r="185" spans="1:113" s="1178" customFormat="1" ht="11.25">
      <c r="A185" s="1661"/>
      <c r="B185" s="1661"/>
      <c r="C185" s="1661"/>
      <c r="D185" s="1661" t="s">
        <v>1160</v>
      </c>
      <c r="E185" s="1661"/>
      <c r="F185" s="1661"/>
      <c r="G185" s="1661"/>
      <c r="H185" s="1661"/>
      <c r="I185" s="1661"/>
      <c r="J185" s="1661"/>
      <c r="K185" s="1661"/>
      <c r="L185" s="1661"/>
      <c r="M185" s="1661"/>
      <c r="N185" s="1660"/>
      <c r="O185" s="1661"/>
      <c r="P185" s="1661"/>
      <c r="Q185" s="1661"/>
      <c r="R185" s="1661"/>
      <c r="S185" s="1660"/>
      <c r="T185" s="1661"/>
      <c r="U185" s="1661"/>
      <c r="V185" s="1661"/>
      <c r="W185" s="1661"/>
      <c r="X185" s="1660"/>
      <c r="Y185" s="1661"/>
      <c r="Z185" s="1661"/>
      <c r="AA185" s="1661"/>
      <c r="AB185" s="1661"/>
      <c r="AC185" s="1660"/>
      <c r="AD185" s="1661"/>
      <c r="AE185" s="1661"/>
      <c r="AF185" s="1661"/>
      <c r="AG185" s="1661"/>
      <c r="AH185" s="1660"/>
      <c r="AI185" s="1661"/>
      <c r="AJ185" s="1661"/>
      <c r="AK185" s="1661"/>
      <c r="AL185" s="1661"/>
      <c r="AM185" s="1660"/>
      <c r="AN185" s="1661"/>
      <c r="AO185" s="1661"/>
      <c r="AP185" s="1661"/>
      <c r="AQ185" s="1661"/>
      <c r="AR185" s="1660"/>
      <c r="AS185" s="1660"/>
      <c r="AT185" s="1660"/>
      <c r="AU185" s="1660"/>
      <c r="AV185" s="1660"/>
      <c r="AW185" s="1660"/>
      <c r="AX185" s="1660"/>
      <c r="AY185" s="1660"/>
      <c r="AZ185" s="1660"/>
      <c r="BA185" s="1660"/>
      <c r="BB185" s="1660"/>
      <c r="BC185" s="1660"/>
      <c r="BD185" s="1660"/>
      <c r="BE185" s="1660"/>
      <c r="BF185" s="1660"/>
      <c r="BG185" s="1660"/>
      <c r="BH185" s="1660"/>
      <c r="BI185" s="1660"/>
      <c r="BJ185" s="1660"/>
      <c r="BK185" s="1660"/>
      <c r="BL185" s="1659">
        <v>14</v>
      </c>
      <c r="BM185" s="1660"/>
      <c r="BN185" s="1660"/>
      <c r="BO185" s="1660"/>
      <c r="BP185" s="1660"/>
      <c r="BQ185" s="1659">
        <v>13</v>
      </c>
      <c r="BR185" s="1583"/>
      <c r="BS185" s="1583"/>
      <c r="BT185" s="1583"/>
      <c r="BU185" s="1583"/>
      <c r="BV185" s="1659">
        <f>10*4</f>
        <v>40</v>
      </c>
      <c r="BW185" s="1583"/>
      <c r="BX185" s="1583"/>
      <c r="BY185" s="1583"/>
      <c r="BZ185" s="1583"/>
      <c r="CA185" s="1659">
        <f>10*4</f>
        <v>40</v>
      </c>
      <c r="CB185" s="1578"/>
      <c r="CC185" s="1578"/>
      <c r="CD185" s="1578"/>
      <c r="CE185" s="1578"/>
      <c r="CF185" s="1659">
        <f>12*4</f>
        <v>48</v>
      </c>
      <c r="CG185" s="1578"/>
      <c r="CH185" s="1578"/>
      <c r="CI185" s="1578"/>
      <c r="CJ185" s="1578"/>
      <c r="CK185" s="1659"/>
      <c r="CL185" s="1578"/>
      <c r="CM185" s="1578"/>
      <c r="CN185" s="1578"/>
      <c r="CO185" s="2023"/>
      <c r="CP185" s="1667"/>
      <c r="CQ185" s="1578"/>
      <c r="CR185" s="1578"/>
      <c r="CS185" s="1578"/>
      <c r="CT185" s="1578"/>
      <c r="CU185" s="1667"/>
      <c r="CV185" s="2123"/>
      <c r="CW185" s="2123"/>
      <c r="CX185" s="2123"/>
      <c r="CY185" s="2123"/>
      <c r="CZ185" s="1667"/>
      <c r="DA185" s="1667"/>
      <c r="DB185" s="1667"/>
      <c r="DC185" s="1667"/>
      <c r="DD185" s="1666"/>
      <c r="DG185" s="1855"/>
      <c r="DI185" s="1856"/>
    </row>
    <row r="186" spans="1:113" s="1178" customFormat="1" ht="11.25">
      <c r="A186" s="1661"/>
      <c r="B186" s="1661"/>
      <c r="C186" s="1661"/>
      <c r="D186" s="1661" t="s">
        <v>1159</v>
      </c>
      <c r="E186" s="1661"/>
      <c r="F186" s="1661"/>
      <c r="G186" s="1661"/>
      <c r="H186" s="1661"/>
      <c r="I186" s="1661"/>
      <c r="J186" s="1661"/>
      <c r="K186" s="1661"/>
      <c r="L186" s="1661"/>
      <c r="M186" s="1661"/>
      <c r="N186" s="1660"/>
      <c r="O186" s="1661"/>
      <c r="P186" s="1661"/>
      <c r="Q186" s="1661"/>
      <c r="R186" s="1661"/>
      <c r="S186" s="1660"/>
      <c r="T186" s="1661"/>
      <c r="U186" s="1661"/>
      <c r="V186" s="1661"/>
      <c r="W186" s="1661"/>
      <c r="X186" s="1660"/>
      <c r="Y186" s="1661"/>
      <c r="Z186" s="1661"/>
      <c r="AA186" s="1661"/>
      <c r="AB186" s="1661"/>
      <c r="AC186" s="1660"/>
      <c r="AD186" s="1661"/>
      <c r="AE186" s="1661"/>
      <c r="AF186" s="1661"/>
      <c r="AG186" s="1661"/>
      <c r="AH186" s="1660"/>
      <c r="AI186" s="1661"/>
      <c r="AJ186" s="1661"/>
      <c r="AK186" s="1661"/>
      <c r="AL186" s="1661"/>
      <c r="AM186" s="1660"/>
      <c r="AN186" s="1661"/>
      <c r="AO186" s="1661"/>
      <c r="AP186" s="1661"/>
      <c r="AQ186" s="1661"/>
      <c r="AR186" s="1660"/>
      <c r="AS186" s="1660"/>
      <c r="AT186" s="1660"/>
      <c r="AU186" s="1660"/>
      <c r="AV186" s="1660"/>
      <c r="AW186" s="1660"/>
      <c r="AX186" s="1660"/>
      <c r="AY186" s="1660"/>
      <c r="AZ186" s="1660"/>
      <c r="BA186" s="1660"/>
      <c r="BB186" s="1660"/>
      <c r="BC186" s="1660"/>
      <c r="BD186" s="1660"/>
      <c r="BE186" s="1660"/>
      <c r="BF186" s="1660"/>
      <c r="BG186" s="1660"/>
      <c r="BH186" s="1660"/>
      <c r="BI186" s="1660"/>
      <c r="BJ186" s="1660"/>
      <c r="BK186" s="1660"/>
      <c r="BL186" s="1659">
        <v>11</v>
      </c>
      <c r="BM186" s="1660"/>
      <c r="BN186" s="1660"/>
      <c r="BO186" s="1660"/>
      <c r="BP186" s="1660"/>
      <c r="BQ186" s="1659">
        <v>20</v>
      </c>
      <c r="BR186" s="1583"/>
      <c r="BS186" s="1583"/>
      <c r="BT186" s="1583"/>
      <c r="BU186" s="1583"/>
      <c r="BV186" s="1659">
        <f>16*2</f>
        <v>32</v>
      </c>
      <c r="BW186" s="1583"/>
      <c r="BX186" s="1583"/>
      <c r="BY186" s="1583"/>
      <c r="BZ186" s="1583"/>
      <c r="CA186" s="1659">
        <f>19*2</f>
        <v>38</v>
      </c>
      <c r="CB186" s="1578"/>
      <c r="CC186" s="1578"/>
      <c r="CD186" s="1578"/>
      <c r="CE186" s="1578"/>
      <c r="CF186" s="1659">
        <f>9*2</f>
        <v>18</v>
      </c>
      <c r="CG186" s="1578">
        <f>CK186/4</f>
        <v>3</v>
      </c>
      <c r="CH186" s="1578">
        <f>CG186</f>
        <v>3</v>
      </c>
      <c r="CI186" s="2123">
        <f>CH186</f>
        <v>3</v>
      </c>
      <c r="CJ186" s="2123">
        <f>CI186</f>
        <v>3</v>
      </c>
      <c r="CK186" s="1659">
        <v>12</v>
      </c>
      <c r="CL186" s="2131">
        <f>CP186/4</f>
        <v>2</v>
      </c>
      <c r="CM186" s="2131">
        <f>CL186</f>
        <v>2</v>
      </c>
      <c r="CN186" s="2131">
        <f>CM186</f>
        <v>2</v>
      </c>
      <c r="CO186" s="2131">
        <f>CN186</f>
        <v>2</v>
      </c>
      <c r="CP186" s="1667">
        <v>8</v>
      </c>
      <c r="CQ186" s="1578"/>
      <c r="CR186" s="1578"/>
      <c r="CS186" s="1578"/>
      <c r="CT186" s="1578"/>
      <c r="CU186" s="1667"/>
      <c r="CV186" s="2123"/>
      <c r="CW186" s="2123"/>
      <c r="CX186" s="2123"/>
      <c r="CY186" s="2123"/>
      <c r="CZ186" s="1667"/>
      <c r="DA186" s="1667"/>
      <c r="DB186" s="1667"/>
      <c r="DC186" s="1667"/>
      <c r="DD186" s="1666"/>
      <c r="DG186" s="1855"/>
      <c r="DI186" s="1856"/>
    </row>
    <row r="187" spans="1:113" s="1178" customFormat="1" ht="11.25">
      <c r="A187" s="1661"/>
      <c r="B187" s="1661"/>
      <c r="C187" s="1661"/>
      <c r="D187" s="1661" t="s">
        <v>8</v>
      </c>
      <c r="E187" s="1661"/>
      <c r="F187" s="1661"/>
      <c r="G187" s="1661"/>
      <c r="H187" s="1661"/>
      <c r="I187" s="1661"/>
      <c r="J187" s="1661"/>
      <c r="K187" s="1661"/>
      <c r="L187" s="1661"/>
      <c r="M187" s="1661"/>
      <c r="N187" s="1660"/>
      <c r="O187" s="1661"/>
      <c r="P187" s="1661"/>
      <c r="Q187" s="1661"/>
      <c r="R187" s="1661"/>
      <c r="S187" s="1660"/>
      <c r="T187" s="1661"/>
      <c r="U187" s="1661"/>
      <c r="V187" s="1661"/>
      <c r="W187" s="1661"/>
      <c r="X187" s="1660"/>
      <c r="Y187" s="1661"/>
      <c r="Z187" s="1661"/>
      <c r="AA187" s="1661"/>
      <c r="AB187" s="1661"/>
      <c r="AC187" s="1660"/>
      <c r="AD187" s="1661"/>
      <c r="AE187" s="1661"/>
      <c r="AF187" s="1661"/>
      <c r="AG187" s="1661"/>
      <c r="AH187" s="1660"/>
      <c r="AI187" s="1661"/>
      <c r="AJ187" s="1661"/>
      <c r="AK187" s="1661"/>
      <c r="AL187" s="1661"/>
      <c r="AM187" s="1660"/>
      <c r="AN187" s="1661"/>
      <c r="AO187" s="1661"/>
      <c r="AP187" s="1661"/>
      <c r="AQ187" s="1661"/>
      <c r="AR187" s="1660"/>
      <c r="AS187" s="1660"/>
      <c r="AT187" s="1660"/>
      <c r="AU187" s="1660"/>
      <c r="AV187" s="1660"/>
      <c r="AW187" s="1660"/>
      <c r="AX187" s="1660"/>
      <c r="AY187" s="1660"/>
      <c r="AZ187" s="1660"/>
      <c r="BA187" s="1660"/>
      <c r="BB187" s="1660"/>
      <c r="BC187" s="1660"/>
      <c r="BD187" s="1660"/>
      <c r="BE187" s="1660"/>
      <c r="BF187" s="1660"/>
      <c r="BG187" s="1660"/>
      <c r="BH187" s="1660"/>
      <c r="BI187" s="1660"/>
      <c r="BJ187" s="1660"/>
      <c r="BK187" s="1660"/>
      <c r="BL187" s="1659"/>
      <c r="BM187" s="1660"/>
      <c r="BN187" s="1660"/>
      <c r="BO187" s="1660"/>
      <c r="BP187" s="1660"/>
      <c r="BQ187" s="1659"/>
      <c r="BR187" s="1583"/>
      <c r="BS187" s="1583"/>
      <c r="BT187" s="1583"/>
      <c r="BU187" s="1583"/>
      <c r="BV187" s="1659"/>
      <c r="BW187" s="1583"/>
      <c r="BX187" s="1583"/>
      <c r="BY187" s="1583"/>
      <c r="BZ187" s="1583"/>
      <c r="CA187" s="1656"/>
      <c r="CB187" s="1578"/>
      <c r="CC187" s="1578"/>
      <c r="CD187" s="1578"/>
      <c r="CE187" s="1578"/>
      <c r="CF187" s="1656"/>
      <c r="CG187" s="1578"/>
      <c r="CH187" s="1578"/>
      <c r="CI187" s="1578"/>
      <c r="CJ187" s="1578"/>
      <c r="CK187" s="1667">
        <f>CK184-CK186-CK185</f>
        <v>100</v>
      </c>
      <c r="CL187" s="1578"/>
      <c r="CM187" s="1578"/>
      <c r="CN187" s="1578"/>
      <c r="CO187" s="1578"/>
      <c r="CP187" s="1667">
        <f>CP184-CP186-CP185</f>
        <v>10.301973684210509</v>
      </c>
      <c r="CQ187" s="1578"/>
      <c r="CR187" s="1578"/>
      <c r="CS187" s="1578"/>
      <c r="CT187" s="1578"/>
      <c r="CU187" s="1667"/>
      <c r="CV187" s="2123"/>
      <c r="CW187" s="2123"/>
      <c r="CX187" s="2123"/>
      <c r="CY187" s="2123"/>
      <c r="CZ187" s="1667"/>
      <c r="DA187" s="1667"/>
      <c r="DB187" s="1667"/>
      <c r="DC187" s="1667"/>
      <c r="DD187" s="1666"/>
      <c r="DG187" s="1855"/>
    </row>
    <row r="188" spans="1:113" s="1178" customFormat="1" ht="11.25">
      <c r="A188" s="1661"/>
      <c r="B188" s="1661"/>
      <c r="C188" s="1661"/>
      <c r="D188" s="1661"/>
      <c r="E188" s="1661"/>
      <c r="F188" s="1661"/>
      <c r="G188" s="1661"/>
      <c r="H188" s="1661"/>
      <c r="I188" s="1661"/>
      <c r="J188" s="1661"/>
      <c r="K188" s="1661"/>
      <c r="L188" s="1661"/>
      <c r="M188" s="1661"/>
      <c r="N188" s="1660"/>
      <c r="O188" s="1661"/>
      <c r="P188" s="1661"/>
      <c r="Q188" s="1661"/>
      <c r="R188" s="1661"/>
      <c r="S188" s="1660"/>
      <c r="T188" s="1661"/>
      <c r="U188" s="1661"/>
      <c r="V188" s="1661"/>
      <c r="W188" s="1661"/>
      <c r="X188" s="1660"/>
      <c r="Y188" s="1661"/>
      <c r="Z188" s="1661"/>
      <c r="AA188" s="1661"/>
      <c r="AB188" s="1661"/>
      <c r="AC188" s="1660"/>
      <c r="AD188" s="1661"/>
      <c r="AE188" s="1661"/>
      <c r="AF188" s="1661"/>
      <c r="AG188" s="1661"/>
      <c r="AH188" s="1660"/>
      <c r="AI188" s="1661"/>
      <c r="AJ188" s="1661"/>
      <c r="AK188" s="1661"/>
      <c r="AL188" s="1661"/>
      <c r="AM188" s="1660"/>
      <c r="AN188" s="1661"/>
      <c r="AO188" s="1661"/>
      <c r="AP188" s="1661"/>
      <c r="AQ188" s="1661"/>
      <c r="AR188" s="1660"/>
      <c r="AS188" s="1660"/>
      <c r="AT188" s="1660"/>
      <c r="AU188" s="1660"/>
      <c r="AV188" s="1660"/>
      <c r="AW188" s="1660"/>
      <c r="AX188" s="1660"/>
      <c r="AY188" s="1660"/>
      <c r="AZ188" s="1660"/>
      <c r="BA188" s="1660"/>
      <c r="BB188" s="1660"/>
      <c r="BC188" s="1660"/>
      <c r="BD188" s="1660"/>
      <c r="BE188" s="1660"/>
      <c r="BF188" s="1660"/>
      <c r="BG188" s="1660"/>
      <c r="BH188" s="1660"/>
      <c r="BI188" s="1660"/>
      <c r="BJ188" s="1660"/>
      <c r="BK188" s="1660"/>
      <c r="BL188" s="1659"/>
      <c r="BM188" s="1660"/>
      <c r="BN188" s="1660"/>
      <c r="BO188" s="1660"/>
      <c r="BP188" s="1660"/>
      <c r="BQ188" s="1659"/>
      <c r="BR188" s="1583"/>
      <c r="BS188" s="1583"/>
      <c r="BT188" s="1583"/>
      <c r="BU188" s="1583"/>
      <c r="BV188" s="1659"/>
      <c r="BW188" s="1583"/>
      <c r="BX188" s="1583"/>
      <c r="BY188" s="1583"/>
      <c r="BZ188" s="1583"/>
      <c r="CA188" s="1656"/>
      <c r="CB188" s="1578"/>
      <c r="CC188" s="1578"/>
      <c r="CD188" s="1578"/>
      <c r="CE188" s="1578"/>
      <c r="CF188" s="1656"/>
      <c r="CG188" s="1578"/>
      <c r="CH188" s="1578"/>
      <c r="CI188" s="1578"/>
      <c r="CJ188" s="1578"/>
      <c r="CK188" s="1667"/>
      <c r="CL188" s="1578"/>
      <c r="CM188" s="1578"/>
      <c r="CN188" s="1578"/>
      <c r="CO188" s="1578"/>
      <c r="CP188" s="1667"/>
      <c r="CQ188" s="1578"/>
      <c r="CR188" s="1578"/>
      <c r="CS188" s="1578"/>
      <c r="CT188" s="1578"/>
      <c r="CU188" s="1667"/>
      <c r="CV188" s="2123"/>
      <c r="CW188" s="2123"/>
      <c r="CX188" s="2123"/>
      <c r="CY188" s="2123"/>
      <c r="CZ188" s="1667"/>
      <c r="DA188" s="1667"/>
      <c r="DB188" s="1667"/>
      <c r="DC188" s="1667"/>
      <c r="DD188" s="1666"/>
      <c r="DG188" s="1855"/>
    </row>
    <row r="189" spans="1:113" s="1178" customFormat="1" ht="11.25">
      <c r="A189" s="1661"/>
      <c r="B189" s="1661"/>
      <c r="C189" s="1660" t="s">
        <v>1161</v>
      </c>
      <c r="D189" s="1661"/>
      <c r="E189" s="1661"/>
      <c r="F189" s="1661"/>
      <c r="G189" s="1661"/>
      <c r="H189" s="1661"/>
      <c r="I189" s="1661"/>
      <c r="J189" s="1661"/>
      <c r="K189" s="1661"/>
      <c r="L189" s="1661"/>
      <c r="M189" s="1661"/>
      <c r="N189" s="1660"/>
      <c r="O189" s="1661"/>
      <c r="P189" s="1661"/>
      <c r="Q189" s="1661"/>
      <c r="R189" s="1661"/>
      <c r="S189" s="1660"/>
      <c r="T189" s="1661"/>
      <c r="U189" s="1661"/>
      <c r="V189" s="1661"/>
      <c r="W189" s="1661"/>
      <c r="X189" s="1660"/>
      <c r="Y189" s="1661"/>
      <c r="Z189" s="1661"/>
      <c r="AA189" s="1661"/>
      <c r="AB189" s="1661"/>
      <c r="AC189" s="1660"/>
      <c r="AD189" s="1661"/>
      <c r="AE189" s="1661"/>
      <c r="AF189" s="1661"/>
      <c r="AG189" s="1661"/>
      <c r="AH189" s="1660"/>
      <c r="AI189" s="1661"/>
      <c r="AJ189" s="1661"/>
      <c r="AK189" s="1661"/>
      <c r="AL189" s="1661"/>
      <c r="AM189" s="1660"/>
      <c r="AN189" s="1661"/>
      <c r="AO189" s="1661"/>
      <c r="AP189" s="1661"/>
      <c r="AQ189" s="1661"/>
      <c r="AR189" s="1660"/>
      <c r="AS189" s="1660"/>
      <c r="AT189" s="1660"/>
      <c r="AU189" s="1660"/>
      <c r="AV189" s="1660"/>
      <c r="AW189" s="1660"/>
      <c r="AX189" s="1660"/>
      <c r="AY189" s="1660"/>
      <c r="AZ189" s="1660"/>
      <c r="BA189" s="1660"/>
      <c r="BB189" s="1660"/>
      <c r="BC189" s="1660"/>
      <c r="BD189" s="1660"/>
      <c r="BE189" s="1660"/>
      <c r="BF189" s="1660"/>
      <c r="BG189" s="1660"/>
      <c r="BH189" s="1660"/>
      <c r="BI189" s="1660"/>
      <c r="BJ189" s="1660"/>
      <c r="BK189" s="1660"/>
      <c r="BL189" s="1659"/>
      <c r="BM189" s="1660"/>
      <c r="BN189" s="1660"/>
      <c r="BO189" s="1660"/>
      <c r="BP189" s="1660"/>
      <c r="BQ189" s="1659"/>
      <c r="BR189" s="1583"/>
      <c r="BS189" s="1583"/>
      <c r="BT189" s="1583"/>
      <c r="BU189" s="1583"/>
      <c r="BV189" s="1659"/>
      <c r="BW189" s="1583"/>
      <c r="BX189" s="1583"/>
      <c r="BY189" s="1583"/>
      <c r="BZ189" s="1583"/>
      <c r="CA189" s="1667"/>
      <c r="CB189" s="1578"/>
      <c r="CC189" s="1578"/>
      <c r="CD189" s="1578"/>
      <c r="CE189" s="1578"/>
      <c r="CF189" s="1667"/>
      <c r="CG189" s="1578"/>
      <c r="CH189" s="1578"/>
      <c r="CI189" s="1578"/>
      <c r="CJ189" s="1578"/>
      <c r="CK189" s="1667"/>
      <c r="CL189" s="1578"/>
      <c r="CM189" s="1578"/>
      <c r="CN189" s="1578"/>
      <c r="CO189" s="1578"/>
      <c r="CP189" s="1667"/>
      <c r="CQ189" s="1578"/>
      <c r="CR189" s="1578"/>
      <c r="CS189" s="1578"/>
      <c r="CT189" s="1578"/>
      <c r="CU189" s="1667"/>
      <c r="CV189" s="2123"/>
      <c r="CW189" s="2123"/>
      <c r="CX189" s="2123"/>
      <c r="CY189" s="2123"/>
      <c r="CZ189" s="1667"/>
      <c r="DA189" s="1667"/>
      <c r="DB189" s="1667"/>
      <c r="DC189" s="1667"/>
      <c r="DD189" s="1666"/>
    </row>
    <row r="190" spans="1:113" s="1178" customFormat="1" ht="11.25">
      <c r="A190" s="1661"/>
      <c r="B190" s="1661"/>
      <c r="C190" s="1661"/>
      <c r="D190" s="1661" t="s">
        <v>1160</v>
      </c>
      <c r="E190" s="1661"/>
      <c r="F190" s="1661"/>
      <c r="G190" s="1661"/>
      <c r="H190" s="1661"/>
      <c r="I190" s="1661"/>
      <c r="J190" s="1661"/>
      <c r="K190" s="1661"/>
      <c r="L190" s="1661"/>
      <c r="M190" s="1661"/>
      <c r="N190" s="1660"/>
      <c r="O190" s="1661"/>
      <c r="P190" s="1661"/>
      <c r="Q190" s="1661"/>
      <c r="R190" s="1661"/>
      <c r="S190" s="1660"/>
      <c r="T190" s="1661"/>
      <c r="U190" s="1661"/>
      <c r="V190" s="1661"/>
      <c r="W190" s="1661"/>
      <c r="X190" s="1660"/>
      <c r="Y190" s="1661"/>
      <c r="Z190" s="1661"/>
      <c r="AA190" s="1661"/>
      <c r="AB190" s="1661"/>
      <c r="AC190" s="1660"/>
      <c r="AD190" s="1661"/>
      <c r="AE190" s="1661"/>
      <c r="AF190" s="1661"/>
      <c r="AG190" s="1661"/>
      <c r="AH190" s="1660"/>
      <c r="AI190" s="1661"/>
      <c r="AJ190" s="1661"/>
      <c r="AK190" s="1661"/>
      <c r="AL190" s="1661"/>
      <c r="AM190" s="1660"/>
      <c r="AN190" s="1661"/>
      <c r="AO190" s="1661"/>
      <c r="AP190" s="1661"/>
      <c r="AQ190" s="1661"/>
      <c r="AR190" s="1660"/>
      <c r="AS190" s="1660"/>
      <c r="AT190" s="1660"/>
      <c r="AU190" s="1660"/>
      <c r="AV190" s="1660"/>
      <c r="AW190" s="1660"/>
      <c r="AX190" s="1660"/>
      <c r="AY190" s="1660"/>
      <c r="AZ190" s="1660"/>
      <c r="BA190" s="1660"/>
      <c r="BB190" s="1660"/>
      <c r="BC190" s="1660"/>
      <c r="BD190" s="1660"/>
      <c r="BE190" s="1660"/>
      <c r="BF190" s="1660"/>
      <c r="BG190" s="1660"/>
      <c r="BH190" s="1660"/>
      <c r="BI190" s="1660"/>
      <c r="BJ190" s="1660"/>
      <c r="BK190" s="1660"/>
      <c r="BL190" s="1659"/>
      <c r="BM190" s="1660"/>
      <c r="BN190" s="1660"/>
      <c r="BO190" s="1660"/>
      <c r="BP190" s="1660"/>
      <c r="BQ190" s="1659"/>
      <c r="BR190" s="1583"/>
      <c r="BS190" s="1583"/>
      <c r="BT190" s="1583"/>
      <c r="BU190" s="1583"/>
      <c r="BV190" s="1659"/>
      <c r="BW190" s="1583"/>
      <c r="BX190" s="1583"/>
      <c r="BY190" s="1583"/>
      <c r="BZ190" s="1583"/>
      <c r="CA190" s="1658"/>
      <c r="CB190" s="1578"/>
      <c r="CC190" s="1578"/>
      <c r="CD190" s="1578"/>
      <c r="CE190" s="1578"/>
      <c r="CF190" s="1658"/>
      <c r="CG190" s="1578"/>
      <c r="CH190" s="1578"/>
      <c r="CI190" s="1578"/>
      <c r="CJ190" s="1578"/>
      <c r="CK190" s="1590"/>
      <c r="CL190" s="1578"/>
      <c r="CM190" s="1578"/>
      <c r="CN190" s="1578"/>
      <c r="CO190" s="1578"/>
      <c r="CP190" s="1667"/>
      <c r="CQ190" s="1578"/>
      <c r="CR190" s="1578"/>
      <c r="CS190" s="1578"/>
      <c r="CT190" s="1578"/>
      <c r="CU190" s="1667"/>
      <c r="CV190" s="2123"/>
      <c r="CW190" s="2123"/>
      <c r="CX190" s="2123"/>
      <c r="CY190" s="2123"/>
      <c r="CZ190" s="1667"/>
      <c r="DA190" s="1667"/>
      <c r="DB190" s="1667"/>
      <c r="DC190" s="1667"/>
      <c r="DD190" s="1666"/>
    </row>
    <row r="191" spans="1:113" s="1178" customFormat="1" ht="11.25">
      <c r="A191" s="1661"/>
      <c r="B191" s="1661"/>
      <c r="C191" s="1661"/>
      <c r="D191" s="1661" t="s">
        <v>1159</v>
      </c>
      <c r="E191" s="1661"/>
      <c r="F191" s="1661"/>
      <c r="G191" s="1661"/>
      <c r="H191" s="1661"/>
      <c r="I191" s="1661"/>
      <c r="J191" s="1661"/>
      <c r="K191" s="1661"/>
      <c r="L191" s="1661"/>
      <c r="M191" s="1661"/>
      <c r="N191" s="1660"/>
      <c r="O191" s="1661"/>
      <c r="P191" s="1661"/>
      <c r="Q191" s="1661"/>
      <c r="R191" s="1661"/>
      <c r="S191" s="1660"/>
      <c r="T191" s="1661"/>
      <c r="U191" s="1661"/>
      <c r="V191" s="1661"/>
      <c r="W191" s="1661"/>
      <c r="X191" s="1660"/>
      <c r="Y191" s="1661"/>
      <c r="Z191" s="1661"/>
      <c r="AA191" s="1661"/>
      <c r="AB191" s="1661"/>
      <c r="AC191" s="1660"/>
      <c r="AD191" s="1661"/>
      <c r="AE191" s="1661"/>
      <c r="AF191" s="1661"/>
      <c r="AG191" s="1661"/>
      <c r="AH191" s="1660"/>
      <c r="AI191" s="1661"/>
      <c r="AJ191" s="1661"/>
      <c r="AK191" s="1661"/>
      <c r="AL191" s="1661"/>
      <c r="AM191" s="1660"/>
      <c r="AN191" s="1661"/>
      <c r="AO191" s="1661"/>
      <c r="AP191" s="1661"/>
      <c r="AQ191" s="1661"/>
      <c r="AR191" s="1660"/>
      <c r="AS191" s="1660"/>
      <c r="AT191" s="1660"/>
      <c r="AU191" s="1660"/>
      <c r="AV191" s="1660"/>
      <c r="AW191" s="1660"/>
      <c r="AX191" s="1660"/>
      <c r="AY191" s="1660"/>
      <c r="AZ191" s="1660"/>
      <c r="BA191" s="1660"/>
      <c r="BB191" s="1660"/>
      <c r="BC191" s="1660"/>
      <c r="BD191" s="1660"/>
      <c r="BE191" s="1660"/>
      <c r="BF191" s="1660"/>
      <c r="BG191" s="1660"/>
      <c r="BH191" s="1660"/>
      <c r="BI191" s="1660"/>
      <c r="BJ191" s="1660"/>
      <c r="BK191" s="1660"/>
      <c r="BL191" s="1659"/>
      <c r="BM191" s="1660"/>
      <c r="BN191" s="1660"/>
      <c r="BO191" s="1660"/>
      <c r="BP191" s="1660"/>
      <c r="BQ191" s="1659"/>
      <c r="BR191" s="1583"/>
      <c r="BS191" s="1583"/>
      <c r="BT191" s="1583"/>
      <c r="BU191" s="1583"/>
      <c r="BV191" s="1659"/>
      <c r="BW191" s="1583"/>
      <c r="BX191" s="1583"/>
      <c r="BY191" s="1583"/>
      <c r="BZ191" s="1583"/>
      <c r="CA191" s="1658">
        <f>CA186*CA149</f>
        <v>51.140819964349383</v>
      </c>
      <c r="CB191" s="1578"/>
      <c r="CC191" s="1578"/>
      <c r="CD191" s="1578"/>
      <c r="CE191" s="1578"/>
      <c r="CF191" s="1658">
        <f>CF186*$CK$149</f>
        <v>24.957236842105264</v>
      </c>
      <c r="CG191" s="1578"/>
      <c r="CH191" s="1578"/>
      <c r="CI191" s="1578"/>
      <c r="CJ191" s="1578"/>
      <c r="CK191" s="1658">
        <f>CK186*$CK$149</f>
        <v>16.638157894736842</v>
      </c>
      <c r="CL191" s="1578"/>
      <c r="CM191" s="1578"/>
      <c r="CN191" s="1578"/>
      <c r="CO191" s="1578"/>
      <c r="CP191" s="1658">
        <f>CP186*$CK$149</f>
        <v>11.092105263157896</v>
      </c>
      <c r="CQ191" s="1578"/>
      <c r="CR191" s="1578"/>
      <c r="CS191" s="1578"/>
      <c r="CT191" s="1578"/>
      <c r="CU191" s="1658">
        <f>CU186*$CK$149</f>
        <v>0</v>
      </c>
      <c r="CV191" s="2123"/>
      <c r="CW191" s="2123"/>
      <c r="CX191" s="2123"/>
      <c r="CY191" s="2123"/>
      <c r="CZ191" s="1658">
        <f>CZ186*$CK$149</f>
        <v>0</v>
      </c>
      <c r="DA191" s="1658">
        <f>DA186*$CK$149</f>
        <v>0</v>
      </c>
      <c r="DB191" s="1658">
        <f>DB186*$CK$149</f>
        <v>0</v>
      </c>
      <c r="DC191" s="1658">
        <f>DC186*$CK$149</f>
        <v>0</v>
      </c>
    </row>
    <row r="192" spans="1:113" s="1178" customFormat="1" ht="11.25">
      <c r="A192" s="1661"/>
      <c r="B192" s="1661"/>
      <c r="C192" s="1661"/>
      <c r="D192" s="1661"/>
      <c r="E192" s="1661"/>
      <c r="F192" s="1661"/>
      <c r="G192" s="1661"/>
      <c r="H192" s="1661"/>
      <c r="I192" s="1661"/>
      <c r="J192" s="1661"/>
      <c r="K192" s="1661"/>
      <c r="L192" s="1661"/>
      <c r="M192" s="1661"/>
      <c r="N192" s="1660"/>
      <c r="O192" s="1661"/>
      <c r="P192" s="1661"/>
      <c r="Q192" s="1661"/>
      <c r="R192" s="1661"/>
      <c r="S192" s="1660"/>
      <c r="T192" s="1661"/>
      <c r="U192" s="1661"/>
      <c r="V192" s="1661"/>
      <c r="W192" s="1661"/>
      <c r="X192" s="1660"/>
      <c r="Y192" s="1661"/>
      <c r="Z192" s="1661"/>
      <c r="AA192" s="1661"/>
      <c r="AB192" s="1661"/>
      <c r="AC192" s="1660"/>
      <c r="AD192" s="1661"/>
      <c r="AE192" s="1661"/>
      <c r="AF192" s="1661"/>
      <c r="AG192" s="1661"/>
      <c r="AH192" s="1660"/>
      <c r="AI192" s="1661"/>
      <c r="AJ192" s="1661"/>
      <c r="AK192" s="1661"/>
      <c r="AL192" s="1661"/>
      <c r="AM192" s="1660"/>
      <c r="AN192" s="1661"/>
      <c r="AO192" s="1661"/>
      <c r="AP192" s="1661"/>
      <c r="AQ192" s="1661"/>
      <c r="AR192" s="1660"/>
      <c r="AS192" s="1660"/>
      <c r="AT192" s="1660"/>
      <c r="AU192" s="1660"/>
      <c r="AV192" s="1660"/>
      <c r="AW192" s="1660"/>
      <c r="AX192" s="1660"/>
      <c r="AY192" s="1660"/>
      <c r="AZ192" s="1660"/>
      <c r="BA192" s="1660"/>
      <c r="BB192" s="1660"/>
      <c r="BC192" s="1660"/>
      <c r="BD192" s="1660"/>
      <c r="BE192" s="1660"/>
      <c r="BF192" s="1660"/>
      <c r="BG192" s="1660"/>
      <c r="BH192" s="1660"/>
      <c r="BI192" s="1660"/>
      <c r="BJ192" s="1660"/>
      <c r="BK192" s="1660"/>
      <c r="BL192" s="1659"/>
      <c r="BM192" s="1660"/>
      <c r="BN192" s="1660"/>
      <c r="BO192" s="1660"/>
      <c r="BP192" s="1660"/>
      <c r="BQ192" s="1659"/>
      <c r="BR192" s="1583"/>
      <c r="BS192" s="1583"/>
      <c r="BT192" s="1583"/>
      <c r="BU192" s="1583"/>
      <c r="BV192" s="1659"/>
      <c r="BW192" s="1583"/>
      <c r="BX192" s="1583"/>
      <c r="BY192" s="1583"/>
      <c r="BZ192" s="1583"/>
      <c r="CA192" s="1658"/>
      <c r="CB192" s="1578"/>
      <c r="CC192" s="1578"/>
      <c r="CD192" s="1578"/>
      <c r="CE192" s="1578"/>
      <c r="CF192" s="1658"/>
      <c r="CG192" s="1578"/>
      <c r="CH192" s="1578"/>
      <c r="CI192" s="1578"/>
      <c r="CJ192" s="1578"/>
      <c r="CK192" s="1658">
        <f>CK191-CF191</f>
        <v>-8.3190789473684212</v>
      </c>
      <c r="CL192" s="1578"/>
      <c r="CM192" s="1578"/>
      <c r="CN192" s="1578"/>
      <c r="CO192" s="1578"/>
      <c r="CP192" s="1658">
        <f>CP191-CK191</f>
        <v>-5.5460526315789469</v>
      </c>
      <c r="CQ192" s="1578"/>
      <c r="CR192" s="1578"/>
      <c r="CS192" s="1578"/>
      <c r="CT192" s="1578"/>
      <c r="CU192" s="1658">
        <v>0</v>
      </c>
      <c r="CV192" s="2123"/>
      <c r="CW192" s="2123"/>
      <c r="CX192" s="2123"/>
      <c r="CY192" s="2123"/>
      <c r="CZ192" s="1656"/>
      <c r="DA192" s="1656"/>
      <c r="DB192" s="1656"/>
      <c r="DC192" s="1656"/>
    </row>
    <row r="193" spans="1:107" s="1178" customFormat="1" ht="11.25">
      <c r="A193" s="1661"/>
      <c r="B193" s="1661"/>
      <c r="C193" s="1665" t="s">
        <v>1158</v>
      </c>
      <c r="D193" s="1661"/>
      <c r="E193" s="1661"/>
      <c r="F193" s="1661"/>
      <c r="G193" s="1661"/>
      <c r="H193" s="1661"/>
      <c r="I193" s="1661"/>
      <c r="J193" s="1661"/>
      <c r="K193" s="1661"/>
      <c r="L193" s="1661"/>
      <c r="M193" s="1661"/>
      <c r="N193" s="1660"/>
      <c r="O193" s="1661"/>
      <c r="P193" s="1661"/>
      <c r="Q193" s="1661"/>
      <c r="R193" s="1661"/>
      <c r="S193" s="1660"/>
      <c r="T193" s="1661"/>
      <c r="U193" s="1661"/>
      <c r="V193" s="1661"/>
      <c r="W193" s="1661"/>
      <c r="X193" s="1660"/>
      <c r="Y193" s="1661"/>
      <c r="Z193" s="1661"/>
      <c r="AA193" s="1661"/>
      <c r="AB193" s="1661"/>
      <c r="AC193" s="1660"/>
      <c r="AD193" s="1661"/>
      <c r="AE193" s="1661"/>
      <c r="AF193" s="1661"/>
      <c r="AG193" s="1661"/>
      <c r="AH193" s="1660"/>
      <c r="AI193" s="1661"/>
      <c r="AJ193" s="1661"/>
      <c r="AK193" s="1661"/>
      <c r="AL193" s="1661"/>
      <c r="AM193" s="1660"/>
      <c r="AN193" s="1661"/>
      <c r="AO193" s="1661"/>
      <c r="AP193" s="1661"/>
      <c r="AQ193" s="1661"/>
      <c r="AR193" s="1660"/>
      <c r="AS193" s="1660"/>
      <c r="AT193" s="1660"/>
      <c r="AU193" s="1660"/>
      <c r="AV193" s="1660"/>
      <c r="AW193" s="1660"/>
      <c r="AX193" s="1660"/>
      <c r="AY193" s="1660"/>
      <c r="AZ193" s="1660"/>
      <c r="BA193" s="1660"/>
      <c r="BB193" s="1660"/>
      <c r="BC193" s="1660"/>
      <c r="BD193" s="1660"/>
      <c r="BE193" s="1660"/>
      <c r="BF193" s="1660"/>
      <c r="BG193" s="1660"/>
      <c r="BH193" s="1660"/>
      <c r="BI193" s="1660"/>
      <c r="BJ193" s="1660"/>
      <c r="BK193" s="1660"/>
      <c r="BL193" s="1659"/>
      <c r="BM193" s="1660"/>
      <c r="BN193" s="1660"/>
      <c r="BO193" s="1660"/>
      <c r="BP193" s="1660"/>
      <c r="BQ193" s="1659"/>
      <c r="BR193" s="1583"/>
      <c r="BS193" s="1583"/>
      <c r="BT193" s="1583"/>
      <c r="BU193" s="1583"/>
      <c r="BV193" s="1659"/>
      <c r="BW193" s="1583"/>
      <c r="BX193" s="1583"/>
      <c r="BY193" s="1583"/>
      <c r="BZ193" s="1583"/>
      <c r="CA193" s="1658">
        <f>CA144*1.2+CA165*1.5+CA184</f>
        <v>591.6</v>
      </c>
      <c r="CB193" s="1578"/>
      <c r="CC193" s="1578"/>
      <c r="CD193" s="1578"/>
      <c r="CE193" s="1578"/>
      <c r="CF193" s="1658">
        <f>CF144*1.2+CF165*1.5+CF184</f>
        <v>613.19999999999993</v>
      </c>
      <c r="CG193" s="1937"/>
      <c r="CH193" s="1937"/>
      <c r="CI193" s="1937"/>
      <c r="CJ193" s="1937"/>
      <c r="CK193" s="1658">
        <f>CK144*1.2+CK165*1.5+CK184</f>
        <v>655</v>
      </c>
      <c r="CL193" s="1937"/>
      <c r="CM193" s="1937"/>
      <c r="CN193" s="1937"/>
      <c r="CO193" s="1937"/>
      <c r="CP193" s="1658">
        <f>CP144*1.1+CP165*1.2+CP184</f>
        <v>603.76980263157907</v>
      </c>
      <c r="CQ193" s="1578"/>
      <c r="CR193" s="1578"/>
      <c r="CS193" s="1578"/>
      <c r="CT193" s="1578"/>
      <c r="CU193" s="1658">
        <f>CU144+CU165+CU184</f>
        <v>521</v>
      </c>
      <c r="CV193" s="2123"/>
      <c r="CW193" s="2123"/>
      <c r="CX193" s="2123"/>
      <c r="CY193" s="2123"/>
      <c r="CZ193" s="1658">
        <f>CZ144+CZ165+CZ184</f>
        <v>687</v>
      </c>
      <c r="DA193" s="1658">
        <f>DA144+DA165+DA184</f>
        <v>810.2</v>
      </c>
      <c r="DB193" s="1658">
        <f>DB144+DB165+DB184</f>
        <v>1010.2</v>
      </c>
      <c r="DC193" s="1658">
        <f>DC144+DC165+DC184</f>
        <v>1210.2</v>
      </c>
    </row>
    <row r="194" spans="1:107" s="1178" customFormat="1" ht="11.25">
      <c r="A194" s="1661"/>
      <c r="B194" s="1661"/>
      <c r="C194" s="1661"/>
      <c r="D194" s="1661" t="s">
        <v>1382</v>
      </c>
      <c r="E194" s="1661"/>
      <c r="F194" s="1661"/>
      <c r="G194" s="1661"/>
      <c r="H194" s="1661"/>
      <c r="I194" s="1661"/>
      <c r="J194" s="1661"/>
      <c r="K194" s="1661"/>
      <c r="L194" s="1661"/>
      <c r="M194" s="1661"/>
      <c r="N194" s="1660"/>
      <c r="O194" s="1661"/>
      <c r="P194" s="1661"/>
      <c r="Q194" s="1661"/>
      <c r="R194" s="1661"/>
      <c r="S194" s="1660"/>
      <c r="T194" s="1661"/>
      <c r="U194" s="1661"/>
      <c r="V194" s="1661"/>
      <c r="W194" s="1661"/>
      <c r="X194" s="1660"/>
      <c r="Y194" s="1661"/>
      <c r="Z194" s="1661"/>
      <c r="AA194" s="1661"/>
      <c r="AB194" s="1661"/>
      <c r="AC194" s="1660"/>
      <c r="AD194" s="1661"/>
      <c r="AE194" s="1661"/>
      <c r="AF194" s="1661"/>
      <c r="AG194" s="1661"/>
      <c r="AH194" s="1660"/>
      <c r="AI194" s="1661"/>
      <c r="AJ194" s="1661"/>
      <c r="AK194" s="1661"/>
      <c r="AL194" s="1661"/>
      <c r="AM194" s="1660"/>
      <c r="AN194" s="1661"/>
      <c r="AO194" s="1661"/>
      <c r="AP194" s="1661"/>
      <c r="AQ194" s="1661"/>
      <c r="AR194" s="1660"/>
      <c r="AS194" s="1660"/>
      <c r="AT194" s="1660"/>
      <c r="AU194" s="1660"/>
      <c r="AV194" s="1660"/>
      <c r="AW194" s="1660"/>
      <c r="AX194" s="1660"/>
      <c r="AY194" s="1660"/>
      <c r="AZ194" s="1660"/>
      <c r="BA194" s="1660"/>
      <c r="BB194" s="1660"/>
      <c r="BC194" s="1660"/>
      <c r="BD194" s="1660"/>
      <c r="BE194" s="1660"/>
      <c r="BF194" s="1660"/>
      <c r="BG194" s="1660"/>
      <c r="BH194" s="1660"/>
      <c r="BI194" s="1660"/>
      <c r="BJ194" s="1660"/>
      <c r="BK194" s="1660"/>
      <c r="BL194" s="1659"/>
      <c r="BM194" s="1660"/>
      <c r="BN194" s="1660"/>
      <c r="BO194" s="1660"/>
      <c r="BP194" s="1660"/>
      <c r="BQ194" s="1659"/>
      <c r="BR194" s="1583"/>
      <c r="BS194" s="1583"/>
      <c r="BT194" s="1583"/>
      <c r="BU194" s="1583"/>
      <c r="BV194" s="1659"/>
      <c r="BW194" s="1583"/>
      <c r="BX194" s="1583"/>
      <c r="BY194" s="1583"/>
      <c r="BZ194" s="1583"/>
      <c r="CA194" s="1658"/>
      <c r="CB194" s="1578"/>
      <c r="CC194" s="1578"/>
      <c r="CD194" s="1578"/>
      <c r="CE194" s="1578"/>
      <c r="CF194" s="1657">
        <f>CF193/CA193-1</f>
        <v>3.6511156186612492E-2</v>
      </c>
      <c r="CG194" s="1578"/>
      <c r="CH194" s="1578"/>
      <c r="CI194" s="1578"/>
      <c r="CJ194" s="1578"/>
      <c r="CK194" s="1657">
        <f>CK193/CF193-1</f>
        <v>6.8166992824527206E-2</v>
      </c>
      <c r="CL194" s="1578"/>
      <c r="CM194" s="1578"/>
      <c r="CN194" s="1578"/>
      <c r="CO194" s="1578"/>
      <c r="CP194" s="1657">
        <f>CP193/CK193-1</f>
        <v>-7.821404178384872E-2</v>
      </c>
      <c r="CQ194" s="1578"/>
      <c r="CR194" s="1578"/>
      <c r="CS194" s="1578"/>
      <c r="CT194" s="1578"/>
      <c r="CU194" s="1664"/>
      <c r="CV194" s="2123"/>
      <c r="CW194" s="2123"/>
      <c r="CX194" s="2123"/>
      <c r="CY194" s="2123"/>
      <c r="CZ194" s="1664"/>
      <c r="DA194" s="1664"/>
      <c r="DB194" s="1664"/>
      <c r="DC194" s="1664"/>
    </row>
    <row r="195" spans="1:107" s="1178" customFormat="1" ht="11.25">
      <c r="A195" s="1661"/>
      <c r="B195" s="1661"/>
      <c r="C195" s="1661"/>
      <c r="D195" s="1661" t="s">
        <v>1383</v>
      </c>
      <c r="E195" s="1661"/>
      <c r="F195" s="1661"/>
      <c r="G195" s="1661"/>
      <c r="H195" s="1661"/>
      <c r="I195" s="1661"/>
      <c r="J195" s="1661"/>
      <c r="K195" s="1661"/>
      <c r="L195" s="1661"/>
      <c r="M195" s="1661"/>
      <c r="N195" s="1660"/>
      <c r="O195" s="1661"/>
      <c r="P195" s="1661"/>
      <c r="Q195" s="1661"/>
      <c r="R195" s="1661"/>
      <c r="S195" s="1660"/>
      <c r="T195" s="1661"/>
      <c r="U195" s="1661"/>
      <c r="V195" s="1661"/>
      <c r="W195" s="1661"/>
      <c r="X195" s="1660"/>
      <c r="Y195" s="1661"/>
      <c r="Z195" s="1661"/>
      <c r="AA195" s="1661"/>
      <c r="AB195" s="1661"/>
      <c r="AC195" s="1660"/>
      <c r="AD195" s="1661"/>
      <c r="AE195" s="1661"/>
      <c r="AF195" s="1661"/>
      <c r="AG195" s="1661"/>
      <c r="AH195" s="1660"/>
      <c r="AI195" s="1661"/>
      <c r="AJ195" s="1661"/>
      <c r="AK195" s="1661"/>
      <c r="AL195" s="1661"/>
      <c r="AM195" s="1660"/>
      <c r="AN195" s="1661"/>
      <c r="AO195" s="1661"/>
      <c r="AP195" s="1661"/>
      <c r="AQ195" s="1661"/>
      <c r="AR195" s="1660"/>
      <c r="AS195" s="1660"/>
      <c r="AT195" s="1660"/>
      <c r="AU195" s="1660"/>
      <c r="AV195" s="1660"/>
      <c r="AW195" s="1660"/>
      <c r="AX195" s="1660"/>
      <c r="AY195" s="1660"/>
      <c r="AZ195" s="1660"/>
      <c r="BA195" s="1660"/>
      <c r="BB195" s="1660"/>
      <c r="BC195" s="1660"/>
      <c r="BD195" s="1660"/>
      <c r="BE195" s="1660"/>
      <c r="BF195" s="1660"/>
      <c r="BG195" s="1660"/>
      <c r="BH195" s="1660"/>
      <c r="BI195" s="1660"/>
      <c r="BJ195" s="1660"/>
      <c r="BK195" s="1660"/>
      <c r="BL195" s="1659"/>
      <c r="BM195" s="1660"/>
      <c r="BN195" s="1660"/>
      <c r="BO195" s="1660"/>
      <c r="BP195" s="1660"/>
      <c r="BQ195" s="1659"/>
      <c r="BR195" s="1583"/>
      <c r="BS195" s="1583"/>
      <c r="BT195" s="1583"/>
      <c r="BU195" s="1583"/>
      <c r="BV195" s="1659"/>
      <c r="BW195" s="1583"/>
      <c r="BX195" s="1583"/>
      <c r="BY195" s="1583"/>
      <c r="BZ195" s="1583"/>
      <c r="CA195" s="1658"/>
      <c r="CB195" s="1578"/>
      <c r="CC195" s="1578"/>
      <c r="CD195" s="1578"/>
      <c r="CE195" s="1578"/>
      <c r="CF195" s="1657"/>
      <c r="CG195" s="1578"/>
      <c r="CH195" s="1578"/>
      <c r="CI195" s="1578"/>
      <c r="CJ195" s="1578"/>
      <c r="CK195" s="1658">
        <f t="shared" ref="CK195:CP195" si="82">CK121</f>
        <v>558</v>
      </c>
      <c r="CL195" s="2024">
        <f t="shared" si="82"/>
        <v>148</v>
      </c>
      <c r="CM195" s="2024">
        <f t="shared" si="82"/>
        <v>149</v>
      </c>
      <c r="CN195" s="2024">
        <f t="shared" si="82"/>
        <v>113</v>
      </c>
      <c r="CO195" s="2024">
        <f t="shared" si="82"/>
        <v>128</v>
      </c>
      <c r="CP195" s="1658">
        <f t="shared" si="82"/>
        <v>538</v>
      </c>
      <c r="CQ195" s="1578"/>
      <c r="CR195" s="1578"/>
      <c r="CS195" s="1578"/>
      <c r="CT195" s="1578"/>
      <c r="CU195" s="1664"/>
      <c r="CV195" s="2123"/>
      <c r="CW195" s="2123"/>
      <c r="CX195" s="2123"/>
      <c r="CY195" s="2123"/>
      <c r="CZ195" s="1664"/>
      <c r="DA195" s="1664"/>
      <c r="DB195" s="1664"/>
      <c r="DC195" s="1664"/>
    </row>
    <row r="196" spans="1:107" s="1178" customFormat="1" ht="11.25">
      <c r="A196" s="1661"/>
      <c r="B196" s="1661"/>
      <c r="C196" s="1661"/>
      <c r="D196" s="1661"/>
      <c r="E196" s="1661"/>
      <c r="F196" s="1661"/>
      <c r="G196" s="1661"/>
      <c r="H196" s="1661"/>
      <c r="I196" s="1661"/>
      <c r="J196" s="1661"/>
      <c r="K196" s="1661"/>
      <c r="L196" s="1661"/>
      <c r="M196" s="1661"/>
      <c r="N196" s="1660"/>
      <c r="O196" s="1661"/>
      <c r="P196" s="1661"/>
      <c r="Q196" s="1661"/>
      <c r="R196" s="1661"/>
      <c r="S196" s="1660"/>
      <c r="T196" s="1661"/>
      <c r="U196" s="1661"/>
      <c r="V196" s="1661"/>
      <c r="W196" s="1661"/>
      <c r="X196" s="1660"/>
      <c r="Y196" s="1661"/>
      <c r="Z196" s="1661"/>
      <c r="AA196" s="1661"/>
      <c r="AB196" s="1661"/>
      <c r="AC196" s="1660"/>
      <c r="AD196" s="1661"/>
      <c r="AE196" s="1661"/>
      <c r="AF196" s="1661"/>
      <c r="AG196" s="1661"/>
      <c r="AH196" s="1660"/>
      <c r="AI196" s="1661"/>
      <c r="AJ196" s="1661"/>
      <c r="AK196" s="1661"/>
      <c r="AL196" s="1661"/>
      <c r="AM196" s="1660"/>
      <c r="AN196" s="1661"/>
      <c r="AO196" s="1661"/>
      <c r="AP196" s="1661"/>
      <c r="AQ196" s="1661"/>
      <c r="AR196" s="1660"/>
      <c r="AS196" s="1660"/>
      <c r="AT196" s="1660"/>
      <c r="AU196" s="1660"/>
      <c r="AV196" s="1660"/>
      <c r="AW196" s="1660"/>
      <c r="AX196" s="1660"/>
      <c r="AY196" s="1660"/>
      <c r="AZ196" s="1660"/>
      <c r="BA196" s="1660"/>
      <c r="BB196" s="1660"/>
      <c r="BC196" s="1660"/>
      <c r="BD196" s="1660"/>
      <c r="BE196" s="1660"/>
      <c r="BF196" s="1660"/>
      <c r="BG196" s="1660"/>
      <c r="BH196" s="1660"/>
      <c r="BI196" s="1660"/>
      <c r="BJ196" s="1660"/>
      <c r="BK196" s="1660"/>
      <c r="BL196" s="1659"/>
      <c r="BM196" s="1660"/>
      <c r="BN196" s="1660"/>
      <c r="BO196" s="1660"/>
      <c r="BP196" s="1660"/>
      <c r="BQ196" s="1659"/>
      <c r="BR196" s="1583"/>
      <c r="BS196" s="1583"/>
      <c r="BT196" s="1583"/>
      <c r="BU196" s="1583"/>
      <c r="BV196" s="1659"/>
      <c r="BW196" s="1583"/>
      <c r="BX196" s="1583"/>
      <c r="BY196" s="1583"/>
      <c r="BZ196" s="1583"/>
      <c r="CA196" s="1658"/>
      <c r="CB196" s="1578"/>
      <c r="CC196" s="1578"/>
      <c r="CD196" s="1578"/>
      <c r="CE196" s="1578"/>
      <c r="CF196" s="1657"/>
      <c r="CG196" s="1578"/>
      <c r="CH196" s="1578"/>
      <c r="CI196" s="1578"/>
      <c r="CJ196" s="1578"/>
      <c r="CK196" s="1658"/>
      <c r="CL196" s="1578"/>
      <c r="CM196" s="1578"/>
      <c r="CN196" s="1578"/>
      <c r="CO196" s="1578"/>
      <c r="CP196" s="1658"/>
      <c r="CQ196" s="1578"/>
      <c r="CR196" s="1578"/>
      <c r="CS196" s="1578"/>
      <c r="CT196" s="1578"/>
      <c r="CU196" s="1664"/>
      <c r="CV196" s="2123"/>
      <c r="CW196" s="2123"/>
      <c r="CX196" s="2123"/>
      <c r="CY196" s="2123"/>
      <c r="CZ196" s="1664"/>
      <c r="DA196" s="1664"/>
      <c r="DB196" s="1664"/>
      <c r="DC196" s="1664"/>
    </row>
    <row r="197" spans="1:107" s="1178" customFormat="1" ht="11.25">
      <c r="A197" s="1220"/>
      <c r="B197" s="1219" t="s">
        <v>1157</v>
      </c>
      <c r="C197" s="1039"/>
      <c r="D197" s="1220"/>
      <c r="E197" s="1220"/>
      <c r="F197" s="1220"/>
      <c r="G197" s="1220"/>
      <c r="H197" s="1220"/>
      <c r="I197" s="1220"/>
      <c r="J197" s="1220"/>
      <c r="K197" s="1220"/>
      <c r="L197" s="1220"/>
      <c r="M197" s="1220"/>
      <c r="N197" s="1219"/>
      <c r="O197" s="1220"/>
      <c r="P197" s="1220"/>
      <c r="Q197" s="1220"/>
      <c r="R197" s="1220"/>
      <c r="S197" s="1219"/>
      <c r="T197" s="1220"/>
      <c r="U197" s="1220"/>
      <c r="V197" s="1220"/>
      <c r="W197" s="1220"/>
      <c r="X197" s="1219"/>
      <c r="Y197" s="1220"/>
      <c r="Z197" s="1220"/>
      <c r="AA197" s="1220"/>
      <c r="AB197" s="1220"/>
      <c r="AC197" s="1219"/>
      <c r="AD197" s="1220"/>
      <c r="AE197" s="1220"/>
      <c r="AF197" s="1220"/>
      <c r="AG197" s="1220"/>
      <c r="AH197" s="1219"/>
      <c r="AI197" s="1220"/>
      <c r="AJ197" s="1220"/>
      <c r="AK197" s="1220"/>
      <c r="AL197" s="1220"/>
      <c r="AM197" s="1219"/>
      <c r="AN197" s="1220"/>
      <c r="AO197" s="1220"/>
      <c r="AP197" s="1220"/>
      <c r="AQ197" s="1220"/>
      <c r="AR197" s="1219"/>
      <c r="AS197" s="1219"/>
      <c r="AT197" s="1219"/>
      <c r="AU197" s="1219"/>
      <c r="AV197" s="1219"/>
      <c r="AW197" s="1219"/>
      <c r="AX197" s="1219"/>
      <c r="AY197" s="1219"/>
      <c r="AZ197" s="1219"/>
      <c r="BA197" s="1219"/>
      <c r="BB197" s="1219"/>
      <c r="BC197" s="1219"/>
      <c r="BD197" s="1219"/>
      <c r="BE197" s="1219"/>
      <c r="BF197" s="1219"/>
      <c r="BG197" s="1219"/>
      <c r="BH197" s="1219"/>
      <c r="BI197" s="1219"/>
      <c r="BJ197" s="1219"/>
      <c r="BK197" s="1219"/>
      <c r="BL197" s="1219"/>
      <c r="BM197" s="1219"/>
      <c r="BN197" s="1219"/>
      <c r="BO197" s="1219"/>
      <c r="BP197" s="1219"/>
      <c r="BQ197" s="1218"/>
      <c r="BR197" s="1218"/>
      <c r="BS197" s="1218"/>
      <c r="BT197" s="1218"/>
      <c r="BU197" s="1218"/>
      <c r="BV197" s="1218"/>
      <c r="BW197" s="1218"/>
      <c r="BX197" s="1218"/>
      <c r="BY197" s="1218"/>
      <c r="BZ197" s="1218"/>
      <c r="CA197" s="1218"/>
      <c r="CB197" s="1655"/>
      <c r="CC197" s="1655"/>
      <c r="CD197" s="1655"/>
      <c r="CE197" s="1655"/>
      <c r="CF197" s="1218"/>
      <c r="CG197" s="1655"/>
      <c r="CH197" s="1655"/>
      <c r="CI197" s="1655"/>
      <c r="CJ197" s="1655"/>
      <c r="CK197" s="1218"/>
      <c r="CL197" s="1655"/>
      <c r="CM197" s="1655"/>
      <c r="CN197" s="1655"/>
      <c r="CO197" s="1655"/>
      <c r="CP197" s="1218"/>
      <c r="CQ197" s="1655"/>
      <c r="CR197" s="1655"/>
      <c r="CS197" s="1655"/>
      <c r="CT197" s="1655"/>
      <c r="CU197" s="1218"/>
      <c r="CV197" s="1655"/>
      <c r="CW197" s="1655"/>
      <c r="CX197" s="1655"/>
      <c r="CY197" s="1655"/>
      <c r="CZ197" s="1218"/>
      <c r="DA197" s="1218"/>
      <c r="DB197" s="1218"/>
      <c r="DC197" s="1218"/>
    </row>
    <row r="198" spans="1:107" s="1178" customFormat="1" ht="11.25">
      <c r="A198" s="1661"/>
      <c r="B198" s="1661"/>
      <c r="C198" s="1660" t="s">
        <v>1156</v>
      </c>
      <c r="D198" s="1661"/>
      <c r="E198" s="1661"/>
      <c r="F198" s="1661"/>
      <c r="G198" s="1661"/>
      <c r="H198" s="1661"/>
      <c r="I198" s="1661"/>
      <c r="J198" s="1661"/>
      <c r="K198" s="1661"/>
      <c r="L198" s="1661"/>
      <c r="M198" s="1661"/>
      <c r="N198" s="1660"/>
      <c r="O198" s="1661"/>
      <c r="P198" s="1661"/>
      <c r="Q198" s="1661"/>
      <c r="R198" s="1661"/>
      <c r="S198" s="1660"/>
      <c r="T198" s="1661"/>
      <c r="U198" s="1661"/>
      <c r="V198" s="1661"/>
      <c r="W198" s="1661"/>
      <c r="X198" s="1660"/>
      <c r="Y198" s="1661"/>
      <c r="Z198" s="1661"/>
      <c r="AA198" s="1661"/>
      <c r="AB198" s="1661"/>
      <c r="AC198" s="1660"/>
      <c r="AD198" s="1661"/>
      <c r="AE198" s="1661"/>
      <c r="AF198" s="1661"/>
      <c r="AG198" s="1661"/>
      <c r="AH198" s="1660"/>
      <c r="AI198" s="1661"/>
      <c r="AJ198" s="1661"/>
      <c r="AK198" s="1661"/>
      <c r="AL198" s="1661"/>
      <c r="AM198" s="1660"/>
      <c r="AN198" s="1661"/>
      <c r="AO198" s="1661"/>
      <c r="AP198" s="1661"/>
      <c r="AQ198" s="1661"/>
      <c r="AR198" s="1660"/>
      <c r="AS198" s="1660"/>
      <c r="AT198" s="1660"/>
      <c r="AU198" s="1660"/>
      <c r="AV198" s="1660"/>
      <c r="AW198" s="1660"/>
      <c r="AX198" s="1660"/>
      <c r="AY198" s="1660"/>
      <c r="AZ198" s="1660"/>
      <c r="BA198" s="1660"/>
      <c r="BB198" s="1660"/>
      <c r="BC198" s="1660"/>
      <c r="BD198" s="1660"/>
      <c r="BE198" s="1660"/>
      <c r="BF198" s="1660"/>
      <c r="BG198" s="1660"/>
      <c r="BH198" s="1660"/>
      <c r="BI198" s="1660"/>
      <c r="BJ198" s="1660"/>
      <c r="BK198" s="1660"/>
      <c r="BL198" s="1659"/>
      <c r="BM198" s="1660"/>
      <c r="BN198" s="1660"/>
      <c r="BO198" s="1660"/>
      <c r="BP198" s="1660"/>
      <c r="BQ198" s="1659"/>
      <c r="BR198" s="1583"/>
      <c r="BS198" s="1583"/>
      <c r="BT198" s="1583"/>
      <c r="BU198" s="1583"/>
      <c r="BV198" s="1659"/>
      <c r="BW198" s="1583"/>
      <c r="BX198" s="1583"/>
      <c r="BY198" s="1583"/>
      <c r="BZ198" s="1583"/>
      <c r="CA198" s="1658"/>
      <c r="CB198" s="1578"/>
      <c r="CC198" s="1578"/>
      <c r="CD198" s="1578"/>
      <c r="CE198" s="1578"/>
      <c r="CF198" s="1657"/>
      <c r="CG198" s="1578"/>
      <c r="CH198" s="1578"/>
      <c r="CI198" s="1578"/>
      <c r="CJ198" s="1578"/>
      <c r="CK198" s="1657"/>
      <c r="CL198" s="1578"/>
      <c r="CM198" s="1578"/>
      <c r="CN198" s="1578"/>
      <c r="CO198" s="1578"/>
      <c r="CP198" s="1657"/>
      <c r="CQ198" s="1578"/>
      <c r="CR198" s="1578"/>
      <c r="CS198" s="1578"/>
      <c r="CT198" s="1578"/>
      <c r="CU198" s="1664"/>
      <c r="CV198" s="2123"/>
      <c r="CW198" s="2123"/>
      <c r="CX198" s="2123"/>
      <c r="CY198" s="2123"/>
      <c r="CZ198" s="1664"/>
      <c r="DA198" s="1664"/>
      <c r="DB198" s="1664"/>
      <c r="DC198" s="1664"/>
    </row>
    <row r="199" spans="1:107" s="1178" customFormat="1" ht="11.25">
      <c r="A199" s="1661"/>
      <c r="B199" s="1661"/>
      <c r="C199" s="1661" t="s">
        <v>1155</v>
      </c>
      <c r="D199" s="1661"/>
      <c r="E199" s="1661"/>
      <c r="F199" s="1661"/>
      <c r="G199" s="1661"/>
      <c r="H199" s="1661"/>
      <c r="I199" s="1661"/>
      <c r="J199" s="1661"/>
      <c r="K199" s="1661"/>
      <c r="L199" s="1661"/>
      <c r="M199" s="1661"/>
      <c r="N199" s="1660"/>
      <c r="O199" s="1661"/>
      <c r="P199" s="1661"/>
      <c r="Q199" s="1661"/>
      <c r="R199" s="1661"/>
      <c r="S199" s="1660"/>
      <c r="T199" s="1661"/>
      <c r="U199" s="1661"/>
      <c r="V199" s="1661"/>
      <c r="W199" s="1661"/>
      <c r="X199" s="1660"/>
      <c r="Y199" s="1661"/>
      <c r="Z199" s="1661"/>
      <c r="AA199" s="1661"/>
      <c r="AB199" s="1661"/>
      <c r="AC199" s="1660"/>
      <c r="AD199" s="1661"/>
      <c r="AE199" s="1661"/>
      <c r="AF199" s="1661"/>
      <c r="AG199" s="1661"/>
      <c r="AH199" s="1660"/>
      <c r="AI199" s="1661"/>
      <c r="AJ199" s="1661"/>
      <c r="AK199" s="1661"/>
      <c r="AL199" s="1661"/>
      <c r="AM199" s="1660"/>
      <c r="AN199" s="1661"/>
      <c r="AO199" s="1661"/>
      <c r="AP199" s="1661"/>
      <c r="AQ199" s="1661"/>
      <c r="AR199" s="1660"/>
      <c r="AS199" s="1660"/>
      <c r="AT199" s="1660"/>
      <c r="AU199" s="1660"/>
      <c r="AV199" s="1660"/>
      <c r="AW199" s="1660"/>
      <c r="AX199" s="1660"/>
      <c r="AY199" s="1660"/>
      <c r="AZ199" s="1660"/>
      <c r="BA199" s="1660"/>
      <c r="BB199" s="1660"/>
      <c r="BC199" s="1660"/>
      <c r="BD199" s="1660"/>
      <c r="BE199" s="1660"/>
      <c r="BF199" s="1660"/>
      <c r="BG199" s="1660"/>
      <c r="BH199" s="1660"/>
      <c r="BI199" s="1660"/>
      <c r="BJ199" s="1660"/>
      <c r="BK199" s="1660"/>
      <c r="BL199" s="1659"/>
      <c r="BM199" s="1660"/>
      <c r="BN199" s="1660"/>
      <c r="BO199" s="1660"/>
      <c r="BP199" s="1660"/>
      <c r="BQ199" s="1659"/>
      <c r="BR199" s="1583"/>
      <c r="BS199" s="1583"/>
      <c r="BT199" s="1583"/>
      <c r="BU199" s="1583"/>
      <c r="BV199" s="1659"/>
      <c r="BW199" s="1583"/>
      <c r="BX199" s="1583"/>
      <c r="BY199" s="1583"/>
      <c r="BZ199" s="1583"/>
      <c r="CA199" s="1658"/>
      <c r="CB199" s="1578"/>
      <c r="CC199" s="1578"/>
      <c r="CD199" s="1578"/>
      <c r="CE199" s="1578"/>
      <c r="CF199" s="1590"/>
      <c r="CG199" s="1662"/>
      <c r="CH199" s="1662"/>
      <c r="CI199" s="1662"/>
      <c r="CJ199" s="1662"/>
      <c r="CK199" s="1590">
        <v>28</v>
      </c>
      <c r="CL199" s="1662"/>
      <c r="CM199" s="1662"/>
      <c r="CN199" s="1662"/>
      <c r="CO199" s="1662"/>
      <c r="CP199" s="1590">
        <f>CK199</f>
        <v>28</v>
      </c>
      <c r="CQ199" s="1662"/>
      <c r="CR199" s="1662"/>
      <c r="CS199" s="1662"/>
      <c r="CT199" s="1662"/>
      <c r="CU199" s="1590">
        <v>48</v>
      </c>
      <c r="CV199" s="1662"/>
      <c r="CW199" s="1662"/>
      <c r="CX199" s="1662"/>
      <c r="CY199" s="1662"/>
      <c r="CZ199" s="1590">
        <v>60</v>
      </c>
      <c r="DA199" s="2243"/>
      <c r="DB199" s="2243"/>
      <c r="DC199" s="2243"/>
    </row>
    <row r="200" spans="1:107" s="1178" customFormat="1" ht="11.25">
      <c r="A200" s="1661"/>
      <c r="B200" s="1661"/>
      <c r="C200" s="1661" t="s">
        <v>1154</v>
      </c>
      <c r="D200" s="1661"/>
      <c r="E200" s="1661"/>
      <c r="F200" s="1661"/>
      <c r="G200" s="1661"/>
      <c r="H200" s="1661"/>
      <c r="I200" s="1661"/>
      <c r="J200" s="1661"/>
      <c r="K200" s="1661"/>
      <c r="L200" s="1661"/>
      <c r="M200" s="1661"/>
      <c r="N200" s="1660"/>
      <c r="O200" s="1661"/>
      <c r="P200" s="1661"/>
      <c r="Q200" s="1661"/>
      <c r="R200" s="1661"/>
      <c r="S200" s="1660"/>
      <c r="T200" s="1661"/>
      <c r="U200" s="1661"/>
      <c r="V200" s="1661"/>
      <c r="W200" s="1661"/>
      <c r="X200" s="1660"/>
      <c r="Y200" s="1661"/>
      <c r="Z200" s="1661"/>
      <c r="AA200" s="1661"/>
      <c r="AB200" s="1661"/>
      <c r="AC200" s="1660"/>
      <c r="AD200" s="1661"/>
      <c r="AE200" s="1661"/>
      <c r="AF200" s="1661"/>
      <c r="AG200" s="1661"/>
      <c r="AH200" s="1660"/>
      <c r="AI200" s="1661"/>
      <c r="AJ200" s="1661"/>
      <c r="AK200" s="1661"/>
      <c r="AL200" s="1661"/>
      <c r="AM200" s="1660"/>
      <c r="AN200" s="1661"/>
      <c r="AO200" s="1661"/>
      <c r="AP200" s="1661"/>
      <c r="AQ200" s="1661"/>
      <c r="AR200" s="1660"/>
      <c r="AS200" s="1660"/>
      <c r="AT200" s="1660"/>
      <c r="AU200" s="1660"/>
      <c r="AV200" s="1660"/>
      <c r="AW200" s="1660"/>
      <c r="AX200" s="1660"/>
      <c r="AY200" s="1660"/>
      <c r="AZ200" s="1660"/>
      <c r="BA200" s="1660"/>
      <c r="BB200" s="1660"/>
      <c r="BC200" s="1660"/>
      <c r="BD200" s="1660"/>
      <c r="BE200" s="1660"/>
      <c r="BF200" s="1660"/>
      <c r="BG200" s="1660"/>
      <c r="BH200" s="1660"/>
      <c r="BI200" s="1660"/>
      <c r="BJ200" s="1660"/>
      <c r="BK200" s="1660"/>
      <c r="BL200" s="1659"/>
      <c r="BM200" s="1660"/>
      <c r="BN200" s="1660"/>
      <c r="BO200" s="1660"/>
      <c r="BP200" s="1660"/>
      <c r="BQ200" s="1659"/>
      <c r="BR200" s="1583"/>
      <c r="BS200" s="1583"/>
      <c r="BT200" s="1583"/>
      <c r="BU200" s="1583"/>
      <c r="BV200" s="1659"/>
      <c r="BW200" s="1583"/>
      <c r="BX200" s="1583"/>
      <c r="BY200" s="1583"/>
      <c r="BZ200" s="1583"/>
      <c r="CA200" s="1658"/>
      <c r="CB200" s="1578"/>
      <c r="CC200" s="1578"/>
      <c r="CD200" s="1578"/>
      <c r="CE200" s="1578"/>
      <c r="CF200" s="1590"/>
      <c r="CG200" s="1662"/>
      <c r="CH200" s="1662"/>
      <c r="CI200" s="1662"/>
      <c r="CJ200" s="1662"/>
      <c r="CK200" s="1590">
        <v>6</v>
      </c>
      <c r="CL200" s="1662"/>
      <c r="CM200" s="1662"/>
      <c r="CN200" s="1662"/>
      <c r="CO200" s="1662"/>
      <c r="CP200" s="1590">
        <f>CK200</f>
        <v>6</v>
      </c>
      <c r="CQ200" s="1662"/>
      <c r="CR200" s="1662"/>
      <c r="CS200" s="1662"/>
      <c r="CT200" s="1662"/>
      <c r="CU200" s="1590">
        <v>14</v>
      </c>
      <c r="CV200" s="1662"/>
      <c r="CW200" s="1662"/>
      <c r="CX200" s="1662"/>
      <c r="CY200" s="1662"/>
      <c r="CZ200" s="1590">
        <v>20</v>
      </c>
      <c r="DA200" s="2243"/>
      <c r="DB200" s="2243"/>
      <c r="DC200" s="2243"/>
    </row>
    <row r="201" spans="1:107" s="1178" customFormat="1" ht="11.25">
      <c r="A201" s="1661"/>
      <c r="B201" s="1661"/>
      <c r="C201" s="1661" t="s">
        <v>1153</v>
      </c>
      <c r="D201" s="1661"/>
      <c r="E201" s="1661"/>
      <c r="F201" s="1661"/>
      <c r="G201" s="1661"/>
      <c r="H201" s="1661"/>
      <c r="I201" s="1661"/>
      <c r="J201" s="1661"/>
      <c r="K201" s="1661"/>
      <c r="L201" s="1661"/>
      <c r="M201" s="1661"/>
      <c r="N201" s="1660"/>
      <c r="O201" s="1661"/>
      <c r="P201" s="1661"/>
      <c r="Q201" s="1661"/>
      <c r="R201" s="1661"/>
      <c r="S201" s="1660"/>
      <c r="T201" s="1661"/>
      <c r="U201" s="1661"/>
      <c r="V201" s="1661"/>
      <c r="W201" s="1661"/>
      <c r="X201" s="1660"/>
      <c r="Y201" s="1661"/>
      <c r="Z201" s="1661"/>
      <c r="AA201" s="1661"/>
      <c r="AB201" s="1661"/>
      <c r="AC201" s="1660"/>
      <c r="AD201" s="1661"/>
      <c r="AE201" s="1661"/>
      <c r="AF201" s="1661"/>
      <c r="AG201" s="1661"/>
      <c r="AH201" s="1660"/>
      <c r="AI201" s="1661"/>
      <c r="AJ201" s="1661"/>
      <c r="AK201" s="1661"/>
      <c r="AL201" s="1661"/>
      <c r="AM201" s="1660"/>
      <c r="AN201" s="1661"/>
      <c r="AO201" s="1661"/>
      <c r="AP201" s="1661"/>
      <c r="AQ201" s="1661"/>
      <c r="AR201" s="1660"/>
      <c r="AS201" s="1660"/>
      <c r="AT201" s="1660"/>
      <c r="AU201" s="1660"/>
      <c r="AV201" s="1660"/>
      <c r="AW201" s="1660"/>
      <c r="AX201" s="1660"/>
      <c r="AY201" s="1660"/>
      <c r="AZ201" s="1660"/>
      <c r="BA201" s="1660"/>
      <c r="BB201" s="1660"/>
      <c r="BC201" s="1660"/>
      <c r="BD201" s="1660"/>
      <c r="BE201" s="1660"/>
      <c r="BF201" s="1660"/>
      <c r="BG201" s="1660"/>
      <c r="BH201" s="1660"/>
      <c r="BI201" s="1660"/>
      <c r="BJ201" s="1660"/>
      <c r="BK201" s="1660"/>
      <c r="BL201" s="1659"/>
      <c r="BM201" s="1660"/>
      <c r="BN201" s="1660"/>
      <c r="BO201" s="1660"/>
      <c r="BP201" s="1660"/>
      <c r="BQ201" s="1659"/>
      <c r="BR201" s="1583"/>
      <c r="BS201" s="1583"/>
      <c r="BT201" s="1583"/>
      <c r="BU201" s="1583"/>
      <c r="BV201" s="1659"/>
      <c r="BW201" s="1583"/>
      <c r="BX201" s="1583"/>
      <c r="BY201" s="1583"/>
      <c r="BZ201" s="1583"/>
      <c r="CA201" s="1658"/>
      <c r="CB201" s="1578"/>
      <c r="CC201" s="1578"/>
      <c r="CD201" s="1578"/>
      <c r="CE201" s="1578"/>
      <c r="CF201" s="1590"/>
      <c r="CG201" s="1662"/>
      <c r="CH201" s="1662"/>
      <c r="CI201" s="1662"/>
      <c r="CJ201" s="1662"/>
      <c r="CK201" s="1590">
        <v>4</v>
      </c>
      <c r="CL201" s="1662"/>
      <c r="CM201" s="1662"/>
      <c r="CN201" s="1662"/>
      <c r="CO201" s="1662"/>
      <c r="CP201" s="1590">
        <f>CK201</f>
        <v>4</v>
      </c>
      <c r="CQ201" s="1662"/>
      <c r="CR201" s="1662"/>
      <c r="CS201" s="1662"/>
      <c r="CT201" s="1662"/>
      <c r="CU201" s="1590">
        <v>4</v>
      </c>
      <c r="CV201" s="1662"/>
      <c r="CW201" s="1662"/>
      <c r="CX201" s="1662"/>
      <c r="CY201" s="1662"/>
      <c r="CZ201" s="1590">
        <v>8</v>
      </c>
      <c r="DA201" s="2243"/>
      <c r="DB201" s="2243"/>
      <c r="DC201" s="2243"/>
    </row>
    <row r="202" spans="1:107" s="1178" customFormat="1" ht="11.25">
      <c r="A202" s="1661"/>
      <c r="B202" s="1661"/>
      <c r="C202" s="1661" t="s">
        <v>1152</v>
      </c>
      <c r="D202" s="1661"/>
      <c r="E202" s="1661"/>
      <c r="F202" s="1661"/>
      <c r="G202" s="1661"/>
      <c r="H202" s="1661"/>
      <c r="I202" s="1661"/>
      <c r="J202" s="1661"/>
      <c r="K202" s="1661"/>
      <c r="L202" s="1661"/>
      <c r="M202" s="1661"/>
      <c r="N202" s="1660"/>
      <c r="O202" s="1661"/>
      <c r="P202" s="1661"/>
      <c r="Q202" s="1661"/>
      <c r="R202" s="1661"/>
      <c r="S202" s="1660"/>
      <c r="T202" s="1661"/>
      <c r="U202" s="1661"/>
      <c r="V202" s="1661"/>
      <c r="W202" s="1661"/>
      <c r="X202" s="1660"/>
      <c r="Y202" s="1661"/>
      <c r="Z202" s="1661"/>
      <c r="AA202" s="1661"/>
      <c r="AB202" s="1661"/>
      <c r="AC202" s="1660"/>
      <c r="AD202" s="1661"/>
      <c r="AE202" s="1661"/>
      <c r="AF202" s="1661"/>
      <c r="AG202" s="1661"/>
      <c r="AH202" s="1660"/>
      <c r="AI202" s="1661"/>
      <c r="AJ202" s="1661"/>
      <c r="AK202" s="1661"/>
      <c r="AL202" s="1661"/>
      <c r="AM202" s="1660"/>
      <c r="AN202" s="1661"/>
      <c r="AO202" s="1661"/>
      <c r="AP202" s="1661"/>
      <c r="AQ202" s="1661"/>
      <c r="AR202" s="1660"/>
      <c r="AS202" s="1660"/>
      <c r="AT202" s="1660"/>
      <c r="AU202" s="1660"/>
      <c r="AV202" s="1660"/>
      <c r="AW202" s="1660"/>
      <c r="AX202" s="1660"/>
      <c r="AY202" s="1660"/>
      <c r="AZ202" s="1660"/>
      <c r="BA202" s="1660"/>
      <c r="BB202" s="1660"/>
      <c r="BC202" s="1660"/>
      <c r="BD202" s="1660"/>
      <c r="BE202" s="1660"/>
      <c r="BF202" s="1660"/>
      <c r="BG202" s="1660"/>
      <c r="BH202" s="1660"/>
      <c r="BI202" s="1660"/>
      <c r="BJ202" s="1660"/>
      <c r="BK202" s="1660"/>
      <c r="BL202" s="1659"/>
      <c r="BM202" s="1660"/>
      <c r="BN202" s="1660"/>
      <c r="BO202" s="1660"/>
      <c r="BP202" s="1660"/>
      <c r="BQ202" s="1659"/>
      <c r="BR202" s="1583"/>
      <c r="BS202" s="1583"/>
      <c r="BT202" s="1583"/>
      <c r="BU202" s="1583"/>
      <c r="BV202" s="1659"/>
      <c r="BW202" s="1583"/>
      <c r="BX202" s="1583"/>
      <c r="BY202" s="1583"/>
      <c r="BZ202" s="1583"/>
      <c r="CA202" s="1658"/>
      <c r="CB202" s="1578"/>
      <c r="CC202" s="1578"/>
      <c r="CD202" s="1578"/>
      <c r="CE202" s="1578"/>
      <c r="CF202" s="1590"/>
      <c r="CG202" s="1662"/>
      <c r="CH202" s="1662"/>
      <c r="CI202" s="1662"/>
      <c r="CJ202" s="1662"/>
      <c r="CK202" s="1590">
        <f>SUM(CK199:CK201)</f>
        <v>38</v>
      </c>
      <c r="CL202" s="1662"/>
      <c r="CM202" s="1662"/>
      <c r="CN202" s="1662"/>
      <c r="CO202" s="1662"/>
      <c r="CP202" s="1590">
        <f>SUM(CP199:CP201)</f>
        <v>38</v>
      </c>
      <c r="CQ202" s="1662"/>
      <c r="CR202" s="1662"/>
      <c r="CS202" s="1662"/>
      <c r="CT202" s="1662"/>
      <c r="CU202" s="1590">
        <f>SUM(CU199:CU201)</f>
        <v>66</v>
      </c>
      <c r="CV202" s="1662"/>
      <c r="CW202" s="1662"/>
      <c r="CX202" s="1662"/>
      <c r="CY202" s="1662"/>
      <c r="CZ202" s="1590">
        <f>SUM(CZ199:CZ201)</f>
        <v>88</v>
      </c>
      <c r="DA202" s="2243">
        <v>120</v>
      </c>
      <c r="DB202" s="2243">
        <v>160</v>
      </c>
      <c r="DC202" s="2243">
        <v>180</v>
      </c>
    </row>
    <row r="203" spans="1:107" s="1178" customFormat="1" ht="11.25">
      <c r="A203" s="1661"/>
      <c r="B203" s="1661"/>
      <c r="C203" s="1661" t="s">
        <v>569</v>
      </c>
      <c r="D203" s="1661"/>
      <c r="E203" s="1661"/>
      <c r="F203" s="1661"/>
      <c r="G203" s="1661"/>
      <c r="H203" s="1661"/>
      <c r="I203" s="1661"/>
      <c r="J203" s="1661"/>
      <c r="K203" s="1661"/>
      <c r="L203" s="1661"/>
      <c r="M203" s="1661"/>
      <c r="N203" s="1660"/>
      <c r="O203" s="1661"/>
      <c r="P203" s="1661"/>
      <c r="Q203" s="1661"/>
      <c r="R203" s="1661"/>
      <c r="S203" s="1660"/>
      <c r="T203" s="1661"/>
      <c r="U203" s="1661"/>
      <c r="V203" s="1661"/>
      <c r="W203" s="1661"/>
      <c r="X203" s="1660"/>
      <c r="Y203" s="1661"/>
      <c r="Z203" s="1661"/>
      <c r="AA203" s="1661"/>
      <c r="AB203" s="1661"/>
      <c r="AC203" s="1660"/>
      <c r="AD203" s="1661"/>
      <c r="AE203" s="1661"/>
      <c r="AF203" s="1661"/>
      <c r="AG203" s="1661"/>
      <c r="AH203" s="1660"/>
      <c r="AI203" s="1661"/>
      <c r="AJ203" s="1661"/>
      <c r="AK203" s="1661"/>
      <c r="AL203" s="1661"/>
      <c r="AM203" s="1660"/>
      <c r="AN203" s="1661"/>
      <c r="AO203" s="1661"/>
      <c r="AP203" s="1661"/>
      <c r="AQ203" s="1661"/>
      <c r="AR203" s="1660"/>
      <c r="AS203" s="1660"/>
      <c r="AT203" s="1660"/>
      <c r="AU203" s="1660"/>
      <c r="AV203" s="1660"/>
      <c r="AW203" s="1660"/>
      <c r="AX203" s="1660"/>
      <c r="AY203" s="1660"/>
      <c r="AZ203" s="1660"/>
      <c r="BA203" s="1660"/>
      <c r="BB203" s="1660"/>
      <c r="BC203" s="1660"/>
      <c r="BD203" s="1660"/>
      <c r="BE203" s="1660"/>
      <c r="BF203" s="1660"/>
      <c r="BG203" s="1660"/>
      <c r="BH203" s="1660"/>
      <c r="BI203" s="1660"/>
      <c r="BJ203" s="1660"/>
      <c r="BK203" s="1660"/>
      <c r="BL203" s="1659"/>
      <c r="BM203" s="1660"/>
      <c r="BN203" s="1660"/>
      <c r="BO203" s="1660"/>
      <c r="BP203" s="1660"/>
      <c r="BQ203" s="1659"/>
      <c r="BR203" s="1583"/>
      <c r="BS203" s="1583"/>
      <c r="BT203" s="1583"/>
      <c r="BU203" s="1583"/>
      <c r="BV203" s="1659"/>
      <c r="BW203" s="1583"/>
      <c r="BX203" s="1583"/>
      <c r="BY203" s="1583"/>
      <c r="BZ203" s="1583"/>
      <c r="CA203" s="1658"/>
      <c r="CB203" s="1578"/>
      <c r="CC203" s="1578"/>
      <c r="CD203" s="1578"/>
      <c r="CE203" s="1578"/>
      <c r="CF203" s="1590"/>
      <c r="CG203" s="1662"/>
      <c r="CH203" s="1662"/>
      <c r="CI203" s="1662"/>
      <c r="CJ203" s="1662"/>
      <c r="CK203" s="1590">
        <v>25</v>
      </c>
      <c r="CL203" s="1662"/>
      <c r="CM203" s="1662"/>
      <c r="CN203" s="1662"/>
      <c r="CO203" s="1662"/>
      <c r="CP203" s="1590">
        <f>CP204-CP202</f>
        <v>37</v>
      </c>
      <c r="CQ203" s="1662"/>
      <c r="CR203" s="1662"/>
      <c r="CS203" s="1662"/>
      <c r="CT203" s="1662"/>
      <c r="CU203" s="1590">
        <v>59</v>
      </c>
      <c r="CV203" s="1662"/>
      <c r="CW203" s="1662"/>
      <c r="CX203" s="1662"/>
      <c r="CY203" s="1662"/>
      <c r="CZ203" s="1590">
        <v>70</v>
      </c>
      <c r="DA203" s="2243">
        <f>CZ203</f>
        <v>70</v>
      </c>
      <c r="DB203" s="2243">
        <f>DA203</f>
        <v>70</v>
      </c>
      <c r="DC203" s="2243">
        <f>DB203</f>
        <v>70</v>
      </c>
    </row>
    <row r="204" spans="1:107" s="1178" customFormat="1" ht="11.25">
      <c r="A204" s="1661"/>
      <c r="B204" s="1661"/>
      <c r="C204" s="1660" t="s">
        <v>1030</v>
      </c>
      <c r="D204" s="1661"/>
      <c r="E204" s="1661"/>
      <c r="F204" s="1661"/>
      <c r="G204" s="1661"/>
      <c r="H204" s="1661"/>
      <c r="I204" s="1661"/>
      <c r="J204" s="1661"/>
      <c r="K204" s="1661"/>
      <c r="L204" s="1661"/>
      <c r="M204" s="1661"/>
      <c r="N204" s="1660"/>
      <c r="O204" s="1661"/>
      <c r="P204" s="1661"/>
      <c r="Q204" s="1661"/>
      <c r="R204" s="1661"/>
      <c r="S204" s="1660"/>
      <c r="T204" s="1661"/>
      <c r="U204" s="1661"/>
      <c r="V204" s="1661"/>
      <c r="W204" s="1661"/>
      <c r="X204" s="1660"/>
      <c r="Y204" s="1661"/>
      <c r="Z204" s="1661"/>
      <c r="AA204" s="1661"/>
      <c r="AB204" s="1661"/>
      <c r="AC204" s="1660"/>
      <c r="AD204" s="1661"/>
      <c r="AE204" s="1661"/>
      <c r="AF204" s="1661"/>
      <c r="AG204" s="1661"/>
      <c r="AH204" s="1660"/>
      <c r="AI204" s="1661"/>
      <c r="AJ204" s="1661"/>
      <c r="AK204" s="1661"/>
      <c r="AL204" s="1661"/>
      <c r="AM204" s="1660"/>
      <c r="AN204" s="1661"/>
      <c r="AO204" s="1661"/>
      <c r="AP204" s="1661"/>
      <c r="AQ204" s="1661"/>
      <c r="AR204" s="1660"/>
      <c r="AS204" s="1660"/>
      <c r="AT204" s="1660"/>
      <c r="AU204" s="1660"/>
      <c r="AV204" s="1660"/>
      <c r="AW204" s="1660"/>
      <c r="AX204" s="1660"/>
      <c r="AY204" s="1660"/>
      <c r="AZ204" s="1660"/>
      <c r="BA204" s="1660"/>
      <c r="BB204" s="1660"/>
      <c r="BC204" s="1660"/>
      <c r="BD204" s="1660"/>
      <c r="BE204" s="1660"/>
      <c r="BF204" s="1660"/>
      <c r="BG204" s="1660"/>
      <c r="BH204" s="1660"/>
      <c r="BI204" s="1660"/>
      <c r="BJ204" s="1660"/>
      <c r="BK204" s="1660"/>
      <c r="BL204" s="1659"/>
      <c r="BM204" s="1660"/>
      <c r="BN204" s="1660"/>
      <c r="BO204" s="1660"/>
      <c r="BP204" s="1660"/>
      <c r="BQ204" s="1659"/>
      <c r="BR204" s="1583"/>
      <c r="BS204" s="1583"/>
      <c r="BT204" s="1583"/>
      <c r="BU204" s="1583"/>
      <c r="BV204" s="1659"/>
      <c r="BW204" s="1583"/>
      <c r="BX204" s="1583"/>
      <c r="BY204" s="1583"/>
      <c r="BZ204" s="1583"/>
      <c r="CA204" s="1658"/>
      <c r="CB204" s="1578"/>
      <c r="CC204" s="1578"/>
      <c r="CD204" s="1578"/>
      <c r="CE204" s="1578"/>
      <c r="CF204" s="1658">
        <v>46</v>
      </c>
      <c r="CG204" s="1662"/>
      <c r="CH204" s="1662"/>
      <c r="CI204" s="1662"/>
      <c r="CJ204" s="1662"/>
      <c r="CK204" s="1658">
        <f>SUM(CK202:CK203)</f>
        <v>63</v>
      </c>
      <c r="CL204" s="1662"/>
      <c r="CM204" s="1662"/>
      <c r="CN204" s="1662"/>
      <c r="CO204" s="1662"/>
      <c r="CP204" s="1658">
        <f>DI121</f>
        <v>75</v>
      </c>
      <c r="CQ204" s="1662"/>
      <c r="CR204" s="1662"/>
      <c r="CS204" s="1662"/>
      <c r="CT204" s="1662"/>
      <c r="CU204" s="1658">
        <f>SUM(CU202:CU203)</f>
        <v>125</v>
      </c>
      <c r="CV204" s="1662"/>
      <c r="CW204" s="1662"/>
      <c r="CX204" s="1662"/>
      <c r="CY204" s="1662"/>
      <c r="CZ204" s="1658">
        <f>SUM(CZ202:CZ203)</f>
        <v>158</v>
      </c>
      <c r="DA204" s="2249">
        <f>AVERAGE(CZ204,DB204)</f>
        <v>179</v>
      </c>
      <c r="DB204" s="2249">
        <v>200</v>
      </c>
      <c r="DC204" s="2249">
        <f>DB204</f>
        <v>200</v>
      </c>
    </row>
    <row r="205" spans="1:107" s="1178" customFormat="1" ht="11.25">
      <c r="A205" s="1661"/>
      <c r="B205" s="1661"/>
      <c r="C205" s="1660"/>
      <c r="D205" s="1661"/>
      <c r="E205" s="1661"/>
      <c r="F205" s="1661"/>
      <c r="G205" s="1661"/>
      <c r="H205" s="1661"/>
      <c r="I205" s="1661"/>
      <c r="J205" s="1661"/>
      <c r="K205" s="1661"/>
      <c r="L205" s="1661"/>
      <c r="M205" s="1661"/>
      <c r="N205" s="1660"/>
      <c r="O205" s="1661"/>
      <c r="P205" s="1661"/>
      <c r="Q205" s="1661"/>
      <c r="R205" s="1661"/>
      <c r="S205" s="1660"/>
      <c r="T205" s="1661"/>
      <c r="U205" s="1661"/>
      <c r="V205" s="1661"/>
      <c r="W205" s="1661"/>
      <c r="X205" s="1660"/>
      <c r="Y205" s="1661"/>
      <c r="Z205" s="1661"/>
      <c r="AA205" s="1661"/>
      <c r="AB205" s="1661"/>
      <c r="AC205" s="1660"/>
      <c r="AD205" s="1661"/>
      <c r="AE205" s="1661"/>
      <c r="AF205" s="1661"/>
      <c r="AG205" s="1661"/>
      <c r="AH205" s="1660"/>
      <c r="AI205" s="1661"/>
      <c r="AJ205" s="1661"/>
      <c r="AK205" s="1661"/>
      <c r="AL205" s="1661"/>
      <c r="AM205" s="1660"/>
      <c r="AN205" s="1661"/>
      <c r="AO205" s="1661"/>
      <c r="AP205" s="1661"/>
      <c r="AQ205" s="1661"/>
      <c r="AR205" s="1660"/>
      <c r="AS205" s="1660"/>
      <c r="AT205" s="1660"/>
      <c r="AU205" s="1660"/>
      <c r="AV205" s="1660"/>
      <c r="AW205" s="1660"/>
      <c r="AX205" s="1660"/>
      <c r="AY205" s="1660"/>
      <c r="AZ205" s="1660"/>
      <c r="BA205" s="1660"/>
      <c r="BB205" s="1660"/>
      <c r="BC205" s="1660"/>
      <c r="BD205" s="1660"/>
      <c r="BE205" s="1660"/>
      <c r="BF205" s="1660"/>
      <c r="BG205" s="1660"/>
      <c r="BH205" s="1660"/>
      <c r="BI205" s="1660"/>
      <c r="BJ205" s="1660"/>
      <c r="BK205" s="1660"/>
      <c r="BL205" s="1659"/>
      <c r="BM205" s="1660"/>
      <c r="BN205" s="1660"/>
      <c r="BO205" s="1660"/>
      <c r="BP205" s="1660"/>
      <c r="BQ205" s="1659"/>
      <c r="BR205" s="1583"/>
      <c r="BS205" s="1583"/>
      <c r="BT205" s="1583"/>
      <c r="BU205" s="1583"/>
      <c r="BV205" s="1659"/>
      <c r="BW205" s="1583"/>
      <c r="BX205" s="1583"/>
      <c r="BY205" s="1583"/>
      <c r="BZ205" s="1583"/>
      <c r="CA205" s="1658"/>
      <c r="CB205" s="1578"/>
      <c r="CC205" s="1578"/>
      <c r="CD205" s="1578"/>
      <c r="CE205" s="1578"/>
      <c r="CF205" s="1658"/>
      <c r="CG205" s="1662"/>
      <c r="CH205" s="1662"/>
      <c r="CI205" s="1662"/>
      <c r="CJ205" s="1662"/>
      <c r="CK205" s="1658"/>
      <c r="CL205" s="1662"/>
      <c r="CM205" s="1662"/>
      <c r="CN205" s="1662"/>
      <c r="CO205" s="1662"/>
      <c r="CP205" s="1658"/>
      <c r="CQ205" s="1662"/>
      <c r="CR205" s="1662"/>
      <c r="CS205" s="1662"/>
      <c r="CT205" s="1662"/>
      <c r="CU205" s="1658"/>
      <c r="CV205" s="1662"/>
      <c r="CW205" s="1662"/>
      <c r="CX205" s="1662"/>
      <c r="CY205" s="1662"/>
      <c r="CZ205" s="1658"/>
      <c r="DA205" s="1658"/>
      <c r="DB205" s="1658"/>
      <c r="DC205" s="1658"/>
    </row>
    <row r="206" spans="1:107" s="1178" customFormat="1" ht="11.25">
      <c r="A206" s="1661"/>
      <c r="B206" s="1661"/>
      <c r="C206" s="1661" t="s">
        <v>1151</v>
      </c>
      <c r="D206" s="1661"/>
      <c r="E206" s="1661"/>
      <c r="F206" s="1661"/>
      <c r="G206" s="1661"/>
      <c r="H206" s="1661"/>
      <c r="I206" s="1661"/>
      <c r="J206" s="1661"/>
      <c r="K206" s="1661"/>
      <c r="L206" s="1661"/>
      <c r="M206" s="1661"/>
      <c r="N206" s="1660"/>
      <c r="O206" s="1661"/>
      <c r="P206" s="1661"/>
      <c r="Q206" s="1661"/>
      <c r="R206" s="1661"/>
      <c r="S206" s="1660"/>
      <c r="T206" s="1661"/>
      <c r="U206" s="1661"/>
      <c r="V206" s="1661"/>
      <c r="W206" s="1661"/>
      <c r="X206" s="1660"/>
      <c r="Y206" s="1661"/>
      <c r="Z206" s="1661"/>
      <c r="AA206" s="1661"/>
      <c r="AB206" s="1661"/>
      <c r="AC206" s="1660"/>
      <c r="AD206" s="1661"/>
      <c r="AE206" s="1661"/>
      <c r="AF206" s="1661"/>
      <c r="AG206" s="1661"/>
      <c r="AH206" s="1660"/>
      <c r="AI206" s="1661"/>
      <c r="AJ206" s="1661"/>
      <c r="AK206" s="1661"/>
      <c r="AL206" s="1661"/>
      <c r="AM206" s="1660"/>
      <c r="AN206" s="1661"/>
      <c r="AO206" s="1661"/>
      <c r="AP206" s="1661"/>
      <c r="AQ206" s="1661"/>
      <c r="AR206" s="1660"/>
      <c r="AS206" s="1660"/>
      <c r="AT206" s="1660"/>
      <c r="AU206" s="1660"/>
      <c r="AV206" s="1660"/>
      <c r="AW206" s="1660"/>
      <c r="AX206" s="1660"/>
      <c r="AY206" s="1660"/>
      <c r="AZ206" s="1660"/>
      <c r="BA206" s="1660"/>
      <c r="BB206" s="1660"/>
      <c r="BC206" s="1660"/>
      <c r="BD206" s="1660"/>
      <c r="BE206" s="1660"/>
      <c r="BF206" s="1660"/>
      <c r="BG206" s="1660"/>
      <c r="BH206" s="1660"/>
      <c r="BI206" s="1660"/>
      <c r="BJ206" s="1660"/>
      <c r="BK206" s="1660"/>
      <c r="BL206" s="1659"/>
      <c r="BM206" s="1660"/>
      <c r="BN206" s="1660"/>
      <c r="BO206" s="1660"/>
      <c r="BP206" s="1660"/>
      <c r="BQ206" s="1659"/>
      <c r="BR206" s="1583"/>
      <c r="BS206" s="1583"/>
      <c r="BT206" s="1583"/>
      <c r="BU206" s="1583"/>
      <c r="BV206" s="1659"/>
      <c r="BW206" s="1583"/>
      <c r="BX206" s="1583"/>
      <c r="BY206" s="1583"/>
      <c r="BZ206" s="1583"/>
      <c r="CA206" s="1658"/>
      <c r="CB206" s="1578"/>
      <c r="CC206" s="1578"/>
      <c r="CD206" s="1578"/>
      <c r="CE206" s="1578"/>
      <c r="CF206" s="1657"/>
      <c r="CG206" s="1578"/>
      <c r="CH206" s="1578"/>
      <c r="CI206" s="1578"/>
      <c r="CJ206" s="1578"/>
      <c r="CK206" s="1658"/>
      <c r="CL206" s="1578"/>
      <c r="CM206" s="1578"/>
      <c r="CN206" s="1578"/>
      <c r="CO206" s="1578"/>
      <c r="CP206" s="1590"/>
      <c r="CQ206" s="1578"/>
      <c r="CR206" s="1578"/>
      <c r="CS206" s="1578"/>
      <c r="CT206" s="1578"/>
      <c r="CU206" s="1590"/>
      <c r="CV206" s="2123"/>
      <c r="CW206" s="2123"/>
      <c r="CX206" s="2123"/>
      <c r="CY206" s="2123"/>
      <c r="CZ206" s="1590"/>
      <c r="DA206" s="1590"/>
      <c r="DB206" s="2234"/>
      <c r="DC206" s="2234"/>
    </row>
    <row r="207" spans="1:107" s="1178" customFormat="1" ht="11.25">
      <c r="A207" s="1661"/>
      <c r="B207" s="1661"/>
      <c r="C207" s="1661" t="s">
        <v>10</v>
      </c>
      <c r="D207" s="1661"/>
      <c r="E207" s="1661"/>
      <c r="F207" s="1661"/>
      <c r="G207" s="1661"/>
      <c r="H207" s="1661"/>
      <c r="I207" s="1661"/>
      <c r="J207" s="1661"/>
      <c r="K207" s="1661"/>
      <c r="L207" s="1661"/>
      <c r="M207" s="1661"/>
      <c r="N207" s="1660"/>
      <c r="O207" s="1661"/>
      <c r="P207" s="1661"/>
      <c r="Q207" s="1661"/>
      <c r="R207" s="1661"/>
      <c r="S207" s="1660"/>
      <c r="T207" s="1661"/>
      <c r="U207" s="1661"/>
      <c r="V207" s="1661"/>
      <c r="W207" s="1661"/>
      <c r="X207" s="1660"/>
      <c r="Y207" s="1661"/>
      <c r="Z207" s="1661"/>
      <c r="AA207" s="1661"/>
      <c r="AB207" s="1661"/>
      <c r="AC207" s="1660"/>
      <c r="AD207" s="1661"/>
      <c r="AE207" s="1661"/>
      <c r="AF207" s="1661"/>
      <c r="AG207" s="1661"/>
      <c r="AH207" s="1660"/>
      <c r="AI207" s="1661"/>
      <c r="AJ207" s="1661"/>
      <c r="AK207" s="1661"/>
      <c r="AL207" s="1661"/>
      <c r="AM207" s="1660"/>
      <c r="AN207" s="1661"/>
      <c r="AO207" s="1661"/>
      <c r="AP207" s="1661"/>
      <c r="AQ207" s="1661"/>
      <c r="AR207" s="1660"/>
      <c r="AS207" s="1660"/>
      <c r="AT207" s="1660"/>
      <c r="AU207" s="1660"/>
      <c r="AV207" s="1660"/>
      <c r="AW207" s="1660"/>
      <c r="AX207" s="1660"/>
      <c r="AY207" s="1660"/>
      <c r="AZ207" s="1660"/>
      <c r="BA207" s="1660"/>
      <c r="BB207" s="1660"/>
      <c r="BC207" s="1660"/>
      <c r="BD207" s="1660"/>
      <c r="BE207" s="1660"/>
      <c r="BF207" s="1660"/>
      <c r="BG207" s="1660"/>
      <c r="BH207" s="1660"/>
      <c r="BI207" s="1660"/>
      <c r="BJ207" s="1660"/>
      <c r="BK207" s="1660"/>
      <c r="BL207" s="1659"/>
      <c r="BM207" s="1660"/>
      <c r="BN207" s="1660"/>
      <c r="BO207" s="1660"/>
      <c r="BP207" s="1660"/>
      <c r="BQ207" s="1659"/>
      <c r="BR207" s="1583"/>
      <c r="BS207" s="1583"/>
      <c r="BT207" s="1583"/>
      <c r="BU207" s="1583"/>
      <c r="BV207" s="1659"/>
      <c r="BW207" s="1583"/>
      <c r="BX207" s="1583"/>
      <c r="BY207" s="1583"/>
      <c r="BZ207" s="1583"/>
      <c r="CA207" s="1658"/>
      <c r="CB207" s="1578"/>
      <c r="CC207" s="1578"/>
      <c r="CD207" s="1578"/>
      <c r="CE207" s="1578"/>
      <c r="CF207" s="1657"/>
      <c r="CG207" s="1578"/>
      <c r="CH207" s="1578"/>
      <c r="CI207" s="1578"/>
      <c r="CJ207" s="1578"/>
      <c r="CK207" s="1590">
        <v>15</v>
      </c>
      <c r="CL207" s="1578"/>
      <c r="CM207" s="1578"/>
      <c r="CN207" s="1578"/>
      <c r="CO207" s="1578"/>
      <c r="CP207" s="1590">
        <f>CK207</f>
        <v>15</v>
      </c>
      <c r="CQ207" s="1578"/>
      <c r="CR207" s="1578"/>
      <c r="CS207" s="1578"/>
      <c r="CT207" s="1578"/>
      <c r="CU207" s="1590">
        <f>CP207</f>
        <v>15</v>
      </c>
      <c r="CV207" s="2123"/>
      <c r="CW207" s="2123"/>
      <c r="CX207" s="2123"/>
      <c r="CY207" s="2123"/>
      <c r="CZ207" s="1590">
        <f>CU207*0.95</f>
        <v>14.25</v>
      </c>
      <c r="DA207" s="1590">
        <f t="shared" ref="DA207:DC208" si="83">CZ207*0.95</f>
        <v>13.5375</v>
      </c>
      <c r="DB207" s="2234">
        <f t="shared" si="83"/>
        <v>12.860624999999999</v>
      </c>
      <c r="DC207" s="2234">
        <f t="shared" si="83"/>
        <v>12.217593749999999</v>
      </c>
    </row>
    <row r="208" spans="1:107" s="1178" customFormat="1" ht="11.25">
      <c r="A208" s="1661"/>
      <c r="B208" s="1661"/>
      <c r="C208" s="1661" t="s">
        <v>569</v>
      </c>
      <c r="D208" s="1661"/>
      <c r="E208" s="1661"/>
      <c r="F208" s="1661"/>
      <c r="G208" s="1661"/>
      <c r="H208" s="1661"/>
      <c r="I208" s="1661"/>
      <c r="J208" s="1661"/>
      <c r="K208" s="1661"/>
      <c r="L208" s="1661"/>
      <c r="M208" s="1661"/>
      <c r="N208" s="1660"/>
      <c r="O208" s="1661"/>
      <c r="P208" s="1661"/>
      <c r="Q208" s="1661"/>
      <c r="R208" s="1661"/>
      <c r="S208" s="1660"/>
      <c r="T208" s="1661"/>
      <c r="U208" s="1661"/>
      <c r="V208" s="1661"/>
      <c r="W208" s="1661"/>
      <c r="X208" s="1660"/>
      <c r="Y208" s="1661"/>
      <c r="Z208" s="1661"/>
      <c r="AA208" s="1661"/>
      <c r="AB208" s="1661"/>
      <c r="AC208" s="1660"/>
      <c r="AD208" s="1661"/>
      <c r="AE208" s="1661"/>
      <c r="AF208" s="1661"/>
      <c r="AG208" s="1661"/>
      <c r="AH208" s="1660"/>
      <c r="AI208" s="1661"/>
      <c r="AJ208" s="1661"/>
      <c r="AK208" s="1661"/>
      <c r="AL208" s="1661"/>
      <c r="AM208" s="1660"/>
      <c r="AN208" s="1661"/>
      <c r="AO208" s="1661"/>
      <c r="AP208" s="1661"/>
      <c r="AQ208" s="1661"/>
      <c r="AR208" s="1660"/>
      <c r="AS208" s="1660"/>
      <c r="AT208" s="1660"/>
      <c r="AU208" s="1660"/>
      <c r="AV208" s="1660"/>
      <c r="AW208" s="1660"/>
      <c r="AX208" s="1660"/>
      <c r="AY208" s="1660"/>
      <c r="AZ208" s="1660"/>
      <c r="BA208" s="1660"/>
      <c r="BB208" s="1660"/>
      <c r="BC208" s="1660"/>
      <c r="BD208" s="1660"/>
      <c r="BE208" s="1660"/>
      <c r="BF208" s="1660"/>
      <c r="BG208" s="1660"/>
      <c r="BH208" s="1660"/>
      <c r="BI208" s="1660"/>
      <c r="BJ208" s="1660"/>
      <c r="BK208" s="1660"/>
      <c r="BL208" s="1659"/>
      <c r="BM208" s="1660"/>
      <c r="BN208" s="1660"/>
      <c r="BO208" s="1660"/>
      <c r="BP208" s="1660"/>
      <c r="BQ208" s="1659"/>
      <c r="BR208" s="1583"/>
      <c r="BS208" s="1583"/>
      <c r="BT208" s="1583"/>
      <c r="BU208" s="1583"/>
      <c r="BV208" s="1659"/>
      <c r="BW208" s="1583"/>
      <c r="BX208" s="1583"/>
      <c r="BY208" s="1583"/>
      <c r="BZ208" s="1583"/>
      <c r="CA208" s="1658"/>
      <c r="CB208" s="1578"/>
      <c r="CC208" s="1578"/>
      <c r="CD208" s="1578"/>
      <c r="CE208" s="1578"/>
      <c r="CF208" s="1657"/>
      <c r="CG208" s="1578"/>
      <c r="CH208" s="1578"/>
      <c r="CI208" s="1578"/>
      <c r="CJ208" s="1578"/>
      <c r="CK208" s="1590">
        <v>18</v>
      </c>
      <c r="CL208" s="1578"/>
      <c r="CM208" s="1578"/>
      <c r="CN208" s="1578"/>
      <c r="CO208" s="1578"/>
      <c r="CP208" s="1590">
        <f>CK208</f>
        <v>18</v>
      </c>
      <c r="CQ208" s="1578"/>
      <c r="CR208" s="1578"/>
      <c r="CS208" s="1578"/>
      <c r="CT208" s="1578"/>
      <c r="CU208" s="1590">
        <f>CP208</f>
        <v>18</v>
      </c>
      <c r="CV208" s="2123"/>
      <c r="CW208" s="2123"/>
      <c r="CX208" s="2123"/>
      <c r="CY208" s="2123"/>
      <c r="CZ208" s="1590">
        <f>CU208*0.95</f>
        <v>17.099999999999998</v>
      </c>
      <c r="DA208" s="1590">
        <f t="shared" si="83"/>
        <v>16.244999999999997</v>
      </c>
      <c r="DB208" s="2234">
        <f t="shared" si="83"/>
        <v>15.432749999999997</v>
      </c>
      <c r="DC208" s="2234">
        <f t="shared" si="83"/>
        <v>14.661112499999996</v>
      </c>
    </row>
    <row r="209" spans="1:107" s="1178" customFormat="1" ht="11.25">
      <c r="A209" s="1661"/>
      <c r="B209" s="1661"/>
      <c r="C209" s="1660" t="s">
        <v>1150</v>
      </c>
      <c r="D209" s="1661"/>
      <c r="E209" s="1661"/>
      <c r="F209" s="1661"/>
      <c r="G209" s="1661"/>
      <c r="H209" s="1661"/>
      <c r="I209" s="1661"/>
      <c r="J209" s="1661"/>
      <c r="K209" s="1661"/>
      <c r="L209" s="1661"/>
      <c r="M209" s="1661"/>
      <c r="N209" s="1660"/>
      <c r="O209" s="1661"/>
      <c r="P209" s="1661"/>
      <c r="Q209" s="1661"/>
      <c r="R209" s="1661"/>
      <c r="S209" s="1660"/>
      <c r="T209" s="1661"/>
      <c r="U209" s="1661"/>
      <c r="V209" s="1661"/>
      <c r="W209" s="1661"/>
      <c r="X209" s="1660"/>
      <c r="Y209" s="1661"/>
      <c r="Z209" s="1661"/>
      <c r="AA209" s="1661"/>
      <c r="AB209" s="1661"/>
      <c r="AC209" s="1660"/>
      <c r="AD209" s="1661"/>
      <c r="AE209" s="1661"/>
      <c r="AF209" s="1661"/>
      <c r="AG209" s="1661"/>
      <c r="AH209" s="1660"/>
      <c r="AI209" s="1661"/>
      <c r="AJ209" s="1661"/>
      <c r="AK209" s="1661"/>
      <c r="AL209" s="1661"/>
      <c r="AM209" s="1660"/>
      <c r="AN209" s="1661"/>
      <c r="AO209" s="1661"/>
      <c r="AP209" s="1661"/>
      <c r="AQ209" s="1661"/>
      <c r="AR209" s="1660"/>
      <c r="AS209" s="1660"/>
      <c r="AT209" s="1660"/>
      <c r="AU209" s="1660"/>
      <c r="AV209" s="1660"/>
      <c r="AW209" s="1660"/>
      <c r="AX209" s="1660"/>
      <c r="AY209" s="1660"/>
      <c r="AZ209" s="1660"/>
      <c r="BA209" s="1660"/>
      <c r="BB209" s="1660"/>
      <c r="BC209" s="1660"/>
      <c r="BD209" s="1660"/>
      <c r="BE209" s="1660"/>
      <c r="BF209" s="1660"/>
      <c r="BG209" s="1660"/>
      <c r="BH209" s="1660"/>
      <c r="BI209" s="1660"/>
      <c r="BJ209" s="1660"/>
      <c r="BK209" s="1660"/>
      <c r="BL209" s="1659"/>
      <c r="BM209" s="1660"/>
      <c r="BN209" s="1660"/>
      <c r="BO209" s="1660"/>
      <c r="BP209" s="1660"/>
      <c r="BQ209" s="1659"/>
      <c r="BR209" s="1583"/>
      <c r="BS209" s="1583"/>
      <c r="BT209" s="1583"/>
      <c r="BU209" s="1583"/>
      <c r="BV209" s="1659"/>
      <c r="BW209" s="1583"/>
      <c r="BX209" s="1583"/>
      <c r="BY209" s="1583"/>
      <c r="BZ209" s="1583"/>
      <c r="CA209" s="1658"/>
      <c r="CB209" s="1578"/>
      <c r="CC209" s="1578"/>
      <c r="CD209" s="1578"/>
      <c r="CE209" s="1578"/>
      <c r="CF209" s="1658">
        <f>CF204*16.5</f>
        <v>759</v>
      </c>
      <c r="CG209" s="1578"/>
      <c r="CH209" s="1578"/>
      <c r="CI209" s="1578"/>
      <c r="CJ209" s="1578"/>
      <c r="CK209" s="1658">
        <f>SUMPRODUCT(CK207:CK208,CK202:CK203)</f>
        <v>1020</v>
      </c>
      <c r="CL209" s="1578"/>
      <c r="CM209" s="1578"/>
      <c r="CN209" s="1578"/>
      <c r="CO209" s="1578"/>
      <c r="CP209" s="1658">
        <f>SUMPRODUCT(CP207:CP208,CP202:CP203)</f>
        <v>1236</v>
      </c>
      <c r="CQ209" s="1578"/>
      <c r="CR209" s="1578"/>
      <c r="CS209" s="1578"/>
      <c r="CT209" s="1578"/>
      <c r="CU209" s="1658">
        <f>SUMPRODUCT(CU207:CU208,CU202:CU203)</f>
        <v>2052</v>
      </c>
      <c r="CV209" s="2123"/>
      <c r="CW209" s="2123"/>
      <c r="CX209" s="2123"/>
      <c r="CY209" s="2123"/>
      <c r="CZ209" s="1658">
        <f>SUMPRODUCT(CZ207:CZ208,CZ202:CZ203)</f>
        <v>2451</v>
      </c>
      <c r="DA209" s="1658">
        <f>SUMPRODUCT(DA207:DA208,DA202:DA203)</f>
        <v>2761.6499999999996</v>
      </c>
      <c r="DB209" s="1658">
        <f>SUMPRODUCT(DB207:DB208,DB202:DB203)</f>
        <v>3137.9924999999994</v>
      </c>
      <c r="DC209" s="1658">
        <f>SUMPRODUCT(DC207:DC208,DC202:DC203)</f>
        <v>3225.4447499999997</v>
      </c>
    </row>
    <row r="210" spans="1:107" s="1178" customFormat="1" ht="11.25">
      <c r="A210" s="1661"/>
      <c r="B210" s="1661"/>
      <c r="C210" s="1661" t="s">
        <v>1149</v>
      </c>
      <c r="D210" s="1661"/>
      <c r="E210" s="1661"/>
      <c r="F210" s="1661"/>
      <c r="G210" s="1661"/>
      <c r="H210" s="1661"/>
      <c r="I210" s="1661"/>
      <c r="J210" s="1661"/>
      <c r="K210" s="1661"/>
      <c r="L210" s="1661"/>
      <c r="M210" s="1661"/>
      <c r="N210" s="1661"/>
      <c r="O210" s="1661"/>
      <c r="P210" s="1661"/>
      <c r="Q210" s="1661"/>
      <c r="R210" s="1661"/>
      <c r="S210" s="1661"/>
      <c r="T210" s="1661"/>
      <c r="U210" s="1661"/>
      <c r="V210" s="1661"/>
      <c r="W210" s="1661"/>
      <c r="X210" s="1661"/>
      <c r="Y210" s="1661"/>
      <c r="Z210" s="1661"/>
      <c r="AA210" s="1661"/>
      <c r="AB210" s="1661"/>
      <c r="AC210" s="1661"/>
      <c r="AD210" s="1661"/>
      <c r="AE210" s="1661"/>
      <c r="AF210" s="1661"/>
      <c r="AG210" s="1661"/>
      <c r="AH210" s="1661"/>
      <c r="AI210" s="1661"/>
      <c r="AJ210" s="1661"/>
      <c r="AK210" s="1661"/>
      <c r="AL210" s="1661"/>
      <c r="AM210" s="1661"/>
      <c r="AN210" s="1661"/>
      <c r="AO210" s="1661"/>
      <c r="AP210" s="1661"/>
      <c r="AQ210" s="1661"/>
      <c r="AR210" s="1661"/>
      <c r="AS210" s="1661"/>
      <c r="AT210" s="1661"/>
      <c r="AU210" s="1661"/>
      <c r="AV210" s="1661"/>
      <c r="AW210" s="1661"/>
      <c r="AX210" s="1661"/>
      <c r="AY210" s="1661"/>
      <c r="AZ210" s="1661"/>
      <c r="BA210" s="1661"/>
      <c r="BB210" s="1661"/>
      <c r="BC210" s="1661"/>
      <c r="BD210" s="1661"/>
      <c r="BE210" s="1661"/>
      <c r="BF210" s="1661"/>
      <c r="BG210" s="1661"/>
      <c r="BH210" s="1661"/>
      <c r="BI210" s="1661"/>
      <c r="BJ210" s="1661"/>
      <c r="BK210" s="1661"/>
      <c r="BL210" s="1659"/>
      <c r="BM210" s="1661"/>
      <c r="BN210" s="1661"/>
      <c r="BO210" s="1661"/>
      <c r="BP210" s="1661"/>
      <c r="BQ210" s="1659"/>
      <c r="BR210" s="1583"/>
      <c r="BS210" s="1583"/>
      <c r="BT210" s="1583"/>
      <c r="BU210" s="1583"/>
      <c r="BV210" s="1659"/>
      <c r="BW210" s="1583"/>
      <c r="BX210" s="1583"/>
      <c r="BY210" s="1583"/>
      <c r="BZ210" s="1583"/>
      <c r="CA210" s="1590"/>
      <c r="CB210" s="1572"/>
      <c r="CC210" s="1572"/>
      <c r="CD210" s="1572"/>
      <c r="CE210" s="1572"/>
      <c r="CF210" s="1590">
        <f>CF211-CF209</f>
        <v>1053.625</v>
      </c>
      <c r="CG210" s="1572"/>
      <c r="CH210" s="1572"/>
      <c r="CI210" s="1572"/>
      <c r="CJ210" s="1572"/>
      <c r="CK210" s="1590">
        <f>CK211-CK209</f>
        <v>665.74124999999981</v>
      </c>
      <c r="CL210" s="1572"/>
      <c r="CM210" s="1572"/>
      <c r="CN210" s="1572"/>
      <c r="CO210" s="1572"/>
      <c r="CP210" s="1590">
        <f>CK210-CF210+CK210</f>
        <v>277.85749999999962</v>
      </c>
      <c r="CQ210" s="1572"/>
      <c r="CR210" s="1572"/>
      <c r="CS210" s="1572"/>
      <c r="CT210" s="1572"/>
      <c r="CU210" s="1590">
        <f>CP210*0.9</f>
        <v>250.07174999999967</v>
      </c>
      <c r="CV210" s="1572"/>
      <c r="CW210" s="1572"/>
      <c r="CX210" s="1572"/>
      <c r="CY210" s="1572"/>
      <c r="CZ210" s="1590">
        <f>CU210</f>
        <v>250.07174999999967</v>
      </c>
      <c r="DA210" s="1590">
        <f>CZ210</f>
        <v>250.07174999999967</v>
      </c>
      <c r="DB210" s="2234">
        <f>DA210</f>
        <v>250.07174999999967</v>
      </c>
      <c r="DC210" s="2234">
        <f>DB210</f>
        <v>250.07174999999967</v>
      </c>
    </row>
    <row r="211" spans="1:107" s="1178" customFormat="1" ht="11.25">
      <c r="A211" s="1661"/>
      <c r="B211" s="1661"/>
      <c r="C211" s="1660" t="s">
        <v>1148</v>
      </c>
      <c r="D211" s="1661"/>
      <c r="E211" s="1661"/>
      <c r="F211" s="1661"/>
      <c r="G211" s="1661"/>
      <c r="H211" s="1661"/>
      <c r="I211" s="1661"/>
      <c r="J211" s="1661"/>
      <c r="K211" s="1661"/>
      <c r="L211" s="1661"/>
      <c r="M211" s="1661"/>
      <c r="N211" s="1660"/>
      <c r="O211" s="1661"/>
      <c r="P211" s="1661"/>
      <c r="Q211" s="1661"/>
      <c r="R211" s="1661"/>
      <c r="S211" s="1660"/>
      <c r="T211" s="1661"/>
      <c r="U211" s="1661"/>
      <c r="V211" s="1661"/>
      <c r="W211" s="1661"/>
      <c r="X211" s="1660"/>
      <c r="Y211" s="1661"/>
      <c r="Z211" s="1661"/>
      <c r="AA211" s="1661"/>
      <c r="AB211" s="1661"/>
      <c r="AC211" s="1660"/>
      <c r="AD211" s="1661"/>
      <c r="AE211" s="1661"/>
      <c r="AF211" s="1661"/>
      <c r="AG211" s="1661"/>
      <c r="AH211" s="1660"/>
      <c r="AI211" s="1661"/>
      <c r="AJ211" s="1661"/>
      <c r="AK211" s="1661"/>
      <c r="AL211" s="1661"/>
      <c r="AM211" s="1660"/>
      <c r="AN211" s="1661"/>
      <c r="AO211" s="1661"/>
      <c r="AP211" s="1661"/>
      <c r="AQ211" s="1661"/>
      <c r="AR211" s="1660"/>
      <c r="AS211" s="1660"/>
      <c r="AT211" s="1660"/>
      <c r="AU211" s="1660"/>
      <c r="AV211" s="1660"/>
      <c r="AW211" s="1660"/>
      <c r="AX211" s="1660"/>
      <c r="AY211" s="1660"/>
      <c r="AZ211" s="1660"/>
      <c r="BA211" s="1660"/>
      <c r="BB211" s="1660"/>
      <c r="BC211" s="1660"/>
      <c r="BD211" s="1660"/>
      <c r="BE211" s="1660"/>
      <c r="BF211" s="1660"/>
      <c r="BG211" s="1660"/>
      <c r="BH211" s="1660"/>
      <c r="BI211" s="1660"/>
      <c r="BJ211" s="1660"/>
      <c r="BK211" s="1660"/>
      <c r="BL211" s="1659"/>
      <c r="BM211" s="1660"/>
      <c r="BN211" s="1660"/>
      <c r="BO211" s="1660"/>
      <c r="BP211" s="1660"/>
      <c r="BQ211" s="1659"/>
      <c r="BR211" s="1583"/>
      <c r="BS211" s="1583"/>
      <c r="BT211" s="1583"/>
      <c r="BU211" s="1583"/>
      <c r="BV211" s="1659"/>
      <c r="BW211" s="1583"/>
      <c r="BX211" s="1583"/>
      <c r="BY211" s="1583"/>
      <c r="BZ211" s="1583"/>
      <c r="CA211" s="1658"/>
      <c r="CB211" s="1578"/>
      <c r="CC211" s="1578"/>
      <c r="CD211" s="1578"/>
      <c r="CE211" s="1578"/>
      <c r="CF211" s="1658">
        <f>CF54*0.5</f>
        <v>1812.625</v>
      </c>
      <c r="CG211" s="1578"/>
      <c r="CH211" s="1578"/>
      <c r="CI211" s="1578"/>
      <c r="CJ211" s="1578"/>
      <c r="CK211" s="1658">
        <f>CK54*0.5</f>
        <v>1685.7412499999998</v>
      </c>
      <c r="CL211" s="1578"/>
      <c r="CM211" s="1578"/>
      <c r="CN211" s="1578"/>
      <c r="CO211" s="1578"/>
      <c r="CP211" s="1658">
        <f>SUM(CP209:CP210)</f>
        <v>1513.8574999999996</v>
      </c>
      <c r="CQ211" s="1578"/>
      <c r="CR211" s="1578"/>
      <c r="CS211" s="1578"/>
      <c r="CT211" s="1578"/>
      <c r="CU211" s="1658">
        <f>SUM(CU209:CU210)</f>
        <v>2302.0717499999996</v>
      </c>
      <c r="CV211" s="2123"/>
      <c r="CW211" s="2123"/>
      <c r="CX211" s="2123"/>
      <c r="CY211" s="2123"/>
      <c r="CZ211" s="1658">
        <f>SUM(CZ209:CZ210)</f>
        <v>2701.0717499999996</v>
      </c>
      <c r="DA211" s="1658">
        <f>SUM(DA209:DA210)</f>
        <v>3011.7217499999992</v>
      </c>
      <c r="DB211" s="1658">
        <f>SUM(DB209:DB210)</f>
        <v>3388.064249999999</v>
      </c>
      <c r="DC211" s="1658">
        <f>SUM(DC209:DC210)</f>
        <v>3475.5164999999993</v>
      </c>
    </row>
    <row r="212" spans="1:107" s="1178" customFormat="1" ht="11.25">
      <c r="A212" s="1661"/>
      <c r="B212" s="1661"/>
      <c r="C212" s="1660"/>
      <c r="D212" s="1661"/>
      <c r="E212" s="1661"/>
      <c r="F212" s="1661"/>
      <c r="G212" s="1661"/>
      <c r="H212" s="1661"/>
      <c r="I212" s="1661"/>
      <c r="J212" s="1661"/>
      <c r="K212" s="1661"/>
      <c r="L212" s="1661"/>
      <c r="M212" s="1661"/>
      <c r="N212" s="1660"/>
      <c r="O212" s="1661"/>
      <c r="P212" s="1661"/>
      <c r="Q212" s="1661"/>
      <c r="R212" s="1661"/>
      <c r="S212" s="1660"/>
      <c r="T212" s="1661"/>
      <c r="U212" s="1661"/>
      <c r="V212" s="1661"/>
      <c r="W212" s="1661"/>
      <c r="X212" s="1660"/>
      <c r="Y212" s="1661"/>
      <c r="Z212" s="1661"/>
      <c r="AA212" s="1661"/>
      <c r="AB212" s="1661"/>
      <c r="AC212" s="1660"/>
      <c r="AD212" s="1661"/>
      <c r="AE212" s="1661"/>
      <c r="AF212" s="1661"/>
      <c r="AG212" s="1661"/>
      <c r="AH212" s="1660"/>
      <c r="AI212" s="1661"/>
      <c r="AJ212" s="1661"/>
      <c r="AK212" s="1661"/>
      <c r="AL212" s="1661"/>
      <c r="AM212" s="1660"/>
      <c r="AN212" s="1661"/>
      <c r="AO212" s="1661"/>
      <c r="AP212" s="1661"/>
      <c r="AQ212" s="1661"/>
      <c r="AR212" s="1660"/>
      <c r="AS212" s="1660"/>
      <c r="AT212" s="1660"/>
      <c r="AU212" s="1660"/>
      <c r="AV212" s="1660"/>
      <c r="AW212" s="1660"/>
      <c r="AX212" s="1660"/>
      <c r="AY212" s="1660"/>
      <c r="AZ212" s="1660"/>
      <c r="BA212" s="1660"/>
      <c r="BB212" s="1660"/>
      <c r="BC212" s="1660"/>
      <c r="BD212" s="1660"/>
      <c r="BE212" s="1660"/>
      <c r="BF212" s="1660"/>
      <c r="BG212" s="1660"/>
      <c r="BH212" s="1660"/>
      <c r="BI212" s="1660"/>
      <c r="BJ212" s="1660"/>
      <c r="BK212" s="1660"/>
      <c r="BL212" s="1659"/>
      <c r="BM212" s="1660"/>
      <c r="BN212" s="1660"/>
      <c r="BO212" s="1660"/>
      <c r="BP212" s="1660"/>
      <c r="BQ212" s="1659"/>
      <c r="BR212" s="1583"/>
      <c r="BS212" s="1583"/>
      <c r="BT212" s="1583"/>
      <c r="BU212" s="1583"/>
      <c r="BV212" s="1659"/>
      <c r="BW212" s="1583"/>
      <c r="BX212" s="1583"/>
      <c r="BY212" s="1583"/>
      <c r="BZ212" s="1583"/>
      <c r="CA212" s="1658"/>
      <c r="CB212" s="1578"/>
      <c r="CC212" s="1578"/>
      <c r="CD212" s="1578"/>
      <c r="CE212" s="1578"/>
      <c r="CF212" s="1658"/>
      <c r="CG212" s="1578"/>
      <c r="CH212" s="1578"/>
      <c r="CI212" s="1578"/>
      <c r="CJ212" s="1578"/>
      <c r="CK212" s="1658"/>
      <c r="CL212" s="1578"/>
      <c r="CM212" s="1578"/>
      <c r="CN212" s="1578"/>
      <c r="CO212" s="1578"/>
      <c r="CP212" s="1657">
        <f>CP211/CK211-1</f>
        <v>-0.10196330545983867</v>
      </c>
      <c r="CQ212" s="1578"/>
      <c r="CR212" s="1578"/>
      <c r="CS212" s="1578"/>
      <c r="CT212" s="1578"/>
      <c r="CU212" s="1657">
        <f>CU211/CP211-1</f>
        <v>0.52066607986550917</v>
      </c>
      <c r="CV212" s="2123"/>
      <c r="CW212" s="2123"/>
      <c r="CX212" s="2123"/>
      <c r="CY212" s="2123"/>
      <c r="CZ212" s="1657">
        <f>CZ211/CU211-1</f>
        <v>0.17332213906886262</v>
      </c>
      <c r="DA212" s="1657">
        <f>DA211/CZ211-1</f>
        <v>0.11500990301349812</v>
      </c>
      <c r="DB212" s="1657">
        <f>DB211/DA211-1</f>
        <v>0.12495925295887633</v>
      </c>
      <c r="DC212" s="1657">
        <f>DC211/DB211-1</f>
        <v>2.5811862924382423E-2</v>
      </c>
    </row>
    <row r="213" spans="1:107" s="1178" customFormat="1" ht="11.25">
      <c r="A213" s="1661"/>
      <c r="B213" s="1661"/>
      <c r="C213" s="1660"/>
      <c r="D213" s="1661"/>
      <c r="E213" s="1661"/>
      <c r="F213" s="1661"/>
      <c r="G213" s="1661"/>
      <c r="H213" s="1661"/>
      <c r="I213" s="1661"/>
      <c r="J213" s="1661"/>
      <c r="K213" s="1661"/>
      <c r="L213" s="1661"/>
      <c r="M213" s="1661"/>
      <c r="N213" s="1660"/>
      <c r="O213" s="1661"/>
      <c r="P213" s="1661"/>
      <c r="Q213" s="1661"/>
      <c r="R213" s="1661"/>
      <c r="S213" s="1660"/>
      <c r="T213" s="1661"/>
      <c r="U213" s="1661"/>
      <c r="V213" s="1661"/>
      <c r="W213" s="1661"/>
      <c r="X213" s="1660"/>
      <c r="Y213" s="1661"/>
      <c r="Z213" s="1661"/>
      <c r="AA213" s="1661"/>
      <c r="AB213" s="1661"/>
      <c r="AC213" s="1660"/>
      <c r="AD213" s="1661"/>
      <c r="AE213" s="1661"/>
      <c r="AF213" s="1661"/>
      <c r="AG213" s="1661"/>
      <c r="AH213" s="1660"/>
      <c r="AI213" s="1661"/>
      <c r="AJ213" s="1661"/>
      <c r="AK213" s="1661"/>
      <c r="AL213" s="1661"/>
      <c r="AM213" s="1660"/>
      <c r="AN213" s="1661"/>
      <c r="AO213" s="1661"/>
      <c r="AP213" s="1661"/>
      <c r="AQ213" s="1661"/>
      <c r="AR213" s="1660"/>
      <c r="AS213" s="1660"/>
      <c r="AT213" s="1660"/>
      <c r="AU213" s="1660"/>
      <c r="AV213" s="1660"/>
      <c r="AW213" s="1660"/>
      <c r="AX213" s="1660"/>
      <c r="AY213" s="1660"/>
      <c r="AZ213" s="1660"/>
      <c r="BA213" s="1660"/>
      <c r="BB213" s="1660"/>
      <c r="BC213" s="1660"/>
      <c r="BD213" s="1660"/>
      <c r="BE213" s="1660"/>
      <c r="BF213" s="1660"/>
      <c r="BG213" s="1660"/>
      <c r="BH213" s="1660"/>
      <c r="BI213" s="1660"/>
      <c r="BJ213" s="1660"/>
      <c r="BK213" s="1660"/>
      <c r="BL213" s="1659"/>
      <c r="BM213" s="1660"/>
      <c r="BN213" s="1660"/>
      <c r="BO213" s="1660"/>
      <c r="BP213" s="1660"/>
      <c r="BQ213" s="1659"/>
      <c r="BR213" s="1583"/>
      <c r="BS213" s="1583"/>
      <c r="BT213" s="1583"/>
      <c r="BU213" s="1583"/>
      <c r="BV213" s="1659"/>
      <c r="BW213" s="1583"/>
      <c r="BX213" s="1583"/>
      <c r="BY213" s="1583"/>
      <c r="BZ213" s="1583"/>
      <c r="CA213" s="1658"/>
      <c r="CB213" s="1578"/>
      <c r="CC213" s="1578"/>
      <c r="CD213" s="1578"/>
      <c r="CE213" s="1578"/>
      <c r="CF213" s="1657"/>
      <c r="CG213" s="1578"/>
      <c r="CH213" s="1578"/>
      <c r="CI213" s="1578"/>
      <c r="CJ213" s="1578"/>
      <c r="CK213" s="1658"/>
      <c r="CL213" s="1578"/>
      <c r="CM213" s="1578"/>
      <c r="CN213" s="1578"/>
      <c r="CO213" s="1578"/>
      <c r="CP213" s="1658"/>
      <c r="CQ213" s="1578"/>
      <c r="CR213" s="1578"/>
      <c r="CS213" s="1578"/>
      <c r="CT213" s="1578"/>
      <c r="CU213" s="1658"/>
      <c r="CV213" s="2123"/>
      <c r="CW213" s="2123"/>
      <c r="CX213" s="2123"/>
      <c r="CY213" s="2123"/>
      <c r="CZ213" s="1658"/>
      <c r="DA213" s="1658"/>
      <c r="DB213" s="1658"/>
      <c r="DC213" s="1658"/>
    </row>
    <row r="214" spans="1:107" s="1178" customFormat="1" ht="11.25">
      <c r="A214" s="1661"/>
      <c r="B214" s="1661"/>
      <c r="C214" s="1661" t="s">
        <v>1147</v>
      </c>
      <c r="D214" s="1661"/>
      <c r="E214" s="1661"/>
      <c r="F214" s="1661"/>
      <c r="G214" s="1661"/>
      <c r="H214" s="1661"/>
      <c r="I214" s="1661"/>
      <c r="J214" s="1661"/>
      <c r="K214" s="1661"/>
      <c r="L214" s="1661"/>
      <c r="M214" s="1661"/>
      <c r="N214" s="1660"/>
      <c r="O214" s="1661"/>
      <c r="P214" s="1661"/>
      <c r="Q214" s="1661"/>
      <c r="R214" s="1661"/>
      <c r="S214" s="1660"/>
      <c r="T214" s="1661"/>
      <c r="U214" s="1661"/>
      <c r="V214" s="1661"/>
      <c r="W214" s="1661"/>
      <c r="X214" s="1660"/>
      <c r="Y214" s="1661"/>
      <c r="Z214" s="1661"/>
      <c r="AA214" s="1661"/>
      <c r="AB214" s="1661"/>
      <c r="AC214" s="1660"/>
      <c r="AD214" s="1661"/>
      <c r="AE214" s="1661"/>
      <c r="AF214" s="1661"/>
      <c r="AG214" s="1661"/>
      <c r="AH214" s="1660"/>
      <c r="AI214" s="1661"/>
      <c r="AJ214" s="1661"/>
      <c r="AK214" s="1661"/>
      <c r="AL214" s="1661"/>
      <c r="AM214" s="1660"/>
      <c r="AN214" s="1661"/>
      <c r="AO214" s="1661"/>
      <c r="AP214" s="1661"/>
      <c r="AQ214" s="1661"/>
      <c r="AR214" s="1660"/>
      <c r="AS214" s="1660"/>
      <c r="AT214" s="1660"/>
      <c r="AU214" s="1660"/>
      <c r="AV214" s="1660"/>
      <c r="AW214" s="1660"/>
      <c r="AX214" s="1660"/>
      <c r="AY214" s="1660"/>
      <c r="AZ214" s="1660"/>
      <c r="BA214" s="1660"/>
      <c r="BB214" s="1660"/>
      <c r="BC214" s="1660"/>
      <c r="BD214" s="1660"/>
      <c r="BE214" s="1660"/>
      <c r="BF214" s="1660"/>
      <c r="BG214" s="1660"/>
      <c r="BH214" s="1660"/>
      <c r="BI214" s="1660"/>
      <c r="BJ214" s="1660"/>
      <c r="BK214" s="1660"/>
      <c r="BL214" s="1659"/>
      <c r="BM214" s="1660"/>
      <c r="BN214" s="1660"/>
      <c r="BO214" s="1660"/>
      <c r="BP214" s="1660"/>
      <c r="BQ214" s="1659"/>
      <c r="BR214" s="1583"/>
      <c r="BS214" s="1583"/>
      <c r="BT214" s="1583"/>
      <c r="BU214" s="1583"/>
      <c r="BV214" s="1659"/>
      <c r="BW214" s="1583"/>
      <c r="BX214" s="1583"/>
      <c r="BY214" s="1583"/>
      <c r="BZ214" s="1583"/>
      <c r="CA214" s="1658"/>
      <c r="CB214" s="1578"/>
      <c r="CC214" s="1578"/>
      <c r="CD214" s="1578"/>
      <c r="CE214" s="1578"/>
      <c r="CF214" s="1657"/>
      <c r="CG214" s="1578"/>
      <c r="CH214" s="1578"/>
      <c r="CI214" s="1578"/>
      <c r="CJ214" s="1578"/>
      <c r="CK214" s="1658">
        <f>(CK209-CF209)*0.1</f>
        <v>26.1</v>
      </c>
      <c r="CL214" s="1578"/>
      <c r="CM214" s="1578"/>
      <c r="CN214" s="1578"/>
      <c r="CO214" s="1578"/>
      <c r="CP214" s="1658">
        <f>(CP209-CK209)*0.11</f>
        <v>23.76</v>
      </c>
      <c r="CQ214" s="1578"/>
      <c r="CR214" s="1578"/>
      <c r="CS214" s="1578"/>
      <c r="CT214" s="1578"/>
      <c r="CU214" s="1658">
        <f>(CU209-CP209)*0.1</f>
        <v>81.600000000000009</v>
      </c>
      <c r="CV214" s="2123"/>
      <c r="CW214" s="2123"/>
      <c r="CX214" s="2123"/>
      <c r="CY214" s="2123"/>
      <c r="CZ214" s="1658">
        <f>(CZ209-CU209)*0.1</f>
        <v>39.900000000000006</v>
      </c>
      <c r="DA214" s="1658">
        <f>(DA209-CZ209)*0.1</f>
        <v>31.064999999999966</v>
      </c>
      <c r="DB214" s="1658">
        <f>(DB209-DA209)*0.1</f>
        <v>37.634249999999973</v>
      </c>
      <c r="DC214" s="1658">
        <f>(DC209-DB209)*0.1</f>
        <v>8.745225000000028</v>
      </c>
    </row>
    <row r="215" spans="1:107" s="1178" customFormat="1">
      <c r="A215" s="1661"/>
      <c r="B215" s="1661"/>
      <c r="C215" s="1661" t="s">
        <v>1146</v>
      </c>
      <c r="D215" s="1661"/>
      <c r="E215" s="1661"/>
      <c r="F215" s="1661"/>
      <c r="G215" s="1661"/>
      <c r="H215" s="1661"/>
      <c r="I215" s="1661"/>
      <c r="J215" s="1661"/>
      <c r="K215" s="1661"/>
      <c r="L215" s="1661"/>
      <c r="M215" s="1661"/>
      <c r="N215" s="1660"/>
      <c r="O215" s="1661"/>
      <c r="P215" s="1661"/>
      <c r="Q215" s="1661"/>
      <c r="R215" s="1661"/>
      <c r="S215" s="1660"/>
      <c r="T215" s="1661"/>
      <c r="U215" s="1661"/>
      <c r="V215" s="1661"/>
      <c r="W215" s="1661"/>
      <c r="X215" s="1660"/>
      <c r="Y215" s="1661"/>
      <c r="Z215" s="1661"/>
      <c r="AA215" s="1661"/>
      <c r="AB215" s="1661"/>
      <c r="AC215" s="1660"/>
      <c r="AD215" s="1661"/>
      <c r="AE215" s="1661"/>
      <c r="AF215" s="1661"/>
      <c r="AG215" s="1661"/>
      <c r="AH215" s="1660"/>
      <c r="AI215" s="1661"/>
      <c r="AJ215" s="1661"/>
      <c r="AK215" s="1661"/>
      <c r="AL215" s="1661"/>
      <c r="AM215" s="1660"/>
      <c r="AN215" s="1661"/>
      <c r="AO215" s="1661"/>
      <c r="AP215" s="1661"/>
      <c r="AQ215" s="1661"/>
      <c r="AR215" s="1660"/>
      <c r="AS215" s="1660"/>
      <c r="AT215" s="1660"/>
      <c r="AU215" s="1660"/>
      <c r="AV215" s="1660"/>
      <c r="AW215" s="1660"/>
      <c r="AX215" s="1660"/>
      <c r="AY215" s="1660"/>
      <c r="AZ215" s="1660"/>
      <c r="BA215" s="1660"/>
      <c r="BB215" s="1660"/>
      <c r="BC215" s="1660"/>
      <c r="BD215" s="1660"/>
      <c r="BE215" s="1660"/>
      <c r="BF215" s="1660"/>
      <c r="BG215" s="1660"/>
      <c r="BH215" s="1660"/>
      <c r="BI215" s="1660"/>
      <c r="BJ215" s="1660"/>
      <c r="BK215" s="1660"/>
      <c r="BL215" s="1659"/>
      <c r="BM215" s="1660"/>
      <c r="BN215" s="1660"/>
      <c r="BO215" s="1660"/>
      <c r="BP215" s="1660"/>
      <c r="BQ215" s="1659"/>
      <c r="BR215" s="1583"/>
      <c r="BS215" s="1583"/>
      <c r="BT215" s="1583"/>
      <c r="BU215" s="1583"/>
      <c r="BV215" s="1659"/>
      <c r="BW215" s="1583"/>
      <c r="BX215" s="1583"/>
      <c r="BY215" s="1583"/>
      <c r="BZ215" s="1583"/>
      <c r="CA215" s="1658"/>
      <c r="CB215" s="1578"/>
      <c r="CC215" s="1578"/>
      <c r="CD215" s="1578"/>
      <c r="CE215" s="1578"/>
      <c r="CF215" s="1657"/>
      <c r="CG215" s="1578"/>
      <c r="CH215" s="1578"/>
      <c r="CI215" s="1578"/>
      <c r="CJ215" s="1578"/>
      <c r="CK215" s="1658">
        <v>-176</v>
      </c>
      <c r="CL215"/>
      <c r="CM215" s="1578"/>
      <c r="CN215" s="1578"/>
      <c r="CO215" s="1578"/>
      <c r="CP215" s="1658">
        <v>-175</v>
      </c>
      <c r="CQ215"/>
      <c r="CR215" s="1578"/>
      <c r="CS215" s="1578"/>
      <c r="CT215" s="1578"/>
      <c r="CU215" s="1658">
        <v>-25</v>
      </c>
      <c r="CV215" s="2029"/>
      <c r="CW215" s="2123"/>
      <c r="CX215" s="2123"/>
      <c r="CY215" s="2123"/>
      <c r="CZ215" s="1658">
        <f>CZ216-CZ214</f>
        <v>5.0743478137499096</v>
      </c>
      <c r="DA215" s="1658">
        <f>DA216-DA214</f>
        <v>5.2265782481625145</v>
      </c>
      <c r="DB215" s="1658">
        <f>DB216-DB214</f>
        <v>5.3833755956075109</v>
      </c>
      <c r="DC215" s="1658">
        <f>DC216-DC214</f>
        <v>5.5448768634754746</v>
      </c>
    </row>
    <row r="216" spans="1:107" s="1178" customFormat="1" ht="11.25">
      <c r="A216" s="1661"/>
      <c r="B216" s="1661"/>
      <c r="C216" s="1660" t="s">
        <v>1145</v>
      </c>
      <c r="D216" s="1661"/>
      <c r="E216" s="1661"/>
      <c r="F216" s="1661"/>
      <c r="G216" s="1661"/>
      <c r="H216" s="1661"/>
      <c r="I216" s="1661"/>
      <c r="J216" s="1661"/>
      <c r="K216" s="1661"/>
      <c r="L216" s="1661"/>
      <c r="M216" s="1661"/>
      <c r="N216" s="1660"/>
      <c r="O216" s="1661"/>
      <c r="P216" s="1661"/>
      <c r="Q216" s="1661"/>
      <c r="R216" s="1661"/>
      <c r="S216" s="1660"/>
      <c r="T216" s="1661"/>
      <c r="U216" s="1661"/>
      <c r="V216" s="1661"/>
      <c r="W216" s="1661"/>
      <c r="X216" s="1660"/>
      <c r="Y216" s="1661"/>
      <c r="Z216" s="1661"/>
      <c r="AA216" s="1661"/>
      <c r="AB216" s="1661"/>
      <c r="AC216" s="1660"/>
      <c r="AD216" s="1661"/>
      <c r="AE216" s="1661"/>
      <c r="AF216" s="1661"/>
      <c r="AG216" s="1661"/>
      <c r="AH216" s="1660"/>
      <c r="AI216" s="1661"/>
      <c r="AJ216" s="1661"/>
      <c r="AK216" s="1661"/>
      <c r="AL216" s="1661"/>
      <c r="AM216" s="1660"/>
      <c r="AN216" s="1661"/>
      <c r="AO216" s="1661"/>
      <c r="AP216" s="1661"/>
      <c r="AQ216" s="1661"/>
      <c r="AR216" s="1660"/>
      <c r="AS216" s="1660"/>
      <c r="AT216" s="1660"/>
      <c r="AU216" s="1660"/>
      <c r="AV216" s="1660"/>
      <c r="AW216" s="1660"/>
      <c r="AX216" s="1660"/>
      <c r="AY216" s="1660"/>
      <c r="AZ216" s="1660"/>
      <c r="BA216" s="1660"/>
      <c r="BB216" s="1660"/>
      <c r="BC216" s="1660"/>
      <c r="BD216" s="1660"/>
      <c r="BE216" s="1660"/>
      <c r="BF216" s="1660"/>
      <c r="BG216" s="1660"/>
      <c r="BH216" s="1660"/>
      <c r="BI216" s="1660"/>
      <c r="BJ216" s="1660"/>
      <c r="BK216" s="1660"/>
      <c r="BL216" s="1659"/>
      <c r="BM216" s="1660"/>
      <c r="BN216" s="1660"/>
      <c r="BO216" s="1660"/>
      <c r="BP216" s="1660"/>
      <c r="BQ216" s="1659"/>
      <c r="BR216" s="1583"/>
      <c r="BS216" s="1583"/>
      <c r="BT216" s="1583"/>
      <c r="BU216" s="1583"/>
      <c r="BV216" s="1659"/>
      <c r="BW216" s="1583"/>
      <c r="BX216" s="1583"/>
      <c r="BY216" s="1583"/>
      <c r="BZ216" s="1583"/>
      <c r="CA216" s="1658"/>
      <c r="CB216" s="1578"/>
      <c r="CC216" s="1578"/>
      <c r="CD216" s="1578"/>
      <c r="CE216" s="1578"/>
      <c r="CF216" s="1657"/>
      <c r="CG216" s="1578"/>
      <c r="CH216" s="1578"/>
      <c r="CI216" s="1578"/>
      <c r="CJ216" s="1578"/>
      <c r="CK216" s="1590">
        <f>SUM(CK214:CK215)</f>
        <v>-149.9</v>
      </c>
      <c r="CL216" s="1578"/>
      <c r="CM216" s="1578"/>
      <c r="CN216" s="1578"/>
      <c r="CO216" s="1578"/>
      <c r="CP216" s="1590">
        <f>SUM(CP214:CP215)</f>
        <v>-151.24</v>
      </c>
      <c r="CQ216" s="1578"/>
      <c r="CR216" s="1578"/>
      <c r="CS216" s="1578"/>
      <c r="CT216" s="1578"/>
      <c r="CU216" s="2234">
        <f>SUM(CU214:CU215)</f>
        <v>56.600000000000009</v>
      </c>
      <c r="CV216" s="2123"/>
      <c r="CW216" s="2123"/>
      <c r="CX216" s="2123"/>
      <c r="CY216" s="2123"/>
      <c r="CZ216" s="1590">
        <f>(CZ54-CU54)*0.1</f>
        <v>44.974347813749915</v>
      </c>
      <c r="DA216" s="1590">
        <f>(DA54-CZ54)*0.1</f>
        <v>36.29157824816248</v>
      </c>
      <c r="DB216" s="2234">
        <f>(DB54-DA54)*0.1</f>
        <v>43.017625595607484</v>
      </c>
      <c r="DC216" s="2234">
        <f>(DC54-DB54)*0.1</f>
        <v>14.290101863475503</v>
      </c>
    </row>
    <row r="217" spans="1:107" s="1178" customFormat="1" ht="11.25">
      <c r="A217" s="1661"/>
      <c r="B217" s="1661"/>
      <c r="C217" s="1661"/>
      <c r="D217" s="1661"/>
      <c r="E217" s="1661"/>
      <c r="F217" s="1661"/>
      <c r="G217" s="1661"/>
      <c r="H217" s="1661"/>
      <c r="I217" s="1661"/>
      <c r="J217" s="1661"/>
      <c r="K217" s="1661"/>
      <c r="L217" s="1661"/>
      <c r="M217" s="1661"/>
      <c r="N217" s="1660"/>
      <c r="O217" s="1661"/>
      <c r="P217" s="1661"/>
      <c r="Q217" s="1661"/>
      <c r="R217" s="1661"/>
      <c r="S217" s="1660"/>
      <c r="T217" s="1661"/>
      <c r="U217" s="1661"/>
      <c r="V217" s="1661"/>
      <c r="W217" s="1661"/>
      <c r="X217" s="1660"/>
      <c r="Y217" s="1661"/>
      <c r="Z217" s="1661"/>
      <c r="AA217" s="1661"/>
      <c r="AB217" s="1661"/>
      <c r="AC217" s="1660"/>
      <c r="AD217" s="1661"/>
      <c r="AE217" s="1661"/>
      <c r="AF217" s="1661"/>
      <c r="AG217" s="1661"/>
      <c r="AH217" s="1660"/>
      <c r="AI217" s="1661"/>
      <c r="AJ217" s="1661"/>
      <c r="AK217" s="1661"/>
      <c r="AL217" s="1661"/>
      <c r="AM217" s="1660"/>
      <c r="AN217" s="1661"/>
      <c r="AO217" s="1661"/>
      <c r="AP217" s="1661"/>
      <c r="AQ217" s="1661"/>
      <c r="AR217" s="1660"/>
      <c r="AS217" s="1660"/>
      <c r="AT217" s="1660"/>
      <c r="AU217" s="1660"/>
      <c r="AV217" s="1660"/>
      <c r="AW217" s="1660"/>
      <c r="AX217" s="1660"/>
      <c r="AY217" s="1660"/>
      <c r="AZ217" s="1660"/>
      <c r="BA217" s="1660"/>
      <c r="BB217" s="1660"/>
      <c r="BC217" s="1660"/>
      <c r="BD217" s="1660"/>
      <c r="BE217" s="1660"/>
      <c r="BF217" s="1660"/>
      <c r="BG217" s="1660"/>
      <c r="BH217" s="1660"/>
      <c r="BI217" s="1660"/>
      <c r="BJ217" s="1660"/>
      <c r="BK217" s="1660"/>
      <c r="BL217" s="1659"/>
      <c r="BM217" s="1660"/>
      <c r="BN217" s="1660"/>
      <c r="BO217" s="1660"/>
      <c r="BP217" s="1660"/>
      <c r="BQ217" s="1659"/>
      <c r="BR217" s="1583"/>
      <c r="BS217" s="1583"/>
      <c r="BT217" s="1583"/>
      <c r="BU217" s="1583"/>
      <c r="BV217" s="1659"/>
      <c r="BW217" s="1583"/>
      <c r="BX217" s="1583"/>
      <c r="BY217" s="1583"/>
      <c r="BZ217" s="1583"/>
      <c r="CA217" s="1658"/>
      <c r="CB217" s="1578"/>
      <c r="CC217" s="1578"/>
      <c r="CD217" s="1578"/>
      <c r="CE217" s="1578"/>
      <c r="CF217" s="1657"/>
      <c r="CG217" s="1578"/>
      <c r="CH217" s="1578"/>
      <c r="CI217" s="1578"/>
      <c r="CJ217" s="1578"/>
      <c r="CK217" s="1657"/>
      <c r="CL217" s="1578"/>
      <c r="CM217" s="1578"/>
      <c r="CN217" s="1578"/>
      <c r="CO217" s="1578"/>
      <c r="CP217" s="1656"/>
      <c r="CQ217" s="1578"/>
      <c r="CR217" s="1578"/>
      <c r="CS217" s="1578"/>
      <c r="CT217" s="1578"/>
      <c r="CU217" s="1656"/>
      <c r="CV217" s="2123"/>
      <c r="CW217" s="2123"/>
      <c r="CX217" s="2123"/>
      <c r="CY217" s="2123"/>
      <c r="CZ217" s="1656"/>
      <c r="DA217" s="1656"/>
      <c r="DB217" s="1656"/>
      <c r="DC217" s="1656"/>
    </row>
    <row r="218" spans="1:107" s="2109" customFormat="1" ht="11.25">
      <c r="A218" s="1220"/>
      <c r="B218" s="1219"/>
      <c r="C218" s="1039" t="s">
        <v>1464</v>
      </c>
      <c r="D218" s="1220"/>
      <c r="E218" s="1220"/>
      <c r="F218" s="1220"/>
      <c r="G218" s="1220"/>
      <c r="H218" s="1220"/>
      <c r="I218" s="1220"/>
      <c r="J218" s="1220"/>
      <c r="K218" s="1220"/>
      <c r="L218" s="1220"/>
      <c r="M218" s="1220"/>
      <c r="N218" s="1219"/>
      <c r="O218" s="1220"/>
      <c r="P218" s="1220"/>
      <c r="Q218" s="1220"/>
      <c r="R218" s="1220"/>
      <c r="S218" s="1219"/>
      <c r="T218" s="1220"/>
      <c r="U218" s="1220"/>
      <c r="V218" s="1220"/>
      <c r="W218" s="1220"/>
      <c r="X218" s="1219"/>
      <c r="Y218" s="1220"/>
      <c r="Z218" s="1220"/>
      <c r="AA218" s="1220"/>
      <c r="AB218" s="1220"/>
      <c r="AC218" s="1219"/>
      <c r="AD218" s="1220"/>
      <c r="AE218" s="1220"/>
      <c r="AF218" s="1220"/>
      <c r="AG218" s="1220"/>
      <c r="AH218" s="1219"/>
      <c r="AI218" s="1220"/>
      <c r="AJ218" s="1220"/>
      <c r="AK218" s="1220"/>
      <c r="AL218" s="1220"/>
      <c r="AM218" s="1219"/>
      <c r="AN218" s="1220"/>
      <c r="AO218" s="1220"/>
      <c r="AP218" s="1220"/>
      <c r="AQ218" s="1220"/>
      <c r="AR218" s="1219"/>
      <c r="AS218" s="1219"/>
      <c r="AT218" s="1219"/>
      <c r="AU218" s="1219"/>
      <c r="AV218" s="1219"/>
      <c r="AW218" s="1219"/>
      <c r="AX218" s="1219"/>
      <c r="AY218" s="1219"/>
      <c r="AZ218" s="1219"/>
      <c r="BA218" s="1219"/>
      <c r="BB218" s="1219"/>
      <c r="BC218" s="1219"/>
      <c r="BD218" s="1219"/>
      <c r="BE218" s="1219"/>
      <c r="BF218" s="1219"/>
      <c r="BG218" s="1219"/>
      <c r="BH218" s="1219"/>
      <c r="BI218" s="1219"/>
      <c r="BJ218" s="1219"/>
      <c r="BK218" s="1219"/>
      <c r="BL218" s="1219"/>
      <c r="BM218" s="1219"/>
      <c r="BN218" s="1219"/>
      <c r="BO218" s="1219"/>
      <c r="BP218" s="1219"/>
      <c r="BQ218" s="1218"/>
      <c r="BR218" s="1218"/>
      <c r="BS218" s="1218"/>
      <c r="BT218" s="1218"/>
      <c r="BU218" s="1218"/>
      <c r="BV218" s="1218"/>
      <c r="BW218" s="1218"/>
      <c r="BX218" s="1218"/>
      <c r="BY218" s="1218"/>
      <c r="BZ218" s="1218"/>
      <c r="CA218" s="1218"/>
      <c r="CB218" s="1655"/>
      <c r="CC218" s="1655"/>
      <c r="CD218" s="1655"/>
      <c r="CE218" s="1655"/>
      <c r="CF218" s="1218"/>
      <c r="CG218" s="1655"/>
      <c r="CH218" s="1655"/>
      <c r="CI218" s="1655"/>
      <c r="CJ218" s="1655"/>
      <c r="CK218" s="1218"/>
      <c r="CL218" s="1655"/>
      <c r="CM218" s="1655"/>
      <c r="CN218" s="1655"/>
      <c r="CO218" s="1655"/>
      <c r="CP218" s="1218"/>
      <c r="CQ218" s="1655"/>
      <c r="CR218" s="1655"/>
      <c r="CS218" s="1655"/>
      <c r="CT218" s="1655"/>
      <c r="CU218" s="1218"/>
      <c r="CV218" s="1655"/>
      <c r="CW218" s="1655"/>
      <c r="CX218" s="1655"/>
      <c r="CY218" s="1655"/>
      <c r="CZ218" s="1218"/>
      <c r="DA218" s="1218"/>
      <c r="DB218" s="1218"/>
      <c r="DC218" s="1218"/>
    </row>
    <row r="219" spans="1:107" s="2109" customFormat="1" ht="11.25">
      <c r="A219" s="1661"/>
      <c r="B219" s="1661"/>
      <c r="C219" s="1661" t="s">
        <v>1465</v>
      </c>
      <c r="D219" s="1661"/>
      <c r="E219" s="1661"/>
      <c r="F219" s="1661"/>
      <c r="G219" s="1661"/>
      <c r="H219" s="1661"/>
      <c r="I219" s="1661"/>
      <c r="J219" s="1661"/>
      <c r="K219" s="1661"/>
      <c r="L219" s="1661"/>
      <c r="M219" s="1661"/>
      <c r="N219" s="1660"/>
      <c r="O219" s="1661"/>
      <c r="P219" s="1661"/>
      <c r="Q219" s="1661"/>
      <c r="R219" s="1661"/>
      <c r="S219" s="1660"/>
      <c r="T219" s="1661"/>
      <c r="U219" s="1661"/>
      <c r="V219" s="1661"/>
      <c r="W219" s="1661"/>
      <c r="X219" s="1660"/>
      <c r="Y219" s="1661"/>
      <c r="Z219" s="1661"/>
      <c r="AA219" s="1661"/>
      <c r="AB219" s="1661"/>
      <c r="AC219" s="1660"/>
      <c r="AD219" s="1661"/>
      <c r="AE219" s="1661"/>
      <c r="AF219" s="1661"/>
      <c r="AG219" s="1661"/>
      <c r="AH219" s="1660"/>
      <c r="AI219" s="1661"/>
      <c r="AJ219" s="1661"/>
      <c r="AK219" s="1661"/>
      <c r="AL219" s="1661"/>
      <c r="AM219" s="1660"/>
      <c r="AN219" s="1661"/>
      <c r="AO219" s="1661"/>
      <c r="AP219" s="1661"/>
      <c r="AQ219" s="1661"/>
      <c r="AR219" s="1660"/>
      <c r="AS219" s="1660"/>
      <c r="AT219" s="1660"/>
      <c r="AU219" s="1660"/>
      <c r="AV219" s="1660"/>
      <c r="AW219" s="1660"/>
      <c r="AX219" s="1660"/>
      <c r="AY219" s="1660"/>
      <c r="AZ219" s="1660"/>
      <c r="BA219" s="1660"/>
      <c r="BB219" s="1660"/>
      <c r="BC219" s="1660"/>
      <c r="BD219" s="1660"/>
      <c r="BE219" s="1660"/>
      <c r="BF219" s="1660"/>
      <c r="BG219" s="1660"/>
      <c r="BH219" s="1660"/>
      <c r="BI219" s="1660"/>
      <c r="BJ219" s="1660"/>
      <c r="BK219" s="1660"/>
      <c r="BL219" s="1659"/>
      <c r="BM219" s="1660"/>
      <c r="BN219" s="1660"/>
      <c r="BO219" s="1660"/>
      <c r="BP219" s="1660"/>
      <c r="BQ219" s="1659"/>
      <c r="BR219" s="1583"/>
      <c r="BS219" s="1583"/>
      <c r="BT219" s="1583"/>
      <c r="BU219" s="1583"/>
      <c r="BV219" s="1659"/>
      <c r="BW219" s="1583"/>
      <c r="BX219" s="1583"/>
      <c r="BY219" s="1583"/>
      <c r="BZ219" s="1583"/>
      <c r="CA219" s="1658"/>
      <c r="CB219" s="2123"/>
      <c r="CC219" s="2123"/>
      <c r="CD219" s="2123"/>
      <c r="CE219" s="2123"/>
      <c r="CF219" s="1657"/>
      <c r="CG219" s="2123"/>
      <c r="CH219" s="2123"/>
      <c r="CI219" s="2123"/>
      <c r="CJ219" s="2123"/>
      <c r="CK219" s="1908"/>
      <c r="CL219" s="1977"/>
      <c r="CM219" s="1977"/>
      <c r="CN219" s="1977"/>
      <c r="CO219" s="1977"/>
      <c r="CP219" s="1908">
        <f t="shared" ref="CP219" si="84">CP220*CK12</f>
        <v>1126.56</v>
      </c>
      <c r="CQ219" s="1977">
        <f>CQ220*CL12</f>
        <v>179.4</v>
      </c>
      <c r="CR219" s="1977">
        <f>CR220*CM12</f>
        <v>190.65</v>
      </c>
      <c r="CS219" s="2123"/>
      <c r="CT219" s="2123"/>
      <c r="CU219" s="1656"/>
      <c r="CV219" s="2123"/>
      <c r="CW219" s="2123"/>
      <c r="CX219" s="2123"/>
      <c r="CY219" s="2123"/>
      <c r="CZ219" s="1656"/>
      <c r="DA219" s="1656"/>
      <c r="DB219" s="1656"/>
      <c r="DC219" s="1656"/>
    </row>
    <row r="220" spans="1:107" s="2109" customFormat="1" ht="11.25">
      <c r="A220" s="1661"/>
      <c r="B220" s="1661"/>
      <c r="C220" s="1661" t="s">
        <v>1063</v>
      </c>
      <c r="D220" s="1661"/>
      <c r="E220" s="1661"/>
      <c r="F220" s="1661"/>
      <c r="G220" s="1661"/>
      <c r="H220" s="1661"/>
      <c r="I220" s="1661"/>
      <c r="J220" s="1661"/>
      <c r="K220" s="1661"/>
      <c r="L220" s="1661"/>
      <c r="M220" s="1661"/>
      <c r="N220" s="1661"/>
      <c r="O220" s="1661"/>
      <c r="P220" s="1661"/>
      <c r="Q220" s="1661"/>
      <c r="R220" s="1661"/>
      <c r="S220" s="1661"/>
      <c r="T220" s="1661"/>
      <c r="U220" s="1661"/>
      <c r="V220" s="1661"/>
      <c r="W220" s="1661"/>
      <c r="X220" s="1661"/>
      <c r="Y220" s="1661"/>
      <c r="Z220" s="1661"/>
      <c r="AA220" s="1661"/>
      <c r="AB220" s="1661"/>
      <c r="AC220" s="1661"/>
      <c r="AD220" s="1661"/>
      <c r="AE220" s="1661"/>
      <c r="AF220" s="1661"/>
      <c r="AG220" s="1661"/>
      <c r="AH220" s="1661"/>
      <c r="AI220" s="1661"/>
      <c r="AJ220" s="1661"/>
      <c r="AK220" s="1661"/>
      <c r="AL220" s="1661"/>
      <c r="AM220" s="1661"/>
      <c r="AN220" s="1661"/>
      <c r="AO220" s="1661"/>
      <c r="AP220" s="1661"/>
      <c r="AQ220" s="1661"/>
      <c r="AR220" s="1661"/>
      <c r="AS220" s="1661"/>
      <c r="AT220" s="1661"/>
      <c r="AU220" s="1661"/>
      <c r="AV220" s="1661"/>
      <c r="AW220" s="1661"/>
      <c r="AX220" s="1661"/>
      <c r="AY220" s="1661"/>
      <c r="AZ220" s="1661"/>
      <c r="BA220" s="1661"/>
      <c r="BB220" s="1661"/>
      <c r="BC220" s="1661"/>
      <c r="BD220" s="1661"/>
      <c r="BE220" s="1661"/>
      <c r="BF220" s="1661"/>
      <c r="BG220" s="1661"/>
      <c r="BH220" s="1661"/>
      <c r="BI220" s="1661"/>
      <c r="BJ220" s="1661"/>
      <c r="BK220" s="1661"/>
      <c r="BL220" s="1659"/>
      <c r="BM220" s="1661"/>
      <c r="BN220" s="1661"/>
      <c r="BO220" s="1661"/>
      <c r="BP220" s="1661"/>
      <c r="BQ220" s="1659"/>
      <c r="BR220" s="1583"/>
      <c r="BS220" s="1583"/>
      <c r="BT220" s="1583"/>
      <c r="BU220" s="1583"/>
      <c r="BV220" s="1659"/>
      <c r="BW220" s="1583"/>
      <c r="BX220" s="1583"/>
      <c r="BY220" s="1583"/>
      <c r="BZ220" s="1583"/>
      <c r="CA220" s="2234"/>
      <c r="CB220" s="1572"/>
      <c r="CC220" s="1572"/>
      <c r="CD220" s="1572"/>
      <c r="CE220" s="1572"/>
      <c r="CF220" s="1657"/>
      <c r="CG220" s="1572"/>
      <c r="CH220" s="1572"/>
      <c r="CI220" s="1572"/>
      <c r="CJ220" s="1572"/>
      <c r="CK220" s="1664"/>
      <c r="CL220" s="1537"/>
      <c r="CM220" s="1537"/>
      <c r="CN220" s="1537"/>
      <c r="CO220" s="1537"/>
      <c r="CP220" s="1664">
        <v>0.08</v>
      </c>
      <c r="CQ220" s="1537">
        <v>0.05</v>
      </c>
      <c r="CR220" s="1537">
        <v>0.05</v>
      </c>
      <c r="CS220" s="1572"/>
      <c r="CT220" s="1572"/>
      <c r="CU220" s="1659"/>
      <c r="CV220" s="1572"/>
      <c r="CW220" s="1572"/>
      <c r="CX220" s="1572"/>
      <c r="CY220" s="1572"/>
      <c r="CZ220" s="1659"/>
      <c r="DA220" s="1659"/>
      <c r="DB220" s="1659"/>
      <c r="DC220" s="1659"/>
    </row>
    <row r="221" spans="1:107" s="2109" customFormat="1" ht="11.25">
      <c r="A221" s="1661"/>
      <c r="B221" s="1661"/>
      <c r="C221" s="1661" t="s">
        <v>1466</v>
      </c>
      <c r="D221" s="1661"/>
      <c r="E221" s="1661"/>
      <c r="F221" s="1661"/>
      <c r="G221" s="1661"/>
      <c r="H221" s="1661"/>
      <c r="I221" s="1661"/>
      <c r="J221" s="1661"/>
      <c r="K221" s="1661"/>
      <c r="L221" s="1661"/>
      <c r="M221" s="1661"/>
      <c r="N221" s="1660"/>
      <c r="O221" s="1661"/>
      <c r="P221" s="1661"/>
      <c r="Q221" s="1661"/>
      <c r="R221" s="1661"/>
      <c r="S221" s="1660"/>
      <c r="T221" s="1661"/>
      <c r="U221" s="1661"/>
      <c r="V221" s="1661"/>
      <c r="W221" s="1661"/>
      <c r="X221" s="1660"/>
      <c r="Y221" s="1661"/>
      <c r="Z221" s="1661"/>
      <c r="AA221" s="1661"/>
      <c r="AB221" s="1661"/>
      <c r="AC221" s="1660"/>
      <c r="AD221" s="1661"/>
      <c r="AE221" s="1661"/>
      <c r="AF221" s="1661"/>
      <c r="AG221" s="1661"/>
      <c r="AH221" s="1660"/>
      <c r="AI221" s="1661"/>
      <c r="AJ221" s="1661"/>
      <c r="AK221" s="1661"/>
      <c r="AL221" s="1661"/>
      <c r="AM221" s="1660"/>
      <c r="AN221" s="1661"/>
      <c r="AO221" s="1661"/>
      <c r="AP221" s="1661"/>
      <c r="AQ221" s="1661"/>
      <c r="AR221" s="1660"/>
      <c r="AS221" s="1660"/>
      <c r="AT221" s="1660"/>
      <c r="AU221" s="1660"/>
      <c r="AV221" s="1660"/>
      <c r="AW221" s="1660"/>
      <c r="AX221" s="1660"/>
      <c r="AY221" s="1660"/>
      <c r="AZ221" s="1660"/>
      <c r="BA221" s="1660"/>
      <c r="BB221" s="1660"/>
      <c r="BC221" s="1660"/>
      <c r="BD221" s="1660"/>
      <c r="BE221" s="1660"/>
      <c r="BF221" s="1660"/>
      <c r="BG221" s="1660"/>
      <c r="BH221" s="1660"/>
      <c r="BI221" s="1660"/>
      <c r="BJ221" s="1660"/>
      <c r="BK221" s="1660"/>
      <c r="BL221" s="1659"/>
      <c r="BM221" s="1660"/>
      <c r="BN221" s="1660"/>
      <c r="BO221" s="1660"/>
      <c r="BP221" s="1660"/>
      <c r="BQ221" s="1659"/>
      <c r="BR221" s="1583"/>
      <c r="BS221" s="1583"/>
      <c r="BT221" s="1583"/>
      <c r="BU221" s="1583"/>
      <c r="BV221" s="1659"/>
      <c r="BW221" s="1583"/>
      <c r="BX221" s="1583"/>
      <c r="BY221" s="1583"/>
      <c r="BZ221" s="1583"/>
      <c r="CA221" s="1658"/>
      <c r="CB221" s="2123"/>
      <c r="CC221" s="2123"/>
      <c r="CD221" s="2123"/>
      <c r="CE221" s="2123"/>
      <c r="CF221" s="1657"/>
      <c r="CG221" s="2123"/>
      <c r="CH221" s="2123"/>
      <c r="CI221" s="2123"/>
      <c r="CJ221" s="2123"/>
      <c r="CK221" s="1908"/>
      <c r="CL221" s="1977"/>
      <c r="CM221" s="1977"/>
      <c r="CN221" s="1977"/>
      <c r="CO221" s="1977"/>
      <c r="CP221" s="1908">
        <f t="shared" ref="CP221" si="85">CP222*CK35</f>
        <v>631.29000000000008</v>
      </c>
      <c r="CQ221" s="1977">
        <f>CQ222*CL35</f>
        <v>53.95</v>
      </c>
      <c r="CR221" s="1977">
        <f>CR222*CM35</f>
        <v>40.68</v>
      </c>
      <c r="CS221" s="2123"/>
      <c r="CT221" s="2123"/>
      <c r="CU221" s="1656"/>
      <c r="CV221" s="2123"/>
      <c r="CW221" s="2123"/>
      <c r="CX221" s="2123"/>
      <c r="CY221" s="2123"/>
      <c r="CZ221" s="1656"/>
      <c r="DA221" s="1656"/>
      <c r="DB221" s="1656"/>
      <c r="DC221" s="1656"/>
    </row>
    <row r="222" spans="1:107" s="2109" customFormat="1" ht="11.25">
      <c r="A222" s="1661"/>
      <c r="B222" s="1661"/>
      <c r="C222" s="1661" t="s">
        <v>1063</v>
      </c>
      <c r="D222" s="1661"/>
      <c r="E222" s="1661"/>
      <c r="F222" s="1661"/>
      <c r="G222" s="1661"/>
      <c r="H222" s="1661"/>
      <c r="I222" s="1661"/>
      <c r="J222" s="1661"/>
      <c r="K222" s="1661"/>
      <c r="L222" s="1661"/>
      <c r="M222" s="1661"/>
      <c r="N222" s="1660"/>
      <c r="O222" s="1661"/>
      <c r="P222" s="1661"/>
      <c r="Q222" s="1661"/>
      <c r="R222" s="1661"/>
      <c r="S222" s="1660"/>
      <c r="T222" s="1661"/>
      <c r="U222" s="1661"/>
      <c r="V222" s="1661"/>
      <c r="W222" s="1661"/>
      <c r="X222" s="1660"/>
      <c r="Y222" s="1661"/>
      <c r="Z222" s="1661"/>
      <c r="AA222" s="1661"/>
      <c r="AB222" s="1661"/>
      <c r="AC222" s="1660"/>
      <c r="AD222" s="1661"/>
      <c r="AE222" s="1661"/>
      <c r="AF222" s="1661"/>
      <c r="AG222" s="1661"/>
      <c r="AH222" s="1660"/>
      <c r="AI222" s="1661"/>
      <c r="AJ222" s="1661"/>
      <c r="AK222" s="1661"/>
      <c r="AL222" s="1661"/>
      <c r="AM222" s="1660"/>
      <c r="AN222" s="1661"/>
      <c r="AO222" s="1661"/>
      <c r="AP222" s="1661"/>
      <c r="AQ222" s="1661"/>
      <c r="AR222" s="1660"/>
      <c r="AS222" s="1660"/>
      <c r="AT222" s="1660"/>
      <c r="AU222" s="1660"/>
      <c r="AV222" s="1660"/>
      <c r="AW222" s="1660"/>
      <c r="AX222" s="1660"/>
      <c r="AY222" s="1660"/>
      <c r="AZ222" s="1660"/>
      <c r="BA222" s="1660"/>
      <c r="BB222" s="1660"/>
      <c r="BC222" s="1660"/>
      <c r="BD222" s="1660"/>
      <c r="BE222" s="1660"/>
      <c r="BF222" s="1660"/>
      <c r="BG222" s="1660"/>
      <c r="BH222" s="1660"/>
      <c r="BI222" s="1660"/>
      <c r="BJ222" s="1660"/>
      <c r="BK222" s="1660"/>
      <c r="BL222" s="1659"/>
      <c r="BM222" s="1660"/>
      <c r="BN222" s="1660"/>
      <c r="BO222" s="1660"/>
      <c r="BP222" s="1660"/>
      <c r="BQ222" s="1659"/>
      <c r="BR222" s="1583"/>
      <c r="BS222" s="1583"/>
      <c r="BT222" s="1583"/>
      <c r="BU222" s="1583"/>
      <c r="BV222" s="1659"/>
      <c r="BW222" s="1583"/>
      <c r="BX222" s="1583"/>
      <c r="BY222" s="1583"/>
      <c r="BZ222" s="1583"/>
      <c r="CA222" s="1658"/>
      <c r="CB222" s="2123"/>
      <c r="CC222" s="2123"/>
      <c r="CD222" s="2123"/>
      <c r="CE222" s="2123"/>
      <c r="CF222" s="1657"/>
      <c r="CG222" s="2123"/>
      <c r="CH222" s="2123"/>
      <c r="CI222" s="2123"/>
      <c r="CJ222" s="2123"/>
      <c r="CK222" s="2313"/>
      <c r="CL222" s="1537"/>
      <c r="CM222" s="1537"/>
      <c r="CN222" s="1537"/>
      <c r="CO222" s="1537"/>
      <c r="CP222" s="2313">
        <v>0.33</v>
      </c>
      <c r="CQ222" s="1537">
        <v>0.13</v>
      </c>
      <c r="CR222" s="2312">
        <v>0.09</v>
      </c>
      <c r="CS222" s="2123"/>
      <c r="CT222" s="2123"/>
      <c r="CU222" s="1656"/>
      <c r="CV222" s="2123"/>
      <c r="CW222" s="2123"/>
      <c r="CX222" s="2123"/>
      <c r="CY222" s="2123"/>
      <c r="CZ222" s="1656"/>
      <c r="DA222" s="1656"/>
      <c r="DB222" s="1656"/>
      <c r="DC222" s="1656"/>
    </row>
    <row r="223" spans="1:107" s="2109" customFormat="1" ht="11.25">
      <c r="A223" s="1661"/>
      <c r="B223" s="1661"/>
      <c r="C223" s="1661" t="s">
        <v>146</v>
      </c>
      <c r="D223" s="1661"/>
      <c r="E223" s="1661"/>
      <c r="F223" s="1661"/>
      <c r="G223" s="1661"/>
      <c r="H223" s="1661"/>
      <c r="I223" s="1661"/>
      <c r="J223" s="1661"/>
      <c r="K223" s="1661"/>
      <c r="L223" s="1661"/>
      <c r="M223" s="1661"/>
      <c r="N223" s="1660"/>
      <c r="O223" s="1661"/>
      <c r="P223" s="1661"/>
      <c r="Q223" s="1661"/>
      <c r="R223" s="1661"/>
      <c r="S223" s="1660"/>
      <c r="T223" s="1661"/>
      <c r="U223" s="1661"/>
      <c r="V223" s="1661"/>
      <c r="W223" s="1661"/>
      <c r="X223" s="1660"/>
      <c r="Y223" s="1661"/>
      <c r="Z223" s="1661"/>
      <c r="AA223" s="1661"/>
      <c r="AB223" s="1661"/>
      <c r="AC223" s="1660"/>
      <c r="AD223" s="1661"/>
      <c r="AE223" s="1661"/>
      <c r="AF223" s="1661"/>
      <c r="AG223" s="1661"/>
      <c r="AH223" s="1660"/>
      <c r="AI223" s="1661"/>
      <c r="AJ223" s="1661"/>
      <c r="AK223" s="1661"/>
      <c r="AL223" s="1661"/>
      <c r="AM223" s="1660"/>
      <c r="AN223" s="1661"/>
      <c r="AO223" s="1661"/>
      <c r="AP223" s="1661"/>
      <c r="AQ223" s="1661"/>
      <c r="AR223" s="1660"/>
      <c r="AS223" s="1660"/>
      <c r="AT223" s="1660"/>
      <c r="AU223" s="1660"/>
      <c r="AV223" s="1660"/>
      <c r="AW223" s="1660"/>
      <c r="AX223" s="1660"/>
      <c r="AY223" s="1660"/>
      <c r="AZ223" s="1660"/>
      <c r="BA223" s="1660"/>
      <c r="BB223" s="1660"/>
      <c r="BC223" s="1660"/>
      <c r="BD223" s="1660"/>
      <c r="BE223" s="1660"/>
      <c r="BF223" s="1660"/>
      <c r="BG223" s="1660"/>
      <c r="BH223" s="1660"/>
      <c r="BI223" s="1660"/>
      <c r="BJ223" s="1660"/>
      <c r="BK223" s="1660"/>
      <c r="BL223" s="1659"/>
      <c r="BM223" s="1660"/>
      <c r="BN223" s="1660"/>
      <c r="BO223" s="1660"/>
      <c r="BP223" s="1660"/>
      <c r="BQ223" s="1659"/>
      <c r="BR223" s="1583"/>
      <c r="BS223" s="1583"/>
      <c r="BT223" s="1583"/>
      <c r="BU223" s="1583"/>
      <c r="BV223" s="1659"/>
      <c r="BW223" s="1583"/>
      <c r="BX223" s="1583"/>
      <c r="BY223" s="1583"/>
      <c r="BZ223" s="1583"/>
      <c r="CA223" s="1658"/>
      <c r="CB223" s="2123"/>
      <c r="CC223" s="2123"/>
      <c r="CD223" s="2123"/>
      <c r="CE223" s="2123"/>
      <c r="CF223" s="1657"/>
      <c r="CG223" s="2123"/>
      <c r="CH223" s="2123"/>
      <c r="CI223" s="2123"/>
      <c r="CJ223" s="2123"/>
      <c r="CK223" s="1664"/>
      <c r="CL223" s="1889"/>
      <c r="CM223" s="1889"/>
      <c r="CN223" s="1889"/>
      <c r="CO223" s="1889"/>
      <c r="CP223" s="1664">
        <f t="shared" ref="CP223" si="86">CP221/CP219</f>
        <v>0.56036962079250119</v>
      </c>
      <c r="CQ223" s="1889">
        <f>CQ221/CQ219</f>
        <v>0.30072463768115942</v>
      </c>
      <c r="CR223" s="1889">
        <f>CR221/CR219</f>
        <v>0.21337529504327302</v>
      </c>
      <c r="CS223" s="2123"/>
      <c r="CT223" s="2123"/>
      <c r="CU223" s="1656"/>
      <c r="CV223" s="2123"/>
      <c r="CW223" s="2123"/>
      <c r="CX223" s="2123"/>
      <c r="CY223" s="2123"/>
      <c r="CZ223" s="1656"/>
      <c r="DA223" s="1656"/>
      <c r="DB223" s="1656"/>
      <c r="DC223" s="1656"/>
    </row>
    <row r="224" spans="1:107" s="2109" customFormat="1" ht="11.25">
      <c r="A224" s="1661"/>
      <c r="B224" s="1661"/>
      <c r="C224" s="1661"/>
      <c r="D224" s="1661"/>
      <c r="E224" s="1661"/>
      <c r="F224" s="1661"/>
      <c r="G224" s="1661"/>
      <c r="H224" s="1661"/>
      <c r="I224" s="1661"/>
      <c r="J224" s="1661"/>
      <c r="K224" s="1661"/>
      <c r="L224" s="1661"/>
      <c r="M224" s="1661"/>
      <c r="N224" s="1660"/>
      <c r="O224" s="1661"/>
      <c r="P224" s="1661"/>
      <c r="Q224" s="1661"/>
      <c r="R224" s="1661"/>
      <c r="S224" s="1660"/>
      <c r="T224" s="1661"/>
      <c r="U224" s="1661"/>
      <c r="V224" s="1661"/>
      <c r="W224" s="1661"/>
      <c r="X224" s="1660"/>
      <c r="Y224" s="1661"/>
      <c r="Z224" s="1661"/>
      <c r="AA224" s="1661"/>
      <c r="AB224" s="1661"/>
      <c r="AC224" s="1660"/>
      <c r="AD224" s="1661"/>
      <c r="AE224" s="1661"/>
      <c r="AF224" s="1661"/>
      <c r="AG224" s="1661"/>
      <c r="AH224" s="1660"/>
      <c r="AI224" s="1661"/>
      <c r="AJ224" s="1661"/>
      <c r="AK224" s="1661"/>
      <c r="AL224" s="1661"/>
      <c r="AM224" s="1660"/>
      <c r="AN224" s="1661"/>
      <c r="AO224" s="1661"/>
      <c r="AP224" s="1661"/>
      <c r="AQ224" s="1661"/>
      <c r="AR224" s="1660"/>
      <c r="AS224" s="1660"/>
      <c r="AT224" s="1660"/>
      <c r="AU224" s="1660"/>
      <c r="AV224" s="1660"/>
      <c r="AW224" s="1660"/>
      <c r="AX224" s="1660"/>
      <c r="AY224" s="1660"/>
      <c r="AZ224" s="1660"/>
      <c r="BA224" s="1660"/>
      <c r="BB224" s="1660"/>
      <c r="BC224" s="1660"/>
      <c r="BD224" s="1660"/>
      <c r="BE224" s="1660"/>
      <c r="BF224" s="1660"/>
      <c r="BG224" s="1660"/>
      <c r="BH224" s="1660"/>
      <c r="BI224" s="1660"/>
      <c r="BJ224" s="1660"/>
      <c r="BK224" s="1660"/>
      <c r="BL224" s="1659"/>
      <c r="BM224" s="1660"/>
      <c r="BN224" s="1660"/>
      <c r="BO224" s="1660"/>
      <c r="BP224" s="1660"/>
      <c r="BQ224" s="1659"/>
      <c r="BR224" s="1583"/>
      <c r="BS224" s="1583"/>
      <c r="BT224" s="1583"/>
      <c r="BU224" s="1583"/>
      <c r="BV224" s="1659"/>
      <c r="BW224" s="1583"/>
      <c r="BX224" s="1583"/>
      <c r="BY224" s="1583"/>
      <c r="BZ224" s="1583"/>
      <c r="CA224" s="1658"/>
      <c r="CB224" s="2123"/>
      <c r="CC224" s="2123"/>
      <c r="CD224" s="2123"/>
      <c r="CE224" s="2123"/>
      <c r="CF224" s="1657"/>
      <c r="CG224" s="2123"/>
      <c r="CH224" s="2123"/>
      <c r="CI224" s="2123"/>
      <c r="CJ224" s="2123"/>
      <c r="CK224" s="1657"/>
      <c r="CL224" s="2123"/>
      <c r="CM224" s="2123"/>
      <c r="CN224" s="2123"/>
      <c r="CO224" s="2123"/>
      <c r="CP224" s="1656"/>
      <c r="CQ224" s="2123"/>
      <c r="CR224" s="2123"/>
      <c r="CS224" s="2123"/>
      <c r="CT224" s="2123"/>
      <c r="CU224" s="1656"/>
      <c r="CV224" s="2123"/>
      <c r="CW224" s="2123"/>
      <c r="CX224" s="2123"/>
      <c r="CY224" s="2123"/>
      <c r="CZ224" s="1656"/>
      <c r="DA224" s="1656"/>
      <c r="DB224" s="1656"/>
      <c r="DC224" s="1656"/>
    </row>
    <row r="225" spans="1:107" s="2109" customFormat="1" ht="11.25">
      <c r="A225" s="1661"/>
      <c r="B225" s="1661"/>
      <c r="C225" s="1661"/>
      <c r="D225" s="1661"/>
      <c r="E225" s="1661"/>
      <c r="F225" s="1661"/>
      <c r="G225" s="1661"/>
      <c r="H225" s="1661"/>
      <c r="I225" s="1661"/>
      <c r="J225" s="1661"/>
      <c r="K225" s="1661"/>
      <c r="L225" s="1661"/>
      <c r="M225" s="1661"/>
      <c r="N225" s="1660"/>
      <c r="O225" s="1661"/>
      <c r="P225" s="1661"/>
      <c r="Q225" s="1661"/>
      <c r="R225" s="1661"/>
      <c r="S225" s="1660"/>
      <c r="T225" s="1661"/>
      <c r="U225" s="1661"/>
      <c r="V225" s="1661"/>
      <c r="W225" s="1661"/>
      <c r="X225" s="1660"/>
      <c r="Y225" s="1661"/>
      <c r="Z225" s="1661"/>
      <c r="AA225" s="1661"/>
      <c r="AB225" s="1661"/>
      <c r="AC225" s="1660"/>
      <c r="AD225" s="1661"/>
      <c r="AE225" s="1661"/>
      <c r="AF225" s="1661"/>
      <c r="AG225" s="1661"/>
      <c r="AH225" s="1660"/>
      <c r="AI225" s="1661"/>
      <c r="AJ225" s="1661"/>
      <c r="AK225" s="1661"/>
      <c r="AL225" s="1661"/>
      <c r="AM225" s="1660"/>
      <c r="AN225" s="1661"/>
      <c r="AO225" s="1661"/>
      <c r="AP225" s="1661"/>
      <c r="AQ225" s="1661"/>
      <c r="AR225" s="1660"/>
      <c r="AS225" s="1660"/>
      <c r="AT225" s="1660"/>
      <c r="AU225" s="1660"/>
      <c r="AV225" s="1660"/>
      <c r="AW225" s="1660"/>
      <c r="AX225" s="1660"/>
      <c r="AY225" s="1660"/>
      <c r="AZ225" s="1660"/>
      <c r="BA225" s="1660"/>
      <c r="BB225" s="1660"/>
      <c r="BC225" s="1660"/>
      <c r="BD225" s="1660"/>
      <c r="BE225" s="1660"/>
      <c r="BF225" s="1660"/>
      <c r="BG225" s="1660"/>
      <c r="BH225" s="1660"/>
      <c r="BI225" s="1660"/>
      <c r="BJ225" s="1660"/>
      <c r="BK225" s="1660"/>
      <c r="BL225" s="1659"/>
      <c r="BM225" s="1660"/>
      <c r="BN225" s="1660"/>
      <c r="BO225" s="1660"/>
      <c r="BP225" s="1660"/>
      <c r="BQ225" s="1659"/>
      <c r="BR225" s="1583"/>
      <c r="BS225" s="1583"/>
      <c r="BT225" s="1583"/>
      <c r="BU225" s="1583"/>
      <c r="BV225" s="1659"/>
      <c r="BW225" s="1583"/>
      <c r="BX225" s="1583"/>
      <c r="BY225" s="1583"/>
      <c r="BZ225" s="1583"/>
      <c r="CA225" s="1658"/>
      <c r="CB225" s="2123"/>
      <c r="CC225" s="2123"/>
      <c r="CD225" s="2123"/>
      <c r="CE225" s="2123"/>
      <c r="CF225" s="1657"/>
      <c r="CG225" s="2123"/>
      <c r="CH225" s="2123"/>
      <c r="CI225" s="2123"/>
      <c r="CJ225" s="2123"/>
      <c r="CK225" s="1657"/>
      <c r="CL225" s="2123"/>
      <c r="CM225" s="2123"/>
      <c r="CN225" s="2123"/>
      <c r="CO225" s="2123"/>
      <c r="CP225" s="1656"/>
      <c r="CQ225" s="2123"/>
      <c r="CR225" s="2123"/>
      <c r="CS225" s="2123"/>
      <c r="CT225" s="2123"/>
      <c r="CU225" s="1656"/>
      <c r="CV225" s="2123"/>
      <c r="CW225" s="2123"/>
      <c r="CX225" s="2123"/>
      <c r="CY225" s="2123"/>
      <c r="CZ225" s="1656"/>
      <c r="DA225" s="1656"/>
      <c r="DB225" s="1656"/>
      <c r="DC225" s="1656"/>
    </row>
    <row r="226" spans="1:107" s="2109" customFormat="1" ht="11.25">
      <c r="A226" s="1661"/>
      <c r="B226" s="1661"/>
      <c r="C226" s="1661"/>
      <c r="D226" s="1661"/>
      <c r="E226" s="1661"/>
      <c r="F226" s="1661"/>
      <c r="G226" s="1661"/>
      <c r="H226" s="1661"/>
      <c r="I226" s="1661"/>
      <c r="J226" s="1661"/>
      <c r="K226" s="1661"/>
      <c r="L226" s="1661"/>
      <c r="M226" s="1661"/>
      <c r="N226" s="1660"/>
      <c r="O226" s="1661"/>
      <c r="P226" s="1661"/>
      <c r="Q226" s="1661"/>
      <c r="R226" s="1661"/>
      <c r="S226" s="1660"/>
      <c r="T226" s="1661"/>
      <c r="U226" s="1661"/>
      <c r="V226" s="1661"/>
      <c r="W226" s="1661"/>
      <c r="X226" s="1660"/>
      <c r="Y226" s="1661"/>
      <c r="Z226" s="1661"/>
      <c r="AA226" s="1661"/>
      <c r="AB226" s="1661"/>
      <c r="AC226" s="1660"/>
      <c r="AD226" s="1661"/>
      <c r="AE226" s="1661"/>
      <c r="AF226" s="1661"/>
      <c r="AG226" s="1661"/>
      <c r="AH226" s="1660"/>
      <c r="AI226" s="1661"/>
      <c r="AJ226" s="1661"/>
      <c r="AK226" s="1661"/>
      <c r="AL226" s="1661"/>
      <c r="AM226" s="1660"/>
      <c r="AN226" s="1661"/>
      <c r="AO226" s="1661"/>
      <c r="AP226" s="1661"/>
      <c r="AQ226" s="1661"/>
      <c r="AR226" s="1660"/>
      <c r="AS226" s="1660"/>
      <c r="AT226" s="1660"/>
      <c r="AU226" s="1660"/>
      <c r="AV226" s="1660"/>
      <c r="AW226" s="1660"/>
      <c r="AX226" s="1660"/>
      <c r="AY226" s="1660"/>
      <c r="AZ226" s="1660"/>
      <c r="BA226" s="1660"/>
      <c r="BB226" s="1660"/>
      <c r="BC226" s="1660"/>
      <c r="BD226" s="1660"/>
      <c r="BE226" s="1660"/>
      <c r="BF226" s="1660"/>
      <c r="BG226" s="1660"/>
      <c r="BH226" s="1660"/>
      <c r="BI226" s="1660"/>
      <c r="BJ226" s="1660"/>
      <c r="BK226" s="1660"/>
      <c r="BL226" s="1659"/>
      <c r="BM226" s="1660"/>
      <c r="BN226" s="1660"/>
      <c r="BO226" s="1660"/>
      <c r="BP226" s="1660"/>
      <c r="BQ226" s="1659"/>
      <c r="BR226" s="1583"/>
      <c r="BS226" s="1583"/>
      <c r="BT226" s="1583"/>
      <c r="BU226" s="1583"/>
      <c r="BV226" s="1659"/>
      <c r="BW226" s="1583"/>
      <c r="BX226" s="1583"/>
      <c r="BY226" s="1583"/>
      <c r="BZ226" s="1583"/>
      <c r="CA226" s="1658"/>
      <c r="CB226" s="2123"/>
      <c r="CC226" s="2123"/>
      <c r="CD226" s="2123"/>
      <c r="CE226" s="2123"/>
      <c r="CF226" s="1657"/>
      <c r="CG226" s="2123"/>
      <c r="CH226" s="2123"/>
      <c r="CI226" s="2123"/>
      <c r="CJ226" s="2123"/>
      <c r="CK226" s="1657"/>
      <c r="CL226" s="2123"/>
      <c r="CM226" s="2123"/>
      <c r="CN226" s="2123"/>
      <c r="CO226" s="2123"/>
      <c r="CP226" s="1656"/>
      <c r="CQ226" s="2123"/>
      <c r="CR226" s="2123"/>
      <c r="CS226" s="2123"/>
      <c r="CT226" s="2123"/>
      <c r="CU226" s="1656"/>
      <c r="CV226" s="2123"/>
      <c r="CW226" s="2123"/>
      <c r="CX226" s="2123"/>
      <c r="CY226" s="2123"/>
      <c r="CZ226" s="1656"/>
      <c r="DA226" s="1656"/>
      <c r="DB226" s="1656"/>
      <c r="DC226" s="1656"/>
    </row>
    <row r="227" spans="1:107" s="2109" customFormat="1" ht="11.25">
      <c r="A227" s="1661"/>
      <c r="B227" s="1661"/>
      <c r="C227" s="1661"/>
      <c r="D227" s="1661"/>
      <c r="E227" s="1661"/>
      <c r="F227" s="1661"/>
      <c r="G227" s="1661"/>
      <c r="H227" s="1661"/>
      <c r="I227" s="1661"/>
      <c r="J227" s="1661"/>
      <c r="K227" s="1661"/>
      <c r="L227" s="1661"/>
      <c r="M227" s="1661"/>
      <c r="N227" s="1660"/>
      <c r="O227" s="1661"/>
      <c r="P227" s="1661"/>
      <c r="Q227" s="1661"/>
      <c r="R227" s="1661"/>
      <c r="S227" s="1660"/>
      <c r="T227" s="1661"/>
      <c r="U227" s="1661"/>
      <c r="V227" s="1661"/>
      <c r="W227" s="1661"/>
      <c r="X227" s="1660"/>
      <c r="Y227" s="1661"/>
      <c r="Z227" s="1661"/>
      <c r="AA227" s="1661"/>
      <c r="AB227" s="1661"/>
      <c r="AC227" s="1660"/>
      <c r="AD227" s="1661"/>
      <c r="AE227" s="1661"/>
      <c r="AF227" s="1661"/>
      <c r="AG227" s="1661"/>
      <c r="AH227" s="1660"/>
      <c r="AI227" s="1661"/>
      <c r="AJ227" s="1661"/>
      <c r="AK227" s="1661"/>
      <c r="AL227" s="1661"/>
      <c r="AM227" s="1660"/>
      <c r="AN227" s="1661"/>
      <c r="AO227" s="1661"/>
      <c r="AP227" s="1661"/>
      <c r="AQ227" s="1661"/>
      <c r="AR227" s="1660"/>
      <c r="AS227" s="1660"/>
      <c r="AT227" s="1660"/>
      <c r="AU227" s="1660"/>
      <c r="AV227" s="1660"/>
      <c r="AW227" s="1660"/>
      <c r="AX227" s="1660"/>
      <c r="AY227" s="1660"/>
      <c r="AZ227" s="1660"/>
      <c r="BA227" s="1660"/>
      <c r="BB227" s="1660"/>
      <c r="BC227" s="1660"/>
      <c r="BD227" s="1660"/>
      <c r="BE227" s="1660"/>
      <c r="BF227" s="1660"/>
      <c r="BG227" s="1660"/>
      <c r="BH227" s="1660"/>
      <c r="BI227" s="1660"/>
      <c r="BJ227" s="1660"/>
      <c r="BK227" s="1660"/>
      <c r="BL227" s="1659"/>
      <c r="BM227" s="1660"/>
      <c r="BN227" s="1660"/>
      <c r="BO227" s="1660"/>
      <c r="BP227" s="1660"/>
      <c r="BQ227" s="1659"/>
      <c r="BR227" s="1583"/>
      <c r="BS227" s="1583"/>
      <c r="BT227" s="1583"/>
      <c r="BU227" s="1583"/>
      <c r="BV227" s="1659"/>
      <c r="BW227" s="1583"/>
      <c r="BX227" s="1583"/>
      <c r="BY227" s="1583"/>
      <c r="BZ227" s="1583"/>
      <c r="CA227" s="1658"/>
      <c r="CB227" s="2123"/>
      <c r="CC227" s="2123"/>
      <c r="CD227" s="2123"/>
      <c r="CE227" s="2123"/>
      <c r="CF227" s="1657"/>
      <c r="CG227" s="2123"/>
      <c r="CH227" s="2123"/>
      <c r="CI227" s="2123"/>
      <c r="CJ227" s="2123"/>
      <c r="CK227" s="1657"/>
      <c r="CL227" s="2123"/>
      <c r="CM227" s="2123"/>
      <c r="CN227" s="2123"/>
      <c r="CO227" s="2123"/>
      <c r="CP227" s="1656"/>
      <c r="CQ227" s="2123"/>
      <c r="CR227" s="2123"/>
      <c r="CS227" s="2123"/>
      <c r="CT227" s="2123"/>
      <c r="CU227" s="1656"/>
      <c r="CV227" s="2123"/>
      <c r="CW227" s="2123"/>
      <c r="CX227" s="2123"/>
      <c r="CY227" s="2123"/>
      <c r="CZ227" s="1656"/>
      <c r="DA227" s="1656"/>
      <c r="DB227" s="1656"/>
      <c r="DC227" s="1656"/>
    </row>
    <row r="228" spans="1:107" s="2109" customFormat="1" ht="11.25">
      <c r="A228" s="1661"/>
      <c r="B228" s="1661"/>
      <c r="C228" s="1661"/>
      <c r="D228" s="1661"/>
      <c r="E228" s="1661"/>
      <c r="F228" s="1661"/>
      <c r="G228" s="1661"/>
      <c r="H228" s="1661"/>
      <c r="I228" s="1661"/>
      <c r="J228" s="1661"/>
      <c r="K228" s="1661"/>
      <c r="L228" s="1661"/>
      <c r="M228" s="1661"/>
      <c r="N228" s="1660"/>
      <c r="O228" s="1661"/>
      <c r="P228" s="1661"/>
      <c r="Q228" s="1661"/>
      <c r="R228" s="1661"/>
      <c r="S228" s="1660"/>
      <c r="T228" s="1661"/>
      <c r="U228" s="1661"/>
      <c r="V228" s="1661"/>
      <c r="W228" s="1661"/>
      <c r="X228" s="1660"/>
      <c r="Y228" s="1661"/>
      <c r="Z228" s="1661"/>
      <c r="AA228" s="1661"/>
      <c r="AB228" s="1661"/>
      <c r="AC228" s="1660"/>
      <c r="AD228" s="1661"/>
      <c r="AE228" s="1661"/>
      <c r="AF228" s="1661"/>
      <c r="AG228" s="1661"/>
      <c r="AH228" s="1660"/>
      <c r="AI228" s="1661"/>
      <c r="AJ228" s="1661"/>
      <c r="AK228" s="1661"/>
      <c r="AL228" s="1661"/>
      <c r="AM228" s="1660"/>
      <c r="AN228" s="1661"/>
      <c r="AO228" s="1661"/>
      <c r="AP228" s="1661"/>
      <c r="AQ228" s="1661"/>
      <c r="AR228" s="1660"/>
      <c r="AS228" s="1660"/>
      <c r="AT228" s="1660"/>
      <c r="AU228" s="1660"/>
      <c r="AV228" s="1660"/>
      <c r="AW228" s="1660"/>
      <c r="AX228" s="1660"/>
      <c r="AY228" s="1660"/>
      <c r="AZ228" s="1660"/>
      <c r="BA228" s="1660"/>
      <c r="BB228" s="1660"/>
      <c r="BC228" s="1660"/>
      <c r="BD228" s="1660"/>
      <c r="BE228" s="1660"/>
      <c r="BF228" s="1660"/>
      <c r="BG228" s="1660"/>
      <c r="BH228" s="1660"/>
      <c r="BI228" s="1660"/>
      <c r="BJ228" s="1660"/>
      <c r="BK228" s="1660"/>
      <c r="BL228" s="1659"/>
      <c r="BM228" s="1660"/>
      <c r="BN228" s="1660"/>
      <c r="BO228" s="1660"/>
      <c r="BP228" s="1660"/>
      <c r="BQ228" s="1659"/>
      <c r="BR228" s="1583"/>
      <c r="BS228" s="1583"/>
      <c r="BT228" s="1583"/>
      <c r="BU228" s="1583"/>
      <c r="BV228" s="1659"/>
      <c r="BW228" s="1583"/>
      <c r="BX228" s="1583"/>
      <c r="BY228" s="1583"/>
      <c r="BZ228" s="1583"/>
      <c r="CA228" s="1658"/>
      <c r="CB228" s="2123"/>
      <c r="CC228" s="2123"/>
      <c r="CD228" s="2123"/>
      <c r="CE228" s="2123"/>
      <c r="CF228" s="1657"/>
      <c r="CG228" s="2123"/>
      <c r="CH228" s="2123"/>
      <c r="CI228" s="2123"/>
      <c r="CJ228" s="2123"/>
      <c r="CK228" s="1657"/>
      <c r="CL228" s="2123"/>
      <c r="CM228" s="2123"/>
      <c r="CN228" s="2123"/>
      <c r="CO228" s="2123"/>
      <c r="CP228" s="1656"/>
      <c r="CQ228" s="2123"/>
      <c r="CR228" s="2123"/>
      <c r="CS228" s="2123"/>
      <c r="CT228" s="2123"/>
      <c r="CU228" s="1656"/>
      <c r="CV228" s="2123"/>
      <c r="CW228" s="2123"/>
      <c r="CX228" s="2123"/>
      <c r="CY228" s="2123"/>
      <c r="CZ228" s="1656"/>
      <c r="DA228" s="1656"/>
      <c r="DB228" s="1656"/>
      <c r="DC228" s="1656"/>
    </row>
    <row r="229" spans="1:107" s="2109" customFormat="1" ht="11.25">
      <c r="A229" s="1661"/>
      <c r="B229" s="1661"/>
      <c r="C229" s="1661"/>
      <c r="D229" s="1661"/>
      <c r="E229" s="1661"/>
      <c r="F229" s="1661"/>
      <c r="G229" s="1661"/>
      <c r="H229" s="1661"/>
      <c r="I229" s="1661"/>
      <c r="J229" s="1661"/>
      <c r="K229" s="1661"/>
      <c r="L229" s="1661"/>
      <c r="M229" s="1661"/>
      <c r="N229" s="1660"/>
      <c r="O229" s="1661"/>
      <c r="P229" s="1661"/>
      <c r="Q229" s="1661"/>
      <c r="R229" s="1661"/>
      <c r="S229" s="1660"/>
      <c r="T229" s="1661"/>
      <c r="U229" s="1661"/>
      <c r="V229" s="1661"/>
      <c r="W229" s="1661"/>
      <c r="X229" s="1660"/>
      <c r="Y229" s="1661"/>
      <c r="Z229" s="1661"/>
      <c r="AA229" s="1661"/>
      <c r="AB229" s="1661"/>
      <c r="AC229" s="1660"/>
      <c r="AD229" s="1661"/>
      <c r="AE229" s="1661"/>
      <c r="AF229" s="1661"/>
      <c r="AG229" s="1661"/>
      <c r="AH229" s="1660"/>
      <c r="AI229" s="1661"/>
      <c r="AJ229" s="1661"/>
      <c r="AK229" s="1661"/>
      <c r="AL229" s="1661"/>
      <c r="AM229" s="1660"/>
      <c r="AN229" s="1661"/>
      <c r="AO229" s="1661"/>
      <c r="AP229" s="1661"/>
      <c r="AQ229" s="1661"/>
      <c r="AR229" s="1660"/>
      <c r="AS229" s="1660"/>
      <c r="AT229" s="1660"/>
      <c r="AU229" s="1660"/>
      <c r="AV229" s="1660"/>
      <c r="AW229" s="1660"/>
      <c r="AX229" s="1660"/>
      <c r="AY229" s="1660"/>
      <c r="AZ229" s="1660"/>
      <c r="BA229" s="1660"/>
      <c r="BB229" s="1660"/>
      <c r="BC229" s="1660"/>
      <c r="BD229" s="1660"/>
      <c r="BE229" s="1660"/>
      <c r="BF229" s="1660"/>
      <c r="BG229" s="1660"/>
      <c r="BH229" s="1660"/>
      <c r="BI229" s="1660"/>
      <c r="BJ229" s="1660"/>
      <c r="BK229" s="1660"/>
      <c r="BL229" s="1659"/>
      <c r="BM229" s="1660"/>
      <c r="BN229" s="1660"/>
      <c r="BO229" s="1660"/>
      <c r="BP229" s="1660"/>
      <c r="BQ229" s="1659"/>
      <c r="BR229" s="1583"/>
      <c r="BS229" s="1583"/>
      <c r="BT229" s="1583"/>
      <c r="BU229" s="1583"/>
      <c r="BV229" s="1659"/>
      <c r="BW229" s="1583"/>
      <c r="BX229" s="1583"/>
      <c r="BY229" s="1583"/>
      <c r="BZ229" s="1583"/>
      <c r="CA229" s="1658"/>
      <c r="CB229" s="2123"/>
      <c r="CC229" s="2123"/>
      <c r="CD229" s="2123"/>
      <c r="CE229" s="2123"/>
      <c r="CF229" s="1657"/>
      <c r="CG229" s="2123"/>
      <c r="CH229" s="2123"/>
      <c r="CI229" s="2123"/>
      <c r="CJ229" s="2123"/>
      <c r="CK229" s="1657"/>
      <c r="CL229" s="2123"/>
      <c r="CM229" s="2123"/>
      <c r="CN229" s="2123"/>
      <c r="CO229" s="2123"/>
      <c r="CP229" s="1656"/>
      <c r="CQ229" s="2123"/>
      <c r="CR229" s="2123"/>
      <c r="CS229" s="2123"/>
      <c r="CT229" s="2123"/>
      <c r="CU229" s="1656"/>
      <c r="CV229" s="2123"/>
      <c r="CW229" s="2123"/>
      <c r="CX229" s="2123"/>
      <c r="CY229" s="2123"/>
      <c r="CZ229" s="1656"/>
      <c r="DA229" s="1656"/>
      <c r="DB229" s="1656"/>
      <c r="DC229" s="1656"/>
    </row>
    <row r="230" spans="1:107" s="2109" customFormat="1" ht="11.25">
      <c r="A230" s="1661"/>
      <c r="B230" s="1661"/>
      <c r="C230" s="1661"/>
      <c r="D230" s="1661"/>
      <c r="E230" s="1661"/>
      <c r="F230" s="1661"/>
      <c r="G230" s="1661"/>
      <c r="H230" s="1661"/>
      <c r="I230" s="1661"/>
      <c r="J230" s="1661"/>
      <c r="K230" s="1661"/>
      <c r="L230" s="1661"/>
      <c r="M230" s="1661"/>
      <c r="N230" s="1660"/>
      <c r="O230" s="1661"/>
      <c r="P230" s="1661"/>
      <c r="Q230" s="1661"/>
      <c r="R230" s="1661"/>
      <c r="S230" s="1660"/>
      <c r="T230" s="1661"/>
      <c r="U230" s="1661"/>
      <c r="V230" s="1661"/>
      <c r="W230" s="1661"/>
      <c r="X230" s="1660"/>
      <c r="Y230" s="1661"/>
      <c r="Z230" s="1661"/>
      <c r="AA230" s="1661"/>
      <c r="AB230" s="1661"/>
      <c r="AC230" s="1660"/>
      <c r="AD230" s="1661"/>
      <c r="AE230" s="1661"/>
      <c r="AF230" s="1661"/>
      <c r="AG230" s="1661"/>
      <c r="AH230" s="1660"/>
      <c r="AI230" s="1661"/>
      <c r="AJ230" s="1661"/>
      <c r="AK230" s="1661"/>
      <c r="AL230" s="1661"/>
      <c r="AM230" s="1660"/>
      <c r="AN230" s="1661"/>
      <c r="AO230" s="1661"/>
      <c r="AP230" s="1661"/>
      <c r="AQ230" s="1661"/>
      <c r="AR230" s="1660"/>
      <c r="AS230" s="1660"/>
      <c r="AT230" s="1660"/>
      <c r="AU230" s="1660"/>
      <c r="AV230" s="1660"/>
      <c r="AW230" s="1660"/>
      <c r="AX230" s="1660"/>
      <c r="AY230" s="1660"/>
      <c r="AZ230" s="1660"/>
      <c r="BA230" s="1660"/>
      <c r="BB230" s="1660"/>
      <c r="BC230" s="1660"/>
      <c r="BD230" s="1660"/>
      <c r="BE230" s="1660"/>
      <c r="BF230" s="1660"/>
      <c r="BG230" s="1660"/>
      <c r="BH230" s="1660"/>
      <c r="BI230" s="1660"/>
      <c r="BJ230" s="1660"/>
      <c r="BK230" s="1660"/>
      <c r="BL230" s="1659"/>
      <c r="BM230" s="1660"/>
      <c r="BN230" s="1660"/>
      <c r="BO230" s="1660"/>
      <c r="BP230" s="1660"/>
      <c r="BQ230" s="1659"/>
      <c r="BR230" s="1583"/>
      <c r="BS230" s="1583"/>
      <c r="BT230" s="1583"/>
      <c r="BU230" s="1583"/>
      <c r="BV230" s="1659"/>
      <c r="BW230" s="1583"/>
      <c r="BX230" s="1583"/>
      <c r="BY230" s="1583"/>
      <c r="BZ230" s="1583"/>
      <c r="CA230" s="1658"/>
      <c r="CB230" s="2123"/>
      <c r="CC230" s="2123"/>
      <c r="CD230" s="2123"/>
      <c r="CE230" s="2123"/>
      <c r="CF230" s="1657"/>
      <c r="CG230" s="2123"/>
      <c r="CH230" s="2123"/>
      <c r="CI230" s="2123"/>
      <c r="CJ230" s="2123"/>
      <c r="CK230" s="1657"/>
      <c r="CL230" s="2123"/>
      <c r="CM230" s="2123"/>
      <c r="CN230" s="2123"/>
      <c r="CO230" s="2123"/>
      <c r="CP230" s="1656"/>
      <c r="CQ230" s="2123"/>
      <c r="CR230" s="2123"/>
      <c r="CS230" s="2123"/>
      <c r="CT230" s="2123"/>
      <c r="CU230" s="1656"/>
      <c r="CV230" s="2123"/>
      <c r="CW230" s="2123"/>
      <c r="CX230" s="2123"/>
      <c r="CY230" s="2123"/>
      <c r="CZ230" s="1656"/>
      <c r="DA230" s="1656"/>
      <c r="DB230" s="1656"/>
      <c r="DC230" s="1656"/>
    </row>
    <row r="231" spans="1:107" s="2109" customFormat="1" ht="11.25">
      <c r="A231" s="1661"/>
      <c r="B231" s="1661"/>
      <c r="C231" s="1661"/>
      <c r="D231" s="1661"/>
      <c r="E231" s="1661"/>
      <c r="F231" s="1661"/>
      <c r="G231" s="1661"/>
      <c r="H231" s="1661"/>
      <c r="I231" s="1661"/>
      <c r="J231" s="1661"/>
      <c r="K231" s="1661"/>
      <c r="L231" s="1661"/>
      <c r="M231" s="1661"/>
      <c r="N231" s="1660"/>
      <c r="O231" s="1661"/>
      <c r="P231" s="1661"/>
      <c r="Q231" s="1661"/>
      <c r="R231" s="1661"/>
      <c r="S231" s="1660"/>
      <c r="T231" s="1661"/>
      <c r="U231" s="1661"/>
      <c r="V231" s="1661"/>
      <c r="W231" s="1661"/>
      <c r="X231" s="1660"/>
      <c r="Y231" s="1661"/>
      <c r="Z231" s="1661"/>
      <c r="AA231" s="1661"/>
      <c r="AB231" s="1661"/>
      <c r="AC231" s="1660"/>
      <c r="AD231" s="1661"/>
      <c r="AE231" s="1661"/>
      <c r="AF231" s="1661"/>
      <c r="AG231" s="1661"/>
      <c r="AH231" s="1660"/>
      <c r="AI231" s="1661"/>
      <c r="AJ231" s="1661"/>
      <c r="AK231" s="1661"/>
      <c r="AL231" s="1661"/>
      <c r="AM231" s="1660"/>
      <c r="AN231" s="1661"/>
      <c r="AO231" s="1661"/>
      <c r="AP231" s="1661"/>
      <c r="AQ231" s="1661"/>
      <c r="AR231" s="1660"/>
      <c r="AS231" s="1660"/>
      <c r="AT231" s="1660"/>
      <c r="AU231" s="1660"/>
      <c r="AV231" s="1660"/>
      <c r="AW231" s="1660"/>
      <c r="AX231" s="1660"/>
      <c r="AY231" s="1660"/>
      <c r="AZ231" s="1660"/>
      <c r="BA231" s="1660"/>
      <c r="BB231" s="1660"/>
      <c r="BC231" s="1660"/>
      <c r="BD231" s="1660"/>
      <c r="BE231" s="1660"/>
      <c r="BF231" s="1660"/>
      <c r="BG231" s="1660"/>
      <c r="BH231" s="1660"/>
      <c r="BI231" s="1660"/>
      <c r="BJ231" s="1660"/>
      <c r="BK231" s="1660"/>
      <c r="BL231" s="1659"/>
      <c r="BM231" s="1660"/>
      <c r="BN231" s="1660"/>
      <c r="BO231" s="1660"/>
      <c r="BP231" s="1660"/>
      <c r="BQ231" s="1659"/>
      <c r="BR231" s="1583"/>
      <c r="BS231" s="1583"/>
      <c r="BT231" s="1583"/>
      <c r="BU231" s="1583"/>
      <c r="BV231" s="1659"/>
      <c r="BW231" s="1583"/>
      <c r="BX231" s="1583"/>
      <c r="BY231" s="1583"/>
      <c r="BZ231" s="1583"/>
      <c r="CA231" s="1658"/>
      <c r="CB231" s="2123"/>
      <c r="CC231" s="2123"/>
      <c r="CD231" s="2123"/>
      <c r="CE231" s="2123"/>
      <c r="CF231" s="1657"/>
      <c r="CG231" s="2123"/>
      <c r="CH231" s="2123"/>
      <c r="CI231" s="2123"/>
      <c r="CJ231" s="2123"/>
      <c r="CK231" s="1657"/>
      <c r="CL231" s="2123"/>
      <c r="CM231" s="2123"/>
      <c r="CN231" s="2123"/>
      <c r="CO231" s="2123"/>
      <c r="CP231" s="1656"/>
      <c r="CQ231" s="2123"/>
      <c r="CR231" s="2123"/>
      <c r="CS231" s="2123"/>
      <c r="CT231" s="2123"/>
      <c r="CU231" s="1656"/>
      <c r="CV231" s="2123"/>
      <c r="CW231" s="2123"/>
      <c r="CX231" s="2123"/>
      <c r="CY231" s="2123"/>
      <c r="CZ231" s="1656"/>
      <c r="DA231" s="1656"/>
      <c r="DB231" s="1656"/>
      <c r="DC231" s="1656"/>
    </row>
    <row r="232" spans="1:107" s="2109" customFormat="1" ht="11.25">
      <c r="A232" s="1661"/>
      <c r="B232" s="1661"/>
      <c r="C232" s="1661"/>
      <c r="D232" s="1661"/>
      <c r="E232" s="1661"/>
      <c r="F232" s="1661"/>
      <c r="G232" s="1661"/>
      <c r="H232" s="1661"/>
      <c r="I232" s="1661"/>
      <c r="J232" s="1661"/>
      <c r="K232" s="1661"/>
      <c r="L232" s="1661"/>
      <c r="M232" s="1661"/>
      <c r="N232" s="1660"/>
      <c r="O232" s="1661"/>
      <c r="P232" s="1661"/>
      <c r="Q232" s="1661"/>
      <c r="R232" s="1661"/>
      <c r="S232" s="1660"/>
      <c r="T232" s="1661"/>
      <c r="U232" s="1661"/>
      <c r="V232" s="1661"/>
      <c r="W232" s="1661"/>
      <c r="X232" s="1660"/>
      <c r="Y232" s="1661"/>
      <c r="Z232" s="1661"/>
      <c r="AA232" s="1661"/>
      <c r="AB232" s="1661"/>
      <c r="AC232" s="1660"/>
      <c r="AD232" s="1661"/>
      <c r="AE232" s="1661"/>
      <c r="AF232" s="1661"/>
      <c r="AG232" s="1661"/>
      <c r="AH232" s="1660"/>
      <c r="AI232" s="1661"/>
      <c r="AJ232" s="1661"/>
      <c r="AK232" s="1661"/>
      <c r="AL232" s="1661"/>
      <c r="AM232" s="1660"/>
      <c r="AN232" s="1661"/>
      <c r="AO232" s="1661"/>
      <c r="AP232" s="1661"/>
      <c r="AQ232" s="1661"/>
      <c r="AR232" s="1660"/>
      <c r="AS232" s="1660"/>
      <c r="AT232" s="1660"/>
      <c r="AU232" s="1660"/>
      <c r="AV232" s="1660"/>
      <c r="AW232" s="1660"/>
      <c r="AX232" s="1660"/>
      <c r="AY232" s="1660"/>
      <c r="AZ232" s="1660"/>
      <c r="BA232" s="1660"/>
      <c r="BB232" s="1660"/>
      <c r="BC232" s="1660"/>
      <c r="BD232" s="1660"/>
      <c r="BE232" s="1660"/>
      <c r="BF232" s="1660"/>
      <c r="BG232" s="1660"/>
      <c r="BH232" s="1660"/>
      <c r="BI232" s="1660"/>
      <c r="BJ232" s="1660"/>
      <c r="BK232" s="1660"/>
      <c r="BL232" s="1659"/>
      <c r="BM232" s="1660"/>
      <c r="BN232" s="1660"/>
      <c r="BO232" s="1660"/>
      <c r="BP232" s="1660"/>
      <c r="BQ232" s="1659"/>
      <c r="BR232" s="1583"/>
      <c r="BS232" s="1583"/>
      <c r="BT232" s="1583"/>
      <c r="BU232" s="1583"/>
      <c r="BV232" s="1659"/>
      <c r="BW232" s="1583"/>
      <c r="BX232" s="1583"/>
      <c r="BY232" s="1583"/>
      <c r="BZ232" s="1583"/>
      <c r="CA232" s="1658"/>
      <c r="CB232" s="2123"/>
      <c r="CC232" s="2123"/>
      <c r="CD232" s="2123"/>
      <c r="CE232" s="2123"/>
      <c r="CF232" s="1657"/>
      <c r="CG232" s="2123"/>
      <c r="CH232" s="2123"/>
      <c r="CI232" s="2123"/>
      <c r="CJ232" s="2123"/>
      <c r="CK232" s="1657"/>
      <c r="CL232" s="2123"/>
      <c r="CM232" s="2123"/>
      <c r="CN232" s="2123"/>
      <c r="CO232" s="2123"/>
      <c r="CP232" s="1656"/>
      <c r="CQ232" s="2123"/>
      <c r="CR232" s="2123"/>
      <c r="CS232" s="2123"/>
      <c r="CT232" s="2123"/>
      <c r="CU232" s="1656"/>
      <c r="CV232" s="2123"/>
      <c r="CW232" s="2123"/>
      <c r="CX232" s="2123"/>
      <c r="CY232" s="2123"/>
      <c r="CZ232" s="1656"/>
      <c r="DA232" s="1656"/>
      <c r="DB232" s="1656"/>
      <c r="DC232" s="1656"/>
    </row>
    <row r="233" spans="1:107" s="2109" customFormat="1" ht="11.25">
      <c r="A233" s="1661"/>
      <c r="B233" s="1661"/>
      <c r="C233" s="1661"/>
      <c r="D233" s="1661"/>
      <c r="E233" s="1661"/>
      <c r="F233" s="1661"/>
      <c r="G233" s="1661"/>
      <c r="H233" s="1661"/>
      <c r="I233" s="1661"/>
      <c r="J233" s="1661"/>
      <c r="K233" s="1661"/>
      <c r="L233" s="1661"/>
      <c r="M233" s="1661"/>
      <c r="N233" s="1660"/>
      <c r="O233" s="1661"/>
      <c r="P233" s="1661"/>
      <c r="Q233" s="1661"/>
      <c r="R233" s="1661"/>
      <c r="S233" s="1660"/>
      <c r="T233" s="1661"/>
      <c r="U233" s="1661"/>
      <c r="V233" s="1661"/>
      <c r="W233" s="1661"/>
      <c r="X233" s="1660"/>
      <c r="Y233" s="1661"/>
      <c r="Z233" s="1661"/>
      <c r="AA233" s="1661"/>
      <c r="AB233" s="1661"/>
      <c r="AC233" s="1660"/>
      <c r="AD233" s="1661"/>
      <c r="AE233" s="1661"/>
      <c r="AF233" s="1661"/>
      <c r="AG233" s="1661"/>
      <c r="AH233" s="1660"/>
      <c r="AI233" s="1661"/>
      <c r="AJ233" s="1661"/>
      <c r="AK233" s="1661"/>
      <c r="AL233" s="1661"/>
      <c r="AM233" s="1660"/>
      <c r="AN233" s="1661"/>
      <c r="AO233" s="1661"/>
      <c r="AP233" s="1661"/>
      <c r="AQ233" s="1661"/>
      <c r="AR233" s="1660"/>
      <c r="AS233" s="1660"/>
      <c r="AT233" s="1660"/>
      <c r="AU233" s="1660"/>
      <c r="AV233" s="1660"/>
      <c r="AW233" s="1660"/>
      <c r="AX233" s="1660"/>
      <c r="AY233" s="1660"/>
      <c r="AZ233" s="1660"/>
      <c r="BA233" s="1660"/>
      <c r="BB233" s="1660"/>
      <c r="BC233" s="1660"/>
      <c r="BD233" s="1660"/>
      <c r="BE233" s="1660"/>
      <c r="BF233" s="1660"/>
      <c r="BG233" s="1660"/>
      <c r="BH233" s="1660"/>
      <c r="BI233" s="1660"/>
      <c r="BJ233" s="1660"/>
      <c r="BK233" s="1660"/>
      <c r="BL233" s="1659"/>
      <c r="BM233" s="1660"/>
      <c r="BN233" s="1660"/>
      <c r="BO233" s="1660"/>
      <c r="BP233" s="1660"/>
      <c r="BQ233" s="1659"/>
      <c r="BR233" s="1583"/>
      <c r="BS233" s="1583"/>
      <c r="BT233" s="1583"/>
      <c r="BU233" s="1583"/>
      <c r="BV233" s="1659"/>
      <c r="BW233" s="1583"/>
      <c r="BX233" s="1583"/>
      <c r="BY233" s="1583"/>
      <c r="BZ233" s="1583"/>
      <c r="CA233" s="1658"/>
      <c r="CB233" s="2123"/>
      <c r="CC233" s="2123"/>
      <c r="CD233" s="2123"/>
      <c r="CE233" s="2123"/>
      <c r="CF233" s="1657"/>
      <c r="CG233" s="2123"/>
      <c r="CH233" s="2123"/>
      <c r="CI233" s="2123"/>
      <c r="CJ233" s="2123"/>
      <c r="CK233" s="1657"/>
      <c r="CL233" s="2123"/>
      <c r="CM233" s="2123"/>
      <c r="CN233" s="2123"/>
      <c r="CO233" s="2123"/>
      <c r="CP233" s="1656"/>
      <c r="CQ233" s="2123"/>
      <c r="CR233" s="2123"/>
      <c r="CS233" s="2123"/>
      <c r="CT233" s="2123"/>
      <c r="CU233" s="1656"/>
      <c r="CV233" s="2123"/>
      <c r="CW233" s="2123"/>
      <c r="CX233" s="2123"/>
      <c r="CY233" s="2123"/>
      <c r="CZ233" s="1656"/>
      <c r="DA233" s="1656"/>
      <c r="DB233" s="1656"/>
      <c r="DC233" s="1656"/>
    </row>
    <row r="234" spans="1:107" s="2109" customFormat="1" ht="11.25">
      <c r="A234" s="1661"/>
      <c r="B234" s="1661"/>
      <c r="C234" s="1661"/>
      <c r="D234" s="1661"/>
      <c r="E234" s="1661"/>
      <c r="F234" s="1661"/>
      <c r="G234" s="1661"/>
      <c r="H234" s="1661"/>
      <c r="I234" s="1661"/>
      <c r="J234" s="1661"/>
      <c r="K234" s="1661"/>
      <c r="L234" s="1661"/>
      <c r="M234" s="1661"/>
      <c r="N234" s="1660"/>
      <c r="O234" s="1661"/>
      <c r="P234" s="1661"/>
      <c r="Q234" s="1661"/>
      <c r="R234" s="1661"/>
      <c r="S234" s="1660"/>
      <c r="T234" s="1661"/>
      <c r="U234" s="1661"/>
      <c r="V234" s="1661"/>
      <c r="W234" s="1661"/>
      <c r="X234" s="1660"/>
      <c r="Y234" s="1661"/>
      <c r="Z234" s="1661"/>
      <c r="AA234" s="1661"/>
      <c r="AB234" s="1661"/>
      <c r="AC234" s="1660"/>
      <c r="AD234" s="1661"/>
      <c r="AE234" s="1661"/>
      <c r="AF234" s="1661"/>
      <c r="AG234" s="1661"/>
      <c r="AH234" s="1660"/>
      <c r="AI234" s="1661"/>
      <c r="AJ234" s="1661"/>
      <c r="AK234" s="1661"/>
      <c r="AL234" s="1661"/>
      <c r="AM234" s="1660"/>
      <c r="AN234" s="1661"/>
      <c r="AO234" s="1661"/>
      <c r="AP234" s="1661"/>
      <c r="AQ234" s="1661"/>
      <c r="AR234" s="1660"/>
      <c r="AS234" s="1660"/>
      <c r="AT234" s="1660"/>
      <c r="AU234" s="1660"/>
      <c r="AV234" s="1660"/>
      <c r="AW234" s="1660"/>
      <c r="AX234" s="1660"/>
      <c r="AY234" s="1660"/>
      <c r="AZ234" s="1660"/>
      <c r="BA234" s="1660"/>
      <c r="BB234" s="1660"/>
      <c r="BC234" s="1660"/>
      <c r="BD234" s="1660"/>
      <c r="BE234" s="1660"/>
      <c r="BF234" s="1660"/>
      <c r="BG234" s="1660"/>
      <c r="BH234" s="1660"/>
      <c r="BI234" s="1660"/>
      <c r="BJ234" s="1660"/>
      <c r="BK234" s="1660"/>
      <c r="BL234" s="1659"/>
      <c r="BM234" s="1660"/>
      <c r="BN234" s="1660"/>
      <c r="BO234" s="1660"/>
      <c r="BP234" s="1660"/>
      <c r="BQ234" s="1659"/>
      <c r="BR234" s="1583"/>
      <c r="BS234" s="1583"/>
      <c r="BT234" s="1583"/>
      <c r="BU234" s="1583"/>
      <c r="BV234" s="1659"/>
      <c r="BW234" s="1583"/>
      <c r="BX234" s="1583"/>
      <c r="BY234" s="1583"/>
      <c r="BZ234" s="1583"/>
      <c r="CA234" s="1658"/>
      <c r="CB234" s="2123"/>
      <c r="CC234" s="2123"/>
      <c r="CD234" s="2123"/>
      <c r="CE234" s="2123"/>
      <c r="CF234" s="1657"/>
      <c r="CG234" s="2123"/>
      <c r="CH234" s="2123"/>
      <c r="CI234" s="2123"/>
      <c r="CJ234" s="2123"/>
      <c r="CK234" s="1657"/>
      <c r="CL234" s="2123"/>
      <c r="CM234" s="2123"/>
      <c r="CN234" s="2123"/>
      <c r="CO234" s="2123"/>
      <c r="CP234" s="1656"/>
      <c r="CQ234" s="2123"/>
      <c r="CR234" s="2123"/>
      <c r="CS234" s="2123"/>
      <c r="CT234" s="2123"/>
      <c r="CU234" s="1656"/>
      <c r="CV234" s="2123"/>
      <c r="CW234" s="2123"/>
      <c r="CX234" s="2123"/>
      <c r="CY234" s="2123"/>
      <c r="CZ234" s="1656"/>
      <c r="DA234" s="1656"/>
      <c r="DB234" s="1656"/>
      <c r="DC234" s="1656"/>
    </row>
    <row r="235" spans="1:107" s="2109" customFormat="1" ht="11.25">
      <c r="A235" s="1661"/>
      <c r="B235" s="1661"/>
      <c r="C235" s="1661"/>
      <c r="D235" s="1661"/>
      <c r="E235" s="1661"/>
      <c r="F235" s="1661"/>
      <c r="G235" s="1661"/>
      <c r="H235" s="1661"/>
      <c r="I235" s="1661"/>
      <c r="J235" s="1661"/>
      <c r="K235" s="1661"/>
      <c r="L235" s="1661"/>
      <c r="M235" s="1661"/>
      <c r="N235" s="1660"/>
      <c r="O235" s="1661"/>
      <c r="P235" s="1661"/>
      <c r="Q235" s="1661"/>
      <c r="R235" s="1661"/>
      <c r="S235" s="1660"/>
      <c r="T235" s="1661"/>
      <c r="U235" s="1661"/>
      <c r="V235" s="1661"/>
      <c r="W235" s="1661"/>
      <c r="X235" s="1660"/>
      <c r="Y235" s="1661"/>
      <c r="Z235" s="1661"/>
      <c r="AA235" s="1661"/>
      <c r="AB235" s="1661"/>
      <c r="AC235" s="1660"/>
      <c r="AD235" s="1661"/>
      <c r="AE235" s="1661"/>
      <c r="AF235" s="1661"/>
      <c r="AG235" s="1661"/>
      <c r="AH235" s="1660"/>
      <c r="AI235" s="1661"/>
      <c r="AJ235" s="1661"/>
      <c r="AK235" s="1661"/>
      <c r="AL235" s="1661"/>
      <c r="AM235" s="1660"/>
      <c r="AN235" s="1661"/>
      <c r="AO235" s="1661"/>
      <c r="AP235" s="1661"/>
      <c r="AQ235" s="1661"/>
      <c r="AR235" s="1660"/>
      <c r="AS235" s="1660"/>
      <c r="AT235" s="1660"/>
      <c r="AU235" s="1660"/>
      <c r="AV235" s="1660"/>
      <c r="AW235" s="1660"/>
      <c r="AX235" s="1660"/>
      <c r="AY235" s="1660"/>
      <c r="AZ235" s="1660"/>
      <c r="BA235" s="1660"/>
      <c r="BB235" s="1660"/>
      <c r="BC235" s="1660"/>
      <c r="BD235" s="1660"/>
      <c r="BE235" s="1660"/>
      <c r="BF235" s="1660"/>
      <c r="BG235" s="1660"/>
      <c r="BH235" s="1660"/>
      <c r="BI235" s="1660"/>
      <c r="BJ235" s="1660"/>
      <c r="BK235" s="1660"/>
      <c r="BL235" s="1659"/>
      <c r="BM235" s="1660"/>
      <c r="BN235" s="1660"/>
      <c r="BO235" s="1660"/>
      <c r="BP235" s="1660"/>
      <c r="BQ235" s="1659"/>
      <c r="BR235" s="1583"/>
      <c r="BS235" s="1583"/>
      <c r="BT235" s="1583"/>
      <c r="BU235" s="1583"/>
      <c r="BV235" s="1659"/>
      <c r="BW235" s="1583"/>
      <c r="BX235" s="1583"/>
      <c r="BY235" s="1583"/>
      <c r="BZ235" s="1583"/>
      <c r="CA235" s="1658"/>
      <c r="CB235" s="2123"/>
      <c r="CC235" s="2123"/>
      <c r="CD235" s="2123"/>
      <c r="CE235" s="2123"/>
      <c r="CF235" s="1657"/>
      <c r="CG235" s="2123"/>
      <c r="CH235" s="2123"/>
      <c r="CI235" s="2123"/>
      <c r="CJ235" s="2123"/>
      <c r="CK235" s="1657"/>
      <c r="CL235" s="2123"/>
      <c r="CM235" s="2123"/>
      <c r="CN235" s="2123"/>
      <c r="CO235" s="2123"/>
      <c r="CP235" s="1656"/>
      <c r="CQ235" s="2123"/>
      <c r="CR235" s="2123"/>
      <c r="CS235" s="2123"/>
      <c r="CT235" s="2123"/>
      <c r="CU235" s="1656"/>
      <c r="CV235" s="2123"/>
      <c r="CW235" s="2123"/>
      <c r="CX235" s="2123"/>
      <c r="CY235" s="2123"/>
      <c r="CZ235" s="1656"/>
      <c r="DA235" s="1656"/>
      <c r="DB235" s="1656"/>
      <c r="DC235" s="1656"/>
    </row>
    <row r="236" spans="1:107" s="2109" customFormat="1" ht="11.25">
      <c r="A236" s="1661"/>
      <c r="B236" s="1661"/>
      <c r="C236" s="1661"/>
      <c r="D236" s="1661"/>
      <c r="E236" s="1661"/>
      <c r="F236" s="1661"/>
      <c r="G236" s="1661"/>
      <c r="H236" s="1661"/>
      <c r="I236" s="1661"/>
      <c r="J236" s="1661"/>
      <c r="K236" s="1661"/>
      <c r="L236" s="1661"/>
      <c r="M236" s="1661"/>
      <c r="N236" s="1660"/>
      <c r="O236" s="1661"/>
      <c r="P236" s="1661"/>
      <c r="Q236" s="1661"/>
      <c r="R236" s="1661"/>
      <c r="S236" s="1660"/>
      <c r="T236" s="1661"/>
      <c r="U236" s="1661"/>
      <c r="V236" s="1661"/>
      <c r="W236" s="1661"/>
      <c r="X236" s="1660"/>
      <c r="Y236" s="1661"/>
      <c r="Z236" s="1661"/>
      <c r="AA236" s="1661"/>
      <c r="AB236" s="1661"/>
      <c r="AC236" s="1660"/>
      <c r="AD236" s="1661"/>
      <c r="AE236" s="1661"/>
      <c r="AF236" s="1661"/>
      <c r="AG236" s="1661"/>
      <c r="AH236" s="1660"/>
      <c r="AI236" s="1661"/>
      <c r="AJ236" s="1661"/>
      <c r="AK236" s="1661"/>
      <c r="AL236" s="1661"/>
      <c r="AM236" s="1660"/>
      <c r="AN236" s="1661"/>
      <c r="AO236" s="1661"/>
      <c r="AP236" s="1661"/>
      <c r="AQ236" s="1661"/>
      <c r="AR236" s="1660"/>
      <c r="AS236" s="1660"/>
      <c r="AT236" s="1660"/>
      <c r="AU236" s="1660"/>
      <c r="AV236" s="1660"/>
      <c r="AW236" s="1660"/>
      <c r="AX236" s="1660"/>
      <c r="AY236" s="1660"/>
      <c r="AZ236" s="1660"/>
      <c r="BA236" s="1660"/>
      <c r="BB236" s="1660"/>
      <c r="BC236" s="1660"/>
      <c r="BD236" s="1660"/>
      <c r="BE236" s="1660"/>
      <c r="BF236" s="1660"/>
      <c r="BG236" s="1660"/>
      <c r="BH236" s="1660"/>
      <c r="BI236" s="1660"/>
      <c r="BJ236" s="1660"/>
      <c r="BK236" s="1660"/>
      <c r="BL236" s="1659"/>
      <c r="BM236" s="1660"/>
      <c r="BN236" s="1660"/>
      <c r="BO236" s="1660"/>
      <c r="BP236" s="1660"/>
      <c r="BQ236" s="1659"/>
      <c r="BR236" s="1583"/>
      <c r="BS236" s="1583"/>
      <c r="BT236" s="1583"/>
      <c r="BU236" s="1583"/>
      <c r="BV236" s="1659"/>
      <c r="BW236" s="1583"/>
      <c r="BX236" s="1583"/>
      <c r="BY236" s="1583"/>
      <c r="BZ236" s="1583"/>
      <c r="CA236" s="1658"/>
      <c r="CB236" s="2123"/>
      <c r="CC236" s="2123"/>
      <c r="CD236" s="2123"/>
      <c r="CE236" s="2123"/>
      <c r="CF236" s="1657"/>
      <c r="CG236" s="2123"/>
      <c r="CH236" s="2123"/>
      <c r="CI236" s="2123"/>
      <c r="CJ236" s="2123"/>
      <c r="CK236" s="1657"/>
      <c r="CL236" s="2123"/>
      <c r="CM236" s="2123"/>
      <c r="CN236" s="2123"/>
      <c r="CO236" s="2123"/>
      <c r="CP236" s="1656"/>
      <c r="CQ236" s="2123"/>
      <c r="CR236" s="2123"/>
      <c r="CS236" s="2123"/>
      <c r="CT236" s="2123"/>
      <c r="CU236" s="1656"/>
      <c r="CV236" s="2123"/>
      <c r="CW236" s="2123"/>
      <c r="CX236" s="2123"/>
      <c r="CY236" s="2123"/>
      <c r="CZ236" s="1656"/>
      <c r="DA236" s="1656"/>
      <c r="DB236" s="1656"/>
      <c r="DC236" s="1656"/>
    </row>
    <row r="237" spans="1:107" s="2109" customFormat="1" ht="11.25">
      <c r="A237" s="1661"/>
      <c r="B237" s="1661"/>
      <c r="C237" s="1661"/>
      <c r="D237" s="1661"/>
      <c r="E237" s="1661"/>
      <c r="F237" s="1661"/>
      <c r="G237" s="1661"/>
      <c r="H237" s="1661"/>
      <c r="I237" s="1661"/>
      <c r="J237" s="1661"/>
      <c r="K237" s="1661"/>
      <c r="L237" s="1661"/>
      <c r="M237" s="1661"/>
      <c r="N237" s="1660"/>
      <c r="O237" s="1661"/>
      <c r="P237" s="1661"/>
      <c r="Q237" s="1661"/>
      <c r="R237" s="1661"/>
      <c r="S237" s="1660"/>
      <c r="T237" s="1661"/>
      <c r="U237" s="1661"/>
      <c r="V237" s="1661"/>
      <c r="W237" s="1661"/>
      <c r="X237" s="1660"/>
      <c r="Y237" s="1661"/>
      <c r="Z237" s="1661"/>
      <c r="AA237" s="1661"/>
      <c r="AB237" s="1661"/>
      <c r="AC237" s="1660"/>
      <c r="AD237" s="1661"/>
      <c r="AE237" s="1661"/>
      <c r="AF237" s="1661"/>
      <c r="AG237" s="1661"/>
      <c r="AH237" s="1660"/>
      <c r="AI237" s="1661"/>
      <c r="AJ237" s="1661"/>
      <c r="AK237" s="1661"/>
      <c r="AL237" s="1661"/>
      <c r="AM237" s="1660"/>
      <c r="AN237" s="1661"/>
      <c r="AO237" s="1661"/>
      <c r="AP237" s="1661"/>
      <c r="AQ237" s="1661"/>
      <c r="AR237" s="1660"/>
      <c r="AS237" s="1660"/>
      <c r="AT237" s="1660"/>
      <c r="AU237" s="1660"/>
      <c r="AV237" s="1660"/>
      <c r="AW237" s="1660"/>
      <c r="AX237" s="1660"/>
      <c r="AY237" s="1660"/>
      <c r="AZ237" s="1660"/>
      <c r="BA237" s="1660"/>
      <c r="BB237" s="1660"/>
      <c r="BC237" s="1660"/>
      <c r="BD237" s="1660"/>
      <c r="BE237" s="1660"/>
      <c r="BF237" s="1660"/>
      <c r="BG237" s="1660"/>
      <c r="BH237" s="1660"/>
      <c r="BI237" s="1660"/>
      <c r="BJ237" s="1660"/>
      <c r="BK237" s="1660"/>
      <c r="BL237" s="1659"/>
      <c r="BM237" s="1660"/>
      <c r="BN237" s="1660"/>
      <c r="BO237" s="1660"/>
      <c r="BP237" s="1660"/>
      <c r="BQ237" s="1659"/>
      <c r="BR237" s="1583"/>
      <c r="BS237" s="1583"/>
      <c r="BT237" s="1583"/>
      <c r="BU237" s="1583"/>
      <c r="BV237" s="1659"/>
      <c r="BW237" s="1583"/>
      <c r="BX237" s="1583"/>
      <c r="BY237" s="1583"/>
      <c r="BZ237" s="1583"/>
      <c r="CA237" s="1658"/>
      <c r="CB237" s="2123"/>
      <c r="CC237" s="2123"/>
      <c r="CD237" s="2123"/>
      <c r="CE237" s="2123"/>
      <c r="CF237" s="1657"/>
      <c r="CG237" s="2123"/>
      <c r="CH237" s="2123"/>
      <c r="CI237" s="2123"/>
      <c r="CJ237" s="2123"/>
      <c r="CK237" s="1657"/>
      <c r="CL237" s="2123"/>
      <c r="CM237" s="2123"/>
      <c r="CN237" s="2123"/>
      <c r="CO237" s="2123"/>
      <c r="CP237" s="1656"/>
      <c r="CQ237" s="2123"/>
      <c r="CR237" s="2123"/>
      <c r="CS237" s="2123"/>
      <c r="CT237" s="2123"/>
      <c r="CU237" s="1656"/>
      <c r="CV237" s="2123"/>
      <c r="CW237" s="2123"/>
      <c r="CX237" s="2123"/>
      <c r="CY237" s="2123"/>
      <c r="CZ237" s="1656"/>
      <c r="DA237" s="1656"/>
      <c r="DB237" s="1656"/>
      <c r="DC237" s="1656"/>
    </row>
    <row r="238" spans="1:107" s="2109" customFormat="1" ht="11.25">
      <c r="A238" s="1661"/>
      <c r="B238" s="1661"/>
      <c r="C238" s="1661"/>
      <c r="D238" s="1661"/>
      <c r="E238" s="1661"/>
      <c r="F238" s="1661"/>
      <c r="G238" s="1661"/>
      <c r="H238" s="1661"/>
      <c r="I238" s="1661"/>
      <c r="J238" s="1661"/>
      <c r="K238" s="1661"/>
      <c r="L238" s="1661"/>
      <c r="M238" s="1661"/>
      <c r="N238" s="1660"/>
      <c r="O238" s="1661"/>
      <c r="P238" s="1661"/>
      <c r="Q238" s="1661"/>
      <c r="R238" s="1661"/>
      <c r="S238" s="1660"/>
      <c r="T238" s="1661"/>
      <c r="U238" s="1661"/>
      <c r="V238" s="1661"/>
      <c r="W238" s="1661"/>
      <c r="X238" s="1660"/>
      <c r="Y238" s="1661"/>
      <c r="Z238" s="1661"/>
      <c r="AA238" s="1661"/>
      <c r="AB238" s="1661"/>
      <c r="AC238" s="1660"/>
      <c r="AD238" s="1661"/>
      <c r="AE238" s="1661"/>
      <c r="AF238" s="1661"/>
      <c r="AG238" s="1661"/>
      <c r="AH238" s="1660"/>
      <c r="AI238" s="1661"/>
      <c r="AJ238" s="1661"/>
      <c r="AK238" s="1661"/>
      <c r="AL238" s="1661"/>
      <c r="AM238" s="1660"/>
      <c r="AN238" s="1661"/>
      <c r="AO238" s="1661"/>
      <c r="AP238" s="1661"/>
      <c r="AQ238" s="1661"/>
      <c r="AR238" s="1660"/>
      <c r="AS238" s="1660"/>
      <c r="AT238" s="1660"/>
      <c r="AU238" s="1660"/>
      <c r="AV238" s="1660"/>
      <c r="AW238" s="1660"/>
      <c r="AX238" s="1660"/>
      <c r="AY238" s="1660"/>
      <c r="AZ238" s="1660"/>
      <c r="BA238" s="1660"/>
      <c r="BB238" s="1660"/>
      <c r="BC238" s="1660"/>
      <c r="BD238" s="1660"/>
      <c r="BE238" s="1660"/>
      <c r="BF238" s="1660"/>
      <c r="BG238" s="1660"/>
      <c r="BH238" s="1660"/>
      <c r="BI238" s="1660"/>
      <c r="BJ238" s="1660"/>
      <c r="BK238" s="1660"/>
      <c r="BL238" s="1659"/>
      <c r="BM238" s="1660"/>
      <c r="BN238" s="1660"/>
      <c r="BO238" s="1660"/>
      <c r="BP238" s="1660"/>
      <c r="BQ238" s="1659"/>
      <c r="BR238" s="1583"/>
      <c r="BS238" s="1583"/>
      <c r="BT238" s="1583"/>
      <c r="BU238" s="1583"/>
      <c r="BV238" s="1659"/>
      <c r="BW238" s="1583"/>
      <c r="BX238" s="1583"/>
      <c r="BY238" s="1583"/>
      <c r="BZ238" s="1583"/>
      <c r="CA238" s="1658"/>
      <c r="CB238" s="2123"/>
      <c r="CC238" s="2123"/>
      <c r="CD238" s="2123"/>
      <c r="CE238" s="2123"/>
      <c r="CF238" s="1657"/>
      <c r="CG238" s="2123"/>
      <c r="CH238" s="2123"/>
      <c r="CI238" s="2123"/>
      <c r="CJ238" s="2123"/>
      <c r="CK238" s="1657"/>
      <c r="CL238" s="2123"/>
      <c r="CM238" s="2123"/>
      <c r="CN238" s="2123"/>
      <c r="CO238" s="2123"/>
      <c r="CP238" s="1656"/>
      <c r="CQ238" s="2123"/>
      <c r="CR238" s="2123"/>
      <c r="CS238" s="2123"/>
      <c r="CT238" s="2123"/>
      <c r="CU238" s="1656"/>
      <c r="CV238" s="2123"/>
      <c r="CW238" s="2123"/>
      <c r="CX238" s="2123"/>
      <c r="CY238" s="2123"/>
      <c r="CZ238" s="1656"/>
      <c r="DA238" s="1656"/>
      <c r="DB238" s="1656"/>
      <c r="DC238" s="1656"/>
    </row>
    <row r="239" spans="1:107" s="1178" customFormat="1" ht="11.25">
      <c r="A239" s="1661"/>
      <c r="B239" s="1661"/>
      <c r="C239" s="1661"/>
      <c r="D239" s="1661"/>
      <c r="E239" s="1661"/>
      <c r="F239" s="1661"/>
      <c r="G239" s="1661"/>
      <c r="H239" s="1661"/>
      <c r="I239" s="1661"/>
      <c r="J239" s="1661"/>
      <c r="K239" s="1661"/>
      <c r="L239" s="1661"/>
      <c r="M239" s="1661"/>
      <c r="N239" s="1660"/>
      <c r="O239" s="1661"/>
      <c r="P239" s="1661"/>
      <c r="Q239" s="1661"/>
      <c r="R239" s="1661"/>
      <c r="S239" s="1660"/>
      <c r="T239" s="1661"/>
      <c r="U239" s="1661"/>
      <c r="V239" s="1661"/>
      <c r="W239" s="1661"/>
      <c r="X239" s="1660"/>
      <c r="Y239" s="1661"/>
      <c r="Z239" s="1661"/>
      <c r="AA239" s="1661"/>
      <c r="AB239" s="1661"/>
      <c r="AC239" s="1660"/>
      <c r="AD239" s="1661"/>
      <c r="AE239" s="1661"/>
      <c r="AF239" s="1661"/>
      <c r="AG239" s="1661"/>
      <c r="AH239" s="1660"/>
      <c r="AI239" s="1661"/>
      <c r="AJ239" s="1661"/>
      <c r="AK239" s="1661"/>
      <c r="AL239" s="1661"/>
      <c r="AM239" s="1660"/>
      <c r="AN239" s="1661"/>
      <c r="AO239" s="1661"/>
      <c r="AP239" s="1661"/>
      <c r="AQ239" s="1661"/>
      <c r="AR239" s="1660"/>
      <c r="AS239" s="1660"/>
      <c r="AT239" s="1660"/>
      <c r="AU239" s="1660"/>
      <c r="AV239" s="1660"/>
      <c r="AW239" s="1660"/>
      <c r="AX239" s="1660"/>
      <c r="AY239" s="1660"/>
      <c r="AZ239" s="1660"/>
      <c r="BA239" s="1660"/>
      <c r="BB239" s="1660"/>
      <c r="BC239" s="1660"/>
      <c r="BD239" s="1660"/>
      <c r="BE239" s="1660"/>
      <c r="BF239" s="1660"/>
      <c r="BG239" s="1660"/>
      <c r="BH239" s="1660"/>
      <c r="BI239" s="1660"/>
      <c r="BJ239" s="1660"/>
      <c r="BK239" s="1660"/>
      <c r="BL239" s="1659"/>
      <c r="BM239" s="1660"/>
      <c r="BN239" s="1660"/>
      <c r="BO239" s="1660"/>
      <c r="BP239" s="1660"/>
      <c r="BQ239" s="1659"/>
      <c r="BR239" s="1583"/>
      <c r="BS239" s="1583"/>
      <c r="BT239" s="1583"/>
      <c r="BU239" s="1583"/>
      <c r="BV239" s="1659"/>
      <c r="BW239" s="1583"/>
      <c r="BX239" s="1583"/>
      <c r="BY239" s="1583"/>
      <c r="BZ239" s="1583"/>
      <c r="CA239" s="1658"/>
      <c r="CB239" s="1578"/>
      <c r="CC239" s="1578"/>
      <c r="CD239" s="1578"/>
      <c r="CE239" s="1578"/>
      <c r="CF239" s="1657"/>
      <c r="CG239" s="1578"/>
      <c r="CH239" s="1578"/>
      <c r="CI239" s="1578"/>
      <c r="CJ239" s="1578"/>
      <c r="CK239" s="1657"/>
      <c r="CL239" s="1578"/>
      <c r="CM239" s="1578"/>
      <c r="CN239" s="1578"/>
      <c r="CO239" s="1578"/>
      <c r="CP239" s="1656"/>
      <c r="CQ239" s="1578"/>
      <c r="CR239" s="1578"/>
      <c r="CS239" s="1578"/>
      <c r="CT239" s="1578"/>
      <c r="CU239" s="1656"/>
      <c r="CV239" s="2123"/>
      <c r="CW239" s="2123"/>
      <c r="CX239" s="2123"/>
      <c r="CY239" s="2123"/>
      <c r="CZ239" s="1656"/>
      <c r="DA239" s="1656"/>
      <c r="DB239" s="1656"/>
      <c r="DC239" s="1656"/>
    </row>
    <row r="240" spans="1:107" s="1178" customFormat="1" ht="11.25">
      <c r="A240" s="1661"/>
      <c r="B240" s="1661"/>
      <c r="C240" s="1661"/>
      <c r="D240" s="1661"/>
      <c r="E240" s="1661"/>
      <c r="F240" s="1661"/>
      <c r="G240" s="1661"/>
      <c r="H240" s="1661"/>
      <c r="I240" s="1661"/>
      <c r="J240" s="1661"/>
      <c r="K240" s="1661"/>
      <c r="L240" s="1661"/>
      <c r="M240" s="1661"/>
      <c r="N240" s="1660"/>
      <c r="O240" s="1661"/>
      <c r="P240" s="1661"/>
      <c r="Q240" s="1661"/>
      <c r="R240" s="1661"/>
      <c r="S240" s="1660"/>
      <c r="T240" s="1661"/>
      <c r="U240" s="1661"/>
      <c r="V240" s="1661"/>
      <c r="W240" s="1661"/>
      <c r="X240" s="1660"/>
      <c r="Y240" s="1661"/>
      <c r="Z240" s="1661"/>
      <c r="AA240" s="1661"/>
      <c r="AB240" s="1661"/>
      <c r="AC240" s="1660"/>
      <c r="AD240" s="1661"/>
      <c r="AE240" s="1661"/>
      <c r="AF240" s="1661"/>
      <c r="AG240" s="1661"/>
      <c r="AH240" s="1660"/>
      <c r="AI240" s="1661"/>
      <c r="AJ240" s="1661"/>
      <c r="AK240" s="1661"/>
      <c r="AL240" s="1661"/>
      <c r="AM240" s="1660"/>
      <c r="AN240" s="1661"/>
      <c r="AO240" s="1661"/>
      <c r="AP240" s="1661"/>
      <c r="AQ240" s="1661"/>
      <c r="AR240" s="1660"/>
      <c r="AS240" s="1660"/>
      <c r="AT240" s="1660"/>
      <c r="AU240" s="1660"/>
      <c r="AV240" s="1660"/>
      <c r="AW240" s="1660"/>
      <c r="AX240" s="1660"/>
      <c r="AY240" s="1660"/>
      <c r="AZ240" s="1660"/>
      <c r="BA240" s="1660"/>
      <c r="BB240" s="1660"/>
      <c r="BC240" s="1660"/>
      <c r="BD240" s="1660"/>
      <c r="BE240" s="1660"/>
      <c r="BF240" s="1660"/>
      <c r="BG240" s="1660"/>
      <c r="BH240" s="1660"/>
      <c r="BI240" s="1660"/>
      <c r="BJ240" s="1660"/>
      <c r="BK240" s="1660"/>
      <c r="BL240" s="1659"/>
      <c r="BM240" s="1660"/>
      <c r="BN240" s="1660"/>
      <c r="BO240" s="1660"/>
      <c r="BP240" s="1660"/>
      <c r="BQ240" s="1659"/>
      <c r="BR240" s="1583"/>
      <c r="BS240" s="1583"/>
      <c r="BT240" s="1583"/>
      <c r="BU240" s="1583"/>
      <c r="BV240" s="1659"/>
      <c r="BW240" s="1583"/>
      <c r="BX240" s="1583"/>
      <c r="BY240" s="1583"/>
      <c r="BZ240" s="1583"/>
      <c r="CA240" s="1658"/>
      <c r="CB240" s="1578"/>
      <c r="CC240" s="1578"/>
      <c r="CD240" s="1578"/>
      <c r="CE240" s="1578"/>
      <c r="CF240" s="1657"/>
      <c r="CG240" s="1578"/>
      <c r="CH240" s="1578"/>
      <c r="CI240" s="1578"/>
      <c r="CJ240" s="1578"/>
      <c r="CK240" s="1657"/>
      <c r="CL240" s="1578"/>
      <c r="CM240" s="1578"/>
      <c r="CN240" s="1578"/>
      <c r="CO240" s="1578"/>
      <c r="CP240" s="1656"/>
      <c r="CQ240" s="1578"/>
      <c r="CR240" s="1578"/>
      <c r="CS240" s="1578"/>
      <c r="CT240" s="1578"/>
      <c r="CU240" s="1656"/>
      <c r="CV240" s="2123"/>
      <c r="CW240" s="2123"/>
      <c r="CX240" s="2123"/>
      <c r="CY240" s="2123"/>
      <c r="CZ240" s="1656"/>
      <c r="DA240" s="1656"/>
      <c r="DB240" s="1656"/>
      <c r="DC240" s="1656"/>
    </row>
    <row r="241" spans="1:107" s="1178" customFormat="1" ht="11.25">
      <c r="A241" s="1661"/>
      <c r="B241" s="1661"/>
      <c r="C241" s="1661"/>
      <c r="D241" s="1661"/>
      <c r="E241" s="1661"/>
      <c r="F241" s="1661"/>
      <c r="G241" s="1661"/>
      <c r="H241" s="1661"/>
      <c r="I241" s="1661"/>
      <c r="J241" s="1661"/>
      <c r="K241" s="1661"/>
      <c r="L241" s="1661"/>
      <c r="M241" s="1661"/>
      <c r="N241" s="1660"/>
      <c r="O241" s="1661"/>
      <c r="P241" s="1661"/>
      <c r="Q241" s="1661"/>
      <c r="R241" s="1661"/>
      <c r="S241" s="1660"/>
      <c r="T241" s="1661"/>
      <c r="U241" s="1661"/>
      <c r="V241" s="1661"/>
      <c r="W241" s="1661"/>
      <c r="X241" s="1660"/>
      <c r="Y241" s="1661"/>
      <c r="Z241" s="1661"/>
      <c r="AA241" s="1661"/>
      <c r="AB241" s="1661"/>
      <c r="AC241" s="1660"/>
      <c r="AD241" s="1661"/>
      <c r="AE241" s="1661"/>
      <c r="AF241" s="1661"/>
      <c r="AG241" s="1661"/>
      <c r="AH241" s="1660"/>
      <c r="AI241" s="1661"/>
      <c r="AJ241" s="1661"/>
      <c r="AK241" s="1661"/>
      <c r="AL241" s="1661"/>
      <c r="AM241" s="1660"/>
      <c r="AN241" s="1661"/>
      <c r="AO241" s="1661"/>
      <c r="AP241" s="1661"/>
      <c r="AQ241" s="1661"/>
      <c r="AR241" s="1660"/>
      <c r="AS241" s="1660"/>
      <c r="AT241" s="1660"/>
      <c r="AU241" s="1660"/>
      <c r="AV241" s="1660"/>
      <c r="AW241" s="1660"/>
      <c r="AX241" s="1660"/>
      <c r="AY241" s="1660"/>
      <c r="AZ241" s="1660"/>
      <c r="BA241" s="1660"/>
      <c r="BB241" s="1660"/>
      <c r="BC241" s="1660"/>
      <c r="BD241" s="1660"/>
      <c r="BE241" s="1660"/>
      <c r="BF241" s="1660"/>
      <c r="BG241" s="1660"/>
      <c r="BH241" s="1660"/>
      <c r="BI241" s="1660"/>
      <c r="BJ241" s="1660"/>
      <c r="BK241" s="1660"/>
      <c r="BL241" s="1659"/>
      <c r="BM241" s="1660"/>
      <c r="BN241" s="1660"/>
      <c r="BO241" s="1660"/>
      <c r="BP241" s="1660"/>
      <c r="BQ241" s="1659"/>
      <c r="BR241" s="1583"/>
      <c r="BS241" s="1583"/>
      <c r="BT241" s="1583"/>
      <c r="BU241" s="1583"/>
      <c r="BV241" s="1659"/>
      <c r="BW241" s="1583"/>
      <c r="BX241" s="1583"/>
      <c r="BY241" s="1583"/>
      <c r="BZ241" s="1583"/>
      <c r="CA241" s="1658"/>
      <c r="CB241" s="1578"/>
      <c r="CC241" s="1578"/>
      <c r="CD241" s="1578"/>
      <c r="CE241" s="1578"/>
      <c r="CF241" s="1657"/>
      <c r="CG241" s="1578"/>
      <c r="CH241" s="1578"/>
      <c r="CI241" s="1578"/>
      <c r="CJ241" s="1578"/>
      <c r="CK241" s="1657"/>
      <c r="CL241" s="1578"/>
      <c r="CM241" s="1578"/>
      <c r="CN241" s="1578"/>
      <c r="CO241" s="1578"/>
      <c r="CP241" s="1656"/>
      <c r="CQ241" s="1578"/>
      <c r="CR241" s="1578"/>
      <c r="CS241" s="1578"/>
      <c r="CT241" s="1578"/>
      <c r="CU241" s="1656"/>
      <c r="CV241" s="2123"/>
      <c r="CW241" s="2123"/>
      <c r="CX241" s="2123"/>
      <c r="CY241" s="2123"/>
      <c r="CZ241" s="1656"/>
      <c r="DA241" s="1656"/>
      <c r="DB241" s="1656"/>
      <c r="DC241" s="1656"/>
    </row>
    <row r="242" spans="1:107" s="1178" customFormat="1" ht="11.25">
      <c r="A242" s="1220"/>
      <c r="B242" s="1220"/>
      <c r="C242" s="1039" t="s">
        <v>711</v>
      </c>
      <c r="D242" s="1220"/>
      <c r="E242" s="1220"/>
      <c r="F242" s="1220"/>
      <c r="G242" s="1220"/>
      <c r="H242" s="1220"/>
      <c r="I242" s="1220"/>
      <c r="J242" s="1220"/>
      <c r="K242" s="1220"/>
      <c r="L242" s="1220"/>
      <c r="M242" s="1220"/>
      <c r="N242" s="1219"/>
      <c r="O242" s="1220"/>
      <c r="P242" s="1220"/>
      <c r="Q242" s="1220"/>
      <c r="R242" s="1220"/>
      <c r="S242" s="1219"/>
      <c r="T242" s="1220"/>
      <c r="U242" s="1220"/>
      <c r="V242" s="1220"/>
      <c r="W242" s="1220"/>
      <c r="X242" s="1219"/>
      <c r="Y242" s="1220"/>
      <c r="Z242" s="1220"/>
      <c r="AA242" s="1220"/>
      <c r="AB242" s="1220"/>
      <c r="AC242" s="1219"/>
      <c r="AD242" s="1220"/>
      <c r="AE242" s="1220"/>
      <c r="AF242" s="1220"/>
      <c r="AG242" s="1220"/>
      <c r="AH242" s="1219"/>
      <c r="AI242" s="1220"/>
      <c r="AJ242" s="1220"/>
      <c r="AK242" s="1220"/>
      <c r="AL242" s="1220"/>
      <c r="AM242" s="1219"/>
      <c r="AN242" s="1220"/>
      <c r="AO242" s="1220"/>
      <c r="AP242" s="1220"/>
      <c r="AQ242" s="1220"/>
      <c r="AR242" s="1219"/>
      <c r="AS242" s="1219"/>
      <c r="AT242" s="1219"/>
      <c r="AU242" s="1219"/>
      <c r="AV242" s="1219"/>
      <c r="AW242" s="1219"/>
      <c r="AX242" s="1219"/>
      <c r="AY242" s="1219"/>
      <c r="AZ242" s="1219"/>
      <c r="BA242" s="1219"/>
      <c r="BB242" s="1219"/>
      <c r="BC242" s="1219"/>
      <c r="BD242" s="1219"/>
      <c r="BE242" s="1219"/>
      <c r="BF242" s="1219"/>
      <c r="BG242" s="1219"/>
      <c r="BH242" s="1219"/>
      <c r="BI242" s="1219"/>
      <c r="BJ242" s="1219"/>
      <c r="BK242" s="1219"/>
      <c r="BL242" s="1219"/>
      <c r="BM242" s="1219"/>
      <c r="BN242" s="1219"/>
      <c r="BO242" s="1219"/>
      <c r="BP242" s="1219"/>
      <c r="BQ242" s="1218"/>
      <c r="BR242" s="1218"/>
      <c r="BS242" s="1218"/>
      <c r="BT242" s="1218"/>
      <c r="BU242" s="1218"/>
      <c r="BV242" s="1218"/>
      <c r="BW242" s="1218"/>
      <c r="BX242" s="1218"/>
      <c r="BY242" s="1218"/>
      <c r="BZ242" s="1218"/>
      <c r="CA242" s="1218"/>
      <c r="CB242" s="1655"/>
      <c r="CC242" s="1655"/>
      <c r="CD242" s="1655"/>
      <c r="CE242" s="1655"/>
      <c r="CF242" s="1218"/>
      <c r="CG242" s="1655"/>
      <c r="CH242" s="1655"/>
      <c r="CI242" s="1655"/>
      <c r="CJ242" s="1655"/>
      <c r="CK242" s="1218"/>
      <c r="CL242" s="1655"/>
      <c r="CM242" s="1655"/>
      <c r="CN242" s="1655"/>
      <c r="CO242" s="1655"/>
      <c r="CP242" s="1218"/>
      <c r="CQ242" s="1655"/>
      <c r="CR242" s="1655"/>
      <c r="CS242" s="1655"/>
      <c r="CT242" s="1655"/>
      <c r="CU242" s="1218"/>
      <c r="CV242" s="1655"/>
      <c r="CW242" s="1655"/>
      <c r="CX242" s="1655"/>
      <c r="CY242" s="1655"/>
      <c r="CZ242" s="1218"/>
      <c r="DA242" s="1218"/>
      <c r="DB242" s="1218"/>
      <c r="DC242" s="1218"/>
    </row>
    <row r="243" spans="1:107" s="1178" customFormat="1" ht="11.25" hidden="1" outlineLevel="1">
      <c r="A243" s="1191"/>
      <c r="B243" s="264" t="s">
        <v>936</v>
      </c>
      <c r="C243" s="1191"/>
      <c r="D243" s="1191"/>
      <c r="E243" s="1191"/>
      <c r="F243" s="1191"/>
      <c r="G243" s="1191"/>
      <c r="H243" s="1191"/>
      <c r="I243" s="1191"/>
      <c r="J243" s="1191"/>
      <c r="K243" s="1191"/>
      <c r="L243" s="1191"/>
      <c r="M243" s="1191"/>
      <c r="N243" s="1182"/>
      <c r="O243" s="1191"/>
      <c r="P243" s="1191"/>
      <c r="Q243" s="1191"/>
      <c r="R243" s="1191"/>
      <c r="S243" s="1182"/>
      <c r="T243" s="1191"/>
      <c r="U243" s="1191"/>
      <c r="V243" s="1191"/>
      <c r="W243" s="1191"/>
      <c r="X243" s="1182"/>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82"/>
      <c r="AY243" s="1182"/>
      <c r="AZ243" s="1182"/>
      <c r="BA243" s="1182"/>
      <c r="BB243" s="1023"/>
      <c r="BC243" s="1182"/>
      <c r="BD243" s="1182"/>
      <c r="BE243" s="1182"/>
      <c r="BF243" s="1182"/>
      <c r="BG243" s="1182"/>
      <c r="BH243" s="1182"/>
      <c r="BI243" s="1182"/>
      <c r="BJ243" s="1182"/>
      <c r="BK243" s="1182"/>
      <c r="BL243" s="1182"/>
      <c r="BM243" s="1182"/>
      <c r="BN243" s="1182"/>
      <c r="BO243" s="1182"/>
      <c r="BP243" s="1182"/>
      <c r="BQ243" s="1190"/>
      <c r="BR243" s="1190"/>
      <c r="BS243" s="1190"/>
      <c r="BT243" s="1190"/>
      <c r="BU243" s="1190"/>
      <c r="BV243" s="1190"/>
      <c r="BW243" s="1190"/>
      <c r="BX243" s="1190"/>
      <c r="BY243" s="1190"/>
      <c r="BZ243" s="1190"/>
      <c r="CA243" s="1190"/>
      <c r="CB243" s="1240"/>
      <c r="CC243" s="1240"/>
      <c r="CD243" s="1240"/>
      <c r="CE243" s="1240"/>
      <c r="CF243" s="1190"/>
      <c r="CG243" s="1240"/>
      <c r="CH243" s="1240"/>
      <c r="CI243" s="1240"/>
      <c r="CJ243" s="1240"/>
      <c r="CK243" s="1184"/>
      <c r="CL243" s="1240"/>
      <c r="CM243" s="1240"/>
      <c r="CN243" s="1240"/>
      <c r="CO243" s="1240"/>
      <c r="CP243" s="1184"/>
      <c r="CQ243" s="1240"/>
      <c r="CR243" s="1240"/>
      <c r="CS243" s="1240"/>
      <c r="CT243" s="1240"/>
      <c r="CU243" s="1184"/>
      <c r="CV243" s="1240"/>
      <c r="CW243" s="1240"/>
      <c r="CX243" s="1240"/>
      <c r="CY243" s="1240"/>
      <c r="CZ243" s="1184"/>
      <c r="DB243" s="2109"/>
      <c r="DC243" s="2109"/>
    </row>
    <row r="244" spans="1:107" s="1178" customFormat="1" ht="11.25" hidden="1" outlineLevel="1">
      <c r="A244" s="1191"/>
      <c r="B244" s="1182" t="s">
        <v>1131</v>
      </c>
      <c r="C244" s="1191"/>
      <c r="D244" s="1191"/>
      <c r="E244" s="1191"/>
      <c r="F244" s="1191"/>
      <c r="G244" s="1191"/>
      <c r="H244" s="1191"/>
      <c r="I244" s="1191"/>
      <c r="J244" s="1191"/>
      <c r="K244" s="1191"/>
      <c r="L244" s="1191"/>
      <c r="M244" s="1191"/>
      <c r="N244" s="1182"/>
      <c r="O244" s="1191"/>
      <c r="P244" s="1191"/>
      <c r="Q244" s="1191"/>
      <c r="R244" s="1191"/>
      <c r="S244" s="1182"/>
      <c r="T244" s="1191"/>
      <c r="U244" s="1191"/>
      <c r="V244" s="1191"/>
      <c r="W244" s="1191"/>
      <c r="X244" s="1182"/>
      <c r="Y244" s="1191"/>
      <c r="Z244" s="1191"/>
      <c r="AA244" s="1191"/>
      <c r="AB244" s="1191"/>
      <c r="AC244" s="1191"/>
      <c r="AD244" s="1191"/>
      <c r="AE244" s="1191"/>
      <c r="AF244" s="1191"/>
      <c r="AG244" s="1191"/>
      <c r="AH244" s="1191"/>
      <c r="AI244" s="1191"/>
      <c r="AJ244" s="1191"/>
      <c r="AK244" s="1191"/>
      <c r="AL244" s="1191"/>
      <c r="AM244" s="1191"/>
      <c r="AN244" s="1191"/>
      <c r="AO244" s="1191"/>
      <c r="AP244" s="1191"/>
      <c r="AQ244" s="1191"/>
      <c r="AR244" s="1191"/>
      <c r="AS244" s="1191"/>
      <c r="AT244" s="1191"/>
      <c r="AU244" s="1191"/>
      <c r="AV244" s="1191"/>
      <c r="AW244" s="1191"/>
      <c r="AX244" s="1182"/>
      <c r="AY244" s="1182"/>
      <c r="AZ244" s="1182"/>
      <c r="BA244" s="1182"/>
      <c r="BB244" s="1023"/>
      <c r="BC244" s="1182"/>
      <c r="BD244" s="1182"/>
      <c r="BE244" s="1182"/>
      <c r="BF244" s="1182"/>
      <c r="BG244" s="1182"/>
      <c r="BH244" s="1182"/>
      <c r="BI244" s="1182"/>
      <c r="BJ244" s="1182"/>
      <c r="BK244" s="1182"/>
      <c r="BL244" s="1182"/>
      <c r="BM244" s="1182"/>
      <c r="BN244" s="1182"/>
      <c r="BO244" s="1182"/>
      <c r="BP244" s="1182"/>
      <c r="BQ244" s="1190"/>
      <c r="BR244" s="1190"/>
      <c r="BS244" s="1190"/>
      <c r="BT244" s="1190"/>
      <c r="BU244" s="1190"/>
      <c r="BV244" s="1190"/>
      <c r="BW244" s="1190"/>
      <c r="BX244" s="1190"/>
      <c r="BY244" s="1190"/>
      <c r="BZ244" s="1190"/>
      <c r="CA244" s="1190"/>
      <c r="CB244" s="1240"/>
      <c r="CC244" s="1240"/>
      <c r="CD244" s="1240"/>
      <c r="CE244" s="1240"/>
      <c r="CF244" s="1190"/>
      <c r="CG244" s="1240"/>
      <c r="CH244" s="1240"/>
      <c r="CI244" s="1240"/>
      <c r="CJ244" s="1240"/>
      <c r="CK244" s="1184"/>
      <c r="CL244" s="1240"/>
      <c r="CM244" s="1240"/>
      <c r="CN244" s="1240"/>
      <c r="CO244" s="1240"/>
      <c r="CP244" s="1184"/>
      <c r="CQ244" s="1240"/>
      <c r="CR244" s="1240"/>
      <c r="CS244" s="1240"/>
      <c r="CT244" s="1240"/>
      <c r="CU244" s="1184"/>
      <c r="CV244" s="1240"/>
      <c r="CW244" s="1240"/>
      <c r="CX244" s="1240"/>
      <c r="CY244" s="1240"/>
      <c r="CZ244" s="1184"/>
      <c r="DB244" s="2109"/>
      <c r="DC244" s="2109"/>
    </row>
    <row r="245" spans="1:107" s="1178" customFormat="1" ht="11.25" hidden="1" outlineLevel="1">
      <c r="A245" s="1191"/>
      <c r="B245" s="1191" t="s">
        <v>1130</v>
      </c>
      <c r="C245" s="1191"/>
      <c r="D245" s="1191"/>
      <c r="E245" s="1191"/>
      <c r="F245" s="1191"/>
      <c r="G245" s="1191"/>
      <c r="H245" s="1191"/>
      <c r="I245" s="1191"/>
      <c r="J245" s="1191"/>
      <c r="K245" s="1191"/>
      <c r="L245" s="1191"/>
      <c r="M245" s="1191"/>
      <c r="N245" s="1182"/>
      <c r="O245" s="1191"/>
      <c r="P245" s="1191"/>
      <c r="Q245" s="1191"/>
      <c r="R245" s="1191"/>
      <c r="S245" s="1182"/>
      <c r="T245" s="1191"/>
      <c r="U245" s="1191"/>
      <c r="V245" s="1191"/>
      <c r="W245" s="1191"/>
      <c r="X245" s="1182"/>
      <c r="Y245" s="1191"/>
      <c r="Z245" s="1191"/>
      <c r="AA245" s="1191"/>
      <c r="AB245" s="1191"/>
      <c r="AC245" s="1191"/>
      <c r="AD245" s="1191"/>
      <c r="AE245" s="1191"/>
      <c r="AF245" s="1191"/>
      <c r="AG245" s="1191"/>
      <c r="AH245" s="1191"/>
      <c r="AI245" s="1191"/>
      <c r="AJ245" s="1191"/>
      <c r="AK245" s="1191"/>
      <c r="AL245" s="1191"/>
      <c r="AM245" s="1191"/>
      <c r="AN245" s="1191"/>
      <c r="AO245" s="1191"/>
      <c r="AP245" s="1191"/>
      <c r="AQ245" s="1191"/>
      <c r="AR245" s="1191"/>
      <c r="AS245" s="1191"/>
      <c r="AT245" s="1191"/>
      <c r="AU245" s="1191"/>
      <c r="AV245" s="1191"/>
      <c r="AW245" s="1191"/>
      <c r="AX245" s="1182"/>
      <c r="AY245" s="1182"/>
      <c r="AZ245" s="1182"/>
      <c r="BA245" s="1182"/>
      <c r="BB245" s="1191">
        <v>4000</v>
      </c>
      <c r="BC245" s="1182"/>
      <c r="BD245" s="1182"/>
      <c r="BE245" s="1182"/>
      <c r="BF245" s="1182"/>
      <c r="BG245" s="1191">
        <v>3144</v>
      </c>
      <c r="BH245" s="1191"/>
      <c r="BI245" s="1191"/>
      <c r="BJ245" s="1191"/>
      <c r="BK245" s="1191"/>
      <c r="BL245" s="1191">
        <v>2768</v>
      </c>
      <c r="BM245" s="1191"/>
      <c r="BN245" s="1182"/>
      <c r="BO245" s="1182"/>
      <c r="BP245" s="1182"/>
      <c r="BQ245" s="1190">
        <v>2663</v>
      </c>
      <c r="BR245" s="1190"/>
      <c r="BS245" s="1190"/>
      <c r="BT245" s="1190"/>
      <c r="BU245" s="1190"/>
      <c r="BV245" s="1190"/>
      <c r="BW245" s="1190"/>
      <c r="BX245" s="1190"/>
      <c r="BY245" s="1190"/>
      <c r="BZ245" s="1190"/>
      <c r="CA245" s="1190"/>
      <c r="CB245" s="1240"/>
      <c r="CC245" s="1240"/>
      <c r="CD245" s="1240"/>
      <c r="CE245" s="1240"/>
      <c r="CF245" s="1190"/>
      <c r="CG245" s="1240"/>
      <c r="CH245" s="1240"/>
      <c r="CI245" s="1240"/>
      <c r="CJ245" s="1240"/>
      <c r="CK245" s="1184"/>
      <c r="CL245" s="1240"/>
      <c r="CM245" s="1240"/>
      <c r="CN245" s="1240"/>
      <c r="CO245" s="1240"/>
      <c r="CP245" s="1184"/>
      <c r="CQ245" s="1240"/>
      <c r="CR245" s="1240"/>
      <c r="CS245" s="1240"/>
      <c r="CT245" s="1240"/>
      <c r="CU245" s="1184"/>
      <c r="CV245" s="1240"/>
      <c r="CW245" s="1240"/>
      <c r="CX245" s="1240"/>
      <c r="CY245" s="1240"/>
      <c r="CZ245" s="1184"/>
      <c r="DB245" s="2109"/>
      <c r="DC245" s="2109"/>
    </row>
    <row r="246" spans="1:107" s="1178" customFormat="1" ht="11.25" hidden="1" outlineLevel="1">
      <c r="A246" s="1191"/>
      <c r="B246" s="1191"/>
      <c r="C246" s="1191"/>
      <c r="D246" s="1191"/>
      <c r="E246" s="1191"/>
      <c r="F246" s="1191"/>
      <c r="G246" s="1191"/>
      <c r="H246" s="1191"/>
      <c r="I246" s="1191"/>
      <c r="J246" s="1191"/>
      <c r="K246" s="1191"/>
      <c r="L246" s="1191"/>
      <c r="M246" s="1191"/>
      <c r="N246" s="1182"/>
      <c r="O246" s="1191"/>
      <c r="P246" s="1191"/>
      <c r="Q246" s="1191"/>
      <c r="R246" s="1191"/>
      <c r="S246" s="1182"/>
      <c r="T246" s="1191"/>
      <c r="U246" s="1191"/>
      <c r="V246" s="1191"/>
      <c r="W246" s="1191"/>
      <c r="X246" s="1182"/>
      <c r="Y246" s="1191"/>
      <c r="Z246" s="1191"/>
      <c r="AA246" s="1191"/>
      <c r="AB246" s="1191"/>
      <c r="AC246" s="1191"/>
      <c r="AD246" s="1191"/>
      <c r="AE246" s="1191"/>
      <c r="AF246" s="1191"/>
      <c r="AG246" s="1191"/>
      <c r="AH246" s="1191"/>
      <c r="AI246" s="1191"/>
      <c r="AJ246" s="1191"/>
      <c r="AK246" s="1191"/>
      <c r="AL246" s="1191"/>
      <c r="AM246" s="1191"/>
      <c r="AN246" s="1191"/>
      <c r="AO246" s="1191"/>
      <c r="AP246" s="1191"/>
      <c r="AQ246" s="1191"/>
      <c r="AR246" s="1191"/>
      <c r="AS246" s="1191"/>
      <c r="AT246" s="1191"/>
      <c r="AU246" s="1191"/>
      <c r="AV246" s="1191"/>
      <c r="AW246" s="1191"/>
      <c r="AX246" s="1182"/>
      <c r="AY246" s="1182"/>
      <c r="AZ246" s="1182"/>
      <c r="BA246" s="1182"/>
      <c r="BB246" s="1023"/>
      <c r="BC246" s="1182"/>
      <c r="BD246" s="1182"/>
      <c r="BE246" s="1182"/>
      <c r="BF246" s="1182"/>
      <c r="BG246" s="1182"/>
      <c r="BH246" s="1182"/>
      <c r="BI246" s="1182"/>
      <c r="BJ246" s="1182"/>
      <c r="BK246" s="1182"/>
      <c r="BL246" s="1182"/>
      <c r="BM246" s="1182"/>
      <c r="BN246" s="1182"/>
      <c r="BO246" s="1182"/>
      <c r="BP246" s="1182"/>
      <c r="BQ246" s="1190"/>
      <c r="BR246" s="1190"/>
      <c r="BS246" s="1190"/>
      <c r="BT246" s="1190"/>
      <c r="BU246" s="1190"/>
      <c r="BV246" s="1190"/>
      <c r="BW246" s="1190"/>
      <c r="BX246" s="1190"/>
      <c r="BY246" s="1190"/>
      <c r="BZ246" s="1190"/>
      <c r="CA246" s="1190"/>
      <c r="CB246" s="1240"/>
      <c r="CC246" s="1240"/>
      <c r="CD246" s="1240"/>
      <c r="CE246" s="1240"/>
      <c r="CF246" s="1190"/>
      <c r="CG246" s="1240"/>
      <c r="CH246" s="1240"/>
      <c r="CI246" s="1240"/>
      <c r="CJ246" s="1240"/>
      <c r="CK246" s="1184"/>
      <c r="CL246" s="1240"/>
      <c r="CM246" s="1240"/>
      <c r="CN246" s="1240"/>
      <c r="CO246" s="1240"/>
      <c r="CP246" s="1184"/>
      <c r="CQ246" s="1240"/>
      <c r="CR246" s="1240"/>
      <c r="CS246" s="1240"/>
      <c r="CT246" s="1240"/>
      <c r="CU246" s="1184"/>
      <c r="CV246" s="1240"/>
      <c r="CW246" s="1240"/>
      <c r="CX246" s="1240"/>
      <c r="CY246" s="1240"/>
      <c r="CZ246" s="1184"/>
      <c r="DB246" s="2109"/>
      <c r="DC246" s="2109"/>
    </row>
    <row r="247" spans="1:107" s="1178" customFormat="1" ht="11.25" hidden="1" outlineLevel="1">
      <c r="A247" s="1191"/>
      <c r="B247" s="1182" t="s">
        <v>1138</v>
      </c>
      <c r="C247" s="1191"/>
      <c r="D247" s="1191"/>
      <c r="E247" s="1191"/>
      <c r="F247" s="1191"/>
      <c r="G247" s="1191"/>
      <c r="H247" s="1191"/>
      <c r="I247" s="1191"/>
      <c r="J247" s="1191"/>
      <c r="K247" s="1191"/>
      <c r="L247" s="1191"/>
      <c r="M247" s="1191"/>
      <c r="N247" s="1182"/>
      <c r="O247" s="1191"/>
      <c r="P247" s="1191"/>
      <c r="Q247" s="1191"/>
      <c r="R247" s="1191"/>
      <c r="S247" s="1182"/>
      <c r="T247" s="1191"/>
      <c r="U247" s="1191"/>
      <c r="V247" s="1191"/>
      <c r="W247" s="1191"/>
      <c r="X247" s="1182"/>
      <c r="Y247" s="1191"/>
      <c r="Z247" s="1191"/>
      <c r="AA247" s="1191"/>
      <c r="AB247" s="1191"/>
      <c r="AC247" s="1191"/>
      <c r="AD247" s="1191"/>
      <c r="AE247" s="1191"/>
      <c r="AF247" s="1191"/>
      <c r="AG247" s="1191"/>
      <c r="AH247" s="1191"/>
      <c r="AI247" s="1191"/>
      <c r="AJ247" s="1191"/>
      <c r="AK247" s="1191"/>
      <c r="AL247" s="1191"/>
      <c r="AM247" s="1191"/>
      <c r="AN247" s="1191"/>
      <c r="AO247" s="1191"/>
      <c r="AP247" s="1191"/>
      <c r="AQ247" s="1191"/>
      <c r="AR247" s="1191"/>
      <c r="AS247" s="1191"/>
      <c r="AT247" s="1191"/>
      <c r="AU247" s="1191"/>
      <c r="AV247" s="1191"/>
      <c r="AW247" s="1191"/>
      <c r="AX247" s="1182"/>
      <c r="AY247" s="1182"/>
      <c r="AZ247" s="1182"/>
      <c r="BA247" s="1182"/>
      <c r="BB247" s="1023"/>
      <c r="BC247" s="1182"/>
      <c r="BD247" s="1182"/>
      <c r="BE247" s="1182"/>
      <c r="BF247" s="1182"/>
      <c r="BG247" s="1182"/>
      <c r="BH247" s="1182"/>
      <c r="BI247" s="1182"/>
      <c r="BJ247" s="1182"/>
      <c r="BK247" s="1182"/>
      <c r="BL247" s="1182">
        <v>5200</v>
      </c>
      <c r="BM247" s="1182"/>
      <c r="BN247" s="1182"/>
      <c r="BO247" s="1182"/>
      <c r="BP247" s="1182"/>
      <c r="BQ247" s="1190"/>
      <c r="BR247" s="1190"/>
      <c r="BS247" s="1190"/>
      <c r="BT247" s="1190"/>
      <c r="BU247" s="1190"/>
      <c r="BV247" s="1190"/>
      <c r="BW247" s="1190"/>
      <c r="BX247" s="1190"/>
      <c r="BY247" s="1190"/>
      <c r="BZ247" s="1190"/>
      <c r="CA247" s="1190"/>
      <c r="CB247" s="1240"/>
      <c r="CC247" s="1240"/>
      <c r="CD247" s="1240"/>
      <c r="CE247" s="1240"/>
      <c r="CF247" s="1190"/>
      <c r="CG247" s="1240"/>
      <c r="CH247" s="1240"/>
      <c r="CI247" s="1240"/>
      <c r="CJ247" s="1240"/>
      <c r="CK247" s="1184"/>
      <c r="CL247" s="1240"/>
      <c r="CM247" s="1240"/>
      <c r="CN247" s="1240"/>
      <c r="CO247" s="1240"/>
      <c r="CP247" s="1184"/>
      <c r="CQ247" s="1240"/>
      <c r="CR247" s="1240"/>
      <c r="CS247" s="1240"/>
      <c r="CT247" s="1240"/>
      <c r="CU247" s="1184"/>
      <c r="CV247" s="1240"/>
      <c r="CW247" s="1240"/>
      <c r="CX247" s="1240"/>
      <c r="CY247" s="1240"/>
      <c r="CZ247" s="1184"/>
      <c r="DB247" s="2109"/>
      <c r="DC247" s="2109"/>
    </row>
    <row r="248" spans="1:107" s="1178" customFormat="1" ht="11.25" hidden="1" outlineLevel="1">
      <c r="A248" s="1191"/>
      <c r="B248" s="1191" t="s">
        <v>1144</v>
      </c>
      <c r="C248" s="1191"/>
      <c r="D248" s="1191"/>
      <c r="E248" s="1191"/>
      <c r="F248" s="1191"/>
      <c r="G248" s="1191"/>
      <c r="H248" s="1191"/>
      <c r="I248" s="1191"/>
      <c r="J248" s="1191"/>
      <c r="K248" s="1191"/>
      <c r="L248" s="1191"/>
      <c r="M248" s="1191"/>
      <c r="N248" s="1182"/>
      <c r="O248" s="1191"/>
      <c r="P248" s="1191"/>
      <c r="Q248" s="1191"/>
      <c r="R248" s="1191"/>
      <c r="S248" s="1182"/>
      <c r="T248" s="1191"/>
      <c r="U248" s="1191"/>
      <c r="V248" s="1191"/>
      <c r="W248" s="1191"/>
      <c r="X248" s="1182"/>
      <c r="Y248" s="1191"/>
      <c r="Z248" s="1191"/>
      <c r="AA248" s="1191"/>
      <c r="AB248" s="1191"/>
      <c r="AC248" s="1191"/>
      <c r="AD248" s="1191"/>
      <c r="AE248" s="1191"/>
      <c r="AF248" s="1191"/>
      <c r="AG248" s="1191"/>
      <c r="AH248" s="1191"/>
      <c r="AI248" s="1191"/>
      <c r="AJ248" s="1191"/>
      <c r="AK248" s="1191"/>
      <c r="AL248" s="1191"/>
      <c r="AM248" s="1191"/>
      <c r="AN248" s="1191"/>
      <c r="AO248" s="1191"/>
      <c r="AP248" s="1191"/>
      <c r="AQ248" s="1191"/>
      <c r="AR248" s="1191"/>
      <c r="AS248" s="1191"/>
      <c r="AT248" s="1191"/>
      <c r="AU248" s="1191"/>
      <c r="AV248" s="1191"/>
      <c r="AW248" s="1191"/>
      <c r="AX248" s="1182"/>
      <c r="AY248" s="1182"/>
      <c r="AZ248" s="1182"/>
      <c r="BA248" s="1182"/>
      <c r="BB248" s="1023"/>
      <c r="BC248" s="1182"/>
      <c r="BD248" s="1182"/>
      <c r="BE248" s="1182"/>
      <c r="BF248" s="1182"/>
      <c r="BG248" s="1182"/>
      <c r="BH248" s="1182"/>
      <c r="BI248" s="1182"/>
      <c r="BJ248" s="1182"/>
      <c r="BK248" s="1182"/>
      <c r="BL248" s="1182"/>
      <c r="BM248" s="1182"/>
      <c r="BN248" s="1182"/>
      <c r="BO248" s="1182"/>
      <c r="BP248" s="1182"/>
      <c r="BQ248" s="1190"/>
      <c r="BR248" s="1190"/>
      <c r="BS248" s="1190"/>
      <c r="BT248" s="1190"/>
      <c r="BU248" s="1190"/>
      <c r="BV248" s="1190"/>
      <c r="BW248" s="1190"/>
      <c r="BX248" s="1190"/>
      <c r="BY248" s="1190"/>
      <c r="BZ248" s="1190"/>
      <c r="CA248" s="1190"/>
      <c r="CB248" s="1240"/>
      <c r="CC248" s="1240"/>
      <c r="CD248" s="1240"/>
      <c r="CE248" s="1240"/>
      <c r="CF248" s="1190"/>
      <c r="CG248" s="1240"/>
      <c r="CH248" s="1240"/>
      <c r="CI248" s="1240"/>
      <c r="CJ248" s="1240"/>
      <c r="CK248" s="1184"/>
      <c r="CL248" s="1240"/>
      <c r="CM248" s="1240"/>
      <c r="CN248" s="1240"/>
      <c r="CO248" s="1240"/>
      <c r="CP248" s="1184"/>
      <c r="CQ248" s="1240"/>
      <c r="CR248" s="1240"/>
      <c r="CS248" s="1240"/>
      <c r="CT248" s="1240"/>
      <c r="CU248" s="1184"/>
      <c r="CV248" s="1240"/>
      <c r="CW248" s="1240"/>
      <c r="CX248" s="1240"/>
      <c r="CY248" s="1240"/>
      <c r="CZ248" s="1184"/>
      <c r="DB248" s="2109"/>
      <c r="DC248" s="2109"/>
    </row>
    <row r="249" spans="1:107" s="1178" customFormat="1" ht="11.25" hidden="1" outlineLevel="1">
      <c r="A249" s="1191"/>
      <c r="B249" s="1191"/>
      <c r="C249" s="1191"/>
      <c r="D249" s="1191"/>
      <c r="E249" s="1191"/>
      <c r="F249" s="1191"/>
      <c r="G249" s="1191"/>
      <c r="H249" s="1191"/>
      <c r="I249" s="1191"/>
      <c r="J249" s="1191"/>
      <c r="K249" s="1191"/>
      <c r="L249" s="1191"/>
      <c r="M249" s="1191"/>
      <c r="N249" s="1182"/>
      <c r="O249" s="1191"/>
      <c r="P249" s="1191"/>
      <c r="Q249" s="1191"/>
      <c r="R249" s="1191"/>
      <c r="S249" s="1182"/>
      <c r="T249" s="1191"/>
      <c r="U249" s="1191"/>
      <c r="V249" s="1191"/>
      <c r="W249" s="1191"/>
      <c r="X249" s="1182"/>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82"/>
      <c r="AY249" s="1182"/>
      <c r="AZ249" s="1182"/>
      <c r="BA249" s="1182"/>
      <c r="BB249" s="1023"/>
      <c r="BC249" s="1182"/>
      <c r="BD249" s="1182"/>
      <c r="BE249" s="1182"/>
      <c r="BF249" s="1182"/>
      <c r="BG249" s="1182"/>
      <c r="BH249" s="1182"/>
      <c r="BI249" s="1182"/>
      <c r="BJ249" s="1182"/>
      <c r="BK249" s="1182"/>
      <c r="BL249" s="1182"/>
      <c r="BM249" s="1182"/>
      <c r="BN249" s="1182"/>
      <c r="BO249" s="1182"/>
      <c r="BP249" s="1182"/>
      <c r="BQ249" s="1190"/>
      <c r="BR249" s="1190"/>
      <c r="BS249" s="1190"/>
      <c r="BT249" s="1190"/>
      <c r="BU249" s="1190"/>
      <c r="BV249" s="1190"/>
      <c r="BW249" s="1190"/>
      <c r="BX249" s="1190"/>
      <c r="BY249" s="1190"/>
      <c r="BZ249" s="1190"/>
      <c r="CA249" s="1190"/>
      <c r="CB249" s="1240"/>
      <c r="CC249" s="1240"/>
      <c r="CD249" s="1240"/>
      <c r="CE249" s="1240"/>
      <c r="CF249" s="1190"/>
      <c r="CG249" s="1240"/>
      <c r="CH249" s="1240"/>
      <c r="CI249" s="1240"/>
      <c r="CJ249" s="1240"/>
      <c r="CK249" s="1184"/>
      <c r="CL249" s="1240"/>
      <c r="CM249" s="1240"/>
      <c r="CN249" s="1240"/>
      <c r="CO249" s="1240"/>
      <c r="CP249" s="1184"/>
      <c r="CQ249" s="1240"/>
      <c r="CR249" s="1240"/>
      <c r="CS249" s="1240"/>
      <c r="CT249" s="1240"/>
      <c r="CU249" s="1184"/>
      <c r="CV249" s="1240"/>
      <c r="CW249" s="1240"/>
      <c r="CX249" s="1240"/>
      <c r="CY249" s="1240"/>
      <c r="CZ249" s="1184"/>
      <c r="DB249" s="2109"/>
      <c r="DC249" s="2109"/>
    </row>
    <row r="250" spans="1:107" s="1178" customFormat="1" ht="11.25" hidden="1" outlineLevel="1">
      <c r="A250" s="1191"/>
      <c r="B250" s="1182" t="s">
        <v>113</v>
      </c>
      <c r="C250" s="1191"/>
      <c r="D250" s="1191"/>
      <c r="E250" s="1191"/>
      <c r="F250" s="1191"/>
      <c r="G250" s="1191"/>
      <c r="H250" s="1191"/>
      <c r="I250" s="1191"/>
      <c r="J250" s="1191"/>
      <c r="K250" s="1191"/>
      <c r="L250" s="1191"/>
      <c r="M250" s="1191"/>
      <c r="N250" s="1182"/>
      <c r="O250" s="1191"/>
      <c r="P250" s="1191"/>
      <c r="Q250" s="1191"/>
      <c r="R250" s="1191"/>
      <c r="S250" s="1182"/>
      <c r="T250" s="1191"/>
      <c r="U250" s="1191"/>
      <c r="V250" s="1191"/>
      <c r="W250" s="1191"/>
      <c r="X250" s="1182"/>
      <c r="Y250" s="1191"/>
      <c r="Z250" s="1191"/>
      <c r="AA250" s="1191"/>
      <c r="AB250" s="1191"/>
      <c r="AC250" s="1191"/>
      <c r="AD250" s="1191"/>
      <c r="AE250" s="1191"/>
      <c r="AF250" s="1191"/>
      <c r="AG250" s="1191"/>
      <c r="AH250" s="1191"/>
      <c r="AI250" s="1191"/>
      <c r="AJ250" s="1191"/>
      <c r="AK250" s="1191"/>
      <c r="AL250" s="1191"/>
      <c r="AM250" s="1191"/>
      <c r="AN250" s="1191"/>
      <c r="AO250" s="1191"/>
      <c r="AP250" s="1191"/>
      <c r="AQ250" s="1191"/>
      <c r="AR250" s="1191"/>
      <c r="AS250" s="1191"/>
      <c r="AT250" s="1191"/>
      <c r="AU250" s="1191"/>
      <c r="AV250" s="1191"/>
      <c r="AW250" s="1191"/>
      <c r="AX250" s="1182"/>
      <c r="AY250" s="1182"/>
      <c r="AZ250" s="1182"/>
      <c r="BA250" s="1182"/>
      <c r="BB250" s="1023"/>
      <c r="BC250" s="1182"/>
      <c r="BD250" s="1182"/>
      <c r="BE250" s="1182"/>
      <c r="BF250" s="1182"/>
      <c r="BG250" s="1182"/>
      <c r="BH250" s="1182"/>
      <c r="BI250" s="1182"/>
      <c r="BJ250" s="1182"/>
      <c r="BK250" s="1182"/>
      <c r="BL250" s="1182">
        <v>12200</v>
      </c>
      <c r="BM250" s="1182"/>
      <c r="BN250" s="1182"/>
      <c r="BO250" s="1182"/>
      <c r="BP250" s="1182"/>
      <c r="BQ250" s="1190">
        <v>12700</v>
      </c>
      <c r="BR250" s="1190"/>
      <c r="BS250" s="1190"/>
      <c r="BT250" s="1190"/>
      <c r="BU250" s="1190"/>
      <c r="BV250" s="1190" t="s">
        <v>1143</v>
      </c>
      <c r="BW250" s="1190"/>
      <c r="BX250" s="1190"/>
      <c r="BY250" s="1190"/>
      <c r="BZ250" s="1190"/>
      <c r="CA250" s="1190"/>
      <c r="CB250" s="1240"/>
      <c r="CC250" s="1240"/>
      <c r="CD250" s="1240"/>
      <c r="CE250" s="1240"/>
      <c r="CF250" s="1190"/>
      <c r="CG250" s="1240"/>
      <c r="CH250" s="1240"/>
      <c r="CI250" s="1240"/>
      <c r="CJ250" s="1240"/>
      <c r="CK250" s="1184"/>
      <c r="CL250" s="1240"/>
      <c r="CM250" s="1240"/>
      <c r="CN250" s="1240"/>
      <c r="CO250" s="1240"/>
      <c r="CP250" s="1184"/>
      <c r="CQ250" s="1240"/>
      <c r="CR250" s="1240"/>
      <c r="CS250" s="1240"/>
      <c r="CT250" s="1240"/>
      <c r="CU250" s="1184"/>
      <c r="CV250" s="1240"/>
      <c r="CW250" s="1240"/>
      <c r="CX250" s="1240"/>
      <c r="CY250" s="1240"/>
      <c r="CZ250" s="1184"/>
      <c r="DB250" s="2109"/>
      <c r="DC250" s="2109"/>
    </row>
    <row r="251" spans="1:107" s="1178" customFormat="1" ht="11.25" hidden="1" outlineLevel="1">
      <c r="A251" s="1191"/>
      <c r="B251" s="1191"/>
      <c r="C251" s="1191"/>
      <c r="D251" s="1191"/>
      <c r="E251" s="1191"/>
      <c r="F251" s="1191"/>
      <c r="G251" s="1191"/>
      <c r="H251" s="1191"/>
      <c r="I251" s="1191"/>
      <c r="J251" s="1191"/>
      <c r="K251" s="1191"/>
      <c r="L251" s="1191"/>
      <c r="M251" s="1191"/>
      <c r="N251" s="1182"/>
      <c r="O251" s="1191"/>
      <c r="P251" s="1191"/>
      <c r="Q251" s="1191"/>
      <c r="R251" s="1191"/>
      <c r="S251" s="1182"/>
      <c r="T251" s="1191"/>
      <c r="U251" s="1191"/>
      <c r="V251" s="1191"/>
      <c r="W251" s="1191"/>
      <c r="X251" s="1182"/>
      <c r="Y251" s="1191"/>
      <c r="Z251" s="1191"/>
      <c r="AA251" s="1191"/>
      <c r="AB251" s="1191"/>
      <c r="AC251" s="1191"/>
      <c r="AD251" s="1191"/>
      <c r="AE251" s="1191"/>
      <c r="AF251" s="1191"/>
      <c r="AG251" s="1191"/>
      <c r="AH251" s="1191"/>
      <c r="AI251" s="1191"/>
      <c r="AJ251" s="1191"/>
      <c r="AK251" s="1191"/>
      <c r="AL251" s="1191"/>
      <c r="AM251" s="1191"/>
      <c r="AN251" s="1191"/>
      <c r="AO251" s="1191"/>
      <c r="AP251" s="1191"/>
      <c r="AQ251" s="1191"/>
      <c r="AR251" s="1191"/>
      <c r="AS251" s="1191"/>
      <c r="AT251" s="1191"/>
      <c r="AU251" s="1191"/>
      <c r="AV251" s="1191"/>
      <c r="AW251" s="1191"/>
      <c r="AX251" s="1182"/>
      <c r="AY251" s="1182"/>
      <c r="AZ251" s="1182"/>
      <c r="BA251" s="1182"/>
      <c r="BB251" s="1023"/>
      <c r="BC251" s="1182"/>
      <c r="BD251" s="1182"/>
      <c r="BE251" s="1182"/>
      <c r="BF251" s="1182"/>
      <c r="BG251" s="1182"/>
      <c r="BH251" s="1182"/>
      <c r="BI251" s="1182"/>
      <c r="BJ251" s="1182"/>
      <c r="BK251" s="1182"/>
      <c r="BL251" s="1182"/>
      <c r="BM251" s="1182"/>
      <c r="BN251" s="1182"/>
      <c r="BO251" s="1182"/>
      <c r="BP251" s="1182"/>
      <c r="BQ251" s="1190"/>
      <c r="BR251" s="1190"/>
      <c r="BS251" s="1190"/>
      <c r="BT251" s="1190"/>
      <c r="BU251" s="1190"/>
      <c r="BV251" s="1190"/>
      <c r="BW251" s="1190"/>
      <c r="BX251" s="1190"/>
      <c r="BY251" s="1190"/>
      <c r="BZ251" s="1190"/>
      <c r="CA251" s="1190"/>
      <c r="CB251" s="1240"/>
      <c r="CC251" s="1240"/>
      <c r="CD251" s="1240"/>
      <c r="CE251" s="1240"/>
      <c r="CF251" s="1190"/>
      <c r="CG251" s="1240"/>
      <c r="CH251" s="1240"/>
      <c r="CI251" s="1240"/>
      <c r="CJ251" s="1240"/>
      <c r="CK251" s="1184"/>
      <c r="CL251" s="1240"/>
      <c r="CM251" s="1240"/>
      <c r="CN251" s="1240"/>
      <c r="CO251" s="1240"/>
      <c r="CP251" s="1184"/>
      <c r="CQ251" s="1240"/>
      <c r="CR251" s="1240"/>
      <c r="CS251" s="1240"/>
      <c r="CT251" s="1240"/>
      <c r="CU251" s="1184"/>
      <c r="CV251" s="1240"/>
      <c r="CW251" s="1240"/>
      <c r="CX251" s="1240"/>
      <c r="CY251" s="1240"/>
      <c r="CZ251" s="1184"/>
      <c r="DB251" s="2109"/>
      <c r="DC251" s="2109"/>
    </row>
    <row r="252" spans="1:107" s="1178" customFormat="1" ht="11.25" hidden="1" outlineLevel="1">
      <c r="A252" s="1191"/>
      <c r="B252" s="1191"/>
      <c r="C252" s="1001" t="s">
        <v>710</v>
      </c>
      <c r="D252" s="1191"/>
      <c r="E252" s="1191"/>
      <c r="F252" s="1191"/>
      <c r="G252" s="1191"/>
      <c r="H252" s="1191"/>
      <c r="I252" s="1191"/>
      <c r="J252" s="1191"/>
      <c r="K252" s="1191"/>
      <c r="L252" s="1191"/>
      <c r="M252" s="1191"/>
      <c r="N252" s="1182"/>
      <c r="O252" s="1191"/>
      <c r="P252" s="1191"/>
      <c r="Q252" s="1191"/>
      <c r="R252" s="1191"/>
      <c r="S252" s="1182"/>
      <c r="T252" s="1191"/>
      <c r="U252" s="1191"/>
      <c r="V252" s="1191"/>
      <c r="W252" s="1191"/>
      <c r="X252" s="1182"/>
      <c r="Y252" s="1191"/>
      <c r="Z252" s="1191"/>
      <c r="AA252" s="1191"/>
      <c r="AB252" s="1191"/>
      <c r="AC252" s="1182"/>
      <c r="AD252" s="1191"/>
      <c r="AE252" s="1191"/>
      <c r="AF252" s="1191"/>
      <c r="AG252" s="1191"/>
      <c r="AH252" s="1182"/>
      <c r="AI252" s="1191"/>
      <c r="AJ252" s="1191"/>
      <c r="AK252" s="1191"/>
      <c r="AL252" s="1191"/>
      <c r="AM252" s="1182"/>
      <c r="AN252" s="1191"/>
      <c r="AO252" s="1191"/>
      <c r="AP252" s="1191"/>
      <c r="AQ252" s="1191"/>
      <c r="AR252" s="1182"/>
      <c r="AS252" s="1182"/>
      <c r="AT252" s="1182"/>
      <c r="AU252" s="1182"/>
      <c r="AV252" s="1182"/>
      <c r="AW252" s="1182"/>
      <c r="AX252" s="1182"/>
      <c r="AY252" s="1182"/>
      <c r="AZ252" s="1182"/>
      <c r="BA252" s="1182"/>
      <c r="BB252" s="1182"/>
      <c r="BC252" s="1182"/>
      <c r="BD252" s="1182"/>
      <c r="BE252" s="1182"/>
      <c r="BF252" s="1182"/>
      <c r="BG252" s="1182"/>
      <c r="BH252" s="1182"/>
      <c r="BI252" s="1182"/>
      <c r="BJ252" s="1182"/>
      <c r="BK252" s="1182"/>
      <c r="BL252" s="1182"/>
      <c r="BM252" s="1182"/>
      <c r="BN252" s="1182"/>
      <c r="BO252" s="1182"/>
      <c r="BP252" s="1182"/>
      <c r="BQ252" s="1190"/>
      <c r="BR252" s="1190"/>
      <c r="BS252" s="1190"/>
      <c r="BT252" s="1190"/>
      <c r="BU252" s="1190"/>
      <c r="BV252" s="1190"/>
      <c r="BW252" s="1190"/>
      <c r="BX252" s="1190"/>
      <c r="BY252" s="1190"/>
      <c r="BZ252" s="1190"/>
      <c r="CA252" s="1190"/>
      <c r="CB252" s="1240"/>
      <c r="CC252" s="1240"/>
      <c r="CD252" s="1240"/>
      <c r="CE252" s="1240"/>
      <c r="CF252" s="1190"/>
      <c r="CG252" s="1240"/>
      <c r="CH252" s="1240"/>
      <c r="CI252" s="1240"/>
      <c r="CJ252" s="1240"/>
      <c r="CK252" s="1184"/>
      <c r="CL252" s="1240"/>
      <c r="CM252" s="1240"/>
      <c r="CN252" s="1240"/>
      <c r="CO252" s="1240"/>
      <c r="CP252" s="1184"/>
      <c r="CQ252" s="1240"/>
      <c r="CR252" s="1240"/>
      <c r="CS252" s="1240"/>
      <c r="CT252" s="1240"/>
      <c r="CU252" s="1184"/>
      <c r="CV252" s="1240"/>
      <c r="CW252" s="1240"/>
      <c r="CX252" s="1240"/>
      <c r="CY252" s="1240"/>
      <c r="CZ252" s="1184"/>
      <c r="DB252" s="2109"/>
      <c r="DC252" s="2109"/>
    </row>
    <row r="253" spans="1:107" s="1178" customFormat="1" ht="11.25" hidden="1" outlineLevel="1">
      <c r="A253" s="1213"/>
      <c r="B253" s="1213"/>
      <c r="C253" s="1214" t="s">
        <v>1142</v>
      </c>
      <c r="D253" s="1213"/>
      <c r="E253" s="1213"/>
      <c r="F253" s="1213"/>
      <c r="G253" s="1213"/>
      <c r="H253" s="1213"/>
      <c r="I253" s="1213"/>
      <c r="J253" s="1213"/>
      <c r="K253" s="1213"/>
      <c r="L253" s="1213"/>
      <c r="M253" s="1213"/>
      <c r="N253" s="1214"/>
      <c r="O253" s="1213"/>
      <c r="P253" s="1213"/>
      <c r="Q253" s="1213"/>
      <c r="R253" s="1213"/>
      <c r="S253" s="1214"/>
      <c r="T253" s="1213"/>
      <c r="U253" s="1213"/>
      <c r="V253" s="1213"/>
      <c r="W253" s="1213"/>
      <c r="X253" s="1214"/>
      <c r="Y253" s="1213"/>
      <c r="Z253" s="1213"/>
      <c r="AA253" s="1213"/>
      <c r="AB253" s="1213"/>
      <c r="AC253" s="1214"/>
      <c r="AD253" s="1213"/>
      <c r="AE253" s="1213"/>
      <c r="AF253" s="1213"/>
      <c r="AG253" s="1213"/>
      <c r="AH253" s="1214"/>
      <c r="AI253" s="1213"/>
      <c r="AJ253" s="1213"/>
      <c r="AK253" s="1213"/>
      <c r="AL253" s="1213"/>
      <c r="AM253" s="1214"/>
      <c r="AN253" s="1191"/>
      <c r="AO253" s="1191"/>
      <c r="AP253" s="1191"/>
      <c r="AQ253" s="1191"/>
      <c r="AR253" s="1182"/>
      <c r="AS253" s="1182"/>
      <c r="AT253" s="1182"/>
      <c r="AU253" s="1182"/>
      <c r="AV253" s="1182"/>
      <c r="AW253" s="1182"/>
      <c r="AX253" s="1182"/>
      <c r="AY253" s="1182"/>
      <c r="AZ253" s="1182"/>
      <c r="BA253" s="1182"/>
      <c r="BB253" s="1182"/>
      <c r="BC253" s="1182"/>
      <c r="BD253" s="1182"/>
      <c r="BE253" s="1182"/>
      <c r="BF253" s="1182"/>
      <c r="BG253" s="1182"/>
      <c r="BH253" s="1182"/>
      <c r="BI253" s="1182"/>
      <c r="BJ253" s="1182"/>
      <c r="BK253" s="1182"/>
      <c r="BL253" s="1182"/>
      <c r="BM253" s="1182"/>
      <c r="BN253" s="1182"/>
      <c r="BO253" s="1182"/>
      <c r="BP253" s="1182"/>
      <c r="BQ253" s="1190"/>
      <c r="BR253" s="1190"/>
      <c r="BS253" s="1190"/>
      <c r="BT253" s="1190"/>
      <c r="BU253" s="1190"/>
      <c r="BV253" s="1190"/>
      <c r="BW253" s="1190"/>
      <c r="BX253" s="1190"/>
      <c r="BY253" s="1190"/>
      <c r="BZ253" s="1190"/>
      <c r="CA253" s="1190"/>
      <c r="CB253" s="1240"/>
      <c r="CC253" s="1240"/>
      <c r="CD253" s="1240"/>
      <c r="CE253" s="1240"/>
      <c r="CF253" s="1190"/>
      <c r="CG253" s="1240"/>
      <c r="CH253" s="1240"/>
      <c r="CI253" s="1240"/>
      <c r="CJ253" s="1240"/>
      <c r="CK253" s="1184"/>
      <c r="CL253" s="1240"/>
      <c r="CM253" s="1240"/>
      <c r="CN253" s="1240"/>
      <c r="CO253" s="1240"/>
      <c r="CP253" s="1184"/>
      <c r="CQ253" s="1240"/>
      <c r="CR253" s="1240"/>
      <c r="CS253" s="1240"/>
      <c r="CT253" s="1240"/>
      <c r="CU253" s="1184"/>
      <c r="CV253" s="1240"/>
      <c r="CW253" s="1240"/>
      <c r="CX253" s="1240"/>
      <c r="CY253" s="1240"/>
      <c r="CZ253" s="1184"/>
      <c r="DB253" s="2109"/>
      <c r="DC253" s="2109"/>
    </row>
    <row r="254" spans="1:107" s="1178" customFormat="1" ht="11.25" hidden="1" outlineLevel="1">
      <c r="A254" s="1191"/>
      <c r="B254" s="1191"/>
      <c r="C254" s="1182" t="s">
        <v>1141</v>
      </c>
      <c r="D254" s="1191"/>
      <c r="E254" s="1191"/>
      <c r="F254" s="1191"/>
      <c r="G254" s="1191"/>
      <c r="H254" s="1191"/>
      <c r="I254" s="1191"/>
      <c r="J254" s="1191"/>
      <c r="K254" s="1191"/>
      <c r="L254" s="1191"/>
      <c r="M254" s="1191"/>
      <c r="N254" s="1182"/>
      <c r="O254" s="1191"/>
      <c r="P254" s="1191"/>
      <c r="Q254" s="1191"/>
      <c r="R254" s="1191"/>
      <c r="S254" s="1182"/>
      <c r="T254" s="1191"/>
      <c r="U254" s="1191"/>
      <c r="V254" s="1191"/>
      <c r="W254" s="1191"/>
      <c r="X254" s="1182"/>
      <c r="Y254" s="1191"/>
      <c r="Z254" s="1191"/>
      <c r="AA254" s="1191"/>
      <c r="AB254" s="1191"/>
      <c r="AC254" s="1182"/>
      <c r="AD254" s="1191"/>
      <c r="AE254" s="1191"/>
      <c r="AF254" s="1191"/>
      <c r="AG254" s="1191"/>
      <c r="AH254" s="1182"/>
      <c r="AI254" s="1191"/>
      <c r="AJ254" s="1191"/>
      <c r="AK254" s="1191"/>
      <c r="AL254" s="1191"/>
      <c r="AM254" s="1182"/>
      <c r="AN254" s="1191"/>
      <c r="AO254" s="1191"/>
      <c r="AP254" s="1191"/>
      <c r="AQ254" s="1191"/>
      <c r="AR254" s="1182"/>
      <c r="AS254" s="1182"/>
      <c r="AT254" s="1182"/>
      <c r="AU254" s="1182"/>
      <c r="AV254" s="1182"/>
      <c r="AW254" s="1182"/>
      <c r="AX254" s="1182"/>
      <c r="AY254" s="1182"/>
      <c r="AZ254" s="1182"/>
      <c r="BA254" s="1182"/>
      <c r="BB254" s="1182"/>
      <c r="BC254" s="1182"/>
      <c r="BD254" s="1182"/>
      <c r="BE254" s="1182"/>
      <c r="BF254" s="1182"/>
      <c r="BG254" s="1182"/>
      <c r="BH254" s="1182"/>
      <c r="BI254" s="1182"/>
      <c r="BJ254" s="1182"/>
      <c r="BK254" s="1182"/>
      <c r="BL254" s="1182"/>
      <c r="BM254" s="1182"/>
      <c r="BN254" s="1182"/>
      <c r="BO254" s="1182"/>
      <c r="BP254" s="1182"/>
      <c r="BQ254" s="1190"/>
      <c r="BR254" s="1190"/>
      <c r="BS254" s="1190"/>
      <c r="BT254" s="1190"/>
      <c r="BU254" s="1190"/>
      <c r="BV254" s="1190"/>
      <c r="BW254" s="1190"/>
      <c r="BX254" s="1190"/>
      <c r="BY254" s="1190"/>
      <c r="BZ254" s="1190"/>
      <c r="CA254" s="1190"/>
      <c r="CB254" s="1240"/>
      <c r="CC254" s="1240"/>
      <c r="CD254" s="1240"/>
      <c r="CE254" s="1240"/>
      <c r="CF254" s="1190"/>
      <c r="CG254" s="1240"/>
      <c r="CH254" s="1240"/>
      <c r="CI254" s="1240"/>
      <c r="CJ254" s="1240"/>
      <c r="CK254" s="1184"/>
      <c r="CL254" s="1240"/>
      <c r="CM254" s="1240"/>
      <c r="CN254" s="1240"/>
      <c r="CO254" s="1240"/>
      <c r="CP254" s="1184"/>
      <c r="CQ254" s="1240"/>
      <c r="CR254" s="1240"/>
      <c r="CS254" s="1240"/>
      <c r="CT254" s="1240"/>
      <c r="CU254" s="1184"/>
      <c r="CV254" s="1240"/>
      <c r="CW254" s="1240"/>
      <c r="CX254" s="1240"/>
      <c r="CY254" s="1240"/>
      <c r="CZ254" s="1184"/>
      <c r="DB254" s="2109"/>
      <c r="DC254" s="2109"/>
    </row>
    <row r="255" spans="1:107" s="1178" customFormat="1" ht="11.25" hidden="1" outlineLevel="1">
      <c r="A255" s="1191"/>
      <c r="B255" s="1191"/>
      <c r="C255" s="1191" t="s">
        <v>848</v>
      </c>
      <c r="D255" s="1191"/>
      <c r="E255" s="1191"/>
      <c r="F255" s="1191"/>
      <c r="G255" s="1191"/>
      <c r="H255" s="1191"/>
      <c r="I255" s="1191"/>
      <c r="J255" s="1191"/>
      <c r="K255" s="1191"/>
      <c r="L255" s="1191"/>
      <c r="M255" s="1191"/>
      <c r="N255" s="1182"/>
      <c r="O255" s="1191"/>
      <c r="P255" s="1191"/>
      <c r="Q255" s="1191"/>
      <c r="R255" s="1191"/>
      <c r="S255" s="1182"/>
      <c r="T255" s="1191"/>
      <c r="U255" s="1191"/>
      <c r="V255" s="1191"/>
      <c r="W255" s="1191"/>
      <c r="X255" s="1182"/>
      <c r="Y255" s="1191"/>
      <c r="Z255" s="1191"/>
      <c r="AA255" s="1191"/>
      <c r="AB255" s="1191"/>
      <c r="AC255" s="1191">
        <v>8.4</v>
      </c>
      <c r="AD255" s="1191"/>
      <c r="AE255" s="1191"/>
      <c r="AF255" s="1191"/>
      <c r="AG255" s="1191"/>
      <c r="AH255" s="1191">
        <v>12.8</v>
      </c>
      <c r="AI255" s="1191"/>
      <c r="AJ255" s="1191"/>
      <c r="AK255" s="1191"/>
      <c r="AL255" s="1191"/>
      <c r="AM255" s="1191">
        <v>10.9</v>
      </c>
      <c r="AN255" s="1191">
        <v>10.9</v>
      </c>
      <c r="AO255" s="1191">
        <v>10.9</v>
      </c>
      <c r="AP255" s="1191"/>
      <c r="AQ255" s="1191"/>
      <c r="AR255" s="1191">
        <v>11.3</v>
      </c>
      <c r="AS255" s="1191"/>
      <c r="AT255" s="1191"/>
      <c r="AU255" s="1191"/>
      <c r="AV255" s="1191"/>
      <c r="AW255" s="1191">
        <v>21.9</v>
      </c>
      <c r="AX255" s="1182"/>
      <c r="AY255" s="1182"/>
      <c r="AZ255" s="1182"/>
      <c r="BA255" s="1182"/>
      <c r="BB255" s="1023">
        <v>36</v>
      </c>
      <c r="BC255" s="1182"/>
      <c r="BD255" s="1182"/>
      <c r="BE255" s="1182"/>
      <c r="BF255" s="1182"/>
      <c r="BG255" s="1182">
        <v>40</v>
      </c>
      <c r="BH255" s="1182"/>
      <c r="BI255" s="1182"/>
      <c r="BJ255" s="1182"/>
      <c r="BK255" s="1182"/>
      <c r="BL255" s="1182"/>
      <c r="BM255" s="1182"/>
      <c r="BN255" s="1182"/>
      <c r="BO255" s="1182"/>
      <c r="BP255" s="1182"/>
      <c r="BQ255" s="1190"/>
      <c r="BR255" s="1190"/>
      <c r="BS255" s="1190"/>
      <c r="BT255" s="1190"/>
      <c r="BU255" s="1190"/>
      <c r="BV255" s="1190"/>
      <c r="BW255" s="1190"/>
      <c r="BX255" s="1190"/>
      <c r="BY255" s="1190"/>
      <c r="BZ255" s="1190"/>
      <c r="CA255" s="1190"/>
      <c r="CB255" s="1240"/>
      <c r="CC255" s="1240"/>
      <c r="CD255" s="1240"/>
      <c r="CE255" s="1240"/>
      <c r="CF255" s="1190"/>
      <c r="CG255" s="1240"/>
      <c r="CH255" s="1240"/>
      <c r="CI255" s="1240"/>
      <c r="CJ255" s="1240"/>
      <c r="CK255" s="1184"/>
      <c r="CL255" s="1240"/>
      <c r="CM255" s="1240"/>
      <c r="CN255" s="1240"/>
      <c r="CO255" s="1240"/>
      <c r="CP255" s="1184"/>
      <c r="CQ255" s="1240"/>
      <c r="CR255" s="1240"/>
      <c r="CS255" s="1240"/>
      <c r="CT255" s="1240"/>
      <c r="CU255" s="1184"/>
      <c r="CV255" s="1240"/>
      <c r="CW255" s="1240"/>
      <c r="CX255" s="1240"/>
      <c r="CY255" s="1240"/>
      <c r="CZ255" s="1184"/>
      <c r="DB255" s="2109"/>
      <c r="DC255" s="2109"/>
    </row>
    <row r="256" spans="1:107" s="1178" customFormat="1" ht="11.25" hidden="1" outlineLevel="1">
      <c r="A256" s="1191"/>
      <c r="B256" s="1191"/>
      <c r="C256" s="1191" t="s">
        <v>847</v>
      </c>
      <c r="D256" s="1191"/>
      <c r="E256" s="1191"/>
      <c r="F256" s="1191"/>
      <c r="G256" s="1191"/>
      <c r="H256" s="1191"/>
      <c r="I256" s="1191"/>
      <c r="J256" s="1191"/>
      <c r="K256" s="1191"/>
      <c r="L256" s="1191"/>
      <c r="M256" s="1191"/>
      <c r="N256" s="1182"/>
      <c r="O256" s="1191"/>
      <c r="P256" s="1191"/>
      <c r="Q256" s="1191"/>
      <c r="R256" s="1191"/>
      <c r="S256" s="1182"/>
      <c r="T256" s="1191"/>
      <c r="U256" s="1191"/>
      <c r="V256" s="1191"/>
      <c r="W256" s="1191"/>
      <c r="X256" s="1182"/>
      <c r="Y256" s="1191"/>
      <c r="Z256" s="1191"/>
      <c r="AA256" s="1191"/>
      <c r="AB256" s="1191"/>
      <c r="AC256" s="1191">
        <v>18.399999999999999</v>
      </c>
      <c r="AD256" s="1191"/>
      <c r="AE256" s="1191"/>
      <c r="AF256" s="1191"/>
      <c r="AG256" s="1191"/>
      <c r="AH256" s="1191">
        <v>18.8</v>
      </c>
      <c r="AI256" s="1191"/>
      <c r="AJ256" s="1191"/>
      <c r="AK256" s="1191"/>
      <c r="AL256" s="1191"/>
      <c r="AM256" s="1191">
        <v>24.7</v>
      </c>
      <c r="AN256" s="1191">
        <v>24.7</v>
      </c>
      <c r="AO256" s="1191">
        <v>24.7</v>
      </c>
      <c r="AP256" s="1191"/>
      <c r="AQ256" s="1191"/>
      <c r="AR256" s="1191">
        <v>21.6</v>
      </c>
      <c r="AS256" s="1191"/>
      <c r="AT256" s="1191"/>
      <c r="AU256" s="1191"/>
      <c r="AV256" s="1191"/>
      <c r="AW256" s="1191">
        <v>35.6</v>
      </c>
      <c r="AX256" s="1182"/>
      <c r="AY256" s="1182"/>
      <c r="AZ256" s="1182"/>
      <c r="BA256" s="1182"/>
      <c r="BB256" s="1023">
        <v>37</v>
      </c>
      <c r="BC256" s="1182"/>
      <c r="BD256" s="1182"/>
      <c r="BE256" s="1182"/>
      <c r="BF256" s="1182"/>
      <c r="BG256" s="1182">
        <v>50</v>
      </c>
      <c r="BH256" s="1182"/>
      <c r="BI256" s="1182"/>
      <c r="BJ256" s="1182"/>
      <c r="BK256" s="1182"/>
      <c r="BL256" s="1182"/>
      <c r="BM256" s="1182"/>
      <c r="BN256" s="1182"/>
      <c r="BO256" s="1182"/>
      <c r="BP256" s="1182"/>
      <c r="BQ256" s="1190"/>
      <c r="BR256" s="1190"/>
      <c r="BS256" s="1190"/>
      <c r="BT256" s="1190"/>
      <c r="BU256" s="1190"/>
      <c r="BV256" s="1190"/>
      <c r="BW256" s="1190"/>
      <c r="BX256" s="1190"/>
      <c r="BY256" s="1190"/>
      <c r="BZ256" s="1190"/>
      <c r="CA256" s="1190"/>
      <c r="CB256" s="1240"/>
      <c r="CC256" s="1240"/>
      <c r="CD256" s="1240"/>
      <c r="CE256" s="1240"/>
      <c r="CF256" s="1190"/>
      <c r="CG256" s="1240"/>
      <c r="CH256" s="1240"/>
      <c r="CI256" s="1240"/>
      <c r="CJ256" s="1240"/>
      <c r="CK256" s="1184"/>
      <c r="CL256" s="1240"/>
      <c r="CM256" s="1240"/>
      <c r="CN256" s="1240"/>
      <c r="CO256" s="1240"/>
      <c r="CP256" s="1184"/>
      <c r="CQ256" s="1240"/>
      <c r="CR256" s="1240"/>
      <c r="CS256" s="1240"/>
      <c r="CT256" s="1240"/>
      <c r="CU256" s="1184"/>
      <c r="CV256" s="1240"/>
      <c r="CW256" s="1240"/>
      <c r="CX256" s="1240"/>
      <c r="CY256" s="1240"/>
      <c r="CZ256" s="1184"/>
      <c r="DB256" s="2109"/>
      <c r="DC256" s="2109"/>
    </row>
    <row r="257" spans="1:107" s="1178" customFormat="1" ht="11.25" hidden="1" outlineLevel="1">
      <c r="A257" s="1191"/>
      <c r="B257" s="1191"/>
      <c r="C257" s="1191" t="s">
        <v>922</v>
      </c>
      <c r="D257" s="1191"/>
      <c r="E257" s="1191"/>
      <c r="F257" s="1191"/>
      <c r="G257" s="1191"/>
      <c r="H257" s="1191"/>
      <c r="I257" s="1191"/>
      <c r="J257" s="1191"/>
      <c r="K257" s="1191"/>
      <c r="L257" s="1191"/>
      <c r="M257" s="1191"/>
      <c r="N257" s="1182"/>
      <c r="O257" s="1191"/>
      <c r="P257" s="1191"/>
      <c r="Q257" s="1191"/>
      <c r="R257" s="1191"/>
      <c r="S257" s="1182"/>
      <c r="T257" s="1191"/>
      <c r="U257" s="1191"/>
      <c r="V257" s="1191"/>
      <c r="W257" s="1191"/>
      <c r="X257" s="1182"/>
      <c r="Y257" s="1191"/>
      <c r="Z257" s="1191"/>
      <c r="AA257" s="1191"/>
      <c r="AB257" s="1191"/>
      <c r="AC257" s="1191">
        <v>30.3</v>
      </c>
      <c r="AD257" s="1191"/>
      <c r="AE257" s="1191"/>
      <c r="AF257" s="1191"/>
      <c r="AG257" s="1191"/>
      <c r="AH257" s="1191">
        <v>34.1</v>
      </c>
      <c r="AI257" s="1191"/>
      <c r="AJ257" s="1191"/>
      <c r="AK257" s="1191"/>
      <c r="AL257" s="1191"/>
      <c r="AM257" s="1191">
        <v>26.3</v>
      </c>
      <c r="AN257" s="1191">
        <v>26.3</v>
      </c>
      <c r="AO257" s="1191">
        <v>26.3</v>
      </c>
      <c r="AP257" s="1191"/>
      <c r="AQ257" s="1191"/>
      <c r="AR257" s="1191">
        <v>31.3</v>
      </c>
      <c r="AS257" s="1191"/>
      <c r="AT257" s="1191"/>
      <c r="AU257" s="1191"/>
      <c r="AV257" s="1191"/>
      <c r="AW257" s="1191">
        <v>38.1</v>
      </c>
      <c r="AX257" s="1182"/>
      <c r="AY257" s="1182"/>
      <c r="AZ257" s="1182"/>
      <c r="BA257" s="1182"/>
      <c r="BB257" s="1023">
        <v>27</v>
      </c>
      <c r="BC257" s="1182"/>
      <c r="BD257" s="1182"/>
      <c r="BE257" s="1182"/>
      <c r="BF257" s="1182"/>
      <c r="BG257" s="1182">
        <v>10</v>
      </c>
      <c r="BH257" s="1182"/>
      <c r="BI257" s="1182"/>
      <c r="BJ257" s="1182"/>
      <c r="BK257" s="1182"/>
      <c r="BL257" s="1182"/>
      <c r="BM257" s="1182"/>
      <c r="BN257" s="1182"/>
      <c r="BO257" s="1182"/>
      <c r="BP257" s="1182"/>
      <c r="BQ257" s="1190"/>
      <c r="BR257" s="1190"/>
      <c r="BS257" s="1190"/>
      <c r="BT257" s="1190"/>
      <c r="BU257" s="1190"/>
      <c r="BV257" s="1190"/>
      <c r="BW257" s="1190"/>
      <c r="BX257" s="1190"/>
      <c r="BY257" s="1190"/>
      <c r="BZ257" s="1190"/>
      <c r="CA257" s="1190"/>
      <c r="CB257" s="1240"/>
      <c r="CC257" s="1240"/>
      <c r="CD257" s="1240"/>
      <c r="CE257" s="1240"/>
      <c r="CF257" s="1190"/>
      <c r="CG257" s="1240"/>
      <c r="CH257" s="1240"/>
      <c r="CI257" s="1240"/>
      <c r="CJ257" s="1240"/>
      <c r="CK257" s="1184"/>
      <c r="CL257" s="1240"/>
      <c r="CM257" s="1240"/>
      <c r="CN257" s="1240"/>
      <c r="CO257" s="1240"/>
      <c r="CP257" s="1184"/>
      <c r="CQ257" s="1240"/>
      <c r="CR257" s="1240"/>
      <c r="CS257" s="1240"/>
      <c r="CT257" s="1240"/>
      <c r="CU257" s="1184"/>
      <c r="CV257" s="1240"/>
      <c r="CW257" s="1240"/>
      <c r="CX257" s="1240"/>
      <c r="CY257" s="1240"/>
      <c r="CZ257" s="1184"/>
      <c r="DB257" s="2109"/>
      <c r="DC257" s="2109"/>
    </row>
    <row r="258" spans="1:107" s="1178" customFormat="1" ht="11.25" hidden="1" outlineLevel="1">
      <c r="A258" s="1191"/>
      <c r="B258" s="1191"/>
      <c r="C258" s="1191"/>
      <c r="D258" s="1191"/>
      <c r="E258" s="1191"/>
      <c r="F258" s="1191"/>
      <c r="G258" s="1191"/>
      <c r="H258" s="1191"/>
      <c r="I258" s="1191"/>
      <c r="J258" s="1191"/>
      <c r="K258" s="1191"/>
      <c r="L258" s="1191"/>
      <c r="M258" s="1191"/>
      <c r="N258" s="1182"/>
      <c r="O258" s="1191"/>
      <c r="P258" s="1191"/>
      <c r="Q258" s="1191"/>
      <c r="R258" s="1191"/>
      <c r="S258" s="1182"/>
      <c r="T258" s="1191"/>
      <c r="U258" s="1191"/>
      <c r="V258" s="1191"/>
      <c r="W258" s="1191"/>
      <c r="X258" s="1182"/>
      <c r="Y258" s="1191"/>
      <c r="Z258" s="1191"/>
      <c r="AA258" s="1191"/>
      <c r="AB258" s="1191"/>
      <c r="AC258" s="1191"/>
      <c r="AD258" s="1191"/>
      <c r="AE258" s="1191"/>
      <c r="AF258" s="1191"/>
      <c r="AG258" s="1191"/>
      <c r="AH258" s="1191"/>
      <c r="AI258" s="1191"/>
      <c r="AJ258" s="1191"/>
      <c r="AK258" s="1191"/>
      <c r="AL258" s="1191"/>
      <c r="AM258" s="1191"/>
      <c r="AN258" s="1191"/>
      <c r="AO258" s="1191"/>
      <c r="AP258" s="1191"/>
      <c r="AQ258" s="1191"/>
      <c r="AR258" s="1191"/>
      <c r="AS258" s="1191"/>
      <c r="AT258" s="1191"/>
      <c r="AU258" s="1191"/>
      <c r="AV258" s="1191"/>
      <c r="AW258" s="1191"/>
      <c r="AX258" s="1182"/>
      <c r="AY258" s="1182"/>
      <c r="AZ258" s="1182"/>
      <c r="BA258" s="1182"/>
      <c r="BB258" s="1023"/>
      <c r="BC258" s="1182"/>
      <c r="BD258" s="1182"/>
      <c r="BE258" s="1182"/>
      <c r="BF258" s="1182"/>
      <c r="BG258" s="1182"/>
      <c r="BH258" s="1182"/>
      <c r="BI258" s="1182"/>
      <c r="BJ258" s="1182"/>
      <c r="BK258" s="1182"/>
      <c r="BL258" s="1182"/>
      <c r="BM258" s="1182"/>
      <c r="BN258" s="1182"/>
      <c r="BO258" s="1182"/>
      <c r="BP258" s="1182"/>
      <c r="BQ258" s="1190"/>
      <c r="BR258" s="1190"/>
      <c r="BS258" s="1190"/>
      <c r="BT258" s="1190"/>
      <c r="BU258" s="1190"/>
      <c r="BV258" s="1190"/>
      <c r="BW258" s="1190"/>
      <c r="BX258" s="1190"/>
      <c r="BY258" s="1190"/>
      <c r="BZ258" s="1190"/>
      <c r="CA258" s="1190"/>
      <c r="CB258" s="1240"/>
      <c r="CC258" s="1240"/>
      <c r="CD258" s="1240"/>
      <c r="CE258" s="1240"/>
      <c r="CF258" s="1190"/>
      <c r="CG258" s="1240"/>
      <c r="CH258" s="1240"/>
      <c r="CI258" s="1240"/>
      <c r="CJ258" s="1240"/>
      <c r="CK258" s="1184"/>
      <c r="CL258" s="1240"/>
      <c r="CM258" s="1240"/>
      <c r="CN258" s="1240"/>
      <c r="CO258" s="1240"/>
      <c r="CP258" s="1184"/>
      <c r="CQ258" s="1240"/>
      <c r="CR258" s="1240"/>
      <c r="CS258" s="1240"/>
      <c r="CT258" s="1240"/>
      <c r="CU258" s="1184"/>
      <c r="CV258" s="1240"/>
      <c r="CW258" s="1240"/>
      <c r="CX258" s="1240"/>
      <c r="CY258" s="1240"/>
      <c r="CZ258" s="1184"/>
      <c r="DB258" s="2109"/>
      <c r="DC258" s="2109"/>
    </row>
    <row r="259" spans="1:107" s="1178" customFormat="1" ht="11.25" hidden="1" outlineLevel="1">
      <c r="A259" s="1213"/>
      <c r="B259" s="1213"/>
      <c r="C259" s="1214" t="s">
        <v>1140</v>
      </c>
      <c r="D259" s="1213"/>
      <c r="E259" s="1213"/>
      <c r="F259" s="1191"/>
      <c r="G259" s="1191"/>
      <c r="H259" s="1191"/>
      <c r="I259" s="1191"/>
      <c r="J259" s="1191"/>
      <c r="K259" s="1191"/>
      <c r="L259" s="1191"/>
      <c r="M259" s="1191"/>
      <c r="N259" s="1182"/>
      <c r="O259" s="1191"/>
      <c r="P259" s="1191"/>
      <c r="Q259" s="1191"/>
      <c r="R259" s="1191"/>
      <c r="S259" s="1182"/>
      <c r="T259" s="1191"/>
      <c r="U259" s="1191"/>
      <c r="V259" s="1191"/>
      <c r="W259" s="1191"/>
      <c r="X259" s="1182"/>
      <c r="Y259" s="1191"/>
      <c r="Z259" s="1191"/>
      <c r="AA259" s="1191"/>
      <c r="AB259" s="1191"/>
      <c r="AC259" s="1191"/>
      <c r="AD259" s="1191"/>
      <c r="AE259" s="1191"/>
      <c r="AF259" s="1191"/>
      <c r="AG259" s="1191"/>
      <c r="AH259" s="1191"/>
      <c r="AI259" s="1191"/>
      <c r="AJ259" s="1191"/>
      <c r="AK259" s="1191"/>
      <c r="AL259" s="1191"/>
      <c r="AM259" s="1191"/>
      <c r="AN259" s="1191"/>
      <c r="AO259" s="1191"/>
      <c r="AP259" s="1191"/>
      <c r="AQ259" s="1191"/>
      <c r="AR259" s="1191"/>
      <c r="AS259" s="1191"/>
      <c r="AT259" s="1191"/>
      <c r="AU259" s="1191"/>
      <c r="AV259" s="1191"/>
      <c r="AW259" s="1191"/>
      <c r="AX259" s="1182"/>
      <c r="AY259" s="1182"/>
      <c r="AZ259" s="1182"/>
      <c r="BA259" s="1182"/>
      <c r="BB259" s="1191"/>
      <c r="BC259" s="1182"/>
      <c r="BD259" s="1182"/>
      <c r="BE259" s="1182"/>
      <c r="BF259" s="1182"/>
      <c r="BG259" s="1182"/>
      <c r="BH259" s="1182"/>
      <c r="BI259" s="1182"/>
      <c r="BJ259" s="1182"/>
      <c r="BK259" s="1182"/>
      <c r="BL259" s="1182"/>
      <c r="BM259" s="1182"/>
      <c r="BN259" s="1182"/>
      <c r="BO259" s="1182"/>
      <c r="BP259" s="1182"/>
      <c r="BQ259" s="1190"/>
      <c r="BR259" s="1190"/>
      <c r="BS259" s="1190"/>
      <c r="BT259" s="1190"/>
      <c r="BU259" s="1190"/>
      <c r="BV259" s="1190"/>
      <c r="BW259" s="1190"/>
      <c r="BX259" s="1190"/>
      <c r="BY259" s="1190"/>
      <c r="BZ259" s="1190"/>
      <c r="CA259" s="1190"/>
      <c r="CB259" s="1240"/>
      <c r="CC259" s="1240"/>
      <c r="CD259" s="1240"/>
      <c r="CE259" s="1240"/>
      <c r="CF259" s="1190"/>
      <c r="CG259" s="1240"/>
      <c r="CH259" s="1240"/>
      <c r="CI259" s="1240"/>
      <c r="CJ259" s="1240"/>
      <c r="CK259" s="1184"/>
      <c r="CL259" s="1240"/>
      <c r="CM259" s="1240"/>
      <c r="CN259" s="1240"/>
      <c r="CO259" s="1240"/>
      <c r="CP259" s="1184"/>
      <c r="CQ259" s="1240"/>
      <c r="CR259" s="1240"/>
      <c r="CS259" s="1240"/>
      <c r="CT259" s="1240"/>
      <c r="CU259" s="1184"/>
      <c r="CV259" s="1240"/>
      <c r="CW259" s="1240"/>
      <c r="CX259" s="1240"/>
      <c r="CY259" s="1240"/>
      <c r="CZ259" s="1184"/>
      <c r="DB259" s="2109"/>
      <c r="DC259" s="2109"/>
    </row>
    <row r="260" spans="1:107" s="1178" customFormat="1" ht="11.25" hidden="1" outlineLevel="1">
      <c r="A260" s="1191"/>
      <c r="B260" s="1191"/>
      <c r="C260" s="1182" t="s">
        <v>1139</v>
      </c>
      <c r="D260" s="1191"/>
      <c r="E260" s="1191"/>
      <c r="F260" s="1191"/>
      <c r="G260" s="1191"/>
      <c r="H260" s="1191"/>
      <c r="I260" s="1191"/>
      <c r="J260" s="1191"/>
      <c r="K260" s="1191"/>
      <c r="L260" s="1191"/>
      <c r="M260" s="1191"/>
      <c r="N260" s="1182"/>
      <c r="O260" s="1191"/>
      <c r="P260" s="1191"/>
      <c r="Q260" s="1191"/>
      <c r="R260" s="1191"/>
      <c r="S260" s="1182"/>
      <c r="T260" s="1191"/>
      <c r="U260" s="1191"/>
      <c r="V260" s="1191"/>
      <c r="W260" s="1191"/>
      <c r="X260" s="1182"/>
      <c r="Y260" s="1191"/>
      <c r="Z260" s="1191"/>
      <c r="AA260" s="1191"/>
      <c r="AB260" s="1191"/>
      <c r="AC260" s="1182"/>
      <c r="AD260" s="1191"/>
      <c r="AE260" s="1191"/>
      <c r="AF260" s="1191"/>
      <c r="AG260" s="1191"/>
      <c r="AH260" s="1182"/>
      <c r="AI260" s="1191"/>
      <c r="AJ260" s="1191"/>
      <c r="AK260" s="1191"/>
      <c r="AL260" s="1191"/>
      <c r="AM260" s="1182"/>
      <c r="AN260" s="1191"/>
      <c r="AO260" s="1191"/>
      <c r="AP260" s="1191"/>
      <c r="AQ260" s="1191"/>
      <c r="AR260" s="1182"/>
      <c r="AS260" s="1182"/>
      <c r="AT260" s="1182"/>
      <c r="AU260" s="1182"/>
      <c r="AV260" s="1182"/>
      <c r="AW260" s="1182"/>
      <c r="AX260" s="1182"/>
      <c r="AY260" s="1182"/>
      <c r="AZ260" s="1182"/>
      <c r="BA260" s="1182"/>
      <c r="BB260" s="1191"/>
      <c r="BC260" s="1182"/>
      <c r="BD260" s="1182"/>
      <c r="BE260" s="1182"/>
      <c r="BF260" s="1182"/>
      <c r="BG260" s="1182"/>
      <c r="BH260" s="1182"/>
      <c r="BI260" s="1182"/>
      <c r="BJ260" s="1182"/>
      <c r="BK260" s="1182"/>
      <c r="BL260" s="1182"/>
      <c r="BM260" s="1182"/>
      <c r="BN260" s="1182"/>
      <c r="BO260" s="1182"/>
      <c r="BP260" s="1182"/>
      <c r="BQ260" s="1190"/>
      <c r="BR260" s="1190"/>
      <c r="BS260" s="1190"/>
      <c r="BT260" s="1190"/>
      <c r="BU260" s="1190"/>
      <c r="BV260" s="1190"/>
      <c r="BW260" s="1190"/>
      <c r="BX260" s="1190"/>
      <c r="BY260" s="1190"/>
      <c r="BZ260" s="1190"/>
      <c r="CA260" s="1190"/>
      <c r="CB260" s="1240"/>
      <c r="CC260" s="1240"/>
      <c r="CD260" s="1240"/>
      <c r="CE260" s="1240"/>
      <c r="CF260" s="1190"/>
      <c r="CG260" s="1240"/>
      <c r="CH260" s="1240"/>
      <c r="CI260" s="1240"/>
      <c r="CJ260" s="1240"/>
      <c r="CK260" s="1184"/>
      <c r="CL260" s="1240"/>
      <c r="CM260" s="1240"/>
      <c r="CN260" s="1240"/>
      <c r="CO260" s="1240"/>
      <c r="CP260" s="1184"/>
      <c r="CQ260" s="1240"/>
      <c r="CR260" s="1240"/>
      <c r="CS260" s="1240"/>
      <c r="CT260" s="1240"/>
      <c r="CU260" s="1184"/>
      <c r="CV260" s="1240"/>
      <c r="CW260" s="1240"/>
      <c r="CX260" s="1240"/>
      <c r="CY260" s="1240"/>
      <c r="CZ260" s="1184"/>
      <c r="DB260" s="2109"/>
      <c r="DC260" s="2109"/>
    </row>
    <row r="261" spans="1:107" s="1178" customFormat="1" ht="11.25" hidden="1" outlineLevel="1">
      <c r="A261" s="1191"/>
      <c r="B261" s="1191"/>
      <c r="C261" s="1191" t="s">
        <v>1131</v>
      </c>
      <c r="D261" s="1191"/>
      <c r="E261" s="1191"/>
      <c r="F261" s="1191"/>
      <c r="G261" s="1191"/>
      <c r="H261" s="1191"/>
      <c r="I261" s="1191"/>
      <c r="J261" s="1191"/>
      <c r="K261" s="1191"/>
      <c r="L261" s="1191"/>
      <c r="M261" s="1191"/>
      <c r="N261" s="1182"/>
      <c r="O261" s="1191"/>
      <c r="P261" s="1191"/>
      <c r="Q261" s="1191"/>
      <c r="R261" s="1191"/>
      <c r="S261" s="1182"/>
      <c r="T261" s="1191"/>
      <c r="U261" s="1191"/>
      <c r="V261" s="1191"/>
      <c r="W261" s="1191"/>
      <c r="X261" s="1182"/>
      <c r="Y261" s="1191"/>
      <c r="Z261" s="1191"/>
      <c r="AA261" s="1191"/>
      <c r="AB261" s="1191"/>
      <c r="AC261" s="1182"/>
      <c r="AD261" s="1191"/>
      <c r="AE261" s="1191"/>
      <c r="AF261" s="1191"/>
      <c r="AG261" s="1191"/>
      <c r="AH261" s="1182"/>
      <c r="AI261" s="1191"/>
      <c r="AJ261" s="1191"/>
      <c r="AK261" s="1191"/>
      <c r="AL261" s="1191"/>
      <c r="AM261" s="1182"/>
      <c r="AN261" s="1191"/>
      <c r="AO261" s="1191"/>
      <c r="AP261" s="1191"/>
      <c r="AQ261" s="1191"/>
      <c r="AR261" s="1182"/>
      <c r="AS261" s="1182"/>
      <c r="AT261" s="1182"/>
      <c r="AU261" s="1182"/>
      <c r="AV261" s="1182"/>
      <c r="AW261" s="1182"/>
      <c r="AX261" s="1182"/>
      <c r="AY261" s="1182"/>
      <c r="AZ261" s="1182"/>
      <c r="BA261" s="1182"/>
      <c r="BB261" s="1191">
        <v>25</v>
      </c>
      <c r="BC261" s="1182"/>
      <c r="BD261" s="1182"/>
      <c r="BE261" s="1182"/>
      <c r="BF261" s="1182"/>
      <c r="BG261" s="1182">
        <v>24</v>
      </c>
      <c r="BH261" s="1182"/>
      <c r="BI261" s="1182"/>
      <c r="BJ261" s="1182"/>
      <c r="BK261" s="1182"/>
      <c r="BL261" s="1182"/>
      <c r="BM261" s="1182"/>
      <c r="BN261" s="1182"/>
      <c r="BO261" s="1182"/>
      <c r="BP261" s="1182"/>
      <c r="BQ261" s="1190"/>
      <c r="BR261" s="1190"/>
      <c r="BS261" s="1190"/>
      <c r="BT261" s="1190"/>
      <c r="BU261" s="1190"/>
      <c r="BV261" s="1190"/>
      <c r="BW261" s="1190"/>
      <c r="BX261" s="1190"/>
      <c r="BY261" s="1190"/>
      <c r="BZ261" s="1190"/>
      <c r="CA261" s="1190"/>
      <c r="CB261" s="1240"/>
      <c r="CC261" s="1240"/>
      <c r="CD261" s="1240"/>
      <c r="CE261" s="1240"/>
      <c r="CF261" s="1190"/>
      <c r="CG261" s="1240"/>
      <c r="CH261" s="1240"/>
      <c r="CI261" s="1240"/>
      <c r="CJ261" s="1240"/>
      <c r="CK261" s="1184"/>
      <c r="CL261" s="1240"/>
      <c r="CM261" s="1240"/>
      <c r="CN261" s="1240"/>
      <c r="CO261" s="1240"/>
      <c r="CP261" s="1184"/>
      <c r="CQ261" s="1240"/>
      <c r="CR261" s="1240"/>
      <c r="CS261" s="1240"/>
      <c r="CT261" s="1240"/>
      <c r="CU261" s="1184"/>
      <c r="CV261" s="1240"/>
      <c r="CW261" s="1240"/>
      <c r="CX261" s="1240"/>
      <c r="CY261" s="1240"/>
      <c r="CZ261" s="1184"/>
      <c r="DB261" s="2109"/>
      <c r="DC261" s="2109"/>
    </row>
    <row r="262" spans="1:107" s="1178" customFormat="1" ht="11.25" hidden="1" outlineLevel="1">
      <c r="A262" s="1191"/>
      <c r="B262" s="1191"/>
      <c r="C262" s="1191" t="s">
        <v>1138</v>
      </c>
      <c r="D262" s="1191"/>
      <c r="E262" s="1191"/>
      <c r="F262" s="1191"/>
      <c r="G262" s="1191"/>
      <c r="H262" s="1191"/>
      <c r="I262" s="1191"/>
      <c r="J262" s="1191"/>
      <c r="K262" s="1191"/>
      <c r="L262" s="1191"/>
      <c r="M262" s="1191"/>
      <c r="N262" s="1182"/>
      <c r="O262" s="1191"/>
      <c r="P262" s="1191"/>
      <c r="Q262" s="1191"/>
      <c r="R262" s="1191"/>
      <c r="S262" s="1182"/>
      <c r="T262" s="1191"/>
      <c r="U262" s="1191"/>
      <c r="V262" s="1191"/>
      <c r="W262" s="1191"/>
      <c r="X262" s="1182"/>
      <c r="Y262" s="1191"/>
      <c r="Z262" s="1191"/>
      <c r="AA262" s="1191"/>
      <c r="AB262" s="1191"/>
      <c r="AC262" s="1182"/>
      <c r="AD262" s="1191"/>
      <c r="AE262" s="1191"/>
      <c r="AF262" s="1191"/>
      <c r="AG262" s="1191"/>
      <c r="AH262" s="1182"/>
      <c r="AI262" s="1191"/>
      <c r="AJ262" s="1191"/>
      <c r="AK262" s="1191"/>
      <c r="AL262" s="1191"/>
      <c r="AM262" s="1182"/>
      <c r="AN262" s="1191"/>
      <c r="AO262" s="1191"/>
      <c r="AP262" s="1191"/>
      <c r="AQ262" s="1191"/>
      <c r="AR262" s="1182"/>
      <c r="AS262" s="1182"/>
      <c r="AT262" s="1182"/>
      <c r="AU262" s="1182"/>
      <c r="AV262" s="1182"/>
      <c r="AW262" s="1182"/>
      <c r="AX262" s="1182"/>
      <c r="AY262" s="1182"/>
      <c r="AZ262" s="1182"/>
      <c r="BA262" s="1182"/>
      <c r="BB262" s="1191">
        <v>25</v>
      </c>
      <c r="BC262" s="1182"/>
      <c r="BD262" s="1182"/>
      <c r="BE262" s="1182"/>
      <c r="BF262" s="1182"/>
      <c r="BG262" s="1182">
        <v>26</v>
      </c>
      <c r="BH262" s="1182"/>
      <c r="BI262" s="1182"/>
      <c r="BJ262" s="1182"/>
      <c r="BK262" s="1182"/>
      <c r="BL262" s="1182"/>
      <c r="BM262" s="1182"/>
      <c r="BN262" s="1182"/>
      <c r="BO262" s="1182"/>
      <c r="BP262" s="1182"/>
      <c r="BQ262" s="1190"/>
      <c r="BR262" s="1190"/>
      <c r="BS262" s="1190"/>
      <c r="BT262" s="1190"/>
      <c r="BU262" s="1190"/>
      <c r="BV262" s="1190"/>
      <c r="BW262" s="1190"/>
      <c r="BX262" s="1190"/>
      <c r="BY262" s="1190"/>
      <c r="BZ262" s="1190"/>
      <c r="CA262" s="1190"/>
      <c r="CB262" s="1240"/>
      <c r="CC262" s="1240"/>
      <c r="CD262" s="1240"/>
      <c r="CE262" s="1240"/>
      <c r="CF262" s="1190"/>
      <c r="CG262" s="1240"/>
      <c r="CH262" s="1240"/>
      <c r="CI262" s="1240"/>
      <c r="CJ262" s="1240"/>
      <c r="CK262" s="1184"/>
      <c r="CL262" s="1240"/>
      <c r="CM262" s="1240"/>
      <c r="CN262" s="1240"/>
      <c r="CO262" s="1240"/>
      <c r="CP262" s="1184"/>
      <c r="CQ262" s="1240"/>
      <c r="CR262" s="1240"/>
      <c r="CS262" s="1240"/>
      <c r="CT262" s="1240"/>
      <c r="CU262" s="1184"/>
      <c r="CV262" s="1240"/>
      <c r="CW262" s="1240"/>
      <c r="CX262" s="1240"/>
      <c r="CY262" s="1240"/>
      <c r="CZ262" s="1184"/>
      <c r="DB262" s="2109"/>
      <c r="DC262" s="2109"/>
    </row>
    <row r="263" spans="1:107" s="1178" customFormat="1" ht="11.25" hidden="1" outlineLevel="1">
      <c r="A263" s="1191"/>
      <c r="B263" s="1191"/>
      <c r="C263" s="1191" t="s">
        <v>1137</v>
      </c>
      <c r="D263" s="1191"/>
      <c r="E263" s="1191"/>
      <c r="F263" s="1191"/>
      <c r="G263" s="1191"/>
      <c r="H263" s="1191"/>
      <c r="I263" s="1191"/>
      <c r="J263" s="1191"/>
      <c r="K263" s="1191"/>
      <c r="L263" s="1191"/>
      <c r="M263" s="1191"/>
      <c r="N263" s="1182"/>
      <c r="O263" s="1191"/>
      <c r="P263" s="1191"/>
      <c r="Q263" s="1191"/>
      <c r="R263" s="1191"/>
      <c r="S263" s="1182"/>
      <c r="T263" s="1191"/>
      <c r="U263" s="1191"/>
      <c r="V263" s="1191"/>
      <c r="W263" s="1191"/>
      <c r="X263" s="1182"/>
      <c r="Y263" s="1191"/>
      <c r="Z263" s="1191"/>
      <c r="AA263" s="1191"/>
      <c r="AB263" s="1191"/>
      <c r="AC263" s="1182"/>
      <c r="AD263" s="1191"/>
      <c r="AE263" s="1191"/>
      <c r="AF263" s="1191"/>
      <c r="AG263" s="1191"/>
      <c r="AH263" s="1182"/>
      <c r="AI263" s="1191"/>
      <c r="AJ263" s="1191"/>
      <c r="AK263" s="1191"/>
      <c r="AL263" s="1191"/>
      <c r="AM263" s="1182"/>
      <c r="AN263" s="1191"/>
      <c r="AO263" s="1191"/>
      <c r="AP263" s="1191"/>
      <c r="AQ263" s="1191"/>
      <c r="AR263" s="1182"/>
      <c r="AS263" s="1182"/>
      <c r="AT263" s="1182"/>
      <c r="AU263" s="1182"/>
      <c r="AV263" s="1182"/>
      <c r="AW263" s="1182"/>
      <c r="AX263" s="1182"/>
      <c r="AY263" s="1182"/>
      <c r="AZ263" s="1182"/>
      <c r="BA263" s="1182"/>
      <c r="BB263" s="1191">
        <v>10</v>
      </c>
      <c r="BC263" s="1182"/>
      <c r="BD263" s="1182"/>
      <c r="BE263" s="1182"/>
      <c r="BF263" s="1182"/>
      <c r="BG263" s="1182">
        <v>10</v>
      </c>
      <c r="BH263" s="1182"/>
      <c r="BI263" s="1182"/>
      <c r="BJ263" s="1182"/>
      <c r="BK263" s="1182"/>
      <c r="BL263" s="1182"/>
      <c r="BM263" s="1182"/>
      <c r="BN263" s="1182"/>
      <c r="BO263" s="1182"/>
      <c r="BP263" s="1182"/>
      <c r="BQ263" s="1190"/>
      <c r="BR263" s="1190"/>
      <c r="BS263" s="1190"/>
      <c r="BT263" s="1190"/>
      <c r="BU263" s="1190"/>
      <c r="BV263" s="1190"/>
      <c r="BW263" s="1190"/>
      <c r="BX263" s="1190"/>
      <c r="BY263" s="1190"/>
      <c r="BZ263" s="1190"/>
      <c r="CA263" s="1190"/>
      <c r="CB263" s="1240"/>
      <c r="CC263" s="1240"/>
      <c r="CD263" s="1240"/>
      <c r="CE263" s="1240"/>
      <c r="CF263" s="1190"/>
      <c r="CG263" s="1240"/>
      <c r="CH263" s="1240"/>
      <c r="CI263" s="1240"/>
      <c r="CJ263" s="1240"/>
      <c r="CK263" s="1184"/>
      <c r="CL263" s="1240"/>
      <c r="CM263" s="1240"/>
      <c r="CN263" s="1240"/>
      <c r="CO263" s="1240"/>
      <c r="CP263" s="1184"/>
      <c r="CQ263" s="1240"/>
      <c r="CR263" s="1240"/>
      <c r="CS263" s="1240"/>
      <c r="CT263" s="1240"/>
      <c r="CU263" s="1184"/>
      <c r="CV263" s="1240"/>
      <c r="CW263" s="1240"/>
      <c r="CX263" s="1240"/>
      <c r="CY263" s="1240"/>
      <c r="CZ263" s="1184"/>
      <c r="DB263" s="2109"/>
      <c r="DC263" s="2109"/>
    </row>
    <row r="264" spans="1:107" s="1178" customFormat="1" ht="11.25" hidden="1" outlineLevel="1">
      <c r="A264" s="1191"/>
      <c r="B264" s="1191"/>
      <c r="C264" s="1191" t="s">
        <v>1136</v>
      </c>
      <c r="D264" s="1191"/>
      <c r="E264" s="1191"/>
      <c r="F264" s="1191"/>
      <c r="G264" s="1191"/>
      <c r="H264" s="1191"/>
      <c r="I264" s="1191"/>
      <c r="J264" s="1191"/>
      <c r="K264" s="1191"/>
      <c r="L264" s="1191"/>
      <c r="M264" s="1191"/>
      <c r="N264" s="1182"/>
      <c r="O264" s="1191"/>
      <c r="P264" s="1191"/>
      <c r="Q264" s="1191"/>
      <c r="R264" s="1191"/>
      <c r="S264" s="1182"/>
      <c r="T264" s="1191"/>
      <c r="U264" s="1191"/>
      <c r="V264" s="1191"/>
      <c r="W264" s="1191"/>
      <c r="X264" s="1182"/>
      <c r="Y264" s="1191"/>
      <c r="Z264" s="1191"/>
      <c r="AA264" s="1191"/>
      <c r="AB264" s="1191"/>
      <c r="AC264" s="1182"/>
      <c r="AD264" s="1191"/>
      <c r="AE264" s="1191"/>
      <c r="AF264" s="1191"/>
      <c r="AG264" s="1191"/>
      <c r="AH264" s="1182"/>
      <c r="AI264" s="1191"/>
      <c r="AJ264" s="1191"/>
      <c r="AK264" s="1191"/>
      <c r="AL264" s="1191"/>
      <c r="AM264" s="1182"/>
      <c r="AN264" s="1191"/>
      <c r="AO264" s="1191"/>
      <c r="AP264" s="1191"/>
      <c r="AQ264" s="1191"/>
      <c r="AR264" s="1182"/>
      <c r="AS264" s="1182"/>
      <c r="AT264" s="1182"/>
      <c r="AU264" s="1182"/>
      <c r="AV264" s="1182"/>
      <c r="AW264" s="1182"/>
      <c r="AX264" s="1182"/>
      <c r="AY264" s="1182"/>
      <c r="AZ264" s="1182"/>
      <c r="BA264" s="1182"/>
      <c r="BB264" s="1191">
        <v>10</v>
      </c>
      <c r="BC264" s="1182"/>
      <c r="BD264" s="1182"/>
      <c r="BE264" s="1182"/>
      <c r="BF264" s="1182"/>
      <c r="BG264" s="1182">
        <v>10</v>
      </c>
      <c r="BH264" s="1182"/>
      <c r="BI264" s="1182"/>
      <c r="BJ264" s="1182"/>
      <c r="BK264" s="1182"/>
      <c r="BL264" s="1182"/>
      <c r="BM264" s="1182"/>
      <c r="BN264" s="1182"/>
      <c r="BO264" s="1182"/>
      <c r="BP264" s="1182"/>
      <c r="BQ264" s="1190"/>
      <c r="BR264" s="1190"/>
      <c r="BS264" s="1190"/>
      <c r="BT264" s="1190"/>
      <c r="BU264" s="1190"/>
      <c r="BV264" s="1190"/>
      <c r="BW264" s="1190"/>
      <c r="BX264" s="1190"/>
      <c r="BY264" s="1190"/>
      <c r="BZ264" s="1190"/>
      <c r="CA264" s="1190"/>
      <c r="CB264" s="1240"/>
      <c r="CC264" s="1240"/>
      <c r="CD264" s="1240"/>
      <c r="CE264" s="1240"/>
      <c r="CF264" s="1190"/>
      <c r="CG264" s="1240"/>
      <c r="CH264" s="1240"/>
      <c r="CI264" s="1240"/>
      <c r="CJ264" s="1240"/>
      <c r="CK264" s="1184"/>
      <c r="CL264" s="1240"/>
      <c r="CM264" s="1240"/>
      <c r="CN264" s="1240"/>
      <c r="CO264" s="1240"/>
      <c r="CP264" s="1184"/>
      <c r="CQ264" s="1240"/>
      <c r="CR264" s="1240"/>
      <c r="CS264" s="1240"/>
      <c r="CT264" s="1240"/>
      <c r="CU264" s="1184"/>
      <c r="CV264" s="1240"/>
      <c r="CW264" s="1240"/>
      <c r="CX264" s="1240"/>
      <c r="CY264" s="1240"/>
      <c r="CZ264" s="1184"/>
      <c r="DB264" s="2109"/>
      <c r="DC264" s="2109"/>
    </row>
    <row r="265" spans="1:107" s="1178" customFormat="1" ht="11.25" hidden="1" outlineLevel="1">
      <c r="A265" s="1191"/>
      <c r="B265" s="1191"/>
      <c r="C265" s="1191" t="s">
        <v>1135</v>
      </c>
      <c r="D265" s="1191"/>
      <c r="E265" s="1191"/>
      <c r="F265" s="1191"/>
      <c r="G265" s="1191"/>
      <c r="H265" s="1191"/>
      <c r="I265" s="1191"/>
      <c r="J265" s="1191"/>
      <c r="K265" s="1191"/>
      <c r="L265" s="1191"/>
      <c r="M265" s="1191"/>
      <c r="N265" s="1182"/>
      <c r="O265" s="1191"/>
      <c r="P265" s="1191"/>
      <c r="Q265" s="1191"/>
      <c r="R265" s="1191"/>
      <c r="S265" s="1182"/>
      <c r="T265" s="1191"/>
      <c r="U265" s="1191"/>
      <c r="V265" s="1191"/>
      <c r="W265" s="1191"/>
      <c r="X265" s="1182"/>
      <c r="Y265" s="1191"/>
      <c r="Z265" s="1191"/>
      <c r="AA265" s="1191"/>
      <c r="AB265" s="1191"/>
      <c r="AC265" s="1182"/>
      <c r="AD265" s="1191"/>
      <c r="AE265" s="1191"/>
      <c r="AF265" s="1191"/>
      <c r="AG265" s="1191"/>
      <c r="AH265" s="1182"/>
      <c r="AI265" s="1191"/>
      <c r="AJ265" s="1191"/>
      <c r="AK265" s="1191"/>
      <c r="AL265" s="1191"/>
      <c r="AM265" s="1182"/>
      <c r="AN265" s="1191"/>
      <c r="AO265" s="1191"/>
      <c r="AP265" s="1191"/>
      <c r="AQ265" s="1191"/>
      <c r="AR265" s="1182"/>
      <c r="AS265" s="1182"/>
      <c r="AT265" s="1182"/>
      <c r="AU265" s="1182"/>
      <c r="AV265" s="1182"/>
      <c r="AW265" s="1182"/>
      <c r="AX265" s="1182"/>
      <c r="AY265" s="1182"/>
      <c r="AZ265" s="1182"/>
      <c r="BA265" s="1182"/>
      <c r="BB265" s="1191">
        <v>30</v>
      </c>
      <c r="BC265" s="1182"/>
      <c r="BD265" s="1182"/>
      <c r="BE265" s="1182"/>
      <c r="BF265" s="1182"/>
      <c r="BG265" s="1182">
        <v>30</v>
      </c>
      <c r="BH265" s="1182"/>
      <c r="BI265" s="1182"/>
      <c r="BJ265" s="1182"/>
      <c r="BK265" s="1182"/>
      <c r="BL265" s="1182"/>
      <c r="BM265" s="1182"/>
      <c r="BN265" s="1182"/>
      <c r="BO265" s="1182"/>
      <c r="BP265" s="1182"/>
      <c r="BQ265" s="1190"/>
      <c r="BR265" s="1190"/>
      <c r="BS265" s="1190"/>
      <c r="BT265" s="1190"/>
      <c r="BU265" s="1190"/>
      <c r="BV265" s="1190"/>
      <c r="BW265" s="1190"/>
      <c r="BX265" s="1190"/>
      <c r="BY265" s="1190"/>
      <c r="BZ265" s="1190"/>
      <c r="CA265" s="1190"/>
      <c r="CB265" s="1240"/>
      <c r="CC265" s="1240"/>
      <c r="CD265" s="1240"/>
      <c r="CE265" s="1240"/>
      <c r="CF265" s="1190"/>
      <c r="CG265" s="1240"/>
      <c r="CH265" s="1240"/>
      <c r="CI265" s="1240"/>
      <c r="CJ265" s="1240"/>
      <c r="CK265" s="1184"/>
      <c r="CL265" s="1240"/>
      <c r="CM265" s="1240"/>
      <c r="CN265" s="1240"/>
      <c r="CO265" s="1240"/>
      <c r="CP265" s="1184"/>
      <c r="CQ265" s="1240"/>
      <c r="CR265" s="1240"/>
      <c r="CS265" s="1240"/>
      <c r="CT265" s="1240"/>
      <c r="CU265" s="1184"/>
      <c r="CV265" s="1240"/>
      <c r="CW265" s="1240"/>
      <c r="CX265" s="1240"/>
      <c r="CY265" s="1240"/>
      <c r="CZ265" s="1184"/>
      <c r="DB265" s="2109"/>
      <c r="DC265" s="2109"/>
    </row>
    <row r="266" spans="1:107" s="1178" customFormat="1" ht="11.25" hidden="1" outlineLevel="1">
      <c r="A266" s="1191"/>
      <c r="B266" s="1191"/>
      <c r="C266" s="1191"/>
      <c r="D266" s="1191"/>
      <c r="E266" s="1191"/>
      <c r="F266" s="1191"/>
      <c r="G266" s="1191"/>
      <c r="H266" s="1191"/>
      <c r="I266" s="1191"/>
      <c r="J266" s="1191"/>
      <c r="K266" s="1191"/>
      <c r="L266" s="1191"/>
      <c r="M266" s="1191"/>
      <c r="N266" s="1182"/>
      <c r="O266" s="1191"/>
      <c r="P266" s="1191"/>
      <c r="Q266" s="1191"/>
      <c r="R266" s="1191"/>
      <c r="S266" s="1182"/>
      <c r="T266" s="1191"/>
      <c r="U266" s="1191"/>
      <c r="V266" s="1191"/>
      <c r="W266" s="1191"/>
      <c r="X266" s="1182"/>
      <c r="Y266" s="1191"/>
      <c r="Z266" s="1191"/>
      <c r="AA266" s="1191"/>
      <c r="AB266" s="1191"/>
      <c r="AC266" s="1182"/>
      <c r="AD266" s="1191"/>
      <c r="AE266" s="1191"/>
      <c r="AF266" s="1191"/>
      <c r="AG266" s="1191"/>
      <c r="AH266" s="1182"/>
      <c r="AI266" s="1191"/>
      <c r="AJ266" s="1191"/>
      <c r="AK266" s="1191"/>
      <c r="AL266" s="1191"/>
      <c r="AM266" s="1182"/>
      <c r="AN266" s="1191"/>
      <c r="AO266" s="1191"/>
      <c r="AP266" s="1191"/>
      <c r="AQ266" s="1191"/>
      <c r="AR266" s="1182"/>
      <c r="AS266" s="1182"/>
      <c r="AT266" s="1182"/>
      <c r="AU266" s="1182"/>
      <c r="AV266" s="1182"/>
      <c r="AW266" s="1182"/>
      <c r="AX266" s="1182"/>
      <c r="AY266" s="1182"/>
      <c r="AZ266" s="1182"/>
      <c r="BA266" s="1182"/>
      <c r="BB266" s="1191"/>
      <c r="BC266" s="1182"/>
      <c r="BD266" s="1182"/>
      <c r="BE266" s="1182"/>
      <c r="BF266" s="1182"/>
      <c r="BG266" s="1182"/>
      <c r="BH266" s="1182"/>
      <c r="BI266" s="1182"/>
      <c r="BJ266" s="1182"/>
      <c r="BK266" s="1182"/>
      <c r="BL266" s="1182"/>
      <c r="BM266" s="1182"/>
      <c r="BN266" s="1182"/>
      <c r="BO266" s="1182"/>
      <c r="BP266" s="1182"/>
      <c r="BQ266" s="1190"/>
      <c r="BR266" s="1190"/>
      <c r="BS266" s="1190"/>
      <c r="BT266" s="1190"/>
      <c r="BU266" s="1190"/>
      <c r="BV266" s="1190"/>
      <c r="BW266" s="1190"/>
      <c r="BX266" s="1190"/>
      <c r="BY266" s="1190"/>
      <c r="BZ266" s="1190"/>
      <c r="CA266" s="1190"/>
      <c r="CB266" s="1240"/>
      <c r="CC266" s="1240"/>
      <c r="CD266" s="1240"/>
      <c r="CE266" s="1240"/>
      <c r="CF266" s="1190"/>
      <c r="CG266" s="1240"/>
      <c r="CH266" s="1240"/>
      <c r="CI266" s="1240"/>
      <c r="CJ266" s="1240"/>
      <c r="CK266" s="1184"/>
      <c r="CL266" s="1240"/>
      <c r="CM266" s="1240"/>
      <c r="CN266" s="1240"/>
      <c r="CO266" s="1240"/>
      <c r="CP266" s="1184"/>
      <c r="CQ266" s="1240"/>
      <c r="CR266" s="1240"/>
      <c r="CS266" s="1240"/>
      <c r="CT266" s="1240"/>
      <c r="CU266" s="1184"/>
      <c r="CV266" s="1240"/>
      <c r="CW266" s="1240"/>
      <c r="CX266" s="1240"/>
      <c r="CY266" s="1240"/>
      <c r="CZ266" s="1184"/>
      <c r="DB266" s="2109"/>
      <c r="DC266" s="2109"/>
    </row>
    <row r="267" spans="1:107" s="1178" customFormat="1" ht="11.25" hidden="1" outlineLevel="1">
      <c r="A267" s="1191"/>
      <c r="B267" s="1191"/>
      <c r="C267" s="1182" t="s">
        <v>1134</v>
      </c>
      <c r="D267" s="1191"/>
      <c r="E267" s="1191"/>
      <c r="F267" s="1191"/>
      <c r="G267" s="1191"/>
      <c r="H267" s="1191"/>
      <c r="I267" s="1191"/>
      <c r="J267" s="1191"/>
      <c r="K267" s="1191"/>
      <c r="L267" s="1191"/>
      <c r="M267" s="1191"/>
      <c r="N267" s="1182"/>
      <c r="O267" s="1191"/>
      <c r="P267" s="1191"/>
      <c r="Q267" s="1191"/>
      <c r="R267" s="1191"/>
      <c r="S267" s="1182"/>
      <c r="T267" s="1191"/>
      <c r="U267" s="1191"/>
      <c r="V267" s="1191"/>
      <c r="W267" s="1191"/>
      <c r="X267" s="1182"/>
      <c r="Y267" s="1191"/>
      <c r="Z267" s="1191"/>
      <c r="AA267" s="1191"/>
      <c r="AB267" s="1191"/>
      <c r="AC267" s="1182"/>
      <c r="AD267" s="1191"/>
      <c r="AE267" s="1191"/>
      <c r="AF267" s="1191"/>
      <c r="AG267" s="1191"/>
      <c r="AH267" s="1182"/>
      <c r="AI267" s="1191"/>
      <c r="AJ267" s="1191"/>
      <c r="AK267" s="1191"/>
      <c r="AL267" s="1191"/>
      <c r="AM267" s="1182"/>
      <c r="AN267" s="1191"/>
      <c r="AO267" s="1191"/>
      <c r="AP267" s="1191"/>
      <c r="AQ267" s="1191"/>
      <c r="AR267" s="1182"/>
      <c r="AS267" s="1182"/>
      <c r="AT267" s="1182"/>
      <c r="AU267" s="1182"/>
      <c r="AV267" s="1182"/>
      <c r="AW267" s="1182"/>
      <c r="AX267" s="1182"/>
      <c r="AY267" s="1182"/>
      <c r="AZ267" s="1182"/>
      <c r="BA267" s="1182"/>
      <c r="BB267" s="1191"/>
      <c r="BC267" s="1182"/>
      <c r="BD267" s="1182"/>
      <c r="BE267" s="1182"/>
      <c r="BF267" s="1182"/>
      <c r="BG267" s="1182"/>
      <c r="BH267" s="1182"/>
      <c r="BI267" s="1182"/>
      <c r="BJ267" s="1182"/>
      <c r="BK267" s="1182"/>
      <c r="BL267" s="1182"/>
      <c r="BM267" s="1182"/>
      <c r="BN267" s="1182"/>
      <c r="BO267" s="1182"/>
      <c r="BP267" s="1182"/>
      <c r="BQ267" s="1190"/>
      <c r="BR267" s="1190"/>
      <c r="BS267" s="1190"/>
      <c r="BT267" s="1190"/>
      <c r="BU267" s="1190"/>
      <c r="BV267" s="1190"/>
      <c r="BW267" s="1190"/>
      <c r="BX267" s="1190"/>
      <c r="BY267" s="1190"/>
      <c r="BZ267" s="1190"/>
      <c r="CA267" s="1190"/>
      <c r="CB267" s="1240"/>
      <c r="CC267" s="1240"/>
      <c r="CD267" s="1240"/>
      <c r="CE267" s="1240"/>
      <c r="CF267" s="1190"/>
      <c r="CG267" s="1240"/>
      <c r="CH267" s="1240"/>
      <c r="CI267" s="1240"/>
      <c r="CJ267" s="1240"/>
      <c r="CK267" s="1184"/>
      <c r="CL267" s="1240"/>
      <c r="CM267" s="1240"/>
      <c r="CN267" s="1240"/>
      <c r="CO267" s="1240"/>
      <c r="CP267" s="1184"/>
      <c r="CQ267" s="1240"/>
      <c r="CR267" s="1240"/>
      <c r="CS267" s="1240"/>
      <c r="CT267" s="1240"/>
      <c r="CU267" s="1184"/>
      <c r="CV267" s="1240"/>
      <c r="CW267" s="1240"/>
      <c r="CX267" s="1240"/>
      <c r="CY267" s="1240"/>
      <c r="CZ267" s="1184"/>
      <c r="DB267" s="2109"/>
      <c r="DC267" s="2109"/>
    </row>
    <row r="268" spans="1:107" s="1178" customFormat="1" ht="11.25" hidden="1" outlineLevel="1">
      <c r="A268" s="1191"/>
      <c r="B268" s="1191"/>
      <c r="C268" s="1191" t="s">
        <v>649</v>
      </c>
      <c r="D268" s="1191"/>
      <c r="E268" s="1191"/>
      <c r="F268" s="1191"/>
      <c r="G268" s="1191"/>
      <c r="H268" s="1191"/>
      <c r="I268" s="1191"/>
      <c r="J268" s="1191"/>
      <c r="K268" s="1191"/>
      <c r="L268" s="1191"/>
      <c r="M268" s="1191"/>
      <c r="N268" s="1182"/>
      <c r="O268" s="1191"/>
      <c r="P268" s="1191"/>
      <c r="Q268" s="1191"/>
      <c r="R268" s="1191"/>
      <c r="S268" s="1182"/>
      <c r="T268" s="1191"/>
      <c r="U268" s="1191"/>
      <c r="V268" s="1191"/>
      <c r="W268" s="1191"/>
      <c r="X268" s="1182"/>
      <c r="Y268" s="1191"/>
      <c r="Z268" s="1191"/>
      <c r="AA268" s="1191"/>
      <c r="AB268" s="1191"/>
      <c r="AC268" s="1182"/>
      <c r="AD268" s="1191"/>
      <c r="AE268" s="1191"/>
      <c r="AF268" s="1191"/>
      <c r="AG268" s="1191"/>
      <c r="AH268" s="1182"/>
      <c r="AI268" s="1191"/>
      <c r="AJ268" s="1191"/>
      <c r="AK268" s="1191"/>
      <c r="AL268" s="1191"/>
      <c r="AM268" s="1182"/>
      <c r="AN268" s="1191"/>
      <c r="AO268" s="1191"/>
      <c r="AP268" s="1191"/>
      <c r="AQ268" s="1191"/>
      <c r="AR268" s="1182"/>
      <c r="AS268" s="1182"/>
      <c r="AT268" s="1182"/>
      <c r="AU268" s="1182"/>
      <c r="AV268" s="1182"/>
      <c r="AW268" s="1182"/>
      <c r="AX268" s="1182"/>
      <c r="AY268" s="1182"/>
      <c r="AZ268" s="1182"/>
      <c r="BA268" s="1182"/>
      <c r="BB268" s="1023">
        <v>45</v>
      </c>
      <c r="BC268" s="1182"/>
      <c r="BD268" s="1182"/>
      <c r="BE268" s="1182"/>
      <c r="BF268" s="1182"/>
      <c r="BG268" s="1182">
        <v>45</v>
      </c>
      <c r="BH268" s="1182"/>
      <c r="BI268" s="1182"/>
      <c r="BJ268" s="1182"/>
      <c r="BK268" s="1182"/>
      <c r="BL268" s="1182"/>
      <c r="BM268" s="1182"/>
      <c r="BN268" s="1182"/>
      <c r="BO268" s="1182"/>
      <c r="BP268" s="1182"/>
      <c r="BQ268" s="1190"/>
      <c r="BR268" s="1190"/>
      <c r="BS268" s="1190"/>
      <c r="BT268" s="1190"/>
      <c r="BU268" s="1190"/>
      <c r="BV268" s="1190"/>
      <c r="BW268" s="1190"/>
      <c r="BX268" s="1190"/>
      <c r="BY268" s="1190"/>
      <c r="BZ268" s="1190"/>
      <c r="CA268" s="1190"/>
      <c r="CB268" s="1240"/>
      <c r="CC268" s="1240"/>
      <c r="CD268" s="1240"/>
      <c r="CE268" s="1240"/>
      <c r="CF268" s="1190"/>
      <c r="CG268" s="1240"/>
      <c r="CH268" s="1240"/>
      <c r="CI268" s="1240"/>
      <c r="CJ268" s="1240"/>
      <c r="CK268" s="1184"/>
      <c r="CL268" s="1240"/>
      <c r="CM268" s="1240"/>
      <c r="CN268" s="1240"/>
      <c r="CO268" s="1240"/>
      <c r="CP268" s="1184"/>
      <c r="CQ268" s="1240"/>
      <c r="CR268" s="1240"/>
      <c r="CS268" s="1240"/>
      <c r="CT268" s="1240"/>
      <c r="CU268" s="1184"/>
      <c r="CV268" s="1240"/>
      <c r="CW268" s="1240"/>
      <c r="CX268" s="1240"/>
      <c r="CY268" s="1240"/>
      <c r="CZ268" s="1184"/>
      <c r="DB268" s="2109"/>
      <c r="DC268" s="2109"/>
    </row>
    <row r="269" spans="1:107" s="1178" customFormat="1" ht="11.25" hidden="1" outlineLevel="1">
      <c r="A269" s="1191"/>
      <c r="B269" s="1191"/>
      <c r="C269" s="1191" t="s">
        <v>1090</v>
      </c>
      <c r="D269" s="1191"/>
      <c r="E269" s="1191"/>
      <c r="F269" s="1191"/>
      <c r="G269" s="1191"/>
      <c r="H269" s="1191"/>
      <c r="I269" s="1191"/>
      <c r="J269" s="1191"/>
      <c r="K269" s="1191"/>
      <c r="L269" s="1191"/>
      <c r="M269" s="1191"/>
      <c r="N269" s="1182"/>
      <c r="O269" s="1191"/>
      <c r="P269" s="1191"/>
      <c r="Q269" s="1191"/>
      <c r="R269" s="1191"/>
      <c r="S269" s="1182"/>
      <c r="T269" s="1191"/>
      <c r="U269" s="1191"/>
      <c r="V269" s="1191"/>
      <c r="W269" s="1191"/>
      <c r="X269" s="1182"/>
      <c r="Y269" s="1191"/>
      <c r="Z269" s="1191"/>
      <c r="AA269" s="1191"/>
      <c r="AB269" s="1191"/>
      <c r="AC269" s="1182"/>
      <c r="AD269" s="1191"/>
      <c r="AE269" s="1191"/>
      <c r="AF269" s="1191"/>
      <c r="AG269" s="1191"/>
      <c r="AH269" s="1182"/>
      <c r="AI269" s="1191"/>
      <c r="AJ269" s="1191"/>
      <c r="AK269" s="1191"/>
      <c r="AL269" s="1191"/>
      <c r="AM269" s="1182"/>
      <c r="AN269" s="1191"/>
      <c r="AO269" s="1191"/>
      <c r="AP269" s="1191"/>
      <c r="AQ269" s="1191"/>
      <c r="AR269" s="1182"/>
      <c r="AS269" s="1182"/>
      <c r="AT269" s="1182"/>
      <c r="AU269" s="1182"/>
      <c r="AV269" s="1182"/>
      <c r="AW269" s="1182"/>
      <c r="AX269" s="1182"/>
      <c r="AY269" s="1182"/>
      <c r="AZ269" s="1182"/>
      <c r="BA269" s="1182"/>
      <c r="BB269" s="1023">
        <v>55</v>
      </c>
      <c r="BC269" s="1182"/>
      <c r="BD269" s="1182"/>
      <c r="BE269" s="1182"/>
      <c r="BF269" s="1182"/>
      <c r="BG269" s="1182">
        <v>55</v>
      </c>
      <c r="BH269" s="1182"/>
      <c r="BI269" s="1182"/>
      <c r="BJ269" s="1182"/>
      <c r="BK269" s="1182"/>
      <c r="BL269" s="1182"/>
      <c r="BM269" s="1182"/>
      <c r="BN269" s="1182"/>
      <c r="BO269" s="1182"/>
      <c r="BP269" s="1182"/>
      <c r="BQ269" s="1190"/>
      <c r="BR269" s="1190"/>
      <c r="BS269" s="1190"/>
      <c r="BT269" s="1190"/>
      <c r="BU269" s="1190"/>
      <c r="BV269" s="1190"/>
      <c r="BW269" s="1190"/>
      <c r="BX269" s="1190"/>
      <c r="BY269" s="1190"/>
      <c r="BZ269" s="1190"/>
      <c r="CA269" s="1190"/>
      <c r="CB269" s="1240"/>
      <c r="CC269" s="1240"/>
      <c r="CD269" s="1240"/>
      <c r="CE269" s="1240"/>
      <c r="CF269" s="1190"/>
      <c r="CG269" s="1240"/>
      <c r="CH269" s="1240"/>
      <c r="CI269" s="1240"/>
      <c r="CJ269" s="1240"/>
      <c r="CK269" s="1184"/>
      <c r="CL269" s="1240"/>
      <c r="CM269" s="1240"/>
      <c r="CN269" s="1240"/>
      <c r="CO269" s="1240"/>
      <c r="CP269" s="1184"/>
      <c r="CQ269" s="1240"/>
      <c r="CR269" s="1240"/>
      <c r="CS269" s="1240"/>
      <c r="CT269" s="1240"/>
      <c r="CU269" s="1184"/>
      <c r="CV269" s="1240"/>
      <c r="CW269" s="1240"/>
      <c r="CX269" s="1240"/>
      <c r="CY269" s="1240"/>
      <c r="CZ269" s="1184"/>
      <c r="DB269" s="2109"/>
      <c r="DC269" s="2109"/>
    </row>
    <row r="270" spans="1:107" s="1178" customFormat="1" ht="11.25" hidden="1" outlineLevel="1">
      <c r="A270" s="1191"/>
      <c r="B270" s="1191"/>
      <c r="C270" s="1191"/>
      <c r="D270" s="1191"/>
      <c r="E270" s="1191"/>
      <c r="F270" s="1191"/>
      <c r="G270" s="1191"/>
      <c r="H270" s="1191"/>
      <c r="I270" s="1191"/>
      <c r="J270" s="1191"/>
      <c r="K270" s="1191"/>
      <c r="L270" s="1191"/>
      <c r="M270" s="1191"/>
      <c r="N270" s="1182"/>
      <c r="O270" s="1191"/>
      <c r="P270" s="1191"/>
      <c r="Q270" s="1191"/>
      <c r="R270" s="1191"/>
      <c r="S270" s="1182"/>
      <c r="T270" s="1191"/>
      <c r="U270" s="1191"/>
      <c r="V270" s="1191"/>
      <c r="W270" s="1191"/>
      <c r="X270" s="1182"/>
      <c r="Y270" s="1191"/>
      <c r="Z270" s="1191"/>
      <c r="AA270" s="1191"/>
      <c r="AB270" s="1191"/>
      <c r="AC270" s="1182"/>
      <c r="AD270" s="1191"/>
      <c r="AE270" s="1191"/>
      <c r="AF270" s="1191"/>
      <c r="AG270" s="1191"/>
      <c r="AH270" s="1182"/>
      <c r="AI270" s="1191"/>
      <c r="AJ270" s="1191"/>
      <c r="AK270" s="1191"/>
      <c r="AL270" s="1191"/>
      <c r="AM270" s="1182"/>
      <c r="AN270" s="1191"/>
      <c r="AO270" s="1191"/>
      <c r="AP270" s="1191"/>
      <c r="AQ270" s="1191"/>
      <c r="AR270" s="1182"/>
      <c r="AS270" s="1182"/>
      <c r="AT270" s="1182"/>
      <c r="AU270" s="1182"/>
      <c r="AV270" s="1182"/>
      <c r="AW270" s="1182"/>
      <c r="AX270" s="1182"/>
      <c r="AY270" s="1182"/>
      <c r="AZ270" s="1182"/>
      <c r="BA270" s="1182"/>
      <c r="BB270" s="1191"/>
      <c r="BC270" s="1182"/>
      <c r="BD270" s="1182"/>
      <c r="BE270" s="1182"/>
      <c r="BF270" s="1182"/>
      <c r="BG270" s="1182"/>
      <c r="BH270" s="1182"/>
      <c r="BI270" s="1182"/>
      <c r="BJ270" s="1182"/>
      <c r="BK270" s="1182"/>
      <c r="BL270" s="1182"/>
      <c r="BM270" s="1182"/>
      <c r="BN270" s="1182"/>
      <c r="BO270" s="1182"/>
      <c r="BP270" s="1182"/>
      <c r="BQ270" s="1190"/>
      <c r="BR270" s="1190"/>
      <c r="BS270" s="1190"/>
      <c r="BT270" s="1190"/>
      <c r="BU270" s="1190"/>
      <c r="BV270" s="1190"/>
      <c r="BW270" s="1190"/>
      <c r="BX270" s="1190"/>
      <c r="BY270" s="1190"/>
      <c r="BZ270" s="1190"/>
      <c r="CA270" s="1190"/>
      <c r="CB270" s="1240"/>
      <c r="CC270" s="1240"/>
      <c r="CD270" s="1240"/>
      <c r="CE270" s="1240"/>
      <c r="CF270" s="1190"/>
      <c r="CG270" s="1240"/>
      <c r="CH270" s="1240"/>
      <c r="CI270" s="1240"/>
      <c r="CJ270" s="1240"/>
      <c r="CK270" s="1184"/>
      <c r="CL270" s="1240"/>
      <c r="CM270" s="1240"/>
      <c r="CN270" s="1240"/>
      <c r="CO270" s="1240"/>
      <c r="CP270" s="1184"/>
      <c r="CQ270" s="1240"/>
      <c r="CR270" s="1240"/>
      <c r="CS270" s="1240"/>
      <c r="CT270" s="1240"/>
      <c r="CU270" s="1184"/>
      <c r="CV270" s="1240"/>
      <c r="CW270" s="1240"/>
      <c r="CX270" s="1240"/>
      <c r="CY270" s="1240"/>
      <c r="CZ270" s="1184"/>
      <c r="DB270" s="2109"/>
      <c r="DC270" s="2109"/>
    </row>
    <row r="271" spans="1:107" s="1178" customFormat="1" ht="11.25" hidden="1" outlineLevel="1">
      <c r="A271" s="1191"/>
      <c r="B271" s="1191"/>
      <c r="C271" s="1182" t="s">
        <v>1133</v>
      </c>
      <c r="D271" s="1191"/>
      <c r="E271" s="1191"/>
      <c r="F271" s="1191"/>
      <c r="G271" s="1191"/>
      <c r="H271" s="1191"/>
      <c r="I271" s="1191"/>
      <c r="J271" s="1191"/>
      <c r="K271" s="1191"/>
      <c r="L271" s="1191"/>
      <c r="M271" s="1191"/>
      <c r="N271" s="1182"/>
      <c r="O271" s="1191"/>
      <c r="P271" s="1191"/>
      <c r="Q271" s="1191"/>
      <c r="R271" s="1191"/>
      <c r="S271" s="1182"/>
      <c r="T271" s="1191"/>
      <c r="U271" s="1191"/>
      <c r="V271" s="1191"/>
      <c r="W271" s="1191"/>
      <c r="X271" s="1182"/>
      <c r="Y271" s="1191"/>
      <c r="Z271" s="1191"/>
      <c r="AA271" s="1191"/>
      <c r="AB271" s="1191"/>
      <c r="AC271" s="1182"/>
      <c r="AD271" s="1191"/>
      <c r="AE271" s="1191"/>
      <c r="AF271" s="1191"/>
      <c r="AG271" s="1191"/>
      <c r="AH271" s="1182"/>
      <c r="AI271" s="1191"/>
      <c r="AJ271" s="1191"/>
      <c r="AK271" s="1191"/>
      <c r="AL271" s="1191"/>
      <c r="AM271" s="1182"/>
      <c r="AN271" s="1191"/>
      <c r="AO271" s="1191"/>
      <c r="AP271" s="1191"/>
      <c r="AQ271" s="1191"/>
      <c r="AR271" s="1182"/>
      <c r="AS271" s="1182"/>
      <c r="AT271" s="1182"/>
      <c r="AU271" s="1182"/>
      <c r="AV271" s="1182"/>
      <c r="AW271" s="1182"/>
      <c r="AX271" s="1182"/>
      <c r="AY271" s="1182"/>
      <c r="AZ271" s="1182"/>
      <c r="BA271" s="1182"/>
      <c r="BB271" s="1197" t="s">
        <v>1132</v>
      </c>
      <c r="BC271" s="1182"/>
      <c r="BD271" s="1182"/>
      <c r="BE271" s="1182"/>
      <c r="BF271" s="1182"/>
      <c r="BG271" s="1182"/>
      <c r="BH271" s="1182"/>
      <c r="BI271" s="1182"/>
      <c r="BJ271" s="1182"/>
      <c r="BK271" s="1182"/>
      <c r="BL271" s="1182"/>
      <c r="BM271" s="1182"/>
      <c r="BN271" s="1182"/>
      <c r="BO271" s="1182"/>
      <c r="BP271" s="1182"/>
      <c r="BQ271" s="1190"/>
      <c r="BR271" s="1190"/>
      <c r="BS271" s="1190"/>
      <c r="BT271" s="1190"/>
      <c r="BU271" s="1190"/>
      <c r="BV271" s="1190"/>
      <c r="BW271" s="1190"/>
      <c r="BX271" s="1190"/>
      <c r="BY271" s="1190"/>
      <c r="BZ271" s="1190"/>
      <c r="CA271" s="1190"/>
      <c r="CB271" s="1240"/>
      <c r="CC271" s="1240"/>
      <c r="CD271" s="1240"/>
      <c r="CE271" s="1240"/>
      <c r="CF271" s="1190"/>
      <c r="CG271" s="1240"/>
      <c r="CH271" s="1240"/>
      <c r="CI271" s="1240"/>
      <c r="CJ271" s="1240"/>
      <c r="CK271" s="1184"/>
      <c r="CL271" s="1240"/>
      <c r="CM271" s="1240"/>
      <c r="CN271" s="1240"/>
      <c r="CO271" s="1240"/>
      <c r="CP271" s="1184"/>
      <c r="CQ271" s="1240"/>
      <c r="CR271" s="1240"/>
      <c r="CS271" s="1240"/>
      <c r="CT271" s="1240"/>
      <c r="CU271" s="1184"/>
      <c r="CV271" s="1240"/>
      <c r="CW271" s="1240"/>
      <c r="CX271" s="1240"/>
      <c r="CY271" s="1240"/>
      <c r="CZ271" s="1184"/>
      <c r="DB271" s="2109"/>
      <c r="DC271" s="2109"/>
    </row>
    <row r="272" spans="1:107" s="1178" customFormat="1" ht="11.25" hidden="1" outlineLevel="1">
      <c r="A272" s="1191"/>
      <c r="B272" s="1191"/>
      <c r="C272" s="1191"/>
      <c r="D272" s="1191"/>
      <c r="E272" s="1191"/>
      <c r="F272" s="1191"/>
      <c r="G272" s="1191"/>
      <c r="H272" s="1191"/>
      <c r="I272" s="1191"/>
      <c r="J272" s="1191"/>
      <c r="K272" s="1191"/>
      <c r="L272" s="1191"/>
      <c r="M272" s="1191"/>
      <c r="N272" s="1182"/>
      <c r="O272" s="1191"/>
      <c r="P272" s="1191"/>
      <c r="Q272" s="1191"/>
      <c r="R272" s="1191"/>
      <c r="S272" s="1182"/>
      <c r="T272" s="1191"/>
      <c r="U272" s="1191"/>
      <c r="V272" s="1191"/>
      <c r="W272" s="1191"/>
      <c r="X272" s="1182"/>
      <c r="Y272" s="1191"/>
      <c r="Z272" s="1191"/>
      <c r="AA272" s="1191"/>
      <c r="AB272" s="1191"/>
      <c r="AC272" s="1182"/>
      <c r="AD272" s="1191"/>
      <c r="AE272" s="1191"/>
      <c r="AF272" s="1191"/>
      <c r="AG272" s="1191"/>
      <c r="AH272" s="1182"/>
      <c r="AI272" s="1191"/>
      <c r="AJ272" s="1191"/>
      <c r="AK272" s="1191"/>
      <c r="AL272" s="1191"/>
      <c r="AM272" s="1182"/>
      <c r="AN272" s="1191"/>
      <c r="AO272" s="1191"/>
      <c r="AP272" s="1191"/>
      <c r="AQ272" s="1191"/>
      <c r="AR272" s="1182"/>
      <c r="AS272" s="1182"/>
      <c r="AT272" s="1182"/>
      <c r="AU272" s="1182"/>
      <c r="AV272" s="1182"/>
      <c r="AW272" s="1182"/>
      <c r="AX272" s="1182"/>
      <c r="AY272" s="1182"/>
      <c r="AZ272" s="1182"/>
      <c r="BA272" s="1182"/>
      <c r="BB272" s="1191"/>
      <c r="BC272" s="1182"/>
      <c r="BD272" s="1182"/>
      <c r="BE272" s="1182"/>
      <c r="BF272" s="1182"/>
      <c r="BG272" s="1182"/>
      <c r="BH272" s="1182"/>
      <c r="BI272" s="1182"/>
      <c r="BJ272" s="1182"/>
      <c r="BK272" s="1182"/>
      <c r="BL272" s="1182"/>
      <c r="BM272" s="1182"/>
      <c r="BN272" s="1182"/>
      <c r="BO272" s="1182"/>
      <c r="BP272" s="1182"/>
      <c r="BQ272" s="1190"/>
      <c r="BR272" s="1190"/>
      <c r="BS272" s="1190"/>
      <c r="BT272" s="1190"/>
      <c r="BU272" s="1190"/>
      <c r="BV272" s="1190"/>
      <c r="BW272" s="1190"/>
      <c r="BX272" s="1190"/>
      <c r="BY272" s="1190"/>
      <c r="BZ272" s="1190"/>
      <c r="CA272" s="1190"/>
      <c r="CB272" s="1240"/>
      <c r="CC272" s="1240"/>
      <c r="CD272" s="1240"/>
      <c r="CE272" s="1240"/>
      <c r="CF272" s="1190"/>
      <c r="CG272" s="1240"/>
      <c r="CH272" s="1240"/>
      <c r="CI272" s="1240"/>
      <c r="CJ272" s="1240"/>
      <c r="CK272" s="1184"/>
      <c r="CL272" s="1240"/>
      <c r="CM272" s="1240"/>
      <c r="CN272" s="1240"/>
      <c r="CO272" s="1240"/>
      <c r="CP272" s="1184"/>
      <c r="CQ272" s="1240"/>
      <c r="CR272" s="1240"/>
      <c r="CS272" s="1240"/>
      <c r="CT272" s="1240"/>
      <c r="CU272" s="1184"/>
      <c r="CV272" s="1240"/>
      <c r="CW272" s="1240"/>
      <c r="CX272" s="1240"/>
      <c r="CY272" s="1240"/>
      <c r="CZ272" s="1184"/>
      <c r="DB272" s="2109"/>
      <c r="DC272" s="2109"/>
    </row>
    <row r="273" spans="1:107" s="1178" customFormat="1" ht="11.25" hidden="1" outlineLevel="1">
      <c r="A273" s="1191"/>
      <c r="B273" s="1191"/>
      <c r="C273" s="1182" t="s">
        <v>1131</v>
      </c>
      <c r="D273" s="1191"/>
      <c r="E273" s="1191"/>
      <c r="F273" s="1191"/>
      <c r="G273" s="1191"/>
      <c r="H273" s="1191"/>
      <c r="I273" s="1191"/>
      <c r="J273" s="1191"/>
      <c r="K273" s="1191"/>
      <c r="L273" s="1191"/>
      <c r="M273" s="1191"/>
      <c r="N273" s="1182"/>
      <c r="O273" s="1191"/>
      <c r="P273" s="1191"/>
      <c r="Q273" s="1191"/>
      <c r="R273" s="1191"/>
      <c r="S273" s="1182"/>
      <c r="T273" s="1191"/>
      <c r="U273" s="1191"/>
      <c r="V273" s="1191"/>
      <c r="W273" s="1191"/>
      <c r="X273" s="1182"/>
      <c r="Y273" s="1191"/>
      <c r="Z273" s="1191"/>
      <c r="AA273" s="1191"/>
      <c r="AB273" s="1191"/>
      <c r="AC273" s="1182"/>
      <c r="AD273" s="1191"/>
      <c r="AE273" s="1191"/>
      <c r="AF273" s="1191"/>
      <c r="AG273" s="1191"/>
      <c r="AH273" s="1182"/>
      <c r="AI273" s="1191"/>
      <c r="AJ273" s="1191"/>
      <c r="AK273" s="1191"/>
      <c r="AL273" s="1191"/>
      <c r="AM273" s="1182"/>
      <c r="AN273" s="1191"/>
      <c r="AO273" s="1191"/>
      <c r="AP273" s="1191"/>
      <c r="AQ273" s="1191"/>
      <c r="AR273" s="1182"/>
      <c r="AS273" s="1182"/>
      <c r="AT273" s="1182"/>
      <c r="AU273" s="1182"/>
      <c r="AV273" s="1182"/>
      <c r="AW273" s="1182"/>
      <c r="AX273" s="1182"/>
      <c r="AY273" s="1182"/>
      <c r="AZ273" s="1182"/>
      <c r="BA273" s="1182"/>
      <c r="BB273" s="1191"/>
      <c r="BC273" s="1182"/>
      <c r="BD273" s="1182"/>
      <c r="BE273" s="1182"/>
      <c r="BF273" s="1182"/>
      <c r="BG273" s="1182"/>
      <c r="BH273" s="1182"/>
      <c r="BI273" s="1182"/>
      <c r="BJ273" s="1182"/>
      <c r="BK273" s="1182"/>
      <c r="BL273" s="1182"/>
      <c r="BM273" s="1182"/>
      <c r="BN273" s="1182"/>
      <c r="BO273" s="1182"/>
      <c r="BP273" s="1182"/>
      <c r="BQ273" s="1190"/>
      <c r="BR273" s="1190"/>
      <c r="BS273" s="1190"/>
      <c r="BT273" s="1190"/>
      <c r="BU273" s="1190"/>
      <c r="BV273" s="1190"/>
      <c r="BW273" s="1190"/>
      <c r="BX273" s="1190"/>
      <c r="BY273" s="1190"/>
      <c r="BZ273" s="1190"/>
      <c r="CA273" s="1190"/>
      <c r="CB273" s="1240"/>
      <c r="CC273" s="1240"/>
      <c r="CD273" s="1240"/>
      <c r="CE273" s="1240"/>
      <c r="CF273" s="1190"/>
      <c r="CG273" s="1240"/>
      <c r="CH273" s="1240"/>
      <c r="CI273" s="1240"/>
      <c r="CJ273" s="1240"/>
      <c r="CK273" s="1184"/>
      <c r="CL273" s="1240"/>
      <c r="CM273" s="1240"/>
      <c r="CN273" s="1240"/>
      <c r="CO273" s="1240"/>
      <c r="CP273" s="1184"/>
      <c r="CQ273" s="1240"/>
      <c r="CR273" s="1240"/>
      <c r="CS273" s="1240"/>
      <c r="CT273" s="1240"/>
      <c r="CU273" s="1184"/>
      <c r="CV273" s="1240"/>
      <c r="CW273" s="1240"/>
      <c r="CX273" s="1240"/>
      <c r="CY273" s="1240"/>
      <c r="CZ273" s="1184"/>
      <c r="DB273" s="2109"/>
      <c r="DC273" s="2109"/>
    </row>
    <row r="274" spans="1:107" s="1178" customFormat="1" ht="11.25" hidden="1" outlineLevel="1">
      <c r="A274" s="1191"/>
      <c r="B274" s="1191"/>
      <c r="C274" s="1191" t="s">
        <v>1130</v>
      </c>
      <c r="D274" s="1191"/>
      <c r="E274" s="1191"/>
      <c r="F274" s="1191"/>
      <c r="G274" s="1191"/>
      <c r="H274" s="1191"/>
      <c r="I274" s="1191"/>
      <c r="J274" s="1191"/>
      <c r="K274" s="1191"/>
      <c r="L274" s="1191"/>
      <c r="M274" s="1191"/>
      <c r="N274" s="1182"/>
      <c r="O274" s="1191"/>
      <c r="P274" s="1191"/>
      <c r="Q274" s="1191"/>
      <c r="R274" s="1191"/>
      <c r="S274" s="1182"/>
      <c r="T274" s="1191"/>
      <c r="U274" s="1191"/>
      <c r="V274" s="1191"/>
      <c r="W274" s="1191"/>
      <c r="X274" s="1182"/>
      <c r="Y274" s="1191"/>
      <c r="Z274" s="1191"/>
      <c r="AA274" s="1191"/>
      <c r="AB274" s="1191"/>
      <c r="AC274" s="1191">
        <v>1198</v>
      </c>
      <c r="AD274" s="1191"/>
      <c r="AE274" s="1191"/>
      <c r="AF274" s="1191"/>
      <c r="AG274" s="1191"/>
      <c r="AH274" s="1191">
        <v>1697</v>
      </c>
      <c r="AI274" s="1191"/>
      <c r="AJ274" s="1191"/>
      <c r="AK274" s="1191"/>
      <c r="AL274" s="1191"/>
      <c r="AM274" s="1191">
        <v>2061</v>
      </c>
      <c r="AN274" s="1191"/>
      <c r="AO274" s="1191"/>
      <c r="AP274" s="1191"/>
      <c r="AQ274" s="1191"/>
      <c r="AR274" s="1191">
        <v>2436</v>
      </c>
      <c r="AS274" s="1191"/>
      <c r="AT274" s="1191"/>
      <c r="AU274" s="1191"/>
      <c r="AV274" s="1191"/>
      <c r="AW274" s="1191">
        <v>2988</v>
      </c>
      <c r="AX274" s="1191"/>
      <c r="AY274" s="1191"/>
      <c r="AZ274" s="1191"/>
      <c r="BA274" s="1191"/>
      <c r="BB274" s="1191">
        <v>4000</v>
      </c>
      <c r="BC274" s="1182"/>
      <c r="BD274" s="1182"/>
      <c r="BE274" s="1182"/>
      <c r="BF274" s="1182"/>
      <c r="BG274" s="1191">
        <v>3144</v>
      </c>
      <c r="BH274" s="1191"/>
      <c r="BI274" s="1191"/>
      <c r="BJ274" s="1191"/>
      <c r="BK274" s="1191"/>
      <c r="BL274" s="1191">
        <v>2768</v>
      </c>
      <c r="BM274" s="1191"/>
      <c r="BN274" s="1182"/>
      <c r="BO274" s="1182"/>
      <c r="BP274" s="1182"/>
      <c r="BQ274" s="1190">
        <v>2663</v>
      </c>
      <c r="BR274" s="1190"/>
      <c r="BS274" s="1190"/>
      <c r="BT274" s="1190"/>
      <c r="BU274" s="1190"/>
      <c r="BV274" s="1190"/>
      <c r="BW274" s="1190"/>
      <c r="BX274" s="1190"/>
      <c r="BY274" s="1190"/>
      <c r="BZ274" s="1190"/>
      <c r="CA274" s="1190"/>
      <c r="CB274" s="1240"/>
      <c r="CC274" s="1240"/>
      <c r="CD274" s="1240"/>
      <c r="CE274" s="1240"/>
      <c r="CF274" s="1190"/>
      <c r="CG274" s="1240"/>
      <c r="CH274" s="1240"/>
      <c r="CI274" s="1240"/>
      <c r="CJ274" s="1240"/>
      <c r="CK274" s="1184"/>
      <c r="CL274" s="1240"/>
      <c r="CM274" s="1240"/>
      <c r="CN274" s="1240"/>
      <c r="CO274" s="1240"/>
      <c r="CP274" s="1184"/>
      <c r="CQ274" s="1240"/>
      <c r="CR274" s="1240"/>
      <c r="CS274" s="1240"/>
      <c r="CT274" s="1240"/>
      <c r="CU274" s="1184"/>
      <c r="CV274" s="1240"/>
      <c r="CW274" s="1240"/>
      <c r="CX274" s="1240"/>
      <c r="CY274" s="1240"/>
      <c r="CZ274" s="1184"/>
      <c r="DB274" s="2109"/>
      <c r="DC274" s="2109"/>
    </row>
    <row r="275" spans="1:107" s="1178" customFormat="1" ht="11.25" hidden="1" outlineLevel="1">
      <c r="A275" s="1191"/>
      <c r="B275" s="1191"/>
      <c r="C275" s="1191"/>
      <c r="D275" s="1191"/>
      <c r="E275" s="1191"/>
      <c r="F275" s="1191"/>
      <c r="G275" s="1191"/>
      <c r="H275" s="1191"/>
      <c r="I275" s="1191"/>
      <c r="J275" s="1191"/>
      <c r="K275" s="1191"/>
      <c r="L275" s="1191"/>
      <c r="M275" s="1191"/>
      <c r="N275" s="1182"/>
      <c r="O275" s="1191"/>
      <c r="P275" s="1191"/>
      <c r="Q275" s="1191"/>
      <c r="R275" s="1191"/>
      <c r="S275" s="1182"/>
      <c r="T275" s="1191"/>
      <c r="U275" s="1191"/>
      <c r="V275" s="1191"/>
      <c r="W275" s="1191"/>
      <c r="X275" s="1182"/>
      <c r="Y275" s="1191"/>
      <c r="Z275" s="1191"/>
      <c r="AA275" s="1191"/>
      <c r="AB275" s="1191"/>
      <c r="AC275" s="1182"/>
      <c r="AD275" s="1191"/>
      <c r="AE275" s="1191"/>
      <c r="AF275" s="1191"/>
      <c r="AG275" s="1191"/>
      <c r="AH275" s="1182"/>
      <c r="AI275" s="1191"/>
      <c r="AJ275" s="1191"/>
      <c r="AK275" s="1191"/>
      <c r="AL275" s="1191"/>
      <c r="AM275" s="1182"/>
      <c r="AN275" s="1191"/>
      <c r="AO275" s="1191"/>
      <c r="AP275" s="1191"/>
      <c r="AQ275" s="1191"/>
      <c r="AR275" s="1182"/>
      <c r="AS275" s="1182"/>
      <c r="AT275" s="1182"/>
      <c r="AU275" s="1182"/>
      <c r="AV275" s="1182"/>
      <c r="AW275" s="1182"/>
      <c r="AX275" s="1182"/>
      <c r="AY275" s="1182"/>
      <c r="AZ275" s="1182"/>
      <c r="BA275" s="1182"/>
      <c r="BB275" s="1182"/>
      <c r="BC275" s="1182"/>
      <c r="BD275" s="1182"/>
      <c r="BE275" s="1182"/>
      <c r="BF275" s="1182"/>
      <c r="BG275" s="1182"/>
      <c r="BH275" s="1182"/>
      <c r="BI275" s="1182"/>
      <c r="BJ275" s="1182"/>
      <c r="BK275" s="1182"/>
      <c r="BL275" s="1182"/>
      <c r="BM275" s="1182"/>
      <c r="BN275" s="1182"/>
      <c r="BO275" s="1182"/>
      <c r="BP275" s="1182"/>
      <c r="BQ275" s="1190"/>
      <c r="BR275" s="1190"/>
      <c r="BS275" s="1190"/>
      <c r="BT275" s="1190"/>
      <c r="BU275" s="1190"/>
      <c r="BV275" s="1190"/>
      <c r="BW275" s="1190"/>
      <c r="BX275" s="1190"/>
      <c r="BY275" s="1190"/>
      <c r="BZ275" s="1190"/>
      <c r="CA275" s="1190"/>
      <c r="CB275" s="1240"/>
      <c r="CC275" s="1240"/>
      <c r="CD275" s="1240"/>
      <c r="CE275" s="1240"/>
      <c r="CF275" s="1190"/>
      <c r="CG275" s="1240"/>
      <c r="CH275" s="1240"/>
      <c r="CI275" s="1240"/>
      <c r="CJ275" s="1240"/>
      <c r="CK275" s="1184"/>
      <c r="CL275" s="1240"/>
      <c r="CM275" s="1240"/>
      <c r="CN275" s="1240"/>
      <c r="CO275" s="1240"/>
      <c r="CP275" s="1184"/>
      <c r="CQ275" s="1240"/>
      <c r="CR275" s="1240"/>
      <c r="CS275" s="1240"/>
      <c r="CT275" s="1240"/>
      <c r="CU275" s="1184"/>
      <c r="CV275" s="1240"/>
      <c r="CW275" s="1240"/>
      <c r="CX275" s="1240"/>
      <c r="CY275" s="1240"/>
      <c r="CZ275" s="1184"/>
      <c r="DB275" s="2109"/>
      <c r="DC275" s="2109"/>
    </row>
    <row r="276" spans="1:107" s="1178" customFormat="1" ht="11.25" hidden="1" outlineLevel="1">
      <c r="A276" s="1191"/>
      <c r="B276" s="1191"/>
      <c r="C276" s="1182" t="s">
        <v>1129</v>
      </c>
      <c r="D276" s="1191"/>
      <c r="E276" s="1191"/>
      <c r="F276" s="1191"/>
      <c r="G276" s="1191"/>
      <c r="H276" s="1191"/>
      <c r="I276" s="1191"/>
      <c r="J276" s="1191"/>
      <c r="K276" s="1191"/>
      <c r="L276" s="1191"/>
      <c r="M276" s="1191"/>
      <c r="N276" s="1182"/>
      <c r="O276" s="1191"/>
      <c r="P276" s="1191"/>
      <c r="Q276" s="1191"/>
      <c r="R276" s="1191"/>
      <c r="S276" s="1182"/>
      <c r="T276" s="1191"/>
      <c r="U276" s="1191"/>
      <c r="V276" s="1191"/>
      <c r="W276" s="1191"/>
      <c r="X276" s="1182"/>
      <c r="Y276" s="1191"/>
      <c r="Z276" s="1191"/>
      <c r="AA276" s="1191"/>
      <c r="AB276" s="1191"/>
      <c r="AC276" s="1182"/>
      <c r="AD276" s="1191"/>
      <c r="AE276" s="1191"/>
      <c r="AF276" s="1191"/>
      <c r="AG276" s="1191"/>
      <c r="AH276" s="1182"/>
      <c r="AI276" s="1191"/>
      <c r="AJ276" s="1191"/>
      <c r="AK276" s="1191"/>
      <c r="AL276" s="1191"/>
      <c r="AM276" s="1182"/>
      <c r="AN276" s="1191"/>
      <c r="AO276" s="1191"/>
      <c r="AP276" s="1191"/>
      <c r="AQ276" s="1191"/>
      <c r="AR276" s="1182"/>
      <c r="AS276" s="1182"/>
      <c r="AT276" s="1182"/>
      <c r="AU276" s="1182"/>
      <c r="AV276" s="1182"/>
      <c r="AW276" s="1182"/>
      <c r="AX276" s="1182"/>
      <c r="AY276" s="1182"/>
      <c r="AZ276" s="1182"/>
      <c r="BA276" s="1182"/>
      <c r="BB276" s="1182"/>
      <c r="BC276" s="1182"/>
      <c r="BD276" s="1182"/>
      <c r="BE276" s="1182"/>
      <c r="BF276" s="1182"/>
      <c r="BG276" s="1182"/>
      <c r="BH276" s="1182"/>
      <c r="BI276" s="1182"/>
      <c r="BJ276" s="1182"/>
      <c r="BK276" s="1182"/>
      <c r="BL276" s="1182"/>
      <c r="BM276" s="1182"/>
      <c r="BN276" s="1182"/>
      <c r="BO276" s="1182"/>
      <c r="BP276" s="1182"/>
      <c r="BQ276" s="1190"/>
      <c r="BR276" s="1190"/>
      <c r="BS276" s="1190"/>
      <c r="BT276" s="1190"/>
      <c r="BU276" s="1190"/>
      <c r="BV276" s="1190"/>
      <c r="BW276" s="1190"/>
      <c r="BX276" s="1190"/>
      <c r="BY276" s="1190"/>
      <c r="BZ276" s="1190"/>
      <c r="CA276" s="1190"/>
      <c r="CB276" s="1240"/>
      <c r="CC276" s="1240"/>
      <c r="CD276" s="1240"/>
      <c r="CE276" s="1240"/>
      <c r="CF276" s="1190"/>
      <c r="CG276" s="1240"/>
      <c r="CH276" s="1240"/>
      <c r="CI276" s="1240"/>
      <c r="CJ276" s="1240"/>
      <c r="CK276" s="1184"/>
      <c r="CL276" s="1240"/>
      <c r="CM276" s="1240"/>
      <c r="CN276" s="1240"/>
      <c r="CO276" s="1240"/>
      <c r="CP276" s="1184"/>
      <c r="CQ276" s="1240"/>
      <c r="CR276" s="1240"/>
      <c r="CS276" s="1240"/>
      <c r="CT276" s="1240"/>
      <c r="CU276" s="1184"/>
      <c r="CV276" s="1240"/>
      <c r="CW276" s="1240"/>
      <c r="CX276" s="1240"/>
      <c r="CY276" s="1240"/>
      <c r="CZ276" s="1184"/>
      <c r="DB276" s="2109"/>
      <c r="DC276" s="2109"/>
    </row>
    <row r="277" spans="1:107" s="1178" customFormat="1" ht="11.25" hidden="1" outlineLevel="1">
      <c r="A277" s="1191"/>
      <c r="B277" s="1191"/>
      <c r="C277" s="1191" t="s">
        <v>815</v>
      </c>
      <c r="D277" s="1191"/>
      <c r="E277" s="1191"/>
      <c r="F277" s="1191"/>
      <c r="G277" s="1191"/>
      <c r="H277" s="1191"/>
      <c r="I277" s="1191"/>
      <c r="J277" s="1191"/>
      <c r="K277" s="1191"/>
      <c r="L277" s="1191"/>
      <c r="M277" s="1191"/>
      <c r="N277" s="1182"/>
      <c r="O277" s="1191"/>
      <c r="P277" s="1191"/>
      <c r="Q277" s="1191"/>
      <c r="R277" s="1191"/>
      <c r="S277" s="1182"/>
      <c r="T277" s="1191"/>
      <c r="U277" s="1191"/>
      <c r="V277" s="1191"/>
      <c r="W277" s="1191"/>
      <c r="X277" s="1182"/>
      <c r="Y277" s="1191"/>
      <c r="Z277" s="1191"/>
      <c r="AA277" s="1191"/>
      <c r="AB277" s="1191"/>
      <c r="AC277" s="1182"/>
      <c r="AD277" s="1191"/>
      <c r="AE277" s="1191"/>
      <c r="AF277" s="1191"/>
      <c r="AG277" s="1191"/>
      <c r="AH277" s="1182"/>
      <c r="AI277" s="1191"/>
      <c r="AJ277" s="1191"/>
      <c r="AK277" s="1191"/>
      <c r="AL277" s="1191"/>
      <c r="AM277" s="1182"/>
      <c r="AN277" s="1191"/>
      <c r="AO277" s="1191"/>
      <c r="AP277" s="1191"/>
      <c r="AQ277" s="1191"/>
      <c r="AR277" s="1182"/>
      <c r="AS277" s="1182"/>
      <c r="AT277" s="1182"/>
      <c r="AU277" s="1182"/>
      <c r="AV277" s="1182"/>
      <c r="AW277" s="1182"/>
      <c r="AX277" s="1182"/>
      <c r="AY277" s="1182"/>
      <c r="AZ277" s="1182"/>
      <c r="BA277" s="1182"/>
      <c r="BB277" s="1191">
        <v>47</v>
      </c>
      <c r="BC277" s="1182"/>
      <c r="BD277" s="1182"/>
      <c r="BE277" s="1182"/>
      <c r="BF277" s="1182"/>
      <c r="BG277" s="1182">
        <v>33</v>
      </c>
      <c r="BH277" s="1182"/>
      <c r="BI277" s="1182"/>
      <c r="BJ277" s="1182"/>
      <c r="BK277" s="1182"/>
      <c r="BL277" s="1182"/>
      <c r="BM277" s="1182"/>
      <c r="BN277" s="1182"/>
      <c r="BO277" s="1182"/>
      <c r="BP277" s="1182"/>
      <c r="BQ277" s="1190"/>
      <c r="BR277" s="1190"/>
      <c r="BS277" s="1190"/>
      <c r="BT277" s="1190"/>
      <c r="BU277" s="1190"/>
      <c r="BV277" s="1190"/>
      <c r="BW277" s="1190"/>
      <c r="BX277" s="1190"/>
      <c r="BY277" s="1190"/>
      <c r="BZ277" s="1190"/>
      <c r="CA277" s="1190"/>
      <c r="CB277" s="1240"/>
      <c r="CC277" s="1240"/>
      <c r="CD277" s="1240"/>
      <c r="CE277" s="1240"/>
      <c r="CF277" s="1190"/>
      <c r="CG277" s="1240"/>
      <c r="CH277" s="1240"/>
      <c r="CI277" s="1240"/>
      <c r="CJ277" s="1240"/>
      <c r="CK277" s="1184"/>
      <c r="CL277" s="1240"/>
      <c r="CM277" s="1240"/>
      <c r="CN277" s="1240"/>
      <c r="CO277" s="1240"/>
      <c r="CP277" s="1184"/>
      <c r="CQ277" s="1240"/>
      <c r="CR277" s="1240"/>
      <c r="CS277" s="1240"/>
      <c r="CT277" s="1240"/>
      <c r="CU277" s="1184"/>
      <c r="CV277" s="1240"/>
      <c r="CW277" s="1240"/>
      <c r="CX277" s="1240"/>
      <c r="CY277" s="1240"/>
      <c r="CZ277" s="1184"/>
      <c r="DB277" s="2109"/>
      <c r="DC277" s="2109"/>
    </row>
    <row r="278" spans="1:107" s="1178" customFormat="1" ht="11.25" hidden="1" outlineLevel="1">
      <c r="A278" s="1191"/>
      <c r="B278" s="1191"/>
      <c r="C278" s="1191" t="s">
        <v>1128</v>
      </c>
      <c r="D278" s="1191"/>
      <c r="E278" s="1191"/>
      <c r="F278" s="1191"/>
      <c r="G278" s="1191"/>
      <c r="H278" s="1191"/>
      <c r="I278" s="1191"/>
      <c r="J278" s="1191"/>
      <c r="K278" s="1191"/>
      <c r="L278" s="1191"/>
      <c r="M278" s="1191"/>
      <c r="N278" s="1182"/>
      <c r="O278" s="1191"/>
      <c r="P278" s="1191"/>
      <c r="Q278" s="1191"/>
      <c r="R278" s="1191"/>
      <c r="S278" s="1182"/>
      <c r="T278" s="1191"/>
      <c r="U278" s="1191"/>
      <c r="V278" s="1191"/>
      <c r="W278" s="1191"/>
      <c r="X278" s="1182"/>
      <c r="Y278" s="1191"/>
      <c r="Z278" s="1191"/>
      <c r="AA278" s="1191"/>
      <c r="AB278" s="1191"/>
      <c r="AC278" s="1182"/>
      <c r="AD278" s="1191"/>
      <c r="AE278" s="1191"/>
      <c r="AF278" s="1191"/>
      <c r="AG278" s="1191"/>
      <c r="AH278" s="1182"/>
      <c r="AI278" s="1191"/>
      <c r="AJ278" s="1191"/>
      <c r="AK278" s="1191"/>
      <c r="AL278" s="1191"/>
      <c r="AM278" s="1182"/>
      <c r="AN278" s="1191"/>
      <c r="AO278" s="1191"/>
      <c r="AP278" s="1191"/>
      <c r="AQ278" s="1191"/>
      <c r="AR278" s="1182"/>
      <c r="AS278" s="1182"/>
      <c r="AT278" s="1182"/>
      <c r="AU278" s="1182"/>
      <c r="AV278" s="1182"/>
      <c r="AW278" s="1182"/>
      <c r="AX278" s="1182"/>
      <c r="AY278" s="1182"/>
      <c r="AZ278" s="1182"/>
      <c r="BA278" s="1182"/>
      <c r="BB278" s="1191">
        <v>27</v>
      </c>
      <c r="BC278" s="1182"/>
      <c r="BD278" s="1182"/>
      <c r="BE278" s="1182"/>
      <c r="BF278" s="1182"/>
      <c r="BG278" s="1182">
        <v>33</v>
      </c>
      <c r="BH278" s="1182"/>
      <c r="BI278" s="1182"/>
      <c r="BJ278" s="1182"/>
      <c r="BK278" s="1182"/>
      <c r="BL278" s="1182"/>
      <c r="BM278" s="1182"/>
      <c r="BN278" s="1182"/>
      <c r="BO278" s="1182"/>
      <c r="BP278" s="1182"/>
      <c r="BQ278" s="1190"/>
      <c r="BR278" s="1190"/>
      <c r="BS278" s="1190"/>
      <c r="BT278" s="1190"/>
      <c r="BU278" s="1190"/>
      <c r="BV278" s="1190"/>
      <c r="BW278" s="1190"/>
      <c r="BX278" s="1190"/>
      <c r="BY278" s="1190"/>
      <c r="BZ278" s="1190"/>
      <c r="CA278" s="1190"/>
      <c r="CB278" s="1240"/>
      <c r="CC278" s="1240"/>
      <c r="CD278" s="1240"/>
      <c r="CE278" s="1240"/>
      <c r="CF278" s="1190"/>
      <c r="CG278" s="1240"/>
      <c r="CH278" s="1240"/>
      <c r="CI278" s="1240"/>
      <c r="CJ278" s="1240"/>
      <c r="CK278" s="1184"/>
      <c r="CL278" s="1240"/>
      <c r="CM278" s="1240"/>
      <c r="CN278" s="1240"/>
      <c r="CO278" s="1240"/>
      <c r="CP278" s="1184"/>
      <c r="CQ278" s="1240"/>
      <c r="CR278" s="1240"/>
      <c r="CS278" s="1240"/>
      <c r="CT278" s="1240"/>
      <c r="CU278" s="1184"/>
      <c r="CV278" s="1240"/>
      <c r="CW278" s="1240"/>
      <c r="CX278" s="1240"/>
      <c r="CY278" s="1240"/>
      <c r="CZ278" s="1184"/>
      <c r="DB278" s="2109"/>
      <c r="DC278" s="2109"/>
    </row>
    <row r="279" spans="1:107" s="1178" customFormat="1" ht="11.25" hidden="1" outlineLevel="1">
      <c r="A279" s="1191"/>
      <c r="B279" s="1191"/>
      <c r="C279" s="1191" t="s">
        <v>1127</v>
      </c>
      <c r="D279" s="1191"/>
      <c r="E279" s="1191"/>
      <c r="F279" s="1191"/>
      <c r="G279" s="1191"/>
      <c r="H279" s="1191"/>
      <c r="I279" s="1191"/>
      <c r="J279" s="1191"/>
      <c r="K279" s="1191"/>
      <c r="L279" s="1191"/>
      <c r="M279" s="1191"/>
      <c r="N279" s="1182"/>
      <c r="O279" s="1191"/>
      <c r="P279" s="1191"/>
      <c r="Q279" s="1191"/>
      <c r="R279" s="1191"/>
      <c r="S279" s="1182"/>
      <c r="T279" s="1191"/>
      <c r="U279" s="1191"/>
      <c r="V279" s="1191"/>
      <c r="W279" s="1191"/>
      <c r="X279" s="1182"/>
      <c r="Y279" s="1191"/>
      <c r="Z279" s="1191"/>
      <c r="AA279" s="1191"/>
      <c r="AB279" s="1191"/>
      <c r="AC279" s="1182"/>
      <c r="AD279" s="1191"/>
      <c r="AE279" s="1191"/>
      <c r="AF279" s="1191"/>
      <c r="AG279" s="1191"/>
      <c r="AH279" s="1182"/>
      <c r="AI279" s="1191"/>
      <c r="AJ279" s="1191"/>
      <c r="AK279" s="1191"/>
      <c r="AL279" s="1191"/>
      <c r="AM279" s="1182"/>
      <c r="AN279" s="1191"/>
      <c r="AO279" s="1191"/>
      <c r="AP279" s="1191"/>
      <c r="AQ279" s="1191"/>
      <c r="AR279" s="1182"/>
      <c r="AS279" s="1182"/>
      <c r="AT279" s="1182"/>
      <c r="AU279" s="1182"/>
      <c r="AV279" s="1182"/>
      <c r="AW279" s="1182"/>
      <c r="AX279" s="1182"/>
      <c r="AY279" s="1182"/>
      <c r="AZ279" s="1182"/>
      <c r="BA279" s="1182"/>
      <c r="BB279" s="1191">
        <v>7</v>
      </c>
      <c r="BC279" s="1182"/>
      <c r="BD279" s="1182"/>
      <c r="BE279" s="1182"/>
      <c r="BF279" s="1182"/>
      <c r="BG279" s="1182">
        <v>11</v>
      </c>
      <c r="BH279" s="1182"/>
      <c r="BI279" s="1182"/>
      <c r="BJ279" s="1182"/>
      <c r="BK279" s="1182"/>
      <c r="BL279" s="1182"/>
      <c r="BM279" s="1182"/>
      <c r="BN279" s="1182"/>
      <c r="BO279" s="1182"/>
      <c r="BP279" s="1182"/>
      <c r="BQ279" s="1190"/>
      <c r="BR279" s="1190"/>
      <c r="BS279" s="1190"/>
      <c r="BT279" s="1190"/>
      <c r="BU279" s="1190"/>
      <c r="BV279" s="1190"/>
      <c r="BW279" s="1190"/>
      <c r="BX279" s="1190"/>
      <c r="BY279" s="1190"/>
      <c r="BZ279" s="1190"/>
      <c r="CA279" s="1190"/>
      <c r="CB279" s="1240"/>
      <c r="CC279" s="1240"/>
      <c r="CD279" s="1240"/>
      <c r="CE279" s="1240"/>
      <c r="CF279" s="1190"/>
      <c r="CG279" s="1240"/>
      <c r="CH279" s="1240"/>
      <c r="CI279" s="1240"/>
      <c r="CJ279" s="1240"/>
      <c r="CK279" s="1184"/>
      <c r="CL279" s="1240"/>
      <c r="CM279" s="1240"/>
      <c r="CN279" s="1240"/>
      <c r="CO279" s="1240"/>
      <c r="CP279" s="1184"/>
      <c r="CQ279" s="1240"/>
      <c r="CR279" s="1240"/>
      <c r="CS279" s="1240"/>
      <c r="CT279" s="1240"/>
      <c r="CU279" s="1184"/>
      <c r="CV279" s="1240"/>
      <c r="CW279" s="1240"/>
      <c r="CX279" s="1240"/>
      <c r="CY279" s="1240"/>
      <c r="CZ279" s="1184"/>
      <c r="DB279" s="2109"/>
      <c r="DC279" s="2109"/>
    </row>
    <row r="280" spans="1:107" s="1178" customFormat="1" ht="11.25" hidden="1" outlineLevel="1">
      <c r="A280" s="1191"/>
      <c r="B280" s="1191"/>
      <c r="C280" s="1191" t="s">
        <v>1126</v>
      </c>
      <c r="D280" s="1191"/>
      <c r="E280" s="1191"/>
      <c r="F280" s="1191"/>
      <c r="G280" s="1191"/>
      <c r="H280" s="1191"/>
      <c r="I280" s="1191"/>
      <c r="J280" s="1191"/>
      <c r="K280" s="1191"/>
      <c r="L280" s="1191"/>
      <c r="M280" s="1191"/>
      <c r="N280" s="1182"/>
      <c r="O280" s="1191"/>
      <c r="P280" s="1191"/>
      <c r="Q280" s="1191"/>
      <c r="R280" s="1191"/>
      <c r="S280" s="1182"/>
      <c r="T280" s="1191"/>
      <c r="U280" s="1191"/>
      <c r="V280" s="1191"/>
      <c r="W280" s="1191"/>
      <c r="X280" s="1182"/>
      <c r="Y280" s="1191"/>
      <c r="Z280" s="1191"/>
      <c r="AA280" s="1191"/>
      <c r="AB280" s="1191"/>
      <c r="AC280" s="1182"/>
      <c r="AD280" s="1191"/>
      <c r="AE280" s="1191"/>
      <c r="AF280" s="1191"/>
      <c r="AG280" s="1191"/>
      <c r="AH280" s="1182"/>
      <c r="AI280" s="1191"/>
      <c r="AJ280" s="1191"/>
      <c r="AK280" s="1191"/>
      <c r="AL280" s="1191"/>
      <c r="AM280" s="1182"/>
      <c r="AN280" s="1191"/>
      <c r="AO280" s="1191"/>
      <c r="AP280" s="1191"/>
      <c r="AQ280" s="1191"/>
      <c r="AR280" s="1182"/>
      <c r="AS280" s="1182"/>
      <c r="AT280" s="1182"/>
      <c r="AU280" s="1182"/>
      <c r="AV280" s="1182"/>
      <c r="AW280" s="1182"/>
      <c r="AX280" s="1182"/>
      <c r="AY280" s="1182"/>
      <c r="AZ280" s="1182"/>
      <c r="BA280" s="1182"/>
      <c r="BB280" s="1191">
        <v>12</v>
      </c>
      <c r="BC280" s="1182"/>
      <c r="BD280" s="1182"/>
      <c r="BE280" s="1182"/>
      <c r="BF280" s="1182"/>
      <c r="BG280" s="1182">
        <v>11</v>
      </c>
      <c r="BH280" s="1182"/>
      <c r="BI280" s="1182"/>
      <c r="BJ280" s="1182"/>
      <c r="BK280" s="1182"/>
      <c r="BL280" s="1182"/>
      <c r="BM280" s="1182"/>
      <c r="BN280" s="1182"/>
      <c r="BO280" s="1182"/>
      <c r="BP280" s="1182"/>
      <c r="BQ280" s="1190"/>
      <c r="BR280" s="1190"/>
      <c r="BS280" s="1190"/>
      <c r="BT280" s="1190"/>
      <c r="BU280" s="1190"/>
      <c r="BV280" s="1190"/>
      <c r="BW280" s="1190"/>
      <c r="BX280" s="1190"/>
      <c r="BY280" s="1190"/>
      <c r="BZ280" s="1190"/>
      <c r="CA280" s="1190"/>
      <c r="CB280" s="1240"/>
      <c r="CC280" s="1240"/>
      <c r="CD280" s="1240"/>
      <c r="CE280" s="1240"/>
      <c r="CF280" s="1190"/>
      <c r="CG280" s="1240"/>
      <c r="CH280" s="1240"/>
      <c r="CI280" s="1240"/>
      <c r="CJ280" s="1240"/>
      <c r="CK280" s="1184"/>
      <c r="CL280" s="1240"/>
      <c r="CM280" s="1240"/>
      <c r="CN280" s="1240"/>
      <c r="CO280" s="1240"/>
      <c r="CP280" s="1184"/>
      <c r="CQ280" s="1240"/>
      <c r="CR280" s="1240"/>
      <c r="CS280" s="1240"/>
      <c r="CT280" s="1240"/>
      <c r="CU280" s="1184"/>
      <c r="CV280" s="1240"/>
      <c r="CW280" s="1240"/>
      <c r="CX280" s="1240"/>
      <c r="CY280" s="1240"/>
      <c r="CZ280" s="1184"/>
      <c r="DB280" s="2109"/>
      <c r="DC280" s="2109"/>
    </row>
    <row r="281" spans="1:107" s="1178" customFormat="1" ht="11.25" hidden="1" outlineLevel="1">
      <c r="A281" s="1191"/>
      <c r="B281" s="1191"/>
      <c r="C281" s="1191" t="s">
        <v>8</v>
      </c>
      <c r="D281" s="1191"/>
      <c r="E281" s="1191"/>
      <c r="F281" s="1191"/>
      <c r="G281" s="1191"/>
      <c r="H281" s="1191"/>
      <c r="I281" s="1191"/>
      <c r="J281" s="1191"/>
      <c r="K281" s="1191"/>
      <c r="L281" s="1191"/>
      <c r="M281" s="1191"/>
      <c r="N281" s="1182"/>
      <c r="O281" s="1191"/>
      <c r="P281" s="1191"/>
      <c r="Q281" s="1191"/>
      <c r="R281" s="1191"/>
      <c r="S281" s="1182"/>
      <c r="T281" s="1191"/>
      <c r="U281" s="1191"/>
      <c r="V281" s="1191"/>
      <c r="W281" s="1191"/>
      <c r="X281" s="1182"/>
      <c r="Y281" s="1191"/>
      <c r="Z281" s="1191"/>
      <c r="AA281" s="1191"/>
      <c r="AB281" s="1191"/>
      <c r="AC281" s="1182"/>
      <c r="AD281" s="1191"/>
      <c r="AE281" s="1191"/>
      <c r="AF281" s="1191"/>
      <c r="AG281" s="1191"/>
      <c r="AH281" s="1182"/>
      <c r="AI281" s="1191"/>
      <c r="AJ281" s="1191"/>
      <c r="AK281" s="1191"/>
      <c r="AL281" s="1191"/>
      <c r="AM281" s="1182"/>
      <c r="AN281" s="1191"/>
      <c r="AO281" s="1191"/>
      <c r="AP281" s="1191"/>
      <c r="AQ281" s="1191"/>
      <c r="AR281" s="1182"/>
      <c r="AS281" s="1182"/>
      <c r="AT281" s="1182"/>
      <c r="AU281" s="1182"/>
      <c r="AV281" s="1182"/>
      <c r="AW281" s="1182"/>
      <c r="AX281" s="1182"/>
      <c r="AY281" s="1182"/>
      <c r="AZ281" s="1182"/>
      <c r="BA281" s="1182"/>
      <c r="BB281" s="1191">
        <v>7</v>
      </c>
      <c r="BC281" s="1182"/>
      <c r="BD281" s="1182"/>
      <c r="BE281" s="1182"/>
      <c r="BF281" s="1182"/>
      <c r="BG281" s="1182">
        <v>11</v>
      </c>
      <c r="BH281" s="1182"/>
      <c r="BI281" s="1182"/>
      <c r="BJ281" s="1182"/>
      <c r="BK281" s="1182"/>
      <c r="BL281" s="1182"/>
      <c r="BM281" s="1182"/>
      <c r="BN281" s="1182"/>
      <c r="BO281" s="1182"/>
      <c r="BP281" s="1182"/>
      <c r="BQ281" s="1190"/>
      <c r="BR281" s="1190"/>
      <c r="BS281" s="1190"/>
      <c r="BT281" s="1190"/>
      <c r="BU281" s="1190"/>
      <c r="BV281" s="1190"/>
      <c r="BW281" s="1190"/>
      <c r="BX281" s="1190"/>
      <c r="BY281" s="1190"/>
      <c r="BZ281" s="1190"/>
      <c r="CA281" s="1190"/>
      <c r="CB281" s="1240"/>
      <c r="CC281" s="1240"/>
      <c r="CD281" s="1240"/>
      <c r="CE281" s="1240"/>
      <c r="CF281" s="1190"/>
      <c r="CG281" s="1240"/>
      <c r="CH281" s="1240"/>
      <c r="CI281" s="1240"/>
      <c r="CJ281" s="1240"/>
      <c r="CK281" s="1184"/>
      <c r="CL281" s="1240"/>
      <c r="CM281" s="1240"/>
      <c r="CN281" s="1240"/>
      <c r="CO281" s="1240"/>
      <c r="CP281" s="1184"/>
      <c r="CQ281" s="1240"/>
      <c r="CR281" s="1240"/>
      <c r="CS281" s="1240"/>
      <c r="CT281" s="1240"/>
      <c r="CU281" s="1184"/>
      <c r="CV281" s="1240"/>
      <c r="CW281" s="1240"/>
      <c r="CX281" s="1240"/>
      <c r="CY281" s="1240"/>
      <c r="CZ281" s="1184"/>
      <c r="DB281" s="2109"/>
      <c r="DC281" s="2109"/>
    </row>
    <row r="282" spans="1:107" s="1178" customFormat="1" ht="11.25" hidden="1" outlineLevel="1">
      <c r="A282" s="1191"/>
      <c r="B282" s="1191"/>
      <c r="C282" s="1191"/>
      <c r="D282" s="1191"/>
      <c r="E282" s="1191"/>
      <c r="F282" s="1191"/>
      <c r="G282" s="1191"/>
      <c r="H282" s="1191"/>
      <c r="I282" s="1191"/>
      <c r="J282" s="1191"/>
      <c r="K282" s="1191"/>
      <c r="L282" s="1191"/>
      <c r="M282" s="1191"/>
      <c r="N282" s="1182"/>
      <c r="O282" s="1191"/>
      <c r="P282" s="1191"/>
      <c r="Q282" s="1191"/>
      <c r="R282" s="1191"/>
      <c r="S282" s="1182"/>
      <c r="T282" s="1191"/>
      <c r="U282" s="1191"/>
      <c r="V282" s="1191"/>
      <c r="W282" s="1191"/>
      <c r="X282" s="1182"/>
      <c r="Y282" s="1191"/>
      <c r="Z282" s="1191"/>
      <c r="AA282" s="1191"/>
      <c r="AB282" s="1191"/>
      <c r="AC282" s="1182"/>
      <c r="AD282" s="1191"/>
      <c r="AE282" s="1191"/>
      <c r="AF282" s="1191"/>
      <c r="AG282" s="1191"/>
      <c r="AH282" s="1182"/>
      <c r="AI282" s="1191"/>
      <c r="AJ282" s="1191"/>
      <c r="AK282" s="1191"/>
      <c r="AL282" s="1191"/>
      <c r="AM282" s="1182"/>
      <c r="AN282" s="1191"/>
      <c r="AO282" s="1191"/>
      <c r="AP282" s="1191"/>
      <c r="AQ282" s="1191"/>
      <c r="AR282" s="1182"/>
      <c r="AS282" s="1182"/>
      <c r="AT282" s="1182"/>
      <c r="AU282" s="1182"/>
      <c r="AV282" s="1182"/>
      <c r="AW282" s="1182"/>
      <c r="AX282" s="1182"/>
      <c r="AY282" s="1182"/>
      <c r="AZ282" s="1182"/>
      <c r="BA282" s="1182"/>
      <c r="BB282" s="1182"/>
      <c r="BC282" s="1182"/>
      <c r="BD282" s="1182"/>
      <c r="BE282" s="1182"/>
      <c r="BF282" s="1182"/>
      <c r="BG282" s="1182"/>
      <c r="BH282" s="1182"/>
      <c r="BI282" s="1182"/>
      <c r="BJ282" s="1182"/>
      <c r="BK282" s="1182"/>
      <c r="BL282" s="1182"/>
      <c r="BM282" s="1182"/>
      <c r="BN282" s="1182"/>
      <c r="BO282" s="1182"/>
      <c r="BP282" s="1182"/>
      <c r="BQ282" s="1190"/>
      <c r="BR282" s="1190"/>
      <c r="BS282" s="1190"/>
      <c r="BT282" s="1190"/>
      <c r="BU282" s="1190"/>
      <c r="BV282" s="1190"/>
      <c r="BW282" s="1190"/>
      <c r="BX282" s="1190"/>
      <c r="BY282" s="1190"/>
      <c r="BZ282" s="1190"/>
      <c r="CA282" s="1190"/>
      <c r="CB282" s="1240"/>
      <c r="CC282" s="1240"/>
      <c r="CD282" s="1240"/>
      <c r="CE282" s="1240"/>
      <c r="CF282" s="1190"/>
      <c r="CG282" s="1240"/>
      <c r="CH282" s="1240"/>
      <c r="CI282" s="1240"/>
      <c r="CJ282" s="1240"/>
      <c r="CK282" s="1184"/>
      <c r="CL282" s="1240"/>
      <c r="CM282" s="1240"/>
      <c r="CN282" s="1240"/>
      <c r="CO282" s="1240"/>
      <c r="CP282" s="1184"/>
      <c r="CQ282" s="1240"/>
      <c r="CR282" s="1240"/>
      <c r="CS282" s="1240"/>
      <c r="CT282" s="1240"/>
      <c r="CU282" s="1184"/>
      <c r="CV282" s="1240"/>
      <c r="CW282" s="1240"/>
      <c r="CX282" s="1240"/>
      <c r="CY282" s="1240"/>
      <c r="CZ282" s="1184"/>
      <c r="DB282" s="2109"/>
      <c r="DC282" s="2109"/>
    </row>
    <row r="283" spans="1:107" s="1178" customFormat="1" ht="11.25" hidden="1" outlineLevel="1">
      <c r="A283" s="1191"/>
      <c r="B283" s="1191"/>
      <c r="C283" s="1182" t="s">
        <v>1125</v>
      </c>
      <c r="D283" s="1191"/>
      <c r="E283" s="1191"/>
      <c r="F283" s="1191"/>
      <c r="G283" s="1191"/>
      <c r="H283" s="1191"/>
      <c r="I283" s="1191"/>
      <c r="J283" s="1191"/>
      <c r="K283" s="1191"/>
      <c r="L283" s="1191"/>
      <c r="M283" s="1191"/>
      <c r="N283" s="1182"/>
      <c r="O283" s="1191"/>
      <c r="P283" s="1191"/>
      <c r="Q283" s="1191"/>
      <c r="R283" s="1191"/>
      <c r="S283" s="1182"/>
      <c r="T283" s="1191"/>
      <c r="U283" s="1191"/>
      <c r="V283" s="1191"/>
      <c r="W283" s="1191"/>
      <c r="X283" s="1182"/>
      <c r="Y283" s="1191"/>
      <c r="Z283" s="1191"/>
      <c r="AA283" s="1191"/>
      <c r="AB283" s="1191"/>
      <c r="AC283" s="1182"/>
      <c r="AD283" s="1191"/>
      <c r="AE283" s="1191"/>
      <c r="AF283" s="1191"/>
      <c r="AG283" s="1191"/>
      <c r="AH283" s="1182"/>
      <c r="AI283" s="1191"/>
      <c r="AJ283" s="1191"/>
      <c r="AK283" s="1191"/>
      <c r="AL283" s="1191"/>
      <c r="AM283" s="1191">
        <v>39</v>
      </c>
      <c r="AN283" s="1191"/>
      <c r="AO283" s="1191"/>
      <c r="AP283" s="1191"/>
      <c r="AQ283" s="1191"/>
      <c r="AR283" s="1191">
        <v>68</v>
      </c>
      <c r="AS283" s="1191"/>
      <c r="AT283" s="1191"/>
      <c r="AU283" s="1191"/>
      <c r="AV283" s="1191"/>
      <c r="AW283" s="1191">
        <v>53</v>
      </c>
      <c r="AX283" s="1191"/>
      <c r="AY283" s="1191"/>
      <c r="AZ283" s="1191"/>
      <c r="BA283" s="1191"/>
      <c r="BB283" s="1191">
        <v>116</v>
      </c>
      <c r="BC283" s="1182"/>
      <c r="BD283" s="1182"/>
      <c r="BE283" s="1182"/>
      <c r="BF283" s="1182"/>
      <c r="BG283" s="1182"/>
      <c r="BH283" s="1182"/>
      <c r="BI283" s="1182"/>
      <c r="BJ283" s="1182"/>
      <c r="BK283" s="1182"/>
      <c r="BL283" s="1182"/>
      <c r="BM283" s="1182"/>
      <c r="BN283" s="1182"/>
      <c r="BO283" s="1182"/>
      <c r="BP283" s="1182"/>
      <c r="BQ283" s="1190"/>
      <c r="BR283" s="1190"/>
      <c r="BS283" s="1190"/>
      <c r="BT283" s="1190"/>
      <c r="BU283" s="1190"/>
      <c r="BV283" s="1190"/>
      <c r="BW283" s="1190"/>
      <c r="BX283" s="1190"/>
      <c r="BY283" s="1190"/>
      <c r="BZ283" s="1190"/>
      <c r="CA283" s="1190"/>
      <c r="CB283" s="1240"/>
      <c r="CC283" s="1240"/>
      <c r="CD283" s="1240"/>
      <c r="CE283" s="1240"/>
      <c r="CF283" s="1190"/>
      <c r="CG283" s="1240"/>
      <c r="CH283" s="1240"/>
      <c r="CI283" s="1240"/>
      <c r="CJ283" s="1240"/>
      <c r="CK283" s="1184"/>
      <c r="CL283" s="1240"/>
      <c r="CM283" s="1240"/>
      <c r="CN283" s="1240"/>
      <c r="CO283" s="1240"/>
      <c r="CP283" s="1184"/>
      <c r="CQ283" s="1240"/>
      <c r="CR283" s="1240"/>
      <c r="CS283" s="1240"/>
      <c r="CT283" s="1240"/>
      <c r="CU283" s="1184"/>
      <c r="CV283" s="1240"/>
      <c r="CW283" s="1240"/>
      <c r="CX283" s="1240"/>
      <c r="CY283" s="1240"/>
      <c r="CZ283" s="1184"/>
      <c r="DB283" s="2109"/>
      <c r="DC283" s="2109"/>
    </row>
    <row r="284" spans="1:107" s="1178" customFormat="1" ht="11.25" collapsed="1">
      <c r="A284" s="1191"/>
      <c r="B284" s="1191"/>
      <c r="C284" s="1191"/>
      <c r="D284" s="1191"/>
      <c r="E284" s="1191"/>
      <c r="F284" s="1191"/>
      <c r="G284" s="1191"/>
      <c r="H284" s="1191"/>
      <c r="I284" s="1191"/>
      <c r="J284" s="1191"/>
      <c r="K284" s="1191"/>
      <c r="L284" s="1191"/>
      <c r="M284" s="1191"/>
      <c r="N284" s="1182"/>
      <c r="O284" s="1191"/>
      <c r="P284" s="1191"/>
      <c r="Q284" s="1191"/>
      <c r="R284" s="1191"/>
      <c r="S284" s="1182"/>
      <c r="T284" s="1191"/>
      <c r="U284" s="1191"/>
      <c r="V284" s="1191"/>
      <c r="W284" s="1191"/>
      <c r="X284" s="1182"/>
      <c r="Y284" s="1191"/>
      <c r="Z284" s="1191"/>
      <c r="AA284" s="1191"/>
      <c r="AB284" s="1191"/>
      <c r="AC284" s="1182"/>
      <c r="AD284" s="1191"/>
      <c r="AE284" s="1191"/>
      <c r="AF284" s="1191"/>
      <c r="AG284" s="1191"/>
      <c r="AH284" s="1182"/>
      <c r="AI284" s="1191"/>
      <c r="AJ284" s="1191"/>
      <c r="AK284" s="1191"/>
      <c r="AL284" s="1191"/>
      <c r="AM284" s="1182"/>
      <c r="AN284" s="1191"/>
      <c r="AO284" s="1191"/>
      <c r="AP284" s="1191"/>
      <c r="AQ284" s="1191"/>
      <c r="AR284" s="1182"/>
      <c r="AS284" s="1182"/>
      <c r="AT284" s="1182"/>
      <c r="AU284" s="1182"/>
      <c r="AV284" s="1182"/>
      <c r="AW284" s="1182"/>
      <c r="AX284" s="1182"/>
      <c r="AY284" s="1182"/>
      <c r="AZ284" s="1182"/>
      <c r="BA284" s="1182"/>
      <c r="BB284" s="1182"/>
      <c r="BC284" s="1182"/>
      <c r="BD284" s="1182"/>
      <c r="BE284" s="1182"/>
      <c r="BF284" s="1182"/>
      <c r="BG284" s="1182"/>
      <c r="BH284" s="1182"/>
      <c r="BI284" s="1182"/>
      <c r="BJ284" s="1182"/>
      <c r="BK284" s="1182"/>
      <c r="BL284" s="1182"/>
      <c r="BM284" s="1182"/>
      <c r="BN284" s="1182"/>
      <c r="BO284" s="1182"/>
      <c r="BP284" s="1182"/>
      <c r="BQ284" s="1190"/>
      <c r="BR284" s="1190"/>
      <c r="BS284" s="1190"/>
      <c r="BT284" s="1190"/>
      <c r="BU284" s="1190"/>
      <c r="BV284" s="1190"/>
      <c r="BW284" s="1190"/>
      <c r="BX284" s="1190"/>
      <c r="BY284" s="1190"/>
      <c r="BZ284" s="1190"/>
      <c r="CA284" s="1190"/>
      <c r="CB284" s="1240"/>
      <c r="CC284" s="1240"/>
      <c r="CD284" s="1240"/>
      <c r="CE284" s="1240"/>
      <c r="CF284" s="1190"/>
      <c r="CG284" s="1240"/>
      <c r="CH284" s="1240"/>
      <c r="CI284" s="1240"/>
      <c r="CJ284" s="1240"/>
      <c r="CK284" s="1184"/>
      <c r="CL284" s="1240"/>
      <c r="CM284" s="1240"/>
      <c r="CN284" s="1240"/>
      <c r="CO284" s="1240"/>
      <c r="CP284" s="1184"/>
      <c r="CQ284" s="1240"/>
      <c r="CR284" s="1240"/>
      <c r="CS284" s="1240"/>
      <c r="CT284" s="1240"/>
      <c r="CU284" s="1184"/>
      <c r="CV284" s="1240"/>
      <c r="CW284" s="1240"/>
      <c r="CX284" s="1240"/>
      <c r="CY284" s="1240"/>
      <c r="CZ284" s="1184"/>
      <c r="DB284" s="2109"/>
      <c r="DC284" s="2109"/>
    </row>
    <row r="285" spans="1:107" s="1178" customFormat="1" ht="11.25">
      <c r="A285" s="1191"/>
      <c r="B285" s="1191"/>
      <c r="C285" s="1191"/>
      <c r="D285" s="1191"/>
      <c r="E285" s="1191"/>
      <c r="F285" s="1191"/>
      <c r="G285" s="1191"/>
      <c r="H285" s="1191"/>
      <c r="I285" s="1191"/>
      <c r="J285" s="1191"/>
      <c r="K285" s="1191"/>
      <c r="L285" s="1191"/>
      <c r="M285" s="1191"/>
      <c r="N285" s="1182"/>
      <c r="O285" s="1191"/>
      <c r="P285" s="1191"/>
      <c r="Q285" s="1191"/>
      <c r="R285" s="1191"/>
      <c r="S285" s="1182"/>
      <c r="T285" s="1191"/>
      <c r="U285" s="1191"/>
      <c r="V285" s="1191"/>
      <c r="W285" s="1191"/>
      <c r="X285" s="1182"/>
      <c r="Y285" s="1191"/>
      <c r="Z285" s="1191"/>
      <c r="AA285" s="1191"/>
      <c r="AB285" s="1191"/>
      <c r="AC285" s="1182"/>
      <c r="AD285" s="1191"/>
      <c r="AE285" s="1191"/>
      <c r="AF285" s="1191"/>
      <c r="AG285" s="1191"/>
      <c r="AH285" s="1182"/>
      <c r="AI285" s="1191"/>
      <c r="AJ285" s="1191"/>
      <c r="AK285" s="1191"/>
      <c r="AL285" s="1191"/>
      <c r="AM285" s="1182"/>
      <c r="AN285" s="1191"/>
      <c r="AO285" s="1191"/>
      <c r="AP285" s="1191"/>
      <c r="AQ285" s="1191"/>
      <c r="AR285" s="1182"/>
      <c r="AS285" s="1182"/>
      <c r="AT285" s="1182"/>
      <c r="AU285" s="1182"/>
      <c r="AV285" s="1182"/>
      <c r="AW285" s="1182"/>
      <c r="AX285" s="1182"/>
      <c r="AY285" s="1182"/>
      <c r="AZ285" s="1182"/>
      <c r="BA285" s="1182"/>
      <c r="BB285" s="1182"/>
      <c r="BC285" s="1182"/>
      <c r="BD285" s="1182"/>
      <c r="BE285" s="1182"/>
      <c r="BF285" s="1182"/>
      <c r="BG285" s="1182"/>
      <c r="BH285" s="1182"/>
      <c r="BI285" s="1182"/>
      <c r="BJ285" s="1182"/>
      <c r="BK285" s="1182"/>
      <c r="BL285" s="1182"/>
      <c r="BM285" s="1182"/>
      <c r="BN285" s="1182"/>
      <c r="BO285" s="1182"/>
      <c r="BP285" s="1182"/>
      <c r="BQ285" s="1190"/>
      <c r="BR285" s="1190"/>
      <c r="BS285" s="1190"/>
      <c r="BT285" s="1190"/>
      <c r="BU285" s="1190"/>
      <c r="BV285" s="1190"/>
      <c r="BW285" s="1190"/>
      <c r="BX285" s="1190"/>
      <c r="BY285" s="1190"/>
      <c r="BZ285" s="1190"/>
      <c r="CA285" s="1190"/>
      <c r="CB285" s="1240"/>
      <c r="CC285" s="1240"/>
      <c r="CD285" s="1240"/>
      <c r="CE285" s="1240"/>
      <c r="CF285" s="1190"/>
      <c r="CG285" s="1240"/>
      <c r="CH285" s="1240"/>
      <c r="CI285" s="1240"/>
      <c r="CJ285" s="1240"/>
      <c r="CK285" s="1184"/>
      <c r="CL285" s="1240"/>
      <c r="CM285" s="1240"/>
      <c r="CN285" s="1240"/>
      <c r="CO285" s="1240"/>
      <c r="CP285" s="1184"/>
      <c r="CQ285" s="1240"/>
      <c r="CR285" s="1240"/>
      <c r="CS285" s="1240"/>
      <c r="CT285" s="1240"/>
      <c r="CU285" s="1184"/>
      <c r="CV285" s="1240"/>
      <c r="CW285" s="1240"/>
      <c r="CX285" s="1240"/>
      <c r="CY285" s="1240"/>
      <c r="CZ285" s="1184"/>
      <c r="DB285" s="2109"/>
      <c r="DC285" s="2109"/>
    </row>
    <row r="286" spans="1:107" s="1178" customFormat="1" ht="11.25">
      <c r="A286" s="1220"/>
      <c r="B286" s="1219" t="s">
        <v>615</v>
      </c>
      <c r="C286" s="1220"/>
      <c r="D286" s="1220"/>
      <c r="E286" s="1220"/>
      <c r="F286" s="1220"/>
      <c r="G286" s="1220"/>
      <c r="H286" s="1220"/>
      <c r="I286" s="1220"/>
      <c r="J286" s="1220"/>
      <c r="K286" s="1220"/>
      <c r="L286" s="1220"/>
      <c r="M286" s="1220"/>
      <c r="N286" s="1219"/>
      <c r="O286" s="1220"/>
      <c r="P286" s="1220"/>
      <c r="Q286" s="1220"/>
      <c r="R286" s="1220"/>
      <c r="S286" s="1219"/>
      <c r="T286" s="1220"/>
      <c r="U286" s="1220"/>
      <c r="V286" s="1220"/>
      <c r="W286" s="1220"/>
      <c r="X286" s="1219"/>
      <c r="Y286" s="1220"/>
      <c r="Z286" s="1220"/>
      <c r="AA286" s="1220"/>
      <c r="AB286" s="1220"/>
      <c r="AC286" s="1219"/>
      <c r="AD286" s="1220"/>
      <c r="AE286" s="1220"/>
      <c r="AF286" s="1220"/>
      <c r="AG286" s="1220"/>
      <c r="AH286" s="1219"/>
      <c r="AI286" s="1220"/>
      <c r="AJ286" s="1220"/>
      <c r="AK286" s="1220"/>
      <c r="AL286" s="1220"/>
      <c r="AM286" s="1219"/>
      <c r="AN286" s="1220"/>
      <c r="AO286" s="1220"/>
      <c r="AP286" s="1220"/>
      <c r="AQ286" s="1220"/>
      <c r="AR286" s="1219"/>
      <c r="AS286" s="1219"/>
      <c r="AT286" s="1219"/>
      <c r="AU286" s="1219"/>
      <c r="AV286" s="1219"/>
      <c r="AW286" s="1219"/>
      <c r="AX286" s="1219"/>
      <c r="AY286" s="1219"/>
      <c r="AZ286" s="1219"/>
      <c r="BA286" s="1219"/>
      <c r="BB286" s="1219"/>
      <c r="BC286" s="1219"/>
      <c r="BD286" s="1219"/>
      <c r="BE286" s="1219"/>
      <c r="BF286" s="1219"/>
      <c r="BG286" s="1219"/>
      <c r="BH286" s="1219"/>
      <c r="BI286" s="1219"/>
      <c r="BJ286" s="1219"/>
      <c r="BK286" s="1219"/>
      <c r="BL286" s="1219"/>
      <c r="BM286" s="1219"/>
      <c r="BN286" s="1219"/>
      <c r="BO286" s="1219"/>
      <c r="BP286" s="1219"/>
      <c r="BQ286" s="1218"/>
      <c r="BR286" s="1218"/>
      <c r="BS286" s="1218"/>
      <c r="BT286" s="1218"/>
      <c r="BU286" s="1218"/>
      <c r="BV286" s="1218"/>
      <c r="BW286" s="1218"/>
      <c r="BX286" s="1218"/>
      <c r="BY286" s="1218"/>
      <c r="BZ286" s="1218"/>
      <c r="CA286" s="1218"/>
      <c r="CB286" s="1655"/>
      <c r="CC286" s="1655"/>
      <c r="CD286" s="1655"/>
      <c r="CE286" s="1655"/>
      <c r="CF286" s="1218"/>
      <c r="CG286" s="1655"/>
      <c r="CH286" s="1655"/>
      <c r="CI286" s="1655"/>
      <c r="CJ286" s="1655"/>
      <c r="CK286" s="1217"/>
      <c r="CL286" s="1655"/>
      <c r="CM286" s="1655"/>
      <c r="CN286" s="1655"/>
      <c r="CO286" s="1655"/>
      <c r="CP286" s="1217"/>
      <c r="CQ286" s="1655"/>
      <c r="CR286" s="1655"/>
      <c r="CS286" s="1655"/>
      <c r="CT286" s="1655"/>
      <c r="CU286" s="1217"/>
      <c r="CV286" s="1655"/>
      <c r="CW286" s="1655"/>
      <c r="CX286" s="1655"/>
      <c r="CY286" s="1655"/>
      <c r="CZ286" s="1217"/>
      <c r="DB286" s="2109"/>
      <c r="DC286" s="2109"/>
    </row>
    <row r="287" spans="1:107" s="1178" customFormat="1" ht="11.25" hidden="1" outlineLevel="1">
      <c r="A287" s="1191"/>
      <c r="B287" s="1182"/>
      <c r="C287" s="1191"/>
      <c r="D287" s="1191"/>
      <c r="E287" s="1191"/>
      <c r="F287" s="1191"/>
      <c r="G287" s="1191"/>
      <c r="H287" s="1191"/>
      <c r="I287" s="1191"/>
      <c r="J287" s="1191"/>
      <c r="K287" s="1191"/>
      <c r="L287" s="1191"/>
      <c r="M287" s="1191"/>
      <c r="N287" s="1182"/>
      <c r="O287" s="1191"/>
      <c r="P287" s="1191"/>
      <c r="Q287" s="1191"/>
      <c r="R287" s="1191"/>
      <c r="S287" s="1182"/>
      <c r="T287" s="1191"/>
      <c r="U287" s="1191"/>
      <c r="V287" s="1191"/>
      <c r="W287" s="1191"/>
      <c r="X287" s="1182"/>
      <c r="Y287" s="1191"/>
      <c r="Z287" s="1191"/>
      <c r="AA287" s="1191"/>
      <c r="AB287" s="1191"/>
      <c r="AC287" s="1182"/>
      <c r="AD287" s="1191"/>
      <c r="AE287" s="1191"/>
      <c r="AF287" s="1191"/>
      <c r="AG287" s="1191"/>
      <c r="AH287" s="1182"/>
      <c r="AI287" s="1191"/>
      <c r="AJ287" s="1191"/>
      <c r="AK287" s="1191"/>
      <c r="AL287" s="1191"/>
      <c r="AM287" s="1182"/>
      <c r="AN287" s="1191"/>
      <c r="AO287" s="1191"/>
      <c r="AP287" s="1191"/>
      <c r="AQ287" s="1191"/>
      <c r="AR287" s="1182"/>
      <c r="AS287" s="1182"/>
      <c r="AT287" s="1182"/>
      <c r="AU287" s="1182"/>
      <c r="AV287" s="1182"/>
      <c r="AW287" s="1182"/>
      <c r="AX287" s="1182"/>
      <c r="AY287" s="1182"/>
      <c r="AZ287" s="1182"/>
      <c r="BA287" s="1182"/>
      <c r="BB287" s="1182"/>
      <c r="BC287" s="1182"/>
      <c r="BD287" s="1182"/>
      <c r="BE287" s="1182"/>
      <c r="BF287" s="1182"/>
      <c r="BG287" s="1182"/>
      <c r="BH287" s="1182"/>
      <c r="BI287" s="1182"/>
      <c r="BJ287" s="1182"/>
      <c r="BK287" s="1182"/>
      <c r="BL287" s="1182"/>
      <c r="BM287" s="1182"/>
      <c r="BN287" s="1182"/>
      <c r="BO287" s="1182"/>
      <c r="BP287" s="1182"/>
      <c r="BQ287" s="1190"/>
      <c r="BR287" s="1190"/>
      <c r="BS287" s="1190"/>
      <c r="BT287" s="1190"/>
      <c r="BU287" s="1190"/>
      <c r="BV287" s="1190"/>
      <c r="BW287" s="1190"/>
      <c r="BX287" s="1190"/>
      <c r="BY287" s="1190"/>
      <c r="BZ287" s="1190"/>
      <c r="CA287" s="1190"/>
      <c r="CB287" s="1240"/>
      <c r="CC287" s="1240"/>
      <c r="CD287" s="1240"/>
      <c r="CE287" s="1240"/>
      <c r="CF287" s="1190"/>
      <c r="CG287" s="1240"/>
      <c r="CH287" s="1240"/>
      <c r="CI287" s="1240"/>
      <c r="CJ287" s="1240"/>
      <c r="CK287" s="1184"/>
      <c r="CL287" s="1240"/>
      <c r="CM287" s="1240"/>
      <c r="CN287" s="1240"/>
      <c r="CO287" s="1240"/>
      <c r="CP287" s="1184"/>
      <c r="CQ287" s="1240"/>
      <c r="CR287" s="1240"/>
      <c r="CS287" s="1240"/>
      <c r="CT287" s="1240"/>
      <c r="CU287" s="1184"/>
      <c r="CV287" s="1240"/>
      <c r="CW287" s="1240"/>
      <c r="CX287" s="1240"/>
      <c r="CY287" s="1240"/>
      <c r="CZ287" s="1184"/>
      <c r="DB287" s="2109"/>
      <c r="DC287" s="2109"/>
    </row>
    <row r="288" spans="1:107" s="1178" customFormat="1" ht="11.25" hidden="1" outlineLevel="1">
      <c r="A288" s="264"/>
      <c r="B288" s="266" t="s">
        <v>1124</v>
      </c>
      <c r="C288" s="268"/>
      <c r="D288" s="264"/>
      <c r="E288" s="264"/>
      <c r="F288" s="264"/>
      <c r="G288" s="264"/>
      <c r="H288" s="264"/>
      <c r="I288" s="264"/>
      <c r="J288" s="266"/>
      <c r="K288" s="264"/>
      <c r="L288" s="264"/>
      <c r="M288" s="264"/>
      <c r="N288" s="264"/>
      <c r="O288" s="266"/>
      <c r="P288" s="264"/>
      <c r="Q288" s="264"/>
      <c r="R288" s="264"/>
      <c r="S288" s="264"/>
      <c r="T288" s="266"/>
      <c r="U288" s="264"/>
      <c r="V288" s="264"/>
      <c r="W288" s="264"/>
      <c r="X288" s="264"/>
      <c r="Y288" s="266"/>
      <c r="Z288" s="264"/>
      <c r="AA288" s="264"/>
      <c r="AB288" s="264"/>
      <c r="AC288" s="264"/>
      <c r="AD288" s="1000"/>
      <c r="AE288" s="264"/>
      <c r="AF288" s="264"/>
      <c r="AG288" s="264"/>
      <c r="AH288" s="264"/>
      <c r="AI288" s="1000"/>
      <c r="AJ288" s="264"/>
      <c r="AK288" s="264"/>
      <c r="AL288" s="264"/>
      <c r="AM288" s="264"/>
      <c r="AN288" s="1000"/>
      <c r="AO288" s="1000"/>
      <c r="AP288" s="1000"/>
      <c r="AQ288" s="1000"/>
      <c r="AR288" s="1000"/>
      <c r="AS288" s="266"/>
      <c r="AT288" s="266"/>
      <c r="AU288" s="266"/>
      <c r="AV288" s="266"/>
      <c r="AW288" s="266"/>
      <c r="AX288" s="266"/>
      <c r="AY288" s="266"/>
      <c r="AZ288" s="266"/>
      <c r="BA288" s="266"/>
      <c r="BB288" s="266"/>
      <c r="BC288" s="266"/>
      <c r="BD288" s="266"/>
      <c r="BE288" s="266"/>
      <c r="BF288" s="266"/>
      <c r="BG288" s="266"/>
      <c r="BH288" s="266"/>
      <c r="BI288" s="1000"/>
      <c r="BJ288" s="265"/>
      <c r="BK288" s="265"/>
      <c r="BL288" s="116"/>
      <c r="BM288" s="116"/>
      <c r="BN288" s="116"/>
      <c r="BO288" s="116"/>
      <c r="BP288" s="116"/>
      <c r="BQ288" s="116"/>
      <c r="BR288" s="116"/>
      <c r="BS288" s="116"/>
      <c r="BT288" s="116"/>
      <c r="BU288" s="116"/>
      <c r="BV288" s="116"/>
      <c r="BW288" s="116"/>
      <c r="BX288" s="116"/>
      <c r="BY288" s="116"/>
      <c r="BZ288" s="116"/>
      <c r="CA288" s="116"/>
      <c r="CB288" s="524"/>
      <c r="CC288" s="524"/>
      <c r="CD288" s="524"/>
      <c r="CE288" s="524"/>
      <c r="CF288" s="116"/>
      <c r="CG288" s="524"/>
      <c r="CH288" s="524"/>
      <c r="CI288" s="524"/>
      <c r="CJ288" s="524"/>
      <c r="CK288" s="268"/>
      <c r="CL288" s="524"/>
      <c r="CM288" s="524"/>
      <c r="CN288" s="524"/>
      <c r="CO288" s="524"/>
      <c r="CP288" s="268"/>
      <c r="CQ288" s="524"/>
      <c r="CR288" s="524"/>
      <c r="CS288" s="524"/>
      <c r="CT288" s="524"/>
      <c r="CU288" s="268"/>
      <c r="CV288" s="524"/>
      <c r="CW288" s="524"/>
      <c r="CX288" s="524"/>
      <c r="CY288" s="524"/>
      <c r="CZ288" s="268"/>
      <c r="DB288" s="2109"/>
      <c r="DC288" s="2109"/>
    </row>
    <row r="289" spans="1:107" s="1178" customFormat="1" ht="11.25" hidden="1" outlineLevel="1">
      <c r="A289" s="264"/>
      <c r="B289" s="264" t="s">
        <v>941</v>
      </c>
      <c r="C289" s="268"/>
      <c r="D289" s="264"/>
      <c r="E289" s="264"/>
      <c r="F289" s="264"/>
      <c r="G289" s="264"/>
      <c r="H289" s="264"/>
      <c r="I289" s="264"/>
      <c r="J289" s="268"/>
      <c r="K289" s="268"/>
      <c r="L289" s="268"/>
      <c r="M289" s="268"/>
      <c r="N289" s="1034">
        <v>7345</v>
      </c>
      <c r="O289" s="264"/>
      <c r="P289" s="264"/>
      <c r="Q289" s="264"/>
      <c r="R289" s="264"/>
      <c r="S289" s="1034">
        <v>7656</v>
      </c>
      <c r="T289" s="264"/>
      <c r="U289" s="264"/>
      <c r="V289" s="264"/>
      <c r="W289" s="264"/>
      <c r="X289" s="1034">
        <v>7629</v>
      </c>
      <c r="Y289" s="264"/>
      <c r="Z289" s="264"/>
      <c r="AA289" s="264"/>
      <c r="AB289" s="264"/>
      <c r="AC289" s="1034">
        <v>7484</v>
      </c>
      <c r="AD289" s="264"/>
      <c r="AE289" s="264"/>
      <c r="AF289" s="264"/>
      <c r="AG289" s="264"/>
      <c r="AH289" s="1035">
        <v>8281</v>
      </c>
      <c r="AI289" s="264"/>
      <c r="AJ289" s="264"/>
      <c r="AK289" s="264"/>
      <c r="AL289" s="264"/>
      <c r="AM289" s="1035">
        <v>9295</v>
      </c>
      <c r="AN289" s="264"/>
      <c r="AO289" s="264"/>
      <c r="AP289" s="264"/>
      <c r="AQ289" s="264"/>
      <c r="AR289" s="1035">
        <v>11112</v>
      </c>
      <c r="AS289" s="265"/>
      <c r="AT289" s="265"/>
      <c r="AU289" s="265"/>
      <c r="AV289" s="265"/>
      <c r="AW289" s="1034">
        <v>12129</v>
      </c>
      <c r="AX289" s="268"/>
      <c r="AY289" s="268"/>
      <c r="AZ289" s="268"/>
      <c r="BA289" s="268"/>
      <c r="BB289" s="268"/>
      <c r="BC289" s="266"/>
      <c r="BD289" s="266"/>
      <c r="BE289" s="266"/>
      <c r="BF289" s="266"/>
      <c r="BG289" s="266"/>
      <c r="BH289" s="266"/>
      <c r="BI289" s="1000"/>
      <c r="BJ289" s="265"/>
      <c r="BK289" s="265"/>
      <c r="BL289" s="116"/>
      <c r="BM289" s="116"/>
      <c r="BN289" s="116"/>
      <c r="BO289" s="116"/>
      <c r="BP289" s="116"/>
      <c r="BQ289" s="116"/>
      <c r="BR289" s="116"/>
      <c r="BS289" s="116"/>
      <c r="BT289" s="116"/>
      <c r="BU289" s="116"/>
      <c r="BV289" s="116"/>
      <c r="BW289" s="116"/>
      <c r="BX289" s="116"/>
      <c r="BY289" s="116"/>
      <c r="BZ289" s="116"/>
      <c r="CA289" s="116"/>
      <c r="CB289" s="524"/>
      <c r="CC289" s="524"/>
      <c r="CD289" s="524"/>
      <c r="CE289" s="524"/>
      <c r="CF289" s="116"/>
      <c r="CG289" s="524"/>
      <c r="CH289" s="524"/>
      <c r="CI289" s="524"/>
      <c r="CJ289" s="524"/>
      <c r="CK289" s="268"/>
      <c r="CL289" s="524"/>
      <c r="CM289" s="524"/>
      <c r="CN289" s="524"/>
      <c r="CO289" s="524"/>
      <c r="CP289" s="268"/>
      <c r="CQ289" s="524"/>
      <c r="CR289" s="524"/>
      <c r="CS289" s="524"/>
      <c r="CT289" s="524"/>
      <c r="CU289" s="268"/>
      <c r="CV289" s="524"/>
      <c r="CW289" s="524"/>
      <c r="CX289" s="524"/>
      <c r="CY289" s="524"/>
      <c r="CZ289" s="268"/>
      <c r="DB289" s="2109"/>
      <c r="DC289" s="2109"/>
    </row>
    <row r="290" spans="1:107" s="1178" customFormat="1" ht="11.25" hidden="1" outlineLevel="1">
      <c r="A290" s="264"/>
      <c r="B290" s="264" t="s">
        <v>940</v>
      </c>
      <c r="C290" s="268"/>
      <c r="D290" s="264"/>
      <c r="E290" s="264"/>
      <c r="F290" s="264"/>
      <c r="G290" s="264"/>
      <c r="H290" s="264"/>
      <c r="I290" s="264"/>
      <c r="J290" s="268"/>
      <c r="K290" s="268"/>
      <c r="L290" s="268"/>
      <c r="M290" s="268"/>
      <c r="N290" s="1034">
        <v>7345</v>
      </c>
      <c r="O290" s="264"/>
      <c r="P290" s="264"/>
      <c r="Q290" s="264"/>
      <c r="R290" s="264"/>
      <c r="S290" s="1034">
        <v>7656</v>
      </c>
      <c r="T290" s="264"/>
      <c r="U290" s="264"/>
      <c r="V290" s="264"/>
      <c r="W290" s="264"/>
      <c r="X290" s="1034">
        <v>7629</v>
      </c>
      <c r="Y290" s="264"/>
      <c r="Z290" s="264"/>
      <c r="AA290" s="264"/>
      <c r="AB290" s="264"/>
      <c r="AC290" s="1034">
        <v>7484</v>
      </c>
      <c r="AD290" s="264"/>
      <c r="AE290" s="264"/>
      <c r="AF290" s="264"/>
      <c r="AG290" s="264"/>
      <c r="AH290" s="1035">
        <v>8281</v>
      </c>
      <c r="AI290" s="264"/>
      <c r="AJ290" s="264"/>
      <c r="AK290" s="264"/>
      <c r="AL290" s="264"/>
      <c r="AM290" s="1035">
        <v>9295</v>
      </c>
      <c r="AN290" s="264"/>
      <c r="AO290" s="264"/>
      <c r="AP290" s="264"/>
      <c r="AQ290" s="264"/>
      <c r="AR290" s="1035">
        <v>11087</v>
      </c>
      <c r="AS290" s="265"/>
      <c r="AT290" s="265"/>
      <c r="AU290" s="265"/>
      <c r="AV290" s="265"/>
      <c r="AW290" s="1034">
        <v>12089</v>
      </c>
      <c r="AX290" s="268"/>
      <c r="AY290" s="268"/>
      <c r="AZ290" s="268"/>
      <c r="BA290" s="268"/>
      <c r="BB290" s="268"/>
      <c r="BC290" s="266"/>
      <c r="BD290" s="266"/>
      <c r="BE290" s="266"/>
      <c r="BF290" s="266"/>
      <c r="BG290" s="266"/>
      <c r="BH290" s="266"/>
      <c r="BI290" s="1000"/>
      <c r="BJ290" s="265"/>
      <c r="BK290" s="265"/>
      <c r="BL290" s="116"/>
      <c r="BM290" s="116"/>
      <c r="BN290" s="116"/>
      <c r="BO290" s="116"/>
      <c r="BP290" s="116"/>
      <c r="BQ290" s="116"/>
      <c r="BR290" s="116"/>
      <c r="BS290" s="116"/>
      <c r="BT290" s="116"/>
      <c r="BU290" s="116"/>
      <c r="BV290" s="116"/>
      <c r="BW290" s="116"/>
      <c r="BX290" s="116"/>
      <c r="BY290" s="116"/>
      <c r="BZ290" s="116"/>
      <c r="CA290" s="116"/>
      <c r="CB290" s="524"/>
      <c r="CC290" s="524"/>
      <c r="CD290" s="524"/>
      <c r="CE290" s="524"/>
      <c r="CF290" s="116"/>
      <c r="CG290" s="524"/>
      <c r="CH290" s="524"/>
      <c r="CI290" s="524"/>
      <c r="CJ290" s="524"/>
      <c r="CK290" s="268"/>
      <c r="CL290" s="524"/>
      <c r="CM290" s="524"/>
      <c r="CN290" s="524"/>
      <c r="CO290" s="524"/>
      <c r="CP290" s="268"/>
      <c r="CQ290" s="524"/>
      <c r="CR290" s="524"/>
      <c r="CS290" s="524"/>
      <c r="CT290" s="524"/>
      <c r="CU290" s="268"/>
      <c r="CV290" s="524"/>
      <c r="CW290" s="524"/>
      <c r="CX290" s="524"/>
      <c r="CY290" s="524"/>
      <c r="CZ290" s="268"/>
      <c r="DB290" s="2109"/>
      <c r="DC290" s="2109"/>
    </row>
    <row r="291" spans="1:107" s="1178" customFormat="1" ht="11.25" hidden="1" outlineLevel="1">
      <c r="A291" s="264"/>
      <c r="B291" s="264" t="s">
        <v>939</v>
      </c>
      <c r="C291" s="268"/>
      <c r="D291" s="264"/>
      <c r="E291" s="264"/>
      <c r="F291" s="264"/>
      <c r="G291" s="264"/>
      <c r="H291" s="264"/>
      <c r="I291" s="264"/>
      <c r="J291" s="268"/>
      <c r="K291" s="268"/>
      <c r="L291" s="268"/>
      <c r="M291" s="268"/>
      <c r="N291" s="1034">
        <v>1150</v>
      </c>
      <c r="O291" s="264"/>
      <c r="P291" s="264"/>
      <c r="Q291" s="264"/>
      <c r="R291" s="264"/>
      <c r="S291" s="1034">
        <v>1250</v>
      </c>
      <c r="T291" s="264"/>
      <c r="U291" s="264"/>
      <c r="V291" s="264"/>
      <c r="W291" s="264"/>
      <c r="X291" s="1034">
        <v>1226</v>
      </c>
      <c r="Y291" s="264"/>
      <c r="Z291" s="264"/>
      <c r="AA291" s="264"/>
      <c r="AB291" s="264"/>
      <c r="AC291" s="1034">
        <v>1063</v>
      </c>
      <c r="AD291" s="264"/>
      <c r="AE291" s="264"/>
      <c r="AF291" s="264"/>
      <c r="AG291" s="264"/>
      <c r="AH291" s="1035">
        <v>1083</v>
      </c>
      <c r="AI291" s="264"/>
      <c r="AJ291" s="264"/>
      <c r="AK291" s="264"/>
      <c r="AL291" s="264"/>
      <c r="AM291" s="1035">
        <v>1449</v>
      </c>
      <c r="AN291" s="264"/>
      <c r="AO291" s="264"/>
      <c r="AP291" s="264"/>
      <c r="AQ291" s="264"/>
      <c r="AR291" s="1035">
        <v>1817</v>
      </c>
      <c r="AS291" s="265"/>
      <c r="AT291" s="265"/>
      <c r="AU291" s="265"/>
      <c r="AV291" s="265"/>
      <c r="AW291" s="1034">
        <v>2011</v>
      </c>
      <c r="AX291" s="268"/>
      <c r="AY291" s="268"/>
      <c r="AZ291" s="268"/>
      <c r="BA291" s="268"/>
      <c r="BB291" s="268"/>
      <c r="BC291" s="266"/>
      <c r="BD291" s="266"/>
      <c r="BE291" s="266"/>
      <c r="BF291" s="266"/>
      <c r="BG291" s="266"/>
      <c r="BH291" s="266"/>
      <c r="BI291" s="1000"/>
      <c r="BJ291" s="265"/>
      <c r="BK291" s="265"/>
      <c r="BL291" s="116"/>
      <c r="BM291" s="116"/>
      <c r="BN291" s="116"/>
      <c r="BO291" s="116"/>
      <c r="BP291" s="116"/>
      <c r="BQ291" s="116"/>
      <c r="BR291" s="116"/>
      <c r="BS291" s="116"/>
      <c r="BT291" s="116"/>
      <c r="BU291" s="116"/>
      <c r="BV291" s="116"/>
      <c r="BW291" s="116"/>
      <c r="BX291" s="116"/>
      <c r="BY291" s="116"/>
      <c r="BZ291" s="116"/>
      <c r="CA291" s="116"/>
      <c r="CB291" s="524"/>
      <c r="CC291" s="524"/>
      <c r="CD291" s="524"/>
      <c r="CE291" s="524"/>
      <c r="CF291" s="116"/>
      <c r="CG291" s="524"/>
      <c r="CH291" s="524"/>
      <c r="CI291" s="524"/>
      <c r="CJ291" s="524"/>
      <c r="CK291" s="268"/>
      <c r="CL291" s="524"/>
      <c r="CM291" s="524"/>
      <c r="CN291" s="524"/>
      <c r="CO291" s="524"/>
      <c r="CP291" s="268"/>
      <c r="CQ291" s="524"/>
      <c r="CR291" s="524"/>
      <c r="CS291" s="524"/>
      <c r="CT291" s="524"/>
      <c r="CU291" s="268"/>
      <c r="CV291" s="524"/>
      <c r="CW291" s="524"/>
      <c r="CX291" s="524"/>
      <c r="CY291" s="524"/>
      <c r="CZ291" s="268"/>
      <c r="DB291" s="2109"/>
      <c r="DC291" s="2109"/>
    </row>
    <row r="292" spans="1:107" s="1178" customFormat="1" ht="11.25" hidden="1" outlineLevel="1">
      <c r="A292" s="264"/>
      <c r="B292" s="264" t="s">
        <v>938</v>
      </c>
      <c r="C292" s="268"/>
      <c r="D292" s="264"/>
      <c r="E292" s="264"/>
      <c r="F292" s="264"/>
      <c r="G292" s="264"/>
      <c r="H292" s="264"/>
      <c r="I292" s="264"/>
      <c r="J292" s="268"/>
      <c r="K292" s="268"/>
      <c r="L292" s="268"/>
      <c r="M292" s="268"/>
      <c r="N292" s="1034">
        <v>1150</v>
      </c>
      <c r="O292" s="264"/>
      <c r="P292" s="264"/>
      <c r="Q292" s="264"/>
      <c r="R292" s="264"/>
      <c r="S292" s="1034">
        <v>1313</v>
      </c>
      <c r="T292" s="264"/>
      <c r="U292" s="264"/>
      <c r="V292" s="264"/>
      <c r="W292" s="264"/>
      <c r="X292" s="1034">
        <v>1272</v>
      </c>
      <c r="Y292" s="264"/>
      <c r="Z292" s="264"/>
      <c r="AA292" s="264"/>
      <c r="AB292" s="264"/>
      <c r="AC292" s="1034">
        <v>1076</v>
      </c>
      <c r="AD292" s="264"/>
      <c r="AE292" s="264"/>
      <c r="AF292" s="264"/>
      <c r="AG292" s="264"/>
      <c r="AH292" s="1035">
        <v>1235</v>
      </c>
      <c r="AI292" s="264"/>
      <c r="AJ292" s="264"/>
      <c r="AK292" s="264"/>
      <c r="AL292" s="264"/>
      <c r="AM292" s="1035">
        <v>1488</v>
      </c>
      <c r="AN292" s="264"/>
      <c r="AO292" s="264"/>
      <c r="AP292" s="264"/>
      <c r="AQ292" s="264"/>
      <c r="AR292" s="1035">
        <v>1776</v>
      </c>
      <c r="AS292" s="265"/>
      <c r="AT292" s="265"/>
      <c r="AU292" s="265"/>
      <c r="AV292" s="265"/>
      <c r="AW292" s="1034">
        <v>2024</v>
      </c>
      <c r="AX292" s="268"/>
      <c r="AY292" s="268"/>
      <c r="AZ292" s="268"/>
      <c r="BA292" s="268"/>
      <c r="BB292" s="268"/>
      <c r="BC292" s="266"/>
      <c r="BD292" s="266"/>
      <c r="BE292" s="266"/>
      <c r="BF292" s="266"/>
      <c r="BG292" s="266"/>
      <c r="BH292" s="266"/>
      <c r="BI292" s="1000"/>
      <c r="BJ292" s="265"/>
      <c r="BK292" s="265"/>
      <c r="BL292" s="116"/>
      <c r="BM292" s="116"/>
      <c r="BN292" s="116"/>
      <c r="BO292" s="116"/>
      <c r="BP292" s="116"/>
      <c r="BQ292" s="116"/>
      <c r="BR292" s="116"/>
      <c r="BS292" s="116"/>
      <c r="BT292" s="116"/>
      <c r="BU292" s="116"/>
      <c r="BV292" s="116"/>
      <c r="BW292" s="116"/>
      <c r="BX292" s="116"/>
      <c r="BY292" s="116"/>
      <c r="BZ292" s="116"/>
      <c r="CA292" s="116"/>
      <c r="CB292" s="524"/>
      <c r="CC292" s="524"/>
      <c r="CD292" s="524"/>
      <c r="CE292" s="524"/>
      <c r="CF292" s="116"/>
      <c r="CG292" s="524"/>
      <c r="CH292" s="524"/>
      <c r="CI292" s="524"/>
      <c r="CJ292" s="524"/>
      <c r="CK292" s="268"/>
      <c r="CL292" s="524"/>
      <c r="CM292" s="524"/>
      <c r="CN292" s="524"/>
      <c r="CO292" s="524"/>
      <c r="CP292" s="268"/>
      <c r="CQ292" s="524"/>
      <c r="CR292" s="524"/>
      <c r="CS292" s="524"/>
      <c r="CT292" s="524"/>
      <c r="CU292" s="268"/>
      <c r="CV292" s="524"/>
      <c r="CW292" s="524"/>
      <c r="CX292" s="524"/>
      <c r="CY292" s="524"/>
      <c r="CZ292" s="268"/>
      <c r="DB292" s="2109"/>
      <c r="DC292" s="2109"/>
    </row>
    <row r="293" spans="1:107" s="1178" customFormat="1" ht="11.25" hidden="1" outlineLevel="1">
      <c r="A293" s="264"/>
      <c r="B293" s="264" t="s">
        <v>622</v>
      </c>
      <c r="C293" s="268"/>
      <c r="D293" s="264"/>
      <c r="E293" s="264"/>
      <c r="F293" s="264"/>
      <c r="G293" s="264"/>
      <c r="H293" s="264"/>
      <c r="I293" s="264"/>
      <c r="J293" s="268"/>
      <c r="K293" s="268"/>
      <c r="L293" s="268"/>
      <c r="M293" s="268"/>
      <c r="N293" s="1045">
        <v>0.157</v>
      </c>
      <c r="O293" s="264"/>
      <c r="P293" s="264"/>
      <c r="Q293" s="264"/>
      <c r="R293" s="264"/>
      <c r="S293" s="1045">
        <v>0.16300000000000001</v>
      </c>
      <c r="T293" s="264"/>
      <c r="U293" s="264"/>
      <c r="V293" s="264"/>
      <c r="W293" s="264"/>
      <c r="X293" s="1045">
        <v>0.161</v>
      </c>
      <c r="Y293" s="264"/>
      <c r="Z293" s="264"/>
      <c r="AA293" s="264"/>
      <c r="AB293" s="264"/>
      <c r="AC293" s="1045">
        <v>0.14199999999999999</v>
      </c>
      <c r="AD293" s="264"/>
      <c r="AE293" s="264"/>
      <c r="AF293" s="264"/>
      <c r="AG293" s="264"/>
      <c r="AH293" s="1654">
        <v>0.13100000000000001</v>
      </c>
      <c r="AI293" s="264"/>
      <c r="AJ293" s="264"/>
      <c r="AK293" s="264"/>
      <c r="AL293" s="264"/>
      <c r="AM293" s="1654">
        <v>0.156</v>
      </c>
      <c r="AN293" s="264"/>
      <c r="AO293" s="264"/>
      <c r="AP293" s="264"/>
      <c r="AQ293" s="264"/>
      <c r="AR293" s="1654">
        <v>0.16400000000000001</v>
      </c>
      <c r="AS293" s="265"/>
      <c r="AT293" s="265"/>
      <c r="AU293" s="265"/>
      <c r="AV293" s="265"/>
      <c r="AW293" s="1045">
        <v>0.16600000000000001</v>
      </c>
      <c r="AX293" s="268"/>
      <c r="AY293" s="268"/>
      <c r="AZ293" s="268"/>
      <c r="BA293" s="268"/>
      <c r="BB293" s="268"/>
      <c r="BC293" s="266"/>
      <c r="BD293" s="266"/>
      <c r="BE293" s="266"/>
      <c r="BF293" s="266"/>
      <c r="BG293" s="266"/>
      <c r="BH293" s="266"/>
      <c r="BI293" s="1000"/>
      <c r="BJ293" s="265"/>
      <c r="BK293" s="265"/>
      <c r="BL293" s="116"/>
      <c r="BM293" s="116"/>
      <c r="BN293" s="116"/>
      <c r="BO293" s="116"/>
      <c r="BP293" s="116"/>
      <c r="BQ293" s="116"/>
      <c r="BR293" s="116"/>
      <c r="BS293" s="116"/>
      <c r="BT293" s="116"/>
      <c r="BU293" s="116"/>
      <c r="BV293" s="116"/>
      <c r="BW293" s="116"/>
      <c r="BX293" s="116"/>
      <c r="BY293" s="116"/>
      <c r="BZ293" s="116"/>
      <c r="CA293" s="116"/>
      <c r="CB293" s="524"/>
      <c r="CC293" s="524"/>
      <c r="CD293" s="524"/>
      <c r="CE293" s="524"/>
      <c r="CF293" s="116"/>
      <c r="CG293" s="524"/>
      <c r="CH293" s="524"/>
      <c r="CI293" s="524"/>
      <c r="CJ293" s="524"/>
      <c r="CK293" s="268"/>
      <c r="CL293" s="524"/>
      <c r="CM293" s="524"/>
      <c r="CN293" s="524"/>
      <c r="CO293" s="524"/>
      <c r="CP293" s="268"/>
      <c r="CQ293" s="524"/>
      <c r="CR293" s="524"/>
      <c r="CS293" s="524"/>
      <c r="CT293" s="524"/>
      <c r="CU293" s="268"/>
      <c r="CV293" s="524"/>
      <c r="CW293" s="524"/>
      <c r="CX293" s="524"/>
      <c r="CY293" s="524"/>
      <c r="CZ293" s="268"/>
      <c r="DB293" s="2109"/>
      <c r="DC293" s="2109"/>
    </row>
    <row r="294" spans="1:107" s="1178" customFormat="1" ht="11.25" hidden="1" outlineLevel="1">
      <c r="A294" s="264"/>
      <c r="B294" s="264" t="s">
        <v>621</v>
      </c>
      <c r="C294" s="268"/>
      <c r="D294" s="264"/>
      <c r="E294" s="264"/>
      <c r="F294" s="264"/>
      <c r="G294" s="264"/>
      <c r="H294" s="264"/>
      <c r="I294" s="264"/>
      <c r="J294" s="268"/>
      <c r="K294" s="268"/>
      <c r="L294" s="268"/>
      <c r="M294" s="268"/>
      <c r="N294" s="1045">
        <v>0.157</v>
      </c>
      <c r="O294" s="264"/>
      <c r="P294" s="264"/>
      <c r="Q294" s="264"/>
      <c r="R294" s="264"/>
      <c r="S294" s="1045">
        <v>0.17100000000000001</v>
      </c>
      <c r="T294" s="264"/>
      <c r="U294" s="264"/>
      <c r="V294" s="264"/>
      <c r="W294" s="264"/>
      <c r="X294" s="1045">
        <v>0.16700000000000001</v>
      </c>
      <c r="Y294" s="264"/>
      <c r="Z294" s="264"/>
      <c r="AA294" s="264"/>
      <c r="AB294" s="264"/>
      <c r="AC294" s="1045">
        <v>0.14399999999999999</v>
      </c>
      <c r="AD294" s="264"/>
      <c r="AE294" s="264"/>
      <c r="AF294" s="264"/>
      <c r="AG294" s="264"/>
      <c r="AH294" s="1654">
        <v>0.14899999999999999</v>
      </c>
      <c r="AI294" s="264"/>
      <c r="AJ294" s="264"/>
      <c r="AK294" s="264"/>
      <c r="AL294" s="264"/>
      <c r="AM294" s="1654">
        <v>0.16</v>
      </c>
      <c r="AN294" s="264"/>
      <c r="AO294" s="264"/>
      <c r="AP294" s="264"/>
      <c r="AQ294" s="264"/>
      <c r="AR294" s="1654">
        <v>0.16</v>
      </c>
      <c r="AS294" s="265"/>
      <c r="AT294" s="265"/>
      <c r="AU294" s="265"/>
      <c r="AV294" s="265"/>
      <c r="AW294" s="1045">
        <v>0.16700000000000001</v>
      </c>
      <c r="AX294" s="268"/>
      <c r="AY294" s="268"/>
      <c r="AZ294" s="268"/>
      <c r="BA294" s="268"/>
      <c r="BB294" s="268"/>
      <c r="BC294" s="266"/>
      <c r="BD294" s="266"/>
      <c r="BE294" s="266"/>
      <c r="BF294" s="266"/>
      <c r="BG294" s="266"/>
      <c r="BH294" s="266"/>
      <c r="BI294" s="1000"/>
      <c r="BJ294" s="265"/>
      <c r="BK294" s="265"/>
      <c r="BL294" s="116"/>
      <c r="BM294" s="116"/>
      <c r="BN294" s="116"/>
      <c r="BO294" s="116"/>
      <c r="BP294" s="116"/>
      <c r="BQ294" s="116"/>
      <c r="BR294" s="116"/>
      <c r="BS294" s="116"/>
      <c r="BT294" s="116"/>
      <c r="BU294" s="116"/>
      <c r="BV294" s="116"/>
      <c r="BW294" s="116"/>
      <c r="BX294" s="116"/>
      <c r="BY294" s="116"/>
      <c r="BZ294" s="116"/>
      <c r="CA294" s="116"/>
      <c r="CB294" s="524"/>
      <c r="CC294" s="524"/>
      <c r="CD294" s="524"/>
      <c r="CE294" s="524"/>
      <c r="CF294" s="116"/>
      <c r="CG294" s="524"/>
      <c r="CH294" s="524"/>
      <c r="CI294" s="524"/>
      <c r="CJ294" s="524"/>
      <c r="CK294" s="268"/>
      <c r="CL294" s="524"/>
      <c r="CM294" s="524"/>
      <c r="CN294" s="524"/>
      <c r="CO294" s="524"/>
      <c r="CP294" s="268"/>
      <c r="CQ294" s="524"/>
      <c r="CR294" s="524"/>
      <c r="CS294" s="524"/>
      <c r="CT294" s="524"/>
      <c r="CU294" s="268"/>
      <c r="CV294" s="524"/>
      <c r="CW294" s="524"/>
      <c r="CX294" s="524"/>
      <c r="CY294" s="524"/>
      <c r="CZ294" s="268"/>
      <c r="DB294" s="2109"/>
      <c r="DC294" s="2109"/>
    </row>
    <row r="295" spans="1:107" s="1178" customFormat="1" ht="11.25" hidden="1" outlineLevel="1">
      <c r="A295" s="1191"/>
      <c r="B295" s="1191"/>
      <c r="C295" s="1156"/>
      <c r="D295" s="1191"/>
      <c r="E295" s="1191"/>
      <c r="F295" s="1191"/>
      <c r="G295" s="1191"/>
      <c r="H295" s="1191"/>
      <c r="I295" s="1191"/>
      <c r="J295" s="1191"/>
      <c r="K295" s="1191"/>
      <c r="L295" s="1191"/>
      <c r="M295" s="1191"/>
      <c r="N295" s="1191"/>
      <c r="O295" s="1191"/>
      <c r="P295" s="1191"/>
      <c r="Q295" s="1191"/>
      <c r="R295" s="1191"/>
      <c r="S295" s="1191"/>
      <c r="T295" s="1191"/>
      <c r="U295" s="1191"/>
      <c r="V295" s="1191"/>
      <c r="W295" s="1191"/>
      <c r="X295" s="1191"/>
      <c r="Y295" s="1191"/>
      <c r="Z295" s="1191"/>
      <c r="AA295" s="1191"/>
      <c r="AB295" s="1191"/>
      <c r="AC295" s="1191"/>
      <c r="AD295" s="1191"/>
      <c r="AE295" s="1191"/>
      <c r="AF295" s="1191"/>
      <c r="AG295" s="1191"/>
      <c r="AH295" s="1182"/>
      <c r="AI295" s="1191"/>
      <c r="AJ295" s="1191"/>
      <c r="AK295" s="1191"/>
      <c r="AL295" s="1191"/>
      <c r="AM295" s="1191"/>
      <c r="AN295" s="1191"/>
      <c r="AO295" s="1191"/>
      <c r="AP295" s="1191"/>
      <c r="AQ295" s="1191"/>
      <c r="AR295" s="1182"/>
      <c r="AS295" s="1182"/>
      <c r="AT295" s="1182"/>
      <c r="AU295" s="1182"/>
      <c r="AV295" s="1182"/>
      <c r="AW295" s="1191"/>
      <c r="AX295" s="1182"/>
      <c r="AY295" s="1182"/>
      <c r="AZ295" s="1182"/>
      <c r="BA295" s="1182"/>
      <c r="BB295" s="1182"/>
      <c r="BC295" s="1182"/>
      <c r="BD295" s="1182"/>
      <c r="BE295" s="1182"/>
      <c r="BF295" s="1190"/>
      <c r="BG295" s="1190"/>
      <c r="BH295" s="1184"/>
      <c r="BI295" s="1184"/>
      <c r="BJ295" s="1184"/>
      <c r="BK295" s="1184"/>
      <c r="BL295" s="1156"/>
      <c r="BM295" s="1156"/>
      <c r="BN295" s="1156"/>
      <c r="BO295" s="1156"/>
      <c r="BP295" s="1156"/>
      <c r="BQ295" s="1156"/>
      <c r="BR295" s="1156"/>
      <c r="BS295" s="1156"/>
      <c r="BT295" s="1156"/>
      <c r="BU295" s="1156"/>
      <c r="BV295" s="1156"/>
      <c r="BW295" s="1156"/>
      <c r="BX295" s="1156"/>
      <c r="BY295" s="1156"/>
      <c r="BZ295" s="1156"/>
      <c r="CA295" s="1156"/>
      <c r="CB295" s="1197"/>
      <c r="CC295" s="1197"/>
      <c r="CD295" s="1197"/>
      <c r="CE295" s="1197"/>
      <c r="CF295" s="1156"/>
      <c r="CG295" s="1197"/>
      <c r="CH295" s="1197"/>
      <c r="CI295" s="1197"/>
      <c r="CJ295" s="1197"/>
      <c r="CK295" s="1156"/>
      <c r="CL295" s="1197"/>
      <c r="CM295" s="1197"/>
      <c r="CN295" s="1197"/>
      <c r="CO295" s="1197"/>
      <c r="CP295" s="1156"/>
      <c r="CQ295" s="1197"/>
      <c r="CR295" s="1197"/>
      <c r="CS295" s="1197"/>
      <c r="CT295" s="1197"/>
      <c r="CU295" s="1156"/>
      <c r="CV295" s="1197"/>
      <c r="CW295" s="1197"/>
      <c r="CX295" s="1197"/>
      <c r="CY295" s="1197"/>
      <c r="CZ295" s="1156"/>
      <c r="DB295" s="2109"/>
      <c r="DC295" s="2109"/>
    </row>
    <row r="296" spans="1:107" s="1178" customFormat="1" ht="11.25" hidden="1" outlineLevel="1">
      <c r="A296" s="1191"/>
      <c r="B296" s="1182" t="s">
        <v>1123</v>
      </c>
      <c r="C296" s="1156"/>
      <c r="D296" s="1191"/>
      <c r="E296" s="1191"/>
      <c r="F296" s="1191"/>
      <c r="G296" s="1191"/>
      <c r="H296" s="1191"/>
      <c r="I296" s="1191"/>
      <c r="J296" s="1191"/>
      <c r="K296" s="1191"/>
      <c r="L296" s="1191"/>
      <c r="M296" s="1191"/>
      <c r="N296" s="1191"/>
      <c r="O296" s="1191"/>
      <c r="P296" s="1191"/>
      <c r="Q296" s="1191"/>
      <c r="R296" s="1191"/>
      <c r="S296" s="1191"/>
      <c r="T296" s="1191"/>
      <c r="U296" s="1191"/>
      <c r="V296" s="1191"/>
      <c r="W296" s="1191"/>
      <c r="X296" s="1191"/>
      <c r="Y296" s="1191"/>
      <c r="Z296" s="1191"/>
      <c r="AA296" s="1191"/>
      <c r="AB296" s="1191"/>
      <c r="AC296" s="1191"/>
      <c r="AD296" s="1191"/>
      <c r="AE296" s="1191"/>
      <c r="AF296" s="1191"/>
      <c r="AG296" s="1191"/>
      <c r="AH296" s="1182"/>
      <c r="AI296" s="1191"/>
      <c r="AJ296" s="1191"/>
      <c r="AK296" s="1191"/>
      <c r="AL296" s="1191"/>
      <c r="AM296" s="1191"/>
      <c r="AN296" s="1191"/>
      <c r="AO296" s="1191"/>
      <c r="AP296" s="1191"/>
      <c r="AQ296" s="1191"/>
      <c r="AR296" s="1182"/>
      <c r="AS296" s="1182">
        <v>20</v>
      </c>
      <c r="AT296" s="1182">
        <v>7</v>
      </c>
      <c r="AU296" s="1182">
        <v>12</v>
      </c>
      <c r="AV296" s="1182">
        <v>14</v>
      </c>
      <c r="AW296" s="1182">
        <v>53</v>
      </c>
      <c r="AX296" s="1182">
        <v>14</v>
      </c>
      <c r="AY296" s="1182"/>
      <c r="AZ296" s="1182"/>
      <c r="BA296" s="1182"/>
      <c r="BB296" s="1182"/>
      <c r="BC296" s="1182"/>
      <c r="BD296" s="1182"/>
      <c r="BE296" s="1182"/>
      <c r="BF296" s="1190"/>
      <c r="BG296" s="1190"/>
      <c r="BH296" s="1184"/>
      <c r="BI296" s="1184"/>
      <c r="BJ296" s="1184"/>
      <c r="BK296" s="1184"/>
      <c r="BL296" s="1156"/>
      <c r="BM296" s="1156"/>
      <c r="BN296" s="1156"/>
      <c r="BO296" s="1156"/>
      <c r="BP296" s="1156"/>
      <c r="BQ296" s="1156"/>
      <c r="BR296" s="1156"/>
      <c r="BS296" s="1156"/>
      <c r="BT296" s="1156"/>
      <c r="BU296" s="1156"/>
      <c r="BV296" s="1156"/>
      <c r="BW296" s="1156"/>
      <c r="BX296" s="1156"/>
      <c r="BY296" s="1156"/>
      <c r="BZ296" s="1156"/>
      <c r="CA296" s="1156"/>
      <c r="CB296" s="1197"/>
      <c r="CC296" s="1197"/>
      <c r="CD296" s="1197"/>
      <c r="CE296" s="1197"/>
      <c r="CF296" s="1156"/>
      <c r="CG296" s="1197"/>
      <c r="CH296" s="1197"/>
      <c r="CI296" s="1197"/>
      <c r="CJ296" s="1197"/>
      <c r="CK296" s="1156"/>
      <c r="CL296" s="1197"/>
      <c r="CM296" s="1197"/>
      <c r="CN296" s="1197"/>
      <c r="CO296" s="1197"/>
      <c r="CP296" s="1156"/>
      <c r="CQ296" s="1197"/>
      <c r="CR296" s="1197"/>
      <c r="CS296" s="1197"/>
      <c r="CT296" s="1197"/>
      <c r="CU296" s="1156"/>
      <c r="CV296" s="1197"/>
      <c r="CW296" s="1197"/>
      <c r="CX296" s="1197"/>
      <c r="CY296" s="1197"/>
      <c r="CZ296" s="1156"/>
      <c r="DB296" s="2109"/>
      <c r="DC296" s="2109"/>
    </row>
    <row r="297" spans="1:107" s="1178" customFormat="1" ht="11.25" hidden="1" outlineLevel="1">
      <c r="A297" s="1191"/>
      <c r="B297" s="1191"/>
      <c r="C297" s="1156"/>
      <c r="D297" s="1191"/>
      <c r="E297" s="1191"/>
      <c r="F297" s="1191"/>
      <c r="G297" s="1191"/>
      <c r="H297" s="1191"/>
      <c r="I297" s="1191"/>
      <c r="J297" s="1191"/>
      <c r="K297" s="1191"/>
      <c r="L297" s="1191"/>
      <c r="M297" s="1191"/>
      <c r="N297" s="1191"/>
      <c r="O297" s="1191"/>
      <c r="P297" s="1191"/>
      <c r="Q297" s="1191"/>
      <c r="R297" s="1191"/>
      <c r="S297" s="1191"/>
      <c r="T297" s="1191"/>
      <c r="U297" s="1191"/>
      <c r="V297" s="1191"/>
      <c r="W297" s="1191"/>
      <c r="X297" s="1191"/>
      <c r="Y297" s="1191"/>
      <c r="Z297" s="1191"/>
      <c r="AA297" s="1191"/>
      <c r="AB297" s="1191"/>
      <c r="AC297" s="1191"/>
      <c r="AD297" s="1191"/>
      <c r="AE297" s="1191"/>
      <c r="AF297" s="1191"/>
      <c r="AG297" s="1191"/>
      <c r="AH297" s="1182"/>
      <c r="AI297" s="1191"/>
      <c r="AJ297" s="1191"/>
      <c r="AK297" s="1191"/>
      <c r="AL297" s="1191"/>
      <c r="AM297" s="1191"/>
      <c r="AN297" s="1191"/>
      <c r="AO297" s="1191"/>
      <c r="AP297" s="1191"/>
      <c r="AQ297" s="1191"/>
      <c r="AR297" s="1182"/>
      <c r="AS297" s="1186"/>
      <c r="AT297" s="1186"/>
      <c r="AU297" s="1186"/>
      <c r="AV297" s="1186"/>
      <c r="AW297" s="1186"/>
      <c r="AX297" s="1186"/>
      <c r="AY297" s="1182"/>
      <c r="AZ297" s="1182"/>
      <c r="BA297" s="1182"/>
      <c r="BB297" s="1182"/>
      <c r="BC297" s="1182"/>
      <c r="BD297" s="1182"/>
      <c r="BE297" s="1182"/>
      <c r="BF297" s="1190"/>
      <c r="BG297" s="1190"/>
      <c r="BH297" s="1184"/>
      <c r="BI297" s="1184"/>
      <c r="BJ297" s="1184"/>
      <c r="BK297" s="1184"/>
      <c r="BL297" s="1156"/>
      <c r="BM297" s="1156"/>
      <c r="BN297" s="1156"/>
      <c r="BO297" s="1156"/>
      <c r="BP297" s="1156"/>
      <c r="BQ297" s="1156"/>
      <c r="BR297" s="1156"/>
      <c r="BS297" s="1156"/>
      <c r="BT297" s="1156"/>
      <c r="BU297" s="1156"/>
      <c r="BV297" s="1156"/>
      <c r="BW297" s="1156"/>
      <c r="BX297" s="1156"/>
      <c r="BY297" s="1156"/>
      <c r="BZ297" s="1156"/>
      <c r="CA297" s="1156"/>
      <c r="CB297" s="1197"/>
      <c r="CC297" s="1197"/>
      <c r="CD297" s="1197"/>
      <c r="CE297" s="1197"/>
      <c r="CF297" s="1156"/>
      <c r="CG297" s="1197"/>
      <c r="CH297" s="1197"/>
      <c r="CI297" s="1197"/>
      <c r="CJ297" s="1197"/>
      <c r="CK297" s="1156"/>
      <c r="CL297" s="1197"/>
      <c r="CM297" s="1197"/>
      <c r="CN297" s="1197"/>
      <c r="CO297" s="1197"/>
      <c r="CP297" s="1156"/>
      <c r="CQ297" s="1197"/>
      <c r="CR297" s="1197"/>
      <c r="CS297" s="1197"/>
      <c r="CT297" s="1197"/>
      <c r="CU297" s="1156"/>
      <c r="CV297" s="1197"/>
      <c r="CW297" s="1197"/>
      <c r="CX297" s="1197"/>
      <c r="CY297" s="1197"/>
      <c r="CZ297" s="1156"/>
      <c r="DB297" s="2109"/>
      <c r="DC297" s="2109"/>
    </row>
    <row r="298" spans="1:107" s="1178" customFormat="1" ht="11.25" hidden="1" outlineLevel="1">
      <c r="A298" s="1191"/>
      <c r="B298" s="1182" t="s">
        <v>1122</v>
      </c>
      <c r="C298" s="1156"/>
      <c r="D298" s="1191"/>
      <c r="E298" s="1191"/>
      <c r="F298" s="1191"/>
      <c r="G298" s="1191"/>
      <c r="H298" s="1191"/>
      <c r="I298" s="1191"/>
      <c r="J298" s="1191"/>
      <c r="K298" s="1191"/>
      <c r="L298" s="1191"/>
      <c r="M298" s="1191"/>
      <c r="N298" s="1191"/>
      <c r="O298" s="1191"/>
      <c r="P298" s="1191"/>
      <c r="Q298" s="1191"/>
      <c r="R298" s="1191"/>
      <c r="S298" s="1191"/>
      <c r="T298" s="1191"/>
      <c r="U298" s="1191"/>
      <c r="V298" s="1191"/>
      <c r="W298" s="1191"/>
      <c r="X298" s="1191"/>
      <c r="Y298" s="1191"/>
      <c r="Z298" s="1191"/>
      <c r="AA298" s="1191"/>
      <c r="AB298" s="1191"/>
      <c r="AC298" s="1191"/>
      <c r="AD298" s="1191"/>
      <c r="AE298" s="1191"/>
      <c r="AF298" s="1191"/>
      <c r="AG298" s="1191"/>
      <c r="AH298" s="1182"/>
      <c r="AI298" s="1191"/>
      <c r="AJ298" s="1191"/>
      <c r="AK298" s="1191"/>
      <c r="AL298" s="1191"/>
      <c r="AM298" s="1191"/>
      <c r="AN298" s="1191"/>
      <c r="AO298" s="1191"/>
      <c r="AP298" s="1191"/>
      <c r="AQ298" s="1191"/>
      <c r="AR298" s="1182"/>
      <c r="AS298" s="1186"/>
      <c r="AT298" s="1186"/>
      <c r="AU298" s="1186"/>
      <c r="AV298" s="1186"/>
      <c r="AW298" s="1186"/>
      <c r="AX298" s="1186"/>
      <c r="AY298" s="1182"/>
      <c r="AZ298" s="1182"/>
      <c r="BA298" s="1182"/>
      <c r="BB298" s="1182"/>
      <c r="BC298" s="1182"/>
      <c r="BD298" s="1182"/>
      <c r="BE298" s="1182"/>
      <c r="BF298" s="1190"/>
      <c r="BG298" s="1190"/>
      <c r="BH298" s="1184"/>
      <c r="BI298" s="1184"/>
      <c r="BJ298" s="1184"/>
      <c r="BK298" s="1184"/>
      <c r="BL298" s="1156"/>
      <c r="BM298" s="1156"/>
      <c r="BN298" s="1156"/>
      <c r="BO298" s="1156"/>
      <c r="BP298" s="1156"/>
      <c r="BQ298" s="1156"/>
      <c r="BR298" s="1156"/>
      <c r="BS298" s="1156"/>
      <c r="BT298" s="1156"/>
      <c r="BU298" s="1156"/>
      <c r="BV298" s="1156"/>
      <c r="BW298" s="1156"/>
      <c r="BX298" s="1156"/>
      <c r="BY298" s="1156"/>
      <c r="BZ298" s="1156"/>
      <c r="CA298" s="1156"/>
      <c r="CB298" s="1197"/>
      <c r="CC298" s="1197"/>
      <c r="CD298" s="1197"/>
      <c r="CE298" s="1197"/>
      <c r="CF298" s="1156"/>
      <c r="CG298" s="1197"/>
      <c r="CH298" s="1197"/>
      <c r="CI298" s="1197"/>
      <c r="CJ298" s="1197"/>
      <c r="CK298" s="1156"/>
      <c r="CL298" s="1197"/>
      <c r="CM298" s="1197"/>
      <c r="CN298" s="1197"/>
      <c r="CO298" s="1197"/>
      <c r="CP298" s="1156"/>
      <c r="CQ298" s="1197"/>
      <c r="CR298" s="1197"/>
      <c r="CS298" s="1197"/>
      <c r="CT298" s="1197"/>
      <c r="CU298" s="1156"/>
      <c r="CV298" s="1197"/>
      <c r="CW298" s="1197"/>
      <c r="CX298" s="1197"/>
      <c r="CY298" s="1197"/>
      <c r="CZ298" s="1156"/>
      <c r="DB298" s="2109"/>
      <c r="DC298" s="2109"/>
    </row>
    <row r="299" spans="1:107" s="1178" customFormat="1" ht="11.25" hidden="1" outlineLevel="1">
      <c r="A299" s="1191"/>
      <c r="B299" s="1191" t="s">
        <v>1121</v>
      </c>
      <c r="C299" s="1156"/>
      <c r="D299" s="1191"/>
      <c r="E299" s="1191"/>
      <c r="F299" s="1191"/>
      <c r="G299" s="1191"/>
      <c r="H299" s="1191"/>
      <c r="I299" s="1191"/>
      <c r="J299" s="1191"/>
      <c r="K299" s="1191"/>
      <c r="L299" s="1191"/>
      <c r="M299" s="1191"/>
      <c r="N299" s="1191"/>
      <c r="O299" s="1191"/>
      <c r="P299" s="1191"/>
      <c r="Q299" s="1191"/>
      <c r="R299" s="1191"/>
      <c r="S299" s="1191"/>
      <c r="T299" s="1191"/>
      <c r="U299" s="1191"/>
      <c r="V299" s="1191"/>
      <c r="W299" s="1191"/>
      <c r="X299" s="1191"/>
      <c r="Y299" s="1191"/>
      <c r="Z299" s="1191"/>
      <c r="AA299" s="1191"/>
      <c r="AB299" s="1191"/>
      <c r="AC299" s="1191"/>
      <c r="AD299" s="1191"/>
      <c r="AE299" s="1191"/>
      <c r="AF299" s="1191"/>
      <c r="AG299" s="1191"/>
      <c r="AH299" s="1182"/>
      <c r="AI299" s="1191"/>
      <c r="AJ299" s="1191"/>
      <c r="AK299" s="1191"/>
      <c r="AL299" s="1191"/>
      <c r="AM299" s="1191"/>
      <c r="AN299" s="1191"/>
      <c r="AO299" s="1191"/>
      <c r="AP299" s="1191"/>
      <c r="AQ299" s="1191"/>
      <c r="AR299" s="1182"/>
      <c r="AS299" s="1186"/>
      <c r="AT299" s="1186"/>
      <c r="AU299" s="1186"/>
      <c r="AV299" s="1186"/>
      <c r="AW299" s="1197" t="s">
        <v>1120</v>
      </c>
      <c r="AX299" s="1186"/>
      <c r="AY299" s="1182"/>
      <c r="AZ299" s="1182"/>
      <c r="BA299" s="1182"/>
      <c r="BB299" s="1182"/>
      <c r="BC299" s="1182"/>
      <c r="BD299" s="1182"/>
      <c r="BE299" s="1182"/>
      <c r="BF299" s="1190"/>
      <c r="BG299" s="1190"/>
      <c r="BH299" s="1184"/>
      <c r="BI299" s="1184"/>
      <c r="BJ299" s="1184"/>
      <c r="BK299" s="1184"/>
      <c r="BL299" s="1156"/>
      <c r="BM299" s="1156"/>
      <c r="BN299" s="1156"/>
      <c r="BO299" s="1156"/>
      <c r="BP299" s="1156"/>
      <c r="BQ299" s="1156"/>
      <c r="BR299" s="1156"/>
      <c r="BS299" s="1156"/>
      <c r="BT299" s="1156"/>
      <c r="BU299" s="1156"/>
      <c r="BV299" s="1156"/>
      <c r="BW299" s="1156"/>
      <c r="BX299" s="1156"/>
      <c r="BY299" s="1156"/>
      <c r="BZ299" s="1156"/>
      <c r="CA299" s="1156"/>
      <c r="CB299" s="1197"/>
      <c r="CC299" s="1197"/>
      <c r="CD299" s="1197"/>
      <c r="CE299" s="1197"/>
      <c r="CF299" s="1156"/>
      <c r="CG299" s="1197"/>
      <c r="CH299" s="1197"/>
      <c r="CI299" s="1197"/>
      <c r="CJ299" s="1197"/>
      <c r="CK299" s="1156"/>
      <c r="CL299" s="1197"/>
      <c r="CM299" s="1197"/>
      <c r="CN299" s="1197"/>
      <c r="CO299" s="1197"/>
      <c r="CP299" s="1156"/>
      <c r="CQ299" s="1197"/>
      <c r="CR299" s="1197"/>
      <c r="CS299" s="1197"/>
      <c r="CT299" s="1197"/>
      <c r="CU299" s="1156"/>
      <c r="CV299" s="1197"/>
      <c r="CW299" s="1197"/>
      <c r="CX299" s="1197"/>
      <c r="CY299" s="1197"/>
      <c r="CZ299" s="1156"/>
      <c r="DB299" s="2109"/>
      <c r="DC299" s="2109"/>
    </row>
    <row r="300" spans="1:107" s="1178" customFormat="1" ht="11.25" hidden="1" outlineLevel="1">
      <c r="A300" s="1191"/>
      <c r="B300" s="1191" t="s">
        <v>1119</v>
      </c>
      <c r="C300" s="1156"/>
      <c r="D300" s="1191"/>
      <c r="E300" s="1191"/>
      <c r="F300" s="1191"/>
      <c r="G300" s="1191"/>
      <c r="H300" s="1191"/>
      <c r="I300" s="1191"/>
      <c r="J300" s="1191"/>
      <c r="K300" s="1191"/>
      <c r="L300" s="1191"/>
      <c r="M300" s="1191"/>
      <c r="N300" s="1191"/>
      <c r="O300" s="1191"/>
      <c r="P300" s="1191"/>
      <c r="Q300" s="1191"/>
      <c r="R300" s="1191"/>
      <c r="S300" s="1191"/>
      <c r="T300" s="1191"/>
      <c r="U300" s="1191"/>
      <c r="V300" s="1191"/>
      <c r="W300" s="1191"/>
      <c r="X300" s="1191"/>
      <c r="Y300" s="1191"/>
      <c r="Z300" s="1191"/>
      <c r="AA300" s="1191"/>
      <c r="AB300" s="1191"/>
      <c r="AC300" s="1191"/>
      <c r="AD300" s="1191"/>
      <c r="AE300" s="1191"/>
      <c r="AF300" s="1191"/>
      <c r="AG300" s="1191"/>
      <c r="AH300" s="1182"/>
      <c r="AI300" s="1191"/>
      <c r="AJ300" s="1191"/>
      <c r="AK300" s="1191"/>
      <c r="AL300" s="1191"/>
      <c r="AM300" s="1191"/>
      <c r="AN300" s="1191"/>
      <c r="AO300" s="1191"/>
      <c r="AP300" s="1191"/>
      <c r="AQ300" s="1191"/>
      <c r="AR300" s="1182"/>
      <c r="AS300" s="1186"/>
      <c r="AT300" s="1186"/>
      <c r="AU300" s="1186"/>
      <c r="AV300" s="1186"/>
      <c r="AW300" s="1197" t="s">
        <v>1118</v>
      </c>
      <c r="AX300" s="1186"/>
      <c r="AY300" s="1182"/>
      <c r="AZ300" s="1182"/>
      <c r="BA300" s="1182"/>
      <c r="BB300" s="1182"/>
      <c r="BC300" s="1182"/>
      <c r="BD300" s="1182"/>
      <c r="BE300" s="1182"/>
      <c r="BF300" s="1190"/>
      <c r="BG300" s="1190"/>
      <c r="BH300" s="1184"/>
      <c r="BI300" s="1184"/>
      <c r="BJ300" s="1184"/>
      <c r="BK300" s="1184"/>
      <c r="BL300" s="1156"/>
      <c r="BM300" s="1156"/>
      <c r="BN300" s="1156"/>
      <c r="BO300" s="1156"/>
      <c r="BP300" s="1156"/>
      <c r="BQ300" s="1156"/>
      <c r="BR300" s="1156"/>
      <c r="BS300" s="1156"/>
      <c r="BT300" s="1156"/>
      <c r="BU300" s="1156"/>
      <c r="BV300" s="1156"/>
      <c r="BW300" s="1156"/>
      <c r="BX300" s="1156"/>
      <c r="BY300" s="1156"/>
      <c r="BZ300" s="1156"/>
      <c r="CA300" s="1156"/>
      <c r="CB300" s="1197"/>
      <c r="CC300" s="1197"/>
      <c r="CD300" s="1197"/>
      <c r="CE300" s="1197"/>
      <c r="CF300" s="1156"/>
      <c r="CG300" s="1197"/>
      <c r="CH300" s="1197"/>
      <c r="CI300" s="1197"/>
      <c r="CJ300" s="1197"/>
      <c r="CK300" s="1156"/>
      <c r="CL300" s="1197"/>
      <c r="CM300" s="1197"/>
      <c r="CN300" s="1197"/>
      <c r="CO300" s="1197"/>
      <c r="CP300" s="1156"/>
      <c r="CQ300" s="1197"/>
      <c r="CR300" s="1197"/>
      <c r="CS300" s="1197"/>
      <c r="CT300" s="1197"/>
      <c r="CU300" s="1156"/>
      <c r="CV300" s="1197"/>
      <c r="CW300" s="1197"/>
      <c r="CX300" s="1197"/>
      <c r="CY300" s="1197"/>
      <c r="CZ300" s="1156"/>
      <c r="DB300" s="2109"/>
      <c r="DC300" s="2109"/>
    </row>
    <row r="301" spans="1:107" s="1178" customFormat="1" ht="11.25" hidden="1" outlineLevel="1">
      <c r="A301" s="1191"/>
      <c r="B301" s="1191" t="s">
        <v>165</v>
      </c>
      <c r="C301" s="1156"/>
      <c r="D301" s="1191"/>
      <c r="E301" s="1191"/>
      <c r="F301" s="1191"/>
      <c r="G301" s="1191"/>
      <c r="H301" s="1191"/>
      <c r="I301" s="1191"/>
      <c r="J301" s="1191"/>
      <c r="K301" s="1191"/>
      <c r="L301" s="1191"/>
      <c r="M301" s="1191"/>
      <c r="N301" s="1191"/>
      <c r="O301" s="1191"/>
      <c r="P301" s="1191"/>
      <c r="Q301" s="1191"/>
      <c r="R301" s="1191"/>
      <c r="S301" s="1191"/>
      <c r="T301" s="1191"/>
      <c r="U301" s="1191"/>
      <c r="V301" s="1191"/>
      <c r="W301" s="1191"/>
      <c r="X301" s="1191"/>
      <c r="Y301" s="1191"/>
      <c r="Z301" s="1191"/>
      <c r="AA301" s="1191"/>
      <c r="AB301" s="1191"/>
      <c r="AC301" s="1191"/>
      <c r="AD301" s="1191"/>
      <c r="AE301" s="1191"/>
      <c r="AF301" s="1191"/>
      <c r="AG301" s="1191"/>
      <c r="AH301" s="1182"/>
      <c r="AI301" s="1191"/>
      <c r="AJ301" s="1191"/>
      <c r="AK301" s="1191"/>
      <c r="AL301" s="1191"/>
      <c r="AM301" s="1191"/>
      <c r="AN301" s="1191"/>
      <c r="AO301" s="1191"/>
      <c r="AP301" s="1191"/>
      <c r="AQ301" s="1191"/>
      <c r="AR301" s="1182"/>
      <c r="AS301" s="1186"/>
      <c r="AT301" s="1186"/>
      <c r="AU301" s="1186"/>
      <c r="AV301" s="1186"/>
      <c r="AW301" s="1197" t="s">
        <v>1117</v>
      </c>
      <c r="AX301" s="1186"/>
      <c r="AY301" s="1182"/>
      <c r="AZ301" s="1182"/>
      <c r="BA301" s="1182"/>
      <c r="BB301" s="1182"/>
      <c r="BC301" s="1182"/>
      <c r="BD301" s="1182"/>
      <c r="BE301" s="1182"/>
      <c r="BF301" s="1190"/>
      <c r="BG301" s="1190"/>
      <c r="BH301" s="1184"/>
      <c r="BI301" s="1184"/>
      <c r="BJ301" s="1184"/>
      <c r="BK301" s="1184"/>
      <c r="BL301" s="1156"/>
      <c r="BM301" s="1156"/>
      <c r="BN301" s="1156"/>
      <c r="BO301" s="1156"/>
      <c r="BP301" s="1156"/>
      <c r="BQ301" s="1156"/>
      <c r="BR301" s="1156"/>
      <c r="BS301" s="1156"/>
      <c r="BT301" s="1156"/>
      <c r="BU301" s="1156"/>
      <c r="BV301" s="1156"/>
      <c r="BW301" s="1156"/>
      <c r="BX301" s="1156"/>
      <c r="BY301" s="1156"/>
      <c r="BZ301" s="1156"/>
      <c r="CA301" s="1156"/>
      <c r="CB301" s="1197"/>
      <c r="CC301" s="1197"/>
      <c r="CD301" s="1197"/>
      <c r="CE301" s="1197"/>
      <c r="CF301" s="1156"/>
      <c r="CG301" s="1197"/>
      <c r="CH301" s="1197"/>
      <c r="CI301" s="1197"/>
      <c r="CJ301" s="1197"/>
      <c r="CK301" s="1156"/>
      <c r="CL301" s="1197"/>
      <c r="CM301" s="1197"/>
      <c r="CN301" s="1197"/>
      <c r="CO301" s="1197"/>
      <c r="CP301" s="1156"/>
      <c r="CQ301" s="1197"/>
      <c r="CR301" s="1197"/>
      <c r="CS301" s="1197"/>
      <c r="CT301" s="1197"/>
      <c r="CU301" s="1156"/>
      <c r="CV301" s="1197"/>
      <c r="CW301" s="1197"/>
      <c r="CX301" s="1197"/>
      <c r="CY301" s="1197"/>
      <c r="CZ301" s="1156"/>
      <c r="DB301" s="2109"/>
      <c r="DC301" s="2109"/>
    </row>
    <row r="302" spans="1:107" s="1178" customFormat="1" ht="11.25" hidden="1" outlineLevel="1">
      <c r="A302" s="1191"/>
      <c r="B302" s="1191" t="s">
        <v>1116</v>
      </c>
      <c r="C302" s="1156"/>
      <c r="D302" s="1191"/>
      <c r="E302" s="1191"/>
      <c r="F302" s="1191"/>
      <c r="G302" s="1191"/>
      <c r="H302" s="1191"/>
      <c r="I302" s="1191"/>
      <c r="J302" s="1191"/>
      <c r="K302" s="1191"/>
      <c r="L302" s="1191"/>
      <c r="M302" s="1191"/>
      <c r="N302" s="1191"/>
      <c r="O302" s="1191"/>
      <c r="P302" s="1191"/>
      <c r="Q302" s="1191"/>
      <c r="R302" s="1191"/>
      <c r="S302" s="1191"/>
      <c r="T302" s="1191"/>
      <c r="U302" s="1191"/>
      <c r="V302" s="1191"/>
      <c r="W302" s="1191"/>
      <c r="X302" s="1191"/>
      <c r="Y302" s="1191"/>
      <c r="Z302" s="1191"/>
      <c r="AA302" s="1191"/>
      <c r="AB302" s="1191"/>
      <c r="AC302" s="1191"/>
      <c r="AD302" s="1191"/>
      <c r="AE302" s="1191"/>
      <c r="AF302" s="1191"/>
      <c r="AG302" s="1191"/>
      <c r="AH302" s="1182"/>
      <c r="AI302" s="1191"/>
      <c r="AJ302" s="1191"/>
      <c r="AK302" s="1191"/>
      <c r="AL302" s="1191"/>
      <c r="AM302" s="1191"/>
      <c r="AN302" s="1191"/>
      <c r="AO302" s="1191"/>
      <c r="AP302" s="1191"/>
      <c r="AQ302" s="1191"/>
      <c r="AR302" s="1182"/>
      <c r="AS302" s="1186"/>
      <c r="AT302" s="1186"/>
      <c r="AU302" s="1186"/>
      <c r="AV302" s="1186"/>
      <c r="AW302" s="1197" t="s">
        <v>1115</v>
      </c>
      <c r="AX302" s="1186"/>
      <c r="AY302" s="1182"/>
      <c r="AZ302" s="1182"/>
      <c r="BA302" s="1182"/>
      <c r="BB302" s="1182"/>
      <c r="BC302" s="1182"/>
      <c r="BD302" s="1182"/>
      <c r="BE302" s="1182"/>
      <c r="BF302" s="1190"/>
      <c r="BG302" s="1190"/>
      <c r="BH302" s="1184"/>
      <c r="BI302" s="1184"/>
      <c r="BJ302" s="1184"/>
      <c r="BK302" s="1184"/>
      <c r="BL302" s="1156"/>
      <c r="BM302" s="1156"/>
      <c r="BN302" s="1156"/>
      <c r="BO302" s="1156"/>
      <c r="BP302" s="1156"/>
      <c r="BQ302" s="1156"/>
      <c r="BR302" s="1156"/>
      <c r="BS302" s="1156"/>
      <c r="BT302" s="1156"/>
      <c r="BU302" s="1156"/>
      <c r="BV302" s="1156"/>
      <c r="BW302" s="1156"/>
      <c r="BX302" s="1156"/>
      <c r="BY302" s="1156"/>
      <c r="BZ302" s="1156"/>
      <c r="CA302" s="1156"/>
      <c r="CB302" s="1197"/>
      <c r="CC302" s="1197"/>
      <c r="CD302" s="1197"/>
      <c r="CE302" s="1197"/>
      <c r="CF302" s="1156"/>
      <c r="CG302" s="1197"/>
      <c r="CH302" s="1197"/>
      <c r="CI302" s="1197"/>
      <c r="CJ302" s="1197"/>
      <c r="CK302" s="1156"/>
      <c r="CL302" s="1197"/>
      <c r="CM302" s="1197"/>
      <c r="CN302" s="1197"/>
      <c r="CO302" s="1197"/>
      <c r="CP302" s="1156"/>
      <c r="CQ302" s="1197"/>
      <c r="CR302" s="1197"/>
      <c r="CS302" s="1197"/>
      <c r="CT302" s="1197"/>
      <c r="CU302" s="1156"/>
      <c r="CV302" s="1197"/>
      <c r="CW302" s="1197"/>
      <c r="CX302" s="1197"/>
      <c r="CY302" s="1197"/>
      <c r="CZ302" s="1156"/>
      <c r="DB302" s="2109"/>
      <c r="DC302" s="2109"/>
    </row>
    <row r="303" spans="1:107" s="1178" customFormat="1" ht="11.25" hidden="1" outlineLevel="1">
      <c r="A303" s="1191"/>
      <c r="B303" s="1191" t="s">
        <v>1114</v>
      </c>
      <c r="C303" s="1156"/>
      <c r="D303" s="1191"/>
      <c r="E303" s="1191"/>
      <c r="F303" s="1191"/>
      <c r="G303" s="1191"/>
      <c r="H303" s="1191"/>
      <c r="I303" s="1191"/>
      <c r="J303" s="1191"/>
      <c r="K303" s="1191"/>
      <c r="L303" s="1191"/>
      <c r="M303" s="1191"/>
      <c r="N303" s="1191"/>
      <c r="O303" s="1191"/>
      <c r="P303" s="1191"/>
      <c r="Q303" s="1191"/>
      <c r="R303" s="1191"/>
      <c r="S303" s="1191"/>
      <c r="T303" s="1191"/>
      <c r="U303" s="1191"/>
      <c r="V303" s="1191"/>
      <c r="W303" s="1191"/>
      <c r="X303" s="1191"/>
      <c r="Y303" s="1191"/>
      <c r="Z303" s="1191"/>
      <c r="AA303" s="1191"/>
      <c r="AB303" s="1191"/>
      <c r="AC303" s="1191"/>
      <c r="AD303" s="1191"/>
      <c r="AE303" s="1191"/>
      <c r="AF303" s="1191"/>
      <c r="AG303" s="1191"/>
      <c r="AH303" s="1182"/>
      <c r="AI303" s="1191"/>
      <c r="AJ303" s="1191"/>
      <c r="AK303" s="1191"/>
      <c r="AL303" s="1191"/>
      <c r="AM303" s="1191"/>
      <c r="AN303" s="1191"/>
      <c r="AO303" s="1191"/>
      <c r="AP303" s="1191"/>
      <c r="AQ303" s="1191"/>
      <c r="AR303" s="1182"/>
      <c r="AS303" s="1186"/>
      <c r="AT303" s="1186"/>
      <c r="AU303" s="1186"/>
      <c r="AV303" s="1186"/>
      <c r="AW303" s="1197" t="s">
        <v>1113</v>
      </c>
      <c r="AX303" s="1186"/>
      <c r="AY303" s="1182"/>
      <c r="AZ303" s="1182"/>
      <c r="BA303" s="1182"/>
      <c r="BB303" s="1182"/>
      <c r="BC303" s="1182"/>
      <c r="BD303" s="1182"/>
      <c r="BE303" s="1182"/>
      <c r="BF303" s="1190"/>
      <c r="BG303" s="1190"/>
      <c r="BH303" s="1184"/>
      <c r="BI303" s="1184"/>
      <c r="BJ303" s="1184"/>
      <c r="BK303" s="1184"/>
      <c r="BL303" s="1156"/>
      <c r="BM303" s="1156"/>
      <c r="BN303" s="1156"/>
      <c r="BO303" s="1156"/>
      <c r="BP303" s="1156"/>
      <c r="BQ303" s="1156"/>
      <c r="BR303" s="1156"/>
      <c r="BS303" s="1156"/>
      <c r="BT303" s="1156"/>
      <c r="BU303" s="1156"/>
      <c r="BV303" s="1156"/>
      <c r="BW303" s="1156"/>
      <c r="BX303" s="1156"/>
      <c r="BY303" s="1156"/>
      <c r="BZ303" s="1156"/>
      <c r="CA303" s="1156"/>
      <c r="CB303" s="1197"/>
      <c r="CC303" s="1197"/>
      <c r="CD303" s="1197"/>
      <c r="CE303" s="1197"/>
      <c r="CF303" s="1156"/>
      <c r="CG303" s="1197"/>
      <c r="CH303" s="1197"/>
      <c r="CI303" s="1197"/>
      <c r="CJ303" s="1197"/>
      <c r="CK303" s="1156"/>
      <c r="CL303" s="1197"/>
      <c r="CM303" s="1197"/>
      <c r="CN303" s="1197"/>
      <c r="CO303" s="1197"/>
      <c r="CP303" s="1156"/>
      <c r="CQ303" s="1197"/>
      <c r="CR303" s="1197"/>
      <c r="CS303" s="1197"/>
      <c r="CT303" s="1197"/>
      <c r="CU303" s="1156"/>
      <c r="CV303" s="1197"/>
      <c r="CW303" s="1197"/>
      <c r="CX303" s="1197"/>
      <c r="CY303" s="1197"/>
      <c r="CZ303" s="1156"/>
      <c r="DB303" s="2109"/>
      <c r="DC303" s="2109"/>
    </row>
    <row r="304" spans="1:107" s="1178" customFormat="1" ht="11.25" hidden="1" outlineLevel="1">
      <c r="A304" s="1191"/>
      <c r="B304" s="1191" t="s">
        <v>1112</v>
      </c>
      <c r="C304" s="1156"/>
      <c r="D304" s="1191"/>
      <c r="E304" s="1191"/>
      <c r="F304" s="1191"/>
      <c r="G304" s="1191"/>
      <c r="H304" s="1191"/>
      <c r="I304" s="1191"/>
      <c r="J304" s="1191"/>
      <c r="K304" s="1191"/>
      <c r="L304" s="1191"/>
      <c r="M304" s="1191"/>
      <c r="N304" s="1191"/>
      <c r="O304" s="1191"/>
      <c r="P304" s="1191"/>
      <c r="Q304" s="1191"/>
      <c r="R304" s="1191"/>
      <c r="S304" s="1191"/>
      <c r="T304" s="1191"/>
      <c r="U304" s="1191"/>
      <c r="V304" s="1191"/>
      <c r="W304" s="1191"/>
      <c r="X304" s="1191"/>
      <c r="Y304" s="1191"/>
      <c r="Z304" s="1191"/>
      <c r="AA304" s="1191"/>
      <c r="AB304" s="1191"/>
      <c r="AC304" s="1191"/>
      <c r="AD304" s="1191"/>
      <c r="AE304" s="1191"/>
      <c r="AF304" s="1191"/>
      <c r="AG304" s="1191"/>
      <c r="AH304" s="1182"/>
      <c r="AI304" s="1191"/>
      <c r="AJ304" s="1191"/>
      <c r="AK304" s="1191"/>
      <c r="AL304" s="1191"/>
      <c r="AM304" s="1191"/>
      <c r="AN304" s="1191"/>
      <c r="AO304" s="1191"/>
      <c r="AP304" s="1191"/>
      <c r="AQ304" s="1191"/>
      <c r="AR304" s="1182"/>
      <c r="AS304" s="1182"/>
      <c r="AT304" s="1182"/>
      <c r="AU304" s="1182"/>
      <c r="AV304" s="1182"/>
      <c r="AW304" s="1197" t="s">
        <v>1111</v>
      </c>
      <c r="AX304" s="1182"/>
      <c r="AY304" s="1182"/>
      <c r="AZ304" s="1182"/>
      <c r="BA304" s="1182"/>
      <c r="BB304" s="1182"/>
      <c r="BC304" s="1182"/>
      <c r="BD304" s="1182"/>
      <c r="BE304" s="1182"/>
      <c r="BF304" s="1190"/>
      <c r="BG304" s="1190"/>
      <c r="BH304" s="1184"/>
      <c r="BI304" s="1184"/>
      <c r="BJ304" s="1184"/>
      <c r="BK304" s="1184"/>
      <c r="BL304" s="1156"/>
      <c r="BM304" s="1156"/>
      <c r="BN304" s="1156"/>
      <c r="BO304" s="1156"/>
      <c r="BP304" s="1156"/>
      <c r="BQ304" s="1156"/>
      <c r="BR304" s="1156"/>
      <c r="BS304" s="1156"/>
      <c r="BT304" s="1156"/>
      <c r="BU304" s="1156"/>
      <c r="BV304" s="1156"/>
      <c r="BW304" s="1156"/>
      <c r="BX304" s="1156"/>
      <c r="BY304" s="1156"/>
      <c r="BZ304" s="1156"/>
      <c r="CA304" s="1156"/>
      <c r="CB304" s="1197"/>
      <c r="CC304" s="1197"/>
      <c r="CD304" s="1197"/>
      <c r="CE304" s="1197"/>
      <c r="CF304" s="1156"/>
      <c r="CG304" s="1197"/>
      <c r="CH304" s="1197"/>
      <c r="CI304" s="1197"/>
      <c r="CJ304" s="1197"/>
      <c r="CK304" s="1156"/>
      <c r="CL304" s="1197"/>
      <c r="CM304" s="1197"/>
      <c r="CN304" s="1197"/>
      <c r="CO304" s="1197"/>
      <c r="CP304" s="1156"/>
      <c r="CQ304" s="1197"/>
      <c r="CR304" s="1197"/>
      <c r="CS304" s="1197"/>
      <c r="CT304" s="1197"/>
      <c r="CU304" s="1156"/>
      <c r="CV304" s="1197"/>
      <c r="CW304" s="1197"/>
      <c r="CX304" s="1197"/>
      <c r="CY304" s="1197"/>
      <c r="CZ304" s="1156"/>
      <c r="DB304" s="2109"/>
      <c r="DC304" s="2109"/>
    </row>
    <row r="305" spans="1:107" s="1178" customFormat="1" ht="11.25" hidden="1" outlineLevel="1">
      <c r="A305" s="1191"/>
      <c r="B305" s="1191" t="s">
        <v>871</v>
      </c>
      <c r="C305" s="1156"/>
      <c r="D305" s="1191"/>
      <c r="E305" s="1191"/>
      <c r="F305" s="1191"/>
      <c r="G305" s="1191"/>
      <c r="H305" s="1191"/>
      <c r="I305" s="1191"/>
      <c r="J305" s="1191"/>
      <c r="K305" s="1191"/>
      <c r="L305" s="1191"/>
      <c r="M305" s="1191"/>
      <c r="N305" s="1191"/>
      <c r="O305" s="1191"/>
      <c r="P305" s="1191"/>
      <c r="Q305" s="1191"/>
      <c r="R305" s="1191"/>
      <c r="S305" s="1191"/>
      <c r="T305" s="1191"/>
      <c r="U305" s="1191"/>
      <c r="V305" s="1191"/>
      <c r="W305" s="1191"/>
      <c r="X305" s="1191"/>
      <c r="Y305" s="1191"/>
      <c r="Z305" s="1191"/>
      <c r="AA305" s="1191"/>
      <c r="AB305" s="1191"/>
      <c r="AC305" s="1191"/>
      <c r="AD305" s="1191"/>
      <c r="AE305" s="1191"/>
      <c r="AF305" s="1191"/>
      <c r="AG305" s="1191"/>
      <c r="AH305" s="1182"/>
      <c r="AI305" s="1191"/>
      <c r="AJ305" s="1191"/>
      <c r="AK305" s="1191"/>
      <c r="AL305" s="1191"/>
      <c r="AM305" s="1191"/>
      <c r="AN305" s="1191"/>
      <c r="AO305" s="1191"/>
      <c r="AP305" s="1191"/>
      <c r="AQ305" s="1191"/>
      <c r="AR305" s="1182"/>
      <c r="AS305" s="1182"/>
      <c r="AT305" s="1182"/>
      <c r="AU305" s="1182"/>
      <c r="AV305" s="1182"/>
      <c r="AW305" s="1201">
        <v>0.95</v>
      </c>
      <c r="AX305" s="1182"/>
      <c r="AY305" s="1182"/>
      <c r="AZ305" s="1182"/>
      <c r="BA305" s="1182"/>
      <c r="BB305" s="1182"/>
      <c r="BC305" s="1182"/>
      <c r="BD305" s="1182"/>
      <c r="BE305" s="1182"/>
      <c r="BF305" s="1190"/>
      <c r="BG305" s="1190"/>
      <c r="BH305" s="1184"/>
      <c r="BI305" s="1184"/>
      <c r="BJ305" s="1184"/>
      <c r="BK305" s="1184"/>
      <c r="BL305" s="1156"/>
      <c r="BM305" s="1156"/>
      <c r="BN305" s="1156"/>
      <c r="BO305" s="1156"/>
      <c r="BP305" s="1156"/>
      <c r="BQ305" s="1156"/>
      <c r="BR305" s="1156"/>
      <c r="BS305" s="1156"/>
      <c r="BT305" s="1156"/>
      <c r="BU305" s="1156"/>
      <c r="BV305" s="1156"/>
      <c r="BW305" s="1156"/>
      <c r="BX305" s="1156"/>
      <c r="BY305" s="1156"/>
      <c r="BZ305" s="1156"/>
      <c r="CA305" s="1156"/>
      <c r="CB305" s="1197"/>
      <c r="CC305" s="1197"/>
      <c r="CD305" s="1197"/>
      <c r="CE305" s="1197"/>
      <c r="CF305" s="1156"/>
      <c r="CG305" s="1197"/>
      <c r="CH305" s="1197"/>
      <c r="CI305" s="1197"/>
      <c r="CJ305" s="1197"/>
      <c r="CK305" s="1156"/>
      <c r="CL305" s="1197"/>
      <c r="CM305" s="1197"/>
      <c r="CN305" s="1197"/>
      <c r="CO305" s="1197"/>
      <c r="CP305" s="1156"/>
      <c r="CQ305" s="1197"/>
      <c r="CR305" s="1197"/>
      <c r="CS305" s="1197"/>
      <c r="CT305" s="1197"/>
      <c r="CU305" s="1156"/>
      <c r="CV305" s="1197"/>
      <c r="CW305" s="1197"/>
      <c r="CX305" s="1197"/>
      <c r="CY305" s="1197"/>
      <c r="CZ305" s="1156"/>
      <c r="DB305" s="2109"/>
      <c r="DC305" s="2109"/>
    </row>
    <row r="306" spans="1:107" s="1178" customFormat="1" ht="11.25" hidden="1" outlineLevel="1">
      <c r="A306" s="1191"/>
      <c r="B306" s="1191" t="s">
        <v>102</v>
      </c>
      <c r="C306" s="1156"/>
      <c r="D306" s="1191"/>
      <c r="E306" s="1191"/>
      <c r="F306" s="1191"/>
      <c r="G306" s="1191"/>
      <c r="H306" s="1191"/>
      <c r="I306" s="1191"/>
      <c r="J306" s="1191"/>
      <c r="K306" s="1191"/>
      <c r="L306" s="1191"/>
      <c r="M306" s="1191"/>
      <c r="N306" s="1191"/>
      <c r="O306" s="1191"/>
      <c r="P306" s="1191"/>
      <c r="Q306" s="1191"/>
      <c r="R306" s="1191"/>
      <c r="S306" s="1191"/>
      <c r="T306" s="1191"/>
      <c r="U306" s="1191"/>
      <c r="V306" s="1191"/>
      <c r="W306" s="1191"/>
      <c r="X306" s="1191"/>
      <c r="Y306" s="1191"/>
      <c r="Z306" s="1191"/>
      <c r="AA306" s="1191"/>
      <c r="AB306" s="1191"/>
      <c r="AC306" s="1191"/>
      <c r="AD306" s="1191"/>
      <c r="AE306" s="1191"/>
      <c r="AF306" s="1191"/>
      <c r="AG306" s="1191"/>
      <c r="AH306" s="1182"/>
      <c r="AI306" s="1191"/>
      <c r="AJ306" s="1191"/>
      <c r="AK306" s="1191"/>
      <c r="AL306" s="1191"/>
      <c r="AM306" s="1191"/>
      <c r="AN306" s="1191"/>
      <c r="AO306" s="1191"/>
      <c r="AP306" s="1191"/>
      <c r="AQ306" s="1191"/>
      <c r="AR306" s="1182"/>
      <c r="AS306" s="1182"/>
      <c r="AT306" s="1182"/>
      <c r="AU306" s="1182"/>
      <c r="AV306" s="1182"/>
      <c r="AW306" s="1201">
        <v>0.05</v>
      </c>
      <c r="AX306" s="1182"/>
      <c r="AY306" s="1182"/>
      <c r="AZ306" s="1182"/>
      <c r="BA306" s="1182"/>
      <c r="BB306" s="1182"/>
      <c r="BC306" s="1182"/>
      <c r="BD306" s="1182"/>
      <c r="BE306" s="1182"/>
      <c r="BF306" s="1190"/>
      <c r="BG306" s="1190"/>
      <c r="BH306" s="1184"/>
      <c r="BI306" s="1184"/>
      <c r="BJ306" s="1184"/>
      <c r="BK306" s="1184"/>
      <c r="BL306" s="1156"/>
      <c r="BM306" s="1156"/>
      <c r="BN306" s="1156"/>
      <c r="BO306" s="1156"/>
      <c r="BP306" s="1156"/>
      <c r="BQ306" s="1156"/>
      <c r="BR306" s="1156"/>
      <c r="BS306" s="1156"/>
      <c r="BT306" s="1156"/>
      <c r="BU306" s="1156"/>
      <c r="BV306" s="1156"/>
      <c r="BW306" s="1156"/>
      <c r="BX306" s="1156"/>
      <c r="BY306" s="1156"/>
      <c r="BZ306" s="1156"/>
      <c r="CA306" s="1156"/>
      <c r="CB306" s="1197"/>
      <c r="CC306" s="1197"/>
      <c r="CD306" s="1197"/>
      <c r="CE306" s="1197"/>
      <c r="CF306" s="1156"/>
      <c r="CG306" s="1197"/>
      <c r="CH306" s="1197"/>
      <c r="CI306" s="1197"/>
      <c r="CJ306" s="1197"/>
      <c r="CK306" s="1156"/>
      <c r="CL306" s="1197"/>
      <c r="CM306" s="1197"/>
      <c r="CN306" s="1197"/>
      <c r="CO306" s="1197"/>
      <c r="CP306" s="1156"/>
      <c r="CQ306" s="1197"/>
      <c r="CR306" s="1197"/>
      <c r="CS306" s="1197"/>
      <c r="CT306" s="1197"/>
      <c r="CU306" s="1156"/>
      <c r="CV306" s="1197"/>
      <c r="CW306" s="1197"/>
      <c r="CX306" s="1197"/>
      <c r="CY306" s="1197"/>
      <c r="CZ306" s="1156"/>
      <c r="DB306" s="2109"/>
      <c r="DC306" s="2109"/>
    </row>
    <row r="307" spans="1:107" s="1178" customFormat="1" ht="11.25" hidden="1" outlineLevel="1">
      <c r="A307" s="1191"/>
      <c r="B307" s="1191"/>
      <c r="C307" s="1156"/>
      <c r="D307" s="1191"/>
      <c r="E307" s="1191"/>
      <c r="F307" s="1191"/>
      <c r="G307" s="1191"/>
      <c r="H307" s="1191"/>
      <c r="I307" s="1191"/>
      <c r="J307" s="1191"/>
      <c r="K307" s="1191"/>
      <c r="L307" s="1191"/>
      <c r="M307" s="1191"/>
      <c r="N307" s="1191"/>
      <c r="O307" s="1191"/>
      <c r="P307" s="1191"/>
      <c r="Q307" s="1191"/>
      <c r="R307" s="1191"/>
      <c r="S307" s="1191"/>
      <c r="T307" s="1191"/>
      <c r="U307" s="1191"/>
      <c r="V307" s="1191"/>
      <c r="W307" s="1191"/>
      <c r="X307" s="1191"/>
      <c r="Y307" s="1191"/>
      <c r="Z307" s="1191"/>
      <c r="AA307" s="1191"/>
      <c r="AB307" s="1191"/>
      <c r="AC307" s="1191"/>
      <c r="AD307" s="1191"/>
      <c r="AE307" s="1191"/>
      <c r="AF307" s="1191"/>
      <c r="AG307" s="1191"/>
      <c r="AH307" s="1182"/>
      <c r="AI307" s="1191"/>
      <c r="AJ307" s="1191"/>
      <c r="AK307" s="1191"/>
      <c r="AL307" s="1191"/>
      <c r="AM307" s="1191"/>
      <c r="AN307" s="1191"/>
      <c r="AO307" s="1191"/>
      <c r="AP307" s="1191"/>
      <c r="AQ307" s="1191"/>
      <c r="AR307" s="1182"/>
      <c r="AS307" s="1182"/>
      <c r="AT307" s="1182"/>
      <c r="AU307" s="1182"/>
      <c r="AV307" s="1182"/>
      <c r="AW307" s="1191"/>
      <c r="AX307" s="1182"/>
      <c r="AY307" s="1182"/>
      <c r="AZ307" s="1182"/>
      <c r="BA307" s="1182"/>
      <c r="BB307" s="1182"/>
      <c r="BC307" s="1182"/>
      <c r="BD307" s="1182"/>
      <c r="BE307" s="1182"/>
      <c r="BF307" s="1190"/>
      <c r="BG307" s="1190"/>
      <c r="BH307" s="1184"/>
      <c r="BI307" s="1184"/>
      <c r="BJ307" s="1184"/>
      <c r="BK307" s="1184"/>
      <c r="BL307" s="1156"/>
      <c r="BM307" s="1156"/>
      <c r="BN307" s="1156"/>
      <c r="BO307" s="1156"/>
      <c r="BP307" s="1156"/>
      <c r="BQ307" s="1156"/>
      <c r="BR307" s="1156"/>
      <c r="BS307" s="1156"/>
      <c r="BT307" s="1156"/>
      <c r="BU307" s="1156"/>
      <c r="BV307" s="1156"/>
      <c r="BW307" s="1156"/>
      <c r="BX307" s="1156"/>
      <c r="BY307" s="1156"/>
      <c r="BZ307" s="1156"/>
      <c r="CA307" s="1156"/>
      <c r="CB307" s="1197"/>
      <c r="CC307" s="1197"/>
      <c r="CD307" s="1197"/>
      <c r="CE307" s="1197"/>
      <c r="CF307" s="1156"/>
      <c r="CG307" s="1197"/>
      <c r="CH307" s="1197"/>
      <c r="CI307" s="1197"/>
      <c r="CJ307" s="1197"/>
      <c r="CK307" s="1156"/>
      <c r="CL307" s="1197"/>
      <c r="CM307" s="1197"/>
      <c r="CN307" s="1197"/>
      <c r="CO307" s="1197"/>
      <c r="CP307" s="1156"/>
      <c r="CQ307" s="1197"/>
      <c r="CR307" s="1197"/>
      <c r="CS307" s="1197"/>
      <c r="CT307" s="1197"/>
      <c r="CU307" s="1156"/>
      <c r="CV307" s="1197"/>
      <c r="CW307" s="1197"/>
      <c r="CX307" s="1197"/>
      <c r="CY307" s="1197"/>
      <c r="CZ307" s="1156"/>
      <c r="DB307" s="2109"/>
      <c r="DC307" s="2109"/>
    </row>
    <row r="308" spans="1:107" s="1178" customFormat="1" ht="11.25" hidden="1" outlineLevel="1">
      <c r="A308" s="1191"/>
      <c r="B308" s="271" t="s">
        <v>617</v>
      </c>
      <c r="C308" s="1156"/>
      <c r="D308" s="1191"/>
      <c r="E308" s="1191"/>
      <c r="F308" s="1191"/>
      <c r="G308" s="1191"/>
      <c r="H308" s="1191"/>
      <c r="I308" s="1191"/>
      <c r="J308" s="1191"/>
      <c r="K308" s="1191"/>
      <c r="L308" s="1191"/>
      <c r="M308" s="1191"/>
      <c r="N308" s="1191"/>
      <c r="O308" s="1191"/>
      <c r="P308" s="1191"/>
      <c r="Q308" s="1191"/>
      <c r="R308" s="1191"/>
      <c r="S308" s="1191"/>
      <c r="T308" s="1191"/>
      <c r="U308" s="1191"/>
      <c r="V308" s="1191"/>
      <c r="W308" s="1191"/>
      <c r="X308" s="1191"/>
      <c r="Y308" s="1191"/>
      <c r="Z308" s="1191"/>
      <c r="AA308" s="1191"/>
      <c r="AB308" s="1191"/>
      <c r="AC308" s="1191"/>
      <c r="AD308" s="1191"/>
      <c r="AE308" s="1191"/>
      <c r="AF308" s="1191"/>
      <c r="AG308" s="1191"/>
      <c r="AH308" s="1182"/>
      <c r="AI308" s="1191"/>
      <c r="AJ308" s="1191"/>
      <c r="AK308" s="1191"/>
      <c r="AL308" s="1191"/>
      <c r="AM308" s="1191"/>
      <c r="AN308" s="1191"/>
      <c r="AO308" s="1191"/>
      <c r="AP308" s="1191"/>
      <c r="AQ308" s="1191"/>
      <c r="AR308" s="1182"/>
      <c r="AS308" s="1182"/>
      <c r="AT308" s="1182"/>
      <c r="AU308" s="1182"/>
      <c r="AV308" s="1182"/>
      <c r="AW308" s="1191"/>
      <c r="AX308" s="1182"/>
      <c r="AY308" s="1182"/>
      <c r="AZ308" s="1182"/>
      <c r="BA308" s="1182"/>
      <c r="BB308" s="1182"/>
      <c r="BC308" s="1182"/>
      <c r="BD308" s="1182"/>
      <c r="BE308" s="1182"/>
      <c r="BF308" s="1190"/>
      <c r="BG308" s="1190"/>
      <c r="BH308" s="1184"/>
      <c r="BI308" s="1184"/>
      <c r="BJ308" s="1184"/>
      <c r="BK308" s="1184"/>
      <c r="BL308" s="1156"/>
      <c r="BM308" s="1156"/>
      <c r="BN308" s="1156"/>
      <c r="BO308" s="1156"/>
      <c r="BP308" s="1156"/>
      <c r="BQ308" s="1156"/>
      <c r="BR308" s="1156"/>
      <c r="BS308" s="1156"/>
      <c r="BT308" s="1156"/>
      <c r="BU308" s="1156"/>
      <c r="BV308" s="1156"/>
      <c r="BW308" s="1156"/>
      <c r="BX308" s="1156"/>
      <c r="BY308" s="1156"/>
      <c r="BZ308" s="1156"/>
      <c r="CA308" s="1156"/>
      <c r="CB308" s="1197"/>
      <c r="CC308" s="1197"/>
      <c r="CD308" s="1197"/>
      <c r="CE308" s="1197"/>
      <c r="CF308" s="1156"/>
      <c r="CG308" s="1197"/>
      <c r="CH308" s="1197"/>
      <c r="CI308" s="1197"/>
      <c r="CJ308" s="1197"/>
      <c r="CK308" s="1156"/>
      <c r="CL308" s="1197"/>
      <c r="CM308" s="1197"/>
      <c r="CN308" s="1197"/>
      <c r="CO308" s="1197"/>
      <c r="CP308" s="1156"/>
      <c r="CQ308" s="1197"/>
      <c r="CR308" s="1197"/>
      <c r="CS308" s="1197"/>
      <c r="CT308" s="1197"/>
      <c r="CU308" s="1156"/>
      <c r="CV308" s="1197"/>
      <c r="CW308" s="1197"/>
      <c r="CX308" s="1197"/>
      <c r="CY308" s="1197"/>
      <c r="CZ308" s="1156"/>
      <c r="DB308" s="2109"/>
      <c r="DC308" s="2109"/>
    </row>
    <row r="309" spans="1:107" s="1178" customFormat="1" ht="11.25" hidden="1" outlineLevel="1">
      <c r="A309" s="1191"/>
      <c r="B309" s="1182" t="s">
        <v>1110</v>
      </c>
      <c r="C309" s="1191"/>
      <c r="D309" s="1191"/>
      <c r="E309" s="1191"/>
      <c r="F309" s="1191"/>
      <c r="G309" s="1191"/>
      <c r="H309" s="1191"/>
      <c r="I309" s="1191"/>
      <c r="J309" s="1191"/>
      <c r="K309" s="1191"/>
      <c r="L309" s="1191"/>
      <c r="M309" s="1191"/>
      <c r="N309" s="1191"/>
      <c r="O309" s="1191"/>
      <c r="P309" s="1191"/>
      <c r="Q309" s="1191"/>
      <c r="R309" s="1191"/>
      <c r="S309" s="1191"/>
      <c r="T309" s="1191"/>
      <c r="U309" s="1191"/>
      <c r="V309" s="1191"/>
      <c r="W309" s="1191"/>
      <c r="X309" s="1191"/>
      <c r="Y309" s="1191"/>
      <c r="Z309" s="1191"/>
      <c r="AA309" s="1191"/>
      <c r="AB309" s="1191"/>
      <c r="AC309" s="1182"/>
      <c r="AD309" s="1191"/>
      <c r="AE309" s="1191"/>
      <c r="AF309" s="1191"/>
      <c r="AG309" s="1191"/>
      <c r="AH309" s="1182"/>
      <c r="AI309" s="1191"/>
      <c r="AJ309" s="1191"/>
      <c r="AK309" s="1191"/>
      <c r="AL309" s="1191"/>
      <c r="AM309" s="1182"/>
      <c r="AN309" s="1191"/>
      <c r="AO309" s="1191"/>
      <c r="AP309" s="1191"/>
      <c r="AQ309" s="1191"/>
      <c r="AR309" s="1182"/>
      <c r="AS309" s="1182"/>
      <c r="AT309" s="1182"/>
      <c r="AU309" s="1182"/>
      <c r="AV309" s="1182"/>
      <c r="AW309" s="1182"/>
      <c r="AX309" s="1182"/>
      <c r="AY309" s="1182"/>
      <c r="AZ309" s="1182"/>
      <c r="BA309" s="1182"/>
      <c r="BB309" s="1182"/>
      <c r="BC309" s="1182"/>
      <c r="BD309" s="1182"/>
      <c r="BE309" s="1182"/>
      <c r="BF309" s="1190"/>
      <c r="BG309" s="1190"/>
      <c r="BH309" s="1184"/>
      <c r="BI309" s="1184"/>
      <c r="BJ309" s="1184"/>
      <c r="BK309" s="1184"/>
      <c r="BL309" s="1156"/>
      <c r="BM309" s="1156"/>
      <c r="BN309" s="1156"/>
      <c r="BO309" s="1156"/>
      <c r="BP309" s="1156"/>
      <c r="BQ309" s="1156"/>
      <c r="BR309" s="1156"/>
      <c r="BS309" s="1156"/>
      <c r="BT309" s="1156"/>
      <c r="BU309" s="1156"/>
      <c r="BV309" s="1156"/>
      <c r="BW309" s="1156"/>
      <c r="BX309" s="1156"/>
      <c r="BY309" s="1156"/>
      <c r="BZ309" s="1156"/>
      <c r="CA309" s="1156"/>
      <c r="CB309" s="1197"/>
      <c r="CC309" s="1197"/>
      <c r="CD309" s="1197"/>
      <c r="CE309" s="1197"/>
      <c r="CF309" s="1156"/>
      <c r="CG309" s="1197"/>
      <c r="CH309" s="1197"/>
      <c r="CI309" s="1197"/>
      <c r="CJ309" s="1197"/>
      <c r="CK309" s="1156"/>
      <c r="CL309" s="1197"/>
      <c r="CM309" s="1197"/>
      <c r="CN309" s="1197"/>
      <c r="CO309" s="1197"/>
      <c r="CP309" s="1156"/>
      <c r="CQ309" s="1197"/>
      <c r="CR309" s="1197"/>
      <c r="CS309" s="1197"/>
      <c r="CT309" s="1197"/>
      <c r="CU309" s="1156"/>
      <c r="CV309" s="1197"/>
      <c r="CW309" s="1197"/>
      <c r="CX309" s="1197"/>
      <c r="CY309" s="1197"/>
      <c r="CZ309" s="1156"/>
      <c r="DB309" s="2109"/>
      <c r="DC309" s="2109"/>
    </row>
    <row r="310" spans="1:107" s="1178" customFormat="1" ht="11.25" hidden="1" outlineLevel="1">
      <c r="A310" s="1191"/>
      <c r="B310" s="1191" t="s">
        <v>848</v>
      </c>
      <c r="C310" s="1156"/>
      <c r="D310" s="1191"/>
      <c r="E310" s="1191"/>
      <c r="F310" s="1191"/>
      <c r="G310" s="1191"/>
      <c r="H310" s="1191"/>
      <c r="I310" s="1191"/>
      <c r="J310" s="1191"/>
      <c r="K310" s="1191"/>
      <c r="L310" s="1191"/>
      <c r="M310" s="1191"/>
      <c r="N310" s="1191"/>
      <c r="O310" s="1191"/>
      <c r="P310" s="1191"/>
      <c r="Q310" s="1191"/>
      <c r="R310" s="1191"/>
      <c r="S310" s="1191"/>
      <c r="T310" s="1191"/>
      <c r="U310" s="1191"/>
      <c r="V310" s="1191"/>
      <c r="W310" s="1191"/>
      <c r="X310" s="1191"/>
      <c r="Y310" s="1191"/>
      <c r="Z310" s="1191"/>
      <c r="AA310" s="1191"/>
      <c r="AB310" s="1191"/>
      <c r="AC310" s="1199">
        <v>7.3999999999999996E-2</v>
      </c>
      <c r="AD310" s="1199"/>
      <c r="AE310" s="1199"/>
      <c r="AF310" s="1199"/>
      <c r="AG310" s="1199"/>
      <c r="AH310" s="1268"/>
      <c r="AI310" s="1199"/>
      <c r="AJ310" s="1199"/>
      <c r="AK310" s="1199"/>
      <c r="AL310" s="1199"/>
      <c r="AM310" s="1199">
        <v>0.11</v>
      </c>
      <c r="AN310" s="1199"/>
      <c r="AO310" s="1199"/>
      <c r="AP310" s="1199"/>
      <c r="AQ310" s="1199"/>
      <c r="AR310" s="1268"/>
      <c r="AS310" s="1268"/>
      <c r="AT310" s="1268"/>
      <c r="AU310" s="1268"/>
      <c r="AV310" s="1268"/>
      <c r="AW310" s="1199">
        <v>0.217</v>
      </c>
      <c r="AX310" s="1182"/>
      <c r="AY310" s="1182"/>
      <c r="AZ310" s="1182"/>
      <c r="BA310" s="1182"/>
      <c r="BB310" s="1199"/>
      <c r="BC310" s="1182"/>
      <c r="BD310" s="1182"/>
      <c r="BE310" s="1182"/>
      <c r="BF310" s="1190"/>
      <c r="BG310" s="1199">
        <v>1</v>
      </c>
      <c r="BH310" s="1184"/>
      <c r="BI310" s="1184"/>
      <c r="BJ310" s="1184"/>
      <c r="BK310" s="1184"/>
      <c r="BL310" s="1156"/>
      <c r="BM310" s="1156"/>
      <c r="BN310" s="1156"/>
      <c r="BO310" s="1156"/>
      <c r="BP310" s="1156"/>
      <c r="BQ310" s="1156"/>
      <c r="BR310" s="1156"/>
      <c r="BS310" s="1156"/>
      <c r="BT310" s="1156"/>
      <c r="BU310" s="1156"/>
      <c r="BV310" s="1156"/>
      <c r="BW310" s="1156"/>
      <c r="BX310" s="1156"/>
      <c r="BY310" s="1156"/>
      <c r="BZ310" s="1156"/>
      <c r="CA310" s="1156"/>
      <c r="CB310" s="1197"/>
      <c r="CC310" s="1197"/>
      <c r="CD310" s="1197"/>
      <c r="CE310" s="1197"/>
      <c r="CF310" s="1156"/>
      <c r="CG310" s="1197"/>
      <c r="CH310" s="1197"/>
      <c r="CI310" s="1197"/>
      <c r="CJ310" s="1197"/>
      <c r="CK310" s="1156"/>
      <c r="CL310" s="1197"/>
      <c r="CM310" s="1197"/>
      <c r="CN310" s="1197"/>
      <c r="CO310" s="1197"/>
      <c r="CP310" s="1156"/>
      <c r="CQ310" s="1197"/>
      <c r="CR310" s="1197"/>
      <c r="CS310" s="1197"/>
      <c r="CT310" s="1197"/>
      <c r="CU310" s="1156"/>
      <c r="CV310" s="1197"/>
      <c r="CW310" s="1197"/>
      <c r="CX310" s="1197"/>
      <c r="CY310" s="1197"/>
      <c r="CZ310" s="1156"/>
      <c r="DB310" s="2109"/>
      <c r="DC310" s="2109"/>
    </row>
    <row r="311" spans="1:107" s="1178" customFormat="1" ht="11.25" hidden="1" outlineLevel="1">
      <c r="A311" s="1191"/>
      <c r="B311" s="1191" t="s">
        <v>847</v>
      </c>
      <c r="C311" s="1156"/>
      <c r="D311" s="1191"/>
      <c r="E311" s="1191"/>
      <c r="F311" s="1191"/>
      <c r="G311" s="1191"/>
      <c r="H311" s="1191"/>
      <c r="I311" s="1191"/>
      <c r="J311" s="1191"/>
      <c r="K311" s="1191"/>
      <c r="L311" s="1191"/>
      <c r="M311" s="1191"/>
      <c r="N311" s="1191"/>
      <c r="O311" s="1191"/>
      <c r="P311" s="1191"/>
      <c r="Q311" s="1191"/>
      <c r="R311" s="1191"/>
      <c r="S311" s="1191"/>
      <c r="T311" s="1191"/>
      <c r="U311" s="1191"/>
      <c r="V311" s="1191"/>
      <c r="W311" s="1191"/>
      <c r="X311" s="1191"/>
      <c r="Y311" s="1191"/>
      <c r="Z311" s="1191"/>
      <c r="AA311" s="1191"/>
      <c r="AB311" s="1191"/>
      <c r="AC311" s="1199">
        <v>0.186</v>
      </c>
      <c r="AD311" s="1199"/>
      <c r="AE311" s="1199"/>
      <c r="AF311" s="1199"/>
      <c r="AG311" s="1199"/>
      <c r="AH311" s="1268"/>
      <c r="AI311" s="1199"/>
      <c r="AJ311" s="1199"/>
      <c r="AK311" s="1199"/>
      <c r="AL311" s="1199"/>
      <c r="AM311" s="1199">
        <v>0.23899999999999999</v>
      </c>
      <c r="AN311" s="1199"/>
      <c r="AO311" s="1199"/>
      <c r="AP311" s="1199"/>
      <c r="AQ311" s="1199"/>
      <c r="AR311" s="1268"/>
      <c r="AS311" s="1268"/>
      <c r="AT311" s="1268"/>
      <c r="AU311" s="1268"/>
      <c r="AV311" s="1268"/>
      <c r="AW311" s="1199">
        <v>0.36299999999999999</v>
      </c>
      <c r="AX311" s="1182"/>
      <c r="AY311" s="1182"/>
      <c r="AZ311" s="1182"/>
      <c r="BA311" s="1182"/>
      <c r="BB311" s="1182"/>
      <c r="BC311" s="1182"/>
      <c r="BD311" s="1182"/>
      <c r="BE311" s="1182"/>
      <c r="BF311" s="1190"/>
      <c r="BG311" s="1190"/>
      <c r="BH311" s="1184"/>
      <c r="BI311" s="1184"/>
      <c r="BJ311" s="1184"/>
      <c r="BK311" s="1184"/>
      <c r="BL311" s="1156"/>
      <c r="BM311" s="1156"/>
      <c r="BN311" s="1156"/>
      <c r="BO311" s="1156"/>
      <c r="BP311" s="1156"/>
      <c r="BQ311" s="1156"/>
      <c r="BR311" s="1156"/>
      <c r="BS311" s="1156"/>
      <c r="BT311" s="1156"/>
      <c r="BU311" s="1156"/>
      <c r="BV311" s="1156"/>
      <c r="BW311" s="1156"/>
      <c r="BX311" s="1156"/>
      <c r="BY311" s="1156"/>
      <c r="BZ311" s="1156"/>
      <c r="CA311" s="1156"/>
      <c r="CB311" s="1197"/>
      <c r="CC311" s="1197"/>
      <c r="CD311" s="1197"/>
      <c r="CE311" s="1197"/>
      <c r="CF311" s="1156"/>
      <c r="CG311" s="1197"/>
      <c r="CH311" s="1197"/>
      <c r="CI311" s="1197"/>
      <c r="CJ311" s="1197"/>
      <c r="CK311" s="1156"/>
      <c r="CL311" s="1197"/>
      <c r="CM311" s="1197"/>
      <c r="CN311" s="1197"/>
      <c r="CO311" s="1197"/>
      <c r="CP311" s="1156"/>
      <c r="CQ311" s="1197"/>
      <c r="CR311" s="1197"/>
      <c r="CS311" s="1197"/>
      <c r="CT311" s="1197"/>
      <c r="CU311" s="1156"/>
      <c r="CV311" s="1197"/>
      <c r="CW311" s="1197"/>
      <c r="CX311" s="1197"/>
      <c r="CY311" s="1197"/>
      <c r="CZ311" s="1156"/>
      <c r="DB311" s="2109"/>
      <c r="DC311" s="2109"/>
    </row>
    <row r="312" spans="1:107" s="1178" customFormat="1" ht="11.25" hidden="1" outlineLevel="1">
      <c r="A312" s="1191"/>
      <c r="B312" s="1191" t="s">
        <v>1109</v>
      </c>
      <c r="C312" s="1156"/>
      <c r="D312" s="1191"/>
      <c r="E312" s="1191"/>
      <c r="F312" s="1191"/>
      <c r="G312" s="1191"/>
      <c r="H312" s="1191"/>
      <c r="I312" s="1191"/>
      <c r="J312" s="1191"/>
      <c r="K312" s="1191"/>
      <c r="L312" s="1191"/>
      <c r="M312" s="1191"/>
      <c r="N312" s="1191"/>
      <c r="O312" s="1191"/>
      <c r="P312" s="1191"/>
      <c r="Q312" s="1191"/>
      <c r="R312" s="1191"/>
      <c r="S312" s="1191"/>
      <c r="T312" s="1191"/>
      <c r="U312" s="1191"/>
      <c r="V312" s="1191"/>
      <c r="W312" s="1191"/>
      <c r="X312" s="1191"/>
      <c r="Y312" s="1191"/>
      <c r="Z312" s="1191"/>
      <c r="AA312" s="1191"/>
      <c r="AB312" s="1191"/>
      <c r="AC312" s="1199">
        <v>0.29799999999999999</v>
      </c>
      <c r="AD312" s="1199"/>
      <c r="AE312" s="1199"/>
      <c r="AF312" s="1199"/>
      <c r="AG312" s="1199"/>
      <c r="AH312" s="1268"/>
      <c r="AI312" s="1199"/>
      <c r="AJ312" s="1199"/>
      <c r="AK312" s="1199"/>
      <c r="AL312" s="1199"/>
      <c r="AM312" s="1199">
        <v>0.26100000000000001</v>
      </c>
      <c r="AN312" s="1199"/>
      <c r="AO312" s="1199"/>
      <c r="AP312" s="1199"/>
      <c r="AQ312" s="1199"/>
      <c r="AR312" s="1268"/>
      <c r="AS312" s="1268"/>
      <c r="AT312" s="1268"/>
      <c r="AU312" s="1268"/>
      <c r="AV312" s="1268"/>
      <c r="AW312" s="1199">
        <v>0.36599999999999999</v>
      </c>
      <c r="AX312" s="1182"/>
      <c r="AY312" s="1182"/>
      <c r="AZ312" s="1182"/>
      <c r="BA312" s="1182"/>
      <c r="BB312" s="1182"/>
      <c r="BC312" s="1182"/>
      <c r="BD312" s="1182"/>
      <c r="BE312" s="1182"/>
      <c r="BF312" s="1190"/>
      <c r="BG312" s="1190"/>
      <c r="BH312" s="1184"/>
      <c r="BI312" s="1184"/>
      <c r="BJ312" s="1184"/>
      <c r="BK312" s="1184"/>
      <c r="BL312" s="1156"/>
      <c r="BM312" s="1156"/>
      <c r="BN312" s="1156"/>
      <c r="BO312" s="1156"/>
      <c r="BP312" s="1156"/>
      <c r="BQ312" s="1156"/>
      <c r="BR312" s="1156"/>
      <c r="BS312" s="1156"/>
      <c r="BT312" s="1156"/>
      <c r="BU312" s="1156"/>
      <c r="BV312" s="1156"/>
      <c r="BW312" s="1156"/>
      <c r="BX312" s="1156"/>
      <c r="BY312" s="1156"/>
      <c r="BZ312" s="1156"/>
      <c r="CA312" s="1156"/>
      <c r="CB312" s="1197"/>
      <c r="CC312" s="1197"/>
      <c r="CD312" s="1197"/>
      <c r="CE312" s="1197"/>
      <c r="CF312" s="1156"/>
      <c r="CG312" s="1197"/>
      <c r="CH312" s="1197"/>
      <c r="CI312" s="1197"/>
      <c r="CJ312" s="1197"/>
      <c r="CK312" s="1156"/>
      <c r="CL312" s="1197"/>
      <c r="CM312" s="1197"/>
      <c r="CN312" s="1197"/>
      <c r="CO312" s="1197"/>
      <c r="CP312" s="1156"/>
      <c r="CQ312" s="1197"/>
      <c r="CR312" s="1197"/>
      <c r="CS312" s="1197"/>
      <c r="CT312" s="1197"/>
      <c r="CU312" s="1156"/>
      <c r="CV312" s="1197"/>
      <c r="CW312" s="1197"/>
      <c r="CX312" s="1197"/>
      <c r="CY312" s="1197"/>
      <c r="CZ312" s="1156"/>
      <c r="DB312" s="2109"/>
      <c r="DC312" s="2109"/>
    </row>
    <row r="313" spans="1:107" s="1178" customFormat="1" ht="11.25" hidden="1" outlineLevel="1">
      <c r="A313" s="1191"/>
      <c r="B313" s="1191"/>
      <c r="C313" s="1156"/>
      <c r="D313" s="1191"/>
      <c r="E313" s="1191"/>
      <c r="F313" s="1191"/>
      <c r="G313" s="1191"/>
      <c r="H313" s="1191"/>
      <c r="I313" s="1191"/>
      <c r="J313" s="1191"/>
      <c r="K313" s="1191"/>
      <c r="L313" s="1191"/>
      <c r="M313" s="1191"/>
      <c r="N313" s="1191"/>
      <c r="O313" s="1191"/>
      <c r="P313" s="1191"/>
      <c r="Q313" s="1191"/>
      <c r="R313" s="1191"/>
      <c r="S313" s="1191"/>
      <c r="T313" s="1191"/>
      <c r="U313" s="1191"/>
      <c r="V313" s="1191"/>
      <c r="W313" s="1191"/>
      <c r="X313" s="1191"/>
      <c r="Y313" s="1191"/>
      <c r="Z313" s="1191"/>
      <c r="AA313" s="1191"/>
      <c r="AB313" s="1191"/>
      <c r="AC313" s="1199"/>
      <c r="AD313" s="1199"/>
      <c r="AE313" s="1199"/>
      <c r="AF313" s="1199"/>
      <c r="AG313" s="1199"/>
      <c r="AH313" s="1268"/>
      <c r="AI313" s="1199"/>
      <c r="AJ313" s="1199"/>
      <c r="AK313" s="1199"/>
      <c r="AL313" s="1199"/>
      <c r="AM313" s="1199"/>
      <c r="AN313" s="1199"/>
      <c r="AO313" s="1199"/>
      <c r="AP313" s="1199"/>
      <c r="AQ313" s="1199"/>
      <c r="AR313" s="1268"/>
      <c r="AS313" s="1268"/>
      <c r="AT313" s="1268"/>
      <c r="AU313" s="1268"/>
      <c r="AV313" s="1268"/>
      <c r="AW313" s="1199"/>
      <c r="AX313" s="1182"/>
      <c r="AY313" s="1182"/>
      <c r="AZ313" s="1182"/>
      <c r="BA313" s="1182"/>
      <c r="BB313" s="1182"/>
      <c r="BC313" s="1182"/>
      <c r="BD313" s="1182"/>
      <c r="BE313" s="1182"/>
      <c r="BF313" s="1190"/>
      <c r="BG313" s="1190"/>
      <c r="BH313" s="1184"/>
      <c r="BI313" s="1184"/>
      <c r="BJ313" s="1184"/>
      <c r="BK313" s="1184"/>
      <c r="BL313" s="1156"/>
      <c r="BM313" s="1156"/>
      <c r="BN313" s="1156"/>
      <c r="BO313" s="1156"/>
      <c r="BP313" s="1156"/>
      <c r="BQ313" s="1156"/>
      <c r="BR313" s="1156"/>
      <c r="BS313" s="1156"/>
      <c r="BT313" s="1156"/>
      <c r="BU313" s="1156"/>
      <c r="BV313" s="1156"/>
      <c r="BW313" s="1156"/>
      <c r="BX313" s="1156"/>
      <c r="BY313" s="1156"/>
      <c r="BZ313" s="1156"/>
      <c r="CA313" s="1156"/>
      <c r="CB313" s="1197"/>
      <c r="CC313" s="1197"/>
      <c r="CD313" s="1197"/>
      <c r="CE313" s="1197"/>
      <c r="CF313" s="1156"/>
      <c r="CG313" s="1197"/>
      <c r="CH313" s="1197"/>
      <c r="CI313" s="1197"/>
      <c r="CJ313" s="1197"/>
      <c r="CK313" s="1156"/>
      <c r="CL313" s="1197"/>
      <c r="CM313" s="1197"/>
      <c r="CN313" s="1197"/>
      <c r="CO313" s="1197"/>
      <c r="CP313" s="1156"/>
      <c r="CQ313" s="1197"/>
      <c r="CR313" s="1197"/>
      <c r="CS313" s="1197"/>
      <c r="CT313" s="1197"/>
      <c r="CU313" s="1156"/>
      <c r="CV313" s="1197"/>
      <c r="CW313" s="1197"/>
      <c r="CX313" s="1197"/>
      <c r="CY313" s="1197"/>
      <c r="CZ313" s="1156"/>
      <c r="DB313" s="2109"/>
      <c r="DC313" s="2109"/>
    </row>
    <row r="314" spans="1:107" s="1178" customFormat="1" ht="11.25" hidden="1" outlineLevel="1">
      <c r="A314" s="1191"/>
      <c r="B314" s="1182" t="s">
        <v>1108</v>
      </c>
      <c r="C314" s="1156"/>
      <c r="D314" s="1191"/>
      <c r="E314" s="1191"/>
      <c r="F314" s="1191"/>
      <c r="G314" s="1191"/>
      <c r="H314" s="1191"/>
      <c r="I314" s="1191"/>
      <c r="J314" s="1191"/>
      <c r="K314" s="1191"/>
      <c r="L314" s="1191"/>
      <c r="M314" s="1191"/>
      <c r="N314" s="1191"/>
      <c r="O314" s="1191"/>
      <c r="P314" s="1191"/>
      <c r="Q314" s="1191"/>
      <c r="R314" s="1191"/>
      <c r="S314" s="1191"/>
      <c r="T314" s="1191"/>
      <c r="U314" s="1191"/>
      <c r="V314" s="1191"/>
      <c r="W314" s="1191"/>
      <c r="X314" s="1191"/>
      <c r="Y314" s="1191"/>
      <c r="Z314" s="1191"/>
      <c r="AA314" s="1191"/>
      <c r="AB314" s="1191"/>
      <c r="AC314" s="1191"/>
      <c r="AD314" s="1191"/>
      <c r="AE314" s="1191"/>
      <c r="AF314" s="1191"/>
      <c r="AG314" s="1191"/>
      <c r="AH314" s="1182"/>
      <c r="AI314" s="1191"/>
      <c r="AJ314" s="1191"/>
      <c r="AK314" s="1191"/>
      <c r="AL314" s="1191"/>
      <c r="AM314" s="1191"/>
      <c r="AN314" s="1191"/>
      <c r="AO314" s="1191"/>
      <c r="AP314" s="1191"/>
      <c r="AQ314" s="1191"/>
      <c r="AR314" s="1182"/>
      <c r="AS314" s="1182"/>
      <c r="AT314" s="1182"/>
      <c r="AU314" s="1182"/>
      <c r="AV314" s="1182"/>
      <c r="AW314" s="1191"/>
      <c r="AX314" s="1182"/>
      <c r="AY314" s="1182"/>
      <c r="AZ314" s="1182"/>
      <c r="BA314" s="1182"/>
      <c r="BB314" s="1182"/>
      <c r="BC314" s="1182"/>
      <c r="BD314" s="1182"/>
      <c r="BE314" s="1182"/>
      <c r="BF314" s="1190"/>
      <c r="BG314" s="1190"/>
      <c r="BH314" s="1184"/>
      <c r="BI314" s="1184"/>
      <c r="BJ314" s="1184"/>
      <c r="BK314" s="1184"/>
      <c r="BL314" s="1156"/>
      <c r="BM314" s="1156"/>
      <c r="BN314" s="1156"/>
      <c r="BO314" s="1156"/>
      <c r="BP314" s="1156"/>
      <c r="BQ314" s="1156"/>
      <c r="BR314" s="1156"/>
      <c r="BS314" s="1156"/>
      <c r="BT314" s="1156"/>
      <c r="BU314" s="1156"/>
      <c r="BV314" s="1156"/>
      <c r="BW314" s="1156"/>
      <c r="BX314" s="1156"/>
      <c r="BY314" s="1156"/>
      <c r="BZ314" s="1156"/>
      <c r="CA314" s="1156"/>
      <c r="CB314" s="1197"/>
      <c r="CC314" s="1197"/>
      <c r="CD314" s="1197"/>
      <c r="CE314" s="1197"/>
      <c r="CF314" s="1156"/>
      <c r="CG314" s="1197"/>
      <c r="CH314" s="1197"/>
      <c r="CI314" s="1197"/>
      <c r="CJ314" s="1197"/>
      <c r="CK314" s="1156"/>
      <c r="CL314" s="1197"/>
      <c r="CM314" s="1197"/>
      <c r="CN314" s="1197"/>
      <c r="CO314" s="1197"/>
      <c r="CP314" s="1156"/>
      <c r="CQ314" s="1197"/>
      <c r="CR314" s="1197"/>
      <c r="CS314" s="1197"/>
      <c r="CT314" s="1197"/>
      <c r="CU314" s="1156"/>
      <c r="CV314" s="1197"/>
      <c r="CW314" s="1197"/>
      <c r="CX314" s="1197"/>
      <c r="CY314" s="1197"/>
      <c r="CZ314" s="1156"/>
      <c r="DB314" s="2109"/>
      <c r="DC314" s="2109"/>
    </row>
    <row r="315" spans="1:107" s="1178" customFormat="1" ht="11.25" hidden="1" outlineLevel="1">
      <c r="A315" s="1191"/>
      <c r="B315" s="1191" t="s">
        <v>1107</v>
      </c>
      <c r="C315" s="1156"/>
      <c r="D315" s="1191"/>
      <c r="E315" s="1191"/>
      <c r="F315" s="1191"/>
      <c r="G315" s="1191"/>
      <c r="H315" s="1191"/>
      <c r="I315" s="1191"/>
      <c r="J315" s="1191"/>
      <c r="K315" s="1191"/>
      <c r="L315" s="1191"/>
      <c r="M315" s="1191"/>
      <c r="N315" s="1191"/>
      <c r="O315" s="1191"/>
      <c r="P315" s="1191"/>
      <c r="Q315" s="1191"/>
      <c r="R315" s="1191"/>
      <c r="S315" s="1191"/>
      <c r="T315" s="1191"/>
      <c r="U315" s="1191"/>
      <c r="V315" s="1191"/>
      <c r="W315" s="1191"/>
      <c r="X315" s="1191"/>
      <c r="Y315" s="1191"/>
      <c r="Z315" s="1191"/>
      <c r="AA315" s="1191"/>
      <c r="AB315" s="1191"/>
      <c r="AC315" s="1191"/>
      <c r="AD315" s="1191"/>
      <c r="AE315" s="1191"/>
      <c r="AF315" s="1191"/>
      <c r="AG315" s="1191"/>
      <c r="AH315" s="1182"/>
      <c r="AI315" s="1191"/>
      <c r="AJ315" s="1191"/>
      <c r="AK315" s="1191"/>
      <c r="AL315" s="1191"/>
      <c r="AM315" s="1191"/>
      <c r="AN315" s="1191"/>
      <c r="AO315" s="1191"/>
      <c r="AP315" s="1191"/>
      <c r="AQ315" s="1191"/>
      <c r="AR315" s="1182"/>
      <c r="AS315" s="1182"/>
      <c r="AT315" s="1182"/>
      <c r="AU315" s="1182"/>
      <c r="AV315" s="1182"/>
      <c r="AW315" s="1191">
        <v>12</v>
      </c>
      <c r="AX315" s="1182"/>
      <c r="AY315" s="1182"/>
      <c r="AZ315" s="1182"/>
      <c r="BA315" s="1182"/>
      <c r="BB315" s="1182"/>
      <c r="BC315" s="1182"/>
      <c r="BD315" s="1182"/>
      <c r="BE315" s="1182"/>
      <c r="BF315" s="1190"/>
      <c r="BG315" s="1190"/>
      <c r="BH315" s="1184"/>
      <c r="BI315" s="1184"/>
      <c r="BJ315" s="1184"/>
      <c r="BK315" s="1184"/>
      <c r="BL315" s="1156"/>
      <c r="BM315" s="1156"/>
      <c r="BN315" s="1156"/>
      <c r="BO315" s="1156"/>
      <c r="BP315" s="1156"/>
      <c r="BQ315" s="1156"/>
      <c r="BR315" s="1156"/>
      <c r="BS315" s="1156"/>
      <c r="BT315" s="1156"/>
      <c r="BU315" s="1156"/>
      <c r="BV315" s="1156"/>
      <c r="BW315" s="1156"/>
      <c r="BX315" s="1156"/>
      <c r="BY315" s="1156"/>
      <c r="BZ315" s="1156"/>
      <c r="CA315" s="1156"/>
      <c r="CB315" s="1197"/>
      <c r="CC315" s="1197"/>
      <c r="CD315" s="1197"/>
      <c r="CE315" s="1197"/>
      <c r="CF315" s="1156"/>
      <c r="CG315" s="1197"/>
      <c r="CH315" s="1197"/>
      <c r="CI315" s="1197"/>
      <c r="CJ315" s="1197"/>
      <c r="CK315" s="1156"/>
      <c r="CL315" s="1197"/>
      <c r="CM315" s="1197"/>
      <c r="CN315" s="1197"/>
      <c r="CO315" s="1197"/>
      <c r="CP315" s="1156"/>
      <c r="CQ315" s="1197"/>
      <c r="CR315" s="1197"/>
      <c r="CS315" s="1197"/>
      <c r="CT315" s="1197"/>
      <c r="CU315" s="1156"/>
      <c r="CV315" s="1197"/>
      <c r="CW315" s="1197"/>
      <c r="CX315" s="1197"/>
      <c r="CY315" s="1197"/>
      <c r="CZ315" s="1156"/>
      <c r="DB315" s="2109"/>
      <c r="DC315" s="2109"/>
    </row>
    <row r="316" spans="1:107" s="1178" customFormat="1" ht="11.25" hidden="1" outlineLevel="1">
      <c r="A316" s="1191"/>
      <c r="B316" s="1191" t="s">
        <v>1106</v>
      </c>
      <c r="C316" s="1156"/>
      <c r="D316" s="1191"/>
      <c r="E316" s="1191"/>
      <c r="F316" s="1191"/>
      <c r="G316" s="1191"/>
      <c r="H316" s="1191"/>
      <c r="I316" s="1191"/>
      <c r="J316" s="1191"/>
      <c r="K316" s="1191"/>
      <c r="L316" s="1191"/>
      <c r="M316" s="1191"/>
      <c r="N316" s="1191"/>
      <c r="O316" s="1191"/>
      <c r="P316" s="1191"/>
      <c r="Q316" s="1191"/>
      <c r="R316" s="1191"/>
      <c r="S316" s="1191"/>
      <c r="T316" s="1191"/>
      <c r="U316" s="1191"/>
      <c r="V316" s="1191"/>
      <c r="W316" s="1191"/>
      <c r="X316" s="1191"/>
      <c r="Y316" s="1191"/>
      <c r="Z316" s="1191"/>
      <c r="AA316" s="1191"/>
      <c r="AB316" s="1191"/>
      <c r="AC316" s="1191"/>
      <c r="AD316" s="1191"/>
      <c r="AE316" s="1191"/>
      <c r="AF316" s="1191"/>
      <c r="AG316" s="1191"/>
      <c r="AH316" s="1182"/>
      <c r="AI316" s="1191"/>
      <c r="AJ316" s="1191"/>
      <c r="AK316" s="1191"/>
      <c r="AL316" s="1191"/>
      <c r="AM316" s="1191"/>
      <c r="AN316" s="1191"/>
      <c r="AO316" s="1191"/>
      <c r="AP316" s="1191"/>
      <c r="AQ316" s="1191"/>
      <c r="AR316" s="1182"/>
      <c r="AS316" s="1182"/>
      <c r="AT316" s="1182"/>
      <c r="AU316" s="1182"/>
      <c r="AV316" s="1182"/>
      <c r="AW316" s="1191">
        <v>2</v>
      </c>
      <c r="AX316" s="1182"/>
      <c r="AY316" s="1182"/>
      <c r="AZ316" s="1182"/>
      <c r="BA316" s="1182"/>
      <c r="BB316" s="1182"/>
      <c r="BC316" s="1182"/>
      <c r="BD316" s="1182"/>
      <c r="BE316" s="1182"/>
      <c r="BF316" s="1190"/>
      <c r="BG316" s="1190"/>
      <c r="BH316" s="1184"/>
      <c r="BI316" s="1184"/>
      <c r="BJ316" s="1184"/>
      <c r="BK316" s="1184"/>
      <c r="BL316" s="1156"/>
      <c r="BM316" s="1156"/>
      <c r="BN316" s="1156"/>
      <c r="BO316" s="1156"/>
      <c r="BP316" s="1156"/>
      <c r="BQ316" s="1156"/>
      <c r="BR316" s="1156"/>
      <c r="BS316" s="1156"/>
      <c r="BT316" s="1156"/>
      <c r="BU316" s="1156"/>
      <c r="BV316" s="1156"/>
      <c r="BW316" s="1156"/>
      <c r="BX316" s="1156"/>
      <c r="BY316" s="1156"/>
      <c r="BZ316" s="1156"/>
      <c r="CA316" s="1156"/>
      <c r="CB316" s="1197"/>
      <c r="CC316" s="1197"/>
      <c r="CD316" s="1197"/>
      <c r="CE316" s="1197"/>
      <c r="CF316" s="1156"/>
      <c r="CG316" s="1197"/>
      <c r="CH316" s="1197"/>
      <c r="CI316" s="1197"/>
      <c r="CJ316" s="1197"/>
      <c r="CK316" s="1156"/>
      <c r="CL316" s="1197"/>
      <c r="CM316" s="1197"/>
      <c r="CN316" s="1197"/>
      <c r="CO316" s="1197"/>
      <c r="CP316" s="1156"/>
      <c r="CQ316" s="1197"/>
      <c r="CR316" s="1197"/>
      <c r="CS316" s="1197"/>
      <c r="CT316" s="1197"/>
      <c r="CU316" s="1156"/>
      <c r="CV316" s="1197"/>
      <c r="CW316" s="1197"/>
      <c r="CX316" s="1197"/>
      <c r="CY316" s="1197"/>
      <c r="CZ316" s="1156"/>
      <c r="DB316" s="2109"/>
      <c r="DC316" s="2109"/>
    </row>
    <row r="317" spans="1:107" s="1178" customFormat="1" ht="11.25" hidden="1" outlineLevel="1">
      <c r="A317" s="1191"/>
      <c r="B317" s="1191" t="s">
        <v>1105</v>
      </c>
      <c r="C317" s="1156"/>
      <c r="D317" s="1191"/>
      <c r="E317" s="1191"/>
      <c r="F317" s="1191"/>
      <c r="G317" s="1191"/>
      <c r="H317" s="1191"/>
      <c r="I317" s="1191"/>
      <c r="J317" s="1191"/>
      <c r="K317" s="1191"/>
      <c r="L317" s="1191"/>
      <c r="M317" s="1191"/>
      <c r="N317" s="1191"/>
      <c r="O317" s="1191"/>
      <c r="P317" s="1191"/>
      <c r="Q317" s="1191"/>
      <c r="R317" s="1191"/>
      <c r="S317" s="1191"/>
      <c r="T317" s="1191"/>
      <c r="U317" s="1191"/>
      <c r="V317" s="1191"/>
      <c r="W317" s="1191"/>
      <c r="X317" s="1191"/>
      <c r="Y317" s="1191"/>
      <c r="Z317" s="1191"/>
      <c r="AA317" s="1191"/>
      <c r="AB317" s="1191"/>
      <c r="AC317" s="1191"/>
      <c r="AD317" s="1191"/>
      <c r="AE317" s="1191"/>
      <c r="AF317" s="1191"/>
      <c r="AG317" s="1191"/>
      <c r="AH317" s="1182"/>
      <c r="AI317" s="1191"/>
      <c r="AJ317" s="1191"/>
      <c r="AK317" s="1191"/>
      <c r="AL317" s="1191"/>
      <c r="AM317" s="1191"/>
      <c r="AN317" s="1191"/>
      <c r="AO317" s="1191"/>
      <c r="AP317" s="1191"/>
      <c r="AQ317" s="1191"/>
      <c r="AR317" s="1182"/>
      <c r="AS317" s="1182"/>
      <c r="AT317" s="1182"/>
      <c r="AU317" s="1182"/>
      <c r="AV317" s="1182"/>
      <c r="AW317" s="1191">
        <v>22.5</v>
      </c>
      <c r="AX317" s="1182"/>
      <c r="AY317" s="1182"/>
      <c r="AZ317" s="1182"/>
      <c r="BA317" s="1182"/>
      <c r="BB317" s="1182"/>
      <c r="BC317" s="1182"/>
      <c r="BD317" s="1182"/>
      <c r="BE317" s="1182"/>
      <c r="BF317" s="1190"/>
      <c r="BG317" s="1190"/>
      <c r="BH317" s="1184"/>
      <c r="BI317" s="1184"/>
      <c r="BJ317" s="1184"/>
      <c r="BK317" s="1184"/>
      <c r="BL317" s="1156"/>
      <c r="BM317" s="1156"/>
      <c r="BN317" s="1156"/>
      <c r="BO317" s="1156"/>
      <c r="BP317" s="1156"/>
      <c r="BQ317" s="1156"/>
      <c r="BR317" s="1156"/>
      <c r="BS317" s="1156"/>
      <c r="BT317" s="1156"/>
      <c r="BU317" s="1156"/>
      <c r="BV317" s="1156"/>
      <c r="BW317" s="1156"/>
      <c r="BX317" s="1156"/>
      <c r="BY317" s="1156"/>
      <c r="BZ317" s="1156"/>
      <c r="CA317" s="1156"/>
      <c r="CB317" s="1197"/>
      <c r="CC317" s="1197"/>
      <c r="CD317" s="1197"/>
      <c r="CE317" s="1197"/>
      <c r="CF317" s="1156"/>
      <c r="CG317" s="1197"/>
      <c r="CH317" s="1197"/>
      <c r="CI317" s="1197"/>
      <c r="CJ317" s="1197"/>
      <c r="CK317" s="1156"/>
      <c r="CL317" s="1197"/>
      <c r="CM317" s="1197"/>
      <c r="CN317" s="1197"/>
      <c r="CO317" s="1197"/>
      <c r="CP317" s="1156"/>
      <c r="CQ317" s="1197"/>
      <c r="CR317" s="1197"/>
      <c r="CS317" s="1197"/>
      <c r="CT317" s="1197"/>
      <c r="CU317" s="1156"/>
      <c r="CV317" s="1197"/>
      <c r="CW317" s="1197"/>
      <c r="CX317" s="1197"/>
      <c r="CY317" s="1197"/>
      <c r="CZ317" s="1156"/>
      <c r="DB317" s="2109"/>
      <c r="DC317" s="2109"/>
    </row>
    <row r="318" spans="1:107" s="1178" customFormat="1" ht="11.25" hidden="1" outlineLevel="1">
      <c r="A318" s="1191"/>
      <c r="B318" s="1191"/>
      <c r="C318" s="1191"/>
      <c r="D318" s="1191"/>
      <c r="E318" s="1191"/>
      <c r="F318" s="1191"/>
      <c r="G318" s="1191"/>
      <c r="H318" s="1191"/>
      <c r="I318" s="1191"/>
      <c r="J318" s="1191"/>
      <c r="K318" s="1191"/>
      <c r="L318" s="1191"/>
      <c r="M318" s="1191"/>
      <c r="N318" s="1191"/>
      <c r="O318" s="1191"/>
      <c r="P318" s="1191"/>
      <c r="Q318" s="1191"/>
      <c r="R318" s="1191"/>
      <c r="S318" s="1191"/>
      <c r="T318" s="1191"/>
      <c r="U318" s="1191"/>
      <c r="V318" s="1191"/>
      <c r="W318" s="1191"/>
      <c r="X318" s="1191"/>
      <c r="Y318" s="1191"/>
      <c r="Z318" s="1191"/>
      <c r="AA318" s="1191"/>
      <c r="AB318" s="1191"/>
      <c r="AC318" s="1182"/>
      <c r="AD318" s="1191"/>
      <c r="AE318" s="1191"/>
      <c r="AF318" s="1191"/>
      <c r="AG318" s="1191"/>
      <c r="AH318" s="1182"/>
      <c r="AI318" s="1191"/>
      <c r="AJ318" s="1191"/>
      <c r="AK318" s="1191"/>
      <c r="AL318" s="1191"/>
      <c r="AM318" s="1182"/>
      <c r="AN318" s="1191"/>
      <c r="AO318" s="1191"/>
      <c r="AP318" s="1191"/>
      <c r="AQ318" s="1191"/>
      <c r="AR318" s="1182"/>
      <c r="AS318" s="1182"/>
      <c r="AT318" s="1182"/>
      <c r="AU318" s="1182"/>
      <c r="AV318" s="1182"/>
      <c r="AW318" s="1182"/>
      <c r="AX318" s="1182"/>
      <c r="AY318" s="1182"/>
      <c r="AZ318" s="1182"/>
      <c r="BA318" s="1182"/>
      <c r="BB318" s="1182"/>
      <c r="BC318" s="1182"/>
      <c r="BD318" s="1182"/>
      <c r="BE318" s="1182"/>
      <c r="BF318" s="1190"/>
      <c r="BG318" s="1190"/>
      <c r="BH318" s="1184"/>
      <c r="BI318" s="1184"/>
      <c r="BJ318" s="1184"/>
      <c r="BK318" s="1184"/>
      <c r="BL318" s="1156"/>
      <c r="BM318" s="1156"/>
      <c r="BN318" s="1156"/>
      <c r="BO318" s="1156"/>
      <c r="BP318" s="1156"/>
      <c r="BQ318" s="1156"/>
      <c r="BR318" s="1156"/>
      <c r="BS318" s="1156"/>
      <c r="BT318" s="1156"/>
      <c r="BU318" s="1156"/>
      <c r="BV318" s="1156"/>
      <c r="BW318" s="1156"/>
      <c r="BX318" s="1156"/>
      <c r="BY318" s="1156"/>
      <c r="BZ318" s="1156"/>
      <c r="CA318" s="1156"/>
      <c r="CB318" s="1197"/>
      <c r="CC318" s="1197"/>
      <c r="CD318" s="1197"/>
      <c r="CE318" s="1197"/>
      <c r="CF318" s="1156"/>
      <c r="CG318" s="1197"/>
      <c r="CH318" s="1197"/>
      <c r="CI318" s="1197"/>
      <c r="CJ318" s="1197"/>
      <c r="CK318" s="1156"/>
      <c r="CL318" s="1197"/>
      <c r="CM318" s="1197"/>
      <c r="CN318" s="1197"/>
      <c r="CO318" s="1197"/>
      <c r="CP318" s="1156"/>
      <c r="CQ318" s="1197"/>
      <c r="CR318" s="1197"/>
      <c r="CS318" s="1197"/>
      <c r="CT318" s="1197"/>
      <c r="CU318" s="1156"/>
      <c r="CV318" s="1197"/>
      <c r="CW318" s="1197"/>
      <c r="CX318" s="1197"/>
      <c r="CY318" s="1197"/>
      <c r="CZ318" s="1156"/>
      <c r="DB318" s="2109"/>
      <c r="DC318" s="2109"/>
    </row>
    <row r="319" spans="1:107" s="1178" customFormat="1" ht="11.25" hidden="1" outlineLevel="1">
      <c r="A319" s="1191"/>
      <c r="B319" s="1182" t="s">
        <v>1104</v>
      </c>
      <c r="C319" s="1191"/>
      <c r="D319" s="1191"/>
      <c r="E319" s="1191"/>
      <c r="F319" s="1191"/>
      <c r="G319" s="1191"/>
      <c r="H319" s="1191"/>
      <c r="I319" s="1191"/>
      <c r="J319" s="1191"/>
      <c r="K319" s="1191"/>
      <c r="L319" s="1191"/>
      <c r="M319" s="1191"/>
      <c r="N319" s="1191"/>
      <c r="O319" s="1191"/>
      <c r="P319" s="1191"/>
      <c r="Q319" s="1191"/>
      <c r="R319" s="1191"/>
      <c r="S319" s="1191"/>
      <c r="T319" s="1191"/>
      <c r="U319" s="1191"/>
      <c r="V319" s="1191"/>
      <c r="W319" s="1191"/>
      <c r="X319" s="1191"/>
      <c r="Y319" s="1191"/>
      <c r="Z319" s="1191"/>
      <c r="AA319" s="1191"/>
      <c r="AB319" s="1191"/>
      <c r="AC319" s="1182"/>
      <c r="AD319" s="1191"/>
      <c r="AE319" s="1191"/>
      <c r="AF319" s="1191"/>
      <c r="AG319" s="1191"/>
      <c r="AH319" s="1182"/>
      <c r="AI319" s="1191"/>
      <c r="AJ319" s="1191"/>
      <c r="AK319" s="1191"/>
      <c r="AL319" s="1191"/>
      <c r="AM319" s="1182"/>
      <c r="AN319" s="1191"/>
      <c r="AO319" s="1191"/>
      <c r="AP319" s="1191"/>
      <c r="AQ319" s="1191"/>
      <c r="AR319" s="1182"/>
      <c r="AS319" s="1182"/>
      <c r="AT319" s="1182"/>
      <c r="AU319" s="1182"/>
      <c r="AV319" s="1182"/>
      <c r="AW319" s="1182"/>
      <c r="AX319" s="1182"/>
      <c r="AY319" s="1182"/>
      <c r="AZ319" s="1182"/>
      <c r="BA319" s="1182"/>
      <c r="BB319" s="1182"/>
      <c r="BC319" s="1182"/>
      <c r="BD319" s="1182"/>
      <c r="BE319" s="1182"/>
      <c r="BF319" s="1243"/>
      <c r="BG319" s="1190"/>
      <c r="BH319" s="1184"/>
      <c r="BI319" s="1184"/>
      <c r="BJ319" s="1184"/>
      <c r="BK319" s="1184"/>
      <c r="BL319" s="1156"/>
      <c r="BM319" s="1156"/>
      <c r="BN319" s="1156"/>
      <c r="BO319" s="1156"/>
      <c r="BP319" s="1156"/>
      <c r="BQ319" s="1156"/>
      <c r="BR319" s="1156"/>
      <c r="BS319" s="1156"/>
      <c r="BT319" s="1156"/>
      <c r="BU319" s="1156"/>
      <c r="BV319" s="1156"/>
      <c r="BW319" s="1156"/>
      <c r="BX319" s="1156"/>
      <c r="BY319" s="1156"/>
      <c r="BZ319" s="1156"/>
      <c r="CA319" s="1156"/>
      <c r="CB319" s="1197"/>
      <c r="CC319" s="1197"/>
      <c r="CD319" s="1197"/>
      <c r="CE319" s="1197"/>
      <c r="CF319" s="1156"/>
      <c r="CG319" s="1197"/>
      <c r="CH319" s="1197"/>
      <c r="CI319" s="1197"/>
      <c r="CJ319" s="1197"/>
      <c r="CK319" s="1156"/>
      <c r="CL319" s="1197"/>
      <c r="CM319" s="1197"/>
      <c r="CN319" s="1197"/>
      <c r="CO319" s="1197"/>
      <c r="CP319" s="1156"/>
      <c r="CQ319" s="1197"/>
      <c r="CR319" s="1197"/>
      <c r="CS319" s="1197"/>
      <c r="CT319" s="1197"/>
      <c r="CU319" s="1156"/>
      <c r="CV319" s="1197"/>
      <c r="CW319" s="1197"/>
      <c r="CX319" s="1197"/>
      <c r="CY319" s="1197"/>
      <c r="CZ319" s="1156"/>
      <c r="DB319" s="2109"/>
      <c r="DC319" s="2109"/>
    </row>
    <row r="320" spans="1:107" s="1178" customFormat="1" ht="11.25" hidden="1" outlineLevel="1">
      <c r="A320" s="1191"/>
      <c r="B320" s="1191" t="s">
        <v>1103</v>
      </c>
      <c r="C320" s="1156"/>
      <c r="D320" s="1191"/>
      <c r="E320" s="1191"/>
      <c r="F320" s="1191"/>
      <c r="G320" s="1191"/>
      <c r="H320" s="1191"/>
      <c r="I320" s="1191"/>
      <c r="J320" s="1191"/>
      <c r="K320" s="1191"/>
      <c r="L320" s="1191"/>
      <c r="M320" s="1191"/>
      <c r="N320" s="1191"/>
      <c r="O320" s="1191"/>
      <c r="P320" s="1191"/>
      <c r="Q320" s="1191"/>
      <c r="R320" s="1191"/>
      <c r="S320" s="1191"/>
      <c r="T320" s="1191"/>
      <c r="U320" s="1191"/>
      <c r="V320" s="1191"/>
      <c r="W320" s="1191"/>
      <c r="X320" s="1191"/>
      <c r="Y320" s="1191"/>
      <c r="Z320" s="1191"/>
      <c r="AA320" s="1191"/>
      <c r="AB320" s="1191"/>
      <c r="AC320" s="1182"/>
      <c r="AD320" s="1191"/>
      <c r="AE320" s="1191"/>
      <c r="AF320" s="1191"/>
      <c r="AG320" s="1191"/>
      <c r="AH320" s="1182"/>
      <c r="AI320" s="1191"/>
      <c r="AJ320" s="1191"/>
      <c r="AK320" s="1191"/>
      <c r="AL320" s="1191"/>
      <c r="AM320" s="1182"/>
      <c r="AN320" s="1191"/>
      <c r="AO320" s="1191"/>
      <c r="AP320" s="1191"/>
      <c r="AQ320" s="1191"/>
      <c r="AR320" s="1182"/>
      <c r="AS320" s="1182"/>
      <c r="AT320" s="1182"/>
      <c r="AU320" s="1182"/>
      <c r="AV320" s="1182"/>
      <c r="AW320" s="1191">
        <v>16000</v>
      </c>
      <c r="AX320" s="1182"/>
      <c r="AY320" s="1182"/>
      <c r="AZ320" s="1182"/>
      <c r="BA320" s="1182"/>
      <c r="BB320" s="1191">
        <v>17000</v>
      </c>
      <c r="BC320" s="1191">
        <v>16620</v>
      </c>
      <c r="BD320" s="1191">
        <v>16720</v>
      </c>
      <c r="BE320" s="1191">
        <v>16910</v>
      </c>
      <c r="BF320" s="1190">
        <v>17290</v>
      </c>
      <c r="BG320" s="1190"/>
      <c r="BH320" s="1184"/>
      <c r="BI320" s="1184"/>
      <c r="BJ320" s="1184"/>
      <c r="BK320" s="1184"/>
      <c r="BL320" s="1156"/>
      <c r="BM320" s="1156"/>
      <c r="BN320" s="1156"/>
      <c r="BO320" s="1156"/>
      <c r="BP320" s="1156"/>
      <c r="BQ320" s="1156"/>
      <c r="BR320" s="1156"/>
      <c r="BS320" s="1156"/>
      <c r="BT320" s="1156"/>
      <c r="BU320" s="1156"/>
      <c r="BV320" s="1156"/>
      <c r="BW320" s="1156"/>
      <c r="BX320" s="1156"/>
      <c r="BY320" s="1156"/>
      <c r="BZ320" s="1156"/>
      <c r="CA320" s="1156"/>
      <c r="CB320" s="1197"/>
      <c r="CC320" s="1197"/>
      <c r="CD320" s="1197"/>
      <c r="CE320" s="1197"/>
      <c r="CF320" s="1156"/>
      <c r="CG320" s="1197"/>
      <c r="CH320" s="1197"/>
      <c r="CI320" s="1197"/>
      <c r="CJ320" s="1197"/>
      <c r="CK320" s="1156"/>
      <c r="CL320" s="1197"/>
      <c r="CM320" s="1197"/>
      <c r="CN320" s="1197"/>
      <c r="CO320" s="1197"/>
      <c r="CP320" s="1156"/>
      <c r="CQ320" s="1197"/>
      <c r="CR320" s="1197"/>
      <c r="CS320" s="1197"/>
      <c r="CT320" s="1197"/>
      <c r="CU320" s="1156"/>
      <c r="CV320" s="1197"/>
      <c r="CW320" s="1197"/>
      <c r="CX320" s="1197"/>
      <c r="CY320" s="1197"/>
      <c r="CZ320" s="1156"/>
      <c r="DB320" s="2109"/>
      <c r="DC320" s="2109"/>
    </row>
    <row r="321" spans="1:107" s="1178" customFormat="1" ht="11.25" hidden="1" outlineLevel="1">
      <c r="A321" s="1191"/>
      <c r="B321" s="1191" t="s">
        <v>1102</v>
      </c>
      <c r="C321" s="1156"/>
      <c r="D321" s="1191"/>
      <c r="E321" s="1191"/>
      <c r="F321" s="1191"/>
      <c r="G321" s="1191"/>
      <c r="H321" s="1191"/>
      <c r="I321" s="1191"/>
      <c r="J321" s="1191"/>
      <c r="K321" s="1191"/>
      <c r="L321" s="1191"/>
      <c r="M321" s="1191"/>
      <c r="N321" s="1191"/>
      <c r="O321" s="1191"/>
      <c r="P321" s="1191"/>
      <c r="Q321" s="1191"/>
      <c r="R321" s="1191"/>
      <c r="S321" s="1191"/>
      <c r="T321" s="1191"/>
      <c r="U321" s="1191"/>
      <c r="V321" s="1191"/>
      <c r="W321" s="1191"/>
      <c r="X321" s="1191"/>
      <c r="Y321" s="1191"/>
      <c r="Z321" s="1191"/>
      <c r="AA321" s="1191"/>
      <c r="AB321" s="1191"/>
      <c r="AC321" s="1182"/>
      <c r="AD321" s="1191"/>
      <c r="AE321" s="1191"/>
      <c r="AF321" s="1191"/>
      <c r="AG321" s="1191"/>
      <c r="AH321" s="1182"/>
      <c r="AI321" s="1191"/>
      <c r="AJ321" s="1191"/>
      <c r="AK321" s="1191"/>
      <c r="AL321" s="1191"/>
      <c r="AM321" s="1182"/>
      <c r="AN321" s="1191"/>
      <c r="AO321" s="1191"/>
      <c r="AP321" s="1191"/>
      <c r="AQ321" s="1191"/>
      <c r="AR321" s="1182"/>
      <c r="AS321" s="1182"/>
      <c r="AT321" s="1182"/>
      <c r="AU321" s="1182"/>
      <c r="AV321" s="1182"/>
      <c r="AW321" s="1191">
        <v>7250</v>
      </c>
      <c r="AX321" s="1182"/>
      <c r="AY321" s="1182"/>
      <c r="AZ321" s="1182"/>
      <c r="BA321" s="1182"/>
      <c r="BB321" s="1191">
        <v>7250</v>
      </c>
      <c r="BC321" s="1191">
        <v>7150</v>
      </c>
      <c r="BD321" s="1191">
        <v>6770</v>
      </c>
      <c r="BE321" s="1191">
        <v>7060</v>
      </c>
      <c r="BF321" s="1190">
        <v>7060</v>
      </c>
      <c r="BG321" s="1190"/>
      <c r="BH321" s="1184"/>
      <c r="BI321" s="1184"/>
      <c r="BJ321" s="1184"/>
      <c r="BK321" s="1184"/>
      <c r="BL321" s="1156"/>
      <c r="BM321" s="1156"/>
      <c r="BN321" s="1156"/>
      <c r="BO321" s="1156"/>
      <c r="BP321" s="1156"/>
      <c r="BQ321" s="1156"/>
      <c r="BR321" s="1156"/>
      <c r="BS321" s="1156"/>
      <c r="BT321" s="1156"/>
      <c r="BU321" s="1156"/>
      <c r="BV321" s="1156"/>
      <c r="BW321" s="1156"/>
      <c r="BX321" s="1156"/>
      <c r="BY321" s="1156"/>
      <c r="BZ321" s="1156"/>
      <c r="CA321" s="1156"/>
      <c r="CB321" s="1197"/>
      <c r="CC321" s="1197"/>
      <c r="CD321" s="1197"/>
      <c r="CE321" s="1197"/>
      <c r="CF321" s="1156"/>
      <c r="CG321" s="1197"/>
      <c r="CH321" s="1197"/>
      <c r="CI321" s="1197"/>
      <c r="CJ321" s="1197"/>
      <c r="CK321" s="1156"/>
      <c r="CL321" s="1197"/>
      <c r="CM321" s="1197"/>
      <c r="CN321" s="1197"/>
      <c r="CO321" s="1197"/>
      <c r="CP321" s="1156"/>
      <c r="CQ321" s="1197"/>
      <c r="CR321" s="1197"/>
      <c r="CS321" s="1197"/>
      <c r="CT321" s="1197"/>
      <c r="CU321" s="1156"/>
      <c r="CV321" s="1197"/>
      <c r="CW321" s="1197"/>
      <c r="CX321" s="1197"/>
      <c r="CY321" s="1197"/>
      <c r="CZ321" s="1156"/>
      <c r="DB321" s="2109"/>
      <c r="DC321" s="2109"/>
    </row>
    <row r="322" spans="1:107" s="1178" customFormat="1" ht="11.25" hidden="1" outlineLevel="1">
      <c r="A322" s="1191"/>
      <c r="B322" s="1191" t="s">
        <v>1101</v>
      </c>
      <c r="C322" s="1156"/>
      <c r="D322" s="1191"/>
      <c r="E322" s="1191"/>
      <c r="F322" s="1191"/>
      <c r="G322" s="1191"/>
      <c r="H322" s="1191"/>
      <c r="I322" s="1191"/>
      <c r="J322" s="1191"/>
      <c r="K322" s="1191"/>
      <c r="L322" s="1191"/>
      <c r="M322" s="1191"/>
      <c r="N322" s="1191"/>
      <c r="O322" s="1191"/>
      <c r="P322" s="1191"/>
      <c r="Q322" s="1191"/>
      <c r="R322" s="1191"/>
      <c r="S322" s="1191"/>
      <c r="T322" s="1191"/>
      <c r="U322" s="1191"/>
      <c r="V322" s="1191"/>
      <c r="W322" s="1191"/>
      <c r="X322" s="1191"/>
      <c r="Y322" s="1191"/>
      <c r="Z322" s="1191"/>
      <c r="AA322" s="1191"/>
      <c r="AB322" s="1191"/>
      <c r="AC322" s="1182"/>
      <c r="AD322" s="1191"/>
      <c r="AE322" s="1191"/>
      <c r="AF322" s="1191"/>
      <c r="AG322" s="1191"/>
      <c r="AH322" s="1182"/>
      <c r="AI322" s="1191"/>
      <c r="AJ322" s="1191"/>
      <c r="AK322" s="1191"/>
      <c r="AL322" s="1191"/>
      <c r="AM322" s="1182"/>
      <c r="AN322" s="1191"/>
      <c r="AO322" s="1191"/>
      <c r="AP322" s="1191"/>
      <c r="AQ322" s="1191"/>
      <c r="AR322" s="1182"/>
      <c r="AS322" s="1182"/>
      <c r="AT322" s="1182"/>
      <c r="AU322" s="1182"/>
      <c r="AV322" s="1182"/>
      <c r="AW322" s="1191">
        <v>1760</v>
      </c>
      <c r="AX322" s="1182"/>
      <c r="AY322" s="1182"/>
      <c r="AZ322" s="1182"/>
      <c r="BA322" s="1182"/>
      <c r="BB322" s="1191">
        <v>1470</v>
      </c>
      <c r="BC322" s="1191">
        <v>1660</v>
      </c>
      <c r="BD322" s="1191">
        <v>2140</v>
      </c>
      <c r="BE322" s="1191">
        <v>1850</v>
      </c>
      <c r="BF322" s="1190">
        <v>1950</v>
      </c>
      <c r="BG322" s="1190"/>
      <c r="BH322" s="1184"/>
      <c r="BI322" s="1184"/>
      <c r="BJ322" s="1184"/>
      <c r="BK322" s="1184"/>
      <c r="BL322" s="1156"/>
      <c r="BM322" s="1156"/>
      <c r="BN322" s="1156"/>
      <c r="BO322" s="1156"/>
      <c r="BP322" s="1156"/>
      <c r="BQ322" s="1156"/>
      <c r="BR322" s="1156"/>
      <c r="BS322" s="1156"/>
      <c r="BT322" s="1156"/>
      <c r="BU322" s="1156"/>
      <c r="BV322" s="1156"/>
      <c r="BW322" s="1156"/>
      <c r="BX322" s="1156"/>
      <c r="BY322" s="1156"/>
      <c r="BZ322" s="1156"/>
      <c r="CA322" s="1156"/>
      <c r="CB322" s="1197"/>
      <c r="CC322" s="1197"/>
      <c r="CD322" s="1197"/>
      <c r="CE322" s="1197"/>
      <c r="CF322" s="1156"/>
      <c r="CG322" s="1197"/>
      <c r="CH322" s="1197"/>
      <c r="CI322" s="1197"/>
      <c r="CJ322" s="1197"/>
      <c r="CK322" s="1156"/>
      <c r="CL322" s="1197"/>
      <c r="CM322" s="1197"/>
      <c r="CN322" s="1197"/>
      <c r="CO322" s="1197"/>
      <c r="CP322" s="1156"/>
      <c r="CQ322" s="1197"/>
      <c r="CR322" s="1197"/>
      <c r="CS322" s="1197"/>
      <c r="CT322" s="1197"/>
      <c r="CU322" s="1156"/>
      <c r="CV322" s="1197"/>
      <c r="CW322" s="1197"/>
      <c r="CX322" s="1197"/>
      <c r="CY322" s="1197"/>
      <c r="CZ322" s="1156"/>
      <c r="DB322" s="2109"/>
      <c r="DC322" s="2109"/>
    </row>
    <row r="323" spans="1:107" s="1178" customFormat="1" ht="11.25" hidden="1" outlineLevel="1">
      <c r="A323" s="1191"/>
      <c r="B323" s="1191"/>
      <c r="C323" s="1156"/>
      <c r="D323" s="1191"/>
      <c r="E323" s="1191"/>
      <c r="F323" s="1191"/>
      <c r="G323" s="1191"/>
      <c r="H323" s="1191"/>
      <c r="I323" s="1191"/>
      <c r="J323" s="1191"/>
      <c r="K323" s="1191"/>
      <c r="L323" s="1191"/>
      <c r="M323" s="1191"/>
      <c r="N323" s="1191"/>
      <c r="O323" s="1191"/>
      <c r="P323" s="1191"/>
      <c r="Q323" s="1191"/>
      <c r="R323" s="1191"/>
      <c r="S323" s="1191"/>
      <c r="T323" s="1191"/>
      <c r="U323" s="1191"/>
      <c r="V323" s="1191"/>
      <c r="W323" s="1191"/>
      <c r="X323" s="1191"/>
      <c r="Y323" s="1191"/>
      <c r="Z323" s="1191"/>
      <c r="AA323" s="1191"/>
      <c r="AB323" s="1191"/>
      <c r="AC323" s="1182"/>
      <c r="AD323" s="1191"/>
      <c r="AE323" s="1191"/>
      <c r="AF323" s="1191"/>
      <c r="AG323" s="1191"/>
      <c r="AH323" s="1182"/>
      <c r="AI323" s="1191"/>
      <c r="AJ323" s="1191"/>
      <c r="AK323" s="1191"/>
      <c r="AL323" s="1191"/>
      <c r="AM323" s="1182"/>
      <c r="AN323" s="1191"/>
      <c r="AO323" s="1191"/>
      <c r="AP323" s="1191"/>
      <c r="AQ323" s="1191"/>
      <c r="AR323" s="1182"/>
      <c r="AS323" s="1182"/>
      <c r="AT323" s="1182"/>
      <c r="AU323" s="1182"/>
      <c r="AV323" s="1182"/>
      <c r="AW323" s="1191"/>
      <c r="AX323" s="1182"/>
      <c r="AY323" s="1182"/>
      <c r="AZ323" s="1182"/>
      <c r="BA323" s="1182"/>
      <c r="BB323" s="1191"/>
      <c r="BC323" s="1191"/>
      <c r="BD323" s="1191"/>
      <c r="BE323" s="1191"/>
      <c r="BF323" s="1190"/>
      <c r="BG323" s="1190"/>
      <c r="BH323" s="1184"/>
      <c r="BI323" s="1184"/>
      <c r="BJ323" s="1184"/>
      <c r="BK323" s="1184"/>
      <c r="BL323" s="1156"/>
      <c r="BM323" s="1156"/>
      <c r="BN323" s="1156"/>
      <c r="BO323" s="1156"/>
      <c r="BP323" s="1156"/>
      <c r="BQ323" s="1156"/>
      <c r="BR323" s="1156"/>
      <c r="BS323" s="1156"/>
      <c r="BT323" s="1156"/>
      <c r="BU323" s="1156"/>
      <c r="BV323" s="1156"/>
      <c r="BW323" s="1156"/>
      <c r="BX323" s="1156"/>
      <c r="BY323" s="1156"/>
      <c r="BZ323" s="1156"/>
      <c r="CA323" s="1156"/>
      <c r="CB323" s="1197"/>
      <c r="CC323" s="1197"/>
      <c r="CD323" s="1197"/>
      <c r="CE323" s="1197"/>
      <c r="CF323" s="1156"/>
      <c r="CG323" s="1197"/>
      <c r="CH323" s="1197"/>
      <c r="CI323" s="1197"/>
      <c r="CJ323" s="1197"/>
      <c r="CK323" s="1156"/>
      <c r="CL323" s="1197"/>
      <c r="CM323" s="1197"/>
      <c r="CN323" s="1197"/>
      <c r="CO323" s="1197"/>
      <c r="CP323" s="1156"/>
      <c r="CQ323" s="1197"/>
      <c r="CR323" s="1197"/>
      <c r="CS323" s="1197"/>
      <c r="CT323" s="1197"/>
      <c r="CU323" s="1156"/>
      <c r="CV323" s="1197"/>
      <c r="CW323" s="1197"/>
      <c r="CX323" s="1197"/>
      <c r="CY323" s="1197"/>
      <c r="CZ323" s="1156"/>
      <c r="DB323" s="2109"/>
      <c r="DC323" s="2109"/>
    </row>
    <row r="324" spans="1:107" s="1178" customFormat="1" ht="11.25" hidden="1" outlineLevel="1">
      <c r="A324" s="1191"/>
      <c r="B324" s="1182" t="s">
        <v>1100</v>
      </c>
      <c r="C324" s="1156"/>
      <c r="D324" s="1191"/>
      <c r="E324" s="1191"/>
      <c r="F324" s="1191"/>
      <c r="G324" s="1191"/>
      <c r="H324" s="1191"/>
      <c r="I324" s="1191"/>
      <c r="J324" s="1191"/>
      <c r="K324" s="1191"/>
      <c r="L324" s="1191"/>
      <c r="M324" s="1191"/>
      <c r="N324" s="1191"/>
      <c r="O324" s="1191"/>
      <c r="P324" s="1191"/>
      <c r="Q324" s="1191"/>
      <c r="R324" s="1191"/>
      <c r="S324" s="1191"/>
      <c r="T324" s="1191"/>
      <c r="U324" s="1191"/>
      <c r="V324" s="1191"/>
      <c r="W324" s="1191"/>
      <c r="X324" s="1191"/>
      <c r="Y324" s="1191"/>
      <c r="Z324" s="1191"/>
      <c r="AA324" s="1191"/>
      <c r="AB324" s="1191"/>
      <c r="AC324" s="1182"/>
      <c r="AD324" s="1191"/>
      <c r="AE324" s="1191"/>
      <c r="AF324" s="1191"/>
      <c r="AG324" s="1191"/>
      <c r="AH324" s="1182"/>
      <c r="AI324" s="1191"/>
      <c r="AJ324" s="1191"/>
      <c r="AK324" s="1191"/>
      <c r="AL324" s="1191"/>
      <c r="AM324" s="1182"/>
      <c r="AN324" s="1191"/>
      <c r="AO324" s="1191"/>
      <c r="AP324" s="1191"/>
      <c r="AQ324" s="1191"/>
      <c r="AR324" s="1212">
        <v>12</v>
      </c>
      <c r="AS324" s="1215"/>
      <c r="AT324" s="1215"/>
      <c r="AU324" s="1215"/>
      <c r="AV324" s="1215"/>
      <c r="AW324" s="1212">
        <v>15.6</v>
      </c>
      <c r="AX324" s="1182"/>
      <c r="AY324" s="1182"/>
      <c r="AZ324" s="1182"/>
      <c r="BA324" s="1182"/>
      <c r="BB324" s="1653"/>
      <c r="BC324" s="1191"/>
      <c r="BD324" s="1191"/>
      <c r="BE324" s="1191"/>
      <c r="BF324" s="1190"/>
      <c r="BG324" s="1190"/>
      <c r="BH324" s="1184"/>
      <c r="BI324" s="1184"/>
      <c r="BJ324" s="1184"/>
      <c r="BK324" s="1184"/>
      <c r="BL324" s="1156"/>
      <c r="BM324" s="1156"/>
      <c r="BN324" s="1156"/>
      <c r="BO324" s="1156"/>
      <c r="BP324" s="1156"/>
      <c r="BQ324" s="1156"/>
      <c r="BR324" s="1156"/>
      <c r="BS324" s="1156"/>
      <c r="BT324" s="1156"/>
      <c r="BU324" s="1156"/>
      <c r="BV324" s="1156"/>
      <c r="BW324" s="1156"/>
      <c r="BX324" s="1156"/>
      <c r="BY324" s="1156"/>
      <c r="BZ324" s="1156"/>
      <c r="CA324" s="1156"/>
      <c r="CB324" s="1197"/>
      <c r="CC324" s="1197"/>
      <c r="CD324" s="1197"/>
      <c r="CE324" s="1197"/>
      <c r="CF324" s="1156"/>
      <c r="CG324" s="1197"/>
      <c r="CH324" s="1197"/>
      <c r="CI324" s="1197"/>
      <c r="CJ324" s="1197"/>
      <c r="CK324" s="1156"/>
      <c r="CL324" s="1197"/>
      <c r="CM324" s="1197"/>
      <c r="CN324" s="1197"/>
      <c r="CO324" s="1197"/>
      <c r="CP324" s="1156"/>
      <c r="CQ324" s="1197"/>
      <c r="CR324" s="1197"/>
      <c r="CS324" s="1197"/>
      <c r="CT324" s="1197"/>
      <c r="CU324" s="1156"/>
      <c r="CV324" s="1197"/>
      <c r="CW324" s="1197"/>
      <c r="CX324" s="1197"/>
      <c r="CY324" s="1197"/>
      <c r="CZ324" s="1156"/>
      <c r="DB324" s="2109"/>
      <c r="DC324" s="2109"/>
    </row>
    <row r="325" spans="1:107" s="1178" customFormat="1" ht="11.25" hidden="1" outlineLevel="1">
      <c r="A325" s="1191"/>
      <c r="B325" s="1191"/>
      <c r="C325" s="1191"/>
      <c r="D325" s="1191"/>
      <c r="E325" s="1191"/>
      <c r="F325" s="1191"/>
      <c r="G325" s="1191"/>
      <c r="H325" s="1191"/>
      <c r="I325" s="1191"/>
      <c r="J325" s="1191"/>
      <c r="K325" s="1191"/>
      <c r="L325" s="1191"/>
      <c r="M325" s="1191"/>
      <c r="N325" s="1191"/>
      <c r="O325" s="1191"/>
      <c r="P325" s="1191"/>
      <c r="Q325" s="1191"/>
      <c r="R325" s="1191"/>
      <c r="S325" s="1191"/>
      <c r="T325" s="1191"/>
      <c r="U325" s="1191"/>
      <c r="V325" s="1191"/>
      <c r="W325" s="1191"/>
      <c r="X325" s="1191"/>
      <c r="Y325" s="1191"/>
      <c r="Z325" s="1191"/>
      <c r="AA325" s="1191"/>
      <c r="AB325" s="1191"/>
      <c r="AC325" s="1182"/>
      <c r="AD325" s="1191"/>
      <c r="AE325" s="1191"/>
      <c r="AF325" s="1191"/>
      <c r="AG325" s="1191"/>
      <c r="AH325" s="1182"/>
      <c r="AI325" s="1191"/>
      <c r="AJ325" s="1191"/>
      <c r="AK325" s="1191"/>
      <c r="AL325" s="1191"/>
      <c r="AM325" s="1182"/>
      <c r="AN325" s="1191"/>
      <c r="AO325" s="1191"/>
      <c r="AP325" s="1191"/>
      <c r="AQ325" s="1191"/>
      <c r="AR325" s="1182"/>
      <c r="AS325" s="1182"/>
      <c r="AT325" s="1182"/>
      <c r="AU325" s="1182"/>
      <c r="AV325" s="1182"/>
      <c r="AW325" s="1191"/>
      <c r="AX325" s="1182"/>
      <c r="AY325" s="1182"/>
      <c r="AZ325" s="1182"/>
      <c r="BA325" s="1182"/>
      <c r="BB325" s="1191"/>
      <c r="BC325" s="1191"/>
      <c r="BD325" s="1191"/>
      <c r="BE325" s="1191"/>
      <c r="BF325" s="1190"/>
      <c r="BG325" s="1190"/>
      <c r="BH325" s="1184"/>
      <c r="BI325" s="1184"/>
      <c r="BJ325" s="1184"/>
      <c r="BK325" s="1184"/>
      <c r="BL325" s="1156"/>
      <c r="BM325" s="1156"/>
      <c r="BN325" s="1156"/>
      <c r="BO325" s="1156"/>
      <c r="BP325" s="1156"/>
      <c r="BQ325" s="1156"/>
      <c r="BR325" s="1156"/>
      <c r="BS325" s="1156"/>
      <c r="BT325" s="1156"/>
      <c r="BU325" s="1156"/>
      <c r="BV325" s="1156"/>
      <c r="BW325" s="1156"/>
      <c r="BX325" s="1156"/>
      <c r="BY325" s="1156"/>
      <c r="BZ325" s="1156"/>
      <c r="CA325" s="1156"/>
      <c r="CB325" s="1197"/>
      <c r="CC325" s="1197"/>
      <c r="CD325" s="1197"/>
      <c r="CE325" s="1197"/>
      <c r="CF325" s="1156"/>
      <c r="CG325" s="1197"/>
      <c r="CH325" s="1197"/>
      <c r="CI325" s="1197"/>
      <c r="CJ325" s="1197"/>
      <c r="CK325" s="1156"/>
      <c r="CL325" s="1197"/>
      <c r="CM325" s="1197"/>
      <c r="CN325" s="1197"/>
      <c r="CO325" s="1197"/>
      <c r="CP325" s="1156"/>
      <c r="CQ325" s="1197"/>
      <c r="CR325" s="1197"/>
      <c r="CS325" s="1197"/>
      <c r="CT325" s="1197"/>
      <c r="CU325" s="1156"/>
      <c r="CV325" s="1197"/>
      <c r="CW325" s="1197"/>
      <c r="CX325" s="1197"/>
      <c r="CY325" s="1197"/>
      <c r="CZ325" s="1156"/>
      <c r="DB325" s="2109"/>
      <c r="DC325" s="2109"/>
    </row>
    <row r="326" spans="1:107" s="1178" customFormat="1" ht="11.25" hidden="1" outlineLevel="1">
      <c r="A326" s="1191"/>
      <c r="B326" s="1182" t="s">
        <v>1099</v>
      </c>
      <c r="C326" s="1191"/>
      <c r="D326" s="1191"/>
      <c r="E326" s="1191"/>
      <c r="F326" s="1191"/>
      <c r="G326" s="1191"/>
      <c r="H326" s="1191"/>
      <c r="I326" s="1191"/>
      <c r="J326" s="1191"/>
      <c r="K326" s="1191"/>
      <c r="L326" s="1191"/>
      <c r="M326" s="1191"/>
      <c r="N326" s="1191"/>
      <c r="O326" s="1191"/>
      <c r="P326" s="1191"/>
      <c r="Q326" s="1191"/>
      <c r="R326" s="1191"/>
      <c r="S326" s="1191"/>
      <c r="T326" s="1191"/>
      <c r="U326" s="1191"/>
      <c r="V326" s="1191"/>
      <c r="W326" s="1191"/>
      <c r="X326" s="1191"/>
      <c r="Y326" s="1191"/>
      <c r="Z326" s="1191"/>
      <c r="AA326" s="1191"/>
      <c r="AB326" s="1191"/>
      <c r="AC326" s="1182"/>
      <c r="AD326" s="1191"/>
      <c r="AE326" s="1191"/>
      <c r="AF326" s="1191"/>
      <c r="AG326" s="1191"/>
      <c r="AH326" s="1182"/>
      <c r="AI326" s="1191"/>
      <c r="AJ326" s="1191"/>
      <c r="AK326" s="1191"/>
      <c r="AL326" s="1191"/>
      <c r="AM326" s="1182"/>
      <c r="AN326" s="1191"/>
      <c r="AO326" s="1191"/>
      <c r="AP326" s="1191"/>
      <c r="AQ326" s="1191"/>
      <c r="AR326" s="1182"/>
      <c r="AS326" s="1182"/>
      <c r="AT326" s="1182"/>
      <c r="AU326" s="1182"/>
      <c r="AV326" s="1182"/>
      <c r="AW326" s="1191"/>
      <c r="AX326" s="1182"/>
      <c r="AY326" s="1182"/>
      <c r="AZ326" s="1182"/>
      <c r="BA326" s="1182"/>
      <c r="BB326" s="1191"/>
      <c r="BC326" s="1191"/>
      <c r="BD326" s="1191"/>
      <c r="BE326" s="1191"/>
      <c r="BF326" s="1190"/>
      <c r="BG326" s="1190"/>
      <c r="BH326" s="1184"/>
      <c r="BI326" s="1184"/>
      <c r="BJ326" s="1184"/>
      <c r="BK326" s="1184"/>
      <c r="BL326" s="1156"/>
      <c r="BM326" s="1156"/>
      <c r="BN326" s="1156"/>
      <c r="BO326" s="1156"/>
      <c r="BP326" s="1156"/>
      <c r="BQ326" s="1156"/>
      <c r="BR326" s="1156"/>
      <c r="BS326" s="1156"/>
      <c r="BT326" s="1156"/>
      <c r="BU326" s="1156"/>
      <c r="BV326" s="1156"/>
      <c r="BW326" s="1156"/>
      <c r="BX326" s="1156"/>
      <c r="BY326" s="1156"/>
      <c r="BZ326" s="1156"/>
      <c r="CA326" s="1156"/>
      <c r="CB326" s="1197"/>
      <c r="CC326" s="1197"/>
      <c r="CD326" s="1197"/>
      <c r="CE326" s="1197"/>
      <c r="CF326" s="1156"/>
      <c r="CG326" s="1197"/>
      <c r="CH326" s="1197"/>
      <c r="CI326" s="1197"/>
      <c r="CJ326" s="1197"/>
      <c r="CK326" s="1156"/>
      <c r="CL326" s="1197"/>
      <c r="CM326" s="1197"/>
      <c r="CN326" s="1197"/>
      <c r="CO326" s="1197"/>
      <c r="CP326" s="1156"/>
      <c r="CQ326" s="1197"/>
      <c r="CR326" s="1197"/>
      <c r="CS326" s="1197"/>
      <c r="CT326" s="1197"/>
      <c r="CU326" s="1156"/>
      <c r="CV326" s="1197"/>
      <c r="CW326" s="1197"/>
      <c r="CX326" s="1197"/>
      <c r="CY326" s="1197"/>
      <c r="CZ326" s="1156"/>
      <c r="DB326" s="2109"/>
      <c r="DC326" s="2109"/>
    </row>
    <row r="327" spans="1:107" s="1178" customFormat="1" ht="11.25" hidden="1" outlineLevel="1">
      <c r="A327" s="1191"/>
      <c r="B327" s="1191" t="s">
        <v>1098</v>
      </c>
      <c r="C327" s="1156"/>
      <c r="D327" s="1191"/>
      <c r="E327" s="1191"/>
      <c r="F327" s="1191"/>
      <c r="G327" s="1191"/>
      <c r="H327" s="1191"/>
      <c r="I327" s="1191"/>
      <c r="J327" s="1191"/>
      <c r="K327" s="1191"/>
      <c r="L327" s="1191"/>
      <c r="M327" s="1191"/>
      <c r="N327" s="1191"/>
      <c r="O327" s="1191"/>
      <c r="P327" s="1191"/>
      <c r="Q327" s="1191"/>
      <c r="R327" s="1191"/>
      <c r="S327" s="1191"/>
      <c r="T327" s="1191"/>
      <c r="U327" s="1191"/>
      <c r="V327" s="1191"/>
      <c r="W327" s="1191"/>
      <c r="X327" s="1191"/>
      <c r="Y327" s="1191"/>
      <c r="Z327" s="1191"/>
      <c r="AA327" s="1191"/>
      <c r="AB327" s="1191"/>
      <c r="AC327" s="1182"/>
      <c r="AD327" s="1191"/>
      <c r="AE327" s="1191"/>
      <c r="AF327" s="1191"/>
      <c r="AG327" s="1191"/>
      <c r="AH327" s="1182"/>
      <c r="AI327" s="1191"/>
      <c r="AJ327" s="1191"/>
      <c r="AK327" s="1191"/>
      <c r="AL327" s="1191"/>
      <c r="AM327" s="1182"/>
      <c r="AN327" s="1191"/>
      <c r="AO327" s="1191"/>
      <c r="AP327" s="1191"/>
      <c r="AQ327" s="1191"/>
      <c r="AR327" s="1182"/>
      <c r="AS327" s="1182"/>
      <c r="AT327" s="1182"/>
      <c r="AU327" s="1182"/>
      <c r="AV327" s="1182"/>
      <c r="AW327" s="1191">
        <v>32600</v>
      </c>
      <c r="AX327" s="1182"/>
      <c r="AY327" s="1182"/>
      <c r="AZ327" s="1182"/>
      <c r="BA327" s="1182"/>
      <c r="BB327" s="1191">
        <v>32800</v>
      </c>
      <c r="BC327" s="1191">
        <v>33600</v>
      </c>
      <c r="BD327" s="1191">
        <v>34800</v>
      </c>
      <c r="BE327" s="1191">
        <v>35500</v>
      </c>
      <c r="BF327" s="1190">
        <v>35800</v>
      </c>
      <c r="BG327" s="1190"/>
      <c r="BH327" s="1184"/>
      <c r="BI327" s="1184"/>
      <c r="BJ327" s="1184"/>
      <c r="BK327" s="1184"/>
      <c r="BL327" s="1156"/>
      <c r="BM327" s="1156"/>
      <c r="BN327" s="1156"/>
      <c r="BO327" s="1156"/>
      <c r="BP327" s="1156"/>
      <c r="BQ327" s="1156"/>
      <c r="BR327" s="1156"/>
      <c r="BS327" s="1156"/>
      <c r="BT327" s="1156"/>
      <c r="BU327" s="1156"/>
      <c r="BV327" s="1156"/>
      <c r="BW327" s="1156"/>
      <c r="BX327" s="1156"/>
      <c r="BY327" s="1156"/>
      <c r="BZ327" s="1156"/>
      <c r="CA327" s="1156"/>
      <c r="CB327" s="1197"/>
      <c r="CC327" s="1197"/>
      <c r="CD327" s="1197"/>
      <c r="CE327" s="1197"/>
      <c r="CF327" s="1156"/>
      <c r="CG327" s="1197"/>
      <c r="CH327" s="1197"/>
      <c r="CI327" s="1197"/>
      <c r="CJ327" s="1197"/>
      <c r="CK327" s="1156"/>
      <c r="CL327" s="1197"/>
      <c r="CM327" s="1197"/>
      <c r="CN327" s="1197"/>
      <c r="CO327" s="1197"/>
      <c r="CP327" s="1156"/>
      <c r="CQ327" s="1197"/>
      <c r="CR327" s="1197"/>
      <c r="CS327" s="1197"/>
      <c r="CT327" s="1197"/>
      <c r="CU327" s="1156"/>
      <c r="CV327" s="1197"/>
      <c r="CW327" s="1197"/>
      <c r="CX327" s="1197"/>
      <c r="CY327" s="1197"/>
      <c r="CZ327" s="1156"/>
      <c r="DB327" s="2109"/>
      <c r="DC327" s="2109"/>
    </row>
    <row r="328" spans="1:107" s="1178" customFormat="1" ht="11.25" hidden="1" outlineLevel="1">
      <c r="A328" s="1191"/>
      <c r="B328" s="1191" t="s">
        <v>1097</v>
      </c>
      <c r="C328" s="1156"/>
      <c r="D328" s="1191"/>
      <c r="E328" s="1191"/>
      <c r="F328" s="1191"/>
      <c r="G328" s="1191"/>
      <c r="H328" s="1191"/>
      <c r="I328" s="1191"/>
      <c r="J328" s="1191"/>
      <c r="K328" s="1191"/>
      <c r="L328" s="1191"/>
      <c r="M328" s="1191"/>
      <c r="N328" s="1191"/>
      <c r="O328" s="1191"/>
      <c r="P328" s="1191"/>
      <c r="Q328" s="1191"/>
      <c r="R328" s="1191"/>
      <c r="S328" s="1191"/>
      <c r="T328" s="1191"/>
      <c r="U328" s="1191"/>
      <c r="V328" s="1191"/>
      <c r="W328" s="1191"/>
      <c r="X328" s="1191"/>
      <c r="Y328" s="1191"/>
      <c r="Z328" s="1191"/>
      <c r="AA328" s="1191"/>
      <c r="AB328" s="1191"/>
      <c r="AC328" s="1182"/>
      <c r="AD328" s="1191"/>
      <c r="AE328" s="1191"/>
      <c r="AF328" s="1191"/>
      <c r="AG328" s="1191"/>
      <c r="AH328" s="1182"/>
      <c r="AI328" s="1191"/>
      <c r="AJ328" s="1191"/>
      <c r="AK328" s="1191"/>
      <c r="AL328" s="1191"/>
      <c r="AM328" s="1182"/>
      <c r="AN328" s="1191"/>
      <c r="AO328" s="1191"/>
      <c r="AP328" s="1191"/>
      <c r="AQ328" s="1191"/>
      <c r="AR328" s="1182"/>
      <c r="AS328" s="1182"/>
      <c r="AT328" s="1182"/>
      <c r="AU328" s="1182"/>
      <c r="AV328" s="1182"/>
      <c r="AW328" s="1191">
        <v>5600</v>
      </c>
      <c r="AX328" s="1182"/>
      <c r="AY328" s="1182"/>
      <c r="AZ328" s="1182"/>
      <c r="BA328" s="1182"/>
      <c r="BB328" s="1191">
        <v>6800</v>
      </c>
      <c r="BC328" s="1191">
        <v>6000</v>
      </c>
      <c r="BD328" s="1191">
        <v>6300</v>
      </c>
      <c r="BE328" s="1191">
        <v>6300</v>
      </c>
      <c r="BF328" s="1190">
        <v>6600</v>
      </c>
      <c r="BG328" s="1190"/>
      <c r="BH328" s="1184"/>
      <c r="BI328" s="1184"/>
      <c r="BJ328" s="1184"/>
      <c r="BK328" s="1184"/>
      <c r="BL328" s="1156"/>
      <c r="BM328" s="1156"/>
      <c r="BN328" s="1156"/>
      <c r="BO328" s="1156"/>
      <c r="BP328" s="1156"/>
      <c r="BQ328" s="1156"/>
      <c r="BR328" s="1156"/>
      <c r="BS328" s="1156"/>
      <c r="BT328" s="1156"/>
      <c r="BU328" s="1156"/>
      <c r="BV328" s="1156"/>
      <c r="BW328" s="1156"/>
      <c r="BX328" s="1156"/>
      <c r="BY328" s="1156"/>
      <c r="BZ328" s="1156"/>
      <c r="CA328" s="1156"/>
      <c r="CB328" s="1197"/>
      <c r="CC328" s="1197"/>
      <c r="CD328" s="1197"/>
      <c r="CE328" s="1197"/>
      <c r="CF328" s="1156"/>
      <c r="CG328" s="1197"/>
      <c r="CH328" s="1197"/>
      <c r="CI328" s="1197"/>
      <c r="CJ328" s="1197"/>
      <c r="CK328" s="1156"/>
      <c r="CL328" s="1197"/>
      <c r="CM328" s="1197"/>
      <c r="CN328" s="1197"/>
      <c r="CO328" s="1197"/>
      <c r="CP328" s="1156"/>
      <c r="CQ328" s="1197"/>
      <c r="CR328" s="1197"/>
      <c r="CS328" s="1197"/>
      <c r="CT328" s="1197"/>
      <c r="CU328" s="1156"/>
      <c r="CV328" s="1197"/>
      <c r="CW328" s="1197"/>
      <c r="CX328" s="1197"/>
      <c r="CY328" s="1197"/>
      <c r="CZ328" s="1156"/>
      <c r="DB328" s="2109"/>
      <c r="DC328" s="2109"/>
    </row>
    <row r="329" spans="1:107" s="1178" customFormat="1" ht="11.25" hidden="1" outlineLevel="1">
      <c r="A329" s="1191"/>
      <c r="B329" s="1191" t="s">
        <v>1096</v>
      </c>
      <c r="C329" s="1156"/>
      <c r="D329" s="1191"/>
      <c r="E329" s="1191"/>
      <c r="F329" s="1191"/>
      <c r="G329" s="1191"/>
      <c r="H329" s="1191"/>
      <c r="I329" s="1191"/>
      <c r="J329" s="1191"/>
      <c r="K329" s="1191"/>
      <c r="L329" s="1191"/>
      <c r="M329" s="1191"/>
      <c r="N329" s="1191"/>
      <c r="O329" s="1191"/>
      <c r="P329" s="1191"/>
      <c r="Q329" s="1191"/>
      <c r="R329" s="1191"/>
      <c r="S329" s="1191"/>
      <c r="T329" s="1191"/>
      <c r="U329" s="1191"/>
      <c r="V329" s="1191"/>
      <c r="W329" s="1191"/>
      <c r="X329" s="1191"/>
      <c r="Y329" s="1191"/>
      <c r="Z329" s="1191"/>
      <c r="AA329" s="1191"/>
      <c r="AB329" s="1191"/>
      <c r="AC329" s="1182"/>
      <c r="AD329" s="1191"/>
      <c r="AE329" s="1191"/>
      <c r="AF329" s="1191"/>
      <c r="AG329" s="1191"/>
      <c r="AH329" s="1182"/>
      <c r="AI329" s="1191"/>
      <c r="AJ329" s="1191"/>
      <c r="AK329" s="1191"/>
      <c r="AL329" s="1191"/>
      <c r="AM329" s="1182"/>
      <c r="AN329" s="1191"/>
      <c r="AO329" s="1191"/>
      <c r="AP329" s="1191"/>
      <c r="AQ329" s="1191"/>
      <c r="AR329" s="1182"/>
      <c r="AS329" s="1182"/>
      <c r="AT329" s="1182"/>
      <c r="AU329" s="1182"/>
      <c r="AV329" s="1182"/>
      <c r="AW329" s="1191">
        <v>5300</v>
      </c>
      <c r="AX329" s="1182"/>
      <c r="AY329" s="1182"/>
      <c r="AZ329" s="1182"/>
      <c r="BA329" s="1182"/>
      <c r="BB329" s="1191">
        <v>4400</v>
      </c>
      <c r="BC329" s="1191">
        <v>5300</v>
      </c>
      <c r="BD329" s="1191">
        <v>5600</v>
      </c>
      <c r="BE329" s="1191">
        <v>5800</v>
      </c>
      <c r="BF329" s="1190">
        <v>5800</v>
      </c>
      <c r="BG329" s="1190"/>
      <c r="BH329" s="1184"/>
      <c r="BI329" s="1184"/>
      <c r="BJ329" s="1184"/>
      <c r="BK329" s="1184"/>
      <c r="BL329" s="1156"/>
      <c r="BM329" s="1156"/>
      <c r="BN329" s="1156"/>
      <c r="BO329" s="1156"/>
      <c r="BP329" s="1156"/>
      <c r="BQ329" s="1156"/>
      <c r="BR329" s="1156"/>
      <c r="BS329" s="1156"/>
      <c r="BT329" s="1156"/>
      <c r="BU329" s="1156"/>
      <c r="BV329" s="1156"/>
      <c r="BW329" s="1156"/>
      <c r="BX329" s="1156"/>
      <c r="BY329" s="1156"/>
      <c r="BZ329" s="1156"/>
      <c r="CA329" s="1156"/>
      <c r="CB329" s="1197"/>
      <c r="CC329" s="1197"/>
      <c r="CD329" s="1197"/>
      <c r="CE329" s="1197"/>
      <c r="CF329" s="1156"/>
      <c r="CG329" s="1197"/>
      <c r="CH329" s="1197"/>
      <c r="CI329" s="1197"/>
      <c r="CJ329" s="1197"/>
      <c r="CK329" s="1156"/>
      <c r="CL329" s="1197"/>
      <c r="CM329" s="1197"/>
      <c r="CN329" s="1197"/>
      <c r="CO329" s="1197"/>
      <c r="CP329" s="1156"/>
      <c r="CQ329" s="1197"/>
      <c r="CR329" s="1197"/>
      <c r="CS329" s="1197"/>
      <c r="CT329" s="1197"/>
      <c r="CU329" s="1156"/>
      <c r="CV329" s="1197"/>
      <c r="CW329" s="1197"/>
      <c r="CX329" s="1197"/>
      <c r="CY329" s="1197"/>
      <c r="CZ329" s="1156"/>
      <c r="DB329" s="2109"/>
      <c r="DC329" s="2109"/>
    </row>
    <row r="330" spans="1:107" s="1178" customFormat="1" ht="11.25" hidden="1" outlineLevel="1">
      <c r="A330" s="1191"/>
      <c r="B330" s="1191" t="s">
        <v>1095</v>
      </c>
      <c r="C330" s="1156"/>
      <c r="D330" s="1191"/>
      <c r="E330" s="1191"/>
      <c r="F330" s="1191"/>
      <c r="G330" s="1191"/>
      <c r="H330" s="1191"/>
      <c r="I330" s="1191"/>
      <c r="J330" s="1191"/>
      <c r="K330" s="1191"/>
      <c r="L330" s="1191"/>
      <c r="M330" s="1191"/>
      <c r="N330" s="1191"/>
      <c r="O330" s="1191"/>
      <c r="P330" s="1191"/>
      <c r="Q330" s="1191"/>
      <c r="R330" s="1191"/>
      <c r="S330" s="1191"/>
      <c r="T330" s="1191"/>
      <c r="U330" s="1191"/>
      <c r="V330" s="1191"/>
      <c r="W330" s="1191"/>
      <c r="X330" s="1191"/>
      <c r="Y330" s="1191"/>
      <c r="Z330" s="1191"/>
      <c r="AA330" s="1191"/>
      <c r="AB330" s="1191"/>
      <c r="AC330" s="1182"/>
      <c r="AD330" s="1191"/>
      <c r="AE330" s="1191"/>
      <c r="AF330" s="1191"/>
      <c r="AG330" s="1191"/>
      <c r="AH330" s="1182"/>
      <c r="AI330" s="1191"/>
      <c r="AJ330" s="1191"/>
      <c r="AK330" s="1191"/>
      <c r="AL330" s="1191"/>
      <c r="AM330" s="1182"/>
      <c r="AN330" s="1191"/>
      <c r="AO330" s="1191"/>
      <c r="AP330" s="1191"/>
      <c r="AQ330" s="1191"/>
      <c r="AR330" s="1182"/>
      <c r="AS330" s="1182"/>
      <c r="AT330" s="1182"/>
      <c r="AU330" s="1182"/>
      <c r="AV330" s="1182"/>
      <c r="AW330" s="1191">
        <v>1400</v>
      </c>
      <c r="AX330" s="1182"/>
      <c r="AY330" s="1182"/>
      <c r="AZ330" s="1182"/>
      <c r="BA330" s="1182"/>
      <c r="BB330" s="1191">
        <v>2100</v>
      </c>
      <c r="BC330" s="1191">
        <v>2600</v>
      </c>
      <c r="BD330" s="1191">
        <v>2600</v>
      </c>
      <c r="BE330" s="1191">
        <v>3100</v>
      </c>
      <c r="BF330" s="1190">
        <v>3900</v>
      </c>
      <c r="BG330" s="1190"/>
      <c r="BH330" s="1184"/>
      <c r="BI330" s="1184"/>
      <c r="BJ330" s="1184"/>
      <c r="BK330" s="1184"/>
      <c r="BL330" s="1156"/>
      <c r="BM330" s="1156"/>
      <c r="BN330" s="1156"/>
      <c r="BO330" s="1156"/>
      <c r="BP330" s="1156"/>
      <c r="BQ330" s="1156"/>
      <c r="BR330" s="1156"/>
      <c r="BS330" s="1156"/>
      <c r="BT330" s="1156"/>
      <c r="BU330" s="1156"/>
      <c r="BV330" s="1156"/>
      <c r="BW330" s="1156"/>
      <c r="BX330" s="1156"/>
      <c r="BY330" s="1156"/>
      <c r="BZ330" s="1156"/>
      <c r="CA330" s="1156"/>
      <c r="CB330" s="1197"/>
      <c r="CC330" s="1197"/>
      <c r="CD330" s="1197"/>
      <c r="CE330" s="1197"/>
      <c r="CF330" s="1156"/>
      <c r="CG330" s="1197"/>
      <c r="CH330" s="1197"/>
      <c r="CI330" s="1197"/>
      <c r="CJ330" s="1197"/>
      <c r="CK330" s="1156"/>
      <c r="CL330" s="1197"/>
      <c r="CM330" s="1197"/>
      <c r="CN330" s="1197"/>
      <c r="CO330" s="1197"/>
      <c r="CP330" s="1156"/>
      <c r="CQ330" s="1197"/>
      <c r="CR330" s="1197"/>
      <c r="CS330" s="1197"/>
      <c r="CT330" s="1197"/>
      <c r="CU330" s="1156"/>
      <c r="CV330" s="1197"/>
      <c r="CW330" s="1197"/>
      <c r="CX330" s="1197"/>
      <c r="CY330" s="1197"/>
      <c r="CZ330" s="1156"/>
      <c r="DB330" s="2109"/>
      <c r="DC330" s="2109"/>
    </row>
    <row r="331" spans="1:107" s="1178" customFormat="1" ht="11.25" hidden="1" outlineLevel="1">
      <c r="A331" s="1191"/>
      <c r="B331" s="1191" t="s">
        <v>1094</v>
      </c>
      <c r="C331" s="1156"/>
      <c r="D331" s="1191"/>
      <c r="E331" s="1191"/>
      <c r="F331" s="1191"/>
      <c r="G331" s="1191"/>
      <c r="H331" s="1191"/>
      <c r="I331" s="1191"/>
      <c r="J331" s="1191"/>
      <c r="K331" s="1191"/>
      <c r="L331" s="1191"/>
      <c r="M331" s="1191"/>
      <c r="N331" s="1191"/>
      <c r="O331" s="1191"/>
      <c r="P331" s="1191"/>
      <c r="Q331" s="1191"/>
      <c r="R331" s="1191"/>
      <c r="S331" s="1191"/>
      <c r="T331" s="1191"/>
      <c r="U331" s="1191"/>
      <c r="V331" s="1191"/>
      <c r="W331" s="1191"/>
      <c r="X331" s="1191"/>
      <c r="Y331" s="1191"/>
      <c r="Z331" s="1191"/>
      <c r="AA331" s="1191"/>
      <c r="AB331" s="1191"/>
      <c r="AC331" s="1182"/>
      <c r="AD331" s="1191"/>
      <c r="AE331" s="1191"/>
      <c r="AF331" s="1191"/>
      <c r="AG331" s="1191"/>
      <c r="AH331" s="1182"/>
      <c r="AI331" s="1191"/>
      <c r="AJ331" s="1191"/>
      <c r="AK331" s="1191"/>
      <c r="AL331" s="1191"/>
      <c r="AM331" s="1182"/>
      <c r="AN331" s="1191"/>
      <c r="AO331" s="1191"/>
      <c r="AP331" s="1191"/>
      <c r="AQ331" s="1191"/>
      <c r="AR331" s="1182"/>
      <c r="AS331" s="1182"/>
      <c r="AT331" s="1182"/>
      <c r="AU331" s="1182"/>
      <c r="AV331" s="1182"/>
      <c r="AW331" s="1191">
        <v>2100</v>
      </c>
      <c r="AX331" s="1191"/>
      <c r="AY331" s="1191"/>
      <c r="AZ331" s="1191"/>
      <c r="BA331" s="1191"/>
      <c r="BB331" s="1191">
        <v>2100</v>
      </c>
      <c r="BC331" s="1191">
        <v>2100</v>
      </c>
      <c r="BD331" s="1191">
        <v>2900</v>
      </c>
      <c r="BE331" s="1191">
        <v>2900</v>
      </c>
      <c r="BF331" s="1190">
        <v>3600</v>
      </c>
      <c r="BG331" s="1190"/>
      <c r="BH331" s="1184"/>
      <c r="BI331" s="1184"/>
      <c r="BJ331" s="1184"/>
      <c r="BK331" s="1184"/>
      <c r="BL331" s="1156"/>
      <c r="BM331" s="1156"/>
      <c r="BN331" s="1156"/>
      <c r="BO331" s="1156"/>
      <c r="BP331" s="1156"/>
      <c r="BQ331" s="1156"/>
      <c r="BR331" s="1156"/>
      <c r="BS331" s="1156"/>
      <c r="BT331" s="1156"/>
      <c r="BU331" s="1156"/>
      <c r="BV331" s="1156"/>
      <c r="BW331" s="1156"/>
      <c r="BX331" s="1156"/>
      <c r="BY331" s="1156"/>
      <c r="BZ331" s="1156"/>
      <c r="CA331" s="1156"/>
      <c r="CB331" s="1197"/>
      <c r="CC331" s="1197"/>
      <c r="CD331" s="1197"/>
      <c r="CE331" s="1197"/>
      <c r="CF331" s="1156"/>
      <c r="CG331" s="1197"/>
      <c r="CH331" s="1197"/>
      <c r="CI331" s="1197"/>
      <c r="CJ331" s="1197"/>
      <c r="CK331" s="1156"/>
      <c r="CL331" s="1197"/>
      <c r="CM331" s="1197"/>
      <c r="CN331" s="1197"/>
      <c r="CO331" s="1197"/>
      <c r="CP331" s="1156"/>
      <c r="CQ331" s="1197"/>
      <c r="CR331" s="1197"/>
      <c r="CS331" s="1197"/>
      <c r="CT331" s="1197"/>
      <c r="CU331" s="1156"/>
      <c r="CV331" s="1197"/>
      <c r="CW331" s="1197"/>
      <c r="CX331" s="1197"/>
      <c r="CY331" s="1197"/>
      <c r="CZ331" s="1156"/>
      <c r="DB331" s="2109"/>
      <c r="DC331" s="2109"/>
    </row>
    <row r="332" spans="1:107" s="1178" customFormat="1" ht="11.25" hidden="1" outlineLevel="1">
      <c r="A332" s="1191"/>
      <c r="B332" s="1191" t="s">
        <v>1093</v>
      </c>
      <c r="C332" s="1156"/>
      <c r="D332" s="1191"/>
      <c r="E332" s="1191"/>
      <c r="F332" s="1191"/>
      <c r="G332" s="1191"/>
      <c r="H332" s="1191"/>
      <c r="I332" s="1191"/>
      <c r="J332" s="1191"/>
      <c r="K332" s="1191"/>
      <c r="L332" s="1191"/>
      <c r="M332" s="1191"/>
      <c r="N332" s="1191"/>
      <c r="O332" s="1191"/>
      <c r="P332" s="1191"/>
      <c r="Q332" s="1191"/>
      <c r="R332" s="1191"/>
      <c r="S332" s="1191"/>
      <c r="T332" s="1191"/>
      <c r="U332" s="1191"/>
      <c r="V332" s="1191"/>
      <c r="W332" s="1191"/>
      <c r="X332" s="1191"/>
      <c r="Y332" s="1191"/>
      <c r="Z332" s="1191"/>
      <c r="AA332" s="1191"/>
      <c r="AB332" s="1191"/>
      <c r="AC332" s="1182"/>
      <c r="AD332" s="1191"/>
      <c r="AE332" s="1191"/>
      <c r="AF332" s="1191"/>
      <c r="AG332" s="1191"/>
      <c r="AH332" s="1182"/>
      <c r="AI332" s="1191"/>
      <c r="AJ332" s="1191"/>
      <c r="AK332" s="1191"/>
      <c r="AL332" s="1191"/>
      <c r="AM332" s="1182"/>
      <c r="AN332" s="1191"/>
      <c r="AO332" s="1191"/>
      <c r="AP332" s="1191"/>
      <c r="AQ332" s="1191"/>
      <c r="AR332" s="1182"/>
      <c r="AS332" s="1182"/>
      <c r="AT332" s="1182"/>
      <c r="AU332" s="1182"/>
      <c r="AV332" s="1182"/>
      <c r="AW332" s="1191">
        <v>2000</v>
      </c>
      <c r="AX332" s="1191"/>
      <c r="AY332" s="1191"/>
      <c r="AZ332" s="1191"/>
      <c r="BA332" s="1191"/>
      <c r="BB332" s="1191">
        <v>2100</v>
      </c>
      <c r="BC332" s="1191">
        <v>2100</v>
      </c>
      <c r="BD332" s="1191">
        <v>2900</v>
      </c>
      <c r="BE332" s="1191">
        <v>2900</v>
      </c>
      <c r="BF332" s="1190">
        <v>3600</v>
      </c>
      <c r="BG332" s="1190"/>
      <c r="BH332" s="1184"/>
      <c r="BI332" s="1184"/>
      <c r="BJ332" s="1184"/>
      <c r="BK332" s="1184"/>
      <c r="BL332" s="1156"/>
      <c r="BM332" s="1156"/>
      <c r="BN332" s="1156"/>
      <c r="BO332" s="1156"/>
      <c r="BP332" s="1156"/>
      <c r="BQ332" s="1156"/>
      <c r="BR332" s="1156"/>
      <c r="BS332" s="1156"/>
      <c r="BT332" s="1156"/>
      <c r="BU332" s="1156"/>
      <c r="BV332" s="1156"/>
      <c r="BW332" s="1156"/>
      <c r="BX332" s="1156"/>
      <c r="BY332" s="1156"/>
      <c r="BZ332" s="1156"/>
      <c r="CA332" s="1156"/>
      <c r="CB332" s="1197"/>
      <c r="CC332" s="1197"/>
      <c r="CD332" s="1197"/>
      <c r="CE332" s="1197"/>
      <c r="CF332" s="1156"/>
      <c r="CG332" s="1197"/>
      <c r="CH332" s="1197"/>
      <c r="CI332" s="1197"/>
      <c r="CJ332" s="1197"/>
      <c r="CK332" s="1156"/>
      <c r="CL332" s="1197"/>
      <c r="CM332" s="1197"/>
      <c r="CN332" s="1197"/>
      <c r="CO332" s="1197"/>
      <c r="CP332" s="1156"/>
      <c r="CQ332" s="1197"/>
      <c r="CR332" s="1197"/>
      <c r="CS332" s="1197"/>
      <c r="CT332" s="1197"/>
      <c r="CU332" s="1156"/>
      <c r="CV332" s="1197"/>
      <c r="CW332" s="1197"/>
      <c r="CX332" s="1197"/>
      <c r="CY332" s="1197"/>
      <c r="CZ332" s="1156"/>
      <c r="DB332" s="2109"/>
      <c r="DC332" s="2109"/>
    </row>
    <row r="333" spans="1:107" s="1178" customFormat="1" ht="11.25" hidden="1" outlineLevel="1">
      <c r="A333" s="1191"/>
      <c r="B333" s="1191" t="s">
        <v>1092</v>
      </c>
      <c r="C333" s="1156"/>
      <c r="D333" s="1191"/>
      <c r="E333" s="1191"/>
      <c r="F333" s="1191"/>
      <c r="G333" s="1191"/>
      <c r="H333" s="1191"/>
      <c r="I333" s="1191"/>
      <c r="J333" s="1191"/>
      <c r="K333" s="1191"/>
      <c r="L333" s="1191"/>
      <c r="M333" s="1191"/>
      <c r="N333" s="1191"/>
      <c r="O333" s="1191"/>
      <c r="P333" s="1191"/>
      <c r="Q333" s="1191"/>
      <c r="R333" s="1191"/>
      <c r="S333" s="1191"/>
      <c r="T333" s="1191"/>
      <c r="U333" s="1191"/>
      <c r="V333" s="1191"/>
      <c r="W333" s="1191"/>
      <c r="X333" s="1191"/>
      <c r="Y333" s="1191"/>
      <c r="Z333" s="1191"/>
      <c r="AA333" s="1191"/>
      <c r="AB333" s="1191"/>
      <c r="AC333" s="1182"/>
      <c r="AD333" s="1191"/>
      <c r="AE333" s="1191"/>
      <c r="AF333" s="1191"/>
      <c r="AG333" s="1191"/>
      <c r="AH333" s="1182"/>
      <c r="AI333" s="1191"/>
      <c r="AJ333" s="1191"/>
      <c r="AK333" s="1191"/>
      <c r="AL333" s="1191"/>
      <c r="AM333" s="1182"/>
      <c r="AN333" s="1191"/>
      <c r="AO333" s="1191"/>
      <c r="AP333" s="1191"/>
      <c r="AQ333" s="1191"/>
      <c r="AR333" s="1182"/>
      <c r="AS333" s="1182"/>
      <c r="AT333" s="1182"/>
      <c r="AU333" s="1182"/>
      <c r="AV333" s="1182"/>
      <c r="AW333" s="1191">
        <v>900</v>
      </c>
      <c r="AX333" s="1191"/>
      <c r="AY333" s="1191"/>
      <c r="AZ333" s="1191"/>
      <c r="BA333" s="1191"/>
      <c r="BB333" s="1191">
        <v>900</v>
      </c>
      <c r="BC333" s="1191">
        <v>2400</v>
      </c>
      <c r="BD333" s="1191">
        <v>4000</v>
      </c>
      <c r="BE333" s="1191">
        <v>7100</v>
      </c>
      <c r="BF333" s="1190">
        <v>8300</v>
      </c>
      <c r="BG333" s="1190"/>
      <c r="BH333" s="1184"/>
      <c r="BI333" s="1184"/>
      <c r="BJ333" s="1184"/>
      <c r="BK333" s="1184"/>
      <c r="BL333" s="1156"/>
      <c r="BM333" s="1156"/>
      <c r="BN333" s="1156"/>
      <c r="BO333" s="1156"/>
      <c r="BP333" s="1156"/>
      <c r="BQ333" s="1156"/>
      <c r="BR333" s="1156"/>
      <c r="BS333" s="1156"/>
      <c r="BT333" s="1156"/>
      <c r="BU333" s="1156"/>
      <c r="BV333" s="1156"/>
      <c r="BW333" s="1156"/>
      <c r="BX333" s="1156"/>
      <c r="BY333" s="1156"/>
      <c r="BZ333" s="1156"/>
      <c r="CA333" s="1156"/>
      <c r="CB333" s="1197"/>
      <c r="CC333" s="1197"/>
      <c r="CD333" s="1197"/>
      <c r="CE333" s="1197"/>
      <c r="CF333" s="1156"/>
      <c r="CG333" s="1197"/>
      <c r="CH333" s="1197"/>
      <c r="CI333" s="1197"/>
      <c r="CJ333" s="1197"/>
      <c r="CK333" s="1156"/>
      <c r="CL333" s="1197"/>
      <c r="CM333" s="1197"/>
      <c r="CN333" s="1197"/>
      <c r="CO333" s="1197"/>
      <c r="CP333" s="1156"/>
      <c r="CQ333" s="1197"/>
      <c r="CR333" s="1197"/>
      <c r="CS333" s="1197"/>
      <c r="CT333" s="1197"/>
      <c r="CU333" s="1156"/>
      <c r="CV333" s="1197"/>
      <c r="CW333" s="1197"/>
      <c r="CX333" s="1197"/>
      <c r="CY333" s="1197"/>
      <c r="CZ333" s="1156"/>
      <c r="DB333" s="2109"/>
      <c r="DC333" s="2109"/>
    </row>
    <row r="334" spans="1:107" s="1178" customFormat="1" ht="11.25" hidden="1" outlineLevel="1">
      <c r="A334" s="1191"/>
      <c r="B334" s="1191"/>
      <c r="C334" s="1191"/>
      <c r="D334" s="1191"/>
      <c r="E334" s="1191"/>
      <c r="F334" s="1191"/>
      <c r="G334" s="1191"/>
      <c r="H334" s="1191"/>
      <c r="I334" s="1191"/>
      <c r="J334" s="1191"/>
      <c r="K334" s="1191"/>
      <c r="L334" s="1191"/>
      <c r="M334" s="1191"/>
      <c r="N334" s="1191"/>
      <c r="O334" s="1191"/>
      <c r="P334" s="1191"/>
      <c r="Q334" s="1191"/>
      <c r="R334" s="1191"/>
      <c r="S334" s="1191"/>
      <c r="T334" s="1191"/>
      <c r="U334" s="1191"/>
      <c r="V334" s="1191"/>
      <c r="W334" s="1191"/>
      <c r="X334" s="1191"/>
      <c r="Y334" s="1191"/>
      <c r="Z334" s="1191"/>
      <c r="AA334" s="1191"/>
      <c r="AB334" s="1191"/>
      <c r="AC334" s="1182"/>
      <c r="AD334" s="1191"/>
      <c r="AE334" s="1191"/>
      <c r="AF334" s="1191"/>
      <c r="AG334" s="1191"/>
      <c r="AH334" s="1182"/>
      <c r="AI334" s="1191"/>
      <c r="AJ334" s="1191"/>
      <c r="AK334" s="1191"/>
      <c r="AL334" s="1191"/>
      <c r="AM334" s="1182"/>
      <c r="AN334" s="1191"/>
      <c r="AO334" s="1191"/>
      <c r="AP334" s="1191"/>
      <c r="AQ334" s="1191"/>
      <c r="AR334" s="1182"/>
      <c r="AS334" s="1182"/>
      <c r="AT334" s="1182"/>
      <c r="AU334" s="1182"/>
      <c r="AV334" s="1182"/>
      <c r="AW334" s="1182"/>
      <c r="AX334" s="1182"/>
      <c r="AY334" s="1182"/>
      <c r="AZ334" s="1182"/>
      <c r="BA334" s="1182"/>
      <c r="BB334" s="1182"/>
      <c r="BC334" s="1182"/>
      <c r="BD334" s="1182"/>
      <c r="BE334" s="1182"/>
      <c r="BF334" s="1190"/>
      <c r="BG334" s="1190"/>
      <c r="BH334" s="1184"/>
      <c r="BI334" s="1184"/>
      <c r="BJ334" s="1184"/>
      <c r="BK334" s="1184"/>
      <c r="BL334" s="1156"/>
      <c r="BM334" s="1156"/>
      <c r="BN334" s="1156"/>
      <c r="BO334" s="1156"/>
      <c r="BP334" s="1156"/>
      <c r="BQ334" s="1156"/>
      <c r="BR334" s="1156"/>
      <c r="BS334" s="1156"/>
      <c r="BT334" s="1156"/>
      <c r="BU334" s="1156"/>
      <c r="BV334" s="1156"/>
      <c r="BW334" s="1156"/>
      <c r="BX334" s="1156"/>
      <c r="BY334" s="1156"/>
      <c r="BZ334" s="1156"/>
      <c r="CA334" s="1156"/>
      <c r="CB334" s="1197"/>
      <c r="CC334" s="1197"/>
      <c r="CD334" s="1197"/>
      <c r="CE334" s="1197"/>
      <c r="CF334" s="1156"/>
      <c r="CG334" s="1197"/>
      <c r="CH334" s="1197"/>
      <c r="CI334" s="1197"/>
      <c r="CJ334" s="1197"/>
      <c r="CK334" s="1156"/>
      <c r="CL334" s="1197"/>
      <c r="CM334" s="1197"/>
      <c r="CN334" s="1197"/>
      <c r="CO334" s="1197"/>
      <c r="CP334" s="1156"/>
      <c r="CQ334" s="1197"/>
      <c r="CR334" s="1197"/>
      <c r="CS334" s="1197"/>
      <c r="CT334" s="1197"/>
      <c r="CU334" s="1156"/>
      <c r="CV334" s="1197"/>
      <c r="CW334" s="1197"/>
      <c r="CX334" s="1197"/>
      <c r="CY334" s="1197"/>
      <c r="CZ334" s="1156"/>
      <c r="DB334" s="2109"/>
      <c r="DC334" s="2109"/>
    </row>
    <row r="335" spans="1:107" s="1178" customFormat="1" ht="11.25" hidden="1" outlineLevel="1">
      <c r="A335" s="1191"/>
      <c r="B335" s="1182" t="s">
        <v>1029</v>
      </c>
      <c r="C335" s="1156"/>
      <c r="D335" s="1191"/>
      <c r="E335" s="1191"/>
      <c r="F335" s="1191"/>
      <c r="G335" s="1191"/>
      <c r="H335" s="1191"/>
      <c r="I335" s="1191"/>
      <c r="J335" s="1191"/>
      <c r="K335" s="1191"/>
      <c r="L335" s="1191"/>
      <c r="M335" s="1191"/>
      <c r="N335" s="1191"/>
      <c r="O335" s="1191"/>
      <c r="P335" s="1191"/>
      <c r="Q335" s="1191"/>
      <c r="R335" s="1191"/>
      <c r="S335" s="1191"/>
      <c r="T335" s="1191"/>
      <c r="U335" s="1191"/>
      <c r="V335" s="1191"/>
      <c r="W335" s="1191"/>
      <c r="X335" s="1191"/>
      <c r="Y335" s="1191"/>
      <c r="Z335" s="1191"/>
      <c r="AA335" s="1191"/>
      <c r="AB335" s="1191"/>
      <c r="AC335" s="1182"/>
      <c r="AD335" s="1191"/>
      <c r="AE335" s="1191"/>
      <c r="AF335" s="1191"/>
      <c r="AG335" s="1191"/>
      <c r="AH335" s="1182"/>
      <c r="AI335" s="1191"/>
      <c r="AJ335" s="1191"/>
      <c r="AK335" s="1191"/>
      <c r="AL335" s="1191"/>
      <c r="AM335" s="1182"/>
      <c r="AN335" s="1191"/>
      <c r="AO335" s="1191"/>
      <c r="AP335" s="1191"/>
      <c r="AQ335" s="1191"/>
      <c r="AR335" s="1182"/>
      <c r="AS335" s="1182"/>
      <c r="AT335" s="1182"/>
      <c r="AU335" s="1182"/>
      <c r="AV335" s="1182"/>
      <c r="AW335" s="1182"/>
      <c r="AX335" s="1182"/>
      <c r="AY335" s="1182"/>
      <c r="AZ335" s="1182"/>
      <c r="BA335" s="1182"/>
      <c r="BB335" s="1182"/>
      <c r="BC335" s="1182"/>
      <c r="BD335" s="1182"/>
      <c r="BE335" s="1182"/>
      <c r="BF335" s="1190"/>
      <c r="BG335" s="1190"/>
      <c r="BH335" s="1184"/>
      <c r="BI335" s="1184"/>
      <c r="BJ335" s="1184"/>
      <c r="BK335" s="1184"/>
      <c r="BL335" s="1156"/>
      <c r="BM335" s="1156"/>
      <c r="BN335" s="1156"/>
      <c r="BO335" s="1156"/>
      <c r="BP335" s="1156"/>
      <c r="BQ335" s="1156"/>
      <c r="BR335" s="1156"/>
      <c r="BS335" s="1156"/>
      <c r="BT335" s="1156"/>
      <c r="BU335" s="1156"/>
      <c r="BV335" s="1156"/>
      <c r="BW335" s="1156"/>
      <c r="BX335" s="1156"/>
      <c r="BY335" s="1156"/>
      <c r="BZ335" s="1156"/>
      <c r="CA335" s="1156"/>
      <c r="CB335" s="1197"/>
      <c r="CC335" s="1197"/>
      <c r="CD335" s="1197"/>
      <c r="CE335" s="1197"/>
      <c r="CF335" s="1156"/>
      <c r="CG335" s="1197"/>
      <c r="CH335" s="1197"/>
      <c r="CI335" s="1197"/>
      <c r="CJ335" s="1197"/>
      <c r="CK335" s="1156"/>
      <c r="CL335" s="1197"/>
      <c r="CM335" s="1197"/>
      <c r="CN335" s="1197"/>
      <c r="CO335" s="1197"/>
      <c r="CP335" s="1156"/>
      <c r="CQ335" s="1197"/>
      <c r="CR335" s="1197"/>
      <c r="CS335" s="1197"/>
      <c r="CT335" s="1197"/>
      <c r="CU335" s="1156"/>
      <c r="CV335" s="1197"/>
      <c r="CW335" s="1197"/>
      <c r="CX335" s="1197"/>
      <c r="CY335" s="1197"/>
      <c r="CZ335" s="1156"/>
      <c r="DB335" s="2109"/>
      <c r="DC335" s="2109"/>
    </row>
    <row r="336" spans="1:107" s="1178" customFormat="1" ht="11.25" hidden="1" outlineLevel="1">
      <c r="A336" s="1191"/>
      <c r="B336" s="1191"/>
      <c r="C336" s="1182"/>
      <c r="D336" s="1156"/>
      <c r="E336" s="1191"/>
      <c r="F336" s="1191"/>
      <c r="G336" s="1191"/>
      <c r="H336" s="1191"/>
      <c r="I336" s="1191"/>
      <c r="J336" s="1191"/>
      <c r="K336" s="1191"/>
      <c r="L336" s="1191"/>
      <c r="M336" s="1191"/>
      <c r="N336" s="1191"/>
      <c r="O336" s="1191"/>
      <c r="P336" s="1191"/>
      <c r="Q336" s="1191"/>
      <c r="R336" s="1191"/>
      <c r="S336" s="1191"/>
      <c r="T336" s="1191"/>
      <c r="U336" s="1191"/>
      <c r="V336" s="1191"/>
      <c r="W336" s="1191"/>
      <c r="X336" s="1191"/>
      <c r="Y336" s="1191"/>
      <c r="Z336" s="1191"/>
      <c r="AA336" s="1191"/>
      <c r="AB336" s="1191"/>
      <c r="AC336" s="1182"/>
      <c r="AD336" s="1191"/>
      <c r="AE336" s="1191"/>
      <c r="AF336" s="1191"/>
      <c r="AG336" s="1191"/>
      <c r="AH336" s="1182"/>
      <c r="AI336" s="1191"/>
      <c r="AJ336" s="1191"/>
      <c r="AK336" s="1191"/>
      <c r="AL336" s="1191"/>
      <c r="AM336" s="1182"/>
      <c r="AN336" s="1191"/>
      <c r="AO336" s="1191"/>
      <c r="AP336" s="1191"/>
      <c r="AQ336" s="1191"/>
      <c r="AR336" s="1191"/>
      <c r="AS336" s="1182"/>
      <c r="AT336" s="1182"/>
      <c r="AU336" s="1182"/>
      <c r="AV336" s="1182"/>
      <c r="AW336" s="1199"/>
      <c r="AX336" s="1182"/>
      <c r="AY336" s="1182"/>
      <c r="AZ336" s="1182"/>
      <c r="BA336" s="1182"/>
      <c r="BB336" s="1182"/>
      <c r="BC336" s="1182"/>
      <c r="BD336" s="1182"/>
      <c r="BE336" s="1182"/>
      <c r="BF336" s="1190"/>
      <c r="BG336" s="1190"/>
      <c r="BH336" s="1184"/>
      <c r="BI336" s="1184"/>
      <c r="BJ336" s="1184"/>
      <c r="BK336" s="1184"/>
      <c r="BL336" s="1156"/>
      <c r="BM336" s="1156"/>
      <c r="BN336" s="1156"/>
      <c r="BO336" s="1156"/>
      <c r="BP336" s="1156"/>
      <c r="BQ336" s="1156"/>
      <c r="BR336" s="1156"/>
      <c r="BS336" s="1156"/>
      <c r="BT336" s="1156"/>
      <c r="BU336" s="1156"/>
      <c r="BV336" s="1156"/>
      <c r="BW336" s="1156"/>
      <c r="BX336" s="1156"/>
      <c r="BY336" s="1156"/>
      <c r="BZ336" s="1156"/>
      <c r="CA336" s="1156"/>
      <c r="CB336" s="1197"/>
      <c r="CC336" s="1197"/>
      <c r="CD336" s="1197"/>
      <c r="CE336" s="1197"/>
      <c r="CF336" s="1156"/>
      <c r="CG336" s="1197"/>
      <c r="CH336" s="1197"/>
      <c r="CI336" s="1197"/>
      <c r="CJ336" s="1197"/>
      <c r="CK336" s="1156"/>
      <c r="CL336" s="1197"/>
      <c r="CM336" s="1197"/>
      <c r="CN336" s="1197"/>
      <c r="CO336" s="1197"/>
      <c r="CP336" s="1156"/>
      <c r="CQ336" s="1197"/>
      <c r="CR336" s="1197"/>
      <c r="CS336" s="1197"/>
      <c r="CT336" s="1197"/>
      <c r="CU336" s="1156"/>
      <c r="CV336" s="1197"/>
      <c r="CW336" s="1197"/>
      <c r="CX336" s="1197"/>
      <c r="CY336" s="1197"/>
      <c r="CZ336" s="1156"/>
      <c r="DB336" s="2109"/>
      <c r="DC336" s="2109"/>
    </row>
    <row r="337" spans="1:107" s="1178" customFormat="1" ht="11.25" hidden="1" outlineLevel="1">
      <c r="A337" s="1191"/>
      <c r="B337" s="1191"/>
      <c r="C337" s="1182"/>
      <c r="D337" s="1156"/>
      <c r="E337" s="1191"/>
      <c r="F337" s="1191"/>
      <c r="G337" s="1191"/>
      <c r="H337" s="1191"/>
      <c r="I337" s="1191"/>
      <c r="J337" s="1191"/>
      <c r="K337" s="1191"/>
      <c r="L337" s="1191"/>
      <c r="M337" s="1191"/>
      <c r="N337" s="1191"/>
      <c r="O337" s="1191"/>
      <c r="P337" s="1191"/>
      <c r="Q337" s="1191"/>
      <c r="R337" s="1191"/>
      <c r="S337" s="1191"/>
      <c r="T337" s="1191"/>
      <c r="U337" s="1191"/>
      <c r="V337" s="1191"/>
      <c r="W337" s="1191"/>
      <c r="X337" s="1191"/>
      <c r="Y337" s="1191"/>
      <c r="Z337" s="1191"/>
      <c r="AA337" s="1191"/>
      <c r="AB337" s="1191"/>
      <c r="AC337" s="1182"/>
      <c r="AD337" s="1191"/>
      <c r="AE337" s="1191"/>
      <c r="AF337" s="1191"/>
      <c r="AG337" s="1191"/>
      <c r="AH337" s="1182"/>
      <c r="AI337" s="1191"/>
      <c r="AJ337" s="1191"/>
      <c r="AK337" s="1191"/>
      <c r="AL337" s="1191"/>
      <c r="AM337" s="1182"/>
      <c r="AN337" s="1191"/>
      <c r="AO337" s="1191"/>
      <c r="AP337" s="1191"/>
      <c r="AQ337" s="1191"/>
      <c r="AR337" s="1191"/>
      <c r="AS337" s="1182"/>
      <c r="AT337" s="1182"/>
      <c r="AU337" s="1182"/>
      <c r="AV337" s="1182"/>
      <c r="AW337" s="1199"/>
      <c r="AX337" s="1182"/>
      <c r="AY337" s="1182"/>
      <c r="AZ337" s="1182"/>
      <c r="BA337" s="1182"/>
      <c r="BB337" s="1182"/>
      <c r="BC337" s="1182"/>
      <c r="BD337" s="1182"/>
      <c r="BE337" s="1182"/>
      <c r="BF337" s="1190"/>
      <c r="BG337" s="1190"/>
      <c r="BH337" s="1184"/>
      <c r="BI337" s="1184"/>
      <c r="BJ337" s="1184"/>
      <c r="BK337" s="1184"/>
      <c r="BL337" s="1156"/>
      <c r="BM337" s="1156"/>
      <c r="BN337" s="1156"/>
      <c r="BO337" s="1156"/>
      <c r="BP337" s="1156"/>
      <c r="BQ337" s="1156"/>
      <c r="BR337" s="1156"/>
      <c r="BS337" s="1156"/>
      <c r="BT337" s="1156"/>
      <c r="BU337" s="1156"/>
      <c r="BV337" s="1156"/>
      <c r="BW337" s="1156"/>
      <c r="BX337" s="1156"/>
      <c r="BY337" s="1156"/>
      <c r="BZ337" s="1156"/>
      <c r="CA337" s="1156"/>
      <c r="CB337" s="1197"/>
      <c r="CC337" s="1197"/>
      <c r="CD337" s="1197"/>
      <c r="CE337" s="1197"/>
      <c r="CF337" s="1156"/>
      <c r="CG337" s="1197"/>
      <c r="CH337" s="1197"/>
      <c r="CI337" s="1197"/>
      <c r="CJ337" s="1197"/>
      <c r="CK337" s="1156"/>
      <c r="CL337" s="1197"/>
      <c r="CM337" s="1197"/>
      <c r="CN337" s="1197"/>
      <c r="CO337" s="1197"/>
      <c r="CP337" s="1156"/>
      <c r="CQ337" s="1197"/>
      <c r="CR337" s="1197"/>
      <c r="CS337" s="1197"/>
      <c r="CT337" s="1197"/>
      <c r="CU337" s="1156"/>
      <c r="CV337" s="1197"/>
      <c r="CW337" s="1197"/>
      <c r="CX337" s="1197"/>
      <c r="CY337" s="1197"/>
      <c r="CZ337" s="1156"/>
      <c r="DB337" s="2109"/>
      <c r="DC337" s="2109"/>
    </row>
    <row r="338" spans="1:107" s="1178" customFormat="1" ht="11.25" hidden="1" outlineLevel="1">
      <c r="A338" s="1191"/>
      <c r="B338" s="1191"/>
      <c r="C338" s="1182"/>
      <c r="D338" s="1156"/>
      <c r="E338" s="1191"/>
      <c r="F338" s="1191"/>
      <c r="G338" s="1191"/>
      <c r="H338" s="1191"/>
      <c r="I338" s="1191"/>
      <c r="J338" s="1191"/>
      <c r="K338" s="1191"/>
      <c r="L338" s="1191"/>
      <c r="M338" s="1191"/>
      <c r="N338" s="1191"/>
      <c r="O338" s="1191"/>
      <c r="P338" s="1191"/>
      <c r="Q338" s="1191"/>
      <c r="R338" s="1191"/>
      <c r="S338" s="1191"/>
      <c r="T338" s="1191"/>
      <c r="U338" s="1191"/>
      <c r="V338" s="1191"/>
      <c r="W338" s="1191"/>
      <c r="X338" s="1191"/>
      <c r="Y338" s="1191"/>
      <c r="Z338" s="1191"/>
      <c r="AA338" s="1191"/>
      <c r="AB338" s="1191"/>
      <c r="AC338" s="1182"/>
      <c r="AD338" s="1191"/>
      <c r="AE338" s="1191"/>
      <c r="AF338" s="1191"/>
      <c r="AG338" s="1191"/>
      <c r="AH338" s="1182"/>
      <c r="AI338" s="1191"/>
      <c r="AJ338" s="1191"/>
      <c r="AK338" s="1191"/>
      <c r="AL338" s="1191"/>
      <c r="AM338" s="1182"/>
      <c r="AN338" s="1191"/>
      <c r="AO338" s="1191"/>
      <c r="AP338" s="1191"/>
      <c r="AQ338" s="1191"/>
      <c r="AR338" s="1191"/>
      <c r="AS338" s="1182"/>
      <c r="AT338" s="1182"/>
      <c r="AU338" s="1182"/>
      <c r="AV338" s="1182"/>
      <c r="AW338" s="1199"/>
      <c r="AX338" s="1182"/>
      <c r="AY338" s="1182"/>
      <c r="AZ338" s="1182"/>
      <c r="BA338" s="1182"/>
      <c r="BB338" s="1182"/>
      <c r="BC338" s="1182"/>
      <c r="BD338" s="1182"/>
      <c r="BE338" s="1182"/>
      <c r="BF338" s="1190"/>
      <c r="BG338" s="1190"/>
      <c r="BH338" s="1184"/>
      <c r="BI338" s="1184"/>
      <c r="BJ338" s="1184"/>
      <c r="BK338" s="1184"/>
      <c r="BL338" s="1156"/>
      <c r="BM338" s="1156"/>
      <c r="BN338" s="1156"/>
      <c r="BO338" s="1156"/>
      <c r="BP338" s="1156"/>
      <c r="BQ338" s="1156"/>
      <c r="BR338" s="1156"/>
      <c r="BS338" s="1156"/>
      <c r="BT338" s="1156"/>
      <c r="BU338" s="1156"/>
      <c r="BV338" s="1156"/>
      <c r="BW338" s="1156"/>
      <c r="BX338" s="1156"/>
      <c r="BY338" s="1156"/>
      <c r="BZ338" s="1156"/>
      <c r="CA338" s="1156"/>
      <c r="CB338" s="1197"/>
      <c r="CC338" s="1197"/>
      <c r="CD338" s="1197"/>
      <c r="CE338" s="1197"/>
      <c r="CF338" s="1156"/>
      <c r="CG338" s="1197"/>
      <c r="CH338" s="1197"/>
      <c r="CI338" s="1197"/>
      <c r="CJ338" s="1197"/>
      <c r="CK338" s="1156"/>
      <c r="CL338" s="1197"/>
      <c r="CM338" s="1197"/>
      <c r="CN338" s="1197"/>
      <c r="CO338" s="1197"/>
      <c r="CP338" s="1156"/>
      <c r="CQ338" s="1197"/>
      <c r="CR338" s="1197"/>
      <c r="CS338" s="1197"/>
      <c r="CT338" s="1197"/>
      <c r="CU338" s="1156"/>
      <c r="CV338" s="1197"/>
      <c r="CW338" s="1197"/>
      <c r="CX338" s="1197"/>
      <c r="CY338" s="1197"/>
      <c r="CZ338" s="1156"/>
      <c r="DB338" s="2109"/>
      <c r="DC338" s="2109"/>
    </row>
    <row r="339" spans="1:107" s="1178" customFormat="1" ht="11.25" hidden="1" outlineLevel="1">
      <c r="A339" s="1191"/>
      <c r="B339" s="1191" t="str">
        <f>C70</f>
        <v>Power Systems</v>
      </c>
      <c r="C339" s="1182"/>
      <c r="D339" s="1156"/>
      <c r="E339" s="1191"/>
      <c r="F339" s="1191"/>
      <c r="G339" s="1191"/>
      <c r="H339" s="1191"/>
      <c r="I339" s="1191"/>
      <c r="J339" s="1191"/>
      <c r="K339" s="1191"/>
      <c r="L339" s="1191"/>
      <c r="M339" s="1191"/>
      <c r="N339" s="1191"/>
      <c r="O339" s="1191"/>
      <c r="P339" s="1191"/>
      <c r="Q339" s="1191"/>
      <c r="R339" s="1191"/>
      <c r="S339" s="1191"/>
      <c r="T339" s="1191"/>
      <c r="U339" s="1191"/>
      <c r="V339" s="1191"/>
      <c r="W339" s="1191"/>
      <c r="X339" s="1191"/>
      <c r="Y339" s="1191"/>
      <c r="Z339" s="1191"/>
      <c r="AA339" s="1191"/>
      <c r="AB339" s="1191"/>
      <c r="AC339" s="1182"/>
      <c r="AD339" s="1191"/>
      <c r="AE339" s="1191"/>
      <c r="AF339" s="1191"/>
      <c r="AG339" s="1191"/>
      <c r="AH339" s="1182"/>
      <c r="AI339" s="1191"/>
      <c r="AJ339" s="1191"/>
      <c r="AK339" s="1191"/>
      <c r="AL339" s="1191"/>
      <c r="AM339" s="1182"/>
      <c r="AN339" s="1191"/>
      <c r="AO339" s="1191"/>
      <c r="AP339" s="1191"/>
      <c r="AQ339" s="1191"/>
      <c r="AR339" s="1191"/>
      <c r="AS339" s="1182"/>
      <c r="AT339" s="1182"/>
      <c r="AU339" s="1182"/>
      <c r="AV339" s="1182"/>
      <c r="AW339" s="1199">
        <f>AW70/AW$74</f>
        <v>6.5957622227718685E-2</v>
      </c>
      <c r="AX339" s="1182"/>
      <c r="AY339" s="1182"/>
      <c r="AZ339" s="1182"/>
      <c r="BA339" s="1182"/>
      <c r="BB339" s="1182"/>
      <c r="BC339" s="1182"/>
      <c r="BD339" s="1182"/>
      <c r="BE339" s="1182"/>
      <c r="BF339" s="1190"/>
      <c r="BG339" s="1190"/>
      <c r="BH339" s="1184"/>
      <c r="BI339" s="1184"/>
      <c r="BJ339" s="1184"/>
      <c r="BK339" s="1184"/>
      <c r="BL339" s="1156"/>
      <c r="BM339" s="1156"/>
      <c r="BN339" s="1156"/>
      <c r="BO339" s="1156"/>
      <c r="BP339" s="1156"/>
      <c r="BQ339" s="1156"/>
      <c r="BR339" s="1156"/>
      <c r="BS339" s="1156"/>
      <c r="BT339" s="1156"/>
      <c r="BU339" s="1156"/>
      <c r="BV339" s="1156"/>
      <c r="BW339" s="1156"/>
      <c r="BX339" s="1156"/>
      <c r="BY339" s="1156"/>
      <c r="BZ339" s="1156"/>
      <c r="CA339" s="1156"/>
      <c r="CB339" s="1197"/>
      <c r="CC339" s="1197"/>
      <c r="CD339" s="1197"/>
      <c r="CE339" s="1197"/>
      <c r="CF339" s="1156"/>
      <c r="CG339" s="1197"/>
      <c r="CH339" s="1197"/>
      <c r="CI339" s="1197"/>
      <c r="CJ339" s="1197"/>
      <c r="CK339" s="1156"/>
      <c r="CL339" s="1197"/>
      <c r="CM339" s="1197"/>
      <c r="CN339" s="1197"/>
      <c r="CO339" s="1197"/>
      <c r="CP339" s="1156"/>
      <c r="CQ339" s="1197"/>
      <c r="CR339" s="1197"/>
      <c r="CS339" s="1197"/>
      <c r="CT339" s="1197"/>
      <c r="CU339" s="1156"/>
      <c r="CV339" s="1197"/>
      <c r="CW339" s="1197"/>
      <c r="CX339" s="1197"/>
      <c r="CY339" s="1197"/>
      <c r="CZ339" s="1156"/>
      <c r="DB339" s="2109"/>
      <c r="DC339" s="2109"/>
    </row>
    <row r="340" spans="1:107" s="1178" customFormat="1" ht="11.25" hidden="1" outlineLevel="1">
      <c r="A340" s="1191"/>
      <c r="B340" s="1191" t="str">
        <f>C72</f>
        <v>Rockedyne/Space</v>
      </c>
      <c r="C340" s="1182"/>
      <c r="D340" s="1156"/>
      <c r="E340" s="1191"/>
      <c r="F340" s="1191"/>
      <c r="G340" s="1191"/>
      <c r="H340" s="1191"/>
      <c r="I340" s="1191"/>
      <c r="J340" s="1191"/>
      <c r="K340" s="1191"/>
      <c r="L340" s="1191"/>
      <c r="M340" s="1191"/>
      <c r="N340" s="1191"/>
      <c r="O340" s="1191"/>
      <c r="P340" s="1191"/>
      <c r="Q340" s="1191"/>
      <c r="R340" s="1191"/>
      <c r="S340" s="1191"/>
      <c r="T340" s="1191"/>
      <c r="U340" s="1191"/>
      <c r="V340" s="1191"/>
      <c r="W340" s="1191"/>
      <c r="X340" s="1191"/>
      <c r="Y340" s="1191"/>
      <c r="Z340" s="1191"/>
      <c r="AA340" s="1191"/>
      <c r="AB340" s="1191"/>
      <c r="AC340" s="1182"/>
      <c r="AD340" s="1191"/>
      <c r="AE340" s="1191"/>
      <c r="AF340" s="1191"/>
      <c r="AG340" s="1191"/>
      <c r="AH340" s="1182"/>
      <c r="AI340" s="1191"/>
      <c r="AJ340" s="1191"/>
      <c r="AK340" s="1191"/>
      <c r="AL340" s="1191"/>
      <c r="AM340" s="1182"/>
      <c r="AN340" s="1191"/>
      <c r="AO340" s="1191"/>
      <c r="AP340" s="1191"/>
      <c r="AQ340" s="1191"/>
      <c r="AR340" s="1191"/>
      <c r="AS340" s="1182"/>
      <c r="AT340" s="1182"/>
      <c r="AU340" s="1182"/>
      <c r="AV340" s="1182"/>
      <c r="AW340" s="1199">
        <f>AW72/AW$74</f>
        <v>5.9691648116085412E-2</v>
      </c>
      <c r="AX340" s="1182"/>
      <c r="AY340" s="1182"/>
      <c r="AZ340" s="1182"/>
      <c r="BA340" s="1182"/>
      <c r="BB340" s="1182"/>
      <c r="BC340" s="1182"/>
      <c r="BD340" s="1182"/>
      <c r="BE340" s="1182"/>
      <c r="BF340" s="1190"/>
      <c r="BG340" s="1190"/>
      <c r="BH340" s="1184"/>
      <c r="BI340" s="1184"/>
      <c r="BJ340" s="1184"/>
      <c r="BK340" s="1184"/>
      <c r="BL340" s="1156"/>
      <c r="BM340" s="1156"/>
      <c r="BN340" s="1156"/>
      <c r="BO340" s="1156"/>
      <c r="BP340" s="1156"/>
      <c r="BQ340" s="1156"/>
      <c r="BR340" s="1156"/>
      <c r="BS340" s="1156"/>
      <c r="BT340" s="1156"/>
      <c r="BU340" s="1156"/>
      <c r="BV340" s="1156"/>
      <c r="BW340" s="1156"/>
      <c r="BX340" s="1156"/>
      <c r="BY340" s="1156"/>
      <c r="BZ340" s="1156"/>
      <c r="CA340" s="1156"/>
      <c r="CB340" s="1197"/>
      <c r="CC340" s="1197"/>
      <c r="CD340" s="1197"/>
      <c r="CE340" s="1197"/>
      <c r="CF340" s="1156"/>
      <c r="CG340" s="1197"/>
      <c r="CH340" s="1197"/>
      <c r="CI340" s="1197"/>
      <c r="CJ340" s="1197"/>
      <c r="CK340" s="1156"/>
      <c r="CL340" s="1197"/>
      <c r="CM340" s="1197"/>
      <c r="CN340" s="1197"/>
      <c r="CO340" s="1197"/>
      <c r="CP340" s="1156"/>
      <c r="CQ340" s="1197"/>
      <c r="CR340" s="1197"/>
      <c r="CS340" s="1197"/>
      <c r="CT340" s="1197"/>
      <c r="CU340" s="1156"/>
      <c r="CV340" s="1197"/>
      <c r="CW340" s="1197"/>
      <c r="CX340" s="1197"/>
      <c r="CY340" s="1197"/>
      <c r="CZ340" s="1156"/>
      <c r="DB340" s="2109"/>
      <c r="DC340" s="2109"/>
    </row>
    <row r="341" spans="1:107" s="1178" customFormat="1" ht="11.25" hidden="1" outlineLevel="1">
      <c r="A341" s="1191"/>
      <c r="B341" s="1191"/>
      <c r="C341" s="1182"/>
      <c r="D341" s="1191"/>
      <c r="E341" s="1191"/>
      <c r="F341" s="1191"/>
      <c r="G341" s="1191"/>
      <c r="H341" s="1191"/>
      <c r="I341" s="1191"/>
      <c r="J341" s="1191"/>
      <c r="K341" s="1191"/>
      <c r="L341" s="1191"/>
      <c r="M341" s="1191"/>
      <c r="N341" s="1191"/>
      <c r="O341" s="1191"/>
      <c r="P341" s="1191"/>
      <c r="Q341" s="1191"/>
      <c r="R341" s="1191"/>
      <c r="S341" s="1191"/>
      <c r="T341" s="1191"/>
      <c r="U341" s="1191"/>
      <c r="V341" s="1191"/>
      <c r="W341" s="1191"/>
      <c r="X341" s="1191"/>
      <c r="Y341" s="1191"/>
      <c r="Z341" s="1191"/>
      <c r="AA341" s="1191"/>
      <c r="AB341" s="1191"/>
      <c r="AC341" s="1182"/>
      <c r="AD341" s="1191"/>
      <c r="AE341" s="1191"/>
      <c r="AF341" s="1191"/>
      <c r="AG341" s="1191"/>
      <c r="AH341" s="1182"/>
      <c r="AI341" s="1191"/>
      <c r="AJ341" s="1191"/>
      <c r="AK341" s="1191"/>
      <c r="AL341" s="1191"/>
      <c r="AM341" s="1182"/>
      <c r="AN341" s="1191"/>
      <c r="AO341" s="1191"/>
      <c r="AP341" s="1191"/>
      <c r="AQ341" s="1191"/>
      <c r="AR341" s="1182"/>
      <c r="AS341" s="1182"/>
      <c r="AT341" s="1182"/>
      <c r="AU341" s="1182"/>
      <c r="AV341" s="1182"/>
      <c r="AW341" s="1182"/>
      <c r="AX341" s="1182"/>
      <c r="AY341" s="1182"/>
      <c r="AZ341" s="1182"/>
      <c r="BA341" s="1182"/>
      <c r="BB341" s="1182"/>
      <c r="BC341" s="1182"/>
      <c r="BD341" s="1182"/>
      <c r="BE341" s="1182"/>
      <c r="BF341" s="1190"/>
      <c r="BG341" s="1190"/>
      <c r="BH341" s="1184"/>
      <c r="BI341" s="1184"/>
      <c r="BJ341" s="1184"/>
      <c r="BK341" s="1184"/>
      <c r="BL341" s="1156"/>
      <c r="BM341" s="1156"/>
      <c r="BN341" s="1156"/>
      <c r="BO341" s="1156"/>
      <c r="BP341" s="1156"/>
      <c r="BQ341" s="1156"/>
      <c r="BR341" s="1156"/>
      <c r="BS341" s="1156"/>
      <c r="BT341" s="1156"/>
      <c r="BU341" s="1156"/>
      <c r="BV341" s="1156"/>
      <c r="BW341" s="1156"/>
      <c r="BX341" s="1156"/>
      <c r="BY341" s="1156"/>
      <c r="BZ341" s="1156"/>
      <c r="CA341" s="1156"/>
      <c r="CB341" s="1197"/>
      <c r="CC341" s="1197"/>
      <c r="CD341" s="1197"/>
      <c r="CE341" s="1197"/>
      <c r="CF341" s="1156"/>
      <c r="CG341" s="1197"/>
      <c r="CH341" s="1197"/>
      <c r="CI341" s="1197"/>
      <c r="CJ341" s="1197"/>
      <c r="CK341" s="1156"/>
      <c r="CL341" s="1197"/>
      <c r="CM341" s="1197"/>
      <c r="CN341" s="1197"/>
      <c r="CO341" s="1197"/>
      <c r="CP341" s="1156"/>
      <c r="CQ341" s="1197"/>
      <c r="CR341" s="1197"/>
      <c r="CS341" s="1197"/>
      <c r="CT341" s="1197"/>
      <c r="CU341" s="1156"/>
      <c r="CV341" s="1197"/>
      <c r="CW341" s="1197"/>
      <c r="CX341" s="1197"/>
      <c r="CY341" s="1197"/>
      <c r="CZ341" s="1156"/>
      <c r="DB341" s="2109"/>
      <c r="DC341" s="2109"/>
    </row>
    <row r="342" spans="1:107" s="1178" customFormat="1" ht="11.25" hidden="1" outlineLevel="1">
      <c r="A342" s="1191"/>
      <c r="B342" s="1182" t="s">
        <v>1091</v>
      </c>
      <c r="C342" s="1156"/>
      <c r="D342" s="1191"/>
      <c r="E342" s="1191"/>
      <c r="F342" s="1191"/>
      <c r="G342" s="1191"/>
      <c r="H342" s="1191"/>
      <c r="I342" s="1191"/>
      <c r="J342" s="1191"/>
      <c r="K342" s="1191"/>
      <c r="L342" s="1191"/>
      <c r="M342" s="1191"/>
      <c r="N342" s="1191"/>
      <c r="O342" s="1191"/>
      <c r="P342" s="1191"/>
      <c r="Q342" s="1191"/>
      <c r="R342" s="1191"/>
      <c r="S342" s="1191"/>
      <c r="T342" s="1191"/>
      <c r="U342" s="1191"/>
      <c r="V342" s="1191"/>
      <c r="W342" s="1191"/>
      <c r="X342" s="1191"/>
      <c r="Y342" s="1191"/>
      <c r="Z342" s="1191"/>
      <c r="AA342" s="1191"/>
      <c r="AB342" s="1191"/>
      <c r="AC342" s="1182"/>
      <c r="AD342" s="1191"/>
      <c r="AE342" s="1191"/>
      <c r="AF342" s="1191"/>
      <c r="AG342" s="1191"/>
      <c r="AH342" s="1182"/>
      <c r="AI342" s="1191"/>
      <c r="AJ342" s="1191"/>
      <c r="AK342" s="1191"/>
      <c r="AL342" s="1191"/>
      <c r="AM342" s="1182"/>
      <c r="AN342" s="1191"/>
      <c r="AO342" s="1191"/>
      <c r="AP342" s="1191"/>
      <c r="AQ342" s="1191"/>
      <c r="AR342" s="1182"/>
      <c r="AS342" s="1182"/>
      <c r="AT342" s="1182"/>
      <c r="AU342" s="1182"/>
      <c r="AV342" s="1182"/>
      <c r="AW342" s="1182"/>
      <c r="AX342" s="1182"/>
      <c r="AY342" s="1182"/>
      <c r="AZ342" s="1182"/>
      <c r="BA342" s="1182"/>
      <c r="BB342" s="1182"/>
      <c r="BC342" s="1182"/>
      <c r="BD342" s="1182"/>
      <c r="BE342" s="1182"/>
      <c r="BF342" s="1190"/>
      <c r="BG342" s="1190"/>
      <c r="BH342" s="1184"/>
      <c r="BI342" s="1184"/>
      <c r="BJ342" s="1184"/>
      <c r="BK342" s="1184"/>
      <c r="BL342" s="1156"/>
      <c r="BM342" s="1156"/>
      <c r="BN342" s="1156"/>
      <c r="BO342" s="1156"/>
      <c r="BP342" s="1156"/>
      <c r="BQ342" s="1156"/>
      <c r="BR342" s="1156"/>
      <c r="BS342" s="1156"/>
      <c r="BT342" s="1156"/>
      <c r="BU342" s="1156"/>
      <c r="BV342" s="1156"/>
      <c r="BW342" s="1156"/>
      <c r="BX342" s="1156"/>
      <c r="BY342" s="1156"/>
      <c r="BZ342" s="1156"/>
      <c r="CA342" s="1156"/>
      <c r="CB342" s="1197"/>
      <c r="CC342" s="1197"/>
      <c r="CD342" s="1197"/>
      <c r="CE342" s="1197"/>
      <c r="CF342" s="1156"/>
      <c r="CG342" s="1197"/>
      <c r="CH342" s="1197"/>
      <c r="CI342" s="1197"/>
      <c r="CJ342" s="1197"/>
      <c r="CK342" s="1156"/>
      <c r="CL342" s="1197"/>
      <c r="CM342" s="1197"/>
      <c r="CN342" s="1197"/>
      <c r="CO342" s="1197"/>
      <c r="CP342" s="1156"/>
      <c r="CQ342" s="1197"/>
      <c r="CR342" s="1197"/>
      <c r="CS342" s="1197"/>
      <c r="CT342" s="1197"/>
      <c r="CU342" s="1156"/>
      <c r="CV342" s="1197"/>
      <c r="CW342" s="1197"/>
      <c r="CX342" s="1197"/>
      <c r="CY342" s="1197"/>
      <c r="CZ342" s="1156"/>
      <c r="DB342" s="2109"/>
      <c r="DC342" s="2109"/>
    </row>
    <row r="343" spans="1:107" s="1178" customFormat="1" ht="11.25" hidden="1" outlineLevel="1">
      <c r="A343" s="1191"/>
      <c r="B343" s="1191" t="s">
        <v>1090</v>
      </c>
      <c r="C343" s="1182"/>
      <c r="D343" s="1156"/>
      <c r="E343" s="1191"/>
      <c r="F343" s="1191"/>
      <c r="G343" s="1191"/>
      <c r="H343" s="1191"/>
      <c r="I343" s="1191"/>
      <c r="J343" s="1191"/>
      <c r="K343" s="1191"/>
      <c r="L343" s="1191"/>
      <c r="M343" s="1191"/>
      <c r="N343" s="1191"/>
      <c r="O343" s="1191"/>
      <c r="P343" s="1191"/>
      <c r="Q343" s="1191"/>
      <c r="R343" s="1191"/>
      <c r="S343" s="1191"/>
      <c r="T343" s="1191"/>
      <c r="U343" s="1191"/>
      <c r="V343" s="1191"/>
      <c r="W343" s="1191"/>
      <c r="X343" s="1191"/>
      <c r="Y343" s="1191"/>
      <c r="Z343" s="1191"/>
      <c r="AA343" s="1191"/>
      <c r="AB343" s="1191"/>
      <c r="AC343" s="1182"/>
      <c r="AD343" s="1191"/>
      <c r="AE343" s="1191"/>
      <c r="AF343" s="1191"/>
      <c r="AG343" s="1191"/>
      <c r="AH343" s="1182"/>
      <c r="AI343" s="1191"/>
      <c r="AJ343" s="1191"/>
      <c r="AK343" s="1191"/>
      <c r="AL343" s="1191"/>
      <c r="AM343" s="1182"/>
      <c r="AN343" s="1191"/>
      <c r="AO343" s="1191"/>
      <c r="AP343" s="1191"/>
      <c r="AQ343" s="1191"/>
      <c r="AR343" s="1191"/>
      <c r="AS343" s="1182"/>
      <c r="AT343" s="1182"/>
      <c r="AU343" s="1182"/>
      <c r="AV343" s="1182"/>
      <c r="AW343" s="1652">
        <v>0.45500000000000002</v>
      </c>
      <c r="AX343" s="1182"/>
      <c r="AY343" s="1182"/>
      <c r="AZ343" s="1182"/>
      <c r="BA343" s="1182"/>
      <c r="BB343" s="1182"/>
      <c r="BC343" s="1182"/>
      <c r="BD343" s="1182"/>
      <c r="BE343" s="1182"/>
      <c r="BF343" s="1190"/>
      <c r="BG343" s="1190"/>
      <c r="BH343" s="1184"/>
      <c r="BI343" s="1184"/>
      <c r="BJ343" s="1184"/>
      <c r="BK343" s="1184"/>
      <c r="BL343" s="1156"/>
      <c r="BM343" s="1156"/>
      <c r="BN343" s="1156"/>
      <c r="BO343" s="1156"/>
      <c r="BP343" s="1156"/>
      <c r="BQ343" s="1156"/>
      <c r="BR343" s="1156"/>
      <c r="BS343" s="1156"/>
      <c r="BT343" s="1156"/>
      <c r="BU343" s="1156"/>
      <c r="BV343" s="1156"/>
      <c r="BW343" s="1156"/>
      <c r="BX343" s="1156"/>
      <c r="BY343" s="1156"/>
      <c r="BZ343" s="1156"/>
      <c r="CA343" s="1156"/>
      <c r="CB343" s="1197"/>
      <c r="CC343" s="1197"/>
      <c r="CD343" s="1197"/>
      <c r="CE343" s="1197"/>
      <c r="CF343" s="1156"/>
      <c r="CG343" s="1197"/>
      <c r="CH343" s="1197"/>
      <c r="CI343" s="1197"/>
      <c r="CJ343" s="1197"/>
      <c r="CK343" s="1156"/>
      <c r="CL343" s="1197"/>
      <c r="CM343" s="1197"/>
      <c r="CN343" s="1197"/>
      <c r="CO343" s="1197"/>
      <c r="CP343" s="1156"/>
      <c r="CQ343" s="1197"/>
      <c r="CR343" s="1197"/>
      <c r="CS343" s="1197"/>
      <c r="CT343" s="1197"/>
      <c r="CU343" s="1156"/>
      <c r="CV343" s="1197"/>
      <c r="CW343" s="1197"/>
      <c r="CX343" s="1197"/>
      <c r="CY343" s="1197"/>
      <c r="CZ343" s="1156"/>
      <c r="DB343" s="2109"/>
      <c r="DC343" s="2109"/>
    </row>
    <row r="344" spans="1:107" s="1178" customFormat="1" ht="11.25" hidden="1" outlineLevel="1">
      <c r="A344" s="1191"/>
      <c r="B344" s="1191" t="s">
        <v>649</v>
      </c>
      <c r="C344" s="1191"/>
      <c r="D344" s="1156"/>
      <c r="E344" s="1191"/>
      <c r="F344" s="1191"/>
      <c r="G344" s="1191"/>
      <c r="H344" s="1191"/>
      <c r="I344" s="1191"/>
      <c r="J344" s="1191"/>
      <c r="K344" s="1191"/>
      <c r="L344" s="1191"/>
      <c r="M344" s="1191"/>
      <c r="N344" s="1191"/>
      <c r="O344" s="1191"/>
      <c r="P344" s="1191"/>
      <c r="Q344" s="1191"/>
      <c r="R344" s="1191"/>
      <c r="S344" s="1191"/>
      <c r="T344" s="1191"/>
      <c r="U344" s="1191"/>
      <c r="V344" s="1191"/>
      <c r="W344" s="1191"/>
      <c r="X344" s="1191"/>
      <c r="Y344" s="1191"/>
      <c r="Z344" s="1191"/>
      <c r="AA344" s="1191"/>
      <c r="AB344" s="1191"/>
      <c r="AC344" s="1182"/>
      <c r="AD344" s="1191"/>
      <c r="AE344" s="1191"/>
      <c r="AF344" s="1191"/>
      <c r="AG344" s="1191"/>
      <c r="AH344" s="1182"/>
      <c r="AI344" s="1191"/>
      <c r="AJ344" s="1191"/>
      <c r="AK344" s="1191"/>
      <c r="AL344" s="1191"/>
      <c r="AM344" s="1182"/>
      <c r="AN344" s="1191"/>
      <c r="AO344" s="1191"/>
      <c r="AP344" s="1191"/>
      <c r="AQ344" s="1191"/>
      <c r="AR344" s="1191"/>
      <c r="AS344" s="1182"/>
      <c r="AT344" s="1182"/>
      <c r="AU344" s="1182"/>
      <c r="AV344" s="1182"/>
      <c r="AW344" s="1652">
        <v>0.54500000000000004</v>
      </c>
      <c r="AX344" s="1182"/>
      <c r="AY344" s="1182"/>
      <c r="AZ344" s="1182"/>
      <c r="BA344" s="1182"/>
      <c r="BB344" s="1182"/>
      <c r="BC344" s="1182"/>
      <c r="BD344" s="1182"/>
      <c r="BE344" s="1182"/>
      <c r="BF344" s="1190"/>
      <c r="BG344" s="1190"/>
      <c r="BH344" s="1184"/>
      <c r="BI344" s="1184"/>
      <c r="BJ344" s="1184"/>
      <c r="BK344" s="1184"/>
      <c r="BL344" s="1156"/>
      <c r="BM344" s="1156"/>
      <c r="BN344" s="1156"/>
      <c r="BO344" s="1156"/>
      <c r="BP344" s="1156"/>
      <c r="BQ344" s="1156"/>
      <c r="BR344" s="1156"/>
      <c r="BS344" s="1156"/>
      <c r="BT344" s="1156"/>
      <c r="BU344" s="1156"/>
      <c r="BV344" s="1156"/>
      <c r="BW344" s="1156"/>
      <c r="BX344" s="1156"/>
      <c r="BY344" s="1156"/>
      <c r="BZ344" s="1156"/>
      <c r="CA344" s="1156"/>
      <c r="CB344" s="1197"/>
      <c r="CC344" s="1197"/>
      <c r="CD344" s="1197"/>
      <c r="CE344" s="1197"/>
      <c r="CF344" s="1156"/>
      <c r="CG344" s="1197"/>
      <c r="CH344" s="1197"/>
      <c r="CI344" s="1197"/>
      <c r="CJ344" s="1197"/>
      <c r="CK344" s="1156"/>
      <c r="CL344" s="1197"/>
      <c r="CM344" s="1197"/>
      <c r="CN344" s="1197"/>
      <c r="CO344" s="1197"/>
      <c r="CP344" s="1156"/>
      <c r="CQ344" s="1197"/>
      <c r="CR344" s="1197"/>
      <c r="CS344" s="1197"/>
      <c r="CT344" s="1197"/>
      <c r="CU344" s="1156"/>
      <c r="CV344" s="1197"/>
      <c r="CW344" s="1197"/>
      <c r="CX344" s="1197"/>
      <c r="CY344" s="1197"/>
      <c r="CZ344" s="1156"/>
      <c r="DB344" s="2109"/>
      <c r="DC344" s="2109"/>
    </row>
    <row r="345" spans="1:107" s="1178" customFormat="1" ht="11.25" hidden="1" outlineLevel="1">
      <c r="A345" s="1191"/>
      <c r="B345" s="1191"/>
      <c r="C345" s="1191"/>
      <c r="D345" s="1191"/>
      <c r="E345" s="1191"/>
      <c r="F345" s="1191"/>
      <c r="G345" s="1191"/>
      <c r="H345" s="1191"/>
      <c r="I345" s="1191"/>
      <c r="J345" s="1191"/>
      <c r="K345" s="1191"/>
      <c r="L345" s="1191"/>
      <c r="M345" s="1191"/>
      <c r="N345" s="1191"/>
      <c r="O345" s="1191"/>
      <c r="P345" s="1191"/>
      <c r="Q345" s="1191"/>
      <c r="R345" s="1191"/>
      <c r="S345" s="1191"/>
      <c r="T345" s="1191"/>
      <c r="U345" s="1191"/>
      <c r="V345" s="1191"/>
      <c r="W345" s="1191"/>
      <c r="X345" s="1191"/>
      <c r="Y345" s="1191"/>
      <c r="Z345" s="1191"/>
      <c r="AA345" s="1191"/>
      <c r="AB345" s="1191"/>
      <c r="AC345" s="1182"/>
      <c r="AD345" s="1191"/>
      <c r="AE345" s="1191"/>
      <c r="AF345" s="1191"/>
      <c r="AG345" s="1191"/>
      <c r="AH345" s="1182"/>
      <c r="AI345" s="1191"/>
      <c r="AJ345" s="1191"/>
      <c r="AK345" s="1191"/>
      <c r="AL345" s="1191"/>
      <c r="AM345" s="1182"/>
      <c r="AN345" s="1191"/>
      <c r="AO345" s="1191"/>
      <c r="AP345" s="1191"/>
      <c r="AQ345" s="1191"/>
      <c r="AR345" s="1182"/>
      <c r="AS345" s="1182"/>
      <c r="AT345" s="1182"/>
      <c r="AU345" s="1182"/>
      <c r="AV345" s="1182"/>
      <c r="AW345" s="1182"/>
      <c r="AX345" s="1182"/>
      <c r="AY345" s="1182"/>
      <c r="AZ345" s="1182"/>
      <c r="BA345" s="1182"/>
      <c r="BB345" s="1182"/>
      <c r="BC345" s="1182"/>
      <c r="BD345" s="1182"/>
      <c r="BE345" s="1182"/>
      <c r="BF345" s="1190"/>
      <c r="BG345" s="1190"/>
      <c r="BH345" s="1184"/>
      <c r="BI345" s="1184"/>
      <c r="BJ345" s="1184"/>
      <c r="BK345" s="1184"/>
      <c r="BL345" s="1156"/>
      <c r="BM345" s="1156"/>
      <c r="BN345" s="1156"/>
      <c r="BO345" s="1156"/>
      <c r="BP345" s="1156"/>
      <c r="BQ345" s="1156"/>
      <c r="BR345" s="1156"/>
      <c r="BS345" s="1156"/>
      <c r="BT345" s="1156"/>
      <c r="BU345" s="1156"/>
      <c r="BV345" s="1156"/>
      <c r="BW345" s="1156"/>
      <c r="BX345" s="1156"/>
      <c r="BY345" s="1156"/>
      <c r="BZ345" s="1156"/>
      <c r="CA345" s="1156"/>
      <c r="CB345" s="1197"/>
      <c r="CC345" s="1197"/>
      <c r="CD345" s="1197"/>
      <c r="CE345" s="1197"/>
      <c r="CF345" s="1156"/>
      <c r="CG345" s="1197"/>
      <c r="CH345" s="1197"/>
      <c r="CI345" s="1197"/>
      <c r="CJ345" s="1197"/>
      <c r="CK345" s="1156"/>
      <c r="CL345" s="1197"/>
      <c r="CM345" s="1197"/>
      <c r="CN345" s="1197"/>
      <c r="CO345" s="1197"/>
      <c r="CP345" s="1156"/>
      <c r="CQ345" s="1197"/>
      <c r="CR345" s="1197"/>
      <c r="CS345" s="1197"/>
      <c r="CT345" s="1197"/>
      <c r="CU345" s="1156"/>
      <c r="CV345" s="1197"/>
      <c r="CW345" s="1197"/>
      <c r="CX345" s="1197"/>
      <c r="CY345" s="1197"/>
      <c r="CZ345" s="1156"/>
      <c r="DB345" s="2109"/>
      <c r="DC345" s="2109"/>
    </row>
    <row r="346" spans="1:107" s="1178" customFormat="1" ht="11.25" hidden="1" outlineLevel="1">
      <c r="A346" s="1156"/>
      <c r="B346" s="1186" t="s">
        <v>1089</v>
      </c>
      <c r="C346" s="1156"/>
      <c r="D346" s="1156"/>
      <c r="E346" s="1156"/>
      <c r="F346" s="1156"/>
      <c r="G346" s="1156"/>
      <c r="H346" s="1156"/>
      <c r="I346" s="1156"/>
      <c r="J346" s="1156"/>
      <c r="K346" s="1156"/>
      <c r="L346" s="1156"/>
      <c r="M346" s="1156"/>
      <c r="N346" s="1156"/>
      <c r="O346" s="1156"/>
      <c r="P346" s="1156"/>
      <c r="Q346" s="1156"/>
      <c r="R346" s="1156"/>
      <c r="S346" s="1156"/>
      <c r="T346" s="1156"/>
      <c r="U346" s="1156"/>
      <c r="V346" s="1156"/>
      <c r="W346" s="1156"/>
      <c r="X346" s="1156"/>
      <c r="Y346" s="1156"/>
      <c r="Z346" s="1156"/>
      <c r="AA346" s="1156"/>
      <c r="AB346" s="1156"/>
      <c r="AC346" s="1186"/>
      <c r="AD346" s="1156"/>
      <c r="AE346" s="1156"/>
      <c r="AF346" s="1156"/>
      <c r="AG346" s="1156"/>
      <c r="AH346" s="1186"/>
      <c r="AI346" s="1156"/>
      <c r="AJ346" s="1156"/>
      <c r="AK346" s="1156"/>
      <c r="AL346" s="1156"/>
      <c r="AM346" s="1186"/>
      <c r="AN346" s="1156"/>
      <c r="AO346" s="1156"/>
      <c r="AP346" s="1156"/>
      <c r="AQ346" s="1156"/>
      <c r="AR346" s="1186"/>
      <c r="AS346" s="1186"/>
      <c r="AT346" s="1186"/>
      <c r="AU346" s="1186"/>
      <c r="AV346" s="1186"/>
      <c r="AW346" s="1186"/>
      <c r="AX346" s="1186"/>
      <c r="AY346" s="1186"/>
      <c r="AZ346" s="1186"/>
      <c r="BA346" s="1186"/>
      <c r="BB346" s="1186"/>
      <c r="BC346" s="1182"/>
      <c r="BD346" s="1182"/>
      <c r="BE346" s="1182"/>
      <c r="BF346" s="1190"/>
      <c r="BG346" s="1190"/>
      <c r="BH346" s="1184"/>
      <c r="BI346" s="1184"/>
      <c r="BJ346" s="1184"/>
      <c r="BK346" s="1184"/>
      <c r="BL346" s="1156"/>
      <c r="BM346" s="1156"/>
      <c r="BN346" s="1156"/>
      <c r="BO346" s="1156"/>
      <c r="BP346" s="1156"/>
      <c r="BQ346" s="1156"/>
      <c r="BR346" s="1156"/>
      <c r="BS346" s="1156"/>
      <c r="BT346" s="1156"/>
      <c r="BU346" s="1156"/>
      <c r="BV346" s="1156"/>
      <c r="BW346" s="1156"/>
      <c r="BX346" s="1156"/>
      <c r="BY346" s="1156"/>
      <c r="BZ346" s="1156"/>
      <c r="CA346" s="1156"/>
      <c r="CB346" s="1197"/>
      <c r="CC346" s="1197"/>
      <c r="CD346" s="1197"/>
      <c r="CE346" s="1197"/>
      <c r="CF346" s="1156"/>
      <c r="CG346" s="1197"/>
      <c r="CH346" s="1197"/>
      <c r="CI346" s="1197"/>
      <c r="CJ346" s="1197"/>
      <c r="CK346" s="1156"/>
      <c r="CL346" s="1197"/>
      <c r="CM346" s="1197"/>
      <c r="CN346" s="1197"/>
      <c r="CO346" s="1197"/>
      <c r="CP346" s="1156"/>
      <c r="CQ346" s="1197"/>
      <c r="CR346" s="1197"/>
      <c r="CS346" s="1197"/>
      <c r="CT346" s="1197"/>
      <c r="CU346" s="1156"/>
      <c r="CV346" s="1197"/>
      <c r="CW346" s="1197"/>
      <c r="CX346" s="1197"/>
      <c r="CY346" s="1197"/>
      <c r="CZ346" s="1156"/>
      <c r="DB346" s="2109"/>
      <c r="DC346" s="2109"/>
    </row>
    <row r="347" spans="1:107" s="1178" customFormat="1" ht="11.25" hidden="1" outlineLevel="1">
      <c r="A347" s="1156"/>
      <c r="B347" s="1156" t="s">
        <v>639</v>
      </c>
      <c r="C347" s="1156"/>
      <c r="D347" s="1156"/>
      <c r="E347" s="1156"/>
      <c r="F347" s="1156"/>
      <c r="G347" s="1156"/>
      <c r="H347" s="1156"/>
      <c r="I347" s="1156"/>
      <c r="J347" s="1156"/>
      <c r="K347" s="1156"/>
      <c r="L347" s="1156"/>
      <c r="M347" s="1156"/>
      <c r="N347" s="1156"/>
      <c r="O347" s="1156"/>
      <c r="P347" s="1156"/>
      <c r="Q347" s="1156"/>
      <c r="R347" s="1156"/>
      <c r="S347" s="1156"/>
      <c r="T347" s="1156"/>
      <c r="U347" s="1156"/>
      <c r="V347" s="1156"/>
      <c r="W347" s="1156"/>
      <c r="X347" s="1156"/>
      <c r="Y347" s="1156"/>
      <c r="Z347" s="1156"/>
      <c r="AA347" s="1156"/>
      <c r="AB347" s="1156"/>
      <c r="AC347" s="1186"/>
      <c r="AD347" s="1156"/>
      <c r="AE347" s="1156"/>
      <c r="AF347" s="1156"/>
      <c r="AG347" s="1156"/>
      <c r="AH347" s="1186"/>
      <c r="AI347" s="1156"/>
      <c r="AJ347" s="1156"/>
      <c r="AK347" s="1156"/>
      <c r="AL347" s="1156"/>
      <c r="AM347" s="1186"/>
      <c r="AN347" s="1156"/>
      <c r="AO347" s="1156"/>
      <c r="AP347" s="1156"/>
      <c r="AQ347" s="1156"/>
      <c r="AR347" s="1186"/>
      <c r="AS347" s="1186"/>
      <c r="AT347" s="1186"/>
      <c r="AU347" s="1186"/>
      <c r="AV347" s="1186"/>
      <c r="AW347" s="1186"/>
      <c r="AX347" s="1186"/>
      <c r="AY347" s="1186"/>
      <c r="AZ347" s="1186"/>
      <c r="BA347" s="1186"/>
      <c r="BB347" s="1197" t="s">
        <v>1088</v>
      </c>
      <c r="BC347" s="1182"/>
      <c r="BD347" s="1182"/>
      <c r="BE347" s="1182"/>
      <c r="BF347" s="1190"/>
      <c r="BG347" s="1190"/>
      <c r="BH347" s="1184"/>
      <c r="BI347" s="1184"/>
      <c r="BJ347" s="1184"/>
      <c r="BK347" s="1184"/>
      <c r="BL347" s="1156"/>
      <c r="BM347" s="1156"/>
      <c r="BN347" s="1156"/>
      <c r="BO347" s="1156"/>
      <c r="BP347" s="1156"/>
      <c r="BQ347" s="1156"/>
      <c r="BR347" s="1156"/>
      <c r="BS347" s="1156"/>
      <c r="BT347" s="1156"/>
      <c r="BU347" s="1156"/>
      <c r="BV347" s="1156"/>
      <c r="BW347" s="1156"/>
      <c r="BX347" s="1156"/>
      <c r="BY347" s="1156"/>
      <c r="BZ347" s="1156"/>
      <c r="CA347" s="1156"/>
      <c r="CB347" s="1197"/>
      <c r="CC347" s="1197"/>
      <c r="CD347" s="1197"/>
      <c r="CE347" s="1197"/>
      <c r="CF347" s="1156"/>
      <c r="CG347" s="1197"/>
      <c r="CH347" s="1197"/>
      <c r="CI347" s="1197"/>
      <c r="CJ347" s="1197"/>
      <c r="CK347" s="1156"/>
      <c r="CL347" s="1197"/>
      <c r="CM347" s="1197"/>
      <c r="CN347" s="1197"/>
      <c r="CO347" s="1197"/>
      <c r="CP347" s="1156"/>
      <c r="CQ347" s="1197"/>
      <c r="CR347" s="1197"/>
      <c r="CS347" s="1197"/>
      <c r="CT347" s="1197"/>
      <c r="CU347" s="1156"/>
      <c r="CV347" s="1197"/>
      <c r="CW347" s="1197"/>
      <c r="CX347" s="1197"/>
      <c r="CY347" s="1197"/>
      <c r="CZ347" s="1156"/>
      <c r="DB347" s="2109"/>
      <c r="DC347" s="2109"/>
    </row>
    <row r="348" spans="1:107" s="1178" customFormat="1" ht="11.25" hidden="1" outlineLevel="1">
      <c r="A348" s="1156"/>
      <c r="B348" s="1156" t="s">
        <v>1087</v>
      </c>
      <c r="C348" s="1156"/>
      <c r="D348" s="1156"/>
      <c r="E348" s="1156"/>
      <c r="F348" s="1156"/>
      <c r="G348" s="1156"/>
      <c r="H348" s="1156"/>
      <c r="I348" s="1156"/>
      <c r="J348" s="1156"/>
      <c r="K348" s="1156"/>
      <c r="L348" s="1156"/>
      <c r="M348" s="1156"/>
      <c r="N348" s="1156"/>
      <c r="O348" s="1156"/>
      <c r="P348" s="1156"/>
      <c r="Q348" s="1156"/>
      <c r="R348" s="1156"/>
      <c r="S348" s="1156"/>
      <c r="T348" s="1156"/>
      <c r="U348" s="1156"/>
      <c r="V348" s="1156"/>
      <c r="W348" s="1156"/>
      <c r="X348" s="1156"/>
      <c r="Y348" s="1156"/>
      <c r="Z348" s="1156"/>
      <c r="AA348" s="1156"/>
      <c r="AB348" s="1156"/>
      <c r="AC348" s="1186"/>
      <c r="AD348" s="1156"/>
      <c r="AE348" s="1156"/>
      <c r="AF348" s="1156"/>
      <c r="AG348" s="1156"/>
      <c r="AH348" s="1186"/>
      <c r="AI348" s="1156"/>
      <c r="AJ348" s="1156"/>
      <c r="AK348" s="1156"/>
      <c r="AL348" s="1156"/>
      <c r="AM348" s="1186"/>
      <c r="AN348" s="1156"/>
      <c r="AO348" s="1156"/>
      <c r="AP348" s="1156"/>
      <c r="AQ348" s="1156"/>
      <c r="AR348" s="1186"/>
      <c r="AS348" s="1186"/>
      <c r="AT348" s="1186"/>
      <c r="AU348" s="1186"/>
      <c r="AV348" s="1186"/>
      <c r="AW348" s="1186"/>
      <c r="AX348" s="1186"/>
      <c r="AY348" s="1186"/>
      <c r="AZ348" s="1186"/>
      <c r="BA348" s="1186"/>
      <c r="BB348" s="1187">
        <v>0.1</v>
      </c>
      <c r="BC348" s="1182"/>
      <c r="BD348" s="1182"/>
      <c r="BE348" s="1182"/>
      <c r="BF348" s="1190"/>
      <c r="BG348" s="1190"/>
      <c r="BH348" s="1184"/>
      <c r="BI348" s="1184"/>
      <c r="BJ348" s="1184"/>
      <c r="BK348" s="1184"/>
      <c r="BL348" s="1156"/>
      <c r="BM348" s="1156"/>
      <c r="BN348" s="1156"/>
      <c r="BO348" s="1156"/>
      <c r="BP348" s="1156"/>
      <c r="BQ348" s="1156"/>
      <c r="BR348" s="1156"/>
      <c r="BS348" s="1156"/>
      <c r="BT348" s="1156"/>
      <c r="BU348" s="1156"/>
      <c r="BV348" s="1156"/>
      <c r="BW348" s="1156"/>
      <c r="BX348" s="1156"/>
      <c r="BY348" s="1156"/>
      <c r="BZ348" s="1156"/>
      <c r="CA348" s="1156"/>
      <c r="CB348" s="1197"/>
      <c r="CC348" s="1197"/>
      <c r="CD348" s="1197"/>
      <c r="CE348" s="1197"/>
      <c r="CF348" s="1156"/>
      <c r="CG348" s="1197"/>
      <c r="CH348" s="1197"/>
      <c r="CI348" s="1197"/>
      <c r="CJ348" s="1197"/>
      <c r="CK348" s="1156"/>
      <c r="CL348" s="1197"/>
      <c r="CM348" s="1197"/>
      <c r="CN348" s="1197"/>
      <c r="CO348" s="1197"/>
      <c r="CP348" s="1156"/>
      <c r="CQ348" s="1197"/>
      <c r="CR348" s="1197"/>
      <c r="CS348" s="1197"/>
      <c r="CT348" s="1197"/>
      <c r="CU348" s="1156"/>
      <c r="CV348" s="1197"/>
      <c r="CW348" s="1197"/>
      <c r="CX348" s="1197"/>
      <c r="CY348" s="1197"/>
      <c r="CZ348" s="1156"/>
      <c r="DB348" s="2109"/>
      <c r="DC348" s="2109"/>
    </row>
    <row r="349" spans="1:107" s="1178" customFormat="1" ht="11.25" hidden="1" outlineLevel="1">
      <c r="CV349" s="2109"/>
      <c r="CW349" s="2109"/>
      <c r="CX349" s="2109"/>
      <c r="CY349" s="2109"/>
      <c r="DB349" s="2109"/>
      <c r="DC349" s="2109"/>
    </row>
    <row r="350" spans="1:107" s="1178" customFormat="1" ht="11.25" hidden="1" outlineLevel="1">
      <c r="CV350" s="2109"/>
      <c r="CW350" s="2109"/>
      <c r="CX350" s="2109"/>
      <c r="CY350" s="2109"/>
      <c r="DB350" s="2109"/>
      <c r="DC350" s="2109"/>
    </row>
    <row r="351" spans="1:107" s="1178" customFormat="1" ht="11.25" hidden="1" outlineLevel="1">
      <c r="CV351" s="2109"/>
      <c r="CW351" s="2109"/>
      <c r="CX351" s="2109"/>
      <c r="CY351" s="2109"/>
      <c r="DB351" s="2109"/>
      <c r="DC351" s="2109"/>
    </row>
    <row r="352" spans="1:107" s="1178" customFormat="1" ht="11.25" hidden="1" outlineLevel="1">
      <c r="CV352" s="2109"/>
      <c r="CW352" s="2109"/>
      <c r="CX352" s="2109"/>
      <c r="CY352" s="2109"/>
      <c r="DB352" s="2109"/>
      <c r="DC352" s="2109"/>
    </row>
    <row r="353" spans="100:107" s="1178" customFormat="1" ht="11.25" hidden="1" outlineLevel="1">
      <c r="CV353" s="2109"/>
      <c r="CW353" s="2109"/>
      <c r="CX353" s="2109"/>
      <c r="CY353" s="2109"/>
      <c r="DB353" s="2109"/>
      <c r="DC353" s="2109"/>
    </row>
    <row r="354" spans="100:107" s="1178" customFormat="1" ht="11.25" hidden="1" outlineLevel="1">
      <c r="CV354" s="2109"/>
      <c r="CW354" s="2109"/>
      <c r="CX354" s="2109"/>
      <c r="CY354" s="2109"/>
      <c r="DB354" s="2109"/>
      <c r="DC354" s="2109"/>
    </row>
    <row r="355" spans="100:107" s="1178" customFormat="1" ht="11.25" hidden="1" outlineLevel="1">
      <c r="CV355" s="2109"/>
      <c r="CW355" s="2109"/>
      <c r="CX355" s="2109"/>
      <c r="CY355" s="2109"/>
      <c r="DB355" s="2109"/>
      <c r="DC355" s="2109"/>
    </row>
    <row r="356" spans="100:107" s="1178" customFormat="1" ht="11.25" hidden="1" outlineLevel="1">
      <c r="CV356" s="2109"/>
      <c r="CW356" s="2109"/>
      <c r="CX356" s="2109"/>
      <c r="CY356" s="2109"/>
      <c r="DB356" s="2109"/>
      <c r="DC356" s="2109"/>
    </row>
    <row r="357" spans="100:107" s="1178" customFormat="1" ht="11.25" collapsed="1">
      <c r="CV357" s="2109"/>
      <c r="CW357" s="2109"/>
      <c r="CX357" s="2109"/>
      <c r="CY357" s="2109"/>
      <c r="DB357" s="2109"/>
      <c r="DC357" s="2109"/>
    </row>
    <row r="358" spans="100:107" s="1178" customFormat="1" ht="11.25">
      <c r="CV358" s="2109"/>
      <c r="CW358" s="2109"/>
      <c r="CX358" s="2109"/>
      <c r="CY358" s="2109"/>
      <c r="DB358" s="2109"/>
      <c r="DC358" s="2109"/>
    </row>
    <row r="359" spans="100:107" s="1178" customFormat="1" ht="11.25">
      <c r="CV359" s="2109"/>
      <c r="CW359" s="2109"/>
      <c r="CX359" s="2109"/>
      <c r="CY359" s="2109"/>
      <c r="DB359" s="2109"/>
      <c r="DC359" s="2109"/>
    </row>
  </sheetData>
  <hyperlinks>
    <hyperlink ref="CU4" r:id="rId1"/>
  </hyperlinks>
  <pageMargins left="0.25" right="0.25" top="0.75" bottom="0.75" header="0.3" footer="0.3"/>
  <pageSetup scale="19" orientation="landscape" errors="dash"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BK153"/>
  <sheetViews>
    <sheetView showGridLines="0" zoomScale="85" zoomScaleNormal="85" workbookViewId="0">
      <pane xSplit="5" ySplit="10" topLeftCell="AI11" activePane="bottomRight" state="frozen"/>
      <selection activeCell="BN5" sqref="BN5"/>
      <selection pane="topRight" activeCell="BN5" sqref="BN5"/>
      <selection pane="bottomLeft" activeCell="BN5" sqref="BN5"/>
      <selection pane="bottomRight" activeCell="AR55" sqref="AR55"/>
    </sheetView>
  </sheetViews>
  <sheetFormatPr defaultRowHeight="12.75" outlineLevelRow="1" outlineLevelCol="1"/>
  <cols>
    <col min="1" max="1" width="2" customWidth="1"/>
    <col min="2" max="2" width="1.42578125" customWidth="1"/>
    <col min="3" max="3" width="2.28515625" customWidth="1"/>
    <col min="4" max="4" width="21" customWidth="1"/>
    <col min="5" max="8" width="1.85546875" customWidth="1"/>
    <col min="9" max="12" width="8.28515625" customWidth="1"/>
    <col min="13" max="14" width="8.7109375" customWidth="1"/>
    <col min="15" max="18" width="8.7109375" customWidth="1" outlineLevel="1"/>
    <col min="19" max="19" width="8.7109375" customWidth="1"/>
    <col min="20" max="23" width="9.140625" customWidth="1" outlineLevel="1"/>
    <col min="25" max="28" width="9.140625" customWidth="1" outlineLevel="1"/>
    <col min="29" max="29" width="9.85546875" customWidth="1"/>
    <col min="30" max="33" width="9.140625" outlineLevel="1"/>
    <col min="34" max="34" width="9.85546875" customWidth="1"/>
    <col min="35" max="35" width="9.140625" customWidth="1" outlineLevel="1"/>
    <col min="36" max="36" width="10.42578125" bestFit="1" customWidth="1" outlineLevel="1"/>
    <col min="37" max="37" width="10.28515625" bestFit="1" customWidth="1" outlineLevel="1"/>
    <col min="38" max="38" width="8.42578125" customWidth="1" outlineLevel="1"/>
    <col min="39" max="39" width="8.5703125" bestFit="1" customWidth="1"/>
    <col min="40" max="40" width="9.5703125" customWidth="1" outlineLevel="1"/>
    <col min="41" max="41" width="9.140625" outlineLevel="1"/>
    <col min="42" max="42" width="8.140625" customWidth="1" outlineLevel="1"/>
    <col min="43" max="43" width="9" customWidth="1" outlineLevel="1"/>
    <col min="45" max="48" width="9" customWidth="1" outlineLevel="1"/>
    <col min="50" max="53" width="9" style="2029" customWidth="1" outlineLevel="1"/>
    <col min="56" max="57" width="9.140625" style="2029"/>
    <col min="58" max="58" width="9.140625" style="1126"/>
    <col min="59" max="59" width="16.140625" bestFit="1" customWidth="1"/>
  </cols>
  <sheetData>
    <row r="1" spans="1:60" hidden="1" outlineLevel="1">
      <c r="A1" s="1156"/>
      <c r="B1" s="1518"/>
      <c r="C1" s="1518"/>
      <c r="D1" s="1518"/>
      <c r="E1" s="1518"/>
      <c r="F1" s="1518"/>
      <c r="G1" s="1518"/>
      <c r="H1" s="1518"/>
      <c r="I1" s="1518"/>
      <c r="J1" s="1518"/>
      <c r="K1" s="1518"/>
      <c r="L1" s="1518"/>
      <c r="M1" s="1518"/>
      <c r="N1" s="1520"/>
      <c r="O1" s="1363"/>
      <c r="P1" s="1363"/>
      <c r="Q1" s="1363"/>
      <c r="R1" s="1363"/>
      <c r="S1" s="1520"/>
      <c r="T1" s="1184"/>
      <c r="U1" s="1184"/>
      <c r="V1" s="1184"/>
      <c r="W1" s="1184"/>
      <c r="X1" s="1184"/>
      <c r="Y1" s="1184"/>
      <c r="Z1" s="1184"/>
      <c r="AA1" s="1184"/>
      <c r="AB1" s="1184"/>
      <c r="AC1" s="1184"/>
      <c r="AD1" s="1184"/>
      <c r="AE1" s="1184"/>
      <c r="AF1" s="1184"/>
      <c r="AG1" s="1184"/>
      <c r="AH1" s="1184"/>
      <c r="AI1" s="1184"/>
      <c r="AJ1" s="1184"/>
      <c r="AK1" s="1184"/>
      <c r="AL1" s="1184"/>
      <c r="AM1" s="1184"/>
      <c r="AN1" s="1184"/>
      <c r="AO1" s="1184"/>
      <c r="AP1" s="1184"/>
      <c r="AQ1" s="1184"/>
      <c r="AR1" s="1184"/>
      <c r="AS1" s="1184"/>
      <c r="AT1" s="1184"/>
      <c r="AU1" s="1184"/>
      <c r="AV1" s="1184"/>
      <c r="AW1" s="1156"/>
      <c r="AX1" s="2110"/>
      <c r="AY1" s="2110"/>
      <c r="AZ1" s="2110"/>
      <c r="BA1" s="2110"/>
      <c r="BB1" s="1156"/>
      <c r="BC1" s="1156"/>
      <c r="BD1" s="2108"/>
      <c r="BE1" s="2108"/>
      <c r="BF1" s="1156"/>
    </row>
    <row r="2" spans="1:60" ht="15.75" hidden="1" outlineLevel="1">
      <c r="A2" s="1156"/>
      <c r="B2" s="1799" t="s">
        <v>0</v>
      </c>
      <c r="C2" s="1853"/>
      <c r="D2" s="1798"/>
      <c r="E2" s="1798"/>
      <c r="F2" s="1798"/>
      <c r="G2" s="1798"/>
      <c r="H2" s="1798"/>
      <c r="I2" s="1798"/>
      <c r="J2" s="1798"/>
      <c r="K2" s="1798"/>
      <c r="L2" s="1798"/>
      <c r="M2" s="1798"/>
      <c r="N2" s="1796"/>
      <c r="O2" s="1796"/>
      <c r="P2" s="1796"/>
      <c r="Q2" s="1796"/>
      <c r="R2" s="1796"/>
      <c r="S2" s="1796"/>
      <c r="T2" s="1796"/>
      <c r="U2" s="1796"/>
      <c r="V2" s="1796"/>
      <c r="W2" s="1796"/>
      <c r="X2" s="1796"/>
      <c r="Y2" s="1796"/>
      <c r="Z2" s="1796"/>
      <c r="AA2" s="1796"/>
      <c r="AB2" s="1796"/>
      <c r="AC2" s="1529"/>
      <c r="AD2" s="1796"/>
      <c r="AE2" s="1796"/>
      <c r="AF2" s="1796"/>
      <c r="AG2" s="1796"/>
      <c r="AH2" s="1529"/>
      <c r="AI2" s="1796"/>
      <c r="AJ2" s="1796"/>
      <c r="AK2" s="1796"/>
      <c r="AL2" s="1796"/>
      <c r="AM2" s="1529"/>
      <c r="AN2" s="1796"/>
      <c r="AO2" s="1796"/>
      <c r="AP2" s="1796"/>
      <c r="AQ2" s="1796"/>
      <c r="AR2" s="1529"/>
      <c r="AS2" s="1796"/>
      <c r="AT2" s="1796"/>
      <c r="AU2" s="1796"/>
      <c r="AV2" s="1796"/>
      <c r="AW2" s="141" t="s">
        <v>1</v>
      </c>
      <c r="AX2" s="1796"/>
      <c r="AY2" s="1796"/>
      <c r="AZ2" s="1796"/>
      <c r="BA2" s="1796"/>
      <c r="BB2" s="141" t="s">
        <v>1</v>
      </c>
      <c r="BC2" s="141" t="s">
        <v>1</v>
      </c>
      <c r="BD2" s="141" t="s">
        <v>1</v>
      </c>
      <c r="BE2" s="141" t="s">
        <v>1</v>
      </c>
      <c r="BF2" s="1956"/>
    </row>
    <row r="3" spans="1:60" ht="15.75" hidden="1" outlineLevel="1">
      <c r="A3" s="1156"/>
      <c r="B3" s="992" t="str">
        <f>IS!B3</f>
        <v>Morgan Stanley Research</v>
      </c>
      <c r="C3" s="991"/>
      <c r="D3" s="1792"/>
      <c r="E3" s="1792"/>
      <c r="F3" s="1792"/>
      <c r="G3" s="1792"/>
      <c r="H3" s="1792"/>
      <c r="I3" s="1792"/>
      <c r="J3" s="1792"/>
      <c r="K3" s="1792"/>
      <c r="L3" s="1792"/>
      <c r="M3" s="1792"/>
      <c r="N3" s="1790"/>
      <c r="O3" s="1790"/>
      <c r="P3" s="1790"/>
      <c r="Q3" s="1790"/>
      <c r="R3" s="1790"/>
      <c r="S3" s="1790"/>
      <c r="T3" s="1790"/>
      <c r="U3" s="1790"/>
      <c r="V3" s="1790"/>
      <c r="W3" s="1790"/>
      <c r="X3" s="1790"/>
      <c r="Y3" s="1790"/>
      <c r="Z3" s="1790"/>
      <c r="AA3" s="1790"/>
      <c r="AB3" s="1790"/>
      <c r="AC3" s="1184"/>
      <c r="AD3" s="1790"/>
      <c r="AE3" s="1790"/>
      <c r="AF3" s="1790"/>
      <c r="AG3" s="1790"/>
      <c r="AH3" s="1184"/>
      <c r="AI3" s="1790"/>
      <c r="AJ3" s="1790"/>
      <c r="AK3" s="1790"/>
      <c r="AL3" s="1790"/>
      <c r="AM3" s="1184"/>
      <c r="AN3" s="1790"/>
      <c r="AO3" s="1790"/>
      <c r="AP3" s="1790"/>
      <c r="AQ3" s="1790"/>
      <c r="AR3" s="1184"/>
      <c r="AS3" s="1790"/>
      <c r="AT3" s="1790"/>
      <c r="AU3" s="1790"/>
      <c r="AV3" s="1790"/>
      <c r="AW3" s="140" t="s">
        <v>5</v>
      </c>
      <c r="AX3" s="1790"/>
      <c r="AY3" s="1790"/>
      <c r="AZ3" s="1790"/>
      <c r="BA3" s="1790"/>
      <c r="BB3" s="140" t="s">
        <v>5</v>
      </c>
      <c r="BC3" s="140" t="s">
        <v>5</v>
      </c>
      <c r="BD3" s="140" t="s">
        <v>5</v>
      </c>
      <c r="BE3" s="140" t="s">
        <v>5</v>
      </c>
      <c r="BF3" s="1963"/>
    </row>
    <row r="4" spans="1:60" hidden="1" outlineLevel="1">
      <c r="A4" s="1156"/>
      <c r="B4" s="986" t="str">
        <f>IS!B4</f>
        <v>YE 31 December ($ million)</v>
      </c>
      <c r="C4" s="116"/>
      <c r="D4" s="1184"/>
      <c r="E4" s="1184"/>
      <c r="F4" s="1184"/>
      <c r="G4" s="1184"/>
      <c r="H4" s="1184"/>
      <c r="I4" s="1184"/>
      <c r="J4" s="1184"/>
      <c r="K4" s="1184"/>
      <c r="L4" s="1184"/>
      <c r="M4" s="1184"/>
      <c r="N4" s="1790"/>
      <c r="O4" s="1790"/>
      <c r="P4" s="1790"/>
      <c r="Q4" s="1790"/>
      <c r="R4" s="1790"/>
      <c r="S4" s="1790"/>
      <c r="T4" s="1790"/>
      <c r="U4" s="1790"/>
      <c r="V4" s="1790"/>
      <c r="W4" s="1790"/>
      <c r="X4" s="1790"/>
      <c r="Y4" s="1790"/>
      <c r="Z4" s="1790"/>
      <c r="AA4" s="1790"/>
      <c r="AB4" s="1790"/>
      <c r="AC4" s="1184"/>
      <c r="AD4" s="1790"/>
      <c r="AE4" s="1790"/>
      <c r="AF4" s="1790"/>
      <c r="AG4" s="1790"/>
      <c r="AH4" s="1184"/>
      <c r="AI4" s="1790"/>
      <c r="AJ4" s="1790"/>
      <c r="AK4" s="1790"/>
      <c r="AL4" s="1790"/>
      <c r="AM4" s="1184"/>
      <c r="AN4" s="1790"/>
      <c r="AO4" s="1790"/>
      <c r="AP4" s="1790"/>
      <c r="AQ4" s="1790"/>
      <c r="AR4" s="1184"/>
      <c r="AS4" s="1790"/>
      <c r="AT4" s="1790"/>
      <c r="AU4" s="1790"/>
      <c r="AV4" s="1790"/>
      <c r="AW4" s="985" t="s">
        <v>6</v>
      </c>
      <c r="AX4" s="1790"/>
      <c r="AY4" s="1790"/>
      <c r="AZ4" s="1790"/>
      <c r="BA4" s="1790"/>
      <c r="BB4" s="985" t="s">
        <v>6</v>
      </c>
      <c r="BC4" s="985" t="s">
        <v>6</v>
      </c>
      <c r="BD4" s="985" t="s">
        <v>6</v>
      </c>
      <c r="BE4" s="985" t="s">
        <v>6</v>
      </c>
      <c r="BF4" s="1957"/>
    </row>
    <row r="5" spans="1:60" hidden="1" outlineLevel="1">
      <c r="A5" s="1156"/>
      <c r="B5" s="1523"/>
      <c r="C5" s="1521"/>
      <c r="D5" s="1521"/>
      <c r="E5" s="1521"/>
      <c r="F5" s="1521"/>
      <c r="G5" s="1521"/>
      <c r="H5" s="1521"/>
      <c r="I5" s="1521"/>
      <c r="J5" s="1521"/>
      <c r="K5" s="1521"/>
      <c r="L5" s="1521"/>
      <c r="M5" s="1521"/>
      <c r="N5" s="1520"/>
      <c r="O5" s="1520"/>
      <c r="P5" s="1520"/>
      <c r="Q5" s="1520"/>
      <c r="R5" s="1520"/>
      <c r="S5" s="1520"/>
      <c r="T5" s="1520"/>
      <c r="U5" s="1520"/>
      <c r="V5" s="1520"/>
      <c r="W5" s="1520"/>
      <c r="X5" s="1520"/>
      <c r="Y5" s="1520"/>
      <c r="Z5" s="1520"/>
      <c r="AA5" s="1520"/>
      <c r="AB5" s="1520"/>
      <c r="AC5" s="1518"/>
      <c r="AD5" s="1520"/>
      <c r="AE5" s="1520"/>
      <c r="AF5" s="1520"/>
      <c r="AG5" s="1520"/>
      <c r="AH5" s="1518"/>
      <c r="AI5" s="1520"/>
      <c r="AJ5" s="1520"/>
      <c r="AK5" s="1520"/>
      <c r="AL5" s="1520"/>
      <c r="AM5" s="1518"/>
      <c r="AN5" s="1520"/>
      <c r="AO5" s="1520"/>
      <c r="AP5" s="1520"/>
      <c r="AQ5" s="1520"/>
      <c r="AR5" s="1518"/>
      <c r="AS5" s="1520"/>
      <c r="AT5" s="1520"/>
      <c r="AU5" s="1520"/>
      <c r="AV5" s="1520"/>
      <c r="AW5" s="1852"/>
      <c r="AX5" s="1520"/>
      <c r="AY5" s="1520"/>
      <c r="AZ5" s="1520"/>
      <c r="BA5" s="1520"/>
      <c r="BB5" s="1852"/>
      <c r="BC5" s="1852"/>
      <c r="BD5" s="1852"/>
      <c r="BE5" s="1852"/>
      <c r="BF5" s="1363"/>
    </row>
    <row r="6" spans="1:60" hidden="1" outlineLevel="1">
      <c r="A6" s="1156"/>
      <c r="B6" s="1513"/>
      <c r="C6" s="1516"/>
      <c r="D6" s="1516"/>
      <c r="E6" s="1515"/>
      <c r="F6" s="1515"/>
      <c r="G6" s="1515"/>
      <c r="H6" s="1515"/>
      <c r="I6" s="1515"/>
      <c r="J6" s="1515"/>
      <c r="K6" s="1515"/>
      <c r="L6" s="1515"/>
      <c r="M6" s="1515"/>
      <c r="N6" s="1513"/>
      <c r="O6" s="1513"/>
      <c r="P6" s="1513"/>
      <c r="Q6" s="1513"/>
      <c r="R6" s="1513"/>
      <c r="S6" s="1513"/>
      <c r="T6" s="1513"/>
      <c r="U6" s="1513"/>
      <c r="V6" s="1513"/>
      <c r="W6" s="1513"/>
      <c r="X6" s="1513"/>
      <c r="Y6" s="1513"/>
      <c r="Z6" s="1513"/>
      <c r="AA6" s="1513"/>
      <c r="AB6" s="1513"/>
      <c r="AC6" s="1513"/>
      <c r="AD6" s="1513"/>
      <c r="AE6" s="1513"/>
      <c r="AF6" s="1513"/>
      <c r="AG6" s="1513"/>
      <c r="AH6" s="1513"/>
      <c r="AI6" s="1513"/>
      <c r="AJ6" s="1513"/>
      <c r="AK6" s="1513"/>
      <c r="AL6" s="1513"/>
      <c r="AM6" s="1513"/>
      <c r="AN6" s="1513"/>
      <c r="AO6" s="1513"/>
      <c r="AP6" s="1513"/>
      <c r="AQ6" s="1513"/>
      <c r="AR6" s="1184"/>
      <c r="AS6" s="1513"/>
      <c r="AT6" s="1513"/>
      <c r="AU6" s="1513"/>
      <c r="AV6" s="1513"/>
      <c r="AW6" s="1156"/>
      <c r="AX6" s="1513"/>
      <c r="AY6" s="1513"/>
      <c r="AZ6" s="1513"/>
      <c r="BA6" s="1513"/>
      <c r="BB6" s="1156"/>
      <c r="BC6" s="1156"/>
      <c r="BD6" s="2108"/>
      <c r="BE6" s="2108"/>
      <c r="BF6" s="1156"/>
    </row>
    <row r="7" spans="1:60" ht="13.5" hidden="1" outlineLevel="1" thickBot="1">
      <c r="A7" s="1156"/>
      <c r="B7" s="1510"/>
      <c r="C7" s="1510"/>
      <c r="D7" s="1510"/>
      <c r="E7" s="1510"/>
      <c r="F7" s="1510"/>
      <c r="G7" s="1510"/>
      <c r="H7" s="1510"/>
      <c r="I7" s="1510"/>
      <c r="J7" s="1510"/>
      <c r="K7" s="1510"/>
      <c r="L7" s="1510"/>
      <c r="M7" s="1510"/>
      <c r="N7" s="1510"/>
      <c r="O7" s="1510"/>
      <c r="P7" s="1510"/>
      <c r="Q7" s="1510"/>
      <c r="R7" s="1510"/>
      <c r="S7" s="1510"/>
      <c r="T7" s="1510"/>
      <c r="U7" s="1510"/>
      <c r="V7" s="1510"/>
      <c r="W7" s="1510"/>
      <c r="X7" s="1510"/>
      <c r="Y7" s="1510"/>
      <c r="Z7" s="1510"/>
      <c r="AA7" s="1510"/>
      <c r="AB7" s="1510"/>
      <c r="AC7" s="1510"/>
      <c r="AD7" s="1510"/>
      <c r="AE7" s="1510"/>
      <c r="AF7" s="1510"/>
      <c r="AG7" s="1510"/>
      <c r="AH7" s="1510"/>
      <c r="AI7" s="1510"/>
      <c r="AJ7" s="1510"/>
      <c r="AK7" s="1510"/>
      <c r="AL7" s="1510"/>
      <c r="AM7" s="1510"/>
      <c r="AN7" s="1510"/>
      <c r="AO7" s="1510"/>
      <c r="AP7" s="1510"/>
      <c r="AQ7" s="1510"/>
      <c r="AR7" s="1510"/>
      <c r="AS7" s="1510"/>
      <c r="AT7" s="1510"/>
      <c r="AU7" s="1510"/>
      <c r="AV7" s="1510"/>
      <c r="AW7" s="1510"/>
      <c r="AX7" s="1510"/>
      <c r="AY7" s="1510"/>
      <c r="AZ7" s="1510"/>
      <c r="BA7" s="1510"/>
      <c r="BB7" s="1510"/>
      <c r="BC7" s="1510"/>
      <c r="BD7" s="1510"/>
      <c r="BE7" s="1510"/>
      <c r="BF7" s="1490"/>
    </row>
    <row r="8" spans="1:60" hidden="1" outlineLevel="1">
      <c r="A8" s="1156"/>
      <c r="B8" s="1490"/>
      <c r="C8" s="1490"/>
      <c r="D8" s="1490"/>
      <c r="E8" s="1490"/>
      <c r="F8" s="1490"/>
      <c r="G8" s="1490"/>
      <c r="H8" s="1490"/>
      <c r="I8" s="1490"/>
      <c r="J8" s="1490"/>
      <c r="K8" s="1490"/>
      <c r="L8" s="1490"/>
      <c r="M8" s="1490"/>
      <c r="N8" s="1490"/>
      <c r="O8" s="1490"/>
      <c r="P8" s="1490"/>
      <c r="Q8" s="1490"/>
      <c r="R8" s="1490"/>
      <c r="S8" s="1490"/>
      <c r="T8" s="1490"/>
      <c r="U8" s="1490"/>
      <c r="V8" s="1490"/>
      <c r="W8" s="1490"/>
      <c r="X8" s="1490"/>
      <c r="Y8" s="1490"/>
      <c r="Z8" s="1490"/>
      <c r="AA8" s="1490"/>
      <c r="AB8" s="1490"/>
      <c r="AC8" s="1490"/>
      <c r="AD8" s="1490"/>
      <c r="AE8" s="1490"/>
      <c r="AF8" s="1490"/>
      <c r="AG8" s="1490"/>
      <c r="AH8" s="1490"/>
      <c r="AI8" s="1490"/>
      <c r="AJ8" s="1490"/>
      <c r="AK8" s="1490"/>
      <c r="AL8" s="1490"/>
      <c r="AM8" s="1490"/>
      <c r="AN8" s="1490"/>
      <c r="AO8" s="1490"/>
      <c r="AP8" s="1490"/>
      <c r="AQ8" s="1490"/>
      <c r="AR8" s="1184"/>
      <c r="AS8" s="1490"/>
      <c r="AT8" s="1490"/>
      <c r="AU8" s="1490"/>
      <c r="AV8" s="1490"/>
      <c r="AW8" s="1156"/>
      <c r="AX8" s="1490"/>
      <c r="AY8" s="1490"/>
      <c r="AZ8" s="1490"/>
      <c r="BA8" s="1490"/>
      <c r="BB8" s="1156"/>
      <c r="BC8" s="1156"/>
      <c r="BD8" s="2108"/>
      <c r="BE8" s="2108"/>
      <c r="BF8" s="1156"/>
    </row>
    <row r="9" spans="1:60" ht="12" customHeight="1" collapsed="1" thickBot="1">
      <c r="A9" s="1156"/>
      <c r="B9" s="1156"/>
      <c r="C9" s="1381"/>
      <c r="D9" s="1381"/>
      <c r="E9" s="1381"/>
      <c r="F9" s="1381"/>
      <c r="G9" s="1381"/>
      <c r="H9" s="1381"/>
      <c r="I9" s="1381"/>
      <c r="J9" s="1381"/>
      <c r="K9" s="1381"/>
      <c r="L9" s="1381"/>
      <c r="M9" s="1381"/>
      <c r="N9" s="1504"/>
      <c r="O9" s="1504"/>
      <c r="P9" s="1504"/>
      <c r="Q9" s="1504"/>
      <c r="R9" s="1504"/>
      <c r="S9" s="1504"/>
      <c r="T9" s="1504"/>
      <c r="U9" s="1504"/>
      <c r="V9" s="1504"/>
      <c r="W9" s="1504"/>
      <c r="X9" s="1504"/>
      <c r="Y9" s="1504"/>
      <c r="Z9" s="1504"/>
      <c r="AA9" s="1504"/>
      <c r="AB9" s="1504"/>
      <c r="AC9" s="1504"/>
      <c r="AD9" s="1504"/>
      <c r="AE9" s="1504"/>
      <c r="AF9" s="1504"/>
      <c r="AG9" s="1504"/>
      <c r="AH9" s="1504"/>
      <c r="AI9" s="1504"/>
      <c r="AJ9" s="1504"/>
      <c r="AK9" s="1504"/>
      <c r="AL9" s="1504"/>
      <c r="AM9" s="1504"/>
      <c r="AN9" s="1504"/>
      <c r="AO9" s="1504"/>
      <c r="AP9" s="1504"/>
      <c r="AQ9" s="1504"/>
      <c r="AR9" s="1502"/>
      <c r="AS9" s="1504"/>
      <c r="AT9" s="1504"/>
      <c r="AU9" s="1504"/>
      <c r="AV9" s="1504"/>
      <c r="AW9" s="1156"/>
      <c r="AX9" s="1504"/>
      <c r="AY9" s="1504"/>
      <c r="AZ9" s="1504"/>
      <c r="BA9" s="1504"/>
      <c r="BB9" s="1156"/>
      <c r="BC9" s="1156"/>
      <c r="BD9" s="2108"/>
      <c r="BE9" s="2108"/>
      <c r="BF9" s="1156"/>
    </row>
    <row r="10" spans="1:60" s="1533" customFormat="1" ht="12" customHeight="1">
      <c r="A10" s="1240"/>
      <c r="B10" s="1240"/>
      <c r="C10" s="1851" t="s">
        <v>1307</v>
      </c>
      <c r="D10" s="1500"/>
      <c r="E10" s="1500"/>
      <c r="F10" s="1500"/>
      <c r="G10" s="1500"/>
      <c r="H10" s="1500"/>
      <c r="I10" s="1494">
        <v>2005</v>
      </c>
      <c r="J10" s="1494">
        <v>2006</v>
      </c>
      <c r="K10" s="1494">
        <v>2007</v>
      </c>
      <c r="L10" s="1494">
        <v>2008</v>
      </c>
      <c r="M10" s="1494">
        <v>2009</v>
      </c>
      <c r="N10" s="1494">
        <v>2010</v>
      </c>
      <c r="O10" s="1497" t="s">
        <v>186</v>
      </c>
      <c r="P10" s="1497" t="s">
        <v>185</v>
      </c>
      <c r="Q10" s="1497" t="s">
        <v>184</v>
      </c>
      <c r="R10" s="1497" t="s">
        <v>183</v>
      </c>
      <c r="S10" s="1494">
        <v>2011</v>
      </c>
      <c r="T10" s="1497" t="s">
        <v>182</v>
      </c>
      <c r="U10" s="1497" t="s">
        <v>181</v>
      </c>
      <c r="V10" s="1497" t="s">
        <v>180</v>
      </c>
      <c r="W10" s="1497" t="s">
        <v>179</v>
      </c>
      <c r="X10" s="1494">
        <v>2012</v>
      </c>
      <c r="Y10" s="1499" t="s">
        <v>178</v>
      </c>
      <c r="Z10" s="1499" t="s">
        <v>177</v>
      </c>
      <c r="AA10" s="1499" t="s">
        <v>176</v>
      </c>
      <c r="AB10" s="1499" t="s">
        <v>175</v>
      </c>
      <c r="AC10" s="1494">
        <v>2013</v>
      </c>
      <c r="AD10" s="1499" t="s">
        <v>174</v>
      </c>
      <c r="AE10" s="1499" t="s">
        <v>152</v>
      </c>
      <c r="AF10" s="1499" t="s">
        <v>140</v>
      </c>
      <c r="AG10" s="1499" t="s">
        <v>132</v>
      </c>
      <c r="AH10" s="1494">
        <v>2014</v>
      </c>
      <c r="AI10" s="1499" t="str">
        <f>IS!CC9</f>
        <v>1Q15</v>
      </c>
      <c r="AJ10" s="1499" t="str">
        <f>IS!CD9</f>
        <v>2Q15</v>
      </c>
      <c r="AK10" s="1499" t="str">
        <f>IS!CE9</f>
        <v>3Q15</v>
      </c>
      <c r="AL10" s="1499" t="str">
        <f>IS!CF9</f>
        <v>4Q15</v>
      </c>
      <c r="AM10" s="1494">
        <f>IS!CG9</f>
        <v>2015</v>
      </c>
      <c r="AN10" s="1499" t="str">
        <f>IS!CH9</f>
        <v>1Q16</v>
      </c>
      <c r="AO10" s="1499" t="str">
        <f>IS!CI9</f>
        <v>2Q16</v>
      </c>
      <c r="AP10" s="1499" t="str">
        <f>IS!CJ9</f>
        <v>3Q16</v>
      </c>
      <c r="AQ10" s="1499" t="str">
        <f>IS!CK9</f>
        <v>4Q16</v>
      </c>
      <c r="AR10" s="1494">
        <f>IS!CL9</f>
        <v>2016</v>
      </c>
      <c r="AS10" s="1499" t="str">
        <f>IS!CM9</f>
        <v>1Q17</v>
      </c>
      <c r="AT10" s="1499" t="str">
        <f>IS!CN9</f>
        <v>2Q17</v>
      </c>
      <c r="AU10" s="1499" t="str">
        <f>IS!CO9</f>
        <v>3Q17</v>
      </c>
      <c r="AV10" s="1499" t="str">
        <f>IS!CP9</f>
        <v>4Q17E</v>
      </c>
      <c r="AW10" s="1494" t="str">
        <f>IS!CQ9</f>
        <v>2017E</v>
      </c>
      <c r="AX10" s="1499" t="str">
        <f>IS!CR9</f>
        <v>1Q18E</v>
      </c>
      <c r="AY10" s="1499" t="str">
        <f>IS!CS9</f>
        <v>2Q18E</v>
      </c>
      <c r="AZ10" s="1499" t="str">
        <f>IS!CT9</f>
        <v>3Q18E</v>
      </c>
      <c r="BA10" s="1499" t="str">
        <f>IS!CU9</f>
        <v>4Q18E</v>
      </c>
      <c r="BB10" s="1494" t="str">
        <f>IS!CV9</f>
        <v>2018E</v>
      </c>
      <c r="BC10" s="1494" t="str">
        <f>IS!CW9</f>
        <v>2019E</v>
      </c>
      <c r="BD10" s="1494" t="str">
        <f>IS!CX9</f>
        <v>2020E</v>
      </c>
      <c r="BE10" s="1494" t="str">
        <f>IS!CY9</f>
        <v>2021E</v>
      </c>
      <c r="BF10" s="1243"/>
    </row>
    <row r="11" spans="1:60" s="1533" customFormat="1" ht="12" customHeight="1">
      <c r="A11" s="1240"/>
      <c r="B11" s="1240"/>
      <c r="C11" s="1850"/>
      <c r="D11" s="1850"/>
      <c r="E11" s="1197"/>
      <c r="F11" s="1197"/>
      <c r="G11" s="1197"/>
      <c r="H11" s="1197"/>
      <c r="I11" s="1197"/>
      <c r="J11" s="1197"/>
      <c r="K11" s="1197"/>
      <c r="L11" s="1197"/>
      <c r="M11" s="1197"/>
      <c r="N11" s="1244"/>
      <c r="O11" s="1243"/>
      <c r="P11" s="1243"/>
      <c r="Q11" s="1243"/>
      <c r="R11" s="1243"/>
      <c r="S11" s="1244"/>
      <c r="T11" s="1243"/>
      <c r="U11" s="1243"/>
      <c r="V11" s="1849"/>
      <c r="W11" s="1849"/>
      <c r="X11" s="1244"/>
      <c r="Y11" s="1254"/>
      <c r="Z11" s="1254"/>
      <c r="AA11" s="1254"/>
      <c r="AB11" s="1254"/>
      <c r="AC11" s="1848"/>
      <c r="AD11" s="1254"/>
      <c r="AE11" s="1254"/>
      <c r="AF11" s="1254"/>
      <c r="AG11" s="1254"/>
      <c r="AH11" s="1847"/>
      <c r="AI11" s="1254"/>
      <c r="AJ11" s="1254"/>
      <c r="AK11" s="1254"/>
      <c r="AL11" s="1254"/>
      <c r="AM11" s="1244"/>
      <c r="AN11" s="1254"/>
      <c r="AO11" s="1254"/>
      <c r="AP11" s="1254"/>
      <c r="AQ11" s="1254"/>
      <c r="AR11" s="1244"/>
      <c r="AS11" s="1254"/>
      <c r="AT11" s="1254"/>
      <c r="AU11" s="1254"/>
      <c r="AV11" s="1254"/>
      <c r="AW11" s="1244"/>
      <c r="AX11" s="2115"/>
      <c r="AY11" s="2115"/>
      <c r="AZ11" s="2115"/>
      <c r="BA11" s="2115"/>
      <c r="BB11" s="1244"/>
      <c r="BC11" s="1244"/>
      <c r="BD11" s="1244"/>
      <c r="BE11" s="1244"/>
      <c r="BF11" s="1243"/>
      <c r="BG11" s="2017" t="s">
        <v>1378</v>
      </c>
    </row>
    <row r="12" spans="1:60" s="1178" customFormat="1" ht="13.5" customHeight="1">
      <c r="A12" s="1467"/>
      <c r="B12" s="1467"/>
      <c r="C12" s="1466" t="s">
        <v>304</v>
      </c>
      <c r="D12" s="1466"/>
      <c r="E12" s="1467"/>
      <c r="F12" s="1467"/>
      <c r="G12" s="1467"/>
      <c r="H12" s="1467"/>
      <c r="I12" s="1467"/>
      <c r="J12" s="1467"/>
      <c r="K12" s="1467"/>
      <c r="L12" s="1467"/>
      <c r="M12" s="1467"/>
      <c r="N12" s="1429">
        <v>4399</v>
      </c>
      <c r="O12" s="1469">
        <v>1138</v>
      </c>
      <c r="P12" s="1469">
        <v>1171</v>
      </c>
      <c r="Q12" s="1469">
        <v>1187</v>
      </c>
      <c r="R12" s="1469">
        <v>1264</v>
      </c>
      <c r="S12" s="1429">
        <f>SUM(O12:R12)</f>
        <v>4760</v>
      </c>
      <c r="T12" s="1469">
        <v>1236</v>
      </c>
      <c r="U12" s="1469">
        <v>1254</v>
      </c>
      <c r="V12" s="1469">
        <v>2670</v>
      </c>
      <c r="W12" s="1469">
        <v>3174</v>
      </c>
      <c r="X12" s="1429">
        <f>SUM(T12:W12)</f>
        <v>8334</v>
      </c>
      <c r="Y12" s="1469">
        <v>3263</v>
      </c>
      <c r="Z12" s="1469">
        <v>3321</v>
      </c>
      <c r="AA12" s="1469">
        <v>3312</v>
      </c>
      <c r="AB12" s="1469">
        <v>3451</v>
      </c>
      <c r="AC12" s="1429">
        <f>SUM(Y12:AB12)</f>
        <v>13347</v>
      </c>
      <c r="AD12" s="1469">
        <v>3450</v>
      </c>
      <c r="AE12" s="1469">
        <v>3636</v>
      </c>
      <c r="AF12" s="1469">
        <v>3535</v>
      </c>
      <c r="AG12" s="1846">
        <v>3594</v>
      </c>
      <c r="AH12" s="1429">
        <f>SUM(AD12:AG12)</f>
        <v>14215</v>
      </c>
      <c r="AI12" s="1469">
        <v>3548</v>
      </c>
      <c r="AJ12" s="1469">
        <v>3632</v>
      </c>
      <c r="AK12" s="1874">
        <v>3457</v>
      </c>
      <c r="AL12" s="1871">
        <v>3457</v>
      </c>
      <c r="AM12" s="1429">
        <f>SUM(AI12:AL12)</f>
        <v>14094</v>
      </c>
      <c r="AN12" s="1874">
        <v>3505</v>
      </c>
      <c r="AO12" s="1874">
        <v>3716</v>
      </c>
      <c r="AP12" s="1874">
        <v>3646</v>
      </c>
      <c r="AQ12" s="1874">
        <v>3598</v>
      </c>
      <c r="AR12" s="1429">
        <f>SUM(AN12:AQ12)</f>
        <v>14465</v>
      </c>
      <c r="AS12" s="1874">
        <v>3611</v>
      </c>
      <c r="AT12" s="1469">
        <v>3640</v>
      </c>
      <c r="AU12" s="1874">
        <v>3637</v>
      </c>
      <c r="AV12" s="1469">
        <f>AQ12*(1+AV13)</f>
        <v>3741.9324932500022</v>
      </c>
      <c r="AW12" s="1429">
        <f>AW51</f>
        <v>14629.932493250002</v>
      </c>
      <c r="AX12" s="1469">
        <f>AS12*(1+AX13)</f>
        <v>3774.9011912988894</v>
      </c>
      <c r="AY12" s="1469">
        <f>AT12*(1+AY13)</f>
        <v>3878.0174844441863</v>
      </c>
      <c r="AZ12" s="1469">
        <f>AU12*(1+AZ13)</f>
        <v>3874.8213161877766</v>
      </c>
      <c r="BA12" s="1469">
        <f>AV12*(1+BA13)</f>
        <v>3904.6494536700006</v>
      </c>
      <c r="BB12" s="1429">
        <f>BB51</f>
        <v>15432.389445600853</v>
      </c>
      <c r="BC12" s="1429">
        <f>BC51</f>
        <v>16214.362530079052</v>
      </c>
      <c r="BD12" s="1429">
        <f>BD51</f>
        <v>16957.492508960622</v>
      </c>
      <c r="BE12" s="1429">
        <f>BE51</f>
        <v>17765.244045271582</v>
      </c>
      <c r="BF12" s="1469"/>
      <c r="BG12" s="1234" t="s">
        <v>964</v>
      </c>
      <c r="BH12" s="1178" t="s">
        <v>1342</v>
      </c>
    </row>
    <row r="13" spans="1:60" s="1178" customFormat="1" ht="13.5" customHeight="1">
      <c r="A13" s="1482"/>
      <c r="B13" s="1482"/>
      <c r="C13" s="1483"/>
      <c r="D13" s="1393" t="s">
        <v>282</v>
      </c>
      <c r="E13" s="1482"/>
      <c r="F13" s="1482"/>
      <c r="G13" s="1482"/>
      <c r="H13" s="1482"/>
      <c r="I13" s="1482"/>
      <c r="J13" s="1482"/>
      <c r="K13" s="1482"/>
      <c r="L13" s="1482"/>
      <c r="M13" s="1482"/>
      <c r="N13" s="286"/>
      <c r="O13" s="287">
        <v>-0.14177978883861242</v>
      </c>
      <c r="P13" s="287">
        <v>-0.15083393763596809</v>
      </c>
      <c r="Q13" s="287">
        <v>-0.16408450704225352</v>
      </c>
      <c r="R13" s="287">
        <v>-0.14767363452461224</v>
      </c>
      <c r="S13" s="1151">
        <v>-0.15121255349500717</v>
      </c>
      <c r="T13" s="337">
        <f t="shared" ref="T13:AB13" si="0">IF(ISERROR(T12/O12-1),"-",T12/O12-1)</f>
        <v>8.6115992970122957E-2</v>
      </c>
      <c r="U13" s="337">
        <f t="shared" si="0"/>
        <v>7.087959009393674E-2</v>
      </c>
      <c r="V13" s="337">
        <f t="shared" si="0"/>
        <v>1.249368155012637</v>
      </c>
      <c r="W13" s="337">
        <f t="shared" si="0"/>
        <v>1.5110759493670884</v>
      </c>
      <c r="X13" s="1151">
        <f t="shared" si="0"/>
        <v>0.75084033613445378</v>
      </c>
      <c r="Y13" s="337">
        <f t="shared" si="0"/>
        <v>1.6399676375404533</v>
      </c>
      <c r="Z13" s="337">
        <f t="shared" si="0"/>
        <v>1.6483253588516749</v>
      </c>
      <c r="AA13" s="337">
        <f t="shared" si="0"/>
        <v>0.24044943820224729</v>
      </c>
      <c r="AB13" s="337">
        <f t="shared" si="0"/>
        <v>8.7271581600504078E-2</v>
      </c>
      <c r="AC13" s="1151">
        <f>AC12/X12-1</f>
        <v>0.60151187904967607</v>
      </c>
      <c r="AD13" s="337">
        <f>IF(ISERROR(AD12/Y12-1),"-",AD12/Y12-1)</f>
        <v>5.7309224639901846E-2</v>
      </c>
      <c r="AE13" s="337">
        <f>IF(ISERROR(AE12/Z12-1),"-",AE12/Z12-1)</f>
        <v>9.4850948509485056E-2</v>
      </c>
      <c r="AF13" s="337">
        <f>IF(ISERROR(AF12/AA12-1),"-",AF12/AA12-1)</f>
        <v>6.7330917874396157E-2</v>
      </c>
      <c r="AG13" s="337">
        <f>IF(ISERROR(AG12/AB12-1),"-",AG12/AB12-1)</f>
        <v>4.1437264560996834E-2</v>
      </c>
      <c r="AH13" s="1151">
        <f>AH12/AC12-1</f>
        <v>6.5033340825653596E-2</v>
      </c>
      <c r="AI13" s="337">
        <f>IF(ISERROR(AI12/AD12-1),"-",AI12/AD12-1)</f>
        <v>2.8405797101449304E-2</v>
      </c>
      <c r="AJ13" s="337">
        <f>IF(ISERROR(AJ12/AE12-1),"-",AJ12/AE12-1)</f>
        <v>-1.1001100110010764E-3</v>
      </c>
      <c r="AK13" s="337">
        <f>IF(ISERROR(AK12/AF12-1),"-",AK12/AF12-1)</f>
        <v>-2.2065063649222116E-2</v>
      </c>
      <c r="AL13" s="337">
        <f t="shared" ref="AL13:AU13" si="1">AL12/AG12-1</f>
        <v>-3.8119087367835314E-2</v>
      </c>
      <c r="AM13" s="1151">
        <f t="shared" si="1"/>
        <v>-8.5121350685894992E-3</v>
      </c>
      <c r="AN13" s="337">
        <f t="shared" si="1"/>
        <v>-1.2119503945885013E-2</v>
      </c>
      <c r="AO13" s="337">
        <f t="shared" si="1"/>
        <v>2.312775330396466E-2</v>
      </c>
      <c r="AP13" s="337">
        <f t="shared" si="1"/>
        <v>5.4671680647960574E-2</v>
      </c>
      <c r="AQ13" s="337">
        <f t="shared" si="1"/>
        <v>4.0786809372288069E-2</v>
      </c>
      <c r="AR13" s="1151">
        <f t="shared" si="1"/>
        <v>2.6323258124024473E-2</v>
      </c>
      <c r="AS13" s="337">
        <f t="shared" si="1"/>
        <v>3.0242510699001413E-2</v>
      </c>
      <c r="AT13" s="337">
        <f t="shared" si="1"/>
        <v>-2.0452099031216364E-2</v>
      </c>
      <c r="AU13" s="337">
        <f t="shared" si="1"/>
        <v>-2.4684585847504215E-3</v>
      </c>
      <c r="AV13" s="337">
        <f>SUM(AV14,AV15,AV16)</f>
        <v>4.0003472276265245E-2</v>
      </c>
      <c r="AW13" s="1151">
        <f>AW12/AR12-1</f>
        <v>1.1402177203595043E-2</v>
      </c>
      <c r="AX13" s="337">
        <f>SUM(AX14,AX15,AX16)</f>
        <v>4.5389418803347924E-2</v>
      </c>
      <c r="AY13" s="337">
        <f>SUM(AY14,AY15,AY16)</f>
        <v>6.5389418803347921E-2</v>
      </c>
      <c r="AZ13" s="337">
        <f>SUM(AZ14,AZ15,AZ16)</f>
        <v>6.5389418803347921E-2</v>
      </c>
      <c r="BA13" s="337">
        <f>SUM(BA14,BA15,BA16)</f>
        <v>4.3484739693599568E-2</v>
      </c>
      <c r="BB13" s="286">
        <f>BB12/AW12-1</f>
        <v>5.4850352366361932E-2</v>
      </c>
      <c r="BC13" s="1151">
        <f>BC12/BB12-1</f>
        <v>5.0670901433290894E-2</v>
      </c>
      <c r="BD13" s="1151">
        <f>BD12/BC12-1</f>
        <v>4.5831587736057999E-2</v>
      </c>
      <c r="BE13" s="1151">
        <f>BE12/BD12-1</f>
        <v>4.7633901998431094E-2</v>
      </c>
      <c r="BF13" s="337"/>
      <c r="BG13" s="1234" t="s">
        <v>1376</v>
      </c>
      <c r="BH13" s="1178" t="s">
        <v>1355</v>
      </c>
    </row>
    <row r="14" spans="1:60" s="1178" customFormat="1" ht="13.5" customHeight="1">
      <c r="A14" s="1482"/>
      <c r="B14" s="1482"/>
      <c r="C14" s="1483"/>
      <c r="D14" s="1393" t="s">
        <v>829</v>
      </c>
      <c r="E14" s="1482"/>
      <c r="F14" s="1482"/>
      <c r="G14" s="1482"/>
      <c r="H14" s="1482"/>
      <c r="I14" s="1482"/>
      <c r="J14" s="1482"/>
      <c r="K14" s="1482"/>
      <c r="L14" s="1482"/>
      <c r="M14" s="1482"/>
      <c r="N14" s="1398"/>
      <c r="O14" s="1153">
        <f t="shared" ref="O14:V14" si="2">O13-O15-O16</f>
        <v>-0.23177978883861242</v>
      </c>
      <c r="P14" s="1153">
        <f t="shared" si="2"/>
        <v>-0.26083393763596807</v>
      </c>
      <c r="Q14" s="1153">
        <f t="shared" si="2"/>
        <v>-0.25408450704225349</v>
      </c>
      <c r="R14" s="1153">
        <f t="shared" si="2"/>
        <v>-0.26767363452461224</v>
      </c>
      <c r="S14" s="1398">
        <f t="shared" si="2"/>
        <v>-0.25121255349500715</v>
      </c>
      <c r="T14" s="1153">
        <f t="shared" si="2"/>
        <v>-1.3884007029877049E-2</v>
      </c>
      <c r="U14" s="1153">
        <f t="shared" si="2"/>
        <v>-9.1204099060632621E-3</v>
      </c>
      <c r="V14" s="1153">
        <f t="shared" si="2"/>
        <v>1.2093681550126369</v>
      </c>
      <c r="W14" s="1153">
        <v>1.47</v>
      </c>
      <c r="X14" s="1398">
        <v>0.69</v>
      </c>
      <c r="Y14" s="1153">
        <v>1.64</v>
      </c>
      <c r="Z14" s="1153">
        <v>1.64</v>
      </c>
      <c r="AA14" s="1153">
        <v>0.22</v>
      </c>
      <c r="AB14" s="1432"/>
      <c r="AC14" s="1398">
        <f>SUMPRODUCT(Y14:AB14,T12:W12)/X12</f>
        <v>0.56047516198704106</v>
      </c>
      <c r="AD14" s="1153">
        <v>0</v>
      </c>
      <c r="AE14" s="1153">
        <v>0</v>
      </c>
      <c r="AF14" s="1153">
        <v>0</v>
      </c>
      <c r="AG14" s="1153">
        <v>0</v>
      </c>
      <c r="AH14" s="1398">
        <f>SUMPRODUCT(AD14:AG14,Y12:AB12)/AC12</f>
        <v>0</v>
      </c>
      <c r="AI14" s="1153">
        <v>-0.01</v>
      </c>
      <c r="AJ14" s="1153">
        <v>0</v>
      </c>
      <c r="AK14" s="1888">
        <v>-0.01</v>
      </c>
      <c r="AL14" s="1888">
        <f>-210/AG12</f>
        <v>-5.8430717863105178E-2</v>
      </c>
      <c r="AM14" s="1398">
        <f>SUMPRODUCT(AI14:AL14,AD12:AG12)/AH12</f>
        <v>-1.9686950404502288E-2</v>
      </c>
      <c r="AN14" s="1153">
        <v>0</v>
      </c>
      <c r="AO14" s="2215">
        <v>0</v>
      </c>
      <c r="AP14" s="2215">
        <v>0</v>
      </c>
      <c r="AQ14" s="1888">
        <v>0.06</v>
      </c>
      <c r="AR14" s="1398">
        <f>SUMPRODUCT(AN14:AQ14,AI12:AL12)/AM12</f>
        <v>1.471690080885483E-2</v>
      </c>
      <c r="AS14" s="1888">
        <v>-0.01</v>
      </c>
      <c r="AT14" s="1888">
        <v>-0.01</v>
      </c>
      <c r="AU14" s="1888">
        <v>0</v>
      </c>
      <c r="AV14" s="2215">
        <f t="shared" ref="AV14" si="3">AU14</f>
        <v>0</v>
      </c>
      <c r="AW14" s="1398">
        <f>SUMPRODUCT(AS14:AV14,AN12:AQ12)/AR12</f>
        <v>-4.9920497753197382E-3</v>
      </c>
      <c r="AX14" s="2215">
        <v>0</v>
      </c>
      <c r="AY14" s="2215">
        <v>0</v>
      </c>
      <c r="AZ14" s="2215">
        <v>0</v>
      </c>
      <c r="BA14" s="2215">
        <v>0</v>
      </c>
      <c r="BB14" s="1398">
        <f>SUMPRODUCT(AX14:BA14,AS12:AV12)/AW12</f>
        <v>0</v>
      </c>
      <c r="BC14" s="1484">
        <v>0</v>
      </c>
      <c r="BD14" s="2120">
        <v>0</v>
      </c>
      <c r="BE14" s="2120">
        <v>0</v>
      </c>
      <c r="BF14" s="1432"/>
    </row>
    <row r="15" spans="1:60" s="1178" customFormat="1" ht="12" customHeight="1">
      <c r="A15" s="1482"/>
      <c r="B15" s="1482"/>
      <c r="C15" s="1483"/>
      <c r="D15" s="1393" t="s">
        <v>828</v>
      </c>
      <c r="E15" s="1482"/>
      <c r="F15" s="1482"/>
      <c r="G15" s="1482"/>
      <c r="H15" s="1482"/>
      <c r="I15" s="1482"/>
      <c r="J15" s="1482"/>
      <c r="K15" s="1482"/>
      <c r="L15" s="1482"/>
      <c r="M15" s="1482"/>
      <c r="N15" s="1398"/>
      <c r="O15" s="1153">
        <v>0</v>
      </c>
      <c r="P15" s="1153">
        <v>0.03</v>
      </c>
      <c r="Q15" s="1153">
        <v>0.02</v>
      </c>
      <c r="R15" s="1153">
        <v>0</v>
      </c>
      <c r="S15" s="1398">
        <v>0.01</v>
      </c>
      <c r="T15" s="1153">
        <v>0</v>
      </c>
      <c r="U15" s="1153">
        <v>-0.01</v>
      </c>
      <c r="V15" s="1153">
        <v>-0.02</v>
      </c>
      <c r="W15" s="1153">
        <v>0</v>
      </c>
      <c r="X15" s="1398">
        <v>-0.01</v>
      </c>
      <c r="Y15" s="1153">
        <v>0</v>
      </c>
      <c r="Z15" s="1153">
        <v>0</v>
      </c>
      <c r="AA15" s="1153">
        <v>0</v>
      </c>
      <c r="AB15" s="1153">
        <v>0</v>
      </c>
      <c r="AC15" s="1398">
        <f>SUMPRODUCT(Y15:AB15,T12:W12)/X12</f>
        <v>0</v>
      </c>
      <c r="AD15" s="1153">
        <v>0</v>
      </c>
      <c r="AE15" s="1153">
        <f>AE13-AE14-AE16</f>
        <v>4.8509485094850591E-3</v>
      </c>
      <c r="AF15" s="1153">
        <f>AF13-AF14-AF16</f>
        <v>7.3309178743961589E-3</v>
      </c>
      <c r="AG15" s="1153">
        <f>AG13-AG14-AG16</f>
        <v>-8.562735439003169E-3</v>
      </c>
      <c r="AH15" s="1398">
        <f>SUMPRODUCT(AD15:AG15,Y12:AB12)/AC12</f>
        <v>8.1216752828351094E-4</v>
      </c>
      <c r="AI15" s="1153">
        <f>AI13-AI14-AI16</f>
        <v>-3.1594202898550701E-2</v>
      </c>
      <c r="AJ15" s="1153">
        <f>AJ13-AJ14-AJ16</f>
        <v>-2.1100110011001077E-2</v>
      </c>
      <c r="AK15" s="1153">
        <f>AK13-AK14-AK16</f>
        <v>-1.2065063649222116E-2</v>
      </c>
      <c r="AL15" s="1153">
        <f>AL13-AL14-AL16</f>
        <v>-1.9688369504730137E-2</v>
      </c>
      <c r="AM15" s="1398">
        <f>SUMPRODUCT(AI15:AL15,AD12:AG12)/AH12</f>
        <v>-2.1043264157580028E-2</v>
      </c>
      <c r="AN15" s="1153">
        <f>AN13-AN14-AN16</f>
        <v>-2.1195039458850127E-3</v>
      </c>
      <c r="AO15" s="2215">
        <f>AO13-AO14-AO16</f>
        <v>3.1277533039646595E-3</v>
      </c>
      <c r="AP15" s="2215">
        <f>AP13-AP14-AP16</f>
        <v>-5.3283193520394234E-3</v>
      </c>
      <c r="AQ15" s="2215">
        <f>AQ13-AQ14-AQ16</f>
        <v>-1.9213190627711929E-2</v>
      </c>
      <c r="AR15" s="1398">
        <f>SUMPRODUCT(AN15:AQ15,AI12:AL12)/AM12</f>
        <v>-5.7471264367816664E-3</v>
      </c>
      <c r="AS15" s="2215">
        <f>AS13-AS14-AS16</f>
        <v>-9.7574893009985883E-3</v>
      </c>
      <c r="AT15" s="2215">
        <f>AT13-AT14-AT16</f>
        <v>-4.5209903121636377E-4</v>
      </c>
      <c r="AU15" s="2215">
        <f>AU13-AU14-AU16</f>
        <v>-2.4684585847504215E-3</v>
      </c>
      <c r="AV15" s="2215">
        <f>'FX Model'!BN39</f>
        <v>0</v>
      </c>
      <c r="AW15" s="1398">
        <f>SUMPRODUCT(AS15:AV15,AN12:AQ12)/AR12</f>
        <v>-3.1026615969581813E-3</v>
      </c>
      <c r="AX15" s="2215">
        <f>'FX Model'!BP39</f>
        <v>5.389418803347922E-3</v>
      </c>
      <c r="AY15" s="2215">
        <f>'FX Model'!BQ39</f>
        <v>5.389418803347922E-3</v>
      </c>
      <c r="AZ15" s="2215">
        <f>'FX Model'!BR39</f>
        <v>5.389418803347922E-3</v>
      </c>
      <c r="BA15" s="2215">
        <f>'FX Model'!BS39</f>
        <v>0</v>
      </c>
      <c r="BB15" s="1398">
        <f>SUMPRODUCT(AX15:BA15,AS12:AV12)/AW12</f>
        <v>4.0109543880620163E-3</v>
      </c>
      <c r="BC15" s="1484">
        <v>0</v>
      </c>
      <c r="BD15" s="2120">
        <v>0</v>
      </c>
      <c r="BE15" s="2120">
        <v>0</v>
      </c>
      <c r="BF15" s="1432"/>
      <c r="BG15" s="1178" t="s">
        <v>1270</v>
      </c>
      <c r="BH15" s="1178" t="s">
        <v>1377</v>
      </c>
    </row>
    <row r="16" spans="1:60" s="1178" customFormat="1" ht="12" customHeight="1">
      <c r="A16" s="1482"/>
      <c r="B16" s="1482"/>
      <c r="C16" s="1483"/>
      <c r="D16" s="1393" t="s">
        <v>827</v>
      </c>
      <c r="E16" s="1482"/>
      <c r="F16" s="1482"/>
      <c r="G16" s="1482"/>
      <c r="H16" s="1482"/>
      <c r="I16" s="1482"/>
      <c r="J16" s="1482"/>
      <c r="K16" s="1482"/>
      <c r="L16" s="1482"/>
      <c r="M16" s="1482"/>
      <c r="N16" s="1398"/>
      <c r="O16" s="1153">
        <v>0.09</v>
      </c>
      <c r="P16" s="1153">
        <v>0.08</v>
      </c>
      <c r="Q16" s="1153">
        <v>7.0000000000000007E-2</v>
      </c>
      <c r="R16" s="1153">
        <v>0.12</v>
      </c>
      <c r="S16" s="1480">
        <v>0.09</v>
      </c>
      <c r="T16" s="1153">
        <v>0.1</v>
      </c>
      <c r="U16" s="1153">
        <v>0.09</v>
      </c>
      <c r="V16" s="1153">
        <v>0.06</v>
      </c>
      <c r="W16" s="1153">
        <f t="shared" ref="W16:AC16" si="4">W13-W14-W15</f>
        <v>4.1075949367088471E-2</v>
      </c>
      <c r="X16" s="1480">
        <f t="shared" si="4"/>
        <v>7.0840336134453827E-2</v>
      </c>
      <c r="Y16" s="1153">
        <f t="shared" si="4"/>
        <v>-3.2362459546630973E-5</v>
      </c>
      <c r="Z16" s="1153">
        <f t="shared" si="4"/>
        <v>8.3253588516749577E-3</v>
      </c>
      <c r="AA16" s="1153">
        <f t="shared" si="4"/>
        <v>2.0449438202247289E-2</v>
      </c>
      <c r="AB16" s="1153">
        <f t="shared" si="4"/>
        <v>8.7271581600504078E-2</v>
      </c>
      <c r="AC16" s="1398">
        <f t="shared" si="4"/>
        <v>4.1036717062635009E-2</v>
      </c>
      <c r="AD16" s="1153">
        <v>0.06</v>
      </c>
      <c r="AE16" s="1153">
        <v>0.09</v>
      </c>
      <c r="AF16" s="1153">
        <v>0.06</v>
      </c>
      <c r="AG16" s="1630">
        <v>0.05</v>
      </c>
      <c r="AH16" s="1398">
        <f>AH13-AH14-AH15</f>
        <v>6.4221173297370079E-2</v>
      </c>
      <c r="AI16" s="1153">
        <v>7.0000000000000007E-2</v>
      </c>
      <c r="AJ16" s="1153">
        <v>0.02</v>
      </c>
      <c r="AK16" s="1888">
        <v>0</v>
      </c>
      <c r="AL16" s="1888">
        <v>0.04</v>
      </c>
      <c r="AM16" s="1398">
        <f>SUMPRODUCT(AI16:AL16,AD12:AG12)/AH12</f>
        <v>3.2218079493492792E-2</v>
      </c>
      <c r="AN16" s="1888">
        <v>-0.01</v>
      </c>
      <c r="AO16" s="1888">
        <v>0.02</v>
      </c>
      <c r="AP16" s="1888">
        <v>0.06</v>
      </c>
      <c r="AQ16" s="1888">
        <v>0</v>
      </c>
      <c r="AR16" s="1398">
        <f>AR13-AR14-AR15</f>
        <v>1.735348375195131E-2</v>
      </c>
      <c r="AS16" s="1888">
        <v>0.05</v>
      </c>
      <c r="AT16" s="1153">
        <v>-0.01</v>
      </c>
      <c r="AU16" s="1153">
        <v>0</v>
      </c>
      <c r="AV16" s="1153">
        <f>(AW16*AR12-SUMPRODUCT(AS16:AU16,AN12:AP12))/AQ12</f>
        <v>4.0003472276265245E-2</v>
      </c>
      <c r="AW16" s="1398">
        <f>AW13-AW14-AW15</f>
        <v>1.9496888575872961E-2</v>
      </c>
      <c r="AX16" s="2215">
        <v>0.04</v>
      </c>
      <c r="AY16" s="2215">
        <v>0.06</v>
      </c>
      <c r="AZ16" s="2215">
        <f>AY16</f>
        <v>0.06</v>
      </c>
      <c r="BA16" s="2215">
        <f>(BB16*AW12-SUMPRODUCT(AX16:AZ16,AS12:AU12))/AV12</f>
        <v>4.3484739693599568E-2</v>
      </c>
      <c r="BB16" s="1398">
        <f>BB13-BB14-BB15</f>
        <v>5.0839397978299915E-2</v>
      </c>
      <c r="BC16" s="1398">
        <f>BC13-BC14-BC15</f>
        <v>5.0670901433290894E-2</v>
      </c>
      <c r="BD16" s="1398">
        <f>BD13-BD14-BD15</f>
        <v>4.5831587736057999E-2</v>
      </c>
      <c r="BE16" s="1398">
        <f>BE13-BE14-BE15</f>
        <v>4.7633901998431094E-2</v>
      </c>
      <c r="BF16" s="1153"/>
      <c r="BG16" s="1178" t="s">
        <v>1215</v>
      </c>
      <c r="BH16" s="1178" t="s">
        <v>1316</v>
      </c>
    </row>
    <row r="17" spans="1:60" s="1178" customFormat="1" ht="12" customHeight="1">
      <c r="A17" s="1467"/>
      <c r="B17" s="1467"/>
      <c r="C17" s="1466"/>
      <c r="D17" s="1442"/>
      <c r="E17" s="1467"/>
      <c r="F17" s="1467"/>
      <c r="G17" s="1467"/>
      <c r="H17" s="1467"/>
      <c r="I17" s="1467"/>
      <c r="J17" s="1467"/>
      <c r="K17" s="1467"/>
      <c r="L17" s="1467"/>
      <c r="M17" s="1467"/>
      <c r="N17" s="1628"/>
      <c r="O17" s="1467"/>
      <c r="P17" s="1467"/>
      <c r="Q17" s="1467"/>
      <c r="R17" s="1467"/>
      <c r="S17" s="1628"/>
      <c r="T17" s="1467"/>
      <c r="U17" s="1467"/>
      <c r="V17" s="1467"/>
      <c r="W17" s="1467"/>
      <c r="X17" s="1628"/>
      <c r="Y17" s="1467"/>
      <c r="Z17" s="1467"/>
      <c r="AA17" s="1467"/>
      <c r="AB17" s="1467"/>
      <c r="AC17" s="1628"/>
      <c r="AD17" s="1467"/>
      <c r="AE17" s="1467"/>
      <c r="AF17" s="1467"/>
      <c r="AG17" s="1467"/>
      <c r="AH17" s="1628"/>
      <c r="AI17" s="1476"/>
      <c r="AJ17" s="1476"/>
      <c r="AK17" s="1476"/>
      <c r="AL17" s="1476"/>
      <c r="AM17" s="1628"/>
      <c r="AN17" s="1476"/>
      <c r="AO17" s="1476"/>
      <c r="AP17" s="1476"/>
      <c r="AQ17" s="1476"/>
      <c r="AR17" s="1628"/>
      <c r="AS17" s="1476"/>
      <c r="AT17" s="1476"/>
      <c r="AU17" s="1476"/>
      <c r="AV17" s="1476"/>
      <c r="AW17" s="1628"/>
      <c r="AX17" s="1476"/>
      <c r="AY17" s="1476"/>
      <c r="AZ17" s="1476"/>
      <c r="BA17" s="1476"/>
      <c r="BB17" s="1628"/>
      <c r="BC17" s="1628"/>
      <c r="BD17" s="1628"/>
      <c r="BE17" s="1628"/>
      <c r="BF17" s="1467"/>
      <c r="BG17" s="1178" t="s">
        <v>1157</v>
      </c>
      <c r="BH17" s="1178" t="s">
        <v>997</v>
      </c>
    </row>
    <row r="18" spans="1:60" s="1178" customFormat="1" ht="12" customHeight="1">
      <c r="A18" s="1467"/>
      <c r="B18" s="1467"/>
      <c r="C18" s="1466" t="s">
        <v>1015</v>
      </c>
      <c r="D18" s="1440"/>
      <c r="E18" s="1467"/>
      <c r="F18" s="1467"/>
      <c r="G18" s="1467"/>
      <c r="H18" s="1467"/>
      <c r="I18" s="1467"/>
      <c r="J18" s="1467"/>
      <c r="K18" s="1467"/>
      <c r="L18" s="1467"/>
      <c r="M18" s="1467"/>
      <c r="N18" s="1429">
        <f>N12-N22</f>
        <v>3521</v>
      </c>
      <c r="O18" s="1469">
        <f>O12-O22</f>
        <v>921</v>
      </c>
      <c r="P18" s="1469">
        <f>P12-P22</f>
        <v>941</v>
      </c>
      <c r="Q18" s="1469">
        <f>Q12-Q22</f>
        <v>939</v>
      </c>
      <c r="R18" s="1469">
        <f>R12-R22</f>
        <v>1017</v>
      </c>
      <c r="S18" s="1429">
        <f>SUM(O18:R18)</f>
        <v>3818</v>
      </c>
      <c r="T18" s="1469">
        <f>T12-T22</f>
        <v>993</v>
      </c>
      <c r="U18" s="1469">
        <f>U12-U22</f>
        <v>997</v>
      </c>
      <c r="V18" s="1469">
        <f>V12-V22</f>
        <v>2204</v>
      </c>
      <c r="W18" s="1469">
        <f>W12-W22</f>
        <v>2669</v>
      </c>
      <c r="X18" s="1429">
        <f>SUM(T18:W18)</f>
        <v>6863</v>
      </c>
      <c r="Y18" s="1469">
        <f t="shared" ref="Y18:BB18" si="5">Y12-Y22</f>
        <v>2563.75</v>
      </c>
      <c r="Z18" s="1469">
        <f t="shared" si="5"/>
        <v>2598.75</v>
      </c>
      <c r="AA18" s="1469">
        <f t="shared" si="5"/>
        <v>2596.75</v>
      </c>
      <c r="AB18" s="1469">
        <f t="shared" si="5"/>
        <v>2716.75</v>
      </c>
      <c r="AC18" s="1429">
        <f t="shared" si="5"/>
        <v>10476</v>
      </c>
      <c r="AD18" s="1469">
        <f t="shared" si="5"/>
        <v>2652.25</v>
      </c>
      <c r="AE18" s="1469">
        <f t="shared" si="5"/>
        <v>2828.25</v>
      </c>
      <c r="AF18" s="1469">
        <f t="shared" si="5"/>
        <v>2732.25</v>
      </c>
      <c r="AG18" s="1469">
        <f t="shared" si="5"/>
        <v>2758.25</v>
      </c>
      <c r="AH18" s="1429">
        <f t="shared" si="5"/>
        <v>10971</v>
      </c>
      <c r="AI18" s="1469">
        <f t="shared" si="5"/>
        <v>2730</v>
      </c>
      <c r="AJ18" s="1469">
        <f t="shared" si="5"/>
        <v>2853</v>
      </c>
      <c r="AK18" s="1469">
        <f t="shared" si="5"/>
        <v>2672</v>
      </c>
      <c r="AL18" s="1469">
        <f t="shared" si="5"/>
        <v>2688</v>
      </c>
      <c r="AM18" s="1429">
        <f t="shared" si="5"/>
        <v>10943</v>
      </c>
      <c r="AN18" s="1469">
        <f t="shared" si="5"/>
        <v>2752.25</v>
      </c>
      <c r="AO18" s="1469">
        <f t="shared" si="5"/>
        <v>2924.25</v>
      </c>
      <c r="AP18" s="1469">
        <f t="shared" si="5"/>
        <v>2822.25</v>
      </c>
      <c r="AQ18" s="1469">
        <f t="shared" si="5"/>
        <v>2801.25</v>
      </c>
      <c r="AR18" s="1429">
        <f t="shared" si="5"/>
        <v>11311</v>
      </c>
      <c r="AS18" s="1469">
        <f>AS12-AS22</f>
        <v>2813</v>
      </c>
      <c r="AT18" s="1469">
        <f>AT12-AT22</f>
        <v>2838</v>
      </c>
      <c r="AU18" s="1469">
        <f>AU12-AU22</f>
        <v>2805</v>
      </c>
      <c r="AV18" s="1469">
        <f>AV12-AV22</f>
        <v>2966.1989057381275</v>
      </c>
      <c r="AW18" s="1429">
        <f t="shared" si="5"/>
        <v>11422.198905738127</v>
      </c>
      <c r="AX18" s="1469">
        <f>AX12-AX22</f>
        <v>2951.6241912988894</v>
      </c>
      <c r="AY18" s="1469">
        <f>AY12-AY22</f>
        <v>3037.797484444186</v>
      </c>
      <c r="AZ18" s="1469">
        <f>AZ12-AZ22</f>
        <v>3004.6328161877764</v>
      </c>
      <c r="BA18" s="1469">
        <f>BA12-BA22</f>
        <v>3106.3303236823112</v>
      </c>
      <c r="BB18" s="1429">
        <f t="shared" si="5"/>
        <v>12100.384815613164</v>
      </c>
      <c r="BC18" s="1429">
        <f>BC12-BC22</f>
        <v>12753.413095913234</v>
      </c>
      <c r="BD18" s="1429">
        <f>BD12-BD22</f>
        <v>13353.679638531181</v>
      </c>
      <c r="BE18" s="1429">
        <f>BE12-BE22</f>
        <v>14095.536875941489</v>
      </c>
      <c r="BF18" s="1469"/>
    </row>
    <row r="19" spans="1:60" s="1178" customFormat="1" ht="12" customHeight="1">
      <c r="A19" s="1467"/>
      <c r="B19" s="1467"/>
      <c r="C19" s="1466"/>
      <c r="D19" s="1393" t="s">
        <v>282</v>
      </c>
      <c r="E19" s="1465"/>
      <c r="F19" s="1465"/>
      <c r="G19" s="1465"/>
      <c r="H19" s="1465"/>
      <c r="I19" s="1465"/>
      <c r="J19" s="1465"/>
      <c r="K19" s="1465"/>
      <c r="L19" s="1465"/>
      <c r="M19" s="1465"/>
      <c r="N19" s="1398"/>
      <c r="O19" s="1153">
        <v>-0.13113207547169814</v>
      </c>
      <c r="P19" s="1153">
        <v>-0.14220601640838648</v>
      </c>
      <c r="Q19" s="1153">
        <v>-0.16160714285714284</v>
      </c>
      <c r="R19" s="1153">
        <v>-0.13520408163265307</v>
      </c>
      <c r="S19" s="1398">
        <v>-0.14260049404895581</v>
      </c>
      <c r="T19" s="1153">
        <f>IF(ISERROR(T18/O18-1),"-",T18/O18-1)</f>
        <v>7.8175895765472347E-2</v>
      </c>
      <c r="U19" s="1153">
        <f>IF(ISERROR(U18/P18-1),"-",U18/P18-1)</f>
        <v>5.951115834218923E-2</v>
      </c>
      <c r="V19" s="1153">
        <f>IF(ISERROR(V18/Q18-1),"-",V18/Q18-1)</f>
        <v>1.347177848775293</v>
      </c>
      <c r="W19" s="1153">
        <f>IF(ISERROR(W18/R18-1),"-",W18/R18-1)</f>
        <v>1.6243854473942969</v>
      </c>
      <c r="X19" s="1398">
        <v>0.569403155728333</v>
      </c>
      <c r="Y19" s="1153">
        <f t="shared" ref="Y19:AR19" si="6">IF(ISERROR(Y18/T18-1),"-",Y18/T18-1)</f>
        <v>1.5818227593152066</v>
      </c>
      <c r="Z19" s="1153">
        <f t="shared" si="6"/>
        <v>1.6065697091273821</v>
      </c>
      <c r="AA19" s="1153">
        <f t="shared" si="6"/>
        <v>0.1781987295825771</v>
      </c>
      <c r="AB19" s="1153">
        <f t="shared" si="6"/>
        <v>1.7890595728737413E-2</v>
      </c>
      <c r="AC19" s="1398">
        <f t="shared" si="6"/>
        <v>0.52644616057117877</v>
      </c>
      <c r="AD19" s="1153">
        <f t="shared" si="6"/>
        <v>3.4519746465139001E-2</v>
      </c>
      <c r="AE19" s="1153">
        <f t="shared" si="6"/>
        <v>8.8311688311688341E-2</v>
      </c>
      <c r="AF19" s="1153">
        <f t="shared" si="6"/>
        <v>5.2180610378357528E-2</v>
      </c>
      <c r="AG19" s="1153">
        <f t="shared" si="6"/>
        <v>1.5275605042790019E-2</v>
      </c>
      <c r="AH19" s="1398">
        <f t="shared" si="6"/>
        <v>4.7250859106529264E-2</v>
      </c>
      <c r="AI19" s="1153">
        <f t="shared" si="6"/>
        <v>2.9314732774059715E-2</v>
      </c>
      <c r="AJ19" s="1153">
        <f t="shared" si="6"/>
        <v>8.7509944311854326E-3</v>
      </c>
      <c r="AK19" s="1153">
        <f t="shared" si="6"/>
        <v>-2.205142282002015E-2</v>
      </c>
      <c r="AL19" s="1153">
        <f t="shared" si="6"/>
        <v>-2.5469047403244849E-2</v>
      </c>
      <c r="AM19" s="1398">
        <f t="shared" si="6"/>
        <v>-2.5521830279828794E-3</v>
      </c>
      <c r="AN19" s="1153">
        <f t="shared" si="6"/>
        <v>8.1501831501831212E-3</v>
      </c>
      <c r="AO19" s="1153">
        <f t="shared" si="6"/>
        <v>2.4973711882229299E-2</v>
      </c>
      <c r="AP19" s="1153">
        <f t="shared" si="6"/>
        <v>5.6231287425149601E-2</v>
      </c>
      <c r="AQ19" s="1153">
        <f t="shared" si="6"/>
        <v>4.2131696428571397E-2</v>
      </c>
      <c r="AR19" s="1398">
        <f t="shared" si="6"/>
        <v>3.3628803801516893E-2</v>
      </c>
      <c r="AS19" s="1153">
        <f t="shared" ref="AS19:BB19" si="7">IF(ISERROR(AS18/AN18-1),"-",AS18/AN18-1)</f>
        <v>2.2072849486783452E-2</v>
      </c>
      <c r="AT19" s="1153">
        <f t="shared" si="7"/>
        <v>-2.9494742241600425E-2</v>
      </c>
      <c r="AU19" s="1153">
        <f t="shared" si="7"/>
        <v>-6.112144565506239E-3</v>
      </c>
      <c r="AV19" s="1153">
        <f t="shared" si="7"/>
        <v>5.8884035961848324E-2</v>
      </c>
      <c r="AW19" s="1398">
        <f t="shared" si="7"/>
        <v>9.8310410872715082E-3</v>
      </c>
      <c r="AX19" s="2215">
        <f t="shared" si="7"/>
        <v>4.9279840490184634E-2</v>
      </c>
      <c r="AY19" s="2215">
        <f t="shared" si="7"/>
        <v>7.0400804948620888E-2</v>
      </c>
      <c r="AZ19" s="2215">
        <f t="shared" si="7"/>
        <v>7.1170344451970236E-2</v>
      </c>
      <c r="BA19" s="2215">
        <f t="shared" si="7"/>
        <v>4.7242758290112929E-2</v>
      </c>
      <c r="BB19" s="1398">
        <f t="shared" si="7"/>
        <v>5.9374374012550302E-2</v>
      </c>
      <c r="BC19" s="1398">
        <f>IF(ISERROR(BC18/BB18-1),"-",BC18/BB18-1)</f>
        <v>5.3967563036298349E-2</v>
      </c>
      <c r="BD19" s="1398">
        <f>IF(ISERROR(BD18/BC18-1),"-",BD18/BC18-1)</f>
        <v>4.7067129254230622E-2</v>
      </c>
      <c r="BE19" s="1398">
        <f>IF(ISERROR(BE18/BD18-1),"-",BE18/BD18-1)</f>
        <v>5.5554518117218121E-2</v>
      </c>
      <c r="BF19" s="1153"/>
    </row>
    <row r="20" spans="1:60" s="1178" customFormat="1" ht="12" customHeight="1">
      <c r="A20" s="1467"/>
      <c r="B20" s="1467"/>
      <c r="C20" s="1466"/>
      <c r="D20" s="1393" t="s">
        <v>1014</v>
      </c>
      <c r="E20" s="1465"/>
      <c r="F20" s="1465"/>
      <c r="G20" s="1465"/>
      <c r="H20" s="1465"/>
      <c r="I20" s="1465"/>
      <c r="J20" s="1465"/>
      <c r="K20" s="1465"/>
      <c r="L20" s="1465"/>
      <c r="M20" s="1465"/>
      <c r="N20" s="1461"/>
      <c r="O20" s="1463">
        <f t="shared" ref="O20:AW20" si="8">O19/O13</f>
        <v>0.92489963869931735</v>
      </c>
      <c r="P20" s="1463">
        <f t="shared" si="8"/>
        <v>0.94279854147675468</v>
      </c>
      <c r="Q20" s="1463">
        <f t="shared" si="8"/>
        <v>0.98490190067443273</v>
      </c>
      <c r="R20" s="1463">
        <f t="shared" si="8"/>
        <v>0.91556005964029474</v>
      </c>
      <c r="S20" s="1461">
        <f t="shared" si="8"/>
        <v>0.94304666347469801</v>
      </c>
      <c r="T20" s="1463">
        <f t="shared" si="8"/>
        <v>0.90779764674599595</v>
      </c>
      <c r="U20" s="1463">
        <f t="shared" si="8"/>
        <v>0.83960923396028497</v>
      </c>
      <c r="V20" s="1463">
        <f t="shared" si="8"/>
        <v>1.0782873273744253</v>
      </c>
      <c r="W20" s="1463">
        <f t="shared" si="8"/>
        <v>1.0749859714693148</v>
      </c>
      <c r="X20" s="1461">
        <f t="shared" si="8"/>
        <v>0.75835451070701321</v>
      </c>
      <c r="Y20" s="1463">
        <f t="shared" si="8"/>
        <v>0.96454510632145785</v>
      </c>
      <c r="Z20" s="1463">
        <f t="shared" si="8"/>
        <v>0.97466783514549438</v>
      </c>
      <c r="AA20" s="1463">
        <f t="shared" si="8"/>
        <v>0.74110686602099796</v>
      </c>
      <c r="AB20" s="1463">
        <f t="shared" si="8"/>
        <v>0.20499910051629083</v>
      </c>
      <c r="AC20" s="1461">
        <f t="shared" si="8"/>
        <v>0.87520492762820734</v>
      </c>
      <c r="AD20" s="1463">
        <f t="shared" si="8"/>
        <v>0.60234188618047446</v>
      </c>
      <c r="AE20" s="1463">
        <f t="shared" si="8"/>
        <v>0.93105751391465752</v>
      </c>
      <c r="AF20" s="1463">
        <f t="shared" si="8"/>
        <v>0.77498736131443979</v>
      </c>
      <c r="AG20" s="1463">
        <f t="shared" si="8"/>
        <v>0.36864414687180652</v>
      </c>
      <c r="AH20" s="1461">
        <f t="shared" si="8"/>
        <v>0.72656361347332621</v>
      </c>
      <c r="AI20" s="1463">
        <f t="shared" si="8"/>
        <v>1.0319982456174073</v>
      </c>
      <c r="AJ20" s="1463">
        <f t="shared" si="8"/>
        <v>-7.9546539379477297</v>
      </c>
      <c r="AK20" s="1463">
        <f t="shared" si="8"/>
        <v>0.99938179062526988</v>
      </c>
      <c r="AL20" s="1463">
        <f t="shared" si="8"/>
        <v>0.66814420706030586</v>
      </c>
      <c r="AM20" s="1461">
        <f t="shared" si="8"/>
        <v>0.29982877473369185</v>
      </c>
      <c r="AN20" s="1463">
        <f t="shared" si="8"/>
        <v>-0.67248487946162083</v>
      </c>
      <c r="AO20" s="1463">
        <f t="shared" si="8"/>
        <v>1.0798157328125857</v>
      </c>
      <c r="AP20" s="1463">
        <f t="shared" si="8"/>
        <v>1.0285267758134522</v>
      </c>
      <c r="AQ20" s="1463">
        <f t="shared" si="8"/>
        <v>1.0329735783941238</v>
      </c>
      <c r="AR20" s="1461">
        <f t="shared" si="8"/>
        <v>1.2775319697535792</v>
      </c>
      <c r="AS20" s="1463">
        <f>AS19/AS13</f>
        <v>0.72986167406769842</v>
      </c>
      <c r="AT20" s="1463">
        <f>AT19/AT13</f>
        <v>1.4421376601287785</v>
      </c>
      <c r="AU20" s="1463">
        <f>AU19/AU13</f>
        <v>2.4760976762039619</v>
      </c>
      <c r="AV20" s="1463">
        <f>AV19/AV13</f>
        <v>1.4719731216128766</v>
      </c>
      <c r="AW20" s="1461">
        <f t="shared" si="8"/>
        <v>0.86220735844833529</v>
      </c>
      <c r="AX20" s="1463">
        <f>AX19/AX13</f>
        <v>1.0857120842126702</v>
      </c>
      <c r="AY20" s="1463">
        <f>AY19/AY13</f>
        <v>1.0766390990619477</v>
      </c>
      <c r="AZ20" s="1463">
        <f>AZ19/AZ13</f>
        <v>1.0884076621939074</v>
      </c>
      <c r="BA20" s="1463">
        <f>BA19/BA13</f>
        <v>1.0864215497894885</v>
      </c>
      <c r="BB20" s="1461">
        <f>IF(ISERROR(BB19/BB13),"-",BB19/BB13)</f>
        <v>1.0824793542978735</v>
      </c>
      <c r="BC20" s="1461">
        <f>IF(ISERROR(BC19/BC13),"-",BC19/BC13)</f>
        <v>1.0650602517373322</v>
      </c>
      <c r="BD20" s="1461">
        <f>IF(ISERROR(BD19/BD13),"-",BD19/BD13)</f>
        <v>1.0269582962145682</v>
      </c>
      <c r="BE20" s="1461">
        <f>IF(ISERROR(BE19/BE13),"-",BE19/BE13)</f>
        <v>1.1662810684509513</v>
      </c>
      <c r="BF20" s="1463"/>
    </row>
    <row r="21" spans="1:60" s="1178" customFormat="1" ht="12" customHeight="1">
      <c r="A21" s="1452"/>
      <c r="B21" s="1452"/>
      <c r="C21" s="1396"/>
      <c r="D21" s="1396"/>
      <c r="E21" s="1458"/>
      <c r="F21" s="1458"/>
      <c r="G21" s="1458"/>
      <c r="H21" s="1458"/>
      <c r="I21" s="1458"/>
      <c r="J21" s="1458"/>
      <c r="K21" s="1458"/>
      <c r="L21" s="1458"/>
      <c r="M21" s="1458"/>
      <c r="N21" s="1454"/>
      <c r="O21" s="1456"/>
      <c r="P21" s="1456"/>
      <c r="Q21" s="1456"/>
      <c r="R21" s="1456"/>
      <c r="S21" s="1454"/>
      <c r="T21" s="1456"/>
      <c r="U21" s="1456"/>
      <c r="V21" s="1456"/>
      <c r="W21" s="1456"/>
      <c r="X21" s="1454"/>
      <c r="Y21" s="1456"/>
      <c r="Z21" s="1456"/>
      <c r="AA21" s="1456"/>
      <c r="AB21" s="1456"/>
      <c r="AC21" s="1454"/>
      <c r="AD21" s="1456"/>
      <c r="AE21" s="1456"/>
      <c r="AF21" s="1456"/>
      <c r="AG21" s="1456"/>
      <c r="AH21" s="1454"/>
      <c r="AI21" s="1456"/>
      <c r="AJ21" s="1456"/>
      <c r="AK21" s="1456"/>
      <c r="AL21" s="1456"/>
      <c r="AM21" s="1454"/>
      <c r="AN21" s="1456"/>
      <c r="AO21" s="1456"/>
      <c r="AP21" s="1456"/>
      <c r="AQ21" s="1456"/>
      <c r="AR21" s="1454"/>
      <c r="AS21" s="1456"/>
      <c r="AT21" s="1456"/>
      <c r="AU21" s="1456"/>
      <c r="AV21" s="1456"/>
      <c r="AW21" s="1454"/>
      <c r="AX21" s="1456"/>
      <c r="AY21" s="1456"/>
      <c r="AZ21" s="1456"/>
      <c r="BA21" s="1456"/>
      <c r="BB21" s="1454"/>
      <c r="BC21" s="1454"/>
      <c r="BD21" s="1454"/>
      <c r="BE21" s="1454"/>
      <c r="BF21" s="1456"/>
    </row>
    <row r="22" spans="1:60" s="1178" customFormat="1" ht="12" customHeight="1" thickBot="1">
      <c r="A22" s="1186"/>
      <c r="B22" s="1186"/>
      <c r="C22" s="1409" t="s">
        <v>1013</v>
      </c>
      <c r="D22" s="1408"/>
      <c r="E22" s="1407"/>
      <c r="F22" s="1407"/>
      <c r="G22" s="1407"/>
      <c r="H22" s="1407"/>
      <c r="I22" s="1407"/>
      <c r="J22" s="1407"/>
      <c r="K22" s="1407"/>
      <c r="L22" s="1407"/>
      <c r="M22" s="1407"/>
      <c r="N22" s="1400">
        <f>N29+N27+N26-N33</f>
        <v>878</v>
      </c>
      <c r="O22" s="1403">
        <f>O29+O27+O26-O33</f>
        <v>217</v>
      </c>
      <c r="P22" s="1403">
        <f>P29+P27+P26-P33</f>
        <v>230</v>
      </c>
      <c r="Q22" s="1403">
        <f>Q29+Q27+Q26-Q33</f>
        <v>248</v>
      </c>
      <c r="R22" s="1403">
        <f>R29+R27+R26-R33</f>
        <v>247</v>
      </c>
      <c r="S22" s="1400">
        <f>SUM(O22:R22)</f>
        <v>942</v>
      </c>
      <c r="T22" s="1403">
        <f>T29+T27+T26-T33</f>
        <v>243</v>
      </c>
      <c r="U22" s="1403">
        <f>U29+U27+U26-U33</f>
        <v>257</v>
      </c>
      <c r="V22" s="1403">
        <f>V29+V27+V26-V33</f>
        <v>466</v>
      </c>
      <c r="W22" s="1403">
        <f>W29+W27+W26-W33</f>
        <v>505</v>
      </c>
      <c r="X22" s="1400">
        <f>SUM(T22:W22)</f>
        <v>1471</v>
      </c>
      <c r="Y22" s="1403">
        <f>Y29+Y27+Y26-Y33</f>
        <v>699.25</v>
      </c>
      <c r="Z22" s="1403">
        <f>Z29+Z27+Z26-Z33</f>
        <v>722.25</v>
      </c>
      <c r="AA22" s="1403">
        <f>AA29+AA27+AA26-AA33</f>
        <v>715.25</v>
      </c>
      <c r="AB22" s="1403">
        <f>AB29+AB27+AB26-AB33</f>
        <v>734.25</v>
      </c>
      <c r="AC22" s="1400">
        <f>SUM(Y22:AB22)</f>
        <v>2871</v>
      </c>
      <c r="AD22" s="1403">
        <f>AD29+AD27+AD26-AD33</f>
        <v>797.75</v>
      </c>
      <c r="AE22" s="1403">
        <f>AE29+AE27+AE26-AE33</f>
        <v>807.75</v>
      </c>
      <c r="AF22" s="1403">
        <f>AF29+AF27+AF26-AF33</f>
        <v>802.75</v>
      </c>
      <c r="AG22" s="1403">
        <f>AG29+AG27+AG26-AG33</f>
        <v>835.75</v>
      </c>
      <c r="AH22" s="1400">
        <f>SUM(AD22:AG22)</f>
        <v>3244</v>
      </c>
      <c r="AI22" s="1403">
        <f t="shared" ref="AI22:AO22" si="9">AI29+AI27+AI26-AI33</f>
        <v>818</v>
      </c>
      <c r="AJ22" s="1403">
        <f t="shared" si="9"/>
        <v>779</v>
      </c>
      <c r="AK22" s="1403">
        <f t="shared" si="9"/>
        <v>785</v>
      </c>
      <c r="AL22" s="1403">
        <f t="shared" si="9"/>
        <v>769</v>
      </c>
      <c r="AM22" s="1400">
        <f t="shared" si="9"/>
        <v>3151</v>
      </c>
      <c r="AN22" s="1403">
        <f t="shared" si="9"/>
        <v>752.75</v>
      </c>
      <c r="AO22" s="1403">
        <f t="shared" si="9"/>
        <v>791.75</v>
      </c>
      <c r="AP22" s="1403">
        <f>AP29+AP27+AP26-CCS!CJ33</f>
        <v>823.75</v>
      </c>
      <c r="AQ22" s="1403">
        <f t="shared" ref="AQ22:BC22" si="10">AQ29+AQ27+AQ26-AQ33</f>
        <v>796.75</v>
      </c>
      <c r="AR22" s="1400">
        <f t="shared" si="10"/>
        <v>3154</v>
      </c>
      <c r="AS22" s="1403">
        <f t="shared" si="10"/>
        <v>798</v>
      </c>
      <c r="AT22" s="1403">
        <f t="shared" si="10"/>
        <v>802</v>
      </c>
      <c r="AU22" s="1403">
        <f t="shared" si="10"/>
        <v>832</v>
      </c>
      <c r="AV22" s="1403">
        <f t="shared" si="10"/>
        <v>775.7335875118747</v>
      </c>
      <c r="AW22" s="1400">
        <f t="shared" si="10"/>
        <v>3207.7335875118747</v>
      </c>
      <c r="AX22" s="1403">
        <f>AX29+AX27+AX26-AX33</f>
        <v>823.27700000000004</v>
      </c>
      <c r="AY22" s="1403">
        <f>AY29+AY27+AY26-AY33</f>
        <v>840.22</v>
      </c>
      <c r="AZ22" s="1403">
        <f>AZ29+AZ27+AZ26-AZ33</f>
        <v>870.18849999999998</v>
      </c>
      <c r="BA22" s="1403">
        <f>BA29+BA27+BA26-BA33</f>
        <v>798.31912998768951</v>
      </c>
      <c r="BB22" s="1400">
        <f t="shared" si="10"/>
        <v>3332.0046299876894</v>
      </c>
      <c r="BC22" s="1400">
        <f t="shared" si="10"/>
        <v>3460.9494341658178</v>
      </c>
      <c r="BD22" s="1400">
        <f>BD29+BD27+BD26-BD33</f>
        <v>3603.8128704294409</v>
      </c>
      <c r="BE22" s="1400">
        <f>BE29+BE27+BE26-BE33</f>
        <v>3669.7071693300941</v>
      </c>
      <c r="BF22" s="1981"/>
    </row>
    <row r="23" spans="1:60" s="1178" customFormat="1" ht="12" customHeight="1" thickTop="1">
      <c r="A23" s="1156"/>
      <c r="B23" s="1156"/>
      <c r="C23" s="1387"/>
      <c r="D23" s="1393" t="s">
        <v>293</v>
      </c>
      <c r="E23" s="1418"/>
      <c r="F23" s="1418"/>
      <c r="G23" s="1418"/>
      <c r="H23" s="1418"/>
      <c r="I23" s="1418"/>
      <c r="J23" s="1418"/>
      <c r="K23" s="1418"/>
      <c r="L23" s="1418"/>
      <c r="M23" s="1418"/>
      <c r="N23" s="1398">
        <f t="shared" ref="N23:BB23" si="11">IF(ISERROR(N22/N$12),"-",N22/N$12)</f>
        <v>0.19959081609456694</v>
      </c>
      <c r="O23" s="1153">
        <f t="shared" si="11"/>
        <v>0.19068541300527242</v>
      </c>
      <c r="P23" s="1153">
        <f t="shared" si="11"/>
        <v>0.1964133219470538</v>
      </c>
      <c r="Q23" s="1153">
        <f t="shared" si="11"/>
        <v>0.20893007582139847</v>
      </c>
      <c r="R23" s="1153">
        <f t="shared" si="11"/>
        <v>0.19541139240506328</v>
      </c>
      <c r="S23" s="1398">
        <f t="shared" si="11"/>
        <v>0.19789915966386554</v>
      </c>
      <c r="T23" s="1153">
        <f t="shared" si="11"/>
        <v>0.19660194174757281</v>
      </c>
      <c r="U23" s="1153">
        <f t="shared" si="11"/>
        <v>0.20494417862838915</v>
      </c>
      <c r="V23" s="1153">
        <f t="shared" si="11"/>
        <v>0.1745318352059925</v>
      </c>
      <c r="W23" s="1153">
        <f t="shared" si="11"/>
        <v>0.1591052299936988</v>
      </c>
      <c r="X23" s="1398">
        <f t="shared" si="11"/>
        <v>0.17650587952963762</v>
      </c>
      <c r="Y23" s="1153">
        <f t="shared" si="11"/>
        <v>0.21429665951578303</v>
      </c>
      <c r="Z23" s="1153">
        <f t="shared" si="11"/>
        <v>0.21747967479674796</v>
      </c>
      <c r="AA23" s="1153">
        <f t="shared" si="11"/>
        <v>0.21595712560386474</v>
      </c>
      <c r="AB23" s="1153">
        <f t="shared" si="11"/>
        <v>0.21276441611127209</v>
      </c>
      <c r="AC23" s="1398">
        <f t="shared" si="11"/>
        <v>0.21510451786918408</v>
      </c>
      <c r="AD23" s="1153">
        <f t="shared" si="11"/>
        <v>0.23123188405797102</v>
      </c>
      <c r="AE23" s="1153">
        <f t="shared" si="11"/>
        <v>0.22215346534653466</v>
      </c>
      <c r="AF23" s="1153">
        <f t="shared" si="11"/>
        <v>0.22708628005657708</v>
      </c>
      <c r="AG23" s="1153">
        <f t="shared" si="11"/>
        <v>0.2325403450194769</v>
      </c>
      <c r="AH23" s="1398">
        <f t="shared" si="11"/>
        <v>0.2282096377066479</v>
      </c>
      <c r="AI23" s="1153">
        <f t="shared" si="11"/>
        <v>0.23055242390078917</v>
      </c>
      <c r="AJ23" s="1153">
        <f t="shared" si="11"/>
        <v>0.21448237885462554</v>
      </c>
      <c r="AK23" s="1153">
        <f t="shared" si="11"/>
        <v>0.22707549898756146</v>
      </c>
      <c r="AL23" s="1153">
        <f t="shared" si="11"/>
        <v>0.2224472085623373</v>
      </c>
      <c r="AM23" s="1398">
        <f t="shared" si="11"/>
        <v>0.22357031360862778</v>
      </c>
      <c r="AN23" s="1153">
        <f t="shared" si="11"/>
        <v>0.21476462196861626</v>
      </c>
      <c r="AO23" s="1153">
        <f t="shared" si="11"/>
        <v>0.21306512378902046</v>
      </c>
      <c r="AP23" s="1153">
        <f t="shared" si="11"/>
        <v>0.2259325287986835</v>
      </c>
      <c r="AQ23" s="1153">
        <f t="shared" si="11"/>
        <v>0.22144246803779877</v>
      </c>
      <c r="AR23" s="1398">
        <f t="shared" si="11"/>
        <v>0.21804355340477014</v>
      </c>
      <c r="AS23" s="1153">
        <f>IF(ISERROR(AS22/AS$12),"-",AS22/AS$12)</f>
        <v>0.22099141512046525</v>
      </c>
      <c r="AT23" s="1153">
        <f>IF(ISERROR(AT22/AT$12),"-",AT22/AT$12)</f>
        <v>0.22032967032967032</v>
      </c>
      <c r="AU23" s="1153">
        <f>IF(ISERROR(AU22/AU$12),"-",AU22/AU$12)</f>
        <v>0.228759967005774</v>
      </c>
      <c r="AV23" s="1153">
        <f>IF(ISERROR(AV22/AV$12),"-",AV22/AV$12)</f>
        <v>0.20730827958847606</v>
      </c>
      <c r="AW23" s="1398">
        <f t="shared" si="11"/>
        <v>0.21925826308439</v>
      </c>
      <c r="AX23" s="2215">
        <f>IF(ISERROR(AX22/AX$12),"-",AX22/AX$12)</f>
        <v>0.21809233097217101</v>
      </c>
      <c r="AY23" s="2215">
        <f>IF(ISERROR(AY22/AY$12),"-",AY22/AY$12)</f>
        <v>0.21666225161963754</v>
      </c>
      <c r="AZ23" s="2215">
        <f>IF(ISERROR(AZ22/AZ$12),"-",AZ22/AZ$12)</f>
        <v>0.22457512979105074</v>
      </c>
      <c r="BA23" s="2215">
        <f>IF(ISERROR(BA22/BA$12),"-",BA22/BA$12)</f>
        <v>0.2044534700131263</v>
      </c>
      <c r="BB23" s="1398">
        <f t="shared" si="11"/>
        <v>0.21590983312940618</v>
      </c>
      <c r="BC23" s="1398">
        <f>IF(ISERROR(BC22/BC$12),"-",BC22/BC$12)</f>
        <v>0.21344961467004675</v>
      </c>
      <c r="BD23" s="1398">
        <f>IF(ISERROR(BD22/BD$12),"-",BD22/BD$12)</f>
        <v>0.21252038699265979</v>
      </c>
      <c r="BE23" s="1398">
        <f>IF(ISERROR(BE22/BE$12),"-",BE22/BE$12)</f>
        <v>0.20656666240995589</v>
      </c>
      <c r="BF23" s="1153"/>
    </row>
    <row r="24" spans="1:60" s="1178" customFormat="1" ht="12" customHeight="1">
      <c r="A24" s="1156"/>
      <c r="B24" s="1156"/>
      <c r="C24" s="1393"/>
      <c r="D24" s="1393" t="s">
        <v>282</v>
      </c>
      <c r="E24" s="1418"/>
      <c r="F24" s="1418"/>
      <c r="G24" s="1418"/>
      <c r="H24" s="1418"/>
      <c r="I24" s="1418"/>
      <c r="J24" s="1418"/>
      <c r="K24" s="1418"/>
      <c r="L24" s="1418"/>
      <c r="M24" s="1418"/>
      <c r="N24" s="1398"/>
      <c r="O24" s="1153">
        <v>-0.18421052631578949</v>
      </c>
      <c r="P24" s="1153">
        <v>-0.18439716312056742</v>
      </c>
      <c r="Q24" s="1153">
        <v>-0.17333333333333334</v>
      </c>
      <c r="R24" s="1153">
        <v>-0.19543973941368076</v>
      </c>
      <c r="S24" s="1398">
        <v>-0.18441558441558437</v>
      </c>
      <c r="T24" s="1153">
        <f t="shared" ref="T24:AR24" si="12">IF(ISERROR(T22/O22-1),"-",T22/O22-1)</f>
        <v>0.1198156682027649</v>
      </c>
      <c r="U24" s="1153">
        <f t="shared" si="12"/>
        <v>0.11739130434782608</v>
      </c>
      <c r="V24" s="1153">
        <f t="shared" si="12"/>
        <v>0.87903225806451624</v>
      </c>
      <c r="W24" s="1153">
        <f t="shared" si="12"/>
        <v>1.0445344129554655</v>
      </c>
      <c r="X24" s="1398">
        <f t="shared" si="12"/>
        <v>0.56157112526539277</v>
      </c>
      <c r="Y24" s="1153">
        <f t="shared" si="12"/>
        <v>1.8775720164609053</v>
      </c>
      <c r="Z24" s="1153">
        <f t="shared" si="12"/>
        <v>1.8103112840466924</v>
      </c>
      <c r="AA24" s="1153">
        <f t="shared" si="12"/>
        <v>0.53487124463519309</v>
      </c>
      <c r="AB24" s="1153">
        <f t="shared" si="12"/>
        <v>0.45396039603960392</v>
      </c>
      <c r="AC24" s="1398">
        <f t="shared" si="12"/>
        <v>0.95173351461590761</v>
      </c>
      <c r="AD24" s="1153">
        <f t="shared" si="12"/>
        <v>0.14086521272792285</v>
      </c>
      <c r="AE24" s="1153">
        <f t="shared" si="12"/>
        <v>0.11838006230529596</v>
      </c>
      <c r="AF24" s="1153">
        <f t="shared" si="12"/>
        <v>0.1223348479552604</v>
      </c>
      <c r="AG24" s="1153">
        <f t="shared" si="12"/>
        <v>0.13823629553966632</v>
      </c>
      <c r="AH24" s="1398">
        <f t="shared" si="12"/>
        <v>0.12991988854057812</v>
      </c>
      <c r="AI24" s="1153">
        <f t="shared" si="12"/>
        <v>2.5383892196803481E-2</v>
      </c>
      <c r="AJ24" s="1153">
        <f t="shared" si="12"/>
        <v>-3.5592695759826709E-2</v>
      </c>
      <c r="AK24" s="1153">
        <f t="shared" si="12"/>
        <v>-2.2111491747119238E-2</v>
      </c>
      <c r="AL24" s="1153">
        <f t="shared" si="12"/>
        <v>-7.9868381693090074E-2</v>
      </c>
      <c r="AM24" s="1398">
        <f t="shared" si="12"/>
        <v>-2.8668310727496871E-2</v>
      </c>
      <c r="AN24" s="1153">
        <f t="shared" si="12"/>
        <v>-7.9767726161369179E-2</v>
      </c>
      <c r="AO24" s="1153">
        <f t="shared" si="12"/>
        <v>1.6367137355584038E-2</v>
      </c>
      <c r="AP24" s="1153">
        <f t="shared" si="12"/>
        <v>4.9363057324840698E-2</v>
      </c>
      <c r="AQ24" s="1153">
        <f t="shared" si="12"/>
        <v>3.6085825747724343E-2</v>
      </c>
      <c r="AR24" s="1398">
        <f t="shared" si="12"/>
        <v>9.520787051728874E-4</v>
      </c>
      <c r="AS24" s="1153">
        <f t="shared" ref="AS24:BB24" si="13">IF(ISERROR(AS22/AN22-1),"-",AS22/AN22-1)</f>
        <v>6.0112919295914891E-2</v>
      </c>
      <c r="AT24" s="1153">
        <f t="shared" si="13"/>
        <v>1.294600568361215E-2</v>
      </c>
      <c r="AU24" s="1153">
        <f t="shared" si="13"/>
        <v>1.0015174506828428E-2</v>
      </c>
      <c r="AV24" s="1153">
        <f t="shared" si="13"/>
        <v>-2.6377674914496718E-2</v>
      </c>
      <c r="AW24" s="1398">
        <f t="shared" si="13"/>
        <v>1.7036647911184088E-2</v>
      </c>
      <c r="AX24" s="2215">
        <f t="shared" si="13"/>
        <v>3.1675438596491245E-2</v>
      </c>
      <c r="AY24" s="2215">
        <f t="shared" si="13"/>
        <v>4.7655860349127277E-2</v>
      </c>
      <c r="AZ24" s="2215">
        <f t="shared" si="13"/>
        <v>4.5899639423076843E-2</v>
      </c>
      <c r="BA24" s="2215">
        <f t="shared" si="13"/>
        <v>2.9115076154246244E-2</v>
      </c>
      <c r="BB24" s="1398">
        <f t="shared" si="13"/>
        <v>3.8741073435655027E-2</v>
      </c>
      <c r="BC24" s="1398">
        <f>IF(ISERROR(BC22/BB22-1),"-",BC22/BB22-1)</f>
        <v>3.8698867047674224E-2</v>
      </c>
      <c r="BD24" s="1398">
        <f>IF(ISERROR(BD22/BC22-1),"-",BD22/BC22-1)</f>
        <v>4.1278683488785717E-2</v>
      </c>
      <c r="BE24" s="1398">
        <f>IF(ISERROR(BE22/BD22-1),"-",BE22/BD22-1)</f>
        <v>1.8284606129618686E-2</v>
      </c>
      <c r="BF24" s="1153"/>
    </row>
    <row r="25" spans="1:60" s="1178" customFormat="1" ht="12" customHeight="1">
      <c r="A25" s="1156"/>
      <c r="B25" s="1156"/>
      <c r="C25" s="1393"/>
      <c r="D25" s="1393"/>
      <c r="E25" s="1418"/>
      <c r="F25" s="1418"/>
      <c r="G25" s="1418"/>
      <c r="H25" s="1418"/>
      <c r="I25" s="1418"/>
      <c r="J25" s="1418"/>
      <c r="K25" s="1418"/>
      <c r="L25" s="1418"/>
      <c r="M25" s="1418"/>
      <c r="N25" s="1415"/>
      <c r="O25" s="1413"/>
      <c r="P25" s="1413"/>
      <c r="Q25" s="1413"/>
      <c r="R25" s="1413"/>
      <c r="S25" s="1415"/>
      <c r="T25" s="1413"/>
      <c r="U25" s="1413"/>
      <c r="V25" s="1413"/>
      <c r="W25" s="1413"/>
      <c r="X25" s="1415"/>
      <c r="Y25" s="1413"/>
      <c r="Z25" s="1413"/>
      <c r="AA25" s="1413"/>
      <c r="AB25" s="1413"/>
      <c r="AC25" s="1415"/>
      <c r="AD25" s="1413"/>
      <c r="AE25" s="1413"/>
      <c r="AF25" s="1413"/>
      <c r="AG25" s="1413"/>
      <c r="AH25" s="1415"/>
      <c r="AI25" s="1413"/>
      <c r="AJ25" s="1413"/>
      <c r="AK25" s="1413"/>
      <c r="AL25" s="1413"/>
      <c r="AM25" s="1415"/>
      <c r="AN25" s="1413"/>
      <c r="AO25" s="1413"/>
      <c r="AP25" s="1413"/>
      <c r="AQ25" s="1413"/>
      <c r="AR25" s="1415"/>
      <c r="AS25" s="1413"/>
      <c r="AT25" s="1413"/>
      <c r="AU25" s="1413"/>
      <c r="AV25" s="1413"/>
      <c r="AW25" s="1415"/>
      <c r="AX25" s="1413"/>
      <c r="AY25" s="1413"/>
      <c r="AZ25" s="1413"/>
      <c r="BA25" s="1413"/>
      <c r="BB25" s="1415"/>
      <c r="BC25" s="1415"/>
      <c r="BD25" s="1415"/>
      <c r="BE25" s="1415"/>
      <c r="BF25" s="1413"/>
    </row>
    <row r="26" spans="1:60" s="1178" customFormat="1" ht="11.25">
      <c r="A26" s="1452"/>
      <c r="B26" s="1452"/>
      <c r="C26" s="1395" t="s">
        <v>224</v>
      </c>
      <c r="D26" s="1451"/>
      <c r="E26" s="1441"/>
      <c r="F26" s="1441"/>
      <c r="G26" s="1441"/>
      <c r="H26" s="1441"/>
      <c r="I26" s="1441"/>
      <c r="J26" s="1441"/>
      <c r="K26" s="1441"/>
      <c r="L26" s="1441"/>
      <c r="M26" s="1441"/>
      <c r="N26" s="1446">
        <v>172</v>
      </c>
      <c r="O26" s="1448">
        <f>$S$26/4</f>
        <v>43</v>
      </c>
      <c r="P26" s="1448">
        <f>$S$26/4</f>
        <v>43</v>
      </c>
      <c r="Q26" s="1448">
        <f>$S$26/4</f>
        <v>43</v>
      </c>
      <c r="R26" s="1448">
        <f>S26-O26-P26-Q26</f>
        <v>43</v>
      </c>
      <c r="S26" s="1446">
        <v>172</v>
      </c>
      <c r="T26" s="1448">
        <f>R26</f>
        <v>43</v>
      </c>
      <c r="U26" s="1448">
        <f>T26</f>
        <v>43</v>
      </c>
      <c r="V26" s="1448">
        <v>160</v>
      </c>
      <c r="W26" s="1448">
        <f>X26-T26-U26-V26</f>
        <v>166</v>
      </c>
      <c r="X26" s="1446">
        <v>412</v>
      </c>
      <c r="Y26" s="1448">
        <f>AC26/4</f>
        <v>190.25</v>
      </c>
      <c r="Z26" s="1448">
        <f>Y26</f>
        <v>190.25</v>
      </c>
      <c r="AA26" s="1448">
        <f>Z26</f>
        <v>190.25</v>
      </c>
      <c r="AB26" s="1448">
        <f>AA26</f>
        <v>190.25</v>
      </c>
      <c r="AC26" s="1444">
        <v>761</v>
      </c>
      <c r="AD26" s="1448">
        <f>$AH$26/4</f>
        <v>201.75</v>
      </c>
      <c r="AE26" s="1448">
        <f>$AH$26/4</f>
        <v>201.75</v>
      </c>
      <c r="AF26" s="1448">
        <f>$AH$26/4</f>
        <v>201.75</v>
      </c>
      <c r="AG26" s="1448">
        <f>$AH$26/4</f>
        <v>201.75</v>
      </c>
      <c r="AH26" s="1446">
        <v>807</v>
      </c>
      <c r="AI26" s="1448">
        <f>$AM$26/4</f>
        <v>199</v>
      </c>
      <c r="AJ26" s="1448">
        <f>+AI26</f>
        <v>199</v>
      </c>
      <c r="AK26" s="1448">
        <f>+AJ26</f>
        <v>199</v>
      </c>
      <c r="AL26" s="1448">
        <f>+AM26-SUM(AI26:AK26)</f>
        <v>199</v>
      </c>
      <c r="AM26" s="1446">
        <v>796</v>
      </c>
      <c r="AN26" s="1448">
        <f>AR26/4</f>
        <v>201.75</v>
      </c>
      <c r="AO26" s="1448">
        <f>+AN26</f>
        <v>201.75</v>
      </c>
      <c r="AP26" s="1448">
        <f>+AO26</f>
        <v>201.75</v>
      </c>
      <c r="AQ26" s="1448">
        <f>+AR26-SUM(AN26:AP26)</f>
        <v>201.75</v>
      </c>
      <c r="AR26" s="1446">
        <v>807</v>
      </c>
      <c r="AS26" s="1448">
        <f>$AM$26/4</f>
        <v>199</v>
      </c>
      <c r="AT26" s="1448">
        <f>+AS26</f>
        <v>199</v>
      </c>
      <c r="AU26" s="1448">
        <f>+AT26</f>
        <v>199</v>
      </c>
      <c r="AV26" s="1448">
        <f>+AW26-SUM(AS26:AU26)</f>
        <v>176.11578397840003</v>
      </c>
      <c r="AW26" s="1446">
        <f>AR26*0.9+AW41/10</f>
        <v>773.11578397840003</v>
      </c>
      <c r="AX26" s="1448">
        <f>$AM$26/4</f>
        <v>199</v>
      </c>
      <c r="AY26" s="1448">
        <f>+AX26</f>
        <v>199</v>
      </c>
      <c r="AZ26" s="1448">
        <f>+AY26</f>
        <v>199</v>
      </c>
      <c r="BA26" s="1448">
        <f>+BB26-SUM(AX26:AZ26)</f>
        <v>149.73109075104287</v>
      </c>
      <c r="BB26" s="1446">
        <f>AW26*0.9+BB41/10</f>
        <v>746.73109075104287</v>
      </c>
      <c r="BC26" s="1446">
        <f>BB26*0.9+BC41/10</f>
        <v>720.70106926617575</v>
      </c>
      <c r="BD26" s="1446">
        <f>BC26*0.9+BD41/10</f>
        <v>699.50343986644009</v>
      </c>
      <c r="BE26" s="1446">
        <f>BD26*0.9+BE41/10</f>
        <v>682.84882801561082</v>
      </c>
      <c r="BF26" s="1448"/>
    </row>
    <row r="27" spans="1:60" s="1178" customFormat="1" ht="11.25">
      <c r="A27" s="1452"/>
      <c r="B27" s="1452"/>
      <c r="C27" s="1395" t="s">
        <v>250</v>
      </c>
      <c r="D27" s="1451"/>
      <c r="E27" s="1441"/>
      <c r="F27" s="1441"/>
      <c r="G27" s="1441"/>
      <c r="H27" s="1441"/>
      <c r="I27" s="1441"/>
      <c r="J27" s="1441"/>
      <c r="K27" s="1441"/>
      <c r="L27" s="1441"/>
      <c r="M27" s="1441"/>
      <c r="N27" s="1446">
        <v>24</v>
      </c>
      <c r="O27" s="1448">
        <v>2</v>
      </c>
      <c r="P27" s="1448">
        <v>2</v>
      </c>
      <c r="Q27" s="1448">
        <v>1</v>
      </c>
      <c r="R27" s="1448">
        <v>6</v>
      </c>
      <c r="S27" s="1446">
        <f>SUM(O27:R27)</f>
        <v>11</v>
      </c>
      <c r="T27" s="1448">
        <v>2</v>
      </c>
      <c r="U27" s="1448">
        <v>3</v>
      </c>
      <c r="V27" s="1448">
        <v>35</v>
      </c>
      <c r="W27" s="1448">
        <v>75</v>
      </c>
      <c r="X27" s="1446">
        <f>SUM(T27:W27)</f>
        <v>115</v>
      </c>
      <c r="Y27" s="1448">
        <v>8</v>
      </c>
      <c r="Z27" s="1448">
        <v>33</v>
      </c>
      <c r="AA27" s="1448">
        <v>24</v>
      </c>
      <c r="AB27" s="1448">
        <v>27</v>
      </c>
      <c r="AC27" s="1446">
        <f>SUM(Y27:AB27)</f>
        <v>92</v>
      </c>
      <c r="AD27" s="1448">
        <v>6</v>
      </c>
      <c r="AE27" s="1448">
        <v>4</v>
      </c>
      <c r="AF27" s="1448">
        <v>26</v>
      </c>
      <c r="AG27" s="1447">
        <v>46</v>
      </c>
      <c r="AH27" s="1446">
        <f>SUM(AD27:AG27)</f>
        <v>82</v>
      </c>
      <c r="AI27" s="1448">
        <v>50</v>
      </c>
      <c r="AJ27" s="1448">
        <v>0</v>
      </c>
      <c r="AK27" s="1448">
        <v>14</v>
      </c>
      <c r="AL27" s="1876">
        <v>47</v>
      </c>
      <c r="AM27" s="1446">
        <f>SUM(AI27:AL27)</f>
        <v>111</v>
      </c>
      <c r="AN27" s="1876">
        <v>13</v>
      </c>
      <c r="AO27" s="1876">
        <v>8</v>
      </c>
      <c r="AP27" s="1876">
        <v>11</v>
      </c>
      <c r="AQ27" s="1876">
        <v>17</v>
      </c>
      <c r="AR27" s="1446">
        <f>SUM(AN27:AQ27)</f>
        <v>49</v>
      </c>
      <c r="AS27" s="1876">
        <v>23</v>
      </c>
      <c r="AT27" s="1876">
        <v>24</v>
      </c>
      <c r="AU27" s="2286">
        <v>17</v>
      </c>
      <c r="AV27" s="2286">
        <f>AU27</f>
        <v>17</v>
      </c>
      <c r="AW27" s="1446">
        <f>SUM(AS27:AV27)</f>
        <v>81</v>
      </c>
      <c r="AX27" s="1448">
        <v>30</v>
      </c>
      <c r="AY27" s="1448">
        <v>20</v>
      </c>
      <c r="AZ27" s="1448">
        <v>15</v>
      </c>
      <c r="BA27" s="1448">
        <f>+BB27-SUM(AX27:AZ27)</f>
        <v>16</v>
      </c>
      <c r="BB27" s="1444">
        <f>AW27</f>
        <v>81</v>
      </c>
      <c r="BC27" s="1444">
        <f>BB27</f>
        <v>81</v>
      </c>
      <c r="BD27" s="1444">
        <f>BC27</f>
        <v>81</v>
      </c>
      <c r="BE27" s="1444">
        <f>BD27</f>
        <v>81</v>
      </c>
      <c r="BF27" s="1773"/>
    </row>
    <row r="28" spans="1:60" s="1178" customFormat="1" ht="12" customHeight="1">
      <c r="A28" s="1156"/>
      <c r="B28" s="1156"/>
      <c r="C28" s="1393"/>
      <c r="D28" s="1393"/>
      <c r="E28" s="1441"/>
      <c r="F28" s="1441"/>
      <c r="G28" s="1441"/>
      <c r="H28" s="1441"/>
      <c r="I28" s="1441"/>
      <c r="J28" s="1441"/>
      <c r="K28" s="1441"/>
      <c r="L28" s="1441"/>
      <c r="M28" s="1441"/>
      <c r="N28" s="1436"/>
      <c r="O28" s="1439"/>
      <c r="P28" s="1439"/>
      <c r="Q28" s="1439"/>
      <c r="R28" s="1439"/>
      <c r="S28" s="1436"/>
      <c r="T28" s="1439"/>
      <c r="U28" s="1439"/>
      <c r="V28" s="1439"/>
      <c r="W28" s="1439"/>
      <c r="X28" s="1436"/>
      <c r="Y28" s="1439"/>
      <c r="Z28" s="1439"/>
      <c r="AA28" s="1439"/>
      <c r="AB28" s="1439"/>
      <c r="AC28" s="1436"/>
      <c r="AD28" s="1439"/>
      <c r="AE28" s="1439"/>
      <c r="AF28" s="1439"/>
      <c r="AG28" s="1439"/>
      <c r="AH28" s="1436"/>
      <c r="AI28" s="1439"/>
      <c r="AJ28" s="1439"/>
      <c r="AK28" s="1439"/>
      <c r="AL28" s="1439"/>
      <c r="AM28" s="1436"/>
      <c r="AN28" s="1439"/>
      <c r="AO28" s="1439"/>
      <c r="AP28" s="1439"/>
      <c r="AQ28" s="1439"/>
      <c r="AR28" s="1436"/>
      <c r="AS28" s="1439"/>
      <c r="AT28" s="1439"/>
      <c r="AU28" s="1439"/>
      <c r="AV28" s="1439"/>
      <c r="AW28" s="1436"/>
      <c r="AX28" s="1439"/>
      <c r="AY28" s="1439"/>
      <c r="AZ28" s="1439"/>
      <c r="BA28" s="1439"/>
      <c r="BB28" s="1436"/>
      <c r="BC28" s="1436"/>
      <c r="BD28" s="1436"/>
      <c r="BE28" s="1436"/>
      <c r="BF28" s="1439"/>
    </row>
    <row r="29" spans="1:60" s="1178" customFormat="1" ht="12" customHeight="1" thickBot="1">
      <c r="A29" s="1186"/>
      <c r="B29" s="1186"/>
      <c r="C29" s="1409" t="s">
        <v>248</v>
      </c>
      <c r="D29" s="1408"/>
      <c r="E29" s="1407"/>
      <c r="F29" s="1407"/>
      <c r="G29" s="1407"/>
      <c r="H29" s="1407"/>
      <c r="I29" s="1407"/>
      <c r="J29" s="1407"/>
      <c r="K29" s="1407"/>
      <c r="L29" s="1407"/>
      <c r="M29" s="1407"/>
      <c r="N29" s="1400">
        <v>654</v>
      </c>
      <c r="O29" s="1403">
        <v>172</v>
      </c>
      <c r="P29" s="1403">
        <v>185</v>
      </c>
      <c r="Q29" s="1403">
        <v>204</v>
      </c>
      <c r="R29" s="1403">
        <v>198</v>
      </c>
      <c r="S29" s="1400">
        <f>S22-S26-S27</f>
        <v>759</v>
      </c>
      <c r="T29" s="1403">
        <v>198</v>
      </c>
      <c r="U29" s="1403">
        <v>211</v>
      </c>
      <c r="V29" s="1403">
        <v>271</v>
      </c>
      <c r="W29" s="1403">
        <v>264</v>
      </c>
      <c r="X29" s="1400">
        <f>X22-X26-X27</f>
        <v>944</v>
      </c>
      <c r="Y29" s="1403">
        <v>501</v>
      </c>
      <c r="Z29" s="1403">
        <v>499</v>
      </c>
      <c r="AA29" s="1403">
        <v>501</v>
      </c>
      <c r="AB29" s="1403">
        <v>517</v>
      </c>
      <c r="AC29" s="1400">
        <f>AC35+AC33-AC27</f>
        <v>2018</v>
      </c>
      <c r="AD29" s="1403">
        <v>590</v>
      </c>
      <c r="AE29" s="1403">
        <v>602</v>
      </c>
      <c r="AF29" s="1403">
        <v>575</v>
      </c>
      <c r="AG29" s="1435">
        <v>588</v>
      </c>
      <c r="AH29" s="1400">
        <f>AH35+AH33-AH27</f>
        <v>2355</v>
      </c>
      <c r="AI29" s="1403">
        <v>569</v>
      </c>
      <c r="AJ29" s="1403">
        <v>580</v>
      </c>
      <c r="AK29" s="1870">
        <v>572</v>
      </c>
      <c r="AL29" s="1870">
        <v>167</v>
      </c>
      <c r="AM29" s="1400">
        <f>AM35+AM33-AM27</f>
        <v>1888</v>
      </c>
      <c r="AN29" s="1403">
        <v>538</v>
      </c>
      <c r="AO29" s="1870">
        <v>582</v>
      </c>
      <c r="AP29" s="1403">
        <f>AP35+-AP27</f>
        <v>600</v>
      </c>
      <c r="AQ29" s="1403">
        <f t="shared" ref="AQ29:BC29" si="14">AQ35+AQ33-AQ27</f>
        <v>578</v>
      </c>
      <c r="AR29" s="1400">
        <f t="shared" si="14"/>
        <v>2298</v>
      </c>
      <c r="AS29" s="1403">
        <f t="shared" si="14"/>
        <v>576</v>
      </c>
      <c r="AT29" s="1403">
        <f t="shared" si="14"/>
        <v>579</v>
      </c>
      <c r="AU29" s="1403">
        <f t="shared" si="14"/>
        <v>616</v>
      </c>
      <c r="AV29" s="1403">
        <f t="shared" si="14"/>
        <v>582.61780353347467</v>
      </c>
      <c r="AW29" s="1400">
        <f t="shared" si="14"/>
        <v>2353.6178035334747</v>
      </c>
      <c r="AX29" s="1403">
        <f>AX35+AX33-AX27</f>
        <v>594.27700000000004</v>
      </c>
      <c r="AY29" s="1403">
        <f>AY35+AY33-AY27</f>
        <v>621.22</v>
      </c>
      <c r="AZ29" s="1403">
        <f>AZ35+AZ33-AZ27</f>
        <v>656.18849999999998</v>
      </c>
      <c r="BA29" s="1403">
        <f>BA35+BA33-BA27</f>
        <v>632.58803923664664</v>
      </c>
      <c r="BB29" s="1400">
        <f t="shared" si="14"/>
        <v>2504.2735392366467</v>
      </c>
      <c r="BC29" s="1400">
        <f t="shared" si="14"/>
        <v>2659.2483648996422</v>
      </c>
      <c r="BD29" s="1400">
        <f>BD35+BD33-BD27</f>
        <v>2823.3094305630007</v>
      </c>
      <c r="BE29" s="1400">
        <f>BE35+BE33-BE27</f>
        <v>2905.8583413144834</v>
      </c>
      <c r="BF29" s="1981"/>
    </row>
    <row r="30" spans="1:60" s="1178" customFormat="1" ht="12" customHeight="1" thickTop="1">
      <c r="A30" s="1156"/>
      <c r="B30" s="1156"/>
      <c r="C30" s="1387"/>
      <c r="D30" s="1393" t="s">
        <v>293</v>
      </c>
      <c r="E30" s="1418"/>
      <c r="F30" s="1418"/>
      <c r="G30" s="1418"/>
      <c r="H30" s="1418"/>
      <c r="I30" s="1418"/>
      <c r="J30" s="1418"/>
      <c r="K30" s="1418"/>
      <c r="L30" s="1418"/>
      <c r="M30" s="1418"/>
      <c r="N30" s="1398">
        <f t="shared" ref="N30:BB30" si="15">IF(ISERROR(N29/N$12),"-",N29/N$12)</f>
        <v>0.14867015230734257</v>
      </c>
      <c r="O30" s="1153">
        <f t="shared" si="15"/>
        <v>0.15114235500878734</v>
      </c>
      <c r="P30" s="1153">
        <f t="shared" si="15"/>
        <v>0.15798462852263023</v>
      </c>
      <c r="Q30" s="1153">
        <f t="shared" si="15"/>
        <v>0.17186183656276327</v>
      </c>
      <c r="R30" s="1153">
        <f t="shared" si="15"/>
        <v>0.15664556962025317</v>
      </c>
      <c r="S30" s="1398">
        <f t="shared" si="15"/>
        <v>0.15945378151260503</v>
      </c>
      <c r="T30" s="1153">
        <f t="shared" si="15"/>
        <v>0.16019417475728157</v>
      </c>
      <c r="U30" s="1153">
        <f t="shared" si="15"/>
        <v>0.16826156299840511</v>
      </c>
      <c r="V30" s="1153">
        <f t="shared" si="15"/>
        <v>0.10149812734082397</v>
      </c>
      <c r="W30" s="1153">
        <f t="shared" si="15"/>
        <v>8.3175803402646506E-2</v>
      </c>
      <c r="X30" s="1398">
        <f t="shared" si="15"/>
        <v>0.11327093832493401</v>
      </c>
      <c r="Y30" s="1153">
        <f t="shared" si="15"/>
        <v>0.15353968740422924</v>
      </c>
      <c r="Z30" s="1153">
        <f t="shared" si="15"/>
        <v>0.15025594700391448</v>
      </c>
      <c r="AA30" s="1153">
        <f t="shared" si="15"/>
        <v>0.15126811594202899</v>
      </c>
      <c r="AB30" s="1153">
        <f t="shared" si="15"/>
        <v>0.14981164879745001</v>
      </c>
      <c r="AC30" s="1398">
        <f t="shared" si="15"/>
        <v>0.15119502509927324</v>
      </c>
      <c r="AD30" s="1153">
        <f t="shared" si="15"/>
        <v>0.17101449275362318</v>
      </c>
      <c r="AE30" s="1153">
        <f t="shared" si="15"/>
        <v>0.16556655665566555</v>
      </c>
      <c r="AF30" s="1153">
        <f t="shared" si="15"/>
        <v>0.16265912305516267</v>
      </c>
      <c r="AG30" s="1153">
        <f t="shared" si="15"/>
        <v>0.1636060100166945</v>
      </c>
      <c r="AH30" s="1398">
        <f t="shared" si="15"/>
        <v>0.16567006683081253</v>
      </c>
      <c r="AI30" s="1153">
        <f t="shared" si="15"/>
        <v>0.16037204058624577</v>
      </c>
      <c r="AJ30" s="1153">
        <f t="shared" si="15"/>
        <v>0.15969162995594713</v>
      </c>
      <c r="AK30" s="1153">
        <f t="shared" si="15"/>
        <v>0.16546138270176453</v>
      </c>
      <c r="AL30" s="1153">
        <f t="shared" si="15"/>
        <v>4.8307781313277405E-2</v>
      </c>
      <c r="AM30" s="1398">
        <f t="shared" si="15"/>
        <v>0.1339577125017738</v>
      </c>
      <c r="AN30" s="1153">
        <f t="shared" si="15"/>
        <v>0.15349500713266762</v>
      </c>
      <c r="AO30" s="1153">
        <f t="shared" si="15"/>
        <v>0.15662002152852531</v>
      </c>
      <c r="AP30" s="1153">
        <f t="shared" si="15"/>
        <v>0.16456390565002743</v>
      </c>
      <c r="AQ30" s="1153">
        <f t="shared" si="15"/>
        <v>0.16064480266814898</v>
      </c>
      <c r="AR30" s="1398">
        <f t="shared" si="15"/>
        <v>0.158866228828206</v>
      </c>
      <c r="AS30" s="1153">
        <f>IF(ISERROR(AS29/AS$12),"-",AS29/AS$12)</f>
        <v>0.15951260038770423</v>
      </c>
      <c r="AT30" s="1153">
        <f>IF(ISERROR(AT29/AT$12),"-",AT29/AT$12)</f>
        <v>0.15906593406593406</v>
      </c>
      <c r="AU30" s="1153">
        <f>IF(ISERROR(AU29/AU$12),"-",AU29/AU$12)</f>
        <v>0.16937036018696727</v>
      </c>
      <c r="AV30" s="1153">
        <f>IF(ISERROR(AV29/AV$12),"-",AV29/AV$12)</f>
        <v>0.15569970986500889</v>
      </c>
      <c r="AW30" s="1398">
        <f t="shared" si="15"/>
        <v>0.16087687380781784</v>
      </c>
      <c r="AX30" s="2215">
        <f>IF(ISERROR(AX29/AX$12),"-",AX29/AX$12)</f>
        <v>0.15742849147145963</v>
      </c>
      <c r="AY30" s="2215">
        <f>IF(ISERROR(AY29/AY$12),"-",AY29/AY$12)</f>
        <v>0.16019009777338225</v>
      </c>
      <c r="AZ30" s="2215">
        <f>IF(ISERROR(AZ29/AZ$12),"-",AZ29/AZ$12)</f>
        <v>0.1693467766522942</v>
      </c>
      <c r="BA30" s="2215">
        <f>IF(ISERROR(BA29/BA$12),"-",BA29/BA$12)</f>
        <v>0.16200891955667718</v>
      </c>
      <c r="BB30" s="1398">
        <f t="shared" si="15"/>
        <v>0.16227386873978308</v>
      </c>
      <c r="BC30" s="1398">
        <f>IF(ISERROR(BC29/BC$12),"-",BC29/BC$12)</f>
        <v>0.16400573010295688</v>
      </c>
      <c r="BD30" s="1398">
        <f>IF(ISERROR(BD29/BD$12),"-",BD29/BD$12)</f>
        <v>0.16649333202247424</v>
      </c>
      <c r="BE30" s="1398">
        <f>IF(ISERROR(BE29/BE$12),"-",BE29/BE$12)</f>
        <v>0.1635698521173938</v>
      </c>
      <c r="BF30" s="1153"/>
    </row>
    <row r="31" spans="1:60" s="1178" customFormat="1" ht="12" customHeight="1">
      <c r="A31" s="1156"/>
      <c r="B31" s="1156"/>
      <c r="C31" s="1393"/>
      <c r="D31" s="1393" t="s">
        <v>282</v>
      </c>
      <c r="E31" s="1418"/>
      <c r="F31" s="1418"/>
      <c r="G31" s="1418"/>
      <c r="H31" s="1418"/>
      <c r="I31" s="1418"/>
      <c r="J31" s="1418"/>
      <c r="K31" s="1418"/>
      <c r="L31" s="1418"/>
      <c r="M31" s="1418"/>
      <c r="N31" s="1398"/>
      <c r="O31" s="1153">
        <v>-0.22171945701357465</v>
      </c>
      <c r="P31" s="1153">
        <v>-9.3137254901960786E-2</v>
      </c>
      <c r="Q31" s="1153">
        <v>-0.19999999999999996</v>
      </c>
      <c r="R31" s="1153">
        <v>-0.16806722689075626</v>
      </c>
      <c r="S31" s="1398">
        <v>-0.19767441860465118</v>
      </c>
      <c r="T31" s="1153">
        <f t="shared" ref="T31:AR31" si="16">IF(ISERROR(T29/O29-1),"-",T29/O29-1)</f>
        <v>0.15116279069767447</v>
      </c>
      <c r="U31" s="1153">
        <f t="shared" si="16"/>
        <v>0.14054054054054044</v>
      </c>
      <c r="V31" s="1153">
        <f t="shared" si="16"/>
        <v>0.32843137254901955</v>
      </c>
      <c r="W31" s="1153">
        <f t="shared" si="16"/>
        <v>0.33333333333333326</v>
      </c>
      <c r="X31" s="1398">
        <f t="shared" si="16"/>
        <v>0.24374176548089599</v>
      </c>
      <c r="Y31" s="1153">
        <f t="shared" si="16"/>
        <v>1.5303030303030303</v>
      </c>
      <c r="Z31" s="1153">
        <f t="shared" si="16"/>
        <v>1.3649289099526065</v>
      </c>
      <c r="AA31" s="1153">
        <f t="shared" si="16"/>
        <v>0.8487084870848709</v>
      </c>
      <c r="AB31" s="1153">
        <f t="shared" si="16"/>
        <v>0.95833333333333326</v>
      </c>
      <c r="AC31" s="1398">
        <f t="shared" si="16"/>
        <v>1.1377118644067798</v>
      </c>
      <c r="AD31" s="1153">
        <f t="shared" si="16"/>
        <v>0.17764471057884235</v>
      </c>
      <c r="AE31" s="1153">
        <f t="shared" si="16"/>
        <v>0.2064128256513027</v>
      </c>
      <c r="AF31" s="1153">
        <f t="shared" si="16"/>
        <v>0.14770459081836318</v>
      </c>
      <c r="AG31" s="1153">
        <f t="shared" si="16"/>
        <v>0.13733075435203101</v>
      </c>
      <c r="AH31" s="1398">
        <f t="shared" si="16"/>
        <v>0.16699702675916739</v>
      </c>
      <c r="AI31" s="1153">
        <f t="shared" si="16"/>
        <v>-3.5593220338983045E-2</v>
      </c>
      <c r="AJ31" s="1153">
        <f t="shared" si="16"/>
        <v>-3.6544850498338888E-2</v>
      </c>
      <c r="AK31" s="1153">
        <f t="shared" si="16"/>
        <v>-5.2173913043478404E-3</v>
      </c>
      <c r="AL31" s="1153">
        <f t="shared" si="16"/>
        <v>-0.71598639455782309</v>
      </c>
      <c r="AM31" s="1398">
        <f t="shared" si="16"/>
        <v>-0.19830148619957533</v>
      </c>
      <c r="AN31" s="1153">
        <f t="shared" si="16"/>
        <v>-5.4481546572935025E-2</v>
      </c>
      <c r="AO31" s="1153">
        <f t="shared" si="16"/>
        <v>3.4482758620688614E-3</v>
      </c>
      <c r="AP31" s="1153">
        <f t="shared" si="16"/>
        <v>4.8951048951048959E-2</v>
      </c>
      <c r="AQ31" s="1153">
        <f t="shared" si="16"/>
        <v>2.4610778443113772</v>
      </c>
      <c r="AR31" s="1398">
        <f t="shared" si="16"/>
        <v>0.21716101694915246</v>
      </c>
      <c r="AS31" s="1153">
        <f t="shared" ref="AS31:BB31" si="17">IF(ISERROR(AS29/AN29-1),"-",AS29/AN29-1)</f>
        <v>7.0631970260222943E-2</v>
      </c>
      <c r="AT31" s="1153">
        <f t="shared" si="17"/>
        <v>-5.1546391752577136E-3</v>
      </c>
      <c r="AU31" s="1153">
        <f t="shared" si="17"/>
        <v>2.6666666666666616E-2</v>
      </c>
      <c r="AV31" s="1153">
        <f t="shared" si="17"/>
        <v>7.9892794696794223E-3</v>
      </c>
      <c r="AW31" s="1398">
        <f t="shared" si="17"/>
        <v>2.4202699535889716E-2</v>
      </c>
      <c r="AX31" s="2215">
        <f t="shared" si="17"/>
        <v>3.1730902777777903E-2</v>
      </c>
      <c r="AY31" s="2215">
        <f t="shared" si="17"/>
        <v>7.2918825561312683E-2</v>
      </c>
      <c r="AZ31" s="2215">
        <f t="shared" si="17"/>
        <v>6.5241071428571384E-2</v>
      </c>
      <c r="BA31" s="2215">
        <f t="shared" si="17"/>
        <v>8.5768466737733196E-2</v>
      </c>
      <c r="BB31" s="1398">
        <f t="shared" si="17"/>
        <v>6.4010280461421321E-2</v>
      </c>
      <c r="BC31" s="1398">
        <f>IF(ISERROR(BC29/BB29-1),"-",BC29/BB29-1)</f>
        <v>6.1884144537275754E-2</v>
      </c>
      <c r="BD31" s="1398">
        <f>IF(ISERROR(BD29/BC29-1),"-",BD29/BC29-1)</f>
        <v>6.1694525351170038E-2</v>
      </c>
      <c r="BE31" s="1398">
        <f>IF(ISERROR(BE29/BD29-1),"-",BE29/BD29-1)</f>
        <v>2.9238350517966971E-2</v>
      </c>
      <c r="BF31" s="1153"/>
    </row>
    <row r="32" spans="1:60" s="1178" customFormat="1" ht="12" customHeight="1">
      <c r="A32" s="1156"/>
      <c r="B32" s="1156"/>
      <c r="C32" s="1393"/>
      <c r="D32" s="1393"/>
      <c r="E32" s="1156"/>
      <c r="F32" s="1156"/>
      <c r="G32" s="1156"/>
      <c r="H32" s="1156"/>
      <c r="I32" s="1156"/>
      <c r="J32" s="1156"/>
      <c r="K32" s="1156"/>
      <c r="L32" s="1156"/>
      <c r="M32" s="1156"/>
      <c r="N32" s="1235"/>
      <c r="O32" s="1186"/>
      <c r="P32" s="1186"/>
      <c r="Q32" s="1186"/>
      <c r="R32" s="1186"/>
      <c r="S32" s="1235"/>
      <c r="T32" s="1186"/>
      <c r="U32" s="1186"/>
      <c r="V32" s="1186"/>
      <c r="W32" s="1186"/>
      <c r="X32" s="1235"/>
      <c r="Y32" s="1186"/>
      <c r="Z32" s="1186"/>
      <c r="AA32" s="1186"/>
      <c r="AB32" s="1186"/>
      <c r="AC32" s="1235"/>
      <c r="AD32" s="1186"/>
      <c r="AE32" s="1186"/>
      <c r="AF32" s="1186"/>
      <c r="AG32" s="1186"/>
      <c r="AH32" s="1235"/>
      <c r="AI32" s="1186"/>
      <c r="AJ32" s="1186"/>
      <c r="AK32" s="1186"/>
      <c r="AL32" s="1186"/>
      <c r="AM32" s="1235"/>
      <c r="AN32" s="1186"/>
      <c r="AO32" s="1186"/>
      <c r="AP32" s="1186"/>
      <c r="AQ32" s="1186"/>
      <c r="AR32" s="1235"/>
      <c r="AS32" s="1186"/>
      <c r="AT32" s="1186"/>
      <c r="AU32" s="1186"/>
      <c r="AV32" s="1186"/>
      <c r="AW32" s="1235"/>
      <c r="AX32" s="1186"/>
      <c r="AY32" s="1186"/>
      <c r="AZ32" s="1186"/>
      <c r="BA32" s="1186"/>
      <c r="BB32" s="1235"/>
      <c r="BC32" s="1235"/>
      <c r="BD32" s="1235"/>
      <c r="BE32" s="1235"/>
      <c r="BF32" s="1186"/>
    </row>
    <row r="33" spans="1:63" s="1178" customFormat="1" ht="12" customHeight="1">
      <c r="A33" s="1393"/>
      <c r="B33" s="1393"/>
      <c r="C33" s="1427" t="s">
        <v>1012</v>
      </c>
      <c r="D33" s="1394"/>
      <c r="E33" s="1393"/>
      <c r="F33" s="1393"/>
      <c r="G33" s="1393"/>
      <c r="H33" s="1393"/>
      <c r="I33" s="1393"/>
      <c r="J33" s="1393"/>
      <c r="K33" s="1393"/>
      <c r="L33" s="1393"/>
      <c r="M33" s="1393"/>
      <c r="N33" s="1423">
        <v>-28</v>
      </c>
      <c r="O33" s="1424">
        <v>0</v>
      </c>
      <c r="P33" s="1424">
        <v>0</v>
      </c>
      <c r="Q33" s="1424">
        <v>0</v>
      </c>
      <c r="R33" s="1424">
        <v>0</v>
      </c>
      <c r="S33" s="1446">
        <f>SUM(O33:R33)</f>
        <v>0</v>
      </c>
      <c r="T33" s="1424">
        <v>0</v>
      </c>
      <c r="U33" s="1424">
        <v>0</v>
      </c>
      <c r="V33" s="1424">
        <v>0</v>
      </c>
      <c r="W33" s="1424">
        <v>0</v>
      </c>
      <c r="X33" s="1446">
        <f>SUM(T33:W33)</f>
        <v>0</v>
      </c>
      <c r="Y33" s="1424">
        <v>0</v>
      </c>
      <c r="Z33" s="1773">
        <v>0</v>
      </c>
      <c r="AA33" s="1773">
        <v>0</v>
      </c>
      <c r="AB33" s="1773">
        <v>0</v>
      </c>
      <c r="AC33" s="1618">
        <f>SUM(Y33:AB33)</f>
        <v>0</v>
      </c>
      <c r="AD33" s="1773">
        <v>0</v>
      </c>
      <c r="AE33" s="1773">
        <v>0</v>
      </c>
      <c r="AF33" s="1773">
        <v>0</v>
      </c>
      <c r="AG33" s="1773">
        <v>0</v>
      </c>
      <c r="AH33" s="1618">
        <f>SUM(AD33:AG33)</f>
        <v>0</v>
      </c>
      <c r="AI33" s="1773"/>
      <c r="AJ33" s="1773">
        <v>0</v>
      </c>
      <c r="AK33" s="1773">
        <v>0</v>
      </c>
      <c r="AL33" s="1876">
        <v>-356</v>
      </c>
      <c r="AM33" s="1935">
        <f>SUM(AI33:AL33)</f>
        <v>-356</v>
      </c>
      <c r="AN33" s="1773">
        <v>0</v>
      </c>
      <c r="AO33" s="1773">
        <v>0</v>
      </c>
      <c r="AP33" s="1178">
        <v>0</v>
      </c>
      <c r="AQ33" s="1773">
        <v>0</v>
      </c>
      <c r="AR33" s="1419">
        <f>SUM(AN33:AQ33)</f>
        <v>0</v>
      </c>
      <c r="AS33" s="1773">
        <v>0</v>
      </c>
      <c r="AT33" s="1773">
        <v>0</v>
      </c>
      <c r="AU33" s="1773">
        <v>0</v>
      </c>
      <c r="AV33" s="1773">
        <v>0</v>
      </c>
      <c r="AW33" s="1419">
        <v>0</v>
      </c>
      <c r="AX33" s="1773">
        <v>0</v>
      </c>
      <c r="AY33" s="1773">
        <v>0</v>
      </c>
      <c r="AZ33" s="1773">
        <v>0</v>
      </c>
      <c r="BA33" s="1773">
        <v>0</v>
      </c>
      <c r="BB33" s="1419">
        <v>0</v>
      </c>
      <c r="BC33" s="1419">
        <v>0</v>
      </c>
      <c r="BD33" s="1419">
        <v>0</v>
      </c>
      <c r="BE33" s="1419">
        <v>0</v>
      </c>
      <c r="BF33" s="1422"/>
    </row>
    <row r="34" spans="1:63" s="1178" customFormat="1" ht="12" customHeight="1">
      <c r="A34" s="1156"/>
      <c r="B34" s="1156"/>
      <c r="C34" s="1393"/>
      <c r="D34" s="1393"/>
      <c r="E34" s="1418"/>
      <c r="F34" s="1418"/>
      <c r="G34" s="1418"/>
      <c r="H34" s="1418"/>
      <c r="I34" s="1418"/>
      <c r="J34" s="1418"/>
      <c r="K34" s="1418"/>
      <c r="L34" s="1418"/>
      <c r="M34" s="1418"/>
      <c r="N34" s="1415"/>
      <c r="O34" s="1413"/>
      <c r="P34" s="1413"/>
      <c r="Q34" s="1413"/>
      <c r="R34" s="1413"/>
      <c r="S34" s="1415"/>
      <c r="T34" s="1413"/>
      <c r="U34" s="1413"/>
      <c r="V34" s="1413"/>
      <c r="W34" s="1413"/>
      <c r="X34" s="1415"/>
      <c r="Y34" s="1413"/>
      <c r="Z34" s="1413"/>
      <c r="AA34" s="1413"/>
      <c r="AB34" s="1413"/>
      <c r="AC34" s="1845"/>
      <c r="AD34" s="1413"/>
      <c r="AE34" s="1413"/>
      <c r="AF34" s="1413"/>
      <c r="AG34" s="1413"/>
      <c r="AH34" s="1843"/>
      <c r="AI34" s="1413"/>
      <c r="AJ34" s="1413"/>
      <c r="AK34" s="1413"/>
      <c r="AL34" s="1844"/>
      <c r="AM34" s="1843">
        <f>+AM35-AH35</f>
        <v>-82</v>
      </c>
      <c r="AN34" s="1413"/>
      <c r="AO34" s="1413"/>
      <c r="AP34" s="1413"/>
      <c r="AQ34" s="1413"/>
      <c r="AR34" s="1410">
        <f>AR35-AM35</f>
        <v>-8</v>
      </c>
      <c r="AS34" s="2306">
        <f>AS35-AN35</f>
        <v>48</v>
      </c>
      <c r="AT34" s="2306">
        <f t="shared" ref="AT34:AU34" si="18">AT35-AO35</f>
        <v>13</v>
      </c>
      <c r="AU34" s="2306">
        <f t="shared" si="18"/>
        <v>22</v>
      </c>
      <c r="AV34" s="2306">
        <f>AV35-AQ35</f>
        <v>4.617803533474671</v>
      </c>
      <c r="AW34" s="1410">
        <f>AW35-AR35</f>
        <v>87.617803533474671</v>
      </c>
      <c r="AX34" s="1413"/>
      <c r="AY34" s="1413"/>
      <c r="AZ34" s="1413"/>
      <c r="BA34" s="1413"/>
      <c r="BB34" s="1410">
        <f>BB35-AW35</f>
        <v>150.65573570317201</v>
      </c>
      <c r="BC34" s="1410">
        <f>BC35-BB35</f>
        <v>154.9748256629955</v>
      </c>
      <c r="BD34" s="1410">
        <f>BD35-BC35</f>
        <v>164.06106566335848</v>
      </c>
      <c r="BE34" s="1410">
        <f>BE35-BD35</f>
        <v>82.548910751482708</v>
      </c>
      <c r="BF34" s="1612"/>
    </row>
    <row r="35" spans="1:63" s="1178" customFormat="1" ht="12" customHeight="1" thickBot="1">
      <c r="A35" s="1186"/>
      <c r="B35" s="1186"/>
      <c r="C35" s="1409" t="s">
        <v>1011</v>
      </c>
      <c r="D35" s="1408"/>
      <c r="E35" s="1407"/>
      <c r="F35" s="1407"/>
      <c r="G35" s="1407"/>
      <c r="H35" s="1407"/>
      <c r="I35" s="1407"/>
      <c r="J35" s="1407"/>
      <c r="K35" s="1407"/>
      <c r="L35" s="1407"/>
      <c r="M35" s="1407"/>
      <c r="N35" s="1400">
        <f t="shared" ref="N35:AB35" si="19">N29+N27-N33</f>
        <v>706</v>
      </c>
      <c r="O35" s="1403">
        <f t="shared" si="19"/>
        <v>174</v>
      </c>
      <c r="P35" s="1403">
        <f t="shared" si="19"/>
        <v>187</v>
      </c>
      <c r="Q35" s="1403">
        <f t="shared" si="19"/>
        <v>205</v>
      </c>
      <c r="R35" s="1403">
        <f t="shared" si="19"/>
        <v>204</v>
      </c>
      <c r="S35" s="1400">
        <f t="shared" si="19"/>
        <v>770</v>
      </c>
      <c r="T35" s="1403">
        <f t="shared" si="19"/>
        <v>200</v>
      </c>
      <c r="U35" s="1403">
        <f t="shared" si="19"/>
        <v>214</v>
      </c>
      <c r="V35" s="1403">
        <f t="shared" si="19"/>
        <v>306</v>
      </c>
      <c r="W35" s="1403">
        <f t="shared" si="19"/>
        <v>339</v>
      </c>
      <c r="X35" s="1400">
        <f t="shared" si="19"/>
        <v>1059</v>
      </c>
      <c r="Y35" s="1403">
        <f t="shared" si="19"/>
        <v>509</v>
      </c>
      <c r="Z35" s="1403">
        <f t="shared" si="19"/>
        <v>532</v>
      </c>
      <c r="AA35" s="1403">
        <f t="shared" si="19"/>
        <v>525</v>
      </c>
      <c r="AB35" s="1403">
        <f t="shared" si="19"/>
        <v>544</v>
      </c>
      <c r="AC35" s="1400">
        <f>SUM(Y35:AB35)</f>
        <v>2110</v>
      </c>
      <c r="AD35" s="1403">
        <f>AD29+AD27-AD33</f>
        <v>596</v>
      </c>
      <c r="AE35" s="1403">
        <f>AE29+AE27-AE33</f>
        <v>606</v>
      </c>
      <c r="AF35" s="1403">
        <f>AF29+AF27-AF33</f>
        <v>601</v>
      </c>
      <c r="AG35" s="1403">
        <f>AG29+AG27-AG33</f>
        <v>634</v>
      </c>
      <c r="AH35" s="1400">
        <f>SUM(AD35:AG35)</f>
        <v>2437</v>
      </c>
      <c r="AI35" s="1403">
        <f>AI29+AI27-AI33</f>
        <v>619</v>
      </c>
      <c r="AJ35" s="1403">
        <f>AJ29+AJ27-AJ33</f>
        <v>580</v>
      </c>
      <c r="AK35" s="1403">
        <f>AK29+AK27-AK33</f>
        <v>586</v>
      </c>
      <c r="AL35" s="1403">
        <f>AL29+AL27-AL33</f>
        <v>570</v>
      </c>
      <c r="AM35" s="1400">
        <f>SUM(AI35:AL35)</f>
        <v>2355</v>
      </c>
      <c r="AN35" s="1403">
        <f>AN29+AN27-AN33</f>
        <v>551</v>
      </c>
      <c r="AO35" s="1403">
        <f>AO29+AO27-AO33</f>
        <v>590</v>
      </c>
      <c r="AP35" s="1870">
        <v>611</v>
      </c>
      <c r="AQ35" s="1870">
        <v>595</v>
      </c>
      <c r="AR35" s="1400">
        <f>SUM(AN35:AQ35)</f>
        <v>2347</v>
      </c>
      <c r="AS35" s="1870">
        <v>599</v>
      </c>
      <c r="AT35" s="1870">
        <v>603</v>
      </c>
      <c r="AU35" s="1870">
        <v>633</v>
      </c>
      <c r="AV35" s="1403">
        <f>AW35-SUM(AS35:AU35)</f>
        <v>599.61780353347467</v>
      </c>
      <c r="AW35" s="1400">
        <f>(AW12-AR12)*AW37+AR35</f>
        <v>2434.6178035334747</v>
      </c>
      <c r="AX35" s="1403">
        <f>AS35+AS12*AX16*AX37</f>
        <v>624.27700000000004</v>
      </c>
      <c r="AY35" s="1403">
        <f>AT35+AT12*AY16*AY37</f>
        <v>641.22</v>
      </c>
      <c r="AZ35" s="1403">
        <f>AU35+AU12*AZ16*AZ37</f>
        <v>671.18849999999998</v>
      </c>
      <c r="BA35" s="1403">
        <f>BB35-SUM(AX35:AZ35)</f>
        <v>648.58803923664664</v>
      </c>
      <c r="BB35" s="1400">
        <f>(BB12-AW12)*BB37+AW35</f>
        <v>2585.2735392366467</v>
      </c>
      <c r="BC35" s="1400">
        <f>(BC12-BB12)*BC37+BB35</f>
        <v>2740.2483648996422</v>
      </c>
      <c r="BD35" s="1400">
        <f>(BD12-BC12)*BD37+BC35</f>
        <v>2904.3094305630007</v>
      </c>
      <c r="BE35" s="1400">
        <f>(BE12-BD12)*BE37+BD35</f>
        <v>2986.8583413144834</v>
      </c>
      <c r="BF35" s="1981"/>
      <c r="BG35" s="1905" t="s">
        <v>1343</v>
      </c>
      <c r="BH35" s="1906" t="s">
        <v>154</v>
      </c>
      <c r="BI35" s="1906" t="s">
        <v>153</v>
      </c>
      <c r="BJ35" s="1906" t="s">
        <v>1308</v>
      </c>
      <c r="BK35" s="1906">
        <v>2017</v>
      </c>
    </row>
    <row r="36" spans="1:63" s="1178" customFormat="1" ht="12" thickTop="1">
      <c r="A36" s="1396"/>
      <c r="B36" s="1396"/>
      <c r="C36" s="1395"/>
      <c r="D36" s="1394" t="s">
        <v>293</v>
      </c>
      <c r="E36" s="1393"/>
      <c r="F36" s="1393"/>
      <c r="G36" s="1393"/>
      <c r="H36" s="1393"/>
      <c r="I36" s="1393"/>
      <c r="J36" s="1393"/>
      <c r="K36" s="1393"/>
      <c r="L36" s="1393"/>
      <c r="M36" s="1393"/>
      <c r="N36" s="1388">
        <f t="shared" ref="N36:AJ36" si="20">(N35-N33)/(N12)</f>
        <v>0.16685610365992271</v>
      </c>
      <c r="O36" s="1390">
        <f t="shared" si="20"/>
        <v>0.15289982425307558</v>
      </c>
      <c r="P36" s="1390">
        <f t="shared" si="20"/>
        <v>0.1596925704526046</v>
      </c>
      <c r="Q36" s="1390">
        <f t="shared" si="20"/>
        <v>0.17270429654591407</v>
      </c>
      <c r="R36" s="1390">
        <f t="shared" si="20"/>
        <v>0.16139240506329114</v>
      </c>
      <c r="S36" s="1388">
        <f t="shared" si="20"/>
        <v>0.16176470588235295</v>
      </c>
      <c r="T36" s="1390">
        <f t="shared" si="20"/>
        <v>0.16181229773462782</v>
      </c>
      <c r="U36" s="1390">
        <f t="shared" si="20"/>
        <v>0.17065390749601275</v>
      </c>
      <c r="V36" s="1390">
        <f t="shared" si="20"/>
        <v>0.1146067415730337</v>
      </c>
      <c r="W36" s="1390">
        <f t="shared" si="20"/>
        <v>0.10680529300567108</v>
      </c>
      <c r="X36" s="1388">
        <f t="shared" si="20"/>
        <v>0.12706983441324693</v>
      </c>
      <c r="Y36" s="1390">
        <f t="shared" si="20"/>
        <v>0.15599141893962612</v>
      </c>
      <c r="Z36" s="1390">
        <f t="shared" si="20"/>
        <v>0.16019271303824148</v>
      </c>
      <c r="AA36" s="1390">
        <f t="shared" si="20"/>
        <v>0.1585144927536232</v>
      </c>
      <c r="AB36" s="1390">
        <f t="shared" si="20"/>
        <v>0.15763546798029557</v>
      </c>
      <c r="AC36" s="1388">
        <f t="shared" si="20"/>
        <v>0.15808795984116281</v>
      </c>
      <c r="AD36" s="1390">
        <f t="shared" si="20"/>
        <v>0.17275362318840579</v>
      </c>
      <c r="AE36" s="1390">
        <f t="shared" si="20"/>
        <v>0.16666666666666666</v>
      </c>
      <c r="AF36" s="1390">
        <f t="shared" si="20"/>
        <v>0.17001414427157002</v>
      </c>
      <c r="AG36" s="1390">
        <f t="shared" si="20"/>
        <v>0.17640511964385086</v>
      </c>
      <c r="AH36" s="1388">
        <f t="shared" si="20"/>
        <v>0.17143862117481534</v>
      </c>
      <c r="AI36" s="1390">
        <f t="shared" si="20"/>
        <v>0.17446448703494927</v>
      </c>
      <c r="AJ36" s="1390">
        <f t="shared" si="20"/>
        <v>0.15969162995594713</v>
      </c>
      <c r="AK36" s="451">
        <f>(AK35-AK33)/(AK12)</f>
        <v>0.1695111368238357</v>
      </c>
      <c r="AL36" s="1890">
        <f>AL35/(AL12+210)</f>
        <v>0.15544041450777202</v>
      </c>
      <c r="AM36" s="1397">
        <f>(AM35)/(AM12)</f>
        <v>0.16709237973605789</v>
      </c>
      <c r="AN36" s="451">
        <f>(AN35-AN33)/(AN12)</f>
        <v>0.15720399429386592</v>
      </c>
      <c r="AO36" s="451">
        <f>(AO35-AO33)/(AO12)</f>
        <v>0.15877287405812701</v>
      </c>
      <c r="AP36" s="451">
        <f>(AP35-CCS!CJ33)/(AP12)</f>
        <v>0.17059791552386178</v>
      </c>
      <c r="AQ36" s="1390">
        <f>AQ35/(AQ12-AQ33)</f>
        <v>0.16536964980544747</v>
      </c>
      <c r="AR36" s="1397">
        <f t="shared" ref="AR36:BE36" si="21">(AR35-AR33)/(AR12)</f>
        <v>0.16225371586588316</v>
      </c>
      <c r="AS36" s="1390">
        <f>AS35/(AS12-AS33)</f>
        <v>0.16588202713929659</v>
      </c>
      <c r="AT36" s="1390">
        <f>AT35/(AT12-AT33)</f>
        <v>0.16565934065934065</v>
      </c>
      <c r="AU36" s="1390">
        <f>AU35/(AU12-AU33)</f>
        <v>0.17404454220511412</v>
      </c>
      <c r="AV36" s="2272">
        <f t="shared" si="21"/>
        <v>0.16024281694421622</v>
      </c>
      <c r="AW36" s="1388">
        <f t="shared" si="21"/>
        <v>0.1664134680496144</v>
      </c>
      <c r="AX36" s="2272">
        <f t="shared" si="21"/>
        <v>0.16537571935364889</v>
      </c>
      <c r="AY36" s="2272">
        <f t="shared" si="21"/>
        <v>0.16534737209724118</v>
      </c>
      <c r="AZ36" s="2272">
        <f t="shared" si="21"/>
        <v>0.17321792290033786</v>
      </c>
      <c r="BA36" s="2272">
        <f t="shared" si="21"/>
        <v>0.16610659853909174</v>
      </c>
      <c r="BB36" s="1388">
        <f t="shared" si="21"/>
        <v>0.1675225698748552</v>
      </c>
      <c r="BC36" s="1388">
        <f t="shared" si="21"/>
        <v>0.16900130114990602</v>
      </c>
      <c r="BD36" s="1388">
        <f t="shared" si="21"/>
        <v>0.17126998163368287</v>
      </c>
      <c r="BE36" s="1388">
        <f t="shared" si="21"/>
        <v>0.16812931664225964</v>
      </c>
      <c r="BF36" s="1390"/>
      <c r="BG36" s="1178" t="s">
        <v>1272</v>
      </c>
      <c r="BH36" s="1533">
        <v>-325</v>
      </c>
      <c r="BI36" s="1178">
        <v>-300</v>
      </c>
      <c r="BJ36" s="2367">
        <f>SUM(AR99:AR101)</f>
        <v>-94.465517241379189</v>
      </c>
      <c r="BK36" s="2245">
        <f>SUM(AW99:AW101)</f>
        <v>-174.05589024999998</v>
      </c>
    </row>
    <row r="37" spans="1:63" s="1178" customFormat="1" ht="11.25">
      <c r="A37" s="1396"/>
      <c r="B37" s="1396"/>
      <c r="C37" s="1395"/>
      <c r="D37" s="1394" t="s">
        <v>1306</v>
      </c>
      <c r="E37" s="1393"/>
      <c r="F37" s="1393"/>
      <c r="G37" s="1393"/>
      <c r="H37" s="1393"/>
      <c r="I37" s="1393"/>
      <c r="J37" s="1393"/>
      <c r="K37" s="1393"/>
      <c r="L37" s="1393"/>
      <c r="M37" s="1393"/>
      <c r="N37" s="1388"/>
      <c r="O37" s="1390"/>
      <c r="P37" s="1390"/>
      <c r="Q37" s="1390"/>
      <c r="R37" s="1390"/>
      <c r="S37" s="1388"/>
      <c r="T37" s="1390"/>
      <c r="U37" s="1390"/>
      <c r="V37" s="1390"/>
      <c r="W37" s="1390"/>
      <c r="X37" s="1388"/>
      <c r="Y37" s="1390"/>
      <c r="Z37" s="1390"/>
      <c r="AA37" s="1390"/>
      <c r="AB37" s="1390"/>
      <c r="AC37" s="1388"/>
      <c r="AD37" s="1390"/>
      <c r="AE37" s="1390"/>
      <c r="AF37" s="1390"/>
      <c r="AG37" s="1390"/>
      <c r="AH37" s="1388"/>
      <c r="AI37" s="1390"/>
      <c r="AJ37" s="1390"/>
      <c r="AK37" s="1390"/>
      <c r="AL37" s="1390"/>
      <c r="AM37" s="1397">
        <f t="shared" ref="AM37:AU37" si="22">(AM35-AH35)/(AM12-AH12)</f>
        <v>0.6776859504132231</v>
      </c>
      <c r="AN37" s="451">
        <f t="shared" si="22"/>
        <v>1.5813953488372092</v>
      </c>
      <c r="AO37" s="451">
        <f t="shared" si="22"/>
        <v>0.11904761904761904</v>
      </c>
      <c r="AP37" s="451">
        <f t="shared" si="22"/>
        <v>0.13227513227513227</v>
      </c>
      <c r="AQ37" s="451">
        <f t="shared" si="22"/>
        <v>0.1773049645390071</v>
      </c>
      <c r="AR37" s="1397">
        <f t="shared" si="22"/>
        <v>-2.15633423180593E-2</v>
      </c>
      <c r="AS37" s="451">
        <f t="shared" si="22"/>
        <v>0.45283018867924529</v>
      </c>
      <c r="AT37" s="451">
        <f t="shared" si="22"/>
        <v>-0.17105263157894737</v>
      </c>
      <c r="AU37" s="451">
        <f t="shared" si="22"/>
        <v>-2.4444444444444446</v>
      </c>
      <c r="AV37" s="451">
        <f>(AV35-AQ35)/(AV12-AQ12)</f>
        <v>3.2083120560232513E-2</v>
      </c>
      <c r="AW37" s="1397">
        <f>AW109</f>
        <v>0.53123433598172098</v>
      </c>
      <c r="AX37" s="1900">
        <v>0.17499999999999999</v>
      </c>
      <c r="AY37" s="1900">
        <f>AX37</f>
        <v>0.17499999999999999</v>
      </c>
      <c r="AZ37" s="1900">
        <f>AY37</f>
        <v>0.17499999999999999</v>
      </c>
      <c r="BA37" s="451">
        <f>(BA35-AV35)/(BA12-AV12)</f>
        <v>0.3009534812890553</v>
      </c>
      <c r="BB37" s="1397">
        <f>BB109</f>
        <v>0.18774307489244904</v>
      </c>
      <c r="BC37" s="1397">
        <f>BC109</f>
        <v>0.19818434769581389</v>
      </c>
      <c r="BD37" s="1397">
        <f>BD109</f>
        <v>0.22077035017517993</v>
      </c>
      <c r="BE37" s="1397">
        <f>BE109</f>
        <v>0.10219591921605933</v>
      </c>
      <c r="BF37" s="451"/>
      <c r="BG37" s="1178" t="s">
        <v>1349</v>
      </c>
      <c r="BH37" s="1533">
        <v>175</v>
      </c>
      <c r="BI37" s="1178">
        <v>200</v>
      </c>
      <c r="BJ37" s="2367"/>
      <c r="BK37" s="2245">
        <f>+AW94</f>
        <v>250</v>
      </c>
    </row>
    <row r="38" spans="1:63" s="1178" customFormat="1" ht="11.25">
      <c r="A38" s="1396"/>
      <c r="B38" s="1396"/>
      <c r="C38" s="1395"/>
      <c r="D38" s="1394" t="s">
        <v>1305</v>
      </c>
      <c r="E38" s="1393"/>
      <c r="F38" s="1393"/>
      <c r="G38" s="1393"/>
      <c r="H38" s="1393"/>
      <c r="I38" s="1393"/>
      <c r="J38" s="1393"/>
      <c r="K38" s="1393"/>
      <c r="L38" s="1393"/>
      <c r="M38" s="1393"/>
      <c r="N38" s="1388"/>
      <c r="O38" s="1390"/>
      <c r="P38" s="1390"/>
      <c r="Q38" s="1390"/>
      <c r="R38" s="1390"/>
      <c r="S38" s="1388"/>
      <c r="T38" s="1390">
        <f t="shared" ref="T38:AP38" si="23">(T35-O35)/(T12-O12)</f>
        <v>0.26530612244897961</v>
      </c>
      <c r="U38" s="1390">
        <f t="shared" si="23"/>
        <v>0.3253012048192771</v>
      </c>
      <c r="V38" s="1390">
        <f t="shared" si="23"/>
        <v>6.8105192178017526E-2</v>
      </c>
      <c r="W38" s="1390">
        <f t="shared" si="23"/>
        <v>7.0680628272251314E-2</v>
      </c>
      <c r="X38" s="1388">
        <f t="shared" si="23"/>
        <v>8.0861779518746499E-2</v>
      </c>
      <c r="Y38" s="1390">
        <f t="shared" si="23"/>
        <v>0.15244203256043415</v>
      </c>
      <c r="Z38" s="1390">
        <f t="shared" si="23"/>
        <v>0.15384615384615385</v>
      </c>
      <c r="AA38" s="1390">
        <f t="shared" si="23"/>
        <v>0.34112149532710279</v>
      </c>
      <c r="AB38" s="1390">
        <f t="shared" si="23"/>
        <v>0.74007220216606495</v>
      </c>
      <c r="AC38" s="1388">
        <f t="shared" si="23"/>
        <v>0.20965489726710554</v>
      </c>
      <c r="AD38" s="1390">
        <f t="shared" si="23"/>
        <v>0.46524064171122997</v>
      </c>
      <c r="AE38" s="1390">
        <f t="shared" si="23"/>
        <v>0.23492063492063492</v>
      </c>
      <c r="AF38" s="1390">
        <f t="shared" si="23"/>
        <v>0.34080717488789236</v>
      </c>
      <c r="AG38" s="1390">
        <f t="shared" si="23"/>
        <v>0.62937062937062938</v>
      </c>
      <c r="AH38" s="1388">
        <f t="shared" si="23"/>
        <v>0.37672811059907835</v>
      </c>
      <c r="AI38" s="1390">
        <f t="shared" si="23"/>
        <v>0.23469387755102042</v>
      </c>
      <c r="AJ38" s="1390">
        <f t="shared" si="23"/>
        <v>6.5</v>
      </c>
      <c r="AK38" s="1390">
        <f t="shared" si="23"/>
        <v>0.19230769230769232</v>
      </c>
      <c r="AL38" s="1390">
        <f t="shared" si="23"/>
        <v>0.46715328467153283</v>
      </c>
      <c r="AM38" s="1397"/>
      <c r="AN38" s="1390">
        <f t="shared" si="23"/>
        <v>1.5813953488372092</v>
      </c>
      <c r="AO38" s="1390">
        <f t="shared" si="23"/>
        <v>0.11904761904761904</v>
      </c>
      <c r="AP38" s="1390">
        <f t="shared" si="23"/>
        <v>0.13227513227513227</v>
      </c>
      <c r="AQ38" s="1390"/>
      <c r="AR38" s="1397">
        <f>(AR35-AM35-$AR$97)/(AM12*AR16)</f>
        <v>-0.38623565803164001</v>
      </c>
      <c r="AS38" s="1390">
        <f>(AS35-AN35-$AR$97/4)/(AN12*AS16)</f>
        <v>0.15054847754439488</v>
      </c>
      <c r="AT38" s="1390">
        <f>(AT35-AO35-$AR$97/4)/(AO12*AT16)</f>
        <v>0.23187242492854673</v>
      </c>
      <c r="AU38" s="2331" t="s">
        <v>284</v>
      </c>
      <c r="AV38" s="1390">
        <f>(AV35-AQ35-$AR$97/4)/(AQ12*AV16)</f>
        <v>-0.11810103051118966</v>
      </c>
      <c r="AW38" s="1397">
        <f>(AW35-AR35-$AW$97)/(AR12*AW16)</f>
        <v>-0.61717024143782007</v>
      </c>
      <c r="AX38" s="1390">
        <f>(AX35-AS35-$AR$97/4)/(AS12*AX16)</f>
        <v>2.534353842187238E-2</v>
      </c>
      <c r="AY38" s="1390">
        <f>(AY35-AT35-$AR$97/4)/(AT12*AY16)</f>
        <v>7.6023904256663138E-2</v>
      </c>
      <c r="AZ38" s="1390">
        <f>(AZ35-AU35-$AR$97/4)/(AU12*AZ16)</f>
        <v>7.5942263264848223E-2</v>
      </c>
      <c r="BA38" s="1390">
        <f>(BA35-AV35-$AR$97/4)/(AV12*BA16)</f>
        <v>0.16810697743014932</v>
      </c>
      <c r="BB38" s="1397">
        <f>(BB35-AW35-$AW$97)/(AW12*BB16)</f>
        <v>-0.14926243213773738</v>
      </c>
      <c r="BC38" s="1397">
        <f>(BC35-BB35-$AW$97)/(BB12*BC16)</f>
        <v>-0.13644826176041325</v>
      </c>
      <c r="BD38" s="1397">
        <f>(BD35-BC35-$AW$97)/(BC12*BD16)</f>
        <v>-0.13135337140755077</v>
      </c>
      <c r="BE38" s="1397">
        <f>(BE35-BD35-$AW$97)/(BD12*BE16)</f>
        <v>-0.22175727928672653</v>
      </c>
      <c r="BF38" s="451"/>
      <c r="BG38" s="1178" t="s">
        <v>1350</v>
      </c>
      <c r="BH38" s="1533">
        <v>-150</v>
      </c>
      <c r="BI38" s="1178">
        <v>-150</v>
      </c>
      <c r="BJ38" s="1178">
        <f>AR96</f>
        <v>-150</v>
      </c>
      <c r="BK38" s="1178">
        <f>$AW$96</f>
        <v>0</v>
      </c>
    </row>
    <row r="39" spans="1:63" s="1178" customFormat="1" ht="11.25">
      <c r="A39" s="1396"/>
      <c r="B39" s="1396"/>
      <c r="C39" s="1395"/>
      <c r="D39" s="1394" t="s">
        <v>282</v>
      </c>
      <c r="E39" s="1393"/>
      <c r="F39" s="1393"/>
      <c r="G39" s="1393"/>
      <c r="H39" s="1393"/>
      <c r="I39" s="1393"/>
      <c r="J39" s="1393"/>
      <c r="K39" s="1393"/>
      <c r="L39" s="1393"/>
      <c r="M39" s="1393"/>
      <c r="N39" s="1388"/>
      <c r="O39" s="1390"/>
      <c r="P39" s="1390"/>
      <c r="Q39" s="1390"/>
      <c r="R39" s="1390"/>
      <c r="S39" s="1388"/>
      <c r="T39" s="1390">
        <f t="shared" ref="T39:AU39" si="24">IF(ISERROR(T35/O35-1),"-",T35/O35-1)</f>
        <v>0.14942528735632177</v>
      </c>
      <c r="U39" s="1390">
        <f t="shared" si="24"/>
        <v>0.14438502673796783</v>
      </c>
      <c r="V39" s="1390">
        <f t="shared" si="24"/>
        <v>0.49268292682926829</v>
      </c>
      <c r="W39" s="1390">
        <f t="shared" si="24"/>
        <v>0.66176470588235303</v>
      </c>
      <c r="X39" s="1388">
        <f t="shared" si="24"/>
        <v>0.37532467532467528</v>
      </c>
      <c r="Y39" s="1390">
        <f t="shared" si="24"/>
        <v>1.5449999999999999</v>
      </c>
      <c r="Z39" s="1390">
        <f t="shared" si="24"/>
        <v>1.485981308411215</v>
      </c>
      <c r="AA39" s="1390">
        <f t="shared" si="24"/>
        <v>0.71568627450980382</v>
      </c>
      <c r="AB39" s="1390">
        <f t="shared" si="24"/>
        <v>0.60471976401179939</v>
      </c>
      <c r="AC39" s="1388">
        <f t="shared" si="24"/>
        <v>0.99244570349386207</v>
      </c>
      <c r="AD39" s="1390">
        <f t="shared" si="24"/>
        <v>0.17092337917485256</v>
      </c>
      <c r="AE39" s="1390">
        <f t="shared" si="24"/>
        <v>0.13909774436090228</v>
      </c>
      <c r="AF39" s="1390">
        <f t="shared" si="24"/>
        <v>0.14476190476190487</v>
      </c>
      <c r="AG39" s="1390">
        <f t="shared" si="24"/>
        <v>0.16544117647058831</v>
      </c>
      <c r="AH39" s="1388">
        <f t="shared" si="24"/>
        <v>0.15497630331753554</v>
      </c>
      <c r="AI39" s="1390">
        <f t="shared" si="24"/>
        <v>3.8590604026845554E-2</v>
      </c>
      <c r="AJ39" s="1390">
        <f t="shared" si="24"/>
        <v>-4.2904290429042868E-2</v>
      </c>
      <c r="AK39" s="1390">
        <f t="shared" si="24"/>
        <v>-2.4958402662229595E-2</v>
      </c>
      <c r="AL39" s="1390">
        <f t="shared" si="24"/>
        <v>-0.10094637223974767</v>
      </c>
      <c r="AM39" s="1397">
        <f t="shared" si="24"/>
        <v>-3.3647927780057429E-2</v>
      </c>
      <c r="AN39" s="1390">
        <f t="shared" si="24"/>
        <v>-0.10985460420032311</v>
      </c>
      <c r="AO39" s="1390">
        <f t="shared" si="24"/>
        <v>1.7241379310344751E-2</v>
      </c>
      <c r="AP39" s="1390">
        <f t="shared" si="24"/>
        <v>4.2662116040955711E-2</v>
      </c>
      <c r="AQ39" s="1390">
        <f t="shared" si="24"/>
        <v>4.3859649122806932E-2</v>
      </c>
      <c r="AR39" s="1397">
        <f t="shared" si="24"/>
        <v>-3.3970276008492561E-3</v>
      </c>
      <c r="AS39" s="1390">
        <f t="shared" si="24"/>
        <v>8.7114337568058087E-2</v>
      </c>
      <c r="AT39" s="1390">
        <f t="shared" si="24"/>
        <v>2.2033898305084731E-2</v>
      </c>
      <c r="AU39" s="1390">
        <f t="shared" si="24"/>
        <v>3.6006546644844484E-2</v>
      </c>
      <c r="AV39" s="1390">
        <f t="shared" ref="AV39:BB39" si="25">IF(ISERROR(AV35/AQ35-1),"-",AV35/AQ35-1)</f>
        <v>7.7610143419741817E-3</v>
      </c>
      <c r="AW39" s="1388">
        <f t="shared" si="25"/>
        <v>3.7331829370888192E-2</v>
      </c>
      <c r="AX39" s="1390">
        <f t="shared" si="25"/>
        <v>4.2198664440734612E-2</v>
      </c>
      <c r="AY39" s="1390">
        <f t="shared" si="25"/>
        <v>6.338308457711439E-2</v>
      </c>
      <c r="AZ39" s="1390">
        <f t="shared" si="25"/>
        <v>6.0329383886255972E-2</v>
      </c>
      <c r="BA39" s="1390">
        <f t="shared" si="25"/>
        <v>8.1669082229707479E-2</v>
      </c>
      <c r="BB39" s="1388">
        <f t="shared" si="25"/>
        <v>6.1880651445380241E-2</v>
      </c>
      <c r="BC39" s="1388">
        <f>IF(ISERROR(BC35/BB35-1),"-",BC35/BB35-1)</f>
        <v>5.9945233380895857E-2</v>
      </c>
      <c r="BD39" s="1388">
        <f>IF(ISERROR(BD35/BC35-1),"-",BD35/BC35-1)</f>
        <v>5.9870874394032159E-2</v>
      </c>
      <c r="BE39" s="1388">
        <f>IF(ISERROR(BE35/BD35-1),"-",BE35/BD35-1)</f>
        <v>2.8422904902209556E-2</v>
      </c>
      <c r="BF39" s="1390"/>
      <c r="BG39" s="1178" t="s">
        <v>266</v>
      </c>
      <c r="BH39" s="1533">
        <v>125</v>
      </c>
      <c r="BI39" s="1178">
        <v>125</v>
      </c>
      <c r="BJ39" s="1178">
        <f>AR92+AR94</f>
        <v>125</v>
      </c>
      <c r="BK39" s="1855">
        <f>AW92</f>
        <v>-6.0443594484645473</v>
      </c>
    </row>
    <row r="40" spans="1:63" s="1178" customFormat="1" ht="11.25">
      <c r="A40" s="1396"/>
      <c r="B40" s="1396"/>
      <c r="C40" s="1395"/>
      <c r="D40" s="1394"/>
      <c r="E40" s="1393"/>
      <c r="F40" s="1393"/>
      <c r="G40" s="1393"/>
      <c r="H40" s="1393"/>
      <c r="I40" s="1393"/>
      <c r="J40" s="1393"/>
      <c r="K40" s="1393"/>
      <c r="L40" s="1393"/>
      <c r="M40" s="1393"/>
      <c r="N40" s="1388"/>
      <c r="O40" s="1390"/>
      <c r="P40" s="1390"/>
      <c r="Q40" s="1390"/>
      <c r="R40" s="1390"/>
      <c r="S40" s="1388"/>
      <c r="T40" s="1390"/>
      <c r="U40" s="1390"/>
      <c r="V40" s="1390"/>
      <c r="W40" s="1390"/>
      <c r="X40" s="1388"/>
      <c r="Y40" s="1390"/>
      <c r="Z40" s="1390"/>
      <c r="AA40" s="1390"/>
      <c r="AB40" s="1390"/>
      <c r="AC40" s="1388"/>
      <c r="AD40" s="1390"/>
      <c r="AE40" s="1390"/>
      <c r="AF40" s="1390"/>
      <c r="AG40" s="1390"/>
      <c r="AH40" s="1388"/>
      <c r="AI40" s="1390"/>
      <c r="AJ40" s="1390"/>
      <c r="AK40" s="1390"/>
      <c r="AL40" s="1390"/>
      <c r="AM40" s="1388"/>
      <c r="AN40" s="1390"/>
      <c r="AO40" s="1390"/>
      <c r="AP40" s="1390"/>
      <c r="AQ40" s="1390"/>
      <c r="AR40" s="1388"/>
      <c r="AS40" s="1390"/>
      <c r="AT40" s="1390"/>
      <c r="AU40" s="1390"/>
      <c r="AV40" s="1390"/>
      <c r="AW40" s="1388"/>
      <c r="AX40" s="1390"/>
      <c r="AY40" s="1390"/>
      <c r="AZ40" s="1390"/>
      <c r="BA40" s="1390"/>
      <c r="BB40" s="1388"/>
      <c r="BC40" s="1388"/>
      <c r="BD40" s="1388"/>
      <c r="BE40" s="1388"/>
      <c r="BF40" s="1390"/>
      <c r="BG40" s="1178" t="s">
        <v>134</v>
      </c>
      <c r="BH40" s="1533">
        <v>125</v>
      </c>
      <c r="BI40" s="1178">
        <v>125</v>
      </c>
      <c r="BJ40" s="1178">
        <f>AR93</f>
        <v>125</v>
      </c>
      <c r="BK40" s="1855">
        <f>$AW$93</f>
        <v>25</v>
      </c>
    </row>
    <row r="41" spans="1:63" s="1178" customFormat="1" ht="12" customHeight="1">
      <c r="A41" s="1363"/>
      <c r="B41" s="1363"/>
      <c r="C41" s="1387" t="s">
        <v>222</v>
      </c>
      <c r="D41" s="1386"/>
      <c r="E41" s="1363"/>
      <c r="F41" s="1363"/>
      <c r="G41" s="1363"/>
      <c r="H41" s="1363"/>
      <c r="I41" s="1363"/>
      <c r="J41" s="1363"/>
      <c r="K41" s="1363"/>
      <c r="L41" s="1363"/>
      <c r="M41" s="1363"/>
      <c r="N41" s="1286">
        <v>117</v>
      </c>
      <c r="O41" s="1384">
        <f>$S$41/4</f>
        <v>40.75</v>
      </c>
      <c r="P41" s="1384">
        <f>$S$41/4</f>
        <v>40.75</v>
      </c>
      <c r="Q41" s="1384">
        <f>$S$41/4</f>
        <v>40.75</v>
      </c>
      <c r="R41" s="1384">
        <f>$S$41/4</f>
        <v>40.75</v>
      </c>
      <c r="S41" s="1286">
        <v>163</v>
      </c>
      <c r="T41" s="1384">
        <f>$X$41/4</f>
        <v>91.75</v>
      </c>
      <c r="U41" s="1384">
        <f>$X$41/4</f>
        <v>91.75</v>
      </c>
      <c r="V41" s="1384">
        <f>$X$41/4</f>
        <v>91.75</v>
      </c>
      <c r="W41" s="1384">
        <f>$X$41/4</f>
        <v>91.75</v>
      </c>
      <c r="X41" s="1286">
        <v>367</v>
      </c>
      <c r="Y41" s="1384">
        <f>$AC$41/4</f>
        <v>127.5</v>
      </c>
      <c r="Z41" s="1384">
        <f>+Y41</f>
        <v>127.5</v>
      </c>
      <c r="AA41" s="1384">
        <f>+Z41</f>
        <v>127.5</v>
      </c>
      <c r="AB41" s="1384">
        <f>+AA41</f>
        <v>127.5</v>
      </c>
      <c r="AC41" s="1286">
        <v>510</v>
      </c>
      <c r="AD41" s="1384">
        <f>$AH$41/4</f>
        <v>133.25</v>
      </c>
      <c r="AE41" s="1384">
        <f>$AH$41/4</f>
        <v>133.25</v>
      </c>
      <c r="AF41" s="1384">
        <f>$AH$41/4</f>
        <v>133.25</v>
      </c>
      <c r="AG41" s="1384">
        <f>$AH$41/4</f>
        <v>133.25</v>
      </c>
      <c r="AH41" s="1286">
        <v>533</v>
      </c>
      <c r="AI41" s="1384">
        <f>AM$41/4</f>
        <v>134.25</v>
      </c>
      <c r="AJ41" s="1384">
        <f>+AI41</f>
        <v>134.25</v>
      </c>
      <c r="AK41" s="1384">
        <f>+AJ41</f>
        <v>134.25</v>
      </c>
      <c r="AL41" s="1384">
        <f>+AM41-SUM(AI41:AK41)</f>
        <v>134.25</v>
      </c>
      <c r="AM41" s="1286">
        <v>537</v>
      </c>
      <c r="AN41" s="1384">
        <f>AR$41/4</f>
        <v>113</v>
      </c>
      <c r="AO41" s="1384">
        <f>+AN41</f>
        <v>113</v>
      </c>
      <c r="AP41" s="1384">
        <f>+AO41</f>
        <v>113</v>
      </c>
      <c r="AQ41" s="1384">
        <f>+AR41-SUM(AN41:AP41)</f>
        <v>113</v>
      </c>
      <c r="AR41" s="1286">
        <v>452</v>
      </c>
      <c r="AS41" s="1384">
        <f>AW$41/4</f>
        <v>117.03945994600002</v>
      </c>
      <c r="AT41" s="1384">
        <f>+AS41</f>
        <v>117.03945994600002</v>
      </c>
      <c r="AU41" s="1384">
        <f>+AT41</f>
        <v>117.03945994600002</v>
      </c>
      <c r="AV41" s="1384">
        <f>+AW41-SUM(AS41:AU41)</f>
        <v>117.03945994600002</v>
      </c>
      <c r="AW41" s="1286">
        <f>AW42*AW12</f>
        <v>468.15783978400009</v>
      </c>
      <c r="AX41" s="1384">
        <f>BB$41/4</f>
        <v>127.31721292620705</v>
      </c>
      <c r="AY41" s="1384">
        <f>+AX41</f>
        <v>127.31721292620705</v>
      </c>
      <c r="AZ41" s="1384">
        <f>+AY41</f>
        <v>127.31721292620705</v>
      </c>
      <c r="BA41" s="1384">
        <f>+BB41-SUM(AX41:AZ41)</f>
        <v>127.31721292620705</v>
      </c>
      <c r="BB41" s="1286">
        <f>BB42*BB12</f>
        <v>509.26885170482819</v>
      </c>
      <c r="BC41" s="1286">
        <f>BC42*BC12</f>
        <v>486.43087590237155</v>
      </c>
      <c r="BD41" s="1286">
        <f>BD42*BD12</f>
        <v>508.72477526881863</v>
      </c>
      <c r="BE41" s="1286">
        <f>BE42*BE12</f>
        <v>532.9573213581474</v>
      </c>
      <c r="BF41" s="1384"/>
      <c r="BG41" s="1234" t="s">
        <v>1030</v>
      </c>
      <c r="BH41" s="1234">
        <f>SUM(BH36:BH40)</f>
        <v>-50</v>
      </c>
      <c r="BI41" s="1234">
        <f>SUM(BI36:BI40)</f>
        <v>0</v>
      </c>
      <c r="BJ41" s="1907">
        <f>SUM(BJ36:BJ40)</f>
        <v>5.5344827586208112</v>
      </c>
      <c r="BK41" s="1907">
        <f>SUM(BK36:BK40)</f>
        <v>94.899750301535477</v>
      </c>
    </row>
    <row r="42" spans="1:63" s="1178" customFormat="1" ht="12" customHeight="1" thickBot="1">
      <c r="A42" s="1156"/>
      <c r="B42" s="1156"/>
      <c r="C42" s="1382"/>
      <c r="D42" s="1382" t="s">
        <v>293</v>
      </c>
      <c r="E42" s="1381"/>
      <c r="F42" s="1381"/>
      <c r="G42" s="1381"/>
      <c r="H42" s="1381"/>
      <c r="I42" s="1381"/>
      <c r="J42" s="1381"/>
      <c r="K42" s="1381"/>
      <c r="L42" s="1381"/>
      <c r="M42" s="1381"/>
      <c r="N42" s="1378">
        <f t="shared" ref="N42:AM42" si="26">N41/N12</f>
        <v>2.6596953853148444E-2</v>
      </c>
      <c r="O42" s="1379">
        <f t="shared" si="26"/>
        <v>3.5808435852372582E-2</v>
      </c>
      <c r="P42" s="1379">
        <f t="shared" si="26"/>
        <v>3.479931682322801E-2</v>
      </c>
      <c r="Q42" s="1379">
        <f t="shared" si="26"/>
        <v>3.4330244313395111E-2</v>
      </c>
      <c r="R42" s="1379">
        <f t="shared" si="26"/>
        <v>3.223892405063291E-2</v>
      </c>
      <c r="S42" s="1378">
        <f t="shared" si="26"/>
        <v>3.42436974789916E-2</v>
      </c>
      <c r="T42" s="1379">
        <f t="shared" si="26"/>
        <v>7.4231391585760517E-2</v>
      </c>
      <c r="U42" s="1379">
        <f t="shared" si="26"/>
        <v>7.3165869218500795E-2</v>
      </c>
      <c r="V42" s="1379">
        <f t="shared" si="26"/>
        <v>3.4363295880149816E-2</v>
      </c>
      <c r="W42" s="1379">
        <f t="shared" si="26"/>
        <v>2.8906742281033397E-2</v>
      </c>
      <c r="X42" s="1378">
        <f t="shared" si="26"/>
        <v>4.4036477081833454E-2</v>
      </c>
      <c r="Y42" s="1379">
        <f t="shared" si="26"/>
        <v>3.9074471345387683E-2</v>
      </c>
      <c r="Z42" s="1379">
        <f t="shared" si="26"/>
        <v>3.8392050587172537E-2</v>
      </c>
      <c r="AA42" s="1379">
        <f t="shared" si="26"/>
        <v>3.84963768115942E-2</v>
      </c>
      <c r="AB42" s="1379">
        <f t="shared" si="26"/>
        <v>3.6945812807881777E-2</v>
      </c>
      <c r="AC42" s="1378">
        <f t="shared" si="26"/>
        <v>3.8210833895257361E-2</v>
      </c>
      <c r="AD42" s="1379">
        <f t="shared" si="26"/>
        <v>3.86231884057971E-2</v>
      </c>
      <c r="AE42" s="1379">
        <f t="shared" si="26"/>
        <v>3.6647414741474149E-2</v>
      </c>
      <c r="AF42" s="1379">
        <f t="shared" si="26"/>
        <v>3.7694483734087694E-2</v>
      </c>
      <c r="AG42" s="1379">
        <f t="shared" si="26"/>
        <v>3.7075681691708405E-2</v>
      </c>
      <c r="AH42" s="1378">
        <f t="shared" si="26"/>
        <v>3.7495603236018291E-2</v>
      </c>
      <c r="AI42" s="1379">
        <f t="shared" si="26"/>
        <v>3.7838218714768883E-2</v>
      </c>
      <c r="AJ42" s="1379">
        <f t="shared" si="26"/>
        <v>3.6963105726872246E-2</v>
      </c>
      <c r="AK42" s="1379">
        <f t="shared" si="26"/>
        <v>3.8834249349146657E-2</v>
      </c>
      <c r="AL42" s="1379">
        <f t="shared" si="26"/>
        <v>3.8834249349146657E-2</v>
      </c>
      <c r="AM42" s="1378">
        <f t="shared" si="26"/>
        <v>3.8101319710515114E-2</v>
      </c>
      <c r="AN42" s="1379">
        <f t="shared" ref="AN42:AV42" si="27">AN41/AN12</f>
        <v>3.2239657631954348E-2</v>
      </c>
      <c r="AO42" s="1379">
        <f t="shared" si="27"/>
        <v>3.0409041980624326E-2</v>
      </c>
      <c r="AP42" s="1379">
        <f t="shared" si="27"/>
        <v>3.0992868897421831E-2</v>
      </c>
      <c r="AQ42" s="1379">
        <f t="shared" si="27"/>
        <v>3.140633685380767E-2</v>
      </c>
      <c r="AR42" s="1378">
        <f t="shared" si="27"/>
        <v>3.1247839612858624E-2</v>
      </c>
      <c r="AS42" s="1379">
        <f t="shared" si="27"/>
        <v>3.2411924659651072E-2</v>
      </c>
      <c r="AT42" s="1379">
        <f t="shared" si="27"/>
        <v>3.2153697787362642E-2</v>
      </c>
      <c r="AU42" s="1379">
        <f t="shared" si="27"/>
        <v>3.2180219946659344E-2</v>
      </c>
      <c r="AV42" s="1379">
        <f t="shared" si="27"/>
        <v>3.1277811707486752E-2</v>
      </c>
      <c r="AW42" s="1376">
        <v>3.2000000000000001E-2</v>
      </c>
      <c r="AX42" s="1379">
        <f>AX41/AX12</f>
        <v>3.3727296814992667E-2</v>
      </c>
      <c r="AY42" s="1379">
        <f>AY41/AY12</f>
        <v>3.2830489660480397E-2</v>
      </c>
      <c r="AZ42" s="1379">
        <f>AZ41/AZ12</f>
        <v>3.2857570075377679E-2</v>
      </c>
      <c r="BA42" s="1379">
        <f>BA41/BA12</f>
        <v>3.260656671920726E-2</v>
      </c>
      <c r="BB42" s="1376">
        <v>3.3000000000000002E-2</v>
      </c>
      <c r="BC42" s="1376">
        <v>0.03</v>
      </c>
      <c r="BD42" s="1376">
        <v>0.03</v>
      </c>
      <c r="BE42" s="1376">
        <v>0.03</v>
      </c>
      <c r="BF42" s="1982"/>
    </row>
    <row r="43" spans="1:63" s="1178" customFormat="1" ht="11.25">
      <c r="A43" s="1156"/>
      <c r="B43" s="1156"/>
      <c r="C43" s="1818"/>
      <c r="D43" s="1156"/>
      <c r="E43" s="1156"/>
      <c r="F43" s="1156"/>
      <c r="G43" s="1156"/>
      <c r="H43" s="1156"/>
      <c r="I43" s="1156"/>
      <c r="J43" s="1156"/>
      <c r="K43" s="1156"/>
      <c r="L43" s="1156"/>
      <c r="M43" s="1156"/>
      <c r="N43" s="1235"/>
      <c r="O43" s="1186"/>
      <c r="P43" s="1186"/>
      <c r="Q43" s="1186"/>
      <c r="R43" s="1186"/>
      <c r="S43" s="1235"/>
      <c r="T43" s="1184"/>
      <c r="U43" s="1184"/>
      <c r="V43" s="1184"/>
      <c r="W43" s="1184"/>
      <c r="X43" s="1222"/>
      <c r="Y43" s="1184"/>
      <c r="Z43" s="1824"/>
      <c r="AA43" s="1366"/>
      <c r="AB43" s="1184"/>
      <c r="AC43" s="1222"/>
      <c r="AD43" s="1184"/>
      <c r="AE43" s="1184"/>
      <c r="AF43" s="1366"/>
      <c r="AG43" s="1184"/>
      <c r="AH43" s="1222"/>
      <c r="AI43" s="1184"/>
      <c r="AJ43" s="1184"/>
      <c r="AK43" s="1366"/>
      <c r="AL43" s="1184"/>
      <c r="AM43" s="1222"/>
      <c r="AN43" s="1184"/>
      <c r="AO43" s="1184"/>
      <c r="AP43" s="1184"/>
      <c r="AQ43" s="1184"/>
      <c r="AR43" s="1222"/>
      <c r="AS43" s="1184"/>
      <c r="AT43" s="1184"/>
      <c r="AU43" s="1184"/>
      <c r="AV43" s="1184"/>
      <c r="AW43" s="1221"/>
      <c r="AX43" s="2110"/>
      <c r="AY43" s="2110"/>
      <c r="AZ43" s="2110"/>
      <c r="BA43" s="2110"/>
      <c r="BB43" s="1221"/>
      <c r="BC43" s="1221"/>
      <c r="BD43" s="2111"/>
      <c r="BE43" s="2111"/>
      <c r="BF43" s="1156"/>
    </row>
    <row r="44" spans="1:63" s="1178" customFormat="1" ht="11.25">
      <c r="A44" s="1156"/>
      <c r="B44" s="1156"/>
      <c r="C44" s="1818" t="s">
        <v>1009</v>
      </c>
      <c r="D44" s="1156"/>
      <c r="E44" s="1156"/>
      <c r="F44" s="1156"/>
      <c r="G44" s="1156"/>
      <c r="H44" s="1156"/>
      <c r="I44" s="1156"/>
      <c r="J44" s="1156"/>
      <c r="K44" s="1156"/>
      <c r="L44" s="1156"/>
      <c r="M44" s="1156"/>
      <c r="N44" s="1235"/>
      <c r="O44" s="1186"/>
      <c r="P44" s="1186"/>
      <c r="Q44" s="1186"/>
      <c r="R44" s="1186"/>
      <c r="S44" s="1235"/>
      <c r="T44" s="1184"/>
      <c r="U44" s="1184"/>
      <c r="V44" s="1184"/>
      <c r="W44" s="1184"/>
      <c r="X44" s="1222"/>
      <c r="Y44" s="1184"/>
      <c r="Z44" s="1824"/>
      <c r="AA44" s="1366"/>
      <c r="AB44" s="1184"/>
      <c r="AC44" s="1222"/>
      <c r="AD44" s="1184"/>
      <c r="AE44" s="1184"/>
      <c r="AF44" s="1366">
        <f>900*0.25</f>
        <v>225</v>
      </c>
      <c r="AG44" s="1184"/>
      <c r="AH44" s="1222"/>
      <c r="AI44" s="1184"/>
      <c r="AJ44" s="1184"/>
      <c r="AK44" s="1366"/>
      <c r="AL44" s="1184"/>
      <c r="AM44" s="1222"/>
      <c r="AN44" s="1184"/>
      <c r="AO44" s="1184"/>
      <c r="AP44" s="1184"/>
      <c r="AQ44" s="1184"/>
      <c r="AR44" s="1222"/>
      <c r="AS44" s="1184"/>
      <c r="AT44" s="1184"/>
      <c r="AU44" s="1184"/>
      <c r="AV44" s="1184"/>
      <c r="AW44" s="1221"/>
      <c r="AX44" s="2110"/>
      <c r="AY44" s="2110"/>
      <c r="AZ44" s="2110"/>
      <c r="BA44" s="2110"/>
      <c r="BB44" s="1221"/>
      <c r="BC44" s="1221"/>
      <c r="BD44" s="2111"/>
      <c r="BE44" s="2111"/>
      <c r="BF44" s="1156"/>
    </row>
    <row r="45" spans="1:63" s="1178" customFormat="1" ht="11.25">
      <c r="A45" s="1156"/>
      <c r="B45" s="1156"/>
      <c r="C45" s="1186" t="s">
        <v>639</v>
      </c>
      <c r="D45" s="1156"/>
      <c r="E45" s="1156"/>
      <c r="F45" s="1156"/>
      <c r="G45" s="1156"/>
      <c r="H45" s="1156"/>
      <c r="I45" s="1156"/>
      <c r="J45" s="1156"/>
      <c r="K45" s="1156"/>
      <c r="L45" s="1156"/>
      <c r="M45" s="1156"/>
      <c r="N45" s="1235"/>
      <c r="O45" s="1186"/>
      <c r="P45" s="1186"/>
      <c r="Q45" s="1186"/>
      <c r="R45" s="1186"/>
      <c r="S45" s="1235"/>
      <c r="T45" s="1184"/>
      <c r="U45" s="1184"/>
      <c r="V45" s="1184"/>
      <c r="W45" s="1184"/>
      <c r="X45" s="1222"/>
      <c r="Y45" s="1184"/>
      <c r="Z45" s="1842"/>
      <c r="AA45" s="1842"/>
      <c r="AB45" s="1184"/>
      <c r="AC45" s="1222"/>
      <c r="AD45" s="1184"/>
      <c r="AE45" s="1184"/>
      <c r="AF45" s="1842"/>
      <c r="AG45" s="1184"/>
      <c r="AH45" s="1222"/>
      <c r="AI45" s="1184"/>
      <c r="AJ45" s="1184"/>
      <c r="AK45" s="1842"/>
      <c r="AL45" s="1184"/>
      <c r="AM45" s="1222"/>
      <c r="AN45" s="1184"/>
      <c r="AO45" s="1184"/>
      <c r="AP45" s="1184"/>
      <c r="AQ45" s="1184"/>
      <c r="AR45" s="1222"/>
      <c r="AS45" s="1184"/>
      <c r="AT45" s="1184"/>
      <c r="AU45" s="1184"/>
      <c r="AV45" s="1184"/>
      <c r="AW45" s="1221"/>
      <c r="AX45" s="2110"/>
      <c r="AY45" s="2110"/>
      <c r="AZ45" s="2110"/>
      <c r="BA45" s="2110"/>
      <c r="BB45" s="1221"/>
      <c r="BC45" s="1221"/>
      <c r="BD45" s="2111"/>
      <c r="BE45" s="2111"/>
      <c r="BF45" s="1156"/>
    </row>
    <row r="46" spans="1:63" s="1178" customFormat="1" ht="11.25">
      <c r="A46" s="1156"/>
      <c r="B46" s="1156"/>
      <c r="C46" s="1156" t="s">
        <v>1295</v>
      </c>
      <c r="D46" s="1156"/>
      <c r="E46" s="1156"/>
      <c r="F46" s="1156"/>
      <c r="G46" s="1156"/>
      <c r="H46" s="1196"/>
      <c r="I46" s="1196"/>
      <c r="J46" s="1196">
        <v>683</v>
      </c>
      <c r="K46" s="1840">
        <v>745</v>
      </c>
      <c r="L46" s="1840">
        <v>850</v>
      </c>
      <c r="M46" s="1840">
        <f>2600*0.5</f>
        <v>1300</v>
      </c>
      <c r="N46" s="387">
        <f>2600*0.5</f>
        <v>1300</v>
      </c>
      <c r="O46" s="1428"/>
      <c r="P46" s="1428"/>
      <c r="Q46" s="1428"/>
      <c r="R46" s="1428"/>
      <c r="S46" s="387">
        <f>3200*0.6</f>
        <v>1920</v>
      </c>
      <c r="T46" s="1541"/>
      <c r="U46" s="1184"/>
      <c r="V46" s="1184"/>
      <c r="W46" s="1184"/>
      <c r="X46" s="387">
        <f>X12*X59</f>
        <v>3416.9399999999996</v>
      </c>
      <c r="Y46" s="1541"/>
      <c r="Z46" s="1184"/>
      <c r="AA46" s="1184"/>
      <c r="AB46" s="1184"/>
      <c r="AC46" s="1841">
        <f>0.43*AC51</f>
        <v>5739.21</v>
      </c>
      <c r="AD46" s="1184"/>
      <c r="AE46" s="1184"/>
      <c r="AF46" s="1184"/>
      <c r="AG46" s="1184"/>
      <c r="AH46" s="387">
        <f>AH84*AH85*$AH$12</f>
        <v>6396.7499999999991</v>
      </c>
      <c r="AI46" s="1184"/>
      <c r="AJ46" s="1184"/>
      <c r="AK46" s="1184"/>
      <c r="AL46" s="1184"/>
      <c r="AM46" s="387">
        <f>AH46*(1+AM53)</f>
        <v>6844.5224999999991</v>
      </c>
      <c r="AN46" s="1184"/>
      <c r="AO46" s="1184"/>
      <c r="AP46" s="1184"/>
      <c r="AQ46" s="1184"/>
      <c r="AR46" s="387">
        <f>AM46*(1+AR53)</f>
        <v>7255.1938499999997</v>
      </c>
      <c r="AS46" s="1184"/>
      <c r="AT46" s="1184"/>
      <c r="AU46" s="1184"/>
      <c r="AV46" s="1184"/>
      <c r="AW46" s="387">
        <f>AR46*(1+AW53)</f>
        <v>7037.5380344999994</v>
      </c>
      <c r="AX46" s="2110"/>
      <c r="AY46" s="2110"/>
      <c r="AZ46" s="2110"/>
      <c r="BA46" s="2110"/>
      <c r="BB46" s="387">
        <f>AW46*(1+BB53)</f>
        <v>7459.79031657</v>
      </c>
      <c r="BC46" s="387">
        <f t="shared" ref="BC46:BE48" si="28">BB46*(1+BC53)</f>
        <v>7907.3777355642005</v>
      </c>
      <c r="BD46" s="387">
        <f t="shared" si="28"/>
        <v>8302.7466223424108</v>
      </c>
      <c r="BE46" s="387">
        <f t="shared" si="28"/>
        <v>8800.911419682956</v>
      </c>
      <c r="BF46" s="373"/>
    </row>
    <row r="47" spans="1:63" s="1178" customFormat="1" ht="11.25">
      <c r="A47" s="1156"/>
      <c r="B47" s="1156"/>
      <c r="C47" s="1156" t="s">
        <v>1304</v>
      </c>
      <c r="D47" s="1156"/>
      <c r="E47" s="1156"/>
      <c r="F47" s="1156"/>
      <c r="G47" s="1156"/>
      <c r="H47" s="1196"/>
      <c r="I47" s="1196"/>
      <c r="J47" s="1196">
        <v>1655</v>
      </c>
      <c r="K47" s="1840">
        <v>1979</v>
      </c>
      <c r="L47" s="1840">
        <v>2200</v>
      </c>
      <c r="M47" s="1840">
        <f>2600*0.5</f>
        <v>1300</v>
      </c>
      <c r="N47" s="387">
        <f>2600*0.5</f>
        <v>1300</v>
      </c>
      <c r="O47" s="1428"/>
      <c r="P47" s="1428"/>
      <c r="Q47" s="1428"/>
      <c r="R47" s="1428"/>
      <c r="S47" s="387">
        <f>3200*0.4</f>
        <v>1280</v>
      </c>
      <c r="T47" s="1541"/>
      <c r="U47" s="1184"/>
      <c r="V47" s="1184"/>
      <c r="W47" s="1184"/>
      <c r="X47" s="387">
        <f>X12*(X60+X61)</f>
        <v>2583.54</v>
      </c>
      <c r="Y47" s="1541"/>
      <c r="Z47" s="1184"/>
      <c r="AA47" s="1184"/>
      <c r="AB47" s="1184"/>
      <c r="AC47" s="1841">
        <f>0.31*AC51</f>
        <v>4137.57</v>
      </c>
      <c r="AD47" s="1184"/>
      <c r="AE47" s="1184"/>
      <c r="AF47" s="1184"/>
      <c r="AG47" s="1184"/>
      <c r="AH47" s="387">
        <f>AH84*AH86*$AH$12</f>
        <v>4264.5000000000009</v>
      </c>
      <c r="AI47" s="1184"/>
      <c r="AJ47" s="1184"/>
      <c r="AK47" s="1184"/>
      <c r="AL47" s="1184"/>
      <c r="AM47" s="387">
        <f>AH47*(1+AM54)</f>
        <v>4221.8550000000005</v>
      </c>
      <c r="AN47" s="1184"/>
      <c r="AO47" s="1184"/>
      <c r="AP47" s="1184"/>
      <c r="AQ47" s="1184"/>
      <c r="AR47" s="387">
        <f>AM47*(1+AR54)</f>
        <v>4327.4013750000004</v>
      </c>
      <c r="AS47" s="1184"/>
      <c r="AT47" s="1184"/>
      <c r="AU47" s="1184"/>
      <c r="AV47" s="1184"/>
      <c r="AW47" s="387">
        <f>AR47*(1+AW54)</f>
        <v>4630.3194712500008</v>
      </c>
      <c r="AX47" s="2110"/>
      <c r="AY47" s="2110"/>
      <c r="AZ47" s="2110"/>
      <c r="BA47" s="2110"/>
      <c r="BB47" s="387">
        <f>AW47*(1+BB54)</f>
        <v>4815.532250100001</v>
      </c>
      <c r="BC47" s="387">
        <f t="shared" si="28"/>
        <v>5008.153540104001</v>
      </c>
      <c r="BD47" s="387">
        <f t="shared" si="28"/>
        <v>5208.4796817081615</v>
      </c>
      <c r="BE47" s="387">
        <f t="shared" si="28"/>
        <v>5364.7340721594064</v>
      </c>
      <c r="BF47" s="373"/>
    </row>
    <row r="48" spans="1:63" s="1178" customFormat="1" ht="11.25">
      <c r="A48" s="1156"/>
      <c r="B48" s="1156"/>
      <c r="C48" s="1156" t="s">
        <v>1303</v>
      </c>
      <c r="D48" s="1156"/>
      <c r="E48" s="1156"/>
      <c r="F48" s="1156"/>
      <c r="G48" s="1156"/>
      <c r="H48" s="1196"/>
      <c r="I48" s="1196"/>
      <c r="J48" s="1196">
        <v>1607</v>
      </c>
      <c r="K48" s="1840">
        <v>1695</v>
      </c>
      <c r="L48" s="1840">
        <v>1826</v>
      </c>
      <c r="M48" s="1840">
        <v>1600</v>
      </c>
      <c r="N48" s="387">
        <f>M48*0.98</f>
        <v>1568</v>
      </c>
      <c r="O48" s="1428"/>
      <c r="P48" s="1428"/>
      <c r="Q48" s="1428"/>
      <c r="R48" s="1428"/>
      <c r="S48" s="387">
        <v>1490</v>
      </c>
      <c r="T48" s="1541"/>
      <c r="U48" s="1184"/>
      <c r="V48" s="1184"/>
      <c r="W48" s="1184"/>
      <c r="X48" s="387">
        <f>X12*(X62+X63+X64+X65)</f>
        <v>2333.5200000000004</v>
      </c>
      <c r="Y48" s="1541"/>
      <c r="Z48" s="1184"/>
      <c r="AA48" s="1184"/>
      <c r="AB48" s="1184"/>
      <c r="AC48" s="1841">
        <f>AC51-AC47-AC46</f>
        <v>3470.2200000000003</v>
      </c>
      <c r="AD48" s="1184"/>
      <c r="AE48" s="1184"/>
      <c r="AF48" s="1184"/>
      <c r="AG48" s="1184"/>
      <c r="AH48" s="387">
        <f>AH51-AH47-AH46</f>
        <v>3553.7500000000009</v>
      </c>
      <c r="AI48" s="1544"/>
      <c r="AJ48" s="1544"/>
      <c r="AK48" s="1184"/>
      <c r="AL48" s="1184"/>
      <c r="AM48" s="387">
        <f>AH48*(1+AM55)</f>
        <v>3482.6750000000006</v>
      </c>
      <c r="AN48" s="1544"/>
      <c r="AO48" s="1544"/>
      <c r="AP48" s="1544"/>
      <c r="AQ48" s="1544"/>
      <c r="AR48" s="387">
        <f>AM48*(1+AR55)</f>
        <v>3308.5412500000007</v>
      </c>
      <c r="AS48" s="1544"/>
      <c r="AT48" s="1544"/>
      <c r="AU48" s="1544"/>
      <c r="AV48" s="1544"/>
      <c r="AW48" s="387">
        <f>AR48*(1+AW55)</f>
        <v>3407.7974875000009</v>
      </c>
      <c r="AX48" s="1544"/>
      <c r="AY48" s="1544"/>
      <c r="AZ48" s="1544"/>
      <c r="BA48" s="1544"/>
      <c r="BB48" s="387">
        <f>AW48*(1+BB55)</f>
        <v>3544.1093870000009</v>
      </c>
      <c r="BC48" s="387">
        <f t="shared" si="28"/>
        <v>3685.873762480001</v>
      </c>
      <c r="BD48" s="387">
        <f t="shared" si="28"/>
        <v>3833.3087129792011</v>
      </c>
      <c r="BE48" s="387">
        <f t="shared" si="28"/>
        <v>3986.6410614983693</v>
      </c>
      <c r="BF48" s="373"/>
    </row>
    <row r="49" spans="1:58" s="1178" customFormat="1" ht="11.25" outlineLevel="1">
      <c r="A49" s="1156"/>
      <c r="B49" s="1156"/>
      <c r="C49" s="1156" t="s">
        <v>1302</v>
      </c>
      <c r="D49" s="1156"/>
      <c r="E49" s="1156"/>
      <c r="F49" s="1156"/>
      <c r="G49" s="1156"/>
      <c r="H49" s="1196"/>
      <c r="I49" s="1196"/>
      <c r="J49" s="1840">
        <f>J51-J46-J47-J48</f>
        <v>1050</v>
      </c>
      <c r="K49" s="1840">
        <f>K51-K46-K47-K48</f>
        <v>1217</v>
      </c>
      <c r="L49" s="1840">
        <f>L51-L46-L47-L48</f>
        <v>1331</v>
      </c>
      <c r="M49" s="1840">
        <f>M51-M46-M47-M48</f>
        <v>1360</v>
      </c>
      <c r="N49" s="387">
        <f>N51-N46-N47-N48</f>
        <v>1440</v>
      </c>
      <c r="O49" s="1428"/>
      <c r="P49" s="1428"/>
      <c r="Q49" s="1428"/>
      <c r="R49" s="1428"/>
      <c r="S49" s="387">
        <f>S51-S46-S47-S48</f>
        <v>797</v>
      </c>
      <c r="T49" s="1184"/>
      <c r="U49" s="1184"/>
      <c r="V49" s="1184"/>
      <c r="W49" s="1184"/>
      <c r="X49" s="387"/>
      <c r="Y49" s="1184"/>
      <c r="Z49" s="1184"/>
      <c r="AA49" s="1184"/>
      <c r="AB49" s="1184"/>
      <c r="AC49" s="387"/>
      <c r="AD49" s="1184"/>
      <c r="AE49" s="1184"/>
      <c r="AF49" s="1184"/>
      <c r="AG49" s="1184"/>
      <c r="AH49" s="387"/>
      <c r="AI49" s="1535"/>
      <c r="AJ49" s="1535"/>
      <c r="AK49" s="1184"/>
      <c r="AL49" s="1184"/>
      <c r="AM49" s="387"/>
      <c r="AN49" s="1535"/>
      <c r="AO49" s="1535"/>
      <c r="AP49" s="1535"/>
      <c r="AQ49" s="1535"/>
      <c r="AR49" s="387"/>
      <c r="AS49" s="1535"/>
      <c r="AT49" s="1535"/>
      <c r="AU49" s="1535"/>
      <c r="AV49" s="1535"/>
      <c r="AW49" s="387"/>
      <c r="AX49" s="2121"/>
      <c r="AY49" s="2121"/>
      <c r="AZ49" s="2121"/>
      <c r="BA49" s="2121"/>
      <c r="BB49" s="387"/>
      <c r="BC49" s="387"/>
      <c r="BD49" s="387"/>
      <c r="BE49" s="387"/>
      <c r="BF49" s="373"/>
    </row>
    <row r="50" spans="1:58" s="1178" customFormat="1" ht="11.25" outlineLevel="1">
      <c r="A50" s="1156"/>
      <c r="B50" s="1156"/>
      <c r="C50" s="1156" t="s">
        <v>1301</v>
      </c>
      <c r="D50" s="1156"/>
      <c r="E50" s="1156"/>
      <c r="F50" s="1156"/>
      <c r="G50" s="1156"/>
      <c r="H50" s="1196"/>
      <c r="I50" s="1196"/>
      <c r="J50" s="1840"/>
      <c r="K50" s="1840"/>
      <c r="L50" s="1840"/>
      <c r="M50" s="1840"/>
      <c r="N50" s="387"/>
      <c r="O50" s="1428"/>
      <c r="P50" s="1428"/>
      <c r="Q50" s="1428"/>
      <c r="R50" s="1428"/>
      <c r="S50" s="387"/>
      <c r="T50" s="1184"/>
      <c r="U50" s="1184"/>
      <c r="V50" s="1184"/>
      <c r="W50" s="1184"/>
      <c r="X50" s="387"/>
      <c r="Y50" s="1184"/>
      <c r="Z50" s="1184"/>
      <c r="AA50" s="1184"/>
      <c r="AB50" s="1184"/>
      <c r="AC50" s="387"/>
      <c r="AD50" s="1184"/>
      <c r="AE50" s="1184"/>
      <c r="AF50" s="1184"/>
      <c r="AG50" s="1184"/>
      <c r="AH50" s="387"/>
      <c r="AI50" s="1535"/>
      <c r="AJ50" s="1535"/>
      <c r="AK50" s="1184"/>
      <c r="AL50" s="1184"/>
      <c r="AM50" s="387">
        <f>AM51-SUM(AM46:AM49)</f>
        <v>-455.05249999999978</v>
      </c>
      <c r="AN50" s="1535"/>
      <c r="AO50" s="1535"/>
      <c r="AP50" s="1535"/>
      <c r="AQ50" s="1535"/>
      <c r="AR50" s="387">
        <f>AM50+(AR14+AR15)*AM12</f>
        <v>-328.63250000000062</v>
      </c>
      <c r="AS50" s="1535"/>
      <c r="AT50" s="1535"/>
      <c r="AU50" s="1535"/>
      <c r="AV50" s="1535"/>
      <c r="AW50" s="387">
        <f>AR50+AR12*(AW14+AW15)</f>
        <v>-445.72250000000071</v>
      </c>
      <c r="AX50" s="2121"/>
      <c r="AY50" s="2121"/>
      <c r="AZ50" s="2121"/>
      <c r="BA50" s="2121"/>
      <c r="BB50" s="387">
        <f>AW50+AW12*(BB14+BB15)</f>
        <v>-387.04250806914854</v>
      </c>
      <c r="BC50" s="387">
        <f>BB50+BB12*(BC14+BC15)</f>
        <v>-387.04250806914854</v>
      </c>
      <c r="BD50" s="387">
        <f>BC50+BC12*(BD14+BD15)</f>
        <v>-387.04250806914854</v>
      </c>
      <c r="BE50" s="387">
        <f>BD50+BD12*(BE14+BE15)</f>
        <v>-387.04250806914854</v>
      </c>
      <c r="BF50" s="373"/>
    </row>
    <row r="51" spans="1:58" s="1178" customFormat="1" ht="11.25">
      <c r="A51" s="1186"/>
      <c r="B51" s="1186"/>
      <c r="C51" s="1186" t="s">
        <v>1030</v>
      </c>
      <c r="D51" s="1186"/>
      <c r="E51" s="1186"/>
      <c r="F51" s="1186"/>
      <c r="G51" s="1186"/>
      <c r="H51" s="1186"/>
      <c r="I51" s="1186"/>
      <c r="J51" s="1632">
        <v>4995</v>
      </c>
      <c r="K51" s="1632">
        <v>5636</v>
      </c>
      <c r="L51" s="1632">
        <v>6207</v>
      </c>
      <c r="M51" s="1632">
        <v>5560</v>
      </c>
      <c r="N51" s="1634">
        <v>5608</v>
      </c>
      <c r="O51" s="1361"/>
      <c r="P51" s="1361"/>
      <c r="Q51" s="1361"/>
      <c r="R51" s="1361"/>
      <c r="S51" s="1634">
        <v>5487</v>
      </c>
      <c r="T51" s="1184"/>
      <c r="U51" s="1839"/>
      <c r="V51" s="1839"/>
      <c r="W51" s="1839"/>
      <c r="X51" s="1837">
        <f>SUM(X46:X48)</f>
        <v>8334</v>
      </c>
      <c r="Y51" s="1184"/>
      <c r="Z51" s="1363"/>
      <c r="AA51" s="1363"/>
      <c r="AB51" s="1363"/>
      <c r="AC51" s="1838">
        <f>AC12</f>
        <v>13347</v>
      </c>
      <c r="AD51" s="1363"/>
      <c r="AE51" s="1363"/>
      <c r="AF51" s="1363"/>
      <c r="AG51" s="1363"/>
      <c r="AH51" s="1837">
        <f>AH12</f>
        <v>14215</v>
      </c>
      <c r="AI51" s="1363"/>
      <c r="AJ51" s="1363"/>
      <c r="AK51" s="1363"/>
      <c r="AL51" s="1363"/>
      <c r="AM51" s="1837">
        <f>AM12</f>
        <v>14094</v>
      </c>
      <c r="AN51" s="1363"/>
      <c r="AO51" s="1363"/>
      <c r="AP51" s="1363"/>
      <c r="AQ51" s="1363"/>
      <c r="AR51" s="1837">
        <f>SUM(AR46:AR50)</f>
        <v>14562.503975</v>
      </c>
      <c r="AS51" s="1363"/>
      <c r="AT51" s="1363"/>
      <c r="AU51" s="1363"/>
      <c r="AV51" s="1363"/>
      <c r="AW51" s="1837">
        <f>SUM(AW46:AW50)</f>
        <v>14629.932493250002</v>
      </c>
      <c r="AX51" s="1363"/>
      <c r="AY51" s="1363"/>
      <c r="AZ51" s="1363"/>
      <c r="BA51" s="1363"/>
      <c r="BB51" s="1837">
        <f>SUM(BB46:BB50)</f>
        <v>15432.389445600853</v>
      </c>
      <c r="BC51" s="1837">
        <f>SUM(BC46:BC50)</f>
        <v>16214.362530079052</v>
      </c>
      <c r="BD51" s="1837">
        <f>SUM(BD46:BD50)</f>
        <v>16957.492508960622</v>
      </c>
      <c r="BE51" s="1837">
        <f>SUM(BE46:BE50)</f>
        <v>17765.244045271582</v>
      </c>
      <c r="BF51" s="1839"/>
    </row>
    <row r="52" spans="1:58" s="1178" customFormat="1" ht="11.25">
      <c r="A52" s="1156"/>
      <c r="B52" s="1156"/>
      <c r="C52" s="1186"/>
      <c r="D52" s="1156"/>
      <c r="E52" s="1156"/>
      <c r="F52" s="1156"/>
      <c r="G52" s="1156"/>
      <c r="H52" s="1156"/>
      <c r="I52" s="1156"/>
      <c r="J52" s="1156"/>
      <c r="K52" s="1156"/>
      <c r="L52" s="1156"/>
      <c r="M52" s="1156"/>
      <c r="N52" s="1235"/>
      <c r="O52" s="1186"/>
      <c r="P52" s="1186"/>
      <c r="Q52" s="1186"/>
      <c r="R52" s="1186"/>
      <c r="S52" s="1235"/>
      <c r="T52" s="1184"/>
      <c r="U52" s="1184"/>
      <c r="V52" s="1544"/>
      <c r="W52" s="1544"/>
      <c r="X52" s="1837"/>
      <c r="Y52" s="1184"/>
      <c r="Z52" s="1184"/>
      <c r="AA52" s="1184"/>
      <c r="AB52" s="1184"/>
      <c r="AC52" s="1222"/>
      <c r="AD52" s="1184"/>
      <c r="AE52" s="1184"/>
      <c r="AF52" s="1184"/>
      <c r="AG52" s="1184"/>
      <c r="AH52" s="1836">
        <f>AH51/AC51-1</f>
        <v>6.5033340825653596E-2</v>
      </c>
      <c r="AI52" s="1184"/>
      <c r="AJ52" s="1184"/>
      <c r="AK52" s="1184"/>
      <c r="AL52" s="1184"/>
      <c r="AM52" s="1836">
        <f>AM51/AH51-1</f>
        <v>-8.5121350685894992E-3</v>
      </c>
      <c r="AN52" s="1184"/>
      <c r="AO52" s="1184"/>
      <c r="AP52" s="1184"/>
      <c r="AQ52" s="1184"/>
      <c r="AR52" s="1836">
        <f>AR51/AM51-1</f>
        <v>3.3241377536540329E-2</v>
      </c>
      <c r="AS52" s="1184"/>
      <c r="AT52" s="1184"/>
      <c r="AU52" s="1184"/>
      <c r="AV52" s="1184"/>
      <c r="AW52" s="1836">
        <f>AW51/AR51-1</f>
        <v>4.6302832511331271E-3</v>
      </c>
      <c r="AX52" s="2110"/>
      <c r="AY52" s="2110"/>
      <c r="AZ52" s="2110"/>
      <c r="BA52" s="2110"/>
      <c r="BB52" s="1836">
        <f>BB51/AW51-1</f>
        <v>5.4850352366361932E-2</v>
      </c>
      <c r="BC52" s="1836">
        <f>BC51/BB51-1</f>
        <v>5.0670901433290894E-2</v>
      </c>
      <c r="BD52" s="1836">
        <f>BD51/BC51-1</f>
        <v>4.5831587736057999E-2</v>
      </c>
      <c r="BE52" s="1836">
        <f>BE51/BD51-1</f>
        <v>4.7633901998431094E-2</v>
      </c>
      <c r="BF52" s="1983"/>
    </row>
    <row r="53" spans="1:58" s="1178" customFormat="1" ht="11.25">
      <c r="A53" s="1156"/>
      <c r="B53" s="1156"/>
      <c r="C53" s="1156" t="s">
        <v>1300</v>
      </c>
      <c r="D53" s="1156"/>
      <c r="E53" s="1156"/>
      <c r="F53" s="1156"/>
      <c r="G53" s="1156"/>
      <c r="H53" s="1156"/>
      <c r="I53" s="1156"/>
      <c r="J53" s="1156"/>
      <c r="K53" s="1570">
        <f t="shared" ref="K53:N55" si="29">K46/J46-1</f>
        <v>9.07759882869692E-2</v>
      </c>
      <c r="L53" s="1570">
        <f t="shared" si="29"/>
        <v>0.14093959731543615</v>
      </c>
      <c r="M53" s="1570">
        <f t="shared" si="29"/>
        <v>0.52941176470588225</v>
      </c>
      <c r="N53" s="1712">
        <f t="shared" si="29"/>
        <v>0</v>
      </c>
      <c r="O53" s="1186"/>
      <c r="P53" s="1186"/>
      <c r="Q53" s="1186"/>
      <c r="R53" s="1186"/>
      <c r="S53" s="1712">
        <f>S46/N46-1</f>
        <v>0.47692307692307701</v>
      </c>
      <c r="T53" s="1184"/>
      <c r="U53" s="1184"/>
      <c r="V53" s="1184"/>
      <c r="W53" s="1184"/>
      <c r="X53" s="1712">
        <f>X46/S46-1</f>
        <v>0.77965624999999972</v>
      </c>
      <c r="Y53" s="1184"/>
      <c r="Z53" s="1184"/>
      <c r="AA53" s="1184"/>
      <c r="AB53" s="1184"/>
      <c r="AC53" s="1803"/>
      <c r="AD53" s="1184"/>
      <c r="AE53" s="1184"/>
      <c r="AF53" s="1184"/>
      <c r="AG53" s="1184"/>
      <c r="AH53" s="1539">
        <f>AH46/AC46-1</f>
        <v>0.11456977528266066</v>
      </c>
      <c r="AI53" s="1184"/>
      <c r="AJ53" s="1184"/>
      <c r="AK53" s="1184"/>
      <c r="AL53" s="1184"/>
      <c r="AM53" s="1539">
        <v>7.0000000000000007E-2</v>
      </c>
      <c r="AN53" s="1184"/>
      <c r="AO53" s="1184"/>
      <c r="AP53" s="1184"/>
      <c r="AQ53" s="1184"/>
      <c r="AR53" s="1952">
        <v>0.06</v>
      </c>
      <c r="AS53" s="1184"/>
      <c r="AT53" s="1184"/>
      <c r="AU53" s="1184"/>
      <c r="AV53" s="1184"/>
      <c r="AW53" s="1952">
        <v>-0.03</v>
      </c>
      <c r="AX53" s="2110"/>
      <c r="AY53" s="2110"/>
      <c r="AZ53" s="2110"/>
      <c r="BA53" s="2110"/>
      <c r="BB53" s="1952">
        <v>0.06</v>
      </c>
      <c r="BC53" s="1952">
        <v>0.06</v>
      </c>
      <c r="BD53" s="1952">
        <v>0.05</v>
      </c>
      <c r="BE53" s="1952">
        <v>0.06</v>
      </c>
      <c r="BF53" s="1984"/>
    </row>
    <row r="54" spans="1:58" s="1178" customFormat="1" ht="11.25">
      <c r="A54" s="1156"/>
      <c r="B54" s="1156"/>
      <c r="C54" s="1156" t="s">
        <v>1299</v>
      </c>
      <c r="D54" s="1156"/>
      <c r="E54" s="1156"/>
      <c r="F54" s="1156"/>
      <c r="G54" s="1156"/>
      <c r="H54" s="1156"/>
      <c r="I54" s="1156"/>
      <c r="J54" s="1156"/>
      <c r="K54" s="1570">
        <f t="shared" si="29"/>
        <v>0.19577039274924468</v>
      </c>
      <c r="L54" s="1570">
        <f t="shared" si="29"/>
        <v>0.11167256189994945</v>
      </c>
      <c r="M54" s="1570">
        <f t="shared" si="29"/>
        <v>-0.40909090909090906</v>
      </c>
      <c r="N54" s="1712">
        <f t="shared" si="29"/>
        <v>0</v>
      </c>
      <c r="O54" s="1186"/>
      <c r="P54" s="1186"/>
      <c r="Q54" s="1186"/>
      <c r="R54" s="1186"/>
      <c r="S54" s="1712">
        <f>S47/N47-1</f>
        <v>-1.538461538461533E-2</v>
      </c>
      <c r="T54" s="1184"/>
      <c r="U54" s="1184"/>
      <c r="V54" s="1184"/>
      <c r="W54" s="1184"/>
      <c r="X54" s="1712">
        <f>X47/S47-1</f>
        <v>1.0183906249999999</v>
      </c>
      <c r="Y54" s="1184"/>
      <c r="Z54" s="1184"/>
      <c r="AA54" s="1184"/>
      <c r="AB54" s="1184"/>
      <c r="AC54" s="1803"/>
      <c r="AD54" s="1184"/>
      <c r="AE54" s="1184"/>
      <c r="AF54" s="1184"/>
      <c r="AG54" s="1184"/>
      <c r="AH54" s="1539">
        <f>AH47/AC47-1</f>
        <v>3.067742660547168E-2</v>
      </c>
      <c r="AI54" s="1184"/>
      <c r="AJ54" s="1184"/>
      <c r="AK54" s="1184"/>
      <c r="AL54" s="1184"/>
      <c r="AM54" s="1539">
        <v>-0.01</v>
      </c>
      <c r="AN54" s="1184"/>
      <c r="AO54" s="1184"/>
      <c r="AP54" s="1184"/>
      <c r="AQ54" s="1184"/>
      <c r="AR54" s="1952">
        <v>2.5000000000000001E-2</v>
      </c>
      <c r="AS54" s="1184"/>
      <c r="AT54" s="1184"/>
      <c r="AU54" s="1184"/>
      <c r="AV54" s="1184"/>
      <c r="AW54" s="1952">
        <v>7.0000000000000007E-2</v>
      </c>
      <c r="AX54" s="2110"/>
      <c r="AY54" s="2110"/>
      <c r="AZ54" s="2110"/>
      <c r="BA54" s="2110"/>
      <c r="BB54" s="1952">
        <v>0.04</v>
      </c>
      <c r="BC54" s="1952">
        <v>0.04</v>
      </c>
      <c r="BD54" s="1952">
        <v>0.04</v>
      </c>
      <c r="BE54" s="1952">
        <v>0.03</v>
      </c>
      <c r="BF54" s="1984"/>
    </row>
    <row r="55" spans="1:58" s="1178" customFormat="1" ht="11.25">
      <c r="A55" s="1156"/>
      <c r="B55" s="1156"/>
      <c r="C55" s="1156" t="s">
        <v>1298</v>
      </c>
      <c r="D55" s="1156"/>
      <c r="E55" s="1156"/>
      <c r="F55" s="1156"/>
      <c r="G55" s="1156"/>
      <c r="H55" s="1156"/>
      <c r="I55" s="1156"/>
      <c r="J55" s="1156"/>
      <c r="K55" s="1570">
        <f t="shared" si="29"/>
        <v>5.4760423148724424E-2</v>
      </c>
      <c r="L55" s="1570">
        <f t="shared" si="29"/>
        <v>7.7286135693215297E-2</v>
      </c>
      <c r="M55" s="1570">
        <f t="shared" si="29"/>
        <v>-0.12376779846659369</v>
      </c>
      <c r="N55" s="1712">
        <f t="shared" si="29"/>
        <v>-2.0000000000000018E-2</v>
      </c>
      <c r="O55" s="1186"/>
      <c r="P55" s="1186"/>
      <c r="Q55" s="1186"/>
      <c r="R55" s="1186"/>
      <c r="S55" s="1712">
        <f>S48/N48-1</f>
        <v>-4.9744897959183687E-2</v>
      </c>
      <c r="T55" s="1184"/>
      <c r="U55" s="1184"/>
      <c r="V55" s="1184"/>
      <c r="W55" s="1184"/>
      <c r="X55" s="1712">
        <f>X48/S48-1</f>
        <v>0.56612080536912779</v>
      </c>
      <c r="Y55" s="1184"/>
      <c r="Z55" s="1184"/>
      <c r="AA55" s="1184"/>
      <c r="AB55" s="1184"/>
      <c r="AC55" s="1803"/>
      <c r="AD55" s="1184"/>
      <c r="AE55" s="1184"/>
      <c r="AF55" s="1184"/>
      <c r="AG55" s="1184"/>
      <c r="AH55" s="1539">
        <f>AH48/AC48-1</f>
        <v>2.4070520024667141E-2</v>
      </c>
      <c r="AI55" s="1184"/>
      <c r="AJ55" s="1184"/>
      <c r="AK55" s="1184"/>
      <c r="AL55" s="1184"/>
      <c r="AM55" s="1539">
        <v>-0.02</v>
      </c>
      <c r="AN55" s="1184"/>
      <c r="AO55" s="1184"/>
      <c r="AP55" s="1184"/>
      <c r="AQ55" s="1184"/>
      <c r="AR55" s="1952">
        <v>-0.05</v>
      </c>
      <c r="AS55" s="1184"/>
      <c r="AT55" s="1184"/>
      <c r="AU55" s="1184"/>
      <c r="AV55" s="1184"/>
      <c r="AW55" s="1952">
        <v>0.03</v>
      </c>
      <c r="AX55" s="2110"/>
      <c r="AY55" s="2110"/>
      <c r="AZ55" s="2110"/>
      <c r="BA55" s="2110"/>
      <c r="BB55" s="1952">
        <v>0.04</v>
      </c>
      <c r="BC55" s="1952">
        <v>0.04</v>
      </c>
      <c r="BD55" s="1952">
        <v>0.04</v>
      </c>
      <c r="BE55" s="1952">
        <v>0.04</v>
      </c>
      <c r="BF55" s="1984"/>
    </row>
    <row r="56" spans="1:58" s="1178" customFormat="1" ht="11.25" outlineLevel="1">
      <c r="A56" s="1156"/>
      <c r="B56" s="1156"/>
      <c r="C56" s="1156"/>
      <c r="D56" s="1156"/>
      <c r="E56" s="1156"/>
      <c r="F56" s="1156"/>
      <c r="G56" s="1156"/>
      <c r="H56" s="1156"/>
      <c r="I56" s="1156"/>
      <c r="J56" s="1156"/>
      <c r="K56" s="1570"/>
      <c r="L56" s="1570"/>
      <c r="M56" s="1570"/>
      <c r="N56" s="1712"/>
      <c r="O56" s="1186"/>
      <c r="P56" s="1186"/>
      <c r="Q56" s="1186"/>
      <c r="R56" s="1186"/>
      <c r="S56" s="1712"/>
      <c r="T56" s="1184"/>
      <c r="U56" s="1184"/>
      <c r="V56" s="1184"/>
      <c r="W56" s="1184"/>
      <c r="X56" s="1712"/>
      <c r="Y56" s="1184"/>
      <c r="Z56" s="1184"/>
      <c r="AA56" s="1184"/>
      <c r="AB56" s="1184"/>
      <c r="AC56" s="1803"/>
      <c r="AD56" s="1184"/>
      <c r="AE56" s="1184"/>
      <c r="AF56" s="1184"/>
      <c r="AG56" s="1184"/>
      <c r="AH56" s="1803"/>
      <c r="AI56" s="1184"/>
      <c r="AJ56" s="1184"/>
      <c r="AK56" s="1184"/>
      <c r="AL56" s="1184"/>
      <c r="AM56" s="1803"/>
      <c r="AN56" s="1184"/>
      <c r="AO56" s="1184"/>
      <c r="AP56" s="1184"/>
      <c r="AQ56" s="1184"/>
      <c r="AR56" s="1803"/>
      <c r="AS56" s="1184"/>
      <c r="AT56" s="1184"/>
      <c r="AU56" s="1184"/>
      <c r="AV56" s="1184"/>
      <c r="AW56" s="1803"/>
      <c r="AX56" s="2110"/>
      <c r="AY56" s="2110"/>
      <c r="AZ56" s="2110"/>
      <c r="BA56" s="2110"/>
      <c r="BB56" s="1803"/>
      <c r="BC56" s="1803"/>
      <c r="BD56" s="1803"/>
      <c r="BE56" s="1803"/>
      <c r="BF56" s="1985"/>
    </row>
    <row r="57" spans="1:58" s="1178" customFormat="1" ht="11.25" outlineLevel="1">
      <c r="A57" s="1186"/>
      <c r="B57" s="1186"/>
      <c r="C57" s="1186" t="s">
        <v>1297</v>
      </c>
      <c r="D57" s="1186"/>
      <c r="E57" s="1186"/>
      <c r="F57" s="1186"/>
      <c r="G57" s="1186"/>
      <c r="H57" s="1186"/>
      <c r="I57" s="1186"/>
      <c r="J57" s="1186"/>
      <c r="K57" s="1833">
        <v>6392.2</v>
      </c>
      <c r="L57" s="1833">
        <v>7061.7</v>
      </c>
      <c r="M57" s="1833">
        <v>6685.6</v>
      </c>
      <c r="N57" s="1834">
        <v>6966.9</v>
      </c>
      <c r="O57" s="1833">
        <v>1895.9</v>
      </c>
      <c r="P57" s="1833">
        <v>2001.4</v>
      </c>
      <c r="Q57" s="1833">
        <v>2032.6</v>
      </c>
      <c r="R57" s="1833">
        <v>2145</v>
      </c>
      <c r="S57" s="1834">
        <f>SUM(O57:R57)</f>
        <v>8074.9</v>
      </c>
      <c r="T57" s="1833">
        <v>2152.6</v>
      </c>
      <c r="U57" s="1833">
        <f>($X$57-$T$57)/3</f>
        <v>2300.4666666666667</v>
      </c>
      <c r="V57" s="1833">
        <f>V14*Q12*92/(92-23)</f>
        <v>1914.0266666666666</v>
      </c>
      <c r="W57" s="1833">
        <f>W14*R12</f>
        <v>1858.08</v>
      </c>
      <c r="X57" s="1834">
        <v>9054</v>
      </c>
      <c r="Y57" s="1833">
        <f>Y14*T12</f>
        <v>2027.04</v>
      </c>
      <c r="Z57" s="1833">
        <f>Z14*U12</f>
        <v>2056.56</v>
      </c>
      <c r="AA57" s="1833">
        <f>Z57*23/92</f>
        <v>514.14</v>
      </c>
      <c r="AB57" s="1833"/>
      <c r="AC57" s="1835">
        <v>9874</v>
      </c>
      <c r="AD57" s="1833"/>
      <c r="AE57" s="1833" t="s">
        <v>1296</v>
      </c>
      <c r="AF57" s="1833"/>
      <c r="AG57" s="1833"/>
      <c r="AH57" s="1834"/>
      <c r="AI57" s="1833"/>
      <c r="AJ57" s="1833"/>
      <c r="AK57" s="1833"/>
      <c r="AL57" s="1833"/>
      <c r="AM57" s="1236"/>
      <c r="AN57" s="1833"/>
      <c r="AO57" s="1833"/>
      <c r="AP57" s="1833"/>
      <c r="AQ57" s="1833"/>
      <c r="AR57" s="1236"/>
      <c r="AS57" s="1833"/>
      <c r="AT57" s="1833"/>
      <c r="AU57" s="1833"/>
      <c r="AV57" s="1833"/>
      <c r="AW57" s="1235"/>
      <c r="AX57" s="1833"/>
      <c r="AY57" s="1833"/>
      <c r="AZ57" s="1833"/>
      <c r="BA57" s="1833"/>
      <c r="BB57" s="1235"/>
      <c r="BC57" s="1235"/>
      <c r="BD57" s="1235"/>
      <c r="BE57" s="1235"/>
      <c r="BF57" s="1186"/>
    </row>
    <row r="58" spans="1:58" s="1178" customFormat="1" ht="11.25">
      <c r="A58" s="1156"/>
      <c r="B58" s="1156"/>
      <c r="C58" s="1156"/>
      <c r="D58" s="1156"/>
      <c r="E58" s="1156"/>
      <c r="F58" s="1156"/>
      <c r="G58" s="1156"/>
      <c r="H58" s="1156"/>
      <c r="I58" s="1186"/>
      <c r="J58" s="1186"/>
      <c r="K58" s="1570"/>
      <c r="L58" s="1570">
        <f>L57/K57-1</f>
        <v>0.10473702324708234</v>
      </c>
      <c r="M58" s="1570">
        <f>M57/L57-1</f>
        <v>-5.325913023776141E-2</v>
      </c>
      <c r="N58" s="1712">
        <f>N57/M57-1</f>
        <v>4.207550556419748E-2</v>
      </c>
      <c r="O58" s="1186"/>
      <c r="P58" s="1186"/>
      <c r="Q58" s="1186"/>
      <c r="R58" s="1186"/>
      <c r="S58" s="1712">
        <f>S57/N57-1</f>
        <v>0.1590377355782342</v>
      </c>
      <c r="T58" s="1541">
        <f>T57/O57-1</f>
        <v>0.13539743657365877</v>
      </c>
      <c r="U58" s="1541">
        <f>U57/P57-1</f>
        <v>0.14942873322007921</v>
      </c>
      <c r="V58" s="1541"/>
      <c r="W58" s="1541"/>
      <c r="X58" s="1712"/>
      <c r="Y58" s="1541"/>
      <c r="Z58" s="1184"/>
      <c r="AA58" s="1184"/>
      <c r="AB58" s="1184"/>
      <c r="AC58" s="1222"/>
      <c r="AD58" s="1541"/>
      <c r="AE58" s="1541"/>
      <c r="AF58" s="1184"/>
      <c r="AG58" s="1184"/>
      <c r="AH58" s="1222"/>
      <c r="AI58" s="1541"/>
      <c r="AJ58" s="1541"/>
      <c r="AK58" s="1184"/>
      <c r="AL58" s="1184"/>
      <c r="AM58" s="1222"/>
      <c r="AN58" s="1541"/>
      <c r="AO58" s="1541"/>
      <c r="AP58" s="1541"/>
      <c r="AQ58" s="1541"/>
      <c r="AR58" s="1222"/>
      <c r="AS58" s="1541"/>
      <c r="AT58" s="1541"/>
      <c r="AU58" s="1541"/>
      <c r="AV58" s="1541"/>
      <c r="AW58" s="1221"/>
      <c r="AX58" s="1541"/>
      <c r="AY58" s="1541"/>
      <c r="AZ58" s="1541"/>
      <c r="BA58" s="1541"/>
      <c r="BB58" s="1221"/>
      <c r="BC58" s="1221"/>
      <c r="BD58" s="2111"/>
      <c r="BE58" s="2111"/>
      <c r="BF58" s="1156"/>
    </row>
    <row r="59" spans="1:58" s="1178" customFormat="1" ht="11.25">
      <c r="A59" s="1156"/>
      <c r="B59" s="1156"/>
      <c r="C59" s="1156" t="s">
        <v>1295</v>
      </c>
      <c r="D59" s="1156"/>
      <c r="E59" s="1156"/>
      <c r="F59" s="1156"/>
      <c r="G59" s="1156"/>
      <c r="H59" s="1156"/>
      <c r="I59" s="1156"/>
      <c r="J59" s="1156"/>
      <c r="K59" s="1156"/>
      <c r="L59" s="1156"/>
      <c r="M59" s="1156"/>
      <c r="N59" s="1235"/>
      <c r="O59" s="1186"/>
      <c r="P59" s="1186"/>
      <c r="Q59" s="1186"/>
      <c r="R59" s="1186"/>
      <c r="S59" s="1235"/>
      <c r="T59" s="1184"/>
      <c r="U59" s="1184"/>
      <c r="V59" s="1184"/>
      <c r="W59" s="1184"/>
      <c r="X59" s="1571">
        <v>0.41</v>
      </c>
      <c r="Y59" s="1240"/>
      <c r="Z59" s="1254">
        <v>0.1</v>
      </c>
      <c r="AA59" s="1254">
        <v>0.05</v>
      </c>
      <c r="AB59" s="1254">
        <v>0.1</v>
      </c>
      <c r="AC59" s="1253"/>
      <c r="AD59" s="1254" t="s">
        <v>958</v>
      </c>
      <c r="AE59" s="1254">
        <v>0.2</v>
      </c>
      <c r="AF59" s="1254" t="s">
        <v>958</v>
      </c>
      <c r="AG59" s="1254" t="s">
        <v>958</v>
      </c>
      <c r="AH59" s="1253"/>
      <c r="AI59" s="1240" t="s">
        <v>1244</v>
      </c>
      <c r="AJ59" s="1240" t="s">
        <v>948</v>
      </c>
      <c r="AK59" s="1240" t="s">
        <v>983</v>
      </c>
      <c r="AL59" s="1254">
        <v>0.08</v>
      </c>
      <c r="AM59" s="1253"/>
      <c r="AN59" s="2115">
        <v>0.01</v>
      </c>
      <c r="AO59" s="2115">
        <v>0.05</v>
      </c>
      <c r="AP59" s="2115">
        <v>0.17</v>
      </c>
      <c r="AQ59" s="2115">
        <v>-0.01</v>
      </c>
      <c r="AR59" s="1253"/>
      <c r="AS59" s="2115">
        <v>0.02</v>
      </c>
      <c r="AT59" s="2115">
        <v>-0.08</v>
      </c>
      <c r="AU59" s="2115">
        <v>-0.06</v>
      </c>
      <c r="AV59" s="2115">
        <v>0</v>
      </c>
      <c r="AW59" s="1255">
        <f>AVERAGE(AS59:AV59)</f>
        <v>-0.03</v>
      </c>
      <c r="AX59" s="1240"/>
      <c r="AY59" s="1240"/>
      <c r="AZ59" s="1240"/>
      <c r="BA59" s="1240"/>
      <c r="BB59" s="1534"/>
      <c r="BC59" s="1534"/>
      <c r="BD59" s="1534"/>
      <c r="BE59" s="1534"/>
      <c r="BF59" s="1197"/>
    </row>
    <row r="60" spans="1:58" s="1178" customFormat="1" ht="11.25">
      <c r="A60" s="1156"/>
      <c r="B60" s="1156"/>
      <c r="C60" s="1156" t="s">
        <v>1294</v>
      </c>
      <c r="D60" s="1156"/>
      <c r="E60" s="1156"/>
      <c r="F60" s="1156"/>
      <c r="G60" s="1156"/>
      <c r="H60" s="1156"/>
      <c r="I60" s="1156"/>
      <c r="J60" s="1156"/>
      <c r="K60" s="1156"/>
      <c r="L60" s="1156"/>
      <c r="M60" s="1156"/>
      <c r="N60" s="1235"/>
      <c r="O60" s="1186"/>
      <c r="P60" s="1186"/>
      <c r="Q60" s="1186"/>
      <c r="R60" s="1186"/>
      <c r="S60" s="1235"/>
      <c r="T60" s="1184"/>
      <c r="U60" s="1184"/>
      <c r="V60" s="1832"/>
      <c r="W60" s="1832"/>
      <c r="X60" s="1571">
        <v>0.19</v>
      </c>
      <c r="Y60" s="1336">
        <v>0.02</v>
      </c>
      <c r="Z60" s="1254">
        <v>0.05</v>
      </c>
      <c r="AA60" s="1254">
        <v>0.05</v>
      </c>
      <c r="AB60" s="1259" t="s">
        <v>1293</v>
      </c>
      <c r="AC60" s="1253"/>
      <c r="AD60" s="1254">
        <v>0.1</v>
      </c>
      <c r="AE60" s="1254">
        <v>0.1</v>
      </c>
      <c r="AF60" s="1254">
        <v>0.1</v>
      </c>
      <c r="AG60" s="1254" t="s">
        <v>948</v>
      </c>
      <c r="AH60" s="1253"/>
      <c r="AI60" s="1240" t="s">
        <v>1292</v>
      </c>
      <c r="AJ60" s="1254">
        <v>0</v>
      </c>
      <c r="AK60" s="1254">
        <v>0.01</v>
      </c>
      <c r="AL60" s="1254">
        <v>-0.01</v>
      </c>
      <c r="AM60" s="1340">
        <f>AVERAGE(AI60:AL60)</f>
        <v>0</v>
      </c>
      <c r="AN60" s="2115">
        <v>0.01</v>
      </c>
      <c r="AO60" s="2115">
        <v>0.05</v>
      </c>
      <c r="AP60" s="2115">
        <v>0.02</v>
      </c>
      <c r="AQ60" s="1975">
        <v>0.03</v>
      </c>
      <c r="AR60" s="1574">
        <f>AVERAGE(AN60:AQ60)</f>
        <v>2.75E-2</v>
      </c>
      <c r="AS60" s="2115">
        <v>0.12</v>
      </c>
      <c r="AT60" s="2115">
        <v>7.0000000000000007E-2</v>
      </c>
      <c r="AU60" s="1240"/>
      <c r="AV60" s="1240"/>
      <c r="AW60" s="1534"/>
      <c r="AX60" s="1240"/>
      <c r="AY60" s="1240"/>
      <c r="AZ60" s="1240"/>
      <c r="BA60" s="1240"/>
      <c r="BB60" s="1534"/>
      <c r="BC60" s="1534"/>
      <c r="BD60" s="1534"/>
      <c r="BE60" s="1534"/>
      <c r="BF60" s="1197"/>
    </row>
    <row r="61" spans="1:58" s="1178" customFormat="1" ht="11.25">
      <c r="A61" s="1156"/>
      <c r="B61" s="1156"/>
      <c r="C61" s="1156" t="s">
        <v>1291</v>
      </c>
      <c r="D61" s="1156"/>
      <c r="E61" s="1156"/>
      <c r="F61" s="1156"/>
      <c r="G61" s="1156"/>
      <c r="H61" s="1156"/>
      <c r="I61" s="1156"/>
      <c r="J61" s="1156"/>
      <c r="K61" s="1156"/>
      <c r="L61" s="1156"/>
      <c r="M61" s="1156"/>
      <c r="N61" s="1235"/>
      <c r="O61" s="1186"/>
      <c r="P61" s="1186"/>
      <c r="Q61" s="1186"/>
      <c r="R61" s="1186"/>
      <c r="S61" s="1235"/>
      <c r="T61" s="1184"/>
      <c r="U61" s="1184"/>
      <c r="V61" s="1184"/>
      <c r="W61" s="1184"/>
      <c r="X61" s="1571">
        <v>0.12</v>
      </c>
      <c r="Y61" s="1240"/>
      <c r="Z61" s="1254"/>
      <c r="AA61" s="1240"/>
      <c r="AB61" s="1240"/>
      <c r="AC61" s="1253"/>
      <c r="AD61" s="1254"/>
      <c r="AE61" s="1254" t="s">
        <v>1290</v>
      </c>
      <c r="AF61" s="1254"/>
      <c r="AG61" s="1254"/>
      <c r="AH61" s="1253"/>
      <c r="AI61" s="1240"/>
      <c r="AJ61" s="1240"/>
      <c r="AK61" s="1240"/>
      <c r="AL61" s="1240"/>
      <c r="AM61" s="1253"/>
      <c r="AN61" s="1240"/>
      <c r="AO61" s="1240"/>
      <c r="AP61" s="1240"/>
      <c r="AQ61" s="1240"/>
      <c r="AR61" s="1253"/>
      <c r="AS61" s="1240"/>
      <c r="AT61" s="1240"/>
      <c r="AU61" s="1240"/>
      <c r="AV61" s="1240"/>
      <c r="AW61" s="1534"/>
      <c r="AX61" s="1240"/>
      <c r="AY61" s="1240"/>
      <c r="AZ61" s="1240"/>
      <c r="BA61" s="1240"/>
      <c r="BB61" s="1534"/>
      <c r="BC61" s="1534"/>
      <c r="BD61" s="1534"/>
      <c r="BE61" s="1534"/>
      <c r="BF61" s="1197"/>
    </row>
    <row r="62" spans="1:58" s="1178" customFormat="1" ht="11.25">
      <c r="A62" s="1156"/>
      <c r="B62" s="1156"/>
      <c r="C62" s="1156" t="s">
        <v>1274</v>
      </c>
      <c r="D62" s="1156"/>
      <c r="E62" s="1156"/>
      <c r="F62" s="1156"/>
      <c r="G62" s="1156"/>
      <c r="H62" s="1156"/>
      <c r="I62" s="1156"/>
      <c r="J62" s="1156"/>
      <c r="K62" s="1156"/>
      <c r="L62" s="1156"/>
      <c r="M62" s="1156"/>
      <c r="N62" s="1235"/>
      <c r="O62" s="1186"/>
      <c r="P62" s="1186"/>
      <c r="Q62" s="1186"/>
      <c r="R62" s="1186"/>
      <c r="S62" s="1235"/>
      <c r="T62" s="1184"/>
      <c r="U62" s="1184"/>
      <c r="V62" s="1184"/>
      <c r="W62" s="1184"/>
      <c r="X62" s="1571">
        <v>0.16</v>
      </c>
      <c r="Y62" s="1240"/>
      <c r="Z62" s="1254">
        <v>-0.05</v>
      </c>
      <c r="AA62" s="1254">
        <v>-0.03</v>
      </c>
      <c r="AB62" s="1259" t="s">
        <v>1289</v>
      </c>
      <c r="AC62" s="1253"/>
      <c r="AD62" s="1254" t="s">
        <v>1043</v>
      </c>
      <c r="AE62" s="1178" t="s">
        <v>949</v>
      </c>
      <c r="AF62" s="1254" t="s">
        <v>983</v>
      </c>
      <c r="AG62" s="1254" t="s">
        <v>950</v>
      </c>
      <c r="AH62" s="1253"/>
      <c r="AI62" s="1240" t="s">
        <v>949</v>
      </c>
      <c r="AJ62" s="1240" t="s">
        <v>949</v>
      </c>
      <c r="AK62" s="1254">
        <v>-7.0000000000000007E-2</v>
      </c>
      <c r="AL62" s="1240" t="s">
        <v>1229</v>
      </c>
      <c r="AM62" s="1253"/>
      <c r="AN62" s="2115">
        <v>-0.1</v>
      </c>
      <c r="AO62" s="1240" t="s">
        <v>1411</v>
      </c>
      <c r="AP62" s="1240" t="s">
        <v>956</v>
      </c>
      <c r="AQ62" s="1240" t="s">
        <v>949</v>
      </c>
      <c r="AR62" s="1253"/>
      <c r="AS62" s="1240" t="s">
        <v>1058</v>
      </c>
      <c r="AT62" s="2115">
        <v>0.05</v>
      </c>
      <c r="AU62" s="1240"/>
      <c r="AV62" s="1240"/>
      <c r="AW62" s="1534"/>
      <c r="AX62" s="1240"/>
      <c r="AY62" s="1240"/>
      <c r="AZ62" s="1240"/>
      <c r="BA62" s="1240"/>
      <c r="BB62" s="1534"/>
      <c r="BC62" s="1534"/>
      <c r="BD62" s="1534"/>
      <c r="BE62" s="1534"/>
      <c r="BF62" s="1197"/>
    </row>
    <row r="63" spans="1:58" s="1178" customFormat="1" ht="11.25">
      <c r="A63" s="1156"/>
      <c r="B63" s="1156"/>
      <c r="C63" s="1156" t="s">
        <v>1288</v>
      </c>
      <c r="D63" s="1156"/>
      <c r="E63" s="1156"/>
      <c r="F63" s="1156"/>
      <c r="G63" s="1156"/>
      <c r="H63" s="1156"/>
      <c r="I63" s="1156"/>
      <c r="J63" s="1156"/>
      <c r="K63" s="1156"/>
      <c r="L63" s="1156"/>
      <c r="M63" s="1156"/>
      <c r="N63" s="1235"/>
      <c r="O63" s="1186"/>
      <c r="P63" s="1186"/>
      <c r="Q63" s="1186"/>
      <c r="R63" s="1186"/>
      <c r="S63" s="1235"/>
      <c r="T63" s="1184"/>
      <c r="U63" s="1184"/>
      <c r="V63" s="1184"/>
      <c r="W63" s="1184"/>
      <c r="X63" s="1571">
        <v>7.0000000000000007E-2</v>
      </c>
      <c r="Y63" s="1240"/>
      <c r="Z63" s="1254">
        <v>-0.03</v>
      </c>
      <c r="AA63" s="1254">
        <v>-0.03</v>
      </c>
      <c r="AB63" s="1259" t="s">
        <v>1055</v>
      </c>
      <c r="AC63" s="1253"/>
      <c r="AD63" s="1254" t="s">
        <v>949</v>
      </c>
      <c r="AE63" s="1254" t="s">
        <v>1043</v>
      </c>
      <c r="AF63" s="1254" t="s">
        <v>983</v>
      </c>
      <c r="AG63" s="1254" t="s">
        <v>956</v>
      </c>
      <c r="AH63" s="1253"/>
      <c r="AI63" s="1240" t="s">
        <v>949</v>
      </c>
      <c r="AJ63" s="1240" t="s">
        <v>983</v>
      </c>
      <c r="AK63" s="1240" t="s">
        <v>983</v>
      </c>
      <c r="AL63" s="1240" t="s">
        <v>1058</v>
      </c>
      <c r="AM63" s="1253"/>
      <c r="AN63" s="2115">
        <v>0.01</v>
      </c>
      <c r="AO63" s="1240" t="s">
        <v>1054</v>
      </c>
      <c r="AP63" s="1240" t="s">
        <v>1424</v>
      </c>
      <c r="AQ63" s="1240" t="s">
        <v>1311</v>
      </c>
      <c r="AR63" s="1253"/>
      <c r="AS63" s="1240" t="s">
        <v>956</v>
      </c>
      <c r="AT63" s="2115">
        <v>0.05</v>
      </c>
      <c r="AU63" s="1240"/>
      <c r="AV63" s="1240"/>
      <c r="AW63" s="1534"/>
      <c r="AX63" s="1240"/>
      <c r="AY63" s="1240"/>
      <c r="AZ63" s="1240"/>
      <c r="BA63" s="1240"/>
      <c r="BB63" s="1534"/>
      <c r="BC63" s="1534"/>
      <c r="BD63" s="1534"/>
      <c r="BE63" s="1534"/>
      <c r="BF63" s="1197"/>
    </row>
    <row r="64" spans="1:58" s="1178" customFormat="1" ht="11.25">
      <c r="A64" s="1156"/>
      <c r="B64" s="1156"/>
      <c r="C64" s="1156" t="s">
        <v>1287</v>
      </c>
      <c r="D64" s="1156"/>
      <c r="E64" s="1156"/>
      <c r="F64" s="1156"/>
      <c r="G64" s="1156"/>
      <c r="H64" s="1156"/>
      <c r="I64" s="1156"/>
      <c r="J64" s="1156"/>
      <c r="K64" s="1156"/>
      <c r="L64" s="1156"/>
      <c r="M64" s="1156"/>
      <c r="N64" s="1235"/>
      <c r="O64" s="1186"/>
      <c r="P64" s="1186"/>
      <c r="Q64" s="1186"/>
      <c r="R64" s="1186"/>
      <c r="S64" s="1235"/>
      <c r="T64" s="1184"/>
      <c r="U64" s="1184"/>
      <c r="V64" s="1184"/>
      <c r="W64" s="1184"/>
      <c r="X64" s="1571">
        <v>0.02</v>
      </c>
      <c r="Y64" s="1240"/>
      <c r="Z64" s="1254"/>
      <c r="AA64" s="1240"/>
      <c r="AB64" s="1240"/>
      <c r="AC64" s="1253"/>
      <c r="AD64" s="1254"/>
      <c r="AE64" s="1254"/>
      <c r="AF64" s="1254"/>
      <c r="AG64" s="1254"/>
      <c r="AH64" s="1253"/>
      <c r="AI64" s="1240"/>
      <c r="AJ64" s="1240"/>
      <c r="AK64" s="1240"/>
      <c r="AL64" s="1240"/>
      <c r="AM64" s="1253"/>
      <c r="AN64" s="1240"/>
      <c r="AO64" s="1240"/>
      <c r="AP64" s="1240"/>
      <c r="AQ64" s="1240"/>
      <c r="AR64" s="1253"/>
      <c r="AS64" s="1240"/>
      <c r="AT64" s="1240"/>
      <c r="AU64" s="1240"/>
      <c r="AV64" s="1240"/>
      <c r="AW64" s="1534"/>
      <c r="AX64" s="1240"/>
      <c r="AY64" s="1240"/>
      <c r="AZ64" s="1240"/>
      <c r="BA64" s="1240"/>
      <c r="BB64" s="1534"/>
      <c r="BC64" s="1534"/>
      <c r="BD64" s="1534"/>
      <c r="BE64" s="1534"/>
      <c r="BF64" s="1197"/>
    </row>
    <row r="65" spans="1:58" s="1178" customFormat="1" ht="11.25">
      <c r="A65" s="1156"/>
      <c r="B65" s="1156"/>
      <c r="C65" s="1156" t="s">
        <v>1286</v>
      </c>
      <c r="D65" s="1156"/>
      <c r="E65" s="1156"/>
      <c r="F65" s="1156"/>
      <c r="G65" s="1156"/>
      <c r="H65" s="1156"/>
      <c r="I65" s="1156"/>
      <c r="J65" s="1156"/>
      <c r="K65" s="1156"/>
      <c r="L65" s="1156"/>
      <c r="M65" s="1156"/>
      <c r="N65" s="1235"/>
      <c r="O65" s="1186"/>
      <c r="P65" s="1186"/>
      <c r="Q65" s="1186"/>
      <c r="R65" s="1186"/>
      <c r="S65" s="1235"/>
      <c r="T65" s="1184"/>
      <c r="U65" s="1184"/>
      <c r="V65" s="1184"/>
      <c r="W65" s="1184"/>
      <c r="X65" s="1571">
        <v>0.03</v>
      </c>
      <c r="Y65" s="1240"/>
      <c r="Z65" s="1254"/>
      <c r="AA65" s="1240"/>
      <c r="AB65" s="1240"/>
      <c r="AC65" s="1253"/>
      <c r="AD65" s="1254"/>
      <c r="AE65" s="1254"/>
      <c r="AF65" s="1254"/>
      <c r="AG65" s="1254"/>
      <c r="AH65" s="1253"/>
      <c r="AI65" s="1240"/>
      <c r="AJ65" s="1240"/>
      <c r="AK65" s="1240"/>
      <c r="AL65" s="1240"/>
      <c r="AM65" s="1253"/>
      <c r="AN65" s="1240"/>
      <c r="AO65" s="1240"/>
      <c r="AP65" s="1240"/>
      <c r="AQ65" s="1240"/>
      <c r="AR65" s="1253"/>
      <c r="AS65" s="1240"/>
      <c r="AT65" s="1240"/>
      <c r="AU65" s="1240"/>
      <c r="AV65" s="1240"/>
      <c r="AW65" s="1534"/>
      <c r="AX65" s="1240"/>
      <c r="AY65" s="1240"/>
      <c r="AZ65" s="1240"/>
      <c r="BA65" s="1240"/>
      <c r="BB65" s="1534"/>
      <c r="BC65" s="1534"/>
      <c r="BD65" s="1534"/>
      <c r="BE65" s="1534"/>
      <c r="BF65" s="1197"/>
    </row>
    <row r="66" spans="1:58" s="1178" customFormat="1" ht="11.25">
      <c r="A66" s="1156"/>
      <c r="B66" s="1156"/>
      <c r="C66" s="1156"/>
      <c r="D66" s="1156"/>
      <c r="E66" s="1156"/>
      <c r="F66" s="1156"/>
      <c r="G66" s="1156"/>
      <c r="H66" s="1156"/>
      <c r="I66" s="1156"/>
      <c r="J66" s="1156"/>
      <c r="K66" s="1156"/>
      <c r="L66" s="1156"/>
      <c r="M66" s="1156"/>
      <c r="N66" s="1235"/>
      <c r="O66" s="1186"/>
      <c r="P66" s="1186"/>
      <c r="Q66" s="1186"/>
      <c r="R66" s="1186"/>
      <c r="S66" s="1235"/>
      <c r="T66" s="1184"/>
      <c r="U66" s="1184"/>
      <c r="V66" s="1184"/>
      <c r="W66" s="1184"/>
      <c r="X66" s="1571"/>
      <c r="Y66" s="1240"/>
      <c r="Z66" s="1240"/>
      <c r="AA66" s="1240"/>
      <c r="AB66" s="1240"/>
      <c r="AC66" s="1253"/>
      <c r="AD66" s="1254"/>
      <c r="AE66" s="1254"/>
      <c r="AF66" s="1254"/>
      <c r="AG66" s="1254"/>
      <c r="AH66" s="1253"/>
      <c r="AI66" s="1240"/>
      <c r="AJ66" s="1240"/>
      <c r="AK66" s="1240"/>
      <c r="AL66" s="1240"/>
      <c r="AM66" s="1253"/>
      <c r="AN66" s="1240"/>
      <c r="AO66" s="1240"/>
      <c r="AP66" s="1240"/>
      <c r="AQ66" s="1240"/>
      <c r="AR66" s="1253"/>
      <c r="AS66" s="1240"/>
      <c r="AT66" s="1240"/>
      <c r="AU66" s="1240"/>
      <c r="AV66" s="1240"/>
      <c r="AW66" s="1534"/>
      <c r="AX66" s="1240"/>
      <c r="AY66" s="1240"/>
      <c r="AZ66" s="1240"/>
      <c r="BA66" s="1240"/>
      <c r="BB66" s="1534"/>
      <c r="BC66" s="1534"/>
      <c r="BD66" s="1534"/>
      <c r="BE66" s="1534"/>
      <c r="BF66" s="1197"/>
    </row>
    <row r="67" spans="1:58" s="1178" customFormat="1" ht="11.25">
      <c r="A67" s="1186"/>
      <c r="B67" s="1186"/>
      <c r="C67" s="1186" t="s">
        <v>1285</v>
      </c>
      <c r="D67" s="1186"/>
      <c r="E67" s="1186"/>
      <c r="F67" s="1186"/>
      <c r="G67" s="1186"/>
      <c r="H67" s="1186"/>
      <c r="I67" s="1186"/>
      <c r="J67" s="1186"/>
      <c r="K67" s="1186"/>
      <c r="L67" s="1186"/>
      <c r="M67" s="1186"/>
      <c r="N67" s="1235"/>
      <c r="O67" s="1186"/>
      <c r="P67" s="1186"/>
      <c r="Q67" s="1186"/>
      <c r="R67" s="1186"/>
      <c r="S67" s="1235"/>
      <c r="T67" s="1363"/>
      <c r="U67" s="1363"/>
      <c r="V67" s="1548">
        <v>0.02</v>
      </c>
      <c r="W67" s="1548">
        <v>-0.05</v>
      </c>
      <c r="X67" s="1831"/>
      <c r="Y67" s="1266">
        <v>0.02</v>
      </c>
      <c r="Z67" s="1266">
        <v>0.04</v>
      </c>
      <c r="AA67" s="1266">
        <v>0.05</v>
      </c>
      <c r="AB67" s="1266">
        <v>0.19</v>
      </c>
      <c r="AC67" s="1244"/>
      <c r="AD67" s="1266">
        <v>0.09</v>
      </c>
      <c r="AE67" s="1266">
        <v>0.28000000000000003</v>
      </c>
      <c r="AF67" s="1266">
        <v>0.11</v>
      </c>
      <c r="AG67" s="1266" t="s">
        <v>983</v>
      </c>
      <c r="AH67" s="1244"/>
      <c r="AI67" s="1240" t="s">
        <v>949</v>
      </c>
      <c r="AJ67" s="1240" t="s">
        <v>1240</v>
      </c>
      <c r="AK67" s="1240" t="s">
        <v>956</v>
      </c>
      <c r="AL67" s="1240" t="s">
        <v>1362</v>
      </c>
      <c r="AM67" s="1244"/>
      <c r="AN67" s="1243"/>
      <c r="AO67" s="1243"/>
      <c r="AP67" s="1243"/>
      <c r="AQ67" s="1243"/>
      <c r="AR67" s="1244"/>
      <c r="AS67" s="1243"/>
      <c r="AT67" s="1243"/>
      <c r="AU67" s="1243"/>
      <c r="AV67" s="1243"/>
      <c r="AW67" s="1547"/>
      <c r="AX67" s="2113"/>
      <c r="AY67" s="2113"/>
      <c r="AZ67" s="2113"/>
      <c r="BA67" s="2113"/>
      <c r="BB67" s="1547"/>
      <c r="BC67" s="1547"/>
      <c r="BD67" s="1547"/>
      <c r="BE67" s="1547"/>
      <c r="BF67" s="1200"/>
    </row>
    <row r="68" spans="1:58" s="1178" customFormat="1" ht="11.25">
      <c r="A68" s="1156"/>
      <c r="B68" s="1156"/>
      <c r="C68" s="1156"/>
      <c r="D68" s="1156"/>
      <c r="E68" s="1156"/>
      <c r="F68" s="1156"/>
      <c r="G68" s="1156"/>
      <c r="H68" s="1156"/>
      <c r="I68" s="1156"/>
      <c r="J68" s="1156"/>
      <c r="K68" s="1156"/>
      <c r="L68" s="1156"/>
      <c r="M68" s="1156"/>
      <c r="N68" s="1235"/>
      <c r="O68" s="1186"/>
      <c r="P68" s="1186"/>
      <c r="Q68" s="1186"/>
      <c r="R68" s="1186"/>
      <c r="S68" s="1235"/>
      <c r="T68" s="1184"/>
      <c r="U68" s="1184"/>
      <c r="V68" s="1184"/>
      <c r="W68" s="1184"/>
      <c r="X68" s="1571"/>
      <c r="Y68" s="1240"/>
      <c r="Z68" s="1240"/>
      <c r="AA68" s="1240"/>
      <c r="AB68" s="1240"/>
      <c r="AC68" s="1253"/>
      <c r="AD68" s="1240"/>
      <c r="AE68" s="1240"/>
      <c r="AF68" s="1240"/>
      <c r="AG68" s="1240"/>
      <c r="AH68" s="1253"/>
      <c r="AI68" s="1240"/>
      <c r="AJ68" s="1240"/>
      <c r="AK68" s="1240"/>
      <c r="AL68" s="1240"/>
      <c r="AM68" s="1253"/>
      <c r="AN68" s="1240"/>
      <c r="AO68" s="1240"/>
      <c r="AP68" s="1240"/>
      <c r="AQ68" s="1240"/>
      <c r="AR68" s="1253"/>
      <c r="AS68" s="1240"/>
      <c r="AT68" s="1240"/>
      <c r="AU68" s="1240"/>
      <c r="AV68" s="1240"/>
      <c r="AW68" s="1534"/>
      <c r="AX68" s="1240"/>
      <c r="AY68" s="1240"/>
      <c r="AZ68" s="1240"/>
      <c r="BA68" s="1240"/>
      <c r="BB68" s="1534"/>
      <c r="BC68" s="1534"/>
      <c r="BD68" s="1534"/>
      <c r="BE68" s="1534"/>
      <c r="BF68" s="1197"/>
    </row>
    <row r="69" spans="1:58" s="1178" customFormat="1" ht="11.25">
      <c r="A69" s="1156"/>
      <c r="B69" s="1156"/>
      <c r="C69" s="1830" t="s">
        <v>1284</v>
      </c>
      <c r="D69" s="1156"/>
      <c r="E69" s="1156"/>
      <c r="F69" s="1156"/>
      <c r="G69" s="1156"/>
      <c r="H69" s="1156"/>
      <c r="I69" s="1156"/>
      <c r="J69" s="1156"/>
      <c r="K69" s="1156"/>
      <c r="L69" s="1156"/>
      <c r="M69" s="1156"/>
      <c r="N69" s="1235"/>
      <c r="O69" s="1186"/>
      <c r="P69" s="1186"/>
      <c r="Q69" s="1186"/>
      <c r="R69" s="1186"/>
      <c r="S69" s="1235"/>
      <c r="T69" s="1184"/>
      <c r="U69" s="1184"/>
      <c r="V69" s="1184"/>
      <c r="W69" s="1184"/>
      <c r="X69" s="1222"/>
      <c r="Y69" s="1240"/>
      <c r="Z69" s="1240"/>
      <c r="AA69" s="1240"/>
      <c r="AB69" s="1240"/>
      <c r="AC69" s="1253"/>
      <c r="AD69" s="1240"/>
      <c r="AE69" s="1240"/>
      <c r="AF69" s="1240"/>
      <c r="AG69" s="1240"/>
      <c r="AH69" s="1253"/>
      <c r="AI69" s="1240"/>
      <c r="AJ69" s="1240"/>
      <c r="AK69" s="1240"/>
      <c r="AL69" s="1240"/>
      <c r="AM69" s="1253"/>
      <c r="AN69" s="1240"/>
      <c r="AO69" s="1240"/>
      <c r="AP69" s="1240"/>
      <c r="AQ69" s="1240"/>
      <c r="AR69" s="1253"/>
      <c r="AS69" s="1240"/>
      <c r="AT69" s="1240"/>
      <c r="AU69" s="1240"/>
      <c r="AV69" s="1240"/>
      <c r="AW69" s="1534"/>
      <c r="AX69" s="1240"/>
      <c r="AY69" s="1240"/>
      <c r="AZ69" s="1240"/>
      <c r="BA69" s="1240"/>
      <c r="BB69" s="1534"/>
      <c r="BC69" s="1534"/>
      <c r="BD69" s="1534"/>
      <c r="BE69" s="1534"/>
      <c r="BF69" s="1197"/>
    </row>
    <row r="70" spans="1:58" s="1178" customFormat="1" ht="11.25">
      <c r="A70" s="1156"/>
      <c r="B70" s="1156"/>
      <c r="C70" s="1156" t="s">
        <v>1283</v>
      </c>
      <c r="D70" s="1156"/>
      <c r="E70" s="1156"/>
      <c r="F70" s="1156"/>
      <c r="G70" s="1156"/>
      <c r="H70" s="1156"/>
      <c r="I70" s="373">
        <v>668</v>
      </c>
      <c r="J70" s="373">
        <v>832</v>
      </c>
      <c r="K70" s="373">
        <v>894</v>
      </c>
      <c r="L70" s="373">
        <v>858</v>
      </c>
      <c r="M70" s="373">
        <v>979</v>
      </c>
      <c r="N70" s="387">
        <v>972</v>
      </c>
      <c r="O70" s="373"/>
      <c r="P70" s="373"/>
      <c r="Q70" s="373"/>
      <c r="R70" s="373"/>
      <c r="S70" s="387">
        <v>1011</v>
      </c>
      <c r="T70" s="1184"/>
      <c r="U70" s="1184"/>
      <c r="V70" s="1184"/>
      <c r="W70" s="1184"/>
      <c r="X70" s="387">
        <f>588+601</f>
        <v>1189</v>
      </c>
      <c r="Y70" s="1829"/>
      <c r="Z70" s="1829"/>
      <c r="AA70" s="1829"/>
      <c r="AB70" s="1829"/>
      <c r="AC70" s="1828">
        <v>1303</v>
      </c>
      <c r="AD70" s="1827"/>
      <c r="AE70" s="1827"/>
      <c r="AF70" s="1827"/>
      <c r="AG70" s="1827"/>
      <c r="AH70" s="1828">
        <v>1399</v>
      </c>
      <c r="AI70" s="1827"/>
      <c r="AJ70" s="1827"/>
      <c r="AK70" s="1827"/>
      <c r="AL70" s="1827"/>
      <c r="AM70" s="1828">
        <v>1429</v>
      </c>
      <c r="AN70" s="1827"/>
      <c r="AO70" s="1827"/>
      <c r="AP70" s="1827"/>
      <c r="AQ70" s="1827"/>
      <c r="AR70" s="1253"/>
      <c r="AS70" s="1827"/>
      <c r="AT70" s="1827"/>
      <c r="AU70" s="1827"/>
      <c r="AV70" s="1827"/>
      <c r="AW70" s="1534"/>
      <c r="AX70" s="1827"/>
      <c r="AY70" s="1827"/>
      <c r="AZ70" s="1827"/>
      <c r="BA70" s="1827"/>
      <c r="BB70" s="1534"/>
      <c r="BC70" s="1534"/>
      <c r="BD70" s="1534"/>
      <c r="BE70" s="1534"/>
      <c r="BF70" s="1197"/>
    </row>
    <row r="71" spans="1:58" s="1178" customFormat="1" ht="11.25">
      <c r="A71" s="1156"/>
      <c r="B71" s="1156"/>
      <c r="C71" s="1156"/>
      <c r="D71" s="1156" t="s">
        <v>1280</v>
      </c>
      <c r="E71" s="1156"/>
      <c r="F71" s="1156"/>
      <c r="G71" s="1156"/>
      <c r="H71" s="1156"/>
      <c r="I71" s="1187">
        <v>0.1</v>
      </c>
      <c r="J71" s="1570">
        <f>J70/I70-1</f>
        <v>0.24550898203592819</v>
      </c>
      <c r="K71" s="1570">
        <f>K70/J70-1</f>
        <v>7.4519230769230838E-2</v>
      </c>
      <c r="L71" s="1570">
        <f>L70/K70-1</f>
        <v>-4.0268456375838979E-2</v>
      </c>
      <c r="M71" s="1570">
        <f>M70/L70-1</f>
        <v>0.14102564102564097</v>
      </c>
      <c r="N71" s="1712">
        <f>N70/M70-1</f>
        <v>-7.1501532175689553E-3</v>
      </c>
      <c r="O71" s="1156"/>
      <c r="P71" s="1156"/>
      <c r="Q71" s="1156"/>
      <c r="R71" s="1156"/>
      <c r="S71" s="1712">
        <f>S70/N70-1</f>
        <v>4.0123456790123413E-2</v>
      </c>
      <c r="T71" s="1184"/>
      <c r="U71" s="1184"/>
      <c r="V71" s="1184"/>
      <c r="W71" s="1184"/>
      <c r="X71" s="1712">
        <f>X70/S70-1</f>
        <v>0.17606330365974276</v>
      </c>
      <c r="Y71" s="1240"/>
      <c r="Z71" s="1240"/>
      <c r="AA71" s="1240"/>
      <c r="AB71" s="1240"/>
      <c r="AC71" s="1334">
        <f>AC70/X70-1</f>
        <v>9.5878889823380886E-2</v>
      </c>
      <c r="AD71" s="1336"/>
      <c r="AE71" s="1336"/>
      <c r="AF71" s="1336"/>
      <c r="AG71" s="1336"/>
      <c r="AH71" s="1334">
        <f>AH70/AC70-1</f>
        <v>7.3676132003069883E-2</v>
      </c>
      <c r="AI71" s="1336"/>
      <c r="AJ71" s="1336"/>
      <c r="AK71" s="1336"/>
      <c r="AL71" s="1336"/>
      <c r="AM71" s="1334">
        <f>AM70/AH70-1</f>
        <v>2.1443888491779806E-2</v>
      </c>
      <c r="AN71" s="1336"/>
      <c r="AO71" s="1336"/>
      <c r="AP71" s="1336"/>
      <c r="AQ71" s="1336"/>
      <c r="AR71" s="1334">
        <f>AR70/AM70-1</f>
        <v>-1</v>
      </c>
      <c r="AS71" s="1336"/>
      <c r="AT71" s="1336"/>
      <c r="AU71" s="1336"/>
      <c r="AV71" s="1336"/>
      <c r="AW71" s="1534"/>
      <c r="AX71" s="1336"/>
      <c r="AY71" s="1336"/>
      <c r="AZ71" s="1336"/>
      <c r="BA71" s="1336"/>
      <c r="BB71" s="1534"/>
      <c r="BC71" s="1534"/>
      <c r="BD71" s="1534"/>
      <c r="BE71" s="1534"/>
      <c r="BF71" s="1197"/>
    </row>
    <row r="72" spans="1:58" s="1178" customFormat="1" ht="11.25">
      <c r="A72" s="1156"/>
      <c r="B72" s="1156"/>
      <c r="C72" s="1156" t="s">
        <v>1282</v>
      </c>
      <c r="D72" s="1156"/>
      <c r="E72" s="1156"/>
      <c r="F72" s="1156"/>
      <c r="G72" s="1156"/>
      <c r="H72" s="1156"/>
      <c r="I72" s="1570">
        <v>8.4068259044391525E-2</v>
      </c>
      <c r="J72" s="1570">
        <v>6.3383236831242806E-2</v>
      </c>
      <c r="K72" s="1570">
        <v>7.5349425952799143E-2</v>
      </c>
      <c r="L72" s="1570">
        <v>7.5680743039714393E-3</v>
      </c>
      <c r="M72" s="1570">
        <v>-1.6441702032813588E-2</v>
      </c>
      <c r="N72" s="1712">
        <v>7.7265375373124501E-2</v>
      </c>
      <c r="O72" s="1570"/>
      <c r="P72" s="1570"/>
      <c r="Q72" s="1570"/>
      <c r="R72" s="1570"/>
      <c r="S72" s="1712">
        <v>5.8850406076426554E-2</v>
      </c>
      <c r="T72" s="1541"/>
      <c r="U72" s="1541"/>
      <c r="V72" s="1541"/>
      <c r="W72" s="1541"/>
      <c r="X72" s="1571">
        <v>5.3410372216541102E-2</v>
      </c>
      <c r="Y72" s="1240"/>
      <c r="Z72" s="1240"/>
      <c r="AA72" s="1240"/>
      <c r="AB72" s="1240"/>
      <c r="AC72" s="1581">
        <v>4.4999999999999998E-2</v>
      </c>
      <c r="AD72" s="1240"/>
      <c r="AE72" s="1240"/>
      <c r="AF72" s="1240"/>
      <c r="AG72" s="1240"/>
      <c r="AH72" s="1253"/>
      <c r="AI72" s="1240"/>
      <c r="AJ72" s="1240"/>
      <c r="AK72" s="1240"/>
      <c r="AL72" s="1240"/>
      <c r="AM72" s="1253"/>
      <c r="AN72" s="1240"/>
      <c r="AO72" s="1240"/>
      <c r="AP72" s="1240"/>
      <c r="AQ72" s="1240"/>
      <c r="AR72" s="1253"/>
      <c r="AS72" s="1240"/>
      <c r="AT72" s="1240"/>
      <c r="AU72" s="1240"/>
      <c r="AV72" s="1240"/>
      <c r="AW72" s="1534"/>
      <c r="AX72" s="1240"/>
      <c r="AY72" s="1240"/>
      <c r="AZ72" s="1240"/>
      <c r="BA72" s="1240"/>
      <c r="BB72" s="1534"/>
      <c r="BC72" s="1534"/>
      <c r="BD72" s="1534"/>
      <c r="BE72" s="1534"/>
      <c r="BF72" s="1197"/>
    </row>
    <row r="73" spans="1:58" s="1178" customFormat="1" ht="11.25">
      <c r="A73" s="1156"/>
      <c r="B73" s="1156"/>
      <c r="C73" s="1156" t="s">
        <v>1281</v>
      </c>
      <c r="D73" s="1156"/>
      <c r="E73" s="1156"/>
      <c r="F73" s="1156"/>
      <c r="G73" s="1156"/>
      <c r="H73" s="1156"/>
      <c r="I73" s="1826">
        <v>478.8</v>
      </c>
      <c r="J73" s="1826">
        <v>534.29999999999995</v>
      </c>
      <c r="K73" s="1826">
        <v>600.70000000000005</v>
      </c>
      <c r="L73" s="1826">
        <v>665.9</v>
      </c>
      <c r="M73" s="1826">
        <v>666.2</v>
      </c>
      <c r="N73" s="1825">
        <v>690.9</v>
      </c>
      <c r="O73" s="1826"/>
      <c r="P73" s="1826"/>
      <c r="Q73" s="1826"/>
      <c r="R73" s="1826"/>
      <c r="S73" s="1825">
        <v>687</v>
      </c>
      <c r="T73" s="1824"/>
      <c r="U73" s="1824"/>
      <c r="V73" s="1824"/>
      <c r="W73" s="1824"/>
      <c r="X73" s="1812">
        <v>645.70000000000005</v>
      </c>
      <c r="Y73" s="1823"/>
      <c r="Z73" s="1823"/>
      <c r="AA73" s="1823"/>
      <c r="AB73" s="1823"/>
      <c r="AC73" s="1822">
        <v>613.9</v>
      </c>
      <c r="AD73" s="1682"/>
      <c r="AE73" s="1682"/>
      <c r="AF73" s="1682"/>
      <c r="AG73" s="1682"/>
      <c r="AH73" s="1822">
        <v>583.6</v>
      </c>
      <c r="AI73" s="1682"/>
      <c r="AJ73" s="1682"/>
      <c r="AK73" s="1682"/>
      <c r="AL73" s="1682"/>
      <c r="AM73" s="1822">
        <v>595.9</v>
      </c>
      <c r="AN73" s="1682"/>
      <c r="AO73" s="1682"/>
      <c r="AP73" s="1682"/>
      <c r="AQ73" s="1682"/>
      <c r="AR73" s="1822">
        <v>605.9</v>
      </c>
      <c r="AS73" s="1682"/>
      <c r="AT73" s="1682"/>
      <c r="AU73" s="1682"/>
      <c r="AV73" s="1682"/>
      <c r="AW73" s="1821">
        <v>617.29999999999995</v>
      </c>
      <c r="AX73" s="1682"/>
      <c r="AY73" s="1682"/>
      <c r="AZ73" s="1682"/>
      <c r="BA73" s="1682"/>
      <c r="BB73" s="1821">
        <v>617.29999999999995</v>
      </c>
      <c r="BC73" s="1821">
        <v>617.29999999999995</v>
      </c>
      <c r="BD73" s="1821">
        <v>617.29999999999995</v>
      </c>
      <c r="BE73" s="1821">
        <v>617.29999999999995</v>
      </c>
      <c r="BF73" s="1986"/>
    </row>
    <row r="74" spans="1:58" s="1178" customFormat="1" ht="11.25">
      <c r="A74" s="1156"/>
      <c r="B74" s="1156"/>
      <c r="C74" s="1156"/>
      <c r="D74" s="1156" t="s">
        <v>1280</v>
      </c>
      <c r="E74" s="1156"/>
      <c r="F74" s="1156"/>
      <c r="G74" s="1156"/>
      <c r="H74" s="1156"/>
      <c r="I74" s="1156"/>
      <c r="J74" s="1570">
        <f>J73/I73-1</f>
        <v>0.11591478696741842</v>
      </c>
      <c r="K74" s="1570">
        <f>K73/J73-1</f>
        <v>0.12427475201197846</v>
      </c>
      <c r="L74" s="1570">
        <f>L73/K73-1</f>
        <v>0.10854003662393863</v>
      </c>
      <c r="M74" s="1570">
        <f>M73/L73-1</f>
        <v>4.5051809581031499E-4</v>
      </c>
      <c r="N74" s="1712">
        <f>N73/M73-1</f>
        <v>3.7075953167216902E-2</v>
      </c>
      <c r="O74" s="1186"/>
      <c r="P74" s="1186"/>
      <c r="Q74" s="1186"/>
      <c r="R74" s="1186"/>
      <c r="S74" s="1712">
        <f>S73/N73-1</f>
        <v>-5.6448111159357328E-3</v>
      </c>
      <c r="T74" s="1541"/>
      <c r="U74" s="1541"/>
      <c r="V74" s="1541"/>
      <c r="W74" s="1541"/>
      <c r="X74" s="1712">
        <f>X73/S73-1</f>
        <v>-6.0116448326055227E-2</v>
      </c>
      <c r="Y74" s="1336"/>
      <c r="Z74" s="1336"/>
      <c r="AA74" s="1336"/>
      <c r="AB74" s="1336"/>
      <c r="AC74" s="1820">
        <f>AC73/X73-1</f>
        <v>-4.9248877187548445E-2</v>
      </c>
      <c r="AD74" s="1819"/>
      <c r="AE74" s="1819"/>
      <c r="AF74" s="1819"/>
      <c r="AG74" s="1819"/>
      <c r="AH74" s="1820">
        <f>AH73/AC73-1</f>
        <v>-4.9356572731715231E-2</v>
      </c>
      <c r="AI74" s="1819"/>
      <c r="AJ74" s="1819"/>
      <c r="AK74" s="1819"/>
      <c r="AL74" s="1819"/>
      <c r="AM74" s="1332">
        <f>AM73/AH73-1</f>
        <v>2.1076079506511247E-2</v>
      </c>
      <c r="AN74" s="1819"/>
      <c r="AO74" s="1819"/>
      <c r="AP74" s="1819"/>
      <c r="AQ74" s="1819"/>
      <c r="AR74" s="1332">
        <f>AR73/AM73-1</f>
        <v>1.6781339150864216E-2</v>
      </c>
      <c r="AS74" s="1819"/>
      <c r="AT74" s="1819"/>
      <c r="AU74" s="1819"/>
      <c r="AV74" s="1819"/>
      <c r="AW74" s="1332">
        <f>AW73/AR73-1</f>
        <v>1.8814985971282283E-2</v>
      </c>
      <c r="AX74" s="1819"/>
      <c r="AY74" s="1819"/>
      <c r="AZ74" s="1819"/>
      <c r="BA74" s="1819"/>
      <c r="BB74" s="1332">
        <f>BB73/AW73-1</f>
        <v>0</v>
      </c>
      <c r="BC74" s="1332">
        <f>BC73/BB73-1</f>
        <v>0</v>
      </c>
      <c r="BD74" s="1332">
        <f>BD73/BC73-1</f>
        <v>0</v>
      </c>
      <c r="BE74" s="1332">
        <f>BE73/BD73-1</f>
        <v>0</v>
      </c>
      <c r="BF74" s="1819"/>
    </row>
    <row r="75" spans="1:58" s="1178" customFormat="1" ht="11.25">
      <c r="A75" s="1156"/>
      <c r="B75" s="1156"/>
      <c r="C75" s="1156"/>
      <c r="D75" s="1156"/>
      <c r="E75" s="1156"/>
      <c r="F75" s="1156"/>
      <c r="G75" s="1156"/>
      <c r="H75" s="1156"/>
      <c r="I75" s="1156"/>
      <c r="J75" s="1570"/>
      <c r="K75" s="1570"/>
      <c r="L75" s="1570"/>
      <c r="M75" s="1570"/>
      <c r="N75" s="1712"/>
      <c r="O75" s="1186"/>
      <c r="P75" s="1186"/>
      <c r="Q75" s="1186"/>
      <c r="R75" s="1186"/>
      <c r="S75" s="1712"/>
      <c r="T75" s="1541"/>
      <c r="U75" s="1541"/>
      <c r="V75" s="1541"/>
      <c r="W75" s="1541"/>
      <c r="X75" s="1712"/>
      <c r="Y75" s="1336"/>
      <c r="Z75" s="1336"/>
      <c r="AA75" s="1336"/>
      <c r="AB75" s="1336"/>
      <c r="AC75" s="1820"/>
      <c r="AD75" s="1819"/>
      <c r="AE75" s="1819"/>
      <c r="AF75" s="1819"/>
      <c r="AG75" s="1819"/>
      <c r="AH75" s="1820"/>
      <c r="AI75" s="1819"/>
      <c r="AJ75" s="1819"/>
      <c r="AK75" s="1819"/>
      <c r="AL75" s="1819"/>
      <c r="AM75" s="1332"/>
      <c r="AN75" s="1819"/>
      <c r="AO75" s="1819"/>
      <c r="AP75" s="1819"/>
      <c r="AQ75" s="1819"/>
      <c r="AR75" s="1332"/>
      <c r="AS75" s="1819"/>
      <c r="AT75" s="1819"/>
      <c r="AU75" s="1819"/>
      <c r="AV75" s="1819"/>
      <c r="AW75" s="1332"/>
      <c r="AX75" s="1819"/>
      <c r="AY75" s="1819"/>
      <c r="AZ75" s="1819"/>
      <c r="BA75" s="1819"/>
      <c r="BB75" s="1332"/>
      <c r="BC75" s="1332"/>
      <c r="BD75" s="1332"/>
      <c r="BE75" s="1332"/>
      <c r="BF75" s="1819"/>
    </row>
    <row r="76" spans="1:58" s="1178" customFormat="1" ht="11.25">
      <c r="A76" s="1156"/>
      <c r="B76" s="1156"/>
      <c r="C76" s="1156" t="s">
        <v>1279</v>
      </c>
      <c r="D76" s="1156"/>
      <c r="E76" s="1156"/>
      <c r="F76" s="1156"/>
      <c r="G76" s="1156"/>
      <c r="H76" s="1156"/>
      <c r="I76" s="1156"/>
      <c r="J76" s="1570"/>
      <c r="K76" s="1570"/>
      <c r="L76" s="1570"/>
      <c r="M76" s="1570"/>
      <c r="N76" s="1712"/>
      <c r="O76" s="1186"/>
      <c r="P76" s="1186"/>
      <c r="Q76" s="1186"/>
      <c r="R76" s="1186"/>
      <c r="S76" s="1712"/>
      <c r="T76" s="1541"/>
      <c r="U76" s="1541"/>
      <c r="V76" s="1541"/>
      <c r="W76" s="1541"/>
      <c r="X76" s="1421"/>
      <c r="Y76" s="1336"/>
      <c r="Z76" s="1336"/>
      <c r="AA76" s="1336"/>
      <c r="AB76" s="1336"/>
      <c r="AC76" s="1588"/>
      <c r="AD76" s="1336"/>
      <c r="AE76" s="1336"/>
      <c r="AF76" s="1336"/>
      <c r="AG76" s="1336"/>
      <c r="AH76" s="1588"/>
      <c r="AI76" s="1336"/>
      <c r="AJ76" s="1336"/>
      <c r="AK76" s="1336"/>
      <c r="AL76" s="1336"/>
      <c r="AM76" s="1332"/>
      <c r="AN76" s="1336"/>
      <c r="AO76" s="1336"/>
      <c r="AP76" s="1336"/>
      <c r="AQ76" s="1336"/>
      <c r="AR76" s="1332"/>
      <c r="AS76" s="1336"/>
      <c r="AT76" s="1336"/>
      <c r="AU76" s="1336"/>
      <c r="AV76" s="1336"/>
      <c r="AW76" s="1332"/>
      <c r="AX76" s="1336"/>
      <c r="AY76" s="1336"/>
      <c r="AZ76" s="1336"/>
      <c r="BA76" s="1336"/>
      <c r="BB76" s="1332"/>
      <c r="BC76" s="1332"/>
      <c r="BD76" s="1332"/>
      <c r="BE76" s="1332"/>
      <c r="BF76" s="1819"/>
    </row>
    <row r="77" spans="1:58" s="1178" customFormat="1" ht="11.25">
      <c r="A77" s="1156"/>
      <c r="B77" s="1156"/>
      <c r="C77" s="1156" t="s">
        <v>1278</v>
      </c>
      <c r="D77" s="1156"/>
      <c r="E77" s="1156"/>
      <c r="F77" s="1156"/>
      <c r="G77" s="1156"/>
      <c r="H77" s="1156"/>
      <c r="I77" s="1156"/>
      <c r="J77" s="1156"/>
      <c r="K77" s="1570"/>
      <c r="L77" s="1570"/>
      <c r="M77" s="1570"/>
      <c r="N77" s="1712"/>
      <c r="O77" s="1186"/>
      <c r="P77" s="1186"/>
      <c r="Q77" s="1186"/>
      <c r="R77" s="1186"/>
      <c r="S77" s="1712"/>
      <c r="T77" s="1184"/>
      <c r="U77" s="1184"/>
      <c r="V77" s="1184"/>
      <c r="W77" s="1184"/>
      <c r="X77" s="1359"/>
      <c r="Y77" s="1240"/>
      <c r="Z77" s="1240"/>
      <c r="AA77" s="1240"/>
      <c r="AB77" s="1240"/>
      <c r="AC77" s="1330"/>
      <c r="AD77" s="1197"/>
      <c r="AE77" s="1197"/>
      <c r="AF77" s="1240"/>
      <c r="AG77" s="1240"/>
      <c r="AH77" s="1330"/>
      <c r="AI77" s="1197"/>
      <c r="AJ77" s="1197"/>
      <c r="AK77" s="1240"/>
      <c r="AL77" s="1240"/>
      <c r="AM77" s="1536"/>
      <c r="AN77" s="1197"/>
      <c r="AO77" s="1197"/>
      <c r="AP77" s="1197"/>
      <c r="AQ77" s="1197"/>
      <c r="AR77" s="1536"/>
      <c r="AS77" s="1197"/>
      <c r="AT77" s="1197"/>
      <c r="AU77" s="1197"/>
      <c r="AV77" s="1197"/>
      <c r="AW77" s="1536"/>
      <c r="AX77" s="1197"/>
      <c r="AY77" s="1197"/>
      <c r="AZ77" s="1197"/>
      <c r="BA77" s="1197"/>
      <c r="BB77" s="1536"/>
      <c r="BC77" s="1536"/>
      <c r="BD77" s="2122"/>
      <c r="BE77" s="2122"/>
      <c r="BF77" s="1254"/>
    </row>
    <row r="78" spans="1:58" s="1178" customFormat="1" ht="11.25">
      <c r="A78" s="1156"/>
      <c r="B78" s="1156"/>
      <c r="C78" s="1156" t="s">
        <v>1277</v>
      </c>
      <c r="D78" s="1156"/>
      <c r="E78" s="1156"/>
      <c r="F78" s="1156"/>
      <c r="G78" s="1156"/>
      <c r="H78" s="1156"/>
      <c r="I78" s="1156"/>
      <c r="J78" s="1156"/>
      <c r="K78" s="1156"/>
      <c r="L78" s="1156"/>
      <c r="M78" s="1156"/>
      <c r="N78" s="1235"/>
      <c r="O78" s="1186"/>
      <c r="P78" s="1186"/>
      <c r="Q78" s="1186"/>
      <c r="R78" s="1186"/>
      <c r="S78" s="1235"/>
      <c r="T78" s="1184"/>
      <c r="U78" s="1184"/>
      <c r="V78" s="1184"/>
      <c r="W78" s="1184"/>
      <c r="X78" s="1222">
        <v>7</v>
      </c>
      <c r="Y78" s="1687"/>
      <c r="Z78" s="1687"/>
      <c r="AA78" s="1240"/>
      <c r="AB78" s="1240"/>
      <c r="AC78" s="1253">
        <v>7</v>
      </c>
      <c r="AD78" s="1687"/>
      <c r="AE78" s="1687"/>
      <c r="AF78" s="1240"/>
      <c r="AG78" s="1240"/>
      <c r="AH78" s="1253">
        <v>7</v>
      </c>
      <c r="AI78" s="1687"/>
      <c r="AJ78" s="1687"/>
      <c r="AK78" s="1240"/>
      <c r="AL78" s="1240"/>
      <c r="AM78" s="1253"/>
      <c r="AN78" s="1687"/>
      <c r="AO78" s="1687"/>
      <c r="AP78" s="1687"/>
      <c r="AQ78" s="1687"/>
      <c r="AR78" s="1253"/>
      <c r="AS78" s="1687"/>
      <c r="AT78" s="1687"/>
      <c r="AU78" s="1687"/>
      <c r="AV78" s="1687"/>
      <c r="AW78" s="1534"/>
      <c r="AX78" s="1687"/>
      <c r="AY78" s="1687"/>
      <c r="AZ78" s="1687"/>
      <c r="BA78" s="1687"/>
      <c r="BB78" s="1534"/>
      <c r="BC78" s="1534"/>
      <c r="BD78" s="1534"/>
      <c r="BE78" s="1534"/>
      <c r="BF78" s="1197"/>
    </row>
    <row r="79" spans="1:58" s="1178" customFormat="1" ht="11.25">
      <c r="A79" s="1156"/>
      <c r="B79" s="1156"/>
      <c r="C79" s="1156"/>
      <c r="D79" s="1156"/>
      <c r="E79" s="1156"/>
      <c r="F79" s="1156"/>
      <c r="G79" s="1156"/>
      <c r="H79" s="1156"/>
      <c r="I79" s="1156"/>
      <c r="J79" s="1570"/>
      <c r="K79" s="1570"/>
      <c r="L79" s="1570"/>
      <c r="M79" s="1570"/>
      <c r="N79" s="1712"/>
      <c r="O79" s="1186"/>
      <c r="P79" s="1186"/>
      <c r="Q79" s="1186"/>
      <c r="R79" s="1186"/>
      <c r="S79" s="1712"/>
      <c r="T79" s="1541"/>
      <c r="U79" s="1541"/>
      <c r="V79" s="1541"/>
      <c r="W79" s="1541"/>
      <c r="X79" s="1712"/>
      <c r="Y79" s="1336"/>
      <c r="Z79" s="1336"/>
      <c r="AA79" s="1336"/>
      <c r="AB79" s="1336"/>
      <c r="AC79" s="1820"/>
      <c r="AD79" s="1819"/>
      <c r="AE79" s="1819"/>
      <c r="AF79" s="1819"/>
      <c r="AG79" s="1819"/>
      <c r="AH79" s="1820"/>
      <c r="AI79" s="1819"/>
      <c r="AJ79" s="1819"/>
      <c r="AK79" s="1819"/>
      <c r="AL79" s="1819"/>
      <c r="AM79" s="1332"/>
      <c r="AN79" s="1819"/>
      <c r="AO79" s="1819"/>
      <c r="AP79" s="1819"/>
      <c r="AQ79" s="1819"/>
      <c r="AR79" s="1332"/>
      <c r="AS79" s="1819"/>
      <c r="AT79" s="1819"/>
      <c r="AU79" s="1819"/>
      <c r="AV79" s="1819"/>
      <c r="AW79" s="1332"/>
      <c r="AX79" s="1819"/>
      <c r="AY79" s="1819"/>
      <c r="AZ79" s="1819"/>
      <c r="BA79" s="1819"/>
      <c r="BB79" s="1332"/>
      <c r="BC79" s="1332"/>
      <c r="BD79" s="1332"/>
      <c r="BE79" s="1332"/>
      <c r="BF79" s="1819"/>
    </row>
    <row r="80" spans="1:58" s="1178" customFormat="1" ht="11.25">
      <c r="A80" s="1156"/>
      <c r="B80" s="1156"/>
      <c r="C80" s="1156" t="s">
        <v>1276</v>
      </c>
      <c r="D80" s="1156"/>
      <c r="E80" s="1156"/>
      <c r="F80" s="1156"/>
      <c r="G80" s="1156"/>
      <c r="H80" s="1156"/>
      <c r="I80" s="1156"/>
      <c r="J80" s="1156"/>
      <c r="K80" s="1156"/>
      <c r="L80" s="1156"/>
      <c r="M80" s="1156"/>
      <c r="N80" s="1235"/>
      <c r="O80" s="1186"/>
      <c r="P80" s="1186"/>
      <c r="Q80" s="1186"/>
      <c r="R80" s="1186"/>
      <c r="S80" s="1235"/>
      <c r="T80" s="1184"/>
      <c r="U80" s="1184"/>
      <c r="V80" s="1802">
        <v>25</v>
      </c>
      <c r="W80" s="1802">
        <f>X80-V80</f>
        <v>38</v>
      </c>
      <c r="X80" s="1222">
        <v>63</v>
      </c>
      <c r="Y80" s="1156"/>
      <c r="Z80" s="1156"/>
      <c r="AA80" s="1156"/>
      <c r="AB80" s="1156"/>
      <c r="AC80" s="1222">
        <v>200</v>
      </c>
      <c r="AD80" s="1184"/>
      <c r="AE80" s="1184"/>
      <c r="AF80" s="1184"/>
      <c r="AG80" s="1184"/>
      <c r="AH80" s="1222">
        <v>300</v>
      </c>
      <c r="AI80" s="1184"/>
      <c r="AJ80" s="1184"/>
      <c r="AK80" s="1184"/>
      <c r="AL80" s="1184"/>
      <c r="AM80" s="1222">
        <v>400</v>
      </c>
      <c r="AN80" s="1184"/>
      <c r="AO80" s="1184"/>
      <c r="AP80" s="1184"/>
      <c r="AQ80" s="1184"/>
      <c r="AR80" s="1222">
        <v>500</v>
      </c>
      <c r="AS80" s="1184"/>
      <c r="AT80" s="1184"/>
      <c r="AU80" s="1184"/>
      <c r="AV80" s="1184"/>
      <c r="AW80" s="1221"/>
      <c r="AX80" s="2110"/>
      <c r="AY80" s="2110"/>
      <c r="AZ80" s="2110"/>
      <c r="BA80" s="2110"/>
      <c r="BB80" s="1221"/>
      <c r="BC80" s="1221"/>
      <c r="BD80" s="2111"/>
      <c r="BE80" s="2111"/>
      <c r="BF80" s="1156"/>
    </row>
    <row r="81" spans="1:60" s="1178" customFormat="1" ht="11.25">
      <c r="A81" s="1156"/>
      <c r="B81" s="1156"/>
      <c r="C81" s="1156" t="s">
        <v>1275</v>
      </c>
      <c r="D81" s="1156"/>
      <c r="E81" s="1156"/>
      <c r="F81" s="1156"/>
      <c r="G81" s="1156"/>
      <c r="H81" s="1156"/>
      <c r="I81" s="1156"/>
      <c r="J81" s="1156"/>
      <c r="K81" s="1156"/>
      <c r="L81" s="1156"/>
      <c r="M81" s="1156"/>
      <c r="N81" s="1235"/>
      <c r="O81" s="1186"/>
      <c r="P81" s="1186"/>
      <c r="Q81" s="1186"/>
      <c r="R81" s="1186"/>
      <c r="S81" s="1235"/>
      <c r="T81" s="1184"/>
      <c r="U81" s="1184"/>
      <c r="V81" s="1184"/>
      <c r="W81" s="1184"/>
      <c r="X81" s="1222"/>
      <c r="Y81" s="1802">
        <v>45</v>
      </c>
      <c r="Z81" s="1802">
        <v>55</v>
      </c>
      <c r="AA81" s="1802">
        <v>60</v>
      </c>
      <c r="AB81" s="1802">
        <f>AC81-AA81-Z81-Y81</f>
        <v>110</v>
      </c>
      <c r="AC81" s="1801">
        <v>270</v>
      </c>
      <c r="AD81" s="1802">
        <v>80</v>
      </c>
      <c r="AE81" s="1802">
        <f>AD81+10</f>
        <v>90</v>
      </c>
      <c r="AF81" s="1802">
        <f>AE81+10</f>
        <v>100</v>
      </c>
      <c r="AG81" s="1802">
        <f>AH81-AF81-AE81-AD81</f>
        <v>105</v>
      </c>
      <c r="AH81" s="1801">
        <v>375</v>
      </c>
      <c r="AI81" s="1802"/>
      <c r="AJ81" s="1802"/>
      <c r="AK81" s="1802"/>
      <c r="AL81" s="1802"/>
      <c r="AM81" s="1801">
        <v>500</v>
      </c>
      <c r="AN81" s="1802"/>
      <c r="AO81" s="1802"/>
      <c r="AP81" s="1802"/>
      <c r="AQ81" s="1802"/>
      <c r="AR81" s="1801">
        <v>550</v>
      </c>
      <c r="AS81" s="1802"/>
      <c r="AT81" s="1802"/>
      <c r="AU81" s="1802"/>
      <c r="AV81" s="1802"/>
      <c r="AW81" s="1221"/>
      <c r="AX81" s="1802"/>
      <c r="AY81" s="1802"/>
      <c r="AZ81" s="1802"/>
      <c r="BA81" s="1802"/>
      <c r="BB81" s="1221"/>
      <c r="BC81" s="1221"/>
      <c r="BD81" s="2111"/>
      <c r="BE81" s="2111"/>
      <c r="BF81" s="1156"/>
    </row>
    <row r="82" spans="1:60" s="1178" customFormat="1" ht="11.25">
      <c r="A82" s="1156"/>
      <c r="B82" s="1156"/>
      <c r="C82" s="1156"/>
      <c r="D82" s="1156"/>
      <c r="E82" s="1156"/>
      <c r="F82" s="1156"/>
      <c r="G82" s="1156"/>
      <c r="H82" s="1156"/>
      <c r="I82" s="1156"/>
      <c r="J82" s="1156"/>
      <c r="K82" s="1156"/>
      <c r="L82" s="1156"/>
      <c r="M82" s="1156"/>
      <c r="N82" s="1235"/>
      <c r="O82" s="1186"/>
      <c r="P82" s="1186"/>
      <c r="Q82" s="1186"/>
      <c r="R82" s="1186"/>
      <c r="S82" s="1235"/>
      <c r="T82" s="1184"/>
      <c r="U82" s="1184"/>
      <c r="V82" s="1184"/>
      <c r="W82" s="1184"/>
      <c r="X82" s="1222"/>
      <c r="Y82" s="1802"/>
      <c r="Z82" s="1802"/>
      <c r="AA82" s="1802"/>
      <c r="AB82" s="1802"/>
      <c r="AC82" s="1801"/>
      <c r="AD82" s="1802"/>
      <c r="AE82" s="1802"/>
      <c r="AF82" s="1802"/>
      <c r="AG82" s="1802"/>
      <c r="AH82" s="1801"/>
      <c r="AI82" s="1802"/>
      <c r="AJ82" s="1802"/>
      <c r="AK82" s="1802"/>
      <c r="AL82" s="1802"/>
      <c r="AM82" s="1801"/>
      <c r="AN82" s="1802"/>
      <c r="AO82" s="1802"/>
      <c r="AP82" s="1802"/>
      <c r="AQ82" s="1802"/>
      <c r="AR82" s="1801"/>
      <c r="AS82" s="1802"/>
      <c r="AT82" s="1802"/>
      <c r="AU82" s="1802"/>
      <c r="AV82" s="1802"/>
      <c r="AW82" s="1221"/>
      <c r="AX82" s="1802"/>
      <c r="AY82" s="1802"/>
      <c r="AZ82" s="1802"/>
      <c r="BA82" s="1802"/>
      <c r="BB82" s="1221"/>
      <c r="BC82" s="1221"/>
      <c r="BD82" s="2111"/>
      <c r="BE82" s="2111"/>
      <c r="BF82" s="1156"/>
    </row>
    <row r="83" spans="1:60" s="1178" customFormat="1" ht="11.25">
      <c r="A83" s="1156"/>
      <c r="B83" s="1156"/>
      <c r="C83" s="1818" t="s">
        <v>1009</v>
      </c>
      <c r="D83" s="1156"/>
      <c r="E83" s="1156"/>
      <c r="F83" s="1156"/>
      <c r="G83" s="1156"/>
      <c r="H83" s="1156"/>
      <c r="I83" s="1156"/>
      <c r="J83" s="1156"/>
      <c r="K83" s="1156"/>
      <c r="L83" s="1156"/>
      <c r="M83" s="1156"/>
      <c r="N83" s="1235"/>
      <c r="O83" s="1186"/>
      <c r="P83" s="1186"/>
      <c r="Q83" s="1186"/>
      <c r="R83" s="1186"/>
      <c r="S83" s="1235"/>
      <c r="T83" s="1184"/>
      <c r="U83" s="1184"/>
      <c r="V83" s="1184"/>
      <c r="W83" s="1184"/>
      <c r="X83" s="1222"/>
      <c r="Y83" s="1802"/>
      <c r="Z83" s="1802"/>
      <c r="AA83" s="1802"/>
      <c r="AB83" s="1802"/>
      <c r="AC83" s="1801"/>
      <c r="AD83" s="1802"/>
      <c r="AE83" s="1802"/>
      <c r="AF83" s="1802"/>
      <c r="AG83" s="1802"/>
      <c r="AH83" s="1801"/>
      <c r="AI83" s="1802"/>
      <c r="AJ83" s="1802"/>
      <c r="AK83" s="1802"/>
      <c r="AL83" s="1802"/>
      <c r="AM83" s="1801"/>
      <c r="AN83" s="1802"/>
      <c r="AO83" s="1802"/>
      <c r="AP83" s="1802"/>
      <c r="AQ83" s="1802"/>
      <c r="AR83" s="1801"/>
      <c r="AS83" s="1802"/>
      <c r="AT83" s="1802"/>
      <c r="AU83" s="1802"/>
      <c r="AV83" s="1802"/>
      <c r="AW83" s="1221"/>
      <c r="AX83" s="1802"/>
      <c r="AY83" s="1802"/>
      <c r="AZ83" s="1802"/>
      <c r="BA83" s="1802"/>
      <c r="BB83" s="1221"/>
      <c r="BC83" s="1221"/>
      <c r="BD83" s="2111"/>
      <c r="BE83" s="2111"/>
      <c r="BF83" s="1156"/>
      <c r="BG83" s="1817"/>
    </row>
    <row r="84" spans="1:60" s="1178" customFormat="1" ht="11.25">
      <c r="A84" s="1156"/>
      <c r="B84" s="1156"/>
      <c r="C84" s="1186" t="s">
        <v>516</v>
      </c>
      <c r="D84" s="1156"/>
      <c r="E84" s="1156"/>
      <c r="F84" s="1156"/>
      <c r="G84" s="1156"/>
      <c r="H84" s="1156"/>
      <c r="I84" s="1156"/>
      <c r="J84" s="1156"/>
      <c r="K84" s="1156"/>
      <c r="L84" s="1156"/>
      <c r="M84" s="1156"/>
      <c r="N84" s="1235"/>
      <c r="O84" s="1186"/>
      <c r="P84" s="1186"/>
      <c r="Q84" s="1186"/>
      <c r="R84" s="1186"/>
      <c r="S84" s="1235"/>
      <c r="T84" s="1184"/>
      <c r="U84" s="1184"/>
      <c r="V84" s="1184"/>
      <c r="W84" s="1184"/>
      <c r="X84" s="1222"/>
      <c r="Y84" s="1802"/>
      <c r="Z84" s="1802"/>
      <c r="AA84" s="1802"/>
      <c r="AB84" s="1802"/>
      <c r="AC84" s="1801"/>
      <c r="AD84" s="1802"/>
      <c r="AE84" s="1802"/>
      <c r="AF84" s="1802"/>
      <c r="AG84" s="1802"/>
      <c r="AH84" s="1556">
        <v>0.75</v>
      </c>
      <c r="AI84" s="1802"/>
      <c r="AJ84" s="1802"/>
      <c r="AK84" s="1802"/>
      <c r="AL84" s="1802"/>
      <c r="AM84" s="1801"/>
      <c r="AN84" s="1802"/>
      <c r="AO84" s="1802"/>
      <c r="AP84" s="1802"/>
      <c r="AQ84" s="1802"/>
      <c r="AR84" s="1801"/>
      <c r="AS84" s="1802"/>
      <c r="AT84" s="1802"/>
      <c r="AU84" s="1802"/>
      <c r="AV84" s="1802"/>
      <c r="AW84" s="1221"/>
      <c r="AX84" s="1802"/>
      <c r="AY84" s="1802"/>
      <c r="AZ84" s="1802"/>
      <c r="BA84" s="1802"/>
      <c r="BB84" s="1221"/>
      <c r="BC84" s="1221"/>
      <c r="BD84" s="2111"/>
      <c r="BE84" s="2111"/>
      <c r="BF84" s="1156"/>
      <c r="BG84" s="1817"/>
    </row>
    <row r="85" spans="1:60" s="1178" customFormat="1" ht="11.25">
      <c r="A85" s="1156"/>
      <c r="B85" s="1156"/>
      <c r="C85" s="1156"/>
      <c r="D85" s="1156" t="s">
        <v>1270</v>
      </c>
      <c r="E85" s="1156"/>
      <c r="F85" s="1156"/>
      <c r="G85" s="1156"/>
      <c r="H85" s="1156"/>
      <c r="I85" s="1156"/>
      <c r="J85" s="1156"/>
      <c r="K85" s="1156"/>
      <c r="L85" s="1156"/>
      <c r="M85" s="1156"/>
      <c r="N85" s="1235"/>
      <c r="O85" s="1186"/>
      <c r="P85" s="1186"/>
      <c r="Q85" s="1186"/>
      <c r="R85" s="1186"/>
      <c r="S85" s="1235"/>
      <c r="T85" s="1184"/>
      <c r="U85" s="1184"/>
      <c r="V85" s="1184"/>
      <c r="W85" s="1184"/>
      <c r="X85" s="1222"/>
      <c r="Y85" s="1802"/>
      <c r="Z85" s="1802"/>
      <c r="AA85" s="1802"/>
      <c r="AB85" s="1802"/>
      <c r="AC85" s="1801"/>
      <c r="AD85" s="1802"/>
      <c r="AE85" s="1802"/>
      <c r="AF85" s="1802"/>
      <c r="AG85" s="1802"/>
      <c r="AH85" s="1539">
        <v>0.6</v>
      </c>
      <c r="AI85" s="1802"/>
      <c r="AJ85" s="1802"/>
      <c r="AK85" s="1802"/>
      <c r="AL85" s="1802"/>
      <c r="AM85" s="1801"/>
      <c r="AN85" s="1802"/>
      <c r="AO85" s="1802"/>
      <c r="AP85" s="1802"/>
      <c r="AQ85" s="1802"/>
      <c r="AR85" s="1801"/>
      <c r="AS85" s="1802"/>
      <c r="AT85" s="1802"/>
      <c r="AU85" s="1802"/>
      <c r="AV85" s="1802"/>
      <c r="AW85" s="1221"/>
      <c r="AX85" s="1802"/>
      <c r="AY85" s="1802"/>
      <c r="AZ85" s="1802"/>
      <c r="BA85" s="1802"/>
      <c r="BB85" s="1221"/>
      <c r="BC85" s="1221"/>
      <c r="BD85" s="2111"/>
      <c r="BE85" s="2111"/>
      <c r="BF85" s="1156"/>
    </row>
    <row r="86" spans="1:60" s="1178" customFormat="1" ht="11.25">
      <c r="A86" s="1156"/>
      <c r="B86" s="1156"/>
      <c r="C86" s="1156"/>
      <c r="D86" s="1156" t="s">
        <v>1215</v>
      </c>
      <c r="E86" s="1156"/>
      <c r="F86" s="1156"/>
      <c r="G86" s="1156"/>
      <c r="H86" s="1156"/>
      <c r="I86" s="1156"/>
      <c r="J86" s="1156"/>
      <c r="K86" s="1156"/>
      <c r="L86" s="1156"/>
      <c r="M86" s="1156"/>
      <c r="N86" s="1235"/>
      <c r="O86" s="1186"/>
      <c r="P86" s="1186"/>
      <c r="Q86" s="1186"/>
      <c r="R86" s="1186"/>
      <c r="S86" s="1235"/>
      <c r="T86" s="1184"/>
      <c r="U86" s="1184"/>
      <c r="V86" s="1184"/>
      <c r="W86" s="1184"/>
      <c r="X86" s="1222"/>
      <c r="Y86" s="1802"/>
      <c r="Z86" s="1802"/>
      <c r="AA86" s="1802"/>
      <c r="AB86" s="1802"/>
      <c r="AC86" s="1801"/>
      <c r="AD86" s="1802"/>
      <c r="AE86" s="1802"/>
      <c r="AF86" s="1802"/>
      <c r="AG86" s="1802"/>
      <c r="AH86" s="1539">
        <v>0.4</v>
      </c>
      <c r="AI86" s="1802"/>
      <c r="AJ86" s="1802"/>
      <c r="AK86" s="1802"/>
      <c r="AL86" s="1802"/>
      <c r="AM86" s="1801"/>
      <c r="AN86" s="1802"/>
      <c r="AO86" s="1802"/>
      <c r="AP86" s="1802"/>
      <c r="AQ86" s="1802"/>
      <c r="AR86" s="1801"/>
      <c r="AS86" s="1802"/>
      <c r="AT86" s="1802"/>
      <c r="AU86" s="1802"/>
      <c r="AV86" s="1802"/>
      <c r="AW86" s="1221"/>
      <c r="AX86" s="1802"/>
      <c r="AY86" s="1802"/>
      <c r="AZ86" s="1802"/>
      <c r="BA86" s="1802"/>
      <c r="BB86" s="1221"/>
      <c r="BC86" s="1221"/>
      <c r="BD86" s="2111"/>
      <c r="BE86" s="2111"/>
      <c r="BF86" s="1156"/>
    </row>
    <row r="87" spans="1:60" s="1178" customFormat="1" ht="11.25">
      <c r="A87" s="1156"/>
      <c r="B87" s="1156"/>
      <c r="C87" s="1186" t="s">
        <v>1157</v>
      </c>
      <c r="D87" s="1156"/>
      <c r="E87" s="1156"/>
      <c r="F87" s="1156"/>
      <c r="G87" s="1156"/>
      <c r="H87" s="1156"/>
      <c r="I87" s="1156"/>
      <c r="J87" s="1156"/>
      <c r="K87" s="1156"/>
      <c r="L87" s="1156"/>
      <c r="M87" s="1156"/>
      <c r="N87" s="1235"/>
      <c r="O87" s="1186"/>
      <c r="P87" s="1186"/>
      <c r="Q87" s="1186"/>
      <c r="R87" s="1186"/>
      <c r="S87" s="1235"/>
      <c r="T87" s="1184"/>
      <c r="U87" s="1184"/>
      <c r="V87" s="1184"/>
      <c r="W87" s="1184"/>
      <c r="X87" s="1222"/>
      <c r="Y87" s="1802"/>
      <c r="Z87" s="1802"/>
      <c r="AA87" s="1802"/>
      <c r="AB87" s="1802"/>
      <c r="AC87" s="1801"/>
      <c r="AD87" s="1802"/>
      <c r="AE87" s="1802"/>
      <c r="AF87" s="1802"/>
      <c r="AG87" s="1802"/>
      <c r="AH87" s="1556">
        <v>0.25</v>
      </c>
      <c r="AI87" s="1802"/>
      <c r="AJ87" s="1802"/>
      <c r="AK87" s="1802"/>
      <c r="AL87" s="1802"/>
      <c r="AM87" s="1801"/>
      <c r="AN87" s="1802"/>
      <c r="AO87" s="1802"/>
      <c r="AP87" s="1802"/>
      <c r="AQ87" s="1802"/>
      <c r="AR87" s="1801"/>
      <c r="AS87" s="1802"/>
      <c r="AT87" s="1802"/>
      <c r="AU87" s="1802"/>
      <c r="AV87" s="1802"/>
      <c r="AW87" s="1221"/>
      <c r="AX87" s="1802"/>
      <c r="AY87" s="1802"/>
      <c r="AZ87" s="1802"/>
      <c r="BA87" s="1802"/>
      <c r="BB87" s="1221"/>
      <c r="BC87" s="1221"/>
      <c r="BD87" s="2111"/>
      <c r="BE87" s="2111"/>
      <c r="BF87" s="1156"/>
      <c r="BG87" s="1817"/>
    </row>
    <row r="88" spans="1:60" s="1178" customFormat="1" ht="11.25">
      <c r="A88" s="1156"/>
      <c r="B88" s="1156"/>
      <c r="C88" s="1156"/>
      <c r="D88" s="1156" t="s">
        <v>1274</v>
      </c>
      <c r="E88" s="1156"/>
      <c r="F88" s="1156"/>
      <c r="G88" s="1156"/>
      <c r="H88" s="1156"/>
      <c r="I88" s="1156"/>
      <c r="J88" s="1156"/>
      <c r="K88" s="1156"/>
      <c r="L88" s="1156"/>
      <c r="M88" s="1156"/>
      <c r="N88" s="1235"/>
      <c r="O88" s="1186"/>
      <c r="P88" s="1186"/>
      <c r="Q88" s="1186"/>
      <c r="R88" s="1186"/>
      <c r="S88" s="1235"/>
      <c r="T88" s="1184"/>
      <c r="U88" s="1184"/>
      <c r="V88" s="1184"/>
      <c r="W88" s="1184"/>
      <c r="X88" s="1222"/>
      <c r="Y88" s="1802"/>
      <c r="Z88" s="1802"/>
      <c r="AA88" s="1802"/>
      <c r="AB88" s="1802"/>
      <c r="AC88" s="1801"/>
      <c r="AD88" s="1802"/>
      <c r="AE88" s="1802"/>
      <c r="AF88" s="1802"/>
      <c r="AG88" s="1802"/>
      <c r="AH88" s="1539">
        <f>2/3</f>
        <v>0.66666666666666663</v>
      </c>
      <c r="AI88" s="1802"/>
      <c r="AJ88" s="1802"/>
      <c r="AK88" s="1802"/>
      <c r="AL88" s="1802"/>
      <c r="AM88" s="1801"/>
      <c r="AN88" s="1802"/>
      <c r="AO88" s="1802"/>
      <c r="AP88" s="1802"/>
      <c r="AQ88" s="1802"/>
      <c r="AR88" s="1801"/>
      <c r="AS88" s="1802"/>
      <c r="AT88" s="1802"/>
      <c r="AU88" s="1802"/>
      <c r="AV88" s="1802"/>
      <c r="AW88" s="1221"/>
      <c r="AX88" s="1802"/>
      <c r="AY88" s="1802"/>
      <c r="AZ88" s="1802"/>
      <c r="BA88" s="1802"/>
      <c r="BB88" s="1221"/>
      <c r="BC88" s="1221"/>
      <c r="BD88" s="2111"/>
      <c r="BE88" s="2111"/>
      <c r="BF88" s="1156"/>
    </row>
    <row r="89" spans="1:60" s="1178" customFormat="1" ht="11.25">
      <c r="A89" s="1156"/>
      <c r="B89" s="1156"/>
      <c r="C89" s="1156"/>
      <c r="D89" s="1156" t="s">
        <v>1273</v>
      </c>
      <c r="E89" s="1156"/>
      <c r="F89" s="1156"/>
      <c r="G89" s="1156"/>
      <c r="H89" s="1156"/>
      <c r="I89" s="1156"/>
      <c r="J89" s="1156"/>
      <c r="K89" s="1156"/>
      <c r="L89" s="1156"/>
      <c r="M89" s="1156"/>
      <c r="N89" s="1235"/>
      <c r="O89" s="1186"/>
      <c r="P89" s="1186"/>
      <c r="Q89" s="1186"/>
      <c r="R89" s="1186"/>
      <c r="S89" s="1235"/>
      <c r="T89" s="1184"/>
      <c r="U89" s="1184"/>
      <c r="V89" s="1184"/>
      <c r="W89" s="1184"/>
      <c r="X89" s="1222"/>
      <c r="Y89" s="1802"/>
      <c r="Z89" s="1802"/>
      <c r="AA89" s="1802"/>
      <c r="AB89" s="1802"/>
      <c r="AC89" s="1801"/>
      <c r="AD89" s="1802"/>
      <c r="AE89" s="1802"/>
      <c r="AF89" s="1802"/>
      <c r="AG89" s="1802"/>
      <c r="AH89" s="1539">
        <f>1-AH88</f>
        <v>0.33333333333333337</v>
      </c>
      <c r="AI89" s="1802"/>
      <c r="AJ89" s="1802"/>
      <c r="AK89" s="1802"/>
      <c r="AL89" s="1802"/>
      <c r="AM89" s="1801"/>
      <c r="AN89" s="1802"/>
      <c r="AO89" s="1802"/>
      <c r="AP89" s="1802"/>
      <c r="AQ89" s="1802"/>
      <c r="AR89" s="1801"/>
      <c r="AS89" s="1802"/>
      <c r="AT89" s="1802"/>
      <c r="AU89" s="1802"/>
      <c r="AV89" s="1802"/>
      <c r="AW89" s="1221"/>
      <c r="AX89" s="1802"/>
      <c r="AY89" s="1802"/>
      <c r="AZ89" s="1802"/>
      <c r="BA89" s="1802"/>
      <c r="BB89" s="1221"/>
      <c r="BC89" s="1221"/>
      <c r="BD89" s="2111"/>
      <c r="BE89" s="2111"/>
      <c r="BF89" s="1156"/>
    </row>
    <row r="90" spans="1:60" s="1178" customFormat="1" ht="11.25">
      <c r="A90" s="1156"/>
      <c r="B90" s="1156"/>
      <c r="C90" s="1156"/>
      <c r="D90" s="1156"/>
      <c r="E90" s="1156"/>
      <c r="F90" s="1156"/>
      <c r="G90" s="1156"/>
      <c r="H90" s="1156"/>
      <c r="I90" s="1156"/>
      <c r="J90" s="1156"/>
      <c r="K90" s="1156"/>
      <c r="L90" s="1156"/>
      <c r="M90" s="1156"/>
      <c r="N90" s="1235"/>
      <c r="O90" s="1186"/>
      <c r="P90" s="1186"/>
      <c r="Q90" s="1186"/>
      <c r="R90" s="1186"/>
      <c r="S90" s="1235"/>
      <c r="T90" s="1184"/>
      <c r="U90" s="1184"/>
      <c r="V90" s="1184"/>
      <c r="W90" s="1184"/>
      <c r="X90" s="1222"/>
      <c r="Y90" s="1802"/>
      <c r="Z90" s="1802"/>
      <c r="AA90" s="1802"/>
      <c r="AB90" s="1802"/>
      <c r="AC90" s="1801"/>
      <c r="AD90" s="1802"/>
      <c r="AE90" s="1802"/>
      <c r="AF90" s="1802"/>
      <c r="AG90" s="1802"/>
      <c r="AH90" s="1539"/>
      <c r="AI90" s="1802"/>
      <c r="AJ90" s="1802"/>
      <c r="AK90" s="1802"/>
      <c r="AL90" s="1802"/>
      <c r="AM90" s="1801"/>
      <c r="AN90" s="1802"/>
      <c r="AO90" s="1802"/>
      <c r="AP90" s="1802"/>
      <c r="AQ90" s="1802"/>
      <c r="AR90" s="1801"/>
      <c r="AS90" s="1802"/>
      <c r="AT90" s="1802"/>
      <c r="AU90" s="1802"/>
      <c r="AV90" s="1802"/>
      <c r="AW90" s="1221"/>
      <c r="AX90" s="1802"/>
      <c r="AY90" s="1802"/>
      <c r="AZ90" s="1802"/>
      <c r="BA90" s="1802"/>
      <c r="BB90" s="1221"/>
      <c r="BC90" s="1221"/>
      <c r="BD90" s="2111"/>
      <c r="BE90" s="2111"/>
      <c r="BF90" s="1156"/>
    </row>
    <row r="91" spans="1:60" s="1178" customFormat="1" ht="11.25">
      <c r="A91" s="1156"/>
      <c r="B91" s="1156"/>
      <c r="C91" s="1818" t="s">
        <v>1009</v>
      </c>
      <c r="D91" s="1156"/>
      <c r="E91" s="1156"/>
      <c r="F91" s="1156"/>
      <c r="G91" s="1156"/>
      <c r="H91" s="1156"/>
      <c r="I91" s="1156"/>
      <c r="J91" s="1156"/>
      <c r="K91" s="1156"/>
      <c r="L91" s="1156"/>
      <c r="M91" s="1156"/>
      <c r="N91" s="1235"/>
      <c r="O91" s="1186"/>
      <c r="P91" s="1186"/>
      <c r="Q91" s="1186"/>
      <c r="R91" s="1186"/>
      <c r="S91" s="1235"/>
      <c r="T91" s="1184"/>
      <c r="U91" s="1184"/>
      <c r="V91" s="1184"/>
      <c r="W91" s="1184"/>
      <c r="X91" s="1222"/>
      <c r="Y91" s="1802"/>
      <c r="Z91" s="1802"/>
      <c r="AA91" s="1802"/>
      <c r="AB91" s="1802"/>
      <c r="AC91" s="1801"/>
      <c r="AD91" s="1802"/>
      <c r="AE91" s="1802"/>
      <c r="AF91" s="1802"/>
      <c r="AG91" s="1802"/>
      <c r="AH91" s="1801"/>
      <c r="AI91" s="1802"/>
      <c r="AJ91" s="1802"/>
      <c r="AK91" s="1802"/>
      <c r="AL91" s="1802"/>
      <c r="AM91" s="1801"/>
      <c r="AN91" s="1802"/>
      <c r="AO91" s="1802"/>
      <c r="AP91" s="1802"/>
      <c r="AQ91" s="1802"/>
      <c r="AR91" s="1801"/>
      <c r="AS91" s="1802"/>
      <c r="AT91" s="1802"/>
      <c r="AU91" s="1802"/>
      <c r="AV91" s="1802"/>
      <c r="AW91" s="1222"/>
      <c r="AX91" s="1802"/>
      <c r="AY91" s="1802"/>
      <c r="AZ91" s="1802"/>
      <c r="BA91" s="1802"/>
      <c r="BB91" s="1222"/>
      <c r="BC91" s="1222"/>
      <c r="BD91" s="2112"/>
      <c r="BE91" s="2112"/>
      <c r="BF91" s="1184"/>
    </row>
    <row r="92" spans="1:60" s="1178" customFormat="1" ht="11.25">
      <c r="A92" s="1156"/>
      <c r="B92" s="1156"/>
      <c r="C92" s="1156" t="s">
        <v>266</v>
      </c>
      <c r="D92" s="1156"/>
      <c r="E92" s="1156"/>
      <c r="F92" s="1156"/>
      <c r="G92" s="1156"/>
      <c r="H92" s="1156"/>
      <c r="I92" s="1156"/>
      <c r="J92" s="1156"/>
      <c r="K92" s="1156"/>
      <c r="L92" s="1156"/>
      <c r="M92" s="1156"/>
      <c r="N92" s="1235"/>
      <c r="O92" s="1186"/>
      <c r="P92" s="1186"/>
      <c r="Q92" s="1186"/>
      <c r="R92" s="1186"/>
      <c r="S92" s="1235"/>
      <c r="T92" s="1184"/>
      <c r="U92" s="1184"/>
      <c r="V92" s="1184"/>
      <c r="W92" s="1184"/>
      <c r="X92" s="1222"/>
      <c r="Y92" s="1802"/>
      <c r="Z92" s="1802"/>
      <c r="AA92" s="1802"/>
      <c r="AB92" s="1802"/>
      <c r="AC92" s="1801"/>
      <c r="AD92" s="1802"/>
      <c r="AE92" s="1802"/>
      <c r="AF92" s="1802"/>
      <c r="AG92" s="1802"/>
      <c r="AH92" s="1801"/>
      <c r="AI92" s="1802"/>
      <c r="AJ92" s="1802"/>
      <c r="AK92" s="1802"/>
      <c r="AL92" s="1802"/>
      <c r="AM92" s="1816">
        <v>25</v>
      </c>
      <c r="AN92" s="1802"/>
      <c r="AO92" s="1802"/>
      <c r="AP92" s="1802"/>
      <c r="AQ92" s="1802"/>
      <c r="AR92" s="1863">
        <f>-'Divisional Summary'!CL184+'Divisional Summary'!CL186</f>
        <v>0</v>
      </c>
      <c r="AS92" s="1802"/>
      <c r="AT92" s="1802"/>
      <c r="AU92" s="1802"/>
      <c r="AV92" s="1802"/>
      <c r="AW92" s="1863">
        <f>'Divisional Summary'!CQ186-'Divisional Summary'!CQ184</f>
        <v>-6.0443594484645473</v>
      </c>
      <c r="AX92" s="1802"/>
      <c r="AY92" s="1802"/>
      <c r="AZ92" s="1802"/>
      <c r="BA92" s="1802"/>
      <c r="BB92" s="1863">
        <f>'Divisional Summary'!CV186-'Divisional Summary'!CV184</f>
        <v>-5.8486588189266513</v>
      </c>
      <c r="BC92" s="1863">
        <f>'Divisional Summary'!CW186-'Divisional Summary'!CW184</f>
        <v>39.942370065195519</v>
      </c>
      <c r="BD92" s="1863">
        <f>'Divisional Summary'!CX186-'Divisional Summary'!CX184</f>
        <v>44.427311841646087</v>
      </c>
      <c r="BE92" s="1863">
        <f>'Divisional Summary'!CY186-'Divisional Summary'!CY184</f>
        <v>-18.432034655411144</v>
      </c>
      <c r="BF92" s="1987"/>
    </row>
    <row r="93" spans="1:60" s="1178" customFormat="1" ht="11.25">
      <c r="A93" s="1156"/>
      <c r="B93" s="1156"/>
      <c r="C93" s="1156" t="s">
        <v>134</v>
      </c>
      <c r="D93" s="1156"/>
      <c r="E93" s="1156"/>
      <c r="F93" s="1156"/>
      <c r="G93" s="1156"/>
      <c r="H93" s="1156"/>
      <c r="I93" s="1156"/>
      <c r="J93" s="1156"/>
      <c r="K93" s="1156"/>
      <c r="L93" s="1156"/>
      <c r="M93" s="1156"/>
      <c r="N93" s="1235"/>
      <c r="O93" s="1186"/>
      <c r="P93" s="1186"/>
      <c r="Q93" s="1186"/>
      <c r="R93" s="1186"/>
      <c r="S93" s="1235"/>
      <c r="T93" s="1184"/>
      <c r="U93" s="1184"/>
      <c r="V93" s="1184"/>
      <c r="W93" s="1184"/>
      <c r="X93" s="1222"/>
      <c r="Y93" s="1802"/>
      <c r="Z93" s="1802"/>
      <c r="AA93" s="1802"/>
      <c r="AB93" s="1802"/>
      <c r="AC93" s="1801"/>
      <c r="AD93" s="1802"/>
      <c r="AE93" s="1802"/>
      <c r="AF93" s="1802"/>
      <c r="AG93" s="1802"/>
      <c r="AH93" s="1801"/>
      <c r="AI93" s="1802"/>
      <c r="AJ93" s="1802"/>
      <c r="AK93" s="1802"/>
      <c r="AL93" s="1802"/>
      <c r="AM93" s="1815">
        <f>'Divisional Summary'!CH211</f>
        <v>-75</v>
      </c>
      <c r="AN93" s="1802"/>
      <c r="AO93" s="1802"/>
      <c r="AP93" s="1802"/>
      <c r="AQ93" s="1802"/>
      <c r="AR93" s="1863">
        <f>'Divisional Summary'!CL211</f>
        <v>125</v>
      </c>
      <c r="AS93" s="1802"/>
      <c r="AT93" s="1802"/>
      <c r="AU93" s="1802"/>
      <c r="AV93" s="1802"/>
      <c r="AW93" s="1863">
        <f>'Divisional Summary'!CQ211</f>
        <v>25</v>
      </c>
      <c r="AX93" s="1802"/>
      <c r="AY93" s="1802"/>
      <c r="AZ93" s="1802"/>
      <c r="BA93" s="1802"/>
      <c r="BB93" s="1863">
        <f>'Divisional Summary'!CV211</f>
        <v>34.375</v>
      </c>
      <c r="BC93" s="1863">
        <v>0</v>
      </c>
      <c r="BD93" s="1863">
        <v>0</v>
      </c>
      <c r="BE93" s="1863">
        <v>0</v>
      </c>
      <c r="BF93" s="1987"/>
    </row>
    <row r="94" spans="1:60" s="1178" customFormat="1" ht="11.25">
      <c r="A94" s="1156"/>
      <c r="B94" s="1156"/>
      <c r="C94" s="1156" t="s">
        <v>1351</v>
      </c>
      <c r="D94" s="1156"/>
      <c r="E94" s="1156"/>
      <c r="F94" s="1156"/>
      <c r="G94" s="1156"/>
      <c r="H94" s="1156"/>
      <c r="I94" s="1156"/>
      <c r="J94" s="1156"/>
      <c r="K94" s="1156"/>
      <c r="L94" s="1156"/>
      <c r="M94" s="1156"/>
      <c r="N94" s="1235"/>
      <c r="O94" s="1186"/>
      <c r="P94" s="1186"/>
      <c r="Q94" s="1186"/>
      <c r="R94" s="1186"/>
      <c r="S94" s="1235"/>
      <c r="T94" s="1184"/>
      <c r="U94" s="1184"/>
      <c r="V94" s="1184"/>
      <c r="W94" s="1184"/>
      <c r="X94" s="1222"/>
      <c r="Y94" s="1802"/>
      <c r="Z94" s="1802"/>
      <c r="AA94" s="1802"/>
      <c r="AB94" s="1802"/>
      <c r="AC94" s="1801"/>
      <c r="AD94" s="1802"/>
      <c r="AE94" s="1802"/>
      <c r="AF94" s="1802"/>
      <c r="AG94" s="1802"/>
      <c r="AH94" s="1801"/>
      <c r="AI94" s="1802"/>
      <c r="AJ94" s="1802"/>
      <c r="AK94" s="1802"/>
      <c r="AL94" s="1802"/>
      <c r="AM94" s="1815">
        <v>150</v>
      </c>
      <c r="AN94" s="1802"/>
      <c r="AO94" s="1802"/>
      <c r="AP94" s="1802"/>
      <c r="AQ94" s="1802"/>
      <c r="AR94" s="1863">
        <f>125-AR92</f>
        <v>125</v>
      </c>
      <c r="AS94" s="1802"/>
      <c r="AT94" s="1802"/>
      <c r="AU94" s="1802"/>
      <c r="AV94" s="1802"/>
      <c r="AW94" s="1863">
        <v>250</v>
      </c>
      <c r="AX94" s="1802"/>
      <c r="AY94" s="1802"/>
      <c r="AZ94" s="1802"/>
      <c r="BA94" s="1802"/>
      <c r="BB94" s="1863">
        <v>200</v>
      </c>
      <c r="BC94" s="1863">
        <f>BB94</f>
        <v>200</v>
      </c>
      <c r="BD94" s="1863">
        <v>150</v>
      </c>
      <c r="BE94" s="1863">
        <v>100</v>
      </c>
      <c r="BF94" s="1987"/>
    </row>
    <row r="95" spans="1:60" s="1178" customFormat="1" ht="11.25">
      <c r="A95" s="1156"/>
      <c r="B95" s="1156"/>
      <c r="C95" s="1156" t="s">
        <v>150</v>
      </c>
      <c r="D95" s="1156"/>
      <c r="E95" s="1156"/>
      <c r="F95" s="1156"/>
      <c r="G95" s="1156"/>
      <c r="H95" s="1156"/>
      <c r="I95" s="1156"/>
      <c r="J95" s="1156"/>
      <c r="K95" s="1156"/>
      <c r="L95" s="1156"/>
      <c r="M95" s="1156"/>
      <c r="N95" s="1235"/>
      <c r="O95" s="1186"/>
      <c r="P95" s="1186"/>
      <c r="Q95" s="1186"/>
      <c r="R95" s="1186"/>
      <c r="S95" s="1235"/>
      <c r="T95" s="1184"/>
      <c r="U95" s="1184"/>
      <c r="V95" s="1184"/>
      <c r="W95" s="1184"/>
      <c r="X95" s="1222"/>
      <c r="Y95" s="1802"/>
      <c r="Z95" s="1802"/>
      <c r="AA95" s="1802"/>
      <c r="AB95" s="1802"/>
      <c r="AC95" s="1801"/>
      <c r="AD95" s="1802"/>
      <c r="AE95" s="1802"/>
      <c r="AF95" s="1802"/>
      <c r="AG95" s="1802"/>
      <c r="AH95" s="1801"/>
      <c r="AI95" s="1802"/>
      <c r="AJ95" s="1802"/>
      <c r="AK95" s="1802"/>
      <c r="AL95" s="1802"/>
      <c r="AM95" s="1815">
        <f>AM15*AH12*AH36</f>
        <v>-51.282434752022532</v>
      </c>
      <c r="AN95" s="1802"/>
      <c r="AO95" s="1802"/>
      <c r="AP95" s="1802"/>
      <c r="AQ95" s="1802"/>
      <c r="AR95" s="1863">
        <f>AR15*AM12*AM36</f>
        <v>-13.534482758620825</v>
      </c>
      <c r="AS95" s="1802"/>
      <c r="AT95" s="1802"/>
      <c r="AU95" s="1802"/>
      <c r="AV95" s="1802"/>
      <c r="AW95" s="1863">
        <f>AW15*AR12*AR36</f>
        <v>-7.2819467680608518</v>
      </c>
      <c r="AX95" s="1802"/>
      <c r="AY95" s="1802"/>
      <c r="AZ95" s="1802"/>
      <c r="BA95" s="1802"/>
      <c r="BB95" s="2326">
        <f>BB15*AW12*AW36</f>
        <v>9.7651409623364991</v>
      </c>
      <c r="BC95" s="1863"/>
      <c r="BD95" s="1863"/>
      <c r="BE95" s="1863"/>
      <c r="BF95" s="1987"/>
    </row>
    <row r="96" spans="1:60" s="1178" customFormat="1" ht="11.25">
      <c r="A96" s="1156"/>
      <c r="B96" s="1156"/>
      <c r="C96" s="1178" t="s">
        <v>1331</v>
      </c>
      <c r="N96" s="1865"/>
      <c r="S96" s="1865"/>
      <c r="X96" s="1865"/>
      <c r="AC96" s="1865"/>
      <c r="AH96" s="1865"/>
      <c r="AM96" s="1892">
        <v>80</v>
      </c>
      <c r="AR96" s="1865">
        <v>-150</v>
      </c>
      <c r="AW96" s="1865">
        <v>0</v>
      </c>
      <c r="AX96" s="2109"/>
      <c r="AY96" s="2109"/>
      <c r="AZ96" s="2109"/>
      <c r="BA96" s="2109"/>
      <c r="BB96" s="1865"/>
      <c r="BC96" s="1865"/>
      <c r="BD96" s="1865"/>
      <c r="BE96" s="1865"/>
      <c r="BF96" s="1988"/>
      <c r="BH96" s="1533"/>
    </row>
    <row r="97" spans="1:60" s="1234" customFormat="1">
      <c r="A97" s="1186"/>
      <c r="B97" s="1186"/>
      <c r="C97" s="1186" t="s">
        <v>1269</v>
      </c>
      <c r="D97" s="1186"/>
      <c r="E97" s="1186"/>
      <c r="F97" s="1186"/>
      <c r="G97" s="1186"/>
      <c r="H97" s="1186"/>
      <c r="I97" s="1186"/>
      <c r="J97" s="1186"/>
      <c r="K97" s="1186"/>
      <c r="L97" s="1186"/>
      <c r="M97" s="1186"/>
      <c r="N97" s="1235"/>
      <c r="O97" s="1186"/>
      <c r="P97" s="1186"/>
      <c r="Q97" s="1186"/>
      <c r="R97" s="1186"/>
      <c r="S97" s="1235"/>
      <c r="T97" s="1363"/>
      <c r="U97" s="1363"/>
      <c r="V97" s="1363"/>
      <c r="W97" s="1363"/>
      <c r="X97" s="1236"/>
      <c r="Y97"/>
      <c r="Z97"/>
      <c r="AA97"/>
      <c r="AB97"/>
      <c r="AC97" s="1801"/>
      <c r="AD97"/>
      <c r="AE97"/>
      <c r="AF97"/>
      <c r="AG97"/>
      <c r="AH97" s="1801"/>
      <c r="AI97" s="1814">
        <f>AM97/4</f>
        <v>32.179391311994365</v>
      </c>
      <c r="AJ97" s="1814">
        <f>AI97</f>
        <v>32.179391311994365</v>
      </c>
      <c r="AK97" s="1814">
        <f>AJ97</f>
        <v>32.179391311994365</v>
      </c>
      <c r="AL97" s="1814">
        <f>AK97</f>
        <v>32.179391311994365</v>
      </c>
      <c r="AM97" s="1286">
        <f>SUM(AM92:AM96)</f>
        <v>128.71756524797746</v>
      </c>
      <c r="AN97" s="1813"/>
      <c r="AO97" s="1813"/>
      <c r="AP97" s="1813"/>
      <c r="AQ97" s="1813"/>
      <c r="AR97" s="1286">
        <f>SUM(AR92:AR96)</f>
        <v>86.465517241379189</v>
      </c>
      <c r="AS97" s="1813"/>
      <c r="AT97" s="1813"/>
      <c r="AU97" s="1813"/>
      <c r="AV97" s="1813"/>
      <c r="AW97" s="1286">
        <f>SUM(AW92:AW96)</f>
        <v>261.67369378347462</v>
      </c>
      <c r="AX97" s="1813"/>
      <c r="AY97" s="1813"/>
      <c r="AZ97" s="1813"/>
      <c r="BA97" s="1813"/>
      <c r="BB97" s="1286">
        <f>SUM(BB92:BB96)</f>
        <v>238.29148214340984</v>
      </c>
      <c r="BC97" s="1286">
        <f>SUM(BC92:BC96)</f>
        <v>239.94237006519552</v>
      </c>
      <c r="BD97" s="1286">
        <f>SUM(BD92:BD96)</f>
        <v>194.42731184164609</v>
      </c>
      <c r="BE97" s="1286">
        <f>SUM(BE92:BE96)</f>
        <v>81.567965344588856</v>
      </c>
      <c r="BF97" s="1384"/>
    </row>
    <row r="98" spans="1:60" s="1234" customFormat="1">
      <c r="A98" s="1186"/>
      <c r="B98" s="1186"/>
      <c r="C98" s="1186"/>
      <c r="D98" s="1186"/>
      <c r="E98" s="1186"/>
      <c r="F98" s="1186"/>
      <c r="G98" s="1186"/>
      <c r="H98" s="1186"/>
      <c r="I98" s="1186"/>
      <c r="J98" s="1186"/>
      <c r="K98" s="1186"/>
      <c r="L98" s="1186"/>
      <c r="M98" s="1186"/>
      <c r="N98" s="1235"/>
      <c r="O98" s="1186"/>
      <c r="P98" s="1186"/>
      <c r="Q98" s="1186"/>
      <c r="R98" s="1186"/>
      <c r="S98" s="1235"/>
      <c r="T98" s="1363"/>
      <c r="U98" s="1363"/>
      <c r="V98" s="1363"/>
      <c r="W98" s="1363"/>
      <c r="X98" s="1236"/>
      <c r="Y98"/>
      <c r="Z98"/>
      <c r="AA98"/>
      <c r="AB98"/>
      <c r="AC98" s="1801"/>
      <c r="AD98"/>
      <c r="AE98"/>
      <c r="AF98"/>
      <c r="AG98"/>
      <c r="AH98" s="1801"/>
      <c r="AI98" s="1813"/>
      <c r="AJ98" s="1813"/>
      <c r="AK98" s="1813"/>
      <c r="AL98" s="1813"/>
      <c r="AM98" s="1286"/>
      <c r="AN98" s="1813"/>
      <c r="AO98" s="1813"/>
      <c r="AP98" s="1813"/>
      <c r="AQ98" s="1813"/>
      <c r="AR98" s="1286"/>
      <c r="AS98" s="1813"/>
      <c r="AT98" s="1813"/>
      <c r="AU98" s="1813"/>
      <c r="AV98" s="1813"/>
      <c r="AW98" s="1286"/>
      <c r="AX98" s="1813"/>
      <c r="AY98" s="1813"/>
      <c r="AZ98" s="1813"/>
      <c r="BA98" s="1813"/>
      <c r="BB98" s="1286"/>
      <c r="BC98" s="1286"/>
      <c r="BD98" s="1286"/>
      <c r="BE98" s="1286"/>
      <c r="BF98" s="1384"/>
    </row>
    <row r="99" spans="1:60" s="1234" customFormat="1">
      <c r="A99" s="1186"/>
      <c r="B99" s="1186"/>
      <c r="C99" s="1156" t="s">
        <v>1270</v>
      </c>
      <c r="D99" s="1156"/>
      <c r="E99" s="1186"/>
      <c r="F99" s="1186"/>
      <c r="G99" s="1186"/>
      <c r="H99" s="1186"/>
      <c r="I99" s="1186"/>
      <c r="J99" s="1186"/>
      <c r="K99" s="1186"/>
      <c r="L99" s="1186"/>
      <c r="M99" s="1186"/>
      <c r="N99" s="1235"/>
      <c r="O99" s="1186"/>
      <c r="P99" s="1186"/>
      <c r="Q99" s="1186"/>
      <c r="R99" s="1186"/>
      <c r="S99" s="1235"/>
      <c r="T99" s="1363"/>
      <c r="U99" s="1363"/>
      <c r="V99" s="1363"/>
      <c r="W99" s="1363"/>
      <c r="X99" s="1236"/>
      <c r="Y99"/>
      <c r="Z99"/>
      <c r="AA99"/>
      <c r="AB99"/>
      <c r="AC99" s="1801"/>
      <c r="AD99"/>
      <c r="AE99"/>
      <c r="AF99"/>
      <c r="AG99"/>
      <c r="AH99" s="1801"/>
      <c r="AI99" s="1813"/>
      <c r="AJ99" s="1813"/>
      <c r="AK99" s="1813"/>
      <c r="AL99" s="1813"/>
      <c r="AM99" s="1812">
        <v>-50</v>
      </c>
      <c r="AN99" s="1813"/>
      <c r="AO99" s="1813"/>
      <c r="AP99" s="1813"/>
      <c r="AQ99" s="1813"/>
      <c r="AR99" s="1864">
        <v>-100</v>
      </c>
      <c r="AS99" s="1813"/>
      <c r="AT99" s="1813"/>
      <c r="AU99" s="1813"/>
      <c r="AV99" s="1813"/>
      <c r="AW99" s="1864">
        <f>AVERAGE(-325)</f>
        <v>-325</v>
      </c>
      <c r="AX99" s="1813"/>
      <c r="AY99" s="1813"/>
      <c r="AZ99" s="1813"/>
      <c r="BA99" s="1813"/>
      <c r="BB99" s="1864">
        <v>-200</v>
      </c>
      <c r="BC99" s="1864">
        <f>BB99</f>
        <v>-200</v>
      </c>
      <c r="BD99" s="1864">
        <f t="shared" ref="BD99:BE99" si="30">-BD94</f>
        <v>-150</v>
      </c>
      <c r="BE99" s="1864">
        <f t="shared" si="30"/>
        <v>-100</v>
      </c>
      <c r="BF99" s="1989"/>
    </row>
    <row r="100" spans="1:60" s="1234" customFormat="1">
      <c r="A100" s="1186"/>
      <c r="B100" s="1186"/>
      <c r="C100" s="1156" t="s">
        <v>1215</v>
      </c>
      <c r="D100" s="1156"/>
      <c r="E100" s="1186"/>
      <c r="F100" s="1186"/>
      <c r="G100" s="1186"/>
      <c r="H100" s="1186"/>
      <c r="I100" s="1186"/>
      <c r="J100" s="1186"/>
      <c r="K100" s="1186"/>
      <c r="L100" s="1186"/>
      <c r="M100" s="1186"/>
      <c r="N100" s="1235"/>
      <c r="O100" s="1186"/>
      <c r="P100" s="1186"/>
      <c r="Q100" s="1186"/>
      <c r="R100" s="1186"/>
      <c r="S100" s="1235"/>
      <c r="T100" s="1363"/>
      <c r="U100" s="1363"/>
      <c r="V100" s="1363"/>
      <c r="W100" s="1363"/>
      <c r="X100" s="1236"/>
      <c r="Y100"/>
      <c r="Z100"/>
      <c r="AA100"/>
      <c r="AB100"/>
      <c r="AC100" s="1801"/>
      <c r="AD100"/>
      <c r="AE100"/>
      <c r="AF100"/>
      <c r="AG100"/>
      <c r="AH100" s="1801"/>
      <c r="AI100" s="1813"/>
      <c r="AJ100" s="1813"/>
      <c r="AK100" s="1813"/>
      <c r="AL100" s="1813"/>
      <c r="AM100" s="1812">
        <v>-175</v>
      </c>
      <c r="AN100" s="1813"/>
      <c r="AO100" s="1813"/>
      <c r="AP100" s="1813"/>
      <c r="AQ100" s="1813"/>
      <c r="AR100" s="1812">
        <f>AR107*AR54*AM47</f>
        <v>42.218550000000015</v>
      </c>
      <c r="AS100" s="1813"/>
      <c r="AT100" s="1813"/>
      <c r="AU100" s="1813"/>
      <c r="AV100" s="1813"/>
      <c r="AW100" s="1812">
        <f>AW107*AW54*AR47</f>
        <v>121.16723850000002</v>
      </c>
      <c r="AX100" s="1813"/>
      <c r="AY100" s="1813"/>
      <c r="AZ100" s="1813"/>
      <c r="BA100" s="1813"/>
      <c r="BB100" s="1812">
        <f>BB107*BB54*AW47</f>
        <v>74.085111540000014</v>
      </c>
      <c r="BC100" s="1812">
        <f t="shared" ref="BC100:BE101" si="31">BC107*BC54*BB47</f>
        <v>86.679580501800032</v>
      </c>
      <c r="BD100" s="1812">
        <f t="shared" si="31"/>
        <v>90.146763721872034</v>
      </c>
      <c r="BE100" s="1812">
        <f t="shared" si="31"/>
        <v>70.314475703060182</v>
      </c>
      <c r="BF100" s="1824"/>
    </row>
    <row r="101" spans="1:60" s="1178" customFormat="1">
      <c r="A101" s="1156"/>
      <c r="B101" s="1156"/>
      <c r="C101" s="1518" t="s">
        <v>1157</v>
      </c>
      <c r="D101" s="1518"/>
      <c r="E101" s="1518"/>
      <c r="F101" s="1518"/>
      <c r="G101" s="1518"/>
      <c r="H101" s="1518"/>
      <c r="I101" s="1518"/>
      <c r="J101" s="1518"/>
      <c r="K101" s="1518"/>
      <c r="L101" s="1518"/>
      <c r="M101" s="1518"/>
      <c r="N101" s="1809"/>
      <c r="O101" s="1520"/>
      <c r="P101" s="1520"/>
      <c r="Q101" s="1520"/>
      <c r="R101" s="1520"/>
      <c r="S101" s="1809"/>
      <c r="T101" s="1518"/>
      <c r="U101" s="1518"/>
      <c r="V101" s="1518"/>
      <c r="W101" s="1518"/>
      <c r="X101" s="1866"/>
      <c r="Y101" s="1807"/>
      <c r="Z101" s="1807"/>
      <c r="AA101" s="1807"/>
      <c r="AB101" s="1807"/>
      <c r="AC101" s="1866"/>
      <c r="AD101" s="1807"/>
      <c r="AE101" s="1807"/>
      <c r="AF101" s="1807"/>
      <c r="AG101" s="1807"/>
      <c r="AH101" s="1808"/>
      <c r="AI101" s="1807"/>
      <c r="AJ101" s="1807"/>
      <c r="AK101" s="1807"/>
      <c r="AL101" s="1807"/>
      <c r="AM101" s="1943">
        <f>AM102-SUM(AM97:AM100)</f>
        <v>14.282434752022539</v>
      </c>
      <c r="AN101" s="1807"/>
      <c r="AO101" s="1807"/>
      <c r="AP101" s="1807"/>
      <c r="AQ101" s="1807"/>
      <c r="AR101" s="1943">
        <f>AR102-SUM(AR97:AR100)</f>
        <v>-36.684067241379203</v>
      </c>
      <c r="AS101" s="1807"/>
      <c r="AT101" s="1807"/>
      <c r="AU101" s="1807"/>
      <c r="AV101" s="1807"/>
      <c r="AW101" s="1811">
        <f>AW108*AW55*AR48</f>
        <v>29.776871250000003</v>
      </c>
      <c r="AX101" s="1807"/>
      <c r="AY101" s="1807"/>
      <c r="AZ101" s="1807"/>
      <c r="BA101" s="1807"/>
      <c r="BB101" s="1811">
        <f>BB108*BB55*AW48</f>
        <v>27.262379900000006</v>
      </c>
      <c r="BC101" s="1811">
        <f t="shared" si="31"/>
        <v>28.352875096000009</v>
      </c>
      <c r="BD101" s="1811">
        <f t="shared" si="31"/>
        <v>29.486990099840007</v>
      </c>
      <c r="BE101" s="1811">
        <f t="shared" si="31"/>
        <v>30.666469703833609</v>
      </c>
      <c r="BF101" s="1824"/>
      <c r="BH101" s="1533"/>
    </row>
    <row r="102" spans="1:60" s="1234" customFormat="1">
      <c r="A102" s="1186"/>
      <c r="B102" s="1186"/>
      <c r="C102" s="1186" t="s">
        <v>1269</v>
      </c>
      <c r="D102" s="1186"/>
      <c r="E102" s="1186"/>
      <c r="F102" s="1186"/>
      <c r="G102" s="1186"/>
      <c r="H102" s="1186"/>
      <c r="I102" s="1186"/>
      <c r="J102" s="1186"/>
      <c r="K102" s="1186"/>
      <c r="L102" s="1186"/>
      <c r="M102" s="1186"/>
      <c r="N102" s="1235"/>
      <c r="O102" s="1186"/>
      <c r="P102" s="1186"/>
      <c r="Q102" s="1186"/>
      <c r="R102" s="1186"/>
      <c r="S102" s="1235"/>
      <c r="T102" s="1363"/>
      <c r="U102" s="1363"/>
      <c r="V102" s="1363"/>
      <c r="W102" s="1363"/>
      <c r="X102" s="1236"/>
      <c r="Y102"/>
      <c r="Z102"/>
      <c r="AA102"/>
      <c r="AB102"/>
      <c r="AC102" s="1801"/>
      <c r="AD102"/>
      <c r="AE102"/>
      <c r="AF102"/>
      <c r="AG102"/>
      <c r="AH102" s="1801"/>
      <c r="AI102"/>
      <c r="AJ102"/>
      <c r="AK102"/>
      <c r="AL102"/>
      <c r="AM102" s="1286">
        <f>AM103-AH35</f>
        <v>-82</v>
      </c>
      <c r="AN102"/>
      <c r="AO102"/>
      <c r="AP102"/>
      <c r="AQ102"/>
      <c r="AR102" s="1286">
        <f>AR103-AM35</f>
        <v>-8</v>
      </c>
      <c r="AS102"/>
      <c r="AT102"/>
      <c r="AU102"/>
      <c r="AV102"/>
      <c r="AW102" s="1286">
        <f>SUM(AW97:AW101)</f>
        <v>87.617803533474643</v>
      </c>
      <c r="AX102" s="2029"/>
      <c r="AY102" s="2029"/>
      <c r="AZ102" s="2029"/>
      <c r="BA102" s="2029"/>
      <c r="BB102" s="1286">
        <f>SUM(BB97:BB101)</f>
        <v>139.63897358340986</v>
      </c>
      <c r="BC102" s="1286">
        <f>SUM(BC97:BC101)</f>
        <v>154.97482566299556</v>
      </c>
      <c r="BD102" s="1286">
        <f>SUM(BD97:BD101)</f>
        <v>164.06106566335814</v>
      </c>
      <c r="BE102" s="1286">
        <f>SUM(BE97:BE101)</f>
        <v>82.548910751482651</v>
      </c>
      <c r="BF102" s="1384"/>
    </row>
    <row r="103" spans="1:60" s="1234" customFormat="1">
      <c r="A103" s="1186"/>
      <c r="B103" s="1186"/>
      <c r="C103" s="1186" t="s">
        <v>1271</v>
      </c>
      <c r="D103" s="1186"/>
      <c r="E103" s="1186"/>
      <c r="F103" s="1186"/>
      <c r="G103" s="1186"/>
      <c r="H103" s="1186"/>
      <c r="I103" s="1186"/>
      <c r="J103" s="1186"/>
      <c r="K103" s="1186"/>
      <c r="L103" s="1186"/>
      <c r="M103" s="1186"/>
      <c r="N103" s="1235"/>
      <c r="O103" s="1186"/>
      <c r="P103" s="1186"/>
      <c r="Q103" s="1186"/>
      <c r="R103" s="1186"/>
      <c r="S103" s="1235"/>
      <c r="T103" s="1363"/>
      <c r="U103" s="1363"/>
      <c r="V103" s="1363"/>
      <c r="W103" s="1363"/>
      <c r="X103" s="1236"/>
      <c r="Y103"/>
      <c r="Z103"/>
      <c r="AA103"/>
      <c r="AB103"/>
      <c r="AC103" s="1801"/>
      <c r="AD103"/>
      <c r="AE103"/>
      <c r="AF103"/>
      <c r="AG103"/>
      <c r="AH103" s="1801"/>
      <c r="AI103"/>
      <c r="AJ103"/>
      <c r="AK103"/>
      <c r="AL103"/>
      <c r="AM103" s="1280">
        <f>AM35</f>
        <v>2355</v>
      </c>
      <c r="AN103"/>
      <c r="AO103"/>
      <c r="AP103"/>
      <c r="AQ103"/>
      <c r="AR103" s="1280">
        <f>AR35</f>
        <v>2347</v>
      </c>
      <c r="AS103"/>
      <c r="AT103"/>
      <c r="AU103"/>
      <c r="AV103"/>
      <c r="AW103" s="1280">
        <f>AW102+AR35</f>
        <v>2434.6178035334747</v>
      </c>
      <c r="AX103" s="2029"/>
      <c r="AY103" s="2029"/>
      <c r="AZ103" s="2029"/>
      <c r="BA103" s="2029"/>
      <c r="BB103" s="1280">
        <f>BB102+AW35</f>
        <v>2574.2567771168847</v>
      </c>
      <c r="BC103" s="1280">
        <f>BC102+BB35</f>
        <v>2740.2483648996422</v>
      </c>
      <c r="BD103" s="1280">
        <f>BD102+BC35</f>
        <v>2904.3094305630002</v>
      </c>
      <c r="BE103" s="1280">
        <f>BE102+BD35</f>
        <v>2986.8583413144834</v>
      </c>
      <c r="BF103" s="1361"/>
    </row>
    <row r="104" spans="1:60" s="1234" customFormat="1">
      <c r="A104" s="1186"/>
      <c r="B104" s="1186"/>
      <c r="C104" s="1156" t="s">
        <v>147</v>
      </c>
      <c r="D104" s="1186"/>
      <c r="E104" s="1186"/>
      <c r="F104" s="1186"/>
      <c r="G104" s="1186"/>
      <c r="H104" s="1186"/>
      <c r="I104" s="1186"/>
      <c r="J104" s="1186"/>
      <c r="K104" s="1186"/>
      <c r="L104" s="1186"/>
      <c r="M104" s="1186"/>
      <c r="N104" s="1235"/>
      <c r="O104" s="1186"/>
      <c r="P104" s="1186"/>
      <c r="Q104" s="1186"/>
      <c r="R104" s="1186"/>
      <c r="S104" s="1235"/>
      <c r="T104" s="1363"/>
      <c r="U104" s="1363"/>
      <c r="V104" s="1363"/>
      <c r="W104" s="1363"/>
      <c r="X104" s="1236"/>
      <c r="Y104"/>
      <c r="Z104"/>
      <c r="AA104"/>
      <c r="AB104"/>
      <c r="AC104" s="1801"/>
      <c r="AD104"/>
      <c r="AE104"/>
      <c r="AF104"/>
      <c r="AG104"/>
      <c r="AH104" s="1801"/>
      <c r="AI104"/>
      <c r="AJ104"/>
      <c r="AK104"/>
      <c r="AL104"/>
      <c r="AM104" s="1350">
        <f>AM103/AM12</f>
        <v>0.16709237973605789</v>
      </c>
      <c r="AN104" s="1065"/>
      <c r="AO104" s="1065"/>
      <c r="AP104" s="1065"/>
      <c r="AQ104" s="1065"/>
      <c r="AR104" s="1350">
        <f>AR103/AR12</f>
        <v>0.16225371586588316</v>
      </c>
      <c r="AS104" s="1065"/>
      <c r="AT104" s="1065"/>
      <c r="AU104" s="1065"/>
      <c r="AV104" s="1065"/>
      <c r="AW104" s="1350">
        <f>AW103/AW12</f>
        <v>0.1664134680496144</v>
      </c>
      <c r="AX104" s="1065"/>
      <c r="AY104" s="1065"/>
      <c r="AZ104" s="1065"/>
      <c r="BA104" s="1065"/>
      <c r="BB104" s="1350">
        <f>BB103/BB12</f>
        <v>0.16680869713605501</v>
      </c>
      <c r="BC104" s="1350">
        <f>BC103/BC12</f>
        <v>0.16900130114990602</v>
      </c>
      <c r="BD104" s="1350">
        <f>BD103/BD12</f>
        <v>0.17126998163368284</v>
      </c>
      <c r="BE104" s="1350">
        <f>BE103/BE12</f>
        <v>0.16812931664225964</v>
      </c>
      <c r="BF104" s="1854"/>
    </row>
    <row r="105" spans="1:60" s="1234" customFormat="1">
      <c r="A105" s="1186"/>
      <c r="B105" s="1186"/>
      <c r="C105" s="1186"/>
      <c r="D105" s="1186"/>
      <c r="E105" s="1186"/>
      <c r="F105" s="1186"/>
      <c r="G105" s="1186"/>
      <c r="H105" s="1186"/>
      <c r="I105" s="1186"/>
      <c r="J105" s="1186"/>
      <c r="K105" s="1186"/>
      <c r="L105" s="1186"/>
      <c r="M105" s="1186"/>
      <c r="N105" s="1235"/>
      <c r="O105" s="1186"/>
      <c r="P105" s="1186"/>
      <c r="Q105" s="1186"/>
      <c r="R105" s="1186"/>
      <c r="S105" s="1235"/>
      <c r="T105" s="1363"/>
      <c r="U105" s="1363"/>
      <c r="V105" s="1363"/>
      <c r="W105" s="1363"/>
      <c r="X105" s="1236"/>
      <c r="Y105"/>
      <c r="Z105"/>
      <c r="AA105"/>
      <c r="AB105"/>
      <c r="AC105" s="1801"/>
      <c r="AD105"/>
      <c r="AE105"/>
      <c r="AF105"/>
      <c r="AG105"/>
      <c r="AH105" s="1801"/>
      <c r="AI105"/>
      <c r="AJ105"/>
      <c r="AK105"/>
      <c r="AL105"/>
      <c r="AM105" s="1286"/>
      <c r="AN105"/>
      <c r="AO105"/>
      <c r="AP105"/>
      <c r="AQ105"/>
      <c r="AR105" s="1286"/>
      <c r="AS105"/>
      <c r="AT105"/>
      <c r="AU105"/>
      <c r="AV105"/>
      <c r="AW105" s="1286"/>
      <c r="AX105" s="2029"/>
      <c r="AY105" s="2029"/>
      <c r="AZ105" s="2029"/>
      <c r="BA105" s="2029"/>
      <c r="BB105" s="1286"/>
      <c r="BC105" s="1286"/>
      <c r="BD105" s="1286"/>
      <c r="BE105" s="1286"/>
      <c r="BF105" s="1384"/>
    </row>
    <row r="106" spans="1:60" s="1234" customFormat="1">
      <c r="A106" s="1186"/>
      <c r="B106" s="1186"/>
      <c r="C106" s="1156" t="s">
        <v>1270</v>
      </c>
      <c r="D106" s="1186"/>
      <c r="E106" s="1186"/>
      <c r="F106" s="1186"/>
      <c r="G106" s="1186"/>
      <c r="H106" s="1186"/>
      <c r="I106" s="1186"/>
      <c r="J106" s="1186"/>
      <c r="K106" s="1186"/>
      <c r="L106" s="1186"/>
      <c r="M106" s="1186"/>
      <c r="N106" s="1235"/>
      <c r="O106" s="1186"/>
      <c r="P106" s="1186"/>
      <c r="Q106" s="1186"/>
      <c r="R106" s="1186"/>
      <c r="S106" s="1235"/>
      <c r="T106" s="1363"/>
      <c r="U106" s="1363"/>
      <c r="V106" s="1363"/>
      <c r="W106" s="1363"/>
      <c r="X106" s="1236"/>
      <c r="Y106"/>
      <c r="Z106"/>
      <c r="AA106"/>
      <c r="AB106"/>
      <c r="AC106" s="1801"/>
      <c r="AD106"/>
      <c r="AE106"/>
      <c r="AF106"/>
      <c r="AG106"/>
      <c r="AH106" s="1801"/>
      <c r="AI106"/>
      <c r="AJ106"/>
      <c r="AK106"/>
      <c r="AL106"/>
      <c r="AM106" s="1340" t="s">
        <v>1036</v>
      </c>
      <c r="AN106" s="1950"/>
      <c r="AO106" s="1950"/>
      <c r="AP106" s="1950"/>
      <c r="AQ106" s="1950"/>
      <c r="AR106" s="1340" t="s">
        <v>1036</v>
      </c>
      <c r="AS106" s="1950"/>
      <c r="AT106" s="1950"/>
      <c r="AU106" s="1950"/>
      <c r="AV106" s="1950"/>
      <c r="AW106" s="1340" t="s">
        <v>1036</v>
      </c>
      <c r="AX106" s="1950"/>
      <c r="AY106" s="1950"/>
      <c r="AZ106" s="1950"/>
      <c r="BA106" s="1950"/>
      <c r="BB106" s="1340" t="s">
        <v>1036</v>
      </c>
      <c r="BC106" s="1340" t="s">
        <v>1036</v>
      </c>
      <c r="BD106" s="1340" t="s">
        <v>1036</v>
      </c>
      <c r="BE106" s="1340" t="s">
        <v>1036</v>
      </c>
      <c r="BF106" s="1990"/>
    </row>
    <row r="107" spans="1:60" s="1234" customFormat="1">
      <c r="A107" s="1186"/>
      <c r="B107" s="1186"/>
      <c r="C107" s="1156" t="s">
        <v>1215</v>
      </c>
      <c r="D107" s="1186"/>
      <c r="E107" s="1186"/>
      <c r="F107" s="1186"/>
      <c r="G107" s="1186"/>
      <c r="H107" s="1186"/>
      <c r="I107" s="1186"/>
      <c r="J107" s="1186"/>
      <c r="K107" s="1186"/>
      <c r="L107" s="1186"/>
      <c r="M107" s="1186"/>
      <c r="N107" s="1235"/>
      <c r="O107" s="1186"/>
      <c r="P107" s="1186"/>
      <c r="Q107" s="1186"/>
      <c r="R107" s="1186"/>
      <c r="S107" s="1235"/>
      <c r="T107" s="1363"/>
      <c r="U107" s="1363"/>
      <c r="V107" s="1363"/>
      <c r="W107" s="1363"/>
      <c r="X107" s="1236"/>
      <c r="Y107"/>
      <c r="Z107"/>
      <c r="AA107"/>
      <c r="AB107"/>
      <c r="AC107" s="1801"/>
      <c r="AD107"/>
      <c r="AE107"/>
      <c r="AF107"/>
      <c r="AG107"/>
      <c r="AH107" s="1801"/>
      <c r="AI107"/>
      <c r="AJ107"/>
      <c r="AK107"/>
      <c r="AL107"/>
      <c r="AM107" s="1350">
        <v>0.45</v>
      </c>
      <c r="AN107" s="1065"/>
      <c r="AO107" s="1065"/>
      <c r="AP107" s="1065"/>
      <c r="AQ107" s="1065"/>
      <c r="AR107" s="1810">
        <v>0.4</v>
      </c>
      <c r="AS107" s="1065"/>
      <c r="AT107" s="1065"/>
      <c r="AU107" s="1065"/>
      <c r="AV107" s="1065"/>
      <c r="AW107" s="1810">
        <v>0.4</v>
      </c>
      <c r="AX107" s="1065"/>
      <c r="AY107" s="1065"/>
      <c r="AZ107" s="1065"/>
      <c r="BA107" s="1065"/>
      <c r="BB107" s="1810">
        <f>AW107</f>
        <v>0.4</v>
      </c>
      <c r="BC107" s="1810">
        <v>0.45</v>
      </c>
      <c r="BD107" s="1810">
        <f>BC107</f>
        <v>0.45</v>
      </c>
      <c r="BE107" s="1810">
        <f>BD107</f>
        <v>0.45</v>
      </c>
      <c r="BF107" s="1982"/>
    </row>
    <row r="108" spans="1:60" s="1178" customFormat="1">
      <c r="A108" s="1156"/>
      <c r="B108" s="1156"/>
      <c r="C108" s="1518" t="s">
        <v>1157</v>
      </c>
      <c r="D108" s="1518"/>
      <c r="E108" s="1518"/>
      <c r="F108" s="1518"/>
      <c r="G108" s="1518"/>
      <c r="H108" s="1518"/>
      <c r="I108" s="1518"/>
      <c r="J108" s="1518"/>
      <c r="K108" s="1518"/>
      <c r="L108" s="1518"/>
      <c r="M108" s="1518"/>
      <c r="N108" s="1809"/>
      <c r="O108" s="1520"/>
      <c r="P108" s="1520"/>
      <c r="Q108" s="1520"/>
      <c r="R108" s="1520"/>
      <c r="S108" s="1809"/>
      <c r="T108" s="1518"/>
      <c r="U108" s="1518"/>
      <c r="V108" s="1518"/>
      <c r="W108" s="1518"/>
      <c r="X108" s="1866"/>
      <c r="Y108" s="1807"/>
      <c r="Z108" s="1807"/>
      <c r="AA108" s="1807"/>
      <c r="AB108" s="1807"/>
      <c r="AC108" s="1866"/>
      <c r="AD108" s="1807"/>
      <c r="AE108" s="1807"/>
      <c r="AF108" s="1807"/>
      <c r="AG108" s="1807"/>
      <c r="AH108" s="1808"/>
      <c r="AI108" s="1807"/>
      <c r="AJ108" s="1807"/>
      <c r="AK108" s="1807"/>
      <c r="AL108" s="1807"/>
      <c r="AM108" s="1806">
        <v>0.3</v>
      </c>
      <c r="AN108" s="1805"/>
      <c r="AO108" s="1805"/>
      <c r="AP108" s="1805"/>
      <c r="AQ108" s="1805"/>
      <c r="AR108" s="1804">
        <v>0.3</v>
      </c>
      <c r="AS108" s="1805"/>
      <c r="AT108" s="1805"/>
      <c r="AU108" s="1805"/>
      <c r="AV108" s="1805"/>
      <c r="AW108" s="1804">
        <v>0.3</v>
      </c>
      <c r="AX108" s="1805"/>
      <c r="AY108" s="1805"/>
      <c r="AZ108" s="1805"/>
      <c r="BA108" s="1805"/>
      <c r="BB108" s="1804">
        <v>0.2</v>
      </c>
      <c r="BC108" s="1804">
        <v>0.2</v>
      </c>
      <c r="BD108" s="1804">
        <v>0.2</v>
      </c>
      <c r="BE108" s="1804">
        <v>0.2</v>
      </c>
      <c r="BF108" s="1982"/>
      <c r="BH108" s="1533"/>
    </row>
    <row r="109" spans="1:60" s="1234" customFormat="1">
      <c r="A109" s="1186"/>
      <c r="B109" s="1186"/>
      <c r="C109" s="1186" t="s">
        <v>1269</v>
      </c>
      <c r="D109" s="1186"/>
      <c r="E109" s="1186"/>
      <c r="F109" s="1186"/>
      <c r="G109" s="1186"/>
      <c r="H109" s="1186"/>
      <c r="I109" s="1186"/>
      <c r="J109" s="1186"/>
      <c r="K109" s="1186"/>
      <c r="L109" s="1186"/>
      <c r="M109" s="1186"/>
      <c r="N109" s="1235"/>
      <c r="O109" s="1186"/>
      <c r="P109" s="1186"/>
      <c r="Q109" s="1186"/>
      <c r="R109" s="1186"/>
      <c r="S109" s="1235"/>
      <c r="T109" s="1363"/>
      <c r="U109" s="1363"/>
      <c r="V109" s="1363"/>
      <c r="W109" s="1363"/>
      <c r="X109" s="1236"/>
      <c r="Y109"/>
      <c r="Z109"/>
      <c r="AA109"/>
      <c r="AB109"/>
      <c r="AC109" s="1801"/>
      <c r="AD109"/>
      <c r="AE109"/>
      <c r="AF109"/>
      <c r="AG109"/>
      <c r="AH109" s="1801"/>
      <c r="AI109"/>
      <c r="AJ109"/>
      <c r="AK109"/>
      <c r="AL109"/>
      <c r="AM109" s="1350">
        <f>AM102/(AH12*AM16)</f>
        <v>-0.17904711996157036</v>
      </c>
      <c r="AN109" s="1065"/>
      <c r="AO109" s="1065"/>
      <c r="AP109" s="1065"/>
      <c r="AQ109" s="1065"/>
      <c r="AR109" s="1350">
        <f>AR102/(AM12*AR16)</f>
        <v>-3.2709134025676434E-2</v>
      </c>
      <c r="AS109" s="1065"/>
      <c r="AT109" s="1065"/>
      <c r="AU109" s="1065"/>
      <c r="AV109" s="1065"/>
      <c r="AW109" s="1350">
        <f>AW102/(AR12*AW13)</f>
        <v>0.53123433598172098</v>
      </c>
      <c r="AX109" s="1065"/>
      <c r="AY109" s="1065"/>
      <c r="AZ109" s="1065"/>
      <c r="BA109" s="1065"/>
      <c r="BB109" s="1350">
        <f>BB102/(AW12*BB16)</f>
        <v>0.18774307489244904</v>
      </c>
      <c r="BC109" s="1350">
        <f>BC102/(BB12*BC16)</f>
        <v>0.19818434769581389</v>
      </c>
      <c r="BD109" s="1350">
        <f>BD102/(BC12*BD16)</f>
        <v>0.22077035017517993</v>
      </c>
      <c r="BE109" s="1350">
        <f>BE102/(BD12*BE16)</f>
        <v>0.10219591921605933</v>
      </c>
      <c r="BF109" s="1854"/>
    </row>
    <row r="110" spans="1:60" s="1234" customFormat="1">
      <c r="A110" s="1186"/>
      <c r="B110" s="1186"/>
      <c r="C110" s="1186"/>
      <c r="D110" s="1186"/>
      <c r="E110" s="1186"/>
      <c r="F110" s="1186"/>
      <c r="G110" s="1186"/>
      <c r="H110" s="1186"/>
      <c r="I110" s="1186"/>
      <c r="J110" s="1186"/>
      <c r="K110" s="1186"/>
      <c r="L110" s="1186"/>
      <c r="M110" s="1186"/>
      <c r="N110" s="1235"/>
      <c r="O110" s="1186"/>
      <c r="P110" s="1186"/>
      <c r="Q110" s="1186"/>
      <c r="R110" s="1186"/>
      <c r="S110" s="1235"/>
      <c r="T110" s="1363"/>
      <c r="U110" s="1363"/>
      <c r="V110" s="1363"/>
      <c r="W110" s="1363"/>
      <c r="X110" s="1236"/>
      <c r="Y110"/>
      <c r="Z110"/>
      <c r="AA110"/>
      <c r="AB110"/>
      <c r="AC110" s="1801"/>
      <c r="AD110"/>
      <c r="AE110"/>
      <c r="AF110"/>
      <c r="AG110"/>
      <c r="AH110" s="1801"/>
      <c r="AI110"/>
      <c r="AJ110"/>
      <c r="AK110"/>
      <c r="AL110"/>
      <c r="AM110" s="1286"/>
      <c r="AN110"/>
      <c r="AO110"/>
      <c r="AP110"/>
      <c r="AQ110"/>
      <c r="AR110" s="1286"/>
      <c r="AS110"/>
      <c r="AT110"/>
      <c r="AU110"/>
      <c r="AV110"/>
      <c r="AW110" s="1286"/>
      <c r="AX110" s="2029"/>
      <c r="AY110" s="2029"/>
      <c r="AZ110" s="2029"/>
      <c r="BA110" s="2029"/>
      <c r="BB110" s="1286"/>
      <c r="BC110" s="1286"/>
      <c r="BD110" s="1286"/>
      <c r="BE110" s="1286"/>
      <c r="BF110" s="1384"/>
    </row>
    <row r="111" spans="1:60" s="1234" customFormat="1">
      <c r="A111" s="1186"/>
      <c r="B111" s="1186"/>
      <c r="C111" s="1186"/>
      <c r="D111" s="1186"/>
      <c r="E111" s="1186"/>
      <c r="F111" s="1186"/>
      <c r="G111" s="1186"/>
      <c r="H111" s="1186"/>
      <c r="I111" s="1186"/>
      <c r="J111" s="1186"/>
      <c r="K111" s="1186"/>
      <c r="L111" s="1186"/>
      <c r="M111" s="1186"/>
      <c r="N111" s="1235"/>
      <c r="O111" s="1186"/>
      <c r="P111" s="1186"/>
      <c r="Q111" s="1186"/>
      <c r="R111" s="1186"/>
      <c r="S111" s="1235"/>
      <c r="T111" s="1363"/>
      <c r="U111" s="1363"/>
      <c r="V111" s="1363"/>
      <c r="W111" s="1363"/>
      <c r="X111" s="1236"/>
      <c r="Y111"/>
      <c r="Z111"/>
      <c r="AA111"/>
      <c r="AB111"/>
      <c r="AC111" s="1801"/>
      <c r="AD111"/>
      <c r="AE111"/>
      <c r="AF111"/>
      <c r="AG111"/>
      <c r="AH111" s="1801"/>
      <c r="AI111"/>
      <c r="AJ111"/>
      <c r="AK111"/>
      <c r="AL111"/>
      <c r="AM111" s="1286"/>
      <c r="AN111"/>
      <c r="AO111"/>
      <c r="AP111"/>
      <c r="AQ111"/>
      <c r="AR111" s="1286"/>
      <c r="AS111"/>
      <c r="AT111"/>
      <c r="AU111"/>
      <c r="AV111"/>
      <c r="AW111" s="1286"/>
      <c r="AX111" s="2029"/>
      <c r="AY111" s="2029"/>
      <c r="AZ111" s="2029"/>
      <c r="BA111" s="2029"/>
      <c r="BB111" s="1286"/>
      <c r="BC111" s="1286"/>
      <c r="BD111" s="1286"/>
      <c r="BE111" s="1286"/>
      <c r="BF111" s="1384"/>
    </row>
    <row r="112" spans="1:60" s="1234" customFormat="1">
      <c r="A112" s="1186"/>
      <c r="B112" s="1186"/>
      <c r="C112" s="1186"/>
      <c r="D112" s="1186"/>
      <c r="E112" s="1186"/>
      <c r="F112" s="1186"/>
      <c r="G112" s="1186"/>
      <c r="H112" s="1186"/>
      <c r="I112" s="1186"/>
      <c r="J112" s="1186"/>
      <c r="K112" s="1186"/>
      <c r="L112" s="1186"/>
      <c r="M112" s="1186"/>
      <c r="N112" s="1235"/>
      <c r="O112" s="1186"/>
      <c r="P112" s="1186"/>
      <c r="Q112" s="1186"/>
      <c r="R112" s="1186"/>
      <c r="S112" s="1235"/>
      <c r="T112" s="1363"/>
      <c r="U112" s="1363"/>
      <c r="V112" s="1363"/>
      <c r="W112" s="1363"/>
      <c r="X112" s="1236"/>
      <c r="Y112"/>
      <c r="Z112"/>
      <c r="AA112"/>
      <c r="AB112"/>
      <c r="AC112" s="1801"/>
      <c r="AD112"/>
      <c r="AE112"/>
      <c r="AF112"/>
      <c r="AG112"/>
      <c r="AH112" s="1801"/>
      <c r="AI112"/>
      <c r="AJ112"/>
      <c r="AK112"/>
      <c r="AL112"/>
      <c r="AM112" s="1286"/>
      <c r="AN112"/>
      <c r="AO112"/>
      <c r="AP112"/>
      <c r="AQ112"/>
      <c r="AR112" s="1286"/>
      <c r="AS112"/>
      <c r="AT112"/>
      <c r="AU112"/>
      <c r="AV112"/>
      <c r="AW112" s="1286"/>
      <c r="AX112" s="2029"/>
      <c r="AY112" s="2029"/>
      <c r="AZ112" s="2029"/>
      <c r="BA112" s="2029"/>
      <c r="BB112" s="1286"/>
      <c r="BC112" s="1286"/>
      <c r="BD112" s="1286"/>
      <c r="BE112" s="1286"/>
      <c r="BF112" s="1384"/>
    </row>
    <row r="113" spans="1:58" s="1178" customFormat="1" ht="11.25">
      <c r="A113" s="1156"/>
      <c r="B113" s="1156"/>
      <c r="C113" s="1156"/>
      <c r="D113" s="1156"/>
      <c r="E113" s="1156"/>
      <c r="F113" s="1156"/>
      <c r="G113" s="1156"/>
      <c r="H113" s="1156"/>
      <c r="I113" s="1156"/>
      <c r="J113" s="1156"/>
      <c r="K113" s="1156"/>
      <c r="L113" s="1156"/>
      <c r="M113" s="1156"/>
      <c r="N113" s="1235"/>
      <c r="O113" s="1186"/>
      <c r="P113" s="1186"/>
      <c r="Q113" s="1186"/>
      <c r="R113" s="1186"/>
      <c r="S113" s="1235"/>
      <c r="T113" s="1184"/>
      <c r="U113" s="1184"/>
      <c r="V113" s="1184"/>
      <c r="W113" s="1184"/>
      <c r="X113" s="1222"/>
      <c r="Y113" s="1802"/>
      <c r="Z113" s="1802"/>
      <c r="AA113" s="1802"/>
      <c r="AB113" s="1802"/>
      <c r="AC113" s="1801"/>
      <c r="AD113" s="1802"/>
      <c r="AE113" s="1802"/>
      <c r="AF113" s="1802"/>
      <c r="AG113" s="1802"/>
      <c r="AH113" s="1801"/>
      <c r="AI113" s="1802"/>
      <c r="AJ113" s="1802"/>
      <c r="AK113" s="1802"/>
      <c r="AL113" s="1802"/>
      <c r="AM113" s="1803"/>
      <c r="AN113" s="1802"/>
      <c r="AO113" s="1802"/>
      <c r="AP113" s="1802"/>
      <c r="AQ113" s="1802"/>
      <c r="AR113" s="1801"/>
      <c r="AS113" s="1802"/>
      <c r="AT113" s="1802"/>
      <c r="AU113" s="1802"/>
      <c r="AV113" s="1802"/>
      <c r="AW113" s="1221"/>
      <c r="AX113" s="1802"/>
      <c r="AY113" s="1802"/>
      <c r="AZ113" s="1802"/>
      <c r="BA113" s="1802"/>
      <c r="BB113" s="1221"/>
      <c r="BC113" s="1221"/>
      <c r="BD113" s="2111"/>
      <c r="BE113" s="2111"/>
      <c r="BF113" s="1156"/>
    </row>
    <row r="114" spans="1:58" s="1178" customFormat="1" ht="11.25">
      <c r="A114" s="1156"/>
      <c r="B114" s="1156"/>
      <c r="C114" s="1156"/>
      <c r="D114" s="1156"/>
      <c r="E114" s="1156"/>
      <c r="F114" s="1156"/>
      <c r="G114" s="1156"/>
      <c r="H114" s="1156"/>
      <c r="I114" s="1156"/>
      <c r="J114" s="1156"/>
      <c r="K114" s="1156"/>
      <c r="L114" s="1156"/>
      <c r="M114" s="1156"/>
      <c r="N114" s="1235"/>
      <c r="O114" s="1186"/>
      <c r="P114" s="1186"/>
      <c r="Q114" s="1186"/>
      <c r="R114" s="1186"/>
      <c r="S114" s="1235"/>
      <c r="T114" s="1184"/>
      <c r="U114" s="1184"/>
      <c r="V114" s="1184"/>
      <c r="W114" s="1184"/>
      <c r="X114" s="1222"/>
      <c r="Y114" s="1184"/>
      <c r="Z114" s="1184"/>
      <c r="AA114" s="1184"/>
      <c r="AB114" s="1184"/>
      <c r="AC114" s="1222"/>
      <c r="AD114" s="1184"/>
      <c r="AE114" s="1184"/>
      <c r="AF114" s="1184"/>
      <c r="AG114" s="1184"/>
      <c r="AH114" s="1222"/>
      <c r="AI114" s="1184"/>
      <c r="AJ114" s="1184"/>
      <c r="AK114" s="1184"/>
      <c r="AL114" s="1184"/>
      <c r="AM114" s="1222"/>
      <c r="AN114" s="1184"/>
      <c r="AO114" s="1184"/>
      <c r="AP114" s="1184"/>
      <c r="AQ114" s="1184"/>
      <c r="AR114" s="1222"/>
      <c r="AS114" s="1184"/>
      <c r="AT114" s="1184"/>
      <c r="AU114" s="1184"/>
      <c r="AV114" s="1184"/>
      <c r="AW114" s="1221"/>
      <c r="AX114" s="2110"/>
      <c r="AY114" s="2110"/>
      <c r="AZ114" s="2110"/>
      <c r="BA114" s="2110"/>
      <c r="BB114" s="1221"/>
      <c r="BC114" s="1221"/>
      <c r="BD114" s="2111"/>
      <c r="BE114" s="2111"/>
      <c r="BF114" s="1156"/>
    </row>
    <row r="115" spans="1:58" s="1178" customFormat="1" ht="11.25" outlineLevel="1">
      <c r="A115" s="1156"/>
      <c r="B115" s="1156"/>
      <c r="C115" s="1156" t="s">
        <v>1268</v>
      </c>
      <c r="D115" s="1156"/>
      <c r="E115" s="1156"/>
      <c r="F115" s="1156"/>
      <c r="G115" s="1156"/>
      <c r="H115" s="1156"/>
      <c r="I115" s="1156"/>
      <c r="J115" s="1156"/>
      <c r="K115" s="1156"/>
      <c r="L115" s="1156"/>
      <c r="M115" s="1156"/>
      <c r="N115" s="1235"/>
      <c r="O115" s="1186"/>
      <c r="P115" s="1186"/>
      <c r="Q115" s="1186"/>
      <c r="R115" s="1186"/>
      <c r="S115" s="1235"/>
      <c r="T115" s="1184"/>
      <c r="U115" s="1184"/>
      <c r="V115" s="1184"/>
      <c r="W115" s="1184"/>
      <c r="X115" s="1222"/>
      <c r="Y115" s="1184"/>
      <c r="Z115" s="1184"/>
      <c r="AA115" s="1184"/>
      <c r="AB115" s="1184"/>
      <c r="AC115" s="1359">
        <f>X35</f>
        <v>1059</v>
      </c>
      <c r="AD115" s="1184"/>
      <c r="AE115" s="1184"/>
      <c r="AF115" s="1184"/>
      <c r="AG115" s="1184"/>
      <c r="AH115" s="1222"/>
      <c r="AI115" s="1184"/>
      <c r="AJ115" s="1184"/>
      <c r="AK115" s="1184"/>
      <c r="AL115" s="1184"/>
      <c r="AM115" s="1222"/>
      <c r="AN115" s="1184"/>
      <c r="AO115" s="1184"/>
      <c r="AP115" s="1184"/>
      <c r="AQ115" s="1184"/>
      <c r="AR115" s="1222"/>
      <c r="AS115" s="1184"/>
      <c r="AT115" s="1184"/>
      <c r="AU115" s="1184"/>
      <c r="AV115" s="1184"/>
      <c r="AW115" s="1221"/>
      <c r="AX115" s="2110"/>
      <c r="AY115" s="2110"/>
      <c r="AZ115" s="2110"/>
      <c r="BA115" s="2110"/>
      <c r="BB115" s="1221"/>
      <c r="BC115" s="1221"/>
      <c r="BD115" s="2111"/>
      <c r="BE115" s="2111"/>
      <c r="BF115" s="1156"/>
    </row>
    <row r="116" spans="1:58" s="1178" customFormat="1" ht="11.25" outlineLevel="1">
      <c r="A116" s="1156"/>
      <c r="B116" s="1156"/>
      <c r="C116" s="1156" t="s">
        <v>1267</v>
      </c>
      <c r="D116" s="1156"/>
      <c r="E116" s="1156"/>
      <c r="F116" s="1156"/>
      <c r="G116" s="1156"/>
      <c r="H116" s="1156"/>
      <c r="I116" s="1156"/>
      <c r="J116" s="1156"/>
      <c r="K116" s="1156"/>
      <c r="L116" s="1156"/>
      <c r="M116" s="1156"/>
      <c r="N116" s="1235"/>
      <c r="O116" s="1186"/>
      <c r="P116" s="1186"/>
      <c r="Q116" s="1186"/>
      <c r="R116" s="1186"/>
      <c r="S116" s="1235"/>
      <c r="T116" s="1184"/>
      <c r="U116" s="1184"/>
      <c r="V116" s="1184"/>
      <c r="W116" s="1184"/>
      <c r="X116" s="1222"/>
      <c r="Y116" s="1184"/>
      <c r="Z116" s="1184"/>
      <c r="AA116" s="1184"/>
      <c r="AB116" s="1184"/>
      <c r="AC116" s="1421">
        <f>(Y57+Z57)*0.15</f>
        <v>612.54</v>
      </c>
      <c r="AD116" s="1184"/>
      <c r="AE116" s="1184"/>
      <c r="AF116" s="1184"/>
      <c r="AG116" s="1184"/>
      <c r="AH116" s="1222"/>
      <c r="AI116" s="1184"/>
      <c r="AJ116" s="1184"/>
      <c r="AK116" s="1184"/>
      <c r="AL116" s="1184"/>
      <c r="AM116" s="1222"/>
      <c r="AN116" s="1184"/>
      <c r="AO116" s="1184"/>
      <c r="AP116" s="1184"/>
      <c r="AQ116" s="1184"/>
      <c r="AR116" s="1222"/>
      <c r="AS116" s="1184"/>
      <c r="AT116" s="1184"/>
      <c r="AU116" s="1184"/>
      <c r="AV116" s="1184"/>
      <c r="AW116" s="1221"/>
      <c r="AX116" s="2110"/>
      <c r="AY116" s="2110"/>
      <c r="AZ116" s="2110"/>
      <c r="BA116" s="2110"/>
      <c r="BB116" s="1221"/>
      <c r="BC116" s="1221"/>
      <c r="BD116" s="2111"/>
      <c r="BE116" s="2111"/>
      <c r="BF116" s="1156"/>
    </row>
    <row r="117" spans="1:58" s="1178" customFormat="1" ht="11.25" outlineLevel="1">
      <c r="A117" s="1156"/>
      <c r="B117" s="1156"/>
      <c r="C117" s="1156" t="s">
        <v>1266</v>
      </c>
      <c r="D117" s="1156"/>
      <c r="E117" s="1156"/>
      <c r="F117" s="1156"/>
      <c r="G117" s="1156"/>
      <c r="H117" s="1156"/>
      <c r="I117" s="1156"/>
      <c r="J117" s="1156"/>
      <c r="K117" s="1156"/>
      <c r="L117" s="1156"/>
      <c r="M117" s="1156"/>
      <c r="N117" s="1235"/>
      <c r="O117" s="1186"/>
      <c r="P117" s="1186"/>
      <c r="Q117" s="1186"/>
      <c r="R117" s="1186"/>
      <c r="S117" s="1235"/>
      <c r="T117" s="1184"/>
      <c r="U117" s="1184"/>
      <c r="V117" s="1184"/>
      <c r="W117" s="1184"/>
      <c r="X117" s="1222"/>
      <c r="Y117" s="1184"/>
      <c r="Z117" s="1184"/>
      <c r="AA117" s="1184"/>
      <c r="AB117" s="1184"/>
      <c r="AC117" s="1359">
        <v>150</v>
      </c>
      <c r="AD117" s="1184"/>
      <c r="AE117" s="1184"/>
      <c r="AF117" s="1184"/>
      <c r="AG117" s="1184"/>
      <c r="AH117" s="1222"/>
      <c r="AI117" s="1184"/>
      <c r="AJ117" s="1184"/>
      <c r="AK117" s="1184"/>
      <c r="AL117" s="1184"/>
      <c r="AM117" s="1222"/>
      <c r="AN117" s="1184"/>
      <c r="AO117" s="1184"/>
      <c r="AP117" s="1184"/>
      <c r="AQ117" s="1184"/>
      <c r="AR117" s="1222"/>
      <c r="AS117" s="1184"/>
      <c r="AT117" s="1184"/>
      <c r="AU117" s="1184"/>
      <c r="AV117" s="1184"/>
      <c r="AW117" s="1221"/>
      <c r="AX117" s="2110"/>
      <c r="AY117" s="2110"/>
      <c r="AZ117" s="2110"/>
      <c r="BA117" s="2110"/>
      <c r="BB117" s="1221"/>
      <c r="BC117" s="1221"/>
      <c r="BD117" s="2111"/>
      <c r="BE117" s="2111"/>
      <c r="BF117" s="1156"/>
    </row>
    <row r="118" spans="1:58" s="1178" customFormat="1" ht="11.25" outlineLevel="1">
      <c r="A118" s="1156"/>
      <c r="B118" s="1156"/>
      <c r="C118" s="1156" t="s">
        <v>1265</v>
      </c>
      <c r="D118" s="1156"/>
      <c r="E118" s="1156"/>
      <c r="F118" s="1156"/>
      <c r="G118" s="1156"/>
      <c r="H118" s="1156"/>
      <c r="I118" s="1156"/>
      <c r="J118" s="1156"/>
      <c r="K118" s="1156"/>
      <c r="L118" s="1156"/>
      <c r="M118" s="1156"/>
      <c r="N118" s="1235"/>
      <c r="O118" s="1186"/>
      <c r="P118" s="1186"/>
      <c r="Q118" s="1186"/>
      <c r="R118" s="1186"/>
      <c r="S118" s="1235"/>
      <c r="T118" s="1184"/>
      <c r="U118" s="1184"/>
      <c r="V118" s="1184"/>
      <c r="W118" s="1184"/>
      <c r="X118" s="1222"/>
      <c r="Y118" s="1184"/>
      <c r="Z118" s="1184"/>
      <c r="AA118" s="1184"/>
      <c r="AB118" s="1184"/>
      <c r="AC118" s="1359">
        <f>0.2*0.07*X12</f>
        <v>116.67600000000002</v>
      </c>
      <c r="AD118" s="1184"/>
      <c r="AE118" s="1184"/>
      <c r="AF118" s="1184"/>
      <c r="AG118" s="1184"/>
      <c r="AH118" s="1222"/>
      <c r="AI118" s="1184"/>
      <c r="AJ118" s="1184"/>
      <c r="AK118" s="1184"/>
      <c r="AL118" s="1184"/>
      <c r="AM118" s="1222"/>
      <c r="AN118" s="1184"/>
      <c r="AO118" s="1184"/>
      <c r="AP118" s="1184"/>
      <c r="AQ118" s="1184"/>
      <c r="AR118" s="1222"/>
      <c r="AS118" s="1184"/>
      <c r="AT118" s="1184"/>
      <c r="AU118" s="1184"/>
      <c r="AV118" s="1184"/>
      <c r="AW118" s="1221"/>
      <c r="AX118" s="2110"/>
      <c r="AY118" s="2110"/>
      <c r="AZ118" s="2110"/>
      <c r="BA118" s="2110"/>
      <c r="BB118" s="1221"/>
      <c r="BC118" s="1221"/>
      <c r="BD118" s="2111"/>
      <c r="BE118" s="2111"/>
      <c r="BF118" s="1156"/>
    </row>
    <row r="119" spans="1:58" s="1178" customFormat="1" ht="11.25" outlineLevel="1">
      <c r="A119" s="1156"/>
      <c r="B119" s="1156"/>
      <c r="C119" s="1156" t="s">
        <v>1264</v>
      </c>
      <c r="D119" s="1156"/>
      <c r="E119" s="1156"/>
      <c r="F119" s="1156"/>
      <c r="G119" s="1156"/>
      <c r="H119" s="1156"/>
      <c r="I119" s="1156"/>
      <c r="J119" s="1156"/>
      <c r="K119" s="1156"/>
      <c r="L119" s="1156"/>
      <c r="M119" s="1156"/>
      <c r="N119" s="1235"/>
      <c r="O119" s="1186"/>
      <c r="P119" s="1186"/>
      <c r="Q119" s="1186"/>
      <c r="R119" s="1186"/>
      <c r="S119" s="1235"/>
      <c r="T119" s="1184"/>
      <c r="U119" s="1184"/>
      <c r="V119" s="1184"/>
      <c r="W119" s="1184"/>
      <c r="X119" s="1222"/>
      <c r="Y119" s="1184"/>
      <c r="Z119" s="1184"/>
      <c r="AA119" s="1184"/>
      <c r="AB119" s="1184"/>
      <c r="AC119" s="1359">
        <v>125</v>
      </c>
      <c r="AD119" s="1184"/>
      <c r="AE119" s="1184"/>
      <c r="AF119" s="1184"/>
      <c r="AG119" s="1184"/>
      <c r="AH119" s="1222"/>
      <c r="AI119" s="1184"/>
      <c r="AJ119" s="1184"/>
      <c r="AK119" s="1184"/>
      <c r="AL119" s="1184"/>
      <c r="AM119" s="1222"/>
      <c r="AN119" s="1184"/>
      <c r="AO119" s="1184"/>
      <c r="AP119" s="1184"/>
      <c r="AQ119" s="1184"/>
      <c r="AR119" s="1222"/>
      <c r="AS119" s="1184"/>
      <c r="AT119" s="1184"/>
      <c r="AU119" s="1184"/>
      <c r="AV119" s="1184"/>
      <c r="AW119" s="1221"/>
      <c r="AX119" s="2110"/>
      <c r="AY119" s="2110"/>
      <c r="AZ119" s="2110"/>
      <c r="BA119" s="2110"/>
      <c r="BB119" s="1221"/>
      <c r="BC119" s="1221"/>
      <c r="BD119" s="2111"/>
      <c r="BE119" s="2111"/>
      <c r="BF119" s="1156"/>
    </row>
    <row r="120" spans="1:58" s="1178" customFormat="1" ht="11.25" outlineLevel="1">
      <c r="A120" s="1156"/>
      <c r="B120" s="1156"/>
      <c r="C120" s="1156" t="s">
        <v>1263</v>
      </c>
      <c r="D120" s="1156"/>
      <c r="E120" s="1156"/>
      <c r="F120" s="1156"/>
      <c r="G120" s="1156"/>
      <c r="H120" s="1156"/>
      <c r="I120" s="1156"/>
      <c r="J120" s="1156"/>
      <c r="K120" s="1156"/>
      <c r="L120" s="1156"/>
      <c r="M120" s="1156"/>
      <c r="N120" s="1235"/>
      <c r="O120" s="1186"/>
      <c r="P120" s="1186"/>
      <c r="Q120" s="1186"/>
      <c r="R120" s="1186"/>
      <c r="S120" s="1235"/>
      <c r="T120" s="1184"/>
      <c r="U120" s="1184"/>
      <c r="V120" s="1184"/>
      <c r="W120" s="1184"/>
      <c r="X120" s="1222"/>
      <c r="Y120" s="1184"/>
      <c r="Z120" s="1184"/>
      <c r="AA120" s="1184"/>
      <c r="AB120" s="1184"/>
      <c r="AC120" s="1359">
        <f>-50</f>
        <v>-50</v>
      </c>
      <c r="AD120" s="1184"/>
      <c r="AE120" s="1184"/>
      <c r="AF120" s="1184"/>
      <c r="AG120" s="1184"/>
      <c r="AH120" s="1222"/>
      <c r="AI120" s="1184"/>
      <c r="AJ120" s="1184"/>
      <c r="AK120" s="1184"/>
      <c r="AL120" s="1184"/>
      <c r="AM120" s="1222"/>
      <c r="AN120" s="1184"/>
      <c r="AO120" s="1184"/>
      <c r="AP120" s="1184"/>
      <c r="AQ120" s="1184"/>
      <c r="AR120" s="1222"/>
      <c r="AS120" s="1184"/>
      <c r="AT120" s="1184"/>
      <c r="AU120" s="1184"/>
      <c r="AV120" s="1184"/>
      <c r="AW120" s="1221"/>
      <c r="AX120" s="2110"/>
      <c r="AY120" s="2110"/>
      <c r="AZ120" s="2110"/>
      <c r="BA120" s="2110"/>
      <c r="BB120" s="1221"/>
      <c r="BC120" s="1221"/>
      <c r="BD120" s="2111"/>
      <c r="BE120" s="2111"/>
      <c r="BF120" s="1156"/>
    </row>
    <row r="121" spans="1:58" s="1178" customFormat="1" ht="11.25" outlineLevel="1">
      <c r="A121" s="1156"/>
      <c r="B121" s="1156"/>
      <c r="C121" s="1156" t="s">
        <v>1262</v>
      </c>
      <c r="D121" s="1156"/>
      <c r="E121" s="1156"/>
      <c r="F121" s="1156"/>
      <c r="G121" s="1156"/>
      <c r="H121" s="1156"/>
      <c r="I121" s="1156"/>
      <c r="J121" s="1156"/>
      <c r="K121" s="1156"/>
      <c r="L121" s="1156"/>
      <c r="M121" s="1156"/>
      <c r="N121" s="1235"/>
      <c r="O121" s="1186"/>
      <c r="P121" s="1186"/>
      <c r="Q121" s="1186"/>
      <c r="R121" s="1186"/>
      <c r="S121" s="1235"/>
      <c r="T121" s="1184"/>
      <c r="U121" s="1184"/>
      <c r="V121" s="1184"/>
      <c r="W121" s="1184"/>
      <c r="X121" s="1222"/>
      <c r="Y121" s="1184"/>
      <c r="Z121" s="1184"/>
      <c r="AA121" s="1184"/>
      <c r="AB121" s="1184"/>
      <c r="AC121" s="1359">
        <v>0</v>
      </c>
      <c r="AD121" s="1184"/>
      <c r="AE121" s="1184"/>
      <c r="AF121" s="1184"/>
      <c r="AG121" s="1184"/>
      <c r="AH121" s="1222"/>
      <c r="AI121" s="1184"/>
      <c r="AJ121" s="1184"/>
      <c r="AK121" s="1184"/>
      <c r="AL121" s="1184"/>
      <c r="AM121" s="1222"/>
      <c r="AN121" s="1184"/>
      <c r="AO121" s="1184"/>
      <c r="AP121" s="1184"/>
      <c r="AQ121" s="1184"/>
      <c r="AR121" s="1222"/>
      <c r="AS121" s="1184"/>
      <c r="AT121" s="1184"/>
      <c r="AU121" s="1184"/>
      <c r="AV121" s="1184"/>
      <c r="AW121" s="1221"/>
      <c r="AX121" s="2110"/>
      <c r="AY121" s="2110"/>
      <c r="AZ121" s="2110"/>
      <c r="BA121" s="2110"/>
      <c r="BB121" s="1221"/>
      <c r="BC121" s="1221"/>
      <c r="BD121" s="2111"/>
      <c r="BE121" s="2111"/>
      <c r="BF121" s="1156"/>
    </row>
    <row r="122" spans="1:58" s="1178" customFormat="1" ht="11.25" outlineLevel="1">
      <c r="A122" s="1186"/>
      <c r="B122" s="1186"/>
      <c r="C122" s="1186" t="s">
        <v>1261</v>
      </c>
      <c r="D122" s="1186"/>
      <c r="E122" s="1186"/>
      <c r="F122" s="1186"/>
      <c r="G122" s="1186"/>
      <c r="H122" s="1186"/>
      <c r="I122" s="1186"/>
      <c r="J122" s="1186"/>
      <c r="K122" s="1186"/>
      <c r="L122" s="1186"/>
      <c r="M122" s="1186"/>
      <c r="N122" s="1235"/>
      <c r="O122" s="1186"/>
      <c r="P122" s="1186"/>
      <c r="Q122" s="1186"/>
      <c r="R122" s="1186"/>
      <c r="S122" s="1235"/>
      <c r="T122" s="1363"/>
      <c r="U122" s="1363"/>
      <c r="V122" s="1363"/>
      <c r="W122" s="1363"/>
      <c r="X122" s="1236"/>
      <c r="Y122" s="1363"/>
      <c r="Z122" s="1363"/>
      <c r="AA122" s="1363"/>
      <c r="AB122" s="1363"/>
      <c r="AC122" s="1280">
        <f>SUM(AC115:AC121)</f>
        <v>2013.2159999999999</v>
      </c>
      <c r="AD122" s="1363"/>
      <c r="AE122" s="1363"/>
      <c r="AF122" s="1363"/>
      <c r="AG122" s="1363"/>
      <c r="AH122" s="1236"/>
      <c r="AI122" s="1363"/>
      <c r="AJ122" s="1363"/>
      <c r="AK122" s="1363"/>
      <c r="AL122" s="1363"/>
      <c r="AM122" s="1236"/>
      <c r="AN122" s="1363"/>
      <c r="AO122" s="1363"/>
      <c r="AP122" s="1363"/>
      <c r="AQ122" s="1363"/>
      <c r="AR122" s="1236"/>
      <c r="AS122" s="1363"/>
      <c r="AT122" s="1363"/>
      <c r="AU122" s="1363"/>
      <c r="AV122" s="1363"/>
      <c r="AW122" s="1235"/>
      <c r="AX122" s="1363"/>
      <c r="AY122" s="1363"/>
      <c r="AZ122" s="1363"/>
      <c r="BA122" s="1363"/>
      <c r="BB122" s="1235"/>
      <c r="BC122" s="1235"/>
      <c r="BD122" s="1235"/>
      <c r="BE122" s="1235"/>
      <c r="BF122" s="1186"/>
    </row>
    <row r="123" spans="1:58" s="1178" customFormat="1" ht="11.25" outlineLevel="1">
      <c r="A123" s="1156"/>
      <c r="B123" s="1156"/>
      <c r="C123" s="1156"/>
      <c r="D123" s="1156"/>
      <c r="E123" s="1156"/>
      <c r="F123" s="1156"/>
      <c r="G123" s="1156"/>
      <c r="H123" s="1156"/>
      <c r="I123" s="1156"/>
      <c r="J123" s="1156"/>
      <c r="K123" s="1156"/>
      <c r="L123" s="1156"/>
      <c r="M123" s="1156"/>
      <c r="N123" s="1235"/>
      <c r="O123" s="1186"/>
      <c r="P123" s="1186"/>
      <c r="Q123" s="1186"/>
      <c r="R123" s="1186"/>
      <c r="S123" s="1235"/>
      <c r="T123" s="1184"/>
      <c r="U123" s="1184"/>
      <c r="V123" s="1184"/>
      <c r="W123" s="1184"/>
      <c r="X123" s="1222"/>
      <c r="Y123" s="1184"/>
      <c r="Z123" s="1184"/>
      <c r="AA123" s="1184"/>
      <c r="AB123" s="1184"/>
      <c r="AC123" s="1222"/>
      <c r="AD123" s="1184"/>
      <c r="AE123" s="1184"/>
      <c r="AF123" s="1184"/>
      <c r="AG123" s="1184"/>
      <c r="AH123" s="1222"/>
      <c r="AI123" s="1184"/>
      <c r="AJ123" s="1184"/>
      <c r="AK123" s="1184"/>
      <c r="AL123" s="1184"/>
      <c r="AM123" s="1222"/>
      <c r="AN123" s="1184"/>
      <c r="AO123" s="1184"/>
      <c r="AP123" s="1184"/>
      <c r="AQ123" s="1184"/>
      <c r="AR123" s="1222"/>
      <c r="AS123" s="1184"/>
      <c r="AT123" s="1184"/>
      <c r="AU123" s="1184"/>
      <c r="AV123" s="1184"/>
      <c r="AW123" s="1221"/>
      <c r="AX123" s="2110"/>
      <c r="AY123" s="2110"/>
      <c r="AZ123" s="2110"/>
      <c r="BA123" s="2110"/>
      <c r="BB123" s="1221"/>
      <c r="BC123" s="1221"/>
      <c r="BD123" s="2111"/>
      <c r="BE123" s="2111"/>
      <c r="BF123" s="1156"/>
    </row>
    <row r="124" spans="1:58" s="1178" customFormat="1" ht="11.25">
      <c r="A124" s="1156"/>
      <c r="B124" s="1156"/>
      <c r="C124" s="1156"/>
      <c r="D124" s="1156"/>
      <c r="E124" s="1156"/>
      <c r="F124" s="1156"/>
      <c r="G124" s="1156"/>
      <c r="H124" s="1156"/>
      <c r="I124" s="1156"/>
      <c r="J124" s="1156"/>
      <c r="K124" s="1156"/>
      <c r="L124" s="1156"/>
      <c r="M124" s="1156"/>
      <c r="N124" s="1186"/>
      <c r="O124" s="1186"/>
      <c r="P124" s="1186"/>
      <c r="Q124" s="1186"/>
      <c r="R124" s="1186"/>
      <c r="S124" s="1186"/>
      <c r="T124" s="1184"/>
      <c r="U124" s="1184"/>
      <c r="V124" s="1184"/>
      <c r="W124" s="1184"/>
      <c r="X124" s="1184"/>
      <c r="Y124" s="1184"/>
      <c r="Z124" s="1184"/>
      <c r="AA124" s="1184"/>
      <c r="AB124" s="1184"/>
      <c r="AC124" s="1184"/>
      <c r="AD124" s="1184"/>
      <c r="AE124" s="1184"/>
      <c r="AF124" s="1184"/>
      <c r="AG124" s="1184"/>
      <c r="AH124" s="1184"/>
      <c r="AI124" s="1184"/>
      <c r="AJ124" s="1184"/>
      <c r="AK124" s="1184"/>
      <c r="AL124" s="1184"/>
      <c r="AM124" s="1184"/>
      <c r="AN124" s="1184"/>
      <c r="AO124" s="1184"/>
      <c r="AP124" s="1184"/>
      <c r="AQ124" s="1184"/>
      <c r="AR124" s="1184"/>
      <c r="AS124" s="1184"/>
      <c r="AT124" s="1184"/>
      <c r="AU124" s="1184"/>
      <c r="AV124" s="1184"/>
      <c r="AW124" s="1156"/>
      <c r="AX124" s="2110"/>
      <c r="AY124" s="2110"/>
      <c r="AZ124" s="2110"/>
      <c r="BA124" s="2110"/>
      <c r="BB124" s="1156"/>
      <c r="BC124" s="1156"/>
      <c r="BD124" s="2108"/>
      <c r="BE124" s="2108"/>
      <c r="BF124" s="1156"/>
    </row>
    <row r="125" spans="1:58" s="1178" customFormat="1" ht="11.25">
      <c r="A125" s="1220"/>
      <c r="B125" s="1039" t="s">
        <v>711</v>
      </c>
      <c r="C125" s="1220"/>
      <c r="D125" s="1220"/>
      <c r="E125" s="1220"/>
      <c r="F125" s="1220"/>
      <c r="G125" s="1220"/>
      <c r="H125" s="1220"/>
      <c r="I125" s="1220"/>
      <c r="J125" s="1220"/>
      <c r="K125" s="1220"/>
      <c r="L125" s="1220"/>
      <c r="M125" s="1220"/>
      <c r="N125" s="1220"/>
      <c r="O125" s="1220"/>
      <c r="P125" s="1220"/>
      <c r="Q125" s="1220"/>
      <c r="R125" s="1220"/>
      <c r="S125" s="1220"/>
      <c r="T125" s="1220"/>
      <c r="U125" s="1220"/>
      <c r="V125" s="1220"/>
      <c r="W125" s="1220"/>
      <c r="X125" s="1220"/>
      <c r="Y125" s="1220"/>
      <c r="Z125" s="1220"/>
      <c r="AA125" s="1220"/>
      <c r="AB125" s="1220"/>
      <c r="AC125" s="1220"/>
      <c r="AD125" s="1220"/>
      <c r="AE125" s="1220"/>
      <c r="AF125" s="1220"/>
      <c r="AG125" s="1220"/>
      <c r="AH125" s="1220"/>
      <c r="AI125" s="1220"/>
      <c r="AJ125" s="1220"/>
      <c r="AK125" s="1220"/>
      <c r="AL125" s="1220"/>
      <c r="AM125" s="1220"/>
      <c r="AN125" s="1220"/>
      <c r="AO125" s="1220"/>
      <c r="AP125" s="1220"/>
      <c r="AQ125" s="1220"/>
      <c r="AR125" s="1220"/>
      <c r="AS125" s="1220"/>
      <c r="AT125" s="1220"/>
      <c r="AU125" s="1220"/>
      <c r="AV125" s="1220"/>
      <c r="AW125" s="1220"/>
      <c r="AX125" s="1220"/>
      <c r="AY125" s="1220"/>
      <c r="AZ125" s="1220"/>
      <c r="BA125" s="1220"/>
      <c r="BB125" s="1220"/>
      <c r="BC125" s="1220"/>
      <c r="BD125" s="1220"/>
      <c r="BE125" s="1220"/>
      <c r="BF125" s="1991"/>
    </row>
    <row r="126" spans="1:58" s="1178" customFormat="1" ht="12.75" customHeight="1">
      <c r="A126" s="1191"/>
      <c r="B126" s="264" t="s">
        <v>936</v>
      </c>
      <c r="C126" s="1191"/>
      <c r="D126" s="1191"/>
      <c r="E126" s="1191"/>
      <c r="F126" s="1191"/>
      <c r="G126" s="1191"/>
      <c r="H126" s="1191"/>
      <c r="I126" s="1191"/>
      <c r="J126" s="1191"/>
      <c r="K126" s="1191"/>
      <c r="L126" s="1191"/>
      <c r="M126" s="1191"/>
      <c r="N126" s="1191"/>
      <c r="O126" s="1191"/>
      <c r="P126" s="1191"/>
      <c r="Q126" s="1191"/>
      <c r="R126" s="1191"/>
      <c r="S126" s="1191"/>
      <c r="T126" s="1191"/>
      <c r="U126" s="1191"/>
      <c r="V126" s="1191"/>
      <c r="W126" s="1191"/>
      <c r="X126" s="1191"/>
      <c r="Y126" s="1191"/>
      <c r="Z126" s="1191"/>
      <c r="AA126" s="1191"/>
      <c r="AB126" s="1191"/>
      <c r="AC126" s="1191"/>
      <c r="AD126" s="1191"/>
      <c r="AE126" s="1191"/>
      <c r="AF126" s="1191"/>
      <c r="AG126" s="1191"/>
      <c r="AH126" s="1191"/>
      <c r="AI126" s="1191"/>
      <c r="AJ126" s="1191"/>
      <c r="AK126" s="1191"/>
      <c r="AL126" s="1191"/>
      <c r="AM126" s="1191"/>
      <c r="AN126" s="1191"/>
      <c r="AO126" s="1191"/>
      <c r="AP126" s="1191"/>
      <c r="AQ126" s="1191"/>
      <c r="AR126" s="1191"/>
      <c r="AS126" s="1191"/>
      <c r="AT126" s="1191"/>
      <c r="AU126" s="1191"/>
      <c r="AV126" s="1191"/>
      <c r="AW126" s="1191"/>
      <c r="AX126" s="1191"/>
      <c r="AY126" s="1191"/>
      <c r="AZ126" s="1191"/>
      <c r="BA126" s="1191"/>
      <c r="BB126" s="1191"/>
      <c r="BC126" s="1191"/>
      <c r="BD126" s="1191"/>
      <c r="BE126" s="1191"/>
      <c r="BF126" s="1191"/>
    </row>
    <row r="127" spans="1:58" s="1178" customFormat="1" ht="11.25">
      <c r="A127" s="1156"/>
      <c r="B127" s="1156"/>
      <c r="C127" s="1156"/>
      <c r="D127" s="1156"/>
      <c r="E127" s="1156"/>
      <c r="F127" s="1156"/>
      <c r="G127" s="1156"/>
      <c r="H127" s="1156"/>
      <c r="I127" s="1156"/>
      <c r="J127" s="1156"/>
      <c r="K127" s="1156"/>
      <c r="L127" s="1156"/>
      <c r="M127" s="1156"/>
      <c r="N127" s="1186"/>
      <c r="O127" s="1186"/>
      <c r="P127" s="1186"/>
      <c r="Q127" s="1186"/>
      <c r="R127" s="1186"/>
      <c r="S127" s="1186"/>
      <c r="T127" s="1184"/>
      <c r="U127" s="1184"/>
      <c r="V127" s="1184"/>
      <c r="W127" s="1184"/>
      <c r="X127" s="1184"/>
      <c r="Y127" s="1184"/>
      <c r="Z127" s="1184"/>
      <c r="AA127" s="1184"/>
      <c r="AB127" s="1184"/>
      <c r="AC127" s="1184"/>
      <c r="AD127" s="1184"/>
      <c r="AE127" s="1184"/>
      <c r="AF127" s="1184"/>
      <c r="AG127" s="1184"/>
      <c r="AH127" s="1184"/>
      <c r="AI127" s="1184"/>
      <c r="AJ127" s="1184"/>
      <c r="AK127" s="1184"/>
      <c r="AL127" s="1184"/>
      <c r="AM127" s="1184"/>
      <c r="AN127" s="1184"/>
      <c r="AO127" s="1184"/>
      <c r="AP127" s="1184"/>
      <c r="AQ127" s="1184"/>
      <c r="AR127" s="1184"/>
      <c r="AS127" s="1184"/>
      <c r="AT127" s="1184"/>
      <c r="AU127" s="1184"/>
      <c r="AV127" s="1184"/>
      <c r="AW127" s="1156"/>
      <c r="AX127" s="2110"/>
      <c r="AY127" s="2110"/>
      <c r="AZ127" s="2110"/>
      <c r="BA127" s="2110"/>
      <c r="BB127" s="1156"/>
      <c r="BC127" s="1156"/>
      <c r="BD127" s="2108"/>
      <c r="BE127" s="2108"/>
      <c r="BF127" s="1156"/>
    </row>
    <row r="128" spans="1:58" s="1178" customFormat="1" ht="11.25">
      <c r="A128" s="1156"/>
      <c r="B128" s="1186" t="s">
        <v>1260</v>
      </c>
      <c r="C128" s="1156"/>
      <c r="D128" s="1156"/>
      <c r="E128" s="1156"/>
      <c r="F128" s="1156"/>
      <c r="G128" s="1156"/>
      <c r="H128" s="1156"/>
      <c r="I128" s="1156"/>
      <c r="J128" s="1156"/>
      <c r="K128" s="1156"/>
      <c r="L128" s="1156"/>
      <c r="M128" s="1156"/>
      <c r="N128" s="1186"/>
      <c r="O128" s="1186"/>
      <c r="P128" s="1186"/>
      <c r="Q128" s="1186"/>
      <c r="R128" s="1186"/>
      <c r="S128" s="1186"/>
      <c r="T128" s="1184"/>
      <c r="U128" s="1184"/>
      <c r="V128" s="1184"/>
      <c r="W128" s="1184"/>
      <c r="X128" s="1184"/>
      <c r="Y128" s="1184"/>
      <c r="Z128" s="1184"/>
      <c r="AA128" s="1184"/>
      <c r="AB128" s="1184"/>
      <c r="AC128" s="1184"/>
      <c r="AD128" s="1184"/>
      <c r="AE128" s="1184"/>
      <c r="AF128" s="1184"/>
      <c r="AG128" s="1184"/>
      <c r="AH128" s="1184"/>
      <c r="AI128" s="1184"/>
      <c r="AJ128" s="1184"/>
      <c r="AK128" s="1184"/>
      <c r="AL128" s="1184"/>
      <c r="AM128" s="1184"/>
      <c r="AN128" s="1184"/>
      <c r="AO128" s="1184"/>
      <c r="AP128" s="1184"/>
      <c r="AQ128" s="1184"/>
      <c r="AR128" s="1184">
        <f>325-175</f>
        <v>150</v>
      </c>
      <c r="AS128" s="1184"/>
      <c r="AT128" s="1184"/>
      <c r="AU128" s="1184"/>
      <c r="AV128" s="1184"/>
      <c r="AW128" s="1156">
        <f>300-200</f>
        <v>100</v>
      </c>
      <c r="AX128" s="2110"/>
      <c r="AY128" s="2110"/>
      <c r="AZ128" s="2110"/>
      <c r="BA128" s="2110"/>
      <c r="BB128" s="1156"/>
      <c r="BC128" s="1156"/>
      <c r="BD128" s="2108"/>
      <c r="BE128" s="2108"/>
      <c r="BF128" s="1156"/>
    </row>
    <row r="129" spans="1:58" s="1178" customFormat="1" ht="11.25">
      <c r="A129" s="1156"/>
      <c r="B129" s="1156" t="s">
        <v>1259</v>
      </c>
      <c r="C129" s="1156"/>
      <c r="D129" s="1156"/>
      <c r="E129" s="1156"/>
      <c r="F129" s="1156"/>
      <c r="G129" s="1156"/>
      <c r="H129" s="1156"/>
      <c r="I129" s="1156"/>
      <c r="J129" s="1156"/>
      <c r="K129" s="1156"/>
      <c r="L129" s="1156"/>
      <c r="M129" s="1156"/>
      <c r="N129" s="1186"/>
      <c r="O129" s="1186"/>
      <c r="P129" s="1186"/>
      <c r="Q129" s="1186"/>
      <c r="R129" s="1186"/>
      <c r="S129" s="1186"/>
      <c r="T129" s="1184"/>
      <c r="U129" s="1184"/>
      <c r="V129" s="1535">
        <v>0.7</v>
      </c>
      <c r="W129" s="1184"/>
      <c r="X129" s="1184"/>
      <c r="Y129" s="1184"/>
      <c r="Z129" s="1184"/>
      <c r="AA129" s="1184"/>
      <c r="AB129" s="1184"/>
      <c r="AC129" s="1184"/>
      <c r="AD129" s="1184"/>
      <c r="AE129" s="1184"/>
      <c r="AF129" s="1184"/>
      <c r="AG129" s="1184"/>
      <c r="AH129" s="1184"/>
      <c r="AI129" s="1184"/>
      <c r="AJ129" s="1184"/>
      <c r="AK129" s="1184"/>
      <c r="AL129" s="1184"/>
      <c r="AM129" s="1184"/>
      <c r="AN129" s="1184"/>
      <c r="AO129" s="1184"/>
      <c r="AP129" s="1184"/>
      <c r="AQ129" s="1184"/>
      <c r="AR129" s="1184">
        <f>125-67</f>
        <v>58</v>
      </c>
      <c r="AS129" s="1184"/>
      <c r="AT129" s="1184"/>
      <c r="AU129" s="1184"/>
      <c r="AV129" s="1184"/>
      <c r="AW129" s="1156"/>
      <c r="AX129" s="2110"/>
      <c r="AY129" s="2110"/>
      <c r="AZ129" s="2110"/>
      <c r="BA129" s="2110"/>
      <c r="BB129" s="1156"/>
      <c r="BC129" s="1156"/>
      <c r="BD129" s="2108"/>
      <c r="BE129" s="2108"/>
      <c r="BF129" s="1156"/>
    </row>
    <row r="130" spans="1:58" s="1178" customFormat="1" ht="11.25">
      <c r="A130" s="1156"/>
      <c r="B130" s="1156" t="s">
        <v>1258</v>
      </c>
      <c r="C130" s="1156"/>
      <c r="D130" s="1156"/>
      <c r="E130" s="1156"/>
      <c r="F130" s="1156"/>
      <c r="G130" s="1156"/>
      <c r="H130" s="1156"/>
      <c r="I130" s="1156"/>
      <c r="J130" s="1156"/>
      <c r="K130" s="1156"/>
      <c r="L130" s="1156"/>
      <c r="M130" s="1156"/>
      <c r="N130" s="1186"/>
      <c r="O130" s="1186"/>
      <c r="P130" s="1186"/>
      <c r="Q130" s="1186"/>
      <c r="R130" s="1186"/>
      <c r="S130" s="1186"/>
      <c r="T130" s="1184"/>
      <c r="U130" s="1184"/>
      <c r="V130" s="1535">
        <v>0.3</v>
      </c>
      <c r="W130" s="1184"/>
      <c r="X130" s="1184"/>
      <c r="Y130" s="1184"/>
      <c r="Z130" s="1184"/>
      <c r="AA130" s="1184"/>
      <c r="AB130" s="1184"/>
      <c r="AC130" s="1184"/>
      <c r="AD130" s="1184"/>
      <c r="AE130" s="1184"/>
      <c r="AF130" s="1184"/>
      <c r="AG130" s="1184"/>
      <c r="AH130" s="1184"/>
      <c r="AI130" s="1184"/>
      <c r="AJ130" s="1184"/>
      <c r="AK130" s="1184"/>
      <c r="AL130" s="1184"/>
      <c r="AM130" s="1184"/>
      <c r="AN130" s="1184"/>
      <c r="AO130" s="1184"/>
      <c r="AP130" s="1184"/>
      <c r="AQ130" s="1184"/>
      <c r="AR130" s="1184"/>
      <c r="AS130" s="1184"/>
      <c r="AT130" s="1184"/>
      <c r="AU130" s="1184"/>
      <c r="AV130" s="1184"/>
      <c r="AW130" s="1156"/>
      <c r="AX130" s="2110"/>
      <c r="AY130" s="2110"/>
      <c r="AZ130" s="2110"/>
      <c r="BA130" s="2110"/>
      <c r="BB130" s="1156"/>
      <c r="BC130" s="1156"/>
      <c r="BD130" s="2108"/>
      <c r="BE130" s="2108"/>
      <c r="BF130" s="1156"/>
    </row>
    <row r="131" spans="1:58" s="1178" customFormat="1" ht="11.25">
      <c r="A131" s="1156"/>
      <c r="B131" s="1156"/>
      <c r="C131" s="1156"/>
      <c r="D131" s="1156"/>
      <c r="E131" s="1156"/>
      <c r="F131" s="1156"/>
      <c r="G131" s="1156"/>
      <c r="H131" s="1156"/>
      <c r="I131" s="1156"/>
      <c r="J131" s="1156"/>
      <c r="K131" s="1156"/>
      <c r="L131" s="1156"/>
      <c r="M131" s="1156"/>
      <c r="N131" s="1186"/>
      <c r="O131" s="1186"/>
      <c r="P131" s="1186"/>
      <c r="Q131" s="1186"/>
      <c r="R131" s="1186"/>
      <c r="S131" s="1186"/>
      <c r="T131" s="1184"/>
      <c r="U131" s="1184"/>
      <c r="V131" s="1184"/>
      <c r="W131" s="1184"/>
      <c r="X131" s="1184"/>
      <c r="Y131" s="1184"/>
      <c r="Z131" s="1184"/>
      <c r="AA131" s="1184"/>
      <c r="AB131" s="1184"/>
      <c r="AC131" s="1184"/>
      <c r="AD131" s="1184"/>
      <c r="AE131" s="1184"/>
      <c r="AF131" s="1184"/>
      <c r="AG131" s="1184"/>
      <c r="AH131" s="1184"/>
      <c r="AI131" s="1184"/>
      <c r="AJ131" s="1184"/>
      <c r="AK131" s="1184"/>
      <c r="AL131" s="1184"/>
      <c r="AM131" s="1184"/>
      <c r="AN131" s="1184"/>
      <c r="AO131" s="1184"/>
      <c r="AP131" s="1184"/>
      <c r="AQ131" s="1184"/>
      <c r="AR131" s="1184"/>
      <c r="AS131" s="1184"/>
      <c r="AT131" s="1184"/>
      <c r="AU131" s="1184"/>
      <c r="AV131" s="1184"/>
      <c r="AW131" s="1156"/>
      <c r="AX131" s="2110"/>
      <c r="AY131" s="2110"/>
      <c r="AZ131" s="2110"/>
      <c r="BA131" s="2110"/>
      <c r="BB131" s="1156"/>
      <c r="BC131" s="1156"/>
      <c r="BD131" s="2108"/>
      <c r="BE131" s="2108"/>
      <c r="BF131" s="1156"/>
    </row>
    <row r="132" spans="1:58" s="1178" customFormat="1" ht="11.25">
      <c r="A132" s="1156"/>
      <c r="B132" s="1186" t="s">
        <v>1257</v>
      </c>
      <c r="C132" s="1156"/>
      <c r="D132" s="1156"/>
      <c r="E132" s="1156"/>
      <c r="F132" s="1156"/>
      <c r="G132" s="1156"/>
      <c r="H132" s="1156"/>
      <c r="I132" s="1156"/>
      <c r="J132" s="1156"/>
      <c r="K132" s="1156"/>
      <c r="L132" s="1156"/>
      <c r="M132" s="1156"/>
      <c r="N132" s="1186"/>
      <c r="O132" s="1186"/>
      <c r="P132" s="1186"/>
      <c r="Q132" s="1186"/>
      <c r="R132" s="1186"/>
      <c r="S132" s="1186"/>
      <c r="T132" s="1184"/>
      <c r="U132" s="1184"/>
      <c r="V132" s="1184"/>
      <c r="W132" s="1184"/>
      <c r="X132" s="1800" t="s">
        <v>1256</v>
      </c>
      <c r="Y132" s="1800"/>
      <c r="Z132" s="1800"/>
      <c r="AA132" s="1800"/>
      <c r="AB132" s="1800"/>
      <c r="AC132" s="1240" t="s">
        <v>1255</v>
      </c>
      <c r="AD132" s="1800"/>
      <c r="AE132" s="1800"/>
      <c r="AF132" s="1800"/>
      <c r="AG132" s="1800"/>
      <c r="AH132" s="1240"/>
      <c r="AI132" s="1800"/>
      <c r="AJ132" s="1800"/>
      <c r="AK132" s="1800"/>
      <c r="AL132" s="1800"/>
      <c r="AM132" s="1184"/>
      <c r="AN132" s="1800"/>
      <c r="AO132" s="1800"/>
      <c r="AP132" s="1800"/>
      <c r="AQ132" s="1800"/>
      <c r="AR132" s="1184"/>
      <c r="AS132" s="1800"/>
      <c r="AT132" s="1800"/>
      <c r="AU132" s="1800"/>
      <c r="AV132" s="1800"/>
      <c r="AW132" s="1156"/>
      <c r="AX132" s="1800"/>
      <c r="AY132" s="1800"/>
      <c r="AZ132" s="1800"/>
      <c r="BA132" s="1800"/>
      <c r="BB132" s="1156"/>
      <c r="BC132" s="1156"/>
      <c r="BD132" s="2108"/>
      <c r="BE132" s="2108"/>
      <c r="BF132" s="1156"/>
    </row>
    <row r="133" spans="1:58" s="1178" customFormat="1" ht="11.25">
      <c r="AX133" s="2109"/>
      <c r="AY133" s="2109"/>
      <c r="AZ133" s="2109"/>
      <c r="BA133" s="2109"/>
      <c r="BD133" s="2109"/>
      <c r="BE133" s="2109"/>
      <c r="BF133" s="1988"/>
    </row>
    <row r="134" spans="1:58" s="1178" customFormat="1" ht="11.25">
      <c r="AX134" s="2109"/>
      <c r="AY134" s="2109"/>
      <c r="AZ134" s="2109"/>
      <c r="BA134" s="2109"/>
      <c r="BD134" s="2109"/>
      <c r="BE134" s="2109"/>
      <c r="BF134" s="1988"/>
    </row>
    <row r="135" spans="1:58" s="1178" customFormat="1" ht="11.25">
      <c r="AX135" s="2109"/>
      <c r="AY135" s="2109"/>
      <c r="AZ135" s="2109"/>
      <c r="BA135" s="2109"/>
      <c r="BD135" s="2109"/>
      <c r="BE135" s="2109"/>
      <c r="BF135" s="1988"/>
    </row>
    <row r="136" spans="1:58" s="1178" customFormat="1" ht="11.25">
      <c r="AX136" s="2109"/>
      <c r="AY136" s="2109"/>
      <c r="AZ136" s="2109"/>
      <c r="BA136" s="2109"/>
      <c r="BD136" s="2109"/>
      <c r="BE136" s="2109"/>
      <c r="BF136" s="1988"/>
    </row>
    <row r="137" spans="1:58" s="1178" customFormat="1" ht="11.25">
      <c r="AX137" s="2109"/>
      <c r="AY137" s="2109"/>
      <c r="AZ137" s="2109"/>
      <c r="BA137" s="2109"/>
      <c r="BD137" s="2109"/>
      <c r="BE137" s="2109"/>
      <c r="BF137" s="1988"/>
    </row>
    <row r="138" spans="1:58" s="1178" customFormat="1" ht="11.25">
      <c r="AX138" s="2109"/>
      <c r="AY138" s="2109"/>
      <c r="AZ138" s="2109"/>
      <c r="BA138" s="2109"/>
      <c r="BD138" s="2109"/>
      <c r="BE138" s="2109"/>
      <c r="BF138" s="1988"/>
    </row>
    <row r="139" spans="1:58" s="1178" customFormat="1" ht="11.25">
      <c r="AX139" s="2109"/>
      <c r="AY139" s="2109"/>
      <c r="AZ139" s="2109"/>
      <c r="BA139" s="2109"/>
      <c r="BD139" s="2109"/>
      <c r="BE139" s="2109"/>
      <c r="BF139" s="1988"/>
    </row>
    <row r="140" spans="1:58" s="1178" customFormat="1" ht="11.25">
      <c r="AX140" s="2109"/>
      <c r="AY140" s="2109"/>
      <c r="AZ140" s="2109"/>
      <c r="BA140" s="2109"/>
      <c r="BD140" s="2109"/>
      <c r="BE140" s="2109"/>
      <c r="BF140" s="1988"/>
    </row>
    <row r="141" spans="1:58" s="1178" customFormat="1" ht="11.25">
      <c r="AX141" s="2109"/>
      <c r="AY141" s="2109"/>
      <c r="AZ141" s="2109"/>
      <c r="BA141" s="2109"/>
      <c r="BD141" s="2109"/>
      <c r="BE141" s="2109"/>
      <c r="BF141" s="1988"/>
    </row>
    <row r="142" spans="1:58" s="1178" customFormat="1" ht="11.25">
      <c r="AX142" s="2109"/>
      <c r="AY142" s="2109"/>
      <c r="AZ142" s="2109"/>
      <c r="BA142" s="2109"/>
      <c r="BD142" s="2109"/>
      <c r="BE142" s="2109"/>
      <c r="BF142" s="1988"/>
    </row>
    <row r="143" spans="1:58" s="1178" customFormat="1" ht="11.25">
      <c r="AX143" s="2109"/>
      <c r="AY143" s="2109"/>
      <c r="AZ143" s="2109"/>
      <c r="BA143" s="2109"/>
      <c r="BD143" s="2109"/>
      <c r="BE143" s="2109"/>
      <c r="BF143" s="1988"/>
    </row>
    <row r="144" spans="1:58" s="1178" customFormat="1" ht="11.25">
      <c r="AX144" s="2109"/>
      <c r="AY144" s="2109"/>
      <c r="AZ144" s="2109"/>
      <c r="BA144" s="2109"/>
      <c r="BD144" s="2109"/>
      <c r="BE144" s="2109"/>
      <c r="BF144" s="1988"/>
    </row>
    <row r="145" spans="50:58" s="1178" customFormat="1" ht="11.25">
      <c r="AX145" s="2109"/>
      <c r="AY145" s="2109"/>
      <c r="AZ145" s="2109"/>
      <c r="BA145" s="2109"/>
      <c r="BD145" s="2109"/>
      <c r="BE145" s="2109"/>
      <c r="BF145" s="1988"/>
    </row>
    <row r="146" spans="50:58" s="1178" customFormat="1" ht="11.25">
      <c r="AX146" s="2109"/>
      <c r="AY146" s="2109"/>
      <c r="AZ146" s="2109"/>
      <c r="BA146" s="2109"/>
      <c r="BD146" s="2109"/>
      <c r="BE146" s="2109"/>
      <c r="BF146" s="1988"/>
    </row>
    <row r="147" spans="50:58" s="1178" customFormat="1" ht="11.25">
      <c r="AX147" s="2109"/>
      <c r="AY147" s="2109"/>
      <c r="AZ147" s="2109"/>
      <c r="BA147" s="2109"/>
      <c r="BD147" s="2109"/>
      <c r="BE147" s="2109"/>
      <c r="BF147" s="1988"/>
    </row>
    <row r="148" spans="50:58" s="1178" customFormat="1" ht="11.25">
      <c r="AX148" s="2109"/>
      <c r="AY148" s="2109"/>
      <c r="AZ148" s="2109"/>
      <c r="BA148" s="2109"/>
      <c r="BD148" s="2109"/>
      <c r="BE148" s="2109"/>
      <c r="BF148" s="1988"/>
    </row>
    <row r="149" spans="50:58" s="1178" customFormat="1" ht="11.25">
      <c r="AX149" s="2109"/>
      <c r="AY149" s="2109"/>
      <c r="AZ149" s="2109"/>
      <c r="BA149" s="2109"/>
      <c r="BD149" s="2109"/>
      <c r="BE149" s="2109"/>
      <c r="BF149" s="1988"/>
    </row>
    <row r="150" spans="50:58" s="1178" customFormat="1" ht="11.25">
      <c r="AX150" s="2109"/>
      <c r="AY150" s="2109"/>
      <c r="AZ150" s="2109"/>
      <c r="BA150" s="2109"/>
      <c r="BD150" s="2109"/>
      <c r="BE150" s="2109"/>
      <c r="BF150" s="1988"/>
    </row>
    <row r="151" spans="50:58" s="1178" customFormat="1" ht="11.25">
      <c r="AX151" s="2109"/>
      <c r="AY151" s="2109"/>
      <c r="AZ151" s="2109"/>
      <c r="BA151" s="2109"/>
      <c r="BD151" s="2109"/>
      <c r="BE151" s="2109"/>
      <c r="BF151" s="1988"/>
    </row>
    <row r="152" spans="50:58" s="1178" customFormat="1" ht="11.25">
      <c r="AX152" s="2109"/>
      <c r="AY152" s="2109"/>
      <c r="AZ152" s="2109"/>
      <c r="BA152" s="2109"/>
      <c r="BD152" s="2109"/>
      <c r="BE152" s="2109"/>
      <c r="BF152" s="1988"/>
    </row>
    <row r="153" spans="50:58" s="1178" customFormat="1" ht="11.25">
      <c r="AX153" s="2109"/>
      <c r="AY153" s="2109"/>
      <c r="AZ153" s="2109"/>
      <c r="BA153" s="2109"/>
      <c r="BD153" s="2109"/>
      <c r="BE153" s="2109"/>
      <c r="BF153" s="1988"/>
    </row>
  </sheetData>
  <mergeCells count="1">
    <mergeCell ref="BJ36:BJ37"/>
  </mergeCells>
  <hyperlinks>
    <hyperlink ref="AW4" r:id="rId1"/>
    <hyperlink ref="BB4" r:id="rId2"/>
    <hyperlink ref="BC4" r:id="rId3"/>
    <hyperlink ref="BD4" r:id="rId4"/>
    <hyperlink ref="BE4" r:id="rId5"/>
  </hyperlinks>
  <pageMargins left="0.25" right="0.25" top="0.75" bottom="0.75" header="0.3" footer="0.3"/>
  <pageSetup paperSize="9" scale="27" orientation="landscape" r:id="rId6"/>
  <headerFooter alignWithMargins="0"/>
  <legacyDrawing r:id="rId7"/>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3"/>
  <sheetViews>
    <sheetView workbookViewId="0">
      <selection activeCell="B42" sqref="B42"/>
    </sheetView>
  </sheetViews>
  <sheetFormatPr defaultRowHeight="12.75"/>
  <cols>
    <col min="1" max="1" width="29.5703125" style="2349" bestFit="1" customWidth="1"/>
    <col min="2" max="2" width="19.85546875" style="2351" customWidth="1"/>
    <col min="3" max="3" width="12" style="2349" bestFit="1" customWidth="1"/>
    <col min="4" max="256" width="9.140625" style="2349"/>
    <col min="257" max="257" width="29.5703125" style="2349" bestFit="1" customWidth="1"/>
    <col min="258" max="258" width="19.85546875" style="2349" customWidth="1"/>
    <col min="259" max="259" width="12" style="2349" bestFit="1" customWidth="1"/>
    <col min="260" max="512" width="9.140625" style="2349"/>
    <col min="513" max="513" width="29.5703125" style="2349" bestFit="1" customWidth="1"/>
    <col min="514" max="514" width="19.85546875" style="2349" customWidth="1"/>
    <col min="515" max="515" width="12" style="2349" bestFit="1" customWidth="1"/>
    <col min="516" max="768" width="9.140625" style="2349"/>
    <col min="769" max="769" width="29.5703125" style="2349" bestFit="1" customWidth="1"/>
    <col min="770" max="770" width="19.85546875" style="2349" customWidth="1"/>
    <col min="771" max="771" width="12" style="2349" bestFit="1" customWidth="1"/>
    <col min="772" max="1024" width="9.140625" style="2349"/>
    <col min="1025" max="1025" width="29.5703125" style="2349" bestFit="1" customWidth="1"/>
    <col min="1026" max="1026" width="19.85546875" style="2349" customWidth="1"/>
    <col min="1027" max="1027" width="12" style="2349" bestFit="1" customWidth="1"/>
    <col min="1028" max="1280" width="9.140625" style="2349"/>
    <col min="1281" max="1281" width="29.5703125" style="2349" bestFit="1" customWidth="1"/>
    <col min="1282" max="1282" width="19.85546875" style="2349" customWidth="1"/>
    <col min="1283" max="1283" width="12" style="2349" bestFit="1" customWidth="1"/>
    <col min="1284" max="1536" width="9.140625" style="2349"/>
    <col min="1537" max="1537" width="29.5703125" style="2349" bestFit="1" customWidth="1"/>
    <col min="1538" max="1538" width="19.85546875" style="2349" customWidth="1"/>
    <col min="1539" max="1539" width="12" style="2349" bestFit="1" customWidth="1"/>
    <col min="1540" max="1792" width="9.140625" style="2349"/>
    <col min="1793" max="1793" width="29.5703125" style="2349" bestFit="1" customWidth="1"/>
    <col min="1794" max="1794" width="19.85546875" style="2349" customWidth="1"/>
    <col min="1795" max="1795" width="12" style="2349" bestFit="1" customWidth="1"/>
    <col min="1796" max="2048" width="9.140625" style="2349"/>
    <col min="2049" max="2049" width="29.5703125" style="2349" bestFit="1" customWidth="1"/>
    <col min="2050" max="2050" width="19.85546875" style="2349" customWidth="1"/>
    <col min="2051" max="2051" width="12" style="2349" bestFit="1" customWidth="1"/>
    <col min="2052" max="2304" width="9.140625" style="2349"/>
    <col min="2305" max="2305" width="29.5703125" style="2349" bestFit="1" customWidth="1"/>
    <col min="2306" max="2306" width="19.85546875" style="2349" customWidth="1"/>
    <col min="2307" max="2307" width="12" style="2349" bestFit="1" customWidth="1"/>
    <col min="2308" max="2560" width="9.140625" style="2349"/>
    <col min="2561" max="2561" width="29.5703125" style="2349" bestFit="1" customWidth="1"/>
    <col min="2562" max="2562" width="19.85546875" style="2349" customWidth="1"/>
    <col min="2563" max="2563" width="12" style="2349" bestFit="1" customWidth="1"/>
    <col min="2564" max="2816" width="9.140625" style="2349"/>
    <col min="2817" max="2817" width="29.5703125" style="2349" bestFit="1" customWidth="1"/>
    <col min="2818" max="2818" width="19.85546875" style="2349" customWidth="1"/>
    <col min="2819" max="2819" width="12" style="2349" bestFit="1" customWidth="1"/>
    <col min="2820" max="3072" width="9.140625" style="2349"/>
    <col min="3073" max="3073" width="29.5703125" style="2349" bestFit="1" customWidth="1"/>
    <col min="3074" max="3074" width="19.85546875" style="2349" customWidth="1"/>
    <col min="3075" max="3075" width="12" style="2349" bestFit="1" customWidth="1"/>
    <col min="3076" max="3328" width="9.140625" style="2349"/>
    <col min="3329" max="3329" width="29.5703125" style="2349" bestFit="1" customWidth="1"/>
    <col min="3330" max="3330" width="19.85546875" style="2349" customWidth="1"/>
    <col min="3331" max="3331" width="12" style="2349" bestFit="1" customWidth="1"/>
    <col min="3332" max="3584" width="9.140625" style="2349"/>
    <col min="3585" max="3585" width="29.5703125" style="2349" bestFit="1" customWidth="1"/>
    <col min="3586" max="3586" width="19.85546875" style="2349" customWidth="1"/>
    <col min="3587" max="3587" width="12" style="2349" bestFit="1" customWidth="1"/>
    <col min="3588" max="3840" width="9.140625" style="2349"/>
    <col min="3841" max="3841" width="29.5703125" style="2349" bestFit="1" customWidth="1"/>
    <col min="3842" max="3842" width="19.85546875" style="2349" customWidth="1"/>
    <col min="3843" max="3843" width="12" style="2349" bestFit="1" customWidth="1"/>
    <col min="3844" max="4096" width="9.140625" style="2349"/>
    <col min="4097" max="4097" width="29.5703125" style="2349" bestFit="1" customWidth="1"/>
    <col min="4098" max="4098" width="19.85546875" style="2349" customWidth="1"/>
    <col min="4099" max="4099" width="12" style="2349" bestFit="1" customWidth="1"/>
    <col min="4100" max="4352" width="9.140625" style="2349"/>
    <col min="4353" max="4353" width="29.5703125" style="2349" bestFit="1" customWidth="1"/>
    <col min="4354" max="4354" width="19.85546875" style="2349" customWidth="1"/>
    <col min="4355" max="4355" width="12" style="2349" bestFit="1" customWidth="1"/>
    <col min="4356" max="4608" width="9.140625" style="2349"/>
    <col min="4609" max="4609" width="29.5703125" style="2349" bestFit="1" customWidth="1"/>
    <col min="4610" max="4610" width="19.85546875" style="2349" customWidth="1"/>
    <col min="4611" max="4611" width="12" style="2349" bestFit="1" customWidth="1"/>
    <col min="4612" max="4864" width="9.140625" style="2349"/>
    <col min="4865" max="4865" width="29.5703125" style="2349" bestFit="1" customWidth="1"/>
    <col min="4866" max="4866" width="19.85546875" style="2349" customWidth="1"/>
    <col min="4867" max="4867" width="12" style="2349" bestFit="1" customWidth="1"/>
    <col min="4868" max="5120" width="9.140625" style="2349"/>
    <col min="5121" max="5121" width="29.5703125" style="2349" bestFit="1" customWidth="1"/>
    <col min="5122" max="5122" width="19.85546875" style="2349" customWidth="1"/>
    <col min="5123" max="5123" width="12" style="2349" bestFit="1" customWidth="1"/>
    <col min="5124" max="5376" width="9.140625" style="2349"/>
    <col min="5377" max="5377" width="29.5703125" style="2349" bestFit="1" customWidth="1"/>
    <col min="5378" max="5378" width="19.85546875" style="2349" customWidth="1"/>
    <col min="5379" max="5379" width="12" style="2349" bestFit="1" customWidth="1"/>
    <col min="5380" max="5632" width="9.140625" style="2349"/>
    <col min="5633" max="5633" width="29.5703125" style="2349" bestFit="1" customWidth="1"/>
    <col min="5634" max="5634" width="19.85546875" style="2349" customWidth="1"/>
    <col min="5635" max="5635" width="12" style="2349" bestFit="1" customWidth="1"/>
    <col min="5636" max="5888" width="9.140625" style="2349"/>
    <col min="5889" max="5889" width="29.5703125" style="2349" bestFit="1" customWidth="1"/>
    <col min="5890" max="5890" width="19.85546875" style="2349" customWidth="1"/>
    <col min="5891" max="5891" width="12" style="2349" bestFit="1" customWidth="1"/>
    <col min="5892" max="6144" width="9.140625" style="2349"/>
    <col min="6145" max="6145" width="29.5703125" style="2349" bestFit="1" customWidth="1"/>
    <col min="6146" max="6146" width="19.85546875" style="2349" customWidth="1"/>
    <col min="6147" max="6147" width="12" style="2349" bestFit="1" customWidth="1"/>
    <col min="6148" max="6400" width="9.140625" style="2349"/>
    <col min="6401" max="6401" width="29.5703125" style="2349" bestFit="1" customWidth="1"/>
    <col min="6402" max="6402" width="19.85546875" style="2349" customWidth="1"/>
    <col min="6403" max="6403" width="12" style="2349" bestFit="1" customWidth="1"/>
    <col min="6404" max="6656" width="9.140625" style="2349"/>
    <col min="6657" max="6657" width="29.5703125" style="2349" bestFit="1" customWidth="1"/>
    <col min="6658" max="6658" width="19.85546875" style="2349" customWidth="1"/>
    <col min="6659" max="6659" width="12" style="2349" bestFit="1" customWidth="1"/>
    <col min="6660" max="6912" width="9.140625" style="2349"/>
    <col min="6913" max="6913" width="29.5703125" style="2349" bestFit="1" customWidth="1"/>
    <col min="6914" max="6914" width="19.85546875" style="2349" customWidth="1"/>
    <col min="6915" max="6915" width="12" style="2349" bestFit="1" customWidth="1"/>
    <col min="6916" max="7168" width="9.140625" style="2349"/>
    <col min="7169" max="7169" width="29.5703125" style="2349" bestFit="1" customWidth="1"/>
    <col min="7170" max="7170" width="19.85546875" style="2349" customWidth="1"/>
    <col min="7171" max="7171" width="12" style="2349" bestFit="1" customWidth="1"/>
    <col min="7172" max="7424" width="9.140625" style="2349"/>
    <col min="7425" max="7425" width="29.5703125" style="2349" bestFit="1" customWidth="1"/>
    <col min="7426" max="7426" width="19.85546875" style="2349" customWidth="1"/>
    <col min="7427" max="7427" width="12" style="2349" bestFit="1" customWidth="1"/>
    <col min="7428" max="7680" width="9.140625" style="2349"/>
    <col min="7681" max="7681" width="29.5703125" style="2349" bestFit="1" customWidth="1"/>
    <col min="7682" max="7682" width="19.85546875" style="2349" customWidth="1"/>
    <col min="7683" max="7683" width="12" style="2349" bestFit="1" customWidth="1"/>
    <col min="7684" max="7936" width="9.140625" style="2349"/>
    <col min="7937" max="7937" width="29.5703125" style="2349" bestFit="1" customWidth="1"/>
    <col min="7938" max="7938" width="19.85546875" style="2349" customWidth="1"/>
    <col min="7939" max="7939" width="12" style="2349" bestFit="1" customWidth="1"/>
    <col min="7940" max="8192" width="9.140625" style="2349"/>
    <col min="8193" max="8193" width="29.5703125" style="2349" bestFit="1" customWidth="1"/>
    <col min="8194" max="8194" width="19.85546875" style="2349" customWidth="1"/>
    <col min="8195" max="8195" width="12" style="2349" bestFit="1" customWidth="1"/>
    <col min="8196" max="8448" width="9.140625" style="2349"/>
    <col min="8449" max="8449" width="29.5703125" style="2349" bestFit="1" customWidth="1"/>
    <col min="8450" max="8450" width="19.85546875" style="2349" customWidth="1"/>
    <col min="8451" max="8451" width="12" style="2349" bestFit="1" customWidth="1"/>
    <col min="8452" max="8704" width="9.140625" style="2349"/>
    <col min="8705" max="8705" width="29.5703125" style="2349" bestFit="1" customWidth="1"/>
    <col min="8706" max="8706" width="19.85546875" style="2349" customWidth="1"/>
    <col min="8707" max="8707" width="12" style="2349" bestFit="1" customWidth="1"/>
    <col min="8708" max="8960" width="9.140625" style="2349"/>
    <col min="8961" max="8961" width="29.5703125" style="2349" bestFit="1" customWidth="1"/>
    <col min="8962" max="8962" width="19.85546875" style="2349" customWidth="1"/>
    <col min="8963" max="8963" width="12" style="2349" bestFit="1" customWidth="1"/>
    <col min="8964" max="9216" width="9.140625" style="2349"/>
    <col min="9217" max="9217" width="29.5703125" style="2349" bestFit="1" customWidth="1"/>
    <col min="9218" max="9218" width="19.85546875" style="2349" customWidth="1"/>
    <col min="9219" max="9219" width="12" style="2349" bestFit="1" customWidth="1"/>
    <col min="9220" max="9472" width="9.140625" style="2349"/>
    <col min="9473" max="9473" width="29.5703125" style="2349" bestFit="1" customWidth="1"/>
    <col min="9474" max="9474" width="19.85546875" style="2349" customWidth="1"/>
    <col min="9475" max="9475" width="12" style="2349" bestFit="1" customWidth="1"/>
    <col min="9476" max="9728" width="9.140625" style="2349"/>
    <col min="9729" max="9729" width="29.5703125" style="2349" bestFit="1" customWidth="1"/>
    <col min="9730" max="9730" width="19.85546875" style="2349" customWidth="1"/>
    <col min="9731" max="9731" width="12" style="2349" bestFit="1" customWidth="1"/>
    <col min="9732" max="9984" width="9.140625" style="2349"/>
    <col min="9985" max="9985" width="29.5703125" style="2349" bestFit="1" customWidth="1"/>
    <col min="9986" max="9986" width="19.85546875" style="2349" customWidth="1"/>
    <col min="9987" max="9987" width="12" style="2349" bestFit="1" customWidth="1"/>
    <col min="9988" max="10240" width="9.140625" style="2349"/>
    <col min="10241" max="10241" width="29.5703125" style="2349" bestFit="1" customWidth="1"/>
    <col min="10242" max="10242" width="19.85546875" style="2349" customWidth="1"/>
    <col min="10243" max="10243" width="12" style="2349" bestFit="1" customWidth="1"/>
    <col min="10244" max="10496" width="9.140625" style="2349"/>
    <col min="10497" max="10497" width="29.5703125" style="2349" bestFit="1" customWidth="1"/>
    <col min="10498" max="10498" width="19.85546875" style="2349" customWidth="1"/>
    <col min="10499" max="10499" width="12" style="2349" bestFit="1" customWidth="1"/>
    <col min="10500" max="10752" width="9.140625" style="2349"/>
    <col min="10753" max="10753" width="29.5703125" style="2349" bestFit="1" customWidth="1"/>
    <col min="10754" max="10754" width="19.85546875" style="2349" customWidth="1"/>
    <col min="10755" max="10755" width="12" style="2349" bestFit="1" customWidth="1"/>
    <col min="10756" max="11008" width="9.140625" style="2349"/>
    <col min="11009" max="11009" width="29.5703125" style="2349" bestFit="1" customWidth="1"/>
    <col min="11010" max="11010" width="19.85546875" style="2349" customWidth="1"/>
    <col min="11011" max="11011" width="12" style="2349" bestFit="1" customWidth="1"/>
    <col min="11012" max="11264" width="9.140625" style="2349"/>
    <col min="11265" max="11265" width="29.5703125" style="2349" bestFit="1" customWidth="1"/>
    <col min="11266" max="11266" width="19.85546875" style="2349" customWidth="1"/>
    <col min="11267" max="11267" width="12" style="2349" bestFit="1" customWidth="1"/>
    <col min="11268" max="11520" width="9.140625" style="2349"/>
    <col min="11521" max="11521" width="29.5703125" style="2349" bestFit="1" customWidth="1"/>
    <col min="11522" max="11522" width="19.85546875" style="2349" customWidth="1"/>
    <col min="11523" max="11523" width="12" style="2349" bestFit="1" customWidth="1"/>
    <col min="11524" max="11776" width="9.140625" style="2349"/>
    <col min="11777" max="11777" width="29.5703125" style="2349" bestFit="1" customWidth="1"/>
    <col min="11778" max="11778" width="19.85546875" style="2349" customWidth="1"/>
    <col min="11779" max="11779" width="12" style="2349" bestFit="1" customWidth="1"/>
    <col min="11780" max="12032" width="9.140625" style="2349"/>
    <col min="12033" max="12033" width="29.5703125" style="2349" bestFit="1" customWidth="1"/>
    <col min="12034" max="12034" width="19.85546875" style="2349" customWidth="1"/>
    <col min="12035" max="12035" width="12" style="2349" bestFit="1" customWidth="1"/>
    <col min="12036" max="12288" width="9.140625" style="2349"/>
    <col min="12289" max="12289" width="29.5703125" style="2349" bestFit="1" customWidth="1"/>
    <col min="12290" max="12290" width="19.85546875" style="2349" customWidth="1"/>
    <col min="12291" max="12291" width="12" style="2349" bestFit="1" customWidth="1"/>
    <col min="12292" max="12544" width="9.140625" style="2349"/>
    <col min="12545" max="12545" width="29.5703125" style="2349" bestFit="1" customWidth="1"/>
    <col min="12546" max="12546" width="19.85546875" style="2349" customWidth="1"/>
    <col min="12547" max="12547" width="12" style="2349" bestFit="1" customWidth="1"/>
    <col min="12548" max="12800" width="9.140625" style="2349"/>
    <col min="12801" max="12801" width="29.5703125" style="2349" bestFit="1" customWidth="1"/>
    <col min="12802" max="12802" width="19.85546875" style="2349" customWidth="1"/>
    <col min="12803" max="12803" width="12" style="2349" bestFit="1" customWidth="1"/>
    <col min="12804" max="13056" width="9.140625" style="2349"/>
    <col min="13057" max="13057" width="29.5703125" style="2349" bestFit="1" customWidth="1"/>
    <col min="13058" max="13058" width="19.85546875" style="2349" customWidth="1"/>
    <col min="13059" max="13059" width="12" style="2349" bestFit="1" customWidth="1"/>
    <col min="13060" max="13312" width="9.140625" style="2349"/>
    <col min="13313" max="13313" width="29.5703125" style="2349" bestFit="1" customWidth="1"/>
    <col min="13314" max="13314" width="19.85546875" style="2349" customWidth="1"/>
    <col min="13315" max="13315" width="12" style="2349" bestFit="1" customWidth="1"/>
    <col min="13316" max="13568" width="9.140625" style="2349"/>
    <col min="13569" max="13569" width="29.5703125" style="2349" bestFit="1" customWidth="1"/>
    <col min="13570" max="13570" width="19.85546875" style="2349" customWidth="1"/>
    <col min="13571" max="13571" width="12" style="2349" bestFit="1" customWidth="1"/>
    <col min="13572" max="13824" width="9.140625" style="2349"/>
    <col min="13825" max="13825" width="29.5703125" style="2349" bestFit="1" customWidth="1"/>
    <col min="13826" max="13826" width="19.85546875" style="2349" customWidth="1"/>
    <col min="13827" max="13827" width="12" style="2349" bestFit="1" customWidth="1"/>
    <col min="13828" max="14080" width="9.140625" style="2349"/>
    <col min="14081" max="14081" width="29.5703125" style="2349" bestFit="1" customWidth="1"/>
    <col min="14082" max="14082" width="19.85546875" style="2349" customWidth="1"/>
    <col min="14083" max="14083" width="12" style="2349" bestFit="1" customWidth="1"/>
    <col min="14084" max="14336" width="9.140625" style="2349"/>
    <col min="14337" max="14337" width="29.5703125" style="2349" bestFit="1" customWidth="1"/>
    <col min="14338" max="14338" width="19.85546875" style="2349" customWidth="1"/>
    <col min="14339" max="14339" width="12" style="2349" bestFit="1" customWidth="1"/>
    <col min="14340" max="14592" width="9.140625" style="2349"/>
    <col min="14593" max="14593" width="29.5703125" style="2349" bestFit="1" customWidth="1"/>
    <col min="14594" max="14594" width="19.85546875" style="2349" customWidth="1"/>
    <col min="14595" max="14595" width="12" style="2349" bestFit="1" customWidth="1"/>
    <col min="14596" max="14848" width="9.140625" style="2349"/>
    <col min="14849" max="14849" width="29.5703125" style="2349" bestFit="1" customWidth="1"/>
    <col min="14850" max="14850" width="19.85546875" style="2349" customWidth="1"/>
    <col min="14851" max="14851" width="12" style="2349" bestFit="1" customWidth="1"/>
    <col min="14852" max="15104" width="9.140625" style="2349"/>
    <col min="15105" max="15105" width="29.5703125" style="2349" bestFit="1" customWidth="1"/>
    <col min="15106" max="15106" width="19.85546875" style="2349" customWidth="1"/>
    <col min="15107" max="15107" width="12" style="2349" bestFit="1" customWidth="1"/>
    <col min="15108" max="15360" width="9.140625" style="2349"/>
    <col min="15361" max="15361" width="29.5703125" style="2349" bestFit="1" customWidth="1"/>
    <col min="15362" max="15362" width="19.85546875" style="2349" customWidth="1"/>
    <col min="15363" max="15363" width="12" style="2349" bestFit="1" customWidth="1"/>
    <col min="15364" max="15616" width="9.140625" style="2349"/>
    <col min="15617" max="15617" width="29.5703125" style="2349" bestFit="1" customWidth="1"/>
    <col min="15618" max="15618" width="19.85546875" style="2349" customWidth="1"/>
    <col min="15619" max="15619" width="12" style="2349" bestFit="1" customWidth="1"/>
    <col min="15620" max="15872" width="9.140625" style="2349"/>
    <col min="15873" max="15873" width="29.5703125" style="2349" bestFit="1" customWidth="1"/>
    <col min="15874" max="15874" width="19.85546875" style="2349" customWidth="1"/>
    <col min="15875" max="15875" width="12" style="2349" bestFit="1" customWidth="1"/>
    <col min="15876" max="16128" width="9.140625" style="2349"/>
    <col min="16129" max="16129" width="29.5703125" style="2349" bestFit="1" customWidth="1"/>
    <col min="16130" max="16130" width="19.85546875" style="2349" customWidth="1"/>
    <col min="16131" max="16131" width="12" style="2349" bestFit="1" customWidth="1"/>
    <col min="16132" max="16384" width="9.140625" style="2349"/>
  </cols>
  <sheetData>
    <row r="1" spans="1:2">
      <c r="A1" s="2349" t="s">
        <v>1773</v>
      </c>
      <c r="B1" s="2350">
        <v>6.1</v>
      </c>
    </row>
    <row r="2" spans="1:2">
      <c r="A2" s="2349" t="s">
        <v>1774</v>
      </c>
      <c r="B2" s="2354">
        <v>43035.367314814815</v>
      </c>
    </row>
    <row r="3" spans="1:2">
      <c r="A3" s="2349" t="s">
        <v>1775</v>
      </c>
      <c r="B3" s="2351" t="s">
        <v>1471</v>
      </c>
    </row>
    <row r="4" spans="1:2">
      <c r="A4" s="2349" t="s">
        <v>1776</v>
      </c>
      <c r="B4" s="2351" t="s">
        <v>1315</v>
      </c>
    </row>
    <row r="5" spans="1:2">
      <c r="A5" s="2349" t="s">
        <v>1777</v>
      </c>
      <c r="B5" s="2351" t="s">
        <v>1778</v>
      </c>
    </row>
    <row r="6" spans="1:2">
      <c r="A6" s="2349" t="s">
        <v>1779</v>
      </c>
    </row>
    <row r="7" spans="1:2">
      <c r="A7" s="2349" t="s">
        <v>1780</v>
      </c>
      <c r="B7" s="2351" t="s">
        <v>1320</v>
      </c>
    </row>
    <row r="8" spans="1:2">
      <c r="A8" s="2349" t="s">
        <v>1781</v>
      </c>
      <c r="B8" s="2351" t="s">
        <v>1782</v>
      </c>
    </row>
    <row r="9" spans="1:2">
      <c r="A9" s="2349" t="s">
        <v>1783</v>
      </c>
      <c r="B9" s="2351" t="s">
        <v>1820</v>
      </c>
    </row>
    <row r="10" spans="1:2">
      <c r="A10" s="2349" t="s">
        <v>1784</v>
      </c>
    </row>
    <row r="11" spans="1:2">
      <c r="A11" s="2349" t="s">
        <v>1785</v>
      </c>
    </row>
    <row r="12" spans="1:2">
      <c r="A12" s="2349" t="s">
        <v>1786</v>
      </c>
    </row>
    <row r="13" spans="1:2">
      <c r="A13" s="2349" t="s">
        <v>1787</v>
      </c>
    </row>
    <row r="14" spans="1:2">
      <c r="A14" s="2349" t="s">
        <v>1788</v>
      </c>
    </row>
    <row r="15" spans="1:2">
      <c r="A15" s="2349" t="s">
        <v>1789</v>
      </c>
    </row>
    <row r="16" spans="1:2">
      <c r="A16" s="2349" t="s">
        <v>1790</v>
      </c>
    </row>
    <row r="17" spans="1:4">
      <c r="A17" s="2349" t="s">
        <v>1791</v>
      </c>
      <c r="B17" s="2351" t="s">
        <v>1821</v>
      </c>
    </row>
    <row r="18" spans="1:4">
      <c r="A18" s="2349" t="s">
        <v>1792</v>
      </c>
      <c r="B18" s="2351" t="s">
        <v>1470</v>
      </c>
    </row>
    <row r="19" spans="1:4">
      <c r="A19" s="2349" t="s">
        <v>1793</v>
      </c>
      <c r="B19" s="2351" t="s">
        <v>1321</v>
      </c>
    </row>
    <row r="20" spans="1:4">
      <c r="A20" s="2349" t="s">
        <v>1794</v>
      </c>
      <c r="B20" s="2352">
        <v>913017109</v>
      </c>
    </row>
    <row r="21" spans="1:4">
      <c r="A21" s="2349" t="s">
        <v>1795</v>
      </c>
      <c r="B21" s="2351" t="s">
        <v>1321</v>
      </c>
    </row>
    <row r="22" spans="1:4">
      <c r="A22" s="2349" t="s">
        <v>1796</v>
      </c>
      <c r="B22" s="2352">
        <v>2915500</v>
      </c>
    </row>
    <row r="23" spans="1:4">
      <c r="A23" s="2349" t="s">
        <v>1325</v>
      </c>
      <c r="B23" s="2350">
        <v>119.93</v>
      </c>
    </row>
    <row r="24" spans="1:4">
      <c r="A24" s="2349" t="s">
        <v>207</v>
      </c>
      <c r="B24" s="2351" t="s">
        <v>1319</v>
      </c>
      <c r="D24" s="2349" t="s">
        <v>288</v>
      </c>
    </row>
    <row r="25" spans="1:4">
      <c r="A25" s="2349" t="s">
        <v>1797</v>
      </c>
      <c r="B25" s="2351" t="s">
        <v>1824</v>
      </c>
    </row>
    <row r="26" spans="1:4">
      <c r="A26" s="2349" t="s">
        <v>1798</v>
      </c>
      <c r="B26" s="2351">
        <v>0</v>
      </c>
    </row>
    <row r="27" spans="1:4">
      <c r="A27" s="2349" t="s">
        <v>1799</v>
      </c>
      <c r="B27" s="2351" t="s">
        <v>1800</v>
      </c>
    </row>
    <row r="28" spans="1:4">
      <c r="A28" s="2349" t="s">
        <v>1801</v>
      </c>
      <c r="B28" s="2351" t="s">
        <v>1802</v>
      </c>
    </row>
    <row r="29" spans="1:4">
      <c r="A29" s="2349" t="s">
        <v>1803</v>
      </c>
    </row>
    <row r="30" spans="1:4">
      <c r="A30" s="2349" t="s">
        <v>1804</v>
      </c>
    </row>
    <row r="31" spans="1:4">
      <c r="A31" s="2349" t="s">
        <v>1805</v>
      </c>
    </row>
    <row r="32" spans="1:4">
      <c r="A32" s="2349" t="s">
        <v>1806</v>
      </c>
      <c r="B32" s="2350"/>
    </row>
    <row r="33" spans="1:2">
      <c r="A33" s="2349" t="s">
        <v>1807</v>
      </c>
      <c r="B33" s="2350"/>
    </row>
    <row r="34" spans="1:2">
      <c r="A34" s="2349" t="s">
        <v>1808</v>
      </c>
      <c r="B34" s="2350"/>
    </row>
    <row r="35" spans="1:2">
      <c r="A35" s="2349" t="s">
        <v>1809</v>
      </c>
      <c r="B35" s="2351">
        <v>1000000</v>
      </c>
    </row>
    <row r="36" spans="1:2">
      <c r="A36" s="2349" t="s">
        <v>1810</v>
      </c>
      <c r="B36" s="2351" t="s">
        <v>1822</v>
      </c>
    </row>
    <row r="37" spans="1:2">
      <c r="A37" s="2349" t="s">
        <v>1811</v>
      </c>
      <c r="B37" s="2351" t="s">
        <v>1812</v>
      </c>
    </row>
    <row r="38" spans="1:2">
      <c r="A38" s="2349" t="s">
        <v>1813</v>
      </c>
      <c r="B38" s="2351" t="s">
        <v>1814</v>
      </c>
    </row>
    <row r="39" spans="1:2">
      <c r="A39" s="2349" t="s">
        <v>1815</v>
      </c>
      <c r="B39" s="2351" t="s">
        <v>1823</v>
      </c>
    </row>
    <row r="40" spans="1:2">
      <c r="A40" s="2349" t="s">
        <v>1816</v>
      </c>
      <c r="B40" s="2351">
        <v>1500005561</v>
      </c>
    </row>
    <row r="41" spans="1:2">
      <c r="A41" s="2349" t="s">
        <v>1817</v>
      </c>
      <c r="B41" s="2351">
        <v>1</v>
      </c>
    </row>
    <row r="42" spans="1:2">
      <c r="A42" s="2353" t="s">
        <v>1818</v>
      </c>
    </row>
    <row r="43" spans="1:2">
      <c r="A43" s="2349" t="s">
        <v>1819</v>
      </c>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workbookViewId="0">
      <selection activeCell="E11" sqref="E11"/>
    </sheetView>
  </sheetViews>
  <sheetFormatPr defaultRowHeight="12.75"/>
  <cols>
    <col min="1" max="1" width="28.5703125" style="2356" bestFit="1" customWidth="1"/>
    <col min="2" max="256" width="9.140625" style="2356"/>
    <col min="257" max="257" width="28.5703125" style="2356" bestFit="1" customWidth="1"/>
    <col min="258" max="512" width="9.140625" style="2356"/>
    <col min="513" max="513" width="28.5703125" style="2356" bestFit="1" customWidth="1"/>
    <col min="514" max="768" width="9.140625" style="2356"/>
    <col min="769" max="769" width="28.5703125" style="2356" bestFit="1" customWidth="1"/>
    <col min="770" max="1024" width="9.140625" style="2356"/>
    <col min="1025" max="1025" width="28.5703125" style="2356" bestFit="1" customWidth="1"/>
    <col min="1026" max="1280" width="9.140625" style="2356"/>
    <col min="1281" max="1281" width="28.5703125" style="2356" bestFit="1" customWidth="1"/>
    <col min="1282" max="1536" width="9.140625" style="2356"/>
    <col min="1537" max="1537" width="28.5703125" style="2356" bestFit="1" customWidth="1"/>
    <col min="1538" max="1792" width="9.140625" style="2356"/>
    <col min="1793" max="1793" width="28.5703125" style="2356" bestFit="1" customWidth="1"/>
    <col min="1794" max="2048" width="9.140625" style="2356"/>
    <col min="2049" max="2049" width="28.5703125" style="2356" bestFit="1" customWidth="1"/>
    <col min="2050" max="2304" width="9.140625" style="2356"/>
    <col min="2305" max="2305" width="28.5703125" style="2356" bestFit="1" customWidth="1"/>
    <col min="2306" max="2560" width="9.140625" style="2356"/>
    <col min="2561" max="2561" width="28.5703125" style="2356" bestFit="1" customWidth="1"/>
    <col min="2562" max="2816" width="9.140625" style="2356"/>
    <col min="2817" max="2817" width="28.5703125" style="2356" bestFit="1" customWidth="1"/>
    <col min="2818" max="3072" width="9.140625" style="2356"/>
    <col min="3073" max="3073" width="28.5703125" style="2356" bestFit="1" customWidth="1"/>
    <col min="3074" max="3328" width="9.140625" style="2356"/>
    <col min="3329" max="3329" width="28.5703125" style="2356" bestFit="1" customWidth="1"/>
    <col min="3330" max="3584" width="9.140625" style="2356"/>
    <col min="3585" max="3585" width="28.5703125" style="2356" bestFit="1" customWidth="1"/>
    <col min="3586" max="3840" width="9.140625" style="2356"/>
    <col min="3841" max="3841" width="28.5703125" style="2356" bestFit="1" customWidth="1"/>
    <col min="3842" max="4096" width="9.140625" style="2356"/>
    <col min="4097" max="4097" width="28.5703125" style="2356" bestFit="1" customWidth="1"/>
    <col min="4098" max="4352" width="9.140625" style="2356"/>
    <col min="4353" max="4353" width="28.5703125" style="2356" bestFit="1" customWidth="1"/>
    <col min="4354" max="4608" width="9.140625" style="2356"/>
    <col min="4609" max="4609" width="28.5703125" style="2356" bestFit="1" customWidth="1"/>
    <col min="4610" max="4864" width="9.140625" style="2356"/>
    <col min="4865" max="4865" width="28.5703125" style="2356" bestFit="1" customWidth="1"/>
    <col min="4866" max="5120" width="9.140625" style="2356"/>
    <col min="5121" max="5121" width="28.5703125" style="2356" bestFit="1" customWidth="1"/>
    <col min="5122" max="5376" width="9.140625" style="2356"/>
    <col min="5377" max="5377" width="28.5703125" style="2356" bestFit="1" customWidth="1"/>
    <col min="5378" max="5632" width="9.140625" style="2356"/>
    <col min="5633" max="5633" width="28.5703125" style="2356" bestFit="1" customWidth="1"/>
    <col min="5634" max="5888" width="9.140625" style="2356"/>
    <col min="5889" max="5889" width="28.5703125" style="2356" bestFit="1" customWidth="1"/>
    <col min="5890" max="6144" width="9.140625" style="2356"/>
    <col min="6145" max="6145" width="28.5703125" style="2356" bestFit="1" customWidth="1"/>
    <col min="6146" max="6400" width="9.140625" style="2356"/>
    <col min="6401" max="6401" width="28.5703125" style="2356" bestFit="1" customWidth="1"/>
    <col min="6402" max="6656" width="9.140625" style="2356"/>
    <col min="6657" max="6657" width="28.5703125" style="2356" bestFit="1" customWidth="1"/>
    <col min="6658" max="6912" width="9.140625" style="2356"/>
    <col min="6913" max="6913" width="28.5703125" style="2356" bestFit="1" customWidth="1"/>
    <col min="6914" max="7168" width="9.140625" style="2356"/>
    <col min="7169" max="7169" width="28.5703125" style="2356" bestFit="1" customWidth="1"/>
    <col min="7170" max="7424" width="9.140625" style="2356"/>
    <col min="7425" max="7425" width="28.5703125" style="2356" bestFit="1" customWidth="1"/>
    <col min="7426" max="7680" width="9.140625" style="2356"/>
    <col min="7681" max="7681" width="28.5703125" style="2356" bestFit="1" customWidth="1"/>
    <col min="7682" max="7936" width="9.140625" style="2356"/>
    <col min="7937" max="7937" width="28.5703125" style="2356" bestFit="1" customWidth="1"/>
    <col min="7938" max="8192" width="9.140625" style="2356"/>
    <col min="8193" max="8193" width="28.5703125" style="2356" bestFit="1" customWidth="1"/>
    <col min="8194" max="8448" width="9.140625" style="2356"/>
    <col min="8449" max="8449" width="28.5703125" style="2356" bestFit="1" customWidth="1"/>
    <col min="8450" max="8704" width="9.140625" style="2356"/>
    <col min="8705" max="8705" width="28.5703125" style="2356" bestFit="1" customWidth="1"/>
    <col min="8706" max="8960" width="9.140625" style="2356"/>
    <col min="8961" max="8961" width="28.5703125" style="2356" bestFit="1" customWidth="1"/>
    <col min="8962" max="9216" width="9.140625" style="2356"/>
    <col min="9217" max="9217" width="28.5703125" style="2356" bestFit="1" customWidth="1"/>
    <col min="9218" max="9472" width="9.140625" style="2356"/>
    <col min="9473" max="9473" width="28.5703125" style="2356" bestFit="1" customWidth="1"/>
    <col min="9474" max="9728" width="9.140625" style="2356"/>
    <col min="9729" max="9729" width="28.5703125" style="2356" bestFit="1" customWidth="1"/>
    <col min="9730" max="9984" width="9.140625" style="2356"/>
    <col min="9985" max="9985" width="28.5703125" style="2356" bestFit="1" customWidth="1"/>
    <col min="9986" max="10240" width="9.140625" style="2356"/>
    <col min="10241" max="10241" width="28.5703125" style="2356" bestFit="1" customWidth="1"/>
    <col min="10242" max="10496" width="9.140625" style="2356"/>
    <col min="10497" max="10497" width="28.5703125" style="2356" bestFit="1" customWidth="1"/>
    <col min="10498" max="10752" width="9.140625" style="2356"/>
    <col min="10753" max="10753" width="28.5703125" style="2356" bestFit="1" customWidth="1"/>
    <col min="10754" max="11008" width="9.140625" style="2356"/>
    <col min="11009" max="11009" width="28.5703125" style="2356" bestFit="1" customWidth="1"/>
    <col min="11010" max="11264" width="9.140625" style="2356"/>
    <col min="11265" max="11265" width="28.5703125" style="2356" bestFit="1" customWidth="1"/>
    <col min="11266" max="11520" width="9.140625" style="2356"/>
    <col min="11521" max="11521" width="28.5703125" style="2356" bestFit="1" customWidth="1"/>
    <col min="11522" max="11776" width="9.140625" style="2356"/>
    <col min="11777" max="11777" width="28.5703125" style="2356" bestFit="1" customWidth="1"/>
    <col min="11778" max="12032" width="9.140625" style="2356"/>
    <col min="12033" max="12033" width="28.5703125" style="2356" bestFit="1" customWidth="1"/>
    <col min="12034" max="12288" width="9.140625" style="2356"/>
    <col min="12289" max="12289" width="28.5703125" style="2356" bestFit="1" customWidth="1"/>
    <col min="12290" max="12544" width="9.140625" style="2356"/>
    <col min="12545" max="12545" width="28.5703125" style="2356" bestFit="1" customWidth="1"/>
    <col min="12546" max="12800" width="9.140625" style="2356"/>
    <col min="12801" max="12801" width="28.5703125" style="2356" bestFit="1" customWidth="1"/>
    <col min="12802" max="13056" width="9.140625" style="2356"/>
    <col min="13057" max="13057" width="28.5703125" style="2356" bestFit="1" customWidth="1"/>
    <col min="13058" max="13312" width="9.140625" style="2356"/>
    <col min="13313" max="13313" width="28.5703125" style="2356" bestFit="1" customWidth="1"/>
    <col min="13314" max="13568" width="9.140625" style="2356"/>
    <col min="13569" max="13569" width="28.5703125" style="2356" bestFit="1" customWidth="1"/>
    <col min="13570" max="13824" width="9.140625" style="2356"/>
    <col min="13825" max="13825" width="28.5703125" style="2356" bestFit="1" customWidth="1"/>
    <col min="13826" max="14080" width="9.140625" style="2356"/>
    <col min="14081" max="14081" width="28.5703125" style="2356" bestFit="1" customWidth="1"/>
    <col min="14082" max="14336" width="9.140625" style="2356"/>
    <col min="14337" max="14337" width="28.5703125" style="2356" bestFit="1" customWidth="1"/>
    <col min="14338" max="14592" width="9.140625" style="2356"/>
    <col min="14593" max="14593" width="28.5703125" style="2356" bestFit="1" customWidth="1"/>
    <col min="14594" max="14848" width="9.140625" style="2356"/>
    <col min="14849" max="14849" width="28.5703125" style="2356" bestFit="1" customWidth="1"/>
    <col min="14850" max="15104" width="9.140625" style="2356"/>
    <col min="15105" max="15105" width="28.5703125" style="2356" bestFit="1" customWidth="1"/>
    <col min="15106" max="15360" width="9.140625" style="2356"/>
    <col min="15361" max="15361" width="28.5703125" style="2356" bestFit="1" customWidth="1"/>
    <col min="15362" max="15616" width="9.140625" style="2356"/>
    <col min="15617" max="15617" width="28.5703125" style="2356" bestFit="1" customWidth="1"/>
    <col min="15618" max="15872" width="9.140625" style="2356"/>
    <col min="15873" max="15873" width="28.5703125" style="2356" bestFit="1" customWidth="1"/>
    <col min="15874" max="16128" width="9.140625" style="2356"/>
    <col min="16129" max="16129" width="28.5703125" style="2356" bestFit="1" customWidth="1"/>
    <col min="16130" max="16384" width="9.140625" style="2356"/>
  </cols>
  <sheetData>
    <row r="1" spans="1:1">
      <c r="A1" s="2355" t="s">
        <v>1825</v>
      </c>
    </row>
    <row r="2" spans="1:1">
      <c r="A2" s="2355" t="s">
        <v>1830</v>
      </c>
    </row>
    <row r="3" spans="1:1">
      <c r="A3" s="2355" t="s">
        <v>1831</v>
      </c>
    </row>
    <row r="4" spans="1:1">
      <c r="A4" s="2355" t="s">
        <v>1832</v>
      </c>
    </row>
    <row r="5" spans="1:1">
      <c r="A5" s="2355" t="s">
        <v>1833</v>
      </c>
    </row>
    <row r="6" spans="1:1">
      <c r="A6" s="2355" t="s">
        <v>1826</v>
      </c>
    </row>
    <row r="7" spans="1:1">
      <c r="A7" s="2355" t="s">
        <v>1834</v>
      </c>
    </row>
    <row r="8" spans="1:1">
      <c r="A8" s="2355" t="s">
        <v>1835</v>
      </c>
    </row>
    <row r="9" spans="1:1">
      <c r="A9" s="2355" t="s">
        <v>1836</v>
      </c>
    </row>
    <row r="10" spans="1:1">
      <c r="A10" s="2355" t="s">
        <v>1827</v>
      </c>
    </row>
    <row r="11" spans="1:1">
      <c r="A11" s="2355" t="s">
        <v>1837</v>
      </c>
    </row>
    <row r="12" spans="1:1">
      <c r="A12" s="2355" t="s">
        <v>1828</v>
      </c>
    </row>
    <row r="13" spans="1:1">
      <c r="A13" s="2355" t="s">
        <v>1829</v>
      </c>
    </row>
  </sheetData>
  <pageMargins left="0.75" right="0.75" top="1" bottom="1" header="0.5" footer="0.5"/>
  <pageSetup orientation="portrait" verticalDpi="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
  <sheetViews>
    <sheetView workbookViewId="0"/>
  </sheetViews>
  <sheetFormatPr defaultRowHeight="12.75"/>
  <sheetData>
    <row r="1" spans="1:6">
      <c r="A1" t="s">
        <v>1329</v>
      </c>
    </row>
    <row r="2" spans="1:6">
      <c r="A2" s="1862" t="s">
        <v>1327</v>
      </c>
      <c r="B2" s="1862" t="s">
        <v>1330</v>
      </c>
      <c r="C2" s="1862" t="s">
        <v>1328</v>
      </c>
      <c r="D2" s="1862" t="s">
        <v>1319</v>
      </c>
      <c r="E2" s="1862" t="s">
        <v>1326</v>
      </c>
      <c r="F2" s="1862" t="s">
        <v>1463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0FEA295C-E955-44E7-97E0-DAACBB56A0C6}">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96</vt:i4>
      </vt:variant>
    </vt:vector>
  </HeadingPairs>
  <TitlesOfParts>
    <vt:vector size="111" baseType="lpstr">
      <vt:lpstr>ImportantDisclosures</vt:lpstr>
      <vt:lpstr>Cover</vt:lpstr>
      <vt:lpstr>KPI's</vt:lpstr>
      <vt:lpstr>FX Model</vt:lpstr>
      <vt:lpstr>Presentation tables</vt:lpstr>
      <vt:lpstr>IS</vt:lpstr>
      <vt:lpstr>BS</vt:lpstr>
      <vt:lpstr>CF</vt:lpstr>
      <vt:lpstr>Divisional Summary</vt:lpstr>
      <vt:lpstr>Otis</vt:lpstr>
      <vt:lpstr>CCS</vt:lpstr>
      <vt:lpstr>Pratt</vt:lpstr>
      <vt:lpstr>Aerospace Systems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Linking_11</vt:lpstr>
      <vt:lpstr>Linking_12</vt:lpstr>
      <vt:lpstr>Linking_13</vt:lpstr>
      <vt:lpstr>Linking_15</vt:lpstr>
      <vt:lpstr>Linking_18</vt:lpstr>
      <vt:lpstr>Linking_3</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Linking_Range_2</vt:lpstr>
      <vt:lpstr>Linking_Range_25</vt:lpstr>
      <vt:lpstr>Linking_Range_26</vt:lpstr>
      <vt:lpstr>Linking_Range_27</vt:lpstr>
      <vt:lpstr>Linking_Range_3</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2015-07-27T22:12:22Z</dcterms:created>
  <dc:creator>JZ</dc:creator>
  <cp:lastModifiedBy>Boyd, Abigail (COMPLIANCE)</cp:lastModifiedBy>
  <cp:lastPrinted>2017-10-24T18:27:46Z</cp:lastPrinted>
  <dcterms:modified xsi:type="dcterms:W3CDTF">2017-10-27T13:16:23Z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729096</vt:lpwstr>
  </property>
  <property fmtid="{D5CDD505-2E9C-101B-9397-08002B2CF9AE}" name="ERModPubCompanyName" pid="6">
    <vt:lpwstr>United Technologies Corp</vt:lpwstr>
  </property>
  <property fmtid="{D5CDD505-2E9C-101B-9397-08002B2CF9AE}" name="MSDH34TAG" pid="7">
    <vt:lpwstr>.TEZUF76X5TAHATHESADREYAK-00-INB160+*94600-06=36b9f0e2/-bb15/-11e7/-863e/-cb02ae2926cb,MD=20171027091721/-0400,ZZ=000Z-6a1f.</vt:lpwstr>
  </property>
</Properties>
</file>